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Medford\Desktop\"/>
    </mc:Choice>
  </mc:AlternateContent>
  <xr:revisionPtr revIDLastSave="0" documentId="8_{65E1C15A-0FD9-4ABA-B1FD-DE8511273045}" xr6:coauthVersionLast="47" xr6:coauthVersionMax="47" xr10:uidLastSave="{00000000-0000-0000-0000-000000000000}"/>
  <bookViews>
    <workbookView xWindow="28690" yWindow="-110" windowWidth="38620" windowHeight="21100" activeTab="2" xr2:uid="{44F036F4-147F-AD4C-A073-12CD124314C7}"/>
  </bookViews>
  <sheets>
    <sheet name="P&amp;L" sheetId="3" r:id="rId1"/>
    <sheet name="Comps" sheetId="10" r:id="rId2"/>
    <sheet name="Team Structure" sheetId="4" r:id="rId3"/>
    <sheet name="Questions" sheetId="6" r:id="rId4"/>
    <sheet name="Support&gt;&gt;&gt;" sheetId="5" r:id="rId5"/>
    <sheet name="RH" sheetId="8" r:id="rId6"/>
    <sheet name="WSM" sheetId="9" r:id="rId7"/>
    <sheet name="Wayfair" sheetId="11" r:id="rId8"/>
  </sheets>
  <externalReferences>
    <externalReference r:id="rId9"/>
    <externalReference r:id="rId10"/>
  </externalReferences>
  <definedNames>
    <definedName name="FP.DataSourceName">'[1]Front Page'!$H$15</definedName>
    <definedName name="FP.LastPrice">'[1]Front Page'!$H$20</definedName>
    <definedName name="FP.LastPriceDate">'[1]Front Page'!$F$20</definedName>
    <definedName name="FP.RealTimeToggle">'[1]Front Page'!$H$18</definedName>
    <definedName name="GD_Guidance_High">[2]Guidance!$J:$J</definedName>
    <definedName name="GD_Guidance_Low">[2]Guidance!$I:$I</definedName>
    <definedName name="GD_Guidance_Mid">[2]Guidance!$K:$K</definedName>
    <definedName name="GD_Item_FiscalPeriod">[2]Guidance!$F:$F</definedName>
    <definedName name="GD_Item_Name">[2]Guidance!$E:$E</definedName>
    <definedName name="GD_Update_Date">[2]Guidance!$S:$S</definedName>
    <definedName name="HP.MRFX">WSM!$B$1290</definedName>
    <definedName name="HP.ReportCurrency">WSM!$B$1289</definedName>
    <definedName name="HP.Ticker">WSM!$A$2</definedName>
    <definedName name="HP.TradeCurrency">WSM!$B$1287</definedName>
    <definedName name="HP.TradeCurrency.HardCoded">WSM!$B$1288</definedName>
    <definedName name="MO.ApplyTradeCurrencyScaling">WSM!$B$1286</definedName>
    <definedName name="MO.DataSourceIndex">WSM!$B$1297</definedName>
    <definedName name="MO.DataSourceName">WSM!$A$4</definedName>
    <definedName name="MO.LastPrice">WSM!$B$3</definedName>
    <definedName name="MO.LastPriceFormula">WSM!$B$1285</definedName>
    <definedName name="MO.LastPriceHardcoded">WSM!$B$1282</definedName>
    <definedName name="MO.MRFP">WSM!$B$1293</definedName>
    <definedName name="MO.MRFPColumnNumber">WSM!$B$1292</definedName>
    <definedName name="MO.MRFX.Hardcoded">WSM!$B$1291</definedName>
    <definedName name="MO.RealTime">WSM!$B$4</definedName>
    <definedName name="MO.RealTimeStockPriceToggle">WSM!$B$1284</definedName>
    <definedName name="MO.ReportCurrency">WSM!$B$1289</definedName>
    <definedName name="MO.ReportFX">WSM!$A$5</definedName>
    <definedName name="MO.Ticker.Bloomberg">WSM!$A$1189</definedName>
    <definedName name="MO.Ticker.CapIQ">WSM!$A$1190</definedName>
    <definedName name="MO.Ticker.FactSet">WSM!$A$1191</definedName>
    <definedName name="MO.Ticker.Thomson">WSM!$A$1192</definedName>
    <definedName name="MO.ValuationToggle">WSM!$B$924</definedName>
    <definedName name="MO_CFS_Buyback">WSM!$1045:$1045</definedName>
    <definedName name="MO_CFS_CFF">WSM!$1054:$1054</definedName>
    <definedName name="MO_CFS_CFI">WSM!$1039:$1039</definedName>
    <definedName name="MO_CFS_CFO">WSM!$1030:$1030</definedName>
    <definedName name="MO_CFS_CFO_BeforeWC">WSM!$1019:$1019</definedName>
    <definedName name="MO_CFSum_Acquisition">WSM!$881:$881</definedName>
    <definedName name="MO_CFSum_Capex">WSM!$879:$879</definedName>
    <definedName name="MO_CFSum_Divestiture">WSM!$882:$882</definedName>
    <definedName name="MO_CFSum_Dividend">WSM!$883:$883</definedName>
    <definedName name="MO_Common_ColumnHeader">WSM!$5:$5</definedName>
    <definedName name="MO_Common_FPDays">WSM!$3:$3</definedName>
    <definedName name="MO_Common_QEndDate">WSM!$4:$4</definedName>
    <definedName name="MO_IS_EBIT">WSM!$644:$644</definedName>
    <definedName name="MO_IS_FirstRow">WSM!$640:$640</definedName>
    <definedName name="MO_OS_EBIT">WSM!$352:$352</definedName>
    <definedName name="MO_OS_EBIT_Adj">WSM!$366:$366</definedName>
    <definedName name="MO_OS_EBT">WSM!$379:$379</definedName>
    <definedName name="MO_OS_EBT_Adj">WSM!$381:$381</definedName>
    <definedName name="MO_RIS_EBIT">WSM!$762:$762</definedName>
    <definedName name="MO_RIS_EBIT_Adj">WSM!$763:$763</definedName>
    <definedName name="MO_RIS_EBITDA_Adj">WSM!$769:$769</definedName>
    <definedName name="MO_RIS_EBT">WSM!$778:$778</definedName>
    <definedName name="MO_RIS_EBT_Adj">WSM!$779:$779</definedName>
    <definedName name="MO_RIS_EPS_WAD_Adj">WSM!$811:$811</definedName>
    <definedName name="MO_RIS_NI_NONGAAP_Diluted">WSM!$802:$802</definedName>
    <definedName name="MO_RIS_REV">WSM!$749:$749</definedName>
    <definedName name="MO_SCA_ShareCount_EoP_Diluted">WSM!$833:$833</definedName>
    <definedName name="MO_SNA_ConsensusEstimatePeriodType">WSM!$1234:$1234</definedName>
    <definedName name="MO_SNA_FPStartDate">WSM!$1246:$1246</definedName>
    <definedName name="MO_SNA_IsHistoricalPeriod">WSM!$1247:$1247</definedName>
    <definedName name="MO_SPT_FXAverage">WSM!$1269:$1269</definedName>
    <definedName name="MO_SPT_FXAverage_Sources">WSM!$1270:$1274</definedName>
    <definedName name="MO_SPT_FXEoP">WSM!$1278:$1278</definedName>
    <definedName name="MO_SPT_StockAverage">WSM!$1262:$1262</definedName>
    <definedName name="MO_SPT_StockAverage_Sources">WSM!$1263:$1267</definedName>
    <definedName name="MO_SPT_StockEoP">WSM!$1277:$1277</definedName>
    <definedName name="MO_SPT_StockHigh">WSM!$1248:$1248</definedName>
    <definedName name="MO_SPT_StockHigh_Sources">WSM!$1249:$1253</definedName>
    <definedName name="MO_SPT_StockLow">WSM!$1255:$1255</definedName>
    <definedName name="MO_SPT_StockLow_Sources">WSM!$1256:$1260</definedName>
    <definedName name="MO_SubSection_CFS_CFF">WSM!$1041:$1041</definedName>
    <definedName name="MO_SubSection_CFS_CFI">WSM!$1032:$1032</definedName>
    <definedName name="MO_SubSection_CFS_CFO">WSM!$1007:$1007</definedName>
    <definedName name="MO_VA_EV_ToEBITDA">WSM!$929:$929</definedName>
    <definedName name="MO_VA_FX_Average">WSM!$938:$938</definedName>
    <definedName name="MO_VA_FX_EoP">WSM!$939:$939</definedName>
    <definedName name="MO_VA_P_ToE">WSM!$928:$928</definedName>
    <definedName name="MO_VA_StockPrice">WSM!$924:$924</definedName>
    <definedName name="MO_VA_StockPrice_TradingCurrency">WSM!$940:$940</definedName>
    <definedName name="tb_ConsensusEstimate">WSM!$A$1233:$BV$1243</definedName>
    <definedName name="tb_KPIs">WSM!$A$1208:$A$1220</definedName>
    <definedName name="tb_ValuationToggle">WSM!$A$1194:$B$1198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G11" i="4"/>
  <c r="G12" i="4"/>
  <c r="G13" i="4"/>
  <c r="G14" i="4"/>
  <c r="G15" i="4"/>
  <c r="G16" i="4"/>
  <c r="G17" i="4"/>
  <c r="G18" i="4"/>
  <c r="G19" i="4"/>
  <c r="G20" i="4"/>
  <c r="G9" i="4"/>
  <c r="H85" i="4"/>
  <c r="I85" i="4"/>
  <c r="J85" i="4"/>
  <c r="E4" i="10"/>
  <c r="B1157" i="11"/>
  <c r="B1156" i="11"/>
  <c r="B1155" i="11"/>
  <c r="B1154" i="11"/>
  <c r="B1152" i="11"/>
  <c r="B1147" i="11"/>
  <c r="B1146" i="11"/>
  <c r="B1145" i="11"/>
  <c r="B1144" i="11"/>
  <c r="B1143" i="11"/>
  <c r="B1142" i="11"/>
  <c r="BV1136" i="11"/>
  <c r="BU1136" i="11"/>
  <c r="BT1136" i="11"/>
  <c r="BS1136" i="11"/>
  <c r="BR1136" i="11"/>
  <c r="BQ1136" i="11"/>
  <c r="BP1136" i="11"/>
  <c r="BO1136" i="11"/>
  <c r="BN1136" i="11"/>
  <c r="BM1136" i="11"/>
  <c r="BL1136" i="11"/>
  <c r="BK1136" i="11"/>
  <c r="BJ1136" i="11"/>
  <c r="BI1136" i="11"/>
  <c r="BH1136" i="11"/>
  <c r="BG1136" i="11"/>
  <c r="BF1136" i="11"/>
  <c r="BE1136" i="11"/>
  <c r="BD1136" i="11"/>
  <c r="BC1136" i="11"/>
  <c r="BB1136" i="11"/>
  <c r="BA1136" i="11"/>
  <c r="AZ1136" i="11"/>
  <c r="AY1136" i="11"/>
  <c r="AX1136" i="11"/>
  <c r="AW1136" i="11"/>
  <c r="AV1136" i="11"/>
  <c r="AU1136" i="11"/>
  <c r="AT1136" i="11"/>
  <c r="AS1136" i="11"/>
  <c r="AR1136" i="11"/>
  <c r="AQ1136" i="11"/>
  <c r="AP1136" i="11"/>
  <c r="AO1136" i="11"/>
  <c r="AN1136" i="11"/>
  <c r="AM1136" i="11"/>
  <c r="AL1136" i="11"/>
  <c r="AK1136" i="11"/>
  <c r="AJ1136" i="11"/>
  <c r="AI1136" i="11"/>
  <c r="AH1136" i="11"/>
  <c r="AG1136" i="11"/>
  <c r="AF1136" i="11"/>
  <c r="AE1136" i="11"/>
  <c r="AD1136" i="11"/>
  <c r="AC1136" i="11"/>
  <c r="AB1136" i="11"/>
  <c r="AA1136" i="11"/>
  <c r="Z1136" i="11"/>
  <c r="Y1136" i="11"/>
  <c r="X1136" i="11"/>
  <c r="W1136" i="11"/>
  <c r="V1136" i="11"/>
  <c r="U1136" i="11"/>
  <c r="T1136" i="11"/>
  <c r="S1136" i="11"/>
  <c r="R1136" i="11"/>
  <c r="Q1136" i="11"/>
  <c r="P1136" i="11"/>
  <c r="O1136" i="11"/>
  <c r="N1136" i="11"/>
  <c r="M1136" i="11"/>
  <c r="L1136" i="11"/>
  <c r="K1136" i="11"/>
  <c r="J1136" i="11"/>
  <c r="I1136" i="11"/>
  <c r="H1136" i="11"/>
  <c r="G1136" i="11"/>
  <c r="F1136" i="11"/>
  <c r="E1136" i="11"/>
  <c r="D1136" i="11"/>
  <c r="C1136" i="11"/>
  <c r="BV1134" i="11"/>
  <c r="BU1134" i="11"/>
  <c r="BT1134" i="11"/>
  <c r="BS1134" i="11"/>
  <c r="BR1134" i="11"/>
  <c r="BQ1134" i="11"/>
  <c r="BP1134" i="11"/>
  <c r="BO1134" i="11"/>
  <c r="BN1134" i="11"/>
  <c r="BM1134" i="11"/>
  <c r="BL1134" i="11"/>
  <c r="BK1134" i="11"/>
  <c r="BJ1134" i="11"/>
  <c r="BI1134" i="11"/>
  <c r="BH1134" i="11"/>
  <c r="BG1134" i="11"/>
  <c r="BF1134" i="11"/>
  <c r="BE1134" i="11"/>
  <c r="BD1134" i="11"/>
  <c r="BC1134" i="11"/>
  <c r="BB1134" i="11"/>
  <c r="BA1134" i="11"/>
  <c r="AZ1134" i="11"/>
  <c r="AY1134" i="11"/>
  <c r="AX1134" i="11"/>
  <c r="AW1134" i="11"/>
  <c r="AV1134" i="11"/>
  <c r="AU1134" i="11"/>
  <c r="AT1134" i="11"/>
  <c r="AS1134" i="11"/>
  <c r="AR1134" i="11"/>
  <c r="AQ1134" i="11"/>
  <c r="AP1134" i="11"/>
  <c r="AO1134" i="11"/>
  <c r="AN1134" i="11"/>
  <c r="AM1134" i="11"/>
  <c r="AL1134" i="11"/>
  <c r="AK1134" i="11"/>
  <c r="AJ1134" i="11"/>
  <c r="AI1134" i="11"/>
  <c r="AH1134" i="11"/>
  <c r="AG1134" i="11"/>
  <c r="AF1134" i="11"/>
  <c r="AE1134" i="11"/>
  <c r="AD1134" i="11"/>
  <c r="AC1134" i="11"/>
  <c r="AB1134" i="11"/>
  <c r="AA1134" i="11"/>
  <c r="Z1134" i="11"/>
  <c r="Y1134" i="11"/>
  <c r="X1134" i="11"/>
  <c r="W1134" i="11"/>
  <c r="V1134" i="11"/>
  <c r="U1134" i="11"/>
  <c r="T1134" i="11"/>
  <c r="S1134" i="11"/>
  <c r="R1134" i="11"/>
  <c r="Q1134" i="11"/>
  <c r="P1134" i="11"/>
  <c r="O1134" i="11"/>
  <c r="N1134" i="11"/>
  <c r="M1134" i="11"/>
  <c r="L1134" i="11"/>
  <c r="K1134" i="11"/>
  <c r="J1134" i="11"/>
  <c r="I1134" i="11"/>
  <c r="H1134" i="11"/>
  <c r="G1134" i="11"/>
  <c r="F1134" i="11"/>
  <c r="E1134" i="11"/>
  <c r="D1134" i="11"/>
  <c r="C1134" i="11"/>
  <c r="BV1130" i="11"/>
  <c r="BU1130" i="11"/>
  <c r="BT1130" i="11"/>
  <c r="BS1130" i="11"/>
  <c r="BR1130" i="11"/>
  <c r="BQ1130" i="11"/>
  <c r="BP1130" i="11"/>
  <c r="BO1130" i="11"/>
  <c r="BN1130" i="11"/>
  <c r="BM1130" i="11"/>
  <c r="BL1130" i="11"/>
  <c r="BK1130" i="11"/>
  <c r="BV1127" i="11"/>
  <c r="BU1127" i="11"/>
  <c r="BT1127" i="11"/>
  <c r="BS1127" i="11"/>
  <c r="BR1127" i="11"/>
  <c r="BQ1127" i="11"/>
  <c r="BP1127" i="11"/>
  <c r="BO1127" i="11"/>
  <c r="BN1127" i="11"/>
  <c r="BM1127" i="11"/>
  <c r="BL1127" i="11"/>
  <c r="BK1127" i="11"/>
  <c r="BJ1127" i="11"/>
  <c r="BI1127" i="11"/>
  <c r="BH1127" i="11"/>
  <c r="BG1127" i="11"/>
  <c r="BF1127" i="11"/>
  <c r="BE1127" i="11"/>
  <c r="BD1127" i="11"/>
  <c r="BC1127" i="11"/>
  <c r="BB1127" i="11"/>
  <c r="BA1127" i="11"/>
  <c r="AZ1127" i="11"/>
  <c r="AY1127" i="11"/>
  <c r="AX1127" i="11"/>
  <c r="AW1127" i="11"/>
  <c r="AV1127" i="11"/>
  <c r="AU1127" i="11"/>
  <c r="AT1127" i="11"/>
  <c r="AS1127" i="11"/>
  <c r="AR1127" i="11"/>
  <c r="AQ1127" i="11"/>
  <c r="AP1127" i="11"/>
  <c r="AO1127" i="11"/>
  <c r="AN1127" i="11"/>
  <c r="AM1127" i="11"/>
  <c r="AL1127" i="11"/>
  <c r="AK1127" i="11"/>
  <c r="AJ1127" i="11"/>
  <c r="AI1127" i="11"/>
  <c r="AH1127" i="11"/>
  <c r="AG1127" i="11"/>
  <c r="AF1127" i="11"/>
  <c r="AE1127" i="11"/>
  <c r="AD1127" i="11"/>
  <c r="AC1127" i="11"/>
  <c r="AB1127" i="11"/>
  <c r="AA1127" i="11"/>
  <c r="Z1127" i="11"/>
  <c r="Y1127" i="11"/>
  <c r="X1127" i="11"/>
  <c r="W1127" i="11"/>
  <c r="V1127" i="11"/>
  <c r="U1127" i="11"/>
  <c r="T1127" i="11"/>
  <c r="S1127" i="11"/>
  <c r="R1127" i="11"/>
  <c r="Q1127" i="11"/>
  <c r="P1127" i="11"/>
  <c r="O1127" i="11"/>
  <c r="N1127" i="11"/>
  <c r="M1127" i="11"/>
  <c r="L1127" i="11"/>
  <c r="K1127" i="11"/>
  <c r="J1127" i="11"/>
  <c r="I1127" i="11"/>
  <c r="H1127" i="11"/>
  <c r="G1127" i="11"/>
  <c r="F1127" i="11"/>
  <c r="E1127" i="11"/>
  <c r="D1127" i="11"/>
  <c r="C1127" i="11"/>
  <c r="BV1126" i="11"/>
  <c r="BU1126" i="11"/>
  <c r="BT1126" i="11"/>
  <c r="BS1126" i="11"/>
  <c r="BR1126" i="11"/>
  <c r="BQ1126" i="11"/>
  <c r="BP1126" i="11"/>
  <c r="BO1126" i="11"/>
  <c r="BN1126" i="11"/>
  <c r="BM1126" i="11"/>
  <c r="BL1126" i="11"/>
  <c r="BK1126" i="11"/>
  <c r="BJ1126" i="11"/>
  <c r="BI1126" i="11"/>
  <c r="BH1126" i="11"/>
  <c r="BG1126" i="11"/>
  <c r="BF1126" i="11"/>
  <c r="BE1126" i="11"/>
  <c r="BD1126" i="11"/>
  <c r="BC1126" i="11"/>
  <c r="BB1126" i="11"/>
  <c r="BA1126" i="11"/>
  <c r="AZ1126" i="11"/>
  <c r="AY1126" i="11"/>
  <c r="AX1126" i="11"/>
  <c r="AW1126" i="11"/>
  <c r="AV1126" i="11"/>
  <c r="AU1126" i="11"/>
  <c r="AT1126" i="11"/>
  <c r="AS1126" i="11"/>
  <c r="AR1126" i="11"/>
  <c r="AQ1126" i="11"/>
  <c r="AP1126" i="11"/>
  <c r="AO1126" i="11"/>
  <c r="AN1126" i="11"/>
  <c r="AM1126" i="11"/>
  <c r="AL1126" i="11"/>
  <c r="AK1126" i="11"/>
  <c r="AJ1126" i="11"/>
  <c r="AI1126" i="11"/>
  <c r="AH1126" i="11"/>
  <c r="AG1126" i="11"/>
  <c r="AF1126" i="11"/>
  <c r="AE1126" i="11"/>
  <c r="AD1126" i="11"/>
  <c r="AC1126" i="11"/>
  <c r="AB1126" i="11"/>
  <c r="AA1126" i="11"/>
  <c r="Z1126" i="11"/>
  <c r="Y1126" i="11"/>
  <c r="X1126" i="11"/>
  <c r="W1126" i="11"/>
  <c r="V1126" i="11"/>
  <c r="U1126" i="11"/>
  <c r="T1126" i="11"/>
  <c r="S1126" i="11"/>
  <c r="R1126" i="11"/>
  <c r="Q1126" i="11"/>
  <c r="P1126" i="11"/>
  <c r="O1126" i="11"/>
  <c r="N1126" i="11"/>
  <c r="M1126" i="11"/>
  <c r="L1126" i="11"/>
  <c r="K1126" i="11"/>
  <c r="J1126" i="11"/>
  <c r="I1126" i="11"/>
  <c r="H1126" i="11"/>
  <c r="G1126" i="11"/>
  <c r="F1126" i="11"/>
  <c r="E1126" i="11"/>
  <c r="D1126" i="11"/>
  <c r="C1126" i="11"/>
  <c r="BV1125" i="11"/>
  <c r="BU1125" i="11"/>
  <c r="BT1125" i="11"/>
  <c r="BS1125" i="11"/>
  <c r="BR1125" i="11"/>
  <c r="BQ1125" i="11"/>
  <c r="BP1125" i="11"/>
  <c r="BO1125" i="11"/>
  <c r="BN1125" i="11"/>
  <c r="BM1125" i="11"/>
  <c r="BL1125" i="11"/>
  <c r="BK1125" i="11"/>
  <c r="BJ1125" i="11"/>
  <c r="BI1125" i="11"/>
  <c r="BH1125" i="11"/>
  <c r="BG1125" i="11"/>
  <c r="BF1125" i="11"/>
  <c r="BE1125" i="11"/>
  <c r="BD1125" i="11"/>
  <c r="BC1125" i="11"/>
  <c r="BB1125" i="11"/>
  <c r="BA1125" i="11"/>
  <c r="AZ1125" i="11"/>
  <c r="AY1125" i="11"/>
  <c r="AX1125" i="11"/>
  <c r="AW1125" i="11"/>
  <c r="AV1125" i="11"/>
  <c r="AU1125" i="11"/>
  <c r="AT1125" i="11"/>
  <c r="AS1125" i="11"/>
  <c r="AR1125" i="11"/>
  <c r="AQ1125" i="11"/>
  <c r="AP1125" i="11"/>
  <c r="AO1125" i="11"/>
  <c r="AN1125" i="11"/>
  <c r="AM1125" i="11"/>
  <c r="AL1125" i="11"/>
  <c r="AK1125" i="11"/>
  <c r="AJ1125" i="11"/>
  <c r="AI1125" i="11"/>
  <c r="AH1125" i="11"/>
  <c r="AG1125" i="11"/>
  <c r="AF1125" i="11"/>
  <c r="AE1125" i="11"/>
  <c r="AD1125" i="11"/>
  <c r="AC1125" i="11"/>
  <c r="AB1125" i="11"/>
  <c r="AA1125" i="11"/>
  <c r="Z1125" i="11"/>
  <c r="Y1125" i="11"/>
  <c r="X1125" i="11"/>
  <c r="W1125" i="11"/>
  <c r="V1125" i="11"/>
  <c r="U1125" i="11"/>
  <c r="T1125" i="11"/>
  <c r="S1125" i="11"/>
  <c r="R1125" i="11"/>
  <c r="Q1125" i="11"/>
  <c r="P1125" i="11"/>
  <c r="O1125" i="11"/>
  <c r="N1125" i="11"/>
  <c r="M1125" i="11"/>
  <c r="L1125" i="11"/>
  <c r="K1125" i="11"/>
  <c r="J1125" i="11"/>
  <c r="I1125" i="11"/>
  <c r="H1125" i="11"/>
  <c r="G1125" i="11"/>
  <c r="F1125" i="11"/>
  <c r="E1125" i="11"/>
  <c r="D1125" i="11"/>
  <c r="C1125" i="11"/>
  <c r="BV1124" i="11"/>
  <c r="BU1124" i="11"/>
  <c r="BT1124" i="11"/>
  <c r="BS1124" i="11"/>
  <c r="BR1124" i="11"/>
  <c r="BQ1124" i="11"/>
  <c r="BP1124" i="11"/>
  <c r="BO1124" i="11"/>
  <c r="BN1124" i="11"/>
  <c r="BM1124" i="11"/>
  <c r="BL1124" i="11"/>
  <c r="BK1124" i="11"/>
  <c r="BJ1124" i="11"/>
  <c r="BI1124" i="11"/>
  <c r="BH1124" i="11"/>
  <c r="BG1124" i="11"/>
  <c r="BF1124" i="11"/>
  <c r="BE1124" i="11"/>
  <c r="BD1124" i="11"/>
  <c r="BC1124" i="11"/>
  <c r="BB1124" i="11"/>
  <c r="BA1124" i="11"/>
  <c r="AZ1124" i="11"/>
  <c r="AY1124" i="11"/>
  <c r="AX1124" i="11"/>
  <c r="AW1124" i="11"/>
  <c r="AV1124" i="11"/>
  <c r="AU1124" i="11"/>
  <c r="AT1124" i="11"/>
  <c r="AS1124" i="11"/>
  <c r="AR1124" i="11"/>
  <c r="AQ1124" i="11"/>
  <c r="AP1124" i="11"/>
  <c r="AO1124" i="11"/>
  <c r="AN1124" i="11"/>
  <c r="AM1124" i="11"/>
  <c r="AL1124" i="11"/>
  <c r="AK1124" i="11"/>
  <c r="AJ1124" i="11"/>
  <c r="AI1124" i="11"/>
  <c r="AH1124" i="11"/>
  <c r="AG1124" i="11"/>
  <c r="AF1124" i="11"/>
  <c r="AE1124" i="11"/>
  <c r="AD1124" i="11"/>
  <c r="AC1124" i="11"/>
  <c r="AB1124" i="11"/>
  <c r="AA1124" i="11"/>
  <c r="Z1124" i="11"/>
  <c r="Y1124" i="11"/>
  <c r="X1124" i="11"/>
  <c r="W1124" i="11"/>
  <c r="V1124" i="11"/>
  <c r="U1124" i="11"/>
  <c r="T1124" i="11"/>
  <c r="S1124" i="11"/>
  <c r="R1124" i="11"/>
  <c r="Q1124" i="11"/>
  <c r="P1124" i="11"/>
  <c r="O1124" i="11"/>
  <c r="N1124" i="11"/>
  <c r="M1124" i="11"/>
  <c r="L1124" i="11"/>
  <c r="K1124" i="11"/>
  <c r="J1124" i="11"/>
  <c r="I1124" i="11"/>
  <c r="H1124" i="11"/>
  <c r="G1124" i="11"/>
  <c r="F1124" i="11"/>
  <c r="E1124" i="11"/>
  <c r="D1124" i="11"/>
  <c r="C1124" i="11"/>
  <c r="BV1120" i="11"/>
  <c r="BU1120" i="11"/>
  <c r="BT1120" i="11"/>
  <c r="BS1120" i="11"/>
  <c r="BR1120" i="11"/>
  <c r="BQ1120" i="11"/>
  <c r="BP1120" i="11"/>
  <c r="BO1120" i="11"/>
  <c r="BN1120" i="11"/>
  <c r="BM1120" i="11"/>
  <c r="BL1120" i="11"/>
  <c r="BK1120" i="11"/>
  <c r="BJ1120" i="11"/>
  <c r="BI1120" i="11"/>
  <c r="BH1120" i="11"/>
  <c r="BG1120" i="11"/>
  <c r="BF1120" i="11"/>
  <c r="BE1120" i="11"/>
  <c r="BD1120" i="11"/>
  <c r="BC1120" i="11"/>
  <c r="BB1120" i="11"/>
  <c r="BA1120" i="11"/>
  <c r="AZ1120" i="11"/>
  <c r="AY1120" i="11"/>
  <c r="AX1120" i="11"/>
  <c r="AW1120" i="11"/>
  <c r="AV1120" i="11"/>
  <c r="AU1120" i="11"/>
  <c r="AT1120" i="11"/>
  <c r="AS1120" i="11"/>
  <c r="AR1120" i="11"/>
  <c r="AQ1120" i="11"/>
  <c r="AP1120" i="11"/>
  <c r="AO1120" i="11"/>
  <c r="AN1120" i="11"/>
  <c r="AM1120" i="11"/>
  <c r="AL1120" i="11"/>
  <c r="AK1120" i="11"/>
  <c r="AJ1120" i="11"/>
  <c r="AI1120" i="11"/>
  <c r="AH1120" i="11"/>
  <c r="AG1120" i="11"/>
  <c r="AF1120" i="11"/>
  <c r="AE1120" i="11"/>
  <c r="AD1120" i="11"/>
  <c r="AC1120" i="11"/>
  <c r="AB1120" i="11"/>
  <c r="AA1120" i="11"/>
  <c r="Z1120" i="11"/>
  <c r="Y1120" i="11"/>
  <c r="X1120" i="11"/>
  <c r="W1120" i="11"/>
  <c r="V1120" i="11"/>
  <c r="U1120" i="11"/>
  <c r="T1120" i="11"/>
  <c r="S1120" i="11"/>
  <c r="R1120" i="11"/>
  <c r="Q1120" i="11"/>
  <c r="P1120" i="11"/>
  <c r="O1120" i="11"/>
  <c r="N1120" i="11"/>
  <c r="M1120" i="11"/>
  <c r="L1120" i="11"/>
  <c r="K1120" i="11"/>
  <c r="J1120" i="11"/>
  <c r="I1120" i="11"/>
  <c r="H1120" i="11"/>
  <c r="G1120" i="11"/>
  <c r="F1120" i="11"/>
  <c r="E1120" i="11"/>
  <c r="D1120" i="11"/>
  <c r="C1120" i="11"/>
  <c r="BV1119" i="11"/>
  <c r="BU1119" i="11"/>
  <c r="BT1119" i="11"/>
  <c r="BS1119" i="11"/>
  <c r="BR1119" i="11"/>
  <c r="BQ1119" i="11"/>
  <c r="BP1119" i="11"/>
  <c r="BO1119" i="11"/>
  <c r="BN1119" i="11"/>
  <c r="BM1119" i="11"/>
  <c r="BL1119" i="11"/>
  <c r="BK1119" i="11"/>
  <c r="BJ1119" i="11"/>
  <c r="BI1119" i="11"/>
  <c r="BH1119" i="11"/>
  <c r="BG1119" i="11"/>
  <c r="BF1119" i="11"/>
  <c r="BE1119" i="11"/>
  <c r="BD1119" i="11"/>
  <c r="BC1119" i="11"/>
  <c r="BB1119" i="11"/>
  <c r="BA1119" i="11"/>
  <c r="AZ1119" i="11"/>
  <c r="AY1119" i="11"/>
  <c r="AX1119" i="11"/>
  <c r="AW1119" i="11"/>
  <c r="AV1119" i="11"/>
  <c r="AU1119" i="11"/>
  <c r="AT1119" i="11"/>
  <c r="AS1119" i="11"/>
  <c r="AR1119" i="11"/>
  <c r="AQ1119" i="11"/>
  <c r="AP1119" i="11"/>
  <c r="AO1119" i="11"/>
  <c r="AN1119" i="11"/>
  <c r="AM1119" i="11"/>
  <c r="AL1119" i="11"/>
  <c r="AK1119" i="11"/>
  <c r="AJ1119" i="11"/>
  <c r="AI1119" i="11"/>
  <c r="AH1119" i="11"/>
  <c r="AG1119" i="11"/>
  <c r="AF1119" i="11"/>
  <c r="AE1119" i="11"/>
  <c r="AD1119" i="11"/>
  <c r="AC1119" i="11"/>
  <c r="AB1119" i="11"/>
  <c r="AA1119" i="11"/>
  <c r="Z1119" i="11"/>
  <c r="Y1119" i="11"/>
  <c r="X1119" i="11"/>
  <c r="W1119" i="11"/>
  <c r="V1119" i="11"/>
  <c r="U1119" i="11"/>
  <c r="T1119" i="11"/>
  <c r="S1119" i="11"/>
  <c r="R1119" i="11"/>
  <c r="Q1119" i="11"/>
  <c r="P1119" i="11"/>
  <c r="O1119" i="11"/>
  <c r="N1119" i="11"/>
  <c r="M1119" i="11"/>
  <c r="L1119" i="11"/>
  <c r="K1119" i="11"/>
  <c r="J1119" i="11"/>
  <c r="I1119" i="11"/>
  <c r="H1119" i="11"/>
  <c r="G1119" i="11"/>
  <c r="F1119" i="11"/>
  <c r="E1119" i="11"/>
  <c r="D1119" i="11"/>
  <c r="C1119" i="11"/>
  <c r="BV1118" i="11"/>
  <c r="BU1118" i="11"/>
  <c r="BT1118" i="11"/>
  <c r="BS1118" i="11"/>
  <c r="BR1118" i="11"/>
  <c r="BQ1118" i="11"/>
  <c r="BP1118" i="11"/>
  <c r="BO1118" i="11"/>
  <c r="BN1118" i="11"/>
  <c r="BM1118" i="11"/>
  <c r="BL1118" i="11"/>
  <c r="BK1118" i="11"/>
  <c r="BJ1118" i="11"/>
  <c r="BI1118" i="11"/>
  <c r="BH1118" i="11"/>
  <c r="BG1118" i="11"/>
  <c r="BF1118" i="11"/>
  <c r="BE1118" i="11"/>
  <c r="BD1118" i="11"/>
  <c r="BC1118" i="11"/>
  <c r="BB1118" i="11"/>
  <c r="BA1118" i="11"/>
  <c r="AZ1118" i="11"/>
  <c r="AY1118" i="11"/>
  <c r="AX1118" i="11"/>
  <c r="AW1118" i="11"/>
  <c r="AV1118" i="11"/>
  <c r="AU1118" i="11"/>
  <c r="AT1118" i="11"/>
  <c r="AS1118" i="11"/>
  <c r="AR1118" i="11"/>
  <c r="AQ1118" i="11"/>
  <c r="AP1118" i="11"/>
  <c r="AO1118" i="11"/>
  <c r="AN1118" i="11"/>
  <c r="AM1118" i="11"/>
  <c r="AL1118" i="11"/>
  <c r="AK1118" i="11"/>
  <c r="AJ1118" i="11"/>
  <c r="AI1118" i="11"/>
  <c r="AH1118" i="11"/>
  <c r="AG1118" i="11"/>
  <c r="AF1118" i="11"/>
  <c r="AE1118" i="11"/>
  <c r="AD1118" i="11"/>
  <c r="AC1118" i="11"/>
  <c r="AB1118" i="11"/>
  <c r="AA1118" i="11"/>
  <c r="Z1118" i="11"/>
  <c r="Y1118" i="11"/>
  <c r="X1118" i="11"/>
  <c r="W1118" i="11"/>
  <c r="V1118" i="11"/>
  <c r="U1118" i="11"/>
  <c r="T1118" i="11"/>
  <c r="S1118" i="11"/>
  <c r="R1118" i="11"/>
  <c r="Q1118" i="11"/>
  <c r="P1118" i="11"/>
  <c r="O1118" i="11"/>
  <c r="N1118" i="11"/>
  <c r="M1118" i="11"/>
  <c r="L1118" i="11"/>
  <c r="K1118" i="11"/>
  <c r="J1118" i="11"/>
  <c r="I1118" i="11"/>
  <c r="H1118" i="11"/>
  <c r="G1118" i="11"/>
  <c r="F1118" i="11"/>
  <c r="E1118" i="11"/>
  <c r="D1118" i="11"/>
  <c r="C1118" i="11"/>
  <c r="BV1117" i="11"/>
  <c r="BU1117" i="11"/>
  <c r="BT1117" i="11"/>
  <c r="BS1117" i="11"/>
  <c r="BR1117" i="11"/>
  <c r="BQ1117" i="11"/>
  <c r="BP1117" i="11"/>
  <c r="BO1117" i="11"/>
  <c r="BN1117" i="11"/>
  <c r="BM1117" i="11"/>
  <c r="BL1117" i="11"/>
  <c r="BK1117" i="11"/>
  <c r="BJ1117" i="11"/>
  <c r="BI1117" i="11"/>
  <c r="BH1117" i="11"/>
  <c r="BG1117" i="11"/>
  <c r="BF1117" i="11"/>
  <c r="BE1117" i="11"/>
  <c r="BD1117" i="11"/>
  <c r="BC1117" i="11"/>
  <c r="BB1117" i="11"/>
  <c r="BA1117" i="11"/>
  <c r="AZ1117" i="11"/>
  <c r="AY1117" i="11"/>
  <c r="AX1117" i="11"/>
  <c r="AW1117" i="11"/>
  <c r="AV1117" i="11"/>
  <c r="AU1117" i="11"/>
  <c r="AT1117" i="11"/>
  <c r="AS1117" i="11"/>
  <c r="AR1117" i="11"/>
  <c r="AQ1117" i="11"/>
  <c r="AP1117" i="11"/>
  <c r="AO1117" i="11"/>
  <c r="AN1117" i="11"/>
  <c r="AM1117" i="11"/>
  <c r="AL1117" i="11"/>
  <c r="AK1117" i="11"/>
  <c r="AJ1117" i="11"/>
  <c r="AI1117" i="11"/>
  <c r="AH1117" i="11"/>
  <c r="AG1117" i="11"/>
  <c r="AF1117" i="11"/>
  <c r="AE1117" i="11"/>
  <c r="AD1117" i="11"/>
  <c r="AC1117" i="11"/>
  <c r="AB1117" i="11"/>
  <c r="AA1117" i="11"/>
  <c r="Z1117" i="11"/>
  <c r="Y1117" i="11"/>
  <c r="X1117" i="11"/>
  <c r="W1117" i="11"/>
  <c r="V1117" i="11"/>
  <c r="U1117" i="11"/>
  <c r="T1117" i="11"/>
  <c r="S1117" i="11"/>
  <c r="R1117" i="11"/>
  <c r="Q1117" i="11"/>
  <c r="P1117" i="11"/>
  <c r="O1117" i="11"/>
  <c r="N1117" i="11"/>
  <c r="M1117" i="11"/>
  <c r="L1117" i="11"/>
  <c r="K1117" i="11"/>
  <c r="J1117" i="11"/>
  <c r="I1117" i="11"/>
  <c r="H1117" i="11"/>
  <c r="G1117" i="11"/>
  <c r="F1117" i="11"/>
  <c r="E1117" i="11"/>
  <c r="D1117" i="11"/>
  <c r="C1117" i="11"/>
  <c r="BV1113" i="11"/>
  <c r="BU1113" i="11"/>
  <c r="BT1113" i="11"/>
  <c r="BS1113" i="11"/>
  <c r="BR1113" i="11"/>
  <c r="BQ1113" i="11"/>
  <c r="BP1113" i="11"/>
  <c r="BO1113" i="11"/>
  <c r="BN1113" i="11"/>
  <c r="BM1113" i="11"/>
  <c r="BL1113" i="11"/>
  <c r="BK1113" i="11"/>
  <c r="BJ1113" i="11"/>
  <c r="BI1113" i="11"/>
  <c r="BH1113" i="11"/>
  <c r="BG1113" i="11"/>
  <c r="BF1113" i="11"/>
  <c r="BE1113" i="11"/>
  <c r="BD1113" i="11"/>
  <c r="BC1113" i="11"/>
  <c r="BB1113" i="11"/>
  <c r="BA1113" i="11"/>
  <c r="AZ1113" i="11"/>
  <c r="AY1113" i="11"/>
  <c r="AX1113" i="11"/>
  <c r="AW1113" i="11"/>
  <c r="AV1113" i="11"/>
  <c r="AU1113" i="11"/>
  <c r="AT1113" i="11"/>
  <c r="AS1113" i="11"/>
  <c r="AR1113" i="11"/>
  <c r="AQ1113" i="11"/>
  <c r="AP1113" i="11"/>
  <c r="AO1113" i="11"/>
  <c r="AN1113" i="11"/>
  <c r="AM1113" i="11"/>
  <c r="AL1113" i="11"/>
  <c r="AK1113" i="11"/>
  <c r="AJ1113" i="11"/>
  <c r="AI1113" i="11"/>
  <c r="AH1113" i="11"/>
  <c r="AG1113" i="11"/>
  <c r="AF1113" i="11"/>
  <c r="AE1113" i="11"/>
  <c r="AD1113" i="11"/>
  <c r="AC1113" i="11"/>
  <c r="AB1113" i="11"/>
  <c r="AA1113" i="11"/>
  <c r="Z1113" i="11"/>
  <c r="Y1113" i="11"/>
  <c r="X1113" i="11"/>
  <c r="W1113" i="11"/>
  <c r="V1113" i="11"/>
  <c r="U1113" i="11"/>
  <c r="T1113" i="11"/>
  <c r="S1113" i="11"/>
  <c r="R1113" i="11"/>
  <c r="Q1113" i="11"/>
  <c r="P1113" i="11"/>
  <c r="O1113" i="11"/>
  <c r="N1113" i="11"/>
  <c r="M1113" i="11"/>
  <c r="L1113" i="11"/>
  <c r="K1113" i="11"/>
  <c r="J1113" i="11"/>
  <c r="I1113" i="11"/>
  <c r="H1113" i="11"/>
  <c r="G1113" i="11"/>
  <c r="F1113" i="11"/>
  <c r="E1113" i="11"/>
  <c r="D1113" i="11"/>
  <c r="C1113" i="11"/>
  <c r="BV1112" i="11"/>
  <c r="BU1112" i="11"/>
  <c r="BT1112" i="11"/>
  <c r="BS1112" i="11"/>
  <c r="BR1112" i="11"/>
  <c r="BQ1112" i="11"/>
  <c r="BP1112" i="11"/>
  <c r="BO1112" i="11"/>
  <c r="BN1112" i="11"/>
  <c r="BM1112" i="11"/>
  <c r="BL1112" i="11"/>
  <c r="BK1112" i="11"/>
  <c r="BJ1112" i="11"/>
  <c r="BI1112" i="11"/>
  <c r="BH1112" i="11"/>
  <c r="BG1112" i="11"/>
  <c r="BF1112" i="11"/>
  <c r="BE1112" i="11"/>
  <c r="BD1112" i="11"/>
  <c r="BC1112" i="11"/>
  <c r="BB1112" i="11"/>
  <c r="BA1112" i="11"/>
  <c r="AZ1112" i="11"/>
  <c r="AY1112" i="11"/>
  <c r="AX1112" i="11"/>
  <c r="AW1112" i="11"/>
  <c r="AV1112" i="11"/>
  <c r="AU1112" i="11"/>
  <c r="AT1112" i="11"/>
  <c r="AS1112" i="11"/>
  <c r="AR1112" i="11"/>
  <c r="AQ1112" i="11"/>
  <c r="AP1112" i="11"/>
  <c r="AO1112" i="11"/>
  <c r="AN1112" i="11"/>
  <c r="AM1112" i="11"/>
  <c r="AL1112" i="11"/>
  <c r="AK1112" i="11"/>
  <c r="AJ1112" i="11"/>
  <c r="AI1112" i="11"/>
  <c r="AH1112" i="11"/>
  <c r="AG1112" i="11"/>
  <c r="AF1112" i="11"/>
  <c r="AE1112" i="11"/>
  <c r="AD1112" i="11"/>
  <c r="AC1112" i="11"/>
  <c r="AB1112" i="11"/>
  <c r="AA1112" i="11"/>
  <c r="Z1112" i="11"/>
  <c r="Y1112" i="11"/>
  <c r="X1112" i="11"/>
  <c r="W1112" i="11"/>
  <c r="V1112" i="11"/>
  <c r="U1112" i="11"/>
  <c r="T1112" i="11"/>
  <c r="S1112" i="11"/>
  <c r="R1112" i="11"/>
  <c r="Q1112" i="11"/>
  <c r="P1112" i="11"/>
  <c r="O1112" i="11"/>
  <c r="N1112" i="11"/>
  <c r="M1112" i="11"/>
  <c r="L1112" i="11"/>
  <c r="K1112" i="11"/>
  <c r="J1112" i="11"/>
  <c r="I1112" i="11"/>
  <c r="H1112" i="11"/>
  <c r="G1112" i="11"/>
  <c r="F1112" i="11"/>
  <c r="E1112" i="11"/>
  <c r="D1112" i="11"/>
  <c r="C1112" i="11"/>
  <c r="BV1111" i="11"/>
  <c r="BU1111" i="11"/>
  <c r="BT1111" i="11"/>
  <c r="BS1111" i="11"/>
  <c r="BR1111" i="11"/>
  <c r="BQ1111" i="11"/>
  <c r="BP1111" i="11"/>
  <c r="BO1111" i="11"/>
  <c r="BN1111" i="11"/>
  <c r="BM1111" i="11"/>
  <c r="BL1111" i="11"/>
  <c r="BK1111" i="11"/>
  <c r="BJ1111" i="11"/>
  <c r="BI1111" i="11"/>
  <c r="BH1111" i="11"/>
  <c r="BG1111" i="11"/>
  <c r="BF1111" i="11"/>
  <c r="BE1111" i="11"/>
  <c r="BD1111" i="11"/>
  <c r="BC1111" i="11"/>
  <c r="BB1111" i="11"/>
  <c r="BA1111" i="11"/>
  <c r="AZ1111" i="11"/>
  <c r="AY1111" i="11"/>
  <c r="AX1111" i="11"/>
  <c r="AW1111" i="11"/>
  <c r="AV1111" i="11"/>
  <c r="AU1111" i="11"/>
  <c r="AT1111" i="11"/>
  <c r="AS1111" i="11"/>
  <c r="AR1111" i="11"/>
  <c r="AQ1111" i="11"/>
  <c r="AP1111" i="11"/>
  <c r="AO1111" i="11"/>
  <c r="AN1111" i="11"/>
  <c r="AM1111" i="11"/>
  <c r="AL1111" i="11"/>
  <c r="AK1111" i="11"/>
  <c r="AJ1111" i="11"/>
  <c r="AI1111" i="11"/>
  <c r="AH1111" i="11"/>
  <c r="AG1111" i="11"/>
  <c r="AF1111" i="11"/>
  <c r="AE1111" i="11"/>
  <c r="AD1111" i="11"/>
  <c r="AC1111" i="11"/>
  <c r="AB1111" i="11"/>
  <c r="AA1111" i="11"/>
  <c r="Z1111" i="11"/>
  <c r="Y1111" i="11"/>
  <c r="X1111" i="11"/>
  <c r="W1111" i="11"/>
  <c r="V1111" i="11"/>
  <c r="U1111" i="11"/>
  <c r="T1111" i="11"/>
  <c r="S1111" i="11"/>
  <c r="R1111" i="11"/>
  <c r="Q1111" i="11"/>
  <c r="P1111" i="11"/>
  <c r="O1111" i="11"/>
  <c r="N1111" i="11"/>
  <c r="M1111" i="11"/>
  <c r="L1111" i="11"/>
  <c r="K1111" i="11"/>
  <c r="J1111" i="11"/>
  <c r="I1111" i="11"/>
  <c r="H1111" i="11"/>
  <c r="G1111" i="11"/>
  <c r="F1111" i="11"/>
  <c r="E1111" i="11"/>
  <c r="D1111" i="11"/>
  <c r="C1111" i="11"/>
  <c r="BV1110" i="11"/>
  <c r="BU1110" i="11"/>
  <c r="BT1110" i="11"/>
  <c r="BS1110" i="11"/>
  <c r="BR1110" i="11"/>
  <c r="BQ1110" i="11"/>
  <c r="BP1110" i="11"/>
  <c r="BO1110" i="11"/>
  <c r="BN1110" i="11"/>
  <c r="BM1110" i="11"/>
  <c r="BL1110" i="11"/>
  <c r="BK1110" i="11"/>
  <c r="BJ1110" i="11"/>
  <c r="BI1110" i="11"/>
  <c r="BH1110" i="11"/>
  <c r="BG1110" i="11"/>
  <c r="BF1110" i="11"/>
  <c r="BE1110" i="11"/>
  <c r="BD1110" i="11"/>
  <c r="BC1110" i="11"/>
  <c r="BB1110" i="11"/>
  <c r="BA1110" i="11"/>
  <c r="AZ1110" i="11"/>
  <c r="AY1110" i="11"/>
  <c r="AX1110" i="11"/>
  <c r="AW1110" i="11"/>
  <c r="AV1110" i="11"/>
  <c r="AU1110" i="11"/>
  <c r="AT1110" i="11"/>
  <c r="AS1110" i="11"/>
  <c r="AR1110" i="11"/>
  <c r="AQ1110" i="11"/>
  <c r="AP1110" i="11"/>
  <c r="AO1110" i="11"/>
  <c r="AN1110" i="11"/>
  <c r="AM1110" i="11"/>
  <c r="AL1110" i="11"/>
  <c r="AK1110" i="11"/>
  <c r="AJ1110" i="11"/>
  <c r="AI1110" i="11"/>
  <c r="AH1110" i="11"/>
  <c r="AG1110" i="11"/>
  <c r="AF1110" i="11"/>
  <c r="AE1110" i="11"/>
  <c r="AD1110" i="11"/>
  <c r="AC1110" i="11"/>
  <c r="AB1110" i="11"/>
  <c r="AA1110" i="11"/>
  <c r="Z1110" i="11"/>
  <c r="Y1110" i="11"/>
  <c r="X1110" i="11"/>
  <c r="W1110" i="11"/>
  <c r="V1110" i="11"/>
  <c r="U1110" i="11"/>
  <c r="T1110" i="11"/>
  <c r="S1110" i="11"/>
  <c r="R1110" i="11"/>
  <c r="Q1110" i="11"/>
  <c r="P1110" i="11"/>
  <c r="O1110" i="11"/>
  <c r="N1110" i="11"/>
  <c r="M1110" i="11"/>
  <c r="L1110" i="11"/>
  <c r="K1110" i="11"/>
  <c r="J1110" i="11"/>
  <c r="I1110" i="11"/>
  <c r="H1110" i="11"/>
  <c r="G1110" i="11"/>
  <c r="F1110" i="11"/>
  <c r="E1110" i="11"/>
  <c r="D1110" i="11"/>
  <c r="C1110" i="11"/>
  <c r="BV1107" i="11"/>
  <c r="BU1107" i="11"/>
  <c r="BT1107" i="11"/>
  <c r="BS1107" i="11"/>
  <c r="BR1107" i="11"/>
  <c r="BQ1107" i="11"/>
  <c r="BP1107" i="11"/>
  <c r="BO1107" i="11"/>
  <c r="BN1107" i="11"/>
  <c r="BM1107" i="11"/>
  <c r="BL1107" i="11"/>
  <c r="BK1107" i="11"/>
  <c r="BJ1107" i="11"/>
  <c r="BI1107" i="11"/>
  <c r="BH1107" i="11"/>
  <c r="BG1107" i="11"/>
  <c r="BF1107" i="11"/>
  <c r="BE1107" i="11"/>
  <c r="BD1107" i="11"/>
  <c r="BC1107" i="11"/>
  <c r="BB1107" i="11"/>
  <c r="BA1107" i="11"/>
  <c r="AZ1107" i="11"/>
  <c r="AY1107" i="11"/>
  <c r="AX1107" i="11"/>
  <c r="AW1107" i="11"/>
  <c r="AV1107" i="11"/>
  <c r="AU1107" i="11"/>
  <c r="AT1107" i="11"/>
  <c r="AS1107" i="11"/>
  <c r="AR1107" i="11"/>
  <c r="AQ1107" i="11"/>
  <c r="AP1107" i="11"/>
  <c r="AO1107" i="11"/>
  <c r="AN1107" i="11"/>
  <c r="AM1107" i="11"/>
  <c r="AL1107" i="11"/>
  <c r="AK1107" i="11"/>
  <c r="AJ1107" i="11"/>
  <c r="AI1107" i="11"/>
  <c r="AH1107" i="11"/>
  <c r="AG1107" i="11"/>
  <c r="AF1107" i="11"/>
  <c r="AE1107" i="11"/>
  <c r="AD1107" i="11"/>
  <c r="AC1107" i="11"/>
  <c r="AB1107" i="11"/>
  <c r="AA1107" i="11"/>
  <c r="Z1107" i="11"/>
  <c r="Y1107" i="11"/>
  <c r="X1107" i="11"/>
  <c r="W1107" i="11"/>
  <c r="V1107" i="11"/>
  <c r="U1107" i="11"/>
  <c r="T1107" i="11"/>
  <c r="S1107" i="11"/>
  <c r="R1107" i="11"/>
  <c r="Q1107" i="11"/>
  <c r="P1107" i="11"/>
  <c r="O1107" i="11"/>
  <c r="N1107" i="11"/>
  <c r="M1107" i="11"/>
  <c r="L1107" i="11"/>
  <c r="K1107" i="11"/>
  <c r="J1107" i="11"/>
  <c r="I1107" i="11"/>
  <c r="H1107" i="11"/>
  <c r="G1107" i="11"/>
  <c r="F1107" i="11"/>
  <c r="E1107" i="11"/>
  <c r="D1107" i="11"/>
  <c r="C1107" i="11"/>
  <c r="BV1106" i="11"/>
  <c r="BU1106" i="11"/>
  <c r="BT1106" i="11"/>
  <c r="BS1106" i="11"/>
  <c r="BR1106" i="11"/>
  <c r="BQ1106" i="11"/>
  <c r="BP1106" i="11"/>
  <c r="BO1106" i="11"/>
  <c r="BN1106" i="11"/>
  <c r="BM1106" i="11"/>
  <c r="BL1106" i="11"/>
  <c r="BK1106" i="11"/>
  <c r="BJ1106" i="11"/>
  <c r="BI1106" i="11"/>
  <c r="BH1106" i="11"/>
  <c r="BG1106" i="11"/>
  <c r="BF1106" i="11"/>
  <c r="BE1106" i="11"/>
  <c r="BD1106" i="11"/>
  <c r="BC1106" i="11"/>
  <c r="BB1106" i="11"/>
  <c r="BA1106" i="11"/>
  <c r="AZ1106" i="11"/>
  <c r="AY1106" i="11"/>
  <c r="AX1106" i="11"/>
  <c r="AW1106" i="11"/>
  <c r="AV1106" i="11"/>
  <c r="AU1106" i="11"/>
  <c r="AT1106" i="11"/>
  <c r="AS1106" i="11"/>
  <c r="AR1106" i="11"/>
  <c r="AQ1106" i="11"/>
  <c r="AP1106" i="11"/>
  <c r="AO1106" i="11"/>
  <c r="AN1106" i="11"/>
  <c r="AM1106" i="11"/>
  <c r="AL1106" i="11"/>
  <c r="AK1106" i="11"/>
  <c r="AJ1106" i="11"/>
  <c r="AI1106" i="11"/>
  <c r="AH1106" i="11"/>
  <c r="AG1106" i="11"/>
  <c r="AF1106" i="11"/>
  <c r="AE1106" i="11"/>
  <c r="AD1106" i="11"/>
  <c r="AC1106" i="11"/>
  <c r="AB1106" i="11"/>
  <c r="AA1106" i="11"/>
  <c r="Z1106" i="11"/>
  <c r="Y1106" i="11"/>
  <c r="X1106" i="11"/>
  <c r="W1106" i="11"/>
  <c r="V1106" i="11"/>
  <c r="U1106" i="11"/>
  <c r="T1106" i="11"/>
  <c r="S1106" i="11"/>
  <c r="R1106" i="11"/>
  <c r="Q1106" i="11"/>
  <c r="P1106" i="11"/>
  <c r="O1106" i="11"/>
  <c r="N1106" i="11"/>
  <c r="M1106" i="11"/>
  <c r="L1106" i="11"/>
  <c r="K1106" i="11"/>
  <c r="J1106" i="11"/>
  <c r="I1106" i="11"/>
  <c r="H1106" i="11"/>
  <c r="G1106" i="11"/>
  <c r="F1106" i="11"/>
  <c r="E1106" i="11"/>
  <c r="D1106" i="11"/>
  <c r="C1106" i="11"/>
  <c r="A1101" i="11"/>
  <c r="A1099" i="11"/>
  <c r="A1096" i="11"/>
  <c r="BV1090" i="11"/>
  <c r="BU1090" i="11"/>
  <c r="BT1090" i="11"/>
  <c r="BS1090" i="11"/>
  <c r="BR1090" i="11"/>
  <c r="BQ1090" i="11"/>
  <c r="BP1090" i="11"/>
  <c r="BO1090" i="11"/>
  <c r="BN1090" i="11"/>
  <c r="BM1090" i="11"/>
  <c r="BL1090" i="11"/>
  <c r="BK1090" i="11"/>
  <c r="BV1089" i="11"/>
  <c r="BU1089" i="11"/>
  <c r="BT1089" i="11"/>
  <c r="BS1089" i="11"/>
  <c r="BR1089" i="11"/>
  <c r="BQ1089" i="11"/>
  <c r="BP1089" i="11"/>
  <c r="BO1089" i="11"/>
  <c r="BN1089" i="11"/>
  <c r="BM1089" i="11"/>
  <c r="BL1089" i="11"/>
  <c r="BK1089" i="11"/>
  <c r="BV1088" i="11"/>
  <c r="BU1088" i="11"/>
  <c r="BT1088" i="11"/>
  <c r="BS1088" i="11"/>
  <c r="BR1088" i="11"/>
  <c r="BQ1088" i="11"/>
  <c r="BP1088" i="11"/>
  <c r="BO1088" i="11"/>
  <c r="BN1088" i="11"/>
  <c r="BM1088" i="11"/>
  <c r="BL1088" i="11"/>
  <c r="BK1088" i="11"/>
  <c r="BV1087" i="11"/>
  <c r="BU1087" i="11"/>
  <c r="BT1087" i="11"/>
  <c r="BS1087" i="11"/>
  <c r="BR1087" i="11"/>
  <c r="BQ1087" i="11"/>
  <c r="BP1087" i="11"/>
  <c r="BO1087" i="11"/>
  <c r="BN1087" i="11"/>
  <c r="BM1087" i="11"/>
  <c r="BL1087" i="11"/>
  <c r="BK1087" i="11"/>
  <c r="BV1086" i="11"/>
  <c r="BU1086" i="11"/>
  <c r="BT1086" i="11"/>
  <c r="BS1086" i="11"/>
  <c r="BR1086" i="11"/>
  <c r="BQ1086" i="11"/>
  <c r="BP1086" i="11"/>
  <c r="BO1086" i="11"/>
  <c r="BN1086" i="11"/>
  <c r="BM1086" i="11"/>
  <c r="BL1086" i="11"/>
  <c r="BK1086" i="11"/>
  <c r="BV1085" i="11"/>
  <c r="BU1085" i="11"/>
  <c r="BT1085" i="11"/>
  <c r="BS1085" i="11"/>
  <c r="BR1085" i="11"/>
  <c r="BQ1085" i="11"/>
  <c r="BP1085" i="11"/>
  <c r="BO1085" i="11"/>
  <c r="BN1085" i="11"/>
  <c r="BM1085" i="11"/>
  <c r="BL1085" i="11"/>
  <c r="BK1085" i="11"/>
  <c r="BV1084" i="11"/>
  <c r="BU1084" i="11"/>
  <c r="BT1084" i="11"/>
  <c r="BS1084" i="11"/>
  <c r="BR1084" i="11"/>
  <c r="BQ1084" i="11"/>
  <c r="BP1084" i="11"/>
  <c r="BO1084" i="11"/>
  <c r="BN1084" i="11"/>
  <c r="BM1084" i="11"/>
  <c r="BL1084" i="11"/>
  <c r="BK1084" i="11"/>
  <c r="BV1083" i="11"/>
  <c r="BU1083" i="11"/>
  <c r="BT1083" i="11"/>
  <c r="BS1083" i="11"/>
  <c r="BR1083" i="11"/>
  <c r="BQ1083" i="11"/>
  <c r="BP1083" i="11"/>
  <c r="BO1083" i="11"/>
  <c r="BN1083" i="11"/>
  <c r="BM1083" i="11"/>
  <c r="BL1083" i="11"/>
  <c r="BK1083" i="11"/>
  <c r="BV1082" i="11"/>
  <c r="BU1082" i="11"/>
  <c r="BT1082" i="11"/>
  <c r="BS1082" i="11"/>
  <c r="BR1082" i="11"/>
  <c r="BQ1082" i="11"/>
  <c r="BP1082" i="11"/>
  <c r="BO1082" i="11"/>
  <c r="BN1082" i="11"/>
  <c r="BM1082" i="11"/>
  <c r="BL1082" i="11"/>
  <c r="BK1082" i="11"/>
  <c r="BJ1079" i="11"/>
  <c r="BI1079" i="11"/>
  <c r="BH1079" i="11"/>
  <c r="BG1079" i="11"/>
  <c r="BF1079" i="11"/>
  <c r="BE1079" i="11"/>
  <c r="BD1079" i="11"/>
  <c r="BC1079" i="11"/>
  <c r="BB1079" i="11"/>
  <c r="BA1079" i="11"/>
  <c r="AZ1079" i="11"/>
  <c r="AY1079" i="11"/>
  <c r="AX1079" i="11"/>
  <c r="AV1079" i="11"/>
  <c r="AU1079" i="11"/>
  <c r="AT1079" i="11"/>
  <c r="AS1079" i="11"/>
  <c r="AQ1079" i="11"/>
  <c r="AP1079" i="11"/>
  <c r="AO1079" i="11"/>
  <c r="AN1079" i="11"/>
  <c r="AM1079" i="11"/>
  <c r="AL1079" i="11"/>
  <c r="AK1079" i="11"/>
  <c r="AJ1079" i="11"/>
  <c r="AI1079" i="11"/>
  <c r="AH1079" i="11"/>
  <c r="AE1079" i="11"/>
  <c r="AD1079" i="11"/>
  <c r="BV1075" i="11"/>
  <c r="BU1075" i="11"/>
  <c r="BT1075" i="11"/>
  <c r="BS1075" i="11"/>
  <c r="BR1075" i="11"/>
  <c r="BQ1075" i="11"/>
  <c r="BP1075" i="11"/>
  <c r="BO1075" i="11"/>
  <c r="BN1075" i="11"/>
  <c r="BM1075" i="11"/>
  <c r="BL1075" i="11"/>
  <c r="BK1075" i="11"/>
  <c r="BV1074" i="11"/>
  <c r="BU1074" i="11"/>
  <c r="BT1074" i="11"/>
  <c r="BS1074" i="11"/>
  <c r="BR1074" i="11"/>
  <c r="BQ1074" i="11"/>
  <c r="BP1074" i="11"/>
  <c r="BO1074" i="11"/>
  <c r="BN1074" i="11"/>
  <c r="BM1074" i="11"/>
  <c r="BL1074" i="11"/>
  <c r="BK1074" i="11"/>
  <c r="BV1073" i="11"/>
  <c r="BU1073" i="11"/>
  <c r="BT1073" i="11"/>
  <c r="BS1073" i="11"/>
  <c r="BR1073" i="11"/>
  <c r="BQ1073" i="11"/>
  <c r="BP1073" i="11"/>
  <c r="BO1073" i="11"/>
  <c r="BN1073" i="11"/>
  <c r="BM1073" i="11"/>
  <c r="BL1073" i="11"/>
  <c r="BK1073" i="11"/>
  <c r="BV1072" i="11"/>
  <c r="BU1072" i="11"/>
  <c r="BT1072" i="11"/>
  <c r="BS1072" i="11"/>
  <c r="BR1072" i="11"/>
  <c r="BQ1072" i="11"/>
  <c r="BP1072" i="11"/>
  <c r="BO1072" i="11"/>
  <c r="BN1072" i="11"/>
  <c r="BM1072" i="11"/>
  <c r="BL1072" i="11"/>
  <c r="BK1072" i="11"/>
  <c r="BV1071" i="11"/>
  <c r="BU1071" i="11"/>
  <c r="BT1071" i="11"/>
  <c r="BS1071" i="11"/>
  <c r="BR1071" i="11"/>
  <c r="BQ1071" i="11"/>
  <c r="BP1071" i="11"/>
  <c r="BO1071" i="11"/>
  <c r="BN1071" i="11"/>
  <c r="BM1071" i="11"/>
  <c r="BL1071" i="11"/>
  <c r="BK1071" i="11"/>
  <c r="BV1070" i="11"/>
  <c r="BU1070" i="11"/>
  <c r="BT1070" i="11"/>
  <c r="BS1070" i="11"/>
  <c r="BR1070" i="11"/>
  <c r="BQ1070" i="11"/>
  <c r="BP1070" i="11"/>
  <c r="BO1070" i="11"/>
  <c r="BN1070" i="11"/>
  <c r="BM1070" i="11"/>
  <c r="BL1070" i="11"/>
  <c r="BK1070" i="11"/>
  <c r="BV1069" i="11"/>
  <c r="BU1069" i="11"/>
  <c r="BT1069" i="11"/>
  <c r="BS1069" i="11"/>
  <c r="BR1069" i="11"/>
  <c r="BQ1069" i="11"/>
  <c r="BP1069" i="11"/>
  <c r="BO1069" i="11"/>
  <c r="BN1069" i="11"/>
  <c r="BM1069" i="11"/>
  <c r="BL1069" i="11"/>
  <c r="BK1069" i="11"/>
  <c r="BV1068" i="11"/>
  <c r="BU1068" i="11"/>
  <c r="BT1068" i="11"/>
  <c r="BS1068" i="11"/>
  <c r="BR1068" i="11"/>
  <c r="BQ1068" i="11"/>
  <c r="BP1068" i="11"/>
  <c r="BO1068" i="11"/>
  <c r="BN1068" i="11"/>
  <c r="BM1068" i="11"/>
  <c r="BL1068" i="11"/>
  <c r="BK1068" i="11"/>
  <c r="BV1067" i="11"/>
  <c r="BU1067" i="11"/>
  <c r="BT1067" i="11"/>
  <c r="BS1067" i="11"/>
  <c r="BR1067" i="11"/>
  <c r="BQ1067" i="11"/>
  <c r="BP1067" i="11"/>
  <c r="BO1067" i="11"/>
  <c r="BN1067" i="11"/>
  <c r="BM1067" i="11"/>
  <c r="BL1067" i="11"/>
  <c r="BK1067" i="11"/>
  <c r="A1036" i="11"/>
  <c r="A1035" i="11"/>
  <c r="A1034" i="11"/>
  <c r="A1031" i="11"/>
  <c r="AN1014" i="11"/>
  <c r="AM1014" i="11"/>
  <c r="AL1014" i="11"/>
  <c r="AK1014" i="11"/>
  <c r="AJ1014" i="11"/>
  <c r="AI1014" i="11"/>
  <c r="AH1014" i="11"/>
  <c r="AG1014" i="11"/>
  <c r="AF1014" i="11"/>
  <c r="AE1014" i="11"/>
  <c r="AD1014" i="11"/>
  <c r="AC1014" i="11"/>
  <c r="AB1014" i="11"/>
  <c r="AA1014" i="11"/>
  <c r="Z1014" i="11"/>
  <c r="Y1014" i="11"/>
  <c r="X1014" i="11"/>
  <c r="W1014" i="11"/>
  <c r="V1014" i="11"/>
  <c r="U1014" i="11"/>
  <c r="T1014" i="11"/>
  <c r="S1014" i="11"/>
  <c r="R1014" i="11"/>
  <c r="Q1014" i="11"/>
  <c r="P1014" i="11"/>
  <c r="O1014" i="11"/>
  <c r="N1014" i="11"/>
  <c r="M1014" i="11"/>
  <c r="L1014" i="11"/>
  <c r="K1014" i="11"/>
  <c r="J1014" i="11"/>
  <c r="I1014" i="11"/>
  <c r="H1014" i="11"/>
  <c r="G1014" i="11"/>
  <c r="F1014" i="11"/>
  <c r="E1014" i="11"/>
  <c r="D1014" i="11"/>
  <c r="C1014" i="11"/>
  <c r="BJ1006" i="11"/>
  <c r="BI1006" i="11"/>
  <c r="BH1006" i="11"/>
  <c r="BG1006" i="11"/>
  <c r="BF1006" i="11"/>
  <c r="BE1006" i="11"/>
  <c r="BD1006" i="11"/>
  <c r="BC1006" i="11"/>
  <c r="BB1006" i="11"/>
  <c r="BA1006" i="11"/>
  <c r="AZ1006" i="11"/>
  <c r="AY1006" i="11"/>
  <c r="AX1006" i="11"/>
  <c r="AW1006" i="11"/>
  <c r="AV1006" i="11"/>
  <c r="AU1006" i="11"/>
  <c r="AT1006" i="11"/>
  <c r="AS1006" i="11"/>
  <c r="AR1006" i="11"/>
  <c r="AQ1006" i="11"/>
  <c r="AP1006" i="11"/>
  <c r="AO1006" i="11"/>
  <c r="AN1006" i="11"/>
  <c r="AM1006" i="11"/>
  <c r="AL1006" i="11"/>
  <c r="AK1006" i="11"/>
  <c r="AJ1006" i="11"/>
  <c r="AI1006" i="11"/>
  <c r="AH1006" i="11"/>
  <c r="AG1006" i="11"/>
  <c r="AF1006" i="11"/>
  <c r="AE1006" i="11"/>
  <c r="AD1006" i="11"/>
  <c r="AC1006" i="11"/>
  <c r="AB1006" i="11"/>
  <c r="AA1006" i="11"/>
  <c r="Z1006" i="11"/>
  <c r="Y1006" i="11"/>
  <c r="X1006" i="11"/>
  <c r="W1006" i="11"/>
  <c r="V1006" i="11"/>
  <c r="U1006" i="11"/>
  <c r="T1006" i="11"/>
  <c r="S1006" i="11"/>
  <c r="R1006" i="11"/>
  <c r="Q1006" i="11"/>
  <c r="P1006" i="11"/>
  <c r="O1006" i="11"/>
  <c r="N1006" i="11"/>
  <c r="M1006" i="11"/>
  <c r="L1006" i="11"/>
  <c r="K1006" i="11"/>
  <c r="J1006" i="11"/>
  <c r="I1006" i="11"/>
  <c r="H1006" i="11"/>
  <c r="G1006" i="11"/>
  <c r="F1006" i="11"/>
  <c r="BS1005" i="11"/>
  <c r="BN1005" i="11"/>
  <c r="BV1004" i="11"/>
  <c r="BU1004" i="11"/>
  <c r="BT1004" i="11"/>
  <c r="BS1004" i="11"/>
  <c r="BR1004" i="11"/>
  <c r="BQ1004" i="11"/>
  <c r="BP1004" i="11"/>
  <c r="BO1004" i="11"/>
  <c r="BN1004" i="11"/>
  <c r="BM1004" i="11"/>
  <c r="BL1004" i="11"/>
  <c r="BK1004" i="11"/>
  <c r="BU1003" i="11"/>
  <c r="BP1003" i="11"/>
  <c r="BM1003" i="11"/>
  <c r="BD1003" i="11"/>
  <c r="Z1003" i="11"/>
  <c r="Q1003" i="11"/>
  <c r="K1003" i="11"/>
  <c r="BV1002" i="11"/>
  <c r="BU1002" i="11"/>
  <c r="BT1002" i="11"/>
  <c r="BS1002" i="11"/>
  <c r="BR1002" i="11"/>
  <c r="BQ1002" i="11"/>
  <c r="BP1002" i="11"/>
  <c r="BO1002" i="11"/>
  <c r="BN1002" i="11"/>
  <c r="BM1002" i="11"/>
  <c r="BL1002" i="11"/>
  <c r="BK1002" i="11"/>
  <c r="AY1001" i="11"/>
  <c r="U1001" i="11"/>
  <c r="E998" i="11"/>
  <c r="BG996" i="11"/>
  <c r="BF996" i="11"/>
  <c r="BG995" i="11"/>
  <c r="BF995" i="11"/>
  <c r="BA995" i="11"/>
  <c r="AX995" i="11"/>
  <c r="AM995" i="11"/>
  <c r="AK995" i="11"/>
  <c r="AG995" i="11"/>
  <c r="AF995" i="11"/>
  <c r="S995" i="11"/>
  <c r="R995" i="11"/>
  <c r="Q995" i="11"/>
  <c r="F995" i="11"/>
  <c r="BH994" i="11"/>
  <c r="BG994" i="11"/>
  <c r="BA994" i="11"/>
  <c r="AZ994" i="11"/>
  <c r="AX994" i="11"/>
  <c r="AQ994" i="11"/>
  <c r="AO994" i="11"/>
  <c r="AN994" i="11"/>
  <c r="AM994" i="11"/>
  <c r="AD994" i="11"/>
  <c r="Y994" i="11"/>
  <c r="X994" i="11"/>
  <c r="W994" i="11"/>
  <c r="T994" i="11"/>
  <c r="S994" i="11"/>
  <c r="I994" i="11"/>
  <c r="H994" i="11"/>
  <c r="G994" i="11"/>
  <c r="BV993" i="11"/>
  <c r="BU993" i="11"/>
  <c r="BT993" i="11"/>
  <c r="BS993" i="11"/>
  <c r="BR993" i="11"/>
  <c r="BQ993" i="11"/>
  <c r="BP993" i="11"/>
  <c r="BO993" i="11"/>
  <c r="BN993" i="11"/>
  <c r="BM993" i="11"/>
  <c r="BL993" i="11"/>
  <c r="BK993" i="11"/>
  <c r="BV992" i="11"/>
  <c r="BU992" i="11"/>
  <c r="BT992" i="11"/>
  <c r="BS992" i="11"/>
  <c r="BR992" i="11"/>
  <c r="BQ992" i="11"/>
  <c r="BP992" i="11"/>
  <c r="BO992" i="11"/>
  <c r="BN992" i="11"/>
  <c r="BM992" i="11"/>
  <c r="BL992" i="11"/>
  <c r="BK992" i="11"/>
  <c r="BJ985" i="11"/>
  <c r="BI985" i="11"/>
  <c r="BG985" i="11"/>
  <c r="BF985" i="11"/>
  <c r="BE985" i="11"/>
  <c r="BD985" i="11"/>
  <c r="BB985" i="11"/>
  <c r="BA985" i="11"/>
  <c r="AZ985" i="11"/>
  <c r="AY985" i="11"/>
  <c r="AT985" i="11"/>
  <c r="AR985" i="11"/>
  <c r="AO985" i="11"/>
  <c r="AM985" i="11"/>
  <c r="AL985" i="11"/>
  <c r="AL987" i="11" s="1"/>
  <c r="AK985" i="11"/>
  <c r="AK987" i="11" s="1"/>
  <c r="AJ985" i="11"/>
  <c r="AG985" i="11"/>
  <c r="AF985" i="11"/>
  <c r="AB985" i="11"/>
  <c r="Z985" i="11"/>
  <c r="Z987" i="11" s="1"/>
  <c r="W985" i="11"/>
  <c r="U985" i="11"/>
  <c r="R985" i="11"/>
  <c r="P985" i="11"/>
  <c r="O985" i="11"/>
  <c r="N985" i="11"/>
  <c r="M985" i="11"/>
  <c r="L985" i="11"/>
  <c r="L987" i="11" s="1"/>
  <c r="K985" i="11"/>
  <c r="F985" i="11"/>
  <c r="F987" i="11" s="1"/>
  <c r="BS984" i="11"/>
  <c r="BT984" i="11" s="1"/>
  <c r="BU984" i="11" s="1"/>
  <c r="BV984" i="11" s="1"/>
  <c r="BR984" i="11"/>
  <c r="BQ984" i="11"/>
  <c r="BN984" i="11"/>
  <c r="BO984" i="11" s="1"/>
  <c r="BP984" i="11" s="1"/>
  <c r="BK984" i="11"/>
  <c r="BL984" i="11" s="1"/>
  <c r="BM984" i="11" s="1"/>
  <c r="BH984" i="11"/>
  <c r="BC984" i="11"/>
  <c r="AX984" i="11"/>
  <c r="AS984" i="11"/>
  <c r="AN984" i="11"/>
  <c r="AN985" i="11" s="1"/>
  <c r="AN987" i="11" s="1"/>
  <c r="AI984" i="11"/>
  <c r="AI985" i="11" s="1"/>
  <c r="AD984" i="11"/>
  <c r="Y984" i="11"/>
  <c r="T984" i="11"/>
  <c r="J984" i="11"/>
  <c r="BH983" i="11"/>
  <c r="BC983" i="11"/>
  <c r="AX983" i="11"/>
  <c r="AS983" i="11"/>
  <c r="AN983" i="11"/>
  <c r="AI983" i="11"/>
  <c r="AD983" i="11"/>
  <c r="Y983" i="11"/>
  <c r="T983" i="11"/>
  <c r="T985" i="11" s="1"/>
  <c r="J983" i="11"/>
  <c r="J985" i="11" s="1"/>
  <c r="BH982" i="11"/>
  <c r="BC982" i="11"/>
  <c r="AX982" i="11"/>
  <c r="AS982" i="11"/>
  <c r="AN982" i="11"/>
  <c r="AI982" i="11"/>
  <c r="AD982" i="11"/>
  <c r="Y982" i="11"/>
  <c r="T982" i="11"/>
  <c r="J982" i="11"/>
  <c r="BP981" i="11"/>
  <c r="BO981" i="11"/>
  <c r="BL981" i="11"/>
  <c r="BM981" i="11" s="1"/>
  <c r="BN981" i="11" s="1"/>
  <c r="BK981" i="11"/>
  <c r="BH981" i="11"/>
  <c r="BC981" i="11"/>
  <c r="AX981" i="11"/>
  <c r="AW981" i="11"/>
  <c r="AW985" i="11" s="1"/>
  <c r="AV981" i="11"/>
  <c r="AV985" i="11" s="1"/>
  <c r="AV987" i="11" s="1"/>
  <c r="AU981" i="11"/>
  <c r="AU985" i="11" s="1"/>
  <c r="AT981" i="11"/>
  <c r="AS981" i="11"/>
  <c r="AR981" i="11"/>
  <c r="AQ981" i="11"/>
  <c r="AQ985" i="11" s="1"/>
  <c r="AQ987" i="11" s="1"/>
  <c r="AP981" i="11"/>
  <c r="AP985" i="11" s="1"/>
  <c r="AP987" i="11" s="1"/>
  <c r="AO981" i="11"/>
  <c r="AN981" i="11"/>
  <c r="AM981" i="11"/>
  <c r="AL981" i="11"/>
  <c r="AK981" i="11"/>
  <c r="AJ981" i="11"/>
  <c r="AI981" i="11"/>
  <c r="AH981" i="11"/>
  <c r="AH985" i="11" s="1"/>
  <c r="AF981" i="11"/>
  <c r="AE981" i="11"/>
  <c r="AC981" i="11"/>
  <c r="AC985" i="11" s="1"/>
  <c r="AA981" i="11"/>
  <c r="AA985" i="11" s="1"/>
  <c r="AA987" i="11" s="1"/>
  <c r="Y981" i="11"/>
  <c r="Y985" i="11" s="1"/>
  <c r="X981" i="11"/>
  <c r="X985" i="11" s="1"/>
  <c r="X987" i="11" s="1"/>
  <c r="W981" i="11"/>
  <c r="V981" i="11"/>
  <c r="V985" i="11" s="1"/>
  <c r="U981" i="11"/>
  <c r="T981" i="11"/>
  <c r="S981" i="11"/>
  <c r="S985" i="11" s="1"/>
  <c r="R981" i="11"/>
  <c r="Q981" i="11"/>
  <c r="Q985" i="11" s="1"/>
  <c r="Q987" i="11" s="1"/>
  <c r="P981" i="11"/>
  <c r="O981" i="11"/>
  <c r="AV978" i="11"/>
  <c r="AL978" i="11"/>
  <c r="AE978" i="11"/>
  <c r="AA978" i="11"/>
  <c r="S978" i="11"/>
  <c r="S987" i="11" s="1"/>
  <c r="Q978" i="11"/>
  <c r="P978" i="11"/>
  <c r="K978" i="11"/>
  <c r="BJ977" i="11"/>
  <c r="BI977" i="11"/>
  <c r="BG977" i="11"/>
  <c r="BF977" i="11"/>
  <c r="BE977" i="11"/>
  <c r="BD977" i="11"/>
  <c r="BB977" i="11"/>
  <c r="BA977" i="11"/>
  <c r="AZ977" i="11"/>
  <c r="AY977" i="11"/>
  <c r="AW977" i="11"/>
  <c r="AV977" i="11"/>
  <c r="AU977" i="11"/>
  <c r="AT977" i="11"/>
  <c r="AR977" i="11"/>
  <c r="AQ977" i="11"/>
  <c r="AP977" i="11"/>
  <c r="AO977" i="11"/>
  <c r="AM977" i="11"/>
  <c r="AL977" i="11"/>
  <c r="AK977" i="11"/>
  <c r="AK978" i="11" s="1"/>
  <c r="AJ977" i="11"/>
  <c r="AI977" i="11"/>
  <c r="AH977" i="11"/>
  <c r="AG977" i="11"/>
  <c r="AF977" i="11"/>
  <c r="AE977" i="11"/>
  <c r="AC977" i="11"/>
  <c r="AB977" i="11"/>
  <c r="AA977" i="11"/>
  <c r="Z977" i="11"/>
  <c r="Y977" i="11"/>
  <c r="X977" i="11"/>
  <c r="W977" i="11"/>
  <c r="V977" i="11"/>
  <c r="U977" i="11"/>
  <c r="S977" i="11"/>
  <c r="R977" i="11"/>
  <c r="Q977" i="11"/>
  <c r="P977" i="11"/>
  <c r="O977" i="11"/>
  <c r="O978" i="11" s="1"/>
  <c r="O987" i="11" s="1"/>
  <c r="N977" i="11"/>
  <c r="M977" i="11"/>
  <c r="L977" i="11"/>
  <c r="K977" i="11"/>
  <c r="F977" i="11"/>
  <c r="M976" i="11"/>
  <c r="L976" i="11"/>
  <c r="J976" i="11"/>
  <c r="J769" i="11" s="1"/>
  <c r="BH975" i="11"/>
  <c r="BC975" i="11"/>
  <c r="AX975" i="11"/>
  <c r="AS975" i="11"/>
  <c r="AN975" i="11"/>
  <c r="AI975" i="11"/>
  <c r="AD975" i="11"/>
  <c r="Y975" i="11"/>
  <c r="T975" i="11"/>
  <c r="T977" i="11" s="1"/>
  <c r="BH974" i="11"/>
  <c r="BC974" i="11"/>
  <c r="AX974" i="11"/>
  <c r="AS974" i="11"/>
  <c r="AN974" i="11"/>
  <c r="AI974" i="11"/>
  <c r="AD974" i="11"/>
  <c r="AD731" i="11" s="1"/>
  <c r="AD995" i="11" s="1"/>
  <c r="AS972" i="11"/>
  <c r="AS1014" i="11" s="1"/>
  <c r="AR972" i="11"/>
  <c r="AR1014" i="11" s="1"/>
  <c r="AQ972" i="11"/>
  <c r="AQ1014" i="11" s="1"/>
  <c r="AP972" i="11"/>
  <c r="AP1014" i="11" s="1"/>
  <c r="AO972" i="11"/>
  <c r="BK971" i="11"/>
  <c r="BH971" i="11"/>
  <c r="BC971" i="11"/>
  <c r="AX971" i="11"/>
  <c r="AS971" i="11"/>
  <c r="AN971" i="11"/>
  <c r="BL970" i="11"/>
  <c r="BK970" i="11"/>
  <c r="BH970" i="11"/>
  <c r="BH977" i="11" s="1"/>
  <c r="BC970" i="11"/>
  <c r="AX970" i="11"/>
  <c r="AS970" i="11"/>
  <c r="AN970" i="11"/>
  <c r="AN977" i="11" s="1"/>
  <c r="AI970" i="11"/>
  <c r="AD970" i="11"/>
  <c r="Y970" i="11"/>
  <c r="T970" i="11"/>
  <c r="J970" i="11"/>
  <c r="BJ967" i="11"/>
  <c r="BJ978" i="11" s="1"/>
  <c r="BJ987" i="11" s="1"/>
  <c r="BC967" i="11"/>
  <c r="AV967" i="11"/>
  <c r="AT967" i="11"/>
  <c r="AT978" i="11" s="1"/>
  <c r="AT987" i="11" s="1"/>
  <c r="AR967" i="11"/>
  <c r="AQ967" i="11"/>
  <c r="AQ978" i="11" s="1"/>
  <c r="AP967" i="11"/>
  <c r="AP978" i="11" s="1"/>
  <c r="AO967" i="11"/>
  <c r="AO978" i="11" s="1"/>
  <c r="AM967" i="11"/>
  <c r="AL967" i="11"/>
  <c r="AK967" i="11"/>
  <c r="AJ967" i="11"/>
  <c r="AJ978" i="11" s="1"/>
  <c r="AH967" i="11"/>
  <c r="AH978" i="11" s="1"/>
  <c r="AH987" i="11" s="1"/>
  <c r="AG967" i="11"/>
  <c r="AG978" i="11" s="1"/>
  <c r="AG987" i="11" s="1"/>
  <c r="AF967" i="11"/>
  <c r="AF978" i="11" s="1"/>
  <c r="AE967" i="11"/>
  <c r="AC967" i="11"/>
  <c r="AB967" i="11"/>
  <c r="AB978" i="11" s="1"/>
  <c r="AA967" i="11"/>
  <c r="Z967" i="11"/>
  <c r="Z978" i="11" s="1"/>
  <c r="X967" i="11"/>
  <c r="X978" i="11" s="1"/>
  <c r="W967" i="11"/>
  <c r="W978" i="11" s="1"/>
  <c r="W987" i="11" s="1"/>
  <c r="W989" i="11" s="1"/>
  <c r="V967" i="11"/>
  <c r="U967" i="11"/>
  <c r="U978" i="11" s="1"/>
  <c r="U987" i="11" s="1"/>
  <c r="S967" i="11"/>
  <c r="R967" i="11"/>
  <c r="Q967" i="11"/>
  <c r="P967" i="11"/>
  <c r="O967" i="11"/>
  <c r="N967" i="11"/>
  <c r="N978" i="11" s="1"/>
  <c r="M967" i="11"/>
  <c r="L967" i="11"/>
  <c r="L978" i="11" s="1"/>
  <c r="K967" i="11"/>
  <c r="J967" i="11"/>
  <c r="F967" i="11"/>
  <c r="F978" i="11" s="1"/>
  <c r="BJ966" i="11"/>
  <c r="BJ965" i="11" s="1"/>
  <c r="BI966" i="11"/>
  <c r="BD966" i="11"/>
  <c r="BC966" i="11"/>
  <c r="AY966" i="11"/>
  <c r="AX966" i="11" s="1"/>
  <c r="AW966" i="11"/>
  <c r="AV966" i="11"/>
  <c r="AV965" i="11" s="1"/>
  <c r="AU966" i="11"/>
  <c r="AU967" i="11" s="1"/>
  <c r="AU978" i="11" s="1"/>
  <c r="AT966" i="11"/>
  <c r="AS966" i="11"/>
  <c r="AN966" i="11"/>
  <c r="AI966" i="11"/>
  <c r="AD966" i="11"/>
  <c r="Y966" i="11"/>
  <c r="T966" i="11"/>
  <c r="J966" i="11"/>
  <c r="BK965" i="11"/>
  <c r="BL965" i="11" s="1"/>
  <c r="BM965" i="11" s="1"/>
  <c r="BN965" i="11" s="1"/>
  <c r="BO965" i="11" s="1"/>
  <c r="BP965" i="11" s="1"/>
  <c r="BQ965" i="11" s="1"/>
  <c r="BR965" i="11" s="1"/>
  <c r="BS965" i="11" s="1"/>
  <c r="BT965" i="11" s="1"/>
  <c r="BU965" i="11" s="1"/>
  <c r="BV965" i="11" s="1"/>
  <c r="BI965" i="11"/>
  <c r="AU965" i="11"/>
  <c r="AT965" i="11"/>
  <c r="AR965" i="11"/>
  <c r="AQ965" i="11"/>
  <c r="AP965" i="11"/>
  <c r="AO965" i="11"/>
  <c r="AN965" i="11"/>
  <c r="AM965" i="11"/>
  <c r="AL965" i="11"/>
  <c r="AK965" i="11"/>
  <c r="AJ965" i="11"/>
  <c r="AI965" i="11"/>
  <c r="AH965" i="11"/>
  <c r="AG965" i="11"/>
  <c r="AF965" i="11"/>
  <c r="AE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F965" i="11"/>
  <c r="BK964" i="11"/>
  <c r="BH964" i="11"/>
  <c r="BH731" i="11" s="1"/>
  <c r="BH995" i="11" s="1"/>
  <c r="BC964" i="11"/>
  <c r="BH963" i="11"/>
  <c r="BC963" i="11"/>
  <c r="BJ962" i="11"/>
  <c r="BK962" i="11" s="1"/>
  <c r="BH962" i="11"/>
  <c r="BC962" i="11"/>
  <c r="AX962" i="11"/>
  <c r="AS962" i="11"/>
  <c r="AS732" i="11" s="1"/>
  <c r="AS492" i="11" s="1"/>
  <c r="AN962" i="11"/>
  <c r="BQ961" i="11"/>
  <c r="BR961" i="11" s="1"/>
  <c r="BS961" i="11" s="1"/>
  <c r="BT961" i="11" s="1"/>
  <c r="BU961" i="11" s="1"/>
  <c r="BV961" i="11" s="1"/>
  <c r="BM961" i="11"/>
  <c r="BN961" i="11" s="1"/>
  <c r="BO961" i="11" s="1"/>
  <c r="BP961" i="11" s="1"/>
  <c r="BL961" i="11"/>
  <c r="BK961" i="11"/>
  <c r="BH961" i="11"/>
  <c r="BC961" i="11"/>
  <c r="AX961" i="11"/>
  <c r="AS961" i="11"/>
  <c r="AN961" i="11"/>
  <c r="AN967" i="11" s="1"/>
  <c r="AN978" i="11" s="1"/>
  <c r="AI961" i="11"/>
  <c r="AD961" i="11"/>
  <c r="Y961" i="11"/>
  <c r="T961" i="11"/>
  <c r="J961" i="11"/>
  <c r="BJ960" i="11"/>
  <c r="BH960" i="11"/>
  <c r="BE960" i="11"/>
  <c r="BE966" i="11" s="1"/>
  <c r="BC960" i="11"/>
  <c r="BA960" i="11"/>
  <c r="AZ960" i="11"/>
  <c r="AX960" i="11"/>
  <c r="AW960" i="11"/>
  <c r="AS960" i="11"/>
  <c r="AN960" i="11"/>
  <c r="AI960" i="11"/>
  <c r="AD960" i="11"/>
  <c r="Y960" i="11"/>
  <c r="Y904" i="11" s="1"/>
  <c r="T960" i="11"/>
  <c r="J960" i="11"/>
  <c r="BN959" i="11"/>
  <c r="BO959" i="11" s="1"/>
  <c r="BP959" i="11" s="1"/>
  <c r="BQ959" i="11" s="1"/>
  <c r="BR959" i="11" s="1"/>
  <c r="BS959" i="11" s="1"/>
  <c r="BT959" i="11" s="1"/>
  <c r="BU959" i="11" s="1"/>
  <c r="BV959" i="11" s="1"/>
  <c r="BK959" i="11"/>
  <c r="BL959" i="11" s="1"/>
  <c r="BM959" i="11" s="1"/>
  <c r="BH959" i="11"/>
  <c r="BC959" i="11"/>
  <c r="AX959" i="11"/>
  <c r="AS959" i="11"/>
  <c r="AS967" i="11" s="1"/>
  <c r="AN959" i="11"/>
  <c r="AI959" i="11"/>
  <c r="AD959" i="11"/>
  <c r="Y959" i="11"/>
  <c r="T959" i="11"/>
  <c r="J959" i="11"/>
  <c r="BH958" i="11"/>
  <c r="BC958" i="11"/>
  <c r="AX958" i="11"/>
  <c r="AS958" i="11"/>
  <c r="AN958" i="11"/>
  <c r="AI958" i="11"/>
  <c r="AD958" i="11"/>
  <c r="Y958" i="11"/>
  <c r="T958" i="11"/>
  <c r="J958" i="11"/>
  <c r="AY955" i="11"/>
  <c r="AM955" i="11"/>
  <c r="AL955" i="11"/>
  <c r="AH955" i="11"/>
  <c r="AC955" i="11"/>
  <c r="X955" i="11"/>
  <c r="S955" i="11"/>
  <c r="R955" i="11"/>
  <c r="BI954" i="11"/>
  <c r="BE954" i="11"/>
  <c r="BD954" i="11"/>
  <c r="AY954" i="11"/>
  <c r="AV954" i="11"/>
  <c r="AV955" i="11" s="1"/>
  <c r="AU954" i="11"/>
  <c r="AU955" i="11" s="1"/>
  <c r="AT954" i="11"/>
  <c r="AR954" i="11"/>
  <c r="AQ954" i="11"/>
  <c r="AP954" i="11"/>
  <c r="AP955" i="11" s="1"/>
  <c r="AO954" i="11"/>
  <c r="AM954" i="11"/>
  <c r="AL954" i="11"/>
  <c r="AK954" i="11"/>
  <c r="AJ954" i="11"/>
  <c r="AH954" i="11"/>
  <c r="AG954" i="11"/>
  <c r="AG955" i="11" s="1"/>
  <c r="AF954" i="11"/>
  <c r="AE954" i="11"/>
  <c r="AE955" i="11" s="1"/>
  <c r="AC954" i="11"/>
  <c r="AB954" i="11"/>
  <c r="AA954" i="11"/>
  <c r="AA955" i="11" s="1"/>
  <c r="Z954" i="11"/>
  <c r="X954" i="11"/>
  <c r="W954" i="11"/>
  <c r="V954" i="11"/>
  <c r="U954" i="11"/>
  <c r="U955" i="11" s="1"/>
  <c r="S954" i="11"/>
  <c r="R954" i="11"/>
  <c r="Q954" i="11"/>
  <c r="P954" i="11"/>
  <c r="P955" i="11" s="1"/>
  <c r="O954" i="11"/>
  <c r="N954" i="11"/>
  <c r="M954" i="11"/>
  <c r="M955" i="11" s="1"/>
  <c r="F954" i="11"/>
  <c r="F955" i="11" s="1"/>
  <c r="BH953" i="11"/>
  <c r="BE953" i="11"/>
  <c r="BC953" i="11"/>
  <c r="AZ953" i="11"/>
  <c r="AX953" i="11"/>
  <c r="AU953" i="11"/>
  <c r="AS953" i="11"/>
  <c r="AN953" i="11"/>
  <c r="AI953" i="11"/>
  <c r="AD953" i="11"/>
  <c r="Y953" i="11"/>
  <c r="T953" i="11"/>
  <c r="J953" i="11"/>
  <c r="BJ952" i="11"/>
  <c r="BH952" i="11"/>
  <c r="BC952" i="11"/>
  <c r="AX952" i="11"/>
  <c r="AS952" i="11"/>
  <c r="AN952" i="11"/>
  <c r="AI952" i="11"/>
  <c r="AD952" i="11"/>
  <c r="Y952" i="11"/>
  <c r="T952" i="11"/>
  <c r="J952" i="11"/>
  <c r="BK951" i="11"/>
  <c r="BL951" i="11" s="1"/>
  <c r="BM951" i="11" s="1"/>
  <c r="BN951" i="11" s="1"/>
  <c r="BO951" i="11" s="1"/>
  <c r="BP951" i="11" s="1"/>
  <c r="BQ951" i="11" s="1"/>
  <c r="BR951" i="11" s="1"/>
  <c r="BS951" i="11" s="1"/>
  <c r="BT951" i="11" s="1"/>
  <c r="BU951" i="11" s="1"/>
  <c r="BV951" i="11" s="1"/>
  <c r="BH951" i="11"/>
  <c r="BC951" i="11"/>
  <c r="AX951" i="11"/>
  <c r="AS951" i="11"/>
  <c r="AN951" i="11"/>
  <c r="AI951" i="11"/>
  <c r="AD951" i="11"/>
  <c r="Y951" i="11"/>
  <c r="T951" i="11"/>
  <c r="J951" i="11"/>
  <c r="BK950" i="11"/>
  <c r="BL950" i="11" s="1"/>
  <c r="BM950" i="11" s="1"/>
  <c r="BN950" i="11" s="1"/>
  <c r="BO950" i="11" s="1"/>
  <c r="BP950" i="11" s="1"/>
  <c r="BQ950" i="11" s="1"/>
  <c r="BR950" i="11" s="1"/>
  <c r="BS950" i="11" s="1"/>
  <c r="BT950" i="11" s="1"/>
  <c r="BU950" i="11" s="1"/>
  <c r="BV950" i="11" s="1"/>
  <c r="BH950" i="11"/>
  <c r="BC950" i="11"/>
  <c r="AX950" i="11"/>
  <c r="AS950" i="11"/>
  <c r="AN950" i="11"/>
  <c r="BJ949" i="11"/>
  <c r="BH949" i="11"/>
  <c r="BE949" i="11"/>
  <c r="BF949" i="11" s="1"/>
  <c r="BC949" i="11"/>
  <c r="AZ949" i="11"/>
  <c r="AX949" i="11"/>
  <c r="AV949" i="11"/>
  <c r="AV953" i="11" s="1"/>
  <c r="AU949" i="11"/>
  <c r="AS949" i="11"/>
  <c r="AS954" i="11" s="1"/>
  <c r="AN949" i="11"/>
  <c r="AI949" i="11"/>
  <c r="AD949" i="11"/>
  <c r="Y949" i="11"/>
  <c r="T949" i="11"/>
  <c r="N949" i="11"/>
  <c r="M949" i="11"/>
  <c r="L949" i="11"/>
  <c r="L954" i="11" s="1"/>
  <c r="K949" i="11"/>
  <c r="K954" i="11" s="1"/>
  <c r="J949" i="11"/>
  <c r="F949" i="11"/>
  <c r="AU948" i="11"/>
  <c r="AS948" i="11"/>
  <c r="AR948" i="11"/>
  <c r="AQ948" i="11"/>
  <c r="AP948" i="11"/>
  <c r="AO948" i="11"/>
  <c r="AN948" i="11"/>
  <c r="AM948" i="11"/>
  <c r="AL948" i="11"/>
  <c r="AK948" i="11"/>
  <c r="AJ948" i="11"/>
  <c r="AI948" i="11" s="1"/>
  <c r="AH948" i="11"/>
  <c r="AG948" i="11"/>
  <c r="AF948" i="11"/>
  <c r="AE948" i="11"/>
  <c r="AD948" i="11" s="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N948" i="11"/>
  <c r="J948" i="11"/>
  <c r="AT947" i="11"/>
  <c r="AT923" i="11" s="1"/>
  <c r="AN947" i="11"/>
  <c r="AI947" i="11"/>
  <c r="AD947" i="11"/>
  <c r="Y947" i="11"/>
  <c r="T947" i="11"/>
  <c r="O947" i="11"/>
  <c r="O948" i="11" s="1"/>
  <c r="J947" i="11"/>
  <c r="BH946" i="11"/>
  <c r="BC946" i="11"/>
  <c r="AX946" i="11"/>
  <c r="AS946" i="11"/>
  <c r="AN946" i="11"/>
  <c r="AI946" i="11"/>
  <c r="AD946" i="11"/>
  <c r="Y946" i="11"/>
  <c r="T946" i="11"/>
  <c r="J946" i="11"/>
  <c r="J917" i="11" s="1"/>
  <c r="BS945" i="11"/>
  <c r="BN945" i="11"/>
  <c r="BJ943" i="11"/>
  <c r="BI943" i="11"/>
  <c r="BI955" i="11" s="1"/>
  <c r="BH943" i="11"/>
  <c r="BG943" i="11"/>
  <c r="BF943" i="11"/>
  <c r="BE943" i="11"/>
  <c r="BE955" i="11" s="1"/>
  <c r="BD943" i="11"/>
  <c r="BD955" i="11" s="1"/>
  <c r="BB943" i="11"/>
  <c r="BA943" i="11"/>
  <c r="AZ943" i="11"/>
  <c r="AY943" i="11"/>
  <c r="AW943" i="11"/>
  <c r="AV943" i="11"/>
  <c r="AU943" i="11"/>
  <c r="AT943" i="11"/>
  <c r="AT955" i="11" s="1"/>
  <c r="AR943" i="11"/>
  <c r="AR955" i="11" s="1"/>
  <c r="AQ943" i="11"/>
  <c r="AQ955" i="11" s="1"/>
  <c r="AP943" i="11"/>
  <c r="AO943" i="11"/>
  <c r="AM943" i="11"/>
  <c r="AL943" i="11"/>
  <c r="AK943" i="11"/>
  <c r="AJ943" i="11"/>
  <c r="AH943" i="11"/>
  <c r="AG943" i="11"/>
  <c r="AF943" i="11"/>
  <c r="AF955" i="11" s="1"/>
  <c r="AE943" i="11"/>
  <c r="AC943" i="11"/>
  <c r="AB943" i="11"/>
  <c r="AB955" i="11" s="1"/>
  <c r="AA943" i="11"/>
  <c r="Z943" i="11"/>
  <c r="X943" i="11"/>
  <c r="W943" i="11"/>
  <c r="W955" i="11" s="1"/>
  <c r="V943" i="11"/>
  <c r="V955" i="11" s="1"/>
  <c r="U943" i="11"/>
  <c r="T943" i="11"/>
  <c r="S943" i="11"/>
  <c r="R943" i="11"/>
  <c r="Q943" i="11"/>
  <c r="P943" i="11"/>
  <c r="O943" i="11"/>
  <c r="N943" i="11"/>
  <c r="N955" i="11" s="1"/>
  <c r="M943" i="11"/>
  <c r="L943" i="11"/>
  <c r="K943" i="11"/>
  <c r="F943" i="11"/>
  <c r="BH942" i="11"/>
  <c r="BC942" i="11"/>
  <c r="AX942" i="11"/>
  <c r="AS942" i="11"/>
  <c r="AN942" i="11"/>
  <c r="AI942" i="11"/>
  <c r="AD942" i="11"/>
  <c r="Y942" i="11"/>
  <c r="T942" i="11"/>
  <c r="J942" i="11"/>
  <c r="BJ941" i="11"/>
  <c r="BI941" i="11"/>
  <c r="BG941" i="11"/>
  <c r="BC941" i="11"/>
  <c r="AX941" i="11"/>
  <c r="AS941" i="11"/>
  <c r="AN941" i="11"/>
  <c r="AI941" i="11"/>
  <c r="AD941" i="11"/>
  <c r="Y941" i="11"/>
  <c r="T941" i="11"/>
  <c r="J941" i="11"/>
  <c r="BL940" i="11"/>
  <c r="BM940" i="11" s="1"/>
  <c r="BK940" i="11"/>
  <c r="BH940" i="11"/>
  <c r="BH939" i="11"/>
  <c r="BC939" i="11"/>
  <c r="AX939" i="11"/>
  <c r="AS939" i="11"/>
  <c r="AN939" i="11"/>
  <c r="AI939" i="11"/>
  <c r="AD939" i="11"/>
  <c r="Y939" i="11"/>
  <c r="T939" i="11"/>
  <c r="J939" i="11"/>
  <c r="BH938" i="11"/>
  <c r="BC938" i="11"/>
  <c r="AX938" i="11"/>
  <c r="AS938" i="11"/>
  <c r="AN938" i="11"/>
  <c r="AI938" i="11"/>
  <c r="AD938" i="11"/>
  <c r="Y938" i="11"/>
  <c r="T938" i="11"/>
  <c r="J938" i="11"/>
  <c r="BU937" i="11"/>
  <c r="BV937" i="11" s="1"/>
  <c r="BL937" i="11"/>
  <c r="BM937" i="11" s="1"/>
  <c r="BN937" i="11" s="1"/>
  <c r="BO937" i="11" s="1"/>
  <c r="BP937" i="11" s="1"/>
  <c r="BQ937" i="11" s="1"/>
  <c r="BR937" i="11" s="1"/>
  <c r="BS937" i="11" s="1"/>
  <c r="BT937" i="11" s="1"/>
  <c r="BK937" i="11"/>
  <c r="BH937" i="11"/>
  <c r="BC937" i="11"/>
  <c r="AX937" i="11"/>
  <c r="AS937" i="11"/>
  <c r="AN937" i="11"/>
  <c r="AN943" i="11" s="1"/>
  <c r="AI937" i="11"/>
  <c r="AD937" i="11"/>
  <c r="Y937" i="11"/>
  <c r="T937" i="11"/>
  <c r="J937" i="11"/>
  <c r="BH936" i="11"/>
  <c r="BC936" i="11"/>
  <c r="AX936" i="11"/>
  <c r="AS936" i="11"/>
  <c r="AN936" i="11"/>
  <c r="AI936" i="11"/>
  <c r="AD936" i="11"/>
  <c r="AD943" i="11" s="1"/>
  <c r="Y936" i="11"/>
  <c r="T936" i="11"/>
  <c r="J936" i="11"/>
  <c r="BS932" i="11"/>
  <c r="BN932" i="11"/>
  <c r="BD931" i="11"/>
  <c r="AT931" i="11"/>
  <c r="AE931" i="11"/>
  <c r="J931" i="11"/>
  <c r="G931" i="11"/>
  <c r="BG930" i="11"/>
  <c r="BF930" i="11"/>
  <c r="BE930" i="11"/>
  <c r="AZ930" i="11"/>
  <c r="AQ930" i="11"/>
  <c r="AK930" i="11"/>
  <c r="V930" i="11"/>
  <c r="T930" i="11"/>
  <c r="S930" i="11"/>
  <c r="AY928" i="11"/>
  <c r="AE928" i="11"/>
  <c r="AJ927" i="11"/>
  <c r="Z926" i="11"/>
  <c r="BI925" i="11"/>
  <c r="AJ925" i="11"/>
  <c r="AW923" i="11"/>
  <c r="AV923" i="11"/>
  <c r="AU923" i="11"/>
  <c r="AR923" i="11"/>
  <c r="AQ923" i="11"/>
  <c r="AP923" i="11"/>
  <c r="AO923" i="11"/>
  <c r="AN923" i="11"/>
  <c r="AM923" i="11"/>
  <c r="AN919" i="11" s="1"/>
  <c r="AL923" i="11"/>
  <c r="AK923" i="11"/>
  <c r="AJ923" i="11"/>
  <c r="AO919" i="11" s="1"/>
  <c r="AI923" i="11"/>
  <c r="AH923" i="11"/>
  <c r="AI919" i="11" s="1"/>
  <c r="AG923" i="11"/>
  <c r="AF923" i="11"/>
  <c r="AE923" i="11"/>
  <c r="AD923" i="11"/>
  <c r="AC923" i="11"/>
  <c r="AB923" i="11"/>
  <c r="AA923" i="11"/>
  <c r="Z923" i="11"/>
  <c r="AE919" i="11" s="1"/>
  <c r="Y923" i="11"/>
  <c r="X923" i="11"/>
  <c r="Y919" i="11" s="1"/>
  <c r="W923" i="11"/>
  <c r="V923" i="11"/>
  <c r="V922" i="11" s="1"/>
  <c r="U923" i="11"/>
  <c r="Z919" i="11" s="1"/>
  <c r="Z928" i="11" s="1"/>
  <c r="T923" i="11"/>
  <c r="S923" i="11"/>
  <c r="T919" i="11" s="1"/>
  <c r="R923" i="11"/>
  <c r="Q923" i="11"/>
  <c r="P923" i="11"/>
  <c r="O923" i="11"/>
  <c r="N923" i="11"/>
  <c r="O919" i="11" s="1"/>
  <c r="M923" i="11"/>
  <c r="L923" i="11"/>
  <c r="K923" i="11"/>
  <c r="J923" i="11"/>
  <c r="F923" i="11"/>
  <c r="AM922" i="11"/>
  <c r="AH922" i="11"/>
  <c r="X922" i="11"/>
  <c r="T922" i="11"/>
  <c r="M922" i="11"/>
  <c r="BU921" i="11"/>
  <c r="BL921" i="11"/>
  <c r="BK921" i="11"/>
  <c r="BI920" i="11"/>
  <c r="BD920" i="11"/>
  <c r="AY920" i="11"/>
  <c r="AT920" i="11"/>
  <c r="AR920" i="11"/>
  <c r="AQ920" i="11"/>
  <c r="AP920" i="11"/>
  <c r="AO920" i="11"/>
  <c r="AO926" i="11" s="1"/>
  <c r="AM920" i="11"/>
  <c r="AL920" i="11"/>
  <c r="AK920" i="11"/>
  <c r="AJ920" i="11"/>
  <c r="AH920" i="11"/>
  <c r="AG920" i="11"/>
  <c r="AF920" i="11"/>
  <c r="AE920" i="11"/>
  <c r="AE926" i="11" s="1"/>
  <c r="AC920" i="11"/>
  <c r="AB920" i="11"/>
  <c r="AA920" i="11"/>
  <c r="Z920" i="11"/>
  <c r="X920" i="11"/>
  <c r="W920" i="11"/>
  <c r="V920" i="11"/>
  <c r="U920" i="11"/>
  <c r="Q920" i="11"/>
  <c r="P920" i="11"/>
  <c r="AY919" i="11"/>
  <c r="AY926" i="11" s="1"/>
  <c r="AX919" i="11"/>
  <c r="AW919" i="11"/>
  <c r="AU919" i="11"/>
  <c r="AR919" i="11"/>
  <c r="AM919" i="11"/>
  <c r="AK919" i="11"/>
  <c r="AH919" i="11"/>
  <c r="AG919" i="11"/>
  <c r="AD919" i="11"/>
  <c r="AB919" i="11"/>
  <c r="AA919" i="11"/>
  <c r="X919" i="11"/>
  <c r="V919" i="11"/>
  <c r="S919" i="11"/>
  <c r="N919" i="11"/>
  <c r="M919" i="11"/>
  <c r="K919" i="11"/>
  <c r="BJ917" i="11"/>
  <c r="BI917" i="11"/>
  <c r="BH917" i="11"/>
  <c r="BG917" i="11"/>
  <c r="BF917" i="11"/>
  <c r="BE917" i="11"/>
  <c r="BD917" i="11"/>
  <c r="BI913" i="11" s="1"/>
  <c r="BI927" i="11" s="1"/>
  <c r="BB917" i="11"/>
  <c r="BA917" i="11"/>
  <c r="AZ917" i="11"/>
  <c r="AY917" i="11"/>
  <c r="AW917" i="11"/>
  <c r="AV917" i="11"/>
  <c r="AU917" i="11"/>
  <c r="AT917" i="11"/>
  <c r="AS917" i="11"/>
  <c r="AR917" i="11"/>
  <c r="AQ917" i="11"/>
  <c r="AP917" i="11"/>
  <c r="AP916" i="11" s="1"/>
  <c r="AO917" i="11"/>
  <c r="AN917" i="11"/>
  <c r="AM917" i="11"/>
  <c r="AL917" i="11"/>
  <c r="AK917" i="11"/>
  <c r="AJ917" i="11"/>
  <c r="AH917" i="11"/>
  <c r="AG917" i="11"/>
  <c r="AG916" i="11" s="1"/>
  <c r="AF917" i="11"/>
  <c r="AG913" i="11" s="1"/>
  <c r="AE917" i="11"/>
  <c r="AJ913" i="11" s="1"/>
  <c r="AC917" i="11"/>
  <c r="AB917" i="11"/>
  <c r="AC913" i="11" s="1"/>
  <c r="AA917" i="11"/>
  <c r="Z917" i="11"/>
  <c r="Y917" i="11"/>
  <c r="X917" i="11"/>
  <c r="Y913" i="11" s="1"/>
  <c r="W917" i="11"/>
  <c r="X913" i="11" s="1"/>
  <c r="V917" i="11"/>
  <c r="U917" i="11"/>
  <c r="T917" i="11"/>
  <c r="S917" i="11"/>
  <c r="R917" i="11"/>
  <c r="Q917" i="11"/>
  <c r="P917" i="11"/>
  <c r="O917" i="11"/>
  <c r="N917" i="11"/>
  <c r="M917" i="11"/>
  <c r="N913" i="11" s="1"/>
  <c r="L917" i="11"/>
  <c r="M913" i="11" s="1"/>
  <c r="K917" i="11"/>
  <c r="L913" i="11" s="1"/>
  <c r="F917" i="11"/>
  <c r="BI916" i="11"/>
  <c r="AM916" i="11"/>
  <c r="AJ916" i="11"/>
  <c r="AF916" i="11"/>
  <c r="AC916" i="11"/>
  <c r="AB916" i="11"/>
  <c r="Z916" i="11"/>
  <c r="X916" i="11"/>
  <c r="W916" i="11"/>
  <c r="V916" i="11"/>
  <c r="BO915" i="11"/>
  <c r="BL915" i="11"/>
  <c r="BI914" i="11"/>
  <c r="BD914" i="11"/>
  <c r="AY914" i="11"/>
  <c r="AT914" i="11"/>
  <c r="AR914" i="11"/>
  <c r="AQ914" i="11"/>
  <c r="AP914" i="11"/>
  <c r="AO914" i="11"/>
  <c r="AM914" i="11"/>
  <c r="AL914" i="11"/>
  <c r="AK914" i="11"/>
  <c r="AJ914" i="11"/>
  <c r="AH914" i="11"/>
  <c r="AG914" i="11"/>
  <c r="AF914" i="11"/>
  <c r="AE914" i="11"/>
  <c r="AC914" i="11"/>
  <c r="AB914" i="11"/>
  <c r="AA914" i="11"/>
  <c r="Z914" i="11"/>
  <c r="Z925" i="11" s="1"/>
  <c r="X914" i="11"/>
  <c r="W914" i="11"/>
  <c r="V914" i="11"/>
  <c r="BN913" i="11"/>
  <c r="BJ913" i="11"/>
  <c r="BH913" i="11"/>
  <c r="BG913" i="11"/>
  <c r="BF913" i="11"/>
  <c r="BE913" i="11"/>
  <c r="BC913" i="11"/>
  <c r="BA913" i="11"/>
  <c r="AX913" i="11"/>
  <c r="AW913" i="11"/>
  <c r="AU913" i="11"/>
  <c r="AT913" i="11"/>
  <c r="AR913" i="11"/>
  <c r="AQ913" i="11"/>
  <c r="AP913" i="11"/>
  <c r="AO913" i="11"/>
  <c r="AN913" i="11"/>
  <c r="AM913" i="11"/>
  <c r="AL913" i="11"/>
  <c r="AK913" i="11"/>
  <c r="AI913" i="11"/>
  <c r="AF913" i="11"/>
  <c r="AD913" i="11"/>
  <c r="AB913" i="11"/>
  <c r="Z913" i="11"/>
  <c r="W913" i="11"/>
  <c r="V913" i="11"/>
  <c r="T913" i="11"/>
  <c r="S913" i="11"/>
  <c r="R913" i="11"/>
  <c r="Q913" i="11"/>
  <c r="P913" i="11"/>
  <c r="O913" i="11"/>
  <c r="K913" i="11"/>
  <c r="P904" i="11"/>
  <c r="K904" i="11"/>
  <c r="BD903" i="11"/>
  <c r="AN903" i="11"/>
  <c r="AH903" i="11"/>
  <c r="P903" i="11"/>
  <c r="AT902" i="11"/>
  <c r="AR902" i="11"/>
  <c r="AJ902" i="11"/>
  <c r="W902" i="11"/>
  <c r="U902" i="11"/>
  <c r="AG901" i="11"/>
  <c r="AG907" i="11" s="1"/>
  <c r="AA901" i="11"/>
  <c r="Y901" i="11"/>
  <c r="X901" i="11"/>
  <c r="P901" i="11"/>
  <c r="AY900" i="11"/>
  <c r="AJ900" i="11"/>
  <c r="P895" i="11"/>
  <c r="N895" i="11"/>
  <c r="K895" i="11"/>
  <c r="J895" i="11"/>
  <c r="I895" i="11"/>
  <c r="F895" i="11"/>
  <c r="BI894" i="11"/>
  <c r="AY894" i="11"/>
  <c r="AT894" i="11"/>
  <c r="AE894" i="11"/>
  <c r="BI893" i="11"/>
  <c r="BD893" i="11"/>
  <c r="AY893" i="11"/>
  <c r="AT893" i="11"/>
  <c r="AO893" i="11"/>
  <c r="AJ893" i="11"/>
  <c r="AE893" i="11"/>
  <c r="BJ892" i="11"/>
  <c r="BI892" i="11"/>
  <c r="BG892" i="11"/>
  <c r="BF892" i="11"/>
  <c r="BE892" i="11"/>
  <c r="BD892" i="11"/>
  <c r="BD894" i="11" s="1"/>
  <c r="BC892" i="11"/>
  <c r="BB892" i="11"/>
  <c r="BA892" i="11"/>
  <c r="AZ892" i="11"/>
  <c r="AY892" i="11"/>
  <c r="AX892" i="11"/>
  <c r="AW892" i="11"/>
  <c r="AV892" i="11"/>
  <c r="AU892" i="11"/>
  <c r="AT892" i="11"/>
  <c r="AR892" i="11"/>
  <c r="AQ892" i="11"/>
  <c r="AP892" i="11"/>
  <c r="AO892" i="11"/>
  <c r="AN892" i="11"/>
  <c r="AM892" i="11"/>
  <c r="AL892" i="11"/>
  <c r="AK892" i="11"/>
  <c r="AJ892" i="11"/>
  <c r="AJ894" i="11" s="1"/>
  <c r="AI892" i="11"/>
  <c r="AH892" i="11"/>
  <c r="AG892" i="11"/>
  <c r="AF892" i="11"/>
  <c r="AE892" i="11"/>
  <c r="A890" i="11"/>
  <c r="F889" i="11"/>
  <c r="A889" i="11"/>
  <c r="A887" i="11"/>
  <c r="BS886" i="11"/>
  <c r="BJ886" i="11"/>
  <c r="BN886" i="11" s="1"/>
  <c r="BI886" i="11"/>
  <c r="BH886" i="11"/>
  <c r="BG886" i="11"/>
  <c r="BF886" i="11"/>
  <c r="BE886" i="11"/>
  <c r="BD886" i="11"/>
  <c r="BC886" i="11"/>
  <c r="BB886" i="11"/>
  <c r="BA886" i="11"/>
  <c r="AZ886" i="11"/>
  <c r="AY886" i="11"/>
  <c r="AW886" i="11"/>
  <c r="AV886" i="11"/>
  <c r="AU886" i="11"/>
  <c r="AT886" i="11"/>
  <c r="AS886" i="11"/>
  <c r="AR886" i="11"/>
  <c r="AQ886" i="11"/>
  <c r="AP886" i="11"/>
  <c r="AO886" i="11"/>
  <c r="AN886" i="11"/>
  <c r="AM886" i="11"/>
  <c r="AL886" i="11"/>
  <c r="AK886" i="11"/>
  <c r="AJ886" i="11"/>
  <c r="AI886" i="11"/>
  <c r="AH886" i="11"/>
  <c r="AG886" i="11"/>
  <c r="AF886" i="11"/>
  <c r="AE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N886" i="11"/>
  <c r="M886" i="11"/>
  <c r="L886" i="11"/>
  <c r="K886" i="11"/>
  <c r="J886" i="11"/>
  <c r="I886" i="11"/>
  <c r="H886" i="11"/>
  <c r="G886" i="11"/>
  <c r="F886" i="11"/>
  <c r="A886" i="11"/>
  <c r="AV884" i="11"/>
  <c r="AQ884" i="11"/>
  <c r="AP884" i="11"/>
  <c r="K884" i="11"/>
  <c r="A884" i="11"/>
  <c r="BS883" i="11"/>
  <c r="BN883" i="11"/>
  <c r="BJ883" i="11"/>
  <c r="BI883" i="11"/>
  <c r="BH883" i="11"/>
  <c r="BG883" i="11"/>
  <c r="BF883" i="11"/>
  <c r="BE883" i="11"/>
  <c r="BD883" i="11"/>
  <c r="BC883" i="11"/>
  <c r="BB883" i="11"/>
  <c r="BA883" i="11"/>
  <c r="AZ883" i="11"/>
  <c r="AZ712" i="11" s="1"/>
  <c r="AY883" i="11"/>
  <c r="AX883" i="11"/>
  <c r="AW883" i="11"/>
  <c r="AV883" i="11"/>
  <c r="AU883" i="11"/>
  <c r="AT883" i="11"/>
  <c r="AR883" i="11"/>
  <c r="AQ883" i="11"/>
  <c r="AP883" i="11"/>
  <c r="AO883" i="11"/>
  <c r="AN883" i="11"/>
  <c r="AM883" i="11"/>
  <c r="AL883" i="11"/>
  <c r="AK883" i="11"/>
  <c r="AJ883" i="11"/>
  <c r="AI883" i="11"/>
  <c r="AH883" i="11"/>
  <c r="AG883" i="11"/>
  <c r="AF883" i="11"/>
  <c r="AE883" i="11"/>
  <c r="AC883" i="11"/>
  <c r="AB883" i="11"/>
  <c r="AA883" i="11"/>
  <c r="Z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883" i="11"/>
  <c r="BS882" i="11"/>
  <c r="BJ882" i="11"/>
  <c r="BN882" i="11" s="1"/>
  <c r="BI882" i="11"/>
  <c r="BH882" i="11"/>
  <c r="BG882" i="11"/>
  <c r="BF882" i="11"/>
  <c r="BE882" i="11"/>
  <c r="BD882" i="11"/>
  <c r="BB882" i="11"/>
  <c r="BA882" i="11"/>
  <c r="AZ882" i="11"/>
  <c r="AY882" i="11"/>
  <c r="AX882" i="11"/>
  <c r="AW882" i="11"/>
  <c r="AV882" i="11"/>
  <c r="AU882" i="11"/>
  <c r="AT882" i="11"/>
  <c r="AR882" i="11"/>
  <c r="AQ882" i="11"/>
  <c r="AP882" i="11"/>
  <c r="AO882" i="11"/>
  <c r="AN882" i="11"/>
  <c r="AM882" i="11"/>
  <c r="AL882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882" i="11"/>
  <c r="BS881" i="11"/>
  <c r="BJ881" i="11"/>
  <c r="BN881" i="11" s="1"/>
  <c r="BI881" i="11"/>
  <c r="BH881" i="11"/>
  <c r="BG881" i="11"/>
  <c r="BF881" i="11"/>
  <c r="BE881" i="11"/>
  <c r="BD881" i="11"/>
  <c r="BC881" i="11"/>
  <c r="BB881" i="11"/>
  <c r="BA881" i="11"/>
  <c r="AZ881" i="11"/>
  <c r="AY881" i="11"/>
  <c r="AX881" i="11"/>
  <c r="AW881" i="11"/>
  <c r="AV881" i="11"/>
  <c r="AU881" i="11"/>
  <c r="AT881" i="11"/>
  <c r="AR881" i="11"/>
  <c r="AQ881" i="11"/>
  <c r="AP881" i="11"/>
  <c r="AO881" i="11"/>
  <c r="AM881" i="11"/>
  <c r="AL881" i="11"/>
  <c r="AK881" i="11"/>
  <c r="AJ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W712" i="11" s="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BJ880" i="11"/>
  <c r="BI880" i="11"/>
  <c r="BH880" i="11"/>
  <c r="BG880" i="11"/>
  <c r="BG706" i="11" s="1"/>
  <c r="BF880" i="11"/>
  <c r="BF706" i="11" s="1"/>
  <c r="BE880" i="11"/>
  <c r="BD880" i="11"/>
  <c r="BC880" i="11"/>
  <c r="BB880" i="11"/>
  <c r="BA880" i="11"/>
  <c r="AZ880" i="11"/>
  <c r="AY880" i="11"/>
  <c r="AY706" i="11" s="1"/>
  <c r="AX880" i="11"/>
  <c r="AW880" i="11"/>
  <c r="AW706" i="11" s="1"/>
  <c r="AV880" i="11"/>
  <c r="AV706" i="11" s="1"/>
  <c r="AU880" i="11"/>
  <c r="AU706" i="11" s="1"/>
  <c r="AT880" i="11"/>
  <c r="AS880" i="11"/>
  <c r="AR880" i="11"/>
  <c r="AR706" i="11" s="1"/>
  <c r="AQ880" i="11"/>
  <c r="AP880" i="11"/>
  <c r="AO880" i="11"/>
  <c r="AM880" i="11"/>
  <c r="AL880" i="11"/>
  <c r="AL706" i="11" s="1"/>
  <c r="AK880" i="11"/>
  <c r="AK706" i="11" s="1"/>
  <c r="AJ880" i="11"/>
  <c r="AH880" i="11"/>
  <c r="AG880" i="11"/>
  <c r="AF880" i="11"/>
  <c r="AE880" i="11"/>
  <c r="AD880" i="11"/>
  <c r="AC880" i="11"/>
  <c r="AB880" i="11"/>
  <c r="AB706" i="11" s="1"/>
  <c r="AA880" i="11"/>
  <c r="AA706" i="11" s="1"/>
  <c r="Z880" i="11"/>
  <c r="Y880" i="11"/>
  <c r="Y706" i="11" s="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G706" i="11" s="1"/>
  <c r="F880" i="11"/>
  <c r="BS879" i="11"/>
  <c r="BJ879" i="11"/>
  <c r="BJ712" i="11" s="1"/>
  <c r="BI879" i="11"/>
  <c r="BH879" i="11"/>
  <c r="BG879" i="11"/>
  <c r="BF879" i="11"/>
  <c r="BE879" i="11"/>
  <c r="BD879" i="11"/>
  <c r="BC879" i="11"/>
  <c r="BB879" i="11"/>
  <c r="BA879" i="11"/>
  <c r="AZ879" i="11"/>
  <c r="AY879" i="11"/>
  <c r="AX879" i="11"/>
  <c r="AW879" i="11"/>
  <c r="AV879" i="11"/>
  <c r="AU879" i="11"/>
  <c r="AT879" i="11"/>
  <c r="AR879" i="11"/>
  <c r="AQ879" i="11"/>
  <c r="AP879" i="11"/>
  <c r="AO879" i="11"/>
  <c r="AM879" i="11"/>
  <c r="AL879" i="11"/>
  <c r="AK879" i="11"/>
  <c r="AJ879" i="11"/>
  <c r="AI879" i="11"/>
  <c r="AH879" i="11"/>
  <c r="AG879" i="11"/>
  <c r="AF879" i="11"/>
  <c r="AE879" i="11"/>
  <c r="AC879" i="11"/>
  <c r="AB879" i="11"/>
  <c r="AA879" i="11"/>
  <c r="Z879" i="11"/>
  <c r="X879" i="11"/>
  <c r="W879" i="11"/>
  <c r="V879" i="11"/>
  <c r="U879" i="11"/>
  <c r="T879" i="11"/>
  <c r="S879" i="11"/>
  <c r="R879" i="11"/>
  <c r="Q879" i="11"/>
  <c r="P879" i="11"/>
  <c r="N879" i="11"/>
  <c r="M879" i="11"/>
  <c r="L879" i="11"/>
  <c r="K879" i="11"/>
  <c r="J879" i="11"/>
  <c r="I879" i="11"/>
  <c r="H879" i="11"/>
  <c r="G879" i="11"/>
  <c r="F879" i="11"/>
  <c r="A879" i="11"/>
  <c r="BS878" i="11"/>
  <c r="BJ878" i="11"/>
  <c r="BJ706" i="11" s="1"/>
  <c r="BI878" i="11"/>
  <c r="BI706" i="11" s="1"/>
  <c r="BH878" i="11"/>
  <c r="BH706" i="11" s="1"/>
  <c r="BG878" i="11"/>
  <c r="BF878" i="11"/>
  <c r="BE878" i="11"/>
  <c r="BE706" i="11" s="1"/>
  <c r="BD878" i="11"/>
  <c r="BC878" i="11"/>
  <c r="BB878" i="11"/>
  <c r="BA878" i="11"/>
  <c r="AZ878" i="11"/>
  <c r="AZ706" i="11" s="1"/>
  <c r="AY878" i="11"/>
  <c r="AX878" i="11"/>
  <c r="AW878" i="11"/>
  <c r="AV878" i="11"/>
  <c r="AU878" i="11"/>
  <c r="AT878" i="11"/>
  <c r="AR878" i="11"/>
  <c r="AQ878" i="11"/>
  <c r="AP878" i="11"/>
  <c r="AP706" i="11" s="1"/>
  <c r="AO878" i="11"/>
  <c r="AN878" i="11"/>
  <c r="AM878" i="11"/>
  <c r="AL878" i="11"/>
  <c r="AK878" i="11"/>
  <c r="AJ878" i="11"/>
  <c r="AJ706" i="11" s="1"/>
  <c r="AH878" i="11"/>
  <c r="AG878" i="11"/>
  <c r="AF878" i="11"/>
  <c r="AF706" i="11" s="1"/>
  <c r="AE878" i="11"/>
  <c r="AE706" i="11" s="1"/>
  <c r="AC878" i="11"/>
  <c r="AB878" i="11"/>
  <c r="AA878" i="11"/>
  <c r="Z878" i="11"/>
  <c r="Z706" i="11" s="1"/>
  <c r="X878" i="11"/>
  <c r="W878" i="11"/>
  <c r="V878" i="11"/>
  <c r="V706" i="11" s="1"/>
  <c r="U878" i="11"/>
  <c r="U706" i="11" s="1"/>
  <c r="T878" i="11"/>
  <c r="S878" i="11"/>
  <c r="R878" i="11"/>
  <c r="Q878" i="11"/>
  <c r="P878" i="11"/>
  <c r="P706" i="11" s="1"/>
  <c r="N878" i="11"/>
  <c r="N706" i="11" s="1"/>
  <c r="M878" i="11"/>
  <c r="L878" i="11"/>
  <c r="K878" i="11"/>
  <c r="J878" i="11"/>
  <c r="I878" i="11"/>
  <c r="H878" i="11"/>
  <c r="G878" i="11"/>
  <c r="F878" i="11"/>
  <c r="F706" i="11" s="1"/>
  <c r="A878" i="11"/>
  <c r="BV877" i="11"/>
  <c r="BU877" i="11"/>
  <c r="BT877" i="11"/>
  <c r="BS877" i="11"/>
  <c r="BR877" i="11"/>
  <c r="BQ877" i="11"/>
  <c r="BP877" i="11"/>
  <c r="BO877" i="11"/>
  <c r="BN877" i="11"/>
  <c r="BM877" i="11"/>
  <c r="BL877" i="11"/>
  <c r="BK877" i="11"/>
  <c r="BJ877" i="11"/>
  <c r="BI877" i="11"/>
  <c r="BH877" i="11"/>
  <c r="BG877" i="11"/>
  <c r="BF877" i="11"/>
  <c r="BE877" i="11"/>
  <c r="BD877" i="11"/>
  <c r="BB877" i="11"/>
  <c r="BA877" i="11"/>
  <c r="AZ877" i="11"/>
  <c r="AY877" i="11"/>
  <c r="AX877" i="11"/>
  <c r="AW877" i="11"/>
  <c r="AV877" i="11"/>
  <c r="AU877" i="11"/>
  <c r="AT877" i="11"/>
  <c r="AS877" i="11"/>
  <c r="AR877" i="11"/>
  <c r="AR712" i="11" s="1"/>
  <c r="AQ877" i="11"/>
  <c r="AP877" i="11"/>
  <c r="AO877" i="11"/>
  <c r="AM877" i="11"/>
  <c r="AL877" i="11"/>
  <c r="AK877" i="11"/>
  <c r="AJ877" i="11"/>
  <c r="AH877" i="11"/>
  <c r="AG877" i="11"/>
  <c r="AF877" i="11"/>
  <c r="AE877" i="11"/>
  <c r="AD877" i="11"/>
  <c r="AC877" i="11"/>
  <c r="AB877" i="11"/>
  <c r="AA877" i="11"/>
  <c r="Z877" i="11"/>
  <c r="X877" i="11"/>
  <c r="W877" i="11"/>
  <c r="V877" i="11"/>
  <c r="U877" i="11"/>
  <c r="T877" i="11"/>
  <c r="S877" i="11"/>
  <c r="R877" i="11"/>
  <c r="Q877" i="11"/>
  <c r="P877" i="11"/>
  <c r="N877" i="11"/>
  <c r="M877" i="11"/>
  <c r="L877" i="11"/>
  <c r="K877" i="11"/>
  <c r="J877" i="11"/>
  <c r="I877" i="11"/>
  <c r="H877" i="11"/>
  <c r="G877" i="11"/>
  <c r="F877" i="11"/>
  <c r="F712" i="11" s="1"/>
  <c r="A877" i="11"/>
  <c r="BS876" i="11"/>
  <c r="BJ876" i="11"/>
  <c r="BN876" i="11" s="1"/>
  <c r="BI876" i="11"/>
  <c r="BH876" i="11"/>
  <c r="BG876" i="11"/>
  <c r="BF876" i="11"/>
  <c r="BE876" i="11"/>
  <c r="BD876" i="11"/>
  <c r="BC876" i="11"/>
  <c r="BB876" i="11"/>
  <c r="BA876" i="11"/>
  <c r="AZ876" i="11"/>
  <c r="AY876" i="11"/>
  <c r="AX876" i="11"/>
  <c r="AW876" i="11"/>
  <c r="AV876" i="11"/>
  <c r="AU876" i="11"/>
  <c r="AT876" i="11"/>
  <c r="AR876" i="11"/>
  <c r="AQ876" i="11"/>
  <c r="AP876" i="11"/>
  <c r="AP712" i="11" s="1"/>
  <c r="AO876" i="11"/>
  <c r="AN876" i="11"/>
  <c r="AM876" i="11"/>
  <c r="AL876" i="11"/>
  <c r="AK876" i="11"/>
  <c r="AJ876" i="11"/>
  <c r="AH876" i="11"/>
  <c r="AG876" i="11"/>
  <c r="AF876" i="11"/>
  <c r="AE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N876" i="11"/>
  <c r="M876" i="11"/>
  <c r="L876" i="11"/>
  <c r="K876" i="11"/>
  <c r="J876" i="11"/>
  <c r="I876" i="11"/>
  <c r="H876" i="11"/>
  <c r="G876" i="11"/>
  <c r="F876" i="11"/>
  <c r="A876" i="11"/>
  <c r="BJ875" i="11"/>
  <c r="BI875" i="11"/>
  <c r="BG875" i="11"/>
  <c r="BF875" i="11"/>
  <c r="BE875" i="11"/>
  <c r="BD875" i="11"/>
  <c r="BC875" i="11"/>
  <c r="BB875" i="11"/>
  <c r="BA875" i="11"/>
  <c r="AZ875" i="11"/>
  <c r="AY875" i="11"/>
  <c r="AX875" i="11"/>
  <c r="AW875" i="11"/>
  <c r="AV875" i="11"/>
  <c r="AU875" i="11"/>
  <c r="AT875" i="11"/>
  <c r="AR875" i="11"/>
  <c r="AR711" i="11" s="1"/>
  <c r="AQ875" i="11"/>
  <c r="AP875" i="11"/>
  <c r="AO875" i="11"/>
  <c r="AN875" i="11"/>
  <c r="AM875" i="11"/>
  <c r="AL875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X711" i="11" s="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875" i="11"/>
  <c r="BS874" i="11"/>
  <c r="BJ874" i="11"/>
  <c r="BN874" i="11" s="1"/>
  <c r="BI874" i="11"/>
  <c r="BG874" i="11"/>
  <c r="BF874" i="11"/>
  <c r="BE874" i="11"/>
  <c r="BD874" i="11"/>
  <c r="BB874" i="11"/>
  <c r="BA874" i="11"/>
  <c r="AZ874" i="11"/>
  <c r="AY874" i="11"/>
  <c r="AY711" i="11" s="1"/>
  <c r="AX874" i="11"/>
  <c r="AW874" i="11"/>
  <c r="AV874" i="11"/>
  <c r="AU874" i="11"/>
  <c r="AT874" i="11"/>
  <c r="AS874" i="11"/>
  <c r="AR874" i="11"/>
  <c r="AQ874" i="11"/>
  <c r="AP874" i="11"/>
  <c r="AO874" i="11"/>
  <c r="AN874" i="11"/>
  <c r="AM874" i="11"/>
  <c r="AL874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874" i="11"/>
  <c r="BJ873" i="11"/>
  <c r="BI873" i="11"/>
  <c r="BG873" i="11"/>
  <c r="BF873" i="11"/>
  <c r="BE873" i="11"/>
  <c r="BD873" i="11"/>
  <c r="BB873" i="11"/>
  <c r="BA873" i="11"/>
  <c r="AZ873" i="11"/>
  <c r="AY873" i="11"/>
  <c r="AX873" i="11"/>
  <c r="AW873" i="11"/>
  <c r="AV873" i="11"/>
  <c r="AU873" i="11"/>
  <c r="AT873" i="11"/>
  <c r="AR873" i="11"/>
  <c r="AQ873" i="11"/>
  <c r="AP873" i="11"/>
  <c r="AO873" i="11"/>
  <c r="AM873" i="11"/>
  <c r="AL873" i="11"/>
  <c r="AK873" i="11"/>
  <c r="AK711" i="11" s="1"/>
  <c r="AJ873" i="11"/>
  <c r="AH873" i="11"/>
  <c r="AG873" i="11"/>
  <c r="AF873" i="11"/>
  <c r="AE873" i="11"/>
  <c r="AD873" i="11"/>
  <c r="AD711" i="11" s="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P711" i="11" s="1"/>
  <c r="O873" i="11"/>
  <c r="N873" i="11"/>
  <c r="M873" i="11"/>
  <c r="L873" i="11"/>
  <c r="K873" i="11"/>
  <c r="J873" i="11"/>
  <c r="I873" i="11"/>
  <c r="H873" i="11"/>
  <c r="G873" i="11"/>
  <c r="F873" i="11"/>
  <c r="A873" i="11"/>
  <c r="BS872" i="11"/>
  <c r="BN872" i="11"/>
  <c r="BJ872" i="11"/>
  <c r="BI872" i="11"/>
  <c r="BH872" i="11"/>
  <c r="BG872" i="11"/>
  <c r="BF872" i="11"/>
  <c r="BE872" i="11"/>
  <c r="BD872" i="11"/>
  <c r="BC872" i="11"/>
  <c r="BB872" i="11"/>
  <c r="BA872" i="11"/>
  <c r="AZ872" i="11"/>
  <c r="AZ884" i="11" s="1"/>
  <c r="AY872" i="11"/>
  <c r="AX872" i="11"/>
  <c r="AX711" i="11" s="1"/>
  <c r="AW872" i="11"/>
  <c r="AV872" i="11"/>
  <c r="AU872" i="11"/>
  <c r="AT872" i="11"/>
  <c r="AR872" i="11"/>
  <c r="AQ872" i="11"/>
  <c r="AP872" i="11"/>
  <c r="AO872" i="11"/>
  <c r="AN872" i="11"/>
  <c r="AM872" i="11"/>
  <c r="AL872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872" i="11"/>
  <c r="BV871" i="11"/>
  <c r="BU871" i="11"/>
  <c r="BT871" i="11"/>
  <c r="BR871" i="11"/>
  <c r="BQ871" i="11"/>
  <c r="BP871" i="11"/>
  <c r="BO871" i="11"/>
  <c r="BM871" i="11"/>
  <c r="BL871" i="11"/>
  <c r="BK871" i="11"/>
  <c r="BJ871" i="11"/>
  <c r="BI871" i="11"/>
  <c r="BH871" i="11"/>
  <c r="BG871" i="11"/>
  <c r="BF871" i="11"/>
  <c r="BE871" i="11"/>
  <c r="BD871" i="11"/>
  <c r="BC871" i="11"/>
  <c r="BB871" i="11"/>
  <c r="BA871" i="11"/>
  <c r="AZ871" i="11"/>
  <c r="AY871" i="11"/>
  <c r="AX871" i="11"/>
  <c r="AW871" i="11"/>
  <c r="AV871" i="11"/>
  <c r="AU871" i="11"/>
  <c r="AT871" i="11"/>
  <c r="AR871" i="11"/>
  <c r="AQ871" i="11"/>
  <c r="AP871" i="11"/>
  <c r="AP711" i="11" s="1"/>
  <c r="AO871" i="11"/>
  <c r="AN871" i="11"/>
  <c r="AM871" i="11"/>
  <c r="AL871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V711" i="11" s="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871" i="11"/>
  <c r="BS870" i="11"/>
  <c r="BJ870" i="11"/>
  <c r="BI870" i="11"/>
  <c r="BH870" i="11"/>
  <c r="BG870" i="11"/>
  <c r="BF870" i="11"/>
  <c r="BE870" i="11"/>
  <c r="BD870" i="11"/>
  <c r="BC870" i="11"/>
  <c r="BB870" i="11"/>
  <c r="BA870" i="11"/>
  <c r="AZ870" i="11"/>
  <c r="AY870" i="11"/>
  <c r="AX870" i="11"/>
  <c r="AW870" i="11"/>
  <c r="AV870" i="11"/>
  <c r="AU870" i="11"/>
  <c r="AT870" i="11"/>
  <c r="AR870" i="11"/>
  <c r="AQ870" i="11"/>
  <c r="AP870" i="11"/>
  <c r="AO870" i="11"/>
  <c r="AN870" i="11"/>
  <c r="AM870" i="11"/>
  <c r="AL870" i="11"/>
  <c r="AK870" i="11"/>
  <c r="AJ870" i="11"/>
  <c r="AI870" i="11"/>
  <c r="AI711" i="11" s="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U711" i="11" s="1"/>
  <c r="T870" i="11"/>
  <c r="S870" i="11"/>
  <c r="R870" i="11"/>
  <c r="Q870" i="11"/>
  <c r="P870" i="11"/>
  <c r="O870" i="11"/>
  <c r="O711" i="11" s="1"/>
  <c r="N870" i="11"/>
  <c r="M870" i="11"/>
  <c r="L870" i="11"/>
  <c r="K870" i="11"/>
  <c r="J870" i="11"/>
  <c r="I870" i="11"/>
  <c r="H870" i="11"/>
  <c r="G870" i="11"/>
  <c r="F870" i="11"/>
  <c r="A870" i="11"/>
  <c r="BS869" i="11"/>
  <c r="BN869" i="11"/>
  <c r="BJ869" i="11"/>
  <c r="BI869" i="11"/>
  <c r="BH869" i="11"/>
  <c r="BH711" i="11" s="1"/>
  <c r="BG869" i="11"/>
  <c r="BG711" i="11" s="1"/>
  <c r="BF869" i="11"/>
  <c r="BE869" i="11"/>
  <c r="BD869" i="11"/>
  <c r="BC869" i="11"/>
  <c r="BB869" i="11"/>
  <c r="BB711" i="11" s="1"/>
  <c r="BA869" i="11"/>
  <c r="AZ869" i="11"/>
  <c r="AY869" i="11"/>
  <c r="AX869" i="11"/>
  <c r="AW869" i="11"/>
  <c r="AV869" i="11"/>
  <c r="AU869" i="11"/>
  <c r="AT869" i="11"/>
  <c r="AR869" i="11"/>
  <c r="AQ869" i="11"/>
  <c r="AP869" i="11"/>
  <c r="AO869" i="11"/>
  <c r="AN869" i="11"/>
  <c r="AM869" i="11"/>
  <c r="AM711" i="11" s="1"/>
  <c r="AL869" i="11"/>
  <c r="AL711" i="11" s="1"/>
  <c r="AK869" i="11"/>
  <c r="AJ869" i="11"/>
  <c r="AI869" i="11"/>
  <c r="AH869" i="11"/>
  <c r="AG869" i="11"/>
  <c r="AG711" i="11" s="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S711" i="11" s="1"/>
  <c r="R869" i="11"/>
  <c r="R711" i="11" s="1"/>
  <c r="Q869" i="11"/>
  <c r="P869" i="11"/>
  <c r="O869" i="11"/>
  <c r="N869" i="11"/>
  <c r="M869" i="11"/>
  <c r="M711" i="11" s="1"/>
  <c r="L869" i="11"/>
  <c r="K869" i="11"/>
  <c r="J869" i="11"/>
  <c r="I869" i="11"/>
  <c r="H869" i="11"/>
  <c r="G869" i="11"/>
  <c r="F869" i="11"/>
  <c r="A869" i="11"/>
  <c r="BS868" i="11"/>
  <c r="BN868" i="11"/>
  <c r="BJ868" i="11"/>
  <c r="BI868" i="11"/>
  <c r="BH868" i="11"/>
  <c r="BG868" i="11"/>
  <c r="BF868" i="11"/>
  <c r="BE868" i="11"/>
  <c r="BD868" i="11"/>
  <c r="BC868" i="11"/>
  <c r="BB868" i="11"/>
  <c r="BA868" i="11"/>
  <c r="AZ868" i="11"/>
  <c r="AY868" i="11"/>
  <c r="AX868" i="11"/>
  <c r="AW868" i="11"/>
  <c r="AV868" i="11"/>
  <c r="AV712" i="11" s="1"/>
  <c r="AU868" i="11"/>
  <c r="AT868" i="11"/>
  <c r="AR868" i="11"/>
  <c r="AQ868" i="11"/>
  <c r="AP868" i="11"/>
  <c r="AO868" i="11"/>
  <c r="AM868" i="11"/>
  <c r="AL868" i="11"/>
  <c r="AK868" i="11"/>
  <c r="AJ868" i="11"/>
  <c r="AH868" i="11"/>
  <c r="AG868" i="11"/>
  <c r="AF868" i="11"/>
  <c r="AE868" i="11"/>
  <c r="AC868" i="11"/>
  <c r="AB868" i="11"/>
  <c r="AA868" i="11"/>
  <c r="Z868" i="11"/>
  <c r="X868" i="11"/>
  <c r="W868" i="11"/>
  <c r="V868" i="11"/>
  <c r="U868" i="11"/>
  <c r="T868" i="11"/>
  <c r="S868" i="11"/>
  <c r="R868" i="11"/>
  <c r="Q868" i="11"/>
  <c r="P868" i="11"/>
  <c r="P712" i="11" s="1"/>
  <c r="O868" i="11"/>
  <c r="N868" i="11"/>
  <c r="M868" i="11"/>
  <c r="L868" i="11"/>
  <c r="K868" i="11"/>
  <c r="J868" i="11"/>
  <c r="I868" i="11"/>
  <c r="H868" i="11"/>
  <c r="G868" i="11"/>
  <c r="F868" i="11"/>
  <c r="A868" i="11"/>
  <c r="BS867" i="11"/>
  <c r="BJ867" i="11"/>
  <c r="BN867" i="11" s="1"/>
  <c r="BI867" i="11"/>
  <c r="BH867" i="11"/>
  <c r="BG867" i="11"/>
  <c r="BF867" i="11"/>
  <c r="BE867" i="11"/>
  <c r="BD867" i="11"/>
  <c r="BC867" i="11"/>
  <c r="BC712" i="11" s="1"/>
  <c r="BB867" i="11"/>
  <c r="BA867" i="11"/>
  <c r="AZ867" i="11"/>
  <c r="AY867" i="11"/>
  <c r="AX867" i="11"/>
  <c r="AW867" i="11"/>
  <c r="AV867" i="11"/>
  <c r="AU867" i="11"/>
  <c r="AT867" i="11"/>
  <c r="AS867" i="11"/>
  <c r="AR867" i="11"/>
  <c r="AQ867" i="11"/>
  <c r="AP867" i="11"/>
  <c r="AO867" i="11"/>
  <c r="AN867" i="11"/>
  <c r="AM867" i="11"/>
  <c r="AL867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BS866" i="11"/>
  <c r="BN866" i="11"/>
  <c r="BJ866" i="11"/>
  <c r="BI866" i="11"/>
  <c r="BH866" i="11"/>
  <c r="BG866" i="11"/>
  <c r="BF866" i="11"/>
  <c r="BE866" i="11"/>
  <c r="BD866" i="11"/>
  <c r="BC866" i="11"/>
  <c r="BB866" i="11"/>
  <c r="BA866" i="11"/>
  <c r="AZ866" i="11"/>
  <c r="AY866" i="11"/>
  <c r="AX866" i="11"/>
  <c r="AW866" i="11"/>
  <c r="AV866" i="11"/>
  <c r="AU866" i="11"/>
  <c r="AT866" i="11"/>
  <c r="AS866" i="11"/>
  <c r="AR866" i="11"/>
  <c r="AQ866" i="11"/>
  <c r="AQ712" i="11" s="1"/>
  <c r="AP866" i="11"/>
  <c r="AO866" i="11"/>
  <c r="AN866" i="11"/>
  <c r="AM866" i="11"/>
  <c r="AL866" i="11"/>
  <c r="AK866" i="11"/>
  <c r="AJ866" i="11"/>
  <c r="AH866" i="11"/>
  <c r="AG866" i="11"/>
  <c r="AF866" i="11"/>
  <c r="AE866" i="11"/>
  <c r="AD866" i="11"/>
  <c r="AC866" i="11"/>
  <c r="AB866" i="11"/>
  <c r="AA866" i="11"/>
  <c r="Z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K712" i="11" s="1"/>
  <c r="J866" i="11"/>
  <c r="I866" i="11"/>
  <c r="H866" i="11"/>
  <c r="G866" i="11"/>
  <c r="F866" i="11"/>
  <c r="A866" i="11"/>
  <c r="A865" i="11"/>
  <c r="BT863" i="11"/>
  <c r="AR863" i="11"/>
  <c r="AQ863" i="11"/>
  <c r="AK863" i="11"/>
  <c r="AB863" i="11"/>
  <c r="V863" i="11"/>
  <c r="A863" i="11"/>
  <c r="BS862" i="11"/>
  <c r="BJ862" i="11"/>
  <c r="BN862" i="11" s="1"/>
  <c r="BI862" i="11"/>
  <c r="BG862" i="11"/>
  <c r="BF862" i="11"/>
  <c r="BE862" i="11"/>
  <c r="BD862" i="11"/>
  <c r="BB862" i="11"/>
  <c r="BA862" i="11"/>
  <c r="AZ862" i="11"/>
  <c r="AY862" i="11"/>
  <c r="AW862" i="11"/>
  <c r="AV862" i="11"/>
  <c r="AU862" i="11"/>
  <c r="AT862" i="11"/>
  <c r="AS862" i="11"/>
  <c r="AR862" i="11"/>
  <c r="AQ862" i="11"/>
  <c r="AP862" i="11"/>
  <c r="AO862" i="11"/>
  <c r="AM862" i="11"/>
  <c r="AL862" i="11"/>
  <c r="AK862" i="11"/>
  <c r="AJ862" i="11"/>
  <c r="AH862" i="11"/>
  <c r="AG862" i="11"/>
  <c r="AF862" i="11"/>
  <c r="AE862" i="11"/>
  <c r="AD862" i="11"/>
  <c r="AC862" i="11"/>
  <c r="AB862" i="11"/>
  <c r="AA862" i="11"/>
  <c r="Z862" i="11"/>
  <c r="X862" i="11"/>
  <c r="W862" i="11"/>
  <c r="V862" i="11"/>
  <c r="U862" i="11"/>
  <c r="T862" i="11"/>
  <c r="S862" i="11"/>
  <c r="R862" i="11"/>
  <c r="Q862" i="11"/>
  <c r="P862" i="11"/>
  <c r="N862" i="11"/>
  <c r="M862" i="11"/>
  <c r="L862" i="11"/>
  <c r="K862" i="11"/>
  <c r="J862" i="11"/>
  <c r="I862" i="11"/>
  <c r="H862" i="11"/>
  <c r="G862" i="11"/>
  <c r="F862" i="11"/>
  <c r="A862" i="11"/>
  <c r="BV861" i="11"/>
  <c r="BU861" i="11"/>
  <c r="BT861" i="11"/>
  <c r="BR861" i="11"/>
  <c r="BQ861" i="11"/>
  <c r="BP861" i="11"/>
  <c r="BS861" i="11" s="1"/>
  <c r="BS704" i="11" s="1"/>
  <c r="BO861" i="11"/>
  <c r="BM861" i="11"/>
  <c r="BL861" i="11"/>
  <c r="BL863" i="11" s="1"/>
  <c r="BK861" i="11"/>
  <c r="BJ861" i="11"/>
  <c r="BJ704" i="11" s="1"/>
  <c r="BI861" i="11"/>
  <c r="BI704" i="11" s="1"/>
  <c r="BG861" i="11"/>
  <c r="BF861" i="11"/>
  <c r="BE861" i="11"/>
  <c r="BD861" i="11"/>
  <c r="BB861" i="11"/>
  <c r="BA861" i="11"/>
  <c r="BA704" i="11" s="1"/>
  <c r="AZ861" i="11"/>
  <c r="AY861" i="11"/>
  <c r="AY704" i="11" s="1"/>
  <c r="AX861" i="11"/>
  <c r="AX704" i="11" s="1"/>
  <c r="AW861" i="11"/>
  <c r="AW704" i="11" s="1"/>
  <c r="AV861" i="11"/>
  <c r="AU861" i="11"/>
  <c r="AT861" i="11"/>
  <c r="AT704" i="11" s="1"/>
  <c r="AR861" i="11"/>
  <c r="AQ861" i="11"/>
  <c r="AP861" i="11"/>
  <c r="AP704" i="11" s="1"/>
  <c r="AO861" i="11"/>
  <c r="AO704" i="11" s="1"/>
  <c r="AM861" i="11"/>
  <c r="AM704" i="11" s="1"/>
  <c r="AL861" i="11"/>
  <c r="AK861" i="11"/>
  <c r="AJ861" i="11"/>
  <c r="AI861" i="11"/>
  <c r="AH861" i="11"/>
  <c r="AG861" i="11"/>
  <c r="AF861" i="11"/>
  <c r="AE861" i="11"/>
  <c r="AD861" i="11"/>
  <c r="AD704" i="11" s="1"/>
  <c r="AC861" i="11"/>
  <c r="AC704" i="11" s="1"/>
  <c r="AB861" i="11"/>
  <c r="AA861" i="11"/>
  <c r="Z861" i="11"/>
  <c r="X861" i="11"/>
  <c r="X704" i="11" s="1"/>
  <c r="W861" i="11"/>
  <c r="V861" i="11"/>
  <c r="U861" i="11"/>
  <c r="U704" i="11" s="1"/>
  <c r="T861" i="11"/>
  <c r="T704" i="11" s="1"/>
  <c r="S861" i="11"/>
  <c r="S704" i="11" s="1"/>
  <c r="R861" i="11"/>
  <c r="R704" i="11" s="1"/>
  <c r="Q861" i="11"/>
  <c r="P861" i="11"/>
  <c r="N861" i="11"/>
  <c r="M861" i="11"/>
  <c r="L861" i="11"/>
  <c r="K861" i="11"/>
  <c r="J861" i="11"/>
  <c r="I861" i="11"/>
  <c r="H861" i="11"/>
  <c r="H704" i="11" s="1"/>
  <c r="G861" i="11"/>
  <c r="G704" i="11" s="1"/>
  <c r="F861" i="11"/>
  <c r="F704" i="11" s="1"/>
  <c r="A861" i="11"/>
  <c r="BV860" i="11"/>
  <c r="BU860" i="11"/>
  <c r="BT860" i="11"/>
  <c r="BR860" i="11"/>
  <c r="BR863" i="11" s="1"/>
  <c r="BQ860" i="11"/>
  <c r="BP860" i="11"/>
  <c r="BO860" i="11"/>
  <c r="BN860" i="11"/>
  <c r="BM860" i="11"/>
  <c r="BL860" i="11"/>
  <c r="BK860" i="11"/>
  <c r="BJ860" i="11"/>
  <c r="BI860" i="11"/>
  <c r="BI705" i="11" s="1"/>
  <c r="BG860" i="11"/>
  <c r="BF860" i="11"/>
  <c r="BF705" i="11" s="1"/>
  <c r="BE860" i="11"/>
  <c r="BD860" i="11"/>
  <c r="BB860" i="11"/>
  <c r="BA860" i="11"/>
  <c r="AZ860" i="11"/>
  <c r="AY860" i="11"/>
  <c r="AW860" i="11"/>
  <c r="AV860" i="11"/>
  <c r="AV705" i="11" s="1"/>
  <c r="AU860" i="11"/>
  <c r="AT860" i="11"/>
  <c r="AT863" i="11" s="1"/>
  <c r="AS860" i="11"/>
  <c r="AS705" i="11" s="1"/>
  <c r="AR860" i="11"/>
  <c r="AQ860" i="11"/>
  <c r="AP860" i="11"/>
  <c r="AO860" i="11"/>
  <c r="AO705" i="11" s="1"/>
  <c r="AN860" i="11"/>
  <c r="AM860" i="11"/>
  <c r="AM705" i="11" s="1"/>
  <c r="AL860" i="11"/>
  <c r="AK860" i="11"/>
  <c r="AK705" i="11" s="1"/>
  <c r="AJ860" i="11"/>
  <c r="AH860" i="11"/>
  <c r="AH705" i="11" s="1"/>
  <c r="AG860" i="11"/>
  <c r="AF860" i="11"/>
  <c r="AE860" i="11"/>
  <c r="AD860" i="11"/>
  <c r="AC860" i="11"/>
  <c r="AB860" i="11"/>
  <c r="AA860" i="11"/>
  <c r="AA705" i="11" s="1"/>
  <c r="Z860" i="11"/>
  <c r="Z705" i="11" s="1"/>
  <c r="Y860" i="11"/>
  <c r="Y705" i="11" s="1"/>
  <c r="X860" i="11"/>
  <c r="X705" i="11" s="1"/>
  <c r="W860" i="11"/>
  <c r="V860" i="11"/>
  <c r="U860" i="11"/>
  <c r="U705" i="11" s="1"/>
  <c r="T860" i="11"/>
  <c r="S860" i="11"/>
  <c r="R860" i="11"/>
  <c r="Q860" i="11"/>
  <c r="Q705" i="11" s="1"/>
  <c r="P860" i="11"/>
  <c r="N860" i="11"/>
  <c r="N705" i="11" s="1"/>
  <c r="M860" i="11"/>
  <c r="M705" i="11" s="1"/>
  <c r="L860" i="11"/>
  <c r="K860" i="11"/>
  <c r="J860" i="11"/>
  <c r="I860" i="11"/>
  <c r="I705" i="11" s="1"/>
  <c r="H860" i="11"/>
  <c r="H705" i="11" s="1"/>
  <c r="G860" i="11"/>
  <c r="F860" i="11"/>
  <c r="F705" i="11" s="1"/>
  <c r="A860" i="11"/>
  <c r="BV859" i="11"/>
  <c r="BV863" i="11" s="1"/>
  <c r="BU859" i="11"/>
  <c r="BT859" i="11"/>
  <c r="BR859" i="11"/>
  <c r="BQ859" i="11"/>
  <c r="BP859" i="11"/>
  <c r="BO859" i="11"/>
  <c r="BS859" i="11" s="1"/>
  <c r="BM859" i="11"/>
  <c r="BL859" i="11"/>
  <c r="BK859" i="11"/>
  <c r="BJ859" i="11"/>
  <c r="BI859" i="11"/>
  <c r="BI221" i="11" s="1"/>
  <c r="BH859" i="11"/>
  <c r="BH221" i="11" s="1"/>
  <c r="BG859" i="11"/>
  <c r="BF859" i="11"/>
  <c r="BE859" i="11"/>
  <c r="BD859" i="11"/>
  <c r="BD702" i="11" s="1"/>
  <c r="BC859" i="11"/>
  <c r="BC221" i="11" s="1"/>
  <c r="BB859" i="11"/>
  <c r="BA859" i="11"/>
  <c r="BA702" i="11" s="1"/>
  <c r="BA931" i="11" s="1"/>
  <c r="AZ859" i="11"/>
  <c r="AY859" i="11"/>
  <c r="AW859" i="11"/>
  <c r="AV859" i="11"/>
  <c r="AU859" i="11"/>
  <c r="AT859" i="11"/>
  <c r="AR859" i="11"/>
  <c r="AQ859" i="11"/>
  <c r="AP859" i="11"/>
  <c r="AO859" i="11"/>
  <c r="AN859" i="11"/>
  <c r="AM859" i="11"/>
  <c r="AL859" i="11"/>
  <c r="AL221" i="11" s="1"/>
  <c r="AK859" i="11"/>
  <c r="AJ859" i="11"/>
  <c r="AH859" i="11"/>
  <c r="AH702" i="11" s="1"/>
  <c r="AH931" i="11" s="1"/>
  <c r="AG859" i="11"/>
  <c r="AF859" i="11"/>
  <c r="AE859" i="11"/>
  <c r="AD859" i="11"/>
  <c r="AD702" i="11" s="1"/>
  <c r="AD931" i="11" s="1"/>
  <c r="AC859" i="11"/>
  <c r="AC702" i="11" s="1"/>
  <c r="AC931" i="11" s="1"/>
  <c r="AB859" i="11"/>
  <c r="AA859" i="11"/>
  <c r="Z859" i="11"/>
  <c r="X859" i="11"/>
  <c r="W859" i="11"/>
  <c r="V859" i="11"/>
  <c r="U859" i="11"/>
  <c r="T859" i="11"/>
  <c r="S859" i="11"/>
  <c r="R859" i="11"/>
  <c r="R1003" i="11" s="1"/>
  <c r="Q859" i="11"/>
  <c r="Q221" i="11" s="1"/>
  <c r="P859" i="11"/>
  <c r="P221" i="11" s="1"/>
  <c r="O859" i="11"/>
  <c r="N859" i="11"/>
  <c r="M859" i="11"/>
  <c r="L859" i="11"/>
  <c r="L702" i="11" s="1"/>
  <c r="L931" i="11" s="1"/>
  <c r="K859" i="11"/>
  <c r="K702" i="11" s="1"/>
  <c r="K931" i="11" s="1"/>
  <c r="J859" i="11"/>
  <c r="I859" i="11"/>
  <c r="H859" i="11"/>
  <c r="H221" i="11" s="1"/>
  <c r="G859" i="11"/>
  <c r="G1003" i="11" s="1"/>
  <c r="F859" i="11"/>
  <c r="A859" i="11"/>
  <c r="BV858" i="11"/>
  <c r="BU858" i="11"/>
  <c r="BT858" i="11"/>
  <c r="BT1003" i="11" s="1"/>
  <c r="BR858" i="11"/>
  <c r="BQ858" i="11"/>
  <c r="BQ1003" i="11" s="1"/>
  <c r="BP858" i="11"/>
  <c r="BO858" i="11"/>
  <c r="BN858" i="11"/>
  <c r="BM858" i="11"/>
  <c r="BM863" i="11" s="1"/>
  <c r="BL858" i="11"/>
  <c r="BK858" i="11"/>
  <c r="BJ858" i="11"/>
  <c r="BI858" i="11"/>
  <c r="BG858" i="11"/>
  <c r="BF858" i="11"/>
  <c r="BE858" i="11"/>
  <c r="BD858" i="11"/>
  <c r="BB858" i="11"/>
  <c r="BA858" i="11"/>
  <c r="AZ858" i="11"/>
  <c r="AZ1003" i="11" s="1"/>
  <c r="AY858" i="11"/>
  <c r="AY1003" i="11" s="1"/>
  <c r="AX858" i="11"/>
  <c r="AW858" i="11"/>
  <c r="AV858" i="11"/>
  <c r="AV1003" i="11" s="1"/>
  <c r="AU858" i="11"/>
  <c r="AU1003" i="11" s="1"/>
  <c r="AT858" i="11"/>
  <c r="AT1003" i="11" s="1"/>
  <c r="AS858" i="11"/>
  <c r="AR858" i="11"/>
  <c r="AQ858" i="11"/>
  <c r="AP858" i="11"/>
  <c r="AO858" i="11"/>
  <c r="AN858" i="11"/>
  <c r="AM858" i="11"/>
  <c r="AL858" i="11"/>
  <c r="AK858" i="11"/>
  <c r="AJ858" i="11"/>
  <c r="AH858" i="11"/>
  <c r="AG858" i="11"/>
  <c r="AF858" i="11"/>
  <c r="AE858" i="11"/>
  <c r="AE1003" i="11" s="1"/>
  <c r="AD858" i="11"/>
  <c r="AC858" i="11"/>
  <c r="AB858" i="11"/>
  <c r="AA858" i="11"/>
  <c r="Z858" i="11"/>
  <c r="X858" i="11"/>
  <c r="W858" i="11"/>
  <c r="V858" i="11"/>
  <c r="U858" i="11"/>
  <c r="T858" i="11"/>
  <c r="T1003" i="11" s="1"/>
  <c r="S858" i="11"/>
  <c r="R858" i="11"/>
  <c r="Q858" i="11"/>
  <c r="P858" i="11"/>
  <c r="N858" i="11"/>
  <c r="M858" i="11"/>
  <c r="L858" i="11"/>
  <c r="K858" i="11"/>
  <c r="J858" i="11"/>
  <c r="J1003" i="11" s="1"/>
  <c r="I858" i="11"/>
  <c r="H858" i="11"/>
  <c r="G858" i="11"/>
  <c r="F858" i="11"/>
  <c r="A858" i="11"/>
  <c r="BS857" i="11"/>
  <c r="BJ857" i="11"/>
  <c r="BN857" i="11" s="1"/>
  <c r="BI857" i="11"/>
  <c r="BG857" i="11"/>
  <c r="BF857" i="11"/>
  <c r="BE857" i="11"/>
  <c r="BD857" i="11"/>
  <c r="BB857" i="11"/>
  <c r="BA857" i="11"/>
  <c r="AZ857" i="11"/>
  <c r="AY857" i="11"/>
  <c r="AX857" i="11"/>
  <c r="AW857" i="11"/>
  <c r="AV857" i="11"/>
  <c r="AU857" i="11"/>
  <c r="AT857" i="11"/>
  <c r="AS857" i="11"/>
  <c r="AR857" i="11"/>
  <c r="AQ857" i="11"/>
  <c r="AP857" i="11"/>
  <c r="AO857" i="11"/>
  <c r="AN857" i="11"/>
  <c r="AM857" i="11"/>
  <c r="AL857" i="11"/>
  <c r="AK857" i="11"/>
  <c r="AJ857" i="11"/>
  <c r="AH857" i="11"/>
  <c r="AG857" i="11"/>
  <c r="AF857" i="11"/>
  <c r="AF863" i="11" s="1"/>
  <c r="AE857" i="11"/>
  <c r="AC857" i="11"/>
  <c r="AB857" i="11"/>
  <c r="AA857" i="11"/>
  <c r="Z857" i="11"/>
  <c r="X857" i="11"/>
  <c r="W857" i="11"/>
  <c r="V857" i="11"/>
  <c r="U857" i="11"/>
  <c r="T857" i="11"/>
  <c r="S857" i="11"/>
  <c r="R857" i="11"/>
  <c r="R863" i="11" s="1"/>
  <c r="Q857" i="11"/>
  <c r="P857" i="11"/>
  <c r="N857" i="11"/>
  <c r="M857" i="11"/>
  <c r="L857" i="11"/>
  <c r="K857" i="11"/>
  <c r="K863" i="11" s="1"/>
  <c r="J857" i="11"/>
  <c r="I857" i="11"/>
  <c r="H857" i="11"/>
  <c r="G857" i="11"/>
  <c r="F857" i="11"/>
  <c r="A857" i="11"/>
  <c r="BS856" i="11"/>
  <c r="BJ856" i="11"/>
  <c r="BI856" i="11"/>
  <c r="BH856" i="11"/>
  <c r="BG856" i="11"/>
  <c r="BF856" i="11"/>
  <c r="BE856" i="11"/>
  <c r="BD856" i="11"/>
  <c r="BB856" i="11"/>
  <c r="BA856" i="11"/>
  <c r="AZ856" i="11"/>
  <c r="AZ863" i="11" s="1"/>
  <c r="AY856" i="11"/>
  <c r="AY863" i="11" s="1"/>
  <c r="AX856" i="11"/>
  <c r="AW856" i="11"/>
  <c r="AW863" i="11" s="1"/>
  <c r="AV856" i="11"/>
  <c r="AU856" i="11"/>
  <c r="AT856" i="11"/>
  <c r="AR856" i="11"/>
  <c r="AQ856" i="11"/>
  <c r="AP856" i="11"/>
  <c r="AO856" i="11"/>
  <c r="AN856" i="11"/>
  <c r="AM856" i="11"/>
  <c r="AL856" i="11"/>
  <c r="AK856" i="11"/>
  <c r="AJ856" i="11"/>
  <c r="AH856" i="11"/>
  <c r="AG856" i="11"/>
  <c r="AF856" i="11"/>
  <c r="AE856" i="11"/>
  <c r="AE863" i="11" s="1"/>
  <c r="AC856" i="11"/>
  <c r="AB856" i="11"/>
  <c r="AA856" i="11"/>
  <c r="Z856" i="11"/>
  <c r="X856" i="11"/>
  <c r="W856" i="11"/>
  <c r="V856" i="11"/>
  <c r="U856" i="11"/>
  <c r="T856" i="11"/>
  <c r="S856" i="11"/>
  <c r="S863" i="11" s="1"/>
  <c r="R856" i="11"/>
  <c r="Q856" i="11"/>
  <c r="P856" i="11"/>
  <c r="N856" i="11"/>
  <c r="M856" i="11"/>
  <c r="L856" i="11"/>
  <c r="K856" i="11"/>
  <c r="J856" i="11"/>
  <c r="I856" i="11"/>
  <c r="H856" i="11"/>
  <c r="G856" i="11"/>
  <c r="F856" i="11"/>
  <c r="A856" i="11"/>
  <c r="A855" i="11"/>
  <c r="A853" i="11"/>
  <c r="BS852" i="11"/>
  <c r="BJ852" i="11"/>
  <c r="BN852" i="11" s="1"/>
  <c r="BI852" i="11"/>
  <c r="BH852" i="11"/>
  <c r="BG852" i="11"/>
  <c r="BF852" i="11"/>
  <c r="BE852" i="11"/>
  <c r="BD852" i="11"/>
  <c r="BC852" i="11"/>
  <c r="BB852" i="11"/>
  <c r="BA852" i="11"/>
  <c r="AZ852" i="11"/>
  <c r="AY852" i="11"/>
  <c r="AX852" i="11"/>
  <c r="AW852" i="11"/>
  <c r="AV852" i="11"/>
  <c r="AU852" i="11"/>
  <c r="AT852" i="11"/>
  <c r="AS852" i="11"/>
  <c r="AR852" i="11"/>
  <c r="AQ852" i="11"/>
  <c r="AP852" i="11"/>
  <c r="AO852" i="11"/>
  <c r="AN852" i="11"/>
  <c r="AM852" i="11"/>
  <c r="AL852" i="11"/>
  <c r="AK852" i="11"/>
  <c r="AJ852" i="11"/>
  <c r="AH852" i="11"/>
  <c r="AG852" i="11"/>
  <c r="AF852" i="11"/>
  <c r="AE852" i="11"/>
  <c r="AC852" i="11"/>
  <c r="AB852" i="11"/>
  <c r="AA852" i="11"/>
  <c r="Z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852" i="11"/>
  <c r="BJ851" i="11"/>
  <c r="BI851" i="11"/>
  <c r="BG851" i="11"/>
  <c r="BF851" i="11"/>
  <c r="BE851" i="11"/>
  <c r="BD851" i="11"/>
  <c r="BB851" i="11"/>
  <c r="BA851" i="11"/>
  <c r="AZ851" i="11"/>
  <c r="AY851" i="11"/>
  <c r="AX851" i="11"/>
  <c r="AW851" i="11"/>
  <c r="AV851" i="11"/>
  <c r="AU851" i="11"/>
  <c r="AT851" i="11"/>
  <c r="AS851" i="11"/>
  <c r="AR851" i="11"/>
  <c r="AQ851" i="11"/>
  <c r="AP851" i="11"/>
  <c r="AO851" i="11"/>
  <c r="AN851" i="11"/>
  <c r="AM851" i="11"/>
  <c r="AL851" i="11"/>
  <c r="AK851" i="11"/>
  <c r="AJ851" i="11"/>
  <c r="AH851" i="11"/>
  <c r="AG851" i="11"/>
  <c r="AF851" i="11"/>
  <c r="AE851" i="11"/>
  <c r="AC851" i="11"/>
  <c r="AB851" i="11"/>
  <c r="AA851" i="11"/>
  <c r="Z851" i="11"/>
  <c r="X851" i="11"/>
  <c r="W851" i="11"/>
  <c r="V851" i="11"/>
  <c r="U851" i="11"/>
  <c r="T851" i="11"/>
  <c r="S851" i="11"/>
  <c r="R851" i="11"/>
  <c r="Q851" i="11"/>
  <c r="P851" i="11"/>
  <c r="N851" i="11"/>
  <c r="M851" i="11"/>
  <c r="L851" i="11"/>
  <c r="K851" i="11"/>
  <c r="J851" i="11"/>
  <c r="I851" i="11"/>
  <c r="H851" i="11"/>
  <c r="G851" i="11"/>
  <c r="F851" i="11"/>
  <c r="A851" i="11"/>
  <c r="BJ850" i="11"/>
  <c r="BI850" i="11"/>
  <c r="BH850" i="11"/>
  <c r="BG850" i="11"/>
  <c r="BF850" i="11"/>
  <c r="BE850" i="11"/>
  <c r="BD850" i="11"/>
  <c r="BC850" i="11"/>
  <c r="BB850" i="11"/>
  <c r="BA850" i="11"/>
  <c r="AZ850" i="11"/>
  <c r="AY850" i="11"/>
  <c r="AX850" i="11"/>
  <c r="AW850" i="11"/>
  <c r="AV850" i="11"/>
  <c r="AU850" i="11"/>
  <c r="AT850" i="11"/>
  <c r="AS850" i="11"/>
  <c r="AR850" i="11"/>
  <c r="AQ850" i="11"/>
  <c r="AP850" i="11"/>
  <c r="AO850" i="11"/>
  <c r="AM850" i="11"/>
  <c r="AL850" i="11"/>
  <c r="AK850" i="11"/>
  <c r="AJ850" i="11"/>
  <c r="AI850" i="11"/>
  <c r="AH850" i="11"/>
  <c r="AG850" i="11"/>
  <c r="AF850" i="11"/>
  <c r="AE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850" i="11"/>
  <c r="BS849" i="11"/>
  <c r="BN849" i="11"/>
  <c r="BJ849" i="11"/>
  <c r="BI849" i="11"/>
  <c r="BH849" i="11"/>
  <c r="BG849" i="11"/>
  <c r="BF849" i="11"/>
  <c r="BE849" i="11"/>
  <c r="BD849" i="11"/>
  <c r="BB849" i="11"/>
  <c r="BA849" i="11"/>
  <c r="AZ849" i="11"/>
  <c r="AY849" i="11"/>
  <c r="AW849" i="11"/>
  <c r="AV849" i="11"/>
  <c r="AU849" i="11"/>
  <c r="AT849" i="11"/>
  <c r="AS849" i="11"/>
  <c r="AR849" i="11"/>
  <c r="AQ849" i="11"/>
  <c r="AP849" i="11"/>
  <c r="AO849" i="11"/>
  <c r="AN849" i="11"/>
  <c r="AM849" i="11"/>
  <c r="AL849" i="11"/>
  <c r="AK849" i="11"/>
  <c r="AJ849" i="11"/>
  <c r="AH849" i="11"/>
  <c r="AG849" i="11"/>
  <c r="AF849" i="11"/>
  <c r="AE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849" i="11"/>
  <c r="BJ848" i="11"/>
  <c r="BI848" i="11"/>
  <c r="BH848" i="11"/>
  <c r="BG848" i="11"/>
  <c r="BF848" i="11"/>
  <c r="BE848" i="11"/>
  <c r="BD848" i="11"/>
  <c r="BB848" i="11"/>
  <c r="BA848" i="11"/>
  <c r="AZ848" i="11"/>
  <c r="AY848" i="11"/>
  <c r="AW848" i="11"/>
  <c r="AV848" i="11"/>
  <c r="AU848" i="11"/>
  <c r="AT848" i="11"/>
  <c r="AS848" i="11"/>
  <c r="AR848" i="11"/>
  <c r="AQ848" i="11"/>
  <c r="AP848" i="11"/>
  <c r="AO848" i="11"/>
  <c r="AN848" i="11"/>
  <c r="AM848" i="11"/>
  <c r="AL848" i="11"/>
  <c r="AK848" i="11"/>
  <c r="AJ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N848" i="11"/>
  <c r="M848" i="11"/>
  <c r="L848" i="11"/>
  <c r="K848" i="11"/>
  <c r="J848" i="11"/>
  <c r="I848" i="11"/>
  <c r="H848" i="11"/>
  <c r="G848" i="11"/>
  <c r="F848" i="11"/>
  <c r="A848" i="11"/>
  <c r="BJ847" i="11"/>
  <c r="BI847" i="11"/>
  <c r="BG847" i="11"/>
  <c r="BF847" i="11"/>
  <c r="BE847" i="11"/>
  <c r="BD847" i="11"/>
  <c r="BC847" i="11"/>
  <c r="BB847" i="11"/>
  <c r="BA847" i="11"/>
  <c r="AZ847" i="11"/>
  <c r="AY847" i="11"/>
  <c r="AW847" i="11"/>
  <c r="AV847" i="11"/>
  <c r="AU847" i="11"/>
  <c r="AT847" i="11"/>
  <c r="AR847" i="11"/>
  <c r="AQ847" i="11"/>
  <c r="AP847" i="11"/>
  <c r="AO847" i="11"/>
  <c r="AM847" i="11"/>
  <c r="AL847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847" i="11"/>
  <c r="BJ846" i="11"/>
  <c r="BI846" i="11"/>
  <c r="BG846" i="11"/>
  <c r="BF846" i="11"/>
  <c r="BE846" i="11"/>
  <c r="BD846" i="11"/>
  <c r="BC846" i="11"/>
  <c r="BB846" i="11"/>
  <c r="BA846" i="11"/>
  <c r="AZ846" i="11"/>
  <c r="AY846" i="11"/>
  <c r="AX846" i="11"/>
  <c r="AW846" i="11"/>
  <c r="AV846" i="11"/>
  <c r="AU846" i="11"/>
  <c r="AT846" i="11"/>
  <c r="AS846" i="11"/>
  <c r="AR846" i="11"/>
  <c r="AQ846" i="11"/>
  <c r="AP846" i="11"/>
  <c r="AO846" i="11"/>
  <c r="AN846" i="11"/>
  <c r="AM846" i="11"/>
  <c r="AL846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846" i="11"/>
  <c r="AY845" i="11"/>
  <c r="AW845" i="11"/>
  <c r="AP845" i="11"/>
  <c r="U845" i="11"/>
  <c r="A845" i="11"/>
  <c r="BS844" i="11"/>
  <c r="BN844" i="11"/>
  <c r="BJ844" i="11"/>
  <c r="BI844" i="11"/>
  <c r="BH844" i="11"/>
  <c r="BG844" i="11"/>
  <c r="BF844" i="11"/>
  <c r="BE844" i="11"/>
  <c r="BD844" i="11"/>
  <c r="BB844" i="11"/>
  <c r="BA844" i="11"/>
  <c r="BA845" i="11" s="1"/>
  <c r="AZ844" i="11"/>
  <c r="AY844" i="11"/>
  <c r="AX844" i="11"/>
  <c r="AW844" i="11"/>
  <c r="AV844" i="11"/>
  <c r="AU844" i="11"/>
  <c r="AU845" i="11" s="1"/>
  <c r="AT844" i="11"/>
  <c r="AR844" i="11"/>
  <c r="AQ844" i="11"/>
  <c r="AP844" i="11"/>
  <c r="AO844" i="11"/>
  <c r="AM844" i="11"/>
  <c r="AL844" i="11"/>
  <c r="AK844" i="11"/>
  <c r="AJ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N844" i="11"/>
  <c r="M844" i="11"/>
  <c r="L844" i="11"/>
  <c r="K844" i="11"/>
  <c r="K845" i="11" s="1"/>
  <c r="J844" i="11"/>
  <c r="I844" i="11"/>
  <c r="H844" i="11"/>
  <c r="G844" i="11"/>
  <c r="F844" i="11"/>
  <c r="A844" i="11"/>
  <c r="BS843" i="11"/>
  <c r="BN843" i="11"/>
  <c r="BJ843" i="11"/>
  <c r="BI843" i="11"/>
  <c r="BG843" i="11"/>
  <c r="BF843" i="11"/>
  <c r="BE843" i="11"/>
  <c r="BD843" i="11"/>
  <c r="BB843" i="11"/>
  <c r="BA843" i="11"/>
  <c r="AZ843" i="11"/>
  <c r="AY843" i="11"/>
  <c r="AX843" i="11"/>
  <c r="AW843" i="11"/>
  <c r="AV843" i="11"/>
  <c r="AU843" i="11"/>
  <c r="AT843" i="11"/>
  <c r="AS843" i="11"/>
  <c r="AR843" i="11"/>
  <c r="AQ843" i="11"/>
  <c r="AP843" i="11"/>
  <c r="AO843" i="11"/>
  <c r="AN843" i="11"/>
  <c r="AM843" i="11"/>
  <c r="AL843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843" i="11"/>
  <c r="BJ842" i="11"/>
  <c r="BI842" i="11"/>
  <c r="BG842" i="11"/>
  <c r="BF842" i="11"/>
  <c r="BE842" i="11"/>
  <c r="BD842" i="11"/>
  <c r="BB842" i="11"/>
  <c r="BA842" i="11"/>
  <c r="AZ842" i="11"/>
  <c r="AY842" i="11"/>
  <c r="AY224" i="11" s="1"/>
  <c r="AY479" i="11" s="1"/>
  <c r="AX842" i="11"/>
  <c r="AW842" i="11"/>
  <c r="AV842" i="11"/>
  <c r="AU842" i="11"/>
  <c r="AT842" i="11"/>
  <c r="AS842" i="11"/>
  <c r="AR842" i="11"/>
  <c r="AQ842" i="11"/>
  <c r="AP842" i="11"/>
  <c r="AO842" i="11"/>
  <c r="AN842" i="11"/>
  <c r="AM842" i="11"/>
  <c r="AL842" i="11"/>
  <c r="AK842" i="11"/>
  <c r="AJ842" i="11"/>
  <c r="AI842" i="11"/>
  <c r="AH842" i="11"/>
  <c r="AG842" i="11"/>
  <c r="AF842" i="11"/>
  <c r="AE842" i="11"/>
  <c r="AE224" i="11" s="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K224" i="11" s="1"/>
  <c r="J842" i="11"/>
  <c r="I842" i="11"/>
  <c r="H842" i="11"/>
  <c r="G842" i="11"/>
  <c r="F842" i="11"/>
  <c r="A842" i="11"/>
  <c r="BS841" i="11"/>
  <c r="BN841" i="11"/>
  <c r="BJ841" i="11"/>
  <c r="BI841" i="11"/>
  <c r="BH841" i="11"/>
  <c r="BG841" i="11"/>
  <c r="BF841" i="11"/>
  <c r="BE841" i="11"/>
  <c r="BD841" i="11"/>
  <c r="BB841" i="11"/>
  <c r="BA841" i="11"/>
  <c r="AZ841" i="11"/>
  <c r="AY841" i="11"/>
  <c r="AX841" i="11"/>
  <c r="AW841" i="11"/>
  <c r="AV841" i="11"/>
  <c r="AU841" i="11"/>
  <c r="AT841" i="11"/>
  <c r="AS841" i="11"/>
  <c r="AR841" i="11"/>
  <c r="AQ841" i="11"/>
  <c r="AP841" i="11"/>
  <c r="AO841" i="11"/>
  <c r="AN841" i="11"/>
  <c r="AM841" i="11"/>
  <c r="AL841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H845" i="11" s="1"/>
  <c r="G841" i="11"/>
  <c r="F841" i="11"/>
  <c r="A841" i="11"/>
  <c r="BJ840" i="11"/>
  <c r="BI840" i="11"/>
  <c r="BH840" i="11"/>
  <c r="BG840" i="11"/>
  <c r="BF840" i="11"/>
  <c r="BE840" i="11"/>
  <c r="BD840" i="11"/>
  <c r="BC840" i="11"/>
  <c r="BB840" i="11"/>
  <c r="BA840" i="11"/>
  <c r="AZ840" i="11"/>
  <c r="AY840" i="11"/>
  <c r="AX840" i="11"/>
  <c r="AW840" i="11"/>
  <c r="AW254" i="11" s="1"/>
  <c r="AW253" i="11" s="1"/>
  <c r="AV840" i="11"/>
  <c r="AU840" i="11"/>
  <c r="AT840" i="11"/>
  <c r="AS840" i="11"/>
  <c r="AR840" i="11"/>
  <c r="AQ840" i="11"/>
  <c r="AP840" i="11"/>
  <c r="AO840" i="11"/>
  <c r="AN840" i="11"/>
  <c r="AM840" i="11"/>
  <c r="AL840" i="11"/>
  <c r="AK840" i="11"/>
  <c r="AJ840" i="11"/>
  <c r="AI840" i="11"/>
  <c r="AH840" i="11"/>
  <c r="AG840" i="11"/>
  <c r="AF840" i="11"/>
  <c r="AE840" i="11"/>
  <c r="AD840" i="11"/>
  <c r="AC840" i="11"/>
  <c r="AC254" i="11" s="1"/>
  <c r="AB840" i="11"/>
  <c r="AA840" i="11"/>
  <c r="Z840" i="11"/>
  <c r="Y840" i="11"/>
  <c r="X840" i="11"/>
  <c r="W840" i="11"/>
  <c r="W254" i="11" s="1"/>
  <c r="V840" i="11"/>
  <c r="U840" i="11"/>
  <c r="T840" i="11"/>
  <c r="T254" i="11" s="1"/>
  <c r="S840" i="11"/>
  <c r="R840" i="11"/>
  <c r="Q840" i="11"/>
  <c r="P840" i="11"/>
  <c r="O840" i="11"/>
  <c r="N840" i="11"/>
  <c r="M840" i="11"/>
  <c r="L840" i="11"/>
  <c r="K840" i="11"/>
  <c r="J840" i="11"/>
  <c r="I840" i="11"/>
  <c r="I254" i="11" s="1"/>
  <c r="H840" i="11"/>
  <c r="G840" i="11"/>
  <c r="F840" i="11"/>
  <c r="A840" i="11"/>
  <c r="BS839" i="11"/>
  <c r="BN839" i="11"/>
  <c r="BJ839" i="11"/>
  <c r="BI839" i="11"/>
  <c r="BG839" i="11"/>
  <c r="BF839" i="11"/>
  <c r="BE839" i="11"/>
  <c r="BD839" i="11"/>
  <c r="BC839" i="11"/>
  <c r="BB839" i="11"/>
  <c r="BA839" i="11"/>
  <c r="AZ839" i="11"/>
  <c r="AY839" i="11"/>
  <c r="AW839" i="11"/>
  <c r="AV839" i="11"/>
  <c r="AU839" i="11"/>
  <c r="AT839" i="11"/>
  <c r="AR839" i="11"/>
  <c r="AQ839" i="11"/>
  <c r="AP839" i="11"/>
  <c r="AO839" i="11"/>
  <c r="AM839" i="11"/>
  <c r="AL839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839" i="11"/>
  <c r="BJ838" i="11"/>
  <c r="BI838" i="11"/>
  <c r="BH838" i="11"/>
  <c r="BG838" i="11"/>
  <c r="BF838" i="11"/>
  <c r="BE838" i="11"/>
  <c r="BD838" i="11"/>
  <c r="BB838" i="11"/>
  <c r="BA838" i="11"/>
  <c r="AZ838" i="11"/>
  <c r="AZ715" i="11" s="1"/>
  <c r="AY838" i="11"/>
  <c r="AX838" i="11"/>
  <c r="AW838" i="11"/>
  <c r="AV838" i="11"/>
  <c r="AU838" i="11"/>
  <c r="AT838" i="11"/>
  <c r="AS838" i="11"/>
  <c r="AR838" i="11"/>
  <c r="AR715" i="11" s="1"/>
  <c r="AR716" i="11" s="1"/>
  <c r="AQ838" i="11"/>
  <c r="AQ715" i="11" s="1"/>
  <c r="AQ716" i="11" s="1"/>
  <c r="AP838" i="11"/>
  <c r="AP715" i="11" s="1"/>
  <c r="AO838" i="11"/>
  <c r="AN838" i="11"/>
  <c r="AM838" i="11"/>
  <c r="AM845" i="11" s="1"/>
  <c r="AL838" i="11"/>
  <c r="AK838" i="11"/>
  <c r="AJ838" i="11"/>
  <c r="AH838" i="11"/>
  <c r="AG838" i="11"/>
  <c r="AF838" i="11"/>
  <c r="AE838" i="11"/>
  <c r="AD838" i="11"/>
  <c r="AC838" i="11"/>
  <c r="AB838" i="11"/>
  <c r="AA838" i="11"/>
  <c r="Z838" i="11"/>
  <c r="X838" i="11"/>
  <c r="W838" i="11"/>
  <c r="V838" i="11"/>
  <c r="U838" i="11"/>
  <c r="T838" i="11"/>
  <c r="S838" i="11"/>
  <c r="R838" i="11"/>
  <c r="R715" i="11" s="1"/>
  <c r="R716" i="11" s="1"/>
  <c r="Q838" i="11"/>
  <c r="Q715" i="11" s="1"/>
  <c r="Q716" i="11" s="1"/>
  <c r="P838" i="11"/>
  <c r="N838" i="11"/>
  <c r="M838" i="11"/>
  <c r="L838" i="11"/>
  <c r="K838" i="11"/>
  <c r="J838" i="11"/>
  <c r="I838" i="11"/>
  <c r="I715" i="11" s="1"/>
  <c r="H838" i="11"/>
  <c r="H715" i="11" s="1"/>
  <c r="G838" i="11"/>
  <c r="G243" i="11" s="1"/>
  <c r="F838" i="11"/>
  <c r="A838" i="11"/>
  <c r="BJ837" i="11"/>
  <c r="BI837" i="11"/>
  <c r="BG837" i="11"/>
  <c r="BF837" i="11"/>
  <c r="BE837" i="11"/>
  <c r="BD837" i="11"/>
  <c r="BD845" i="11" s="1"/>
  <c r="BB837" i="11"/>
  <c r="BA837" i="11"/>
  <c r="AZ837" i="11"/>
  <c r="AY837" i="11"/>
  <c r="AW837" i="11"/>
  <c r="AV837" i="11"/>
  <c r="AU837" i="11"/>
  <c r="AT837" i="11"/>
  <c r="AS837" i="11"/>
  <c r="AR837" i="11"/>
  <c r="AR132" i="11" s="1"/>
  <c r="AQ837" i="11"/>
  <c r="AQ242" i="11" s="1"/>
  <c r="AP837" i="11"/>
  <c r="AP242" i="11" s="1"/>
  <c r="AP930" i="11" s="1"/>
  <c r="AO837" i="11"/>
  <c r="AM837" i="11"/>
  <c r="AL837" i="11"/>
  <c r="AK837" i="11"/>
  <c r="AJ837" i="11"/>
  <c r="AI837" i="11"/>
  <c r="AH837" i="11"/>
  <c r="AH132" i="11" s="1"/>
  <c r="AH131" i="11" s="1"/>
  <c r="AG837" i="11"/>
  <c r="AF837" i="11"/>
  <c r="AE837" i="11"/>
  <c r="AC837" i="11"/>
  <c r="AB837" i="11"/>
  <c r="AA837" i="11"/>
  <c r="Z837" i="11"/>
  <c r="Y837" i="11"/>
  <c r="X837" i="11"/>
  <c r="W837" i="11"/>
  <c r="W242" i="11" s="1"/>
  <c r="W930" i="11" s="1"/>
  <c r="V837" i="11"/>
  <c r="U837" i="11"/>
  <c r="T837" i="11"/>
  <c r="S837" i="11"/>
  <c r="R837" i="11"/>
  <c r="Q837" i="11"/>
  <c r="P837" i="11"/>
  <c r="N837" i="11"/>
  <c r="M837" i="11"/>
  <c r="L837" i="11"/>
  <c r="K837" i="11"/>
  <c r="J837" i="11"/>
  <c r="I837" i="11"/>
  <c r="H837" i="11"/>
  <c r="G837" i="11"/>
  <c r="F837" i="11"/>
  <c r="A837" i="11"/>
  <c r="BJ836" i="11"/>
  <c r="BI836" i="11"/>
  <c r="BG836" i="11"/>
  <c r="BF836" i="11"/>
  <c r="BE836" i="11"/>
  <c r="BD836" i="11"/>
  <c r="BB836" i="11"/>
  <c r="BA836" i="11"/>
  <c r="AZ836" i="11"/>
  <c r="AY836" i="11"/>
  <c r="AW836" i="11"/>
  <c r="AV836" i="11"/>
  <c r="AU836" i="11"/>
  <c r="AT836" i="11"/>
  <c r="AR836" i="11"/>
  <c r="AQ836" i="11"/>
  <c r="AP836" i="11"/>
  <c r="AO836" i="11"/>
  <c r="AM836" i="11"/>
  <c r="AL836" i="11"/>
  <c r="AK836" i="11"/>
  <c r="AJ836" i="11"/>
  <c r="AI836" i="11"/>
  <c r="AH836" i="11"/>
  <c r="AG836" i="11"/>
  <c r="AF836" i="11"/>
  <c r="AE836" i="11"/>
  <c r="AC836" i="11"/>
  <c r="AB836" i="11"/>
  <c r="AA836" i="11"/>
  <c r="Z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836" i="11"/>
  <c r="A835" i="11"/>
  <c r="O832" i="11"/>
  <c r="O895" i="11" s="1"/>
  <c r="J832" i="11"/>
  <c r="BI831" i="11"/>
  <c r="BD831" i="11"/>
  <c r="BC831" i="11"/>
  <c r="AY831" i="11"/>
  <c r="AT831" i="11"/>
  <c r="AO831" i="11"/>
  <c r="AN831" i="11"/>
  <c r="AJ831" i="11"/>
  <c r="AI831" i="11"/>
  <c r="AE831" i="11"/>
  <c r="BH830" i="11"/>
  <c r="BC830" i="11"/>
  <c r="AX830" i="11"/>
  <c r="AS830" i="11"/>
  <c r="AN830" i="11"/>
  <c r="AI830" i="11"/>
  <c r="AD830" i="11"/>
  <c r="BH829" i="11"/>
  <c r="BC829" i="11"/>
  <c r="AX829" i="11"/>
  <c r="AX831" i="11" s="1"/>
  <c r="AS829" i="11"/>
  <c r="AN829" i="11"/>
  <c r="AI829" i="11"/>
  <c r="AD829" i="11"/>
  <c r="AD831" i="11" s="1"/>
  <c r="AY826" i="11"/>
  <c r="AY889" i="11" s="1"/>
  <c r="BU824" i="11"/>
  <c r="BK824" i="11"/>
  <c r="BF824" i="11"/>
  <c r="AU824" i="11"/>
  <c r="AT824" i="11"/>
  <c r="AR824" i="11"/>
  <c r="AM824" i="11"/>
  <c r="AA824" i="11"/>
  <c r="V824" i="11"/>
  <c r="S824" i="11"/>
  <c r="R824" i="11"/>
  <c r="Q824" i="11"/>
  <c r="BR823" i="11"/>
  <c r="BM823" i="11"/>
  <c r="BH823" i="11"/>
  <c r="BC823" i="11"/>
  <c r="AX823" i="11"/>
  <c r="AX886" i="11" s="1"/>
  <c r="AS823" i="11"/>
  <c r="AN823" i="11"/>
  <c r="AI823" i="11"/>
  <c r="AD823" i="11"/>
  <c r="AD886" i="11" s="1"/>
  <c r="Y823" i="11"/>
  <c r="T823" i="11"/>
  <c r="O823" i="11"/>
  <c r="O886" i="11" s="1"/>
  <c r="J823" i="11"/>
  <c r="BV821" i="11"/>
  <c r="BU821" i="11"/>
  <c r="BT821" i="11"/>
  <c r="BS821" i="11"/>
  <c r="BQ821" i="11"/>
  <c r="BP821" i="11"/>
  <c r="BO821" i="11"/>
  <c r="BO824" i="11" s="1"/>
  <c r="BN821" i="11"/>
  <c r="BN824" i="11" s="1"/>
  <c r="BL821" i="11"/>
  <c r="BK821" i="11"/>
  <c r="BJ821" i="11"/>
  <c r="BI821" i="11"/>
  <c r="BG821" i="11"/>
  <c r="BG824" i="11" s="1"/>
  <c r="BF821" i="11"/>
  <c r="BE821" i="11"/>
  <c r="BE824" i="11" s="1"/>
  <c r="BD821" i="11"/>
  <c r="BB821" i="11"/>
  <c r="BA821" i="11"/>
  <c r="AZ821" i="11"/>
  <c r="AZ824" i="11" s="1"/>
  <c r="AY821" i="11"/>
  <c r="AW821" i="11"/>
  <c r="AV821" i="11"/>
  <c r="AU821" i="11"/>
  <c r="AT821" i="11"/>
  <c r="AR821" i="11"/>
  <c r="AQ821" i="11"/>
  <c r="AP821" i="11"/>
  <c r="AP824" i="11" s="1"/>
  <c r="AO821" i="11"/>
  <c r="AM821" i="11"/>
  <c r="AL821" i="11"/>
  <c r="AK821" i="11"/>
  <c r="AK824" i="11" s="1"/>
  <c r="AJ821" i="11"/>
  <c r="AH821" i="11"/>
  <c r="AG821" i="11"/>
  <c r="AF821" i="11"/>
  <c r="AE821" i="11"/>
  <c r="AC821" i="11"/>
  <c r="AB821" i="11"/>
  <c r="AB824" i="11" s="1"/>
  <c r="AA821" i="11"/>
  <c r="Z821" i="11"/>
  <c r="X821" i="11"/>
  <c r="W821" i="11"/>
  <c r="V821" i="11"/>
  <c r="U821" i="11"/>
  <c r="U824" i="11" s="1"/>
  <c r="T821" i="11"/>
  <c r="S821" i="11"/>
  <c r="R821" i="11"/>
  <c r="Q821" i="11"/>
  <c r="P821" i="11"/>
  <c r="N821" i="11"/>
  <c r="N824" i="11" s="1"/>
  <c r="M821" i="11"/>
  <c r="L821" i="11"/>
  <c r="K821" i="11"/>
  <c r="J821" i="11"/>
  <c r="I821" i="11"/>
  <c r="I824" i="11" s="1"/>
  <c r="H821" i="11"/>
  <c r="G821" i="11"/>
  <c r="G824" i="11" s="1"/>
  <c r="F821" i="11"/>
  <c r="F824" i="11" s="1"/>
  <c r="F827" i="11" s="1"/>
  <c r="G826" i="11" s="1"/>
  <c r="H826" i="11" s="1"/>
  <c r="I826" i="11" s="1"/>
  <c r="J826" i="11" s="1"/>
  <c r="K826" i="11" s="1"/>
  <c r="BR820" i="11"/>
  <c r="BM820" i="11"/>
  <c r="AS820" i="11"/>
  <c r="AS883" i="11" s="1"/>
  <c r="AN820" i="11"/>
  <c r="AI820" i="11"/>
  <c r="AD820" i="11"/>
  <c r="AD883" i="11" s="1"/>
  <c r="Y820" i="11"/>
  <c r="Y883" i="11" s="1"/>
  <c r="O820" i="11"/>
  <c r="BR819" i="11"/>
  <c r="BM819" i="11"/>
  <c r="BH819" i="11"/>
  <c r="BC819" i="11"/>
  <c r="BC882" i="11" s="1"/>
  <c r="AX819" i="11"/>
  <c r="AS819" i="11"/>
  <c r="AS882" i="11" s="1"/>
  <c r="BR818" i="11"/>
  <c r="BM818" i="11"/>
  <c r="AS818" i="11"/>
  <c r="AS881" i="11" s="1"/>
  <c r="AN818" i="11"/>
  <c r="AN881" i="11" s="1"/>
  <c r="AI818" i="11"/>
  <c r="AI881" i="11" s="1"/>
  <c r="BR817" i="11"/>
  <c r="BM817" i="11"/>
  <c r="AS817" i="11"/>
  <c r="AN817" i="11"/>
  <c r="AN880" i="11" s="1"/>
  <c r="AI817" i="11"/>
  <c r="AI880" i="11" s="1"/>
  <c r="BR816" i="11"/>
  <c r="BM816" i="11"/>
  <c r="AS816" i="11"/>
  <c r="AS879" i="11" s="1"/>
  <c r="AN816" i="11"/>
  <c r="AN879" i="11" s="1"/>
  <c r="AI816" i="11"/>
  <c r="AD816" i="11"/>
  <c r="AD879" i="11" s="1"/>
  <c r="Y816" i="11"/>
  <c r="Y879" i="11" s="1"/>
  <c r="O816" i="11"/>
  <c r="O879" i="11" s="1"/>
  <c r="BR815" i="11"/>
  <c r="BM815" i="11"/>
  <c r="AS815" i="11"/>
  <c r="AS878" i="11" s="1"/>
  <c r="AN815" i="11"/>
  <c r="AI815" i="11"/>
  <c r="AI878" i="11" s="1"/>
  <c r="AD815" i="11"/>
  <c r="AD878" i="11" s="1"/>
  <c r="AD706" i="11" s="1"/>
  <c r="Y815" i="11"/>
  <c r="Y878" i="11" s="1"/>
  <c r="O815" i="11"/>
  <c r="O878" i="11" s="1"/>
  <c r="O706" i="11" s="1"/>
  <c r="BR814" i="11"/>
  <c r="BM814" i="11"/>
  <c r="BH814" i="11"/>
  <c r="BC814" i="11"/>
  <c r="BC877" i="11" s="1"/>
  <c r="AX814" i="11"/>
  <c r="AX821" i="11" s="1"/>
  <c r="AS814" i="11"/>
  <c r="AN814" i="11"/>
  <c r="AN877" i="11" s="1"/>
  <c r="AI814" i="11"/>
  <c r="AI877" i="11" s="1"/>
  <c r="AD814" i="11"/>
  <c r="Y814" i="11"/>
  <c r="Y877" i="11" s="1"/>
  <c r="O814" i="11"/>
  <c r="O877" i="11" s="1"/>
  <c r="BR813" i="11"/>
  <c r="BM813" i="11"/>
  <c r="AS813" i="11"/>
  <c r="AS876" i="11" s="1"/>
  <c r="AN813" i="11"/>
  <c r="AI813" i="11"/>
  <c r="AI876" i="11" s="1"/>
  <c r="AD813" i="11"/>
  <c r="AD876" i="11" s="1"/>
  <c r="Y813" i="11"/>
  <c r="O813" i="11"/>
  <c r="O876" i="11" s="1"/>
  <c r="BR812" i="11"/>
  <c r="BM812" i="11"/>
  <c r="BH812" i="11"/>
  <c r="BH875" i="11" s="1"/>
  <c r="BC812" i="11"/>
  <c r="AS812" i="11"/>
  <c r="AS875" i="11" s="1"/>
  <c r="BR811" i="11"/>
  <c r="BM811" i="11"/>
  <c r="BH811" i="11"/>
  <c r="BH874" i="11" s="1"/>
  <c r="BC811" i="11"/>
  <c r="BC874" i="11" s="1"/>
  <c r="BR810" i="11"/>
  <c r="BM810" i="11"/>
  <c r="BH810" i="11"/>
  <c r="BH873" i="11" s="1"/>
  <c r="BC810" i="11"/>
  <c r="BC873" i="11" s="1"/>
  <c r="AS810" i="11"/>
  <c r="AS873" i="11" s="1"/>
  <c r="AN810" i="11"/>
  <c r="AN873" i="11" s="1"/>
  <c r="AI810" i="11"/>
  <c r="AI873" i="11" s="1"/>
  <c r="AD810" i="11"/>
  <c r="BR809" i="11"/>
  <c r="BM809" i="11"/>
  <c r="AS809" i="11"/>
  <c r="AS872" i="11" s="1"/>
  <c r="BR808" i="11"/>
  <c r="BM808" i="11"/>
  <c r="AS808" i="11"/>
  <c r="AS871" i="11" s="1"/>
  <c r="BR807" i="11"/>
  <c r="BM807" i="11"/>
  <c r="BH807" i="11"/>
  <c r="BC807" i="11"/>
  <c r="AS807" i="11"/>
  <c r="AS870" i="11" s="1"/>
  <c r="AN807" i="11"/>
  <c r="AI807" i="11"/>
  <c r="AD807" i="11"/>
  <c r="BR806" i="11"/>
  <c r="BM806" i="11"/>
  <c r="AS806" i="11"/>
  <c r="AS869" i="11" s="1"/>
  <c r="AN806" i="11"/>
  <c r="BR805" i="11"/>
  <c r="BM805" i="11"/>
  <c r="AS805" i="11"/>
  <c r="AS868" i="11" s="1"/>
  <c r="AS712" i="11" s="1"/>
  <c r="AN805" i="11"/>
  <c r="AN868" i="11" s="1"/>
  <c r="AN712" i="11" s="1"/>
  <c r="AI805" i="11"/>
  <c r="AI868" i="11" s="1"/>
  <c r="AD805" i="11"/>
  <c r="Y805" i="11"/>
  <c r="Y868" i="11" s="1"/>
  <c r="O805" i="11"/>
  <c r="BR804" i="11"/>
  <c r="BM804" i="11"/>
  <c r="F804" i="11"/>
  <c r="F867" i="11" s="1"/>
  <c r="BR803" i="11"/>
  <c r="BM803" i="11"/>
  <c r="AS803" i="11"/>
  <c r="AN803" i="11"/>
  <c r="AN821" i="11" s="1"/>
  <c r="AI803" i="11"/>
  <c r="AD803" i="11"/>
  <c r="Y803" i="11"/>
  <c r="O803" i="11"/>
  <c r="BV800" i="11"/>
  <c r="BU800" i="11"/>
  <c r="BT800" i="11"/>
  <c r="BS800" i="11"/>
  <c r="BQ800" i="11"/>
  <c r="BP800" i="11"/>
  <c r="BO800" i="11"/>
  <c r="BN800" i="11"/>
  <c r="BL800" i="11"/>
  <c r="BK800" i="11"/>
  <c r="BJ800" i="11"/>
  <c r="BI800" i="11"/>
  <c r="BG800" i="11"/>
  <c r="BF800" i="11"/>
  <c r="BE800" i="11"/>
  <c r="BD800" i="11"/>
  <c r="BB800" i="11"/>
  <c r="BB824" i="11" s="1"/>
  <c r="BA800" i="11"/>
  <c r="AZ800" i="11"/>
  <c r="AY800" i="11"/>
  <c r="AW800" i="11"/>
  <c r="AV800" i="11"/>
  <c r="AU800" i="11"/>
  <c r="AT800" i="11"/>
  <c r="AR800" i="11"/>
  <c r="AQ800" i="11"/>
  <c r="AP800" i="11"/>
  <c r="AO800" i="11"/>
  <c r="AO824" i="11" s="1"/>
  <c r="AM800" i="11"/>
  <c r="AL800" i="11"/>
  <c r="AK800" i="11"/>
  <c r="AJ800" i="11"/>
  <c r="AH800" i="11"/>
  <c r="AG800" i="11"/>
  <c r="AF800" i="11"/>
  <c r="AE800" i="11"/>
  <c r="AC800" i="11"/>
  <c r="AB800" i="11"/>
  <c r="AA800" i="11"/>
  <c r="Z800" i="11"/>
  <c r="X800" i="11"/>
  <c r="W800" i="11"/>
  <c r="V800" i="11"/>
  <c r="U800" i="11"/>
  <c r="T800" i="11"/>
  <c r="S800" i="11"/>
  <c r="R800" i="11"/>
  <c r="Q800" i="11"/>
  <c r="P800" i="11"/>
  <c r="N800" i="11"/>
  <c r="M800" i="11"/>
  <c r="L800" i="11"/>
  <c r="K800" i="11"/>
  <c r="K824" i="11" s="1"/>
  <c r="J800" i="11"/>
  <c r="I800" i="11"/>
  <c r="H800" i="11"/>
  <c r="G800" i="11"/>
  <c r="F800" i="11"/>
  <c r="BR799" i="11"/>
  <c r="BM799" i="11"/>
  <c r="BH799" i="11"/>
  <c r="BH862" i="11" s="1"/>
  <c r="BC799" i="11"/>
  <c r="BC862" i="11" s="1"/>
  <c r="AX799" i="11"/>
  <c r="AX862" i="11" s="1"/>
  <c r="AS799" i="11"/>
  <c r="AN799" i="11"/>
  <c r="AN862" i="11" s="1"/>
  <c r="AI799" i="11"/>
  <c r="AI862" i="11" s="1"/>
  <c r="AD799" i="11"/>
  <c r="Y799" i="11"/>
  <c r="Y862" i="11" s="1"/>
  <c r="O799" i="11"/>
  <c r="O862" i="11" s="1"/>
  <c r="BR798" i="11"/>
  <c r="BM798" i="11"/>
  <c r="BH798" i="11"/>
  <c r="BH861" i="11" s="1"/>
  <c r="BH704" i="11" s="1"/>
  <c r="BC798" i="11"/>
  <c r="BC861" i="11" s="1"/>
  <c r="AX798" i="11"/>
  <c r="AS798" i="11"/>
  <c r="AS861" i="11" s="1"/>
  <c r="AN798" i="11"/>
  <c r="AN861" i="11" s="1"/>
  <c r="AN704" i="11" s="1"/>
  <c r="AI798" i="11"/>
  <c r="AD798" i="11"/>
  <c r="Y798" i="11"/>
  <c r="Y861" i="11" s="1"/>
  <c r="Y704" i="11" s="1"/>
  <c r="O798" i="11"/>
  <c r="O861" i="11" s="1"/>
  <c r="O704" i="11" s="1"/>
  <c r="BR797" i="11"/>
  <c r="BM797" i="11"/>
  <c r="BH797" i="11"/>
  <c r="BH860" i="11" s="1"/>
  <c r="BH705" i="11" s="1"/>
  <c r="BC797" i="11"/>
  <c r="BC860" i="11" s="1"/>
  <c r="AX797" i="11"/>
  <c r="AX860" i="11" s="1"/>
  <c r="AX705" i="11" s="1"/>
  <c r="AS797" i="11"/>
  <c r="AN797" i="11"/>
  <c r="AI797" i="11"/>
  <c r="AI860" i="11" s="1"/>
  <c r="AI705" i="11" s="1"/>
  <c r="AD797" i="11"/>
  <c r="Y797" i="11"/>
  <c r="O797" i="11"/>
  <c r="O860" i="11" s="1"/>
  <c r="BR796" i="11"/>
  <c r="BM796" i="11"/>
  <c r="BH796" i="11"/>
  <c r="BC796" i="11"/>
  <c r="AX796" i="11"/>
  <c r="AS796" i="11"/>
  <c r="AS859" i="11" s="1"/>
  <c r="AN796" i="11"/>
  <c r="AI796" i="11"/>
  <c r="AI859" i="11" s="1"/>
  <c r="AD796" i="11"/>
  <c r="Y796" i="11"/>
  <c r="Y859" i="11" s="1"/>
  <c r="O796" i="11"/>
  <c r="BR795" i="11"/>
  <c r="BM795" i="11"/>
  <c r="BH795" i="11"/>
  <c r="BH858" i="11" s="1"/>
  <c r="BC795" i="11"/>
  <c r="BC858" i="11" s="1"/>
  <c r="AX795" i="11"/>
  <c r="AS795" i="11"/>
  <c r="AN795" i="11"/>
  <c r="AI795" i="11"/>
  <c r="AI858" i="11" s="1"/>
  <c r="AD795" i="11"/>
  <c r="Y795" i="11"/>
  <c r="Y858" i="11" s="1"/>
  <c r="O795" i="11"/>
  <c r="O858" i="11" s="1"/>
  <c r="BR794" i="11"/>
  <c r="BM794" i="11"/>
  <c r="BH794" i="11"/>
  <c r="BC794" i="11"/>
  <c r="BC857" i="11" s="1"/>
  <c r="AX794" i="11"/>
  <c r="AS794" i="11"/>
  <c r="AS800" i="11" s="1"/>
  <c r="AN794" i="11"/>
  <c r="AI794" i="11"/>
  <c r="AI857" i="11" s="1"/>
  <c r="AD794" i="11"/>
  <c r="AD857" i="11" s="1"/>
  <c r="Y794" i="11"/>
  <c r="Y857" i="11" s="1"/>
  <c r="O794" i="11"/>
  <c r="O857" i="11" s="1"/>
  <c r="BR793" i="11"/>
  <c r="BR800" i="11" s="1"/>
  <c r="BM793" i="11"/>
  <c r="BH793" i="11"/>
  <c r="BC793" i="11"/>
  <c r="AX793" i="11"/>
  <c r="AS793" i="11"/>
  <c r="AS856" i="11" s="1"/>
  <c r="AN793" i="11"/>
  <c r="AI793" i="11"/>
  <c r="AD793" i="11"/>
  <c r="Y793" i="11"/>
  <c r="O793" i="11"/>
  <c r="BV790" i="11"/>
  <c r="BR790" i="11"/>
  <c r="BQ790" i="11"/>
  <c r="BP790" i="11"/>
  <c r="BO790" i="11"/>
  <c r="BN790" i="11"/>
  <c r="BI790" i="11"/>
  <c r="BB790" i="11"/>
  <c r="AY790" i="11"/>
  <c r="AU790" i="11"/>
  <c r="AT790" i="11"/>
  <c r="AR790" i="11"/>
  <c r="AQ790" i="11"/>
  <c r="AQ824" i="11" s="1"/>
  <c r="AO790" i="11"/>
  <c r="AL790" i="11"/>
  <c r="AK790" i="11"/>
  <c r="AJ790" i="11"/>
  <c r="AH790" i="11"/>
  <c r="X790" i="11"/>
  <c r="W790" i="11"/>
  <c r="V790" i="11"/>
  <c r="Q790" i="11"/>
  <c r="P790" i="11"/>
  <c r="P824" i="11" s="1"/>
  <c r="N790" i="11"/>
  <c r="M790" i="11"/>
  <c r="M824" i="11" s="1"/>
  <c r="L790" i="11"/>
  <c r="I790" i="11"/>
  <c r="F790" i="11"/>
  <c r="BR789" i="11"/>
  <c r="BM789" i="11"/>
  <c r="BH789" i="11"/>
  <c r="BC789" i="11"/>
  <c r="AX789" i="11"/>
  <c r="AS789" i="11"/>
  <c r="AN789" i="11"/>
  <c r="AI789" i="11"/>
  <c r="AI852" i="11" s="1"/>
  <c r="AD789" i="11"/>
  <c r="AD852" i="11" s="1"/>
  <c r="Y789" i="11"/>
  <c r="Y852" i="11" s="1"/>
  <c r="O789" i="11"/>
  <c r="BR788" i="11"/>
  <c r="BM788" i="11"/>
  <c r="BH788" i="11"/>
  <c r="BH851" i="11" s="1"/>
  <c r="BC788" i="11"/>
  <c r="BC851" i="11" s="1"/>
  <c r="AX788" i="11"/>
  <c r="AS788" i="11"/>
  <c r="AN788" i="11"/>
  <c r="AI788" i="11"/>
  <c r="AI851" i="11" s="1"/>
  <c r="AD788" i="11"/>
  <c r="AD851" i="11" s="1"/>
  <c r="Y788" i="11"/>
  <c r="Y851" i="11" s="1"/>
  <c r="O788" i="11"/>
  <c r="O851" i="11" s="1"/>
  <c r="BR787" i="11"/>
  <c r="BM787" i="11"/>
  <c r="BH787" i="11"/>
  <c r="BC787" i="11"/>
  <c r="AX787" i="11"/>
  <c r="AS787" i="11"/>
  <c r="AN787" i="11"/>
  <c r="AN850" i="11" s="1"/>
  <c r="AI787" i="11"/>
  <c r="AD787" i="11"/>
  <c r="AD850" i="11" s="1"/>
  <c r="Y787" i="11"/>
  <c r="O787" i="11"/>
  <c r="BR786" i="11"/>
  <c r="BM786" i="11"/>
  <c r="BH786" i="11"/>
  <c r="BC786" i="11"/>
  <c r="BC849" i="11" s="1"/>
  <c r="AX786" i="11"/>
  <c r="AX849" i="11" s="1"/>
  <c r="AS786" i="11"/>
  <c r="AN786" i="11"/>
  <c r="AI786" i="11"/>
  <c r="AI849" i="11" s="1"/>
  <c r="AD786" i="11"/>
  <c r="AD849" i="11" s="1"/>
  <c r="Y786" i="11"/>
  <c r="O786" i="11"/>
  <c r="BR785" i="11"/>
  <c r="BM785" i="11"/>
  <c r="BH785" i="11"/>
  <c r="BC785" i="11"/>
  <c r="BC848" i="11" s="1"/>
  <c r="AX785" i="11"/>
  <c r="AX848" i="11" s="1"/>
  <c r="AS785" i="11"/>
  <c r="AN785" i="11"/>
  <c r="AI785" i="11"/>
  <c r="AI848" i="11" s="1"/>
  <c r="AD785" i="11"/>
  <c r="Y785" i="11"/>
  <c r="O785" i="11"/>
  <c r="O848" i="11" s="1"/>
  <c r="BR784" i="11"/>
  <c r="BM784" i="11"/>
  <c r="BH784" i="11"/>
  <c r="BH847" i="11" s="1"/>
  <c r="BC784" i="11"/>
  <c r="AX784" i="11"/>
  <c r="AX847" i="11" s="1"/>
  <c r="AS784" i="11"/>
  <c r="AS847" i="11" s="1"/>
  <c r="AN784" i="11"/>
  <c r="AN847" i="11" s="1"/>
  <c r="AI784" i="11"/>
  <c r="AD784" i="11"/>
  <c r="Y784" i="11"/>
  <c r="Y847" i="11" s="1"/>
  <c r="O784" i="11"/>
  <c r="BR783" i="11"/>
  <c r="BM783" i="11"/>
  <c r="BH783" i="11"/>
  <c r="BH846" i="11" s="1"/>
  <c r="BC783" i="11"/>
  <c r="AX783" i="11"/>
  <c r="AS783" i="11"/>
  <c r="AN783" i="11"/>
  <c r="AI783" i="11"/>
  <c r="AD783" i="11"/>
  <c r="Y783" i="11"/>
  <c r="O783" i="11"/>
  <c r="BV782" i="11"/>
  <c r="BU782" i="11"/>
  <c r="BU790" i="11" s="1"/>
  <c r="BT782" i="11"/>
  <c r="BT790" i="11" s="1"/>
  <c r="BT824" i="11" s="1"/>
  <c r="BS782" i="11"/>
  <c r="BS790" i="11" s="1"/>
  <c r="BS824" i="11" s="1"/>
  <c r="BQ782" i="11"/>
  <c r="BP782" i="11"/>
  <c r="BO782" i="11"/>
  <c r="BN782" i="11"/>
  <c r="BL782" i="11"/>
  <c r="BL790" i="11" s="1"/>
  <c r="BK782" i="11"/>
  <c r="BK790" i="11" s="1"/>
  <c r="BJ782" i="11"/>
  <c r="BJ790" i="11" s="1"/>
  <c r="BJ824" i="11" s="1"/>
  <c r="BI782" i="11"/>
  <c r="BG782" i="11"/>
  <c r="BG790" i="11" s="1"/>
  <c r="BF782" i="11"/>
  <c r="BF790" i="11" s="1"/>
  <c r="BE782" i="11"/>
  <c r="BE790" i="11" s="1"/>
  <c r="BD782" i="11"/>
  <c r="BD790" i="11" s="1"/>
  <c r="BB782" i="11"/>
  <c r="BA782" i="11"/>
  <c r="BA790" i="11" s="1"/>
  <c r="AZ782" i="11"/>
  <c r="AZ790" i="11" s="1"/>
  <c r="AY782" i="11"/>
  <c r="AW782" i="11"/>
  <c r="AW790" i="11" s="1"/>
  <c r="AV782" i="11"/>
  <c r="AV790" i="11" s="1"/>
  <c r="AU782" i="11"/>
  <c r="AT782" i="11"/>
  <c r="AR782" i="11"/>
  <c r="AQ782" i="11"/>
  <c r="AP782" i="11"/>
  <c r="AP790" i="11" s="1"/>
  <c r="AO782" i="11"/>
  <c r="AM782" i="11"/>
  <c r="AM790" i="11" s="1"/>
  <c r="AL782" i="11"/>
  <c r="AK782" i="11"/>
  <c r="AJ782" i="11"/>
  <c r="AH782" i="11"/>
  <c r="AG782" i="11"/>
  <c r="AG790" i="11" s="1"/>
  <c r="AF782" i="11"/>
  <c r="AF790" i="11" s="1"/>
  <c r="AE782" i="11"/>
  <c r="AE790" i="11" s="1"/>
  <c r="AE824" i="11" s="1"/>
  <c r="AC782" i="11"/>
  <c r="AC790" i="11" s="1"/>
  <c r="AB782" i="11"/>
  <c r="AB790" i="11" s="1"/>
  <c r="AA782" i="11"/>
  <c r="AA790" i="11" s="1"/>
  <c r="Z782" i="11"/>
  <c r="Z790" i="11" s="1"/>
  <c r="Z824" i="11" s="1"/>
  <c r="X782" i="11"/>
  <c r="W782" i="11"/>
  <c r="V782" i="11"/>
  <c r="U782" i="11"/>
  <c r="U790" i="11" s="1"/>
  <c r="T782" i="11"/>
  <c r="T790" i="11" s="1"/>
  <c r="S782" i="11"/>
  <c r="S790" i="11" s="1"/>
  <c r="R782" i="11"/>
  <c r="R790" i="11" s="1"/>
  <c r="Q782" i="11"/>
  <c r="P782" i="11"/>
  <c r="N782" i="11"/>
  <c r="M782" i="11"/>
  <c r="L782" i="11"/>
  <c r="K782" i="11"/>
  <c r="K790" i="11" s="1"/>
  <c r="J782" i="11"/>
  <c r="J790" i="11" s="1"/>
  <c r="I782" i="11"/>
  <c r="H782" i="11"/>
  <c r="H790" i="11" s="1"/>
  <c r="G782" i="11"/>
  <c r="G790" i="11" s="1"/>
  <c r="F782" i="11"/>
  <c r="BR781" i="11"/>
  <c r="BM781" i="11"/>
  <c r="BH781" i="11"/>
  <c r="BC781" i="11"/>
  <c r="BC844" i="11" s="1"/>
  <c r="AX781" i="11"/>
  <c r="AS781" i="11"/>
  <c r="AS844" i="11" s="1"/>
  <c r="AN781" i="11"/>
  <c r="AN844" i="11" s="1"/>
  <c r="AI781" i="11"/>
  <c r="AI844" i="11" s="1"/>
  <c r="AD781" i="11"/>
  <c r="Y781" i="11"/>
  <c r="O781" i="11"/>
  <c r="O844" i="11" s="1"/>
  <c r="BR780" i="11"/>
  <c r="BM780" i="11"/>
  <c r="BH780" i="11"/>
  <c r="BH843" i="11" s="1"/>
  <c r="BC780" i="11"/>
  <c r="BC843" i="11" s="1"/>
  <c r="BR779" i="11"/>
  <c r="BM779" i="11"/>
  <c r="BH779" i="11"/>
  <c r="BH842" i="11" s="1"/>
  <c r="BC779" i="11"/>
  <c r="BC842" i="11" s="1"/>
  <c r="AX779" i="11"/>
  <c r="AS779" i="11"/>
  <c r="AN779" i="11"/>
  <c r="AI779" i="11"/>
  <c r="AD779" i="11"/>
  <c r="BR778" i="11"/>
  <c r="BM778" i="11"/>
  <c r="BH778" i="11"/>
  <c r="BC778" i="11"/>
  <c r="BC841" i="11" s="1"/>
  <c r="AX778" i="11"/>
  <c r="BR777" i="11"/>
  <c r="BM777" i="11"/>
  <c r="BH777" i="11"/>
  <c r="BC777" i="11"/>
  <c r="BR776" i="11"/>
  <c r="BM776" i="11"/>
  <c r="BH776" i="11"/>
  <c r="BH839" i="11" s="1"/>
  <c r="BC776" i="11"/>
  <c r="AX776" i="11"/>
  <c r="AS776" i="11"/>
  <c r="AS839" i="11" s="1"/>
  <c r="AN776" i="11"/>
  <c r="AI776" i="11"/>
  <c r="AD776" i="11"/>
  <c r="Y776" i="11"/>
  <c r="O776" i="11"/>
  <c r="BR775" i="11"/>
  <c r="BM775" i="11"/>
  <c r="BH775" i="11"/>
  <c r="BC775" i="11"/>
  <c r="BC838" i="11" s="1"/>
  <c r="AX775" i="11"/>
  <c r="AS775" i="11"/>
  <c r="AN775" i="11"/>
  <c r="AI775" i="11"/>
  <c r="AI838" i="11" s="1"/>
  <c r="AD775" i="11"/>
  <c r="Y775" i="11"/>
  <c r="Y838" i="11" s="1"/>
  <c r="O775" i="11"/>
  <c r="O838" i="11" s="1"/>
  <c r="O715" i="11" s="1"/>
  <c r="BR774" i="11"/>
  <c r="BR782" i="11" s="1"/>
  <c r="BM774" i="11"/>
  <c r="BH774" i="11"/>
  <c r="BC774" i="11"/>
  <c r="BC837" i="11" s="1"/>
  <c r="AX774" i="11"/>
  <c r="AX837" i="11" s="1"/>
  <c r="AS774" i="11"/>
  <c r="AN774" i="11"/>
  <c r="AN837" i="11" s="1"/>
  <c r="AI774" i="11"/>
  <c r="AD774" i="11"/>
  <c r="AD837" i="11" s="1"/>
  <c r="Y774" i="11"/>
  <c r="O774" i="11"/>
  <c r="BR773" i="11"/>
  <c r="BM773" i="11"/>
  <c r="BH773" i="11"/>
  <c r="BH836" i="11" s="1"/>
  <c r="BC773" i="11"/>
  <c r="AX773" i="11"/>
  <c r="AX836" i="11" s="1"/>
  <c r="AS773" i="11"/>
  <c r="AN773" i="11"/>
  <c r="AN836" i="11" s="1"/>
  <c r="AI773" i="11"/>
  <c r="AI782" i="11" s="1"/>
  <c r="AD773" i="11"/>
  <c r="Y773" i="11"/>
  <c r="O773" i="11"/>
  <c r="BV769" i="11"/>
  <c r="BU769" i="11"/>
  <c r="BT769" i="11"/>
  <c r="BS769" i="11"/>
  <c r="BR769" i="11"/>
  <c r="BQ769" i="11"/>
  <c r="BP769" i="11"/>
  <c r="BO769" i="11"/>
  <c r="BN769" i="11"/>
  <c r="BN498" i="11" s="1"/>
  <c r="BM769" i="11"/>
  <c r="BL769" i="11"/>
  <c r="BK769" i="11"/>
  <c r="BJ769" i="11"/>
  <c r="BI769" i="11"/>
  <c r="BH769" i="11"/>
  <c r="BG769" i="11"/>
  <c r="BF769" i="11"/>
  <c r="BE769" i="11"/>
  <c r="BD769" i="11"/>
  <c r="BD498" i="11" s="1"/>
  <c r="BC769" i="11"/>
  <c r="BB769" i="11"/>
  <c r="BA769" i="11"/>
  <c r="AZ769" i="11"/>
  <c r="AY769" i="11"/>
  <c r="AX769" i="11"/>
  <c r="AW769" i="11"/>
  <c r="AV769" i="11"/>
  <c r="AU769" i="11"/>
  <c r="AT769" i="11"/>
  <c r="AT498" i="11" s="1"/>
  <c r="AS769" i="11"/>
  <c r="AR769" i="11"/>
  <c r="AQ769" i="11"/>
  <c r="AP769" i="11"/>
  <c r="AO769" i="11"/>
  <c r="AN769" i="11"/>
  <c r="AM769" i="11"/>
  <c r="AL769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F769" i="11"/>
  <c r="BV767" i="11"/>
  <c r="BU767" i="11"/>
  <c r="BT767" i="11"/>
  <c r="BS767" i="11"/>
  <c r="BS496" i="11" s="1"/>
  <c r="BR767" i="11"/>
  <c r="BQ767" i="11"/>
  <c r="BP767" i="11"/>
  <c r="BO767" i="11"/>
  <c r="BN767" i="11"/>
  <c r="BM767" i="11"/>
  <c r="BL767" i="11"/>
  <c r="BL496" i="11" s="1"/>
  <c r="BK767" i="11"/>
  <c r="BJ767" i="11"/>
  <c r="BI767" i="11"/>
  <c r="BH767" i="11"/>
  <c r="BG767" i="11"/>
  <c r="BG496" i="11" s="1"/>
  <c r="BF767" i="11"/>
  <c r="BE767" i="11"/>
  <c r="BD767" i="11"/>
  <c r="BC767" i="11"/>
  <c r="BB767" i="11"/>
  <c r="BA767" i="11"/>
  <c r="AZ767" i="11"/>
  <c r="AY767" i="11"/>
  <c r="AY496" i="11" s="1"/>
  <c r="AX767" i="11"/>
  <c r="AW767" i="11"/>
  <c r="AV767" i="11"/>
  <c r="AU767" i="11"/>
  <c r="AT767" i="11"/>
  <c r="AS767" i="11"/>
  <c r="AR767" i="11"/>
  <c r="AR496" i="11" s="1"/>
  <c r="AQ767" i="11"/>
  <c r="AP767" i="11"/>
  <c r="AO767" i="11"/>
  <c r="AO496" i="11" s="1"/>
  <c r="AN767" i="11"/>
  <c r="AM767" i="11"/>
  <c r="AL767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F767" i="11"/>
  <c r="BJ764" i="11"/>
  <c r="BI764" i="11"/>
  <c r="BH764" i="11"/>
  <c r="BG764" i="11"/>
  <c r="BF764" i="11"/>
  <c r="BE764" i="11"/>
  <c r="BD764" i="11"/>
  <c r="BC764" i="11"/>
  <c r="BB764" i="11"/>
  <c r="BA764" i="11"/>
  <c r="AZ764" i="11"/>
  <c r="AY764" i="11"/>
  <c r="AX764" i="11"/>
  <c r="AW764" i="11"/>
  <c r="AV764" i="11"/>
  <c r="AU764" i="11"/>
  <c r="AT764" i="11"/>
  <c r="AS764" i="11"/>
  <c r="AR764" i="11"/>
  <c r="AQ764" i="11"/>
  <c r="AP764" i="11"/>
  <c r="AO764" i="11"/>
  <c r="AN764" i="11"/>
  <c r="AM764" i="11"/>
  <c r="AL764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BJ763" i="11"/>
  <c r="BI763" i="11"/>
  <c r="BH763" i="11"/>
  <c r="BG763" i="11"/>
  <c r="BF763" i="11"/>
  <c r="BE763" i="11"/>
  <c r="BD763" i="11"/>
  <c r="BC763" i="11"/>
  <c r="BB763" i="11"/>
  <c r="BA763" i="11"/>
  <c r="AZ763" i="11"/>
  <c r="AY763" i="11"/>
  <c r="AX763" i="11"/>
  <c r="AW763" i="11"/>
  <c r="AV763" i="11"/>
  <c r="AU763" i="11"/>
  <c r="AT763" i="11"/>
  <c r="AS763" i="11"/>
  <c r="AR763" i="11"/>
  <c r="AQ763" i="11"/>
  <c r="AP763" i="11"/>
  <c r="AO763" i="11"/>
  <c r="AN763" i="11"/>
  <c r="AM763" i="11"/>
  <c r="AL763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E763" i="11"/>
  <c r="D763" i="11"/>
  <c r="C763" i="11"/>
  <c r="BJ761" i="11"/>
  <c r="BI761" i="11"/>
  <c r="BH761" i="11"/>
  <c r="BG761" i="11"/>
  <c r="BF761" i="11"/>
  <c r="BE761" i="11"/>
  <c r="BD761" i="11"/>
  <c r="BC761" i="11"/>
  <c r="BB761" i="11"/>
  <c r="BA761" i="11"/>
  <c r="AZ761" i="11"/>
  <c r="AY761" i="11"/>
  <c r="AX761" i="11"/>
  <c r="AW761" i="11"/>
  <c r="AV761" i="11"/>
  <c r="AU761" i="11"/>
  <c r="AT761" i="11"/>
  <c r="AS761" i="11"/>
  <c r="AR761" i="11"/>
  <c r="AQ761" i="11"/>
  <c r="AP761" i="11"/>
  <c r="AO761" i="11"/>
  <c r="AN761" i="11"/>
  <c r="AM761" i="11"/>
  <c r="AL761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E761" i="11"/>
  <c r="D761" i="11"/>
  <c r="C761" i="11"/>
  <c r="BV760" i="11"/>
  <c r="BU760" i="11"/>
  <c r="BT760" i="11"/>
  <c r="BS760" i="11"/>
  <c r="BR760" i="11"/>
  <c r="BQ760" i="11"/>
  <c r="BP760" i="11"/>
  <c r="BO760" i="11"/>
  <c r="BN760" i="11"/>
  <c r="BM760" i="11"/>
  <c r="BL760" i="11"/>
  <c r="BK760" i="11"/>
  <c r="BV759" i="11"/>
  <c r="BU759" i="11"/>
  <c r="BT759" i="11"/>
  <c r="BS759" i="11"/>
  <c r="BR759" i="11"/>
  <c r="BQ759" i="11"/>
  <c r="BP759" i="11"/>
  <c r="BO759" i="11"/>
  <c r="BN759" i="11"/>
  <c r="BM759" i="11"/>
  <c r="BL759" i="11"/>
  <c r="BK759" i="11"/>
  <c r="BV758" i="11"/>
  <c r="BU758" i="11"/>
  <c r="BT758" i="11"/>
  <c r="BS758" i="11"/>
  <c r="BR758" i="11"/>
  <c r="BQ758" i="11"/>
  <c r="BP758" i="11"/>
  <c r="BO758" i="11"/>
  <c r="BN758" i="11"/>
  <c r="BM758" i="11"/>
  <c r="BL758" i="11"/>
  <c r="BK758" i="11"/>
  <c r="A756" i="11"/>
  <c r="A755" i="11"/>
  <c r="A754" i="11"/>
  <c r="A753" i="11"/>
  <c r="A751" i="11"/>
  <c r="A749" i="11"/>
  <c r="A748" i="11"/>
  <c r="A747" i="11"/>
  <c r="AE743" i="11"/>
  <c r="Z743" i="11"/>
  <c r="T740" i="11"/>
  <c r="R740" i="11"/>
  <c r="M740" i="11"/>
  <c r="AZ739" i="11"/>
  <c r="AQ739" i="11"/>
  <c r="AL739" i="11"/>
  <c r="AK739" i="11"/>
  <c r="AJ739" i="11"/>
  <c r="AE739" i="11"/>
  <c r="AA739" i="11"/>
  <c r="M739" i="11"/>
  <c r="L739" i="11"/>
  <c r="L740" i="11" s="1"/>
  <c r="K739" i="11"/>
  <c r="BJ733" i="11"/>
  <c r="BG733" i="11"/>
  <c r="BB733" i="11"/>
  <c r="BA733" i="11"/>
  <c r="AZ733" i="11"/>
  <c r="AV733" i="11"/>
  <c r="AT733" i="11"/>
  <c r="AR733" i="11"/>
  <c r="AM733" i="11"/>
  <c r="AF733" i="11"/>
  <c r="AE733" i="11"/>
  <c r="AE744" i="11" s="1"/>
  <c r="AD733" i="11"/>
  <c r="Y733" i="11"/>
  <c r="X733" i="11"/>
  <c r="M733" i="11"/>
  <c r="L733" i="11"/>
  <c r="K733" i="11"/>
  <c r="F733" i="11"/>
  <c r="BJ732" i="11"/>
  <c r="BJ492" i="11" s="1"/>
  <c r="BI732" i="11"/>
  <c r="BI492" i="11" s="1"/>
  <c r="BH732" i="11"/>
  <c r="BH492" i="11" s="1"/>
  <c r="BG732" i="11"/>
  <c r="BF732" i="11"/>
  <c r="BE732" i="11"/>
  <c r="BD732" i="11"/>
  <c r="BB732" i="11"/>
  <c r="BA732" i="11"/>
  <c r="AZ732" i="11"/>
  <c r="AY732" i="11"/>
  <c r="AW732" i="11"/>
  <c r="AV732" i="11"/>
  <c r="AU732" i="11"/>
  <c r="AT732" i="11"/>
  <c r="AR732" i="11"/>
  <c r="AQ732" i="11"/>
  <c r="AP732" i="11"/>
  <c r="AO732" i="11"/>
  <c r="AO492" i="11" s="1"/>
  <c r="AN732" i="11"/>
  <c r="AM732" i="11"/>
  <c r="AL732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Z733" i="11" s="1"/>
  <c r="Z744" i="11" s="1"/>
  <c r="Y732" i="11"/>
  <c r="X732" i="11"/>
  <c r="W732" i="11"/>
  <c r="V732" i="11"/>
  <c r="U732" i="11"/>
  <c r="T732" i="11"/>
  <c r="S732" i="11"/>
  <c r="S733" i="11" s="1"/>
  <c r="R732" i="11"/>
  <c r="R733" i="11" s="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BJ731" i="11"/>
  <c r="BJ995" i="11" s="1"/>
  <c r="BI731" i="11"/>
  <c r="BI733" i="11" s="1"/>
  <c r="BG731" i="11"/>
  <c r="BF731" i="11"/>
  <c r="BE731" i="11"/>
  <c r="BD731" i="11"/>
  <c r="BB731" i="11"/>
  <c r="BA731" i="11"/>
  <c r="AZ731" i="11"/>
  <c r="AZ995" i="11" s="1"/>
  <c r="AY731" i="11"/>
  <c r="AX731" i="11"/>
  <c r="AW731" i="11"/>
  <c r="AW995" i="11" s="1"/>
  <c r="AV731" i="11"/>
  <c r="AU731" i="11"/>
  <c r="AT731" i="11"/>
  <c r="AT995" i="11" s="1"/>
  <c r="AR731" i="11"/>
  <c r="AR995" i="11" s="1"/>
  <c r="AQ731" i="11"/>
  <c r="AP731" i="11"/>
  <c r="AP995" i="11" s="1"/>
  <c r="AO731" i="11"/>
  <c r="AN731" i="11"/>
  <c r="AM731" i="11"/>
  <c r="AL731" i="11"/>
  <c r="AL995" i="11" s="1"/>
  <c r="AK731" i="11"/>
  <c r="AJ731" i="11"/>
  <c r="AI731" i="11"/>
  <c r="AI733" i="11" s="1"/>
  <c r="AH731" i="11"/>
  <c r="AG731" i="11"/>
  <c r="AG733" i="11" s="1"/>
  <c r="AF731" i="11"/>
  <c r="AE731" i="11"/>
  <c r="AE995" i="11" s="1"/>
  <c r="AC731" i="11"/>
  <c r="AB731" i="11"/>
  <c r="AA731" i="11"/>
  <c r="Z731" i="11"/>
  <c r="Z995" i="11" s="1"/>
  <c r="Y731" i="11"/>
  <c r="Y995" i="11" s="1"/>
  <c r="X731" i="11"/>
  <c r="X995" i="11" s="1"/>
  <c r="W731" i="11"/>
  <c r="V731" i="11"/>
  <c r="V995" i="11" s="1"/>
  <c r="U731" i="11"/>
  <c r="U995" i="11" s="1"/>
  <c r="T731" i="11"/>
  <c r="S731" i="11"/>
  <c r="R731" i="11"/>
  <c r="Q731" i="11"/>
  <c r="P731" i="11"/>
  <c r="O731" i="11"/>
  <c r="N731" i="11"/>
  <c r="M731" i="11"/>
  <c r="M995" i="11" s="1"/>
  <c r="L731" i="11"/>
  <c r="L995" i="11" s="1"/>
  <c r="K731" i="11"/>
  <c r="K995" i="11" s="1"/>
  <c r="J731" i="11"/>
  <c r="I731" i="11"/>
  <c r="I995" i="11" s="1"/>
  <c r="H731" i="11"/>
  <c r="H995" i="11" s="1"/>
  <c r="G731" i="11"/>
  <c r="G995" i="11" s="1"/>
  <c r="F731" i="11"/>
  <c r="BJ730" i="11"/>
  <c r="BI730" i="11"/>
  <c r="BH730" i="11"/>
  <c r="BG730" i="11"/>
  <c r="BF730" i="11"/>
  <c r="BE730" i="11"/>
  <c r="BD730" i="11"/>
  <c r="BB730" i="11"/>
  <c r="BA730" i="11"/>
  <c r="AZ730" i="11"/>
  <c r="AY730" i="11"/>
  <c r="AX730" i="11"/>
  <c r="AW730" i="11"/>
  <c r="AV730" i="11"/>
  <c r="AU730" i="11"/>
  <c r="AT730" i="11"/>
  <c r="AR730" i="11"/>
  <c r="AQ730" i="11"/>
  <c r="AP730" i="11"/>
  <c r="AO730" i="11"/>
  <c r="AN730" i="11"/>
  <c r="AM730" i="11"/>
  <c r="AL730" i="11"/>
  <c r="AK730" i="11"/>
  <c r="AJ730" i="11"/>
  <c r="AI730" i="11"/>
  <c r="AH730" i="11"/>
  <c r="AG730" i="11"/>
  <c r="AF730" i="11"/>
  <c r="AE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BJ729" i="11"/>
  <c r="BI729" i="11"/>
  <c r="BH729" i="11"/>
  <c r="BG729" i="11"/>
  <c r="BF729" i="11"/>
  <c r="BE729" i="11"/>
  <c r="BD729" i="11"/>
  <c r="BB729" i="11"/>
  <c r="BA729" i="11"/>
  <c r="AZ729" i="11"/>
  <c r="AY729" i="11"/>
  <c r="AX729" i="11"/>
  <c r="AW729" i="11"/>
  <c r="AV729" i="11"/>
  <c r="AU729" i="11"/>
  <c r="AT729" i="11"/>
  <c r="AS729" i="11"/>
  <c r="AR729" i="11"/>
  <c r="AQ729" i="11"/>
  <c r="AP729" i="11"/>
  <c r="AO729" i="11"/>
  <c r="AN729" i="11"/>
  <c r="AM729" i="11"/>
  <c r="AL729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BJ728" i="11"/>
  <c r="BJ994" i="11" s="1"/>
  <c r="BI728" i="11"/>
  <c r="BI994" i="11" s="1"/>
  <c r="BH728" i="11"/>
  <c r="BG728" i="11"/>
  <c r="BF728" i="11"/>
  <c r="BE728" i="11"/>
  <c r="BE994" i="11" s="1"/>
  <c r="BD728" i="11"/>
  <c r="BD994" i="11" s="1"/>
  <c r="BB728" i="11"/>
  <c r="BB994" i="11" s="1"/>
  <c r="BA728" i="11"/>
  <c r="BA488" i="11" s="1"/>
  <c r="AZ728" i="11"/>
  <c r="AY728" i="11"/>
  <c r="AX728" i="11"/>
  <c r="AW728" i="11"/>
  <c r="AV728" i="11"/>
  <c r="AV994" i="11" s="1"/>
  <c r="AU728" i="11"/>
  <c r="AU994" i="11" s="1"/>
  <c r="AT728" i="11"/>
  <c r="AT994" i="11" s="1"/>
  <c r="AR728" i="11"/>
  <c r="AR994" i="11" s="1"/>
  <c r="AQ728" i="11"/>
  <c r="AP728" i="11"/>
  <c r="AO728" i="11"/>
  <c r="AN728" i="11"/>
  <c r="AM728" i="11"/>
  <c r="AL728" i="11"/>
  <c r="AK728" i="11"/>
  <c r="AK994" i="11" s="1"/>
  <c r="AJ728" i="11"/>
  <c r="AJ994" i="11" s="1"/>
  <c r="AI728" i="11"/>
  <c r="AI994" i="11" s="1"/>
  <c r="AH728" i="11"/>
  <c r="AH994" i="11" s="1"/>
  <c r="AG728" i="11"/>
  <c r="AG994" i="11" s="1"/>
  <c r="AF728" i="11"/>
  <c r="AF994" i="11" s="1"/>
  <c r="AE728" i="11"/>
  <c r="AE994" i="11" s="1"/>
  <c r="AD728" i="11"/>
  <c r="AC728" i="11"/>
  <c r="AC994" i="11" s="1"/>
  <c r="AB728" i="11"/>
  <c r="AB994" i="11" s="1"/>
  <c r="AA728" i="11"/>
  <c r="AA994" i="11" s="1"/>
  <c r="Z728" i="11"/>
  <c r="Z994" i="11" s="1"/>
  <c r="Y728" i="11"/>
  <c r="X728" i="11"/>
  <c r="W728" i="11"/>
  <c r="V728" i="11"/>
  <c r="U728" i="11"/>
  <c r="U994" i="11" s="1"/>
  <c r="T728" i="11"/>
  <c r="S728" i="11"/>
  <c r="R728" i="11"/>
  <c r="R994" i="11" s="1"/>
  <c r="Q728" i="11"/>
  <c r="Q994" i="11" s="1"/>
  <c r="P728" i="11"/>
  <c r="P994" i="11" s="1"/>
  <c r="O728" i="11"/>
  <c r="O994" i="11" s="1"/>
  <c r="N728" i="11"/>
  <c r="N994" i="11" s="1"/>
  <c r="M728" i="11"/>
  <c r="M994" i="11" s="1"/>
  <c r="L728" i="11"/>
  <c r="L994" i="11" s="1"/>
  <c r="K728" i="11"/>
  <c r="K994" i="11" s="1"/>
  <c r="F728" i="11"/>
  <c r="F994" i="11" s="1"/>
  <c r="AF716" i="11"/>
  <c r="AE716" i="11"/>
  <c r="Y716" i="11"/>
  <c r="P716" i="11"/>
  <c r="O716" i="11"/>
  <c r="BI715" i="11"/>
  <c r="BE715" i="11"/>
  <c r="BE716" i="11" s="1"/>
  <c r="BD715" i="11"/>
  <c r="BC715" i="11"/>
  <c r="BB715" i="11"/>
  <c r="BA715" i="11"/>
  <c r="AY715" i="11"/>
  <c r="AW715" i="11"/>
  <c r="AV715" i="11"/>
  <c r="AV716" i="11" s="1"/>
  <c r="AU715" i="11"/>
  <c r="AU716" i="11" s="1"/>
  <c r="AT715" i="11"/>
  <c r="AO715" i="11"/>
  <c r="AJ715" i="11"/>
  <c r="AI715" i="11"/>
  <c r="AI716" i="11" s="1"/>
  <c r="AH715" i="11"/>
  <c r="AH716" i="11" s="1"/>
  <c r="AG715" i="11"/>
  <c r="AF715" i="11"/>
  <c r="AE715" i="11"/>
  <c r="AB715" i="11"/>
  <c r="AA715" i="11"/>
  <c r="AA716" i="11" s="1"/>
  <c r="Z715" i="11"/>
  <c r="Y715" i="11"/>
  <c r="X715" i="11"/>
  <c r="X716" i="11" s="1"/>
  <c r="U715" i="11"/>
  <c r="P715" i="11"/>
  <c r="N715" i="11"/>
  <c r="M715" i="11"/>
  <c r="L715" i="11"/>
  <c r="K715" i="11"/>
  <c r="F715" i="11"/>
  <c r="BS713" i="11"/>
  <c r="BN713" i="11"/>
  <c r="BS712" i="11"/>
  <c r="AW712" i="11"/>
  <c r="AO712" i="11"/>
  <c r="U712" i="11"/>
  <c r="T712" i="11"/>
  <c r="S712" i="11"/>
  <c r="L712" i="11"/>
  <c r="BF711" i="11"/>
  <c r="AW711" i="11"/>
  <c r="AV711" i="11"/>
  <c r="AA711" i="11"/>
  <c r="Y711" i="11"/>
  <c r="Q711" i="11"/>
  <c r="K711" i="11"/>
  <c r="J711" i="11"/>
  <c r="I711" i="11"/>
  <c r="G711" i="11"/>
  <c r="BS710" i="11"/>
  <c r="BN710" i="11"/>
  <c r="BS707" i="11"/>
  <c r="BN707" i="11"/>
  <c r="BI707" i="11"/>
  <c r="BD707" i="11"/>
  <c r="AY707" i="11"/>
  <c r="AT707" i="11"/>
  <c r="AO707" i="11"/>
  <c r="AJ707" i="11"/>
  <c r="AE707" i="11"/>
  <c r="Z707" i="11"/>
  <c r="U707" i="11"/>
  <c r="P707" i="11"/>
  <c r="K707" i="11"/>
  <c r="BD706" i="11"/>
  <c r="BC706" i="11"/>
  <c r="BB706" i="11"/>
  <c r="BA706" i="11"/>
  <c r="AX706" i="11"/>
  <c r="AT706" i="11"/>
  <c r="AS706" i="11"/>
  <c r="AQ706" i="11"/>
  <c r="AO706" i="11"/>
  <c r="AI706" i="11"/>
  <c r="AH706" i="11"/>
  <c r="AG706" i="11"/>
  <c r="AC706" i="11"/>
  <c r="X706" i="11"/>
  <c r="W706" i="11"/>
  <c r="T706" i="11"/>
  <c r="S706" i="11"/>
  <c r="R706" i="11"/>
  <c r="Q706" i="11"/>
  <c r="M706" i="11"/>
  <c r="L706" i="11"/>
  <c r="K706" i="11"/>
  <c r="J706" i="11"/>
  <c r="I706" i="11"/>
  <c r="H706" i="11"/>
  <c r="BN705" i="11"/>
  <c r="BJ705" i="11"/>
  <c r="BG705" i="11"/>
  <c r="BE705" i="11"/>
  <c r="BD705" i="11"/>
  <c r="BC705" i="11"/>
  <c r="BB705" i="11"/>
  <c r="BA705" i="11"/>
  <c r="AZ705" i="11"/>
  <c r="AY705" i="11"/>
  <c r="AW705" i="11"/>
  <c r="AU705" i="11"/>
  <c r="AT705" i="11"/>
  <c r="AR705" i="11"/>
  <c r="AQ705" i="11"/>
  <c r="AP705" i="11"/>
  <c r="AN705" i="11"/>
  <c r="AL705" i="11"/>
  <c r="AJ705" i="11"/>
  <c r="AG705" i="11"/>
  <c r="AF705" i="11"/>
  <c r="AE705" i="11"/>
  <c r="AD705" i="11"/>
  <c r="AC705" i="11"/>
  <c r="AB705" i="11"/>
  <c r="W705" i="11"/>
  <c r="V705" i="11"/>
  <c r="T705" i="11"/>
  <c r="S705" i="11"/>
  <c r="R705" i="11"/>
  <c r="P705" i="11"/>
  <c r="O705" i="11"/>
  <c r="L705" i="11"/>
  <c r="K705" i="11"/>
  <c r="J705" i="11"/>
  <c r="G705" i="11"/>
  <c r="BG704" i="11"/>
  <c r="BF704" i="11"/>
  <c r="BE704" i="11"/>
  <c r="BD704" i="11"/>
  <c r="BC704" i="11"/>
  <c r="BB704" i="11"/>
  <c r="AZ704" i="11"/>
  <c r="AV704" i="11"/>
  <c r="AU704" i="11"/>
  <c r="AS704" i="11"/>
  <c r="AR704" i="11"/>
  <c r="AQ704" i="11"/>
  <c r="AL704" i="11"/>
  <c r="AK704" i="11"/>
  <c r="AJ704" i="11"/>
  <c r="AI704" i="11"/>
  <c r="AH704" i="11"/>
  <c r="AG704" i="11"/>
  <c r="AF704" i="11"/>
  <c r="AE704" i="11"/>
  <c r="AB704" i="11"/>
  <c r="AA704" i="11"/>
  <c r="Z704" i="11"/>
  <c r="W704" i="11"/>
  <c r="V704" i="11"/>
  <c r="Q704" i="11"/>
  <c r="P704" i="11"/>
  <c r="N704" i="11"/>
  <c r="M704" i="11"/>
  <c r="L704" i="11"/>
  <c r="K704" i="11"/>
  <c r="J704" i="11"/>
  <c r="I704" i="11"/>
  <c r="A703" i="11"/>
  <c r="BV702" i="11"/>
  <c r="BV931" i="11" s="1"/>
  <c r="BU702" i="11"/>
  <c r="BU931" i="11" s="1"/>
  <c r="BU915" i="11" s="1"/>
  <c r="BT702" i="11"/>
  <c r="BT931" i="11" s="1"/>
  <c r="BR702" i="11"/>
  <c r="BR931" i="11" s="1"/>
  <c r="BQ702" i="11"/>
  <c r="BQ931" i="11" s="1"/>
  <c r="BP702" i="11"/>
  <c r="BP931" i="11" s="1"/>
  <c r="BO702" i="11"/>
  <c r="BO931" i="11" s="1"/>
  <c r="BO921" i="11" s="1"/>
  <c r="BM702" i="11"/>
  <c r="BM931" i="11" s="1"/>
  <c r="BL702" i="11"/>
  <c r="BL931" i="11" s="1"/>
  <c r="BK702" i="11"/>
  <c r="BK931" i="11" s="1"/>
  <c r="BK915" i="11" s="1"/>
  <c r="AZ702" i="11"/>
  <c r="AZ931" i="11" s="1"/>
  <c r="AY702" i="11"/>
  <c r="AY931" i="11" s="1"/>
  <c r="AW702" i="11"/>
  <c r="AW931" i="11" s="1"/>
  <c r="AV702" i="11"/>
  <c r="AV931" i="11" s="1"/>
  <c r="AU702" i="11"/>
  <c r="AU931" i="11" s="1"/>
  <c r="AT702" i="11"/>
  <c r="AE702" i="11"/>
  <c r="AB702" i="11"/>
  <c r="AB931" i="11" s="1"/>
  <c r="AA702" i="11"/>
  <c r="AA931" i="11" s="1"/>
  <c r="Z702" i="11"/>
  <c r="Z931" i="11" s="1"/>
  <c r="U702" i="11"/>
  <c r="U931" i="11" s="1"/>
  <c r="T702" i="11"/>
  <c r="T931" i="11" s="1"/>
  <c r="R702" i="11"/>
  <c r="R931" i="11" s="1"/>
  <c r="M702" i="11"/>
  <c r="M931" i="11" s="1"/>
  <c r="J702" i="11"/>
  <c r="G702" i="11"/>
  <c r="E697" i="11"/>
  <c r="D697" i="11"/>
  <c r="C697" i="11"/>
  <c r="AU696" i="11"/>
  <c r="BS673" i="11"/>
  <c r="BR673" i="11"/>
  <c r="BM673" i="11"/>
  <c r="AE673" i="11"/>
  <c r="AD673" i="11"/>
  <c r="AC673" i="11"/>
  <c r="AB673" i="11"/>
  <c r="AA673" i="11"/>
  <c r="Z673" i="11"/>
  <c r="Y673" i="11"/>
  <c r="P673" i="11"/>
  <c r="O673" i="11"/>
  <c r="K673" i="11"/>
  <c r="J673" i="11"/>
  <c r="G673" i="11"/>
  <c r="F673" i="11"/>
  <c r="E673" i="11"/>
  <c r="D673" i="11"/>
  <c r="BS672" i="11"/>
  <c r="BR672" i="11"/>
  <c r="BQ672" i="11"/>
  <c r="AE672" i="11"/>
  <c r="AD672" i="11"/>
  <c r="AC672" i="11"/>
  <c r="AA672" i="11"/>
  <c r="Z672" i="11"/>
  <c r="Y672" i="11"/>
  <c r="X672" i="11"/>
  <c r="V672" i="11"/>
  <c r="U672" i="11"/>
  <c r="P672" i="11"/>
  <c r="O672" i="11"/>
  <c r="K672" i="11"/>
  <c r="J672" i="11"/>
  <c r="G672" i="11"/>
  <c r="F672" i="11"/>
  <c r="E672" i="11"/>
  <c r="D672" i="11"/>
  <c r="BJ647" i="11"/>
  <c r="BI647" i="11"/>
  <c r="BH647" i="11"/>
  <c r="BG647" i="11"/>
  <c r="BF647" i="11"/>
  <c r="BE647" i="11"/>
  <c r="BD647" i="11"/>
  <c r="BC647" i="11"/>
  <c r="BB647" i="11"/>
  <c r="BA647" i="11"/>
  <c r="AZ647" i="11"/>
  <c r="AY647" i="11"/>
  <c r="AX647" i="11"/>
  <c r="AW647" i="11"/>
  <c r="AV647" i="11"/>
  <c r="AU647" i="11"/>
  <c r="AT647" i="11"/>
  <c r="AS647" i="11"/>
  <c r="AR647" i="11"/>
  <c r="AQ647" i="11"/>
  <c r="AP647" i="11"/>
  <c r="AO647" i="11"/>
  <c r="AN647" i="11"/>
  <c r="AM647" i="11"/>
  <c r="AL647" i="11"/>
  <c r="AK647" i="11"/>
  <c r="AJ647" i="11"/>
  <c r="AI647" i="11"/>
  <c r="AH647" i="11"/>
  <c r="AE647" i="11"/>
  <c r="AD647" i="11"/>
  <c r="E644" i="11"/>
  <c r="D644" i="11"/>
  <c r="C644" i="11"/>
  <c r="BO643" i="11"/>
  <c r="BM643" i="11"/>
  <c r="BL643" i="11"/>
  <c r="AC643" i="11"/>
  <c r="AB643" i="11"/>
  <c r="AA643" i="11"/>
  <c r="Z643" i="11"/>
  <c r="Y643" i="11"/>
  <c r="X643" i="11"/>
  <c r="X125" i="11" s="1"/>
  <c r="T643" i="11"/>
  <c r="T170" i="11" s="1"/>
  <c r="S643" i="11"/>
  <c r="S125" i="11" s="1"/>
  <c r="R643" i="11"/>
  <c r="R170" i="11" s="1"/>
  <c r="Q643" i="11"/>
  <c r="Q170" i="11" s="1"/>
  <c r="O643" i="11"/>
  <c r="N643" i="11"/>
  <c r="I643" i="11"/>
  <c r="H643" i="11"/>
  <c r="H125" i="11" s="1"/>
  <c r="G643" i="11"/>
  <c r="G125" i="11" s="1"/>
  <c r="BS642" i="11"/>
  <c r="BN642" i="11"/>
  <c r="AE642" i="11"/>
  <c r="Z642" i="11"/>
  <c r="U642" i="11"/>
  <c r="P642" i="11"/>
  <c r="P643" i="11" s="1"/>
  <c r="P170" i="11" s="1"/>
  <c r="K642" i="11"/>
  <c r="K643" i="11" s="1"/>
  <c r="BS641" i="11"/>
  <c r="BN641" i="11"/>
  <c r="AE641" i="11"/>
  <c r="Z641" i="11"/>
  <c r="U641" i="11"/>
  <c r="P641" i="11"/>
  <c r="K641" i="11"/>
  <c r="BS640" i="11"/>
  <c r="AE640" i="11"/>
  <c r="Z640" i="11"/>
  <c r="U640" i="11"/>
  <c r="P640" i="11"/>
  <c r="K640" i="11"/>
  <c r="BS639" i="11"/>
  <c r="BR639" i="11"/>
  <c r="BR643" i="11" s="1"/>
  <c r="BQ639" i="11"/>
  <c r="BQ643" i="11" s="1"/>
  <c r="BQ170" i="11" s="1"/>
  <c r="BP639" i="11"/>
  <c r="BP643" i="11" s="1"/>
  <c r="BP170" i="11" s="1"/>
  <c r="BO639" i="11"/>
  <c r="BM639" i="11"/>
  <c r="BL639" i="11"/>
  <c r="AE639" i="11"/>
  <c r="AD639" i="11"/>
  <c r="AD643" i="11" s="1"/>
  <c r="AC639" i="11"/>
  <c r="AB639" i="11"/>
  <c r="AA639" i="11"/>
  <c r="Z639" i="11"/>
  <c r="Y639" i="11"/>
  <c r="X639" i="11"/>
  <c r="W639" i="11"/>
  <c r="W643" i="11" s="1"/>
  <c r="W170" i="11" s="1"/>
  <c r="V639" i="11"/>
  <c r="V643" i="11" s="1"/>
  <c r="U639" i="11"/>
  <c r="U643" i="11" s="1"/>
  <c r="T639" i="11"/>
  <c r="S639" i="11"/>
  <c r="R639" i="11"/>
  <c r="Q639" i="11"/>
  <c r="P639" i="11"/>
  <c r="O639" i="11"/>
  <c r="N639" i="11"/>
  <c r="M639" i="11"/>
  <c r="M643" i="11" s="1"/>
  <c r="M170" i="11" s="1"/>
  <c r="L639" i="11"/>
  <c r="L643" i="11" s="1"/>
  <c r="L170" i="11" s="1"/>
  <c r="J639" i="11"/>
  <c r="J643" i="11" s="1"/>
  <c r="I639" i="11"/>
  <c r="H639" i="11"/>
  <c r="F636" i="11"/>
  <c r="E636" i="11"/>
  <c r="D636" i="11"/>
  <c r="AC635" i="11"/>
  <c r="X635" i="11"/>
  <c r="W635" i="11"/>
  <c r="S635" i="11"/>
  <c r="N635" i="11"/>
  <c r="F635" i="11"/>
  <c r="E635" i="11"/>
  <c r="D635" i="11"/>
  <c r="BM632" i="11"/>
  <c r="BL632" i="11"/>
  <c r="X632" i="11"/>
  <c r="S632" i="11"/>
  <c r="R632" i="11"/>
  <c r="Q632" i="11"/>
  <c r="N632" i="11"/>
  <c r="M632" i="11"/>
  <c r="L632" i="11"/>
  <c r="J632" i="11"/>
  <c r="I632" i="11"/>
  <c r="H632" i="11"/>
  <c r="E628" i="11"/>
  <c r="D628" i="11"/>
  <c r="C628" i="11"/>
  <c r="BV627" i="11"/>
  <c r="BU627" i="11"/>
  <c r="BT627" i="11"/>
  <c r="BT121" i="11" s="1"/>
  <c r="BP627" i="11"/>
  <c r="BL627" i="11"/>
  <c r="BL635" i="11" s="1"/>
  <c r="AC627" i="11"/>
  <c r="AC632" i="11" s="1"/>
  <c r="AA627" i="11"/>
  <c r="Z627" i="11"/>
  <c r="X627" i="11"/>
  <c r="X121" i="11" s="1"/>
  <c r="W627" i="11"/>
  <c r="V627" i="11"/>
  <c r="S627" i="11"/>
  <c r="R627" i="11"/>
  <c r="Q627" i="11"/>
  <c r="Q635" i="11" s="1"/>
  <c r="L627" i="11"/>
  <c r="L635" i="11" s="1"/>
  <c r="J627" i="11"/>
  <c r="I627" i="11"/>
  <c r="H627" i="11"/>
  <c r="G627" i="11"/>
  <c r="BS626" i="11"/>
  <c r="BN626" i="11"/>
  <c r="AE626" i="11"/>
  <c r="Z626" i="11"/>
  <c r="U626" i="11"/>
  <c r="P626" i="11"/>
  <c r="K626" i="11"/>
  <c r="BS625" i="11"/>
  <c r="BQ673" i="11" s="1"/>
  <c r="BN625" i="11"/>
  <c r="AE625" i="11"/>
  <c r="Z625" i="11"/>
  <c r="X673" i="11" s="1"/>
  <c r="U625" i="11"/>
  <c r="P625" i="11"/>
  <c r="K625" i="11"/>
  <c r="I672" i="11" s="1"/>
  <c r="BS624" i="11"/>
  <c r="AE624" i="11"/>
  <c r="AB672" i="11" s="1"/>
  <c r="Z624" i="11"/>
  <c r="U624" i="11"/>
  <c r="P624" i="11"/>
  <c r="K624" i="11"/>
  <c r="BS623" i="11"/>
  <c r="BR623" i="11"/>
  <c r="BR627" i="11" s="1"/>
  <c r="BR121" i="11" s="1"/>
  <c r="BQ623" i="11"/>
  <c r="BQ627" i="11" s="1"/>
  <c r="BP623" i="11"/>
  <c r="BO623" i="11"/>
  <c r="BO627" i="11" s="1"/>
  <c r="BO635" i="11" s="1"/>
  <c r="BM623" i="11"/>
  <c r="BM627" i="11" s="1"/>
  <c r="BM635" i="11" s="1"/>
  <c r="BL623" i="11"/>
  <c r="AE623" i="11"/>
  <c r="AD623" i="11"/>
  <c r="AD627" i="11" s="1"/>
  <c r="AC623" i="11"/>
  <c r="AB623" i="11"/>
  <c r="AB627" i="11" s="1"/>
  <c r="AB632" i="11" s="1"/>
  <c r="AA623" i="11"/>
  <c r="Z623" i="11"/>
  <c r="V673" i="11" s="1"/>
  <c r="Y623" i="11"/>
  <c r="Y627" i="11" s="1"/>
  <c r="X623" i="11"/>
  <c r="W623" i="11"/>
  <c r="V623" i="11"/>
  <c r="U623" i="11"/>
  <c r="T623" i="11"/>
  <c r="T627" i="11" s="1"/>
  <c r="S623" i="11"/>
  <c r="R623" i="11"/>
  <c r="Q623" i="11"/>
  <c r="P623" i="11"/>
  <c r="O623" i="11"/>
  <c r="O627" i="11" s="1"/>
  <c r="N623" i="11"/>
  <c r="N627" i="11" s="1"/>
  <c r="N247" i="11" s="1"/>
  <c r="M623" i="11"/>
  <c r="M627" i="11" s="1"/>
  <c r="M635" i="11" s="1"/>
  <c r="L623" i="11"/>
  <c r="J623" i="11"/>
  <c r="I623" i="11"/>
  <c r="H623" i="11"/>
  <c r="BR601" i="11"/>
  <c r="BQ601" i="11"/>
  <c r="BP601" i="11"/>
  <c r="BO601" i="11"/>
  <c r="BN601" i="11"/>
  <c r="Z601" i="11"/>
  <c r="Y601" i="11"/>
  <c r="X601" i="11"/>
  <c r="V601" i="11"/>
  <c r="U601" i="11"/>
  <c r="Q601" i="11"/>
  <c r="P601" i="11"/>
  <c r="L601" i="11"/>
  <c r="K601" i="11"/>
  <c r="J601" i="11"/>
  <c r="I601" i="11"/>
  <c r="G601" i="11"/>
  <c r="F601" i="11"/>
  <c r="E601" i="11"/>
  <c r="D601" i="11"/>
  <c r="BS600" i="11"/>
  <c r="BR600" i="11"/>
  <c r="BQ600" i="11"/>
  <c r="AE600" i="11"/>
  <c r="AC600" i="11"/>
  <c r="Z600" i="11"/>
  <c r="V600" i="11"/>
  <c r="U600" i="11"/>
  <c r="T600" i="11"/>
  <c r="Q600" i="11"/>
  <c r="P600" i="11"/>
  <c r="O600" i="11"/>
  <c r="N600" i="11"/>
  <c r="L600" i="11"/>
  <c r="I600" i="11"/>
  <c r="G600" i="11"/>
  <c r="F600" i="11"/>
  <c r="E600" i="11"/>
  <c r="D600" i="11"/>
  <c r="AC592" i="11"/>
  <c r="X592" i="11"/>
  <c r="R592" i="11"/>
  <c r="Q592" i="11"/>
  <c r="P592" i="11"/>
  <c r="O592" i="11"/>
  <c r="N592" i="11"/>
  <c r="M592" i="11"/>
  <c r="L592" i="11"/>
  <c r="K592" i="11"/>
  <c r="J592" i="11"/>
  <c r="I592" i="11"/>
  <c r="AC591" i="11"/>
  <c r="AB591" i="11"/>
  <c r="AA591" i="11"/>
  <c r="Z591" i="11"/>
  <c r="Z592" i="11" s="1"/>
  <c r="Y591" i="11"/>
  <c r="X591" i="11"/>
  <c r="W591" i="11"/>
  <c r="W592" i="11" s="1"/>
  <c r="V591" i="11"/>
  <c r="V592" i="11" s="1"/>
  <c r="U591" i="11"/>
  <c r="U592" i="11" s="1"/>
  <c r="T591" i="11"/>
  <c r="T592" i="11" s="1"/>
  <c r="S591" i="11"/>
  <c r="R591" i="11"/>
  <c r="Q591" i="11"/>
  <c r="P591" i="11"/>
  <c r="O591" i="11"/>
  <c r="Q567" i="11" s="1"/>
  <c r="N591" i="11"/>
  <c r="M591" i="11"/>
  <c r="L591" i="11"/>
  <c r="K591" i="11"/>
  <c r="J591" i="11"/>
  <c r="L567" i="11" s="1"/>
  <c r="L571" i="11" s="1"/>
  <c r="L99" i="11" s="1"/>
  <c r="I591" i="11"/>
  <c r="J567" i="11" s="1"/>
  <c r="H591" i="11"/>
  <c r="H592" i="11" s="1"/>
  <c r="G591" i="11"/>
  <c r="BJ575" i="11"/>
  <c r="BI575" i="11"/>
  <c r="BH575" i="11"/>
  <c r="BG575" i="11"/>
  <c r="BF575" i="11"/>
  <c r="BE575" i="11"/>
  <c r="BD575" i="11"/>
  <c r="BC575" i="11"/>
  <c r="BB575" i="11"/>
  <c r="BA575" i="11"/>
  <c r="AZ575" i="11"/>
  <c r="AY575" i="11"/>
  <c r="AX575" i="11"/>
  <c r="AW575" i="11"/>
  <c r="AV575" i="11"/>
  <c r="AU575" i="11"/>
  <c r="AT575" i="11"/>
  <c r="AS575" i="11"/>
  <c r="AR575" i="11"/>
  <c r="AQ575" i="11"/>
  <c r="AP575" i="11"/>
  <c r="AO575" i="11"/>
  <c r="AN575" i="11"/>
  <c r="AM575" i="11"/>
  <c r="AL575" i="11"/>
  <c r="AK575" i="11"/>
  <c r="AJ575" i="11"/>
  <c r="AI575" i="11"/>
  <c r="AH575" i="11"/>
  <c r="AE575" i="11"/>
  <c r="AD575" i="11"/>
  <c r="AV572" i="11"/>
  <c r="AO572" i="11"/>
  <c r="D572" i="11"/>
  <c r="C572" i="11"/>
  <c r="BR571" i="11"/>
  <c r="BP571" i="11"/>
  <c r="BP99" i="11" s="1"/>
  <c r="BO571" i="11"/>
  <c r="BO99" i="11" s="1"/>
  <c r="BM571" i="11"/>
  <c r="BM99" i="11" s="1"/>
  <c r="BL571" i="11"/>
  <c r="BL99" i="11" s="1"/>
  <c r="Y571" i="11"/>
  <c r="Y99" i="11" s="1"/>
  <c r="Q571" i="11"/>
  <c r="J571" i="11"/>
  <c r="G571" i="11"/>
  <c r="BS570" i="11"/>
  <c r="BN570" i="11"/>
  <c r="AE570" i="11"/>
  <c r="AE571" i="11" s="1"/>
  <c r="AE158" i="11" s="1"/>
  <c r="Z570" i="11"/>
  <c r="U570" i="11"/>
  <c r="P570" i="11"/>
  <c r="P571" i="11" s="1"/>
  <c r="P158" i="11" s="1"/>
  <c r="K570" i="11"/>
  <c r="K571" i="11" s="1"/>
  <c r="BS569" i="11"/>
  <c r="BN569" i="11"/>
  <c r="AE569" i="11"/>
  <c r="Z569" i="11"/>
  <c r="U569" i="11"/>
  <c r="U571" i="11" s="1"/>
  <c r="P569" i="11"/>
  <c r="K569" i="11"/>
  <c r="BS568" i="11"/>
  <c r="AE568" i="11"/>
  <c r="Z568" i="11"/>
  <c r="U568" i="11"/>
  <c r="P568" i="11"/>
  <c r="K568" i="11"/>
  <c r="BS567" i="11"/>
  <c r="BR567" i="11"/>
  <c r="BQ567" i="11"/>
  <c r="BQ571" i="11" s="1"/>
  <c r="BP567" i="11"/>
  <c r="BO567" i="11"/>
  <c r="BM567" i="11"/>
  <c r="BL567" i="11"/>
  <c r="AE567" i="11"/>
  <c r="AD567" i="11"/>
  <c r="AD571" i="11" s="1"/>
  <c r="AD158" i="11" s="1"/>
  <c r="Z567" i="11"/>
  <c r="Z571" i="11" s="1"/>
  <c r="Z99" i="11" s="1"/>
  <c r="Y567" i="11"/>
  <c r="X567" i="11"/>
  <c r="X571" i="11" s="1"/>
  <c r="W567" i="11"/>
  <c r="W571" i="11" s="1"/>
  <c r="W99" i="11" s="1"/>
  <c r="V567" i="11"/>
  <c r="V571" i="11" s="1"/>
  <c r="V99" i="11" s="1"/>
  <c r="U567" i="11"/>
  <c r="S567" i="11"/>
  <c r="S571" i="11" s="1"/>
  <c r="S158" i="11" s="1"/>
  <c r="R567" i="11"/>
  <c r="R571" i="11" s="1"/>
  <c r="R99" i="11" s="1"/>
  <c r="P567" i="11"/>
  <c r="O567" i="11"/>
  <c r="O571" i="11" s="1"/>
  <c r="N567" i="11"/>
  <c r="N571" i="11" s="1"/>
  <c r="N158" i="11" s="1"/>
  <c r="M567" i="11"/>
  <c r="M571" i="11" s="1"/>
  <c r="F564" i="11"/>
  <c r="E564" i="11"/>
  <c r="D564" i="11"/>
  <c r="BO563" i="11"/>
  <c r="AA563" i="11"/>
  <c r="Y563" i="11"/>
  <c r="X563" i="11"/>
  <c r="W563" i="11"/>
  <c r="O563" i="11"/>
  <c r="N563" i="11"/>
  <c r="F563" i="11"/>
  <c r="E563" i="11"/>
  <c r="D563" i="11"/>
  <c r="BO560" i="11"/>
  <c r="BM560" i="11"/>
  <c r="T560" i="11"/>
  <c r="Q560" i="11"/>
  <c r="O560" i="11"/>
  <c r="M560" i="11"/>
  <c r="N557" i="11"/>
  <c r="AJ556" i="11"/>
  <c r="H556" i="11"/>
  <c r="G556" i="11"/>
  <c r="G557" i="11" s="1"/>
  <c r="G558" i="11" s="1"/>
  <c r="D556" i="11"/>
  <c r="C556" i="11"/>
  <c r="BV555" i="11"/>
  <c r="BU555" i="11"/>
  <c r="BT555" i="11"/>
  <c r="BR555" i="11"/>
  <c r="BQ555" i="11"/>
  <c r="BP555" i="11"/>
  <c r="BO555" i="11"/>
  <c r="BO233" i="11" s="1"/>
  <c r="AA555" i="11"/>
  <c r="AA560" i="11" s="1"/>
  <c r="Y555" i="11"/>
  <c r="Y560" i="11" s="1"/>
  <c r="V555" i="11"/>
  <c r="T555" i="11"/>
  <c r="T563" i="11" s="1"/>
  <c r="R555" i="11"/>
  <c r="N555" i="11"/>
  <c r="G555" i="11"/>
  <c r="BS554" i="11"/>
  <c r="BS601" i="11" s="1"/>
  <c r="BN554" i="11"/>
  <c r="AE554" i="11"/>
  <c r="Z554" i="11"/>
  <c r="Y600" i="11" s="1"/>
  <c r="U554" i="11"/>
  <c r="T601" i="11" s="1"/>
  <c r="P554" i="11"/>
  <c r="K554" i="11"/>
  <c r="BS553" i="11"/>
  <c r="BN553" i="11"/>
  <c r="AE553" i="11"/>
  <c r="AC601" i="11" s="1"/>
  <c r="Z553" i="11"/>
  <c r="U553" i="11"/>
  <c r="P553" i="11"/>
  <c r="N601" i="11" s="1"/>
  <c r="K553" i="11"/>
  <c r="BS552" i="11"/>
  <c r="AE552" i="11"/>
  <c r="Z552" i="11"/>
  <c r="U552" i="11"/>
  <c r="P552" i="11"/>
  <c r="K552" i="11"/>
  <c r="BS551" i="11"/>
  <c r="BO600" i="11" s="1"/>
  <c r="BR551" i="11"/>
  <c r="BQ551" i="11"/>
  <c r="BP551" i="11"/>
  <c r="BO551" i="11"/>
  <c r="BM551" i="11"/>
  <c r="BM555" i="11" s="1"/>
  <c r="BM563" i="11" s="1"/>
  <c r="BL551" i="11"/>
  <c r="BL555" i="11" s="1"/>
  <c r="AE551" i="11"/>
  <c r="AD551" i="11"/>
  <c r="AD555" i="11" s="1"/>
  <c r="AC551" i="11"/>
  <c r="AC555" i="11" s="1"/>
  <c r="AB551" i="11"/>
  <c r="AB555" i="11" s="1"/>
  <c r="AA551" i="11"/>
  <c r="Z551" i="11"/>
  <c r="Y551" i="11"/>
  <c r="X551" i="11"/>
  <c r="X555" i="11" s="1"/>
  <c r="X560" i="11" s="1"/>
  <c r="W551" i="11"/>
  <c r="W555" i="11" s="1"/>
  <c r="W560" i="11" s="1"/>
  <c r="V551" i="11"/>
  <c r="U551" i="11"/>
  <c r="T551" i="11"/>
  <c r="S551" i="11"/>
  <c r="S555" i="11" s="1"/>
  <c r="R551" i="11"/>
  <c r="Q551" i="11"/>
  <c r="Q555" i="11" s="1"/>
  <c r="P551" i="11"/>
  <c r="O551" i="11"/>
  <c r="O555" i="11" s="1"/>
  <c r="O233" i="11" s="1"/>
  <c r="N551" i="11"/>
  <c r="M551" i="11"/>
  <c r="M555" i="11" s="1"/>
  <c r="M563" i="11" s="1"/>
  <c r="L551" i="11"/>
  <c r="L555" i="11" s="1"/>
  <c r="L233" i="11" s="1"/>
  <c r="J551" i="11"/>
  <c r="J555" i="11" s="1"/>
  <c r="I551" i="11"/>
  <c r="I555" i="11" s="1"/>
  <c r="H551" i="11"/>
  <c r="H555" i="11" s="1"/>
  <c r="AG538" i="11"/>
  <c r="AF538" i="11"/>
  <c r="BS537" i="11"/>
  <c r="BP537" i="11"/>
  <c r="BO537" i="11"/>
  <c r="BN537" i="11"/>
  <c r="BM537" i="11"/>
  <c r="BL537" i="11"/>
  <c r="AB537" i="11"/>
  <c r="AA537" i="11"/>
  <c r="W537" i="11"/>
  <c r="S537" i="11"/>
  <c r="R537" i="11"/>
  <c r="P537" i="11"/>
  <c r="O537" i="11"/>
  <c r="G537" i="11"/>
  <c r="F537" i="11"/>
  <c r="E537" i="11"/>
  <c r="D537" i="11"/>
  <c r="BS536" i="11"/>
  <c r="BR536" i="11"/>
  <c r="BQ536" i="11"/>
  <c r="BP536" i="11"/>
  <c r="BL536" i="11"/>
  <c r="AE536" i="11"/>
  <c r="AD536" i="11"/>
  <c r="AB536" i="11"/>
  <c r="AA536" i="11"/>
  <c r="W536" i="11"/>
  <c r="V536" i="11"/>
  <c r="P536" i="11"/>
  <c r="H536" i="11"/>
  <c r="G536" i="11"/>
  <c r="F536" i="11"/>
  <c r="E536" i="11"/>
  <c r="D536" i="11"/>
  <c r="BJ522" i="11"/>
  <c r="BI522" i="11"/>
  <c r="BH522" i="11"/>
  <c r="BG522" i="11"/>
  <c r="BF522" i="11"/>
  <c r="BE522" i="11"/>
  <c r="BD522" i="11"/>
  <c r="BC522" i="11"/>
  <c r="BB522" i="11"/>
  <c r="BA522" i="11"/>
  <c r="AZ522" i="11"/>
  <c r="AY522" i="11"/>
  <c r="AX522" i="11"/>
  <c r="AW522" i="11"/>
  <c r="AV522" i="11"/>
  <c r="AU522" i="11"/>
  <c r="AT522" i="11"/>
  <c r="AS522" i="11"/>
  <c r="AR522" i="11"/>
  <c r="AQ522" i="11"/>
  <c r="AP522" i="11"/>
  <c r="AO522" i="11"/>
  <c r="AN522" i="11"/>
  <c r="AM522" i="11"/>
  <c r="AL522" i="11"/>
  <c r="AK522" i="11"/>
  <c r="AJ522" i="11"/>
  <c r="AI522" i="11"/>
  <c r="AH522" i="11"/>
  <c r="AE522" i="11"/>
  <c r="AD522" i="11"/>
  <c r="AP520" i="11"/>
  <c r="L520" i="11"/>
  <c r="F519" i="11"/>
  <c r="E519" i="11"/>
  <c r="D519" i="11"/>
  <c r="AB518" i="11"/>
  <c r="W518" i="11"/>
  <c r="N518" i="11"/>
  <c r="F518" i="11"/>
  <c r="E518" i="11"/>
  <c r="D518" i="11"/>
  <c r="Q517" i="11"/>
  <c r="Q516" i="11"/>
  <c r="BR515" i="11"/>
  <c r="BL515" i="11"/>
  <c r="AA515" i="11"/>
  <c r="X515" i="11"/>
  <c r="W515" i="11"/>
  <c r="N515" i="11"/>
  <c r="J515" i="11"/>
  <c r="BJ511" i="11"/>
  <c r="BG511" i="11"/>
  <c r="BE511" i="11"/>
  <c r="BD511" i="11"/>
  <c r="AZ511" i="11"/>
  <c r="AV511" i="11"/>
  <c r="AP511" i="11"/>
  <c r="AO511" i="11"/>
  <c r="AN511" i="11"/>
  <c r="AK511" i="11"/>
  <c r="AJ511" i="11"/>
  <c r="AO520" i="11" s="1"/>
  <c r="AI511" i="11"/>
  <c r="AH511" i="11"/>
  <c r="AG511" i="11"/>
  <c r="AE511" i="11"/>
  <c r="AD511" i="11"/>
  <c r="AC511" i="11"/>
  <c r="AA511" i="11"/>
  <c r="U511" i="11"/>
  <c r="Q511" i="11"/>
  <c r="Q512" i="11" s="1"/>
  <c r="P511" i="11"/>
  <c r="O511" i="11"/>
  <c r="M511" i="11"/>
  <c r="L511" i="11"/>
  <c r="G511" i="11"/>
  <c r="G512" i="11" s="1"/>
  <c r="G513" i="11" s="1"/>
  <c r="D511" i="11"/>
  <c r="C511" i="11"/>
  <c r="BV510" i="11"/>
  <c r="BV34" i="11" s="1"/>
  <c r="BU510" i="11"/>
  <c r="BT510" i="11"/>
  <c r="BS510" i="11"/>
  <c r="BS34" i="11" s="1"/>
  <c r="BQ510" i="11"/>
  <c r="AA510" i="11"/>
  <c r="AA229" i="11" s="1"/>
  <c r="Y510" i="11"/>
  <c r="V510" i="11"/>
  <c r="S510" i="11"/>
  <c r="R510" i="11"/>
  <c r="Q510" i="11"/>
  <c r="O510" i="11"/>
  <c r="N510" i="11"/>
  <c r="G510" i="11"/>
  <c r="G229" i="11" s="1"/>
  <c r="BS509" i="11"/>
  <c r="BR537" i="11" s="1"/>
  <c r="BN509" i="11"/>
  <c r="BN536" i="11" s="1"/>
  <c r="AE509" i="11"/>
  <c r="Z509" i="11"/>
  <c r="U509" i="11"/>
  <c r="P509" i="11"/>
  <c r="K509" i="11"/>
  <c r="BS508" i="11"/>
  <c r="BQ537" i="11" s="1"/>
  <c r="BN508" i="11"/>
  <c r="AE508" i="11"/>
  <c r="AC537" i="11" s="1"/>
  <c r="Z508" i="11"/>
  <c r="U508" i="11"/>
  <c r="S536" i="11" s="1"/>
  <c r="P508" i="11"/>
  <c r="K508" i="11"/>
  <c r="BS507" i="11"/>
  <c r="AE507" i="11"/>
  <c r="Z507" i="11"/>
  <c r="U507" i="11"/>
  <c r="R536" i="11" s="1"/>
  <c r="P507" i="11"/>
  <c r="K507" i="11"/>
  <c r="H537" i="11" s="1"/>
  <c r="BS506" i="11"/>
  <c r="BO536" i="11" s="1"/>
  <c r="BR506" i="11"/>
  <c r="BR510" i="11" s="1"/>
  <c r="BR518" i="11" s="1"/>
  <c r="BQ506" i="11"/>
  <c r="BP506" i="11"/>
  <c r="BP510" i="11" s="1"/>
  <c r="BO506" i="11"/>
  <c r="BO510" i="11" s="1"/>
  <c r="BM506" i="11"/>
  <c r="BM510" i="11" s="1"/>
  <c r="BL506" i="11"/>
  <c r="BL510" i="11" s="1"/>
  <c r="BL518" i="11" s="1"/>
  <c r="AE506" i="11"/>
  <c r="AD506" i="11"/>
  <c r="AD510" i="11" s="1"/>
  <c r="AC506" i="11"/>
  <c r="AC510" i="11" s="1"/>
  <c r="AB506" i="11"/>
  <c r="AB510" i="11" s="1"/>
  <c r="AA506" i="11"/>
  <c r="Z506" i="11"/>
  <c r="V537" i="11" s="1"/>
  <c r="Y506" i="11"/>
  <c r="X506" i="11"/>
  <c r="X510" i="11" s="1"/>
  <c r="X518" i="11" s="1"/>
  <c r="W506" i="11"/>
  <c r="W510" i="11" s="1"/>
  <c r="W229" i="11" s="1"/>
  <c r="V506" i="11"/>
  <c r="U506" i="11"/>
  <c r="T506" i="11"/>
  <c r="T510" i="11" s="1"/>
  <c r="S506" i="11"/>
  <c r="R506" i="11"/>
  <c r="Q506" i="11"/>
  <c r="P506" i="11"/>
  <c r="O506" i="11"/>
  <c r="N506" i="11"/>
  <c r="M506" i="11"/>
  <c r="M510" i="11" s="1"/>
  <c r="M34" i="11" s="1"/>
  <c r="L506" i="11"/>
  <c r="L510" i="11" s="1"/>
  <c r="L515" i="11" s="1"/>
  <c r="J506" i="11"/>
  <c r="J510" i="11" s="1"/>
  <c r="I506" i="11"/>
  <c r="I510" i="11" s="1"/>
  <c r="H506" i="11"/>
  <c r="H510" i="11" s="1"/>
  <c r="BV498" i="11"/>
  <c r="BU498" i="11"/>
  <c r="BT498" i="11"/>
  <c r="BS498" i="11"/>
  <c r="BR498" i="11"/>
  <c r="BQ498" i="11"/>
  <c r="BP498" i="11"/>
  <c r="BO498" i="11"/>
  <c r="BM498" i="11"/>
  <c r="BL498" i="11"/>
  <c r="BK498" i="11"/>
  <c r="BJ498" i="11"/>
  <c r="BI498" i="11"/>
  <c r="BH498" i="11"/>
  <c r="BG498" i="11"/>
  <c r="BF498" i="11"/>
  <c r="BE498" i="11"/>
  <c r="BC498" i="11"/>
  <c r="BB498" i="11"/>
  <c r="BA498" i="11"/>
  <c r="AZ498" i="11"/>
  <c r="AY498" i="11"/>
  <c r="AX498" i="11"/>
  <c r="AW498" i="11"/>
  <c r="AV498" i="11"/>
  <c r="AU498" i="11"/>
  <c r="AS498" i="11"/>
  <c r="AR498" i="11"/>
  <c r="AQ498" i="11"/>
  <c r="AP498" i="11"/>
  <c r="AO498" i="11"/>
  <c r="A498" i="11"/>
  <c r="BV497" i="11"/>
  <c r="BU497" i="11"/>
  <c r="BT497" i="11"/>
  <c r="BS497" i="11"/>
  <c r="BR497" i="11"/>
  <c r="BQ497" i="11"/>
  <c r="BP497" i="11"/>
  <c r="BO497" i="11"/>
  <c r="BN497" i="11"/>
  <c r="BM497" i="11"/>
  <c r="BL497" i="11"/>
  <c r="BK497" i="11"/>
  <c r="BJ497" i="11"/>
  <c r="BI497" i="11"/>
  <c r="BH497" i="11"/>
  <c r="BG497" i="11"/>
  <c r="BF497" i="11"/>
  <c r="BE497" i="11"/>
  <c r="BD497" i="11"/>
  <c r="BC497" i="11"/>
  <c r="BB497" i="11"/>
  <c r="BA497" i="11"/>
  <c r="AZ497" i="11"/>
  <c r="AY497" i="11"/>
  <c r="AX497" i="11"/>
  <c r="AW497" i="11"/>
  <c r="AV497" i="11"/>
  <c r="AU497" i="11"/>
  <c r="AT497" i="11"/>
  <c r="AS497" i="11"/>
  <c r="AR497" i="11"/>
  <c r="AQ497" i="11"/>
  <c r="AP497" i="11"/>
  <c r="AO497" i="11"/>
  <c r="A497" i="11"/>
  <c r="BV496" i="11"/>
  <c r="BU496" i="11"/>
  <c r="BT496" i="11"/>
  <c r="BR496" i="11"/>
  <c r="BQ496" i="11"/>
  <c r="BP496" i="11"/>
  <c r="BO496" i="11"/>
  <c r="BN496" i="11"/>
  <c r="BM496" i="11"/>
  <c r="BK496" i="11"/>
  <c r="BJ496" i="11"/>
  <c r="BI496" i="11"/>
  <c r="BH496" i="11"/>
  <c r="BF496" i="11"/>
  <c r="BE496" i="11"/>
  <c r="BD496" i="11"/>
  <c r="BC496" i="11"/>
  <c r="BB496" i="11"/>
  <c r="BA496" i="11"/>
  <c r="AZ496" i="11"/>
  <c r="AX496" i="11"/>
  <c r="AW496" i="11"/>
  <c r="AV496" i="11"/>
  <c r="AU496" i="11"/>
  <c r="AT496" i="11"/>
  <c r="AS496" i="11"/>
  <c r="AQ496" i="11"/>
  <c r="AP496" i="11"/>
  <c r="A496" i="11"/>
  <c r="AS494" i="11"/>
  <c r="AR494" i="11"/>
  <c r="AQ494" i="11"/>
  <c r="AP494" i="11"/>
  <c r="BG492" i="11"/>
  <c r="BF492" i="11"/>
  <c r="BE492" i="11"/>
  <c r="BD492" i="11"/>
  <c r="BB492" i="11"/>
  <c r="BA492" i="11"/>
  <c r="AZ492" i="11"/>
  <c r="AY492" i="11"/>
  <c r="AW492" i="11"/>
  <c r="AV492" i="11"/>
  <c r="AU492" i="11"/>
  <c r="AT492" i="11"/>
  <c r="AR492" i="11"/>
  <c r="AQ492" i="11"/>
  <c r="AP492" i="11"/>
  <c r="A492" i="11"/>
  <c r="BJ491" i="11"/>
  <c r="BH491" i="11"/>
  <c r="BG491" i="11"/>
  <c r="BF491" i="11"/>
  <c r="BE491" i="11"/>
  <c r="BA491" i="11"/>
  <c r="AZ491" i="11"/>
  <c r="AY491" i="11"/>
  <c r="AX491" i="11"/>
  <c r="AW491" i="11"/>
  <c r="AU491" i="11"/>
  <c r="AT491" i="11"/>
  <c r="AR491" i="11"/>
  <c r="AQ491" i="11"/>
  <c r="AP491" i="11"/>
  <c r="A491" i="11"/>
  <c r="AS489" i="11"/>
  <c r="AR489" i="11"/>
  <c r="AQ489" i="11"/>
  <c r="AP489" i="11"/>
  <c r="BJ488" i="11"/>
  <c r="BI488" i="11"/>
  <c r="BH488" i="11"/>
  <c r="BG488" i="11"/>
  <c r="BF488" i="11"/>
  <c r="BE488" i="11"/>
  <c r="BD488" i="11"/>
  <c r="BB488" i="11"/>
  <c r="AZ488" i="11"/>
  <c r="AX488" i="11"/>
  <c r="AW488" i="11"/>
  <c r="AV488" i="11"/>
  <c r="AU488" i="11"/>
  <c r="AT488" i="11"/>
  <c r="AR488" i="11"/>
  <c r="AQ488" i="11"/>
  <c r="AO488" i="11"/>
  <c r="A488" i="11"/>
  <c r="AO484" i="11"/>
  <c r="BJ479" i="11"/>
  <c r="BE479" i="11"/>
  <c r="BE472" i="11" s="1"/>
  <c r="BD479" i="11"/>
  <c r="BC479" i="11"/>
  <c r="BB479" i="11"/>
  <c r="BA479" i="11"/>
  <c r="BA472" i="11" s="1"/>
  <c r="AT479" i="11"/>
  <c r="AQ479" i="11"/>
  <c r="AP479" i="11"/>
  <c r="BJ478" i="11"/>
  <c r="BI478" i="11"/>
  <c r="BH478" i="11"/>
  <c r="BG478" i="11"/>
  <c r="BF478" i="11"/>
  <c r="BE478" i="11"/>
  <c r="BC478" i="11"/>
  <c r="BB478" i="11"/>
  <c r="BA478" i="11"/>
  <c r="AZ478" i="11"/>
  <c r="BD478" i="11" s="1"/>
  <c r="AY478" i="11"/>
  <c r="AX478" i="11"/>
  <c r="AW478" i="11"/>
  <c r="AV478" i="11"/>
  <c r="BI477" i="11"/>
  <c r="BH477" i="11"/>
  <c r="BG477" i="11"/>
  <c r="BG476" i="11"/>
  <c r="BF476" i="11"/>
  <c r="BE476" i="11"/>
  <c r="BJ475" i="11"/>
  <c r="BH475" i="11"/>
  <c r="BG475" i="11"/>
  <c r="BI475" i="11" s="1"/>
  <c r="BF475" i="11"/>
  <c r="BE475" i="11"/>
  <c r="BC475" i="11"/>
  <c r="BB475" i="11"/>
  <c r="BB472" i="11" s="1"/>
  <c r="BA475" i="11"/>
  <c r="AZ475" i="11"/>
  <c r="AX475" i="11"/>
  <c r="AW475" i="11"/>
  <c r="AY475" i="11" s="1"/>
  <c r="AV475" i="11"/>
  <c r="AT475" i="11"/>
  <c r="BJ474" i="11"/>
  <c r="BH474" i="11"/>
  <c r="BI474" i="11" s="1"/>
  <c r="BG474" i="11"/>
  <c r="BF474" i="11"/>
  <c r="BE474" i="11"/>
  <c r="BC474" i="11"/>
  <c r="BB474" i="11"/>
  <c r="BA474" i="11"/>
  <c r="AZ474" i="11"/>
  <c r="AW474" i="11"/>
  <c r="AV474" i="11"/>
  <c r="BJ473" i="11"/>
  <c r="BH473" i="11"/>
  <c r="BG473" i="11"/>
  <c r="BF473" i="11"/>
  <c r="BE473" i="11"/>
  <c r="BI473" i="11" s="1"/>
  <c r="BC473" i="11"/>
  <c r="BB473" i="11"/>
  <c r="BA473" i="11"/>
  <c r="AZ473" i="11"/>
  <c r="AW473" i="11"/>
  <c r="AV473" i="11"/>
  <c r="AY473" i="11" s="1"/>
  <c r="AT473" i="11"/>
  <c r="BJ467" i="11"/>
  <c r="BI467" i="11"/>
  <c r="BG467" i="11"/>
  <c r="BF467" i="11"/>
  <c r="BE467" i="11"/>
  <c r="BD467" i="11"/>
  <c r="BC467" i="11"/>
  <c r="BB467" i="11"/>
  <c r="BA467" i="11"/>
  <c r="AZ467" i="11"/>
  <c r="AY467" i="11"/>
  <c r="AW467" i="11"/>
  <c r="AV467" i="11"/>
  <c r="AU467" i="11"/>
  <c r="AT467" i="11"/>
  <c r="BH466" i="11"/>
  <c r="BC466" i="11"/>
  <c r="AX466" i="11"/>
  <c r="BJ465" i="11"/>
  <c r="BI465" i="11"/>
  <c r="BG465" i="11"/>
  <c r="BF465" i="11"/>
  <c r="BE465" i="11"/>
  <c r="BD465" i="11"/>
  <c r="BB465" i="11"/>
  <c r="BA465" i="11"/>
  <c r="AZ465" i="11"/>
  <c r="AY465" i="11"/>
  <c r="AW465" i="11"/>
  <c r="AV465" i="11"/>
  <c r="AU465" i="11"/>
  <c r="AT465" i="11"/>
  <c r="BH464" i="11"/>
  <c r="BC464" i="11"/>
  <c r="AX464" i="11"/>
  <c r="BH463" i="11"/>
  <c r="BE463" i="11"/>
  <c r="BC463" i="11"/>
  <c r="BC465" i="11" s="1"/>
  <c r="AX463" i="11"/>
  <c r="AU462" i="11"/>
  <c r="AV462" i="11" s="1"/>
  <c r="AW462" i="11" s="1"/>
  <c r="AX462" i="11" s="1"/>
  <c r="AY462" i="11" s="1"/>
  <c r="AZ462" i="11" s="1"/>
  <c r="BA462" i="11" s="1"/>
  <c r="BB462" i="11" s="1"/>
  <c r="BC462" i="11" s="1"/>
  <c r="BD462" i="11" s="1"/>
  <c r="BE462" i="11" s="1"/>
  <c r="BF462" i="11" s="1"/>
  <c r="BG462" i="11" s="1"/>
  <c r="BH462" i="11" s="1"/>
  <c r="BI462" i="11" s="1"/>
  <c r="BJ462" i="11" s="1"/>
  <c r="BK462" i="11" s="1"/>
  <c r="BO454" i="11"/>
  <c r="BP454" i="11" s="1"/>
  <c r="BQ454" i="11" s="1"/>
  <c r="BR454" i="11" s="1"/>
  <c r="BS454" i="11" s="1"/>
  <c r="BT454" i="11" s="1"/>
  <c r="BU454" i="11" s="1"/>
  <c r="BV454" i="11" s="1"/>
  <c r="BK454" i="11"/>
  <c r="BL454" i="11" s="1"/>
  <c r="BM454" i="11" s="1"/>
  <c r="BN454" i="11" s="1"/>
  <c r="BH454" i="11"/>
  <c r="BH453" i="11"/>
  <c r="BJ450" i="11"/>
  <c r="BJ453" i="11" s="1"/>
  <c r="BI450" i="11"/>
  <c r="BI453" i="11" s="1"/>
  <c r="BH450" i="11"/>
  <c r="BG450" i="11"/>
  <c r="BG453" i="11" s="1"/>
  <c r="BF450" i="11"/>
  <c r="BF453" i="11" s="1"/>
  <c r="BH449" i="11"/>
  <c r="BJ448" i="11"/>
  <c r="BI448" i="11"/>
  <c r="BH448" i="11"/>
  <c r="BG448" i="11"/>
  <c r="BF448" i="11"/>
  <c r="BH447" i="11"/>
  <c r="BJ477" i="11" s="1"/>
  <c r="BH446" i="11"/>
  <c r="BI445" i="11"/>
  <c r="BJ445" i="11" s="1"/>
  <c r="BK445" i="11" s="1"/>
  <c r="BH445" i="11"/>
  <c r="BG445" i="11"/>
  <c r="BL437" i="11"/>
  <c r="BM437" i="11" s="1"/>
  <c r="BN437" i="11" s="1"/>
  <c r="BO437" i="11" s="1"/>
  <c r="BP437" i="11" s="1"/>
  <c r="BQ437" i="11" s="1"/>
  <c r="BR437" i="11" s="1"/>
  <c r="BS437" i="11" s="1"/>
  <c r="BT437" i="11" s="1"/>
  <c r="BK437" i="11"/>
  <c r="BH437" i="11"/>
  <c r="BC437" i="11"/>
  <c r="BI436" i="11"/>
  <c r="BG436" i="11"/>
  <c r="BJ433" i="11"/>
  <c r="BJ436" i="11" s="1"/>
  <c r="BI433" i="11"/>
  <c r="BH433" i="11"/>
  <c r="BH436" i="11" s="1"/>
  <c r="BG433" i="11"/>
  <c r="BF433" i="11"/>
  <c r="BF436" i="11" s="1"/>
  <c r="BD433" i="11"/>
  <c r="BD436" i="11" s="1"/>
  <c r="BC433" i="11"/>
  <c r="BC436" i="11" s="1"/>
  <c r="BB433" i="11"/>
  <c r="BB436" i="11" s="1"/>
  <c r="BH432" i="11"/>
  <c r="BC432" i="11"/>
  <c r="BJ431" i="11"/>
  <c r="BI431" i="11"/>
  <c r="BG431" i="11"/>
  <c r="BF431" i="11"/>
  <c r="BD431" i="11"/>
  <c r="BB431" i="11"/>
  <c r="BH430" i="11"/>
  <c r="BC430" i="11"/>
  <c r="BC476" i="11" s="1"/>
  <c r="BD476" i="11" s="1"/>
  <c r="BH429" i="11"/>
  <c r="BE429" i="11"/>
  <c r="BC429" i="11"/>
  <c r="BC431" i="11" s="1"/>
  <c r="BG428" i="11"/>
  <c r="BH428" i="11" s="1"/>
  <c r="BI428" i="11" s="1"/>
  <c r="BJ428" i="11" s="1"/>
  <c r="BK428" i="11" s="1"/>
  <c r="BD428" i="11"/>
  <c r="BE428" i="11" s="1"/>
  <c r="BF428" i="11" s="1"/>
  <c r="BC428" i="11"/>
  <c r="BL420" i="11"/>
  <c r="BM420" i="11" s="1"/>
  <c r="BN420" i="11" s="1"/>
  <c r="BO420" i="11" s="1"/>
  <c r="BP420" i="11" s="1"/>
  <c r="BK420" i="11"/>
  <c r="BH420" i="11"/>
  <c r="BC420" i="11"/>
  <c r="AX420" i="11"/>
  <c r="BJ419" i="11"/>
  <c r="AZ419" i="11"/>
  <c r="AV419" i="11"/>
  <c r="AU419" i="11"/>
  <c r="AT419" i="11"/>
  <c r="BJ416" i="11"/>
  <c r="BI416" i="11"/>
  <c r="BI419" i="11" s="1"/>
  <c r="BG416" i="11"/>
  <c r="BG419" i="11" s="1"/>
  <c r="BF416" i="11"/>
  <c r="BF419" i="11" s="1"/>
  <c r="BE416" i="11"/>
  <c r="BD416" i="11"/>
  <c r="BD419" i="11" s="1"/>
  <c r="BE419" i="11" s="1"/>
  <c r="BB416" i="11"/>
  <c r="BB419" i="11" s="1"/>
  <c r="BA416" i="11"/>
  <c r="BA419" i="11" s="1"/>
  <c r="AZ416" i="11"/>
  <c r="AY416" i="11"/>
  <c r="AY419" i="11" s="1"/>
  <c r="AW416" i="11"/>
  <c r="AW419" i="11" s="1"/>
  <c r="AV416" i="11"/>
  <c r="AU416" i="11"/>
  <c r="AT416" i="11"/>
  <c r="AO416" i="11"/>
  <c r="AO419" i="11" s="1"/>
  <c r="BH415" i="11"/>
  <c r="BC415" i="11"/>
  <c r="AX415" i="11"/>
  <c r="BJ414" i="11"/>
  <c r="BI414" i="11"/>
  <c r="BG414" i="11"/>
  <c r="BF414" i="11"/>
  <c r="BE414" i="11"/>
  <c r="BD414" i="11"/>
  <c r="BC414" i="11"/>
  <c r="BB414" i="11"/>
  <c r="BA414" i="11"/>
  <c r="AZ414" i="11"/>
  <c r="AY414" i="11"/>
  <c r="AW414" i="11"/>
  <c r="AV414" i="11"/>
  <c r="AU414" i="11"/>
  <c r="AT414" i="11"/>
  <c r="AO414" i="11"/>
  <c r="BH413" i="11"/>
  <c r="BC413" i="11"/>
  <c r="AX413" i="11"/>
  <c r="BH412" i="11"/>
  <c r="BC412" i="11"/>
  <c r="AX412" i="11"/>
  <c r="AX414" i="11" s="1"/>
  <c r="AT411" i="11"/>
  <c r="AU411" i="11" s="1"/>
  <c r="AV411" i="11" s="1"/>
  <c r="AW411" i="11" s="1"/>
  <c r="AX411" i="11" s="1"/>
  <c r="AY411" i="11" s="1"/>
  <c r="AZ411" i="11" s="1"/>
  <c r="BA411" i="11" s="1"/>
  <c r="BB411" i="11" s="1"/>
  <c r="BC411" i="11" s="1"/>
  <c r="BD411" i="11" s="1"/>
  <c r="BE411" i="11" s="1"/>
  <c r="BF411" i="11" s="1"/>
  <c r="BG411" i="11" s="1"/>
  <c r="BH411" i="11" s="1"/>
  <c r="BI411" i="11" s="1"/>
  <c r="BJ411" i="11" s="1"/>
  <c r="BK411" i="11" s="1"/>
  <c r="BL403" i="11"/>
  <c r="BM403" i="11" s="1"/>
  <c r="BN403" i="11" s="1"/>
  <c r="BO403" i="11" s="1"/>
  <c r="BP403" i="11" s="1"/>
  <c r="BQ403" i="11" s="1"/>
  <c r="BK403" i="11"/>
  <c r="BH403" i="11"/>
  <c r="BC403" i="11"/>
  <c r="AX403" i="11"/>
  <c r="BE402" i="11"/>
  <c r="BD402" i="11"/>
  <c r="BB402" i="11"/>
  <c r="AV402" i="11"/>
  <c r="AU402" i="11"/>
  <c r="BJ399" i="11"/>
  <c r="BJ402" i="11" s="1"/>
  <c r="BI399" i="11"/>
  <c r="BI402" i="11" s="1"/>
  <c r="BG399" i="11"/>
  <c r="BG402" i="11" s="1"/>
  <c r="BF399" i="11"/>
  <c r="BF402" i="11" s="1"/>
  <c r="BE399" i="11"/>
  <c r="BD399" i="11"/>
  <c r="BB399" i="11"/>
  <c r="BA399" i="11"/>
  <c r="BA402" i="11" s="1"/>
  <c r="AZ399" i="11"/>
  <c r="AZ402" i="11" s="1"/>
  <c r="AY399" i="11"/>
  <c r="AY402" i="11" s="1"/>
  <c r="AW399" i="11"/>
  <c r="AW402" i="11" s="1"/>
  <c r="AV399" i="11"/>
  <c r="AU399" i="11"/>
  <c r="AT399" i="11"/>
  <c r="AT402" i="11" s="1"/>
  <c r="BH398" i="11"/>
  <c r="BC398" i="11"/>
  <c r="AX398" i="11"/>
  <c r="AX399" i="11" s="1"/>
  <c r="AX402" i="11" s="1"/>
  <c r="BJ397" i="11"/>
  <c r="BI397" i="11"/>
  <c r="BG397" i="11"/>
  <c r="BF397" i="11"/>
  <c r="BD397" i="11"/>
  <c r="BC397" i="11"/>
  <c r="BB397" i="11"/>
  <c r="BA397" i="11"/>
  <c r="AZ397" i="11"/>
  <c r="AY397" i="11"/>
  <c r="AW397" i="11"/>
  <c r="AV397" i="11"/>
  <c r="AU397" i="11"/>
  <c r="AT397" i="11"/>
  <c r="BH396" i="11"/>
  <c r="BC396" i="11"/>
  <c r="AX396" i="11"/>
  <c r="AX397" i="11" s="1"/>
  <c r="BH395" i="11"/>
  <c r="BE395" i="11"/>
  <c r="BE397" i="11" s="1"/>
  <c r="BC395" i="11"/>
  <c r="BC399" i="11" s="1"/>
  <c r="BC402" i="11" s="1"/>
  <c r="AX395" i="11"/>
  <c r="AU394" i="11"/>
  <c r="AV394" i="11" s="1"/>
  <c r="AW394" i="11" s="1"/>
  <c r="AX394" i="11" s="1"/>
  <c r="AY394" i="11" s="1"/>
  <c r="AZ394" i="11" s="1"/>
  <c r="BA394" i="11" s="1"/>
  <c r="BB394" i="11" s="1"/>
  <c r="BC394" i="11" s="1"/>
  <c r="BD394" i="11" s="1"/>
  <c r="BE394" i="11" s="1"/>
  <c r="BF394" i="11" s="1"/>
  <c r="BG394" i="11" s="1"/>
  <c r="BH394" i="11" s="1"/>
  <c r="BI394" i="11" s="1"/>
  <c r="BJ394" i="11" s="1"/>
  <c r="BK394" i="11" s="1"/>
  <c r="BM386" i="11"/>
  <c r="BN386" i="11" s="1"/>
  <c r="BO386" i="11" s="1"/>
  <c r="BP386" i="11" s="1"/>
  <c r="BK386" i="11"/>
  <c r="BL386" i="11" s="1"/>
  <c r="BH386" i="11"/>
  <c r="BC386" i="11"/>
  <c r="AX386" i="11"/>
  <c r="BJ385" i="11"/>
  <c r="BI385" i="11"/>
  <c r="BF385" i="11"/>
  <c r="BE385" i="11"/>
  <c r="AZ385" i="11"/>
  <c r="AY385" i="11"/>
  <c r="AX385" i="11"/>
  <c r="AW385" i="11"/>
  <c r="AV385" i="11"/>
  <c r="BJ382" i="11"/>
  <c r="BI382" i="11"/>
  <c r="BG382" i="11"/>
  <c r="BG385" i="11" s="1"/>
  <c r="BF382" i="11"/>
  <c r="BE382" i="11"/>
  <c r="BD382" i="11"/>
  <c r="BD385" i="11" s="1"/>
  <c r="BB382" i="11"/>
  <c r="BB385" i="11" s="1"/>
  <c r="BA382" i="11"/>
  <c r="BA385" i="11" s="1"/>
  <c r="AZ382" i="11"/>
  <c r="AY382" i="11"/>
  <c r="AX382" i="11"/>
  <c r="AW382" i="11"/>
  <c r="AV382" i="11"/>
  <c r="AU382" i="11"/>
  <c r="AU385" i="11" s="1"/>
  <c r="AT382" i="11"/>
  <c r="AT385" i="11" s="1"/>
  <c r="AO382" i="11"/>
  <c r="AO385" i="11" s="1"/>
  <c r="BH381" i="11"/>
  <c r="BC381" i="11"/>
  <c r="AX381" i="11"/>
  <c r="BJ380" i="11"/>
  <c r="BI380" i="11"/>
  <c r="BG380" i="11"/>
  <c r="BG972" i="11" s="1"/>
  <c r="BF380" i="11"/>
  <c r="BF972" i="11" s="1"/>
  <c r="BE380" i="11"/>
  <c r="BD380" i="11"/>
  <c r="BD972" i="11" s="1"/>
  <c r="BB380" i="11"/>
  <c r="BB972" i="11" s="1"/>
  <c r="BB1014" i="11" s="1"/>
  <c r="BA380" i="11"/>
  <c r="AZ380" i="11"/>
  <c r="AY380" i="11"/>
  <c r="AW380" i="11"/>
  <c r="AV380" i="11"/>
  <c r="AU380" i="11"/>
  <c r="AT380" i="11"/>
  <c r="AO380" i="11"/>
  <c r="BH379" i="11"/>
  <c r="BC379" i="11"/>
  <c r="AX379" i="11"/>
  <c r="AX473" i="11" s="1"/>
  <c r="BH378" i="11"/>
  <c r="BE378" i="11"/>
  <c r="BC378" i="11"/>
  <c r="BC382" i="11" s="1"/>
  <c r="BC385" i="11" s="1"/>
  <c r="AX378" i="11"/>
  <c r="AX380" i="11" s="1"/>
  <c r="AU377" i="11"/>
  <c r="AV377" i="11" s="1"/>
  <c r="AW377" i="11" s="1"/>
  <c r="AX377" i="11" s="1"/>
  <c r="AY377" i="11" s="1"/>
  <c r="AZ377" i="11" s="1"/>
  <c r="BA377" i="11" s="1"/>
  <c r="BB377" i="11" s="1"/>
  <c r="BC377" i="11" s="1"/>
  <c r="BD377" i="11" s="1"/>
  <c r="BE377" i="11" s="1"/>
  <c r="BF377" i="11" s="1"/>
  <c r="BG377" i="11" s="1"/>
  <c r="BH377" i="11" s="1"/>
  <c r="BI377" i="11" s="1"/>
  <c r="BJ377" i="11" s="1"/>
  <c r="BK377" i="11" s="1"/>
  <c r="AT377" i="11"/>
  <c r="AX373" i="11"/>
  <c r="AV372" i="11"/>
  <c r="AU372" i="11"/>
  <c r="AT372" i="11"/>
  <c r="BA369" i="11"/>
  <c r="BA372" i="11" s="1"/>
  <c r="AZ369" i="11"/>
  <c r="AZ372" i="11" s="1"/>
  <c r="AY369" i="11"/>
  <c r="AY372" i="11" s="1"/>
  <c r="AW369" i="11"/>
  <c r="AW372" i="11" s="1"/>
  <c r="AV369" i="11"/>
  <c r="AU369" i="11"/>
  <c r="AT369" i="11"/>
  <c r="AO369" i="11"/>
  <c r="AO372" i="11" s="1"/>
  <c r="AX368" i="11"/>
  <c r="BA367" i="11"/>
  <c r="AZ367" i="11"/>
  <c r="AY367" i="11"/>
  <c r="AW367" i="11"/>
  <c r="AV367" i="11"/>
  <c r="AU367" i="11"/>
  <c r="AT367" i="11"/>
  <c r="AO367" i="11"/>
  <c r="AX365" i="11"/>
  <c r="AX367" i="11" s="1"/>
  <c r="AX364" i="11"/>
  <c r="AX369" i="11" s="1"/>
  <c r="AX372" i="11" s="1"/>
  <c r="AT363" i="11"/>
  <c r="AU363" i="11" s="1"/>
  <c r="AV363" i="11" s="1"/>
  <c r="AW363" i="11" s="1"/>
  <c r="AX363" i="11" s="1"/>
  <c r="AY363" i="11" s="1"/>
  <c r="AZ363" i="11" s="1"/>
  <c r="BA363" i="11" s="1"/>
  <c r="AO354" i="11"/>
  <c r="AO360" i="11" s="1"/>
  <c r="AO361" i="11" s="1"/>
  <c r="AO352" i="11"/>
  <c r="BJ351" i="11"/>
  <c r="BH351" i="11"/>
  <c r="BG351" i="11"/>
  <c r="BF351" i="11"/>
  <c r="BE351" i="11"/>
  <c r="BC351" i="11"/>
  <c r="BB351" i="11"/>
  <c r="BA351" i="11"/>
  <c r="AZ351" i="11"/>
  <c r="AW351" i="11"/>
  <c r="AV351" i="11"/>
  <c r="AU351" i="11"/>
  <c r="AY351" i="11" s="1"/>
  <c r="AS351" i="11"/>
  <c r="AR351" i="11"/>
  <c r="AQ351" i="11"/>
  <c r="AT351" i="11" s="1"/>
  <c r="AP351" i="11"/>
  <c r="BJ350" i="11"/>
  <c r="BG350" i="11"/>
  <c r="BF350" i="11"/>
  <c r="BE350" i="11"/>
  <c r="BI350" i="11" s="1"/>
  <c r="BB350" i="11"/>
  <c r="BA350" i="11"/>
  <c r="AZ350" i="11"/>
  <c r="AX350" i="11"/>
  <c r="AW350" i="11"/>
  <c r="AV350" i="11"/>
  <c r="AU350" i="11"/>
  <c r="AS350" i="11"/>
  <c r="AR350" i="11"/>
  <c r="AQ350" i="11"/>
  <c r="AP350" i="11"/>
  <c r="AT350" i="11" s="1"/>
  <c r="BJ349" i="11"/>
  <c r="BG349" i="11"/>
  <c r="BF349" i="11"/>
  <c r="BE349" i="11"/>
  <c r="BB349" i="11"/>
  <c r="BA349" i="11"/>
  <c r="BD349" i="11" s="1"/>
  <c r="AZ349" i="11"/>
  <c r="AX349" i="11"/>
  <c r="AW349" i="11"/>
  <c r="AV349" i="11"/>
  <c r="AU349" i="11"/>
  <c r="AY349" i="11" s="1"/>
  <c r="AR349" i="11"/>
  <c r="AT349" i="11" s="1"/>
  <c r="AQ349" i="11"/>
  <c r="AP349" i="11"/>
  <c r="BH345" i="11"/>
  <c r="BC345" i="11"/>
  <c r="AX345" i="11"/>
  <c r="AX351" i="11" s="1"/>
  <c r="AS345" i="11"/>
  <c r="BH344" i="11"/>
  <c r="BH350" i="11" s="1"/>
  <c r="BC344" i="11"/>
  <c r="BC350" i="11" s="1"/>
  <c r="AX344" i="11"/>
  <c r="AS344" i="11"/>
  <c r="BH343" i="11"/>
  <c r="BH349" i="11" s="1"/>
  <c r="BC343" i="11"/>
  <c r="BC349" i="11" s="1"/>
  <c r="AX343" i="11"/>
  <c r="AS343" i="11"/>
  <c r="AS349" i="11" s="1"/>
  <c r="AP342" i="11"/>
  <c r="AP346" i="11" s="1"/>
  <c r="BH298" i="11"/>
  <c r="BC298" i="11"/>
  <c r="AX298" i="11"/>
  <c r="AS298" i="11"/>
  <c r="AN298" i="11"/>
  <c r="AI298" i="11"/>
  <c r="AD298" i="11"/>
  <c r="Y298" i="11"/>
  <c r="T298" i="11"/>
  <c r="O298" i="11"/>
  <c r="BJ297" i="11"/>
  <c r="BI297" i="11"/>
  <c r="BH297" i="11"/>
  <c r="BG297" i="11"/>
  <c r="BF297" i="11"/>
  <c r="BE297" i="11"/>
  <c r="BD297" i="11"/>
  <c r="BB297" i="11"/>
  <c r="BA297" i="11"/>
  <c r="AZ297" i="11"/>
  <c r="AY297" i="11"/>
  <c r="AW297" i="11"/>
  <c r="AV297" i="11"/>
  <c r="AU297" i="11"/>
  <c r="AT297" i="11"/>
  <c r="AR297" i="11"/>
  <c r="AQ297" i="11"/>
  <c r="AP297" i="11"/>
  <c r="AO297" i="11"/>
  <c r="AN297" i="11"/>
  <c r="AM297" i="11"/>
  <c r="AL297" i="11"/>
  <c r="AK297" i="11"/>
  <c r="AJ297" i="11"/>
  <c r="AH297" i="11"/>
  <c r="AG297" i="11"/>
  <c r="AF297" i="11"/>
  <c r="AE297" i="11"/>
  <c r="AC297" i="11"/>
  <c r="AB297" i="11"/>
  <c r="AA297" i="11"/>
  <c r="Z297" i="11"/>
  <c r="X297" i="11"/>
  <c r="W297" i="11"/>
  <c r="V297" i="11"/>
  <c r="U297" i="11"/>
  <c r="T297" i="11"/>
  <c r="S297" i="11"/>
  <c r="R297" i="11"/>
  <c r="Q297" i="11"/>
  <c r="P297" i="11"/>
  <c r="O297" i="11"/>
  <c r="N297" i="11"/>
  <c r="BH296" i="11"/>
  <c r="BC296" i="11"/>
  <c r="AX296" i="11"/>
  <c r="AS296" i="11"/>
  <c r="AN296" i="11"/>
  <c r="AI296" i="11"/>
  <c r="AI297" i="11" s="1"/>
  <c r="AD296" i="11"/>
  <c r="Y296" i="11"/>
  <c r="T296" i="11"/>
  <c r="O296" i="11"/>
  <c r="BH295" i="11"/>
  <c r="BC295" i="11"/>
  <c r="BC297" i="11" s="1"/>
  <c r="AX295" i="11"/>
  <c r="AX297" i="11" s="1"/>
  <c r="AS295" i="11"/>
  <c r="AS297" i="11" s="1"/>
  <c r="AN295" i="11"/>
  <c r="AI295" i="11"/>
  <c r="AD295" i="11"/>
  <c r="Y295" i="11"/>
  <c r="Y297" i="11" s="1"/>
  <c r="T295" i="11"/>
  <c r="O295" i="11"/>
  <c r="AO293" i="11"/>
  <c r="AL293" i="11"/>
  <c r="AJ293" i="11"/>
  <c r="AG293" i="11"/>
  <c r="AE293" i="11"/>
  <c r="BA292" i="11"/>
  <c r="AZ292" i="11"/>
  <c r="AG292" i="11"/>
  <c r="AB292" i="11"/>
  <c r="R292" i="11"/>
  <c r="BJ287" i="11"/>
  <c r="BG287" i="11"/>
  <c r="BF287" i="11"/>
  <c r="BD287" i="11"/>
  <c r="BD293" i="11" s="1"/>
  <c r="BA287" i="11"/>
  <c r="AZ287" i="11"/>
  <c r="AR287" i="11"/>
  <c r="AR293" i="11" s="1"/>
  <c r="AQ287" i="11"/>
  <c r="AP287" i="11"/>
  <c r="AM287" i="11"/>
  <c r="AL287" i="11"/>
  <c r="AJ287" i="11"/>
  <c r="AH287" i="11"/>
  <c r="AF287" i="11"/>
  <c r="AE287" i="11"/>
  <c r="W287" i="11"/>
  <c r="V287" i="11"/>
  <c r="U287" i="11"/>
  <c r="U293" i="11" s="1"/>
  <c r="S287" i="11"/>
  <c r="R287" i="11"/>
  <c r="BK286" i="11"/>
  <c r="BJ285" i="11"/>
  <c r="BI285" i="11"/>
  <c r="BG285" i="11"/>
  <c r="BF285" i="11"/>
  <c r="BE285" i="11"/>
  <c r="BD285" i="11"/>
  <c r="BB285" i="11"/>
  <c r="BA285" i="11"/>
  <c r="AZ285" i="11"/>
  <c r="AY285" i="11"/>
  <c r="AY287" i="11" s="1"/>
  <c r="AX285" i="11"/>
  <c r="AX287" i="11" s="1"/>
  <c r="AW285" i="11"/>
  <c r="AV285" i="11"/>
  <c r="AU285" i="11"/>
  <c r="AT285" i="11"/>
  <c r="AS285" i="11"/>
  <c r="AR285" i="11"/>
  <c r="AQ285" i="11"/>
  <c r="AP285" i="11"/>
  <c r="AO285" i="11"/>
  <c r="AO287" i="11" s="1"/>
  <c r="AM285" i="11"/>
  <c r="AL285" i="11"/>
  <c r="AK285" i="11"/>
  <c r="AK287" i="11" s="1"/>
  <c r="AK293" i="11" s="1"/>
  <c r="AJ285" i="11"/>
  <c r="AH285" i="11"/>
  <c r="AG285" i="11"/>
  <c r="AG287" i="11" s="1"/>
  <c r="AF285" i="11"/>
  <c r="AE285" i="11"/>
  <c r="AC285" i="11"/>
  <c r="AC287" i="11" s="1"/>
  <c r="AC292" i="11" s="1"/>
  <c r="AB285" i="11"/>
  <c r="AB287" i="11" s="1"/>
  <c r="AA285" i="11"/>
  <c r="AA287" i="11" s="1"/>
  <c r="AA293" i="11" s="1"/>
  <c r="Z285" i="11"/>
  <c r="Z287" i="11" s="1"/>
  <c r="Z293" i="11" s="1"/>
  <c r="Y285" i="11"/>
  <c r="Y287" i="11" s="1"/>
  <c r="Y293" i="11" s="1"/>
  <c r="X285" i="11"/>
  <c r="X287" i="11" s="1"/>
  <c r="W285" i="11"/>
  <c r="V285" i="11"/>
  <c r="U285" i="11"/>
  <c r="S285" i="11"/>
  <c r="R285" i="11"/>
  <c r="Q285" i="11"/>
  <c r="Q287" i="11" s="1"/>
  <c r="P285" i="11"/>
  <c r="P287" i="11" s="1"/>
  <c r="BH284" i="11"/>
  <c r="BC284" i="11"/>
  <c r="AX284" i="11"/>
  <c r="AS284" i="11"/>
  <c r="AN284" i="11"/>
  <c r="AI284" i="11"/>
  <c r="AI285" i="11" s="1"/>
  <c r="AI287" i="11" s="1"/>
  <c r="AD284" i="11"/>
  <c r="AD285" i="11" s="1"/>
  <c r="AD287" i="11" s="1"/>
  <c r="Y284" i="11"/>
  <c r="T284" i="11"/>
  <c r="O284" i="11"/>
  <c r="BH283" i="11"/>
  <c r="BH285" i="11" s="1"/>
  <c r="BC283" i="11"/>
  <c r="BC285" i="11" s="1"/>
  <c r="AX283" i="11"/>
  <c r="AS283" i="11"/>
  <c r="AN283" i="11"/>
  <c r="AN285" i="11" s="1"/>
  <c r="AN287" i="11" s="1"/>
  <c r="AI283" i="11"/>
  <c r="AD283" i="11"/>
  <c r="Y283" i="11"/>
  <c r="T283" i="11"/>
  <c r="T285" i="11" s="1"/>
  <c r="T287" i="11" s="1"/>
  <c r="O283" i="11"/>
  <c r="O285" i="11" s="1"/>
  <c r="O287" i="11" s="1"/>
  <c r="Q292" i="11" s="1"/>
  <c r="BH282" i="11"/>
  <c r="BC282" i="11"/>
  <c r="AX282" i="11"/>
  <c r="AS282" i="11"/>
  <c r="AN282" i="11"/>
  <c r="AI282" i="11"/>
  <c r="AD282" i="11"/>
  <c r="Y282" i="11"/>
  <c r="T282" i="11"/>
  <c r="O282" i="11"/>
  <c r="BV280" i="11"/>
  <c r="BU280" i="11"/>
  <c r="BT280" i="11"/>
  <c r="BS280" i="11"/>
  <c r="BR280" i="11"/>
  <c r="BQ280" i="11"/>
  <c r="BP280" i="11"/>
  <c r="BO280" i="11"/>
  <c r="BM280" i="11"/>
  <c r="BL280" i="11"/>
  <c r="BK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C279" i="11"/>
  <c r="BJ276" i="11"/>
  <c r="BI276" i="11"/>
  <c r="BH276" i="11"/>
  <c r="BG276" i="11"/>
  <c r="BF276" i="11"/>
  <c r="BE276" i="11"/>
  <c r="BD276" i="11"/>
  <c r="BC276" i="11"/>
  <c r="BB276" i="11"/>
  <c r="BA276" i="11"/>
  <c r="AV276" i="11"/>
  <c r="AQ276" i="11"/>
  <c r="AP276" i="11"/>
  <c r="AN276" i="11"/>
  <c r="AM276" i="11"/>
  <c r="AL276" i="11"/>
  <c r="AK276" i="11"/>
  <c r="AH276" i="11"/>
  <c r="AF276" i="11"/>
  <c r="AD276" i="11"/>
  <c r="AC276" i="11"/>
  <c r="AB276" i="11"/>
  <c r="AA276" i="11"/>
  <c r="X276" i="11"/>
  <c r="W276" i="11"/>
  <c r="U276" i="11"/>
  <c r="T276" i="11"/>
  <c r="Q276" i="11"/>
  <c r="L276" i="11"/>
  <c r="I276" i="11"/>
  <c r="H276" i="11"/>
  <c r="G276" i="11"/>
  <c r="AO275" i="11"/>
  <c r="AO276" i="11" s="1"/>
  <c r="AN275" i="11"/>
  <c r="AM275" i="11"/>
  <c r="AL275" i="11"/>
  <c r="AJ275" i="11"/>
  <c r="AJ276" i="11" s="1"/>
  <c r="AI275" i="11"/>
  <c r="AI276" i="11" s="1"/>
  <c r="AH275" i="11"/>
  <c r="AG275" i="11"/>
  <c r="AG276" i="11" s="1"/>
  <c r="AE275" i="11"/>
  <c r="AE276" i="11" s="1"/>
  <c r="AD275" i="11"/>
  <c r="AC275" i="11"/>
  <c r="AB275" i="11"/>
  <c r="Z275" i="11"/>
  <c r="Z276" i="11" s="1"/>
  <c r="Y275" i="11"/>
  <c r="Y276" i="11" s="1"/>
  <c r="X275" i="11"/>
  <c r="W275" i="11"/>
  <c r="V275" i="11"/>
  <c r="V276" i="11" s="1"/>
  <c r="U275" i="11"/>
  <c r="T275" i="11"/>
  <c r="S275" i="11"/>
  <c r="S276" i="11" s="1"/>
  <c r="R275" i="11"/>
  <c r="R276" i="11" s="1"/>
  <c r="Q275" i="11"/>
  <c r="P275" i="11"/>
  <c r="O275" i="11"/>
  <c r="N275" i="11"/>
  <c r="N276" i="11" s="1"/>
  <c r="M275" i="11"/>
  <c r="M276" i="11" s="1"/>
  <c r="L275" i="11"/>
  <c r="K275" i="11"/>
  <c r="K276" i="11" s="1"/>
  <c r="J275" i="11"/>
  <c r="J276" i="11" s="1"/>
  <c r="I275" i="11"/>
  <c r="H275" i="11"/>
  <c r="G275" i="11"/>
  <c r="F275" i="11"/>
  <c r="F276" i="11" s="1"/>
  <c r="E275" i="11"/>
  <c r="E276" i="11" s="1"/>
  <c r="A272" i="11"/>
  <c r="A1100" i="11" s="1"/>
  <c r="BS263" i="11"/>
  <c r="BN263" i="11"/>
  <c r="BJ262" i="11"/>
  <c r="BI262" i="11"/>
  <c r="BH262" i="11"/>
  <c r="BG262" i="11"/>
  <c r="BF262" i="11"/>
  <c r="BE262" i="11"/>
  <c r="BD262" i="11"/>
  <c r="BC262" i="11"/>
  <c r="BB262" i="11"/>
  <c r="BA262" i="11"/>
  <c r="AZ262" i="11"/>
  <c r="AY262" i="11"/>
  <c r="AX262" i="11"/>
  <c r="AW262" i="11"/>
  <c r="AV262" i="11"/>
  <c r="AU262" i="11"/>
  <c r="AT262" i="11"/>
  <c r="AS262" i="11"/>
  <c r="AR262" i="11"/>
  <c r="AQ262" i="11"/>
  <c r="AP262" i="11"/>
  <c r="AO262" i="11"/>
  <c r="AN262" i="11"/>
  <c r="AM262" i="11"/>
  <c r="AL262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BS260" i="11"/>
  <c r="BJ260" i="11"/>
  <c r="BN260" i="11" s="1"/>
  <c r="BI260" i="11"/>
  <c r="BH260" i="11"/>
  <c r="BG260" i="11"/>
  <c r="BF260" i="11"/>
  <c r="BE260" i="11"/>
  <c r="BD260" i="11"/>
  <c r="BC260" i="11"/>
  <c r="BB260" i="11"/>
  <c r="BA260" i="11"/>
  <c r="AZ260" i="11"/>
  <c r="AY260" i="11"/>
  <c r="AX260" i="11"/>
  <c r="AW260" i="11"/>
  <c r="AV260" i="11"/>
  <c r="AU260" i="11"/>
  <c r="AT260" i="11"/>
  <c r="AS260" i="11"/>
  <c r="AR260" i="11"/>
  <c r="AQ260" i="11"/>
  <c r="AP260" i="11"/>
  <c r="AO260" i="11"/>
  <c r="AN260" i="11"/>
  <c r="AM260" i="11"/>
  <c r="AL260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BS258" i="11"/>
  <c r="BN258" i="11"/>
  <c r="BJ258" i="11"/>
  <c r="BI258" i="11"/>
  <c r="BH258" i="11"/>
  <c r="BG258" i="11"/>
  <c r="BF258" i="11"/>
  <c r="BE258" i="11"/>
  <c r="BD258" i="11"/>
  <c r="BC258" i="11"/>
  <c r="BB258" i="11"/>
  <c r="BA258" i="11"/>
  <c r="AZ258" i="11"/>
  <c r="AY258" i="11"/>
  <c r="AX258" i="11"/>
  <c r="AW258" i="11"/>
  <c r="AV258" i="11"/>
  <c r="AU258" i="11"/>
  <c r="AT258" i="11"/>
  <c r="AS258" i="11"/>
  <c r="AR258" i="11"/>
  <c r="AQ258" i="11"/>
  <c r="AP258" i="11"/>
  <c r="AO258" i="11"/>
  <c r="AN258" i="11"/>
  <c r="AM258" i="11"/>
  <c r="AL258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I258" i="11"/>
  <c r="H258" i="11"/>
  <c r="G258" i="11"/>
  <c r="F258" i="11"/>
  <c r="E258" i="11"/>
  <c r="BS257" i="11"/>
  <c r="BN257" i="11"/>
  <c r="BS256" i="11"/>
  <c r="BN256" i="11"/>
  <c r="BJ254" i="11"/>
  <c r="BJ253" i="11" s="1"/>
  <c r="BI254" i="11"/>
  <c r="BH254" i="11"/>
  <c r="BG254" i="11"/>
  <c r="BF254" i="11"/>
  <c r="BE254" i="11"/>
  <c r="BD254" i="11"/>
  <c r="BC254" i="11"/>
  <c r="BB254" i="11"/>
  <c r="BA254" i="11"/>
  <c r="AZ254" i="11"/>
  <c r="AY254" i="11"/>
  <c r="AX254" i="11"/>
  <c r="AV254" i="11"/>
  <c r="AU254" i="11"/>
  <c r="AT254" i="11"/>
  <c r="AS254" i="11"/>
  <c r="AR254" i="11"/>
  <c r="AR253" i="11" s="1"/>
  <c r="AQ254" i="11"/>
  <c r="AQ253" i="11" s="1"/>
  <c r="AP254" i="11"/>
  <c r="AO254" i="11"/>
  <c r="AN254" i="11"/>
  <c r="AM254" i="11"/>
  <c r="AL254" i="11"/>
  <c r="AK254" i="11"/>
  <c r="AJ254" i="11"/>
  <c r="AI254" i="11"/>
  <c r="AH254" i="11"/>
  <c r="AG254" i="11"/>
  <c r="AF254" i="11"/>
  <c r="AE254" i="11"/>
  <c r="AD254" i="11"/>
  <c r="AB254" i="11"/>
  <c r="AA254" i="11"/>
  <c r="Z254" i="11"/>
  <c r="Y254" i="11"/>
  <c r="X254" i="11"/>
  <c r="V254" i="11"/>
  <c r="U254" i="11"/>
  <c r="S254" i="11"/>
  <c r="S253" i="11" s="1"/>
  <c r="R254" i="11"/>
  <c r="R253" i="11" s="1"/>
  <c r="Q254" i="11"/>
  <c r="Q253" i="11" s="1"/>
  <c r="P254" i="11"/>
  <c r="P253" i="11" s="1"/>
  <c r="O254" i="11"/>
  <c r="N254" i="11"/>
  <c r="M254" i="11"/>
  <c r="L254" i="11"/>
  <c r="K254" i="11"/>
  <c r="J254" i="11"/>
  <c r="H254" i="11"/>
  <c r="G254" i="11"/>
  <c r="F254" i="11"/>
  <c r="E254" i="11"/>
  <c r="BI253" i="11"/>
  <c r="BH253" i="11"/>
  <c r="BD253" i="11"/>
  <c r="BC253" i="11"/>
  <c r="BB253" i="11"/>
  <c r="BA253" i="11"/>
  <c r="AV253" i="11"/>
  <c r="AU253" i="11"/>
  <c r="AT253" i="11"/>
  <c r="AP253" i="11"/>
  <c r="AO253" i="11"/>
  <c r="AN253" i="11"/>
  <c r="AM253" i="11"/>
  <c r="AH253" i="11"/>
  <c r="AG253" i="11"/>
  <c r="AF253" i="11"/>
  <c r="AE253" i="11"/>
  <c r="AC253" i="11"/>
  <c r="AB253" i="11"/>
  <c r="Z253" i="11"/>
  <c r="Y253" i="11"/>
  <c r="N253" i="11"/>
  <c r="L253" i="11"/>
  <c r="I253" i="11"/>
  <c r="H253" i="11"/>
  <c r="E253" i="11"/>
  <c r="BS250" i="11"/>
  <c r="BN250" i="11"/>
  <c r="BJ250" i="11"/>
  <c r="BI250" i="11"/>
  <c r="BG250" i="11"/>
  <c r="BF250" i="11"/>
  <c r="BE250" i="11"/>
  <c r="BD250" i="11"/>
  <c r="BB250" i="11"/>
  <c r="BA250" i="11"/>
  <c r="AZ250" i="11"/>
  <c r="AY250" i="11"/>
  <c r="AW250" i="11"/>
  <c r="AV250" i="11"/>
  <c r="AU250" i="11"/>
  <c r="AT250" i="11"/>
  <c r="AS250" i="11"/>
  <c r="AR250" i="11"/>
  <c r="AQ250" i="11"/>
  <c r="AP250" i="11"/>
  <c r="AO250" i="11"/>
  <c r="AM250" i="11"/>
  <c r="AL250" i="11"/>
  <c r="AK250" i="11"/>
  <c r="AJ250" i="11"/>
  <c r="AI250" i="11"/>
  <c r="AH250" i="11"/>
  <c r="AG250" i="11"/>
  <c r="AF250" i="11"/>
  <c r="AE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I250" i="11"/>
  <c r="H250" i="11"/>
  <c r="G250" i="11"/>
  <c r="F250" i="11"/>
  <c r="E250" i="11"/>
  <c r="BJ249" i="11"/>
  <c r="BI249" i="11"/>
  <c r="BI739" i="11" s="1"/>
  <c r="BI740" i="11" s="1"/>
  <c r="BH249" i="11"/>
  <c r="BH739" i="11" s="1"/>
  <c r="BG249" i="11"/>
  <c r="BG739" i="11" s="1"/>
  <c r="BF249" i="11"/>
  <c r="BF739" i="11" s="1"/>
  <c r="BE249" i="11"/>
  <c r="BE739" i="11" s="1"/>
  <c r="BD249" i="11"/>
  <c r="BD739" i="11" s="1"/>
  <c r="BB249" i="11"/>
  <c r="BB739" i="11" s="1"/>
  <c r="BA249" i="11"/>
  <c r="BA739" i="11" s="1"/>
  <c r="AZ249" i="11"/>
  <c r="AY249" i="11"/>
  <c r="AY739" i="11" s="1"/>
  <c r="AY740" i="11" s="1"/>
  <c r="AW249" i="11"/>
  <c r="AW739" i="11" s="1"/>
  <c r="AV249" i="11"/>
  <c r="AV739" i="11" s="1"/>
  <c r="AU249" i="11"/>
  <c r="AU739" i="11" s="1"/>
  <c r="AT249" i="11"/>
  <c r="AT739" i="11" s="1"/>
  <c r="AR249" i="11"/>
  <c r="AR739" i="11" s="1"/>
  <c r="AQ249" i="11"/>
  <c r="AP249" i="11"/>
  <c r="AP739" i="11" s="1"/>
  <c r="AO249" i="11"/>
  <c r="AO739" i="11" s="1"/>
  <c r="AN249" i="11"/>
  <c r="AN739" i="11" s="1"/>
  <c r="AM249" i="11"/>
  <c r="AM739" i="11" s="1"/>
  <c r="AL249" i="11"/>
  <c r="AK249" i="11"/>
  <c r="AJ249" i="11"/>
  <c r="AI249" i="11"/>
  <c r="AI739" i="11" s="1"/>
  <c r="AH249" i="11"/>
  <c r="AH739" i="11" s="1"/>
  <c r="AG249" i="11"/>
  <c r="AG739" i="11" s="1"/>
  <c r="AF249" i="11"/>
  <c r="AF739" i="11" s="1"/>
  <c r="AE249" i="11"/>
  <c r="AC249" i="11"/>
  <c r="AC739" i="11" s="1"/>
  <c r="AB249" i="11"/>
  <c r="AB739" i="11" s="1"/>
  <c r="AA249" i="11"/>
  <c r="Z249" i="11"/>
  <c r="Z739" i="11" s="1"/>
  <c r="Y249" i="11"/>
  <c r="Y739" i="11" s="1"/>
  <c r="X249" i="11"/>
  <c r="X739" i="11" s="1"/>
  <c r="W249" i="11"/>
  <c r="W739" i="11" s="1"/>
  <c r="W740" i="11" s="1"/>
  <c r="V249" i="11"/>
  <c r="V739" i="11" s="1"/>
  <c r="U249" i="11"/>
  <c r="U739" i="11" s="1"/>
  <c r="T249" i="11"/>
  <c r="T739" i="11" s="1"/>
  <c r="S249" i="11"/>
  <c r="S739" i="11" s="1"/>
  <c r="S740" i="11" s="1"/>
  <c r="R249" i="11"/>
  <c r="R739" i="11" s="1"/>
  <c r="Q249" i="11"/>
  <c r="Q739" i="11" s="1"/>
  <c r="Q740" i="11" s="1"/>
  <c r="P249" i="11"/>
  <c r="P739" i="11" s="1"/>
  <c r="O249" i="11"/>
  <c r="O739" i="11" s="1"/>
  <c r="N249" i="11"/>
  <c r="N739" i="11" s="1"/>
  <c r="M249" i="11"/>
  <c r="L249" i="11"/>
  <c r="K249" i="11"/>
  <c r="I249" i="11"/>
  <c r="I739" i="11" s="1"/>
  <c r="H249" i="11"/>
  <c r="H739" i="11" s="1"/>
  <c r="G249" i="11"/>
  <c r="G739" i="11" s="1"/>
  <c r="F249" i="11"/>
  <c r="F739" i="11" s="1"/>
  <c r="E249" i="11"/>
  <c r="E739" i="11" s="1"/>
  <c r="E742" i="11" s="1"/>
  <c r="BV247" i="11"/>
  <c r="BU247" i="11"/>
  <c r="BT247" i="11"/>
  <c r="BO247" i="11"/>
  <c r="BM247" i="11"/>
  <c r="BL247" i="11"/>
  <c r="AD247" i="11"/>
  <c r="AC247" i="11"/>
  <c r="AB247" i="11"/>
  <c r="Z247" i="11"/>
  <c r="X247" i="11"/>
  <c r="S247" i="11"/>
  <c r="Q247" i="11"/>
  <c r="O247" i="11"/>
  <c r="M247" i="11"/>
  <c r="L247" i="11"/>
  <c r="J247" i="11"/>
  <c r="I247" i="11"/>
  <c r="H247" i="11"/>
  <c r="G247" i="11"/>
  <c r="AR245" i="11"/>
  <c r="BI243" i="11"/>
  <c r="BE243" i="11"/>
  <c r="BD243" i="11"/>
  <c r="BC243" i="11"/>
  <c r="BB243" i="11"/>
  <c r="BA243" i="11"/>
  <c r="AZ243" i="11"/>
  <c r="AY243" i="11"/>
  <c r="AW243" i="11"/>
  <c r="AV243" i="11"/>
  <c r="AV143" i="11" s="1"/>
  <c r="AU243" i="11"/>
  <c r="AU143" i="11" s="1"/>
  <c r="AT243" i="11"/>
  <c r="AR243" i="11"/>
  <c r="AQ243" i="11"/>
  <c r="AP243" i="11"/>
  <c r="AO243" i="11"/>
  <c r="AJ243" i="11"/>
  <c r="AJ166" i="11" s="1"/>
  <c r="AI243" i="11"/>
  <c r="AI143" i="11" s="1"/>
  <c r="AH243" i="11"/>
  <c r="AG243" i="11"/>
  <c r="AF243" i="11"/>
  <c r="AE243" i="11"/>
  <c r="AB243" i="11"/>
  <c r="AA243" i="11"/>
  <c r="Z243" i="11"/>
  <c r="Y243" i="11"/>
  <c r="X243" i="11"/>
  <c r="U243" i="11"/>
  <c r="U115" i="11" s="1"/>
  <c r="T243" i="11"/>
  <c r="T116" i="11" s="1"/>
  <c r="P243" i="11"/>
  <c r="P166" i="11" s="1"/>
  <c r="O243" i="11"/>
  <c r="N243" i="11"/>
  <c r="M243" i="11"/>
  <c r="L243" i="11"/>
  <c r="L143" i="11" s="1"/>
  <c r="K243" i="11"/>
  <c r="J243" i="11"/>
  <c r="I243" i="11"/>
  <c r="H243" i="11"/>
  <c r="H116" i="11" s="1"/>
  <c r="F243" i="11"/>
  <c r="BJ242" i="11"/>
  <c r="BI242" i="11"/>
  <c r="BI930" i="11" s="1"/>
  <c r="BG242" i="11"/>
  <c r="BF242" i="11"/>
  <c r="BE242" i="11"/>
  <c r="BD242" i="11"/>
  <c r="BD152" i="11" s="1"/>
  <c r="BD153" i="11" s="1"/>
  <c r="BC242" i="11"/>
  <c r="BC930" i="11" s="1"/>
  <c r="BB242" i="11"/>
  <c r="BB930" i="11" s="1"/>
  <c r="BA242" i="11"/>
  <c r="BA930" i="11" s="1"/>
  <c r="AZ242" i="11"/>
  <c r="AY242" i="11"/>
  <c r="AX242" i="11"/>
  <c r="AW242" i="11"/>
  <c r="AV242" i="11"/>
  <c r="AU242" i="11"/>
  <c r="AT242" i="11"/>
  <c r="AS242" i="11"/>
  <c r="AR242" i="11"/>
  <c r="AR930" i="11" s="1"/>
  <c r="AO242" i="11"/>
  <c r="AN242" i="11"/>
  <c r="AN930" i="11" s="1"/>
  <c r="AM242" i="11"/>
  <c r="AM930" i="11" s="1"/>
  <c r="AK242" i="11"/>
  <c r="AJ242" i="11"/>
  <c r="AJ930" i="11" s="1"/>
  <c r="AI242" i="11"/>
  <c r="AH242" i="11"/>
  <c r="AH152" i="11" s="1"/>
  <c r="AH153" i="11" s="1"/>
  <c r="AG242" i="11"/>
  <c r="AG930" i="11" s="1"/>
  <c r="AF242" i="11"/>
  <c r="AF930" i="11" s="1"/>
  <c r="AE242" i="11"/>
  <c r="AD242" i="11"/>
  <c r="AD930" i="11" s="1"/>
  <c r="AC242" i="11"/>
  <c r="AB242" i="11"/>
  <c r="AA242" i="11"/>
  <c r="Z242" i="11"/>
  <c r="Y242" i="11"/>
  <c r="X242" i="11"/>
  <c r="V242" i="11"/>
  <c r="U242" i="11"/>
  <c r="U930" i="11" s="1"/>
  <c r="T242" i="11"/>
  <c r="S242" i="11"/>
  <c r="S114" i="11" s="1"/>
  <c r="R242" i="11"/>
  <c r="P242" i="11"/>
  <c r="P930" i="11" s="1"/>
  <c r="N242" i="11"/>
  <c r="N930" i="11" s="1"/>
  <c r="K242" i="11"/>
  <c r="J242" i="11"/>
  <c r="J930" i="11" s="1"/>
  <c r="I242" i="11"/>
  <c r="H242" i="11"/>
  <c r="G242" i="11"/>
  <c r="G930" i="11" s="1"/>
  <c r="F242" i="11"/>
  <c r="F930" i="11" s="1"/>
  <c r="AD238" i="11"/>
  <c r="BV237" i="11"/>
  <c r="BU237" i="11"/>
  <c r="BT237" i="11"/>
  <c r="BR237" i="11"/>
  <c r="BQ237" i="11"/>
  <c r="BP237" i="11"/>
  <c r="BO237" i="11"/>
  <c r="BS237" i="11" s="1"/>
  <c r="BM237" i="11"/>
  <c r="BL237" i="11"/>
  <c r="BK237" i="11"/>
  <c r="BN237" i="11" s="1"/>
  <c r="BJ237" i="11"/>
  <c r="BI237" i="11"/>
  <c r="BG237" i="11"/>
  <c r="BF237" i="11"/>
  <c r="BE237" i="11"/>
  <c r="BD237" i="11"/>
  <c r="BC237" i="11"/>
  <c r="BB237" i="11"/>
  <c r="BA237" i="11"/>
  <c r="AZ237" i="11"/>
  <c r="AY237" i="11"/>
  <c r="AX237" i="11"/>
  <c r="AW237" i="11"/>
  <c r="AV237" i="11"/>
  <c r="AU237" i="11"/>
  <c r="AT237" i="11"/>
  <c r="AS237" i="11"/>
  <c r="AR237" i="11"/>
  <c r="AQ237" i="11"/>
  <c r="AP237" i="11"/>
  <c r="AO237" i="11"/>
  <c r="AN237" i="11"/>
  <c r="AM237" i="11"/>
  <c r="AL237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BV236" i="11"/>
  <c r="BU236" i="11"/>
  <c r="BT236" i="11"/>
  <c r="BR236" i="11"/>
  <c r="BS236" i="11" s="1"/>
  <c r="BQ236" i="11"/>
  <c r="BP236" i="11"/>
  <c r="BO236" i="11"/>
  <c r="BM236" i="11"/>
  <c r="BL236" i="11"/>
  <c r="BK236" i="11"/>
  <c r="BJ236" i="11"/>
  <c r="BN236" i="11" s="1"/>
  <c r="BI236" i="11"/>
  <c r="BH236" i="11"/>
  <c r="BG236" i="11"/>
  <c r="BF236" i="11"/>
  <c r="BE236" i="11"/>
  <c r="BD236" i="11"/>
  <c r="BC236" i="11"/>
  <c r="BB236" i="11"/>
  <c r="BA236" i="11"/>
  <c r="AZ236" i="11"/>
  <c r="AY236" i="11"/>
  <c r="AX236" i="11"/>
  <c r="AW236" i="11"/>
  <c r="AV236" i="11"/>
  <c r="AU236" i="11"/>
  <c r="AT236" i="11"/>
  <c r="AS236" i="11"/>
  <c r="AR236" i="11"/>
  <c r="AQ236" i="11"/>
  <c r="AP236" i="11"/>
  <c r="AO236" i="11"/>
  <c r="AN236" i="11"/>
  <c r="AM236" i="11"/>
  <c r="AL236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N238" i="11" s="1"/>
  <c r="M236" i="11"/>
  <c r="L236" i="11"/>
  <c r="K236" i="11"/>
  <c r="I236" i="11"/>
  <c r="H236" i="11"/>
  <c r="G236" i="11"/>
  <c r="F236" i="11"/>
  <c r="E236" i="11"/>
  <c r="BJ235" i="11"/>
  <c r="BI235" i="11"/>
  <c r="BG235" i="11"/>
  <c r="BG160" i="11" s="1"/>
  <c r="BG1004" i="11" s="1"/>
  <c r="BF235" i="11"/>
  <c r="BE235" i="11"/>
  <c r="BD235" i="11"/>
  <c r="BD160" i="11" s="1"/>
  <c r="BD1004" i="11" s="1"/>
  <c r="BB235" i="11"/>
  <c r="BB160" i="11" s="1"/>
  <c r="BB1004" i="11" s="1"/>
  <c r="BA235" i="11"/>
  <c r="AZ235" i="11"/>
  <c r="AY235" i="11"/>
  <c r="AW235" i="11"/>
  <c r="AV235" i="11"/>
  <c r="AU235" i="11"/>
  <c r="AT235" i="11"/>
  <c r="AT160" i="11" s="1"/>
  <c r="AT1004" i="11" s="1"/>
  <c r="AR235" i="11"/>
  <c r="AR160" i="11" s="1"/>
  <c r="AR1004" i="11" s="1"/>
  <c r="AQ235" i="11"/>
  <c r="AQ160" i="11" s="1"/>
  <c r="AQ1004" i="11" s="1"/>
  <c r="AP235" i="11"/>
  <c r="AP160" i="11" s="1"/>
  <c r="AP1004" i="11" s="1"/>
  <c r="AO235" i="11"/>
  <c r="AM235" i="11"/>
  <c r="AL235" i="11"/>
  <c r="AK235" i="11"/>
  <c r="AK160" i="11" s="1"/>
  <c r="AK1004" i="11" s="1"/>
  <c r="AJ235" i="11"/>
  <c r="AI235" i="11"/>
  <c r="AH235" i="11"/>
  <c r="AG235" i="11"/>
  <c r="AF235" i="11"/>
  <c r="AF160" i="11" s="1"/>
  <c r="AF1004" i="11" s="1"/>
  <c r="AE235" i="11"/>
  <c r="AE160" i="11" s="1"/>
  <c r="AE1004" i="11" s="1"/>
  <c r="AD235" i="11"/>
  <c r="AD160" i="11" s="1"/>
  <c r="AD1004" i="11" s="1"/>
  <c r="AC235" i="11"/>
  <c r="AB235" i="11"/>
  <c r="AA235" i="11"/>
  <c r="Z235" i="11"/>
  <c r="Y235" i="11"/>
  <c r="X235" i="11"/>
  <c r="W235" i="11"/>
  <c r="W160" i="11" s="1"/>
  <c r="W1004" i="11" s="1"/>
  <c r="V235" i="11"/>
  <c r="V160" i="11" s="1"/>
  <c r="V1004" i="11" s="1"/>
  <c r="U235" i="11"/>
  <c r="T235" i="11"/>
  <c r="S235" i="11"/>
  <c r="R235" i="11"/>
  <c r="Q235" i="11"/>
  <c r="P235" i="11"/>
  <c r="O235" i="11"/>
  <c r="O160" i="11" s="1"/>
  <c r="O1004" i="11" s="1"/>
  <c r="N235" i="11"/>
  <c r="N160" i="11" s="1"/>
  <c r="N1004" i="11" s="1"/>
  <c r="M235" i="11"/>
  <c r="L235" i="11"/>
  <c r="L160" i="11" s="1"/>
  <c r="L1004" i="11" s="1"/>
  <c r="K235" i="11"/>
  <c r="K160" i="11" s="1"/>
  <c r="K1004" i="11" s="1"/>
  <c r="J235" i="11"/>
  <c r="I235" i="11"/>
  <c r="H235" i="11"/>
  <c r="G235" i="11"/>
  <c r="F235" i="11"/>
  <c r="E235" i="11"/>
  <c r="BV233" i="11"/>
  <c r="BU233" i="11"/>
  <c r="BT233" i="11"/>
  <c r="AC233" i="11"/>
  <c r="AA233" i="11"/>
  <c r="Y233" i="11"/>
  <c r="X233" i="11"/>
  <c r="W233" i="11"/>
  <c r="V233" i="11"/>
  <c r="T233" i="11"/>
  <c r="M233" i="11"/>
  <c r="G233" i="11"/>
  <c r="BD232" i="11"/>
  <c r="BD556" i="11" s="1"/>
  <c r="BA232" i="11"/>
  <c r="AV232" i="11"/>
  <c r="AU232" i="11"/>
  <c r="AJ232" i="11"/>
  <c r="Z232" i="11"/>
  <c r="V232" i="11"/>
  <c r="N232" i="11"/>
  <c r="N556" i="11" s="1"/>
  <c r="M232" i="11"/>
  <c r="BJ231" i="11"/>
  <c r="BI231" i="11"/>
  <c r="BH231" i="11"/>
  <c r="BG231" i="11"/>
  <c r="BF231" i="11"/>
  <c r="BE231" i="11"/>
  <c r="BE232" i="11" s="1"/>
  <c r="BD231" i="11"/>
  <c r="BC231" i="11"/>
  <c r="BB231" i="11"/>
  <c r="BA231" i="11"/>
  <c r="AZ231" i="11"/>
  <c r="AY231" i="11"/>
  <c r="AW231" i="11"/>
  <c r="AV231" i="11"/>
  <c r="AU231" i="11"/>
  <c r="AT231" i="11"/>
  <c r="AS231" i="11"/>
  <c r="AR231" i="11"/>
  <c r="AQ231" i="11"/>
  <c r="AQ152" i="11" s="1"/>
  <c r="AQ153" i="11" s="1"/>
  <c r="AP231" i="11"/>
  <c r="AO231" i="11"/>
  <c r="AM231" i="11"/>
  <c r="AL231" i="11"/>
  <c r="AK231" i="11"/>
  <c r="AJ231" i="11"/>
  <c r="AJ155" i="11" s="1"/>
  <c r="AJ156" i="11" s="1"/>
  <c r="AJ572" i="11" s="1"/>
  <c r="AH231" i="11"/>
  <c r="AH155" i="11" s="1"/>
  <c r="AH156" i="11" s="1"/>
  <c r="AH572" i="11" s="1"/>
  <c r="AG231" i="11"/>
  <c r="AF231" i="11"/>
  <c r="AE231" i="11"/>
  <c r="AC231" i="11"/>
  <c r="AB231" i="11"/>
  <c r="AA231" i="11"/>
  <c r="Z231" i="11"/>
  <c r="Y231" i="11"/>
  <c r="X231" i="11"/>
  <c r="W231" i="11"/>
  <c r="V231" i="11"/>
  <c r="V152" i="11" s="1"/>
  <c r="V153" i="11" s="1"/>
  <c r="U231" i="11"/>
  <c r="T231" i="11"/>
  <c r="S231" i="11"/>
  <c r="R231" i="11"/>
  <c r="Q231" i="11"/>
  <c r="P231" i="11"/>
  <c r="O231" i="11"/>
  <c r="N231" i="11"/>
  <c r="M231" i="11"/>
  <c r="L231" i="11"/>
  <c r="K231" i="11"/>
  <c r="I231" i="11"/>
  <c r="H231" i="11"/>
  <c r="G231" i="11"/>
  <c r="F231" i="11"/>
  <c r="E231" i="11"/>
  <c r="BV229" i="11"/>
  <c r="BU229" i="11"/>
  <c r="BT229" i="11"/>
  <c r="BR229" i="11"/>
  <c r="BL229" i="11"/>
  <c r="AD229" i="11"/>
  <c r="AC229" i="11"/>
  <c r="AB229" i="11"/>
  <c r="X229" i="11"/>
  <c r="V229" i="11"/>
  <c r="N229" i="11"/>
  <c r="J229" i="11"/>
  <c r="A228" i="11"/>
  <c r="BJ227" i="11"/>
  <c r="BI227" i="11"/>
  <c r="BH227" i="11"/>
  <c r="BG227" i="11"/>
  <c r="BF227" i="11"/>
  <c r="BE227" i="11"/>
  <c r="BD227" i="11"/>
  <c r="BB227" i="11"/>
  <c r="BB166" i="11" s="1"/>
  <c r="BA227" i="11"/>
  <c r="AZ227" i="11"/>
  <c r="AY227" i="11"/>
  <c r="AX227" i="11"/>
  <c r="AX155" i="11" s="1"/>
  <c r="AX156" i="11" s="1"/>
  <c r="AX572" i="11" s="1"/>
  <c r="AW227" i="11"/>
  <c r="BA900" i="11" s="1"/>
  <c r="AV227" i="11"/>
  <c r="AU227" i="11"/>
  <c r="AT227" i="11"/>
  <c r="AR227" i="11"/>
  <c r="AQ227" i="11"/>
  <c r="AP227" i="11"/>
  <c r="AO227" i="11"/>
  <c r="AN227" i="11"/>
  <c r="AM227" i="11"/>
  <c r="AL227" i="11"/>
  <c r="AK227" i="11"/>
  <c r="AJ227" i="11"/>
  <c r="AH227" i="11"/>
  <c r="AG227" i="11"/>
  <c r="AF227" i="11"/>
  <c r="AF155" i="11" s="1"/>
  <c r="AF156" i="11" s="1"/>
  <c r="AF572" i="11" s="1"/>
  <c r="AE227" i="11"/>
  <c r="AE155" i="11" s="1"/>
  <c r="AE156" i="11" s="1"/>
  <c r="AE572" i="11" s="1"/>
  <c r="AE573" i="11" s="1"/>
  <c r="AD227" i="11"/>
  <c r="AD232" i="11" s="1"/>
  <c r="AD556" i="11" s="1"/>
  <c r="AC227" i="11"/>
  <c r="AC232" i="11" s="1"/>
  <c r="AB227" i="11"/>
  <c r="AB901" i="11" s="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N716" i="11" s="1"/>
  <c r="M227" i="11"/>
  <c r="L227" i="11"/>
  <c r="K227" i="11"/>
  <c r="I227" i="11"/>
  <c r="I166" i="11" s="1"/>
  <c r="H227" i="11"/>
  <c r="H232" i="11" s="1"/>
  <c r="H238" i="11" s="1"/>
  <c r="G227" i="11"/>
  <c r="G232" i="11" s="1"/>
  <c r="G238" i="11" s="1"/>
  <c r="F227" i="11"/>
  <c r="E227" i="11"/>
  <c r="E511" i="11" s="1"/>
  <c r="BJ224" i="11"/>
  <c r="BI224" i="11"/>
  <c r="BI479" i="11" s="1"/>
  <c r="BH224" i="11"/>
  <c r="BH479" i="11" s="1"/>
  <c r="BG224" i="11"/>
  <c r="BG479" i="11" s="1"/>
  <c r="BG472" i="11" s="1"/>
  <c r="BF224" i="11"/>
  <c r="BF479" i="11" s="1"/>
  <c r="BF472" i="11" s="1"/>
  <c r="BE224" i="11"/>
  <c r="BD224" i="11"/>
  <c r="BC224" i="11"/>
  <c r="BB224" i="11"/>
  <c r="BA224" i="11"/>
  <c r="AZ224" i="11"/>
  <c r="AZ479" i="11" s="1"/>
  <c r="AZ472" i="11" s="1"/>
  <c r="AX224" i="11"/>
  <c r="AX479" i="11" s="1"/>
  <c r="AW224" i="11"/>
  <c r="AW479" i="11" s="1"/>
  <c r="AV224" i="11"/>
  <c r="AV479" i="11" s="1"/>
  <c r="AV472" i="11" s="1"/>
  <c r="AU224" i="11"/>
  <c r="AU479" i="11" s="1"/>
  <c r="AT224" i="11"/>
  <c r="AS224" i="11"/>
  <c r="AS479" i="11" s="1"/>
  <c r="AR224" i="11"/>
  <c r="AR479" i="11" s="1"/>
  <c r="AQ224" i="11"/>
  <c r="AP224" i="11"/>
  <c r="AO224" i="11"/>
  <c r="AN224" i="11"/>
  <c r="AM224" i="11"/>
  <c r="AL224" i="11"/>
  <c r="AK224" i="11"/>
  <c r="AJ224" i="11"/>
  <c r="AI224" i="11"/>
  <c r="AH224" i="11"/>
  <c r="AG224" i="11"/>
  <c r="AF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J224" i="11"/>
  <c r="I224" i="11"/>
  <c r="H224" i="11"/>
  <c r="G224" i="11"/>
  <c r="F224" i="11"/>
  <c r="E224" i="11"/>
  <c r="BS221" i="11"/>
  <c r="BN221" i="11"/>
  <c r="BJ221" i="11"/>
  <c r="BG221" i="11"/>
  <c r="BF221" i="11"/>
  <c r="BE221" i="11"/>
  <c r="BD221" i="11"/>
  <c r="AZ221" i="11"/>
  <c r="AY221" i="11"/>
  <c r="AW221" i="11"/>
  <c r="AV221" i="11"/>
  <c r="AU221" i="11"/>
  <c r="AT221" i="11"/>
  <c r="AS221" i="11"/>
  <c r="AR221" i="11"/>
  <c r="AQ221" i="11"/>
  <c r="AP221" i="11"/>
  <c r="AO221" i="11"/>
  <c r="AN221" i="11"/>
  <c r="AK221" i="11"/>
  <c r="AJ221" i="11"/>
  <c r="AH221" i="11"/>
  <c r="AG221" i="11"/>
  <c r="AF221" i="11"/>
  <c r="AE221" i="11"/>
  <c r="AD221" i="11"/>
  <c r="AB221" i="11"/>
  <c r="AA221" i="11"/>
  <c r="Z221" i="11"/>
  <c r="Y221" i="11"/>
  <c r="X221" i="11"/>
  <c r="W221" i="11"/>
  <c r="V221" i="11"/>
  <c r="U221" i="11"/>
  <c r="T221" i="11"/>
  <c r="S221" i="11"/>
  <c r="R221" i="11"/>
  <c r="O221" i="11"/>
  <c r="N221" i="11"/>
  <c r="M221" i="11"/>
  <c r="L221" i="11"/>
  <c r="K221" i="11"/>
  <c r="J221" i="11"/>
  <c r="I221" i="11"/>
  <c r="G221" i="11"/>
  <c r="F221" i="11"/>
  <c r="BS220" i="11"/>
  <c r="BJ220" i="11"/>
  <c r="BN220" i="11" s="1"/>
  <c r="BI220" i="11"/>
  <c r="BD220" i="11"/>
  <c r="BC220" i="11"/>
  <c r="BB220" i="11"/>
  <c r="BA220" i="11"/>
  <c r="AZ220" i="11"/>
  <c r="AY220" i="11"/>
  <c r="AW220" i="11"/>
  <c r="AV220" i="11"/>
  <c r="AU220" i="11"/>
  <c r="AT220" i="11"/>
  <c r="AS220" i="11"/>
  <c r="AR220" i="11"/>
  <c r="AQ220" i="11"/>
  <c r="AP220" i="11"/>
  <c r="AO220" i="11"/>
  <c r="AM220" i="11"/>
  <c r="AI220" i="11"/>
  <c r="AH220" i="11"/>
  <c r="AG220" i="11"/>
  <c r="AF220" i="11"/>
  <c r="AE220" i="11"/>
  <c r="AC220" i="11"/>
  <c r="AB220" i="11"/>
  <c r="AA220" i="11"/>
  <c r="Z220" i="11"/>
  <c r="Y220" i="11"/>
  <c r="V220" i="11"/>
  <c r="U220" i="11"/>
  <c r="T220" i="11"/>
  <c r="S220" i="11"/>
  <c r="R220" i="11"/>
  <c r="Q220" i="11"/>
  <c r="M220" i="11"/>
  <c r="L220" i="11"/>
  <c r="K220" i="11"/>
  <c r="J220" i="11"/>
  <c r="I220" i="11"/>
  <c r="H220" i="11"/>
  <c r="G220" i="11"/>
  <c r="F220" i="11"/>
  <c r="X209" i="11"/>
  <c r="X217" i="11" s="1"/>
  <c r="W209" i="11"/>
  <c r="W217" i="11" s="1"/>
  <c r="O209" i="11"/>
  <c r="O217" i="11" s="1"/>
  <c r="BF206" i="11"/>
  <c r="BE206" i="11"/>
  <c r="BA206" i="11"/>
  <c r="AZ206" i="11"/>
  <c r="AV206" i="11"/>
  <c r="AU206" i="11"/>
  <c r="AT206" i="11"/>
  <c r="AQ206" i="11"/>
  <c r="AP206" i="11"/>
  <c r="AO206" i="11"/>
  <c r="AN206" i="11"/>
  <c r="AL206" i="11"/>
  <c r="AK206" i="11"/>
  <c r="AJ206" i="11"/>
  <c r="AG206" i="11"/>
  <c r="AF206" i="11"/>
  <c r="AE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I206" i="11"/>
  <c r="H206" i="11"/>
  <c r="G206" i="11"/>
  <c r="F206" i="11"/>
  <c r="BJ202" i="11"/>
  <c r="BI202" i="11"/>
  <c r="BG202" i="11"/>
  <c r="BF202" i="11"/>
  <c r="BE202" i="11"/>
  <c r="BD202" i="11"/>
  <c r="BB202" i="11"/>
  <c r="BA202" i="11"/>
  <c r="AZ202" i="11"/>
  <c r="AY202" i="11"/>
  <c r="AV202" i="11"/>
  <c r="AU202" i="11"/>
  <c r="AT202" i="11"/>
  <c r="AS202" i="11"/>
  <c r="AQ202" i="11"/>
  <c r="AP202" i="11"/>
  <c r="AO202" i="11"/>
  <c r="AL202" i="11"/>
  <c r="AK202" i="11"/>
  <c r="AJ202" i="11"/>
  <c r="AI202" i="11"/>
  <c r="AG202" i="11"/>
  <c r="AF202" i="11"/>
  <c r="AE202" i="11"/>
  <c r="AC202" i="11"/>
  <c r="AC207" i="11" s="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I202" i="11"/>
  <c r="H202" i="11"/>
  <c r="G202" i="11"/>
  <c r="F202" i="11"/>
  <c r="BJ201" i="11"/>
  <c r="BI201" i="11"/>
  <c r="BH201" i="11"/>
  <c r="BG201" i="11"/>
  <c r="BF201" i="11"/>
  <c r="BE201" i="11"/>
  <c r="BD201" i="11"/>
  <c r="BB201" i="11"/>
  <c r="BA201" i="11"/>
  <c r="AZ201" i="11"/>
  <c r="AY201" i="11"/>
  <c r="AV201" i="11"/>
  <c r="AU201" i="11"/>
  <c r="AT201" i="11"/>
  <c r="AQ201" i="11"/>
  <c r="AP201" i="11"/>
  <c r="AO201" i="11"/>
  <c r="AN201" i="11"/>
  <c r="AL201" i="11"/>
  <c r="AK201" i="11"/>
  <c r="AJ201" i="11"/>
  <c r="AI201" i="11"/>
  <c r="AG201" i="11"/>
  <c r="AF201" i="11"/>
  <c r="AE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I201" i="11"/>
  <c r="H201" i="11"/>
  <c r="G201" i="11"/>
  <c r="F201" i="11"/>
  <c r="BF199" i="11"/>
  <c r="BE199" i="11"/>
  <c r="BA199" i="11"/>
  <c r="AZ199" i="11"/>
  <c r="AV199" i="11"/>
  <c r="AU199" i="11"/>
  <c r="AT199" i="11"/>
  <c r="AS199" i="11"/>
  <c r="AQ199" i="11"/>
  <c r="AP199" i="11"/>
  <c r="AO199" i="11"/>
  <c r="AN199" i="11"/>
  <c r="AK199" i="11"/>
  <c r="AJ199" i="11"/>
  <c r="AI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P199" i="11"/>
  <c r="N199" i="11"/>
  <c r="K199" i="11"/>
  <c r="J199" i="11"/>
  <c r="I199" i="11"/>
  <c r="H199" i="11"/>
  <c r="G199" i="11"/>
  <c r="F199" i="11"/>
  <c r="AR198" i="11"/>
  <c r="AR207" i="11" s="1"/>
  <c r="AG198" i="11"/>
  <c r="AG207" i="11" s="1"/>
  <c r="AC198" i="11"/>
  <c r="X198" i="11"/>
  <c r="W198" i="11"/>
  <c r="W207" i="11" s="1"/>
  <c r="W245" i="11" s="1"/>
  <c r="Q198" i="11"/>
  <c r="AR195" i="11"/>
  <c r="AC195" i="11"/>
  <c r="X195" i="11"/>
  <c r="W195" i="11"/>
  <c r="N195" i="11"/>
  <c r="M195" i="11"/>
  <c r="AC193" i="11"/>
  <c r="W193" i="11"/>
  <c r="P193" i="11"/>
  <c r="O193" i="11"/>
  <c r="J191" i="11"/>
  <c r="J258" i="11" s="1"/>
  <c r="BE190" i="11"/>
  <c r="BD190" i="11"/>
  <c r="BB190" i="11"/>
  <c r="BA190" i="11"/>
  <c r="AH190" i="11"/>
  <c r="AF190" i="11"/>
  <c r="AF195" i="11" s="1"/>
  <c r="Z190" i="11"/>
  <c r="Y190" i="11"/>
  <c r="E190" i="11"/>
  <c r="E193" i="11" s="1"/>
  <c r="BH189" i="11"/>
  <c r="BC189" i="11"/>
  <c r="AX189" i="11"/>
  <c r="AX253" i="11" s="1"/>
  <c r="AS189" i="11"/>
  <c r="AN189" i="11"/>
  <c r="AI189" i="11"/>
  <c r="AD189" i="11"/>
  <c r="AD253" i="11" s="1"/>
  <c r="J189" i="11"/>
  <c r="J206" i="11" s="1"/>
  <c r="BG188" i="11"/>
  <c r="BG190" i="11" s="1"/>
  <c r="BF188" i="11"/>
  <c r="BF190" i="11" s="1"/>
  <c r="BB188" i="11"/>
  <c r="BA188" i="11"/>
  <c r="AR188" i="11"/>
  <c r="AR190" i="11" s="1"/>
  <c r="AR193" i="11" s="1"/>
  <c r="N188" i="11"/>
  <c r="N190" i="11" s="1"/>
  <c r="N198" i="11" s="1"/>
  <c r="N207" i="11" s="1"/>
  <c r="L188" i="11"/>
  <c r="L190" i="11" s="1"/>
  <c r="L193" i="11" s="1"/>
  <c r="K188" i="11"/>
  <c r="K190" i="11" s="1"/>
  <c r="F188" i="11"/>
  <c r="F190" i="11" s="1"/>
  <c r="E188" i="11"/>
  <c r="BH187" i="11"/>
  <c r="BC187" i="11"/>
  <c r="BH186" i="11"/>
  <c r="BC186" i="11"/>
  <c r="BC250" i="11" s="1"/>
  <c r="AX186" i="11"/>
  <c r="AX250" i="11" s="1"/>
  <c r="AS186" i="11"/>
  <c r="AN186" i="11"/>
  <c r="AI186" i="11"/>
  <c r="AD186" i="11"/>
  <c r="J186" i="11"/>
  <c r="E186" i="11"/>
  <c r="BH185" i="11"/>
  <c r="BC185" i="11"/>
  <c r="AX185" i="11"/>
  <c r="AX249" i="11" s="1"/>
  <c r="AX739" i="11" s="1"/>
  <c r="AS185" i="11"/>
  <c r="AN185" i="11"/>
  <c r="AI185" i="11"/>
  <c r="AD185" i="11"/>
  <c r="J185" i="11"/>
  <c r="BJ184" i="11"/>
  <c r="BJ188" i="11" s="1"/>
  <c r="BJ190" i="11" s="1"/>
  <c r="BE184" i="11"/>
  <c r="BE188" i="11" s="1"/>
  <c r="AR184" i="11"/>
  <c r="AL184" i="11"/>
  <c r="AL188" i="11" s="1"/>
  <c r="AL190" i="11" s="1"/>
  <c r="AK184" i="11"/>
  <c r="AK188" i="11" s="1"/>
  <c r="AK190" i="11" s="1"/>
  <c r="AH184" i="11"/>
  <c r="AH188" i="11" s="1"/>
  <c r="AF184" i="11"/>
  <c r="AF188" i="11" s="1"/>
  <c r="X184" i="11"/>
  <c r="X188" i="11" s="1"/>
  <c r="X190" i="11" s="1"/>
  <c r="X193" i="11" s="1"/>
  <c r="W184" i="11"/>
  <c r="W188" i="11" s="1"/>
  <c r="W190" i="11" s="1"/>
  <c r="V184" i="11"/>
  <c r="V188" i="11" s="1"/>
  <c r="V190" i="11" s="1"/>
  <c r="U184" i="11"/>
  <c r="U188" i="11" s="1"/>
  <c r="U190" i="11" s="1"/>
  <c r="Q184" i="11"/>
  <c r="Q188" i="11" s="1"/>
  <c r="Q190" i="11" s="1"/>
  <c r="P184" i="11"/>
  <c r="P188" i="11" s="1"/>
  <c r="P190" i="11" s="1"/>
  <c r="N184" i="11"/>
  <c r="E184" i="11"/>
  <c r="BJ183" i="11"/>
  <c r="BI183" i="11"/>
  <c r="BI184" i="11" s="1"/>
  <c r="BI188" i="11" s="1"/>
  <c r="BI190" i="11" s="1"/>
  <c r="BH183" i="11"/>
  <c r="BG183" i="11"/>
  <c r="BF183" i="11"/>
  <c r="BE183" i="11"/>
  <c r="BD183" i="11"/>
  <c r="BB183" i="11"/>
  <c r="BB184" i="11" s="1"/>
  <c r="BA183" i="11"/>
  <c r="AZ183" i="11"/>
  <c r="AZ184" i="11" s="1"/>
  <c r="AZ188" i="11" s="1"/>
  <c r="AZ190" i="11" s="1"/>
  <c r="AY183" i="11"/>
  <c r="AW183" i="11"/>
  <c r="AV183" i="11"/>
  <c r="AU183" i="11"/>
  <c r="AT183" i="11"/>
  <c r="AR183" i="11"/>
  <c r="AQ183" i="11"/>
  <c r="AP183" i="11"/>
  <c r="AO183" i="11"/>
  <c r="AM183" i="11"/>
  <c r="AL183" i="11"/>
  <c r="AK183" i="11"/>
  <c r="AJ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L184" i="11" s="1"/>
  <c r="K183" i="11"/>
  <c r="I183" i="11"/>
  <c r="H183" i="11"/>
  <c r="G183" i="11"/>
  <c r="G184" i="11" s="1"/>
  <c r="G188" i="11" s="1"/>
  <c r="G190" i="11" s="1"/>
  <c r="F183" i="11"/>
  <c r="E183" i="11"/>
  <c r="BH182" i="11"/>
  <c r="BC182" i="11"/>
  <c r="BH181" i="11"/>
  <c r="BC181" i="11"/>
  <c r="J180" i="11"/>
  <c r="J236" i="11" s="1"/>
  <c r="BH179" i="11"/>
  <c r="BC179" i="11"/>
  <c r="BC81" i="11" s="1"/>
  <c r="AX179" i="11"/>
  <c r="AX81" i="11" s="1"/>
  <c r="AS179" i="11"/>
  <c r="AN179" i="11"/>
  <c r="AI179" i="11"/>
  <c r="AI81" i="11" s="1"/>
  <c r="AD179" i="11"/>
  <c r="AD81" i="11" s="1"/>
  <c r="J179" i="11"/>
  <c r="J81" i="11" s="1"/>
  <c r="J178" i="11"/>
  <c r="J77" i="11" s="1"/>
  <c r="BH177" i="11"/>
  <c r="BH73" i="11" s="1"/>
  <c r="BC177" i="11"/>
  <c r="AX177" i="11"/>
  <c r="AX73" i="11" s="1"/>
  <c r="AS177" i="11"/>
  <c r="AS73" i="11" s="1"/>
  <c r="AN177" i="11"/>
  <c r="AI177" i="11"/>
  <c r="AD177" i="11"/>
  <c r="J177" i="11"/>
  <c r="BH176" i="11"/>
  <c r="BC176" i="11"/>
  <c r="AX176" i="11"/>
  <c r="AS176" i="11"/>
  <c r="AN176" i="11"/>
  <c r="AI176" i="11"/>
  <c r="AD176" i="11"/>
  <c r="AD102" i="11" s="1"/>
  <c r="J176" i="11"/>
  <c r="BJ175" i="11"/>
  <c r="BI175" i="11"/>
  <c r="BG175" i="11"/>
  <c r="BG184" i="11" s="1"/>
  <c r="BF175" i="11"/>
  <c r="BF184" i="11" s="1"/>
  <c r="BE175" i="11"/>
  <c r="BD175" i="11"/>
  <c r="BD184" i="11" s="1"/>
  <c r="BD188" i="11" s="1"/>
  <c r="BC175" i="11"/>
  <c r="BB175" i="11"/>
  <c r="BA175" i="11"/>
  <c r="BA184" i="11" s="1"/>
  <c r="AZ175" i="11"/>
  <c r="AY175" i="11"/>
  <c r="AX175" i="11"/>
  <c r="AW175" i="11"/>
  <c r="AW184" i="11" s="1"/>
  <c r="AW188" i="11" s="1"/>
  <c r="AW190" i="11" s="1"/>
  <c r="AV175" i="11"/>
  <c r="AU175" i="11"/>
  <c r="AT175" i="11"/>
  <c r="AT184" i="11" s="1"/>
  <c r="AT188" i="11" s="1"/>
  <c r="AT190" i="11" s="1"/>
  <c r="AR175" i="11"/>
  <c r="AQ175" i="11"/>
  <c r="AP175" i="11"/>
  <c r="AO175" i="11"/>
  <c r="AM175" i="11"/>
  <c r="AL175" i="11"/>
  <c r="AK175" i="11"/>
  <c r="AJ175" i="11"/>
  <c r="AJ184" i="11" s="1"/>
  <c r="AJ188" i="11" s="1"/>
  <c r="AJ190" i="11" s="1"/>
  <c r="AI175" i="11"/>
  <c r="AH175" i="11"/>
  <c r="AG175" i="11"/>
  <c r="AG184" i="11" s="1"/>
  <c r="AG188" i="11" s="1"/>
  <c r="AG190" i="11" s="1"/>
  <c r="AF175" i="11"/>
  <c r="AE175" i="11"/>
  <c r="AE184" i="11" s="1"/>
  <c r="AE188" i="11" s="1"/>
  <c r="AE190" i="11" s="1"/>
  <c r="AC175" i="11"/>
  <c r="AC184" i="11" s="1"/>
  <c r="AC188" i="11" s="1"/>
  <c r="AC190" i="11" s="1"/>
  <c r="AB175" i="11"/>
  <c r="AA175" i="11"/>
  <c r="Z175" i="11"/>
  <c r="Z184" i="11" s="1"/>
  <c r="Z188" i="11" s="1"/>
  <c r="Y175" i="11"/>
  <c r="Y184" i="11" s="1"/>
  <c r="Y188" i="11" s="1"/>
  <c r="X175" i="11"/>
  <c r="W175" i="11"/>
  <c r="V175" i="11"/>
  <c r="U175" i="11"/>
  <c r="T175" i="11"/>
  <c r="S175" i="11"/>
  <c r="R175" i="11"/>
  <c r="Q175" i="11"/>
  <c r="P175" i="11"/>
  <c r="O175" i="11"/>
  <c r="O184" i="11" s="1"/>
  <c r="O188" i="11" s="1"/>
  <c r="O190" i="11" s="1"/>
  <c r="N175" i="11"/>
  <c r="M175" i="11"/>
  <c r="M184" i="11" s="1"/>
  <c r="M188" i="11" s="1"/>
  <c r="M190" i="11" s="1"/>
  <c r="L175" i="11"/>
  <c r="K175" i="11"/>
  <c r="K184" i="11" s="1"/>
  <c r="I175" i="11"/>
  <c r="I184" i="11" s="1"/>
  <c r="I188" i="11" s="1"/>
  <c r="I190" i="11" s="1"/>
  <c r="H175" i="11"/>
  <c r="G175" i="11"/>
  <c r="F175" i="11"/>
  <c r="F184" i="11" s="1"/>
  <c r="E175" i="11"/>
  <c r="BH174" i="11"/>
  <c r="BC174" i="11"/>
  <c r="AX174" i="11"/>
  <c r="AX231" i="11" s="1"/>
  <c r="AS174" i="11"/>
  <c r="AN174" i="11"/>
  <c r="AN231" i="11" s="1"/>
  <c r="AN155" i="11" s="1"/>
  <c r="AI174" i="11"/>
  <c r="AD174" i="11"/>
  <c r="AD231" i="11" s="1"/>
  <c r="J174" i="11"/>
  <c r="J231" i="11" s="1"/>
  <c r="BH173" i="11"/>
  <c r="BH32" i="11" s="1"/>
  <c r="BH36" i="11" s="1"/>
  <c r="BC173" i="11"/>
  <c r="AX173" i="11"/>
  <c r="AS173" i="11"/>
  <c r="AN173" i="11"/>
  <c r="AI173" i="11"/>
  <c r="AI227" i="11" s="1"/>
  <c r="AD173" i="11"/>
  <c r="AD91" i="11" s="1"/>
  <c r="AD104" i="11" s="1"/>
  <c r="J173" i="11"/>
  <c r="BV170" i="11"/>
  <c r="BU170" i="11"/>
  <c r="BT170" i="11"/>
  <c r="BR170" i="11"/>
  <c r="AD170" i="11"/>
  <c r="AC170" i="11"/>
  <c r="AB170" i="11"/>
  <c r="AA170" i="11"/>
  <c r="Y170" i="11"/>
  <c r="X170" i="11"/>
  <c r="V170" i="11"/>
  <c r="S170" i="11"/>
  <c r="O170" i="11"/>
  <c r="N170" i="11"/>
  <c r="J170" i="11"/>
  <c r="I170" i="11"/>
  <c r="H170" i="11"/>
  <c r="G170" i="11"/>
  <c r="W168" i="11"/>
  <c r="W644" i="11" s="1"/>
  <c r="W645" i="11" s="1"/>
  <c r="BI166" i="11"/>
  <c r="AV166" i="11"/>
  <c r="AU166" i="11"/>
  <c r="AR166" i="11"/>
  <c r="AI166" i="11"/>
  <c r="AH166" i="11"/>
  <c r="AA166" i="11"/>
  <c r="X166" i="11"/>
  <c r="U166" i="11"/>
  <c r="T166" i="11"/>
  <c r="O166" i="11"/>
  <c r="BJ165" i="11"/>
  <c r="BG165" i="11"/>
  <c r="BE165" i="11"/>
  <c r="BB165" i="11"/>
  <c r="BA165" i="11"/>
  <c r="AT165" i="11"/>
  <c r="AR165" i="11"/>
  <c r="AQ165" i="11"/>
  <c r="AP165" i="11"/>
  <c r="AO165" i="11"/>
  <c r="AN165" i="11"/>
  <c r="AK165" i="11"/>
  <c r="AJ165" i="11"/>
  <c r="AG165" i="11"/>
  <c r="AF165" i="11"/>
  <c r="W165" i="11"/>
  <c r="V165" i="11"/>
  <c r="U165" i="11"/>
  <c r="T165" i="11"/>
  <c r="S165" i="11"/>
  <c r="P165" i="11"/>
  <c r="N165" i="11"/>
  <c r="K165" i="11"/>
  <c r="I165" i="11"/>
  <c r="H165" i="11"/>
  <c r="G165" i="11"/>
  <c r="AD161" i="11"/>
  <c r="G161" i="11"/>
  <c r="BF160" i="11"/>
  <c r="BF1004" i="11" s="1"/>
  <c r="BE160" i="11"/>
  <c r="BE1004" i="11" s="1"/>
  <c r="BA160" i="11"/>
  <c r="BA1004" i="11" s="1"/>
  <c r="AZ160" i="11"/>
  <c r="AZ1004" i="11" s="1"/>
  <c r="AY160" i="11"/>
  <c r="AY1004" i="11" s="1"/>
  <c r="AV160" i="11"/>
  <c r="AV1004" i="11" s="1"/>
  <c r="AU160" i="11"/>
  <c r="AU1004" i="11" s="1"/>
  <c r="AJ160" i="11"/>
  <c r="AJ1004" i="11" s="1"/>
  <c r="AI160" i="11"/>
  <c r="AI1004" i="11" s="1"/>
  <c r="AH160" i="11"/>
  <c r="AH1004" i="11" s="1"/>
  <c r="AA160" i="11"/>
  <c r="AA1004" i="11" s="1"/>
  <c r="Y160" i="11"/>
  <c r="Y1004" i="11" s="1"/>
  <c r="X160" i="11"/>
  <c r="X1004" i="11" s="1"/>
  <c r="U160" i="11"/>
  <c r="U1004" i="11" s="1"/>
  <c r="S160" i="11"/>
  <c r="S1004" i="11" s="1"/>
  <c r="Q160" i="11"/>
  <c r="Q1004" i="11" s="1"/>
  <c r="P160" i="11"/>
  <c r="P1004" i="11" s="1"/>
  <c r="G160" i="11"/>
  <c r="G1004" i="11" s="1"/>
  <c r="E160" i="11"/>
  <c r="BV158" i="11"/>
  <c r="BU158" i="11"/>
  <c r="BT158" i="11"/>
  <c r="BP158" i="11"/>
  <c r="BO158" i="11"/>
  <c r="BM158" i="11"/>
  <c r="Y158" i="11"/>
  <c r="W158" i="11"/>
  <c r="V158" i="11"/>
  <c r="R158" i="11"/>
  <c r="Q158" i="11"/>
  <c r="O158" i="11"/>
  <c r="M158" i="11"/>
  <c r="L158" i="11"/>
  <c r="K158" i="11"/>
  <c r="J158" i="11"/>
  <c r="G158" i="11"/>
  <c r="BJ156" i="11"/>
  <c r="BJ572" i="11" s="1"/>
  <c r="AV156" i="11"/>
  <c r="AO156" i="11"/>
  <c r="AN156" i="11"/>
  <c r="AN572" i="11" s="1"/>
  <c r="U156" i="11"/>
  <c r="U572" i="11" s="1"/>
  <c r="N156" i="11"/>
  <c r="N572" i="11" s="1"/>
  <c r="N573" i="11" s="1"/>
  <c r="G156" i="11"/>
  <c r="G572" i="11" s="1"/>
  <c r="G573" i="11" s="1"/>
  <c r="BJ155" i="11"/>
  <c r="BH155" i="11"/>
  <c r="BH156" i="11" s="1"/>
  <c r="BH572" i="11" s="1"/>
  <c r="BF155" i="11"/>
  <c r="BF156" i="11" s="1"/>
  <c r="BF572" i="11" s="1"/>
  <c r="BD155" i="11"/>
  <c r="BD156" i="11" s="1"/>
  <c r="BD572" i="11" s="1"/>
  <c r="AV155" i="11"/>
  <c r="AR155" i="11"/>
  <c r="AR156" i="11" s="1"/>
  <c r="AR572" i="11" s="1"/>
  <c r="AQ155" i="11"/>
  <c r="AQ156" i="11" s="1"/>
  <c r="AQ572" i="11" s="1"/>
  <c r="AP155" i="11"/>
  <c r="AP156" i="11" s="1"/>
  <c r="AP572" i="11" s="1"/>
  <c r="AO155" i="11"/>
  <c r="V155" i="11"/>
  <c r="V156" i="11" s="1"/>
  <c r="V572" i="11" s="1"/>
  <c r="V573" i="11" s="1"/>
  <c r="U155" i="11"/>
  <c r="T155" i="11"/>
  <c r="T156" i="11" s="1"/>
  <c r="T572" i="11" s="1"/>
  <c r="S155" i="11"/>
  <c r="S156" i="11" s="1"/>
  <c r="S572" i="11" s="1"/>
  <c r="S573" i="11" s="1"/>
  <c r="N155" i="11"/>
  <c r="M155" i="11"/>
  <c r="M156" i="11" s="1"/>
  <c r="M572" i="11" s="1"/>
  <c r="M573" i="11" s="1"/>
  <c r="G155" i="11"/>
  <c r="BE153" i="11"/>
  <c r="BB153" i="11"/>
  <c r="U153" i="11"/>
  <c r="T153" i="11"/>
  <c r="N153" i="11"/>
  <c r="G153" i="11"/>
  <c r="BF152" i="11"/>
  <c r="BF153" i="11" s="1"/>
  <c r="BE152" i="11"/>
  <c r="BB152" i="11"/>
  <c r="AR152" i="11"/>
  <c r="AR153" i="11" s="1"/>
  <c r="AP152" i="11"/>
  <c r="AP153" i="11" s="1"/>
  <c r="AO152" i="11"/>
  <c r="AO153" i="11" s="1"/>
  <c r="AN152" i="11"/>
  <c r="AN153" i="11" s="1"/>
  <c r="AJ152" i="11"/>
  <c r="AJ153" i="11" s="1"/>
  <c r="U152" i="11"/>
  <c r="T152" i="11"/>
  <c r="S152" i="11"/>
  <c r="S153" i="11" s="1"/>
  <c r="N152" i="11"/>
  <c r="G152" i="11"/>
  <c r="AS145" i="11"/>
  <c r="AN145" i="11"/>
  <c r="AI145" i="11"/>
  <c r="AD145" i="11"/>
  <c r="Y145" i="11"/>
  <c r="T145" i="11"/>
  <c r="O145" i="11"/>
  <c r="BI143" i="11"/>
  <c r="BD143" i="11"/>
  <c r="BB143" i="11"/>
  <c r="BA143" i="11"/>
  <c r="AZ143" i="11"/>
  <c r="AY143" i="11"/>
  <c r="AW143" i="11"/>
  <c r="AT143" i="11"/>
  <c r="AO143" i="11"/>
  <c r="AJ143" i="11"/>
  <c r="AH143" i="11"/>
  <c r="AE143" i="11"/>
  <c r="AA143" i="11"/>
  <c r="X143" i="11"/>
  <c r="U143" i="11"/>
  <c r="T143" i="11"/>
  <c r="P143" i="11"/>
  <c r="O143" i="11"/>
  <c r="N143" i="11"/>
  <c r="M143" i="11"/>
  <c r="BJ138" i="11"/>
  <c r="BI138" i="11"/>
  <c r="BH138" i="11"/>
  <c r="BG138" i="11"/>
  <c r="BF138" i="11"/>
  <c r="BE138" i="11"/>
  <c r="BD138" i="11"/>
  <c r="BC138" i="11"/>
  <c r="BB138" i="11"/>
  <c r="BA138" i="11"/>
  <c r="AZ138" i="11"/>
  <c r="AY138" i="11"/>
  <c r="AX138" i="11"/>
  <c r="AW138" i="11"/>
  <c r="AV138" i="11"/>
  <c r="AU138" i="11"/>
  <c r="AT138" i="11"/>
  <c r="AR138" i="11"/>
  <c r="AQ138" i="11"/>
  <c r="AP138" i="11"/>
  <c r="AO138" i="11"/>
  <c r="AN138" i="11"/>
  <c r="AM138" i="11"/>
  <c r="AL138" i="11"/>
  <c r="AK138" i="11"/>
  <c r="AJ138" i="11"/>
  <c r="AI138" i="11"/>
  <c r="AH138" i="11"/>
  <c r="AG138" i="11"/>
  <c r="AF138" i="11"/>
  <c r="AE138" i="11"/>
  <c r="AD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J138" i="11"/>
  <c r="I138" i="11"/>
  <c r="H138" i="11"/>
  <c r="G138" i="11"/>
  <c r="AX136" i="11"/>
  <c r="AS136" i="11"/>
  <c r="AS138" i="11" s="1"/>
  <c r="AC136" i="11"/>
  <c r="AC138" i="11" s="1"/>
  <c r="AB136" i="11"/>
  <c r="AB138" i="11" s="1"/>
  <c r="AA136" i="11"/>
  <c r="AX135" i="11"/>
  <c r="AS135" i="11"/>
  <c r="AX134" i="11"/>
  <c r="AS134" i="11"/>
  <c r="BJ132" i="11"/>
  <c r="BI132" i="11"/>
  <c r="BG132" i="11"/>
  <c r="BF132" i="11"/>
  <c r="BE132" i="11"/>
  <c r="BC132" i="11"/>
  <c r="BB132" i="11"/>
  <c r="BA132" i="11"/>
  <c r="AZ132" i="11"/>
  <c r="AY132" i="11"/>
  <c r="AY131" i="11" s="1"/>
  <c r="AX132" i="11"/>
  <c r="AW132" i="11"/>
  <c r="AV132" i="11"/>
  <c r="AU132" i="11"/>
  <c r="AT132" i="11"/>
  <c r="AS132" i="11"/>
  <c r="AQ132" i="11"/>
  <c r="AQ131" i="11" s="1"/>
  <c r="AP132" i="11"/>
  <c r="AO132" i="11"/>
  <c r="AN132" i="11"/>
  <c r="AM132" i="11"/>
  <c r="AK132" i="11"/>
  <c r="AK131" i="11" s="1"/>
  <c r="AJ132" i="11"/>
  <c r="AJ131" i="11" s="1"/>
  <c r="AI132" i="11"/>
  <c r="AI131" i="11" s="1"/>
  <c r="AG132" i="11"/>
  <c r="AG131" i="11" s="1"/>
  <c r="AF132" i="11"/>
  <c r="AF131" i="11" s="1"/>
  <c r="AE132" i="11"/>
  <c r="AE131" i="11" s="1"/>
  <c r="AD132" i="11"/>
  <c r="AC132" i="11"/>
  <c r="AC131" i="11" s="1"/>
  <c r="AB132" i="11"/>
  <c r="AA132" i="11"/>
  <c r="AA131" i="11" s="1"/>
  <c r="Z132" i="11"/>
  <c r="Y132" i="11"/>
  <c r="X132" i="11"/>
  <c r="W132" i="11"/>
  <c r="W131" i="11" s="1"/>
  <c r="V132" i="11"/>
  <c r="U132" i="11"/>
  <c r="T132" i="11"/>
  <c r="S132" i="11"/>
  <c r="R132" i="11"/>
  <c r="P132" i="11"/>
  <c r="N132" i="11"/>
  <c r="N129" i="11" s="1"/>
  <c r="N914" i="11" s="1"/>
  <c r="M132" i="11"/>
  <c r="M129" i="11" s="1"/>
  <c r="M914" i="11" s="1"/>
  <c r="L132" i="11"/>
  <c r="L129" i="11" s="1"/>
  <c r="L914" i="11" s="1"/>
  <c r="K132" i="11"/>
  <c r="J132" i="11"/>
  <c r="I132" i="11"/>
  <c r="H132" i="11"/>
  <c r="G132" i="11"/>
  <c r="F132" i="11"/>
  <c r="BI131" i="11"/>
  <c r="AT131" i="11"/>
  <c r="AS131" i="11"/>
  <c r="AR131" i="11"/>
  <c r="AP131" i="11"/>
  <c r="AO131" i="11"/>
  <c r="AM131" i="11"/>
  <c r="AB131" i="11"/>
  <c r="Z131" i="11"/>
  <c r="Y131" i="11"/>
  <c r="X131" i="11"/>
  <c r="V131" i="11"/>
  <c r="N131" i="11"/>
  <c r="AS130" i="11"/>
  <c r="AS920" i="11" s="1"/>
  <c r="AN130" i="11"/>
  <c r="AN920" i="11" s="1"/>
  <c r="AI130" i="11"/>
  <c r="AI920" i="11" s="1"/>
  <c r="AD130" i="11"/>
  <c r="AD920" i="11" s="1"/>
  <c r="Y130" i="11"/>
  <c r="Y920" i="11" s="1"/>
  <c r="Y922" i="11" s="1"/>
  <c r="U130" i="11"/>
  <c r="T130" i="11"/>
  <c r="T920" i="11" s="1"/>
  <c r="S130" i="11"/>
  <c r="S920" i="11" s="1"/>
  <c r="R130" i="11"/>
  <c r="Q130" i="11"/>
  <c r="P130" i="11"/>
  <c r="O130" i="11"/>
  <c r="O920" i="11" s="1"/>
  <c r="N130" i="11"/>
  <c r="N920" i="11" s="1"/>
  <c r="M130" i="11"/>
  <c r="M920" i="11" s="1"/>
  <c r="L130" i="11"/>
  <c r="L920" i="11" s="1"/>
  <c r="K130" i="11"/>
  <c r="K920" i="11" s="1"/>
  <c r="K926" i="11" s="1"/>
  <c r="J130" i="11"/>
  <c r="J129" i="11" s="1"/>
  <c r="I130" i="11"/>
  <c r="H130" i="11"/>
  <c r="H129" i="11" s="1"/>
  <c r="G130" i="11"/>
  <c r="F130" i="11"/>
  <c r="AS129" i="11"/>
  <c r="AS914" i="11" s="1"/>
  <c r="AN129" i="11"/>
  <c r="AN914" i="11" s="1"/>
  <c r="AI129" i="11"/>
  <c r="AI914" i="11" s="1"/>
  <c r="AD129" i="11"/>
  <c r="AD914" i="11" s="1"/>
  <c r="Y129" i="11"/>
  <c r="Y914" i="11" s="1"/>
  <c r="U129" i="11"/>
  <c r="T129" i="11"/>
  <c r="T131" i="11" s="1"/>
  <c r="S129" i="11"/>
  <c r="S914" i="11" s="1"/>
  <c r="I129" i="11"/>
  <c r="F129" i="11"/>
  <c r="F131" i="11" s="1"/>
  <c r="BV125" i="11"/>
  <c r="BU125" i="11"/>
  <c r="BT125" i="11"/>
  <c r="BR125" i="11"/>
  <c r="BQ125" i="11"/>
  <c r="AD125" i="11"/>
  <c r="AC125" i="11"/>
  <c r="AB125" i="11"/>
  <c r="AA125" i="11"/>
  <c r="Y125" i="11"/>
  <c r="W125" i="11"/>
  <c r="V125" i="11"/>
  <c r="O125" i="11"/>
  <c r="N125" i="11"/>
  <c r="M125" i="11"/>
  <c r="L125" i="11"/>
  <c r="J125" i="11"/>
  <c r="I125" i="11"/>
  <c r="A124" i="11"/>
  <c r="BV121" i="11"/>
  <c r="BU121" i="11"/>
  <c r="BP121" i="11"/>
  <c r="BO121" i="11"/>
  <c r="BM121" i="11"/>
  <c r="BL121" i="11"/>
  <c r="AD121" i="11"/>
  <c r="AC121" i="11"/>
  <c r="AB121" i="11"/>
  <c r="W121" i="11"/>
  <c r="V121" i="11"/>
  <c r="T121" i="11"/>
  <c r="S121" i="11"/>
  <c r="R121" i="11"/>
  <c r="Q121" i="11"/>
  <c r="N121" i="11"/>
  <c r="M121" i="11"/>
  <c r="L121" i="11"/>
  <c r="J121" i="11"/>
  <c r="I121" i="11"/>
  <c r="H121" i="11"/>
  <c r="G121" i="11"/>
  <c r="AR119" i="11"/>
  <c r="W119" i="11"/>
  <c r="BS118" i="11"/>
  <c r="BN118" i="11"/>
  <c r="BJ118" i="11"/>
  <c r="BI118" i="11"/>
  <c r="BH118" i="11"/>
  <c r="BG118" i="11"/>
  <c r="BF118" i="11"/>
  <c r="BE118" i="11"/>
  <c r="BD118" i="11"/>
  <c r="BC118" i="11"/>
  <c r="BB118" i="11"/>
  <c r="BA118" i="11"/>
  <c r="AZ118" i="11"/>
  <c r="AY118" i="11"/>
  <c r="AX118" i="11"/>
  <c r="AW118" i="11"/>
  <c r="AV118" i="11"/>
  <c r="AU118" i="11"/>
  <c r="AT118" i="11"/>
  <c r="AS118" i="11"/>
  <c r="AR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BS117" i="11"/>
  <c r="BJ117" i="11"/>
  <c r="BN117" i="11" s="1"/>
  <c r="BI117" i="11"/>
  <c r="BH117" i="11"/>
  <c r="BG117" i="11"/>
  <c r="BF117" i="11"/>
  <c r="BE117" i="11"/>
  <c r="BD117" i="11"/>
  <c r="BC117" i="11"/>
  <c r="BB117" i="11"/>
  <c r="BA117" i="11"/>
  <c r="AZ117" i="11"/>
  <c r="AY117" i="11"/>
  <c r="AX117" i="11"/>
  <c r="AW117" i="11"/>
  <c r="AV117" i="11"/>
  <c r="AU117" i="11"/>
  <c r="AT117" i="11"/>
  <c r="AS117" i="11"/>
  <c r="AR117" i="11"/>
  <c r="AQ117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BS116" i="11"/>
  <c r="BI116" i="11"/>
  <c r="BB116" i="11"/>
  <c r="AZ116" i="11"/>
  <c r="AY116" i="11"/>
  <c r="AW116" i="11"/>
  <c r="AV116" i="11"/>
  <c r="AU116" i="11"/>
  <c r="AT116" i="11"/>
  <c r="AJ116" i="11"/>
  <c r="AI116" i="11"/>
  <c r="AH116" i="11"/>
  <c r="AE116" i="11"/>
  <c r="AA116" i="11"/>
  <c r="Y116" i="11"/>
  <c r="X116" i="11"/>
  <c r="U116" i="11"/>
  <c r="P116" i="11"/>
  <c r="O116" i="11"/>
  <c r="N116" i="11"/>
  <c r="L116" i="11"/>
  <c r="K116" i="11"/>
  <c r="J116" i="11"/>
  <c r="I116" i="11"/>
  <c r="BI115" i="11"/>
  <c r="BB115" i="11"/>
  <c r="BA115" i="11"/>
  <c r="AY115" i="11"/>
  <c r="AW115" i="11"/>
  <c r="AV115" i="11"/>
  <c r="AU115" i="11"/>
  <c r="AT115" i="11"/>
  <c r="AJ115" i="11"/>
  <c r="AI115" i="11"/>
  <c r="AH115" i="11"/>
  <c r="AG115" i="11"/>
  <c r="AF115" i="11"/>
  <c r="AE115" i="11"/>
  <c r="AA115" i="11"/>
  <c r="Y115" i="11"/>
  <c r="X115" i="11"/>
  <c r="T115" i="11"/>
  <c r="P115" i="11"/>
  <c r="O115" i="11"/>
  <c r="N115" i="11"/>
  <c r="M115" i="11"/>
  <c r="L115" i="11"/>
  <c r="K115" i="11"/>
  <c r="J115" i="11"/>
  <c r="I115" i="11"/>
  <c r="BJ114" i="11"/>
  <c r="BI114" i="11"/>
  <c r="BG114" i="11"/>
  <c r="BF114" i="11"/>
  <c r="BE114" i="11"/>
  <c r="BC114" i="11"/>
  <c r="BB114" i="11"/>
  <c r="BA114" i="11"/>
  <c r="AZ114" i="11"/>
  <c r="AX114" i="11"/>
  <c r="AW114" i="11"/>
  <c r="AR114" i="11"/>
  <c r="AQ114" i="11"/>
  <c r="AN114" i="11"/>
  <c r="AM114" i="11"/>
  <c r="AK114" i="11"/>
  <c r="AJ114" i="11"/>
  <c r="AI114" i="11"/>
  <c r="AH114" i="11"/>
  <c r="AG114" i="11"/>
  <c r="AF114" i="11"/>
  <c r="AD114" i="11"/>
  <c r="W114" i="11"/>
  <c r="V114" i="11"/>
  <c r="U114" i="11"/>
  <c r="T114" i="11"/>
  <c r="P114" i="11"/>
  <c r="N114" i="11"/>
  <c r="J114" i="11"/>
  <c r="G114" i="11"/>
  <c r="F114" i="11"/>
  <c r="AZ111" i="11"/>
  <c r="AO109" i="11"/>
  <c r="U109" i="11"/>
  <c r="M109" i="11"/>
  <c r="BS108" i="11"/>
  <c r="BN108" i="11"/>
  <c r="BJ108" i="11"/>
  <c r="BI108" i="11"/>
  <c r="BG108" i="11"/>
  <c r="BF108" i="11"/>
  <c r="BE108" i="11"/>
  <c r="BD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BS107" i="11"/>
  <c r="BJ107" i="11"/>
  <c r="BN107" i="11" s="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U109" i="11" s="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AH105" i="11"/>
  <c r="AG105" i="11"/>
  <c r="M105" i="11"/>
  <c r="AY104" i="11"/>
  <c r="AU104" i="11"/>
  <c r="AZ105" i="11" s="1"/>
  <c r="AT104" i="11"/>
  <c r="AY105" i="11" s="1"/>
  <c r="AH104" i="11"/>
  <c r="AG104" i="11"/>
  <c r="AE104" i="11"/>
  <c r="AC104" i="11"/>
  <c r="V104" i="11"/>
  <c r="AA105" i="11" s="1"/>
  <c r="R104" i="11"/>
  <c r="Q104" i="11"/>
  <c r="P104" i="11"/>
  <c r="K104" i="11"/>
  <c r="I104" i="11"/>
  <c r="H104" i="11"/>
  <c r="BG103" i="11"/>
  <c r="BF103" i="11"/>
  <c r="BE103" i="11"/>
  <c r="BD103" i="11"/>
  <c r="AZ103" i="11"/>
  <c r="AN103" i="11"/>
  <c r="AK103" i="11"/>
  <c r="AJ103" i="11"/>
  <c r="Q103" i="11"/>
  <c r="P103" i="11"/>
  <c r="N103" i="11"/>
  <c r="BJ102" i="11"/>
  <c r="BI102" i="11"/>
  <c r="BG102" i="11"/>
  <c r="BF102" i="11"/>
  <c r="BE102" i="11"/>
  <c r="BD102" i="11"/>
  <c r="BB102" i="11"/>
  <c r="BA102" i="11"/>
  <c r="AZ102" i="11"/>
  <c r="AZ104" i="11" s="1"/>
  <c r="AY102" i="11"/>
  <c r="AW102" i="11"/>
  <c r="AV102" i="11"/>
  <c r="AU102" i="11"/>
  <c r="AT102" i="11"/>
  <c r="AY103" i="11" s="1"/>
  <c r="AR102" i="11"/>
  <c r="AR103" i="11" s="1"/>
  <c r="AQ102" i="11"/>
  <c r="AQ104" i="11" s="1"/>
  <c r="AP102" i="11"/>
  <c r="AO102" i="11"/>
  <c r="AN102" i="11"/>
  <c r="AN104" i="11" s="1"/>
  <c r="AM102" i="11"/>
  <c r="AL102" i="11"/>
  <c r="AK102" i="11"/>
  <c r="AJ102" i="11"/>
  <c r="AI102" i="11"/>
  <c r="AH102" i="11"/>
  <c r="AM103" i="11" s="1"/>
  <c r="AG102" i="11"/>
  <c r="AL103" i="11" s="1"/>
  <c r="AF102" i="11"/>
  <c r="AE102" i="11"/>
  <c r="AE103" i="11" s="1"/>
  <c r="AC102" i="11"/>
  <c r="AB102" i="11"/>
  <c r="AB104" i="11" s="1"/>
  <c r="AA102" i="11"/>
  <c r="Z102" i="11"/>
  <c r="Z104" i="11" s="1"/>
  <c r="AE105" i="11" s="1"/>
  <c r="Y102" i="11"/>
  <c r="X102" i="11"/>
  <c r="W102" i="11"/>
  <c r="V102" i="11"/>
  <c r="V103" i="11" s="1"/>
  <c r="U102" i="11"/>
  <c r="U103" i="11" s="1"/>
  <c r="T102" i="11"/>
  <c r="S102" i="11"/>
  <c r="R102" i="11"/>
  <c r="R103" i="11" s="1"/>
  <c r="Q102" i="11"/>
  <c r="P102" i="11"/>
  <c r="O102" i="11"/>
  <c r="N102" i="11"/>
  <c r="M102" i="11"/>
  <c r="M104" i="11" s="1"/>
  <c r="R105" i="11" s="1"/>
  <c r="L102" i="11"/>
  <c r="L104" i="11" s="1"/>
  <c r="Q105" i="11" s="1"/>
  <c r="K102" i="11"/>
  <c r="I102" i="11"/>
  <c r="H102" i="11"/>
  <c r="G102" i="11"/>
  <c r="F102" i="11"/>
  <c r="E102" i="11"/>
  <c r="E104" i="11" s="1"/>
  <c r="BV99" i="11"/>
  <c r="BU99" i="11"/>
  <c r="BT99" i="11"/>
  <c r="AE99" i="11"/>
  <c r="AD99" i="11"/>
  <c r="S99" i="11"/>
  <c r="Q99" i="11"/>
  <c r="P99" i="11"/>
  <c r="O99" i="11"/>
  <c r="M99" i="11"/>
  <c r="K99" i="11"/>
  <c r="J99" i="11"/>
  <c r="G99" i="11"/>
  <c r="A98" i="11"/>
  <c r="BB97" i="11"/>
  <c r="AZ97" i="11"/>
  <c r="AZ100" i="11" s="1"/>
  <c r="AD97" i="11"/>
  <c r="AD100" i="11" s="1"/>
  <c r="AB97" i="11"/>
  <c r="Y97" i="11"/>
  <c r="I97" i="11"/>
  <c r="H97" i="11"/>
  <c r="G97" i="11"/>
  <c r="BB96" i="11"/>
  <c r="AZ96" i="11"/>
  <c r="AD96" i="11"/>
  <c r="BB95" i="11"/>
  <c r="BB109" i="11" s="1"/>
  <c r="AW95" i="11"/>
  <c r="AU95" i="11"/>
  <c r="AU97" i="11" s="1"/>
  <c r="AT95" i="11"/>
  <c r="AN95" i="11"/>
  <c r="AC95" i="11"/>
  <c r="AA95" i="11"/>
  <c r="L95" i="11"/>
  <c r="I95" i="11"/>
  <c r="I109" i="11" s="1"/>
  <c r="G95" i="11"/>
  <c r="F95" i="11"/>
  <c r="E95" i="11"/>
  <c r="BJ94" i="11"/>
  <c r="BI94" i="11"/>
  <c r="BH94" i="11"/>
  <c r="BG94" i="11"/>
  <c r="BF94" i="11"/>
  <c r="BE94" i="11"/>
  <c r="BD94" i="11"/>
  <c r="BC94" i="11"/>
  <c r="BB94" i="11"/>
  <c r="BA94" i="11"/>
  <c r="AZ94" i="11"/>
  <c r="AZ95" i="11" s="1"/>
  <c r="AZ109" i="11" s="1"/>
  <c r="AY94" i="11"/>
  <c r="AY93" i="11" s="1"/>
  <c r="AX94" i="11"/>
  <c r="AX95" i="11" s="1"/>
  <c r="AW94" i="11"/>
  <c r="AV94" i="11"/>
  <c r="AU94" i="11"/>
  <c r="AT94" i="11"/>
  <c r="AT93" i="11" s="1"/>
  <c r="AS94" i="11"/>
  <c r="AR94" i="11"/>
  <c r="AQ94" i="11"/>
  <c r="AP94" i="11"/>
  <c r="AO94" i="11"/>
  <c r="AN94" i="11"/>
  <c r="AM94" i="11"/>
  <c r="AL94" i="11"/>
  <c r="AK94" i="11"/>
  <c r="AJ94" i="11"/>
  <c r="AH94" i="11"/>
  <c r="AH95" i="11" s="1"/>
  <c r="AG94" i="11"/>
  <c r="AF94" i="11"/>
  <c r="AE94" i="11"/>
  <c r="AE93" i="11" s="1"/>
  <c r="AD94" i="11"/>
  <c r="AD95" i="11" s="1"/>
  <c r="AC94" i="11"/>
  <c r="AB94" i="11"/>
  <c r="AA94" i="11"/>
  <c r="Z94" i="11"/>
  <c r="Y94" i="11"/>
  <c r="Y95" i="11" s="1"/>
  <c r="X94" i="11"/>
  <c r="W94" i="11"/>
  <c r="V94" i="11"/>
  <c r="V95" i="11" s="1"/>
  <c r="U94" i="11"/>
  <c r="T94" i="11"/>
  <c r="S94" i="11"/>
  <c r="R94" i="11"/>
  <c r="Q94" i="11"/>
  <c r="P94" i="11"/>
  <c r="O94" i="11"/>
  <c r="N94" i="11"/>
  <c r="M94" i="11"/>
  <c r="M95" i="11" s="1"/>
  <c r="L94" i="11"/>
  <c r="K94" i="11"/>
  <c r="J94" i="11"/>
  <c r="I94" i="11"/>
  <c r="H94" i="11"/>
  <c r="G94" i="11"/>
  <c r="F94" i="11"/>
  <c r="E94" i="11"/>
  <c r="BI93" i="11"/>
  <c r="BD93" i="11"/>
  <c r="AO93" i="11"/>
  <c r="AJ93" i="11"/>
  <c r="Z92" i="11"/>
  <c r="Z93" i="11" s="1"/>
  <c r="U92" i="11"/>
  <c r="U93" i="11" s="1"/>
  <c r="P92" i="11"/>
  <c r="K92" i="11"/>
  <c r="F92" i="11" s="1"/>
  <c r="F93" i="11" s="1"/>
  <c r="BJ91" i="11"/>
  <c r="BI91" i="11"/>
  <c r="BI95" i="11" s="1"/>
  <c r="BH91" i="11"/>
  <c r="BG91" i="11"/>
  <c r="BF91" i="11"/>
  <c r="BF104" i="11" s="1"/>
  <c r="BE91" i="11"/>
  <c r="BE95" i="11" s="1"/>
  <c r="BD91" i="11"/>
  <c r="BD95" i="11" s="1"/>
  <c r="BB91" i="11"/>
  <c r="BA91" i="11"/>
  <c r="AZ91" i="11"/>
  <c r="AY91" i="11"/>
  <c r="AX91" i="11"/>
  <c r="AW91" i="11"/>
  <c r="AV91" i="11"/>
  <c r="AV95" i="11" s="1"/>
  <c r="AU91" i="11"/>
  <c r="AT91" i="11"/>
  <c r="AR91" i="11"/>
  <c r="AR95" i="11" s="1"/>
  <c r="AQ91" i="11"/>
  <c r="AP91" i="11"/>
  <c r="AO91" i="11"/>
  <c r="AO95" i="11" s="1"/>
  <c r="AO97" i="11" s="1"/>
  <c r="AN91" i="11"/>
  <c r="AM91" i="11"/>
  <c r="AM104" i="11" s="1"/>
  <c r="AL91" i="11"/>
  <c r="AL104" i="11" s="1"/>
  <c r="AK91" i="11"/>
  <c r="AK104" i="11" s="1"/>
  <c r="AJ91" i="11"/>
  <c r="AJ104" i="11" s="1"/>
  <c r="AI91" i="11"/>
  <c r="AH91" i="11"/>
  <c r="AG91" i="11"/>
  <c r="AG95" i="11" s="1"/>
  <c r="AF91" i="11"/>
  <c r="AF95" i="11" s="1"/>
  <c r="AE91" i="11"/>
  <c r="AC91" i="11"/>
  <c r="AB91" i="11"/>
  <c r="AB95" i="11" s="1"/>
  <c r="AA91" i="11"/>
  <c r="AA104" i="11" s="1"/>
  <c r="Z91" i="11"/>
  <c r="Z95" i="11" s="1"/>
  <c r="Y91" i="11"/>
  <c r="X91" i="11"/>
  <c r="X95" i="11" s="1"/>
  <c r="W91" i="11"/>
  <c r="W95" i="11" s="1"/>
  <c r="V91" i="11"/>
  <c r="U91" i="11"/>
  <c r="U95" i="11" s="1"/>
  <c r="T91" i="11"/>
  <c r="S91" i="11"/>
  <c r="R91" i="11"/>
  <c r="R95" i="11" s="1"/>
  <c r="Q91" i="11"/>
  <c r="Q95" i="11" s="1"/>
  <c r="P91" i="11"/>
  <c r="P95" i="11" s="1"/>
  <c r="O91" i="11"/>
  <c r="O95" i="11" s="1"/>
  <c r="N91" i="11"/>
  <c r="M91" i="11"/>
  <c r="L91" i="11"/>
  <c r="K91" i="11"/>
  <c r="I91" i="11"/>
  <c r="H91" i="11"/>
  <c r="H95" i="11" s="1"/>
  <c r="G91" i="11"/>
  <c r="G104" i="11" s="1"/>
  <c r="L105" i="11" s="1"/>
  <c r="F91" i="11"/>
  <c r="E91" i="11"/>
  <c r="R87" i="11"/>
  <c r="BE85" i="11"/>
  <c r="BD85" i="11"/>
  <c r="AV85" i="11"/>
  <c r="AU85" i="11"/>
  <c r="AT85" i="11"/>
  <c r="AT997" i="11" s="1"/>
  <c r="AD85" i="11"/>
  <c r="AC85" i="11"/>
  <c r="U85" i="11"/>
  <c r="S85" i="11"/>
  <c r="J85" i="11"/>
  <c r="I85" i="11"/>
  <c r="AK82" i="11"/>
  <c r="R82" i="11"/>
  <c r="BJ81" i="11"/>
  <c r="BI81" i="11"/>
  <c r="BH81" i="11"/>
  <c r="BG81" i="11"/>
  <c r="BF81" i="11"/>
  <c r="BE81" i="11"/>
  <c r="BE82" i="11" s="1"/>
  <c r="BD81" i="11"/>
  <c r="BB81" i="11"/>
  <c r="BA81" i="11"/>
  <c r="AZ81" i="11"/>
  <c r="AZ85" i="11" s="1"/>
  <c r="AZ997" i="11" s="1"/>
  <c r="AY81" i="11"/>
  <c r="AW81" i="11"/>
  <c r="AV81" i="11"/>
  <c r="AU81" i="11"/>
  <c r="AT81" i="11"/>
  <c r="AS81" i="11"/>
  <c r="AR81" i="11"/>
  <c r="AQ81" i="11"/>
  <c r="AP81" i="11"/>
  <c r="AP85" i="11" s="1"/>
  <c r="AO81" i="11"/>
  <c r="AO85" i="11" s="1"/>
  <c r="AO997" i="11" s="1"/>
  <c r="AN81" i="11"/>
  <c r="AM81" i="11"/>
  <c r="AL81" i="11"/>
  <c r="AL85" i="11" s="1"/>
  <c r="AK81" i="11"/>
  <c r="AJ81" i="11"/>
  <c r="AH81" i="11"/>
  <c r="AG81" i="11"/>
  <c r="AF81" i="11"/>
  <c r="AE81" i="11"/>
  <c r="AC81" i="11"/>
  <c r="AC82" i="11" s="1"/>
  <c r="AB81" i="11"/>
  <c r="AA81" i="11"/>
  <c r="Z81" i="11"/>
  <c r="Y81" i="11"/>
  <c r="X81" i="11"/>
  <c r="W81" i="11"/>
  <c r="V81" i="11"/>
  <c r="U81" i="11"/>
  <c r="T81" i="11"/>
  <c r="S81" i="11"/>
  <c r="R81" i="11"/>
  <c r="R85" i="11" s="1"/>
  <c r="Q81" i="11"/>
  <c r="Q85" i="11" s="1"/>
  <c r="P81" i="11"/>
  <c r="P85" i="11" s="1"/>
  <c r="O81" i="11"/>
  <c r="N81" i="11"/>
  <c r="M81" i="11"/>
  <c r="L81" i="11"/>
  <c r="K81" i="11"/>
  <c r="I81" i="11"/>
  <c r="I82" i="11" s="1"/>
  <c r="H81" i="11"/>
  <c r="G81" i="11"/>
  <c r="F81" i="11"/>
  <c r="E81" i="11"/>
  <c r="Z78" i="11"/>
  <c r="R78" i="11"/>
  <c r="P78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I77" i="11"/>
  <c r="H77" i="11"/>
  <c r="G77" i="11"/>
  <c r="F77" i="11"/>
  <c r="E77" i="11"/>
  <c r="BJ74" i="11"/>
  <c r="BO74" i="11" s="1"/>
  <c r="BI74" i="11"/>
  <c r="BG74" i="11"/>
  <c r="BL74" i="11" s="1"/>
  <c r="AW74" i="11"/>
  <c r="AN74" i="11"/>
  <c r="AC74" i="11"/>
  <c r="AB74" i="11"/>
  <c r="P74" i="11"/>
  <c r="I74" i="11"/>
  <c r="BJ73" i="11"/>
  <c r="BI73" i="11"/>
  <c r="BG73" i="11"/>
  <c r="BF73" i="11"/>
  <c r="BE73" i="11"/>
  <c r="BD73" i="11"/>
  <c r="BC73" i="11"/>
  <c r="BB73" i="11"/>
  <c r="BA73" i="11"/>
  <c r="AZ73" i="11"/>
  <c r="AY73" i="11"/>
  <c r="AW73" i="11"/>
  <c r="AV73" i="11"/>
  <c r="AU73" i="11"/>
  <c r="AT73" i="11"/>
  <c r="AR73" i="11"/>
  <c r="AQ73" i="11"/>
  <c r="AP73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R74" i="11" s="1"/>
  <c r="Q73" i="11"/>
  <c r="P73" i="11"/>
  <c r="O73" i="11"/>
  <c r="N73" i="11"/>
  <c r="M73" i="11"/>
  <c r="L73" i="11"/>
  <c r="K73" i="11"/>
  <c r="J73" i="11"/>
  <c r="I73" i="11"/>
  <c r="H73" i="11"/>
  <c r="G73" i="11"/>
  <c r="F73" i="11"/>
  <c r="BQ70" i="11"/>
  <c r="BJ70" i="11"/>
  <c r="BO70" i="11" s="1"/>
  <c r="AM70" i="11"/>
  <c r="AL70" i="11"/>
  <c r="AB70" i="11"/>
  <c r="X70" i="11"/>
  <c r="AC71" i="11" s="1"/>
  <c r="P70" i="11"/>
  <c r="I70" i="11"/>
  <c r="BJ69" i="11"/>
  <c r="BI69" i="11"/>
  <c r="BG69" i="11"/>
  <c r="BF69" i="11"/>
  <c r="BE69" i="11"/>
  <c r="BD69" i="11"/>
  <c r="BB69" i="11"/>
  <c r="BA69" i="11"/>
  <c r="AZ69" i="11"/>
  <c r="AY69" i="11"/>
  <c r="AW69" i="11"/>
  <c r="AW70" i="11" s="1"/>
  <c r="AV69" i="11"/>
  <c r="AU69" i="11"/>
  <c r="AT69" i="11"/>
  <c r="AR69" i="11"/>
  <c r="AQ69" i="11"/>
  <c r="AP69" i="11"/>
  <c r="AO69" i="11"/>
  <c r="AN69" i="11"/>
  <c r="AN70" i="11" s="1"/>
  <c r="AM69" i="11"/>
  <c r="AL69" i="11"/>
  <c r="AK69" i="11"/>
  <c r="AJ69" i="11"/>
  <c r="AI69" i="11"/>
  <c r="AH69" i="11"/>
  <c r="AG69" i="11"/>
  <c r="AF69" i="11"/>
  <c r="AE69" i="11"/>
  <c r="AD69" i="11"/>
  <c r="AC69" i="11"/>
  <c r="AC70" i="11" s="1"/>
  <c r="AB69" i="11"/>
  <c r="AA69" i="11"/>
  <c r="Z69" i="11"/>
  <c r="Y69" i="11"/>
  <c r="X69" i="11"/>
  <c r="W69" i="11"/>
  <c r="V69" i="11"/>
  <c r="V70" i="11" s="1"/>
  <c r="U69" i="11"/>
  <c r="T69" i="11"/>
  <c r="S69" i="11"/>
  <c r="R69" i="11"/>
  <c r="R70" i="11" s="1"/>
  <c r="Q69" i="11"/>
  <c r="P69" i="11"/>
  <c r="O69" i="11"/>
  <c r="N69" i="11"/>
  <c r="M69" i="11"/>
  <c r="L69" i="11"/>
  <c r="K69" i="11"/>
  <c r="J69" i="11"/>
  <c r="I69" i="11"/>
  <c r="H69" i="11"/>
  <c r="G69" i="11"/>
  <c r="F69" i="11"/>
  <c r="BJ67" i="11"/>
  <c r="BI67" i="11"/>
  <c r="BI70" i="11" s="1"/>
  <c r="BG67" i="11"/>
  <c r="BG70" i="11" s="1"/>
  <c r="BL70" i="11" s="1"/>
  <c r="BF67" i="11"/>
  <c r="BE67" i="11"/>
  <c r="BE70" i="11" s="1"/>
  <c r="BJ71" i="11" s="1"/>
  <c r="BD67" i="11"/>
  <c r="BD82" i="11" s="1"/>
  <c r="AY67" i="11"/>
  <c r="AY74" i="11" s="1"/>
  <c r="AX67" i="11"/>
  <c r="AW67" i="11"/>
  <c r="AN67" i="11"/>
  <c r="AM67" i="11"/>
  <c r="AL67" i="11"/>
  <c r="AK67" i="11"/>
  <c r="AK70" i="11" s="1"/>
  <c r="AJ67" i="11"/>
  <c r="AJ70" i="11" s="1"/>
  <c r="AC67" i="11"/>
  <c r="Z67" i="11"/>
  <c r="X67" i="11"/>
  <c r="X74" i="11" s="1"/>
  <c r="AC75" i="11" s="1"/>
  <c r="Q67" i="11"/>
  <c r="Q78" i="11" s="1"/>
  <c r="P67" i="11"/>
  <c r="I67" i="11"/>
  <c r="G67" i="11"/>
  <c r="G74" i="11" s="1"/>
  <c r="F67" i="11"/>
  <c r="F70" i="11" s="1"/>
  <c r="BJ64" i="11"/>
  <c r="AY64" i="11"/>
  <c r="AW64" i="11"/>
  <c r="AV64" i="11"/>
  <c r="AR64" i="11"/>
  <c r="AM64" i="11"/>
  <c r="AK64" i="11"/>
  <c r="AA64" i="11"/>
  <c r="Y64" i="11"/>
  <c r="BJ63" i="11"/>
  <c r="BI63" i="11"/>
  <c r="BG63" i="11"/>
  <c r="BF63" i="11"/>
  <c r="BE63" i="11"/>
  <c r="BD63" i="11"/>
  <c r="BB63" i="11"/>
  <c r="BA63" i="11"/>
  <c r="AZ63" i="11"/>
  <c r="AY63" i="11"/>
  <c r="AW63" i="11"/>
  <c r="AV63" i="11"/>
  <c r="AU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X63" i="11"/>
  <c r="W63" i="11"/>
  <c r="V63" i="11"/>
  <c r="U63" i="11"/>
  <c r="T63" i="11"/>
  <c r="BJ62" i="11"/>
  <c r="BI62" i="11"/>
  <c r="BG62" i="11"/>
  <c r="BF62" i="11"/>
  <c r="BE62" i="11"/>
  <c r="BD62" i="11"/>
  <c r="BC62" i="11"/>
  <c r="BB62" i="11"/>
  <c r="BA62" i="11"/>
  <c r="AZ62" i="11"/>
  <c r="AY62" i="11"/>
  <c r="AX62" i="11"/>
  <c r="AW62" i="11"/>
  <c r="AV62" i="11"/>
  <c r="AU62" i="11"/>
  <c r="AS62" i="11"/>
  <c r="AR62" i="11"/>
  <c r="AQ62" i="11"/>
  <c r="AP62" i="11"/>
  <c r="AO62" i="11"/>
  <c r="AN62" i="11"/>
  <c r="AM62" i="11"/>
  <c r="AL62" i="11"/>
  <c r="AK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BJ60" i="11"/>
  <c r="BF60" i="11"/>
  <c r="BE60" i="11"/>
  <c r="BD60" i="11"/>
  <c r="BC60" i="11"/>
  <c r="AY60" i="11"/>
  <c r="AR60" i="11"/>
  <c r="AQ60" i="11"/>
  <c r="AP60" i="11"/>
  <c r="AL60" i="11"/>
  <c r="AK60" i="11"/>
  <c r="AJ60" i="11"/>
  <c r="AI60" i="11"/>
  <c r="AC60" i="11"/>
  <c r="AA60" i="11"/>
  <c r="X60" i="11"/>
  <c r="W60" i="11"/>
  <c r="V60" i="11"/>
  <c r="BJ59" i="11"/>
  <c r="BH59" i="11"/>
  <c r="BF59" i="11"/>
  <c r="BE59" i="11"/>
  <c r="BC59" i="11"/>
  <c r="AY59" i="11"/>
  <c r="AW59" i="11"/>
  <c r="AV59" i="11"/>
  <c r="AU59" i="11"/>
  <c r="AR59" i="11"/>
  <c r="AQ59" i="11"/>
  <c r="AP59" i="11"/>
  <c r="AN59" i="11"/>
  <c r="AL59" i="11"/>
  <c r="AJ59" i="11"/>
  <c r="AI59" i="11"/>
  <c r="AC59" i="11"/>
  <c r="AA59" i="11"/>
  <c r="Z59" i="11"/>
  <c r="Y59" i="11"/>
  <c r="U59" i="11"/>
  <c r="T59" i="11"/>
  <c r="BJ58" i="11"/>
  <c r="BF58" i="11"/>
  <c r="BC58" i="11"/>
  <c r="AY58" i="11"/>
  <c r="AW58" i="11"/>
  <c r="AV58" i="11"/>
  <c r="AU58" i="11"/>
  <c r="AT58" i="11"/>
  <c r="AM58" i="11"/>
  <c r="AL58" i="11"/>
  <c r="AK58" i="11"/>
  <c r="AI58" i="11"/>
  <c r="AA58" i="11"/>
  <c r="X58" i="11"/>
  <c r="W58" i="11"/>
  <c r="V58" i="11"/>
  <c r="BJ56" i="11"/>
  <c r="BI56" i="11"/>
  <c r="BH56" i="11"/>
  <c r="BG56" i="11"/>
  <c r="BF56" i="11"/>
  <c r="BE56" i="11"/>
  <c r="BE58" i="11" s="1"/>
  <c r="BD56" i="11"/>
  <c r="BC56" i="11"/>
  <c r="BB56" i="11"/>
  <c r="BB59" i="11" s="1"/>
  <c r="BA56" i="11"/>
  <c r="AZ56" i="11"/>
  <c r="AY56" i="11"/>
  <c r="AX56" i="11"/>
  <c r="AW56" i="11"/>
  <c r="AW60" i="11" s="1"/>
  <c r="AV56" i="11"/>
  <c r="AV60" i="11" s="1"/>
  <c r="AU56" i="11"/>
  <c r="AT56" i="11"/>
  <c r="AS56" i="11"/>
  <c r="AR56" i="11"/>
  <c r="AR58" i="11" s="1"/>
  <c r="AQ56" i="11"/>
  <c r="AP56" i="11"/>
  <c r="AP58" i="11" s="1"/>
  <c r="AO56" i="11"/>
  <c r="AN56" i="11"/>
  <c r="AM56" i="11"/>
  <c r="AM59" i="11" s="1"/>
  <c r="AL56" i="11"/>
  <c r="AK56" i="11"/>
  <c r="AK59" i="11" s="1"/>
  <c r="AJ56" i="11"/>
  <c r="AJ58" i="11" s="1"/>
  <c r="AI56" i="11"/>
  <c r="AH56" i="11"/>
  <c r="AG56" i="11"/>
  <c r="AF56" i="11"/>
  <c r="AE56" i="11"/>
  <c r="AD56" i="11"/>
  <c r="AC56" i="11"/>
  <c r="AC58" i="11" s="1"/>
  <c r="AB56" i="11"/>
  <c r="AB64" i="11" s="1"/>
  <c r="AA56" i="11"/>
  <c r="Z56" i="11"/>
  <c r="Y56" i="11"/>
  <c r="X56" i="11"/>
  <c r="X64" i="11" s="1"/>
  <c r="W56" i="11"/>
  <c r="V56" i="11"/>
  <c r="V64" i="11" s="1"/>
  <c r="U56" i="11"/>
  <c r="T56" i="11"/>
  <c r="BJ52" i="11"/>
  <c r="BI52" i="11"/>
  <c r="BE52" i="11"/>
  <c r="BD52" i="11"/>
  <c r="BB52" i="11"/>
  <c r="AZ52" i="11"/>
  <c r="AW52" i="11"/>
  <c r="AV52" i="11"/>
  <c r="AU52" i="11"/>
  <c r="AR52" i="11"/>
  <c r="AQ52" i="11"/>
  <c r="AP52" i="11"/>
  <c r="AN52" i="11"/>
  <c r="AM52" i="11"/>
  <c r="AK52" i="11"/>
  <c r="AE52" i="11"/>
  <c r="AD52" i="11"/>
  <c r="AC52" i="11"/>
  <c r="AB52" i="11"/>
  <c r="AA52" i="11"/>
  <c r="Z52" i="11"/>
  <c r="U52" i="11"/>
  <c r="P52" i="11"/>
  <c r="K52" i="11"/>
  <c r="G52" i="11"/>
  <c r="F52" i="11"/>
  <c r="BJ51" i="11"/>
  <c r="BI51" i="11"/>
  <c r="AZ51" i="11"/>
  <c r="AY51" i="11"/>
  <c r="AW51" i="11"/>
  <c r="AV51" i="11"/>
  <c r="AU51" i="11"/>
  <c r="AS51" i="11"/>
  <c r="AR51" i="11"/>
  <c r="AQ51" i="11"/>
  <c r="AP51" i="11"/>
  <c r="AN51" i="11"/>
  <c r="AM51" i="11"/>
  <c r="AE51" i="11"/>
  <c r="AB51" i="11"/>
  <c r="AA51" i="11"/>
  <c r="Z51" i="11"/>
  <c r="Y51" i="11"/>
  <c r="X51" i="11"/>
  <c r="W51" i="11"/>
  <c r="V51" i="11"/>
  <c r="U51" i="11"/>
  <c r="P51" i="11"/>
  <c r="K51" i="11"/>
  <c r="I51" i="11"/>
  <c r="G51" i="11"/>
  <c r="F51" i="11"/>
  <c r="BI50" i="11"/>
  <c r="AY50" i="11"/>
  <c r="AS50" i="11"/>
  <c r="AR50" i="11"/>
  <c r="AQ50" i="11"/>
  <c r="AP50" i="11"/>
  <c r="AN50" i="11"/>
  <c r="AM50" i="11"/>
  <c r="AB50" i="11"/>
  <c r="X50" i="11"/>
  <c r="W50" i="11"/>
  <c r="V50" i="11"/>
  <c r="U50" i="11"/>
  <c r="K50" i="11"/>
  <c r="G50" i="11"/>
  <c r="F50" i="11"/>
  <c r="BB48" i="11"/>
  <c r="AV48" i="11"/>
  <c r="AU48" i="11"/>
  <c r="AH48" i="11"/>
  <c r="AG48" i="11"/>
  <c r="AE48" i="11"/>
  <c r="AD48" i="11"/>
  <c r="AB48" i="11"/>
  <c r="AA48" i="11"/>
  <c r="Z48" i="11"/>
  <c r="X48" i="11"/>
  <c r="U48" i="11"/>
  <c r="S48" i="11"/>
  <c r="BJ47" i="11"/>
  <c r="BI47" i="11"/>
  <c r="BG47" i="11"/>
  <c r="BF47" i="11"/>
  <c r="BE47" i="11"/>
  <c r="BD47" i="11"/>
  <c r="BB47" i="11"/>
  <c r="BB51" i="11" s="1"/>
  <c r="BA47" i="11"/>
  <c r="AZ47" i="11"/>
  <c r="AY47" i="11"/>
  <c r="AY52" i="11" s="1"/>
  <c r="AW47" i="11"/>
  <c r="AW48" i="11" s="1"/>
  <c r="AV47" i="11"/>
  <c r="AV50" i="11" s="1"/>
  <c r="AU47" i="11"/>
  <c r="AU50" i="11" s="1"/>
  <c r="AS47" i="11"/>
  <c r="AS52" i="11" s="1"/>
  <c r="AR47" i="11"/>
  <c r="AQ47" i="11"/>
  <c r="AP47" i="11"/>
  <c r="AN47" i="11"/>
  <c r="AM47" i="11"/>
  <c r="AR48" i="11" s="1"/>
  <c r="AL47" i="11"/>
  <c r="AK47" i="11"/>
  <c r="AH47" i="11"/>
  <c r="AG47" i="11"/>
  <c r="AF47" i="11"/>
  <c r="AE47" i="11"/>
  <c r="AE50" i="11" s="1"/>
  <c r="AD47" i="11"/>
  <c r="AD51" i="11" s="1"/>
  <c r="AC47" i="11"/>
  <c r="AB47" i="11"/>
  <c r="AA47" i="11"/>
  <c r="AA50" i="11" s="1"/>
  <c r="Z47" i="11"/>
  <c r="Z50" i="11" s="1"/>
  <c r="Y47" i="11"/>
  <c r="X47" i="11"/>
  <c r="X52" i="11" s="1"/>
  <c r="W47" i="11"/>
  <c r="W52" i="11" s="1"/>
  <c r="V47" i="11"/>
  <c r="V52" i="11" s="1"/>
  <c r="U47" i="11"/>
  <c r="S47" i="11"/>
  <c r="S50" i="11" s="1"/>
  <c r="R47" i="11"/>
  <c r="Q47" i="11"/>
  <c r="P47" i="11"/>
  <c r="N47" i="11"/>
  <c r="M47" i="11"/>
  <c r="L47" i="11"/>
  <c r="K47" i="11"/>
  <c r="K48" i="11" s="1"/>
  <c r="I47" i="11"/>
  <c r="I50" i="11" s="1"/>
  <c r="G47" i="11"/>
  <c r="F47" i="11"/>
  <c r="BJ46" i="11"/>
  <c r="BI46" i="11"/>
  <c r="BG46" i="11"/>
  <c r="BF46" i="11"/>
  <c r="BE46" i="11"/>
  <c r="BD46" i="11"/>
  <c r="BB46" i="11"/>
  <c r="BA46" i="11"/>
  <c r="AZ46" i="11"/>
  <c r="AX46" i="11"/>
  <c r="AW46" i="11"/>
  <c r="AV46" i="11"/>
  <c r="AU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X46" i="11"/>
  <c r="W46" i="11"/>
  <c r="V46" i="11"/>
  <c r="U46" i="11"/>
  <c r="T46" i="11"/>
  <c r="S46" i="11"/>
  <c r="R46" i="11"/>
  <c r="Q46" i="11"/>
  <c r="P46" i="11"/>
  <c r="N46" i="11"/>
  <c r="M46" i="11"/>
  <c r="L46" i="11"/>
  <c r="K46" i="11"/>
  <c r="BH44" i="11"/>
  <c r="BC44" i="11"/>
  <c r="AX44" i="11"/>
  <c r="AT44" i="11"/>
  <c r="AY46" i="11" s="1"/>
  <c r="AO44" i="11"/>
  <c r="AJ44" i="11"/>
  <c r="AD44" i="11"/>
  <c r="Y44" i="11"/>
  <c r="Y63" i="11" s="1"/>
  <c r="T44" i="11"/>
  <c r="O44" i="11"/>
  <c r="J44" i="11"/>
  <c r="H44" i="11"/>
  <c r="BJ43" i="11"/>
  <c r="BI43" i="11"/>
  <c r="BG43" i="11"/>
  <c r="BF43" i="11"/>
  <c r="BE43" i="1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N43" i="11"/>
  <c r="AM43" i="11"/>
  <c r="AL43" i="11"/>
  <c r="AK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N43" i="11"/>
  <c r="M43" i="11"/>
  <c r="L43" i="11"/>
  <c r="K43" i="11"/>
  <c r="BH42" i="11"/>
  <c r="BC42" i="11"/>
  <c r="AX42" i="11"/>
  <c r="AT42" i="11"/>
  <c r="AT62" i="11" s="1"/>
  <c r="AO42" i="11"/>
  <c r="AI42" i="11"/>
  <c r="AD42" i="11"/>
  <c r="Y42" i="11"/>
  <c r="T42" i="11"/>
  <c r="O42" i="11"/>
  <c r="H42" i="11"/>
  <c r="AO39" i="11"/>
  <c r="AJ39" i="11"/>
  <c r="Z39" i="11"/>
  <c r="U39" i="11"/>
  <c r="P39" i="11"/>
  <c r="K39" i="11"/>
  <c r="AT38" i="11"/>
  <c r="AT39" i="11" s="1"/>
  <c r="AS38" i="11"/>
  <c r="AQ38" i="11"/>
  <c r="AO38" i="11"/>
  <c r="AK38" i="11"/>
  <c r="AJ38" i="11"/>
  <c r="AG38" i="11"/>
  <c r="AF38" i="11"/>
  <c r="AE38" i="11"/>
  <c r="AE39" i="11" s="1"/>
  <c r="Z38" i="11"/>
  <c r="U38" i="11"/>
  <c r="P38" i="11"/>
  <c r="N38" i="11"/>
  <c r="M38" i="11"/>
  <c r="L38" i="11"/>
  <c r="K38" i="11"/>
  <c r="F38" i="11"/>
  <c r="AC36" i="11"/>
  <c r="AB36" i="11"/>
  <c r="AA36" i="11"/>
  <c r="Z36" i="11"/>
  <c r="BJ35" i="11"/>
  <c r="BE35" i="11"/>
  <c r="AX35" i="11"/>
  <c r="AW35" i="11"/>
  <c r="AL35" i="11"/>
  <c r="AC35" i="11"/>
  <c r="S35" i="11"/>
  <c r="R35" i="11"/>
  <c r="BU34" i="11"/>
  <c r="BT34" i="11"/>
  <c r="BR34" i="11"/>
  <c r="BQ34" i="11"/>
  <c r="BL34" i="11"/>
  <c r="AD34" i="11"/>
  <c r="AC34" i="11"/>
  <c r="X34" i="11"/>
  <c r="W34" i="11"/>
  <c r="V34" i="11"/>
  <c r="Q34" i="11"/>
  <c r="O34" i="11"/>
  <c r="N34" i="11"/>
  <c r="J34" i="11"/>
  <c r="I34" i="11"/>
  <c r="H34" i="11"/>
  <c r="G34" i="11"/>
  <c r="BJ32" i="11"/>
  <c r="BI32" i="11"/>
  <c r="BG32" i="11"/>
  <c r="BF32" i="11"/>
  <c r="BE32" i="11"/>
  <c r="BD32" i="11"/>
  <c r="BC32" i="11"/>
  <c r="BB32" i="11"/>
  <c r="BA32" i="11"/>
  <c r="AZ32" i="11"/>
  <c r="AZ36" i="11" s="1"/>
  <c r="AY32" i="11"/>
  <c r="AX32" i="11"/>
  <c r="AW32" i="11"/>
  <c r="AV32" i="11"/>
  <c r="AU32" i="11"/>
  <c r="AS32" i="11"/>
  <c r="AR32" i="11"/>
  <c r="AQ32" i="11"/>
  <c r="AP32" i="11"/>
  <c r="AN32" i="11"/>
  <c r="AM32" i="11"/>
  <c r="AN35" i="11" s="1"/>
  <c r="AL32" i="11"/>
  <c r="AK32" i="11"/>
  <c r="AJ32" i="11"/>
  <c r="AH32" i="11"/>
  <c r="AG32" i="11"/>
  <c r="AF32" i="11"/>
  <c r="AE32" i="11"/>
  <c r="AC32" i="11"/>
  <c r="AB32" i="11"/>
  <c r="AB67" i="11" s="1"/>
  <c r="AA32" i="11"/>
  <c r="AA996" i="11" s="1"/>
  <c r="Z32" i="11"/>
  <c r="X32" i="11"/>
  <c r="X35" i="11" s="1"/>
  <c r="W32" i="11"/>
  <c r="W996" i="11" s="1"/>
  <c r="V32" i="11"/>
  <c r="V67" i="11" s="1"/>
  <c r="V78" i="11" s="1"/>
  <c r="U32" i="11"/>
  <c r="S32" i="11"/>
  <c r="R32" i="11"/>
  <c r="R67" i="11" s="1"/>
  <c r="Q32" i="11"/>
  <c r="Q996" i="11" s="1"/>
  <c r="P32" i="11"/>
  <c r="P996" i="11" s="1"/>
  <c r="N32" i="11"/>
  <c r="M32" i="11"/>
  <c r="L32" i="11"/>
  <c r="K32" i="11"/>
  <c r="I32" i="11"/>
  <c r="G32" i="11"/>
  <c r="G996" i="11" s="1"/>
  <c r="E32" i="11"/>
  <c r="BS31" i="11"/>
  <c r="BJ31" i="11"/>
  <c r="BN31" i="11" s="1"/>
  <c r="BH31" i="11"/>
  <c r="BF31" i="11"/>
  <c r="AX31" i="11"/>
  <c r="AW31" i="11"/>
  <c r="AN31" i="11"/>
  <c r="AO31" i="11" s="1"/>
  <c r="AO32" i="11" s="1"/>
  <c r="AJ31" i="11"/>
  <c r="AD31" i="11"/>
  <c r="Y31" i="11"/>
  <c r="T31" i="11"/>
  <c r="O31" i="11"/>
  <c r="H31" i="11"/>
  <c r="H32" i="11" s="1"/>
  <c r="F31" i="11"/>
  <c r="BH29" i="11"/>
  <c r="AX29" i="11"/>
  <c r="AT29" i="11"/>
  <c r="AS29" i="11"/>
  <c r="AR29" i="11"/>
  <c r="AQ29" i="11"/>
  <c r="AP29" i="11"/>
  <c r="AO29" i="11"/>
  <c r="AM29" i="11"/>
  <c r="AL29" i="11"/>
  <c r="AK29" i="11"/>
  <c r="AJ29" i="11"/>
  <c r="AH29" i="11"/>
  <c r="AG29" i="11"/>
  <c r="AF29" i="11"/>
  <c r="AE29" i="11"/>
  <c r="AC29" i="11"/>
  <c r="AB29" i="11"/>
  <c r="AA29" i="11"/>
  <c r="Z29" i="11"/>
  <c r="X29" i="11"/>
  <c r="W29" i="11"/>
  <c r="V29" i="11"/>
  <c r="U29" i="11"/>
  <c r="S29" i="11"/>
  <c r="R29" i="11"/>
  <c r="Q29" i="11"/>
  <c r="P29" i="11"/>
  <c r="N29" i="11"/>
  <c r="M29" i="11"/>
  <c r="L29" i="11"/>
  <c r="BJ28" i="11"/>
  <c r="BI28" i="11"/>
  <c r="BI38" i="11" s="1"/>
  <c r="BH28" i="11"/>
  <c r="BG28" i="11"/>
  <c r="BF28" i="11"/>
  <c r="BF26" i="11" s="1"/>
  <c r="BC28" i="11"/>
  <c r="BC29" i="11" s="1"/>
  <c r="AX28" i="11"/>
  <c r="AW28" i="11"/>
  <c r="AW29" i="11" s="1"/>
  <c r="AV28" i="11"/>
  <c r="AV31" i="11" s="1"/>
  <c r="AT28" i="11"/>
  <c r="AS28" i="11"/>
  <c r="AN28" i="11"/>
  <c r="AI28" i="11"/>
  <c r="AI32" i="11" s="1"/>
  <c r="AD28" i="11"/>
  <c r="AD38" i="11" s="1"/>
  <c r="Y28" i="11"/>
  <c r="T28" i="11"/>
  <c r="O28" i="11"/>
  <c r="J28" i="11"/>
  <c r="AQ27" i="11"/>
  <c r="AP27" i="11"/>
  <c r="AO27" i="11"/>
  <c r="AM27" i="11"/>
  <c r="V27" i="11"/>
  <c r="AX26" i="11"/>
  <c r="AX27" i="11" s="1"/>
  <c r="AW26" i="11"/>
  <c r="AV26" i="11"/>
  <c r="AV27" i="11" s="1"/>
  <c r="AT26" i="11"/>
  <c r="AT27" i="11" s="1"/>
  <c r="AR26" i="11"/>
  <c r="AR27" i="11" s="1"/>
  <c r="AQ26" i="11"/>
  <c r="AP26" i="11"/>
  <c r="AO26" i="11"/>
  <c r="AM26" i="11"/>
  <c r="AL26" i="11"/>
  <c r="AK26" i="11"/>
  <c r="AK27" i="11" s="1"/>
  <c r="AJ26" i="11"/>
  <c r="AJ27" i="11" s="1"/>
  <c r="AH26" i="11"/>
  <c r="AG26" i="11"/>
  <c r="AF26" i="11"/>
  <c r="AE26" i="11"/>
  <c r="X26" i="11"/>
  <c r="W26" i="11"/>
  <c r="W27" i="11" s="1"/>
  <c r="V26" i="11"/>
  <c r="U26" i="11"/>
  <c r="R26" i="11"/>
  <c r="Q26" i="11"/>
  <c r="K26" i="11"/>
  <c r="J26" i="11"/>
  <c r="I26" i="11"/>
  <c r="H26" i="11"/>
  <c r="G26" i="11"/>
  <c r="F26" i="11"/>
  <c r="K27" i="11" s="1"/>
  <c r="AT24" i="11"/>
  <c r="AO24" i="11"/>
  <c r="AJ24" i="11"/>
  <c r="BJ23" i="11"/>
  <c r="BI23" i="11"/>
  <c r="BH23" i="11"/>
  <c r="BG23" i="11"/>
  <c r="BF23" i="11"/>
  <c r="BE23" i="11"/>
  <c r="BC23" i="11"/>
  <c r="BB23" i="11"/>
  <c r="BA23" i="11"/>
  <c r="AZ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C23" i="11"/>
  <c r="W23" i="11"/>
  <c r="V23" i="11"/>
  <c r="P23" i="11"/>
  <c r="N23" i="11"/>
  <c r="M23" i="11"/>
  <c r="K23" i="11"/>
  <c r="BJ22" i="11"/>
  <c r="BH22" i="11"/>
  <c r="BG22" i="11"/>
  <c r="BF22" i="11"/>
  <c r="BE22" i="11"/>
  <c r="BC22" i="11"/>
  <c r="BB22" i="11"/>
  <c r="BA22" i="11"/>
  <c r="AZ22" i="11"/>
  <c r="AX22" i="11"/>
  <c r="AW22" i="11"/>
  <c r="AV22" i="11"/>
  <c r="AU22" i="11"/>
  <c r="AS22" i="11"/>
  <c r="AR22" i="11"/>
  <c r="AQ22" i="11"/>
  <c r="AP22" i="11"/>
  <c r="AN22" i="11"/>
  <c r="AM22" i="11"/>
  <c r="AL22" i="11"/>
  <c r="AK22" i="11"/>
  <c r="AI22" i="11"/>
  <c r="AH22" i="11"/>
  <c r="AG22" i="11"/>
  <c r="X22" i="11"/>
  <c r="R22" i="11"/>
  <c r="J22" i="11"/>
  <c r="I22" i="11"/>
  <c r="H22" i="11"/>
  <c r="BI21" i="11"/>
  <c r="BD21" i="11"/>
  <c r="AY21" i="11"/>
  <c r="AD21" i="11"/>
  <c r="AD19" i="11" s="1"/>
  <c r="AC21" i="11"/>
  <c r="AB21" i="11"/>
  <c r="AB23" i="11" s="1"/>
  <c r="AA21" i="11"/>
  <c r="X21" i="11"/>
  <c r="W21" i="11"/>
  <c r="V21" i="11"/>
  <c r="U21" i="11"/>
  <c r="S21" i="11"/>
  <c r="R21" i="11"/>
  <c r="Q21" i="11"/>
  <c r="N21" i="11"/>
  <c r="N22" i="11" s="1"/>
  <c r="M21" i="11"/>
  <c r="L21" i="11"/>
  <c r="L13" i="11" s="1"/>
  <c r="L14" i="11" s="1"/>
  <c r="BJ20" i="11"/>
  <c r="BH20" i="11"/>
  <c r="BG20" i="11"/>
  <c r="BF20" i="11"/>
  <c r="BE20" i="11"/>
  <c r="BC20" i="11"/>
  <c r="BB20" i="11"/>
  <c r="BA20" i="11"/>
  <c r="AZ20" i="11"/>
  <c r="AX20" i="11"/>
  <c r="AW20" i="11"/>
  <c r="AV20" i="11"/>
  <c r="AU20" i="11"/>
  <c r="AS20" i="11"/>
  <c r="AR20" i="11"/>
  <c r="AQ20" i="11"/>
  <c r="AP20" i="11"/>
  <c r="AO20" i="11"/>
  <c r="AN20" i="11"/>
  <c r="AM20" i="11"/>
  <c r="AL20" i="11"/>
  <c r="AK20" i="11"/>
  <c r="AI20" i="11"/>
  <c r="AH20" i="11"/>
  <c r="AG20" i="11"/>
  <c r="AF20" i="11"/>
  <c r="AE20" i="11"/>
  <c r="Z20" i="11"/>
  <c r="Z21" i="11" s="1"/>
  <c r="U20" i="11"/>
  <c r="P20" i="11"/>
  <c r="BJ19" i="11"/>
  <c r="BH19" i="11"/>
  <c r="BG19" i="11"/>
  <c r="BF19" i="11"/>
  <c r="BE19" i="11"/>
  <c r="BD19" i="11"/>
  <c r="BC19" i="11"/>
  <c r="BB19" i="11"/>
  <c r="BA19" i="11"/>
  <c r="AZ19" i="11"/>
  <c r="AX19" i="11"/>
  <c r="AW19" i="11"/>
  <c r="AV19" i="11"/>
  <c r="AU19" i="11"/>
  <c r="AS19" i="11"/>
  <c r="AR19" i="11"/>
  <c r="AQ19" i="11"/>
  <c r="AP19" i="11"/>
  <c r="AN19" i="11"/>
  <c r="AM19" i="11"/>
  <c r="AL19" i="11"/>
  <c r="AK19" i="11"/>
  <c r="AJ19" i="11"/>
  <c r="AI19" i="11"/>
  <c r="AH19" i="11"/>
  <c r="AG19" i="11"/>
  <c r="AF19" i="11"/>
  <c r="AE19" i="11"/>
  <c r="U19" i="11"/>
  <c r="S19" i="11"/>
  <c r="R19" i="11"/>
  <c r="Q19" i="11"/>
  <c r="P19" i="11"/>
  <c r="BI18" i="11"/>
  <c r="BI19" i="11" s="1"/>
  <c r="BD18" i="11"/>
  <c r="AY18" i="11"/>
  <c r="AY19" i="11" s="1"/>
  <c r="AT18" i="11"/>
  <c r="AO18" i="11"/>
  <c r="AO19" i="11" s="1"/>
  <c r="AJ18" i="11"/>
  <c r="AJ20" i="11" s="1"/>
  <c r="AE18" i="11"/>
  <c r="Z18" i="11"/>
  <c r="U18" i="11"/>
  <c r="P18" i="11"/>
  <c r="P21" i="11" s="1"/>
  <c r="BJ16" i="11"/>
  <c r="AP16" i="11"/>
  <c r="BJ15" i="11"/>
  <c r="BI15" i="11"/>
  <c r="BH15" i="11"/>
  <c r="BH16" i="11" s="1"/>
  <c r="BG15" i="11"/>
  <c r="BG16" i="11" s="1"/>
  <c r="BF15" i="11"/>
  <c r="BE15" i="11"/>
  <c r="BC15" i="11"/>
  <c r="BB15" i="11"/>
  <c r="BA15" i="11"/>
  <c r="BA16" i="11" s="1"/>
  <c r="AZ15" i="11"/>
  <c r="AZ16" i="11" s="1"/>
  <c r="AY15" i="11"/>
  <c r="AY16" i="11" s="1"/>
  <c r="AX15" i="11"/>
  <c r="AX16" i="11" s="1"/>
  <c r="AW15" i="11"/>
  <c r="AW16" i="11" s="1"/>
  <c r="AV15" i="11"/>
  <c r="AU15" i="11"/>
  <c r="AT15" i="11"/>
  <c r="AS15" i="11"/>
  <c r="AR15" i="11"/>
  <c r="AQ15" i="11"/>
  <c r="AV16" i="11" s="1"/>
  <c r="AP15" i="11"/>
  <c r="AU16" i="11" s="1"/>
  <c r="AO15" i="11"/>
  <c r="AO16" i="11" s="1"/>
  <c r="AN15" i="11"/>
  <c r="AN16" i="11" s="1"/>
  <c r="AM15" i="11"/>
  <c r="AL15" i="11"/>
  <c r="AK15" i="11"/>
  <c r="AJ15" i="11"/>
  <c r="AI15" i="11"/>
  <c r="AE15" i="11"/>
  <c r="U15" i="11"/>
  <c r="K15" i="11"/>
  <c r="F15" i="11"/>
  <c r="BJ14" i="11"/>
  <c r="BC14" i="11"/>
  <c r="AU14" i="11"/>
  <c r="AT14" i="11"/>
  <c r="AS14" i="11"/>
  <c r="AR14" i="11"/>
  <c r="AQ14" i="11"/>
  <c r="AP14" i="11"/>
  <c r="AO14" i="11"/>
  <c r="BO13" i="11"/>
  <c r="BO21" i="11" s="1"/>
  <c r="BM13" i="11"/>
  <c r="BL13" i="11"/>
  <c r="BK13" i="11"/>
  <c r="BJ13" i="11"/>
  <c r="BH13" i="11"/>
  <c r="BH14" i="11" s="1"/>
  <c r="BG13" i="11"/>
  <c r="BG14" i="11" s="1"/>
  <c r="BF13" i="11"/>
  <c r="BF14" i="11" s="1"/>
  <c r="BE13" i="11"/>
  <c r="BE14" i="11" s="1"/>
  <c r="BD13" i="11"/>
  <c r="BC13" i="11"/>
  <c r="BB13" i="11"/>
  <c r="BA13" i="11"/>
  <c r="AZ13" i="11"/>
  <c r="AX13" i="11"/>
  <c r="AW13" i="11"/>
  <c r="BB14" i="11" s="1"/>
  <c r="AV13" i="11"/>
  <c r="AU13" i="11"/>
  <c r="AT13" i="11"/>
  <c r="AS13" i="11"/>
  <c r="AR13" i="11"/>
  <c r="AQ13" i="11"/>
  <c r="AP13" i="11"/>
  <c r="AO13" i="11"/>
  <c r="AN13" i="11"/>
  <c r="AN14" i="11" s="1"/>
  <c r="AM13" i="11"/>
  <c r="AM14" i="11" s="1"/>
  <c r="AL13" i="11"/>
  <c r="AL14" i="11" s="1"/>
  <c r="AK13" i="11"/>
  <c r="AK14" i="11" s="1"/>
  <c r="AJ13" i="11"/>
  <c r="AJ14" i="11" s="1"/>
  <c r="AI13" i="11"/>
  <c r="AH13" i="11"/>
  <c r="AG13" i="11"/>
  <c r="AF13" i="11"/>
  <c r="AE13" i="11"/>
  <c r="AB13" i="11"/>
  <c r="X13" i="11"/>
  <c r="W13" i="11"/>
  <c r="V13" i="11"/>
  <c r="U13" i="11"/>
  <c r="R13" i="11"/>
  <c r="Q13" i="11"/>
  <c r="P13" i="11"/>
  <c r="K13" i="11"/>
  <c r="J13" i="11"/>
  <c r="I13" i="11"/>
  <c r="H13" i="11"/>
  <c r="G13" i="11"/>
  <c r="BJ11" i="11"/>
  <c r="BI11" i="11"/>
  <c r="BH11" i="11"/>
  <c r="BG11" i="11"/>
  <c r="BF11" i="11"/>
  <c r="BE11" i="11"/>
  <c r="BD11" i="11"/>
  <c r="BC11" i="11"/>
  <c r="BB11" i="11"/>
  <c r="BA11" i="11"/>
  <c r="AZ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BL10" i="11"/>
  <c r="BJ10" i="11"/>
  <c r="BH10" i="11"/>
  <c r="BG10" i="11"/>
  <c r="BF10" i="11"/>
  <c r="BE10" i="11"/>
  <c r="BC10" i="11"/>
  <c r="BB10" i="11"/>
  <c r="BA10" i="11"/>
  <c r="AZ10" i="11"/>
  <c r="AX10" i="11"/>
  <c r="AW10" i="11"/>
  <c r="AV10" i="11"/>
  <c r="AU10" i="11"/>
  <c r="AS10" i="11"/>
  <c r="AR10" i="11"/>
  <c r="AQ10" i="11"/>
  <c r="AP10" i="11"/>
  <c r="AN10" i="11"/>
  <c r="AM10" i="11"/>
  <c r="AL10" i="11"/>
  <c r="AK10" i="11"/>
  <c r="AI10" i="11"/>
  <c r="AH10" i="11"/>
  <c r="AG10" i="11"/>
  <c r="AF10" i="11"/>
  <c r="AD10" i="11"/>
  <c r="AC10" i="11"/>
  <c r="AB10" i="11"/>
  <c r="AA10" i="11"/>
  <c r="Y10" i="11"/>
  <c r="X10" i="11"/>
  <c r="W10" i="11"/>
  <c r="V10" i="11"/>
  <c r="T10" i="11"/>
  <c r="S10" i="11"/>
  <c r="R10" i="11"/>
  <c r="Q10" i="11"/>
  <c r="O10" i="11"/>
  <c r="N10" i="11"/>
  <c r="M10" i="11"/>
  <c r="L10" i="11"/>
  <c r="J10" i="11"/>
  <c r="I10" i="11"/>
  <c r="H10" i="11"/>
  <c r="G10" i="11"/>
  <c r="BR9" i="11"/>
  <c r="BO9" i="11"/>
  <c r="BM9" i="11"/>
  <c r="BL9" i="11"/>
  <c r="BK9" i="11"/>
  <c r="BK10" i="11" s="1"/>
  <c r="BI9" i="11"/>
  <c r="BD9" i="11"/>
  <c r="AY9" i="11"/>
  <c r="BI8" i="11"/>
  <c r="BH8" i="11"/>
  <c r="BC8" i="11"/>
  <c r="BA8" i="11"/>
  <c r="AY8" i="11"/>
  <c r="AX8" i="11"/>
  <c r="AW8" i="11"/>
  <c r="AV8" i="11"/>
  <c r="AN8" i="11"/>
  <c r="AM8" i="11"/>
  <c r="AL8" i="11"/>
  <c r="AK8" i="11"/>
  <c r="AF8" i="11"/>
  <c r="AE8" i="11"/>
  <c r="AD8" i="11"/>
  <c r="AB8" i="11"/>
  <c r="Y8" i="11"/>
  <c r="U8" i="11"/>
  <c r="T8" i="11"/>
  <c r="N8" i="11"/>
  <c r="M8" i="11"/>
  <c r="L8" i="11"/>
  <c r="K8" i="11"/>
  <c r="J8" i="11"/>
  <c r="BP7" i="11"/>
  <c r="BN7" i="11"/>
  <c r="BM7" i="11"/>
  <c r="BM8" i="11" s="1"/>
  <c r="BK7" i="11"/>
  <c r="BJ7" i="11"/>
  <c r="BJ8" i="11" s="1"/>
  <c r="BI7" i="11"/>
  <c r="BH7" i="11"/>
  <c r="BG7" i="11"/>
  <c r="BG8" i="11" s="1"/>
  <c r="BF7" i="11"/>
  <c r="BF8" i="11" s="1"/>
  <c r="BE7" i="11"/>
  <c r="BE8" i="11" s="1"/>
  <c r="BD7" i="11"/>
  <c r="BD8" i="11" s="1"/>
  <c r="BC7" i="11"/>
  <c r="BB7" i="11"/>
  <c r="BB8" i="11" s="1"/>
  <c r="BA7" i="11"/>
  <c r="AY7" i="11"/>
  <c r="AX7" i="11"/>
  <c r="AW7" i="11"/>
  <c r="AV7" i="11"/>
  <c r="AU7" i="11"/>
  <c r="AU8" i="11" s="1"/>
  <c r="AT7" i="11"/>
  <c r="AT8" i="11" s="1"/>
  <c r="AS7" i="11"/>
  <c r="AS8" i="11" s="1"/>
  <c r="AR7" i="11"/>
  <c r="AR8" i="11" s="1"/>
  <c r="AQ7" i="11"/>
  <c r="AQ8" i="11" s="1"/>
  <c r="AP7" i="11"/>
  <c r="AP8" i="11" s="1"/>
  <c r="AO7" i="11"/>
  <c r="AO8" i="11" s="1"/>
  <c r="AN7" i="11"/>
  <c r="AM7" i="11"/>
  <c r="AL7" i="11"/>
  <c r="AK7" i="11"/>
  <c r="AJ7" i="11"/>
  <c r="AJ8" i="11" s="1"/>
  <c r="AI7" i="11"/>
  <c r="AI8" i="11" s="1"/>
  <c r="AH7" i="11"/>
  <c r="AH8" i="11" s="1"/>
  <c r="AG7" i="11"/>
  <c r="AG8" i="11" s="1"/>
  <c r="AF7" i="11"/>
  <c r="AE7" i="11"/>
  <c r="AD7" i="11"/>
  <c r="AC7" i="11"/>
  <c r="AC8" i="11" s="1"/>
  <c r="AB7" i="11"/>
  <c r="AA7" i="11"/>
  <c r="AA8" i="11" s="1"/>
  <c r="Z7" i="11"/>
  <c r="Z8" i="11" s="1"/>
  <c r="Y7" i="11"/>
  <c r="X7" i="11"/>
  <c r="X8" i="11" s="1"/>
  <c r="W7" i="11"/>
  <c r="W8" i="11" s="1"/>
  <c r="V7" i="11"/>
  <c r="V8" i="11" s="1"/>
  <c r="U7" i="11"/>
  <c r="T7" i="11"/>
  <c r="S7" i="11"/>
  <c r="S8" i="11" s="1"/>
  <c r="R7" i="11"/>
  <c r="R8" i="11" s="1"/>
  <c r="Q7" i="11"/>
  <c r="Q8" i="11" s="1"/>
  <c r="P7" i="11"/>
  <c r="P8" i="11" s="1"/>
  <c r="O7" i="11"/>
  <c r="O8" i="11" s="1"/>
  <c r="N7" i="11"/>
  <c r="M7" i="11"/>
  <c r="L7" i="11"/>
  <c r="K7" i="11"/>
  <c r="J7" i="11"/>
  <c r="I7" i="11"/>
  <c r="I8" i="11" s="1"/>
  <c r="H7" i="11"/>
  <c r="H8" i="11" s="1"/>
  <c r="G7" i="11"/>
  <c r="G8" i="11" s="1"/>
  <c r="D5" i="11"/>
  <c r="E5" i="11" s="1"/>
  <c r="F5" i="11" s="1"/>
  <c r="A5" i="11"/>
  <c r="D4" i="11"/>
  <c r="A4" i="11"/>
  <c r="C2" i="11"/>
  <c r="C3" i="11" s="1"/>
  <c r="A2" i="11"/>
  <c r="H53" i="3"/>
  <c r="F53" i="3"/>
  <c r="D53" i="3"/>
  <c r="D4" i="10"/>
  <c r="C5" i="10"/>
  <c r="C4" i="10"/>
  <c r="C7" i="10" s="1"/>
  <c r="B1296" i="9"/>
  <c r="B1295" i="9"/>
  <c r="B1294" i="9"/>
  <c r="B1286" i="9"/>
  <c r="B1284" i="9"/>
  <c r="B1283" i="9"/>
  <c r="B1282" i="9"/>
  <c r="BL1276" i="9"/>
  <c r="BJ1276" i="9"/>
  <c r="BI1276" i="9"/>
  <c r="BG1276" i="9"/>
  <c r="BF1276" i="9"/>
  <c r="BE1276" i="9"/>
  <c r="BD1276" i="9"/>
  <c r="BC1276" i="9"/>
  <c r="BB1276" i="9"/>
  <c r="BA1276" i="9"/>
  <c r="AZ1276" i="9"/>
  <c r="AY1276" i="9"/>
  <c r="AW1276" i="9"/>
  <c r="AV1276" i="9"/>
  <c r="AU1276" i="9"/>
  <c r="AT1276" i="9"/>
  <c r="AR1276" i="9"/>
  <c r="AQ1276" i="9"/>
  <c r="AP1276" i="9"/>
  <c r="AO1276" i="9"/>
  <c r="AM1276" i="9"/>
  <c r="AL1276" i="9"/>
  <c r="AK1276" i="9"/>
  <c r="AJ1276" i="9"/>
  <c r="AH1276" i="9"/>
  <c r="AG1276" i="9"/>
  <c r="AF1276" i="9"/>
  <c r="AE1276" i="9"/>
  <c r="AC1276" i="9"/>
  <c r="AB1276" i="9"/>
  <c r="AA1276" i="9"/>
  <c r="Z1276" i="9"/>
  <c r="X1276" i="9"/>
  <c r="W1276" i="9"/>
  <c r="V1276" i="9"/>
  <c r="U1276" i="9"/>
  <c r="S1276" i="9"/>
  <c r="R1276" i="9"/>
  <c r="Q1276" i="9"/>
  <c r="P1276" i="9"/>
  <c r="N1276" i="9"/>
  <c r="M1276" i="9"/>
  <c r="L1276" i="9"/>
  <c r="K1276" i="9"/>
  <c r="I1276" i="9"/>
  <c r="H1276" i="9"/>
  <c r="G1276" i="9"/>
  <c r="F1276" i="9"/>
  <c r="E1276" i="9"/>
  <c r="D1276" i="9"/>
  <c r="C1276" i="9"/>
  <c r="BV1274" i="9"/>
  <c r="BU1274" i="9"/>
  <c r="BT1274" i="9"/>
  <c r="BS1274" i="9"/>
  <c r="BR1274" i="9"/>
  <c r="BQ1274" i="9"/>
  <c r="BP1274" i="9"/>
  <c r="BO1274" i="9"/>
  <c r="BN1274" i="9"/>
  <c r="BM1274" i="9"/>
  <c r="BL1274" i="9"/>
  <c r="BK1274" i="9"/>
  <c r="BJ1274" i="9"/>
  <c r="BI1274" i="9"/>
  <c r="BH1274" i="9"/>
  <c r="BG1274" i="9"/>
  <c r="BF1274" i="9"/>
  <c r="BE1274" i="9"/>
  <c r="BD1274" i="9"/>
  <c r="BC1274" i="9"/>
  <c r="BB1274" i="9"/>
  <c r="BA1274" i="9"/>
  <c r="AZ1274" i="9"/>
  <c r="AY1274" i="9"/>
  <c r="AX1274" i="9"/>
  <c r="AW1274" i="9"/>
  <c r="AV1274" i="9"/>
  <c r="AU1274" i="9"/>
  <c r="AT1274" i="9"/>
  <c r="AS1274" i="9"/>
  <c r="AR1274" i="9"/>
  <c r="AQ1274" i="9"/>
  <c r="AP1274" i="9"/>
  <c r="AO1274" i="9"/>
  <c r="AN1274" i="9"/>
  <c r="AM1274" i="9"/>
  <c r="AL1274" i="9"/>
  <c r="AK1274" i="9"/>
  <c r="AJ1274" i="9"/>
  <c r="AI1274" i="9"/>
  <c r="AH1274" i="9"/>
  <c r="AG1274" i="9"/>
  <c r="AF1274" i="9"/>
  <c r="AE1274" i="9"/>
  <c r="AD1274" i="9"/>
  <c r="AC1274" i="9"/>
  <c r="AB1274" i="9"/>
  <c r="AA1274" i="9"/>
  <c r="Z1274" i="9"/>
  <c r="Y1274" i="9"/>
  <c r="X1274" i="9"/>
  <c r="W1274" i="9"/>
  <c r="V1274" i="9"/>
  <c r="U1274" i="9"/>
  <c r="T1274" i="9"/>
  <c r="S1274" i="9"/>
  <c r="R1274" i="9"/>
  <c r="Q1274" i="9"/>
  <c r="P1274" i="9"/>
  <c r="O1274" i="9"/>
  <c r="N1274" i="9"/>
  <c r="M1274" i="9"/>
  <c r="L1274" i="9"/>
  <c r="K1274" i="9"/>
  <c r="J1274" i="9"/>
  <c r="I1274" i="9"/>
  <c r="H1274" i="9"/>
  <c r="G1274" i="9"/>
  <c r="F1274" i="9"/>
  <c r="E1274" i="9"/>
  <c r="D1274" i="9"/>
  <c r="C1274" i="9"/>
  <c r="BV1270" i="9"/>
  <c r="BU1270" i="9"/>
  <c r="BT1270" i="9"/>
  <c r="BS1270" i="9"/>
  <c r="BR1270" i="9"/>
  <c r="BQ1270" i="9"/>
  <c r="BP1270" i="9"/>
  <c r="BO1270" i="9"/>
  <c r="BN1270" i="9"/>
  <c r="BM1270" i="9"/>
  <c r="BL1270" i="9"/>
  <c r="BK1270" i="9"/>
  <c r="BV1267" i="9"/>
  <c r="BU1267" i="9"/>
  <c r="BT1267" i="9"/>
  <c r="BS1267" i="9"/>
  <c r="BR1267" i="9"/>
  <c r="BQ1267" i="9"/>
  <c r="BP1267" i="9"/>
  <c r="BO1267" i="9"/>
  <c r="BN1267" i="9"/>
  <c r="BM1267" i="9"/>
  <c r="BL1267" i="9"/>
  <c r="BK1267" i="9"/>
  <c r="BJ1267" i="9"/>
  <c r="BI1267" i="9"/>
  <c r="BH1267" i="9"/>
  <c r="BG1267" i="9"/>
  <c r="BF1267" i="9"/>
  <c r="BE1267" i="9"/>
  <c r="BD1267" i="9"/>
  <c r="BC1267" i="9"/>
  <c r="BB1267" i="9"/>
  <c r="BA1267" i="9"/>
  <c r="AZ1267" i="9"/>
  <c r="AY1267" i="9"/>
  <c r="AX1267" i="9"/>
  <c r="AW1267" i="9"/>
  <c r="AV1267" i="9"/>
  <c r="AU1267" i="9"/>
  <c r="AT1267" i="9"/>
  <c r="AS1267" i="9"/>
  <c r="AR1267" i="9"/>
  <c r="AQ1267" i="9"/>
  <c r="AP1267" i="9"/>
  <c r="AO1267" i="9"/>
  <c r="AN1267" i="9"/>
  <c r="AM1267" i="9"/>
  <c r="AL1267" i="9"/>
  <c r="AK1267" i="9"/>
  <c r="AJ1267" i="9"/>
  <c r="AI1267" i="9"/>
  <c r="AH1267" i="9"/>
  <c r="AG1267" i="9"/>
  <c r="AF1267" i="9"/>
  <c r="AE1267" i="9"/>
  <c r="AD1267" i="9"/>
  <c r="AC1267" i="9"/>
  <c r="AB1267" i="9"/>
  <c r="AA1267" i="9"/>
  <c r="Z1267" i="9"/>
  <c r="Y1267" i="9"/>
  <c r="X1267" i="9"/>
  <c r="W1267" i="9"/>
  <c r="V1267" i="9"/>
  <c r="U1267" i="9"/>
  <c r="T1267" i="9"/>
  <c r="S1267" i="9"/>
  <c r="R1267" i="9"/>
  <c r="Q1267" i="9"/>
  <c r="P1267" i="9"/>
  <c r="O1267" i="9"/>
  <c r="N1267" i="9"/>
  <c r="M1267" i="9"/>
  <c r="L1267" i="9"/>
  <c r="K1267" i="9"/>
  <c r="J1267" i="9"/>
  <c r="I1267" i="9"/>
  <c r="H1267" i="9"/>
  <c r="G1267" i="9"/>
  <c r="F1267" i="9"/>
  <c r="E1267" i="9"/>
  <c r="D1267" i="9"/>
  <c r="C1267" i="9"/>
  <c r="BD1266" i="9"/>
  <c r="AO1266" i="9"/>
  <c r="G1266" i="9"/>
  <c r="BV1265" i="9"/>
  <c r="BU1265" i="9"/>
  <c r="BT1265" i="9"/>
  <c r="BS1265" i="9"/>
  <c r="BR1265" i="9"/>
  <c r="BQ1265" i="9"/>
  <c r="BP1265" i="9"/>
  <c r="BO1265" i="9"/>
  <c r="BN1265" i="9"/>
  <c r="BM1265" i="9"/>
  <c r="BL1265" i="9"/>
  <c r="BK1265" i="9"/>
  <c r="BJ1265" i="9"/>
  <c r="BI1265" i="9"/>
  <c r="BH1265" i="9"/>
  <c r="BG1265" i="9"/>
  <c r="BF1265" i="9"/>
  <c r="BE1265" i="9"/>
  <c r="BD1265" i="9"/>
  <c r="BC1265" i="9"/>
  <c r="BB1265" i="9"/>
  <c r="BA1265" i="9"/>
  <c r="AZ1265" i="9"/>
  <c r="AY1265" i="9"/>
  <c r="AX1265" i="9"/>
  <c r="AW1265" i="9"/>
  <c r="AV1265" i="9"/>
  <c r="AU1265" i="9"/>
  <c r="AT1265" i="9"/>
  <c r="AS1265" i="9"/>
  <c r="AR1265" i="9"/>
  <c r="AQ1265" i="9"/>
  <c r="AP1265" i="9"/>
  <c r="AO1265" i="9"/>
  <c r="AN1265" i="9"/>
  <c r="AM1265" i="9"/>
  <c r="AL1265" i="9"/>
  <c r="AK1265" i="9"/>
  <c r="AJ1265" i="9"/>
  <c r="AI1265" i="9"/>
  <c r="AH1265" i="9"/>
  <c r="AG1265" i="9"/>
  <c r="AF1265" i="9"/>
  <c r="AE1265" i="9"/>
  <c r="AD1265" i="9"/>
  <c r="AC1265" i="9"/>
  <c r="AB1265" i="9"/>
  <c r="AA1265" i="9"/>
  <c r="Z1265" i="9"/>
  <c r="Y1265" i="9"/>
  <c r="X1265" i="9"/>
  <c r="W1265" i="9"/>
  <c r="V1265" i="9"/>
  <c r="U1265" i="9"/>
  <c r="T1265" i="9"/>
  <c r="S1265" i="9"/>
  <c r="R1265" i="9"/>
  <c r="Q1265" i="9"/>
  <c r="P1265" i="9"/>
  <c r="O1265" i="9"/>
  <c r="N1265" i="9"/>
  <c r="M1265" i="9"/>
  <c r="L1265" i="9"/>
  <c r="K1265" i="9"/>
  <c r="J1265" i="9"/>
  <c r="I1265" i="9"/>
  <c r="H1265" i="9"/>
  <c r="G1265" i="9"/>
  <c r="F1265" i="9"/>
  <c r="E1265" i="9"/>
  <c r="D1265" i="9"/>
  <c r="C1265" i="9"/>
  <c r="N1264" i="9"/>
  <c r="N1122" i="11" s="1"/>
  <c r="BV1260" i="9"/>
  <c r="BU1260" i="9"/>
  <c r="BT1260" i="9"/>
  <c r="BS1260" i="9"/>
  <c r="BR1260" i="9"/>
  <c r="BQ1260" i="9"/>
  <c r="BP1260" i="9"/>
  <c r="BO1260" i="9"/>
  <c r="BN1260" i="9"/>
  <c r="BM1260" i="9"/>
  <c r="BL1260" i="9"/>
  <c r="BK1260" i="9"/>
  <c r="BJ1260" i="9"/>
  <c r="BI1260" i="9"/>
  <c r="BH1260" i="9"/>
  <c r="BG1260" i="9"/>
  <c r="BF1260" i="9"/>
  <c r="BE1260" i="9"/>
  <c r="BD1260" i="9"/>
  <c r="BC1260" i="9"/>
  <c r="BB1260" i="9"/>
  <c r="BA1260" i="9"/>
  <c r="AZ1260" i="9"/>
  <c r="AY1260" i="9"/>
  <c r="AX1260" i="9"/>
  <c r="AW1260" i="9"/>
  <c r="AV1260" i="9"/>
  <c r="AU1260" i="9"/>
  <c r="AT1260" i="9"/>
  <c r="AS1260" i="9"/>
  <c r="AR1260" i="9"/>
  <c r="AQ1260" i="9"/>
  <c r="AP1260" i="9"/>
  <c r="AO1260" i="9"/>
  <c r="AN1260" i="9"/>
  <c r="AM1260" i="9"/>
  <c r="AL1260" i="9"/>
  <c r="AK1260" i="9"/>
  <c r="AJ1260" i="9"/>
  <c r="AI1260" i="9"/>
  <c r="AH1260" i="9"/>
  <c r="AG1260" i="9"/>
  <c r="AF1260" i="9"/>
  <c r="AE1260" i="9"/>
  <c r="AD1260" i="9"/>
  <c r="AC1260" i="9"/>
  <c r="AB1260" i="9"/>
  <c r="AA1260" i="9"/>
  <c r="Z1260" i="9"/>
  <c r="Y1260" i="9"/>
  <c r="X1260" i="9"/>
  <c r="W1260" i="9"/>
  <c r="V1260" i="9"/>
  <c r="U1260" i="9"/>
  <c r="T1260" i="9"/>
  <c r="S1260" i="9"/>
  <c r="R1260" i="9"/>
  <c r="Q1260" i="9"/>
  <c r="P1260" i="9"/>
  <c r="O1260" i="9"/>
  <c r="N1260" i="9"/>
  <c r="M1260" i="9"/>
  <c r="L1260" i="9"/>
  <c r="K1260" i="9"/>
  <c r="J1260" i="9"/>
  <c r="I1260" i="9"/>
  <c r="H1260" i="9"/>
  <c r="G1260" i="9"/>
  <c r="F1260" i="9"/>
  <c r="E1260" i="9"/>
  <c r="D1260" i="9"/>
  <c r="C1260" i="9"/>
  <c r="BV1258" i="9"/>
  <c r="BU1258" i="9"/>
  <c r="BT1258" i="9"/>
  <c r="BS1258" i="9"/>
  <c r="BR1258" i="9"/>
  <c r="BQ1258" i="9"/>
  <c r="BP1258" i="9"/>
  <c r="BO1258" i="9"/>
  <c r="BN1258" i="9"/>
  <c r="BM1258" i="9"/>
  <c r="BL1258" i="9"/>
  <c r="BK1258" i="9"/>
  <c r="BJ1258" i="9"/>
  <c r="BI1258" i="9"/>
  <c r="BH1258" i="9"/>
  <c r="BG1258" i="9"/>
  <c r="BF1258" i="9"/>
  <c r="BE1258" i="9"/>
  <c r="BD1258" i="9"/>
  <c r="BC1258" i="9"/>
  <c r="BB1258" i="9"/>
  <c r="BA1258" i="9"/>
  <c r="AZ1258" i="9"/>
  <c r="AY1258" i="9"/>
  <c r="AX1258" i="9"/>
  <c r="AW1258" i="9"/>
  <c r="AV1258" i="9"/>
  <c r="AU1258" i="9"/>
  <c r="AT1258" i="9"/>
  <c r="AS1258" i="9"/>
  <c r="AR1258" i="9"/>
  <c r="AQ1258" i="9"/>
  <c r="AP1258" i="9"/>
  <c r="AO1258" i="9"/>
  <c r="AN1258" i="9"/>
  <c r="AM1258" i="9"/>
  <c r="AL1258" i="9"/>
  <c r="AK1258" i="9"/>
  <c r="AJ1258" i="9"/>
  <c r="AI1258" i="9"/>
  <c r="AH1258" i="9"/>
  <c r="AG1258" i="9"/>
  <c r="AF1258" i="9"/>
  <c r="AE1258" i="9"/>
  <c r="AD1258" i="9"/>
  <c r="AC1258" i="9"/>
  <c r="AB1258" i="9"/>
  <c r="AA1258" i="9"/>
  <c r="Z1258" i="9"/>
  <c r="Y1258" i="9"/>
  <c r="X1258" i="9"/>
  <c r="W1258" i="9"/>
  <c r="V1258" i="9"/>
  <c r="U1258" i="9"/>
  <c r="T1258" i="9"/>
  <c r="S1258" i="9"/>
  <c r="R1258" i="9"/>
  <c r="Q1258" i="9"/>
  <c r="P1258" i="9"/>
  <c r="O1258" i="9"/>
  <c r="N1258" i="9"/>
  <c r="M1258" i="9"/>
  <c r="L1258" i="9"/>
  <c r="K1258" i="9"/>
  <c r="J1258" i="9"/>
  <c r="I1258" i="9"/>
  <c r="H1258" i="9"/>
  <c r="G1258" i="9"/>
  <c r="F1258" i="9"/>
  <c r="E1258" i="9"/>
  <c r="D1258" i="9"/>
  <c r="C1258" i="9"/>
  <c r="AZ1257" i="9"/>
  <c r="AZ1115" i="11" s="1"/>
  <c r="BV1253" i="9"/>
  <c r="BU1253" i="9"/>
  <c r="BT1253" i="9"/>
  <c r="BS1253" i="9"/>
  <c r="BR1253" i="9"/>
  <c r="BQ1253" i="9"/>
  <c r="BP1253" i="9"/>
  <c r="BO1253" i="9"/>
  <c r="BN1253" i="9"/>
  <c r="BM1253" i="9"/>
  <c r="BL1253" i="9"/>
  <c r="BK1253" i="9"/>
  <c r="BJ1253" i="9"/>
  <c r="BI1253" i="9"/>
  <c r="BH1253" i="9"/>
  <c r="BG1253" i="9"/>
  <c r="BF1253" i="9"/>
  <c r="BE1253" i="9"/>
  <c r="BD1253" i="9"/>
  <c r="BC1253" i="9"/>
  <c r="BB1253" i="9"/>
  <c r="BA1253" i="9"/>
  <c r="AZ1253" i="9"/>
  <c r="AY1253" i="9"/>
  <c r="AX1253" i="9"/>
  <c r="AW1253" i="9"/>
  <c r="AV1253" i="9"/>
  <c r="AU1253" i="9"/>
  <c r="AT1253" i="9"/>
  <c r="AS1253" i="9"/>
  <c r="AR1253" i="9"/>
  <c r="AQ1253" i="9"/>
  <c r="AP1253" i="9"/>
  <c r="AO1253" i="9"/>
  <c r="AN1253" i="9"/>
  <c r="AM1253" i="9"/>
  <c r="AL1253" i="9"/>
  <c r="AK1253" i="9"/>
  <c r="AJ1253" i="9"/>
  <c r="AI1253" i="9"/>
  <c r="AH1253" i="9"/>
  <c r="AG1253" i="9"/>
  <c r="AF1253" i="9"/>
  <c r="AE1253" i="9"/>
  <c r="AD1253" i="9"/>
  <c r="AC1253" i="9"/>
  <c r="AB1253" i="9"/>
  <c r="AA1253" i="9"/>
  <c r="Z1253" i="9"/>
  <c r="Y1253" i="9"/>
  <c r="X1253" i="9"/>
  <c r="W1253" i="9"/>
  <c r="V1253" i="9"/>
  <c r="U1253" i="9"/>
  <c r="T1253" i="9"/>
  <c r="S1253" i="9"/>
  <c r="R1253" i="9"/>
  <c r="Q1253" i="9"/>
  <c r="P1253" i="9"/>
  <c r="O1253" i="9"/>
  <c r="N1253" i="9"/>
  <c r="M1253" i="9"/>
  <c r="L1253" i="9"/>
  <c r="K1253" i="9"/>
  <c r="J1253" i="9"/>
  <c r="I1253" i="9"/>
  <c r="H1253" i="9"/>
  <c r="G1253" i="9"/>
  <c r="F1253" i="9"/>
  <c r="E1253" i="9"/>
  <c r="D1253" i="9"/>
  <c r="C1253" i="9"/>
  <c r="AU1252" i="9"/>
  <c r="T1252" i="9"/>
  <c r="BV1251" i="9"/>
  <c r="BU1251" i="9"/>
  <c r="BT1251" i="9"/>
  <c r="BS1251" i="9"/>
  <c r="BR1251" i="9"/>
  <c r="BQ1251" i="9"/>
  <c r="BP1251" i="9"/>
  <c r="BO1251" i="9"/>
  <c r="BN1251" i="9"/>
  <c r="BM1251" i="9"/>
  <c r="BL1251" i="9"/>
  <c r="BK1251" i="9"/>
  <c r="BJ1251" i="9"/>
  <c r="BI1251" i="9"/>
  <c r="BH1251" i="9"/>
  <c r="BG1251" i="9"/>
  <c r="BF1251" i="9"/>
  <c r="BE1251" i="9"/>
  <c r="BD1251" i="9"/>
  <c r="BC1251" i="9"/>
  <c r="BB1251" i="9"/>
  <c r="BA1251" i="9"/>
  <c r="AZ1251" i="9"/>
  <c r="AY1251" i="9"/>
  <c r="AX1251" i="9"/>
  <c r="AW1251" i="9"/>
  <c r="AV1251" i="9"/>
  <c r="AU1251" i="9"/>
  <c r="AT1251" i="9"/>
  <c r="AS1251" i="9"/>
  <c r="AR1251" i="9"/>
  <c r="AQ1251" i="9"/>
  <c r="AP1251" i="9"/>
  <c r="AO1251" i="9"/>
  <c r="AN1251" i="9"/>
  <c r="AM1251" i="9"/>
  <c r="AL1251" i="9"/>
  <c r="AK1251" i="9"/>
  <c r="AJ1251" i="9"/>
  <c r="AI1251" i="9"/>
  <c r="AH1251" i="9"/>
  <c r="AG1251" i="9"/>
  <c r="AF1251" i="9"/>
  <c r="AE1251" i="9"/>
  <c r="AD1251" i="9"/>
  <c r="AC1251" i="9"/>
  <c r="AB1251" i="9"/>
  <c r="AA1251" i="9"/>
  <c r="Z1251" i="9"/>
  <c r="Y1251" i="9"/>
  <c r="X1251" i="9"/>
  <c r="W1251" i="9"/>
  <c r="V1251" i="9"/>
  <c r="U1251" i="9"/>
  <c r="T1251" i="9"/>
  <c r="S1251" i="9"/>
  <c r="R1251" i="9"/>
  <c r="Q1251" i="9"/>
  <c r="P1251" i="9"/>
  <c r="O1251" i="9"/>
  <c r="N1251" i="9"/>
  <c r="M1251" i="9"/>
  <c r="L1251" i="9"/>
  <c r="K1251" i="9"/>
  <c r="J1251" i="9"/>
  <c r="I1251" i="9"/>
  <c r="H1251" i="9"/>
  <c r="G1251" i="9"/>
  <c r="F1251" i="9"/>
  <c r="E1251" i="9"/>
  <c r="D1251" i="9"/>
  <c r="C1251" i="9"/>
  <c r="AJ1250" i="9"/>
  <c r="BV1247" i="9"/>
  <c r="BU1247" i="9"/>
  <c r="BT1247" i="9"/>
  <c r="BT935" i="9" s="1"/>
  <c r="BS1247" i="9"/>
  <c r="BS935" i="9" s="1"/>
  <c r="BR1247" i="9"/>
  <c r="BQ1247" i="9"/>
  <c r="BQ936" i="9" s="1"/>
  <c r="BP1247" i="9"/>
  <c r="BO1247" i="9"/>
  <c r="BO934" i="9" s="1"/>
  <c r="BN1247" i="9"/>
  <c r="BM1247" i="9"/>
  <c r="BL1247" i="9"/>
  <c r="BK1247" i="9"/>
  <c r="BJ1247" i="9"/>
  <c r="BI1247" i="9"/>
  <c r="BH1247" i="9"/>
  <c r="BG1247" i="9"/>
  <c r="BG939" i="9" s="1"/>
  <c r="BF1247" i="9"/>
  <c r="BF939" i="9" s="1"/>
  <c r="BE1247" i="9"/>
  <c r="BD1247" i="9"/>
  <c r="BC1247" i="9"/>
  <c r="BB1247" i="9"/>
  <c r="BA1247" i="9"/>
  <c r="AZ1247" i="9"/>
  <c r="AY1247" i="9"/>
  <c r="AX1247" i="9"/>
  <c r="AX937" i="9" s="1"/>
  <c r="AW1247" i="9"/>
  <c r="AV1247" i="9"/>
  <c r="AU1247" i="9"/>
  <c r="AT1247" i="9"/>
  <c r="AS1247" i="9"/>
  <c r="AS939" i="9" s="1"/>
  <c r="AR1247" i="9"/>
  <c r="AR939" i="9" s="1"/>
  <c r="AQ1247" i="9"/>
  <c r="AQ937" i="9" s="1"/>
  <c r="AP1247" i="9"/>
  <c r="AO1247" i="9"/>
  <c r="AN1247" i="9"/>
  <c r="AM1247" i="9"/>
  <c r="AM937" i="9" s="1"/>
  <c r="AM940" i="9" s="1"/>
  <c r="AM924" i="9" s="1"/>
  <c r="AL1247" i="9"/>
  <c r="AK1247" i="9"/>
  <c r="AJ1247" i="9"/>
  <c r="AJ939" i="9" s="1"/>
  <c r="AI1247" i="9"/>
  <c r="AH1247" i="9"/>
  <c r="AG1247" i="9"/>
  <c r="AG937" i="9" s="1"/>
  <c r="AG940" i="9" s="1"/>
  <c r="AF1247" i="9"/>
  <c r="AE1247" i="9"/>
  <c r="AD1247" i="9"/>
  <c r="AD939" i="9" s="1"/>
  <c r="AC1247" i="9"/>
  <c r="AB1247" i="9"/>
  <c r="AA1247" i="9"/>
  <c r="AA939" i="9" s="1"/>
  <c r="Z1247" i="9"/>
  <c r="Y1247" i="9"/>
  <c r="X1247" i="9"/>
  <c r="W1247" i="9"/>
  <c r="V1247" i="9"/>
  <c r="V937" i="9" s="1"/>
  <c r="U1247" i="9"/>
  <c r="T1247" i="9"/>
  <c r="T937" i="9" s="1"/>
  <c r="T940" i="9" s="1"/>
  <c r="S1247" i="9"/>
  <c r="S937" i="9" s="1"/>
  <c r="R1247" i="9"/>
  <c r="Q1247" i="9"/>
  <c r="P1247" i="9"/>
  <c r="P937" i="9" s="1"/>
  <c r="O1247" i="9"/>
  <c r="N1247" i="9"/>
  <c r="M1247" i="9"/>
  <c r="M939" i="9" s="1"/>
  <c r="L1247" i="9"/>
  <c r="K1247" i="9"/>
  <c r="K939" i="9" s="1"/>
  <c r="J1247" i="9"/>
  <c r="I1247" i="9"/>
  <c r="H1247" i="9"/>
  <c r="G1247" i="9"/>
  <c r="G939" i="9" s="1"/>
  <c r="F1247" i="9"/>
  <c r="F939" i="9" s="1"/>
  <c r="E1247" i="9"/>
  <c r="E937" i="9" s="1"/>
  <c r="E940" i="9" s="1"/>
  <c r="E924" i="9" s="1"/>
  <c r="D1247" i="9"/>
  <c r="C1247" i="9"/>
  <c r="BK1246" i="9"/>
  <c r="BK1252" i="9" s="1"/>
  <c r="AJ1246" i="9"/>
  <c r="AJ1264" i="9" s="1"/>
  <c r="AJ1122" i="11" s="1"/>
  <c r="AH1246" i="9"/>
  <c r="S1246" i="9"/>
  <c r="A1241" i="9"/>
  <c r="A1240" i="9"/>
  <c r="A1238" i="9"/>
  <c r="A1237" i="9"/>
  <c r="A1236" i="9"/>
  <c r="BJ1228" i="9"/>
  <c r="BI1228" i="9"/>
  <c r="BH1228" i="9"/>
  <c r="BG1228" i="9"/>
  <c r="BF1228" i="9"/>
  <c r="BE1228" i="9"/>
  <c r="BD1228" i="9"/>
  <c r="BC1228" i="9"/>
  <c r="BB1228" i="9"/>
  <c r="BA1228" i="9"/>
  <c r="AZ1228" i="9"/>
  <c r="AY1228" i="9"/>
  <c r="AX1228" i="9"/>
  <c r="AW1228" i="9"/>
  <c r="AV1228" i="9"/>
  <c r="AU1228" i="9"/>
  <c r="AT1228" i="9"/>
  <c r="AS1228" i="9"/>
  <c r="AM1228" i="9"/>
  <c r="AL1228" i="9"/>
  <c r="AK1228" i="9"/>
  <c r="AJ1228" i="9"/>
  <c r="AI1228" i="9"/>
  <c r="AH1228" i="9"/>
  <c r="AG1228" i="9"/>
  <c r="AF1228" i="9"/>
  <c r="AE1228" i="9"/>
  <c r="AD1228" i="9"/>
  <c r="AC1228" i="9"/>
  <c r="A1205" i="9"/>
  <c r="A1203" i="9"/>
  <c r="A1201" i="9"/>
  <c r="BS1175" i="9"/>
  <c r="BN1175" i="9"/>
  <c r="BV1174" i="9"/>
  <c r="BU1174" i="9"/>
  <c r="BT1174" i="9"/>
  <c r="BS1174" i="9"/>
  <c r="BR1174" i="9"/>
  <c r="BQ1174" i="9"/>
  <c r="BP1174" i="9"/>
  <c r="BO1174" i="9"/>
  <c r="BN1174" i="9"/>
  <c r="BM1174" i="9"/>
  <c r="BL1174" i="9"/>
  <c r="BK1174" i="9"/>
  <c r="BO1173" i="9"/>
  <c r="BM1173" i="9"/>
  <c r="BK1173" i="9"/>
  <c r="BV1172" i="9"/>
  <c r="BU1172" i="9"/>
  <c r="BT1172" i="9"/>
  <c r="BS1172" i="9"/>
  <c r="BR1172" i="9"/>
  <c r="BQ1172" i="9"/>
  <c r="BP1172" i="9"/>
  <c r="BO1172" i="9"/>
  <c r="BN1172" i="9"/>
  <c r="BM1172" i="9"/>
  <c r="BL1172" i="9"/>
  <c r="BK1172" i="9"/>
  <c r="BV1169" i="9"/>
  <c r="BU1169" i="9"/>
  <c r="BT1169" i="9"/>
  <c r="BS1169" i="9"/>
  <c r="BR1169" i="9"/>
  <c r="BQ1169" i="9"/>
  <c r="BP1169" i="9"/>
  <c r="BO1169" i="9"/>
  <c r="BN1169" i="9"/>
  <c r="BM1169" i="9"/>
  <c r="BL1169" i="9"/>
  <c r="BK1169" i="9"/>
  <c r="BJ1169" i="9"/>
  <c r="BI1169" i="9"/>
  <c r="BG1169" i="9"/>
  <c r="BF1169" i="9"/>
  <c r="BE1169" i="9"/>
  <c r="BD1169" i="9"/>
  <c r="BB1169" i="9"/>
  <c r="BA1169" i="9"/>
  <c r="AZ1169" i="9"/>
  <c r="AY1169" i="9"/>
  <c r="AW1169" i="9"/>
  <c r="AV1169" i="9"/>
  <c r="AU1169" i="9"/>
  <c r="AT1169" i="9"/>
  <c r="AR1169" i="9"/>
  <c r="AQ1169" i="9"/>
  <c r="AP1169" i="9"/>
  <c r="AO1169" i="9"/>
  <c r="AM1169" i="9"/>
  <c r="AL1169" i="9"/>
  <c r="AK1169" i="9"/>
  <c r="AJ1169" i="9"/>
  <c r="AI1169" i="9"/>
  <c r="AH1169" i="9"/>
  <c r="AG1169" i="9"/>
  <c r="AF1169" i="9"/>
  <c r="AE1169" i="9"/>
  <c r="AD1169" i="9"/>
  <c r="AC1169" i="9"/>
  <c r="AB1169" i="9"/>
  <c r="AA1169" i="9"/>
  <c r="Z1169" i="9"/>
  <c r="Y1169" i="9"/>
  <c r="X1169" i="9"/>
  <c r="W1169" i="9"/>
  <c r="V1169" i="9"/>
  <c r="U1169" i="9"/>
  <c r="T1169" i="9"/>
  <c r="S1169" i="9"/>
  <c r="R1169" i="9"/>
  <c r="Q1169" i="9"/>
  <c r="P1169" i="9"/>
  <c r="O1169" i="9"/>
  <c r="N1169" i="9"/>
  <c r="M1169" i="9"/>
  <c r="L1169" i="9"/>
  <c r="K1169" i="9"/>
  <c r="F1169" i="9"/>
  <c r="E1169" i="9"/>
  <c r="D1169" i="9"/>
  <c r="C1169" i="9"/>
  <c r="BV1165" i="9"/>
  <c r="BU1165" i="9"/>
  <c r="BT1165" i="9"/>
  <c r="BS1165" i="9"/>
  <c r="BR1165" i="9"/>
  <c r="BQ1165" i="9"/>
  <c r="BP1165" i="9"/>
  <c r="BO1165" i="9"/>
  <c r="BN1165" i="9"/>
  <c r="BM1165" i="9"/>
  <c r="BL1165" i="9"/>
  <c r="BK1165" i="9"/>
  <c r="BV1163" i="9"/>
  <c r="BU1163" i="9"/>
  <c r="BT1163" i="9"/>
  <c r="BS1163" i="9"/>
  <c r="BR1163" i="9"/>
  <c r="BQ1163" i="9"/>
  <c r="BP1163" i="9"/>
  <c r="BO1163" i="9"/>
  <c r="BN1163" i="9"/>
  <c r="BM1163" i="9"/>
  <c r="BL1163" i="9"/>
  <c r="BK1163" i="9"/>
  <c r="BJ1163" i="9"/>
  <c r="BH1163" i="9"/>
  <c r="BG1163" i="9"/>
  <c r="BE1163" i="9"/>
  <c r="AN1163" i="9"/>
  <c r="AM1163" i="9"/>
  <c r="AK1163" i="9"/>
  <c r="AH1163" i="9"/>
  <c r="AG1163" i="9"/>
  <c r="AF1163" i="9"/>
  <c r="S1163" i="9"/>
  <c r="L1163" i="9"/>
  <c r="AK1162" i="9"/>
  <c r="AE1162" i="9"/>
  <c r="K1162" i="9"/>
  <c r="H1162" i="9"/>
  <c r="AW1161" i="9"/>
  <c r="AM1161" i="9"/>
  <c r="AL1161" i="9"/>
  <c r="AK1161" i="9"/>
  <c r="Z1161" i="9"/>
  <c r="P1161" i="9"/>
  <c r="BV1160" i="9"/>
  <c r="BU1160" i="9"/>
  <c r="BT1160" i="9"/>
  <c r="BS1160" i="9"/>
  <c r="BR1160" i="9"/>
  <c r="BQ1160" i="9"/>
  <c r="BP1160" i="9"/>
  <c r="BO1160" i="9"/>
  <c r="BN1160" i="9"/>
  <c r="BM1160" i="9"/>
  <c r="BL1160" i="9"/>
  <c r="BK1160" i="9"/>
  <c r="BV1159" i="9"/>
  <c r="BU1159" i="9"/>
  <c r="BT1159" i="9"/>
  <c r="BS1159" i="9"/>
  <c r="BR1159" i="9"/>
  <c r="BQ1159" i="9"/>
  <c r="BP1159" i="9"/>
  <c r="BO1159" i="9"/>
  <c r="BN1159" i="9"/>
  <c r="BM1159" i="9"/>
  <c r="BL1159" i="9"/>
  <c r="BK1159" i="9"/>
  <c r="BJ1152" i="9"/>
  <c r="BI1152" i="9"/>
  <c r="BG1152" i="9"/>
  <c r="BF1152" i="9"/>
  <c r="BE1152" i="9"/>
  <c r="BD1152" i="9"/>
  <c r="BB1152" i="9"/>
  <c r="BA1152" i="9"/>
  <c r="AZ1152" i="9"/>
  <c r="AY1152" i="9"/>
  <c r="AW1152" i="9"/>
  <c r="AV1152" i="9"/>
  <c r="AU1152" i="9"/>
  <c r="AT1152" i="9"/>
  <c r="AT1154" i="9" s="1"/>
  <c r="AR1152" i="9"/>
  <c r="AQ1152" i="9"/>
  <c r="AP1152" i="9"/>
  <c r="AP1154" i="9" s="1"/>
  <c r="AO1152" i="9"/>
  <c r="AM1152" i="9"/>
  <c r="AL1152" i="9"/>
  <c r="AK1152" i="9"/>
  <c r="AJ1152" i="9"/>
  <c r="AH1152" i="9"/>
  <c r="AH1154" i="9" s="1"/>
  <c r="AH1156" i="9" s="1"/>
  <c r="AG1152" i="9"/>
  <c r="AF1152" i="9"/>
  <c r="AE1152" i="9"/>
  <c r="AE1154" i="9" s="1"/>
  <c r="AC1152" i="9"/>
  <c r="AB1152" i="9"/>
  <c r="AA1152" i="9"/>
  <c r="Z1152" i="9"/>
  <c r="X1152" i="9"/>
  <c r="W1152" i="9"/>
  <c r="V1152" i="9"/>
  <c r="U1152" i="9"/>
  <c r="S1152" i="9"/>
  <c r="R1152" i="9"/>
  <c r="R1154" i="9" s="1"/>
  <c r="Q1152" i="9"/>
  <c r="P1152" i="9"/>
  <c r="N1152" i="9"/>
  <c r="M1152" i="9"/>
  <c r="L1152" i="9"/>
  <c r="K1152" i="9"/>
  <c r="J1152" i="9"/>
  <c r="I1152" i="9"/>
  <c r="H1152" i="9"/>
  <c r="G1152" i="9"/>
  <c r="F1152" i="9"/>
  <c r="E1152" i="9"/>
  <c r="D1152" i="9"/>
  <c r="C1152" i="9"/>
  <c r="BK1151" i="9"/>
  <c r="BL1151" i="9" s="1"/>
  <c r="BM1151" i="9" s="1"/>
  <c r="BN1151" i="9" s="1"/>
  <c r="BO1151" i="9" s="1"/>
  <c r="BP1151" i="9" s="1"/>
  <c r="BQ1151" i="9" s="1"/>
  <c r="BR1151" i="9" s="1"/>
  <c r="BS1151" i="9" s="1"/>
  <c r="BT1151" i="9" s="1"/>
  <c r="BU1151" i="9" s="1"/>
  <c r="BV1151" i="9" s="1"/>
  <c r="BH1151" i="9"/>
  <c r="BC1151" i="9"/>
  <c r="AX1151" i="9"/>
  <c r="AS1151" i="9"/>
  <c r="AN1151" i="9"/>
  <c r="AI1151" i="9"/>
  <c r="AD1151" i="9"/>
  <c r="Y1151" i="9"/>
  <c r="T1151" i="9"/>
  <c r="O1151" i="9"/>
  <c r="J1151" i="9"/>
  <c r="BL1150" i="9"/>
  <c r="BM1150" i="9" s="1"/>
  <c r="BN1150" i="9" s="1"/>
  <c r="BO1150" i="9" s="1"/>
  <c r="BP1150" i="9" s="1"/>
  <c r="BQ1150" i="9" s="1"/>
  <c r="BR1150" i="9" s="1"/>
  <c r="BS1150" i="9" s="1"/>
  <c r="BT1150" i="9" s="1"/>
  <c r="BU1150" i="9" s="1"/>
  <c r="BV1150" i="9" s="1"/>
  <c r="BK1150" i="9"/>
  <c r="BH1150" i="9"/>
  <c r="BC1150" i="9"/>
  <c r="AX1150" i="9"/>
  <c r="AS1150" i="9"/>
  <c r="AN1150" i="9"/>
  <c r="AI1150" i="9"/>
  <c r="AD1150" i="9"/>
  <c r="Y1150" i="9"/>
  <c r="T1150" i="9"/>
  <c r="O1150" i="9"/>
  <c r="J1150" i="9"/>
  <c r="BH1149" i="9"/>
  <c r="BC1149" i="9"/>
  <c r="AX1149" i="9"/>
  <c r="AS1149" i="9"/>
  <c r="AN1149" i="9"/>
  <c r="AI1149" i="9"/>
  <c r="AD1149" i="9"/>
  <c r="Y1149" i="9"/>
  <c r="T1149" i="9"/>
  <c r="O1149" i="9"/>
  <c r="J1149" i="9"/>
  <c r="BH1148" i="9"/>
  <c r="BC1148" i="9"/>
  <c r="AX1148" i="9"/>
  <c r="AS1148" i="9"/>
  <c r="AN1148" i="9"/>
  <c r="AI1148" i="9"/>
  <c r="AD1148" i="9"/>
  <c r="Y1148" i="9"/>
  <c r="T1148" i="9"/>
  <c r="O1148" i="9"/>
  <c r="J1148" i="9"/>
  <c r="BK1147" i="9"/>
  <c r="BL1147" i="9" s="1"/>
  <c r="BM1147" i="9" s="1"/>
  <c r="BH1147" i="9"/>
  <c r="BC1147" i="9"/>
  <c r="AX1147" i="9"/>
  <c r="AS1147" i="9"/>
  <c r="AN1147" i="9"/>
  <c r="AI1147" i="9"/>
  <c r="AD1147" i="9"/>
  <c r="AD1152" i="9" s="1"/>
  <c r="Y1147" i="9"/>
  <c r="T1147" i="9"/>
  <c r="O1147" i="9"/>
  <c r="J1147" i="9"/>
  <c r="BK1146" i="9"/>
  <c r="BL1146" i="9" s="1"/>
  <c r="BM1146" i="9" s="1"/>
  <c r="BN1146" i="9" s="1"/>
  <c r="BH1146" i="9"/>
  <c r="BC1146" i="9"/>
  <c r="AX1146" i="9"/>
  <c r="AS1146" i="9"/>
  <c r="AN1146" i="9"/>
  <c r="AI1146" i="9"/>
  <c r="AD1146" i="9"/>
  <c r="Y1146" i="9"/>
  <c r="T1146" i="9"/>
  <c r="O1146" i="9"/>
  <c r="J1146" i="9"/>
  <c r="BA1143" i="9"/>
  <c r="BA1154" i="9" s="1"/>
  <c r="AZ1143" i="9"/>
  <c r="AU1143" i="9"/>
  <c r="F1143" i="9"/>
  <c r="F1154" i="9" s="1"/>
  <c r="BJ1142" i="9"/>
  <c r="BI1142" i="9"/>
  <c r="BI1143" i="9" s="1"/>
  <c r="BG1142" i="9"/>
  <c r="BF1142" i="9"/>
  <c r="BE1142" i="9"/>
  <c r="BD1142" i="9"/>
  <c r="BB1142" i="9"/>
  <c r="BB1143" i="9" s="1"/>
  <c r="BA1142" i="9"/>
  <c r="AZ1142" i="9"/>
  <c r="AY1142" i="9"/>
  <c r="AW1142" i="9"/>
  <c r="AV1142" i="9"/>
  <c r="AU1142" i="9"/>
  <c r="AT1142" i="9"/>
  <c r="AR1142" i="9"/>
  <c r="AQ1142" i="9"/>
  <c r="AP1142" i="9"/>
  <c r="AO1142" i="9"/>
  <c r="AM1142" i="9"/>
  <c r="AL1142" i="9"/>
  <c r="AK1142" i="9"/>
  <c r="AJ1142" i="9"/>
  <c r="AJ1143" i="9" s="1"/>
  <c r="AH1142" i="9"/>
  <c r="AH1143" i="9" s="1"/>
  <c r="AG1142" i="9"/>
  <c r="AG1143" i="9" s="1"/>
  <c r="AF1142" i="9"/>
  <c r="AE1142" i="9"/>
  <c r="AC1142" i="9"/>
  <c r="AB1142" i="9"/>
  <c r="AA1142" i="9"/>
  <c r="Z1142" i="9"/>
  <c r="X1142" i="9"/>
  <c r="W1142" i="9"/>
  <c r="V1142" i="9"/>
  <c r="U1142" i="9"/>
  <c r="S1142" i="9"/>
  <c r="R1142" i="9"/>
  <c r="Q1142" i="9"/>
  <c r="P1142" i="9"/>
  <c r="N1142" i="9"/>
  <c r="M1142" i="9"/>
  <c r="L1142" i="9"/>
  <c r="L1143" i="9" s="1"/>
  <c r="L1154" i="9" s="1"/>
  <c r="K1142" i="9"/>
  <c r="I1142" i="9"/>
  <c r="I1143" i="9" s="1"/>
  <c r="H1142" i="9"/>
  <c r="G1142" i="9"/>
  <c r="F1142" i="9"/>
  <c r="E1142" i="9"/>
  <c r="D1142" i="9"/>
  <c r="C1142" i="9"/>
  <c r="BK1141" i="9"/>
  <c r="BL1141" i="9" s="1"/>
  <c r="BM1141" i="9" s="1"/>
  <c r="BN1141" i="9" s="1"/>
  <c r="BO1141" i="9" s="1"/>
  <c r="BP1141" i="9" s="1"/>
  <c r="BQ1141" i="9" s="1"/>
  <c r="BR1141" i="9" s="1"/>
  <c r="BS1141" i="9" s="1"/>
  <c r="BT1141" i="9" s="1"/>
  <c r="BU1141" i="9" s="1"/>
  <c r="BV1141" i="9" s="1"/>
  <c r="BH1141" i="9"/>
  <c r="BC1141" i="9"/>
  <c r="AX1141" i="9"/>
  <c r="AS1141" i="9"/>
  <c r="AN1141" i="9"/>
  <c r="AI1141" i="9"/>
  <c r="AD1141" i="9"/>
  <c r="Y1141" i="9"/>
  <c r="T1141" i="9"/>
  <c r="O1141" i="9"/>
  <c r="J1141" i="9"/>
  <c r="BK1140" i="9"/>
  <c r="BL1140" i="9" s="1"/>
  <c r="BM1140" i="9" s="1"/>
  <c r="BN1140" i="9" s="1"/>
  <c r="BO1140" i="9" s="1"/>
  <c r="BP1140" i="9" s="1"/>
  <c r="BQ1140" i="9" s="1"/>
  <c r="BR1140" i="9" s="1"/>
  <c r="BS1140" i="9" s="1"/>
  <c r="BT1140" i="9" s="1"/>
  <c r="BU1140" i="9" s="1"/>
  <c r="BV1140" i="9" s="1"/>
  <c r="BH1140" i="9"/>
  <c r="BC1140" i="9"/>
  <c r="AX1140" i="9"/>
  <c r="AS1140" i="9"/>
  <c r="AN1140" i="9"/>
  <c r="AI1140" i="9"/>
  <c r="AD1140" i="9"/>
  <c r="Y1140" i="9"/>
  <c r="T1140" i="9"/>
  <c r="O1140" i="9"/>
  <c r="J1140" i="9"/>
  <c r="BM1139" i="9"/>
  <c r="BK1139" i="9"/>
  <c r="BL1139" i="9" s="1"/>
  <c r="BH1139" i="9"/>
  <c r="BC1139" i="9"/>
  <c r="AX1139" i="9"/>
  <c r="AS1139" i="9"/>
  <c r="AN1139" i="9"/>
  <c r="BH1138" i="9"/>
  <c r="BC1138" i="9"/>
  <c r="BC905" i="9" s="1"/>
  <c r="AX1138" i="9"/>
  <c r="AS1138" i="9"/>
  <c r="AS905" i="9" s="1"/>
  <c r="AN1138" i="9"/>
  <c r="AN905" i="9" s="1"/>
  <c r="AI1138" i="9"/>
  <c r="AD1138" i="9"/>
  <c r="Y1138" i="9"/>
  <c r="T1138" i="9"/>
  <c r="O1138" i="9"/>
  <c r="J1138" i="9"/>
  <c r="BK1137" i="9"/>
  <c r="BL1137" i="9" s="1"/>
  <c r="BH1137" i="9"/>
  <c r="BC1137" i="9"/>
  <c r="AX1137" i="9"/>
  <c r="AS1137" i="9"/>
  <c r="AN1137" i="9"/>
  <c r="AI1137" i="9"/>
  <c r="AI1142" i="9" s="1"/>
  <c r="AD1137" i="9"/>
  <c r="Y1137" i="9"/>
  <c r="T1137" i="9"/>
  <c r="O1137" i="9"/>
  <c r="J1137" i="9"/>
  <c r="BJ1134" i="9"/>
  <c r="BJ1143" i="9" s="1"/>
  <c r="BI1134" i="9"/>
  <c r="BG1134" i="9"/>
  <c r="BF1134" i="9"/>
  <c r="BE1134" i="9"/>
  <c r="BD1134" i="9"/>
  <c r="BB1134" i="9"/>
  <c r="BA1134" i="9"/>
  <c r="AZ1134" i="9"/>
  <c r="AY1134" i="9"/>
  <c r="AY1143" i="9" s="1"/>
  <c r="AW1134" i="9"/>
  <c r="AV1134" i="9"/>
  <c r="AU1134" i="9"/>
  <c r="AT1134" i="9"/>
  <c r="AT1143" i="9" s="1"/>
  <c r="AR1134" i="9"/>
  <c r="AQ1134" i="9"/>
  <c r="AP1134" i="9"/>
  <c r="AP1143" i="9" s="1"/>
  <c r="AO1134" i="9"/>
  <c r="AO1143" i="9" s="1"/>
  <c r="AM1134" i="9"/>
  <c r="AL1134" i="9"/>
  <c r="AL1143" i="9" s="1"/>
  <c r="AK1134" i="9"/>
  <c r="AK1143" i="9" s="1"/>
  <c r="AK1154" i="9" s="1"/>
  <c r="AJ1134" i="9"/>
  <c r="AH1134" i="9"/>
  <c r="AG1134" i="9"/>
  <c r="AF1134" i="9"/>
  <c r="AE1134" i="9"/>
  <c r="AE1143" i="9" s="1"/>
  <c r="AC1134" i="9"/>
  <c r="AB1134" i="9"/>
  <c r="AB1143" i="9" s="1"/>
  <c r="AB1154" i="9" s="1"/>
  <c r="AA1134" i="9"/>
  <c r="AA1143" i="9" s="1"/>
  <c r="AA1154" i="9" s="1"/>
  <c r="Z1134" i="9"/>
  <c r="Z1143" i="9" s="1"/>
  <c r="Z1154" i="9" s="1"/>
  <c r="X1134" i="9"/>
  <c r="X1143" i="9" s="1"/>
  <c r="W1134" i="9"/>
  <c r="V1134" i="9"/>
  <c r="U1134" i="9"/>
  <c r="U1143" i="9" s="1"/>
  <c r="S1134" i="9"/>
  <c r="R1134" i="9"/>
  <c r="R1143" i="9" s="1"/>
  <c r="Q1134" i="9"/>
  <c r="Q1143" i="9" s="1"/>
  <c r="P1134" i="9"/>
  <c r="N1134" i="9"/>
  <c r="N1143" i="9" s="1"/>
  <c r="M1134" i="9"/>
  <c r="M1143" i="9" s="1"/>
  <c r="M1154" i="9" s="1"/>
  <c r="L1134" i="9"/>
  <c r="K1134" i="9"/>
  <c r="I1134" i="9"/>
  <c r="H1134" i="9"/>
  <c r="G1134" i="9"/>
  <c r="F1134" i="9"/>
  <c r="E1134" i="9"/>
  <c r="E1143" i="9" s="1"/>
  <c r="D1134" i="9"/>
  <c r="D1143" i="9" s="1"/>
  <c r="D1154" i="9" s="1"/>
  <c r="C1134" i="9"/>
  <c r="BK1133" i="9"/>
  <c r="BL1133" i="9" s="1"/>
  <c r="BM1133" i="9" s="1"/>
  <c r="BN1133" i="9" s="1"/>
  <c r="BO1133" i="9" s="1"/>
  <c r="BP1133" i="9" s="1"/>
  <c r="BQ1133" i="9" s="1"/>
  <c r="BR1133" i="9" s="1"/>
  <c r="BS1133" i="9" s="1"/>
  <c r="BT1133" i="9" s="1"/>
  <c r="BU1133" i="9" s="1"/>
  <c r="BV1133" i="9" s="1"/>
  <c r="BH1133" i="9"/>
  <c r="BC1133" i="9"/>
  <c r="AX1133" i="9"/>
  <c r="AS1133" i="9"/>
  <c r="AN1133" i="9"/>
  <c r="AI1133" i="9"/>
  <c r="AD1133" i="9"/>
  <c r="Y1133" i="9"/>
  <c r="T1133" i="9"/>
  <c r="O1133" i="9"/>
  <c r="J1133" i="9"/>
  <c r="BH1132" i="9"/>
  <c r="BC1132" i="9"/>
  <c r="AX1132" i="9"/>
  <c r="AS1132" i="9"/>
  <c r="AN1132" i="9"/>
  <c r="AI1132" i="9"/>
  <c r="AD1132" i="9"/>
  <c r="Y1132" i="9"/>
  <c r="Y904" i="9" s="1"/>
  <c r="T1132" i="9"/>
  <c r="O1132" i="9"/>
  <c r="J1132" i="9"/>
  <c r="BK1131" i="9"/>
  <c r="BL1131" i="9" s="1"/>
  <c r="BM1131" i="9" s="1"/>
  <c r="BN1131" i="9" s="1"/>
  <c r="BO1131" i="9" s="1"/>
  <c r="BP1131" i="9" s="1"/>
  <c r="BQ1131" i="9" s="1"/>
  <c r="BR1131" i="9" s="1"/>
  <c r="BS1131" i="9" s="1"/>
  <c r="BT1131" i="9" s="1"/>
  <c r="BU1131" i="9" s="1"/>
  <c r="BV1131" i="9" s="1"/>
  <c r="BH1131" i="9"/>
  <c r="BC1131" i="9"/>
  <c r="AX1131" i="9"/>
  <c r="AS1131" i="9"/>
  <c r="AS907" i="9" s="1"/>
  <c r="AN1131" i="9"/>
  <c r="BK1130" i="9"/>
  <c r="BL1130" i="9" s="1"/>
  <c r="BM1130" i="9" s="1"/>
  <c r="BN1130" i="9" s="1"/>
  <c r="BO1130" i="9" s="1"/>
  <c r="BP1130" i="9" s="1"/>
  <c r="BQ1130" i="9" s="1"/>
  <c r="BR1130" i="9" s="1"/>
  <c r="BS1130" i="9" s="1"/>
  <c r="BT1130" i="9" s="1"/>
  <c r="BU1130" i="9" s="1"/>
  <c r="BV1130" i="9" s="1"/>
  <c r="BH1130" i="9"/>
  <c r="BC1130" i="9"/>
  <c r="AX1130" i="9"/>
  <c r="AS1130" i="9"/>
  <c r="AN1130" i="9"/>
  <c r="AI1130" i="9"/>
  <c r="AD1130" i="9"/>
  <c r="Y1130" i="9"/>
  <c r="T1130" i="9"/>
  <c r="O1130" i="9"/>
  <c r="J1130" i="9"/>
  <c r="BH1129" i="9"/>
  <c r="BH904" i="9" s="1"/>
  <c r="BC1129" i="9"/>
  <c r="AX1129" i="9"/>
  <c r="AS1129" i="9"/>
  <c r="AN1129" i="9"/>
  <c r="AN904" i="9" s="1"/>
  <c r="AI1129" i="9"/>
  <c r="AD1129" i="9"/>
  <c r="Y1129" i="9"/>
  <c r="T1129" i="9"/>
  <c r="O1129" i="9"/>
  <c r="J1129" i="9"/>
  <c r="BH1128" i="9"/>
  <c r="BC1128" i="9"/>
  <c r="AX1128" i="9"/>
  <c r="AS1128" i="9"/>
  <c r="AN1128" i="9"/>
  <c r="AI1128" i="9"/>
  <c r="AD1128" i="9"/>
  <c r="Y1128" i="9"/>
  <c r="T1128" i="9"/>
  <c r="T1072" i="9" s="1"/>
  <c r="O1128" i="9"/>
  <c r="J1128" i="9"/>
  <c r="BH1127" i="9"/>
  <c r="BC1127" i="9"/>
  <c r="AX1127" i="9"/>
  <c r="AS1127" i="9"/>
  <c r="AN1127" i="9"/>
  <c r="AI1127" i="9"/>
  <c r="AD1127" i="9"/>
  <c r="Y1127" i="9"/>
  <c r="T1127" i="9"/>
  <c r="O1127" i="9"/>
  <c r="J1127" i="9"/>
  <c r="BH1126" i="9"/>
  <c r="BC1126" i="9"/>
  <c r="AX1126" i="9"/>
  <c r="AS1126" i="9"/>
  <c r="AN1126" i="9"/>
  <c r="AI1126" i="9"/>
  <c r="AD1126" i="9"/>
  <c r="Y1126" i="9"/>
  <c r="Y1134" i="9" s="1"/>
  <c r="T1126" i="9"/>
  <c r="O1126" i="9"/>
  <c r="J1126" i="9"/>
  <c r="BG1123" i="9"/>
  <c r="AV1123" i="9"/>
  <c r="AL1123" i="9"/>
  <c r="R1123" i="9"/>
  <c r="E1123" i="9"/>
  <c r="C1123" i="9"/>
  <c r="BJ1122" i="9"/>
  <c r="BJ1123" i="9" s="1"/>
  <c r="BI1122" i="9"/>
  <c r="BI1123" i="9" s="1"/>
  <c r="BG1122" i="9"/>
  <c r="BF1122" i="9"/>
  <c r="BE1122" i="9"/>
  <c r="BD1122" i="9"/>
  <c r="BB1122" i="9"/>
  <c r="BA1122" i="9"/>
  <c r="AZ1122" i="9"/>
  <c r="AZ1123" i="9" s="1"/>
  <c r="AY1122" i="9"/>
  <c r="AW1122" i="9"/>
  <c r="AV1122" i="9"/>
  <c r="AU1122" i="9"/>
  <c r="AT1122" i="9"/>
  <c r="AT1123" i="9" s="1"/>
  <c r="AR1122" i="9"/>
  <c r="AQ1122" i="9"/>
  <c r="AP1122" i="9"/>
  <c r="AO1122" i="9"/>
  <c r="AM1122" i="9"/>
  <c r="AL1122" i="9"/>
  <c r="AK1122" i="9"/>
  <c r="AJ1122" i="9"/>
  <c r="AH1122" i="9"/>
  <c r="AG1122" i="9"/>
  <c r="AF1122" i="9"/>
  <c r="AE1122" i="9"/>
  <c r="AE481" i="9" s="1"/>
  <c r="AC1122" i="9"/>
  <c r="AB1122" i="9"/>
  <c r="AA1122" i="9"/>
  <c r="AA481" i="9" s="1"/>
  <c r="AA484" i="9" s="1"/>
  <c r="Z1122" i="9"/>
  <c r="X1122" i="9"/>
  <c r="W1122" i="9"/>
  <c r="V1122" i="9"/>
  <c r="U1122" i="9"/>
  <c r="S1122" i="9"/>
  <c r="S481" i="9" s="1"/>
  <c r="S484" i="9" s="1"/>
  <c r="R1122" i="9"/>
  <c r="Q1122" i="9"/>
  <c r="P1122" i="9"/>
  <c r="P481" i="9" s="1"/>
  <c r="P484" i="9" s="1"/>
  <c r="N1122" i="9"/>
  <c r="N481" i="9" s="1"/>
  <c r="N484" i="9" s="1"/>
  <c r="M1122" i="9"/>
  <c r="L1122" i="9"/>
  <c r="L481" i="9" s="1"/>
  <c r="L479" i="9" s="1"/>
  <c r="L483" i="9" s="1"/>
  <c r="K1122" i="9"/>
  <c r="I1122" i="9"/>
  <c r="I481" i="9" s="1"/>
  <c r="I479" i="9" s="1"/>
  <c r="I483" i="9" s="1"/>
  <c r="H1122" i="9"/>
  <c r="G1122" i="9"/>
  <c r="F1122" i="9"/>
  <c r="F1123" i="9" s="1"/>
  <c r="E1122" i="9"/>
  <c r="D1122" i="9"/>
  <c r="D481" i="9" s="1"/>
  <c r="C1122" i="9"/>
  <c r="BK1121" i="9"/>
  <c r="BL1121" i="9" s="1"/>
  <c r="BM1121" i="9" s="1"/>
  <c r="BN1121" i="9" s="1"/>
  <c r="BO1121" i="9" s="1"/>
  <c r="BP1121" i="9" s="1"/>
  <c r="BQ1121" i="9" s="1"/>
  <c r="BR1121" i="9" s="1"/>
  <c r="BS1121" i="9" s="1"/>
  <c r="BT1121" i="9" s="1"/>
  <c r="BU1121" i="9" s="1"/>
  <c r="BV1121" i="9" s="1"/>
  <c r="BH1121" i="9"/>
  <c r="BC1121" i="9"/>
  <c r="AX1121" i="9"/>
  <c r="AS1121" i="9"/>
  <c r="AN1121" i="9"/>
  <c r="AI1121" i="9"/>
  <c r="AD1121" i="9"/>
  <c r="Y1121" i="9"/>
  <c r="T1121" i="9"/>
  <c r="O1121" i="9"/>
  <c r="J1121" i="9"/>
  <c r="BK1120" i="9"/>
  <c r="BL1120" i="9" s="1"/>
  <c r="BM1120" i="9" s="1"/>
  <c r="BN1120" i="9" s="1"/>
  <c r="BO1120" i="9" s="1"/>
  <c r="BP1120" i="9" s="1"/>
  <c r="BQ1120" i="9" s="1"/>
  <c r="BR1120" i="9" s="1"/>
  <c r="BS1120" i="9" s="1"/>
  <c r="BT1120" i="9" s="1"/>
  <c r="BU1120" i="9" s="1"/>
  <c r="BV1120" i="9" s="1"/>
  <c r="BH1120" i="9"/>
  <c r="BC1120" i="9"/>
  <c r="AX1120" i="9"/>
  <c r="AS1120" i="9"/>
  <c r="AN1120" i="9"/>
  <c r="AI1120" i="9"/>
  <c r="BH1119" i="9"/>
  <c r="BC1119" i="9"/>
  <c r="AX1119" i="9"/>
  <c r="AS1119" i="9"/>
  <c r="AN1119" i="9"/>
  <c r="AI1119" i="9"/>
  <c r="AD1119" i="9"/>
  <c r="Y1119" i="9"/>
  <c r="T1119" i="9"/>
  <c r="O1119" i="9"/>
  <c r="J1119" i="9"/>
  <c r="BK1118" i="9"/>
  <c r="BL1118" i="9" s="1"/>
  <c r="BM1118" i="9" s="1"/>
  <c r="BN1118" i="9" s="1"/>
  <c r="BO1118" i="9" s="1"/>
  <c r="BP1118" i="9" s="1"/>
  <c r="BQ1118" i="9" s="1"/>
  <c r="BR1118" i="9" s="1"/>
  <c r="BS1118" i="9" s="1"/>
  <c r="BT1118" i="9" s="1"/>
  <c r="BU1118" i="9" s="1"/>
  <c r="BV1118" i="9" s="1"/>
  <c r="BH1118" i="9"/>
  <c r="BC1118" i="9"/>
  <c r="AX1118" i="9"/>
  <c r="AS1118" i="9"/>
  <c r="AN1118" i="9"/>
  <c r="BH1117" i="9"/>
  <c r="BC1117" i="9"/>
  <c r="BC1087" i="9" s="1"/>
  <c r="AX1117" i="9"/>
  <c r="AS1117" i="9"/>
  <c r="AN1117" i="9"/>
  <c r="AI1117" i="9"/>
  <c r="AD1117" i="9"/>
  <c r="Y1117" i="9"/>
  <c r="T1117" i="9"/>
  <c r="O1117" i="9"/>
  <c r="J1117" i="9"/>
  <c r="BJ1114" i="9"/>
  <c r="BI1114" i="9"/>
  <c r="BG1114" i="9"/>
  <c r="BF1114" i="9"/>
  <c r="BE1114" i="9"/>
  <c r="BD1114" i="9"/>
  <c r="BD1123" i="9" s="1"/>
  <c r="BB1114" i="9"/>
  <c r="BA1114" i="9"/>
  <c r="AZ1114" i="9"/>
  <c r="AY1114" i="9"/>
  <c r="AX1114" i="9"/>
  <c r="AW1114" i="9"/>
  <c r="AW1123" i="9" s="1"/>
  <c r="AV1114" i="9"/>
  <c r="AU1114" i="9"/>
  <c r="AT1114" i="9"/>
  <c r="AR1114" i="9"/>
  <c r="AQ1114" i="9"/>
  <c r="AQ1123" i="9" s="1"/>
  <c r="AP1114" i="9"/>
  <c r="AP1123" i="9" s="1"/>
  <c r="AP1156" i="9" s="1"/>
  <c r="AO1114" i="9"/>
  <c r="AO1123" i="9" s="1"/>
  <c r="AM1114" i="9"/>
  <c r="AM1123" i="9" s="1"/>
  <c r="AL1114" i="9"/>
  <c r="AK1114" i="9"/>
  <c r="AJ1114" i="9"/>
  <c r="AH1114" i="9"/>
  <c r="AH1123" i="9" s="1"/>
  <c r="AG1114" i="9"/>
  <c r="AF1114" i="9"/>
  <c r="AE1114" i="9"/>
  <c r="AC1114" i="9"/>
  <c r="AB1114" i="9"/>
  <c r="AA1114" i="9"/>
  <c r="Z1114" i="9"/>
  <c r="Z1123" i="9" s="1"/>
  <c r="X1114" i="9"/>
  <c r="X1123" i="9" s="1"/>
  <c r="W1114" i="9"/>
  <c r="V1114" i="9"/>
  <c r="U1114" i="9"/>
  <c r="U1123" i="9" s="1"/>
  <c r="S1114" i="9"/>
  <c r="R1114" i="9"/>
  <c r="Q1114" i="9"/>
  <c r="P1114" i="9"/>
  <c r="P1123" i="9" s="1"/>
  <c r="N1114" i="9"/>
  <c r="M1114" i="9"/>
  <c r="L1114" i="9"/>
  <c r="K1114" i="9"/>
  <c r="I1114" i="9"/>
  <c r="H1114" i="9"/>
  <c r="G1114" i="9"/>
  <c r="F1114" i="9"/>
  <c r="E1114" i="9"/>
  <c r="D1114" i="9"/>
  <c r="D1123" i="9" s="1"/>
  <c r="C1114" i="9"/>
  <c r="BK1113" i="9"/>
  <c r="BL1113" i="9" s="1"/>
  <c r="BM1113" i="9" s="1"/>
  <c r="BN1113" i="9" s="1"/>
  <c r="BO1113" i="9" s="1"/>
  <c r="BP1113" i="9" s="1"/>
  <c r="BQ1113" i="9" s="1"/>
  <c r="BR1113" i="9" s="1"/>
  <c r="BS1113" i="9" s="1"/>
  <c r="BT1113" i="9" s="1"/>
  <c r="BU1113" i="9" s="1"/>
  <c r="BV1113" i="9" s="1"/>
  <c r="BH1113" i="9"/>
  <c r="BC1113" i="9"/>
  <c r="AX1113" i="9"/>
  <c r="AS1113" i="9"/>
  <c r="AN1113" i="9"/>
  <c r="AI1113" i="9"/>
  <c r="AI1114" i="9" s="1"/>
  <c r="AD1113" i="9"/>
  <c r="Y1113" i="9"/>
  <c r="T1113" i="9"/>
  <c r="O1113" i="9"/>
  <c r="J1113" i="9"/>
  <c r="BK1112" i="9"/>
  <c r="BL1112" i="9" s="1"/>
  <c r="BM1112" i="9" s="1"/>
  <c r="BN1112" i="9" s="1"/>
  <c r="BO1112" i="9" s="1"/>
  <c r="BP1112" i="9" s="1"/>
  <c r="BQ1112" i="9" s="1"/>
  <c r="BR1112" i="9" s="1"/>
  <c r="BS1112" i="9" s="1"/>
  <c r="BT1112" i="9" s="1"/>
  <c r="BU1112" i="9" s="1"/>
  <c r="BV1112" i="9" s="1"/>
  <c r="BH1112" i="9"/>
  <c r="BC1112" i="9"/>
  <c r="AX1112" i="9"/>
  <c r="AS1112" i="9"/>
  <c r="AN1112" i="9"/>
  <c r="AI1112" i="9"/>
  <c r="AD1112" i="9"/>
  <c r="Y1112" i="9"/>
  <c r="T1112" i="9"/>
  <c r="O1112" i="9"/>
  <c r="J1112" i="9"/>
  <c r="BH1111" i="9"/>
  <c r="BC1111" i="9"/>
  <c r="AX1111" i="9"/>
  <c r="AS1111" i="9"/>
  <c r="AN1111" i="9"/>
  <c r="AI1111" i="9"/>
  <c r="AD1111" i="9"/>
  <c r="Y1111" i="9"/>
  <c r="T1111" i="9"/>
  <c r="O1111" i="9"/>
  <c r="O1073" i="9" s="1"/>
  <c r="J1111" i="9"/>
  <c r="BK1110" i="9"/>
  <c r="BL1110" i="9" s="1"/>
  <c r="BM1110" i="9" s="1"/>
  <c r="BN1110" i="9" s="1"/>
  <c r="BO1110" i="9" s="1"/>
  <c r="BP1110" i="9" s="1"/>
  <c r="BQ1110" i="9" s="1"/>
  <c r="BR1110" i="9" s="1"/>
  <c r="BS1110" i="9" s="1"/>
  <c r="BT1110" i="9" s="1"/>
  <c r="BU1110" i="9" s="1"/>
  <c r="BV1110" i="9" s="1"/>
  <c r="BH1110" i="9"/>
  <c r="BC1110" i="9"/>
  <c r="AX1110" i="9"/>
  <c r="AS1110" i="9"/>
  <c r="AN1110" i="9"/>
  <c r="AI1110" i="9"/>
  <c r="AD1110" i="9"/>
  <c r="Y1110" i="9"/>
  <c r="T1110" i="9"/>
  <c r="O1110" i="9"/>
  <c r="J1110" i="9"/>
  <c r="BH1109" i="9"/>
  <c r="BC1109" i="9"/>
  <c r="AX1109" i="9"/>
  <c r="AS1109" i="9"/>
  <c r="AN1109" i="9"/>
  <c r="AI1109" i="9"/>
  <c r="AD1109" i="9"/>
  <c r="Y1109" i="9"/>
  <c r="T1109" i="9"/>
  <c r="O1109" i="9"/>
  <c r="J1109" i="9"/>
  <c r="BH1108" i="9"/>
  <c r="BC1108" i="9"/>
  <c r="BC1114" i="9" s="1"/>
  <c r="AX1108" i="9"/>
  <c r="AS1108" i="9"/>
  <c r="AN1108" i="9"/>
  <c r="AI1108" i="9"/>
  <c r="AD1108" i="9"/>
  <c r="AD1068" i="9" s="1"/>
  <c r="Y1108" i="9"/>
  <c r="T1108" i="9"/>
  <c r="O1108" i="9"/>
  <c r="J1108" i="9"/>
  <c r="BK1107" i="9"/>
  <c r="BL1107" i="9" s="1"/>
  <c r="BM1107" i="9" s="1"/>
  <c r="BN1107" i="9" s="1"/>
  <c r="BO1107" i="9" s="1"/>
  <c r="BP1107" i="9" s="1"/>
  <c r="BQ1107" i="9" s="1"/>
  <c r="BR1107" i="9" s="1"/>
  <c r="BS1107" i="9" s="1"/>
  <c r="BT1107" i="9" s="1"/>
  <c r="BU1107" i="9" s="1"/>
  <c r="BV1107" i="9" s="1"/>
  <c r="BH1107" i="9"/>
  <c r="BC1107" i="9"/>
  <c r="AX1107" i="9"/>
  <c r="AS1107" i="9"/>
  <c r="AN1107" i="9"/>
  <c r="AI1107" i="9"/>
  <c r="AD1107" i="9"/>
  <c r="Y1107" i="9"/>
  <c r="T1107" i="9"/>
  <c r="O1107" i="9"/>
  <c r="J1107" i="9"/>
  <c r="BH1106" i="9"/>
  <c r="BH903" i="9" s="1"/>
  <c r="BH1161" i="9" s="1"/>
  <c r="BC1106" i="9"/>
  <c r="AX1106" i="9"/>
  <c r="AS1106" i="9"/>
  <c r="AN1106" i="9"/>
  <c r="AI1106" i="9"/>
  <c r="AD1106" i="9"/>
  <c r="Y1106" i="9"/>
  <c r="T1106" i="9"/>
  <c r="O1106" i="9"/>
  <c r="J1106" i="9"/>
  <c r="BV1101" i="9"/>
  <c r="BV1085" i="9" s="1"/>
  <c r="BU1101" i="9"/>
  <c r="BT1101" i="9"/>
  <c r="BT1085" i="9" s="1"/>
  <c r="BR1101" i="9"/>
  <c r="BQ1101" i="9"/>
  <c r="BQ1085" i="9" s="1"/>
  <c r="BP1101" i="9"/>
  <c r="BO1101" i="9"/>
  <c r="BO1085" i="9" s="1"/>
  <c r="BM1101" i="9"/>
  <c r="BL1101" i="9"/>
  <c r="BK1101" i="9"/>
  <c r="BK1085" i="9" s="1"/>
  <c r="BI1101" i="9"/>
  <c r="AW1101" i="9"/>
  <c r="AW1085" i="9" s="1"/>
  <c r="AQ1101" i="9"/>
  <c r="AQ1085" i="9" s="1"/>
  <c r="AB1101" i="9"/>
  <c r="AB1085" i="9" s="1"/>
  <c r="BG1100" i="9"/>
  <c r="BG1084" i="9" s="1"/>
  <c r="AB1100" i="9"/>
  <c r="AB1084" i="9" s="1"/>
  <c r="Z1100" i="9"/>
  <c r="Z1084" i="9" s="1"/>
  <c r="O1100" i="9"/>
  <c r="O1084" i="9" s="1"/>
  <c r="J1100" i="9"/>
  <c r="J1084" i="9" s="1"/>
  <c r="BJ1087" i="9"/>
  <c r="BK1083" i="9" s="1"/>
  <c r="BI1087" i="9"/>
  <c r="BH1087" i="9"/>
  <c r="BG1087" i="9"/>
  <c r="BF1087" i="9"/>
  <c r="BG1083" i="9" s="1"/>
  <c r="BE1087" i="9"/>
  <c r="BD1087" i="9"/>
  <c r="BB1087" i="9"/>
  <c r="BA1087" i="9"/>
  <c r="BB1083" i="9" s="1"/>
  <c r="AZ1087" i="9"/>
  <c r="AY1087" i="9"/>
  <c r="AW1087" i="9"/>
  <c r="AX1083" i="9" s="1"/>
  <c r="AV1087" i="9"/>
  <c r="AW1083" i="9" s="1"/>
  <c r="AU1087" i="9"/>
  <c r="AT1087" i="9"/>
  <c r="AR1087" i="9"/>
  <c r="AS1083" i="9" s="1"/>
  <c r="AQ1087" i="9"/>
  <c r="AP1087" i="9"/>
  <c r="AQ1083" i="9" s="1"/>
  <c r="AO1087" i="9"/>
  <c r="AT1083" i="9" s="1"/>
  <c r="AM1087" i="9"/>
  <c r="AN1083" i="9" s="1"/>
  <c r="AL1087" i="9"/>
  <c r="AM1083" i="9" s="1"/>
  <c r="AK1087" i="9"/>
  <c r="AJ1087" i="9"/>
  <c r="AI1087" i="9"/>
  <c r="AH1087" i="9"/>
  <c r="AG1087" i="9"/>
  <c r="AF1087" i="9"/>
  <c r="AE1087" i="9"/>
  <c r="AC1087" i="9"/>
  <c r="AD1083" i="9" s="1"/>
  <c r="AB1087" i="9"/>
  <c r="AC1083" i="9" s="1"/>
  <c r="AA1087" i="9"/>
  <c r="Z1087" i="9"/>
  <c r="AE1083" i="9" s="1"/>
  <c r="Y1087" i="9"/>
  <c r="X1087" i="9"/>
  <c r="Y1083" i="9" s="1"/>
  <c r="W1087" i="9"/>
  <c r="V1087" i="9"/>
  <c r="U1087" i="9"/>
  <c r="S1087" i="9"/>
  <c r="R1087" i="9"/>
  <c r="Q1087" i="9"/>
  <c r="R1083" i="9" s="1"/>
  <c r="P1087" i="9"/>
  <c r="U1083" i="9" s="1"/>
  <c r="N1087" i="9"/>
  <c r="O1083" i="9" s="1"/>
  <c r="M1087" i="9"/>
  <c r="L1087" i="9"/>
  <c r="K1087" i="9"/>
  <c r="I1087" i="9"/>
  <c r="H1087" i="9"/>
  <c r="I1083" i="9" s="1"/>
  <c r="G1087" i="9"/>
  <c r="H1083" i="9" s="1"/>
  <c r="F1087" i="9"/>
  <c r="E1087" i="9"/>
  <c r="D1087" i="9"/>
  <c r="E1083" i="9" s="1"/>
  <c r="C1087" i="9"/>
  <c r="D1083" i="9" s="1"/>
  <c r="BU1085" i="9"/>
  <c r="BR1085" i="9"/>
  <c r="BP1085" i="9"/>
  <c r="BM1085" i="9"/>
  <c r="BL1085" i="9"/>
  <c r="BI1085" i="9"/>
  <c r="E1085" i="9"/>
  <c r="F1084" i="9"/>
  <c r="BD1083" i="9"/>
  <c r="AZ1083" i="9"/>
  <c r="AP1083" i="9"/>
  <c r="AL1083" i="9"/>
  <c r="AJ1083" i="9"/>
  <c r="AF1083" i="9"/>
  <c r="AA1083" i="9"/>
  <c r="X1083" i="9"/>
  <c r="W1083" i="9"/>
  <c r="T1083" i="9"/>
  <c r="Q1083" i="9"/>
  <c r="P1083" i="9"/>
  <c r="L1083" i="9"/>
  <c r="K1083" i="9"/>
  <c r="J1083" i="9"/>
  <c r="G1083" i="9"/>
  <c r="F1083" i="9"/>
  <c r="AR1073" i="9"/>
  <c r="C1073" i="9"/>
  <c r="N1072" i="9"/>
  <c r="L1072" i="9"/>
  <c r="K1072" i="9"/>
  <c r="AR1071" i="9"/>
  <c r="AQ1071" i="9"/>
  <c r="BD1070" i="9"/>
  <c r="AJ1070" i="9"/>
  <c r="AG1070" i="9"/>
  <c r="R1070" i="9"/>
  <c r="AY1069" i="9"/>
  <c r="AH1069" i="9"/>
  <c r="N1069" i="9"/>
  <c r="K1069" i="9"/>
  <c r="BD1068" i="9"/>
  <c r="N1068" i="9"/>
  <c r="BI1063" i="9"/>
  <c r="BD1063" i="9"/>
  <c r="AY1063" i="9"/>
  <c r="AT1063" i="9"/>
  <c r="AO1063" i="9"/>
  <c r="AJ1063" i="9"/>
  <c r="AE1063" i="9"/>
  <c r="Z1063" i="9"/>
  <c r="U1063" i="9"/>
  <c r="P1063" i="9"/>
  <c r="K1063" i="9"/>
  <c r="F1063" i="9"/>
  <c r="E1063" i="9"/>
  <c r="D1063" i="9"/>
  <c r="C1063" i="9"/>
  <c r="BI1062" i="9"/>
  <c r="BD1062" i="9"/>
  <c r="AY1062" i="9"/>
  <c r="AT1062" i="9"/>
  <c r="AO1062" i="9"/>
  <c r="AJ1062" i="9"/>
  <c r="AE1062" i="9"/>
  <c r="Z1062" i="9"/>
  <c r="U1062" i="9"/>
  <c r="P1062" i="9"/>
  <c r="K1062" i="9"/>
  <c r="F1062" i="9"/>
  <c r="E1062" i="9"/>
  <c r="D1062" i="9"/>
  <c r="C1062" i="9"/>
  <c r="A1060" i="9"/>
  <c r="C1059" i="9"/>
  <c r="A1059" i="9"/>
  <c r="A1057" i="9"/>
  <c r="BS1056" i="9"/>
  <c r="BN1056" i="9"/>
  <c r="BJ1056" i="9"/>
  <c r="BI1056" i="9"/>
  <c r="BG1056" i="9"/>
  <c r="BF1056" i="9"/>
  <c r="BE1056" i="9"/>
  <c r="BD1056" i="9"/>
  <c r="BB1056" i="9"/>
  <c r="BA1056" i="9"/>
  <c r="AZ1056" i="9"/>
  <c r="AY1056" i="9"/>
  <c r="AW1056" i="9"/>
  <c r="AV1056" i="9"/>
  <c r="AU1056" i="9"/>
  <c r="AT1056" i="9"/>
  <c r="AR1056" i="9"/>
  <c r="AQ1056" i="9"/>
  <c r="AP1056" i="9"/>
  <c r="AO1056" i="9"/>
  <c r="AM1056" i="9"/>
  <c r="AL1056" i="9"/>
  <c r="AK1056" i="9"/>
  <c r="AJ1056" i="9"/>
  <c r="AH1056" i="9"/>
  <c r="AG1056" i="9"/>
  <c r="AF1056" i="9"/>
  <c r="AE1056" i="9"/>
  <c r="AC1056" i="9"/>
  <c r="AB1056" i="9"/>
  <c r="AA1056" i="9"/>
  <c r="Z1056" i="9"/>
  <c r="X1056" i="9"/>
  <c r="W1056" i="9"/>
  <c r="V1056" i="9"/>
  <c r="U1056" i="9"/>
  <c r="S1056" i="9"/>
  <c r="R1056" i="9"/>
  <c r="Q1056" i="9"/>
  <c r="P1056" i="9"/>
  <c r="N1056" i="9"/>
  <c r="M1056" i="9"/>
  <c r="L1056" i="9"/>
  <c r="K1056" i="9"/>
  <c r="I1056" i="9"/>
  <c r="H1056" i="9"/>
  <c r="G1056" i="9"/>
  <c r="F1056" i="9"/>
  <c r="E1056" i="9"/>
  <c r="D1056" i="9"/>
  <c r="C1056" i="9"/>
  <c r="A1056" i="9"/>
  <c r="A1054" i="9"/>
  <c r="BS1053" i="9"/>
  <c r="BJ1053" i="9"/>
  <c r="BN1053" i="9" s="1"/>
  <c r="BI1053" i="9"/>
  <c r="BH1053" i="9"/>
  <c r="BG1053" i="9"/>
  <c r="BF1053" i="9"/>
  <c r="BE1053" i="9"/>
  <c r="BD1053" i="9"/>
  <c r="BB1053" i="9"/>
  <c r="BA1053" i="9"/>
  <c r="AZ1053" i="9"/>
  <c r="AY1053" i="9"/>
  <c r="AW1053" i="9"/>
  <c r="AV1053" i="9"/>
  <c r="AU1053" i="9"/>
  <c r="AT1053" i="9"/>
  <c r="AR1053" i="9"/>
  <c r="AQ1053" i="9"/>
  <c r="AP1053" i="9"/>
  <c r="AO1053" i="9"/>
  <c r="AM1053" i="9"/>
  <c r="AL1053" i="9"/>
  <c r="AK1053" i="9"/>
  <c r="AJ1053" i="9"/>
  <c r="AH1053" i="9"/>
  <c r="AG1053" i="9"/>
  <c r="AF1053" i="9"/>
  <c r="AE1053" i="9"/>
  <c r="AC1053" i="9"/>
  <c r="AB1053" i="9"/>
  <c r="AA1053" i="9"/>
  <c r="Z1053" i="9"/>
  <c r="X1053" i="9"/>
  <c r="W1053" i="9"/>
  <c r="V1053" i="9"/>
  <c r="U1053" i="9"/>
  <c r="S1053" i="9"/>
  <c r="R1053" i="9"/>
  <c r="Q1053" i="9"/>
  <c r="P1053" i="9"/>
  <c r="N1053" i="9"/>
  <c r="M1053" i="9"/>
  <c r="L1053" i="9"/>
  <c r="K1053" i="9"/>
  <c r="I1053" i="9"/>
  <c r="H1053" i="9"/>
  <c r="G1053" i="9"/>
  <c r="F1053" i="9"/>
  <c r="E1053" i="9"/>
  <c r="D1053" i="9"/>
  <c r="C1053" i="9"/>
  <c r="A1053" i="9"/>
  <c r="BS1052" i="9"/>
  <c r="BJ1052" i="9"/>
  <c r="BN1052" i="9" s="1"/>
  <c r="BI1052" i="9"/>
  <c r="BH1052" i="9"/>
  <c r="BG1052" i="9"/>
  <c r="BF1052" i="9"/>
  <c r="BE1052" i="9"/>
  <c r="BD1052" i="9"/>
  <c r="BB1052" i="9"/>
  <c r="BA1052" i="9"/>
  <c r="AZ1052" i="9"/>
  <c r="AY1052" i="9"/>
  <c r="AW1052" i="9"/>
  <c r="AV1052" i="9"/>
  <c r="AU1052" i="9"/>
  <c r="AT1052" i="9"/>
  <c r="AR1052" i="9"/>
  <c r="AQ1052" i="9"/>
  <c r="AP1052" i="9"/>
  <c r="AO1052" i="9"/>
  <c r="AM1052" i="9"/>
  <c r="AL1052" i="9"/>
  <c r="AK1052" i="9"/>
  <c r="AJ1052" i="9"/>
  <c r="AH1052" i="9"/>
  <c r="AG1052" i="9"/>
  <c r="AF1052" i="9"/>
  <c r="AE1052" i="9"/>
  <c r="AD1052" i="9"/>
  <c r="AC1052" i="9"/>
  <c r="AB1052" i="9"/>
  <c r="AA1052" i="9"/>
  <c r="Z1052" i="9"/>
  <c r="Y1052" i="9"/>
  <c r="X1052" i="9"/>
  <c r="X886" i="9" s="1"/>
  <c r="W1052" i="9"/>
  <c r="V1052" i="9"/>
  <c r="U1052" i="9"/>
  <c r="T1052" i="9"/>
  <c r="S1052" i="9"/>
  <c r="R1052" i="9"/>
  <c r="Q1052" i="9"/>
  <c r="P1052" i="9"/>
  <c r="N1052" i="9"/>
  <c r="M1052" i="9"/>
  <c r="L1052" i="9"/>
  <c r="K1052" i="9"/>
  <c r="I1052" i="9"/>
  <c r="H1052" i="9"/>
  <c r="G1052" i="9"/>
  <c r="F1052" i="9"/>
  <c r="E1052" i="9"/>
  <c r="D1052" i="9"/>
  <c r="C1052" i="9"/>
  <c r="A1052" i="9"/>
  <c r="BS1051" i="9"/>
  <c r="BJ1051" i="9"/>
  <c r="BI1051" i="9"/>
  <c r="BG1051" i="9"/>
  <c r="BF1051" i="9"/>
  <c r="BE1051" i="9"/>
  <c r="BD1051" i="9"/>
  <c r="BB1051" i="9"/>
  <c r="BA1051" i="9"/>
  <c r="AZ1051" i="9"/>
  <c r="AY1051" i="9"/>
  <c r="AW1051" i="9"/>
  <c r="AV1051" i="9"/>
  <c r="AU1051" i="9"/>
  <c r="AT1051" i="9"/>
  <c r="AR1051" i="9"/>
  <c r="AQ1051" i="9"/>
  <c r="AP1051" i="9"/>
  <c r="AO1051" i="9"/>
  <c r="AN1051" i="9"/>
  <c r="AM1051" i="9"/>
  <c r="AL1051" i="9"/>
  <c r="AK1051" i="9"/>
  <c r="AJ1051" i="9"/>
  <c r="AH1051" i="9"/>
  <c r="AG1051" i="9"/>
  <c r="AF1051" i="9"/>
  <c r="AE1051" i="9"/>
  <c r="AC1051" i="9"/>
  <c r="AB1051" i="9"/>
  <c r="AA1051" i="9"/>
  <c r="Z1051" i="9"/>
  <c r="X1051" i="9"/>
  <c r="W1051" i="9"/>
  <c r="V1051" i="9"/>
  <c r="U1051" i="9"/>
  <c r="S1051" i="9"/>
  <c r="R1051" i="9"/>
  <c r="Q1051" i="9"/>
  <c r="P1051" i="9"/>
  <c r="N1051" i="9"/>
  <c r="M1051" i="9"/>
  <c r="L1051" i="9"/>
  <c r="K1051" i="9"/>
  <c r="I1051" i="9"/>
  <c r="H1051" i="9"/>
  <c r="G1051" i="9"/>
  <c r="G886" i="9" s="1"/>
  <c r="F1051" i="9"/>
  <c r="E1051" i="9"/>
  <c r="D1051" i="9"/>
  <c r="C1051" i="9"/>
  <c r="A1051" i="9"/>
  <c r="BS1050" i="9"/>
  <c r="BJ1050" i="9"/>
  <c r="BN1050" i="9" s="1"/>
  <c r="BI1050" i="9"/>
  <c r="BH1050" i="9"/>
  <c r="BG1050" i="9"/>
  <c r="BF1050" i="9"/>
  <c r="BE1050" i="9"/>
  <c r="BD1050" i="9"/>
  <c r="BB1050" i="9"/>
  <c r="BA1050" i="9"/>
  <c r="AZ1050" i="9"/>
  <c r="AY1050" i="9"/>
  <c r="AW1050" i="9"/>
  <c r="AV1050" i="9"/>
  <c r="AV887" i="9" s="1"/>
  <c r="AU1050" i="9"/>
  <c r="AT1050" i="9"/>
  <c r="AR1050" i="9"/>
  <c r="AQ1050" i="9"/>
  <c r="AP1050" i="9"/>
  <c r="AO1050" i="9"/>
  <c r="AM1050" i="9"/>
  <c r="AL1050" i="9"/>
  <c r="AK1050" i="9"/>
  <c r="AJ1050" i="9"/>
  <c r="AH1050" i="9"/>
  <c r="AG1050" i="9"/>
  <c r="AG887" i="9" s="1"/>
  <c r="AF1050" i="9"/>
  <c r="AE1050" i="9"/>
  <c r="AC1050" i="9"/>
  <c r="AB1050" i="9"/>
  <c r="AA1050" i="9"/>
  <c r="Z1050" i="9"/>
  <c r="X1050" i="9"/>
  <c r="W1050" i="9"/>
  <c r="V1050" i="9"/>
  <c r="U1050" i="9"/>
  <c r="S1050" i="9"/>
  <c r="R1050" i="9"/>
  <c r="Q1050" i="9"/>
  <c r="P1050" i="9"/>
  <c r="N1050" i="9"/>
  <c r="M1050" i="9"/>
  <c r="L1050" i="9"/>
  <c r="K1050" i="9"/>
  <c r="J1050" i="9"/>
  <c r="I1050" i="9"/>
  <c r="H1050" i="9"/>
  <c r="G1050" i="9"/>
  <c r="F1050" i="9"/>
  <c r="E1050" i="9"/>
  <c r="D1050" i="9"/>
  <c r="C1050" i="9"/>
  <c r="A1050" i="9"/>
  <c r="BS1049" i="9"/>
  <c r="BN1049" i="9"/>
  <c r="BJ1049" i="9"/>
  <c r="BI1049" i="9"/>
  <c r="BG1049" i="9"/>
  <c r="BF1049" i="9"/>
  <c r="BE1049" i="9"/>
  <c r="BD1049" i="9"/>
  <c r="BB1049" i="9"/>
  <c r="BB887" i="9" s="1"/>
  <c r="BA1049" i="9"/>
  <c r="AZ1049" i="9"/>
  <c r="AY1049" i="9"/>
  <c r="AY887" i="9" s="1"/>
  <c r="AW1049" i="9"/>
  <c r="AV1049" i="9"/>
  <c r="AU1049" i="9"/>
  <c r="AT1049" i="9"/>
  <c r="AR1049" i="9"/>
  <c r="AQ1049" i="9"/>
  <c r="AP1049" i="9"/>
  <c r="AO1049" i="9"/>
  <c r="AM1049" i="9"/>
  <c r="AM887" i="9" s="1"/>
  <c r="AL1049" i="9"/>
  <c r="AK1049" i="9"/>
  <c r="AJ1049" i="9"/>
  <c r="AH1049" i="9"/>
  <c r="AG1049" i="9"/>
  <c r="AF1049" i="9"/>
  <c r="AE1049" i="9"/>
  <c r="AD1049" i="9"/>
  <c r="AC1049" i="9"/>
  <c r="AC887" i="9" s="1"/>
  <c r="AB1049" i="9"/>
  <c r="AA1049" i="9"/>
  <c r="Z1049" i="9"/>
  <c r="Y1049" i="9"/>
  <c r="X1049" i="9"/>
  <c r="W1049" i="9"/>
  <c r="V1049" i="9"/>
  <c r="U1049" i="9"/>
  <c r="T1049" i="9"/>
  <c r="S1049" i="9"/>
  <c r="R1049" i="9"/>
  <c r="Q1049" i="9"/>
  <c r="Q887" i="9" s="1"/>
  <c r="P1049" i="9"/>
  <c r="N1049" i="9"/>
  <c r="M1049" i="9"/>
  <c r="L1049" i="9"/>
  <c r="K1049" i="9"/>
  <c r="K887" i="9" s="1"/>
  <c r="J1049" i="9"/>
  <c r="I1049" i="9"/>
  <c r="I887" i="9" s="1"/>
  <c r="H1049" i="9"/>
  <c r="G1049" i="9"/>
  <c r="F1049" i="9"/>
  <c r="E1049" i="9"/>
  <c r="D1049" i="9"/>
  <c r="C1049" i="9"/>
  <c r="A1049" i="9"/>
  <c r="BS1048" i="9"/>
  <c r="BJ1048" i="9"/>
  <c r="BN1048" i="9" s="1"/>
  <c r="BI1048" i="9"/>
  <c r="BG1048" i="9"/>
  <c r="BF1048" i="9"/>
  <c r="BE1048" i="9"/>
  <c r="BD1048" i="9"/>
  <c r="BB1048" i="9"/>
  <c r="BA1048" i="9"/>
  <c r="AZ1048" i="9"/>
  <c r="AY1048" i="9"/>
  <c r="AW1048" i="9"/>
  <c r="AV1048" i="9"/>
  <c r="AU1048" i="9"/>
  <c r="AT1048" i="9"/>
  <c r="AR1048" i="9"/>
  <c r="AQ1048" i="9"/>
  <c r="AP1048" i="9"/>
  <c r="AO1048" i="9"/>
  <c r="AN1048" i="9"/>
  <c r="AM1048" i="9"/>
  <c r="AL1048" i="9"/>
  <c r="AK1048" i="9"/>
  <c r="AJ1048" i="9"/>
  <c r="AI1048" i="9"/>
  <c r="AH1048" i="9"/>
  <c r="AG1048" i="9"/>
  <c r="AF1048" i="9"/>
  <c r="AE1048" i="9"/>
  <c r="AC1048" i="9"/>
  <c r="AB1048" i="9"/>
  <c r="AA1048" i="9"/>
  <c r="Z1048" i="9"/>
  <c r="X1048" i="9"/>
  <c r="W1048" i="9"/>
  <c r="V1048" i="9"/>
  <c r="U1048" i="9"/>
  <c r="S1048" i="9"/>
  <c r="R1048" i="9"/>
  <c r="Q1048" i="9"/>
  <c r="P1048" i="9"/>
  <c r="N1048" i="9"/>
  <c r="M1048" i="9"/>
  <c r="L1048" i="9"/>
  <c r="L887" i="9" s="1"/>
  <c r="K1048" i="9"/>
  <c r="I1048" i="9"/>
  <c r="H1048" i="9"/>
  <c r="G1048" i="9"/>
  <c r="F1048" i="9"/>
  <c r="E1048" i="9"/>
  <c r="D1048" i="9"/>
  <c r="C1048" i="9"/>
  <c r="A1048" i="9"/>
  <c r="BJ1047" i="9"/>
  <c r="BI1047" i="9"/>
  <c r="BI883" i="9" s="1"/>
  <c r="BH1047" i="9"/>
  <c r="BH883" i="9" s="1"/>
  <c r="BG1047" i="9"/>
  <c r="BG883" i="9" s="1"/>
  <c r="BF1047" i="9"/>
  <c r="BF883" i="9" s="1"/>
  <c r="BE1047" i="9"/>
  <c r="BD1047" i="9"/>
  <c r="BD883" i="9" s="1"/>
  <c r="BC1047" i="9"/>
  <c r="BC883" i="9" s="1"/>
  <c r="BB1047" i="9"/>
  <c r="BB883" i="9" s="1"/>
  <c r="BA1047" i="9"/>
  <c r="AZ1047" i="9"/>
  <c r="AZ883" i="9" s="1"/>
  <c r="AY1047" i="9"/>
  <c r="AW1047" i="9"/>
  <c r="AW883" i="9" s="1"/>
  <c r="AV1047" i="9"/>
  <c r="AU1047" i="9"/>
  <c r="AU883" i="9" s="1"/>
  <c r="AT1047" i="9"/>
  <c r="AT883" i="9" s="1"/>
  <c r="AR1047" i="9"/>
  <c r="AR883" i="9" s="1"/>
  <c r="AQ1047" i="9"/>
  <c r="AQ883" i="9" s="1"/>
  <c r="AP1047" i="9"/>
  <c r="AP883" i="9" s="1"/>
  <c r="AO1047" i="9"/>
  <c r="AM1047" i="9"/>
  <c r="AL1047" i="9"/>
  <c r="AL883" i="9" s="1"/>
  <c r="AK1047" i="9"/>
  <c r="AK883" i="9" s="1"/>
  <c r="AJ1047" i="9"/>
  <c r="AJ883" i="9" s="1"/>
  <c r="AH1047" i="9"/>
  <c r="AH883" i="9" s="1"/>
  <c r="AG1047" i="9"/>
  <c r="AF1047" i="9"/>
  <c r="AF883" i="9" s="1"/>
  <c r="AE1047" i="9"/>
  <c r="AE883" i="9" s="1"/>
  <c r="AC1047" i="9"/>
  <c r="AB1047" i="9"/>
  <c r="AB883" i="9" s="1"/>
  <c r="AA1047" i="9"/>
  <c r="Z1047" i="9"/>
  <c r="Z883" i="9" s="1"/>
  <c r="X1047" i="9"/>
  <c r="W1047" i="9"/>
  <c r="V1047" i="9"/>
  <c r="U1047" i="9"/>
  <c r="S1047" i="9"/>
  <c r="S883" i="9" s="1"/>
  <c r="R1047" i="9"/>
  <c r="R883" i="9" s="1"/>
  <c r="Q1047" i="9"/>
  <c r="Q883" i="9" s="1"/>
  <c r="P1047" i="9"/>
  <c r="P883" i="9" s="1"/>
  <c r="N1047" i="9"/>
  <c r="N883" i="9" s="1"/>
  <c r="M1047" i="9"/>
  <c r="M883" i="9" s="1"/>
  <c r="L1047" i="9"/>
  <c r="L883" i="9" s="1"/>
  <c r="K1047" i="9"/>
  <c r="K883" i="9" s="1"/>
  <c r="I1047" i="9"/>
  <c r="I883" i="9" s="1"/>
  <c r="H1047" i="9"/>
  <c r="G1047" i="9"/>
  <c r="G883" i="9" s="1"/>
  <c r="F1047" i="9"/>
  <c r="E1047" i="9"/>
  <c r="E883" i="9" s="1"/>
  <c r="D1047" i="9"/>
  <c r="C1047" i="9"/>
  <c r="A1047" i="9"/>
  <c r="BS1046" i="9"/>
  <c r="BJ1046" i="9"/>
  <c r="BN1046" i="9" s="1"/>
  <c r="BI1046" i="9"/>
  <c r="BH1046" i="9"/>
  <c r="BG1046" i="9"/>
  <c r="BF1046" i="9"/>
  <c r="BE1046" i="9"/>
  <c r="BD1046" i="9"/>
  <c r="BB1046" i="9"/>
  <c r="BA1046" i="9"/>
  <c r="AZ1046" i="9"/>
  <c r="AY1046" i="9"/>
  <c r="AW1046" i="9"/>
  <c r="AV1046" i="9"/>
  <c r="AU1046" i="9"/>
  <c r="AT1046" i="9"/>
  <c r="AS1046" i="9"/>
  <c r="AR1046" i="9"/>
  <c r="AQ1046" i="9"/>
  <c r="AP1046" i="9"/>
  <c r="AO1046" i="9"/>
  <c r="AN1046" i="9"/>
  <c r="AM1046" i="9"/>
  <c r="AL1046" i="9"/>
  <c r="AK1046" i="9"/>
  <c r="AJ1046" i="9"/>
  <c r="AI1046" i="9"/>
  <c r="AH1046" i="9"/>
  <c r="AG1046" i="9"/>
  <c r="AF1046" i="9"/>
  <c r="AE1046" i="9"/>
  <c r="AD1046" i="9"/>
  <c r="AC1046" i="9"/>
  <c r="AB1046" i="9"/>
  <c r="AA1046" i="9"/>
  <c r="Z1046" i="9"/>
  <c r="Y1046" i="9"/>
  <c r="X1046" i="9"/>
  <c r="W1046" i="9"/>
  <c r="V1046" i="9"/>
  <c r="U1046" i="9"/>
  <c r="T1046" i="9"/>
  <c r="S1046" i="9"/>
  <c r="R1046" i="9"/>
  <c r="Q1046" i="9"/>
  <c r="P1046" i="9"/>
  <c r="O1046" i="9"/>
  <c r="N1046" i="9"/>
  <c r="M1046" i="9"/>
  <c r="L1046" i="9"/>
  <c r="K1046" i="9"/>
  <c r="J1046" i="9"/>
  <c r="I1046" i="9"/>
  <c r="H1046" i="9"/>
  <c r="G1046" i="9"/>
  <c r="F1046" i="9"/>
  <c r="E1046" i="9"/>
  <c r="D1046" i="9"/>
  <c r="C1046" i="9"/>
  <c r="A1046" i="9"/>
  <c r="BV1045" i="9"/>
  <c r="BU1045" i="9"/>
  <c r="BT1045" i="9"/>
  <c r="BR1045" i="9"/>
  <c r="BS1045" i="9" s="1"/>
  <c r="BS887" i="9" s="1"/>
  <c r="BQ1045" i="9"/>
  <c r="BP1045" i="9"/>
  <c r="BO1045" i="9"/>
  <c r="BM1045" i="9"/>
  <c r="BL1045" i="9"/>
  <c r="BK1045" i="9"/>
  <c r="BJ1045" i="9"/>
  <c r="BI1045" i="9"/>
  <c r="BG1045" i="9"/>
  <c r="BF1045" i="9"/>
  <c r="BE1045" i="9"/>
  <c r="BD1045" i="9"/>
  <c r="BB1045" i="9"/>
  <c r="BA1045" i="9"/>
  <c r="AZ1045" i="9"/>
  <c r="AY1045" i="9"/>
  <c r="AX1045" i="9"/>
  <c r="AW1045" i="9"/>
  <c r="AV1045" i="9"/>
  <c r="AU1045" i="9"/>
  <c r="AT1045" i="9"/>
  <c r="AS1045" i="9"/>
  <c r="AR1045" i="9"/>
  <c r="AQ1045" i="9"/>
  <c r="AP1045" i="9"/>
  <c r="AP887" i="9" s="1"/>
  <c r="AO1045" i="9"/>
  <c r="AM1045" i="9"/>
  <c r="AL1045" i="9"/>
  <c r="AK1045" i="9"/>
  <c r="AK887" i="9" s="1"/>
  <c r="AJ1045" i="9"/>
  <c r="AI1045" i="9"/>
  <c r="AH1045" i="9"/>
  <c r="AG1045" i="9"/>
  <c r="AF1045" i="9"/>
  <c r="AE1045" i="9"/>
  <c r="AC1045" i="9"/>
  <c r="AB1045" i="9"/>
  <c r="AA1045" i="9"/>
  <c r="Z1045" i="9"/>
  <c r="X1045" i="9"/>
  <c r="W1045" i="9"/>
  <c r="V1045" i="9"/>
  <c r="U1045" i="9"/>
  <c r="S1045" i="9"/>
  <c r="R1045" i="9"/>
  <c r="Q1045" i="9"/>
  <c r="P1045" i="9"/>
  <c r="N1045" i="9"/>
  <c r="N887" i="9" s="1"/>
  <c r="M1045" i="9"/>
  <c r="L1045" i="9"/>
  <c r="K1045" i="9"/>
  <c r="I1045" i="9"/>
  <c r="H1045" i="9"/>
  <c r="G1045" i="9"/>
  <c r="G887" i="9" s="1"/>
  <c r="F1045" i="9"/>
  <c r="E1045" i="9"/>
  <c r="D1045" i="9"/>
  <c r="D887" i="9" s="1"/>
  <c r="C1045" i="9"/>
  <c r="C887" i="9" s="1"/>
  <c r="A1045" i="9"/>
  <c r="BV1044" i="9"/>
  <c r="BU1044" i="9"/>
  <c r="BT1044" i="9"/>
  <c r="BR1044" i="9"/>
  <c r="BQ1044" i="9"/>
  <c r="BP1044" i="9"/>
  <c r="BO1044" i="9"/>
  <c r="BM1044" i="9"/>
  <c r="BL1044" i="9"/>
  <c r="BK1044" i="9"/>
  <c r="BJ1044" i="9"/>
  <c r="BI1044" i="9"/>
  <c r="BG1044" i="9"/>
  <c r="BF1044" i="9"/>
  <c r="BE1044" i="9"/>
  <c r="BD1044" i="9"/>
  <c r="BB1044" i="9"/>
  <c r="BA1044" i="9"/>
  <c r="AZ1044" i="9"/>
  <c r="AY1044" i="9"/>
  <c r="AW1044" i="9"/>
  <c r="AW886" i="9" s="1"/>
  <c r="AV1044" i="9"/>
  <c r="AU1044" i="9"/>
  <c r="AT1044" i="9"/>
  <c r="AR1044" i="9"/>
  <c r="AQ1044" i="9"/>
  <c r="AQ886" i="9" s="1"/>
  <c r="AP1044" i="9"/>
  <c r="AO1044" i="9"/>
  <c r="AM1044" i="9"/>
  <c r="AL1044" i="9"/>
  <c r="AK1044" i="9"/>
  <c r="AJ1044" i="9"/>
  <c r="AH1044" i="9"/>
  <c r="AG1044" i="9"/>
  <c r="AF1044" i="9"/>
  <c r="AE1044" i="9"/>
  <c r="AC1044" i="9"/>
  <c r="AB1044" i="9"/>
  <c r="AA1044" i="9"/>
  <c r="Z1044" i="9"/>
  <c r="Y1044" i="9"/>
  <c r="X1044" i="9"/>
  <c r="W1044" i="9"/>
  <c r="V1044" i="9"/>
  <c r="U1044" i="9"/>
  <c r="T1044" i="9"/>
  <c r="S1044" i="9"/>
  <c r="R1044" i="9"/>
  <c r="Q1044" i="9"/>
  <c r="P1044" i="9"/>
  <c r="O1044" i="9"/>
  <c r="N1044" i="9"/>
  <c r="M1044" i="9"/>
  <c r="L1044" i="9"/>
  <c r="K1044" i="9"/>
  <c r="J1044" i="9"/>
  <c r="I1044" i="9"/>
  <c r="H1044" i="9"/>
  <c r="G1044" i="9"/>
  <c r="F1044" i="9"/>
  <c r="E1044" i="9"/>
  <c r="D1044" i="9"/>
  <c r="C1044" i="9"/>
  <c r="A1044" i="9"/>
  <c r="BS1043" i="9"/>
  <c r="BN1043" i="9"/>
  <c r="BJ1043" i="9"/>
  <c r="BI1043" i="9"/>
  <c r="BG1043" i="9"/>
  <c r="BF1043" i="9"/>
  <c r="BE1043" i="9"/>
  <c r="BD1043" i="9"/>
  <c r="BB1043" i="9"/>
  <c r="BA1043" i="9"/>
  <c r="AZ1043" i="9"/>
  <c r="AY1043" i="9"/>
  <c r="AX1043" i="9"/>
  <c r="AW1043" i="9"/>
  <c r="AV1043" i="9"/>
  <c r="AU1043" i="9"/>
  <c r="AT1043" i="9"/>
  <c r="AR1043" i="9"/>
  <c r="AQ1043" i="9"/>
  <c r="AP1043" i="9"/>
  <c r="AO1043" i="9"/>
  <c r="AM1043" i="9"/>
  <c r="AL1043" i="9"/>
  <c r="AK1043" i="9"/>
  <c r="AJ1043" i="9"/>
  <c r="AH1043" i="9"/>
  <c r="AG1043" i="9"/>
  <c r="AF1043" i="9"/>
  <c r="AE1043" i="9"/>
  <c r="AC1043" i="9"/>
  <c r="AC1054" i="9" s="1"/>
  <c r="AB1043" i="9"/>
  <c r="AA1043" i="9"/>
  <c r="Z1043" i="9"/>
  <c r="X1043" i="9"/>
  <c r="W1043" i="9"/>
  <c r="V1043" i="9"/>
  <c r="U1043" i="9"/>
  <c r="S1043" i="9"/>
  <c r="R1043" i="9"/>
  <c r="Q1043" i="9"/>
  <c r="P1043" i="9"/>
  <c r="N1043" i="9"/>
  <c r="M1043" i="9"/>
  <c r="L1043" i="9"/>
  <c r="K1043" i="9"/>
  <c r="I1043" i="9"/>
  <c r="H1043" i="9"/>
  <c r="G1043" i="9"/>
  <c r="F1043" i="9"/>
  <c r="E1043" i="9"/>
  <c r="D1043" i="9"/>
  <c r="C1043" i="9"/>
  <c r="A1043" i="9"/>
  <c r="BS1042" i="9"/>
  <c r="BN1042" i="9"/>
  <c r="BJ1042" i="9"/>
  <c r="BI1042" i="9"/>
  <c r="BG1042" i="9"/>
  <c r="BF1042" i="9"/>
  <c r="BE1042" i="9"/>
  <c r="BD1042" i="9"/>
  <c r="BB1042" i="9"/>
  <c r="BA1042" i="9"/>
  <c r="AZ1042" i="9"/>
  <c r="AY1042" i="9"/>
  <c r="AW1042" i="9"/>
  <c r="AV1042" i="9"/>
  <c r="AU1042" i="9"/>
  <c r="AT1042" i="9"/>
  <c r="AT886" i="9" s="1"/>
  <c r="AR1042" i="9"/>
  <c r="AQ1042" i="9"/>
  <c r="AP1042" i="9"/>
  <c r="AO1042" i="9"/>
  <c r="AM1042" i="9"/>
  <c r="AL1042" i="9"/>
  <c r="AK1042" i="9"/>
  <c r="AJ1042" i="9"/>
  <c r="AH1042" i="9"/>
  <c r="AG1042" i="9"/>
  <c r="AF1042" i="9"/>
  <c r="AE1042" i="9"/>
  <c r="AC1042" i="9"/>
  <c r="AB1042" i="9"/>
  <c r="AA1042" i="9"/>
  <c r="AA1054" i="9" s="1"/>
  <c r="Z1042" i="9"/>
  <c r="Y1042" i="9"/>
  <c r="X1042" i="9"/>
  <c r="W1042" i="9"/>
  <c r="V1042" i="9"/>
  <c r="U1042" i="9"/>
  <c r="T1042" i="9"/>
  <c r="S1042" i="9"/>
  <c r="R1042" i="9"/>
  <c r="Q1042" i="9"/>
  <c r="P1042" i="9"/>
  <c r="N1042" i="9"/>
  <c r="M1042" i="9"/>
  <c r="L1042" i="9"/>
  <c r="K1042" i="9"/>
  <c r="J1042" i="9"/>
  <c r="I1042" i="9"/>
  <c r="H1042" i="9"/>
  <c r="G1042" i="9"/>
  <c r="F1042" i="9"/>
  <c r="E1042" i="9"/>
  <c r="D1042" i="9"/>
  <c r="C1042" i="9"/>
  <c r="A1042" i="9"/>
  <c r="A1041" i="9"/>
  <c r="BK1039" i="9"/>
  <c r="D1039" i="9"/>
  <c r="A1039" i="9"/>
  <c r="BS1038" i="9"/>
  <c r="BJ1038" i="9"/>
  <c r="BN1038" i="9" s="1"/>
  <c r="BI1038" i="9"/>
  <c r="BG1038" i="9"/>
  <c r="BF1038" i="9"/>
  <c r="BE1038" i="9"/>
  <c r="BD1038" i="9"/>
  <c r="BB1038" i="9"/>
  <c r="BA1038" i="9"/>
  <c r="AZ1038" i="9"/>
  <c r="AY1038" i="9"/>
  <c r="AW1038" i="9"/>
  <c r="AV1038" i="9"/>
  <c r="AU1038" i="9"/>
  <c r="AT1038" i="9"/>
  <c r="AR1038" i="9"/>
  <c r="AQ1038" i="9"/>
  <c r="AP1038" i="9"/>
  <c r="AO1038" i="9"/>
  <c r="AM1038" i="9"/>
  <c r="AL1038" i="9"/>
  <c r="AK1038" i="9"/>
  <c r="AJ1038" i="9"/>
  <c r="AH1038" i="9"/>
  <c r="AG1038" i="9"/>
  <c r="AF1038" i="9"/>
  <c r="AE1038" i="9"/>
  <c r="AD1038" i="9"/>
  <c r="AC1038" i="9"/>
  <c r="AB1038" i="9"/>
  <c r="AA1038" i="9"/>
  <c r="Z1038" i="9"/>
  <c r="Y1038" i="9"/>
  <c r="X1038" i="9"/>
  <c r="W1038" i="9"/>
  <c r="V1038" i="9"/>
  <c r="U1038" i="9"/>
  <c r="S1038" i="9"/>
  <c r="R1038" i="9"/>
  <c r="Q1038" i="9"/>
  <c r="P1038" i="9"/>
  <c r="N1038" i="9"/>
  <c r="M1038" i="9"/>
  <c r="L1038" i="9"/>
  <c r="K1038" i="9"/>
  <c r="I1038" i="9"/>
  <c r="H1038" i="9"/>
  <c r="G1038" i="9"/>
  <c r="F1038" i="9"/>
  <c r="E1038" i="9"/>
  <c r="D1038" i="9"/>
  <c r="C1038" i="9"/>
  <c r="A1038" i="9"/>
  <c r="BS1037" i="9"/>
  <c r="BJ1037" i="9"/>
  <c r="BN1037" i="9" s="1"/>
  <c r="BI1037" i="9"/>
  <c r="BG1037" i="9"/>
  <c r="BF1037" i="9"/>
  <c r="BE1037" i="9"/>
  <c r="BD1037" i="9"/>
  <c r="BC1037" i="9"/>
  <c r="BB1037" i="9"/>
  <c r="BA1037" i="9"/>
  <c r="AZ1037" i="9"/>
  <c r="AY1037" i="9"/>
  <c r="AX1037" i="9"/>
  <c r="AW1037" i="9"/>
  <c r="AV1037" i="9"/>
  <c r="AU1037" i="9"/>
  <c r="AT1037" i="9"/>
  <c r="AR1037" i="9"/>
  <c r="AQ1037" i="9"/>
  <c r="AP1037" i="9"/>
  <c r="AO1037" i="9"/>
  <c r="AM1037" i="9"/>
  <c r="AL1037" i="9"/>
  <c r="AK1037" i="9"/>
  <c r="AJ1037" i="9"/>
  <c r="AH1037" i="9"/>
  <c r="AG1037" i="9"/>
  <c r="AF1037" i="9"/>
  <c r="AE1037" i="9"/>
  <c r="AC1037" i="9"/>
  <c r="AB1037" i="9"/>
  <c r="AA1037" i="9"/>
  <c r="Z1037" i="9"/>
  <c r="X1037" i="9"/>
  <c r="W1037" i="9"/>
  <c r="V1037" i="9"/>
  <c r="U1037" i="9"/>
  <c r="S1037" i="9"/>
  <c r="R1037" i="9"/>
  <c r="Q1037" i="9"/>
  <c r="P1037" i="9"/>
  <c r="N1037" i="9"/>
  <c r="M1037" i="9"/>
  <c r="L1037" i="9"/>
  <c r="K1037" i="9"/>
  <c r="J1037" i="9"/>
  <c r="I1037" i="9"/>
  <c r="H1037" i="9"/>
  <c r="G1037" i="9"/>
  <c r="F1037" i="9"/>
  <c r="E1037" i="9"/>
  <c r="D1037" i="9"/>
  <c r="C1037" i="9"/>
  <c r="A1037" i="9"/>
  <c r="BV1036" i="9"/>
  <c r="BU1036" i="9"/>
  <c r="BT1036" i="9"/>
  <c r="BR1036" i="9"/>
  <c r="BQ1036" i="9"/>
  <c r="BP1036" i="9"/>
  <c r="BO1036" i="9"/>
  <c r="BM1036" i="9"/>
  <c r="BL1036" i="9"/>
  <c r="BK1036" i="9"/>
  <c r="BJ1036" i="9"/>
  <c r="BI1036" i="9"/>
  <c r="BI881" i="9" s="1"/>
  <c r="BG1036" i="9"/>
  <c r="BF1036" i="9"/>
  <c r="BF881" i="9" s="1"/>
  <c r="BE1036" i="9"/>
  <c r="BE881" i="9" s="1"/>
  <c r="BD1036" i="9"/>
  <c r="BD881" i="9" s="1"/>
  <c r="BB1036" i="9"/>
  <c r="BB881" i="9" s="1"/>
  <c r="BA1036" i="9"/>
  <c r="BA881" i="9" s="1"/>
  <c r="AZ1036" i="9"/>
  <c r="AZ881" i="9" s="1"/>
  <c r="AY1036" i="9"/>
  <c r="AY881" i="9" s="1"/>
  <c r="AW1036" i="9"/>
  <c r="AW881" i="9" s="1"/>
  <c r="AV1036" i="9"/>
  <c r="AV881" i="9" s="1"/>
  <c r="AU1036" i="9"/>
  <c r="AT1036" i="9"/>
  <c r="AR1036" i="9"/>
  <c r="AQ1036" i="9"/>
  <c r="AQ881" i="9" s="1"/>
  <c r="AP1036" i="9"/>
  <c r="AP881" i="9" s="1"/>
  <c r="AO1036" i="9"/>
  <c r="AM1036" i="9"/>
  <c r="AM881" i="9" s="1"/>
  <c r="AL1036" i="9"/>
  <c r="AK1036" i="9"/>
  <c r="AK881" i="9" s="1"/>
  <c r="AJ1036" i="9"/>
  <c r="AJ881" i="9" s="1"/>
  <c r="AH1036" i="9"/>
  <c r="AH881" i="9" s="1"/>
  <c r="AG1036" i="9"/>
  <c r="AG881" i="9" s="1"/>
  <c r="AF1036" i="9"/>
  <c r="AE1036" i="9"/>
  <c r="AC1036" i="9"/>
  <c r="AB1036" i="9"/>
  <c r="AB881" i="9" s="1"/>
  <c r="AA1036" i="9"/>
  <c r="AA881" i="9" s="1"/>
  <c r="Z1036" i="9"/>
  <c r="Z881" i="9" s="1"/>
  <c r="Y1036" i="9"/>
  <c r="X1036" i="9"/>
  <c r="W1036" i="9"/>
  <c r="V1036" i="9"/>
  <c r="V881" i="9" s="1"/>
  <c r="U1036" i="9"/>
  <c r="U881" i="9" s="1"/>
  <c r="T1036" i="9"/>
  <c r="T881" i="9" s="1"/>
  <c r="S1036" i="9"/>
  <c r="R1036" i="9"/>
  <c r="R881" i="9" s="1"/>
  <c r="Q1036" i="9"/>
  <c r="P1036" i="9"/>
  <c r="N1036" i="9"/>
  <c r="M1036" i="9"/>
  <c r="M881" i="9" s="1"/>
  <c r="L1036" i="9"/>
  <c r="L881" i="9" s="1"/>
  <c r="K1036" i="9"/>
  <c r="K881" i="9" s="1"/>
  <c r="I1036" i="9"/>
  <c r="I881" i="9" s="1"/>
  <c r="H1036" i="9"/>
  <c r="H881" i="9" s="1"/>
  <c r="G1036" i="9"/>
  <c r="G881" i="9" s="1"/>
  <c r="F1036" i="9"/>
  <c r="E1036" i="9"/>
  <c r="E881" i="9" s="1"/>
  <c r="D1036" i="9"/>
  <c r="C1036" i="9"/>
  <c r="A1036" i="9"/>
  <c r="BV1035" i="9"/>
  <c r="BU1035" i="9"/>
  <c r="BT1035" i="9"/>
  <c r="BR1035" i="9"/>
  <c r="BR1039" i="9" s="1"/>
  <c r="BQ1035" i="9"/>
  <c r="BP1035" i="9"/>
  <c r="BO1035" i="9"/>
  <c r="BM1035" i="9"/>
  <c r="BL1035" i="9"/>
  <c r="BK1035" i="9"/>
  <c r="BJ1035" i="9"/>
  <c r="BI1035" i="9"/>
  <c r="BI882" i="9" s="1"/>
  <c r="BG1035" i="9"/>
  <c r="BG882" i="9" s="1"/>
  <c r="BF1035" i="9"/>
  <c r="BF882" i="9" s="1"/>
  <c r="BE1035" i="9"/>
  <c r="BE882" i="9" s="1"/>
  <c r="BD1035" i="9"/>
  <c r="BB1035" i="9"/>
  <c r="BB882" i="9" s="1"/>
  <c r="BA1035" i="9"/>
  <c r="BA882" i="9" s="1"/>
  <c r="AZ1035" i="9"/>
  <c r="AZ882" i="9" s="1"/>
  <c r="AY1035" i="9"/>
  <c r="AW1035" i="9"/>
  <c r="AV1035" i="9"/>
  <c r="AV882" i="9" s="1"/>
  <c r="AU1035" i="9"/>
  <c r="AU882" i="9" s="1"/>
  <c r="AT1035" i="9"/>
  <c r="AT882" i="9" s="1"/>
  <c r="AR1035" i="9"/>
  <c r="AR882" i="9" s="1"/>
  <c r="AQ1035" i="9"/>
  <c r="AP1035" i="9"/>
  <c r="AP882" i="9" s="1"/>
  <c r="AO1035" i="9"/>
  <c r="AO882" i="9" s="1"/>
  <c r="AM1035" i="9"/>
  <c r="AM882" i="9" s="1"/>
  <c r="AL1035" i="9"/>
  <c r="AK1035" i="9"/>
  <c r="AK882" i="9" s="1"/>
  <c r="AJ1035" i="9"/>
  <c r="AH1035" i="9"/>
  <c r="AH882" i="9" s="1"/>
  <c r="AG1035" i="9"/>
  <c r="AG882" i="9" s="1"/>
  <c r="AF1035" i="9"/>
  <c r="AF882" i="9" s="1"/>
  <c r="AE1035" i="9"/>
  <c r="AC1035" i="9"/>
  <c r="AB1035" i="9"/>
  <c r="AA1035" i="9"/>
  <c r="Z1035" i="9"/>
  <c r="Z882" i="9" s="1"/>
  <c r="X1035" i="9"/>
  <c r="W1035" i="9"/>
  <c r="W882" i="9" s="1"/>
  <c r="V1035" i="9"/>
  <c r="V882" i="9" s="1"/>
  <c r="U1035" i="9"/>
  <c r="U882" i="9" s="1"/>
  <c r="S1035" i="9"/>
  <c r="S882" i="9" s="1"/>
  <c r="R1035" i="9"/>
  <c r="R882" i="9" s="1"/>
  <c r="Q1035" i="9"/>
  <c r="P1035" i="9"/>
  <c r="P882" i="9" s="1"/>
  <c r="N1035" i="9"/>
  <c r="M1035" i="9"/>
  <c r="M882" i="9" s="1"/>
  <c r="L1035" i="9"/>
  <c r="L882" i="9" s="1"/>
  <c r="K1035" i="9"/>
  <c r="I1035" i="9"/>
  <c r="I882" i="9" s="1"/>
  <c r="H1035" i="9"/>
  <c r="H882" i="9" s="1"/>
  <c r="G1035" i="9"/>
  <c r="G882" i="9" s="1"/>
  <c r="F1035" i="9"/>
  <c r="E1035" i="9"/>
  <c r="D1035" i="9"/>
  <c r="C1035" i="9"/>
  <c r="C882" i="9" s="1"/>
  <c r="A1035" i="9"/>
  <c r="BS1034" i="9"/>
  <c r="BJ1034" i="9"/>
  <c r="BN1034" i="9" s="1"/>
  <c r="BI1034" i="9"/>
  <c r="BG1034" i="9"/>
  <c r="BF1034" i="9"/>
  <c r="BE1034" i="9"/>
  <c r="BD1034" i="9"/>
  <c r="BC1034" i="9"/>
  <c r="BB1034" i="9"/>
  <c r="BA1034" i="9"/>
  <c r="AZ1034" i="9"/>
  <c r="AY1034" i="9"/>
  <c r="AX1034" i="9"/>
  <c r="AW1034" i="9"/>
  <c r="AV1034" i="9"/>
  <c r="AU1034" i="9"/>
  <c r="AT1034" i="9"/>
  <c r="AS1034" i="9"/>
  <c r="AR1034" i="9"/>
  <c r="AQ1034" i="9"/>
  <c r="AP1034" i="9"/>
  <c r="AO1034" i="9"/>
  <c r="AM1034" i="9"/>
  <c r="AL1034" i="9"/>
  <c r="AK1034" i="9"/>
  <c r="AJ1034" i="9"/>
  <c r="AH1034" i="9"/>
  <c r="AG1034" i="9"/>
  <c r="AF1034" i="9"/>
  <c r="AE1034" i="9"/>
  <c r="AC1034" i="9"/>
  <c r="AB1034" i="9"/>
  <c r="AA1034" i="9"/>
  <c r="Z1034" i="9"/>
  <c r="X1034" i="9"/>
  <c r="W1034" i="9"/>
  <c r="V1034" i="9"/>
  <c r="U1034" i="9"/>
  <c r="S1034" i="9"/>
  <c r="R1034" i="9"/>
  <c r="Q1034" i="9"/>
  <c r="P1034" i="9"/>
  <c r="N1034" i="9"/>
  <c r="M1034" i="9"/>
  <c r="L1034" i="9"/>
  <c r="K1034" i="9"/>
  <c r="I1034" i="9"/>
  <c r="H1034" i="9"/>
  <c r="G1034" i="9"/>
  <c r="F1034" i="9"/>
  <c r="E1034" i="9"/>
  <c r="D1034" i="9"/>
  <c r="C1034" i="9"/>
  <c r="A1034" i="9"/>
  <c r="BV1033" i="9"/>
  <c r="BU1033" i="9"/>
  <c r="BT1033" i="9"/>
  <c r="BR1033" i="9"/>
  <c r="BR1173" i="9" s="1"/>
  <c r="BQ1033" i="9"/>
  <c r="BQ1173" i="9" s="1"/>
  <c r="BP1033" i="9"/>
  <c r="BS1033" i="9" s="1"/>
  <c r="BO1033" i="9"/>
  <c r="BM1033" i="9"/>
  <c r="BL1033" i="9"/>
  <c r="BK1033" i="9"/>
  <c r="BJ1033" i="9"/>
  <c r="BI1033" i="9"/>
  <c r="BG1033" i="9"/>
  <c r="BG879" i="9" s="1"/>
  <c r="BG1101" i="9" s="1"/>
  <c r="BG1085" i="9" s="1"/>
  <c r="BF1033" i="9"/>
  <c r="BF879" i="9" s="1"/>
  <c r="BF1101" i="9" s="1"/>
  <c r="BF1085" i="9" s="1"/>
  <c r="BE1033" i="9"/>
  <c r="BD1033" i="9"/>
  <c r="BD879" i="9" s="1"/>
  <c r="BB1033" i="9"/>
  <c r="BA1033" i="9"/>
  <c r="AZ1033" i="9"/>
  <c r="AY1033" i="9"/>
  <c r="AW1033" i="9"/>
  <c r="AW879" i="9" s="1"/>
  <c r="AV1033" i="9"/>
  <c r="AU1033" i="9"/>
  <c r="AT1033" i="9"/>
  <c r="AS1033" i="9"/>
  <c r="AR1033" i="9"/>
  <c r="AQ1033" i="9"/>
  <c r="AQ879" i="9" s="1"/>
  <c r="AQ1173" i="9" s="1"/>
  <c r="AP1033" i="9"/>
  <c r="AO1033" i="9"/>
  <c r="AM1033" i="9"/>
  <c r="AL1033" i="9"/>
  <c r="AK1033" i="9"/>
  <c r="AJ1033" i="9"/>
  <c r="AJ879" i="9" s="1"/>
  <c r="AJ1101" i="9" s="1"/>
  <c r="AJ1085" i="9" s="1"/>
  <c r="AH1033" i="9"/>
  <c r="AG1033" i="9"/>
  <c r="AG879" i="9" s="1"/>
  <c r="AG1101" i="9" s="1"/>
  <c r="AG1085" i="9" s="1"/>
  <c r="AF1033" i="9"/>
  <c r="AE1033" i="9"/>
  <c r="AC1033" i="9"/>
  <c r="AC879" i="9" s="1"/>
  <c r="AC1101" i="9" s="1"/>
  <c r="AC1085" i="9" s="1"/>
  <c r="AB1033" i="9"/>
  <c r="AA1033" i="9"/>
  <c r="Z1033" i="9"/>
  <c r="Z879" i="9" s="1"/>
  <c r="Z1101" i="9" s="1"/>
  <c r="Z1085" i="9" s="1"/>
  <c r="X1033" i="9"/>
  <c r="W1033" i="9"/>
  <c r="V1033" i="9"/>
  <c r="U1033" i="9"/>
  <c r="U879" i="9" s="1"/>
  <c r="U1101" i="9" s="1"/>
  <c r="U1085" i="9" s="1"/>
  <c r="S1033" i="9"/>
  <c r="R1033" i="9"/>
  <c r="Q1033" i="9"/>
  <c r="P1033" i="9"/>
  <c r="O1033" i="9"/>
  <c r="N1033" i="9"/>
  <c r="M1033" i="9"/>
  <c r="L1033" i="9"/>
  <c r="K1033" i="9"/>
  <c r="I1033" i="9"/>
  <c r="I879" i="9" s="1"/>
  <c r="I1101" i="9" s="1"/>
  <c r="I1085" i="9" s="1"/>
  <c r="H1033" i="9"/>
  <c r="H879" i="9" s="1"/>
  <c r="H1101" i="9" s="1"/>
  <c r="H1085" i="9" s="1"/>
  <c r="G1033" i="9"/>
  <c r="G879" i="9" s="1"/>
  <c r="G1101" i="9" s="1"/>
  <c r="G1085" i="9" s="1"/>
  <c r="F1033" i="9"/>
  <c r="E1033" i="9"/>
  <c r="D1033" i="9"/>
  <c r="C1033" i="9"/>
  <c r="A1033" i="9"/>
  <c r="A1032" i="9"/>
  <c r="A1030" i="9"/>
  <c r="BS1029" i="9"/>
  <c r="BJ1029" i="9"/>
  <c r="BN1029" i="9" s="1"/>
  <c r="BI1029" i="9"/>
  <c r="BH1029" i="9"/>
  <c r="BG1029" i="9"/>
  <c r="BF1029" i="9"/>
  <c r="BE1029" i="9"/>
  <c r="BD1029" i="9"/>
  <c r="BB1029" i="9"/>
  <c r="BA1029" i="9"/>
  <c r="AZ1029" i="9"/>
  <c r="AY1029" i="9"/>
  <c r="AW1029" i="9"/>
  <c r="AV1029" i="9"/>
  <c r="AU1029" i="9"/>
  <c r="AT1029" i="9"/>
  <c r="AR1029" i="9"/>
  <c r="AQ1029" i="9"/>
  <c r="AP1029" i="9"/>
  <c r="AO1029" i="9"/>
  <c r="AM1029" i="9"/>
  <c r="AL1029" i="9"/>
  <c r="AK1029" i="9"/>
  <c r="AJ1029" i="9"/>
  <c r="AH1029" i="9"/>
  <c r="AG1029" i="9"/>
  <c r="AF1029" i="9"/>
  <c r="AE1029" i="9"/>
  <c r="AC1029" i="9"/>
  <c r="AB1029" i="9"/>
  <c r="AA1029" i="9"/>
  <c r="Z1029" i="9"/>
  <c r="X1029" i="9"/>
  <c r="W1029" i="9"/>
  <c r="V1029" i="9"/>
  <c r="U1029" i="9"/>
  <c r="T1029" i="9"/>
  <c r="S1029" i="9"/>
  <c r="R1029" i="9"/>
  <c r="Q1029" i="9"/>
  <c r="P1029" i="9"/>
  <c r="N1029" i="9"/>
  <c r="M1029" i="9"/>
  <c r="L1029" i="9"/>
  <c r="K1029" i="9"/>
  <c r="I1029" i="9"/>
  <c r="H1029" i="9"/>
  <c r="G1029" i="9"/>
  <c r="F1029" i="9"/>
  <c r="E1029" i="9"/>
  <c r="D1029" i="9"/>
  <c r="C1029" i="9"/>
  <c r="A1029" i="9"/>
  <c r="BS1028" i="9"/>
  <c r="BJ1028" i="9"/>
  <c r="BN1028" i="9" s="1"/>
  <c r="BI1028" i="9"/>
  <c r="BG1028" i="9"/>
  <c r="BF1028" i="9"/>
  <c r="BE1028" i="9"/>
  <c r="BD1028" i="9"/>
  <c r="BB1028" i="9"/>
  <c r="BA1028" i="9"/>
  <c r="AZ1028" i="9"/>
  <c r="AY1028" i="9"/>
  <c r="AW1028" i="9"/>
  <c r="AV1028" i="9"/>
  <c r="AU1028" i="9"/>
  <c r="AT1028" i="9"/>
  <c r="AR1028" i="9"/>
  <c r="AQ1028" i="9"/>
  <c r="AP1028" i="9"/>
  <c r="AO1028" i="9"/>
  <c r="AM1028" i="9"/>
  <c r="AL1028" i="9"/>
  <c r="AK1028" i="9"/>
  <c r="BS1027" i="9"/>
  <c r="BJ1027" i="9"/>
  <c r="BN1027" i="9" s="1"/>
  <c r="BI1027" i="9"/>
  <c r="BG1027" i="9"/>
  <c r="BF1027" i="9"/>
  <c r="BE1027" i="9"/>
  <c r="BD1027" i="9"/>
  <c r="BB1027" i="9"/>
  <c r="BA1027" i="9"/>
  <c r="AZ1027" i="9"/>
  <c r="AY1027" i="9"/>
  <c r="AW1027" i="9"/>
  <c r="AV1027" i="9"/>
  <c r="AU1027" i="9"/>
  <c r="AT1027" i="9"/>
  <c r="AR1027" i="9"/>
  <c r="AQ1027" i="9"/>
  <c r="AP1027" i="9"/>
  <c r="AO1027" i="9"/>
  <c r="AN1027" i="9"/>
  <c r="AM1027" i="9"/>
  <c r="AL1027" i="9"/>
  <c r="AK1027" i="9"/>
  <c r="AJ1027" i="9"/>
  <c r="AH1027" i="9"/>
  <c r="AG1027" i="9"/>
  <c r="AF1027" i="9"/>
  <c r="AE1027" i="9"/>
  <c r="AC1027" i="9"/>
  <c r="AB1027" i="9"/>
  <c r="AA1027" i="9"/>
  <c r="Z1027" i="9"/>
  <c r="X1027" i="9"/>
  <c r="W1027" i="9"/>
  <c r="V1027" i="9"/>
  <c r="U1027" i="9"/>
  <c r="S1027" i="9"/>
  <c r="R1027" i="9"/>
  <c r="Q1027" i="9"/>
  <c r="P1027" i="9"/>
  <c r="N1027" i="9"/>
  <c r="M1027" i="9"/>
  <c r="L1027" i="9"/>
  <c r="K1027" i="9"/>
  <c r="I1027" i="9"/>
  <c r="H1027" i="9"/>
  <c r="G1027" i="9"/>
  <c r="F1027" i="9"/>
  <c r="E1027" i="9"/>
  <c r="D1027" i="9"/>
  <c r="C1027" i="9"/>
  <c r="A1027" i="9"/>
  <c r="BJ1026" i="9"/>
  <c r="BI1026" i="9"/>
  <c r="BH1026" i="9"/>
  <c r="BG1026" i="9"/>
  <c r="BF1026" i="9"/>
  <c r="BE1026" i="9"/>
  <c r="BD1026" i="9"/>
  <c r="BB1026" i="9"/>
  <c r="BA1026" i="9"/>
  <c r="AZ1026" i="9"/>
  <c r="AY1026" i="9"/>
  <c r="AW1026" i="9"/>
  <c r="AV1026" i="9"/>
  <c r="AU1026" i="9"/>
  <c r="AT1026" i="9"/>
  <c r="AR1026" i="9"/>
  <c r="AQ1026" i="9"/>
  <c r="AP1026" i="9"/>
  <c r="AO1026" i="9"/>
  <c r="AN1026" i="9"/>
  <c r="AM1026" i="9"/>
  <c r="AL1026" i="9"/>
  <c r="AK1026" i="9"/>
  <c r="AJ1026" i="9"/>
  <c r="AH1026" i="9"/>
  <c r="AG1026" i="9"/>
  <c r="AF1026" i="9"/>
  <c r="AE1026" i="9"/>
  <c r="AC1026" i="9"/>
  <c r="AB1026" i="9"/>
  <c r="AA1026" i="9"/>
  <c r="Z1026" i="9"/>
  <c r="X1026" i="9"/>
  <c r="W1026" i="9"/>
  <c r="V1026" i="9"/>
  <c r="U1026" i="9"/>
  <c r="S1026" i="9"/>
  <c r="R1026" i="9"/>
  <c r="Q1026" i="9"/>
  <c r="P1026" i="9"/>
  <c r="N1026" i="9"/>
  <c r="M1026" i="9"/>
  <c r="L1026" i="9"/>
  <c r="K1026" i="9"/>
  <c r="I1026" i="9"/>
  <c r="H1026" i="9"/>
  <c r="G1026" i="9"/>
  <c r="F1026" i="9"/>
  <c r="E1026" i="9"/>
  <c r="D1026" i="9"/>
  <c r="C1026" i="9"/>
  <c r="A1026" i="9"/>
  <c r="BJ1025" i="9"/>
  <c r="BI1025" i="9"/>
  <c r="BG1025" i="9"/>
  <c r="BF1025" i="9"/>
  <c r="BE1025" i="9"/>
  <c r="BD1025" i="9"/>
  <c r="BB1025" i="9"/>
  <c r="BA1025" i="9"/>
  <c r="AZ1025" i="9"/>
  <c r="AY1025" i="9"/>
  <c r="AW1025" i="9"/>
  <c r="AV1025" i="9"/>
  <c r="AU1025" i="9"/>
  <c r="AT1025" i="9"/>
  <c r="AS1025" i="9"/>
  <c r="AR1025" i="9"/>
  <c r="AQ1025" i="9"/>
  <c r="AP1025" i="9"/>
  <c r="AO1025" i="9"/>
  <c r="AN1025" i="9"/>
  <c r="AM1025" i="9"/>
  <c r="AL1025" i="9"/>
  <c r="AK1025" i="9"/>
  <c r="AJ1025" i="9"/>
  <c r="AH1025" i="9"/>
  <c r="AG1025" i="9"/>
  <c r="AF1025" i="9"/>
  <c r="AE1025" i="9"/>
  <c r="AC1025" i="9"/>
  <c r="AB1025" i="9"/>
  <c r="AA1025" i="9"/>
  <c r="Z1025" i="9"/>
  <c r="X1025" i="9"/>
  <c r="W1025" i="9"/>
  <c r="V1025" i="9"/>
  <c r="U1025" i="9"/>
  <c r="S1025" i="9"/>
  <c r="R1025" i="9"/>
  <c r="Q1025" i="9"/>
  <c r="P1025" i="9"/>
  <c r="N1025" i="9"/>
  <c r="M1025" i="9"/>
  <c r="L1025" i="9"/>
  <c r="K1025" i="9"/>
  <c r="I1025" i="9"/>
  <c r="H1025" i="9"/>
  <c r="G1025" i="9"/>
  <c r="F1025" i="9"/>
  <c r="E1025" i="9"/>
  <c r="D1025" i="9"/>
  <c r="C1025" i="9"/>
  <c r="A1025" i="9"/>
  <c r="BJ1024" i="9"/>
  <c r="BI1024" i="9"/>
  <c r="BH1024" i="9"/>
  <c r="BG1024" i="9"/>
  <c r="BF1024" i="9"/>
  <c r="BE1024" i="9"/>
  <c r="BD1024" i="9"/>
  <c r="BC1024" i="9"/>
  <c r="BB1024" i="9"/>
  <c r="BA1024" i="9"/>
  <c r="AZ1024" i="9"/>
  <c r="AY1024" i="9"/>
  <c r="AX1024" i="9"/>
  <c r="AW1024" i="9"/>
  <c r="AV1024" i="9"/>
  <c r="AU1024" i="9"/>
  <c r="AT1024" i="9"/>
  <c r="AR1024" i="9"/>
  <c r="AQ1024" i="9"/>
  <c r="AP1024" i="9"/>
  <c r="AO1024" i="9"/>
  <c r="AN1024" i="9"/>
  <c r="AM1024" i="9"/>
  <c r="AL1024" i="9"/>
  <c r="AK1024" i="9"/>
  <c r="AJ1024" i="9"/>
  <c r="AI1024" i="9"/>
  <c r="AH1024" i="9"/>
  <c r="AG1024" i="9"/>
  <c r="AF1024" i="9"/>
  <c r="AE1024" i="9"/>
  <c r="AC1024" i="9"/>
  <c r="AB1024" i="9"/>
  <c r="AA1024" i="9"/>
  <c r="Z1024" i="9"/>
  <c r="X1024" i="9"/>
  <c r="W1024" i="9"/>
  <c r="V1024" i="9"/>
  <c r="U1024" i="9"/>
  <c r="S1024" i="9"/>
  <c r="R1024" i="9"/>
  <c r="Q1024" i="9"/>
  <c r="P1024" i="9"/>
  <c r="O1024" i="9"/>
  <c r="N1024" i="9"/>
  <c r="M1024" i="9"/>
  <c r="L1024" i="9"/>
  <c r="K1024" i="9"/>
  <c r="I1024" i="9"/>
  <c r="H1024" i="9"/>
  <c r="G1024" i="9"/>
  <c r="F1024" i="9"/>
  <c r="E1024" i="9"/>
  <c r="D1024" i="9"/>
  <c r="C1024" i="9"/>
  <c r="A1024" i="9"/>
  <c r="BJ1023" i="9"/>
  <c r="BI1023" i="9"/>
  <c r="BG1023" i="9"/>
  <c r="BF1023" i="9"/>
  <c r="BE1023" i="9"/>
  <c r="BD1023" i="9"/>
  <c r="BB1023" i="9"/>
  <c r="BA1023" i="9"/>
  <c r="AZ1023" i="9"/>
  <c r="AY1023" i="9"/>
  <c r="AW1023" i="9"/>
  <c r="AV1023" i="9"/>
  <c r="AU1023" i="9"/>
  <c r="AT1023" i="9"/>
  <c r="AR1023" i="9"/>
  <c r="AQ1023" i="9"/>
  <c r="AP1023" i="9"/>
  <c r="AO1023" i="9"/>
  <c r="AM1023" i="9"/>
  <c r="AL1023" i="9"/>
  <c r="AK1023" i="9"/>
  <c r="AJ1023" i="9"/>
  <c r="AH1023" i="9"/>
  <c r="AG1023" i="9"/>
  <c r="AF1023" i="9"/>
  <c r="AE1023" i="9"/>
  <c r="AC1023" i="9"/>
  <c r="AB1023" i="9"/>
  <c r="AA1023" i="9"/>
  <c r="Z1023" i="9"/>
  <c r="Y1023" i="9"/>
  <c r="X1023" i="9"/>
  <c r="W1023" i="9"/>
  <c r="V1023" i="9"/>
  <c r="U1023" i="9"/>
  <c r="S1023" i="9"/>
  <c r="R1023" i="9"/>
  <c r="Q1023" i="9"/>
  <c r="P1023" i="9"/>
  <c r="N1023" i="9"/>
  <c r="M1023" i="9"/>
  <c r="L1023" i="9"/>
  <c r="K1023" i="9"/>
  <c r="I1023" i="9"/>
  <c r="H1023" i="9"/>
  <c r="G1023" i="9"/>
  <c r="F1023" i="9"/>
  <c r="E1023" i="9"/>
  <c r="D1023" i="9"/>
  <c r="C1023" i="9"/>
  <c r="A1023" i="9"/>
  <c r="BS1022" i="9"/>
  <c r="BJ1022" i="9"/>
  <c r="BN1022" i="9" s="1"/>
  <c r="BI1022" i="9"/>
  <c r="BH1022" i="9"/>
  <c r="BG1022" i="9"/>
  <c r="BF1022" i="9"/>
  <c r="BE1022" i="9"/>
  <c r="BD1022" i="9"/>
  <c r="BB1022" i="9"/>
  <c r="BA1022" i="9"/>
  <c r="AZ1022" i="9"/>
  <c r="AY1022" i="9"/>
  <c r="AW1022" i="9"/>
  <c r="AV1022" i="9"/>
  <c r="AU1022" i="9"/>
  <c r="AT1022" i="9"/>
  <c r="AR1022" i="9"/>
  <c r="AQ1022" i="9"/>
  <c r="AP1022" i="9"/>
  <c r="AO1022" i="9"/>
  <c r="AN1022" i="9"/>
  <c r="AM1022" i="9"/>
  <c r="AL1022" i="9"/>
  <c r="AK1022" i="9"/>
  <c r="AJ1022" i="9"/>
  <c r="AH1022" i="9"/>
  <c r="AG1022" i="9"/>
  <c r="AF1022" i="9"/>
  <c r="AE1022" i="9"/>
  <c r="AD1022" i="9"/>
  <c r="AC1022" i="9"/>
  <c r="AB1022" i="9"/>
  <c r="AA1022" i="9"/>
  <c r="Z1022" i="9"/>
  <c r="X1022" i="9"/>
  <c r="W1022" i="9"/>
  <c r="V1022" i="9"/>
  <c r="U1022" i="9"/>
  <c r="S1022" i="9"/>
  <c r="R1022" i="9"/>
  <c r="Q1022" i="9"/>
  <c r="P1022" i="9"/>
  <c r="N1022" i="9"/>
  <c r="M1022" i="9"/>
  <c r="L1022" i="9"/>
  <c r="K1022" i="9"/>
  <c r="I1022" i="9"/>
  <c r="H1022" i="9"/>
  <c r="G1022" i="9"/>
  <c r="F1022" i="9"/>
  <c r="E1022" i="9"/>
  <c r="D1022" i="9"/>
  <c r="C1022" i="9"/>
  <c r="A1022" i="9"/>
  <c r="BJ1021" i="9"/>
  <c r="BI1021" i="9"/>
  <c r="BG1021" i="9"/>
  <c r="BF1021" i="9"/>
  <c r="BE1021" i="9"/>
  <c r="BD1021" i="9"/>
  <c r="BB1021" i="9"/>
  <c r="BA1021" i="9"/>
  <c r="AZ1021" i="9"/>
  <c r="AY1021" i="9"/>
  <c r="AW1021" i="9"/>
  <c r="AV1021" i="9"/>
  <c r="AU1021" i="9"/>
  <c r="AT1021" i="9"/>
  <c r="AR1021" i="9"/>
  <c r="AQ1021" i="9"/>
  <c r="AP1021" i="9"/>
  <c r="AO1021" i="9"/>
  <c r="AM1021" i="9"/>
  <c r="AL1021" i="9"/>
  <c r="AK1021" i="9"/>
  <c r="AJ1021" i="9"/>
  <c r="AI1021" i="9"/>
  <c r="AH1021" i="9"/>
  <c r="AG1021" i="9"/>
  <c r="AF1021" i="9"/>
  <c r="AE1021" i="9"/>
  <c r="AC1021" i="9"/>
  <c r="AB1021" i="9"/>
  <c r="AA1021" i="9"/>
  <c r="Z1021" i="9"/>
  <c r="Y1021" i="9"/>
  <c r="X1021" i="9"/>
  <c r="W1021" i="9"/>
  <c r="V1021" i="9"/>
  <c r="U1021" i="9"/>
  <c r="S1021" i="9"/>
  <c r="R1021" i="9"/>
  <c r="Q1021" i="9"/>
  <c r="P1021" i="9"/>
  <c r="N1021" i="9"/>
  <c r="M1021" i="9"/>
  <c r="L1021" i="9"/>
  <c r="K1021" i="9"/>
  <c r="J1021" i="9"/>
  <c r="I1021" i="9"/>
  <c r="H1021" i="9"/>
  <c r="G1021" i="9"/>
  <c r="F1021" i="9"/>
  <c r="E1021" i="9"/>
  <c r="D1021" i="9"/>
  <c r="C1021" i="9"/>
  <c r="A1021" i="9"/>
  <c r="BJ1020" i="9"/>
  <c r="BI1020" i="9"/>
  <c r="BG1020" i="9"/>
  <c r="BF1020" i="9"/>
  <c r="BE1020" i="9"/>
  <c r="BD1020" i="9"/>
  <c r="BB1020" i="9"/>
  <c r="BA1020" i="9"/>
  <c r="AZ1020" i="9"/>
  <c r="AY1020" i="9"/>
  <c r="AW1020" i="9"/>
  <c r="AV1020" i="9"/>
  <c r="AU1020" i="9"/>
  <c r="AT1020" i="9"/>
  <c r="AR1020" i="9"/>
  <c r="AQ1020" i="9"/>
  <c r="AP1020" i="9"/>
  <c r="AO1020" i="9"/>
  <c r="AM1020" i="9"/>
  <c r="AL1020" i="9"/>
  <c r="AK1020" i="9"/>
  <c r="AJ1020" i="9"/>
  <c r="AH1020" i="9"/>
  <c r="AG1020" i="9"/>
  <c r="AF1020" i="9"/>
  <c r="AE1020" i="9"/>
  <c r="AC1020" i="9"/>
  <c r="AB1020" i="9"/>
  <c r="AA1020" i="9"/>
  <c r="Z1020" i="9"/>
  <c r="X1020" i="9"/>
  <c r="W1020" i="9"/>
  <c r="V1020" i="9"/>
  <c r="U1020" i="9"/>
  <c r="T1020" i="9"/>
  <c r="S1020" i="9"/>
  <c r="R1020" i="9"/>
  <c r="Q1020" i="9"/>
  <c r="P1020" i="9"/>
  <c r="N1020" i="9"/>
  <c r="M1020" i="9"/>
  <c r="L1020" i="9"/>
  <c r="K1020" i="9"/>
  <c r="I1020" i="9"/>
  <c r="H1020" i="9"/>
  <c r="G1020" i="9"/>
  <c r="F1020" i="9"/>
  <c r="E1020" i="9"/>
  <c r="D1020" i="9"/>
  <c r="C1020" i="9"/>
  <c r="A1020" i="9"/>
  <c r="A1019" i="9"/>
  <c r="BS1018" i="9"/>
  <c r="BJ1018" i="9"/>
  <c r="BN1018" i="9" s="1"/>
  <c r="BI1018" i="9"/>
  <c r="BG1018" i="9"/>
  <c r="BF1018" i="9"/>
  <c r="BE1018" i="9"/>
  <c r="BD1018" i="9"/>
  <c r="BB1018" i="9"/>
  <c r="BA1018" i="9"/>
  <c r="AZ1018" i="9"/>
  <c r="AY1018" i="9"/>
  <c r="AW1018" i="9"/>
  <c r="AV1018" i="9"/>
  <c r="AU1018" i="9"/>
  <c r="AT1018" i="9"/>
  <c r="AR1018" i="9"/>
  <c r="AQ1018" i="9"/>
  <c r="AP1018" i="9"/>
  <c r="AO1018" i="9"/>
  <c r="AM1018" i="9"/>
  <c r="AL1018" i="9"/>
  <c r="AK1018" i="9"/>
  <c r="AJ1018" i="9"/>
  <c r="AI1018" i="9"/>
  <c r="AH1018" i="9"/>
  <c r="AG1018" i="9"/>
  <c r="AF1018" i="9"/>
  <c r="AE1018" i="9"/>
  <c r="AD1018" i="9"/>
  <c r="AC1018" i="9"/>
  <c r="AB1018" i="9"/>
  <c r="AA1018" i="9"/>
  <c r="Z1018" i="9"/>
  <c r="X1018" i="9"/>
  <c r="W1018" i="9"/>
  <c r="V1018" i="9"/>
  <c r="U1018" i="9"/>
  <c r="T1018" i="9"/>
  <c r="S1018" i="9"/>
  <c r="R1018" i="9"/>
  <c r="Q1018" i="9"/>
  <c r="P1018" i="9"/>
  <c r="N1018" i="9"/>
  <c r="M1018" i="9"/>
  <c r="L1018" i="9"/>
  <c r="K1018" i="9"/>
  <c r="J1018" i="9"/>
  <c r="I1018" i="9"/>
  <c r="H1018" i="9"/>
  <c r="G1018" i="9"/>
  <c r="F1018" i="9"/>
  <c r="E1018" i="9"/>
  <c r="D1018" i="9"/>
  <c r="C1018" i="9"/>
  <c r="A1018" i="9"/>
  <c r="BJ1017" i="9"/>
  <c r="BJ890" i="9" s="1"/>
  <c r="BI1017" i="9"/>
  <c r="BI890" i="9" s="1"/>
  <c r="BI767" i="9" s="1"/>
  <c r="BG1017" i="9"/>
  <c r="BG890" i="9" s="1"/>
  <c r="BG767" i="9" s="1"/>
  <c r="BF1017" i="9"/>
  <c r="BF890" i="9" s="1"/>
  <c r="BE1017" i="9"/>
  <c r="BE890" i="9" s="1"/>
  <c r="BD1017" i="9"/>
  <c r="BD890" i="9" s="1"/>
  <c r="BB1017" i="9"/>
  <c r="BB890" i="9" s="1"/>
  <c r="BA1017" i="9"/>
  <c r="BA890" i="9" s="1"/>
  <c r="AZ1017" i="9"/>
  <c r="AY1017" i="9"/>
  <c r="AY890" i="9" s="1"/>
  <c r="AX1017" i="9"/>
  <c r="AW1017" i="9"/>
  <c r="AW890" i="9" s="1"/>
  <c r="AW767" i="9" s="1"/>
  <c r="AV1017" i="9"/>
  <c r="AV890" i="9" s="1"/>
  <c r="AU1017" i="9"/>
  <c r="AU890" i="9" s="1"/>
  <c r="AT1017" i="9"/>
  <c r="AR1017" i="9"/>
  <c r="AQ1017" i="9"/>
  <c r="AQ890" i="9" s="1"/>
  <c r="AP1017" i="9"/>
  <c r="AP890" i="9" s="1"/>
  <c r="AP767" i="9" s="1"/>
  <c r="AP634" i="9" s="1"/>
  <c r="AO1017" i="9"/>
  <c r="AM1017" i="9"/>
  <c r="AM890" i="9" s="1"/>
  <c r="AL1017" i="9"/>
  <c r="AL890" i="9" s="1"/>
  <c r="AK1017" i="9"/>
  <c r="AK890" i="9" s="1"/>
  <c r="AJ1017" i="9"/>
  <c r="AJ890" i="9" s="1"/>
  <c r="AH1017" i="9"/>
  <c r="AH890" i="9" s="1"/>
  <c r="AH767" i="9" s="1"/>
  <c r="AH634" i="9" s="1"/>
  <c r="AG1017" i="9"/>
  <c r="AF1017" i="9"/>
  <c r="AF890" i="9" s="1"/>
  <c r="AE1017" i="9"/>
  <c r="AE890" i="9" s="1"/>
  <c r="AE767" i="9" s="1"/>
  <c r="AC1017" i="9"/>
  <c r="AB1017" i="9"/>
  <c r="AB890" i="9" s="1"/>
  <c r="AA1017" i="9"/>
  <c r="Z1017" i="9"/>
  <c r="Z890" i="9" s="1"/>
  <c r="Z767" i="9" s="1"/>
  <c r="X1017" i="9"/>
  <c r="W1017" i="9"/>
  <c r="W890" i="9" s="1"/>
  <c r="V1017" i="9"/>
  <c r="V890" i="9" s="1"/>
  <c r="U1017" i="9"/>
  <c r="U890" i="9" s="1"/>
  <c r="S1017" i="9"/>
  <c r="S890" i="9" s="1"/>
  <c r="R1017" i="9"/>
  <c r="R890" i="9" s="1"/>
  <c r="R767" i="9" s="1"/>
  <c r="R634" i="9" s="1"/>
  <c r="Q1017" i="9"/>
  <c r="Q890" i="9" s="1"/>
  <c r="P1017" i="9"/>
  <c r="P890" i="9" s="1"/>
  <c r="N1017" i="9"/>
  <c r="N890" i="9" s="1"/>
  <c r="M1017" i="9"/>
  <c r="L1017" i="9"/>
  <c r="L890" i="9" s="1"/>
  <c r="K1017" i="9"/>
  <c r="K890" i="9" s="1"/>
  <c r="I1017" i="9"/>
  <c r="I890" i="9" s="1"/>
  <c r="H1017" i="9"/>
  <c r="H890" i="9" s="1"/>
  <c r="G1017" i="9"/>
  <c r="F1017" i="9"/>
  <c r="E1017" i="9"/>
  <c r="E890" i="9" s="1"/>
  <c r="E767" i="9" s="1"/>
  <c r="D1017" i="9"/>
  <c r="D890" i="9" s="1"/>
  <c r="C1017" i="9"/>
  <c r="A1017" i="9"/>
  <c r="BS1016" i="9"/>
  <c r="BJ1016" i="9"/>
  <c r="BN1016" i="9" s="1"/>
  <c r="BI1016" i="9"/>
  <c r="BH1016" i="9"/>
  <c r="BG1016" i="9"/>
  <c r="BF1016" i="9"/>
  <c r="BE1016" i="9"/>
  <c r="BD1016" i="9"/>
  <c r="BC1016" i="9"/>
  <c r="BB1016" i="9"/>
  <c r="BA1016" i="9"/>
  <c r="AZ1016" i="9"/>
  <c r="AY1016" i="9"/>
  <c r="AX1016" i="9"/>
  <c r="AW1016" i="9"/>
  <c r="AV1016" i="9"/>
  <c r="AU1016" i="9"/>
  <c r="AT1016" i="9"/>
  <c r="AR1016" i="9"/>
  <c r="AQ1016" i="9"/>
  <c r="AP1016" i="9"/>
  <c r="AO1016" i="9"/>
  <c r="AN1016" i="9"/>
  <c r="AM1016" i="9"/>
  <c r="AL1016" i="9"/>
  <c r="AK1016" i="9"/>
  <c r="AJ1016" i="9"/>
  <c r="AH1016" i="9"/>
  <c r="AG1016" i="9"/>
  <c r="AF1016" i="9"/>
  <c r="AE1016" i="9"/>
  <c r="AC1016" i="9"/>
  <c r="AB1016" i="9"/>
  <c r="AA1016" i="9"/>
  <c r="Z1016" i="9"/>
  <c r="X1016" i="9"/>
  <c r="W1016" i="9"/>
  <c r="V1016" i="9"/>
  <c r="U1016" i="9"/>
  <c r="S1016" i="9"/>
  <c r="R1016" i="9"/>
  <c r="Q1016" i="9"/>
  <c r="P1016" i="9"/>
  <c r="N1016" i="9"/>
  <c r="M1016" i="9"/>
  <c r="L1016" i="9"/>
  <c r="K1016" i="9"/>
  <c r="I1016" i="9"/>
  <c r="H1016" i="9"/>
  <c r="G1016" i="9"/>
  <c r="F1016" i="9"/>
  <c r="E1016" i="9"/>
  <c r="D1016" i="9"/>
  <c r="C1016" i="9"/>
  <c r="A1016" i="9"/>
  <c r="BS1015" i="9"/>
  <c r="BJ1015" i="9"/>
  <c r="BN1015" i="9" s="1"/>
  <c r="BI1015" i="9"/>
  <c r="BG1015" i="9"/>
  <c r="BF1015" i="9"/>
  <c r="BE1015" i="9"/>
  <c r="BD1015" i="9"/>
  <c r="BC1015" i="9"/>
  <c r="BB1015" i="9"/>
  <c r="BA1015" i="9"/>
  <c r="AZ1015" i="9"/>
  <c r="AY1015" i="9"/>
  <c r="AW1015" i="9"/>
  <c r="AV1015" i="9"/>
  <c r="AU1015" i="9"/>
  <c r="AT1015" i="9"/>
  <c r="AR1015" i="9"/>
  <c r="AQ1015" i="9"/>
  <c r="AP1015" i="9"/>
  <c r="AO1015" i="9"/>
  <c r="AM1015" i="9"/>
  <c r="AL1015" i="9"/>
  <c r="AK1015" i="9"/>
  <c r="AJ1015" i="9"/>
  <c r="AH1015" i="9"/>
  <c r="AG1015" i="9"/>
  <c r="AF1015" i="9"/>
  <c r="AE1015" i="9"/>
  <c r="AD1015" i="9"/>
  <c r="AC1015" i="9"/>
  <c r="AB1015" i="9"/>
  <c r="AA1015" i="9"/>
  <c r="Z1015" i="9"/>
  <c r="X1015" i="9"/>
  <c r="W1015" i="9"/>
  <c r="V1015" i="9"/>
  <c r="U1015" i="9"/>
  <c r="T1015" i="9"/>
  <c r="S1015" i="9"/>
  <c r="R1015" i="9"/>
  <c r="Q1015" i="9"/>
  <c r="P1015" i="9"/>
  <c r="N1015" i="9"/>
  <c r="M1015" i="9"/>
  <c r="L1015" i="9"/>
  <c r="K1015" i="9"/>
  <c r="J1015" i="9"/>
  <c r="I1015" i="9"/>
  <c r="H1015" i="9"/>
  <c r="G1015" i="9"/>
  <c r="F1015" i="9"/>
  <c r="E1015" i="9"/>
  <c r="D1015" i="9"/>
  <c r="C1015" i="9"/>
  <c r="A1015" i="9"/>
  <c r="BJ1014" i="9"/>
  <c r="BJ782" i="9" s="1"/>
  <c r="BI1014" i="9"/>
  <c r="BI782" i="9" s="1"/>
  <c r="BG1014" i="9"/>
  <c r="BG782" i="9" s="1"/>
  <c r="BF1014" i="9"/>
  <c r="BE1014" i="9"/>
  <c r="BE782" i="9" s="1"/>
  <c r="BD1014" i="9"/>
  <c r="BB1014" i="9"/>
  <c r="BA1014" i="9"/>
  <c r="AZ1014" i="9"/>
  <c r="AZ782" i="9" s="1"/>
  <c r="AY1014" i="9"/>
  <c r="AW1014" i="9"/>
  <c r="AW782" i="9" s="1"/>
  <c r="AV1014" i="9"/>
  <c r="AV782" i="9" s="1"/>
  <c r="AU1014" i="9"/>
  <c r="AU782" i="9" s="1"/>
  <c r="AT1014" i="9"/>
  <c r="AT782" i="9" s="1"/>
  <c r="AS1014" i="9"/>
  <c r="AS782" i="9" s="1"/>
  <c r="AR1014" i="9"/>
  <c r="AR782" i="9" s="1"/>
  <c r="AR781" i="9" s="1"/>
  <c r="AQ1014" i="9"/>
  <c r="AQ782" i="9" s="1"/>
  <c r="AP1014" i="9"/>
  <c r="AP782" i="9" s="1"/>
  <c r="AO1014" i="9"/>
  <c r="AO782" i="9" s="1"/>
  <c r="AM1014" i="9"/>
  <c r="AM782" i="9" s="1"/>
  <c r="AL1014" i="9"/>
  <c r="AL782" i="9" s="1"/>
  <c r="AK1014" i="9"/>
  <c r="AJ1014" i="9"/>
  <c r="AJ782" i="9" s="1"/>
  <c r="AH1014" i="9"/>
  <c r="AG1014" i="9"/>
  <c r="AG782" i="9" s="1"/>
  <c r="AG781" i="9" s="1"/>
  <c r="AF1014" i="9"/>
  <c r="AF782" i="9" s="1"/>
  <c r="AE1014" i="9"/>
  <c r="AE782" i="9" s="1"/>
  <c r="AC1014" i="9"/>
  <c r="AB1014" i="9"/>
  <c r="AB782" i="9" s="1"/>
  <c r="AA1014" i="9"/>
  <c r="Z1014" i="9"/>
  <c r="X1014" i="9"/>
  <c r="W1014" i="9"/>
  <c r="W782" i="9" s="1"/>
  <c r="V1014" i="9"/>
  <c r="U1014" i="9"/>
  <c r="T1014" i="9"/>
  <c r="T782" i="9" s="1"/>
  <c r="S1014" i="9"/>
  <c r="S782" i="9" s="1"/>
  <c r="R1014" i="9"/>
  <c r="R782" i="9" s="1"/>
  <c r="Q1014" i="9"/>
  <c r="Q782" i="9" s="1"/>
  <c r="P1014" i="9"/>
  <c r="P782" i="9" s="1"/>
  <c r="N1014" i="9"/>
  <c r="M1014" i="9"/>
  <c r="L1014" i="9"/>
  <c r="K1014" i="9"/>
  <c r="I1014" i="9"/>
  <c r="I782" i="9" s="1"/>
  <c r="H1014" i="9"/>
  <c r="H782" i="9" s="1"/>
  <c r="H781" i="9" s="1"/>
  <c r="G1014" i="9"/>
  <c r="G782" i="9" s="1"/>
  <c r="F1014" i="9"/>
  <c r="E1014" i="9"/>
  <c r="E782" i="9" s="1"/>
  <c r="D1014" i="9"/>
  <c r="D782" i="9" s="1"/>
  <c r="C1014" i="9"/>
  <c r="C782" i="9" s="1"/>
  <c r="A1014" i="9"/>
  <c r="BS1013" i="9"/>
  <c r="BN1013" i="9"/>
  <c r="BJ1013" i="9"/>
  <c r="BI1013" i="9"/>
  <c r="BG1013" i="9"/>
  <c r="BF1013" i="9"/>
  <c r="BE1013" i="9"/>
  <c r="BD1013" i="9"/>
  <c r="BC1013" i="9"/>
  <c r="BB1013" i="9"/>
  <c r="BA1013" i="9"/>
  <c r="AZ1013" i="9"/>
  <c r="AY1013" i="9"/>
  <c r="AX1013" i="9"/>
  <c r="AW1013" i="9"/>
  <c r="AV1013" i="9"/>
  <c r="AU1013" i="9"/>
  <c r="AT1013" i="9"/>
  <c r="AR1013" i="9"/>
  <c r="AQ1013" i="9"/>
  <c r="AP1013" i="9"/>
  <c r="AO1013" i="9"/>
  <c r="AM1013" i="9"/>
  <c r="AL1013" i="9"/>
  <c r="AK1013" i="9"/>
  <c r="BS1012" i="9"/>
  <c r="BJ1012" i="9"/>
  <c r="BN1012" i="9" s="1"/>
  <c r="BI1012" i="9"/>
  <c r="BG1012" i="9"/>
  <c r="BF1012" i="9"/>
  <c r="BE1012" i="9"/>
  <c r="BD1012" i="9"/>
  <c r="BB1012" i="9"/>
  <c r="BA1012" i="9"/>
  <c r="AZ1012" i="9"/>
  <c r="AY1012" i="9"/>
  <c r="AW1012" i="9"/>
  <c r="AV1012" i="9"/>
  <c r="AU1012" i="9"/>
  <c r="AT1012" i="9"/>
  <c r="AS1012" i="9"/>
  <c r="AR1012" i="9"/>
  <c r="AQ1012" i="9"/>
  <c r="AP1012" i="9"/>
  <c r="AO1012" i="9"/>
  <c r="AM1012" i="9"/>
  <c r="AL1012" i="9"/>
  <c r="AK1012" i="9"/>
  <c r="AJ1012" i="9"/>
  <c r="AH1012" i="9"/>
  <c r="AG1012" i="9"/>
  <c r="AF1012" i="9"/>
  <c r="AE1012" i="9"/>
  <c r="AC1012" i="9"/>
  <c r="AB1012" i="9"/>
  <c r="AA1012" i="9"/>
  <c r="Z1012" i="9"/>
  <c r="Y1012" i="9"/>
  <c r="X1012" i="9"/>
  <c r="W1012" i="9"/>
  <c r="V1012" i="9"/>
  <c r="U1012" i="9"/>
  <c r="S1012" i="9"/>
  <c r="R1012" i="9"/>
  <c r="Q1012" i="9"/>
  <c r="P1012" i="9"/>
  <c r="N1012" i="9"/>
  <c r="M1012" i="9"/>
  <c r="L1012" i="9"/>
  <c r="K1012" i="9"/>
  <c r="I1012" i="9"/>
  <c r="H1012" i="9"/>
  <c r="G1012" i="9"/>
  <c r="F1012" i="9"/>
  <c r="E1012" i="9"/>
  <c r="D1012" i="9"/>
  <c r="C1012" i="9"/>
  <c r="A1012" i="9"/>
  <c r="BJ1011" i="9"/>
  <c r="BI1011" i="9"/>
  <c r="BH1011" i="9"/>
  <c r="BG1011" i="9"/>
  <c r="BF1011" i="9"/>
  <c r="BE1011" i="9"/>
  <c r="BD1011" i="9"/>
  <c r="BC1011" i="9"/>
  <c r="BB1011" i="9"/>
  <c r="BA1011" i="9"/>
  <c r="AZ1011" i="9"/>
  <c r="AY1011" i="9"/>
  <c r="AX1011" i="9"/>
  <c r="AW1011" i="9"/>
  <c r="AV1011" i="9"/>
  <c r="AU1011" i="9"/>
  <c r="AT1011" i="9"/>
  <c r="AR1011" i="9"/>
  <c r="AQ1011" i="9"/>
  <c r="AP1011" i="9"/>
  <c r="AO1011" i="9"/>
  <c r="AM1011" i="9"/>
  <c r="AL1011" i="9"/>
  <c r="AK1011" i="9"/>
  <c r="AJ1011" i="9"/>
  <c r="AH1011" i="9"/>
  <c r="AG1011" i="9"/>
  <c r="AF1011" i="9"/>
  <c r="AE1011" i="9"/>
  <c r="AC1011" i="9"/>
  <c r="AB1011" i="9"/>
  <c r="AA1011" i="9"/>
  <c r="Z1011" i="9"/>
  <c r="X1011" i="9"/>
  <c r="W1011" i="9"/>
  <c r="V1011" i="9"/>
  <c r="U1011" i="9"/>
  <c r="S1011" i="9"/>
  <c r="R1011" i="9"/>
  <c r="Q1011" i="9"/>
  <c r="P1011" i="9"/>
  <c r="N1011" i="9"/>
  <c r="M1011" i="9"/>
  <c r="L1011" i="9"/>
  <c r="K1011" i="9"/>
  <c r="J1011" i="9"/>
  <c r="I1011" i="9"/>
  <c r="H1011" i="9"/>
  <c r="G1011" i="9"/>
  <c r="F1011" i="9"/>
  <c r="E1011" i="9"/>
  <c r="D1011" i="9"/>
  <c r="C1011" i="9"/>
  <c r="A1011" i="9"/>
  <c r="BS1010" i="9"/>
  <c r="BJ1010" i="9"/>
  <c r="BN1010" i="9" s="1"/>
  <c r="BI1010" i="9"/>
  <c r="BG1010" i="9"/>
  <c r="BF1010" i="9"/>
  <c r="BE1010" i="9"/>
  <c r="BD1010" i="9"/>
  <c r="BB1010" i="9"/>
  <c r="BA1010" i="9"/>
  <c r="AZ1010" i="9"/>
  <c r="AY1010" i="9"/>
  <c r="AX1010" i="9"/>
  <c r="AW1010" i="9"/>
  <c r="AV1010" i="9"/>
  <c r="AU1010" i="9"/>
  <c r="AT1010" i="9"/>
  <c r="AR1010" i="9"/>
  <c r="AQ1010" i="9"/>
  <c r="AP1010" i="9"/>
  <c r="AO1010" i="9"/>
  <c r="AM1010" i="9"/>
  <c r="AL1010" i="9"/>
  <c r="AK1010" i="9"/>
  <c r="AJ1010" i="9"/>
  <c r="AH1010" i="9"/>
  <c r="AG1010" i="9"/>
  <c r="AF1010" i="9"/>
  <c r="AE1010" i="9"/>
  <c r="AD1010" i="9"/>
  <c r="AC1010" i="9"/>
  <c r="AB1010" i="9"/>
  <c r="AA1010" i="9"/>
  <c r="Z1010" i="9"/>
  <c r="X1010" i="9"/>
  <c r="W1010" i="9"/>
  <c r="V1010" i="9"/>
  <c r="U1010" i="9"/>
  <c r="T1010" i="9"/>
  <c r="S1010" i="9"/>
  <c r="R1010" i="9"/>
  <c r="Q1010" i="9"/>
  <c r="P1010" i="9"/>
  <c r="N1010" i="9"/>
  <c r="M1010" i="9"/>
  <c r="L1010" i="9"/>
  <c r="K1010" i="9"/>
  <c r="I1010" i="9"/>
  <c r="H1010" i="9"/>
  <c r="G1010" i="9"/>
  <c r="F1010" i="9"/>
  <c r="E1010" i="9"/>
  <c r="D1010" i="9"/>
  <c r="C1010" i="9"/>
  <c r="A1010" i="9"/>
  <c r="BJ1009" i="9"/>
  <c r="BJ766" i="9" s="1"/>
  <c r="BI1009" i="9"/>
  <c r="BG1009" i="9"/>
  <c r="BG766" i="9" s="1"/>
  <c r="BF1009" i="9"/>
  <c r="BE1009" i="9"/>
  <c r="BD1009" i="9"/>
  <c r="BB1009" i="9"/>
  <c r="BB766" i="9" s="1"/>
  <c r="BA1009" i="9"/>
  <c r="BA766" i="9" s="1"/>
  <c r="AZ1009" i="9"/>
  <c r="AZ766" i="9" s="1"/>
  <c r="AY1009" i="9"/>
  <c r="AY766" i="9" s="1"/>
  <c r="AY633" i="9" s="1"/>
  <c r="AW1009" i="9"/>
  <c r="AW766" i="9" s="1"/>
  <c r="AW1100" i="9" s="1"/>
  <c r="AW1084" i="9" s="1"/>
  <c r="AV1009" i="9"/>
  <c r="AV766" i="9" s="1"/>
  <c r="AU1009" i="9"/>
  <c r="AU766" i="9" s="1"/>
  <c r="AT1009" i="9"/>
  <c r="AT766" i="9" s="1"/>
  <c r="AR1009" i="9"/>
  <c r="AQ1009" i="9"/>
  <c r="AP1009" i="9"/>
  <c r="AO1009" i="9"/>
  <c r="AN1009" i="9"/>
  <c r="AN766" i="9" s="1"/>
  <c r="AM1009" i="9"/>
  <c r="AL1009" i="9"/>
  <c r="AK1009" i="9"/>
  <c r="AJ1009" i="9"/>
  <c r="AJ766" i="9" s="1"/>
  <c r="AJ1100" i="9" s="1"/>
  <c r="AJ1084" i="9" s="1"/>
  <c r="AH1009" i="9"/>
  <c r="AH766" i="9" s="1"/>
  <c r="AG1009" i="9"/>
  <c r="AG766" i="9" s="1"/>
  <c r="AF1009" i="9"/>
  <c r="AE1009" i="9"/>
  <c r="AE766" i="9" s="1"/>
  <c r="AE1100" i="9" s="1"/>
  <c r="AE1084" i="9" s="1"/>
  <c r="AD1009" i="9"/>
  <c r="AD766" i="9" s="1"/>
  <c r="AC1009" i="9"/>
  <c r="AC766" i="9" s="1"/>
  <c r="AC1100" i="9" s="1"/>
  <c r="AC1084" i="9" s="1"/>
  <c r="AB1009" i="9"/>
  <c r="AA1009" i="9"/>
  <c r="Z1009" i="9"/>
  <c r="X1009" i="9"/>
  <c r="X766" i="9" s="1"/>
  <c r="W1009" i="9"/>
  <c r="W766" i="9" s="1"/>
  <c r="W1100" i="9" s="1"/>
  <c r="W1084" i="9" s="1"/>
  <c r="V1009" i="9"/>
  <c r="V766" i="9" s="1"/>
  <c r="V1100" i="9" s="1"/>
  <c r="V1084" i="9" s="1"/>
  <c r="U1009" i="9"/>
  <c r="S1009" i="9"/>
  <c r="R1009" i="9"/>
  <c r="R766" i="9" s="1"/>
  <c r="Q1009" i="9"/>
  <c r="Q766" i="9" s="1"/>
  <c r="P1009" i="9"/>
  <c r="N1009" i="9"/>
  <c r="M1009" i="9"/>
  <c r="M766" i="9" s="1"/>
  <c r="L1009" i="9"/>
  <c r="K1009" i="9"/>
  <c r="I1009" i="9"/>
  <c r="H1009" i="9"/>
  <c r="H766" i="9" s="1"/>
  <c r="H1100" i="9" s="1"/>
  <c r="H1084" i="9" s="1"/>
  <c r="G1009" i="9"/>
  <c r="G766" i="9" s="1"/>
  <c r="F1009" i="9"/>
  <c r="F766" i="9" s="1"/>
  <c r="F1100" i="9" s="1"/>
  <c r="E1009" i="9"/>
  <c r="D1009" i="9"/>
  <c r="D766" i="9" s="1"/>
  <c r="D1100" i="9" s="1"/>
  <c r="D1084" i="9" s="1"/>
  <c r="C1009" i="9"/>
  <c r="C766" i="9" s="1"/>
  <c r="C1100" i="9" s="1"/>
  <c r="A1009" i="9"/>
  <c r="BJ1008" i="9"/>
  <c r="BJ650" i="9" s="1"/>
  <c r="BI1008" i="9"/>
  <c r="BG1008" i="9"/>
  <c r="BF1008" i="9"/>
  <c r="BE1008" i="9"/>
  <c r="BD1008" i="9"/>
  <c r="BB1008" i="9"/>
  <c r="BA1008" i="9"/>
  <c r="AZ1008" i="9"/>
  <c r="AY1008" i="9"/>
  <c r="AW1008" i="9"/>
  <c r="AV1008" i="9"/>
  <c r="AU1008" i="9"/>
  <c r="AT1008" i="9"/>
  <c r="AS1008" i="9"/>
  <c r="AR1008" i="9"/>
  <c r="AQ1008" i="9"/>
  <c r="AP1008" i="9"/>
  <c r="AO1008" i="9"/>
  <c r="AM1008" i="9"/>
  <c r="AL1008" i="9"/>
  <c r="AK1008" i="9"/>
  <c r="AJ1008" i="9"/>
  <c r="AH1008" i="9"/>
  <c r="AG1008" i="9"/>
  <c r="AF1008" i="9"/>
  <c r="AE1008" i="9"/>
  <c r="AC1008" i="9"/>
  <c r="AB1008" i="9"/>
  <c r="AA1008" i="9"/>
  <c r="Z1008" i="9"/>
  <c r="X1008" i="9"/>
  <c r="W1008" i="9"/>
  <c r="V1008" i="9"/>
  <c r="U1008" i="9"/>
  <c r="S1008" i="9"/>
  <c r="R1008" i="9"/>
  <c r="Q1008" i="9"/>
  <c r="P1008" i="9"/>
  <c r="N1008" i="9"/>
  <c r="N1019" i="9" s="1"/>
  <c r="M1008" i="9"/>
  <c r="L1008" i="9"/>
  <c r="K1008" i="9"/>
  <c r="I1008" i="9"/>
  <c r="H1008" i="9"/>
  <c r="G1008" i="9"/>
  <c r="F1008" i="9"/>
  <c r="E1008" i="9"/>
  <c r="D1008" i="9"/>
  <c r="C1008" i="9"/>
  <c r="A1008" i="9"/>
  <c r="A1007" i="9"/>
  <c r="BH1004" i="9"/>
  <c r="BC1004" i="9"/>
  <c r="AX1004" i="9"/>
  <c r="AS1004" i="9"/>
  <c r="AN1004" i="9"/>
  <c r="AI1004" i="9"/>
  <c r="AD1004" i="9"/>
  <c r="Y1004" i="9"/>
  <c r="T1004" i="9"/>
  <c r="O1004" i="9"/>
  <c r="J1004" i="9"/>
  <c r="BH1003" i="9"/>
  <c r="BC1003" i="9"/>
  <c r="AX1003" i="9"/>
  <c r="AS1003" i="9"/>
  <c r="AN1003" i="9"/>
  <c r="AI1003" i="9"/>
  <c r="AD1003" i="9"/>
  <c r="Y1003" i="9"/>
  <c r="T1003" i="9"/>
  <c r="O1003" i="9"/>
  <c r="J1003" i="9"/>
  <c r="BR997" i="9"/>
  <c r="BM997" i="9"/>
  <c r="BH997" i="9"/>
  <c r="BH1056" i="9" s="1"/>
  <c r="BC997" i="9"/>
  <c r="BC1056" i="9" s="1"/>
  <c r="AX997" i="9"/>
  <c r="AX1056" i="9" s="1"/>
  <c r="AS997" i="9"/>
  <c r="AS1056" i="9" s="1"/>
  <c r="AN997" i="9"/>
  <c r="AN1056" i="9" s="1"/>
  <c r="AI997" i="9"/>
  <c r="AI1056" i="9" s="1"/>
  <c r="AD997" i="9"/>
  <c r="AD1056" i="9" s="1"/>
  <c r="Y997" i="9"/>
  <c r="Y1056" i="9" s="1"/>
  <c r="T997" i="9"/>
  <c r="T1056" i="9" s="1"/>
  <c r="O997" i="9"/>
  <c r="O1056" i="9" s="1"/>
  <c r="J997" i="9"/>
  <c r="J1056" i="9" s="1"/>
  <c r="BV995" i="9"/>
  <c r="BU995" i="9"/>
  <c r="BT995" i="9"/>
  <c r="BS995" i="9"/>
  <c r="BQ995" i="9"/>
  <c r="BP995" i="9"/>
  <c r="BO995" i="9"/>
  <c r="BO998" i="9" s="1"/>
  <c r="BN995" i="9"/>
  <c r="BL995" i="9"/>
  <c r="BK995" i="9"/>
  <c r="BJ995" i="9"/>
  <c r="BI995" i="9"/>
  <c r="BG995" i="9"/>
  <c r="BF995" i="9"/>
  <c r="BE995" i="9"/>
  <c r="BD995" i="9"/>
  <c r="BB995" i="9"/>
  <c r="BB998" i="9" s="1"/>
  <c r="BA995" i="9"/>
  <c r="AZ995" i="9"/>
  <c r="AZ998" i="9" s="1"/>
  <c r="AY995" i="9"/>
  <c r="AW995" i="9"/>
  <c r="AV995" i="9"/>
  <c r="AU995" i="9"/>
  <c r="AT995" i="9"/>
  <c r="AR995" i="9"/>
  <c r="AQ995" i="9"/>
  <c r="AP995" i="9"/>
  <c r="AP998" i="9" s="1"/>
  <c r="AO995" i="9"/>
  <c r="AM995" i="9"/>
  <c r="AL995" i="9"/>
  <c r="AK995" i="9"/>
  <c r="AJ995" i="9"/>
  <c r="AH995" i="9"/>
  <c r="AG995" i="9"/>
  <c r="AF995" i="9"/>
  <c r="AE995" i="9"/>
  <c r="AC995" i="9"/>
  <c r="AB995" i="9"/>
  <c r="AA995" i="9"/>
  <c r="Z995" i="9"/>
  <c r="X995" i="9"/>
  <c r="W995" i="9"/>
  <c r="V995" i="9"/>
  <c r="U995" i="9"/>
  <c r="S995" i="9"/>
  <c r="R995" i="9"/>
  <c r="Q995" i="9"/>
  <c r="Q998" i="9" s="1"/>
  <c r="P995" i="9"/>
  <c r="P998" i="9" s="1"/>
  <c r="N995" i="9"/>
  <c r="M995" i="9"/>
  <c r="L995" i="9"/>
  <c r="K995" i="9"/>
  <c r="I995" i="9"/>
  <c r="H995" i="9"/>
  <c r="G995" i="9"/>
  <c r="F995" i="9"/>
  <c r="E995" i="9"/>
  <c r="D995" i="9"/>
  <c r="C995" i="9"/>
  <c r="C998" i="9" s="1"/>
  <c r="C1001" i="9" s="1"/>
  <c r="D1000" i="9" s="1"/>
  <c r="BR994" i="9"/>
  <c r="BM994" i="9"/>
  <c r="BH994" i="9"/>
  <c r="BC994" i="9"/>
  <c r="BC1053" i="9" s="1"/>
  <c r="AX994" i="9"/>
  <c r="AX1053" i="9" s="1"/>
  <c r="AS994" i="9"/>
  <c r="AS1053" i="9" s="1"/>
  <c r="AN994" i="9"/>
  <c r="AN1053" i="9" s="1"/>
  <c r="AI994" i="9"/>
  <c r="AI1053" i="9" s="1"/>
  <c r="AD994" i="9"/>
  <c r="AD1053" i="9" s="1"/>
  <c r="Y994" i="9"/>
  <c r="Y1053" i="9" s="1"/>
  <c r="T994" i="9"/>
  <c r="T1053" i="9" s="1"/>
  <c r="O994" i="9"/>
  <c r="O1053" i="9" s="1"/>
  <c r="J994" i="9"/>
  <c r="J1053" i="9" s="1"/>
  <c r="BR993" i="9"/>
  <c r="BM993" i="9"/>
  <c r="BH993" i="9"/>
  <c r="BC993" i="9"/>
  <c r="BC1052" i="9" s="1"/>
  <c r="AX993" i="9"/>
  <c r="AX1052" i="9" s="1"/>
  <c r="AS993" i="9"/>
  <c r="AS1052" i="9" s="1"/>
  <c r="AN993" i="9"/>
  <c r="AN1052" i="9" s="1"/>
  <c r="AI993" i="9"/>
  <c r="AI1052" i="9" s="1"/>
  <c r="AD993" i="9"/>
  <c r="Y993" i="9"/>
  <c r="T993" i="9"/>
  <c r="O993" i="9"/>
  <c r="O1052" i="9" s="1"/>
  <c r="J993" i="9"/>
  <c r="J1052" i="9" s="1"/>
  <c r="BR992" i="9"/>
  <c r="BM992" i="9"/>
  <c r="BH992" i="9"/>
  <c r="BH1051" i="9" s="1"/>
  <c r="BC992" i="9"/>
  <c r="BC1051" i="9" s="1"/>
  <c r="AX992" i="9"/>
  <c r="AX1051" i="9" s="1"/>
  <c r="AS992" i="9"/>
  <c r="AS1051" i="9" s="1"/>
  <c r="AN992" i="9"/>
  <c r="AI992" i="9"/>
  <c r="AI1051" i="9" s="1"/>
  <c r="AD992" i="9"/>
  <c r="AD1051" i="9" s="1"/>
  <c r="Y992" i="9"/>
  <c r="Y1051" i="9" s="1"/>
  <c r="T992" i="9"/>
  <c r="T1051" i="9" s="1"/>
  <c r="O992" i="9"/>
  <c r="O1051" i="9" s="1"/>
  <c r="J992" i="9"/>
  <c r="J1051" i="9" s="1"/>
  <c r="BR991" i="9"/>
  <c r="BM991" i="9"/>
  <c r="BH991" i="9"/>
  <c r="BC991" i="9"/>
  <c r="BC1050" i="9" s="1"/>
  <c r="AX991" i="9"/>
  <c r="AX1050" i="9" s="1"/>
  <c r="AS991" i="9"/>
  <c r="AS1050" i="9" s="1"/>
  <c r="AN991" i="9"/>
  <c r="AN1050" i="9" s="1"/>
  <c r="AI991" i="9"/>
  <c r="AI1050" i="9" s="1"/>
  <c r="AD991" i="9"/>
  <c r="AD1050" i="9" s="1"/>
  <c r="Y991" i="9"/>
  <c r="Y1050" i="9" s="1"/>
  <c r="T991" i="9"/>
  <c r="T1050" i="9" s="1"/>
  <c r="O991" i="9"/>
  <c r="J991" i="9"/>
  <c r="BR990" i="9"/>
  <c r="BM990" i="9"/>
  <c r="BH990" i="9"/>
  <c r="BH1049" i="9" s="1"/>
  <c r="BC990" i="9"/>
  <c r="BC1049" i="9" s="1"/>
  <c r="AX990" i="9"/>
  <c r="AX1049" i="9" s="1"/>
  <c r="AS990" i="9"/>
  <c r="AS1049" i="9" s="1"/>
  <c r="AN990" i="9"/>
  <c r="AN1049" i="9" s="1"/>
  <c r="AI990" i="9"/>
  <c r="AI1049" i="9" s="1"/>
  <c r="AD990" i="9"/>
  <c r="Y990" i="9"/>
  <c r="T990" i="9"/>
  <c r="O990" i="9"/>
  <c r="O1049" i="9" s="1"/>
  <c r="J990" i="9"/>
  <c r="BR989" i="9"/>
  <c r="BM989" i="9"/>
  <c r="BH989" i="9"/>
  <c r="BH1048" i="9" s="1"/>
  <c r="BC989" i="9"/>
  <c r="BC1048" i="9" s="1"/>
  <c r="AX989" i="9"/>
  <c r="AX1048" i="9" s="1"/>
  <c r="AS989" i="9"/>
  <c r="AS1048" i="9" s="1"/>
  <c r="AN989" i="9"/>
  <c r="AI989" i="9"/>
  <c r="AD989" i="9"/>
  <c r="AD1048" i="9" s="1"/>
  <c r="Y989" i="9"/>
  <c r="Y1048" i="9" s="1"/>
  <c r="T989" i="9"/>
  <c r="T1048" i="9" s="1"/>
  <c r="O989" i="9"/>
  <c r="O1048" i="9" s="1"/>
  <c r="J989" i="9"/>
  <c r="J1048" i="9" s="1"/>
  <c r="BR988" i="9"/>
  <c r="BM988" i="9"/>
  <c r="BH988" i="9"/>
  <c r="BC988" i="9"/>
  <c r="AX988" i="9"/>
  <c r="AX1047" i="9" s="1"/>
  <c r="AS988" i="9"/>
  <c r="AS1047" i="9" s="1"/>
  <c r="AS883" i="9" s="1"/>
  <c r="AN988" i="9"/>
  <c r="AN1047" i="9" s="1"/>
  <c r="AN883" i="9" s="1"/>
  <c r="AI988" i="9"/>
  <c r="AI1047" i="9" s="1"/>
  <c r="AI883" i="9" s="1"/>
  <c r="AD988" i="9"/>
  <c r="AD1047" i="9" s="1"/>
  <c r="AD883" i="9" s="1"/>
  <c r="Y988" i="9"/>
  <c r="Y1047" i="9" s="1"/>
  <c r="Y883" i="9" s="1"/>
  <c r="T988" i="9"/>
  <c r="T1047" i="9" s="1"/>
  <c r="O988" i="9"/>
  <c r="O1047" i="9" s="1"/>
  <c r="J988" i="9"/>
  <c r="J1047" i="9" s="1"/>
  <c r="J883" i="9" s="1"/>
  <c r="BR987" i="9"/>
  <c r="BM987" i="9"/>
  <c r="BH987" i="9"/>
  <c r="BC987" i="9"/>
  <c r="BC1046" i="9" s="1"/>
  <c r="AX987" i="9"/>
  <c r="AX1046" i="9" s="1"/>
  <c r="BR986" i="9"/>
  <c r="BM986" i="9"/>
  <c r="BH986" i="9"/>
  <c r="BH1045" i="9" s="1"/>
  <c r="BC986" i="9"/>
  <c r="BC1045" i="9" s="1"/>
  <c r="AX986" i="9"/>
  <c r="AS986" i="9"/>
  <c r="AN986" i="9"/>
  <c r="AN1045" i="9" s="1"/>
  <c r="AI986" i="9"/>
  <c r="AD986" i="9"/>
  <c r="AD1045" i="9" s="1"/>
  <c r="Y986" i="9"/>
  <c r="Y1045" i="9" s="1"/>
  <c r="T986" i="9"/>
  <c r="T1045" i="9" s="1"/>
  <c r="O986" i="9"/>
  <c r="O1045" i="9" s="1"/>
  <c r="J986" i="9"/>
  <c r="J1045" i="9" s="1"/>
  <c r="BR985" i="9"/>
  <c r="BM985" i="9"/>
  <c r="BH985" i="9"/>
  <c r="BH1044" i="9" s="1"/>
  <c r="BC985" i="9"/>
  <c r="BC1044" i="9" s="1"/>
  <c r="AX985" i="9"/>
  <c r="AX1044" i="9" s="1"/>
  <c r="AS985" i="9"/>
  <c r="AN985" i="9"/>
  <c r="AN1044" i="9" s="1"/>
  <c r="AI985" i="9"/>
  <c r="AI1044" i="9" s="1"/>
  <c r="AD985" i="9"/>
  <c r="AD1044" i="9" s="1"/>
  <c r="BR984" i="9"/>
  <c r="BM984" i="9"/>
  <c r="BH984" i="9"/>
  <c r="BH1043" i="9" s="1"/>
  <c r="BC984" i="9"/>
  <c r="BC1043" i="9" s="1"/>
  <c r="AX984" i="9"/>
  <c r="AS984" i="9"/>
  <c r="AS1043" i="9" s="1"/>
  <c r="AN984" i="9"/>
  <c r="AN1043" i="9" s="1"/>
  <c r="AI984" i="9"/>
  <c r="AI1043" i="9" s="1"/>
  <c r="AD984" i="9"/>
  <c r="AD1043" i="9" s="1"/>
  <c r="Y984" i="9"/>
  <c r="Y1043" i="9" s="1"/>
  <c r="T984" i="9"/>
  <c r="O984" i="9"/>
  <c r="O1043" i="9" s="1"/>
  <c r="J984" i="9"/>
  <c r="J1043" i="9" s="1"/>
  <c r="BR983" i="9"/>
  <c r="BM983" i="9"/>
  <c r="BH983" i="9"/>
  <c r="BC983" i="9"/>
  <c r="BC1042" i="9" s="1"/>
  <c r="AX983" i="9"/>
  <c r="AX1042" i="9" s="1"/>
  <c r="AS983" i="9"/>
  <c r="AS1042" i="9" s="1"/>
  <c r="AN983" i="9"/>
  <c r="AN1042" i="9" s="1"/>
  <c r="AI983" i="9"/>
  <c r="AD983" i="9"/>
  <c r="Y983" i="9"/>
  <c r="T983" i="9"/>
  <c r="O983" i="9"/>
  <c r="O1042" i="9" s="1"/>
  <c r="J983" i="9"/>
  <c r="BV980" i="9"/>
  <c r="BU980" i="9"/>
  <c r="BU998" i="9" s="1"/>
  <c r="BT980" i="9"/>
  <c r="BS980" i="9"/>
  <c r="BS998" i="9" s="1"/>
  <c r="BQ980" i="9"/>
  <c r="BP980" i="9"/>
  <c r="BO980" i="9"/>
  <c r="BN980" i="9"/>
  <c r="BL980" i="9"/>
  <c r="BK980" i="9"/>
  <c r="BJ980" i="9"/>
  <c r="BI980" i="9"/>
  <c r="BG980" i="9"/>
  <c r="BF980" i="9"/>
  <c r="BE980" i="9"/>
  <c r="BD980" i="9"/>
  <c r="BB980" i="9"/>
  <c r="BA980" i="9"/>
  <c r="AZ980" i="9"/>
  <c r="AY980" i="9"/>
  <c r="AW980" i="9"/>
  <c r="AV980" i="9"/>
  <c r="AV998" i="9" s="1"/>
  <c r="AU980" i="9"/>
  <c r="AT980" i="9"/>
  <c r="AR980" i="9"/>
  <c r="AQ980" i="9"/>
  <c r="AP980" i="9"/>
  <c r="AO980" i="9"/>
  <c r="AM980" i="9"/>
  <c r="AL980" i="9"/>
  <c r="AK980" i="9"/>
  <c r="AJ980" i="9"/>
  <c r="AH980" i="9"/>
  <c r="AG980" i="9"/>
  <c r="AF980" i="9"/>
  <c r="AE980" i="9"/>
  <c r="AC980" i="9"/>
  <c r="AB980" i="9"/>
  <c r="AA980" i="9"/>
  <c r="Z980" i="9"/>
  <c r="X980" i="9"/>
  <c r="X998" i="9" s="1"/>
  <c r="W980" i="9"/>
  <c r="W998" i="9" s="1"/>
  <c r="V980" i="9"/>
  <c r="U980" i="9"/>
  <c r="S980" i="9"/>
  <c r="R980" i="9"/>
  <c r="Q980" i="9"/>
  <c r="P980" i="9"/>
  <c r="N980" i="9"/>
  <c r="N998" i="9" s="1"/>
  <c r="M980" i="9"/>
  <c r="L980" i="9"/>
  <c r="K980" i="9"/>
  <c r="I980" i="9"/>
  <c r="H980" i="9"/>
  <c r="G980" i="9"/>
  <c r="F980" i="9"/>
  <c r="E980" i="9"/>
  <c r="D980" i="9"/>
  <c r="C980" i="9"/>
  <c r="BR979" i="9"/>
  <c r="BM979" i="9"/>
  <c r="BH979" i="9"/>
  <c r="BH1038" i="9" s="1"/>
  <c r="BC979" i="9"/>
  <c r="BC1038" i="9" s="1"/>
  <c r="AX979" i="9"/>
  <c r="AX1038" i="9" s="1"/>
  <c r="AS979" i="9"/>
  <c r="AS1038" i="9" s="1"/>
  <c r="AN979" i="9"/>
  <c r="AN1038" i="9" s="1"/>
  <c r="AI979" i="9"/>
  <c r="AI1038" i="9" s="1"/>
  <c r="AD979" i="9"/>
  <c r="Y979" i="9"/>
  <c r="T979" i="9"/>
  <c r="T1038" i="9" s="1"/>
  <c r="O979" i="9"/>
  <c r="O1038" i="9" s="1"/>
  <c r="J979" i="9"/>
  <c r="J1038" i="9" s="1"/>
  <c r="BR978" i="9"/>
  <c r="BR980" i="9" s="1"/>
  <c r="BM978" i="9"/>
  <c r="BH978" i="9"/>
  <c r="BH1037" i="9" s="1"/>
  <c r="BC978" i="9"/>
  <c r="AX978" i="9"/>
  <c r="AS978" i="9"/>
  <c r="AS1037" i="9" s="1"/>
  <c r="AN978" i="9"/>
  <c r="AN1037" i="9" s="1"/>
  <c r="AI978" i="9"/>
  <c r="AD978" i="9"/>
  <c r="AD1037" i="9" s="1"/>
  <c r="Y978" i="9"/>
  <c r="Y1037" i="9" s="1"/>
  <c r="T978" i="9"/>
  <c r="T1037" i="9" s="1"/>
  <c r="O978" i="9"/>
  <c r="O1037" i="9" s="1"/>
  <c r="J978" i="9"/>
  <c r="BR977" i="9"/>
  <c r="BM977" i="9"/>
  <c r="BH977" i="9"/>
  <c r="BH1036" i="9" s="1"/>
  <c r="BH881" i="9" s="1"/>
  <c r="BC977" i="9"/>
  <c r="BC1036" i="9" s="1"/>
  <c r="BC881" i="9" s="1"/>
  <c r="AX977" i="9"/>
  <c r="AX1036" i="9" s="1"/>
  <c r="AS977" i="9"/>
  <c r="AS1036" i="9" s="1"/>
  <c r="AS881" i="9" s="1"/>
  <c r="AN977" i="9"/>
  <c r="AN1036" i="9" s="1"/>
  <c r="AI977" i="9"/>
  <c r="AI1036" i="9" s="1"/>
  <c r="AI881" i="9" s="1"/>
  <c r="AD977" i="9"/>
  <c r="AD1036" i="9" s="1"/>
  <c r="AD881" i="9" s="1"/>
  <c r="AD1176" i="9" s="1"/>
  <c r="Y977" i="9"/>
  <c r="T977" i="9"/>
  <c r="O977" i="9"/>
  <c r="O1036" i="9" s="1"/>
  <c r="J977" i="9"/>
  <c r="J1036" i="9" s="1"/>
  <c r="J881" i="9" s="1"/>
  <c r="BR976" i="9"/>
  <c r="BM976" i="9"/>
  <c r="BH976" i="9"/>
  <c r="BH1035" i="9" s="1"/>
  <c r="BC976" i="9"/>
  <c r="BC1035" i="9" s="1"/>
  <c r="AX976" i="9"/>
  <c r="AS976" i="9"/>
  <c r="AS1035" i="9" s="1"/>
  <c r="AS882" i="9" s="1"/>
  <c r="AN976" i="9"/>
  <c r="AN1035" i="9" s="1"/>
  <c r="AN882" i="9" s="1"/>
  <c r="AI976" i="9"/>
  <c r="AI1035" i="9" s="1"/>
  <c r="AI882" i="9" s="1"/>
  <c r="AD976" i="9"/>
  <c r="AD1035" i="9" s="1"/>
  <c r="AD882" i="9" s="1"/>
  <c r="Y976" i="9"/>
  <c r="Y1035" i="9" s="1"/>
  <c r="T976" i="9"/>
  <c r="T1035" i="9" s="1"/>
  <c r="T882" i="9" s="1"/>
  <c r="O976" i="9"/>
  <c r="O1035" i="9" s="1"/>
  <c r="O882" i="9" s="1"/>
  <c r="J976" i="9"/>
  <c r="BR975" i="9"/>
  <c r="BM975" i="9"/>
  <c r="BH975" i="9"/>
  <c r="BH1034" i="9" s="1"/>
  <c r="BC975" i="9"/>
  <c r="AX975" i="9"/>
  <c r="AS975" i="9"/>
  <c r="AN975" i="9"/>
  <c r="AN1034" i="9" s="1"/>
  <c r="AI975" i="9"/>
  <c r="AI1034" i="9" s="1"/>
  <c r="AD975" i="9"/>
  <c r="AD1034" i="9" s="1"/>
  <c r="Y975" i="9"/>
  <c r="Y1034" i="9" s="1"/>
  <c r="T975" i="9"/>
  <c r="O975" i="9"/>
  <c r="J975" i="9"/>
  <c r="J1034" i="9" s="1"/>
  <c r="BR974" i="9"/>
  <c r="BM974" i="9"/>
  <c r="BH974" i="9"/>
  <c r="BC974" i="9"/>
  <c r="BC1033" i="9" s="1"/>
  <c r="AX974" i="9"/>
  <c r="AX1033" i="9" s="1"/>
  <c r="AS974" i="9"/>
  <c r="AN974" i="9"/>
  <c r="AI974" i="9"/>
  <c r="AI1033" i="9" s="1"/>
  <c r="AD974" i="9"/>
  <c r="AD1033" i="9" s="1"/>
  <c r="AD879" i="9" s="1"/>
  <c r="AD1101" i="9" s="1"/>
  <c r="AD1085" i="9" s="1"/>
  <c r="Y974" i="9"/>
  <c r="T974" i="9"/>
  <c r="T1033" i="9" s="1"/>
  <c r="O974" i="9"/>
  <c r="J974" i="9"/>
  <c r="J1033" i="9" s="1"/>
  <c r="J879" i="9" s="1"/>
  <c r="BT971" i="9"/>
  <c r="BN971" i="9"/>
  <c r="BL971" i="9"/>
  <c r="BB971" i="9"/>
  <c r="AZ971" i="9"/>
  <c r="AQ971" i="9"/>
  <c r="AC971" i="9"/>
  <c r="K971" i="9"/>
  <c r="E971" i="9"/>
  <c r="D971" i="9"/>
  <c r="C971" i="9"/>
  <c r="BR970" i="9"/>
  <c r="BM970" i="9"/>
  <c r="BH970" i="9"/>
  <c r="BC970" i="9"/>
  <c r="BC1029" i="9" s="1"/>
  <c r="AX970" i="9"/>
  <c r="AX1029" i="9" s="1"/>
  <c r="AS970" i="9"/>
  <c r="AS1029" i="9" s="1"/>
  <c r="AN970" i="9"/>
  <c r="AN1029" i="9" s="1"/>
  <c r="AI970" i="9"/>
  <c r="AI1029" i="9" s="1"/>
  <c r="AD970" i="9"/>
  <c r="AD1029" i="9" s="1"/>
  <c r="Y970" i="9"/>
  <c r="Y1029" i="9" s="1"/>
  <c r="T970" i="9"/>
  <c r="O970" i="9"/>
  <c r="O1029" i="9" s="1"/>
  <c r="J970" i="9"/>
  <c r="J1029" i="9" s="1"/>
  <c r="BR969" i="9"/>
  <c r="BM969" i="9"/>
  <c r="BH969" i="9"/>
  <c r="BH1028" i="9" s="1"/>
  <c r="BC969" i="9"/>
  <c r="BC1028" i="9" s="1"/>
  <c r="AX969" i="9"/>
  <c r="AX1028" i="9" s="1"/>
  <c r="AS969" i="9"/>
  <c r="AS1028" i="9" s="1"/>
  <c r="AN969" i="9"/>
  <c r="AN1028" i="9" s="1"/>
  <c r="BR968" i="9"/>
  <c r="BM968" i="9"/>
  <c r="BH968" i="9"/>
  <c r="BH1027" i="9" s="1"/>
  <c r="BC968" i="9"/>
  <c r="BC1027" i="9" s="1"/>
  <c r="AX968" i="9"/>
  <c r="AX1027" i="9" s="1"/>
  <c r="AS968" i="9"/>
  <c r="AS1027" i="9" s="1"/>
  <c r="AN968" i="9"/>
  <c r="AI968" i="9"/>
  <c r="AI1027" i="9" s="1"/>
  <c r="AD968" i="9"/>
  <c r="AD1027" i="9" s="1"/>
  <c r="Y968" i="9"/>
  <c r="Y1027" i="9" s="1"/>
  <c r="T968" i="9"/>
  <c r="T1027" i="9" s="1"/>
  <c r="O968" i="9"/>
  <c r="O1027" i="9" s="1"/>
  <c r="J968" i="9"/>
  <c r="J1027" i="9" s="1"/>
  <c r="BR967" i="9"/>
  <c r="BM967" i="9"/>
  <c r="BH967" i="9"/>
  <c r="BC967" i="9"/>
  <c r="BC1026" i="9" s="1"/>
  <c r="AX967" i="9"/>
  <c r="AX1026" i="9" s="1"/>
  <c r="AS967" i="9"/>
  <c r="AS1026" i="9" s="1"/>
  <c r="AN967" i="9"/>
  <c r="AI967" i="9"/>
  <c r="AI1026" i="9" s="1"/>
  <c r="AD967" i="9"/>
  <c r="AD1026" i="9" s="1"/>
  <c r="Y967" i="9"/>
  <c r="Y1026" i="9" s="1"/>
  <c r="T967" i="9"/>
  <c r="T1026" i="9" s="1"/>
  <c r="O967" i="9"/>
  <c r="O1026" i="9" s="1"/>
  <c r="J967" i="9"/>
  <c r="J1026" i="9" s="1"/>
  <c r="BR966" i="9"/>
  <c r="BM966" i="9"/>
  <c r="BH966" i="9"/>
  <c r="BH1025" i="9" s="1"/>
  <c r="BC966" i="9"/>
  <c r="BC1025" i="9" s="1"/>
  <c r="AX966" i="9"/>
  <c r="AX1025" i="9" s="1"/>
  <c r="AS966" i="9"/>
  <c r="AN966" i="9"/>
  <c r="AI966" i="9"/>
  <c r="AI1025" i="9" s="1"/>
  <c r="AD966" i="9"/>
  <c r="AD1025" i="9" s="1"/>
  <c r="Y966" i="9"/>
  <c r="Y1025" i="9" s="1"/>
  <c r="T966" i="9"/>
  <c r="T1025" i="9" s="1"/>
  <c r="O966" i="9"/>
  <c r="O1025" i="9" s="1"/>
  <c r="J966" i="9"/>
  <c r="J1025" i="9" s="1"/>
  <c r="BR965" i="9"/>
  <c r="BM965" i="9"/>
  <c r="BH965" i="9"/>
  <c r="BC965" i="9"/>
  <c r="AX965" i="9"/>
  <c r="AS965" i="9"/>
  <c r="AS1024" i="9" s="1"/>
  <c r="AN965" i="9"/>
  <c r="AI965" i="9"/>
  <c r="AD965" i="9"/>
  <c r="AD1024" i="9" s="1"/>
  <c r="Y965" i="9"/>
  <c r="Y1024" i="9" s="1"/>
  <c r="T965" i="9"/>
  <c r="T1024" i="9" s="1"/>
  <c r="O965" i="9"/>
  <c r="J965" i="9"/>
  <c r="J1024" i="9" s="1"/>
  <c r="BR964" i="9"/>
  <c r="BM964" i="9"/>
  <c r="BH964" i="9"/>
  <c r="BH1023" i="9" s="1"/>
  <c r="BC964" i="9"/>
  <c r="BC1023" i="9" s="1"/>
  <c r="AX964" i="9"/>
  <c r="AX1023" i="9" s="1"/>
  <c r="AS964" i="9"/>
  <c r="AS1023" i="9" s="1"/>
  <c r="AN964" i="9"/>
  <c r="AN1023" i="9" s="1"/>
  <c r="AI964" i="9"/>
  <c r="AI1023" i="9" s="1"/>
  <c r="AD964" i="9"/>
  <c r="AD1023" i="9" s="1"/>
  <c r="Y964" i="9"/>
  <c r="T964" i="9"/>
  <c r="T1023" i="9" s="1"/>
  <c r="O964" i="9"/>
  <c r="O1023" i="9" s="1"/>
  <c r="J964" i="9"/>
  <c r="J1023" i="9" s="1"/>
  <c r="BR963" i="9"/>
  <c r="BM963" i="9"/>
  <c r="BH963" i="9"/>
  <c r="BC963" i="9"/>
  <c r="BC1022" i="9" s="1"/>
  <c r="AX963" i="9"/>
  <c r="AX1022" i="9" s="1"/>
  <c r="AS963" i="9"/>
  <c r="AS1022" i="9" s="1"/>
  <c r="AN963" i="9"/>
  <c r="AI963" i="9"/>
  <c r="AI1022" i="9" s="1"/>
  <c r="AD963" i="9"/>
  <c r="Y963" i="9"/>
  <c r="Y1022" i="9" s="1"/>
  <c r="T963" i="9"/>
  <c r="T1022" i="9" s="1"/>
  <c r="O963" i="9"/>
  <c r="O1022" i="9" s="1"/>
  <c r="J963" i="9"/>
  <c r="J1022" i="9" s="1"/>
  <c r="BR962" i="9"/>
  <c r="BM962" i="9"/>
  <c r="BH962" i="9"/>
  <c r="BH1021" i="9" s="1"/>
  <c r="BC962" i="9"/>
  <c r="BC1021" i="9" s="1"/>
  <c r="AX962" i="9"/>
  <c r="AX1021" i="9" s="1"/>
  <c r="AS962" i="9"/>
  <c r="AS1021" i="9" s="1"/>
  <c r="AN962" i="9"/>
  <c r="AN1021" i="9" s="1"/>
  <c r="AI962" i="9"/>
  <c r="AD962" i="9"/>
  <c r="AD1021" i="9" s="1"/>
  <c r="Y962" i="9"/>
  <c r="T962" i="9"/>
  <c r="T1021" i="9" s="1"/>
  <c r="O962" i="9"/>
  <c r="O1021" i="9" s="1"/>
  <c r="J962" i="9"/>
  <c r="BR961" i="9"/>
  <c r="BM961" i="9"/>
  <c r="BH961" i="9"/>
  <c r="BH1020" i="9" s="1"/>
  <c r="BC961" i="9"/>
  <c r="BC1020" i="9" s="1"/>
  <c r="AX961" i="9"/>
  <c r="AX1020" i="9" s="1"/>
  <c r="AS961" i="9"/>
  <c r="AS1020" i="9" s="1"/>
  <c r="AN961" i="9"/>
  <c r="AN1020" i="9" s="1"/>
  <c r="AI961" i="9"/>
  <c r="AI1020" i="9" s="1"/>
  <c r="AD961" i="9"/>
  <c r="AD1020" i="9" s="1"/>
  <c r="Y961" i="9"/>
  <c r="Y1020" i="9" s="1"/>
  <c r="T961" i="9"/>
  <c r="O961" i="9"/>
  <c r="O1020" i="9" s="1"/>
  <c r="J961" i="9"/>
  <c r="J1020" i="9" s="1"/>
  <c r="BV960" i="9"/>
  <c r="BV971" i="9" s="1"/>
  <c r="BU960" i="9"/>
  <c r="BU971" i="9" s="1"/>
  <c r="BT960" i="9"/>
  <c r="BS960" i="9"/>
  <c r="BS971" i="9" s="1"/>
  <c r="BQ960" i="9"/>
  <c r="BQ971" i="9" s="1"/>
  <c r="BQ998" i="9" s="1"/>
  <c r="BP960" i="9"/>
  <c r="BP971" i="9" s="1"/>
  <c r="BO960" i="9"/>
  <c r="BO971" i="9" s="1"/>
  <c r="BN960" i="9"/>
  <c r="BL960" i="9"/>
  <c r="BK960" i="9"/>
  <c r="BK971" i="9" s="1"/>
  <c r="BJ960" i="9"/>
  <c r="BJ971" i="9" s="1"/>
  <c r="BI960" i="9"/>
  <c r="BI971" i="9" s="1"/>
  <c r="BG960" i="9"/>
  <c r="BG971" i="9" s="1"/>
  <c r="BF960" i="9"/>
  <c r="BF971" i="9" s="1"/>
  <c r="BE960" i="9"/>
  <c r="BE971" i="9" s="1"/>
  <c r="BD960" i="9"/>
  <c r="BD971" i="9" s="1"/>
  <c r="BB960" i="9"/>
  <c r="BA960" i="9"/>
  <c r="BA971" i="9" s="1"/>
  <c r="AZ960" i="9"/>
  <c r="AY960" i="9"/>
  <c r="AY971" i="9" s="1"/>
  <c r="AW960" i="9"/>
  <c r="AW971" i="9" s="1"/>
  <c r="AV960" i="9"/>
  <c r="AV971" i="9" s="1"/>
  <c r="AU960" i="9"/>
  <c r="AU971" i="9" s="1"/>
  <c r="AT960" i="9"/>
  <c r="AT971" i="9" s="1"/>
  <c r="AR960" i="9"/>
  <c r="AR971" i="9" s="1"/>
  <c r="AQ960" i="9"/>
  <c r="AP960" i="9"/>
  <c r="AP971" i="9" s="1"/>
  <c r="AO960" i="9"/>
  <c r="AO971" i="9" s="1"/>
  <c r="AM960" i="9"/>
  <c r="AM971" i="9" s="1"/>
  <c r="AL960" i="9"/>
  <c r="AL971" i="9" s="1"/>
  <c r="AK960" i="9"/>
  <c r="AK971" i="9" s="1"/>
  <c r="AJ960" i="9"/>
  <c r="AJ971" i="9" s="1"/>
  <c r="AH960" i="9"/>
  <c r="AH971" i="9" s="1"/>
  <c r="AG960" i="9"/>
  <c r="AG971" i="9" s="1"/>
  <c r="AF960" i="9"/>
  <c r="AF971" i="9" s="1"/>
  <c r="AE960" i="9"/>
  <c r="AE971" i="9" s="1"/>
  <c r="AC960" i="9"/>
  <c r="AB960" i="9"/>
  <c r="AB971" i="9" s="1"/>
  <c r="AA960" i="9"/>
  <c r="AA971" i="9" s="1"/>
  <c r="Z960" i="9"/>
  <c r="Z971" i="9" s="1"/>
  <c r="X960" i="9"/>
  <c r="X971" i="9" s="1"/>
  <c r="W960" i="9"/>
  <c r="W971" i="9" s="1"/>
  <c r="V960" i="9"/>
  <c r="V971" i="9" s="1"/>
  <c r="U960" i="9"/>
  <c r="U971" i="9" s="1"/>
  <c r="S960" i="9"/>
  <c r="S971" i="9" s="1"/>
  <c r="R960" i="9"/>
  <c r="R971" i="9" s="1"/>
  <c r="Q960" i="9"/>
  <c r="Q971" i="9" s="1"/>
  <c r="P960" i="9"/>
  <c r="P971" i="9" s="1"/>
  <c r="N960" i="9"/>
  <c r="N971" i="9" s="1"/>
  <c r="M960" i="9"/>
  <c r="M971" i="9" s="1"/>
  <c r="L960" i="9"/>
  <c r="L971" i="9" s="1"/>
  <c r="K960" i="9"/>
  <c r="I960" i="9"/>
  <c r="I971" i="9" s="1"/>
  <c r="H960" i="9"/>
  <c r="H971" i="9" s="1"/>
  <c r="G960" i="9"/>
  <c r="G971" i="9" s="1"/>
  <c r="G998" i="9" s="1"/>
  <c r="F960" i="9"/>
  <c r="F971" i="9" s="1"/>
  <c r="E960" i="9"/>
  <c r="D960" i="9"/>
  <c r="C960" i="9"/>
  <c r="BR959" i="9"/>
  <c r="BM959" i="9"/>
  <c r="BH959" i="9"/>
  <c r="BH1018" i="9" s="1"/>
  <c r="BC959" i="9"/>
  <c r="BC1018" i="9" s="1"/>
  <c r="AX959" i="9"/>
  <c r="AX1018" i="9" s="1"/>
  <c r="AS959" i="9"/>
  <c r="AS1018" i="9" s="1"/>
  <c r="AN959" i="9"/>
  <c r="AN1018" i="9" s="1"/>
  <c r="AI959" i="9"/>
  <c r="AD959" i="9"/>
  <c r="Y959" i="9"/>
  <c r="Y1018" i="9" s="1"/>
  <c r="T959" i="9"/>
  <c r="O959" i="9"/>
  <c r="O1018" i="9" s="1"/>
  <c r="J959" i="9"/>
  <c r="BR958" i="9"/>
  <c r="BM958" i="9"/>
  <c r="BH958" i="9"/>
  <c r="BH1017" i="9" s="1"/>
  <c r="BH890" i="9" s="1"/>
  <c r="BH767" i="9" s="1"/>
  <c r="BC958" i="9"/>
  <c r="BC1017" i="9" s="1"/>
  <c r="BC890" i="9" s="1"/>
  <c r="AX958" i="9"/>
  <c r="AS958" i="9"/>
  <c r="AS1017" i="9" s="1"/>
  <c r="AN958" i="9"/>
  <c r="AN1017" i="9" s="1"/>
  <c r="AN890" i="9" s="1"/>
  <c r="AI958" i="9"/>
  <c r="AI1017" i="9" s="1"/>
  <c r="AI890" i="9" s="1"/>
  <c r="AI767" i="9" s="1"/>
  <c r="AD958" i="9"/>
  <c r="AD1017" i="9" s="1"/>
  <c r="AD890" i="9" s="1"/>
  <c r="Y958" i="9"/>
  <c r="Y1017" i="9" s="1"/>
  <c r="Y890" i="9" s="1"/>
  <c r="Y767" i="9" s="1"/>
  <c r="T958" i="9"/>
  <c r="T1017" i="9" s="1"/>
  <c r="T890" i="9" s="1"/>
  <c r="T767" i="9" s="1"/>
  <c r="O958" i="9"/>
  <c r="O1017" i="9" s="1"/>
  <c r="O890" i="9" s="1"/>
  <c r="J958" i="9"/>
  <c r="J1017" i="9" s="1"/>
  <c r="J890" i="9" s="1"/>
  <c r="BR957" i="9"/>
  <c r="BM957" i="9"/>
  <c r="BH957" i="9"/>
  <c r="BC957" i="9"/>
  <c r="AX957" i="9"/>
  <c r="AS957" i="9"/>
  <c r="AS1016" i="9" s="1"/>
  <c r="AN957" i="9"/>
  <c r="AI957" i="9"/>
  <c r="AI1016" i="9" s="1"/>
  <c r="AD957" i="9"/>
  <c r="AD1016" i="9" s="1"/>
  <c r="Y957" i="9"/>
  <c r="Y1016" i="9" s="1"/>
  <c r="T957" i="9"/>
  <c r="O957" i="9"/>
  <c r="O1016" i="9" s="1"/>
  <c r="J957" i="9"/>
  <c r="J1016" i="9" s="1"/>
  <c r="BR956" i="9"/>
  <c r="BM956" i="9"/>
  <c r="BH956" i="9"/>
  <c r="BH1015" i="9" s="1"/>
  <c r="BC956" i="9"/>
  <c r="AX956" i="9"/>
  <c r="AX1015" i="9" s="1"/>
  <c r="AS956" i="9"/>
  <c r="AS1015" i="9" s="1"/>
  <c r="AN956" i="9"/>
  <c r="AN1015" i="9" s="1"/>
  <c r="AI956" i="9"/>
  <c r="AI1015" i="9" s="1"/>
  <c r="AD956" i="9"/>
  <c r="Y956" i="9"/>
  <c r="Y1015" i="9" s="1"/>
  <c r="T956" i="9"/>
  <c r="O956" i="9"/>
  <c r="O1015" i="9" s="1"/>
  <c r="J956" i="9"/>
  <c r="BR955" i="9"/>
  <c r="BM955" i="9"/>
  <c r="BH955" i="9"/>
  <c r="BH1014" i="9" s="1"/>
  <c r="BH782" i="9" s="1"/>
  <c r="BC955" i="9"/>
  <c r="BC1014" i="9" s="1"/>
  <c r="BC782" i="9" s="1"/>
  <c r="AX955" i="9"/>
  <c r="AX1014" i="9" s="1"/>
  <c r="AX782" i="9" s="1"/>
  <c r="AS955" i="9"/>
  <c r="AN955" i="9"/>
  <c r="AN1014" i="9" s="1"/>
  <c r="AN782" i="9" s="1"/>
  <c r="AI955" i="9"/>
  <c r="AI1014" i="9" s="1"/>
  <c r="AI782" i="9" s="1"/>
  <c r="AD955" i="9"/>
  <c r="AD1014" i="9" s="1"/>
  <c r="Y955" i="9"/>
  <c r="Y1014" i="9" s="1"/>
  <c r="Y782" i="9" s="1"/>
  <c r="T955" i="9"/>
  <c r="O955" i="9"/>
  <c r="O1014" i="9" s="1"/>
  <c r="O782" i="9" s="1"/>
  <c r="J955" i="9"/>
  <c r="J1014" i="9" s="1"/>
  <c r="J782" i="9" s="1"/>
  <c r="J781" i="9" s="1"/>
  <c r="BR954" i="9"/>
  <c r="BM954" i="9"/>
  <c r="BH954" i="9"/>
  <c r="BH1013" i="9" s="1"/>
  <c r="BC954" i="9"/>
  <c r="AX954" i="9"/>
  <c r="AS954" i="9"/>
  <c r="AS1013" i="9" s="1"/>
  <c r="AN954" i="9"/>
  <c r="AN1013" i="9" s="1"/>
  <c r="BR953" i="9"/>
  <c r="BM953" i="9"/>
  <c r="BH953" i="9"/>
  <c r="BH1012" i="9" s="1"/>
  <c r="BC953" i="9"/>
  <c r="BC1012" i="9" s="1"/>
  <c r="AX953" i="9"/>
  <c r="AX1012" i="9" s="1"/>
  <c r="AS953" i="9"/>
  <c r="AN953" i="9"/>
  <c r="AN1012" i="9" s="1"/>
  <c r="AI953" i="9"/>
  <c r="AI1012" i="9" s="1"/>
  <c r="AD953" i="9"/>
  <c r="AD1012" i="9" s="1"/>
  <c r="Y953" i="9"/>
  <c r="T953" i="9"/>
  <c r="T1012" i="9" s="1"/>
  <c r="O953" i="9"/>
  <c r="O1012" i="9" s="1"/>
  <c r="J953" i="9"/>
  <c r="J1012" i="9" s="1"/>
  <c r="BR952" i="9"/>
  <c r="BM952" i="9"/>
  <c r="BH952" i="9"/>
  <c r="BC952" i="9"/>
  <c r="AX952" i="9"/>
  <c r="AS952" i="9"/>
  <c r="AS1011" i="9" s="1"/>
  <c r="AN952" i="9"/>
  <c r="AN1011" i="9" s="1"/>
  <c r="AI952" i="9"/>
  <c r="AI1011" i="9" s="1"/>
  <c r="AD952" i="9"/>
  <c r="AD1011" i="9" s="1"/>
  <c r="Y952" i="9"/>
  <c r="Y1011" i="9" s="1"/>
  <c r="T952" i="9"/>
  <c r="T1011" i="9" s="1"/>
  <c r="O952" i="9"/>
  <c r="O1011" i="9" s="1"/>
  <c r="J952" i="9"/>
  <c r="BR951" i="9"/>
  <c r="BM951" i="9"/>
  <c r="BH951" i="9"/>
  <c r="BH1010" i="9" s="1"/>
  <c r="BC951" i="9"/>
  <c r="BC1010" i="9" s="1"/>
  <c r="AX951" i="9"/>
  <c r="AS951" i="9"/>
  <c r="AS1010" i="9" s="1"/>
  <c r="AN951" i="9"/>
  <c r="AN1010" i="9" s="1"/>
  <c r="AI951" i="9"/>
  <c r="AI1010" i="9" s="1"/>
  <c r="AD951" i="9"/>
  <c r="Y951" i="9"/>
  <c r="Y1010" i="9" s="1"/>
  <c r="T951" i="9"/>
  <c r="O951" i="9"/>
  <c r="O1010" i="9" s="1"/>
  <c r="J951" i="9"/>
  <c r="J1010" i="9" s="1"/>
  <c r="BR950" i="9"/>
  <c r="BM950" i="9"/>
  <c r="BH950" i="9"/>
  <c r="BC950" i="9"/>
  <c r="BC1009" i="9" s="1"/>
  <c r="BC766" i="9" s="1"/>
  <c r="AX950" i="9"/>
  <c r="AX1009" i="9" s="1"/>
  <c r="AX766" i="9" s="1"/>
  <c r="AS950" i="9"/>
  <c r="AN950" i="9"/>
  <c r="AI950" i="9"/>
  <c r="AI1009" i="9" s="1"/>
  <c r="AD950" i="9"/>
  <c r="Y950" i="9"/>
  <c r="Y1009" i="9" s="1"/>
  <c r="T950" i="9"/>
  <c r="T1009" i="9" s="1"/>
  <c r="T766" i="9" s="1"/>
  <c r="T1100" i="9" s="1"/>
  <c r="T1084" i="9" s="1"/>
  <c r="O950" i="9"/>
  <c r="O1009" i="9" s="1"/>
  <c r="O766" i="9" s="1"/>
  <c r="J950" i="9"/>
  <c r="J1009" i="9" s="1"/>
  <c r="J766" i="9" s="1"/>
  <c r="J633" i="9" s="1"/>
  <c r="BR949" i="9"/>
  <c r="BM949" i="9"/>
  <c r="BH949" i="9"/>
  <c r="BH1008" i="9" s="1"/>
  <c r="BC949" i="9"/>
  <c r="BC1008" i="9" s="1"/>
  <c r="AX949" i="9"/>
  <c r="AX1008" i="9" s="1"/>
  <c r="AS949" i="9"/>
  <c r="AN949" i="9"/>
  <c r="AN1008" i="9" s="1"/>
  <c r="AI949" i="9"/>
  <c r="AI1008" i="9" s="1"/>
  <c r="AD949" i="9"/>
  <c r="Y949" i="9"/>
  <c r="Y1008" i="9" s="1"/>
  <c r="T949" i="9"/>
  <c r="T1008" i="9" s="1"/>
  <c r="O949" i="9"/>
  <c r="O1008" i="9" s="1"/>
  <c r="J949" i="9"/>
  <c r="BV943" i="9"/>
  <c r="BU943" i="9"/>
  <c r="BT943" i="9"/>
  <c r="BS943" i="9"/>
  <c r="BR943" i="9"/>
  <c r="BQ943" i="9"/>
  <c r="BP943" i="9"/>
  <c r="BO943" i="9"/>
  <c r="BN943" i="9"/>
  <c r="BM943" i="9"/>
  <c r="BL943" i="9"/>
  <c r="BK943" i="9"/>
  <c r="BJ943" i="9"/>
  <c r="BI943" i="9"/>
  <c r="BH943" i="9"/>
  <c r="BG943" i="9"/>
  <c r="BF943" i="9"/>
  <c r="BE943" i="9"/>
  <c r="BD943" i="9"/>
  <c r="BC943" i="9"/>
  <c r="BB943" i="9"/>
  <c r="BA943" i="9"/>
  <c r="AZ943" i="9"/>
  <c r="AY943" i="9"/>
  <c r="AX943" i="9"/>
  <c r="AW943" i="9"/>
  <c r="AV943" i="9"/>
  <c r="AU943" i="9"/>
  <c r="AT943" i="9"/>
  <c r="AS943" i="9"/>
  <c r="AR943" i="9"/>
  <c r="AQ943" i="9"/>
  <c r="AP943" i="9"/>
  <c r="AO943" i="9"/>
  <c r="AN943" i="9"/>
  <c r="AM943" i="9"/>
  <c r="AL943" i="9"/>
  <c r="AK943" i="9"/>
  <c r="AJ943" i="9"/>
  <c r="AI943" i="9"/>
  <c r="AH943" i="9"/>
  <c r="AG943" i="9"/>
  <c r="AF943" i="9"/>
  <c r="AE943" i="9"/>
  <c r="AD943" i="9"/>
  <c r="AC943" i="9"/>
  <c r="AB943" i="9"/>
  <c r="AA943" i="9"/>
  <c r="Z943" i="9"/>
  <c r="Y943" i="9"/>
  <c r="X943" i="9"/>
  <c r="W943" i="9"/>
  <c r="V943" i="9"/>
  <c r="U943" i="9"/>
  <c r="T943" i="9"/>
  <c r="S943" i="9"/>
  <c r="R943" i="9"/>
  <c r="Q943" i="9"/>
  <c r="P943" i="9"/>
  <c r="O943" i="9"/>
  <c r="N943" i="9"/>
  <c r="M943" i="9"/>
  <c r="L943" i="9"/>
  <c r="K943" i="9"/>
  <c r="J943" i="9"/>
  <c r="I943" i="9"/>
  <c r="H943" i="9"/>
  <c r="G943" i="9"/>
  <c r="F943" i="9"/>
  <c r="E943" i="9"/>
  <c r="D943" i="9"/>
  <c r="C943" i="9"/>
  <c r="AQ940" i="9"/>
  <c r="AI940" i="9"/>
  <c r="AI924" i="9" s="1"/>
  <c r="AA940" i="9"/>
  <c r="AA924" i="9" s="1"/>
  <c r="V940" i="9"/>
  <c r="V924" i="9" s="1"/>
  <c r="S940" i="9"/>
  <c r="BH939" i="9"/>
  <c r="BD939" i="9"/>
  <c r="BC939" i="9"/>
  <c r="BB939" i="9"/>
  <c r="AZ939" i="9"/>
  <c r="AX939" i="9"/>
  <c r="AT939" i="9"/>
  <c r="AQ939" i="9"/>
  <c r="AN939" i="9"/>
  <c r="AM939" i="9"/>
  <c r="AI939" i="9"/>
  <c r="AH939" i="9"/>
  <c r="AF939" i="9"/>
  <c r="Z939" i="9"/>
  <c r="Y939" i="9"/>
  <c r="W939" i="9"/>
  <c r="V939" i="9"/>
  <c r="T939" i="9"/>
  <c r="O939" i="9"/>
  <c r="N939" i="9"/>
  <c r="L939" i="9"/>
  <c r="E939" i="9"/>
  <c r="C939" i="9"/>
  <c r="BH937" i="9"/>
  <c r="BH940" i="9" s="1"/>
  <c r="BH924" i="9" s="1"/>
  <c r="BE937" i="9"/>
  <c r="BE940" i="9" s="1"/>
  <c r="BC937" i="9"/>
  <c r="BC940" i="9" s="1"/>
  <c r="BB937" i="9"/>
  <c r="BB940" i="9" s="1"/>
  <c r="BB924" i="9" s="1"/>
  <c r="AW937" i="9"/>
  <c r="AW940" i="9" s="1"/>
  <c r="AT937" i="9"/>
  <c r="AT940" i="9" s="1"/>
  <c r="AT924" i="9" s="1"/>
  <c r="AS937" i="9"/>
  <c r="AS940" i="9" s="1"/>
  <c r="AS924" i="9" s="1"/>
  <c r="AO937" i="9"/>
  <c r="AO940" i="9" s="1"/>
  <c r="AN937" i="9"/>
  <c r="AN940" i="9" s="1"/>
  <c r="AK937" i="9"/>
  <c r="AK940" i="9" s="1"/>
  <c r="AI937" i="9"/>
  <c r="AH937" i="9"/>
  <c r="AH940" i="9" s="1"/>
  <c r="AE937" i="9"/>
  <c r="AE940" i="9" s="1"/>
  <c r="AD937" i="9"/>
  <c r="AD940" i="9" s="1"/>
  <c r="AD924" i="9" s="1"/>
  <c r="AB937" i="9"/>
  <c r="AA937" i="9"/>
  <c r="Z937" i="9"/>
  <c r="Z940" i="9" s="1"/>
  <c r="W937" i="9"/>
  <c r="W940" i="9" s="1"/>
  <c r="O937" i="9"/>
  <c r="O940" i="9" s="1"/>
  <c r="N937" i="9"/>
  <c r="N940" i="9" s="1"/>
  <c r="M937" i="9"/>
  <c r="M940" i="9" s="1"/>
  <c r="I937" i="9"/>
  <c r="I940" i="9" s="1"/>
  <c r="G937" i="9"/>
  <c r="G940" i="9" s="1"/>
  <c r="G924" i="9" s="1"/>
  <c r="F937" i="9"/>
  <c r="F940" i="9" s="1"/>
  <c r="F924" i="9" s="1"/>
  <c r="D937" i="9"/>
  <c r="C937" i="9"/>
  <c r="BV936" i="9"/>
  <c r="BT936" i="9"/>
  <c r="BO936" i="9"/>
  <c r="BN936" i="9"/>
  <c r="BK936" i="9"/>
  <c r="BV935" i="9"/>
  <c r="BQ935" i="9"/>
  <c r="BO935" i="9"/>
  <c r="BN935" i="9"/>
  <c r="BM935" i="9"/>
  <c r="BK935" i="9"/>
  <c r="BV934" i="9"/>
  <c r="BN934" i="9"/>
  <c r="BM934" i="9"/>
  <c r="BK934" i="9"/>
  <c r="A932" i="9"/>
  <c r="A931" i="9"/>
  <c r="A930" i="9"/>
  <c r="A929" i="9"/>
  <c r="A1204" i="9" s="1"/>
  <c r="A928" i="9"/>
  <c r="A926" i="9"/>
  <c r="A925" i="9"/>
  <c r="Z924" i="9"/>
  <c r="A924" i="9"/>
  <c r="AO916" i="9"/>
  <c r="AH916" i="9"/>
  <c r="AG916" i="9"/>
  <c r="AF916" i="9"/>
  <c r="Z916" i="9"/>
  <c r="L916" i="9"/>
  <c r="L376" i="9" s="1"/>
  <c r="L378" i="9" s="1"/>
  <c r="F916" i="9"/>
  <c r="BS911" i="9"/>
  <c r="BN911" i="9"/>
  <c r="BI908" i="9"/>
  <c r="BL907" i="9"/>
  <c r="BK907" i="9"/>
  <c r="BJ907" i="9"/>
  <c r="BI907" i="9"/>
  <c r="BH907" i="9"/>
  <c r="BG907" i="9"/>
  <c r="BF907" i="9"/>
  <c r="BE907" i="9"/>
  <c r="BE908" i="9" s="1"/>
  <c r="BD907" i="9"/>
  <c r="BB907" i="9"/>
  <c r="BA907" i="9"/>
  <c r="AZ907" i="9"/>
  <c r="AY907" i="9"/>
  <c r="AW907" i="9"/>
  <c r="AV907" i="9"/>
  <c r="AU907" i="9"/>
  <c r="AT907" i="9"/>
  <c r="AR907" i="9"/>
  <c r="AQ907" i="9"/>
  <c r="AP907" i="9"/>
  <c r="AO907" i="9"/>
  <c r="AN907" i="9"/>
  <c r="AM907" i="9"/>
  <c r="AM908" i="9" s="1"/>
  <c r="AL907" i="9"/>
  <c r="AK907" i="9"/>
  <c r="AJ907" i="9"/>
  <c r="AI907" i="9"/>
  <c r="AH907" i="9"/>
  <c r="AG907" i="9"/>
  <c r="AF907" i="9"/>
  <c r="AE907" i="9"/>
  <c r="AD907" i="9"/>
  <c r="AC907" i="9"/>
  <c r="AB907" i="9"/>
  <c r="AA907" i="9"/>
  <c r="Z907" i="9"/>
  <c r="Y907" i="9"/>
  <c r="X907" i="9"/>
  <c r="W907" i="9"/>
  <c r="V907" i="9"/>
  <c r="U907" i="9"/>
  <c r="T907" i="9"/>
  <c r="S907" i="9"/>
  <c r="R907" i="9"/>
  <c r="Q907" i="9"/>
  <c r="P907" i="9"/>
  <c r="O907" i="9"/>
  <c r="N907" i="9"/>
  <c r="M907" i="9"/>
  <c r="L907" i="9"/>
  <c r="K907" i="9"/>
  <c r="J907" i="9"/>
  <c r="I907" i="9"/>
  <c r="H907" i="9"/>
  <c r="G907" i="9"/>
  <c r="F907" i="9"/>
  <c r="E907" i="9"/>
  <c r="D907" i="9"/>
  <c r="C907" i="9"/>
  <c r="BJ906" i="9"/>
  <c r="BI906" i="9"/>
  <c r="BI1162" i="9" s="1"/>
  <c r="BG906" i="9"/>
  <c r="BF906" i="9"/>
  <c r="BE906" i="9"/>
  <c r="BE1162" i="9" s="1"/>
  <c r="BD906" i="9"/>
  <c r="BB906" i="9"/>
  <c r="BA906" i="9"/>
  <c r="AZ906" i="9"/>
  <c r="AY906" i="9"/>
  <c r="AY1162" i="9" s="1"/>
  <c r="AW906" i="9"/>
  <c r="AV906" i="9"/>
  <c r="AU906" i="9"/>
  <c r="AU1162" i="9" s="1"/>
  <c r="AT906" i="9"/>
  <c r="AT1162" i="9" s="1"/>
  <c r="AR906" i="9"/>
  <c r="AR1162" i="9" s="1"/>
  <c r="AQ906" i="9"/>
  <c r="AP906" i="9"/>
  <c r="AO906" i="9"/>
  <c r="AN906" i="9"/>
  <c r="AM906" i="9"/>
  <c r="AM1162" i="9" s="1"/>
  <c r="AL906" i="9"/>
  <c r="AK906" i="9"/>
  <c r="AJ906" i="9"/>
  <c r="AH906" i="9"/>
  <c r="AG906" i="9"/>
  <c r="AF906" i="9"/>
  <c r="AE906" i="9"/>
  <c r="AD906" i="9"/>
  <c r="AC906" i="9"/>
  <c r="AC1162" i="9" s="1"/>
  <c r="AB906" i="9"/>
  <c r="AA906" i="9"/>
  <c r="AA1162" i="9" s="1"/>
  <c r="Z906" i="9"/>
  <c r="Z1162" i="9" s="1"/>
  <c r="X906" i="9"/>
  <c r="X1162" i="9" s="1"/>
  <c r="W906" i="9"/>
  <c r="V906" i="9"/>
  <c r="U906" i="9"/>
  <c r="S906" i="9"/>
  <c r="R906" i="9"/>
  <c r="Q906" i="9"/>
  <c r="P906" i="9"/>
  <c r="N906" i="9"/>
  <c r="M906" i="9"/>
  <c r="L906" i="9"/>
  <c r="L1162" i="9" s="1"/>
  <c r="K906" i="9"/>
  <c r="I906" i="9"/>
  <c r="I1162" i="9" s="1"/>
  <c r="H906" i="9"/>
  <c r="G906" i="9"/>
  <c r="H917" i="9" s="1"/>
  <c r="F906" i="9"/>
  <c r="F1162" i="9" s="1"/>
  <c r="E906" i="9"/>
  <c r="E1162" i="9" s="1"/>
  <c r="D906" i="9"/>
  <c r="D1162" i="9" s="1"/>
  <c r="C906" i="9"/>
  <c r="BJ905" i="9"/>
  <c r="BK905" i="9" s="1"/>
  <c r="BI905" i="9"/>
  <c r="BG905" i="9"/>
  <c r="BF905" i="9"/>
  <c r="BE905" i="9"/>
  <c r="BD905" i="9"/>
  <c r="BB905" i="9"/>
  <c r="BA905" i="9"/>
  <c r="AZ905" i="9"/>
  <c r="AY905" i="9"/>
  <c r="AW905" i="9"/>
  <c r="AV905" i="9"/>
  <c r="AU905" i="9"/>
  <c r="AT905" i="9"/>
  <c r="AR905" i="9"/>
  <c r="AQ905" i="9"/>
  <c r="AP905" i="9"/>
  <c r="AO905" i="9"/>
  <c r="AM905" i="9"/>
  <c r="AL905" i="9"/>
  <c r="AK905" i="9"/>
  <c r="AJ905" i="9"/>
  <c r="AI905" i="9"/>
  <c r="AH905" i="9"/>
  <c r="AG905" i="9"/>
  <c r="AF905" i="9"/>
  <c r="AE905" i="9"/>
  <c r="AD905" i="9"/>
  <c r="AC905" i="9"/>
  <c r="AB905" i="9"/>
  <c r="AA905" i="9"/>
  <c r="Z905" i="9"/>
  <c r="X905" i="9"/>
  <c r="W905" i="9"/>
  <c r="V905" i="9"/>
  <c r="U905" i="9"/>
  <c r="S905" i="9"/>
  <c r="R905" i="9"/>
  <c r="Q905" i="9"/>
  <c r="P905" i="9"/>
  <c r="O905" i="9"/>
  <c r="N905" i="9"/>
  <c r="M905" i="9"/>
  <c r="L905" i="9"/>
  <c r="K905" i="9"/>
  <c r="J905" i="9"/>
  <c r="I905" i="9"/>
  <c r="H905" i="9"/>
  <c r="G905" i="9"/>
  <c r="F905" i="9"/>
  <c r="E905" i="9"/>
  <c r="D905" i="9"/>
  <c r="C905" i="9"/>
  <c r="BJ904" i="9"/>
  <c r="BI904" i="9"/>
  <c r="BG904" i="9"/>
  <c r="BF904" i="9"/>
  <c r="BE904" i="9"/>
  <c r="BD904" i="9"/>
  <c r="BB904" i="9"/>
  <c r="BA904" i="9"/>
  <c r="AZ904" i="9"/>
  <c r="AY904" i="9"/>
  <c r="AW904" i="9"/>
  <c r="AV904" i="9"/>
  <c r="AU904" i="9"/>
  <c r="AT904" i="9"/>
  <c r="AR904" i="9"/>
  <c r="AQ904" i="9"/>
  <c r="AP904" i="9"/>
  <c r="AO904" i="9"/>
  <c r="AM904" i="9"/>
  <c r="AL904" i="9"/>
  <c r="AK904" i="9"/>
  <c r="AJ904" i="9"/>
  <c r="AH904" i="9"/>
  <c r="AG904" i="9"/>
  <c r="AF904" i="9"/>
  <c r="AE904" i="9"/>
  <c r="AD904" i="9"/>
  <c r="AC904" i="9"/>
  <c r="AB904" i="9"/>
  <c r="AA904" i="9"/>
  <c r="Z904" i="9"/>
  <c r="X904" i="9"/>
  <c r="W904" i="9"/>
  <c r="V904" i="9"/>
  <c r="U904" i="9"/>
  <c r="T904" i="9"/>
  <c r="S904" i="9"/>
  <c r="R904" i="9"/>
  <c r="Q904" i="9"/>
  <c r="P904" i="9"/>
  <c r="N904" i="9"/>
  <c r="M904" i="9"/>
  <c r="L904" i="9"/>
  <c r="K904" i="9"/>
  <c r="I904" i="9"/>
  <c r="H904" i="9"/>
  <c r="G904" i="9"/>
  <c r="F904" i="9"/>
  <c r="E904" i="9"/>
  <c r="D904" i="9"/>
  <c r="C904" i="9"/>
  <c r="BJ903" i="9"/>
  <c r="BJ1161" i="9" s="1"/>
  <c r="BI903" i="9"/>
  <c r="BI1161" i="9" s="1"/>
  <c r="BG903" i="9"/>
  <c r="BG1161" i="9" s="1"/>
  <c r="BF903" i="9"/>
  <c r="BF1161" i="9" s="1"/>
  <c r="BE903" i="9"/>
  <c r="BE1161" i="9" s="1"/>
  <c r="BD903" i="9"/>
  <c r="BD1161" i="9" s="1"/>
  <c r="BB903" i="9"/>
  <c r="BB1161" i="9" s="1"/>
  <c r="BA903" i="9"/>
  <c r="BA1161" i="9" s="1"/>
  <c r="AZ903" i="9"/>
  <c r="AZ1161" i="9" s="1"/>
  <c r="AY903" i="9"/>
  <c r="AY1161" i="9" s="1"/>
  <c r="AW903" i="9"/>
  <c r="AV903" i="9"/>
  <c r="AV1161" i="9" s="1"/>
  <c r="AU903" i="9"/>
  <c r="AU1161" i="9" s="1"/>
  <c r="AT903" i="9"/>
  <c r="AT1161" i="9" s="1"/>
  <c r="AR903" i="9"/>
  <c r="AR1161" i="9" s="1"/>
  <c r="AQ903" i="9"/>
  <c r="AQ1161" i="9" s="1"/>
  <c r="AP903" i="9"/>
  <c r="AP1161" i="9" s="1"/>
  <c r="AO903" i="9"/>
  <c r="AO1161" i="9" s="1"/>
  <c r="AM903" i="9"/>
  <c r="AL903" i="9"/>
  <c r="AK903" i="9"/>
  <c r="AJ903" i="9"/>
  <c r="AJ1161" i="9" s="1"/>
  <c r="AI903" i="9"/>
  <c r="AI1161" i="9" s="1"/>
  <c r="AH903" i="9"/>
  <c r="AH1161" i="9" s="1"/>
  <c r="AG903" i="9"/>
  <c r="AG1161" i="9" s="1"/>
  <c r="AF903" i="9"/>
  <c r="AF1161" i="9" s="1"/>
  <c r="AE903" i="9"/>
  <c r="AE1161" i="9" s="1"/>
  <c r="AD903" i="9"/>
  <c r="AD1161" i="9" s="1"/>
  <c r="AC903" i="9"/>
  <c r="AC1161" i="9" s="1"/>
  <c r="AB903" i="9"/>
  <c r="AB1161" i="9" s="1"/>
  <c r="AA903" i="9"/>
  <c r="Z903" i="9"/>
  <c r="X903" i="9"/>
  <c r="W903" i="9"/>
  <c r="W1161" i="9" s="1"/>
  <c r="V903" i="9"/>
  <c r="V1161" i="9" s="1"/>
  <c r="U903" i="9"/>
  <c r="U1161" i="9" s="1"/>
  <c r="S903" i="9"/>
  <c r="S1161" i="9" s="1"/>
  <c r="R903" i="9"/>
  <c r="R1161" i="9" s="1"/>
  <c r="Q903" i="9"/>
  <c r="Q1161" i="9" s="1"/>
  <c r="P903" i="9"/>
  <c r="O903" i="9"/>
  <c r="O1161" i="9" s="1"/>
  <c r="N903" i="9"/>
  <c r="N1161" i="9" s="1"/>
  <c r="M903" i="9"/>
  <c r="M1161" i="9" s="1"/>
  <c r="L903" i="9"/>
  <c r="L1161" i="9" s="1"/>
  <c r="K903" i="9"/>
  <c r="K1161" i="9" s="1"/>
  <c r="J903" i="9"/>
  <c r="J1161" i="9" s="1"/>
  <c r="I903" i="9"/>
  <c r="I1161" i="9" s="1"/>
  <c r="H903" i="9"/>
  <c r="H1161" i="9" s="1"/>
  <c r="G903" i="9"/>
  <c r="F903" i="9"/>
  <c r="F1161" i="9" s="1"/>
  <c r="E903" i="9"/>
  <c r="E1161" i="9" s="1"/>
  <c r="D903" i="9"/>
  <c r="D1161" i="9" s="1"/>
  <c r="C903" i="9"/>
  <c r="C1161" i="9" s="1"/>
  <c r="BG891" i="9"/>
  <c r="BB891" i="9"/>
  <c r="AG891" i="9"/>
  <c r="AE891" i="9"/>
  <c r="N891" i="9"/>
  <c r="C891" i="9"/>
  <c r="AZ890" i="9"/>
  <c r="AZ767" i="9" s="1"/>
  <c r="AZ634" i="9" s="1"/>
  <c r="AX890" i="9"/>
  <c r="AT890" i="9"/>
  <c r="AS890" i="9"/>
  <c r="AR890" i="9"/>
  <c r="AO890" i="9"/>
  <c r="AG890" i="9"/>
  <c r="AG767" i="9" s="1"/>
  <c r="AC890" i="9"/>
  <c r="AA890" i="9"/>
  <c r="AA891" i="9" s="1"/>
  <c r="X890" i="9"/>
  <c r="X767" i="9" s="1"/>
  <c r="M890" i="9"/>
  <c r="G890" i="9"/>
  <c r="F890" i="9"/>
  <c r="F767" i="9" s="1"/>
  <c r="C890" i="9"/>
  <c r="C767" i="9" s="1"/>
  <c r="BS888" i="9"/>
  <c r="BN888" i="9"/>
  <c r="AF887" i="9"/>
  <c r="M887" i="9"/>
  <c r="AC886" i="9"/>
  <c r="V886" i="9"/>
  <c r="U886" i="9"/>
  <c r="BS884" i="9"/>
  <c r="BN884" i="9"/>
  <c r="BI884" i="9"/>
  <c r="BD884" i="9"/>
  <c r="AY884" i="9"/>
  <c r="AT884" i="9"/>
  <c r="AO884" i="9"/>
  <c r="AJ884" i="9"/>
  <c r="AE884" i="9"/>
  <c r="Z884" i="9"/>
  <c r="U884" i="9"/>
  <c r="P884" i="9"/>
  <c r="K884" i="9"/>
  <c r="BJ883" i="9"/>
  <c r="BE883" i="9"/>
  <c r="BA883" i="9"/>
  <c r="AY883" i="9"/>
  <c r="AX883" i="9"/>
  <c r="AV883" i="9"/>
  <c r="AO883" i="9"/>
  <c r="AM883" i="9"/>
  <c r="AG883" i="9"/>
  <c r="AC883" i="9"/>
  <c r="AA883" i="9"/>
  <c r="X883" i="9"/>
  <c r="W883" i="9"/>
  <c r="V883" i="9"/>
  <c r="U883" i="9"/>
  <c r="T883" i="9"/>
  <c r="O883" i="9"/>
  <c r="H883" i="9"/>
  <c r="F883" i="9"/>
  <c r="D883" i="9"/>
  <c r="C883" i="9"/>
  <c r="BJ882" i="9"/>
  <c r="BH882" i="9"/>
  <c r="BD882" i="9"/>
  <c r="AY882" i="9"/>
  <c r="AL882" i="9"/>
  <c r="AJ882" i="9"/>
  <c r="AJ1176" i="9" s="1"/>
  <c r="AE882" i="9"/>
  <c r="AC882" i="9"/>
  <c r="AA882" i="9"/>
  <c r="Y882" i="9"/>
  <c r="X882" i="9"/>
  <c r="Q882" i="9"/>
  <c r="N882" i="9"/>
  <c r="F882" i="9"/>
  <c r="E882" i="9"/>
  <c r="D882" i="9"/>
  <c r="BJ881" i="9"/>
  <c r="AX881" i="9"/>
  <c r="AU881" i="9"/>
  <c r="AT881" i="9"/>
  <c r="AR881" i="9"/>
  <c r="AO881" i="9"/>
  <c r="AN881" i="9"/>
  <c r="AF881" i="9"/>
  <c r="AE881" i="9"/>
  <c r="Y881" i="9"/>
  <c r="X881" i="9"/>
  <c r="W881" i="9"/>
  <c r="P881" i="9"/>
  <c r="O881" i="9"/>
  <c r="F881" i="9"/>
  <c r="D881" i="9"/>
  <c r="C881" i="9"/>
  <c r="A880" i="9"/>
  <c r="BJ879" i="9"/>
  <c r="BI879" i="9"/>
  <c r="BC879" i="9"/>
  <c r="BC1101" i="9" s="1"/>
  <c r="BC1085" i="9" s="1"/>
  <c r="AY879" i="9"/>
  <c r="AY1101" i="9" s="1"/>
  <c r="AY1085" i="9" s="1"/>
  <c r="AV879" i="9"/>
  <c r="AV1101" i="9" s="1"/>
  <c r="AV1085" i="9" s="1"/>
  <c r="AP879" i="9"/>
  <c r="AO879" i="9"/>
  <c r="AO1101" i="9" s="1"/>
  <c r="AO1085" i="9" s="1"/>
  <c r="AM879" i="9"/>
  <c r="AM1101" i="9" s="1"/>
  <c r="AM1085" i="9" s="1"/>
  <c r="AK879" i="9"/>
  <c r="AK1101" i="9" s="1"/>
  <c r="AK1085" i="9" s="1"/>
  <c r="AH879" i="9"/>
  <c r="AH1101" i="9" s="1"/>
  <c r="AH1085" i="9" s="1"/>
  <c r="AE879" i="9"/>
  <c r="AE1101" i="9" s="1"/>
  <c r="AE1085" i="9" s="1"/>
  <c r="AB879" i="9"/>
  <c r="AB1173" i="9" s="1"/>
  <c r="S879" i="9"/>
  <c r="S1101" i="9" s="1"/>
  <c r="S1085" i="9" s="1"/>
  <c r="Q879" i="9"/>
  <c r="P879" i="9"/>
  <c r="K879" i="9"/>
  <c r="K1101" i="9" s="1"/>
  <c r="K1085" i="9" s="1"/>
  <c r="E879" i="9"/>
  <c r="E1101" i="9" s="1"/>
  <c r="N870" i="9"/>
  <c r="BJ869" i="9"/>
  <c r="BH869" i="9"/>
  <c r="BG869" i="9"/>
  <c r="BF869" i="9"/>
  <c r="BE869" i="9"/>
  <c r="BC869" i="9"/>
  <c r="BB869" i="9"/>
  <c r="BB870" i="9" s="1"/>
  <c r="BA869" i="9"/>
  <c r="AZ869" i="9"/>
  <c r="AX869" i="9"/>
  <c r="AW869" i="9"/>
  <c r="AV869" i="9"/>
  <c r="AU869" i="9"/>
  <c r="AS869" i="9"/>
  <c r="AR869" i="9"/>
  <c r="AQ869" i="9"/>
  <c r="AP869" i="9"/>
  <c r="AN869" i="9"/>
  <c r="AM869" i="9"/>
  <c r="AM870" i="9" s="1"/>
  <c r="AL869" i="9"/>
  <c r="AK869" i="9"/>
  <c r="AI869" i="9"/>
  <c r="AH869" i="9"/>
  <c r="AG869" i="9"/>
  <c r="AF869" i="9"/>
  <c r="AD869" i="9"/>
  <c r="AC869" i="9"/>
  <c r="AC870" i="9" s="1"/>
  <c r="AB869" i="9"/>
  <c r="AA869" i="9"/>
  <c r="Y869" i="9"/>
  <c r="X869" i="9"/>
  <c r="W869" i="9"/>
  <c r="V869" i="9"/>
  <c r="T869" i="9"/>
  <c r="S869" i="9"/>
  <c r="R869" i="9"/>
  <c r="Q869" i="9"/>
  <c r="O869" i="9"/>
  <c r="N869" i="9"/>
  <c r="M869" i="9"/>
  <c r="L869" i="9"/>
  <c r="J869" i="9"/>
  <c r="I869" i="9"/>
  <c r="H869" i="9"/>
  <c r="G869" i="9"/>
  <c r="BJ868" i="9"/>
  <c r="BH868" i="9"/>
  <c r="BG868" i="9"/>
  <c r="BG870" i="9" s="1"/>
  <c r="BF868" i="9"/>
  <c r="BE868" i="9"/>
  <c r="BC868" i="9"/>
  <c r="BB868" i="9"/>
  <c r="BA868" i="9"/>
  <c r="AZ868" i="9"/>
  <c r="AX868" i="9"/>
  <c r="AW868" i="9"/>
  <c r="AV868" i="9"/>
  <c r="AU868" i="9"/>
  <c r="AS868" i="9"/>
  <c r="AR868" i="9"/>
  <c r="AQ868" i="9"/>
  <c r="AP868" i="9"/>
  <c r="AN868" i="9"/>
  <c r="AM868" i="9"/>
  <c r="AL868" i="9"/>
  <c r="AK868" i="9"/>
  <c r="AI868" i="9"/>
  <c r="AH868" i="9"/>
  <c r="AH870" i="9" s="1"/>
  <c r="AG868" i="9"/>
  <c r="AF868" i="9"/>
  <c r="AD868" i="9"/>
  <c r="AC868" i="9"/>
  <c r="AB868" i="9"/>
  <c r="AA868" i="9"/>
  <c r="Y868" i="9"/>
  <c r="X868" i="9"/>
  <c r="W868" i="9"/>
  <c r="V868" i="9"/>
  <c r="T868" i="9"/>
  <c r="S868" i="9"/>
  <c r="R868" i="9"/>
  <c r="Q868" i="9"/>
  <c r="O868" i="9"/>
  <c r="N868" i="9"/>
  <c r="M868" i="9"/>
  <c r="L868" i="9"/>
  <c r="J868" i="9"/>
  <c r="I868" i="9"/>
  <c r="I870" i="9" s="1"/>
  <c r="H868" i="9"/>
  <c r="G868" i="9"/>
  <c r="BJ867" i="9"/>
  <c r="BH867" i="9"/>
  <c r="BG867" i="9"/>
  <c r="BF867" i="9"/>
  <c r="BE867" i="9"/>
  <c r="BC867" i="9"/>
  <c r="BB867" i="9"/>
  <c r="BA867" i="9"/>
  <c r="AZ867" i="9"/>
  <c r="AX867" i="9"/>
  <c r="AW867" i="9"/>
  <c r="AV867" i="9"/>
  <c r="AV870" i="9" s="1"/>
  <c r="AU867" i="9"/>
  <c r="AS867" i="9"/>
  <c r="AR867" i="9"/>
  <c r="AQ867" i="9"/>
  <c r="AP867" i="9"/>
  <c r="AN867" i="9"/>
  <c r="AN870" i="9" s="1"/>
  <c r="AM867" i="9"/>
  <c r="AL867" i="9"/>
  <c r="AK867" i="9"/>
  <c r="AI867" i="9"/>
  <c r="AH867" i="9"/>
  <c r="AG867" i="9"/>
  <c r="AF867" i="9"/>
  <c r="AD867" i="9"/>
  <c r="AC867" i="9"/>
  <c r="AB867" i="9"/>
  <c r="AA867" i="9"/>
  <c r="Y867" i="9"/>
  <c r="X867" i="9"/>
  <c r="W867" i="9"/>
  <c r="W870" i="9" s="1"/>
  <c r="V867" i="9"/>
  <c r="T867" i="9"/>
  <c r="S867" i="9"/>
  <c r="R867" i="9"/>
  <c r="Q867" i="9"/>
  <c r="O867" i="9"/>
  <c r="O870" i="9" s="1"/>
  <c r="N867" i="9"/>
  <c r="M867" i="9"/>
  <c r="L867" i="9"/>
  <c r="J867" i="9"/>
  <c r="I867" i="9"/>
  <c r="H867" i="9"/>
  <c r="G867" i="9"/>
  <c r="AZ865" i="9"/>
  <c r="AX865" i="9"/>
  <c r="AQ865" i="9"/>
  <c r="V865" i="9"/>
  <c r="T865" i="9"/>
  <c r="S865" i="9"/>
  <c r="R865" i="9"/>
  <c r="BJ860" i="9"/>
  <c r="BJ865" i="9" s="1"/>
  <c r="BH860" i="9"/>
  <c r="BH865" i="9" s="1"/>
  <c r="BG860" i="9"/>
  <c r="BF860" i="9"/>
  <c r="BF865" i="9" s="1"/>
  <c r="BE860" i="9"/>
  <c r="BE865" i="9" s="1"/>
  <c r="BC860" i="9"/>
  <c r="BC865" i="9" s="1"/>
  <c r="BB860" i="9"/>
  <c r="BA860" i="9"/>
  <c r="BA865" i="9" s="1"/>
  <c r="AZ860" i="9"/>
  <c r="AX860" i="9"/>
  <c r="AW860" i="9"/>
  <c r="AW865" i="9" s="1"/>
  <c r="AV860" i="9"/>
  <c r="AV865" i="9" s="1"/>
  <c r="AU860" i="9"/>
  <c r="AT860" i="9"/>
  <c r="AS860" i="9"/>
  <c r="AS865" i="9" s="1"/>
  <c r="AR860" i="9"/>
  <c r="AR865" i="9" s="1"/>
  <c r="AQ860" i="9"/>
  <c r="AP860" i="9"/>
  <c r="AP865" i="9" s="1"/>
  <c r="AN860" i="9"/>
  <c r="AN865" i="9" s="1"/>
  <c r="AM860" i="9"/>
  <c r="AL860" i="9"/>
  <c r="AL865" i="9" s="1"/>
  <c r="AK860" i="9"/>
  <c r="AK865" i="9" s="1"/>
  <c r="AI860" i="9"/>
  <c r="AI865" i="9" s="1"/>
  <c r="AH860" i="9"/>
  <c r="AG860" i="9"/>
  <c r="AG865" i="9" s="1"/>
  <c r="AF860" i="9"/>
  <c r="AF865" i="9" s="1"/>
  <c r="AD860" i="9"/>
  <c r="AD865" i="9" s="1"/>
  <c r="AC860" i="9"/>
  <c r="AC865" i="9" s="1"/>
  <c r="AB860" i="9"/>
  <c r="AB865" i="9" s="1"/>
  <c r="AA860" i="9"/>
  <c r="Y860" i="9"/>
  <c r="Y865" i="9" s="1"/>
  <c r="X860" i="9"/>
  <c r="X865" i="9" s="1"/>
  <c r="W860" i="9"/>
  <c r="W865" i="9" s="1"/>
  <c r="V860" i="9"/>
  <c r="T860" i="9"/>
  <c r="S860" i="9"/>
  <c r="R860" i="9"/>
  <c r="Q860" i="9"/>
  <c r="Q865" i="9" s="1"/>
  <c r="O860" i="9"/>
  <c r="O865" i="9" s="1"/>
  <c r="N860" i="9"/>
  <c r="M860" i="9"/>
  <c r="M865" i="9" s="1"/>
  <c r="L860" i="9"/>
  <c r="L865" i="9" s="1"/>
  <c r="K860" i="9"/>
  <c r="J860" i="9"/>
  <c r="J865" i="9" s="1"/>
  <c r="I860" i="9"/>
  <c r="I865" i="9" s="1"/>
  <c r="H860" i="9"/>
  <c r="H865" i="9" s="1"/>
  <c r="G860" i="9"/>
  <c r="G865" i="9" s="1"/>
  <c r="AZ855" i="9"/>
  <c r="BD855" i="9" s="1"/>
  <c r="AW855" i="9"/>
  <c r="AT855" i="9"/>
  <c r="AO855" i="9"/>
  <c r="AE855" i="9"/>
  <c r="Z855" i="9"/>
  <c r="BJ853" i="9"/>
  <c r="BH853" i="9"/>
  <c r="BI853" i="9" s="1"/>
  <c r="BG853" i="9"/>
  <c r="BF853" i="9"/>
  <c r="BE853" i="9"/>
  <c r="BC853" i="9"/>
  <c r="BD853" i="9" s="1"/>
  <c r="BB853" i="9"/>
  <c r="BA853" i="9"/>
  <c r="AZ853" i="9"/>
  <c r="AX853" i="9"/>
  <c r="AY853" i="9" s="1"/>
  <c r="AW853" i="9"/>
  <c r="AV853" i="9"/>
  <c r="AU853" i="9"/>
  <c r="AS853" i="9"/>
  <c r="AT853" i="9" s="1"/>
  <c r="AR853" i="9"/>
  <c r="AQ853" i="9"/>
  <c r="AP853" i="9"/>
  <c r="AN853" i="9"/>
  <c r="AO853" i="9" s="1"/>
  <c r="AM853" i="9"/>
  <c r="AL853" i="9"/>
  <c r="AK853" i="9"/>
  <c r="AI853" i="9"/>
  <c r="AJ853" i="9" s="1"/>
  <c r="AH853" i="9"/>
  <c r="AG853" i="9"/>
  <c r="AF853" i="9"/>
  <c r="AD853" i="9"/>
  <c r="AE853" i="9" s="1"/>
  <c r="AC853" i="9"/>
  <c r="AB853" i="9"/>
  <c r="AA853" i="9"/>
  <c r="Y853" i="9"/>
  <c r="Z853" i="9" s="1"/>
  <c r="X853" i="9"/>
  <c r="W853" i="9"/>
  <c r="V853" i="9"/>
  <c r="T853" i="9"/>
  <c r="U853" i="9" s="1"/>
  <c r="S853" i="9"/>
  <c r="R853" i="9"/>
  <c r="Q853" i="9"/>
  <c r="P853" i="9"/>
  <c r="O853" i="9"/>
  <c r="N853" i="9"/>
  <c r="M853" i="9"/>
  <c r="L853" i="9"/>
  <c r="J853" i="9"/>
  <c r="K853" i="9" s="1"/>
  <c r="I853" i="9"/>
  <c r="H853" i="9"/>
  <c r="G853" i="9"/>
  <c r="BB848" i="9"/>
  <c r="AS848" i="9"/>
  <c r="BJ847" i="9"/>
  <c r="BH847" i="9"/>
  <c r="BG847" i="9"/>
  <c r="BF847" i="9"/>
  <c r="BE847" i="9"/>
  <c r="BC847" i="9"/>
  <c r="BC848" i="9" s="1"/>
  <c r="BB847" i="9"/>
  <c r="BA847" i="9"/>
  <c r="AZ847" i="9"/>
  <c r="AX847" i="9"/>
  <c r="AW847" i="9"/>
  <c r="AV847" i="9"/>
  <c r="AU847" i="9"/>
  <c r="AS847" i="9"/>
  <c r="AR847" i="9"/>
  <c r="AQ847" i="9"/>
  <c r="AP847" i="9"/>
  <c r="AN847" i="9"/>
  <c r="AM847" i="9"/>
  <c r="AL847" i="9"/>
  <c r="AK847" i="9"/>
  <c r="AI847" i="9"/>
  <c r="AH847" i="9"/>
  <c r="AG847" i="9"/>
  <c r="AF847" i="9"/>
  <c r="AD847" i="9"/>
  <c r="AC847" i="9"/>
  <c r="AB847" i="9"/>
  <c r="AA847" i="9"/>
  <c r="Y847" i="9"/>
  <c r="X847" i="9"/>
  <c r="W847" i="9"/>
  <c r="V847" i="9"/>
  <c r="T847" i="9"/>
  <c r="S847" i="9"/>
  <c r="R847" i="9"/>
  <c r="Q847" i="9"/>
  <c r="O847" i="9"/>
  <c r="N847" i="9"/>
  <c r="M847" i="9"/>
  <c r="L847" i="9"/>
  <c r="J847" i="9"/>
  <c r="I847" i="9"/>
  <c r="H847" i="9"/>
  <c r="G847" i="9"/>
  <c r="BJ846" i="9"/>
  <c r="BJ855" i="9" s="1"/>
  <c r="BH846" i="9"/>
  <c r="BG846" i="9"/>
  <c r="BF846" i="9"/>
  <c r="BE846" i="9"/>
  <c r="BE855" i="9" s="1"/>
  <c r="BI855" i="9" s="1"/>
  <c r="BC846" i="9"/>
  <c r="BB846" i="9"/>
  <c r="BA846" i="9"/>
  <c r="AZ846" i="9"/>
  <c r="AX846" i="9"/>
  <c r="AW846" i="9"/>
  <c r="AW848" i="9" s="1"/>
  <c r="AV846" i="9"/>
  <c r="AU846" i="9"/>
  <c r="AU855" i="9" s="1"/>
  <c r="AS846" i="9"/>
  <c r="AR846" i="9"/>
  <c r="AQ846" i="9"/>
  <c r="AP846" i="9"/>
  <c r="AN846" i="9"/>
  <c r="AM846" i="9"/>
  <c r="AL846" i="9"/>
  <c r="AL848" i="9" s="1"/>
  <c r="AK846" i="9"/>
  <c r="AI846" i="9"/>
  <c r="AH846" i="9"/>
  <c r="AG846" i="9"/>
  <c r="AF846" i="9"/>
  <c r="AF855" i="9" s="1"/>
  <c r="AJ855" i="9" s="1"/>
  <c r="AD846" i="9"/>
  <c r="AC846" i="9"/>
  <c r="AB846" i="9"/>
  <c r="AA846" i="9"/>
  <c r="Y846" i="9"/>
  <c r="X846" i="9"/>
  <c r="W846" i="9"/>
  <c r="V846" i="9"/>
  <c r="T846" i="9"/>
  <c r="S846" i="9"/>
  <c r="R846" i="9"/>
  <c r="Q846" i="9"/>
  <c r="O846" i="9"/>
  <c r="N846" i="9"/>
  <c r="M846" i="9"/>
  <c r="L846" i="9"/>
  <c r="J846" i="9"/>
  <c r="I846" i="9"/>
  <c r="H846" i="9"/>
  <c r="G846" i="9"/>
  <c r="BJ845" i="9"/>
  <c r="BH845" i="9"/>
  <c r="BG845" i="9"/>
  <c r="BF845" i="9"/>
  <c r="BE845" i="9"/>
  <c r="BC845" i="9"/>
  <c r="BB845" i="9"/>
  <c r="BA845" i="9"/>
  <c r="AZ845" i="9"/>
  <c r="AX845" i="9"/>
  <c r="AW845" i="9"/>
  <c r="AV845" i="9"/>
  <c r="AU845" i="9"/>
  <c r="AS845" i="9"/>
  <c r="AR845" i="9"/>
  <c r="AQ845" i="9"/>
  <c r="AP845" i="9"/>
  <c r="AN845" i="9"/>
  <c r="AM845" i="9"/>
  <c r="AL845" i="9"/>
  <c r="AK845" i="9"/>
  <c r="AI845" i="9"/>
  <c r="AH845" i="9"/>
  <c r="AG845" i="9"/>
  <c r="AF845" i="9"/>
  <c r="AD845" i="9"/>
  <c r="AC845" i="9"/>
  <c r="AC848" i="9" s="1"/>
  <c r="AB845" i="9"/>
  <c r="AA845" i="9"/>
  <c r="Y845" i="9"/>
  <c r="Y848" i="9" s="1"/>
  <c r="X845" i="9"/>
  <c r="W845" i="9"/>
  <c r="V845" i="9"/>
  <c r="T845" i="9"/>
  <c r="T848" i="9" s="1"/>
  <c r="S845" i="9"/>
  <c r="S848" i="9" s="1"/>
  <c r="R845" i="9"/>
  <c r="Q845" i="9"/>
  <c r="O845" i="9"/>
  <c r="N845" i="9"/>
  <c r="M845" i="9"/>
  <c r="L845" i="9"/>
  <c r="J845" i="9"/>
  <c r="I845" i="9"/>
  <c r="H845" i="9"/>
  <c r="G845" i="9"/>
  <c r="BH843" i="9"/>
  <c r="BG843" i="9"/>
  <c r="AX843" i="9"/>
  <c r="AW843" i="9"/>
  <c r="AQ843" i="9"/>
  <c r="AM843" i="9"/>
  <c r="AL843" i="9"/>
  <c r="AK843" i="9"/>
  <c r="AB843" i="9"/>
  <c r="AA843" i="9"/>
  <c r="Y843" i="9"/>
  <c r="X843" i="9"/>
  <c r="O843" i="9"/>
  <c r="L843" i="9"/>
  <c r="BJ838" i="9"/>
  <c r="BJ843" i="9" s="1"/>
  <c r="BH838" i="9"/>
  <c r="BG838" i="9"/>
  <c r="BF838" i="9"/>
  <c r="BE838" i="9"/>
  <c r="BE843" i="9" s="1"/>
  <c r="BC838" i="9"/>
  <c r="BC843" i="9" s="1"/>
  <c r="BB838" i="9"/>
  <c r="BB843" i="9" s="1"/>
  <c r="BA838" i="9"/>
  <c r="BA843" i="9" s="1"/>
  <c r="AZ838" i="9"/>
  <c r="AX838" i="9"/>
  <c r="AW838" i="9"/>
  <c r="AV838" i="9"/>
  <c r="AV843" i="9" s="1"/>
  <c r="AU838" i="9"/>
  <c r="AS838" i="9"/>
  <c r="AS843" i="9" s="1"/>
  <c r="AR838" i="9"/>
  <c r="AR843" i="9" s="1"/>
  <c r="AQ838" i="9"/>
  <c r="AP838" i="9"/>
  <c r="AN838" i="9"/>
  <c r="AN843" i="9" s="1"/>
  <c r="AM838" i="9"/>
  <c r="AL838" i="9"/>
  <c r="AK838" i="9"/>
  <c r="AO838" i="9" s="1"/>
  <c r="AI838" i="9"/>
  <c r="AI843" i="9" s="1"/>
  <c r="AH838" i="9"/>
  <c r="AH843" i="9" s="1"/>
  <c r="AG838" i="9"/>
  <c r="AG843" i="9" s="1"/>
  <c r="AF838" i="9"/>
  <c r="AD838" i="9"/>
  <c r="AD843" i="9" s="1"/>
  <c r="AC838" i="9"/>
  <c r="AC843" i="9" s="1"/>
  <c r="AB838" i="9"/>
  <c r="AA838" i="9"/>
  <c r="Y838" i="9"/>
  <c r="X838" i="9"/>
  <c r="W838" i="9"/>
  <c r="W843" i="9" s="1"/>
  <c r="V838" i="9"/>
  <c r="T838" i="9"/>
  <c r="T843" i="9" s="1"/>
  <c r="S838" i="9"/>
  <c r="S843" i="9" s="1"/>
  <c r="R838" i="9"/>
  <c r="R843" i="9" s="1"/>
  <c r="Q838" i="9"/>
  <c r="O838" i="9"/>
  <c r="N838" i="9"/>
  <c r="N843" i="9" s="1"/>
  <c r="M838" i="9"/>
  <c r="L838" i="9"/>
  <c r="J838" i="9"/>
  <c r="J843" i="9" s="1"/>
  <c r="I838" i="9"/>
  <c r="H838" i="9"/>
  <c r="H843" i="9" s="1"/>
  <c r="G838" i="9"/>
  <c r="G843" i="9" s="1"/>
  <c r="C830" i="9"/>
  <c r="BH828" i="9"/>
  <c r="BC828" i="9"/>
  <c r="AX828" i="9"/>
  <c r="AS828" i="9"/>
  <c r="AN828" i="9"/>
  <c r="AI828" i="9"/>
  <c r="AD828" i="9"/>
  <c r="Y828" i="9"/>
  <c r="T828" i="9"/>
  <c r="O828" i="9"/>
  <c r="J828" i="9"/>
  <c r="BH827" i="9"/>
  <c r="BC827" i="9"/>
  <c r="AX827" i="9"/>
  <c r="AS827" i="9"/>
  <c r="AN827" i="9"/>
  <c r="AI827" i="9"/>
  <c r="AD827" i="9"/>
  <c r="Y827" i="9"/>
  <c r="T827" i="9"/>
  <c r="O827" i="9"/>
  <c r="J827" i="9"/>
  <c r="BJ825" i="9"/>
  <c r="BI825" i="9"/>
  <c r="BH825" i="9"/>
  <c r="BG825" i="9"/>
  <c r="BF825" i="9"/>
  <c r="BE825" i="9"/>
  <c r="BD825" i="9"/>
  <c r="BB825" i="9"/>
  <c r="BA825" i="9"/>
  <c r="AZ825" i="9"/>
  <c r="AY825" i="9"/>
  <c r="AW825" i="9"/>
  <c r="AV825" i="9"/>
  <c r="AU825" i="9"/>
  <c r="AT825" i="9"/>
  <c r="AS825" i="9"/>
  <c r="AR825" i="9"/>
  <c r="AQ825" i="9"/>
  <c r="AP825" i="9"/>
  <c r="AO825" i="9"/>
  <c r="AN825" i="9"/>
  <c r="AM825" i="9"/>
  <c r="AL825" i="9"/>
  <c r="AK825" i="9"/>
  <c r="AJ825" i="9"/>
  <c r="AH825" i="9"/>
  <c r="AG825" i="9"/>
  <c r="AF825" i="9"/>
  <c r="AE825" i="9"/>
  <c r="AC825" i="9"/>
  <c r="AB825" i="9"/>
  <c r="AA825" i="9"/>
  <c r="Z825" i="9"/>
  <c r="X825" i="9"/>
  <c r="W825" i="9"/>
  <c r="V825" i="9"/>
  <c r="U825" i="9"/>
  <c r="S825" i="9"/>
  <c r="R825" i="9"/>
  <c r="Q825" i="9"/>
  <c r="P825" i="9"/>
  <c r="N825" i="9"/>
  <c r="M825" i="9"/>
  <c r="L825" i="9"/>
  <c r="K825" i="9"/>
  <c r="F825" i="9"/>
  <c r="E825" i="9"/>
  <c r="D825" i="9"/>
  <c r="BH824" i="9"/>
  <c r="BG824" i="9"/>
  <c r="BF824" i="9"/>
  <c r="BC824" i="9"/>
  <c r="BB824" i="9"/>
  <c r="BA824" i="9"/>
  <c r="AW824" i="9"/>
  <c r="AV824" i="9"/>
  <c r="AR824" i="9"/>
  <c r="AQ824" i="9"/>
  <c r="AP824" i="9"/>
  <c r="AN824" i="9"/>
  <c r="AM824" i="9"/>
  <c r="AL824" i="9"/>
  <c r="AI824" i="9"/>
  <c r="AH824" i="9"/>
  <c r="AG824" i="9"/>
  <c r="AF824" i="9"/>
  <c r="AD824" i="9"/>
  <c r="AC824" i="9"/>
  <c r="AB824" i="9"/>
  <c r="X824" i="9"/>
  <c r="W824" i="9"/>
  <c r="S824" i="9"/>
  <c r="R824" i="9"/>
  <c r="N824" i="9"/>
  <c r="M824" i="9"/>
  <c r="I824" i="9"/>
  <c r="H824" i="9"/>
  <c r="BH819" i="9"/>
  <c r="BC819" i="9"/>
  <c r="AX819" i="9"/>
  <c r="AS819" i="9"/>
  <c r="AN819" i="9"/>
  <c r="AI819" i="9"/>
  <c r="AD819" i="9"/>
  <c r="Y819" i="9"/>
  <c r="T819" i="9"/>
  <c r="O819" i="9"/>
  <c r="J819" i="9"/>
  <c r="BJ816" i="9"/>
  <c r="BI816" i="9"/>
  <c r="BH816" i="9"/>
  <c r="BG816" i="9"/>
  <c r="BF816" i="9"/>
  <c r="BE816" i="9"/>
  <c r="BD816" i="9"/>
  <c r="BC816" i="9"/>
  <c r="BB816" i="9"/>
  <c r="BA816" i="9"/>
  <c r="AZ816" i="9"/>
  <c r="AY816" i="9"/>
  <c r="AX816" i="9"/>
  <c r="AW816" i="9"/>
  <c r="AV816" i="9"/>
  <c r="AU816" i="9"/>
  <c r="AT816" i="9"/>
  <c r="AS816" i="9"/>
  <c r="AR816" i="9"/>
  <c r="AQ816" i="9"/>
  <c r="AP816" i="9"/>
  <c r="AO816" i="9"/>
  <c r="AN816" i="9"/>
  <c r="AM816" i="9"/>
  <c r="AL816" i="9"/>
  <c r="AK816" i="9"/>
  <c r="AJ816" i="9"/>
  <c r="AI816" i="9"/>
  <c r="AH816" i="9"/>
  <c r="AG816" i="9"/>
  <c r="AF816" i="9"/>
  <c r="AE816" i="9"/>
  <c r="AD816" i="9"/>
  <c r="AC816" i="9"/>
  <c r="AB816" i="9"/>
  <c r="AA816" i="9"/>
  <c r="Z816" i="9"/>
  <c r="Y816" i="9"/>
  <c r="X816" i="9"/>
  <c r="W816" i="9"/>
  <c r="V816" i="9"/>
  <c r="U816" i="9"/>
  <c r="T816" i="9"/>
  <c r="S816" i="9"/>
  <c r="R816" i="9"/>
  <c r="Q816" i="9"/>
  <c r="P816" i="9"/>
  <c r="O816" i="9"/>
  <c r="N816" i="9"/>
  <c r="M816" i="9"/>
  <c r="L816" i="9"/>
  <c r="K816" i="9"/>
  <c r="J816" i="9"/>
  <c r="I816" i="9"/>
  <c r="H816" i="9"/>
  <c r="G816" i="9"/>
  <c r="F816" i="9"/>
  <c r="E816" i="9"/>
  <c r="D816" i="9"/>
  <c r="C816" i="9"/>
  <c r="A812" i="9"/>
  <c r="BV805" i="9"/>
  <c r="BU805" i="9"/>
  <c r="BT805" i="9"/>
  <c r="BR805" i="9"/>
  <c r="BQ805" i="9"/>
  <c r="BP805" i="9"/>
  <c r="BO805" i="9"/>
  <c r="BM805" i="9"/>
  <c r="BL805" i="9"/>
  <c r="BK805" i="9"/>
  <c r="BV800" i="9"/>
  <c r="BU800" i="9"/>
  <c r="BT800" i="9"/>
  <c r="BR800" i="9"/>
  <c r="BQ800" i="9"/>
  <c r="BP800" i="9"/>
  <c r="BO800" i="9"/>
  <c r="BM800" i="9"/>
  <c r="BL800" i="9"/>
  <c r="BK800" i="9"/>
  <c r="BJ800" i="9"/>
  <c r="BI800" i="9"/>
  <c r="BH800" i="9"/>
  <c r="BG800" i="9"/>
  <c r="BF800" i="9"/>
  <c r="BE800" i="9"/>
  <c r="BD800" i="9"/>
  <c r="BC800" i="9"/>
  <c r="BB800" i="9"/>
  <c r="BA800" i="9"/>
  <c r="AZ800" i="9"/>
  <c r="AY800" i="9"/>
  <c r="AX800" i="9"/>
  <c r="AW800" i="9"/>
  <c r="AV800" i="9"/>
  <c r="AU800" i="9"/>
  <c r="AT800" i="9"/>
  <c r="AS800" i="9"/>
  <c r="AR800" i="9"/>
  <c r="AQ800" i="9"/>
  <c r="AP800" i="9"/>
  <c r="AO800" i="9"/>
  <c r="AN800" i="9"/>
  <c r="AM800" i="9"/>
  <c r="AL800" i="9"/>
  <c r="AK800" i="9"/>
  <c r="AJ800" i="9"/>
  <c r="AI800" i="9"/>
  <c r="AH800" i="9"/>
  <c r="AG800" i="9"/>
  <c r="AF800" i="9"/>
  <c r="AE800" i="9"/>
  <c r="AD800" i="9"/>
  <c r="AC800" i="9"/>
  <c r="AB800" i="9"/>
  <c r="AA800" i="9"/>
  <c r="Z800" i="9"/>
  <c r="Y800" i="9"/>
  <c r="X800" i="9"/>
  <c r="W800" i="9"/>
  <c r="V800" i="9"/>
  <c r="U800" i="9"/>
  <c r="T800" i="9"/>
  <c r="S800" i="9"/>
  <c r="R800" i="9"/>
  <c r="Q800" i="9"/>
  <c r="P800" i="9"/>
  <c r="O800" i="9"/>
  <c r="N800" i="9"/>
  <c r="M800" i="9"/>
  <c r="L800" i="9"/>
  <c r="K800" i="9"/>
  <c r="J800" i="9"/>
  <c r="I800" i="9"/>
  <c r="H800" i="9"/>
  <c r="G800" i="9"/>
  <c r="F800" i="9"/>
  <c r="E800" i="9"/>
  <c r="D800" i="9"/>
  <c r="C800" i="9"/>
  <c r="BS799" i="9"/>
  <c r="BN799" i="9"/>
  <c r="BN800" i="9" s="1"/>
  <c r="BS798" i="9"/>
  <c r="BS800" i="9" s="1"/>
  <c r="BN798" i="9"/>
  <c r="BS794" i="9"/>
  <c r="BN794" i="9"/>
  <c r="BV793" i="9"/>
  <c r="BU793" i="9"/>
  <c r="BT793" i="9"/>
  <c r="BR793" i="9"/>
  <c r="BQ793" i="9"/>
  <c r="BP793" i="9"/>
  <c r="BO793" i="9"/>
  <c r="BM793" i="9"/>
  <c r="BL793" i="9"/>
  <c r="BK793" i="9"/>
  <c r="BJ793" i="9"/>
  <c r="BI793" i="9"/>
  <c r="BH793" i="9"/>
  <c r="BG793" i="9"/>
  <c r="BF793" i="9"/>
  <c r="BE793" i="9"/>
  <c r="BD793" i="9"/>
  <c r="BC793" i="9"/>
  <c r="BB793" i="9"/>
  <c r="BA793" i="9"/>
  <c r="AZ793" i="9"/>
  <c r="AY793" i="9"/>
  <c r="AX793" i="9"/>
  <c r="AW793" i="9"/>
  <c r="AV793" i="9"/>
  <c r="AU793" i="9"/>
  <c r="AT793" i="9"/>
  <c r="AS793" i="9"/>
  <c r="AR793" i="9"/>
  <c r="AQ793" i="9"/>
  <c r="AP793" i="9"/>
  <c r="AO793" i="9"/>
  <c r="AN793" i="9"/>
  <c r="AM793" i="9"/>
  <c r="AL793" i="9"/>
  <c r="AK793" i="9"/>
  <c r="AJ793" i="9"/>
  <c r="AI793" i="9"/>
  <c r="AH793" i="9"/>
  <c r="AG793" i="9"/>
  <c r="AF793" i="9"/>
  <c r="AE793" i="9"/>
  <c r="AD793" i="9"/>
  <c r="AC793" i="9"/>
  <c r="AB793" i="9"/>
  <c r="AA793" i="9"/>
  <c r="Z793" i="9"/>
  <c r="Y793" i="9"/>
  <c r="X793" i="9"/>
  <c r="W793" i="9"/>
  <c r="V793" i="9"/>
  <c r="U793" i="9"/>
  <c r="T793" i="9"/>
  <c r="S793" i="9"/>
  <c r="R793" i="9"/>
  <c r="Q793" i="9"/>
  <c r="P793" i="9"/>
  <c r="O793" i="9"/>
  <c r="N793" i="9"/>
  <c r="M793" i="9"/>
  <c r="L793" i="9"/>
  <c r="K793" i="9"/>
  <c r="J793" i="9"/>
  <c r="I793" i="9"/>
  <c r="H793" i="9"/>
  <c r="G793" i="9"/>
  <c r="F793" i="9"/>
  <c r="E793" i="9"/>
  <c r="D793" i="9"/>
  <c r="C793" i="9"/>
  <c r="BS792" i="9"/>
  <c r="BN792" i="9"/>
  <c r="BS791" i="9"/>
  <c r="BS793" i="9" s="1"/>
  <c r="BN791" i="9"/>
  <c r="BV790" i="9"/>
  <c r="BU790" i="9"/>
  <c r="BT790" i="9"/>
  <c r="BR790" i="9"/>
  <c r="BQ790" i="9"/>
  <c r="BP790" i="9"/>
  <c r="BO790" i="9"/>
  <c r="BM790" i="9"/>
  <c r="BL790" i="9"/>
  <c r="BK790" i="9"/>
  <c r="BJ790" i="9"/>
  <c r="BI790" i="9"/>
  <c r="BH790" i="9"/>
  <c r="BG790" i="9"/>
  <c r="BF790" i="9"/>
  <c r="BE790" i="9"/>
  <c r="BD790" i="9"/>
  <c r="BC790" i="9"/>
  <c r="BB790" i="9"/>
  <c r="BA790" i="9"/>
  <c r="AZ790" i="9"/>
  <c r="AY790" i="9"/>
  <c r="AX790" i="9"/>
  <c r="AW790" i="9"/>
  <c r="AV790" i="9"/>
  <c r="AU790" i="9"/>
  <c r="AT790" i="9"/>
  <c r="AS790" i="9"/>
  <c r="AR790" i="9"/>
  <c r="AQ790" i="9"/>
  <c r="AP790" i="9"/>
  <c r="AO790" i="9"/>
  <c r="AN790" i="9"/>
  <c r="AM790" i="9"/>
  <c r="AL790" i="9"/>
  <c r="AK790" i="9"/>
  <c r="AJ790" i="9"/>
  <c r="AI790" i="9"/>
  <c r="AH790" i="9"/>
  <c r="AG790" i="9"/>
  <c r="AF790" i="9"/>
  <c r="AE790" i="9"/>
  <c r="AD790" i="9"/>
  <c r="AC790" i="9"/>
  <c r="AB790" i="9"/>
  <c r="AA790" i="9"/>
  <c r="Z790" i="9"/>
  <c r="Y790" i="9"/>
  <c r="X790" i="9"/>
  <c r="W790" i="9"/>
  <c r="V790" i="9"/>
  <c r="U790" i="9"/>
  <c r="T790" i="9"/>
  <c r="S790" i="9"/>
  <c r="R790" i="9"/>
  <c r="Q790" i="9"/>
  <c r="P790" i="9"/>
  <c r="O790" i="9"/>
  <c r="N790" i="9"/>
  <c r="M790" i="9"/>
  <c r="L790" i="9"/>
  <c r="K790" i="9"/>
  <c r="J790" i="9"/>
  <c r="I790" i="9"/>
  <c r="H790" i="9"/>
  <c r="G790" i="9"/>
  <c r="F790" i="9"/>
  <c r="E790" i="9"/>
  <c r="D790" i="9"/>
  <c r="C790" i="9"/>
  <c r="BS789" i="9"/>
  <c r="BN789" i="9"/>
  <c r="BS788" i="9"/>
  <c r="BS790" i="9" s="1"/>
  <c r="BN788" i="9"/>
  <c r="BJ783" i="9"/>
  <c r="BI783" i="9"/>
  <c r="BG783" i="9"/>
  <c r="BF783" i="9"/>
  <c r="BE783" i="9"/>
  <c r="BD783" i="9"/>
  <c r="BB783" i="9"/>
  <c r="BA783" i="9"/>
  <c r="AZ783" i="9"/>
  <c r="AY783" i="9"/>
  <c r="AW783" i="9"/>
  <c r="AV783" i="9"/>
  <c r="AU783" i="9"/>
  <c r="AT783" i="9"/>
  <c r="AR783" i="9"/>
  <c r="AQ783" i="9"/>
  <c r="AP783" i="9"/>
  <c r="AO783" i="9"/>
  <c r="AM783" i="9"/>
  <c r="AM781" i="9" s="1"/>
  <c r="AL783" i="9"/>
  <c r="AK783" i="9"/>
  <c r="AJ783" i="9"/>
  <c r="AH783" i="9"/>
  <c r="AG783" i="9"/>
  <c r="AF783" i="9"/>
  <c r="AE783" i="9"/>
  <c r="AD783" i="9"/>
  <c r="AC783" i="9"/>
  <c r="AB783" i="9"/>
  <c r="AA783" i="9"/>
  <c r="Z783" i="9"/>
  <c r="Y783" i="9"/>
  <c r="X783" i="9"/>
  <c r="W783" i="9"/>
  <c r="V783" i="9"/>
  <c r="U783" i="9"/>
  <c r="T783" i="9"/>
  <c r="S783" i="9"/>
  <c r="R783" i="9"/>
  <c r="R781" i="9" s="1"/>
  <c r="Q783" i="9"/>
  <c r="Q781" i="9" s="1"/>
  <c r="P783" i="9"/>
  <c r="O783" i="9"/>
  <c r="N783" i="9"/>
  <c r="M783" i="9"/>
  <c r="L783" i="9"/>
  <c r="K783" i="9"/>
  <c r="K781" i="9" s="1"/>
  <c r="J783" i="9"/>
  <c r="I783" i="9"/>
  <c r="H783" i="9"/>
  <c r="G783" i="9"/>
  <c r="F783" i="9"/>
  <c r="E783" i="9"/>
  <c r="D783" i="9"/>
  <c r="C783" i="9"/>
  <c r="BF782" i="9"/>
  <c r="BD782" i="9"/>
  <c r="BB782" i="9"/>
  <c r="BA782" i="9"/>
  <c r="AY782" i="9"/>
  <c r="AK782" i="9"/>
  <c r="AH782" i="9"/>
  <c r="AD782" i="9"/>
  <c r="AC782" i="9"/>
  <c r="AA782" i="9"/>
  <c r="Z782" i="9"/>
  <c r="X782" i="9"/>
  <c r="V782" i="9"/>
  <c r="U782" i="9"/>
  <c r="N782" i="9"/>
  <c r="M782" i="9"/>
  <c r="L782" i="9"/>
  <c r="K782" i="9"/>
  <c r="F782" i="9"/>
  <c r="F781" i="9" s="1"/>
  <c r="AO781" i="9"/>
  <c r="AB781" i="9"/>
  <c r="S781" i="9"/>
  <c r="BV777" i="9"/>
  <c r="BU777" i="9"/>
  <c r="BT777" i="9"/>
  <c r="BR777" i="9"/>
  <c r="BQ777" i="9"/>
  <c r="BP777" i="9"/>
  <c r="BO777" i="9"/>
  <c r="BM777" i="9"/>
  <c r="BL777" i="9"/>
  <c r="BK777" i="9"/>
  <c r="BJ777" i="9"/>
  <c r="BN777" i="9" s="1"/>
  <c r="BI777" i="9"/>
  <c r="BH777" i="9"/>
  <c r="BG777" i="9"/>
  <c r="BF777" i="9"/>
  <c r="BE777" i="9"/>
  <c r="BD777" i="9"/>
  <c r="BC777" i="9"/>
  <c r="BB777" i="9"/>
  <c r="BA777" i="9"/>
  <c r="AZ777" i="9"/>
  <c r="AY777" i="9"/>
  <c r="AX777" i="9"/>
  <c r="AW777" i="9"/>
  <c r="AV777" i="9"/>
  <c r="AU777" i="9"/>
  <c r="AT777" i="9"/>
  <c r="AS777" i="9"/>
  <c r="AR777" i="9"/>
  <c r="AQ777" i="9"/>
  <c r="AP777" i="9"/>
  <c r="AO777" i="9"/>
  <c r="AN777" i="9"/>
  <c r="AM777" i="9"/>
  <c r="AL777" i="9"/>
  <c r="AK777" i="9"/>
  <c r="AJ777" i="9"/>
  <c r="AI777" i="9"/>
  <c r="AH777" i="9"/>
  <c r="AG777" i="9"/>
  <c r="AF777" i="9"/>
  <c r="AE777" i="9"/>
  <c r="AD777" i="9"/>
  <c r="AC777" i="9"/>
  <c r="AB777" i="9"/>
  <c r="AA777" i="9"/>
  <c r="Z777" i="9"/>
  <c r="Y777" i="9"/>
  <c r="X777" i="9"/>
  <c r="W777" i="9"/>
  <c r="V777" i="9"/>
  <c r="U777" i="9"/>
  <c r="T777" i="9"/>
  <c r="S777" i="9"/>
  <c r="R777" i="9"/>
  <c r="Q777" i="9"/>
  <c r="P777" i="9"/>
  <c r="O777" i="9"/>
  <c r="N777" i="9"/>
  <c r="M777" i="9"/>
  <c r="L777" i="9"/>
  <c r="K777" i="9"/>
  <c r="J777" i="9"/>
  <c r="I777" i="9"/>
  <c r="H777" i="9"/>
  <c r="G777" i="9"/>
  <c r="F777" i="9"/>
  <c r="E777" i="9"/>
  <c r="D777" i="9"/>
  <c r="C777" i="9"/>
  <c r="BS776" i="9"/>
  <c r="BN776" i="9"/>
  <c r="BS775" i="9"/>
  <c r="BN775" i="9"/>
  <c r="BJ774" i="9"/>
  <c r="BI774" i="9"/>
  <c r="AW774" i="9"/>
  <c r="AD774" i="9"/>
  <c r="T774" i="9"/>
  <c r="D774" i="9"/>
  <c r="BM773" i="9"/>
  <c r="BK773" i="9"/>
  <c r="BN773" i="9" s="1"/>
  <c r="BJ773" i="9"/>
  <c r="BI773" i="9"/>
  <c r="BH773" i="9"/>
  <c r="BG773" i="9"/>
  <c r="BF773" i="9"/>
  <c r="BE773" i="9"/>
  <c r="BD773" i="9"/>
  <c r="BD774" i="9" s="1"/>
  <c r="BC773" i="9"/>
  <c r="BB773" i="9"/>
  <c r="BA773" i="9"/>
  <c r="BA774" i="9" s="1"/>
  <c r="AZ773" i="9"/>
  <c r="AY773" i="9"/>
  <c r="AX773" i="9"/>
  <c r="AW773" i="9"/>
  <c r="AV773" i="9"/>
  <c r="AU773" i="9"/>
  <c r="AT773" i="9"/>
  <c r="AS773" i="9"/>
  <c r="AR773" i="9"/>
  <c r="AR774" i="9" s="1"/>
  <c r="AQ773" i="9"/>
  <c r="AP773" i="9"/>
  <c r="AO773" i="9"/>
  <c r="AN773" i="9"/>
  <c r="AM773" i="9"/>
  <c r="AL773" i="9"/>
  <c r="AK773" i="9"/>
  <c r="AE773" i="9"/>
  <c r="AE774" i="9" s="1"/>
  <c r="AD773" i="9"/>
  <c r="AC773" i="9"/>
  <c r="AB773" i="9"/>
  <c r="AB774" i="9" s="1"/>
  <c r="AA773" i="9"/>
  <c r="Z773" i="9"/>
  <c r="Y773" i="9"/>
  <c r="X773" i="9"/>
  <c r="W773" i="9"/>
  <c r="V773" i="9"/>
  <c r="U773" i="9"/>
  <c r="T773" i="9"/>
  <c r="S773" i="9"/>
  <c r="R773" i="9"/>
  <c r="Q773" i="9"/>
  <c r="P773" i="9"/>
  <c r="O773" i="9"/>
  <c r="N773" i="9"/>
  <c r="M773" i="9"/>
  <c r="L773" i="9"/>
  <c r="K773" i="9"/>
  <c r="J773" i="9"/>
  <c r="I773" i="9"/>
  <c r="H773" i="9"/>
  <c r="H774" i="9" s="1"/>
  <c r="G773" i="9"/>
  <c r="F773" i="9"/>
  <c r="E773" i="9"/>
  <c r="D773" i="9"/>
  <c r="C773" i="9"/>
  <c r="BJ772" i="9"/>
  <c r="BI772" i="9"/>
  <c r="BI916" i="9" s="1"/>
  <c r="BI376" i="9" s="1"/>
  <c r="BI378" i="9" s="1"/>
  <c r="BH772" i="9"/>
  <c r="BG772" i="9"/>
  <c r="BF772" i="9"/>
  <c r="BE772" i="9"/>
  <c r="BD772" i="9"/>
  <c r="BD916" i="9" s="1"/>
  <c r="BD376" i="9" s="1"/>
  <c r="BD378" i="9" s="1"/>
  <c r="BB772" i="9"/>
  <c r="BA772" i="9"/>
  <c r="BA916" i="9" s="1"/>
  <c r="AZ772" i="9"/>
  <c r="AZ916" i="9" s="1"/>
  <c r="AY772" i="9"/>
  <c r="AW772" i="9"/>
  <c r="AW916" i="9" s="1"/>
  <c r="AV772" i="9"/>
  <c r="AU772" i="9"/>
  <c r="AU916" i="9" s="1"/>
  <c r="AT772" i="9"/>
  <c r="AR772" i="9"/>
  <c r="AR916" i="9" s="1"/>
  <c r="AQ772" i="9"/>
  <c r="AP772" i="9"/>
  <c r="AP916" i="9" s="1"/>
  <c r="AP376" i="9" s="1"/>
  <c r="AO772" i="9"/>
  <c r="AM772" i="9"/>
  <c r="AL772" i="9"/>
  <c r="AK772" i="9"/>
  <c r="AJ772" i="9"/>
  <c r="AJ916" i="9" s="1"/>
  <c r="AH772" i="9"/>
  <c r="AG772" i="9"/>
  <c r="AF772" i="9"/>
  <c r="AE772" i="9"/>
  <c r="AE916" i="9" s="1"/>
  <c r="AD772" i="9"/>
  <c r="AD916" i="9" s="1"/>
  <c r="AC772" i="9"/>
  <c r="AC916" i="9" s="1"/>
  <c r="AB772" i="9"/>
  <c r="AB916" i="9" s="1"/>
  <c r="AA772" i="9"/>
  <c r="Z772" i="9"/>
  <c r="Y772" i="9"/>
  <c r="Y916" i="9" s="1"/>
  <c r="X772" i="9"/>
  <c r="W772" i="9"/>
  <c r="V772" i="9"/>
  <c r="U772" i="9"/>
  <c r="T772" i="9"/>
  <c r="T916" i="9" s="1"/>
  <c r="S772" i="9"/>
  <c r="S916" i="9" s="1"/>
  <c r="S376" i="9" s="1"/>
  <c r="S378" i="9" s="1"/>
  <c r="R772" i="9"/>
  <c r="Q772" i="9"/>
  <c r="P772" i="9"/>
  <c r="O772" i="9"/>
  <c r="N772" i="9"/>
  <c r="M772" i="9"/>
  <c r="L772" i="9"/>
  <c r="K772" i="9"/>
  <c r="J772" i="9"/>
  <c r="J916" i="9" s="1"/>
  <c r="I772" i="9"/>
  <c r="I916" i="9" s="1"/>
  <c r="I376" i="9" s="1"/>
  <c r="H772" i="9"/>
  <c r="H916" i="9" s="1"/>
  <c r="G772" i="9"/>
  <c r="G916" i="9" s="1"/>
  <c r="G917" i="9" s="1"/>
  <c r="F772" i="9"/>
  <c r="F774" i="9" s="1"/>
  <c r="E772" i="9"/>
  <c r="E916" i="9" s="1"/>
  <c r="D772" i="9"/>
  <c r="D916" i="9" s="1"/>
  <c r="D376" i="9" s="1"/>
  <c r="C772" i="9"/>
  <c r="BJ767" i="9"/>
  <c r="BB767" i="9"/>
  <c r="BB634" i="9" s="1"/>
  <c r="BA767" i="9"/>
  <c r="BA634" i="9" s="1"/>
  <c r="AY767" i="9"/>
  <c r="AY634" i="9" s="1"/>
  <c r="AX767" i="9"/>
  <c r="AN767" i="9"/>
  <c r="AN634" i="9" s="1"/>
  <c r="AM767" i="9"/>
  <c r="AM634" i="9" s="1"/>
  <c r="V767" i="9"/>
  <c r="U767" i="9"/>
  <c r="Q767" i="9"/>
  <c r="P767" i="9"/>
  <c r="P634" i="9" s="1"/>
  <c r="N767" i="9"/>
  <c r="N634" i="9" s="1"/>
  <c r="BI766" i="9"/>
  <c r="BF766" i="9"/>
  <c r="BF1100" i="9" s="1"/>
  <c r="BF1084" i="9" s="1"/>
  <c r="BE766" i="9"/>
  <c r="AQ766" i="9"/>
  <c r="AP766" i="9"/>
  <c r="AO766" i="9"/>
  <c r="AM766" i="9"/>
  <c r="AL766" i="9"/>
  <c r="AL1100" i="9" s="1"/>
  <c r="AL1084" i="9" s="1"/>
  <c r="AK766" i="9"/>
  <c r="AK1100" i="9" s="1"/>
  <c r="AK1084" i="9" s="1"/>
  <c r="AI766" i="9"/>
  <c r="AI1100" i="9" s="1"/>
  <c r="AI1084" i="9" s="1"/>
  <c r="AB766" i="9"/>
  <c r="AA766" i="9"/>
  <c r="Z766" i="9"/>
  <c r="Y766" i="9"/>
  <c r="Y1100" i="9" s="1"/>
  <c r="Y1084" i="9" s="1"/>
  <c r="U766" i="9"/>
  <c r="S766" i="9"/>
  <c r="P766" i="9"/>
  <c r="N766" i="9"/>
  <c r="I766" i="9"/>
  <c r="E766" i="9"/>
  <c r="E1100" i="9" s="1"/>
  <c r="E1084" i="9" s="1"/>
  <c r="BB762" i="9"/>
  <c r="N762" i="9"/>
  <c r="J762" i="9"/>
  <c r="I762" i="9"/>
  <c r="H762" i="9"/>
  <c r="BV761" i="9"/>
  <c r="BU761" i="9"/>
  <c r="BT761" i="9"/>
  <c r="BR761" i="9"/>
  <c r="BQ761" i="9"/>
  <c r="BP761" i="9"/>
  <c r="BO761" i="9"/>
  <c r="BM761" i="9"/>
  <c r="BL761" i="9"/>
  <c r="BK761" i="9"/>
  <c r="BV759" i="9"/>
  <c r="BU759" i="9"/>
  <c r="BT759" i="9"/>
  <c r="BR759" i="9"/>
  <c r="BQ759" i="9"/>
  <c r="BP759" i="9"/>
  <c r="BO759" i="9"/>
  <c r="BM759" i="9"/>
  <c r="BL759" i="9"/>
  <c r="BK759" i="9"/>
  <c r="J759" i="9"/>
  <c r="I759" i="9"/>
  <c r="H759" i="9"/>
  <c r="BJ758" i="9"/>
  <c r="BJ621" i="9" s="1"/>
  <c r="BJ1174" i="9" s="1"/>
  <c r="BI758" i="9"/>
  <c r="BH758" i="9"/>
  <c r="BH334" i="9" s="1"/>
  <c r="BG758" i="9"/>
  <c r="BG334" i="9" s="1"/>
  <c r="BF758" i="9"/>
  <c r="BE758" i="9"/>
  <c r="BD758" i="9"/>
  <c r="BB758" i="9"/>
  <c r="BA758" i="9"/>
  <c r="AZ758" i="9"/>
  <c r="AY758" i="9"/>
  <c r="AW758" i="9"/>
  <c r="AW334" i="9" s="1"/>
  <c r="AW352" i="9" s="1"/>
  <c r="AW353" i="9" s="1"/>
  <c r="AV758" i="9"/>
  <c r="AV334" i="9" s="1"/>
  <c r="AU758" i="9"/>
  <c r="AU334" i="9" s="1"/>
  <c r="AT758" i="9"/>
  <c r="AT334" i="9" s="1"/>
  <c r="AT333" i="9" s="1"/>
  <c r="AS758" i="9"/>
  <c r="AR758" i="9"/>
  <c r="AQ758" i="9"/>
  <c r="AP758" i="9"/>
  <c r="AO758" i="9"/>
  <c r="AO762" i="9" s="1"/>
  <c r="AM758" i="9"/>
  <c r="AM334" i="9" s="1"/>
  <c r="AL758" i="9"/>
  <c r="AL334" i="9" s="1"/>
  <c r="AK758" i="9"/>
  <c r="AJ758" i="9"/>
  <c r="AH758" i="9"/>
  <c r="AG758" i="9"/>
  <c r="AF758" i="9"/>
  <c r="AE758" i="9"/>
  <c r="AD758" i="9"/>
  <c r="AC758" i="9"/>
  <c r="AB758" i="9"/>
  <c r="AB334" i="9" s="1"/>
  <c r="AA758" i="9"/>
  <c r="AA621" i="9" s="1"/>
  <c r="AA1174" i="9" s="1"/>
  <c r="Z758" i="9"/>
  <c r="Z334" i="9" s="1"/>
  <c r="Z333" i="9" s="1"/>
  <c r="Y758" i="9"/>
  <c r="Y334" i="9" s="1"/>
  <c r="X758" i="9"/>
  <c r="X334" i="9" s="1"/>
  <c r="W758" i="9"/>
  <c r="W334" i="9" s="1"/>
  <c r="V758" i="9"/>
  <c r="U758" i="9"/>
  <c r="T758" i="9"/>
  <c r="S758" i="9"/>
  <c r="S334" i="9" s="1"/>
  <c r="R758" i="9"/>
  <c r="Q758" i="9"/>
  <c r="P758" i="9"/>
  <c r="P621" i="9" s="1"/>
  <c r="P1174" i="9" s="1"/>
  <c r="O758" i="9"/>
  <c r="O334" i="9" s="1"/>
  <c r="N758" i="9"/>
  <c r="M758" i="9"/>
  <c r="M621" i="9" s="1"/>
  <c r="M1174" i="9" s="1"/>
  <c r="L758" i="9"/>
  <c r="K758" i="9"/>
  <c r="J758" i="9"/>
  <c r="I758" i="9"/>
  <c r="H758" i="9"/>
  <c r="G758" i="9"/>
  <c r="G621" i="9" s="1"/>
  <c r="G1174" i="9" s="1"/>
  <c r="F758" i="9"/>
  <c r="E758" i="9"/>
  <c r="E334" i="9" s="1"/>
  <c r="D758" i="9"/>
  <c r="D334" i="9" s="1"/>
  <c r="C758" i="9"/>
  <c r="C334" i="9" s="1"/>
  <c r="BV755" i="9"/>
  <c r="BU755" i="9"/>
  <c r="BT755" i="9"/>
  <c r="BR755" i="9"/>
  <c r="BQ755" i="9"/>
  <c r="BP755" i="9"/>
  <c r="BS755" i="9" s="1"/>
  <c r="BO755" i="9"/>
  <c r="BM755" i="9"/>
  <c r="BL755" i="9"/>
  <c r="BK755" i="9"/>
  <c r="V755" i="9"/>
  <c r="M755" i="9"/>
  <c r="L755" i="9"/>
  <c r="H755" i="9"/>
  <c r="BJ754" i="9"/>
  <c r="BJ762" i="9" s="1"/>
  <c r="BJ768" i="9" s="1"/>
  <c r="BJ635" i="9" s="1"/>
  <c r="BI754" i="9"/>
  <c r="BH754" i="9"/>
  <c r="BH315" i="9" s="1"/>
  <c r="BH314" i="9" s="1"/>
  <c r="BG754" i="9"/>
  <c r="BF754" i="9"/>
  <c r="BE754" i="9"/>
  <c r="BD754" i="9"/>
  <c r="BC754" i="9"/>
  <c r="BC315" i="9" s="1"/>
  <c r="BC314" i="9" s="1"/>
  <c r="BB754" i="9"/>
  <c r="BA754" i="9"/>
  <c r="AZ754" i="9"/>
  <c r="AZ315" i="9" s="1"/>
  <c r="AY754" i="9"/>
  <c r="AW754" i="9"/>
  <c r="AW315" i="9" s="1"/>
  <c r="AV754" i="9"/>
  <c r="AU754" i="9"/>
  <c r="AU762" i="9" s="1"/>
  <c r="AU778" i="9" s="1"/>
  <c r="AT754" i="9"/>
  <c r="AR754" i="9"/>
  <c r="AQ754" i="9"/>
  <c r="AP754" i="9"/>
  <c r="AO754" i="9"/>
  <c r="AN754" i="9"/>
  <c r="AM754" i="9"/>
  <c r="AL754" i="9"/>
  <c r="AK754" i="9"/>
  <c r="AJ754" i="9"/>
  <c r="AH754" i="9"/>
  <c r="AH762" i="9" s="1"/>
  <c r="AG754" i="9"/>
  <c r="AF754" i="9"/>
  <c r="AE754" i="9"/>
  <c r="AD754" i="9"/>
  <c r="AC754" i="9"/>
  <c r="AC315" i="9" s="1"/>
  <c r="AC314" i="9" s="1"/>
  <c r="AB754" i="9"/>
  <c r="AB618" i="9" s="1"/>
  <c r="AB619" i="9" s="1"/>
  <c r="AA754" i="9"/>
  <c r="Z754" i="9"/>
  <c r="Y754" i="9"/>
  <c r="X754" i="9"/>
  <c r="W754" i="9"/>
  <c r="V754" i="9"/>
  <c r="U754" i="9"/>
  <c r="U315" i="9" s="1"/>
  <c r="U314" i="9" s="1"/>
  <c r="T754" i="9"/>
  <c r="S754" i="9"/>
  <c r="R754" i="9"/>
  <c r="R315" i="9" s="1"/>
  <c r="R314" i="9" s="1"/>
  <c r="Q754" i="9"/>
  <c r="P754" i="9"/>
  <c r="O754" i="9"/>
  <c r="N754" i="9"/>
  <c r="M754" i="9"/>
  <c r="L754" i="9"/>
  <c r="K754" i="9"/>
  <c r="J754" i="9"/>
  <c r="I754" i="9"/>
  <c r="H754" i="9"/>
  <c r="H315" i="9" s="1"/>
  <c r="H314" i="9" s="1"/>
  <c r="G754" i="9"/>
  <c r="F754" i="9"/>
  <c r="E754" i="9"/>
  <c r="D754" i="9"/>
  <c r="C754" i="9"/>
  <c r="BA751" i="9"/>
  <c r="AW751" i="9"/>
  <c r="AP751" i="9"/>
  <c r="BV750" i="9"/>
  <c r="BU750" i="9"/>
  <c r="BT750" i="9"/>
  <c r="BR750" i="9"/>
  <c r="BQ750" i="9"/>
  <c r="BP750" i="9"/>
  <c r="BO750" i="9"/>
  <c r="BM750" i="9"/>
  <c r="BL750" i="9"/>
  <c r="BK750" i="9"/>
  <c r="BJ750" i="9"/>
  <c r="BJ751" i="9" s="1"/>
  <c r="BI750" i="9"/>
  <c r="BH750" i="9"/>
  <c r="BG750" i="9"/>
  <c r="BF750" i="9"/>
  <c r="BE750" i="9"/>
  <c r="BD750" i="9"/>
  <c r="BC750" i="9"/>
  <c r="BB750" i="9"/>
  <c r="BA750" i="9"/>
  <c r="AZ750" i="9"/>
  <c r="AY750" i="9"/>
  <c r="AX750" i="9"/>
  <c r="AW750" i="9"/>
  <c r="AV750" i="9"/>
  <c r="AU750" i="9"/>
  <c r="AT750" i="9"/>
  <c r="AS750" i="9"/>
  <c r="AR750" i="9"/>
  <c r="AQ750" i="9"/>
  <c r="AP750" i="9"/>
  <c r="AO750" i="9"/>
  <c r="AN750" i="9"/>
  <c r="AM750" i="9"/>
  <c r="AL750" i="9"/>
  <c r="AK750" i="9"/>
  <c r="AH750" i="9"/>
  <c r="AH751" i="9" s="1"/>
  <c r="AG750" i="9"/>
  <c r="AG751" i="9" s="1"/>
  <c r="AA750" i="9"/>
  <c r="Z750" i="9"/>
  <c r="Y750" i="9"/>
  <c r="M750" i="9"/>
  <c r="BJ749" i="9"/>
  <c r="BI749" i="9"/>
  <c r="BG749" i="9"/>
  <c r="BG751" i="9" s="1"/>
  <c r="BF749" i="9"/>
  <c r="BE749" i="9"/>
  <c r="BD749" i="9"/>
  <c r="BB749" i="9"/>
  <c r="BA749" i="9"/>
  <c r="AZ749" i="9"/>
  <c r="AY749" i="9"/>
  <c r="AY303" i="9" s="1"/>
  <c r="AW749" i="9"/>
  <c r="AV749" i="9"/>
  <c r="AU749" i="9"/>
  <c r="AT749" i="9"/>
  <c r="AT1072" i="9" s="1"/>
  <c r="AR749" i="9"/>
  <c r="AQ749" i="9"/>
  <c r="AP749" i="9"/>
  <c r="AP30" i="9" s="1"/>
  <c r="AO749" i="9"/>
  <c r="AM749" i="9"/>
  <c r="AL749" i="9"/>
  <c r="AL633" i="9" s="1"/>
  <c r="AK749" i="9"/>
  <c r="AK618" i="9" s="1"/>
  <c r="AK619" i="9" s="1"/>
  <c r="AJ749" i="9"/>
  <c r="AH749" i="9"/>
  <c r="AG749" i="9"/>
  <c r="AG1071" i="9" s="1"/>
  <c r="AF749" i="9"/>
  <c r="AE749" i="9"/>
  <c r="AD749" i="9"/>
  <c r="AC749" i="9"/>
  <c r="AB749" i="9"/>
  <c r="AB473" i="9" s="1"/>
  <c r="AA749" i="9"/>
  <c r="Z749" i="9"/>
  <c r="Y749" i="9"/>
  <c r="X749" i="9"/>
  <c r="W749" i="9"/>
  <c r="W1163" i="9" s="1"/>
  <c r="V749" i="9"/>
  <c r="U749" i="9"/>
  <c r="T749" i="9"/>
  <c r="T633" i="9" s="1"/>
  <c r="S749" i="9"/>
  <c r="R749" i="9"/>
  <c r="Q749" i="9"/>
  <c r="P749" i="9"/>
  <c r="P473" i="9" s="1"/>
  <c r="O749" i="9"/>
  <c r="O621" i="9" s="1"/>
  <c r="O1174" i="9" s="1"/>
  <c r="N749" i="9"/>
  <c r="N1163" i="9" s="1"/>
  <c r="M749" i="9"/>
  <c r="L749" i="9"/>
  <c r="K749" i="9"/>
  <c r="J749" i="9"/>
  <c r="N1071" i="9" s="1"/>
  <c r="I749" i="9"/>
  <c r="H749" i="9"/>
  <c r="G749" i="9"/>
  <c r="G291" i="9" s="1"/>
  <c r="F749" i="9"/>
  <c r="E749" i="9"/>
  <c r="D749" i="9"/>
  <c r="C749" i="9"/>
  <c r="C1071" i="9" s="1"/>
  <c r="Z726" i="9"/>
  <c r="Y726" i="9"/>
  <c r="X726" i="9"/>
  <c r="W726" i="9"/>
  <c r="V726" i="9"/>
  <c r="U726" i="9"/>
  <c r="T726" i="9"/>
  <c r="S726" i="9"/>
  <c r="R726" i="9"/>
  <c r="Q726" i="9"/>
  <c r="P726" i="9"/>
  <c r="O726" i="9"/>
  <c r="N726" i="9"/>
  <c r="M726" i="9"/>
  <c r="L726" i="9"/>
  <c r="K726" i="9"/>
  <c r="J726" i="9"/>
  <c r="I726" i="9"/>
  <c r="H726" i="9"/>
  <c r="G726" i="9"/>
  <c r="F726" i="9"/>
  <c r="E726" i="9"/>
  <c r="D726" i="9"/>
  <c r="C726" i="9"/>
  <c r="BJ725" i="9"/>
  <c r="BI725" i="9"/>
  <c r="BH725" i="9"/>
  <c r="BG725" i="9"/>
  <c r="BF725" i="9"/>
  <c r="BE725" i="9"/>
  <c r="BD725" i="9"/>
  <c r="BC725" i="9"/>
  <c r="BB725" i="9"/>
  <c r="BA725" i="9"/>
  <c r="AZ725" i="9"/>
  <c r="AY725" i="9"/>
  <c r="AX725" i="9"/>
  <c r="AW725" i="9"/>
  <c r="AV725" i="9"/>
  <c r="AU725" i="9"/>
  <c r="AT725" i="9"/>
  <c r="AS725" i="9"/>
  <c r="AR725" i="9"/>
  <c r="AQ725" i="9"/>
  <c r="AP725" i="9"/>
  <c r="AO725" i="9"/>
  <c r="AN725" i="9"/>
  <c r="Z724" i="9"/>
  <c r="Z705" i="9" s="1"/>
  <c r="Y724" i="9"/>
  <c r="Y705" i="9" s="1"/>
  <c r="X724" i="9"/>
  <c r="W724" i="9"/>
  <c r="W705" i="9" s="1"/>
  <c r="V724" i="9"/>
  <c r="V705" i="9" s="1"/>
  <c r="U724" i="9"/>
  <c r="T724" i="9"/>
  <c r="S724" i="9"/>
  <c r="R724" i="9"/>
  <c r="Q724" i="9"/>
  <c r="P724" i="9"/>
  <c r="O724" i="9"/>
  <c r="N724" i="9"/>
  <c r="M724" i="9"/>
  <c r="L724" i="9"/>
  <c r="K724" i="9"/>
  <c r="J724" i="9"/>
  <c r="I724" i="9"/>
  <c r="H724" i="9"/>
  <c r="G724" i="9"/>
  <c r="F724" i="9"/>
  <c r="E723" i="9"/>
  <c r="D723" i="9"/>
  <c r="C723" i="9"/>
  <c r="BJ722" i="9"/>
  <c r="AZ722" i="9"/>
  <c r="AY722" i="9"/>
  <c r="AX722" i="9"/>
  <c r="AS722" i="9"/>
  <c r="AQ722" i="9"/>
  <c r="BJ721" i="9"/>
  <c r="BI721" i="9"/>
  <c r="BH721" i="9"/>
  <c r="BG721" i="9"/>
  <c r="BF721" i="9"/>
  <c r="BE721" i="9"/>
  <c r="BD721" i="9"/>
  <c r="BC721" i="9"/>
  <c r="BB721" i="9"/>
  <c r="BA721" i="9"/>
  <c r="AZ721" i="9"/>
  <c r="AY721" i="9"/>
  <c r="AX721" i="9"/>
  <c r="AW721" i="9"/>
  <c r="AV721" i="9"/>
  <c r="AU721" i="9"/>
  <c r="AT721" i="9"/>
  <c r="AS721" i="9"/>
  <c r="AR721" i="9"/>
  <c r="AQ721" i="9"/>
  <c r="AP721" i="9"/>
  <c r="AO721" i="9"/>
  <c r="AN721" i="9"/>
  <c r="AM721" i="9"/>
  <c r="Z721" i="9"/>
  <c r="Y721" i="9"/>
  <c r="X721" i="9"/>
  <c r="W721" i="9"/>
  <c r="V721" i="9"/>
  <c r="U721" i="9"/>
  <c r="T721" i="9"/>
  <c r="S721" i="9"/>
  <c r="R721" i="9"/>
  <c r="Q721" i="9"/>
  <c r="P721" i="9"/>
  <c r="O721" i="9"/>
  <c r="N721" i="9"/>
  <c r="M721" i="9"/>
  <c r="L721" i="9"/>
  <c r="K721" i="9"/>
  <c r="J721" i="9"/>
  <c r="I721" i="9"/>
  <c r="H721" i="9"/>
  <c r="G721" i="9"/>
  <c r="F721" i="9"/>
  <c r="E721" i="9"/>
  <c r="D721" i="9"/>
  <c r="C721" i="9"/>
  <c r="BD720" i="9"/>
  <c r="AY720" i="9"/>
  <c r="AX720" i="9"/>
  <c r="AV720" i="9"/>
  <c r="AS720" i="9"/>
  <c r="AP720" i="9"/>
  <c r="Z719" i="9"/>
  <c r="Y719" i="9"/>
  <c r="X719" i="9"/>
  <c r="W719" i="9"/>
  <c r="V719" i="9"/>
  <c r="U719" i="9"/>
  <c r="T719" i="9"/>
  <c r="S719" i="9"/>
  <c r="R719" i="9"/>
  <c r="Q719" i="9"/>
  <c r="P719" i="9"/>
  <c r="O719" i="9"/>
  <c r="N719" i="9"/>
  <c r="M719" i="9"/>
  <c r="L719" i="9"/>
  <c r="K719" i="9"/>
  <c r="K702" i="9" s="1"/>
  <c r="K708" i="9" s="1"/>
  <c r="J719" i="9"/>
  <c r="J702" i="9" s="1"/>
  <c r="J708" i="9" s="1"/>
  <c r="I719" i="9"/>
  <c r="I702" i="9" s="1"/>
  <c r="H719" i="9"/>
  <c r="H702" i="9" s="1"/>
  <c r="G719" i="9"/>
  <c r="G702" i="9" s="1"/>
  <c r="G708" i="9" s="1"/>
  <c r="F719" i="9"/>
  <c r="F702" i="9" s="1"/>
  <c r="E718" i="9"/>
  <c r="D718" i="9"/>
  <c r="C718" i="9"/>
  <c r="BJ717" i="9"/>
  <c r="BI717" i="9"/>
  <c r="BG717" i="9"/>
  <c r="BF717" i="9"/>
  <c r="BD717" i="9"/>
  <c r="BC717" i="9"/>
  <c r="E717" i="9"/>
  <c r="D717" i="9"/>
  <c r="C717" i="9"/>
  <c r="BI716" i="9"/>
  <c r="BC716" i="9"/>
  <c r="BB716" i="9"/>
  <c r="AW716" i="9"/>
  <c r="E716" i="9"/>
  <c r="D716" i="9"/>
  <c r="C716" i="9"/>
  <c r="Z715" i="9"/>
  <c r="Y715" i="9"/>
  <c r="X715" i="9"/>
  <c r="W715" i="9"/>
  <c r="V715" i="9"/>
  <c r="U715" i="9"/>
  <c r="T715" i="9"/>
  <c r="S715" i="9"/>
  <c r="R715" i="9"/>
  <c r="Q715" i="9"/>
  <c r="P715" i="9"/>
  <c r="O715" i="9"/>
  <c r="N715" i="9"/>
  <c r="M715" i="9"/>
  <c r="L715" i="9"/>
  <c r="K715" i="9"/>
  <c r="J715" i="9"/>
  <c r="I715" i="9"/>
  <c r="H715" i="9"/>
  <c r="G715" i="9"/>
  <c r="F715" i="9"/>
  <c r="E715" i="9"/>
  <c r="D715" i="9"/>
  <c r="C715" i="9"/>
  <c r="BI714" i="9"/>
  <c r="BI713" i="9"/>
  <c r="BG713" i="9"/>
  <c r="BE713" i="9"/>
  <c r="BH712" i="9"/>
  <c r="AZ712" i="9"/>
  <c r="AS712" i="9"/>
  <c r="AR712" i="9"/>
  <c r="AQ712" i="9"/>
  <c r="AO712" i="9"/>
  <c r="AN712" i="9"/>
  <c r="AL712" i="9"/>
  <c r="Z712" i="9"/>
  <c r="Y712" i="9"/>
  <c r="X712" i="9"/>
  <c r="W712" i="9"/>
  <c r="V712" i="9"/>
  <c r="U712" i="9"/>
  <c r="T712" i="9"/>
  <c r="S712" i="9"/>
  <c r="R712" i="9"/>
  <c r="Q712" i="9"/>
  <c r="P712" i="9"/>
  <c r="O712" i="9"/>
  <c r="N712" i="9"/>
  <c r="M712" i="9"/>
  <c r="L712" i="9"/>
  <c r="K712" i="9"/>
  <c r="J712" i="9"/>
  <c r="I712" i="9"/>
  <c r="H712" i="9"/>
  <c r="G712" i="9"/>
  <c r="F712" i="9"/>
  <c r="E712" i="9"/>
  <c r="D712" i="9"/>
  <c r="C712" i="9"/>
  <c r="Z711" i="9"/>
  <c r="Y711" i="9"/>
  <c r="X711" i="9"/>
  <c r="W711" i="9"/>
  <c r="V711" i="9"/>
  <c r="U711" i="9"/>
  <c r="T711" i="9"/>
  <c r="S711" i="9"/>
  <c r="R711" i="9"/>
  <c r="Q711" i="9"/>
  <c r="P711" i="9"/>
  <c r="O711" i="9"/>
  <c r="O696" i="9" s="1"/>
  <c r="N711" i="9"/>
  <c r="M711" i="9"/>
  <c r="L711" i="9"/>
  <c r="K711" i="9"/>
  <c r="J711" i="9"/>
  <c r="I711" i="9"/>
  <c r="H711" i="9"/>
  <c r="G711" i="9"/>
  <c r="F711" i="9"/>
  <c r="E711" i="9"/>
  <c r="D711" i="9"/>
  <c r="C711" i="9"/>
  <c r="AR710" i="9"/>
  <c r="BI708" i="9"/>
  <c r="BB708" i="9"/>
  <c r="AZ708" i="9"/>
  <c r="AV708" i="9"/>
  <c r="AE708" i="9"/>
  <c r="AB708" i="9"/>
  <c r="U708" i="9"/>
  <c r="T708" i="9"/>
  <c r="X705" i="9"/>
  <c r="BJ695" i="9"/>
  <c r="BJ708" i="9" s="1"/>
  <c r="BI695" i="9"/>
  <c r="BG695" i="9"/>
  <c r="BG708" i="9" s="1"/>
  <c r="BF695" i="9"/>
  <c r="BF708" i="9" s="1"/>
  <c r="BE695" i="9"/>
  <c r="BE708" i="9" s="1"/>
  <c r="BD695" i="9"/>
  <c r="BD708" i="9" s="1"/>
  <c r="BB695" i="9"/>
  <c r="BA695" i="9"/>
  <c r="BA708" i="9" s="1"/>
  <c r="AZ695" i="9"/>
  <c r="AY695" i="9"/>
  <c r="AY708" i="9" s="1"/>
  <c r="AW695" i="9"/>
  <c r="AW708" i="9" s="1"/>
  <c r="AV695" i="9"/>
  <c r="AU695" i="9"/>
  <c r="AU708" i="9" s="1"/>
  <c r="AT695" i="9"/>
  <c r="AT708" i="9" s="1"/>
  <c r="AR695" i="9"/>
  <c r="AR708" i="9" s="1"/>
  <c r="AQ695" i="9"/>
  <c r="AQ708" i="9" s="1"/>
  <c r="AP695" i="9"/>
  <c r="AP708" i="9" s="1"/>
  <c r="AO695" i="9"/>
  <c r="AO708" i="9" s="1"/>
  <c r="AN695" i="9"/>
  <c r="AN708" i="9" s="1"/>
  <c r="AM695" i="9"/>
  <c r="AM708" i="9" s="1"/>
  <c r="AL695" i="9"/>
  <c r="AL708" i="9" s="1"/>
  <c r="AK695" i="9"/>
  <c r="AK708" i="9" s="1"/>
  <c r="AJ695" i="9"/>
  <c r="AJ708" i="9" s="1"/>
  <c r="AH695" i="9"/>
  <c r="AH708" i="9" s="1"/>
  <c r="AG695" i="9"/>
  <c r="AG708" i="9" s="1"/>
  <c r="AF695" i="9"/>
  <c r="AF708" i="9" s="1"/>
  <c r="AE695" i="9"/>
  <c r="AD695" i="9"/>
  <c r="AD708" i="9" s="1"/>
  <c r="AC695" i="9"/>
  <c r="AC708" i="9" s="1"/>
  <c r="AB695" i="9"/>
  <c r="AA695" i="9"/>
  <c r="AA708" i="9" s="1"/>
  <c r="Z695" i="9"/>
  <c r="Y695" i="9"/>
  <c r="X695" i="9"/>
  <c r="W695" i="9"/>
  <c r="V695" i="9"/>
  <c r="U695" i="9"/>
  <c r="T695" i="9"/>
  <c r="S695" i="9"/>
  <c r="S708" i="9" s="1"/>
  <c r="R695" i="9"/>
  <c r="R708" i="9" s="1"/>
  <c r="Q695" i="9"/>
  <c r="Q708" i="9" s="1"/>
  <c r="P695" i="9"/>
  <c r="O695" i="9"/>
  <c r="N695" i="9"/>
  <c r="N708" i="9" s="1"/>
  <c r="M695" i="9"/>
  <c r="M708" i="9" s="1"/>
  <c r="L695" i="9"/>
  <c r="L708" i="9" s="1"/>
  <c r="K695" i="9"/>
  <c r="J695" i="9"/>
  <c r="I695" i="9"/>
  <c r="H695" i="9"/>
  <c r="G695" i="9"/>
  <c r="F695" i="9"/>
  <c r="E695" i="9"/>
  <c r="D695" i="9"/>
  <c r="C695" i="9"/>
  <c r="S693" i="9"/>
  <c r="BJ692" i="9"/>
  <c r="BI692" i="9"/>
  <c r="BH692" i="9"/>
  <c r="BG692" i="9"/>
  <c r="BG722" i="9" s="1"/>
  <c r="BF692" i="9"/>
  <c r="BE692" i="9"/>
  <c r="BE722" i="9" s="1"/>
  <c r="BD692" i="9"/>
  <c r="BC692" i="9"/>
  <c r="BB692" i="9"/>
  <c r="BB722" i="9" s="1"/>
  <c r="BA692" i="9"/>
  <c r="AZ692" i="9"/>
  <c r="AY692" i="9"/>
  <c r="AY365" i="9" s="1"/>
  <c r="AX692" i="9"/>
  <c r="AW692" i="9"/>
  <c r="AV692" i="9"/>
  <c r="AV722" i="9" s="1"/>
  <c r="AU692" i="9"/>
  <c r="AT692" i="9"/>
  <c r="AT365" i="9" s="1"/>
  <c r="AS692" i="9"/>
  <c r="AR692" i="9"/>
  <c r="AQ692" i="9"/>
  <c r="AP692" i="9"/>
  <c r="AP722" i="9" s="1"/>
  <c r="AO692" i="9"/>
  <c r="AO365" i="9" s="1"/>
  <c r="AN692" i="9"/>
  <c r="AN365" i="9" s="1"/>
  <c r="AM692" i="9"/>
  <c r="AM365" i="9" s="1"/>
  <c r="AL692" i="9"/>
  <c r="AL365" i="9" s="1"/>
  <c r="AK692" i="9"/>
  <c r="AK365" i="9" s="1"/>
  <c r="AJ692" i="9"/>
  <c r="AJ365" i="9" s="1"/>
  <c r="AI692" i="9"/>
  <c r="AI365" i="9" s="1"/>
  <c r="AH692" i="9"/>
  <c r="AG692" i="9"/>
  <c r="AG365" i="9" s="1"/>
  <c r="AF692" i="9"/>
  <c r="BJ691" i="9"/>
  <c r="BJ364" i="9" s="1"/>
  <c r="BI691" i="9"/>
  <c r="BI364" i="9" s="1"/>
  <c r="BH691" i="9"/>
  <c r="BG691" i="9"/>
  <c r="BG364" i="9" s="1"/>
  <c r="BF691" i="9"/>
  <c r="BE691" i="9"/>
  <c r="BD691" i="9"/>
  <c r="BC691" i="9"/>
  <c r="BC364" i="9" s="1"/>
  <c r="BB691" i="9"/>
  <c r="BB364" i="9" s="1"/>
  <c r="BA691" i="9"/>
  <c r="AZ691" i="9"/>
  <c r="AY691" i="9"/>
  <c r="AY364" i="9" s="1"/>
  <c r="AX691" i="9"/>
  <c r="AW691" i="9"/>
  <c r="AV691" i="9"/>
  <c r="AV364" i="9" s="1"/>
  <c r="AU691" i="9"/>
  <c r="AU364" i="9" s="1"/>
  <c r="AT691" i="9"/>
  <c r="AT364" i="9" s="1"/>
  <c r="AS691" i="9"/>
  <c r="AR691" i="9"/>
  <c r="AR364" i="9" s="1"/>
  <c r="AQ691" i="9"/>
  <c r="AQ364" i="9" s="1"/>
  <c r="AP691" i="9"/>
  <c r="AP364" i="9" s="1"/>
  <c r="AO691" i="9"/>
  <c r="AN691" i="9"/>
  <c r="AN364" i="9" s="1"/>
  <c r="AM691" i="9"/>
  <c r="AM364" i="9" s="1"/>
  <c r="AL691" i="9"/>
  <c r="AK691" i="9"/>
  <c r="AJ691" i="9"/>
  <c r="AI691" i="9"/>
  <c r="AI364" i="9" s="1"/>
  <c r="AH691" i="9"/>
  <c r="AG691" i="9"/>
  <c r="AF691" i="9"/>
  <c r="AF364" i="9" s="1"/>
  <c r="BJ690" i="9"/>
  <c r="BJ720" i="9" s="1"/>
  <c r="BI690" i="9"/>
  <c r="BI720" i="9" s="1"/>
  <c r="BH690" i="9"/>
  <c r="BG690" i="9"/>
  <c r="BG720" i="9" s="1"/>
  <c r="BF690" i="9"/>
  <c r="BE690" i="9"/>
  <c r="BD690" i="9"/>
  <c r="BC690" i="9"/>
  <c r="BB690" i="9"/>
  <c r="BB720" i="9" s="1"/>
  <c r="BA690" i="9"/>
  <c r="BA720" i="9" s="1"/>
  <c r="AZ690" i="9"/>
  <c r="AZ720" i="9" s="1"/>
  <c r="AY690" i="9"/>
  <c r="AY363" i="9" s="1"/>
  <c r="AX690" i="9"/>
  <c r="AX363" i="9" s="1"/>
  <c r="AW690" i="9"/>
  <c r="AV690" i="9"/>
  <c r="AU690" i="9"/>
  <c r="AU720" i="9" s="1"/>
  <c r="AT690" i="9"/>
  <c r="AS690" i="9"/>
  <c r="AR690" i="9"/>
  <c r="AR720" i="9" s="1"/>
  <c r="AQ690" i="9"/>
  <c r="AP690" i="9"/>
  <c r="AP363" i="9" s="1"/>
  <c r="AO690" i="9"/>
  <c r="AN690" i="9"/>
  <c r="AN363" i="9" s="1"/>
  <c r="AM690" i="9"/>
  <c r="AL690" i="9"/>
  <c r="AL363" i="9" s="1"/>
  <c r="AK690" i="9"/>
  <c r="AK363" i="9" s="1"/>
  <c r="AJ690" i="9"/>
  <c r="AI690" i="9"/>
  <c r="AI363" i="9" s="1"/>
  <c r="AH690" i="9"/>
  <c r="AH363" i="9" s="1"/>
  <c r="AG690" i="9"/>
  <c r="AG363" i="9" s="1"/>
  <c r="AF690" i="9"/>
  <c r="AF363" i="9" s="1"/>
  <c r="BJ689" i="9"/>
  <c r="BJ362" i="9" s="1"/>
  <c r="BI689" i="9"/>
  <c r="BI362" i="9" s="1"/>
  <c r="BH689" i="9"/>
  <c r="BH717" i="9" s="1"/>
  <c r="BG689" i="9"/>
  <c r="BF689" i="9"/>
  <c r="BE689" i="9"/>
  <c r="BD689" i="9"/>
  <c r="BC689" i="9"/>
  <c r="BC362" i="9" s="1"/>
  <c r="BB689" i="9"/>
  <c r="BB362" i="9" s="1"/>
  <c r="BA689" i="9"/>
  <c r="BA362" i="9" s="1"/>
  <c r="AZ689" i="9"/>
  <c r="AZ362" i="9" s="1"/>
  <c r="AY689" i="9"/>
  <c r="AY362" i="9" s="1"/>
  <c r="AX689" i="9"/>
  <c r="AW689" i="9"/>
  <c r="AW362" i="9" s="1"/>
  <c r="AV689" i="9"/>
  <c r="AV362" i="9" s="1"/>
  <c r="AU689" i="9"/>
  <c r="AT689" i="9"/>
  <c r="AT362" i="9" s="1"/>
  <c r="AS689" i="9"/>
  <c r="AS362" i="9" s="1"/>
  <c r="AR689" i="9"/>
  <c r="AQ689" i="9"/>
  <c r="AQ362" i="9" s="1"/>
  <c r="AP689" i="9"/>
  <c r="AP362" i="9" s="1"/>
  <c r="AO689" i="9"/>
  <c r="AO362" i="9" s="1"/>
  <c r="AN689" i="9"/>
  <c r="AM689" i="9"/>
  <c r="AL689" i="9"/>
  <c r="AK689" i="9"/>
  <c r="AK362" i="9" s="1"/>
  <c r="AJ689" i="9"/>
  <c r="AI689" i="9"/>
  <c r="AI362" i="9" s="1"/>
  <c r="AH689" i="9"/>
  <c r="AH362" i="9" s="1"/>
  <c r="AG689" i="9"/>
  <c r="AF689" i="9"/>
  <c r="AF362" i="9" s="1"/>
  <c r="BJ687" i="9"/>
  <c r="BJ716" i="9" s="1"/>
  <c r="BI687" i="9"/>
  <c r="BH687" i="9"/>
  <c r="BH716" i="9" s="1"/>
  <c r="BG687" i="9"/>
  <c r="BF687" i="9"/>
  <c r="BF716" i="9" s="1"/>
  <c r="BE687" i="9"/>
  <c r="BE360" i="9" s="1"/>
  <c r="BD687" i="9"/>
  <c r="BC687" i="9"/>
  <c r="BC360" i="9" s="1"/>
  <c r="BB687" i="9"/>
  <c r="BB360" i="9" s="1"/>
  <c r="BA687" i="9"/>
  <c r="BA716" i="9" s="1"/>
  <c r="AZ687" i="9"/>
  <c r="AZ716" i="9" s="1"/>
  <c r="AY687" i="9"/>
  <c r="AY716" i="9" s="1"/>
  <c r="AX687" i="9"/>
  <c r="AX716" i="9" s="1"/>
  <c r="AW687" i="9"/>
  <c r="AV687" i="9"/>
  <c r="AU687" i="9"/>
  <c r="AU716" i="9" s="1"/>
  <c r="AT687" i="9"/>
  <c r="AT716" i="9" s="1"/>
  <c r="AS687" i="9"/>
  <c r="AS716" i="9" s="1"/>
  <c r="AR687" i="9"/>
  <c r="AR716" i="9" s="1"/>
  <c r="AQ687" i="9"/>
  <c r="AP687" i="9"/>
  <c r="AP716" i="9" s="1"/>
  <c r="AO687" i="9"/>
  <c r="AO716" i="9" s="1"/>
  <c r="AN687" i="9"/>
  <c r="AM687" i="9"/>
  <c r="AL687" i="9"/>
  <c r="AL716" i="9" s="1"/>
  <c r="AK687" i="9"/>
  <c r="AJ687" i="9"/>
  <c r="AI687" i="9"/>
  <c r="AH687" i="9"/>
  <c r="AG687" i="9"/>
  <c r="AG360" i="9" s="1"/>
  <c r="AF687" i="9"/>
  <c r="AF360" i="9" s="1"/>
  <c r="BJ686" i="9"/>
  <c r="BI686" i="9"/>
  <c r="BH686" i="9"/>
  <c r="BG686" i="9"/>
  <c r="BG359" i="9" s="1"/>
  <c r="BF686" i="9"/>
  <c r="BF359" i="9" s="1"/>
  <c r="BE686" i="9"/>
  <c r="BD686" i="9"/>
  <c r="BD359" i="9" s="1"/>
  <c r="BC686" i="9"/>
  <c r="BC359" i="9" s="1"/>
  <c r="BB686" i="9"/>
  <c r="BB359" i="9" s="1"/>
  <c r="BA686" i="9"/>
  <c r="BA359" i="9" s="1"/>
  <c r="AZ686" i="9"/>
  <c r="AZ359" i="9" s="1"/>
  <c r="AY686" i="9"/>
  <c r="AY359" i="9" s="1"/>
  <c r="AX686" i="9"/>
  <c r="AX359" i="9" s="1"/>
  <c r="AW686" i="9"/>
  <c r="AV686" i="9"/>
  <c r="AV359" i="9" s="1"/>
  <c r="AU686" i="9"/>
  <c r="AU359" i="9" s="1"/>
  <c r="AT686" i="9"/>
  <c r="AT359" i="9" s="1"/>
  <c r="AS686" i="9"/>
  <c r="AR686" i="9"/>
  <c r="AQ686" i="9"/>
  <c r="AP686" i="9"/>
  <c r="AP359" i="9" s="1"/>
  <c r="AO686" i="9"/>
  <c r="AN686" i="9"/>
  <c r="AM686" i="9"/>
  <c r="AM359" i="9" s="1"/>
  <c r="AL686" i="9"/>
  <c r="AK686" i="9"/>
  <c r="AK359" i="9" s="1"/>
  <c r="AJ686" i="9"/>
  <c r="AJ359" i="9" s="1"/>
  <c r="AI686" i="9"/>
  <c r="AH686" i="9"/>
  <c r="AH359" i="9" s="1"/>
  <c r="AG686" i="9"/>
  <c r="AG359" i="9" s="1"/>
  <c r="AF686" i="9"/>
  <c r="AF359" i="9" s="1"/>
  <c r="AE686" i="9"/>
  <c r="AD686" i="9"/>
  <c r="AC686" i="9"/>
  <c r="AB686" i="9"/>
  <c r="AA686" i="9"/>
  <c r="AA359" i="9" s="1"/>
  <c r="Z686" i="9"/>
  <c r="Y686" i="9"/>
  <c r="Y700" i="9" s="1"/>
  <c r="X686" i="9"/>
  <c r="W686" i="9"/>
  <c r="W359" i="9" s="1"/>
  <c r="V686" i="9"/>
  <c r="V700" i="9" s="1"/>
  <c r="BJ685" i="9"/>
  <c r="BJ714" i="9" s="1"/>
  <c r="BI685" i="9"/>
  <c r="BH685" i="9"/>
  <c r="BG685" i="9"/>
  <c r="BG714" i="9" s="1"/>
  <c r="BF685" i="9"/>
  <c r="BF714" i="9" s="1"/>
  <c r="BE685" i="9"/>
  <c r="BD685" i="9"/>
  <c r="BC685" i="9"/>
  <c r="BB685" i="9"/>
  <c r="BB358" i="9" s="1"/>
  <c r="BA685" i="9"/>
  <c r="AZ685" i="9"/>
  <c r="AY685" i="9"/>
  <c r="AY358" i="9" s="1"/>
  <c r="AX685" i="9"/>
  <c r="AW685" i="9"/>
  <c r="AW358" i="9" s="1"/>
  <c r="AV685" i="9"/>
  <c r="AU685" i="9"/>
  <c r="AT685" i="9"/>
  <c r="AT358" i="9" s="1"/>
  <c r="AS685" i="9"/>
  <c r="AR685" i="9"/>
  <c r="AQ685" i="9"/>
  <c r="AQ358" i="9" s="1"/>
  <c r="AP685" i="9"/>
  <c r="AO685" i="9"/>
  <c r="AN685" i="9"/>
  <c r="AN358" i="9" s="1"/>
  <c r="AM685" i="9"/>
  <c r="AL685" i="9"/>
  <c r="AK685" i="9"/>
  <c r="AK358" i="9" s="1"/>
  <c r="AJ685" i="9"/>
  <c r="AJ358" i="9" s="1"/>
  <c r="AI685" i="9"/>
  <c r="AI358" i="9" s="1"/>
  <c r="AH685" i="9"/>
  <c r="AH358" i="9" s="1"/>
  <c r="AG685" i="9"/>
  <c r="AF685" i="9"/>
  <c r="AF358" i="9" s="1"/>
  <c r="BJ684" i="9"/>
  <c r="BI684" i="9"/>
  <c r="BH684" i="9"/>
  <c r="BG684" i="9"/>
  <c r="BF684" i="9"/>
  <c r="BF713" i="9" s="1"/>
  <c r="BE684" i="9"/>
  <c r="BE357" i="9" s="1"/>
  <c r="BD684" i="9"/>
  <c r="BC684" i="9"/>
  <c r="BC357" i="9" s="1"/>
  <c r="BB684" i="9"/>
  <c r="BA684" i="9"/>
  <c r="AZ684" i="9"/>
  <c r="AY684" i="9"/>
  <c r="AX684" i="9"/>
  <c r="AW684" i="9"/>
  <c r="AV684" i="9"/>
  <c r="AV357" i="9" s="1"/>
  <c r="AU684" i="9"/>
  <c r="AT684" i="9"/>
  <c r="AT357" i="9" s="1"/>
  <c r="AS684" i="9"/>
  <c r="AS357" i="9" s="1"/>
  <c r="AR684" i="9"/>
  <c r="AQ684" i="9"/>
  <c r="AQ357" i="9" s="1"/>
  <c r="AP684" i="9"/>
  <c r="AP357" i="9" s="1"/>
  <c r="AO684" i="9"/>
  <c r="AN684" i="9"/>
  <c r="AN357" i="9" s="1"/>
  <c r="AM684" i="9"/>
  <c r="AM357" i="9" s="1"/>
  <c r="AL684" i="9"/>
  <c r="AK684" i="9"/>
  <c r="AJ684" i="9"/>
  <c r="AJ357" i="9" s="1"/>
  <c r="AI684" i="9"/>
  <c r="AI357" i="9" s="1"/>
  <c r="AH684" i="9"/>
  <c r="AH357" i="9" s="1"/>
  <c r="AG684" i="9"/>
  <c r="AG357" i="9" s="1"/>
  <c r="AF684" i="9"/>
  <c r="BJ683" i="9"/>
  <c r="BI683" i="9"/>
  <c r="BI712" i="9" s="1"/>
  <c r="BH683" i="9"/>
  <c r="BG683" i="9"/>
  <c r="BF683" i="9"/>
  <c r="BF712" i="9" s="1"/>
  <c r="BE683" i="9"/>
  <c r="BE712" i="9" s="1"/>
  <c r="BD683" i="9"/>
  <c r="BC683" i="9"/>
  <c r="BB683" i="9"/>
  <c r="BA683" i="9"/>
  <c r="AZ683" i="9"/>
  <c r="AY683" i="9"/>
  <c r="AY712" i="9" s="1"/>
  <c r="AX683" i="9"/>
  <c r="AW683" i="9"/>
  <c r="AV683" i="9"/>
  <c r="AV712" i="9" s="1"/>
  <c r="AU683" i="9"/>
  <c r="AT683" i="9"/>
  <c r="AT712" i="9" s="1"/>
  <c r="AS683" i="9"/>
  <c r="AR683" i="9"/>
  <c r="AQ683" i="9"/>
  <c r="AP683" i="9"/>
  <c r="AO683" i="9"/>
  <c r="AO356" i="9" s="1"/>
  <c r="AN683" i="9"/>
  <c r="AN356" i="9" s="1"/>
  <c r="AM683" i="9"/>
  <c r="AL683" i="9"/>
  <c r="AK683" i="9"/>
  <c r="AK712" i="9" s="1"/>
  <c r="AJ683" i="9"/>
  <c r="AJ356" i="9" s="1"/>
  <c r="AI683" i="9"/>
  <c r="AI356" i="9" s="1"/>
  <c r="AH683" i="9"/>
  <c r="AG683" i="9"/>
  <c r="AF683" i="9"/>
  <c r="P682" i="9"/>
  <c r="P355" i="9" s="1"/>
  <c r="O682" i="9"/>
  <c r="O355" i="9" s="1"/>
  <c r="AW681" i="9"/>
  <c r="AE681" i="9"/>
  <c r="T681" i="9"/>
  <c r="T693" i="9" s="1"/>
  <c r="P681" i="9"/>
  <c r="H681" i="9"/>
  <c r="H693" i="9" s="1"/>
  <c r="BF679" i="9"/>
  <c r="BE679" i="9"/>
  <c r="AU679" i="9"/>
  <c r="AO679" i="9"/>
  <c r="AC679" i="9"/>
  <c r="AB679" i="9"/>
  <c r="Z679" i="9"/>
  <c r="Y679" i="9"/>
  <c r="T679" i="9"/>
  <c r="P679" i="9"/>
  <c r="BJ669" i="9"/>
  <c r="BJ679" i="9" s="1"/>
  <c r="BI669" i="9"/>
  <c r="BI679" i="9" s="1"/>
  <c r="BG669" i="9"/>
  <c r="BG679" i="9" s="1"/>
  <c r="BF669" i="9"/>
  <c r="BE669" i="9"/>
  <c r="BD669" i="9"/>
  <c r="BD679" i="9" s="1"/>
  <c r="BB669" i="9"/>
  <c r="BB679" i="9" s="1"/>
  <c r="BA669" i="9"/>
  <c r="BA679" i="9" s="1"/>
  <c r="AZ669" i="9"/>
  <c r="AZ679" i="9" s="1"/>
  <c r="AY669" i="9"/>
  <c r="AY679" i="9" s="1"/>
  <c r="AW669" i="9"/>
  <c r="AW679" i="9" s="1"/>
  <c r="AV669" i="9"/>
  <c r="AV679" i="9" s="1"/>
  <c r="AU669" i="9"/>
  <c r="AT669" i="9"/>
  <c r="AT679" i="9" s="1"/>
  <c r="AR669" i="9"/>
  <c r="AR679" i="9" s="1"/>
  <c r="AQ669" i="9"/>
  <c r="AQ679" i="9" s="1"/>
  <c r="AP669" i="9"/>
  <c r="AP679" i="9" s="1"/>
  <c r="AO669" i="9"/>
  <c r="AM669" i="9"/>
  <c r="AM679" i="9" s="1"/>
  <c r="AL669" i="9"/>
  <c r="AL679" i="9" s="1"/>
  <c r="AK669" i="9"/>
  <c r="AK679" i="9" s="1"/>
  <c r="AJ669" i="9"/>
  <c r="AJ679" i="9" s="1"/>
  <c r="AI669" i="9"/>
  <c r="AI679" i="9" s="1"/>
  <c r="AH669" i="9"/>
  <c r="AH679" i="9" s="1"/>
  <c r="AG669" i="9"/>
  <c r="AG679" i="9" s="1"/>
  <c r="AF669" i="9"/>
  <c r="AF679" i="9" s="1"/>
  <c r="AE669" i="9"/>
  <c r="AE679" i="9" s="1"/>
  <c r="AD669" i="9"/>
  <c r="AD679" i="9" s="1"/>
  <c r="AC669" i="9"/>
  <c r="AB669" i="9"/>
  <c r="AA669" i="9"/>
  <c r="AA679" i="9" s="1"/>
  <c r="Z669" i="9"/>
  <c r="Y669" i="9"/>
  <c r="X669" i="9"/>
  <c r="X679" i="9" s="1"/>
  <c r="W669" i="9"/>
  <c r="W679" i="9" s="1"/>
  <c r="V669" i="9"/>
  <c r="V679" i="9" s="1"/>
  <c r="U669" i="9"/>
  <c r="U679" i="9" s="1"/>
  <c r="T669" i="9"/>
  <c r="S669" i="9"/>
  <c r="S679" i="9" s="1"/>
  <c r="R669" i="9"/>
  <c r="R679" i="9" s="1"/>
  <c r="Q669" i="9"/>
  <c r="Q679" i="9" s="1"/>
  <c r="P669" i="9"/>
  <c r="O669" i="9"/>
  <c r="O679" i="9" s="1"/>
  <c r="N669" i="9"/>
  <c r="N679" i="9" s="1"/>
  <c r="M669" i="9"/>
  <c r="M679" i="9" s="1"/>
  <c r="L669" i="9"/>
  <c r="L679" i="9" s="1"/>
  <c r="U667" i="9"/>
  <c r="R667" i="9"/>
  <c r="AC664" i="9"/>
  <c r="AA664" i="9"/>
  <c r="AA320" i="9" s="1"/>
  <c r="AE662" i="9"/>
  <c r="AE318" i="9" s="1"/>
  <c r="AD662" i="9"/>
  <c r="AD318" i="9" s="1"/>
  <c r="AC662" i="9"/>
  <c r="AB662" i="9"/>
  <c r="AA662" i="9"/>
  <c r="AA318" i="9" s="1"/>
  <c r="BA661" i="9"/>
  <c r="BA667" i="9" s="1"/>
  <c r="AW661" i="9"/>
  <c r="AW667" i="9" s="1"/>
  <c r="AR661" i="9"/>
  <c r="AR667" i="9" s="1"/>
  <c r="AO661" i="9"/>
  <c r="AO667" i="9" s="1"/>
  <c r="AL661" i="9"/>
  <c r="AL667" i="9" s="1"/>
  <c r="AE661" i="9"/>
  <c r="T661" i="9"/>
  <c r="T667" i="9" s="1"/>
  <c r="S661" i="9"/>
  <c r="S667" i="9" s="1"/>
  <c r="P661" i="9"/>
  <c r="P667" i="9" s="1"/>
  <c r="L661" i="9"/>
  <c r="L667" i="9" s="1"/>
  <c r="BJ659" i="9"/>
  <c r="BI659" i="9"/>
  <c r="BJ657" i="9"/>
  <c r="BI657" i="9"/>
  <c r="BH657" i="9"/>
  <c r="BH659" i="9" s="1"/>
  <c r="BG657" i="9"/>
  <c r="BG659" i="9" s="1"/>
  <c r="BF657" i="9"/>
  <c r="BF659" i="9" s="1"/>
  <c r="BE657" i="9"/>
  <c r="BE659" i="9" s="1"/>
  <c r="AJ653" i="9"/>
  <c r="AJ655" i="9" s="1"/>
  <c r="AH653" i="9"/>
  <c r="AH655" i="9" s="1"/>
  <c r="AG653" i="9"/>
  <c r="AG655" i="9" s="1"/>
  <c r="AF653" i="9"/>
  <c r="AF655" i="9" s="1"/>
  <c r="AE653" i="9"/>
  <c r="AE655" i="9" s="1"/>
  <c r="AD653" i="9"/>
  <c r="AD655" i="9" s="1"/>
  <c r="AC653" i="9"/>
  <c r="AC655" i="9" s="1"/>
  <c r="AB653" i="9"/>
  <c r="AB655" i="9" s="1"/>
  <c r="AA653" i="9"/>
  <c r="AA655" i="9" s="1"/>
  <c r="BV650" i="9"/>
  <c r="BU650" i="9"/>
  <c r="BT650" i="9"/>
  <c r="BS650" i="9"/>
  <c r="BR650" i="9"/>
  <c r="BQ650" i="9"/>
  <c r="BP650" i="9"/>
  <c r="BO650" i="9"/>
  <c r="BN650" i="9"/>
  <c r="BM650" i="9"/>
  <c r="BL650" i="9"/>
  <c r="BK650" i="9"/>
  <c r="AF648" i="9"/>
  <c r="BH647" i="9"/>
  <c r="BH783" i="9" s="1"/>
  <c r="BC647" i="9"/>
  <c r="AX647" i="9"/>
  <c r="AS647" i="9"/>
  <c r="AN647" i="9"/>
  <c r="AN783" i="9" s="1"/>
  <c r="AI647" i="9"/>
  <c r="AI695" i="9" s="1"/>
  <c r="AI708" i="9" s="1"/>
  <c r="BT646" i="9"/>
  <c r="BT648" i="9" s="1"/>
  <c r="AF646" i="9"/>
  <c r="AE646" i="9"/>
  <c r="AE648" i="9" s="1"/>
  <c r="S646" i="9"/>
  <c r="S648" i="9" s="1"/>
  <c r="S710" i="9" s="1"/>
  <c r="BH645" i="9"/>
  <c r="BC645" i="9"/>
  <c r="BC772" i="9" s="1"/>
  <c r="AX645" i="9"/>
  <c r="AX772" i="9" s="1"/>
  <c r="AS645" i="9"/>
  <c r="AS772" i="9" s="1"/>
  <c r="AN645" i="9"/>
  <c r="AN772" i="9" s="1"/>
  <c r="AI645" i="9"/>
  <c r="AI772" i="9" s="1"/>
  <c r="AI916" i="9" s="1"/>
  <c r="BV644" i="9"/>
  <c r="BV646" i="9" s="1"/>
  <c r="BV648" i="9" s="1"/>
  <c r="BU644" i="9"/>
  <c r="BU646" i="9" s="1"/>
  <c r="BU648" i="9" s="1"/>
  <c r="BS644" i="9"/>
  <c r="BS646" i="9" s="1"/>
  <c r="BS648" i="9" s="1"/>
  <c r="BL644" i="9"/>
  <c r="BL646" i="9" s="1"/>
  <c r="BL648" i="9" s="1"/>
  <c r="BJ644" i="9"/>
  <c r="BJ646" i="9" s="1"/>
  <c r="BJ648" i="9" s="1"/>
  <c r="BJ710" i="9" s="1"/>
  <c r="BB644" i="9"/>
  <c r="BA644" i="9"/>
  <c r="AU644" i="9"/>
  <c r="AP644" i="9"/>
  <c r="AO644" i="9"/>
  <c r="AO646" i="9" s="1"/>
  <c r="AO648" i="9" s="1"/>
  <c r="AL644" i="9"/>
  <c r="AF644" i="9"/>
  <c r="AF681" i="9" s="1"/>
  <c r="AC644" i="9"/>
  <c r="U644" i="9"/>
  <c r="U681" i="9" s="1"/>
  <c r="U693" i="9" s="1"/>
  <c r="S644" i="9"/>
  <c r="S681" i="9" s="1"/>
  <c r="R644" i="9"/>
  <c r="L644" i="9"/>
  <c r="L681" i="9" s="1"/>
  <c r="L693" i="9" s="1"/>
  <c r="K644" i="9"/>
  <c r="K681" i="9" s="1"/>
  <c r="K693" i="9" s="1"/>
  <c r="H644" i="9"/>
  <c r="H646" i="9" s="1"/>
  <c r="H648" i="9" s="1"/>
  <c r="H650" i="9" s="1"/>
  <c r="BH643" i="9"/>
  <c r="BH669" i="9" s="1"/>
  <c r="BH679" i="9" s="1"/>
  <c r="BC643" i="9"/>
  <c r="BC758" i="9" s="1"/>
  <c r="AX643" i="9"/>
  <c r="AX669" i="9" s="1"/>
  <c r="AX679" i="9" s="1"/>
  <c r="AS643" i="9"/>
  <c r="AS669" i="9" s="1"/>
  <c r="AS679" i="9" s="1"/>
  <c r="AN643" i="9"/>
  <c r="AI643" i="9"/>
  <c r="AI758" i="9" s="1"/>
  <c r="BV642" i="9"/>
  <c r="BU642" i="9"/>
  <c r="BT642" i="9"/>
  <c r="BT644" i="9" s="1"/>
  <c r="BS642" i="9"/>
  <c r="BR642" i="9"/>
  <c r="BR644" i="9" s="1"/>
  <c r="BR646" i="9" s="1"/>
  <c r="BR648" i="9" s="1"/>
  <c r="BQ642" i="9"/>
  <c r="BQ644" i="9" s="1"/>
  <c r="BQ646" i="9" s="1"/>
  <c r="BQ648" i="9" s="1"/>
  <c r="BP642" i="9"/>
  <c r="BP644" i="9" s="1"/>
  <c r="BP646" i="9" s="1"/>
  <c r="BP648" i="9" s="1"/>
  <c r="BO642" i="9"/>
  <c r="BO644" i="9" s="1"/>
  <c r="BO646" i="9" s="1"/>
  <c r="BO648" i="9" s="1"/>
  <c r="BN642" i="9"/>
  <c r="BN644" i="9" s="1"/>
  <c r="BN646" i="9" s="1"/>
  <c r="BN648" i="9" s="1"/>
  <c r="BM642" i="9"/>
  <c r="BM644" i="9" s="1"/>
  <c r="BM646" i="9" s="1"/>
  <c r="BM648" i="9" s="1"/>
  <c r="BL642" i="9"/>
  <c r="BK642" i="9"/>
  <c r="BK644" i="9" s="1"/>
  <c r="BK646" i="9" s="1"/>
  <c r="BK648" i="9" s="1"/>
  <c r="BJ642" i="9"/>
  <c r="BJ661" i="9" s="1"/>
  <c r="BJ667" i="9" s="1"/>
  <c r="BI642" i="9"/>
  <c r="BI644" i="9" s="1"/>
  <c r="BG642" i="9"/>
  <c r="BF642" i="9"/>
  <c r="BE642" i="9"/>
  <c r="BD642" i="9"/>
  <c r="BB642" i="9"/>
  <c r="BB661" i="9" s="1"/>
  <c r="BB667" i="9" s="1"/>
  <c r="BA642" i="9"/>
  <c r="AZ642" i="9"/>
  <c r="AZ644" i="9" s="1"/>
  <c r="AY642" i="9"/>
  <c r="AW642" i="9"/>
  <c r="AW644" i="9" s="1"/>
  <c r="AW646" i="9" s="1"/>
  <c r="AW648" i="9" s="1"/>
  <c r="AV642" i="9"/>
  <c r="AU642" i="9"/>
  <c r="AU661" i="9" s="1"/>
  <c r="AU667" i="9" s="1"/>
  <c r="AT642" i="9"/>
  <c r="AS642" i="9"/>
  <c r="AS644" i="9" s="1"/>
  <c r="AR642" i="9"/>
  <c r="AR644" i="9" s="1"/>
  <c r="AR646" i="9" s="1"/>
  <c r="AR648" i="9" s="1"/>
  <c r="AQ642" i="9"/>
  <c r="AP642" i="9"/>
  <c r="AP661" i="9" s="1"/>
  <c r="AP667" i="9" s="1"/>
  <c r="AO642" i="9"/>
  <c r="AM642" i="9"/>
  <c r="AL642" i="9"/>
  <c r="AK642" i="9"/>
  <c r="AJ642" i="9"/>
  <c r="AI642" i="9"/>
  <c r="AI661" i="9" s="1"/>
  <c r="AI667" i="9" s="1"/>
  <c r="AH642" i="9"/>
  <c r="AG642" i="9"/>
  <c r="AF642" i="9"/>
  <c r="AF661" i="9" s="1"/>
  <c r="AF667" i="9" s="1"/>
  <c r="AE642" i="9"/>
  <c r="AE644" i="9" s="1"/>
  <c r="AD642" i="9"/>
  <c r="AC642" i="9"/>
  <c r="AC661" i="9" s="1"/>
  <c r="AB642" i="9"/>
  <c r="AA642" i="9"/>
  <c r="AA661" i="9" s="1"/>
  <c r="Z642" i="9"/>
  <c r="Y642" i="9"/>
  <c r="X642" i="9"/>
  <c r="W642" i="9"/>
  <c r="V642" i="9"/>
  <c r="U642" i="9"/>
  <c r="U661" i="9" s="1"/>
  <c r="T642" i="9"/>
  <c r="T644" i="9" s="1"/>
  <c r="T646" i="9" s="1"/>
  <c r="T648" i="9" s="1"/>
  <c r="S642" i="9"/>
  <c r="R642" i="9"/>
  <c r="R661" i="9" s="1"/>
  <c r="Q642" i="9"/>
  <c r="P642" i="9"/>
  <c r="P644" i="9" s="1"/>
  <c r="P646" i="9" s="1"/>
  <c r="P648" i="9" s="1"/>
  <c r="O642" i="9"/>
  <c r="N642" i="9"/>
  <c r="N661" i="9" s="1"/>
  <c r="N667" i="9" s="1"/>
  <c r="M642" i="9"/>
  <c r="L642" i="9"/>
  <c r="K642" i="9"/>
  <c r="J642" i="9"/>
  <c r="J644" i="9" s="1"/>
  <c r="I642" i="9"/>
  <c r="I644" i="9" s="1"/>
  <c r="H642" i="9"/>
  <c r="G642" i="9"/>
  <c r="G644" i="9" s="1"/>
  <c r="F642" i="9"/>
  <c r="F644" i="9" s="1"/>
  <c r="E642" i="9"/>
  <c r="E644" i="9" s="1"/>
  <c r="D642" i="9"/>
  <c r="D644" i="9" s="1"/>
  <c r="C642" i="9"/>
  <c r="C644" i="9" s="1"/>
  <c r="BH641" i="9"/>
  <c r="BC641" i="9"/>
  <c r="AX641" i="9"/>
  <c r="AX754" i="9" s="1"/>
  <c r="AX315" i="9" s="1"/>
  <c r="AS641" i="9"/>
  <c r="AS754" i="9" s="1"/>
  <c r="AN641" i="9"/>
  <c r="AI641" i="9"/>
  <c r="AI754" i="9" s="1"/>
  <c r="AI315" i="9" s="1"/>
  <c r="BH640" i="9"/>
  <c r="BC640" i="9"/>
  <c r="AX640" i="9"/>
  <c r="AX749" i="9" s="1"/>
  <c r="AX30" i="9" s="1"/>
  <c r="AS640" i="9"/>
  <c r="AN640" i="9"/>
  <c r="AN749" i="9" s="1"/>
  <c r="AI640" i="9"/>
  <c r="AI653" i="9" s="1"/>
  <c r="AI655" i="9" s="1"/>
  <c r="BG634" i="9"/>
  <c r="AG634" i="9"/>
  <c r="Q634" i="9"/>
  <c r="C634" i="9"/>
  <c r="BJ633" i="9"/>
  <c r="BG633" i="9"/>
  <c r="W633" i="9"/>
  <c r="V633" i="9"/>
  <c r="C633" i="9"/>
  <c r="BD621" i="9"/>
  <c r="BD1174" i="9" s="1"/>
  <c r="AO621" i="9"/>
  <c r="AO1174" i="9" s="1"/>
  <c r="AM621" i="9"/>
  <c r="AM1174" i="9" s="1"/>
  <c r="AJ621" i="9"/>
  <c r="AJ1174" i="9" s="1"/>
  <c r="AF621" i="9"/>
  <c r="AF1174" i="9" s="1"/>
  <c r="AD621" i="9"/>
  <c r="AD1174" i="9" s="1"/>
  <c r="S621" i="9"/>
  <c r="S1174" i="9" s="1"/>
  <c r="J621" i="9"/>
  <c r="J1174" i="9" s="1"/>
  <c r="AU619" i="9"/>
  <c r="BB618" i="9"/>
  <c r="BB619" i="9" s="1"/>
  <c r="AZ618" i="9"/>
  <c r="AZ619" i="9" s="1"/>
  <c r="AU618" i="9"/>
  <c r="AH618" i="9"/>
  <c r="AH619" i="9" s="1"/>
  <c r="AG618" i="9"/>
  <c r="AG619" i="9" s="1"/>
  <c r="AA618" i="9"/>
  <c r="AA619" i="9" s="1"/>
  <c r="W618" i="9"/>
  <c r="W619" i="9" s="1"/>
  <c r="U618" i="9"/>
  <c r="U619" i="9" s="1"/>
  <c r="H618" i="9"/>
  <c r="H619" i="9" s="1"/>
  <c r="C618" i="9"/>
  <c r="C619" i="9" s="1"/>
  <c r="D615" i="9"/>
  <c r="D610" i="9"/>
  <c r="C609" i="9"/>
  <c r="C611" i="9" s="1"/>
  <c r="AJ605" i="9"/>
  <c r="AH605" i="9"/>
  <c r="AG605" i="9"/>
  <c r="AF605" i="9"/>
  <c r="AE605" i="9"/>
  <c r="AC605" i="9"/>
  <c r="AB605" i="9"/>
  <c r="AA605" i="9"/>
  <c r="Z605" i="9"/>
  <c r="X605" i="9"/>
  <c r="W605" i="9"/>
  <c r="V605" i="9"/>
  <c r="U605" i="9"/>
  <c r="S605" i="9"/>
  <c r="R605" i="9"/>
  <c r="Q605" i="9"/>
  <c r="P605" i="9"/>
  <c r="N605" i="9"/>
  <c r="M605" i="9"/>
  <c r="L605" i="9"/>
  <c r="K605" i="9"/>
  <c r="I605" i="9"/>
  <c r="H605" i="9"/>
  <c r="G605" i="9"/>
  <c r="F605" i="9"/>
  <c r="E605" i="9"/>
  <c r="D605" i="9"/>
  <c r="C605" i="9"/>
  <c r="AI604" i="9"/>
  <c r="AD604" i="9"/>
  <c r="Y604" i="9"/>
  <c r="Y605" i="9" s="1"/>
  <c r="T604" i="9"/>
  <c r="T605" i="9" s="1"/>
  <c r="O604" i="9"/>
  <c r="J604" i="9"/>
  <c r="AI603" i="9"/>
  <c r="AD603" i="9"/>
  <c r="Y603" i="9"/>
  <c r="T603" i="9"/>
  <c r="O603" i="9"/>
  <c r="J603" i="9"/>
  <c r="AI602" i="9"/>
  <c r="AI605" i="9" s="1"/>
  <c r="AD602" i="9"/>
  <c r="Y602" i="9"/>
  <c r="T602" i="9"/>
  <c r="O602" i="9"/>
  <c r="J602" i="9"/>
  <c r="AJ599" i="9"/>
  <c r="AH599" i="9"/>
  <c r="AG599" i="9"/>
  <c r="AF599" i="9"/>
  <c r="AE599" i="9"/>
  <c r="AC599" i="9"/>
  <c r="AB599" i="9"/>
  <c r="AA599" i="9"/>
  <c r="Z599" i="9"/>
  <c r="X599" i="9"/>
  <c r="W599" i="9"/>
  <c r="V599" i="9"/>
  <c r="U599" i="9"/>
  <c r="S599" i="9"/>
  <c r="R599" i="9"/>
  <c r="Q599" i="9"/>
  <c r="P599" i="9"/>
  <c r="N599" i="9"/>
  <c r="M599" i="9"/>
  <c r="L599" i="9"/>
  <c r="K599" i="9"/>
  <c r="I599" i="9"/>
  <c r="H599" i="9"/>
  <c r="G599" i="9"/>
  <c r="F599" i="9"/>
  <c r="E599" i="9"/>
  <c r="D599" i="9"/>
  <c r="C599" i="9"/>
  <c r="AI598" i="9"/>
  <c r="AD598" i="9"/>
  <c r="Y598" i="9"/>
  <c r="T598" i="9"/>
  <c r="O598" i="9"/>
  <c r="J598" i="9"/>
  <c r="J599" i="9" s="1"/>
  <c r="AI597" i="9"/>
  <c r="AD597" i="9"/>
  <c r="Y597" i="9"/>
  <c r="T597" i="9"/>
  <c r="O597" i="9"/>
  <c r="J597" i="9"/>
  <c r="AI596" i="9"/>
  <c r="AD596" i="9"/>
  <c r="AD599" i="9" s="1"/>
  <c r="Y596" i="9"/>
  <c r="Y599" i="9" s="1"/>
  <c r="T596" i="9"/>
  <c r="O596" i="9"/>
  <c r="J596" i="9"/>
  <c r="AJ593" i="9"/>
  <c r="AH593" i="9"/>
  <c r="AG593" i="9"/>
  <c r="AF593" i="9"/>
  <c r="AE593" i="9"/>
  <c r="AC593" i="9"/>
  <c r="AB593" i="9"/>
  <c r="AA593" i="9"/>
  <c r="Z593" i="9"/>
  <c r="X593" i="9"/>
  <c r="W593" i="9"/>
  <c r="V593" i="9"/>
  <c r="U593" i="9"/>
  <c r="S593" i="9"/>
  <c r="R593" i="9"/>
  <c r="Q593" i="9"/>
  <c r="P593" i="9"/>
  <c r="N593" i="9"/>
  <c r="M593" i="9"/>
  <c r="L593" i="9"/>
  <c r="K593" i="9"/>
  <c r="I593" i="9"/>
  <c r="H593" i="9"/>
  <c r="G593" i="9"/>
  <c r="F593" i="9"/>
  <c r="E593" i="9"/>
  <c r="D593" i="9"/>
  <c r="C593" i="9"/>
  <c r="AI592" i="9"/>
  <c r="AD592" i="9"/>
  <c r="Y592" i="9"/>
  <c r="T592" i="9"/>
  <c r="O592" i="9"/>
  <c r="J592" i="9"/>
  <c r="AI591" i="9"/>
  <c r="AD591" i="9"/>
  <c r="Y591" i="9"/>
  <c r="T591" i="9"/>
  <c r="O591" i="9"/>
  <c r="J591" i="9"/>
  <c r="AI590" i="9"/>
  <c r="AD590" i="9"/>
  <c r="Y590" i="9"/>
  <c r="T590" i="9"/>
  <c r="O590" i="9"/>
  <c r="O593" i="9" s="1"/>
  <c r="J590" i="9"/>
  <c r="AJ587" i="9"/>
  <c r="AI587" i="9"/>
  <c r="AH587" i="9"/>
  <c r="AG587" i="9"/>
  <c r="AF587" i="9"/>
  <c r="AE587" i="9"/>
  <c r="AC587" i="9"/>
  <c r="AB587" i="9"/>
  <c r="AA587" i="9"/>
  <c r="Z587" i="9"/>
  <c r="X587" i="9"/>
  <c r="W587" i="9"/>
  <c r="V587" i="9"/>
  <c r="U587" i="9"/>
  <c r="S587" i="9"/>
  <c r="R587" i="9"/>
  <c r="Q587" i="9"/>
  <c r="P587" i="9"/>
  <c r="O587" i="9"/>
  <c r="N587" i="9"/>
  <c r="M587" i="9"/>
  <c r="L587" i="9"/>
  <c r="K587" i="9"/>
  <c r="I587" i="9"/>
  <c r="H587" i="9"/>
  <c r="G587" i="9"/>
  <c r="F587" i="9"/>
  <c r="E587" i="9"/>
  <c r="D587" i="9"/>
  <c r="C587" i="9"/>
  <c r="AI579" i="9"/>
  <c r="AD579" i="9"/>
  <c r="AD587" i="9" s="1"/>
  <c r="Y579" i="9"/>
  <c r="Y587" i="9" s="1"/>
  <c r="T579" i="9"/>
  <c r="T587" i="9" s="1"/>
  <c r="O579" i="9"/>
  <c r="J579" i="9"/>
  <c r="J587" i="9" s="1"/>
  <c r="AJ577" i="9"/>
  <c r="AI577" i="9"/>
  <c r="AH577" i="9"/>
  <c r="AG577" i="9"/>
  <c r="AF577" i="9"/>
  <c r="AE577" i="9"/>
  <c r="AC577" i="9"/>
  <c r="AB577" i="9"/>
  <c r="AA577" i="9"/>
  <c r="Z577" i="9"/>
  <c r="X577" i="9"/>
  <c r="W577" i="9"/>
  <c r="V577" i="9"/>
  <c r="U577" i="9"/>
  <c r="S577" i="9"/>
  <c r="R577" i="9"/>
  <c r="Q577" i="9"/>
  <c r="P577" i="9"/>
  <c r="O577" i="9"/>
  <c r="N577" i="9"/>
  <c r="M577" i="9"/>
  <c r="L577" i="9"/>
  <c r="K577" i="9"/>
  <c r="I577" i="9"/>
  <c r="H577" i="9"/>
  <c r="G577" i="9"/>
  <c r="F577" i="9"/>
  <c r="E577" i="9"/>
  <c r="D577" i="9"/>
  <c r="C577" i="9"/>
  <c r="AI571" i="9"/>
  <c r="AD571" i="9"/>
  <c r="AD577" i="9" s="1"/>
  <c r="Y571" i="9"/>
  <c r="Y577" i="9" s="1"/>
  <c r="T571" i="9"/>
  <c r="T577" i="9" s="1"/>
  <c r="O571" i="9"/>
  <c r="J571" i="9"/>
  <c r="J577" i="9" s="1"/>
  <c r="AJ569" i="9"/>
  <c r="AH569" i="9"/>
  <c r="AG569" i="9"/>
  <c r="AF569" i="9"/>
  <c r="AE569" i="9"/>
  <c r="AC569" i="9"/>
  <c r="AB569" i="9"/>
  <c r="AA569" i="9"/>
  <c r="Z569" i="9"/>
  <c r="X569" i="9"/>
  <c r="W569" i="9"/>
  <c r="V569" i="9"/>
  <c r="U569" i="9"/>
  <c r="S569" i="9"/>
  <c r="R569" i="9"/>
  <c r="Q569" i="9"/>
  <c r="P569" i="9"/>
  <c r="N569" i="9"/>
  <c r="M569" i="9"/>
  <c r="L569" i="9"/>
  <c r="K569" i="9"/>
  <c r="I569" i="9"/>
  <c r="H569" i="9"/>
  <c r="G569" i="9"/>
  <c r="F569" i="9"/>
  <c r="E569" i="9"/>
  <c r="D569" i="9"/>
  <c r="C569" i="9"/>
  <c r="AI564" i="9"/>
  <c r="AI569" i="9" s="1"/>
  <c r="AD564" i="9"/>
  <c r="AD569" i="9" s="1"/>
  <c r="Y564" i="9"/>
  <c r="Y569" i="9" s="1"/>
  <c r="T564" i="9"/>
  <c r="T569" i="9" s="1"/>
  <c r="O564" i="9"/>
  <c r="O569" i="9" s="1"/>
  <c r="J564" i="9"/>
  <c r="J569" i="9" s="1"/>
  <c r="AE562" i="9"/>
  <c r="AA562" i="9"/>
  <c r="V562" i="9"/>
  <c r="AJ560" i="9"/>
  <c r="AJ562" i="9" s="1"/>
  <c r="AI560" i="9"/>
  <c r="AI562" i="9" s="1"/>
  <c r="AH560" i="9"/>
  <c r="AH562" i="9" s="1"/>
  <c r="AG560" i="9"/>
  <c r="AG562" i="9" s="1"/>
  <c r="AF560" i="9"/>
  <c r="AF562" i="9" s="1"/>
  <c r="AE560" i="9"/>
  <c r="AC560" i="9"/>
  <c r="AC562" i="9" s="1"/>
  <c r="AB560" i="9"/>
  <c r="AB562" i="9" s="1"/>
  <c r="AA560" i="9"/>
  <c r="Z560" i="9"/>
  <c r="Z562" i="9" s="1"/>
  <c r="Y560" i="9"/>
  <c r="Y562" i="9" s="1"/>
  <c r="X560" i="9"/>
  <c r="X562" i="9" s="1"/>
  <c r="W560" i="9"/>
  <c r="W562" i="9" s="1"/>
  <c r="V560" i="9"/>
  <c r="U560" i="9"/>
  <c r="U562" i="9" s="1"/>
  <c r="S560" i="9"/>
  <c r="S562" i="9" s="1"/>
  <c r="R560" i="9"/>
  <c r="R562" i="9" s="1"/>
  <c r="Q560" i="9"/>
  <c r="Q562" i="9" s="1"/>
  <c r="P560" i="9"/>
  <c r="P562" i="9" s="1"/>
  <c r="N560" i="9"/>
  <c r="N562" i="9" s="1"/>
  <c r="M560" i="9"/>
  <c r="M562" i="9" s="1"/>
  <c r="L560" i="9"/>
  <c r="L562" i="9" s="1"/>
  <c r="K560" i="9"/>
  <c r="K562" i="9" s="1"/>
  <c r="I560" i="9"/>
  <c r="I562" i="9" s="1"/>
  <c r="H560" i="9"/>
  <c r="H562" i="9" s="1"/>
  <c r="G560" i="9"/>
  <c r="G562" i="9" s="1"/>
  <c r="F560" i="9"/>
  <c r="F562" i="9" s="1"/>
  <c r="E560" i="9"/>
  <c r="E562" i="9" s="1"/>
  <c r="D560" i="9"/>
  <c r="D562" i="9" s="1"/>
  <c r="C560" i="9"/>
  <c r="C562" i="9" s="1"/>
  <c r="P556" i="9"/>
  <c r="K556" i="9"/>
  <c r="AJ553" i="9"/>
  <c r="AJ556" i="9" s="1"/>
  <c r="AE553" i="9"/>
  <c r="AE556" i="9" s="1"/>
  <c r="Z553" i="9"/>
  <c r="Z556" i="9" s="1"/>
  <c r="U553" i="9"/>
  <c r="U556" i="9" s="1"/>
  <c r="P553" i="9"/>
  <c r="K553" i="9"/>
  <c r="F553" i="9"/>
  <c r="F556" i="9" s="1"/>
  <c r="E553" i="9"/>
  <c r="E556" i="9" s="1"/>
  <c r="D553" i="9"/>
  <c r="D556" i="9" s="1"/>
  <c r="C553" i="9"/>
  <c r="C556" i="9" s="1"/>
  <c r="BI549" i="9"/>
  <c r="BD549" i="9"/>
  <c r="AY549" i="9"/>
  <c r="AT549" i="9"/>
  <c r="AO549" i="9"/>
  <c r="AM549" i="9"/>
  <c r="AL549" i="9"/>
  <c r="AK549" i="9"/>
  <c r="AN548" i="9"/>
  <c r="AN547" i="9"/>
  <c r="AN549" i="9" s="1"/>
  <c r="P544" i="9"/>
  <c r="K544" i="9"/>
  <c r="F544" i="9"/>
  <c r="E544" i="9"/>
  <c r="D544" i="9"/>
  <c r="C544" i="9"/>
  <c r="BI538" i="9"/>
  <c r="BD538" i="9"/>
  <c r="AY538" i="9"/>
  <c r="AT538" i="9"/>
  <c r="AO538" i="9"/>
  <c r="AJ538" i="9"/>
  <c r="AE538" i="9"/>
  <c r="Z538" i="9"/>
  <c r="U538" i="9"/>
  <c r="P538" i="9"/>
  <c r="K538" i="9"/>
  <c r="F538" i="9"/>
  <c r="E538" i="9"/>
  <c r="D538" i="9"/>
  <c r="C538" i="9"/>
  <c r="BI530" i="9"/>
  <c r="BD530" i="9"/>
  <c r="AY530" i="9"/>
  <c r="AT530" i="9"/>
  <c r="AO530" i="9"/>
  <c r="AJ530" i="9"/>
  <c r="AE530" i="9"/>
  <c r="Z530" i="9"/>
  <c r="U530" i="9"/>
  <c r="P526" i="9"/>
  <c r="P530" i="9" s="1"/>
  <c r="K526" i="9"/>
  <c r="K530" i="9" s="1"/>
  <c r="F526" i="9"/>
  <c r="F530" i="9" s="1"/>
  <c r="E526" i="9"/>
  <c r="E530" i="9" s="1"/>
  <c r="D526" i="9"/>
  <c r="D530" i="9" s="1"/>
  <c r="C526" i="9"/>
  <c r="C530" i="9" s="1"/>
  <c r="BI521" i="9"/>
  <c r="BD521" i="9"/>
  <c r="AY521" i="9"/>
  <c r="AT521" i="9"/>
  <c r="AO521" i="9"/>
  <c r="AJ521" i="9"/>
  <c r="AE521" i="9"/>
  <c r="Z521" i="9"/>
  <c r="U521" i="9"/>
  <c r="P521" i="9"/>
  <c r="K521" i="9"/>
  <c r="F521" i="9"/>
  <c r="E521" i="9"/>
  <c r="D521" i="9"/>
  <c r="C521" i="9"/>
  <c r="BI498" i="9"/>
  <c r="BD498" i="9"/>
  <c r="AY498" i="9"/>
  <c r="AT498" i="9"/>
  <c r="AO498" i="9"/>
  <c r="AJ498" i="9"/>
  <c r="AE498" i="9"/>
  <c r="Z498" i="9"/>
  <c r="U498" i="9"/>
  <c r="P498" i="9"/>
  <c r="K498" i="9"/>
  <c r="F498" i="9"/>
  <c r="E498" i="9"/>
  <c r="D498" i="9"/>
  <c r="C498" i="9"/>
  <c r="BE492" i="9"/>
  <c r="BJ492" i="9" s="1"/>
  <c r="BD492" i="9"/>
  <c r="BI492" i="9" s="1"/>
  <c r="AW492" i="9"/>
  <c r="BB492" i="9" s="1"/>
  <c r="BG492" i="9" s="1"/>
  <c r="AU492" i="9"/>
  <c r="AT492" i="9"/>
  <c r="AQ488" i="9"/>
  <c r="AP488" i="9"/>
  <c r="AO488" i="9"/>
  <c r="AF485" i="9"/>
  <c r="BJ484" i="9"/>
  <c r="BA484" i="9"/>
  <c r="BA485" i="9" s="1"/>
  <c r="AY484" i="9"/>
  <c r="AR484" i="9"/>
  <c r="AO484" i="9"/>
  <c r="X484" i="9"/>
  <c r="R484" i="9"/>
  <c r="Q484" i="9"/>
  <c r="L484" i="9"/>
  <c r="D484" i="9"/>
  <c r="BE483" i="9"/>
  <c r="BE485" i="9" s="1"/>
  <c r="AZ483" i="9"/>
  <c r="AY483" i="9"/>
  <c r="AY485" i="9" s="1"/>
  <c r="AU483" i="9"/>
  <c r="AR483" i="9"/>
  <c r="AM483" i="9"/>
  <c r="AM485" i="9" s="1"/>
  <c r="AF483" i="9"/>
  <c r="R483" i="9"/>
  <c r="Q483" i="9"/>
  <c r="BJ481" i="9"/>
  <c r="BJ483" i="9" s="1"/>
  <c r="BJ485" i="9" s="1"/>
  <c r="BI481" i="9"/>
  <c r="BG481" i="9"/>
  <c r="BG483" i="9" s="1"/>
  <c r="BF481" i="9"/>
  <c r="BE481" i="9"/>
  <c r="BE484" i="9" s="1"/>
  <c r="BD481" i="9"/>
  <c r="BB481" i="9"/>
  <c r="BB484" i="9" s="1"/>
  <c r="BA481" i="9"/>
  <c r="BA483" i="9" s="1"/>
  <c r="AZ481" i="9"/>
  <c r="AZ484" i="9" s="1"/>
  <c r="AY481" i="9"/>
  <c r="AW481" i="9"/>
  <c r="AV481" i="9"/>
  <c r="AU481" i="9"/>
  <c r="AU484" i="9" s="1"/>
  <c r="AT481" i="9"/>
  <c r="AR481" i="9"/>
  <c r="AQ481" i="9"/>
  <c r="AP481" i="9"/>
  <c r="AO481" i="9"/>
  <c r="AO483" i="9" s="1"/>
  <c r="AM481" i="9"/>
  <c r="AM484" i="9" s="1"/>
  <c r="AL481" i="9"/>
  <c r="AK481" i="9"/>
  <c r="AJ481" i="9"/>
  <c r="AH481" i="9"/>
  <c r="AH484" i="9" s="1"/>
  <c r="AG481" i="9"/>
  <c r="AF481" i="9"/>
  <c r="AF484" i="9" s="1"/>
  <c r="AC481" i="9"/>
  <c r="AC484" i="9" s="1"/>
  <c r="AB481" i="9"/>
  <c r="AB484" i="9" s="1"/>
  <c r="Z481" i="9"/>
  <c r="X481" i="9"/>
  <c r="W481" i="9"/>
  <c r="V481" i="9"/>
  <c r="U481" i="9"/>
  <c r="R481" i="9"/>
  <c r="R479" i="9" s="1"/>
  <c r="Q481" i="9"/>
  <c r="Q479" i="9" s="1"/>
  <c r="M481" i="9"/>
  <c r="K481" i="9"/>
  <c r="H481" i="9"/>
  <c r="G481" i="9"/>
  <c r="F481" i="9"/>
  <c r="E481" i="9"/>
  <c r="C481" i="9"/>
  <c r="BH480" i="9"/>
  <c r="BC480" i="9"/>
  <c r="AX480" i="9"/>
  <c r="AS480" i="9"/>
  <c r="AN480" i="9"/>
  <c r="AI480" i="9"/>
  <c r="AD480" i="9"/>
  <c r="Y480" i="9"/>
  <c r="T480" i="9"/>
  <c r="O480" i="9"/>
  <c r="J480" i="9"/>
  <c r="BH479" i="9"/>
  <c r="BC479" i="9"/>
  <c r="AX479" i="9"/>
  <c r="AS479" i="9"/>
  <c r="AS481" i="9" s="1"/>
  <c r="AS484" i="9" s="1"/>
  <c r="AN479" i="9"/>
  <c r="AI479" i="9"/>
  <c r="AC479" i="9"/>
  <c r="AC483" i="9" s="1"/>
  <c r="AC485" i="9" s="1"/>
  <c r="X479" i="9"/>
  <c r="X483" i="9" s="1"/>
  <c r="S479" i="9"/>
  <c r="S483" i="9" s="1"/>
  <c r="N479" i="9"/>
  <c r="N483" i="9" s="1"/>
  <c r="N485" i="9" s="1"/>
  <c r="D479" i="9"/>
  <c r="D483" i="9" s="1"/>
  <c r="D485" i="9" s="1"/>
  <c r="AW476" i="9"/>
  <c r="AW475" i="9"/>
  <c r="BJ473" i="9"/>
  <c r="BJ476" i="9" s="1"/>
  <c r="BD473" i="9"/>
  <c r="BD469" i="9" s="1"/>
  <c r="BB473" i="9"/>
  <c r="BB476" i="9" s="1"/>
  <c r="BA473" i="9"/>
  <c r="BA476" i="9" s="1"/>
  <c r="AZ473" i="9"/>
  <c r="AW473" i="9"/>
  <c r="AW469" i="9" s="1"/>
  <c r="AU473" i="9"/>
  <c r="AU476" i="9" s="1"/>
  <c r="AH473" i="9"/>
  <c r="AH469" i="9" s="1"/>
  <c r="AF473" i="9"/>
  <c r="AA473" i="9"/>
  <c r="AA476" i="9" s="1"/>
  <c r="W473" i="9"/>
  <c r="W476" i="9" s="1"/>
  <c r="V473" i="9"/>
  <c r="R473" i="9"/>
  <c r="O473" i="9"/>
  <c r="O469" i="9" s="1"/>
  <c r="N473" i="9"/>
  <c r="N476" i="9" s="1"/>
  <c r="M473" i="9"/>
  <c r="L473" i="9"/>
  <c r="L476" i="9" s="1"/>
  <c r="G473" i="9"/>
  <c r="C473" i="9"/>
  <c r="BJ472" i="9"/>
  <c r="BI472" i="9"/>
  <c r="BG472" i="9"/>
  <c r="BF472" i="9"/>
  <c r="BE472" i="9"/>
  <c r="BD472" i="9"/>
  <c r="BB472" i="9"/>
  <c r="BA472" i="9"/>
  <c r="AZ472" i="9"/>
  <c r="AY472" i="9"/>
  <c r="AW472" i="9"/>
  <c r="AV472" i="9"/>
  <c r="AU472" i="9"/>
  <c r="AT472" i="9"/>
  <c r="AR472" i="9"/>
  <c r="AQ472" i="9"/>
  <c r="AP472" i="9"/>
  <c r="AO472" i="9"/>
  <c r="AM472" i="9"/>
  <c r="AL472" i="9"/>
  <c r="AK472" i="9"/>
  <c r="AJ472" i="9"/>
  <c r="AH472" i="9"/>
  <c r="AG472" i="9"/>
  <c r="AF472" i="9"/>
  <c r="AE472" i="9"/>
  <c r="AC472" i="9"/>
  <c r="AB472" i="9"/>
  <c r="AA472" i="9"/>
  <c r="Z472" i="9"/>
  <c r="X472" i="9"/>
  <c r="W472" i="9"/>
  <c r="V472" i="9"/>
  <c r="U472" i="9"/>
  <c r="S472" i="9"/>
  <c r="R472" i="9"/>
  <c r="Q472" i="9"/>
  <c r="P472" i="9"/>
  <c r="O472" i="9"/>
  <c r="N472" i="9"/>
  <c r="M472" i="9"/>
  <c r="L472" i="9"/>
  <c r="K472" i="9"/>
  <c r="F472" i="9"/>
  <c r="E472" i="9"/>
  <c r="D472" i="9"/>
  <c r="BH471" i="9"/>
  <c r="BC471" i="9"/>
  <c r="AX471" i="9"/>
  <c r="AS471" i="9"/>
  <c r="AN471" i="9"/>
  <c r="AI471" i="9"/>
  <c r="AD471" i="9"/>
  <c r="Y471" i="9"/>
  <c r="T471" i="9"/>
  <c r="O471" i="9"/>
  <c r="J471" i="9"/>
  <c r="AU469" i="9"/>
  <c r="AU475" i="9" s="1"/>
  <c r="L469" i="9"/>
  <c r="Z466" i="9"/>
  <c r="D466" i="9"/>
  <c r="C465" i="9"/>
  <c r="AJ462" i="9"/>
  <c r="P462" i="9"/>
  <c r="BI461" i="9"/>
  <c r="BI462" i="9" s="1"/>
  <c r="BD461" i="9"/>
  <c r="BD462" i="9" s="1"/>
  <c r="AY461" i="9"/>
  <c r="AY462" i="9" s="1"/>
  <c r="AT461" i="9"/>
  <c r="AT462" i="9" s="1"/>
  <c r="AO461" i="9"/>
  <c r="AO462" i="9" s="1"/>
  <c r="AJ461" i="9"/>
  <c r="AE461" i="9"/>
  <c r="AE462" i="9" s="1"/>
  <c r="Z461" i="9"/>
  <c r="Z462" i="9" s="1"/>
  <c r="U461" i="9"/>
  <c r="U462" i="9" s="1"/>
  <c r="P461" i="9"/>
  <c r="K461" i="9"/>
  <c r="K462" i="9" s="1"/>
  <c r="BD458" i="9"/>
  <c r="AY458" i="9"/>
  <c r="AT458" i="9"/>
  <c r="AT466" i="9" s="1"/>
  <c r="AO458" i="9"/>
  <c r="K458" i="9"/>
  <c r="BI457" i="9"/>
  <c r="BI458" i="9" s="1"/>
  <c r="BD457" i="9"/>
  <c r="AY457" i="9"/>
  <c r="AT457" i="9"/>
  <c r="AO457" i="9"/>
  <c r="AJ457" i="9"/>
  <c r="AJ458" i="9" s="1"/>
  <c r="AE457" i="9"/>
  <c r="AE458" i="9" s="1"/>
  <c r="Z457" i="9"/>
  <c r="Z458" i="9" s="1"/>
  <c r="U457" i="9"/>
  <c r="U458" i="9" s="1"/>
  <c r="P457" i="9"/>
  <c r="P458" i="9" s="1"/>
  <c r="K457" i="9"/>
  <c r="AO454" i="9"/>
  <c r="AJ454" i="9"/>
  <c r="C454" i="9"/>
  <c r="C466" i="9" s="1"/>
  <c r="BI453" i="9"/>
  <c r="BI454" i="9" s="1"/>
  <c r="BD453" i="9"/>
  <c r="BD454" i="9" s="1"/>
  <c r="AY453" i="9"/>
  <c r="AY454" i="9" s="1"/>
  <c r="AT453" i="9"/>
  <c r="AT454" i="9" s="1"/>
  <c r="AO453" i="9"/>
  <c r="AJ453" i="9"/>
  <c r="AE453" i="9"/>
  <c r="AE454" i="9" s="1"/>
  <c r="Z453" i="9"/>
  <c r="Z454" i="9" s="1"/>
  <c r="U453" i="9"/>
  <c r="U454" i="9" s="1"/>
  <c r="U466" i="9" s="1"/>
  <c r="P453" i="9"/>
  <c r="P454" i="9" s="1"/>
  <c r="P466" i="9" s="1"/>
  <c r="K453" i="9"/>
  <c r="K454" i="9" s="1"/>
  <c r="F453" i="9"/>
  <c r="F454" i="9" s="1"/>
  <c r="F466" i="9" s="1"/>
  <c r="E453" i="9"/>
  <c r="E454" i="9" s="1"/>
  <c r="E466" i="9" s="1"/>
  <c r="D453" i="9"/>
  <c r="D454" i="9" s="1"/>
  <c r="AJ450" i="9"/>
  <c r="BI449" i="9"/>
  <c r="BI450" i="9" s="1"/>
  <c r="BD449" i="9"/>
  <c r="BD450" i="9" s="1"/>
  <c r="AY449" i="9"/>
  <c r="AY450" i="9" s="1"/>
  <c r="AT449" i="9"/>
  <c r="AT450" i="9" s="1"/>
  <c r="AO449" i="9"/>
  <c r="AO450" i="9" s="1"/>
  <c r="AJ449" i="9"/>
  <c r="AE449" i="9"/>
  <c r="AE450" i="9" s="1"/>
  <c r="Z449" i="9"/>
  <c r="Z450" i="9" s="1"/>
  <c r="U449" i="9"/>
  <c r="U450" i="9" s="1"/>
  <c r="P449" i="9"/>
  <c r="P450" i="9" s="1"/>
  <c r="K449" i="9"/>
  <c r="K450" i="9" s="1"/>
  <c r="BH446" i="9"/>
  <c r="BC446" i="9"/>
  <c r="AX446" i="9"/>
  <c r="AS446" i="9"/>
  <c r="AN446" i="9"/>
  <c r="AI446" i="9"/>
  <c r="AD446" i="9"/>
  <c r="Y446" i="9"/>
  <c r="T446" i="9"/>
  <c r="O446" i="9"/>
  <c r="J446" i="9"/>
  <c r="BH444" i="9"/>
  <c r="BH253" i="9" s="1"/>
  <c r="BH255" i="9" s="1"/>
  <c r="BC444" i="9"/>
  <c r="BC253" i="9" s="1"/>
  <c r="AX444" i="9"/>
  <c r="AX253" i="9" s="1"/>
  <c r="BC255" i="9" s="1"/>
  <c r="AS444" i="9"/>
  <c r="AN444" i="9"/>
  <c r="AI444" i="9"/>
  <c r="AI253" i="9" s="1"/>
  <c r="AI254" i="9" s="1"/>
  <c r="AD444" i="9"/>
  <c r="AD253" i="9" s="1"/>
  <c r="Y444" i="9"/>
  <c r="Y253" i="9" s="1"/>
  <c r="T444" i="9"/>
  <c r="T253" i="9" s="1"/>
  <c r="O444" i="9"/>
  <c r="O253" i="9" s="1"/>
  <c r="J444" i="9"/>
  <c r="J253" i="9" s="1"/>
  <c r="BH443" i="9"/>
  <c r="BH230" i="9" s="1"/>
  <c r="BC443" i="9"/>
  <c r="BC230" i="9" s="1"/>
  <c r="AX443" i="9"/>
  <c r="AX230" i="9" s="1"/>
  <c r="AS443" i="9"/>
  <c r="AN443" i="9"/>
  <c r="AJ443" i="9"/>
  <c r="AD443" i="9"/>
  <c r="AD230" i="9" s="1"/>
  <c r="Y443" i="9"/>
  <c r="Y230" i="9" s="1"/>
  <c r="T443" i="9"/>
  <c r="T230" i="9" s="1"/>
  <c r="O443" i="9"/>
  <c r="J443" i="9"/>
  <c r="J230" i="9" s="1"/>
  <c r="BH442" i="9"/>
  <c r="BH182" i="9" s="1"/>
  <c r="BC442" i="9"/>
  <c r="AX442" i="9"/>
  <c r="AS442" i="9"/>
  <c r="AN442" i="9"/>
  <c r="AN182" i="9" s="1"/>
  <c r="AI442" i="9"/>
  <c r="AD442" i="9"/>
  <c r="AD182" i="9" s="1"/>
  <c r="Y442" i="9"/>
  <c r="Y182" i="9" s="1"/>
  <c r="T442" i="9"/>
  <c r="T182" i="9" s="1"/>
  <c r="O442" i="9"/>
  <c r="O182" i="9" s="1"/>
  <c r="J442" i="9"/>
  <c r="J182" i="9" s="1"/>
  <c r="BH441" i="9"/>
  <c r="BH126" i="9" s="1"/>
  <c r="BC441" i="9"/>
  <c r="BC126" i="9" s="1"/>
  <c r="AX441" i="9"/>
  <c r="AX126" i="9" s="1"/>
  <c r="AS441" i="9"/>
  <c r="AN441" i="9"/>
  <c r="AI441" i="9"/>
  <c r="AI126" i="9" s="1"/>
  <c r="AD441" i="9"/>
  <c r="AD126" i="9" s="1"/>
  <c r="Y441" i="9"/>
  <c r="T441" i="9"/>
  <c r="T126" i="9" s="1"/>
  <c r="O441" i="9"/>
  <c r="O126" i="9" s="1"/>
  <c r="J441" i="9"/>
  <c r="J126" i="9" s="1"/>
  <c r="BH440" i="9"/>
  <c r="BH70" i="9" s="1"/>
  <c r="BC440" i="9"/>
  <c r="AX440" i="9"/>
  <c r="AX70" i="9" s="1"/>
  <c r="AS440" i="9"/>
  <c r="AN440" i="9"/>
  <c r="AI440" i="9"/>
  <c r="AI70" i="9" s="1"/>
  <c r="AD440" i="9"/>
  <c r="AD70" i="9" s="1"/>
  <c r="Y440" i="9"/>
  <c r="Y70" i="9" s="1"/>
  <c r="T440" i="9"/>
  <c r="T70" i="9" s="1"/>
  <c r="O440" i="9"/>
  <c r="O70" i="9" s="1"/>
  <c r="J440" i="9"/>
  <c r="J70" i="9" s="1"/>
  <c r="S436" i="9"/>
  <c r="AJ435" i="9"/>
  <c r="AI435" i="9"/>
  <c r="AH435" i="9"/>
  <c r="AG435" i="9"/>
  <c r="AF435" i="9"/>
  <c r="AF436" i="9" s="1"/>
  <c r="AE435" i="9"/>
  <c r="AE436" i="9" s="1"/>
  <c r="AC435" i="9"/>
  <c r="AC436" i="9" s="1"/>
  <c r="AB435" i="9"/>
  <c r="AA435" i="9"/>
  <c r="Z435" i="9"/>
  <c r="X435" i="9"/>
  <c r="W435" i="9"/>
  <c r="V435" i="9"/>
  <c r="U435" i="9"/>
  <c r="Z436" i="9" s="1"/>
  <c r="S435" i="9"/>
  <c r="X436" i="9" s="1"/>
  <c r="R435" i="9"/>
  <c r="Q435" i="9"/>
  <c r="N435" i="9"/>
  <c r="M435" i="9"/>
  <c r="L435" i="9"/>
  <c r="I435" i="9"/>
  <c r="H435" i="9"/>
  <c r="G435" i="9"/>
  <c r="F435" i="9"/>
  <c r="F436" i="9" s="1"/>
  <c r="E435" i="9"/>
  <c r="D435" i="9"/>
  <c r="D436" i="9" s="1"/>
  <c r="C435" i="9"/>
  <c r="BJ433" i="9"/>
  <c r="BI433" i="9"/>
  <c r="BG433" i="9"/>
  <c r="BF433" i="9"/>
  <c r="BE433" i="9"/>
  <c r="BD433" i="9"/>
  <c r="BB433" i="9"/>
  <c r="BA433" i="9"/>
  <c r="AZ433" i="9"/>
  <c r="AY433" i="9"/>
  <c r="AW433" i="9"/>
  <c r="AV433" i="9"/>
  <c r="AU433" i="9"/>
  <c r="AT433" i="9"/>
  <c r="AR433" i="9"/>
  <c r="AQ433" i="9"/>
  <c r="AP433" i="9"/>
  <c r="AO433" i="9"/>
  <c r="AM433" i="9"/>
  <c r="AL433" i="9"/>
  <c r="AK433" i="9"/>
  <c r="AJ433" i="9"/>
  <c r="AH433" i="9"/>
  <c r="AG433" i="9"/>
  <c r="AF433" i="9"/>
  <c r="AE433" i="9"/>
  <c r="AC433" i="9"/>
  <c r="AB433" i="9"/>
  <c r="AA433" i="9"/>
  <c r="Z433" i="9"/>
  <c r="X433" i="9"/>
  <c r="W433" i="9"/>
  <c r="V433" i="9"/>
  <c r="U433" i="9"/>
  <c r="T433" i="9"/>
  <c r="S433" i="9"/>
  <c r="R433" i="9"/>
  <c r="Q433" i="9"/>
  <c r="N433" i="9"/>
  <c r="M433" i="9"/>
  <c r="L433" i="9"/>
  <c r="I433" i="9"/>
  <c r="H433" i="9"/>
  <c r="G433" i="9"/>
  <c r="F433" i="9"/>
  <c r="E433" i="9"/>
  <c r="D433" i="9"/>
  <c r="C433" i="9"/>
  <c r="BJ431" i="9"/>
  <c r="BI431" i="9"/>
  <c r="BG431" i="9"/>
  <c r="BF431" i="9"/>
  <c r="BE431" i="9"/>
  <c r="BD431" i="9"/>
  <c r="BB431" i="9"/>
  <c r="BA431" i="9"/>
  <c r="AZ431" i="9"/>
  <c r="AY431" i="9"/>
  <c r="AW431" i="9"/>
  <c r="AV431" i="9"/>
  <c r="AU431" i="9"/>
  <c r="AT431" i="9"/>
  <c r="AS431" i="9"/>
  <c r="AR431" i="9"/>
  <c r="AQ431" i="9"/>
  <c r="AP431" i="9"/>
  <c r="AO431" i="9"/>
  <c r="AM431" i="9"/>
  <c r="AL431" i="9"/>
  <c r="AK431" i="9"/>
  <c r="AJ431" i="9"/>
  <c r="AI431" i="9"/>
  <c r="AH431" i="9"/>
  <c r="AG431" i="9"/>
  <c r="AF431" i="9"/>
  <c r="AE431" i="9"/>
  <c r="AC431" i="9"/>
  <c r="AB431" i="9"/>
  <c r="AA431" i="9"/>
  <c r="Z431" i="9"/>
  <c r="Y431" i="9"/>
  <c r="X431" i="9"/>
  <c r="W431" i="9"/>
  <c r="V431" i="9"/>
  <c r="U431" i="9"/>
  <c r="T431" i="9"/>
  <c r="S431" i="9"/>
  <c r="R431" i="9"/>
  <c r="Q431" i="9"/>
  <c r="O431" i="9"/>
  <c r="N431" i="9"/>
  <c r="M431" i="9"/>
  <c r="L431" i="9"/>
  <c r="K431" i="9"/>
  <c r="J431" i="9"/>
  <c r="I431" i="9"/>
  <c r="H431" i="9"/>
  <c r="G431" i="9"/>
  <c r="F431" i="9"/>
  <c r="E431" i="9"/>
  <c r="D431" i="9"/>
  <c r="C431" i="9"/>
  <c r="BH430" i="9"/>
  <c r="BC430" i="9"/>
  <c r="AX430" i="9"/>
  <c r="AN430" i="9"/>
  <c r="AI430" i="9"/>
  <c r="AD430" i="9"/>
  <c r="U430" i="9"/>
  <c r="V428" i="9" s="1"/>
  <c r="P430" i="9"/>
  <c r="K430" i="9"/>
  <c r="L428" i="9" s="1"/>
  <c r="L429" i="9" s="1"/>
  <c r="BF429" i="9"/>
  <c r="BA429" i="9"/>
  <c r="AY429" i="9"/>
  <c r="AQ429" i="9"/>
  <c r="AL429" i="9"/>
  <c r="AH429" i="9"/>
  <c r="W429" i="9"/>
  <c r="V429" i="9"/>
  <c r="U429" i="9"/>
  <c r="G429" i="9"/>
  <c r="BJ428" i="9"/>
  <c r="BJ429" i="9" s="1"/>
  <c r="BI428" i="9"/>
  <c r="BI429" i="9" s="1"/>
  <c r="BH428" i="9"/>
  <c r="BG428" i="9"/>
  <c r="BG429" i="9" s="1"/>
  <c r="BF428" i="9"/>
  <c r="BE428" i="9"/>
  <c r="BE429" i="9" s="1"/>
  <c r="BD428" i="9"/>
  <c r="BD429" i="9" s="1"/>
  <c r="BC428" i="9"/>
  <c r="BB428" i="9"/>
  <c r="BB429" i="9" s="1"/>
  <c r="BA428" i="9"/>
  <c r="AZ428" i="9"/>
  <c r="AZ429" i="9" s="1"/>
  <c r="AY428" i="9"/>
  <c r="AX428" i="9"/>
  <c r="AX429" i="9" s="1"/>
  <c r="AW428" i="9"/>
  <c r="AW429" i="9" s="1"/>
  <c r="AV428" i="9"/>
  <c r="AV429" i="9" s="1"/>
  <c r="AU428" i="9"/>
  <c r="AU429" i="9" s="1"/>
  <c r="AT428" i="9"/>
  <c r="AT429" i="9" s="1"/>
  <c r="AS428" i="9"/>
  <c r="AS429" i="9" s="1"/>
  <c r="AR428" i="9"/>
  <c r="AR429" i="9" s="1"/>
  <c r="AQ428" i="9"/>
  <c r="AP428" i="9"/>
  <c r="AP429" i="9" s="1"/>
  <c r="AO428" i="9"/>
  <c r="AO429" i="9" s="1"/>
  <c r="AN428" i="9"/>
  <c r="AM428" i="9"/>
  <c r="AM429" i="9" s="1"/>
  <c r="AL428" i="9"/>
  <c r="AK428" i="9"/>
  <c r="AK429" i="9" s="1"/>
  <c r="AJ428" i="9"/>
  <c r="AJ429" i="9" s="1"/>
  <c r="AI428" i="9"/>
  <c r="AI429" i="9" s="1"/>
  <c r="AH428" i="9"/>
  <c r="AG428" i="9"/>
  <c r="AG429" i="9" s="1"/>
  <c r="AF428" i="9"/>
  <c r="AF429" i="9" s="1"/>
  <c r="AE428" i="9"/>
  <c r="AE429" i="9" s="1"/>
  <c r="AD428" i="9"/>
  <c r="AC428" i="9"/>
  <c r="AC429" i="9" s="1"/>
  <c r="AB428" i="9"/>
  <c r="AB429" i="9" s="1"/>
  <c r="AA428" i="9"/>
  <c r="AA429" i="9" s="1"/>
  <c r="Y428" i="9"/>
  <c r="Y429" i="9" s="1"/>
  <c r="X428" i="9"/>
  <c r="X429" i="9" s="1"/>
  <c r="W428" i="9"/>
  <c r="U428" i="9"/>
  <c r="T428" i="9"/>
  <c r="T429" i="9" s="1"/>
  <c r="S428" i="9"/>
  <c r="S429" i="9" s="1"/>
  <c r="R428" i="9"/>
  <c r="R429" i="9" s="1"/>
  <c r="Q428" i="9"/>
  <c r="Q429" i="9" s="1"/>
  <c r="O428" i="9"/>
  <c r="O429" i="9" s="1"/>
  <c r="N428" i="9"/>
  <c r="N429" i="9" s="1"/>
  <c r="M428" i="9"/>
  <c r="M429" i="9" s="1"/>
  <c r="K428" i="9"/>
  <c r="J428" i="9"/>
  <c r="J429" i="9" s="1"/>
  <c r="I428" i="9"/>
  <c r="I429" i="9" s="1"/>
  <c r="H428" i="9"/>
  <c r="H429" i="9" s="1"/>
  <c r="G428" i="9"/>
  <c r="F428" i="9"/>
  <c r="F429" i="9" s="1"/>
  <c r="E428" i="9"/>
  <c r="E429" i="9" s="1"/>
  <c r="D428" i="9"/>
  <c r="D429" i="9" s="1"/>
  <c r="AV426" i="9"/>
  <c r="AU426" i="9"/>
  <c r="AI426" i="9"/>
  <c r="AH426" i="9"/>
  <c r="AA426" i="9"/>
  <c r="X426" i="9"/>
  <c r="R426" i="9"/>
  <c r="H426" i="9"/>
  <c r="G426" i="9"/>
  <c r="E426" i="9"/>
  <c r="C426" i="9"/>
  <c r="BH425" i="9"/>
  <c r="BC425" i="9"/>
  <c r="BC426" i="9" s="1"/>
  <c r="AX425" i="9"/>
  <c r="AS425" i="9"/>
  <c r="AN425" i="9"/>
  <c r="AI425" i="9"/>
  <c r="AI433" i="9" s="1"/>
  <c r="AD425" i="9"/>
  <c r="Y425" i="9"/>
  <c r="T425" i="9"/>
  <c r="O425" i="9"/>
  <c r="J425" i="9"/>
  <c r="BG424" i="9"/>
  <c r="BD424" i="9"/>
  <c r="BC424" i="9"/>
  <c r="AV424" i="9"/>
  <c r="AU424" i="9"/>
  <c r="AM424" i="9"/>
  <c r="AJ424" i="9"/>
  <c r="U424" i="9"/>
  <c r="T424" i="9"/>
  <c r="R424" i="9"/>
  <c r="Q424" i="9"/>
  <c r="P424" i="9"/>
  <c r="H424" i="9"/>
  <c r="E424" i="9"/>
  <c r="C424" i="9"/>
  <c r="BN423" i="9"/>
  <c r="BK423" i="9"/>
  <c r="BJ423" i="9"/>
  <c r="BI423" i="9"/>
  <c r="BI424" i="9" s="1"/>
  <c r="BH423" i="9"/>
  <c r="BH424" i="9" s="1"/>
  <c r="BG423" i="9"/>
  <c r="BG426" i="9" s="1"/>
  <c r="BF423" i="9"/>
  <c r="BF426" i="9" s="1"/>
  <c r="BE423" i="9"/>
  <c r="BD423" i="9"/>
  <c r="BC423" i="9"/>
  <c r="BB423" i="9"/>
  <c r="BA423" i="9"/>
  <c r="AZ423" i="9"/>
  <c r="AY423" i="9"/>
  <c r="AY424" i="9" s="1"/>
  <c r="AX423" i="9"/>
  <c r="AW423" i="9"/>
  <c r="AW426" i="9" s="1"/>
  <c r="AV423" i="9"/>
  <c r="AU423" i="9"/>
  <c r="AT423" i="9"/>
  <c r="AT424" i="9" s="1"/>
  <c r="AS423" i="9"/>
  <c r="AR423" i="9"/>
  <c r="AQ423" i="9"/>
  <c r="AP423" i="9"/>
  <c r="AO423" i="9"/>
  <c r="AO424" i="9" s="1"/>
  <c r="AN423" i="9"/>
  <c r="AN424" i="9" s="1"/>
  <c r="AM423" i="9"/>
  <c r="AM426" i="9" s="1"/>
  <c r="AL423" i="9"/>
  <c r="AL426" i="9" s="1"/>
  <c r="AK423" i="9"/>
  <c r="AK426" i="9" s="1"/>
  <c r="AJ423" i="9"/>
  <c r="AI423" i="9"/>
  <c r="AH423" i="9"/>
  <c r="AH424" i="9" s="1"/>
  <c r="AG423" i="9"/>
  <c r="AG424" i="9" s="1"/>
  <c r="AF423" i="9"/>
  <c r="AE423" i="9"/>
  <c r="AE424" i="9" s="1"/>
  <c r="AD423" i="9"/>
  <c r="AC423" i="9"/>
  <c r="AB423" i="9"/>
  <c r="AA423" i="9"/>
  <c r="AA424" i="9" s="1"/>
  <c r="Z423" i="9"/>
  <c r="Z424" i="9" s="1"/>
  <c r="Y423" i="9"/>
  <c r="X423" i="9"/>
  <c r="X424" i="9" s="1"/>
  <c r="W423" i="9"/>
  <c r="W424" i="9" s="1"/>
  <c r="V423" i="9"/>
  <c r="U423" i="9"/>
  <c r="T423" i="9"/>
  <c r="T426" i="9" s="1"/>
  <c r="S423" i="9"/>
  <c r="R423" i="9"/>
  <c r="Q423" i="9"/>
  <c r="Q426" i="9" s="1"/>
  <c r="P423" i="9"/>
  <c r="O423" i="9"/>
  <c r="N423" i="9"/>
  <c r="N426" i="9" s="1"/>
  <c r="M423" i="9"/>
  <c r="L423" i="9"/>
  <c r="L426" i="9" s="1"/>
  <c r="K423" i="9"/>
  <c r="K424" i="9" s="1"/>
  <c r="J423" i="9"/>
  <c r="I423" i="9"/>
  <c r="H423" i="9"/>
  <c r="G423" i="9"/>
  <c r="G424" i="9" s="1"/>
  <c r="F423" i="9"/>
  <c r="E423" i="9"/>
  <c r="D423" i="9"/>
  <c r="BD412" i="9"/>
  <c r="AY412" i="9"/>
  <c r="AO412" i="9"/>
  <c r="AJ412" i="9"/>
  <c r="P412" i="9"/>
  <c r="BI411" i="9"/>
  <c r="BI412" i="9" s="1"/>
  <c r="BD411" i="9"/>
  <c r="AY411" i="9"/>
  <c r="AT411" i="9"/>
  <c r="AT412" i="9" s="1"/>
  <c r="AO411" i="9"/>
  <c r="AJ411" i="9"/>
  <c r="AE411" i="9"/>
  <c r="AE412" i="9" s="1"/>
  <c r="Z411" i="9"/>
  <c r="Z412" i="9" s="1"/>
  <c r="U411" i="9"/>
  <c r="U412" i="9" s="1"/>
  <c r="P411" i="9"/>
  <c r="K411" i="9"/>
  <c r="K412" i="9" s="1"/>
  <c r="F411" i="9"/>
  <c r="F412" i="9" s="1"/>
  <c r="E411" i="9"/>
  <c r="E412" i="9" s="1"/>
  <c r="D411" i="9"/>
  <c r="D412" i="9" s="1"/>
  <c r="Q409" i="9"/>
  <c r="BV404" i="9"/>
  <c r="BU404" i="9"/>
  <c r="BT404" i="9"/>
  <c r="BR404" i="9"/>
  <c r="BQ404" i="9"/>
  <c r="BP404" i="9"/>
  <c r="BO404" i="9"/>
  <c r="BM404" i="9"/>
  <c r="BL404" i="9"/>
  <c r="BK404" i="9"/>
  <c r="BJ404" i="9"/>
  <c r="BH404" i="9"/>
  <c r="BG404" i="9"/>
  <c r="BF404" i="9"/>
  <c r="BE404" i="9"/>
  <c r="BC404" i="9"/>
  <c r="BB404" i="9"/>
  <c r="BA404" i="9"/>
  <c r="AZ404" i="9"/>
  <c r="AX404" i="9"/>
  <c r="AW404" i="9"/>
  <c r="AV404" i="9"/>
  <c r="AU404" i="9"/>
  <c r="AS404" i="9"/>
  <c r="AR404" i="9"/>
  <c r="AQ404" i="9"/>
  <c r="AP404" i="9"/>
  <c r="AN404" i="9"/>
  <c r="AM404" i="9"/>
  <c r="AL404" i="9"/>
  <c r="AK404" i="9"/>
  <c r="AI404" i="9"/>
  <c r="AH404" i="9"/>
  <c r="AG404" i="9"/>
  <c r="AF404" i="9"/>
  <c r="AD404" i="9"/>
  <c r="AC404" i="9"/>
  <c r="AB404" i="9"/>
  <c r="AA404" i="9"/>
  <c r="Y404" i="9"/>
  <c r="X404" i="9"/>
  <c r="W404" i="9"/>
  <c r="V404" i="9"/>
  <c r="T404" i="9"/>
  <c r="S404" i="9"/>
  <c r="R404" i="9"/>
  <c r="Q404" i="9"/>
  <c r="O404" i="9"/>
  <c r="N404" i="9"/>
  <c r="M404" i="9"/>
  <c r="L404" i="9"/>
  <c r="J404" i="9"/>
  <c r="I404" i="9"/>
  <c r="H404" i="9"/>
  <c r="G404" i="9"/>
  <c r="BV403" i="9"/>
  <c r="BU403" i="9"/>
  <c r="BT403" i="9"/>
  <c r="BR403" i="9"/>
  <c r="BQ403" i="9"/>
  <c r="BP403" i="9"/>
  <c r="BO403" i="9"/>
  <c r="BM403" i="9"/>
  <c r="BL403" i="9"/>
  <c r="BK403" i="9"/>
  <c r="BJ403" i="9"/>
  <c r="BH403" i="9"/>
  <c r="BG403" i="9"/>
  <c r="BF403" i="9"/>
  <c r="BE403" i="9"/>
  <c r="BC403" i="9"/>
  <c r="BE409" i="9" s="1"/>
  <c r="BB403" i="9"/>
  <c r="BA403" i="9"/>
  <c r="AZ403" i="9"/>
  <c r="AX403" i="9"/>
  <c r="AW403" i="9"/>
  <c r="AV403" i="9"/>
  <c r="AU403" i="9"/>
  <c r="AS403" i="9"/>
  <c r="AR403" i="9"/>
  <c r="AQ403" i="9"/>
  <c r="AP403" i="9"/>
  <c r="AN403" i="9"/>
  <c r="AM403" i="9"/>
  <c r="AL403" i="9"/>
  <c r="AK403" i="9"/>
  <c r="AI403" i="9"/>
  <c r="AH403" i="9"/>
  <c r="AG403" i="9"/>
  <c r="AF403" i="9"/>
  <c r="AE403" i="9"/>
  <c r="AE409" i="9" s="1"/>
  <c r="AD403" i="9"/>
  <c r="AC403" i="9"/>
  <c r="AB403" i="9"/>
  <c r="AA403" i="9"/>
  <c r="Y403" i="9"/>
  <c r="X403" i="9"/>
  <c r="W403" i="9"/>
  <c r="V403" i="9"/>
  <c r="T403" i="9"/>
  <c r="T409" i="9" s="1"/>
  <c r="S403" i="9"/>
  <c r="R403" i="9"/>
  <c r="Q403" i="9"/>
  <c r="O403" i="9"/>
  <c r="N403" i="9"/>
  <c r="M403" i="9"/>
  <c r="L403" i="9"/>
  <c r="J403" i="9"/>
  <c r="I403" i="9"/>
  <c r="H403" i="9"/>
  <c r="G403" i="9"/>
  <c r="C402" i="9"/>
  <c r="R399" i="9"/>
  <c r="P399" i="9"/>
  <c r="K399" i="9"/>
  <c r="G399" i="9"/>
  <c r="BI398" i="9"/>
  <c r="BI391" i="9" s="1"/>
  <c r="BF398" i="9"/>
  <c r="BF391" i="9" s="1"/>
  <c r="BD398" i="9"/>
  <c r="BD391" i="9" s="1"/>
  <c r="BB398" i="9"/>
  <c r="BB391" i="9" s="1"/>
  <c r="BA398" i="9"/>
  <c r="BA391" i="9" s="1"/>
  <c r="BA1163" i="9" s="1"/>
  <c r="AZ398" i="9"/>
  <c r="AY398" i="9"/>
  <c r="AY391" i="9" s="1"/>
  <c r="AW398" i="9"/>
  <c r="AW391" i="9" s="1"/>
  <c r="AV398" i="9"/>
  <c r="AV391" i="9" s="1"/>
  <c r="AU398" i="9"/>
  <c r="AT398" i="9"/>
  <c r="AT391" i="9" s="1"/>
  <c r="AS398" i="9"/>
  <c r="AR398" i="9"/>
  <c r="AR391" i="9" s="1"/>
  <c r="AR435" i="9" s="1"/>
  <c r="AQ398" i="9"/>
  <c r="AO398" i="9"/>
  <c r="AJ398" i="9"/>
  <c r="AH398" i="9"/>
  <c r="AG398" i="9"/>
  <c r="AF398" i="9"/>
  <c r="AE398" i="9"/>
  <c r="AE399" i="9" s="1"/>
  <c r="AC398" i="9"/>
  <c r="AB398" i="9"/>
  <c r="AA398" i="9"/>
  <c r="AA399" i="9" s="1"/>
  <c r="Z398" i="9"/>
  <c r="X398" i="9"/>
  <c r="W398" i="9"/>
  <c r="V398" i="9"/>
  <c r="U398" i="9"/>
  <c r="S398" i="9"/>
  <c r="S399" i="9" s="1"/>
  <c r="R398" i="9"/>
  <c r="Q398" i="9"/>
  <c r="P398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AJ397" i="9"/>
  <c r="AI397" i="9"/>
  <c r="AH397" i="9"/>
  <c r="AG397" i="9"/>
  <c r="AF397" i="9"/>
  <c r="AE397" i="9"/>
  <c r="AC397" i="9"/>
  <c r="AC36" i="9" s="1"/>
  <c r="AB397" i="9"/>
  <c r="AB36" i="9" s="1"/>
  <c r="AA397" i="9"/>
  <c r="Z397" i="9"/>
  <c r="Y397" i="9"/>
  <c r="X397" i="9"/>
  <c r="X36" i="9" s="1"/>
  <c r="W397" i="9"/>
  <c r="W36" i="9" s="1"/>
  <c r="V397" i="9"/>
  <c r="V36" i="9" s="1"/>
  <c r="U397" i="9"/>
  <c r="T397" i="9"/>
  <c r="T36" i="9" s="1"/>
  <c r="S397" i="9"/>
  <c r="R397" i="9"/>
  <c r="Q397" i="9"/>
  <c r="P397" i="9"/>
  <c r="P36" i="9" s="1"/>
  <c r="O397" i="9"/>
  <c r="O36" i="9" s="1"/>
  <c r="N397" i="9"/>
  <c r="N399" i="9" s="1"/>
  <c r="M397" i="9"/>
  <c r="M36" i="9" s="1"/>
  <c r="L397" i="9"/>
  <c r="L36" i="9" s="1"/>
  <c r="K397" i="9"/>
  <c r="I397" i="9"/>
  <c r="H397" i="9"/>
  <c r="G397" i="9"/>
  <c r="F397" i="9"/>
  <c r="E397" i="9"/>
  <c r="D397" i="9"/>
  <c r="D36" i="9" s="1"/>
  <c r="C397" i="9"/>
  <c r="C36" i="9" s="1"/>
  <c r="AJ395" i="9"/>
  <c r="AH395" i="9"/>
  <c r="U395" i="9"/>
  <c r="BJ394" i="9"/>
  <c r="BI394" i="9"/>
  <c r="BG394" i="9"/>
  <c r="BE394" i="9"/>
  <c r="AL394" i="9"/>
  <c r="AJ394" i="9"/>
  <c r="AH394" i="9"/>
  <c r="AG394" i="9"/>
  <c r="AL395" i="9" s="1"/>
  <c r="AF394" i="9"/>
  <c r="AE394" i="9"/>
  <c r="AC394" i="9"/>
  <c r="AC395" i="9" s="1"/>
  <c r="AB394" i="9"/>
  <c r="AA394" i="9"/>
  <c r="Z394" i="9"/>
  <c r="Z395" i="9" s="1"/>
  <c r="Y394" i="9"/>
  <c r="X394" i="9"/>
  <c r="X395" i="9" s="1"/>
  <c r="W394" i="9"/>
  <c r="V394" i="9"/>
  <c r="V395" i="9" s="1"/>
  <c r="U394" i="9"/>
  <c r="S394" i="9"/>
  <c r="R394" i="9"/>
  <c r="Q394" i="9"/>
  <c r="P394" i="9"/>
  <c r="N394" i="9"/>
  <c r="M394" i="9"/>
  <c r="L394" i="9"/>
  <c r="Q395" i="9" s="1"/>
  <c r="K394" i="9"/>
  <c r="I394" i="9"/>
  <c r="H394" i="9"/>
  <c r="G394" i="9"/>
  <c r="F394" i="9"/>
  <c r="E394" i="9"/>
  <c r="D394" i="9"/>
  <c r="C394" i="9"/>
  <c r="D395" i="9" s="1"/>
  <c r="AJ393" i="9"/>
  <c r="AI393" i="9"/>
  <c r="AH393" i="9"/>
  <c r="AG393" i="9"/>
  <c r="AF393" i="9"/>
  <c r="AE393" i="9"/>
  <c r="AC393" i="9"/>
  <c r="AB393" i="9"/>
  <c r="AA393" i="9"/>
  <c r="Z393" i="9"/>
  <c r="X393" i="9"/>
  <c r="W393" i="9"/>
  <c r="V393" i="9"/>
  <c r="U393" i="9"/>
  <c r="S393" i="9"/>
  <c r="R393" i="9"/>
  <c r="Q393" i="9"/>
  <c r="P393" i="9"/>
  <c r="N393" i="9"/>
  <c r="M393" i="9"/>
  <c r="L393" i="9"/>
  <c r="K393" i="9"/>
  <c r="F393" i="9"/>
  <c r="E393" i="9"/>
  <c r="D393" i="9"/>
  <c r="F392" i="9"/>
  <c r="E392" i="9"/>
  <c r="D392" i="9"/>
  <c r="C392" i="9"/>
  <c r="AZ391" i="9"/>
  <c r="AZ435" i="9" s="1"/>
  <c r="AU391" i="9"/>
  <c r="AU394" i="9" s="1"/>
  <c r="AQ391" i="9"/>
  <c r="AO391" i="9"/>
  <c r="AI391" i="9"/>
  <c r="AD391" i="9"/>
  <c r="AD398" i="9" s="1"/>
  <c r="Y391" i="9"/>
  <c r="T391" i="9"/>
  <c r="O391" i="9"/>
  <c r="J391" i="9"/>
  <c r="BI390" i="9"/>
  <c r="BI37" i="9" s="1"/>
  <c r="BA390" i="9"/>
  <c r="BA37" i="9" s="1"/>
  <c r="AJ390" i="9"/>
  <c r="AH390" i="9"/>
  <c r="AH37" i="9" s="1"/>
  <c r="AG390" i="9"/>
  <c r="AG37" i="9" s="1"/>
  <c r="AF390" i="9"/>
  <c r="AF37" i="9" s="1"/>
  <c r="AE390" i="9"/>
  <c r="AC390" i="9"/>
  <c r="AB390" i="9"/>
  <c r="AB37" i="9" s="1"/>
  <c r="AA390" i="9"/>
  <c r="AA37" i="9" s="1"/>
  <c r="Z390" i="9"/>
  <c r="Z37" i="9" s="1"/>
  <c r="X390" i="9"/>
  <c r="X37" i="9" s="1"/>
  <c r="W390" i="9"/>
  <c r="W37" i="9" s="1"/>
  <c r="V390" i="9"/>
  <c r="U390" i="9"/>
  <c r="S390" i="9"/>
  <c r="S37" i="9" s="1"/>
  <c r="R390" i="9"/>
  <c r="Q390" i="9"/>
  <c r="P390" i="9"/>
  <c r="P37" i="9" s="1"/>
  <c r="N390" i="9"/>
  <c r="N37" i="9" s="1"/>
  <c r="M390" i="9"/>
  <c r="M37" i="9" s="1"/>
  <c r="L390" i="9"/>
  <c r="L37" i="9" s="1"/>
  <c r="K390" i="9"/>
  <c r="K37" i="9" s="1"/>
  <c r="F390" i="9"/>
  <c r="F37" i="9" s="1"/>
  <c r="E390" i="9"/>
  <c r="E37" i="9" s="1"/>
  <c r="D390" i="9"/>
  <c r="D37" i="9" s="1"/>
  <c r="BI388" i="9"/>
  <c r="BF388" i="9"/>
  <c r="BD388" i="9"/>
  <c r="BB388" i="9"/>
  <c r="BA388" i="9"/>
  <c r="AZ388" i="9"/>
  <c r="AY388" i="9"/>
  <c r="BD390" i="9" s="1"/>
  <c r="BD37" i="9" s="1"/>
  <c r="AW388" i="9"/>
  <c r="AV388" i="9"/>
  <c r="AU388" i="9"/>
  <c r="AT388" i="9"/>
  <c r="AT394" i="9" s="1"/>
  <c r="AR388" i="9"/>
  <c r="AQ388" i="9"/>
  <c r="AO388" i="9"/>
  <c r="AI388" i="9"/>
  <c r="AD388" i="9"/>
  <c r="Y388" i="9"/>
  <c r="T388" i="9"/>
  <c r="O388" i="9"/>
  <c r="J388" i="9"/>
  <c r="BS380" i="9"/>
  <c r="BN380" i="9"/>
  <c r="AZ378" i="9"/>
  <c r="AP378" i="9"/>
  <c r="I378" i="9"/>
  <c r="D378" i="9"/>
  <c r="BV377" i="9"/>
  <c r="BV773" i="9" s="1"/>
  <c r="BU377" i="9"/>
  <c r="BU773" i="9" s="1"/>
  <c r="BT377" i="9"/>
  <c r="BT773" i="9" s="1"/>
  <c r="BR377" i="9"/>
  <c r="BR773" i="9" s="1"/>
  <c r="BQ377" i="9"/>
  <c r="BQ773" i="9" s="1"/>
  <c r="BP377" i="9"/>
  <c r="BP773" i="9" s="1"/>
  <c r="BO377" i="9"/>
  <c r="BS377" i="9" s="1"/>
  <c r="BM377" i="9"/>
  <c r="BL377" i="9"/>
  <c r="BL773" i="9" s="1"/>
  <c r="BK377" i="9"/>
  <c r="BN377" i="9" s="1"/>
  <c r="AI377" i="9"/>
  <c r="AI773" i="9" s="1"/>
  <c r="AF377" i="9"/>
  <c r="AF773" i="9" s="1"/>
  <c r="BA376" i="9"/>
  <c r="BA378" i="9" s="1"/>
  <c r="AZ376" i="9"/>
  <c r="AW376" i="9"/>
  <c r="AW378" i="9" s="1"/>
  <c r="AR376" i="9"/>
  <c r="AR378" i="9" s="1"/>
  <c r="AB376" i="9"/>
  <c r="AB378" i="9" s="1"/>
  <c r="Z376" i="9"/>
  <c r="Z378" i="9" s="1"/>
  <c r="T376" i="9"/>
  <c r="T378" i="9" s="1"/>
  <c r="J376" i="9"/>
  <c r="J378" i="9" s="1"/>
  <c r="H376" i="9"/>
  <c r="H378" i="9" s="1"/>
  <c r="G376" i="9"/>
  <c r="G378" i="9" s="1"/>
  <c r="BV365" i="9"/>
  <c r="BV1011" i="9" s="1"/>
  <c r="BU365" i="9"/>
  <c r="BU1011" i="9" s="1"/>
  <c r="BT365" i="9"/>
  <c r="BT1011" i="9" s="1"/>
  <c r="BR365" i="9"/>
  <c r="BR1011" i="9" s="1"/>
  <c r="BQ365" i="9"/>
  <c r="BQ1011" i="9" s="1"/>
  <c r="BP365" i="9"/>
  <c r="BP1011" i="9" s="1"/>
  <c r="BO365" i="9"/>
  <c r="BO1011" i="9" s="1"/>
  <c r="BM365" i="9"/>
  <c r="BM1011" i="9" s="1"/>
  <c r="BL365" i="9"/>
  <c r="BL1011" i="9" s="1"/>
  <c r="BK365" i="9"/>
  <c r="BK1011" i="9" s="1"/>
  <c r="BJ365" i="9"/>
  <c r="BB365" i="9"/>
  <c r="AZ365" i="9"/>
  <c r="AX365" i="9"/>
  <c r="AV365" i="9"/>
  <c r="AS365" i="9"/>
  <c r="AQ365" i="9"/>
  <c r="AP365" i="9"/>
  <c r="AH365" i="9"/>
  <c r="AF365" i="9"/>
  <c r="AE365" i="9"/>
  <c r="AD365" i="9"/>
  <c r="AC365" i="9"/>
  <c r="AB365" i="9"/>
  <c r="AA365" i="9"/>
  <c r="Z365" i="9"/>
  <c r="Y365" i="9"/>
  <c r="X365" i="9"/>
  <c r="W365" i="9"/>
  <c r="V365" i="9"/>
  <c r="U365" i="9"/>
  <c r="T365" i="9"/>
  <c r="S365" i="9"/>
  <c r="R365" i="9"/>
  <c r="Q365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V364" i="9"/>
  <c r="BU364" i="9"/>
  <c r="BT364" i="9"/>
  <c r="BR364" i="9"/>
  <c r="BQ364" i="9"/>
  <c r="BP364" i="9"/>
  <c r="BO364" i="9"/>
  <c r="BM364" i="9"/>
  <c r="BL364" i="9"/>
  <c r="BK364" i="9"/>
  <c r="BH364" i="9"/>
  <c r="BF364" i="9"/>
  <c r="BE364" i="9"/>
  <c r="BD364" i="9"/>
  <c r="BA364" i="9"/>
  <c r="AZ364" i="9"/>
  <c r="AX364" i="9"/>
  <c r="AW364" i="9"/>
  <c r="AS364" i="9"/>
  <c r="AO364" i="9"/>
  <c r="AL364" i="9"/>
  <c r="AK364" i="9"/>
  <c r="AJ364" i="9"/>
  <c r="AH364" i="9"/>
  <c r="AG364" i="9"/>
  <c r="AE364" i="9"/>
  <c r="AD364" i="9"/>
  <c r="AC364" i="9"/>
  <c r="AB364" i="9"/>
  <c r="AA364" i="9"/>
  <c r="Z364" i="9"/>
  <c r="Y364" i="9"/>
  <c r="X364" i="9"/>
  <c r="W364" i="9"/>
  <c r="V364" i="9"/>
  <c r="U364" i="9"/>
  <c r="T364" i="9"/>
  <c r="S364" i="9"/>
  <c r="R364" i="9"/>
  <c r="Q364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V363" i="9"/>
  <c r="BU363" i="9"/>
  <c r="BT363" i="9"/>
  <c r="BR363" i="9"/>
  <c r="BQ363" i="9"/>
  <c r="BP363" i="9"/>
  <c r="BO363" i="9"/>
  <c r="BM363" i="9"/>
  <c r="BL363" i="9"/>
  <c r="BK363" i="9"/>
  <c r="BJ363" i="9"/>
  <c r="BI363" i="9"/>
  <c r="BG363" i="9"/>
  <c r="BD363" i="9"/>
  <c r="BB363" i="9"/>
  <c r="BA363" i="9"/>
  <c r="AZ363" i="9"/>
  <c r="AV363" i="9"/>
  <c r="AU363" i="9"/>
  <c r="AS363" i="9"/>
  <c r="AR363" i="9"/>
  <c r="AO363" i="9"/>
  <c r="AM363" i="9"/>
  <c r="AJ363" i="9"/>
  <c r="AE363" i="9"/>
  <c r="AD363" i="9"/>
  <c r="AC363" i="9"/>
  <c r="AB363" i="9"/>
  <c r="AA363" i="9"/>
  <c r="Z363" i="9"/>
  <c r="Y363" i="9"/>
  <c r="X363" i="9"/>
  <c r="W363" i="9"/>
  <c r="V363" i="9"/>
  <c r="U363" i="9"/>
  <c r="T363" i="9"/>
  <c r="S363" i="9"/>
  <c r="R363" i="9"/>
  <c r="Q363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V362" i="9"/>
  <c r="BU362" i="9"/>
  <c r="BT362" i="9"/>
  <c r="BR362" i="9"/>
  <c r="BQ362" i="9"/>
  <c r="BP362" i="9"/>
  <c r="BO362" i="9"/>
  <c r="BM362" i="9"/>
  <c r="BL362" i="9"/>
  <c r="BK362" i="9"/>
  <c r="BH362" i="9"/>
  <c r="BG362" i="9"/>
  <c r="BF362" i="9"/>
  <c r="BD362" i="9"/>
  <c r="AX362" i="9"/>
  <c r="AU362" i="9"/>
  <c r="AR362" i="9"/>
  <c r="AN362" i="9"/>
  <c r="AM362" i="9"/>
  <c r="AL362" i="9"/>
  <c r="AJ362" i="9"/>
  <c r="AG362" i="9"/>
  <c r="AE362" i="9"/>
  <c r="AD362" i="9"/>
  <c r="AC362" i="9"/>
  <c r="AB362" i="9"/>
  <c r="AA362" i="9"/>
  <c r="Z362" i="9"/>
  <c r="Y362" i="9"/>
  <c r="X362" i="9"/>
  <c r="W362" i="9"/>
  <c r="V362" i="9"/>
  <c r="U362" i="9"/>
  <c r="T362" i="9"/>
  <c r="S362" i="9"/>
  <c r="R362" i="9"/>
  <c r="Q362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V361" i="9"/>
  <c r="BU361" i="9"/>
  <c r="BT361" i="9"/>
  <c r="BR361" i="9"/>
  <c r="BQ361" i="9"/>
  <c r="BP361" i="9"/>
  <c r="BO361" i="9"/>
  <c r="BM361" i="9"/>
  <c r="BL361" i="9"/>
  <c r="BK361" i="9"/>
  <c r="BJ361" i="9"/>
  <c r="BI361" i="9"/>
  <c r="BH361" i="9"/>
  <c r="BG361" i="9"/>
  <c r="BF361" i="9"/>
  <c r="BE361" i="9"/>
  <c r="BD361" i="9"/>
  <c r="BC361" i="9"/>
  <c r="BB361" i="9"/>
  <c r="BA361" i="9"/>
  <c r="AZ361" i="9"/>
  <c r="AY361" i="9"/>
  <c r="AX361" i="9"/>
  <c r="AW361" i="9"/>
  <c r="AV361" i="9"/>
  <c r="AU361" i="9"/>
  <c r="AT361" i="9"/>
  <c r="AS361" i="9"/>
  <c r="AR361" i="9"/>
  <c r="AQ361" i="9"/>
  <c r="AP361" i="9"/>
  <c r="AO361" i="9"/>
  <c r="AN361" i="9"/>
  <c r="AM361" i="9"/>
  <c r="AL361" i="9"/>
  <c r="AK361" i="9"/>
  <c r="AJ361" i="9"/>
  <c r="AI361" i="9"/>
  <c r="AH361" i="9"/>
  <c r="AG361" i="9"/>
  <c r="AF361" i="9"/>
  <c r="AE361" i="9"/>
  <c r="AD361" i="9"/>
  <c r="AC361" i="9"/>
  <c r="AB361" i="9"/>
  <c r="AA361" i="9"/>
  <c r="Z361" i="9"/>
  <c r="Y361" i="9"/>
  <c r="X361" i="9"/>
  <c r="W361" i="9"/>
  <c r="V361" i="9"/>
  <c r="U361" i="9"/>
  <c r="T361" i="9"/>
  <c r="S361" i="9"/>
  <c r="R361" i="9"/>
  <c r="Q361" i="9"/>
  <c r="P361" i="9"/>
  <c r="O361" i="9"/>
  <c r="N361" i="9"/>
  <c r="M361" i="9"/>
  <c r="L361" i="9"/>
  <c r="K361" i="9"/>
  <c r="K342" i="9" s="1"/>
  <c r="J361" i="9"/>
  <c r="I361" i="9"/>
  <c r="H361" i="9"/>
  <c r="G361" i="9"/>
  <c r="G342" i="9" s="1"/>
  <c r="G759" i="9" s="1"/>
  <c r="F361" i="9"/>
  <c r="F342" i="9" s="1"/>
  <c r="F759" i="9" s="1"/>
  <c r="E361" i="9"/>
  <c r="D361" i="9"/>
  <c r="C361" i="9"/>
  <c r="BV360" i="9"/>
  <c r="BU360" i="9"/>
  <c r="BT360" i="9"/>
  <c r="BR360" i="9"/>
  <c r="BQ360" i="9"/>
  <c r="BP360" i="9"/>
  <c r="BO360" i="9"/>
  <c r="BM360" i="9"/>
  <c r="BL360" i="9"/>
  <c r="BK360" i="9"/>
  <c r="BJ360" i="9"/>
  <c r="BN360" i="9" s="1"/>
  <c r="BI360" i="9"/>
  <c r="BF360" i="9"/>
  <c r="BA360" i="9"/>
  <c r="AZ360" i="9"/>
  <c r="AY360" i="9"/>
  <c r="AX360" i="9"/>
  <c r="AW360" i="9"/>
  <c r="AU360" i="9"/>
  <c r="AT360" i="9"/>
  <c r="AR360" i="9"/>
  <c r="AL360" i="9"/>
  <c r="AJ360" i="9"/>
  <c r="AI360" i="9"/>
  <c r="AH360" i="9"/>
  <c r="AE360" i="9"/>
  <c r="AD360" i="9"/>
  <c r="AC360" i="9"/>
  <c r="AB360" i="9"/>
  <c r="AA360" i="9"/>
  <c r="Z360" i="9"/>
  <c r="Y360" i="9"/>
  <c r="X360" i="9"/>
  <c r="W360" i="9"/>
  <c r="V360" i="9"/>
  <c r="U360" i="9"/>
  <c r="T360" i="9"/>
  <c r="S360" i="9"/>
  <c r="R360" i="9"/>
  <c r="Q360" i="9"/>
  <c r="P360" i="9"/>
  <c r="O360" i="9"/>
  <c r="N360" i="9"/>
  <c r="M360" i="9"/>
  <c r="L360" i="9"/>
  <c r="K360" i="9"/>
  <c r="J360" i="9"/>
  <c r="I360" i="9"/>
  <c r="H360" i="9"/>
  <c r="G360" i="9"/>
  <c r="F360" i="9"/>
  <c r="E360" i="9"/>
  <c r="D360" i="9"/>
  <c r="C360" i="9"/>
  <c r="BV359" i="9"/>
  <c r="BU359" i="9"/>
  <c r="BT359" i="9"/>
  <c r="BR359" i="9"/>
  <c r="BQ359" i="9"/>
  <c r="BP359" i="9"/>
  <c r="BO359" i="9"/>
  <c r="BM359" i="9"/>
  <c r="BL359" i="9"/>
  <c r="BK359" i="9"/>
  <c r="BJ359" i="9"/>
  <c r="BI359" i="9"/>
  <c r="BH359" i="9"/>
  <c r="BE359" i="9"/>
  <c r="AW359" i="9"/>
  <c r="AS359" i="9"/>
  <c r="AR359" i="9"/>
  <c r="AQ359" i="9"/>
  <c r="AO359" i="9"/>
  <c r="AN359" i="9"/>
  <c r="AL359" i="9"/>
  <c r="AI359" i="9"/>
  <c r="AC359" i="9"/>
  <c r="Z359" i="9"/>
  <c r="Y359" i="9"/>
  <c r="X359" i="9"/>
  <c r="V359" i="9"/>
  <c r="U359" i="9"/>
  <c r="T359" i="9"/>
  <c r="S359" i="9"/>
  <c r="R359" i="9"/>
  <c r="Q359" i="9"/>
  <c r="P359" i="9"/>
  <c r="O359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V358" i="9"/>
  <c r="BU358" i="9"/>
  <c r="BT358" i="9"/>
  <c r="BR358" i="9"/>
  <c r="BQ358" i="9"/>
  <c r="BP358" i="9"/>
  <c r="BO358" i="9"/>
  <c r="BM358" i="9"/>
  <c r="BL358" i="9"/>
  <c r="BK358" i="9"/>
  <c r="BJ358" i="9"/>
  <c r="BI358" i="9"/>
  <c r="BG358" i="9"/>
  <c r="BF358" i="9"/>
  <c r="BD358" i="9"/>
  <c r="BC358" i="9"/>
  <c r="BA358" i="9"/>
  <c r="AX358" i="9"/>
  <c r="AV358" i="9"/>
  <c r="AU358" i="9"/>
  <c r="AS358" i="9"/>
  <c r="AR358" i="9"/>
  <c r="AP358" i="9"/>
  <c r="AO358" i="9"/>
  <c r="AM358" i="9"/>
  <c r="AL358" i="9"/>
  <c r="AG358" i="9"/>
  <c r="AE358" i="9"/>
  <c r="AD358" i="9"/>
  <c r="AC358" i="9"/>
  <c r="AB358" i="9"/>
  <c r="AA358" i="9"/>
  <c r="Z358" i="9"/>
  <c r="Y358" i="9"/>
  <c r="X358" i="9"/>
  <c r="W358" i="9"/>
  <c r="V358" i="9"/>
  <c r="U358" i="9"/>
  <c r="T358" i="9"/>
  <c r="S358" i="9"/>
  <c r="R358" i="9"/>
  <c r="Q358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V357" i="9"/>
  <c r="BU357" i="9"/>
  <c r="BT357" i="9"/>
  <c r="BR357" i="9"/>
  <c r="BQ357" i="9"/>
  <c r="BS357" i="9" s="1"/>
  <c r="BP357" i="9"/>
  <c r="BO357" i="9"/>
  <c r="BM357" i="9"/>
  <c r="BL357" i="9"/>
  <c r="BK357" i="9"/>
  <c r="BI357" i="9"/>
  <c r="BG357" i="9"/>
  <c r="BF357" i="9"/>
  <c r="BD357" i="9"/>
  <c r="BB357" i="9"/>
  <c r="BA357" i="9"/>
  <c r="AZ357" i="9"/>
  <c r="AX357" i="9"/>
  <c r="AW357" i="9"/>
  <c r="AU357" i="9"/>
  <c r="AR357" i="9"/>
  <c r="AO357" i="9"/>
  <c r="AL357" i="9"/>
  <c r="AK357" i="9"/>
  <c r="AF357" i="9"/>
  <c r="AE357" i="9"/>
  <c r="AD357" i="9"/>
  <c r="AC357" i="9"/>
  <c r="AB357" i="9"/>
  <c r="AA357" i="9"/>
  <c r="Z357" i="9"/>
  <c r="Y357" i="9"/>
  <c r="X357" i="9"/>
  <c r="W357" i="9"/>
  <c r="V357" i="9"/>
  <c r="U357" i="9"/>
  <c r="T357" i="9"/>
  <c r="S357" i="9"/>
  <c r="R357" i="9"/>
  <c r="Q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V356" i="9"/>
  <c r="BU356" i="9"/>
  <c r="BT356" i="9"/>
  <c r="BR356" i="9"/>
  <c r="BQ356" i="9"/>
  <c r="BP356" i="9"/>
  <c r="BO356" i="9"/>
  <c r="BM356" i="9"/>
  <c r="BL356" i="9"/>
  <c r="BK356" i="9"/>
  <c r="BI356" i="9"/>
  <c r="BH356" i="9"/>
  <c r="BF356" i="9"/>
  <c r="AZ356" i="9"/>
  <c r="AV356" i="9"/>
  <c r="AT356" i="9"/>
  <c r="AS356" i="9"/>
  <c r="AR356" i="9"/>
  <c r="AQ356" i="9"/>
  <c r="AL356" i="9"/>
  <c r="AK356" i="9"/>
  <c r="AF356" i="9"/>
  <c r="AE356" i="9"/>
  <c r="AD356" i="9"/>
  <c r="AC356" i="9"/>
  <c r="AB356" i="9"/>
  <c r="AA356" i="9"/>
  <c r="Z356" i="9"/>
  <c r="Y356" i="9"/>
  <c r="X356" i="9"/>
  <c r="W356" i="9"/>
  <c r="V356" i="9"/>
  <c r="U356" i="9"/>
  <c r="T356" i="9"/>
  <c r="S356" i="9"/>
  <c r="R356" i="9"/>
  <c r="Q356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V355" i="9"/>
  <c r="BU355" i="9"/>
  <c r="BT355" i="9"/>
  <c r="BR355" i="9"/>
  <c r="BQ355" i="9"/>
  <c r="BP355" i="9"/>
  <c r="BO355" i="9"/>
  <c r="BM355" i="9"/>
  <c r="BL355" i="9"/>
  <c r="BK355" i="9"/>
  <c r="BJ355" i="9"/>
  <c r="BI355" i="9"/>
  <c r="BH355" i="9"/>
  <c r="BG355" i="9"/>
  <c r="BF355" i="9"/>
  <c r="BE355" i="9"/>
  <c r="BD355" i="9"/>
  <c r="BC355" i="9"/>
  <c r="BB355" i="9"/>
  <c r="BA355" i="9"/>
  <c r="AZ355" i="9"/>
  <c r="AY355" i="9"/>
  <c r="AX355" i="9"/>
  <c r="AW355" i="9"/>
  <c r="AV355" i="9"/>
  <c r="AU355" i="9"/>
  <c r="AT355" i="9"/>
  <c r="AS355" i="9"/>
  <c r="AR355" i="9"/>
  <c r="AQ355" i="9"/>
  <c r="AP355" i="9"/>
  <c r="AO355" i="9"/>
  <c r="AN355" i="9"/>
  <c r="AM355" i="9"/>
  <c r="AL355" i="9"/>
  <c r="AK355" i="9"/>
  <c r="AJ355" i="9"/>
  <c r="AI355" i="9"/>
  <c r="AH355" i="9"/>
  <c r="AG355" i="9"/>
  <c r="AF355" i="9"/>
  <c r="AE355" i="9"/>
  <c r="AD355" i="9"/>
  <c r="AC355" i="9"/>
  <c r="AB355" i="9"/>
  <c r="AA355" i="9"/>
  <c r="Z355" i="9"/>
  <c r="Y355" i="9"/>
  <c r="X355" i="9"/>
  <c r="W355" i="9"/>
  <c r="V355" i="9"/>
  <c r="U355" i="9"/>
  <c r="T355" i="9"/>
  <c r="S355" i="9"/>
  <c r="R355" i="9"/>
  <c r="Q355" i="9"/>
  <c r="N355" i="9"/>
  <c r="M355" i="9"/>
  <c r="L355" i="9"/>
  <c r="K355" i="9"/>
  <c r="J355" i="9"/>
  <c r="I355" i="9"/>
  <c r="H355" i="9"/>
  <c r="G355" i="9"/>
  <c r="F355" i="9"/>
  <c r="E355" i="9"/>
  <c r="E336" i="9" s="1"/>
  <c r="D355" i="9"/>
  <c r="D336" i="9" s="1"/>
  <c r="C355" i="9"/>
  <c r="C336" i="9" s="1"/>
  <c r="BV354" i="9"/>
  <c r="BU354" i="9"/>
  <c r="BT354" i="9"/>
  <c r="BR354" i="9"/>
  <c r="BQ354" i="9"/>
  <c r="BP354" i="9"/>
  <c r="BO354" i="9"/>
  <c r="BS354" i="9" s="1"/>
  <c r="BM354" i="9"/>
  <c r="BL354" i="9"/>
  <c r="BK354" i="9"/>
  <c r="BS345" i="9"/>
  <c r="BJ345" i="9"/>
  <c r="BN345" i="9" s="1"/>
  <c r="BI345" i="9"/>
  <c r="BH345" i="9"/>
  <c r="BG345" i="9"/>
  <c r="BF345" i="9"/>
  <c r="BE345" i="9"/>
  <c r="BD345" i="9"/>
  <c r="BC345" i="9"/>
  <c r="BB345" i="9"/>
  <c r="BA345" i="9"/>
  <c r="AZ345" i="9"/>
  <c r="AY345" i="9"/>
  <c r="AX345" i="9"/>
  <c r="AW345" i="9"/>
  <c r="AV345" i="9"/>
  <c r="AU345" i="9"/>
  <c r="AT345" i="9"/>
  <c r="AS345" i="9"/>
  <c r="AR345" i="9"/>
  <c r="AQ345" i="9"/>
  <c r="AP345" i="9"/>
  <c r="AO345" i="9"/>
  <c r="AN345" i="9"/>
  <c r="AM345" i="9"/>
  <c r="AL345" i="9"/>
  <c r="AK345" i="9"/>
  <c r="AJ345" i="9"/>
  <c r="AI345" i="9"/>
  <c r="AH345" i="9"/>
  <c r="AG345" i="9"/>
  <c r="AF345" i="9"/>
  <c r="AE345" i="9"/>
  <c r="AD345" i="9"/>
  <c r="AC345" i="9"/>
  <c r="AB345" i="9"/>
  <c r="AA345" i="9"/>
  <c r="Z345" i="9"/>
  <c r="Y345" i="9"/>
  <c r="X345" i="9"/>
  <c r="W345" i="9"/>
  <c r="V345" i="9"/>
  <c r="U345" i="9"/>
  <c r="T345" i="9"/>
  <c r="S345" i="9"/>
  <c r="R345" i="9"/>
  <c r="Q345" i="9"/>
  <c r="P345" i="9"/>
  <c r="O345" i="9"/>
  <c r="N345" i="9"/>
  <c r="M345" i="9"/>
  <c r="L345" i="9"/>
  <c r="BS344" i="9"/>
  <c r="BJ344" i="9"/>
  <c r="BN344" i="9" s="1"/>
  <c r="BI344" i="9"/>
  <c r="BH344" i="9"/>
  <c r="BG344" i="9"/>
  <c r="BF344" i="9"/>
  <c r="BE344" i="9"/>
  <c r="BD344" i="9"/>
  <c r="BC344" i="9"/>
  <c r="BB344" i="9"/>
  <c r="BA344" i="9"/>
  <c r="AZ344" i="9"/>
  <c r="AY344" i="9"/>
  <c r="AX344" i="9"/>
  <c r="AW344" i="9"/>
  <c r="AV344" i="9"/>
  <c r="AU344" i="9"/>
  <c r="AT344" i="9"/>
  <c r="AS344" i="9"/>
  <c r="AR344" i="9"/>
  <c r="AQ344" i="9"/>
  <c r="AP344" i="9"/>
  <c r="AO344" i="9"/>
  <c r="AN344" i="9"/>
  <c r="AM344" i="9"/>
  <c r="AL344" i="9"/>
  <c r="AK344" i="9"/>
  <c r="AJ344" i="9"/>
  <c r="AI344" i="9"/>
  <c r="AH344" i="9"/>
  <c r="AG344" i="9"/>
  <c r="AF344" i="9"/>
  <c r="AE344" i="9"/>
  <c r="AD344" i="9"/>
  <c r="AC344" i="9"/>
  <c r="AB344" i="9"/>
  <c r="AA344" i="9"/>
  <c r="Z344" i="9"/>
  <c r="Y344" i="9"/>
  <c r="X344" i="9"/>
  <c r="W344" i="9"/>
  <c r="V344" i="9"/>
  <c r="U344" i="9"/>
  <c r="T344" i="9"/>
  <c r="S344" i="9"/>
  <c r="R344" i="9"/>
  <c r="Q344" i="9"/>
  <c r="P344" i="9"/>
  <c r="O344" i="9"/>
  <c r="N344" i="9"/>
  <c r="M344" i="9"/>
  <c r="L344" i="9"/>
  <c r="BS343" i="9"/>
  <c r="BJ343" i="9"/>
  <c r="BN343" i="9" s="1"/>
  <c r="BI343" i="9"/>
  <c r="BH343" i="9"/>
  <c r="BG343" i="9"/>
  <c r="BF343" i="9"/>
  <c r="BE343" i="9"/>
  <c r="BD343" i="9"/>
  <c r="BC343" i="9"/>
  <c r="BB343" i="9"/>
  <c r="BA343" i="9"/>
  <c r="AZ343" i="9"/>
  <c r="AY343" i="9"/>
  <c r="AX343" i="9"/>
  <c r="AW343" i="9"/>
  <c r="AV343" i="9"/>
  <c r="AU343" i="9"/>
  <c r="AT343" i="9"/>
  <c r="AS343" i="9"/>
  <c r="AR343" i="9"/>
  <c r="AQ343" i="9"/>
  <c r="AP343" i="9"/>
  <c r="AO343" i="9"/>
  <c r="AN343" i="9"/>
  <c r="AM343" i="9"/>
  <c r="AL343" i="9"/>
  <c r="AK343" i="9"/>
  <c r="AJ343" i="9"/>
  <c r="AI343" i="9"/>
  <c r="AH343" i="9"/>
  <c r="AG343" i="9"/>
  <c r="AF343" i="9"/>
  <c r="AE343" i="9"/>
  <c r="AD343" i="9"/>
  <c r="AC343" i="9"/>
  <c r="AB343" i="9"/>
  <c r="AA343" i="9"/>
  <c r="Z343" i="9"/>
  <c r="Y343" i="9"/>
  <c r="X343" i="9"/>
  <c r="W343" i="9"/>
  <c r="V343" i="9"/>
  <c r="U343" i="9"/>
  <c r="T343" i="9"/>
  <c r="S343" i="9"/>
  <c r="R343" i="9"/>
  <c r="Q343" i="9"/>
  <c r="P343" i="9"/>
  <c r="O343" i="9"/>
  <c r="N343" i="9"/>
  <c r="M343" i="9"/>
  <c r="L343" i="9"/>
  <c r="BS342" i="9"/>
  <c r="BN342" i="9"/>
  <c r="BS341" i="9"/>
  <c r="BJ341" i="9"/>
  <c r="BN341" i="9" s="1"/>
  <c r="BI341" i="9"/>
  <c r="BH341" i="9"/>
  <c r="BG341" i="9"/>
  <c r="BF341" i="9"/>
  <c r="BE341" i="9"/>
  <c r="BD341" i="9"/>
  <c r="BC341" i="9"/>
  <c r="BB341" i="9"/>
  <c r="BA341" i="9"/>
  <c r="AZ341" i="9"/>
  <c r="AY341" i="9"/>
  <c r="AX341" i="9"/>
  <c r="AW341" i="9"/>
  <c r="AV341" i="9"/>
  <c r="AU341" i="9"/>
  <c r="AT341" i="9"/>
  <c r="AS341" i="9"/>
  <c r="AR341" i="9"/>
  <c r="AQ341" i="9"/>
  <c r="AP341" i="9"/>
  <c r="AO341" i="9"/>
  <c r="AN341" i="9"/>
  <c r="AM341" i="9"/>
  <c r="AL341" i="9"/>
  <c r="AK341" i="9"/>
  <c r="AJ341" i="9"/>
  <c r="AI341" i="9"/>
  <c r="AH341" i="9"/>
  <c r="AG341" i="9"/>
  <c r="AF341" i="9"/>
  <c r="AE341" i="9"/>
  <c r="AD341" i="9"/>
  <c r="AC341" i="9"/>
  <c r="AB341" i="9"/>
  <c r="AA341" i="9"/>
  <c r="Z341" i="9"/>
  <c r="Y341" i="9"/>
  <c r="X341" i="9"/>
  <c r="W341" i="9"/>
  <c r="W346" i="9" s="1"/>
  <c r="V341" i="9"/>
  <c r="U341" i="9"/>
  <c r="T341" i="9"/>
  <c r="S341" i="9"/>
  <c r="R341" i="9"/>
  <c r="Q341" i="9"/>
  <c r="P341" i="9"/>
  <c r="O341" i="9"/>
  <c r="N341" i="9"/>
  <c r="M341" i="9"/>
  <c r="L341" i="9"/>
  <c r="BS340" i="9"/>
  <c r="BJ340" i="9"/>
  <c r="BN340" i="9" s="1"/>
  <c r="BI340" i="9"/>
  <c r="BH340" i="9"/>
  <c r="BG340" i="9"/>
  <c r="BF340" i="9"/>
  <c r="BE340" i="9"/>
  <c r="BD340" i="9"/>
  <c r="BC340" i="9"/>
  <c r="BB340" i="9"/>
  <c r="BA340" i="9"/>
  <c r="AZ340" i="9"/>
  <c r="AY340" i="9"/>
  <c r="AX340" i="9"/>
  <c r="AW340" i="9"/>
  <c r="AV340" i="9"/>
  <c r="AU340" i="9"/>
  <c r="AT340" i="9"/>
  <c r="AS340" i="9"/>
  <c r="AR340" i="9"/>
  <c r="AQ340" i="9"/>
  <c r="AP340" i="9"/>
  <c r="AO340" i="9"/>
  <c r="AN340" i="9"/>
  <c r="AM340" i="9"/>
  <c r="AL340" i="9"/>
  <c r="AK340" i="9"/>
  <c r="AJ340" i="9"/>
  <c r="AI340" i="9"/>
  <c r="AH340" i="9"/>
  <c r="AG340" i="9"/>
  <c r="AF340" i="9"/>
  <c r="AE340" i="9"/>
  <c r="AD340" i="9"/>
  <c r="AC340" i="9"/>
  <c r="AB340" i="9"/>
  <c r="AA340" i="9"/>
  <c r="Z340" i="9"/>
  <c r="Y340" i="9"/>
  <c r="X340" i="9"/>
  <c r="W340" i="9"/>
  <c r="V340" i="9"/>
  <c r="U340" i="9"/>
  <c r="T340" i="9"/>
  <c r="S340" i="9"/>
  <c r="R340" i="9"/>
  <c r="Q340" i="9"/>
  <c r="P340" i="9"/>
  <c r="O340" i="9"/>
  <c r="N340" i="9"/>
  <c r="M340" i="9"/>
  <c r="L340" i="9"/>
  <c r="BS339" i="9"/>
  <c r="BN339" i="9"/>
  <c r="BJ339" i="9"/>
  <c r="BI339" i="9"/>
  <c r="BH339" i="9"/>
  <c r="BG339" i="9"/>
  <c r="BF339" i="9"/>
  <c r="BE339" i="9"/>
  <c r="BD339" i="9"/>
  <c r="BC339" i="9"/>
  <c r="BB339" i="9"/>
  <c r="BA339" i="9"/>
  <c r="AZ339" i="9"/>
  <c r="AY339" i="9"/>
  <c r="AX339" i="9"/>
  <c r="AW339" i="9"/>
  <c r="AW759" i="9" s="1"/>
  <c r="AW760" i="9" s="1"/>
  <c r="AW628" i="9" s="1"/>
  <c r="AV339" i="9"/>
  <c r="AU339" i="9"/>
  <c r="AT339" i="9"/>
  <c r="AS339" i="9"/>
  <c r="AR339" i="9"/>
  <c r="AQ339" i="9"/>
  <c r="AP339" i="9"/>
  <c r="AO339" i="9"/>
  <c r="AN339" i="9"/>
  <c r="AM339" i="9"/>
  <c r="AL339" i="9"/>
  <c r="AK339" i="9"/>
  <c r="AJ339" i="9"/>
  <c r="AI339" i="9"/>
  <c r="AH339" i="9"/>
  <c r="AG339" i="9"/>
  <c r="AF339" i="9"/>
  <c r="AE339" i="9"/>
  <c r="AD339" i="9"/>
  <c r="AC339" i="9"/>
  <c r="AC759" i="9" s="1"/>
  <c r="AC760" i="9" s="1"/>
  <c r="AB339" i="9"/>
  <c r="AB759" i="9" s="1"/>
  <c r="AB760" i="9" s="1"/>
  <c r="AA339" i="9"/>
  <c r="Z339" i="9"/>
  <c r="Y339" i="9"/>
  <c r="X339" i="9"/>
  <c r="W339" i="9"/>
  <c r="V339" i="9"/>
  <c r="U339" i="9"/>
  <c r="T339" i="9"/>
  <c r="S339" i="9"/>
  <c r="R339" i="9"/>
  <c r="Q339" i="9"/>
  <c r="P339" i="9"/>
  <c r="O339" i="9"/>
  <c r="N339" i="9"/>
  <c r="M339" i="9"/>
  <c r="L339" i="9"/>
  <c r="BS338" i="9"/>
  <c r="BJ338" i="9"/>
  <c r="BN338" i="9" s="1"/>
  <c r="BI338" i="9"/>
  <c r="BH338" i="9"/>
  <c r="BG338" i="9"/>
  <c r="BF338" i="9"/>
  <c r="BE338" i="9"/>
  <c r="BD338" i="9"/>
  <c r="BC338" i="9"/>
  <c r="BB338" i="9"/>
  <c r="BA338" i="9"/>
  <c r="AZ338" i="9"/>
  <c r="AY338" i="9"/>
  <c r="AX338" i="9"/>
  <c r="AW338" i="9"/>
  <c r="AV338" i="9"/>
  <c r="AU338" i="9"/>
  <c r="AT338" i="9"/>
  <c r="AS338" i="9"/>
  <c r="AR338" i="9"/>
  <c r="AQ338" i="9"/>
  <c r="AP338" i="9"/>
  <c r="AO338" i="9"/>
  <c r="AN338" i="9"/>
  <c r="AM338" i="9"/>
  <c r="AL338" i="9"/>
  <c r="AK338" i="9"/>
  <c r="AJ338" i="9"/>
  <c r="AI338" i="9"/>
  <c r="AH338" i="9"/>
  <c r="AG338" i="9"/>
  <c r="AF338" i="9"/>
  <c r="AE338" i="9"/>
  <c r="AD338" i="9"/>
  <c r="AC338" i="9"/>
  <c r="AB338" i="9"/>
  <c r="AA338" i="9"/>
  <c r="Z338" i="9"/>
  <c r="Y338" i="9"/>
  <c r="X338" i="9"/>
  <c r="W338" i="9"/>
  <c r="V338" i="9"/>
  <c r="U338" i="9"/>
  <c r="T338" i="9"/>
  <c r="S338" i="9"/>
  <c r="R338" i="9"/>
  <c r="Q338" i="9"/>
  <c r="P338" i="9"/>
  <c r="O338" i="9"/>
  <c r="N338" i="9"/>
  <c r="M338" i="9"/>
  <c r="L338" i="9"/>
  <c r="BS337" i="9"/>
  <c r="BJ337" i="9"/>
  <c r="BN337" i="9" s="1"/>
  <c r="BI337" i="9"/>
  <c r="BH337" i="9"/>
  <c r="BG337" i="9"/>
  <c r="BF337" i="9"/>
  <c r="BE337" i="9"/>
  <c r="BD337" i="9"/>
  <c r="BC337" i="9"/>
  <c r="BB337" i="9"/>
  <c r="BA337" i="9"/>
  <c r="AZ337" i="9"/>
  <c r="AY337" i="9"/>
  <c r="AX337" i="9"/>
  <c r="AW337" i="9"/>
  <c r="AV337" i="9"/>
  <c r="AU337" i="9"/>
  <c r="AT337" i="9"/>
  <c r="AS337" i="9"/>
  <c r="AR337" i="9"/>
  <c r="AQ337" i="9"/>
  <c r="AP337" i="9"/>
  <c r="AO337" i="9"/>
  <c r="AN337" i="9"/>
  <c r="AM337" i="9"/>
  <c r="AL337" i="9"/>
  <c r="AK337" i="9"/>
  <c r="AJ337" i="9"/>
  <c r="AI337" i="9"/>
  <c r="AH337" i="9"/>
  <c r="AG337" i="9"/>
  <c r="AF337" i="9"/>
  <c r="AE337" i="9"/>
  <c r="AD337" i="9"/>
  <c r="AC337" i="9"/>
  <c r="AB337" i="9"/>
  <c r="AA337" i="9"/>
  <c r="Z337" i="9"/>
  <c r="Y337" i="9"/>
  <c r="X337" i="9"/>
  <c r="W337" i="9"/>
  <c r="V337" i="9"/>
  <c r="U337" i="9"/>
  <c r="T337" i="9"/>
  <c r="S337" i="9"/>
  <c r="R337" i="9"/>
  <c r="Q337" i="9"/>
  <c r="P337" i="9"/>
  <c r="O337" i="9"/>
  <c r="N337" i="9"/>
  <c r="M337" i="9"/>
  <c r="L337" i="9"/>
  <c r="BS336" i="9"/>
  <c r="BJ336" i="9"/>
  <c r="BN336" i="9" s="1"/>
  <c r="BI336" i="9"/>
  <c r="BH336" i="9"/>
  <c r="BG336" i="9"/>
  <c r="BF336" i="9"/>
  <c r="BE336" i="9"/>
  <c r="BE759" i="9" s="1"/>
  <c r="BD336" i="9"/>
  <c r="BC336" i="9"/>
  <c r="BB336" i="9"/>
  <c r="BA336" i="9"/>
  <c r="AZ336" i="9"/>
  <c r="AY336" i="9"/>
  <c r="AX336" i="9"/>
  <c r="AW336" i="9"/>
  <c r="AV336" i="9"/>
  <c r="AU336" i="9"/>
  <c r="AT336" i="9"/>
  <c r="AS336" i="9"/>
  <c r="AR336" i="9"/>
  <c r="AQ336" i="9"/>
  <c r="AP336" i="9"/>
  <c r="AO336" i="9"/>
  <c r="AN336" i="9"/>
  <c r="AM336" i="9"/>
  <c r="AL336" i="9"/>
  <c r="AK336" i="9"/>
  <c r="AK759" i="9" s="1"/>
  <c r="AK760" i="9" s="1"/>
  <c r="AJ336" i="9"/>
  <c r="AI336" i="9"/>
  <c r="AH336" i="9"/>
  <c r="AG336" i="9"/>
  <c r="AF336" i="9"/>
  <c r="AE336" i="9"/>
  <c r="AD336" i="9"/>
  <c r="AC336" i="9"/>
  <c r="AB336" i="9"/>
  <c r="AA336" i="9"/>
  <c r="Z336" i="9"/>
  <c r="Y336" i="9"/>
  <c r="X336" i="9"/>
  <c r="W336" i="9"/>
  <c r="V336" i="9"/>
  <c r="U336" i="9"/>
  <c r="T336" i="9"/>
  <c r="S336" i="9"/>
  <c r="R336" i="9"/>
  <c r="Q336" i="9"/>
  <c r="P336" i="9"/>
  <c r="O336" i="9"/>
  <c r="N336" i="9"/>
  <c r="M336" i="9"/>
  <c r="L336" i="9"/>
  <c r="BS335" i="9"/>
  <c r="BN335" i="9"/>
  <c r="BJ334" i="9"/>
  <c r="BI334" i="9"/>
  <c r="BI333" i="9" s="1"/>
  <c r="BF334" i="9"/>
  <c r="BD334" i="9"/>
  <c r="BD333" i="9" s="1"/>
  <c r="AZ334" i="9"/>
  <c r="AR334" i="9"/>
  <c r="AQ334" i="9"/>
  <c r="AP334" i="9"/>
  <c r="AO334" i="9"/>
  <c r="AJ334" i="9"/>
  <c r="AJ333" i="9" s="1"/>
  <c r="AH334" i="9"/>
  <c r="AF334" i="9"/>
  <c r="AD334" i="9"/>
  <c r="AC334" i="9"/>
  <c r="V334" i="9"/>
  <c r="U334" i="9"/>
  <c r="U333" i="9" s="1"/>
  <c r="T334" i="9"/>
  <c r="R334" i="9"/>
  <c r="P334" i="9"/>
  <c r="P333" i="9" s="1"/>
  <c r="L334" i="9"/>
  <c r="J334" i="9"/>
  <c r="J346" i="9" s="1"/>
  <c r="I334" i="9"/>
  <c r="I346" i="9" s="1"/>
  <c r="BS322" i="9"/>
  <c r="BJ322" i="9"/>
  <c r="BN322" i="9" s="1"/>
  <c r="BI322" i="9"/>
  <c r="BH322" i="9"/>
  <c r="BG322" i="9"/>
  <c r="BF322" i="9"/>
  <c r="BE322" i="9"/>
  <c r="BD322" i="9"/>
  <c r="BC322" i="9"/>
  <c r="BB322" i="9"/>
  <c r="BA322" i="9"/>
  <c r="AZ322" i="9"/>
  <c r="AY322" i="9"/>
  <c r="AX322" i="9"/>
  <c r="AW322" i="9"/>
  <c r="AV322" i="9"/>
  <c r="AU322" i="9"/>
  <c r="AT322" i="9"/>
  <c r="AS322" i="9"/>
  <c r="AR322" i="9"/>
  <c r="AQ322" i="9"/>
  <c r="AP322" i="9"/>
  <c r="AO322" i="9"/>
  <c r="AN322" i="9"/>
  <c r="AM322" i="9"/>
  <c r="AL322" i="9"/>
  <c r="AK322" i="9"/>
  <c r="AJ322" i="9"/>
  <c r="AI322" i="9"/>
  <c r="AH322" i="9"/>
  <c r="AG322" i="9"/>
  <c r="AF322" i="9"/>
  <c r="AE322" i="9"/>
  <c r="AD322" i="9"/>
  <c r="AC322" i="9"/>
  <c r="AB322" i="9"/>
  <c r="AA322" i="9"/>
  <c r="BS321" i="9"/>
  <c r="BJ321" i="9"/>
  <c r="BN321" i="9" s="1"/>
  <c r="BI321" i="9"/>
  <c r="BH321" i="9"/>
  <c r="BG321" i="9"/>
  <c r="BF321" i="9"/>
  <c r="BE321" i="9"/>
  <c r="BD321" i="9"/>
  <c r="BC321" i="9"/>
  <c r="BB321" i="9"/>
  <c r="BA321" i="9"/>
  <c r="AZ321" i="9"/>
  <c r="AY321" i="9"/>
  <c r="AX321" i="9"/>
  <c r="AW321" i="9"/>
  <c r="AV321" i="9"/>
  <c r="AU321" i="9"/>
  <c r="AT321" i="9"/>
  <c r="AS321" i="9"/>
  <c r="AR321" i="9"/>
  <c r="AQ321" i="9"/>
  <c r="AP321" i="9"/>
  <c r="AO321" i="9"/>
  <c r="AN321" i="9"/>
  <c r="AM321" i="9"/>
  <c r="AL321" i="9"/>
  <c r="AK321" i="9"/>
  <c r="AJ321" i="9"/>
  <c r="AI321" i="9"/>
  <c r="AH321" i="9"/>
  <c r="AG321" i="9"/>
  <c r="AF321" i="9"/>
  <c r="AE321" i="9"/>
  <c r="AD321" i="9"/>
  <c r="AC321" i="9"/>
  <c r="AB321" i="9"/>
  <c r="AA321" i="9"/>
  <c r="BS320" i="9"/>
  <c r="BJ320" i="9"/>
  <c r="BN320" i="9" s="1"/>
  <c r="BI320" i="9"/>
  <c r="BH320" i="9"/>
  <c r="BG320" i="9"/>
  <c r="BF320" i="9"/>
  <c r="BE320" i="9"/>
  <c r="BD320" i="9"/>
  <c r="BC320" i="9"/>
  <c r="BB320" i="9"/>
  <c r="BA320" i="9"/>
  <c r="AZ320" i="9"/>
  <c r="AY320" i="9"/>
  <c r="AX320" i="9"/>
  <c r="AW320" i="9"/>
  <c r="AV320" i="9"/>
  <c r="AU320" i="9"/>
  <c r="AT320" i="9"/>
  <c r="AS320" i="9"/>
  <c r="AR320" i="9"/>
  <c r="AQ320" i="9"/>
  <c r="AP320" i="9"/>
  <c r="AO320" i="9"/>
  <c r="AN320" i="9"/>
  <c r="AM320" i="9"/>
  <c r="AL320" i="9"/>
  <c r="AL373" i="9" s="1"/>
  <c r="AL761" i="9" s="1"/>
  <c r="AK320" i="9"/>
  <c r="AJ320" i="9"/>
  <c r="AI320" i="9"/>
  <c r="AH320" i="9"/>
  <c r="AG320" i="9"/>
  <c r="AF320" i="9"/>
  <c r="AC320" i="9"/>
  <c r="BS319" i="9"/>
  <c r="BN319" i="9"/>
  <c r="BJ319" i="9"/>
  <c r="BI319" i="9"/>
  <c r="BH319" i="9"/>
  <c r="BG319" i="9"/>
  <c r="BF319" i="9"/>
  <c r="BE319" i="9"/>
  <c r="BD319" i="9"/>
  <c r="BC319" i="9"/>
  <c r="BB319" i="9"/>
  <c r="BA319" i="9"/>
  <c r="AZ319" i="9"/>
  <c r="AY319" i="9"/>
  <c r="AX319" i="9"/>
  <c r="AW319" i="9"/>
  <c r="AV319" i="9"/>
  <c r="AU319" i="9"/>
  <c r="AT319" i="9"/>
  <c r="AS319" i="9"/>
  <c r="AR319" i="9"/>
  <c r="AQ319" i="9"/>
  <c r="AP319" i="9"/>
  <c r="AO319" i="9"/>
  <c r="AN319" i="9"/>
  <c r="AM319" i="9"/>
  <c r="AL319" i="9"/>
  <c r="AK319" i="9"/>
  <c r="AJ319" i="9"/>
  <c r="AI319" i="9"/>
  <c r="AH319" i="9"/>
  <c r="AG319" i="9"/>
  <c r="AF319" i="9"/>
  <c r="AE319" i="9"/>
  <c r="AD319" i="9"/>
  <c r="AC319" i="9"/>
  <c r="AB319" i="9"/>
  <c r="AA319" i="9"/>
  <c r="BS318" i="9"/>
  <c r="BJ318" i="9"/>
  <c r="BI318" i="9"/>
  <c r="BH318" i="9"/>
  <c r="BG318" i="9"/>
  <c r="BF318" i="9"/>
  <c r="BE318" i="9"/>
  <c r="BD318" i="9"/>
  <c r="BC318" i="9"/>
  <c r="BB318" i="9"/>
  <c r="BA318" i="9"/>
  <c r="AZ318" i="9"/>
  <c r="AY318" i="9"/>
  <c r="AX318" i="9"/>
  <c r="AX755" i="9" s="1"/>
  <c r="AW318" i="9"/>
  <c r="AW755" i="9" s="1"/>
  <c r="AW624" i="9" s="1"/>
  <c r="AV318" i="9"/>
  <c r="AU318" i="9"/>
  <c r="AT318" i="9"/>
  <c r="AS318" i="9"/>
  <c r="AR318" i="9"/>
  <c r="AQ318" i="9"/>
  <c r="AP318" i="9"/>
  <c r="AO318" i="9"/>
  <c r="AN318" i="9"/>
  <c r="AM318" i="9"/>
  <c r="AL318" i="9"/>
  <c r="AK318" i="9"/>
  <c r="AJ318" i="9"/>
  <c r="AI318" i="9"/>
  <c r="AH318" i="9"/>
  <c r="AG318" i="9"/>
  <c r="AF318" i="9"/>
  <c r="AC318" i="9"/>
  <c r="AB318" i="9"/>
  <c r="BS317" i="9"/>
  <c r="BN317" i="9"/>
  <c r="BJ315" i="9"/>
  <c r="BJ314" i="9" s="1"/>
  <c r="BG315" i="9"/>
  <c r="BG314" i="9" s="1"/>
  <c r="BF315" i="9"/>
  <c r="BF314" i="9" s="1"/>
  <c r="BE315" i="9"/>
  <c r="BE314" i="9" s="1"/>
  <c r="BB315" i="9"/>
  <c r="BB314" i="9" s="1"/>
  <c r="AU315" i="9"/>
  <c r="AU314" i="9" s="1"/>
  <c r="AR315" i="9"/>
  <c r="AR314" i="9" s="1"/>
  <c r="AQ315" i="9"/>
  <c r="AQ314" i="9" s="1"/>
  <c r="AP315" i="9"/>
  <c r="AP314" i="9" s="1"/>
  <c r="AM315" i="9"/>
  <c r="AM314" i="9" s="1"/>
  <c r="AL315" i="9"/>
  <c r="AL314" i="9" s="1"/>
  <c r="AK315" i="9"/>
  <c r="AK314" i="9" s="1"/>
  <c r="AH315" i="9"/>
  <c r="AH314" i="9" s="1"/>
  <c r="AG315" i="9"/>
  <c r="AB315" i="9"/>
  <c r="AB314" i="9" s="1"/>
  <c r="AA315" i="9"/>
  <c r="W315" i="9"/>
  <c r="V315" i="9"/>
  <c r="V314" i="9" s="1"/>
  <c r="T315" i="9"/>
  <c r="T314" i="9" s="1"/>
  <c r="S315" i="9"/>
  <c r="S314" i="9" s="1"/>
  <c r="Q315" i="9"/>
  <c r="K315" i="9"/>
  <c r="K314" i="9" s="1"/>
  <c r="J315" i="9"/>
  <c r="G315" i="9"/>
  <c r="G314" i="9" s="1"/>
  <c r="F315" i="9"/>
  <c r="F314" i="9" s="1"/>
  <c r="C315" i="9"/>
  <c r="C314" i="9" s="1"/>
  <c r="AZ314" i="9"/>
  <c r="AX314" i="9"/>
  <c r="AW314" i="9"/>
  <c r="AA314" i="9"/>
  <c r="Q314" i="9"/>
  <c r="BJ312" i="9"/>
  <c r="BI312" i="9"/>
  <c r="BG312" i="9"/>
  <c r="BF312" i="9"/>
  <c r="BE312" i="9"/>
  <c r="BD312" i="9"/>
  <c r="BB312" i="9"/>
  <c r="BA312" i="9"/>
  <c r="AZ312" i="9"/>
  <c r="AY312" i="9"/>
  <c r="AW312" i="9"/>
  <c r="AV312" i="9"/>
  <c r="AU312" i="9"/>
  <c r="AT312" i="9"/>
  <c r="AR312" i="9"/>
  <c r="AQ312" i="9"/>
  <c r="AP312" i="9"/>
  <c r="AO312" i="9"/>
  <c r="AM312" i="9"/>
  <c r="AL312" i="9"/>
  <c r="AK312" i="9"/>
  <c r="AJ312" i="9"/>
  <c r="AH312" i="9"/>
  <c r="AG312" i="9"/>
  <c r="AF312" i="9"/>
  <c r="AE312" i="9"/>
  <c r="AC312" i="9"/>
  <c r="AB312" i="9"/>
  <c r="AA312" i="9"/>
  <c r="Z312" i="9"/>
  <c r="X312" i="9"/>
  <c r="W312" i="9"/>
  <c r="V312" i="9"/>
  <c r="U312" i="9"/>
  <c r="T312" i="9"/>
  <c r="S312" i="9"/>
  <c r="R312" i="9"/>
  <c r="Q312" i="9"/>
  <c r="P312" i="9"/>
  <c r="N312" i="9"/>
  <c r="M312" i="9"/>
  <c r="L312" i="9"/>
  <c r="K312" i="9"/>
  <c r="F312" i="9"/>
  <c r="E312" i="9"/>
  <c r="D312" i="9"/>
  <c r="BJ311" i="9"/>
  <c r="BG311" i="9"/>
  <c r="BF311" i="9"/>
  <c r="BE311" i="9"/>
  <c r="BB311" i="9"/>
  <c r="BA311" i="9"/>
  <c r="AX311" i="9"/>
  <c r="AW311" i="9"/>
  <c r="AV311" i="9"/>
  <c r="AR311" i="9"/>
  <c r="AQ311" i="9"/>
  <c r="AP311" i="9"/>
  <c r="AM311" i="9"/>
  <c r="AL311" i="9"/>
  <c r="AH311" i="9"/>
  <c r="AG311" i="9"/>
  <c r="AC311" i="9"/>
  <c r="AB311" i="9"/>
  <c r="AA311" i="9"/>
  <c r="X311" i="9"/>
  <c r="W311" i="9"/>
  <c r="T311" i="9"/>
  <c r="S311" i="9"/>
  <c r="R311" i="9"/>
  <c r="Q311" i="9"/>
  <c r="N311" i="9"/>
  <c r="M311" i="9"/>
  <c r="I311" i="9"/>
  <c r="H311" i="9"/>
  <c r="BK310" i="9"/>
  <c r="BH310" i="9"/>
  <c r="BH311" i="9" s="1"/>
  <c r="BC310" i="9"/>
  <c r="BC311" i="9" s="1"/>
  <c r="AX310" i="9"/>
  <c r="AS310" i="9"/>
  <c r="AN310" i="9"/>
  <c r="AI310" i="9"/>
  <c r="AN312" i="9" s="1"/>
  <c r="AD310" i="9"/>
  <c r="AF311" i="9" s="1"/>
  <c r="Y310" i="9"/>
  <c r="T310" i="9"/>
  <c r="O310" i="9"/>
  <c r="O311" i="9" s="1"/>
  <c r="J310" i="9"/>
  <c r="BA305" i="9"/>
  <c r="AW305" i="9"/>
  <c r="L305" i="9"/>
  <c r="BS304" i="9"/>
  <c r="BN304" i="9"/>
  <c r="AJ304" i="9"/>
  <c r="AJ750" i="9" s="1"/>
  <c r="AI304" i="9"/>
  <c r="AI750" i="9" s="1"/>
  <c r="AH304" i="9"/>
  <c r="AG304" i="9"/>
  <c r="AF304" i="9"/>
  <c r="AF305" i="9" s="1"/>
  <c r="AE304" i="9"/>
  <c r="AE750" i="9" s="1"/>
  <c r="AD304" i="9"/>
  <c r="AD750" i="9" s="1"/>
  <c r="AD751" i="9" s="1"/>
  <c r="AC304" i="9"/>
  <c r="AC305" i="9" s="1"/>
  <c r="AB304" i="9"/>
  <c r="AB750" i="9" s="1"/>
  <c r="AB751" i="9" s="1"/>
  <c r="AA304" i="9"/>
  <c r="Z304" i="9"/>
  <c r="Z755" i="9" s="1"/>
  <c r="Y304" i="9"/>
  <c r="Y755" i="9" s="1"/>
  <c r="X304" i="9"/>
  <c r="W304" i="9"/>
  <c r="V304" i="9"/>
  <c r="V750" i="9" s="1"/>
  <c r="U304" i="9"/>
  <c r="T304" i="9"/>
  <c r="S304" i="9"/>
  <c r="R304" i="9"/>
  <c r="Q304" i="9"/>
  <c r="P304" i="9"/>
  <c r="O304" i="9"/>
  <c r="N304" i="9"/>
  <c r="M304" i="9"/>
  <c r="L304" i="9"/>
  <c r="L750" i="9" s="1"/>
  <c r="K304" i="9"/>
  <c r="J304" i="9"/>
  <c r="I304" i="9"/>
  <c r="I755" i="9" s="1"/>
  <c r="H304" i="9"/>
  <c r="H750" i="9" s="1"/>
  <c r="G304" i="9"/>
  <c r="F304" i="9"/>
  <c r="F755" i="9" s="1"/>
  <c r="E304" i="9"/>
  <c r="D304" i="9"/>
  <c r="D755" i="9" s="1"/>
  <c r="C304" i="9"/>
  <c r="BJ303" i="9"/>
  <c r="BJ305" i="9" s="1"/>
  <c r="BI303" i="9"/>
  <c r="BI305" i="9" s="1"/>
  <c r="BD303" i="9"/>
  <c r="BD305" i="9" s="1"/>
  <c r="BB303" i="9"/>
  <c r="BA303" i="9"/>
  <c r="AW303" i="9"/>
  <c r="AW316" i="9" s="1"/>
  <c r="AU303" i="9"/>
  <c r="AN303" i="9"/>
  <c r="AN305" i="9" s="1"/>
  <c r="AM303" i="9"/>
  <c r="AH303" i="9"/>
  <c r="AH305" i="9" s="1"/>
  <c r="AG303" i="9"/>
  <c r="AG305" i="9" s="1"/>
  <c r="AF303" i="9"/>
  <c r="AC303" i="9"/>
  <c r="AB303" i="9"/>
  <c r="W303" i="9"/>
  <c r="V303" i="9"/>
  <c r="U303" i="9"/>
  <c r="T303" i="9"/>
  <c r="S303" i="9"/>
  <c r="O303" i="9"/>
  <c r="N303" i="9"/>
  <c r="M303" i="9"/>
  <c r="L303" i="9"/>
  <c r="C303" i="9"/>
  <c r="BG299" i="9"/>
  <c r="BA299" i="9"/>
  <c r="AZ299" i="9"/>
  <c r="AT299" i="9"/>
  <c r="AO299" i="9"/>
  <c r="AM299" i="9"/>
  <c r="AK299" i="9"/>
  <c r="AG299" i="9"/>
  <c r="C299" i="9"/>
  <c r="BI298" i="9"/>
  <c r="AZ298" i="9"/>
  <c r="AP298" i="9"/>
  <c r="AM298" i="9"/>
  <c r="AK298" i="9"/>
  <c r="AJ298" i="9"/>
  <c r="AF298" i="9"/>
  <c r="BG295" i="9"/>
  <c r="BB295" i="9"/>
  <c r="AZ295" i="9"/>
  <c r="AV295" i="9"/>
  <c r="AU295" i="9"/>
  <c r="AT295" i="9"/>
  <c r="AO295" i="9"/>
  <c r="AH295" i="9"/>
  <c r="BB294" i="9"/>
  <c r="BA294" i="9"/>
  <c r="AZ294" i="9"/>
  <c r="AM294" i="9"/>
  <c r="BG293" i="9"/>
  <c r="BF293" i="9"/>
  <c r="BD293" i="9"/>
  <c r="BB293" i="9"/>
  <c r="AZ293" i="9"/>
  <c r="AZ300" i="9" s="1"/>
  <c r="AM293" i="9"/>
  <c r="AM300" i="9" s="1"/>
  <c r="AK293" i="9"/>
  <c r="AH293" i="9"/>
  <c r="BJ291" i="9"/>
  <c r="BI291" i="9"/>
  <c r="BG291" i="9"/>
  <c r="BF291" i="9"/>
  <c r="BF295" i="9" s="1"/>
  <c r="BE291" i="9"/>
  <c r="BE293" i="9" s="1"/>
  <c r="BD291" i="9"/>
  <c r="BB291" i="9"/>
  <c r="BA291" i="9"/>
  <c r="AZ291" i="9"/>
  <c r="AY291" i="9"/>
  <c r="AY299" i="9" s="1"/>
  <c r="AW291" i="9"/>
  <c r="AW298" i="9" s="1"/>
  <c r="AV291" i="9"/>
  <c r="AV298" i="9" s="1"/>
  <c r="AU291" i="9"/>
  <c r="AT291" i="9"/>
  <c r="AT298" i="9" s="1"/>
  <c r="AR291" i="9"/>
  <c r="AQ291" i="9"/>
  <c r="AP291" i="9"/>
  <c r="AO291" i="9"/>
  <c r="AM291" i="9"/>
  <c r="AM295" i="9" s="1"/>
  <c r="AL291" i="9"/>
  <c r="AK291" i="9"/>
  <c r="AK294" i="9" s="1"/>
  <c r="AJ291" i="9"/>
  <c r="AJ299" i="9" s="1"/>
  <c r="AH291" i="9"/>
  <c r="AG291" i="9"/>
  <c r="AF291" i="9"/>
  <c r="AD291" i="9"/>
  <c r="AC291" i="9"/>
  <c r="AB291" i="9"/>
  <c r="W291" i="9"/>
  <c r="S291" i="9"/>
  <c r="Q291" i="9"/>
  <c r="O291" i="9"/>
  <c r="N291" i="9"/>
  <c r="M291" i="9"/>
  <c r="J291" i="9"/>
  <c r="BH290" i="9"/>
  <c r="BH27" i="9" s="1"/>
  <c r="BC290" i="9"/>
  <c r="AX290" i="9"/>
  <c r="AS290" i="9"/>
  <c r="AS262" i="9" s="1"/>
  <c r="AN290" i="9"/>
  <c r="AN27" i="9" s="1"/>
  <c r="AI290" i="9"/>
  <c r="AI262" i="9" s="1"/>
  <c r="BH289" i="9"/>
  <c r="BC289" i="9"/>
  <c r="AX289" i="9"/>
  <c r="AS289" i="9"/>
  <c r="AN289" i="9"/>
  <c r="AI289" i="9"/>
  <c r="AI23" i="9" s="1"/>
  <c r="AE289" i="9"/>
  <c r="Z289" i="9"/>
  <c r="U289" i="9"/>
  <c r="P289" i="9"/>
  <c r="P291" i="9" s="1"/>
  <c r="K289" i="9"/>
  <c r="F289" i="9"/>
  <c r="F291" i="9" s="1"/>
  <c r="E289" i="9"/>
  <c r="E239" i="9" s="1"/>
  <c r="D289" i="9"/>
  <c r="C289" i="9"/>
  <c r="C291" i="9" s="1"/>
  <c r="C293" i="9" s="1"/>
  <c r="BH286" i="9"/>
  <c r="BC286" i="9"/>
  <c r="BC214" i="9" s="1"/>
  <c r="AX286" i="9"/>
  <c r="AX19" i="9" s="1"/>
  <c r="AS286" i="9"/>
  <c r="AS19" i="9" s="1"/>
  <c r="AN286" i="9"/>
  <c r="AN19" i="9" s="1"/>
  <c r="AI286" i="9"/>
  <c r="BH285" i="9"/>
  <c r="BC285" i="9"/>
  <c r="AX285" i="9"/>
  <c r="AS285" i="9"/>
  <c r="AN285" i="9"/>
  <c r="AI285" i="9"/>
  <c r="BH284" i="9"/>
  <c r="BC284" i="9"/>
  <c r="AX284" i="9"/>
  <c r="AS284" i="9"/>
  <c r="AN284" i="9"/>
  <c r="AI284" i="9"/>
  <c r="AZ282" i="9"/>
  <c r="AZ32" i="9" s="1"/>
  <c r="AX282" i="9"/>
  <c r="AX32" i="9" s="1"/>
  <c r="AW282" i="9"/>
  <c r="AW32" i="9" s="1"/>
  <c r="BV279" i="9"/>
  <c r="BU279" i="9"/>
  <c r="BU24" i="9" s="1"/>
  <c r="BT279" i="9"/>
  <c r="BT24" i="9" s="1"/>
  <c r="BR279" i="9"/>
  <c r="BQ279" i="9"/>
  <c r="BP279" i="9"/>
  <c r="BO279" i="9"/>
  <c r="BO24" i="9" s="1"/>
  <c r="BM279" i="9"/>
  <c r="BM24" i="9" s="1"/>
  <c r="BL279" i="9"/>
  <c r="BL24" i="9" s="1"/>
  <c r="BK279" i="9"/>
  <c r="BK24" i="9" s="1"/>
  <c r="BV276" i="9"/>
  <c r="BV20" i="9" s="1"/>
  <c r="BU276" i="9"/>
  <c r="BT276" i="9"/>
  <c r="BR276" i="9"/>
  <c r="BQ276" i="9"/>
  <c r="BQ20" i="9" s="1"/>
  <c r="BP276" i="9"/>
  <c r="BP20" i="9" s="1"/>
  <c r="BO276" i="9"/>
  <c r="BO20" i="9" s="1"/>
  <c r="BM276" i="9"/>
  <c r="BM20" i="9" s="1"/>
  <c r="BL276" i="9"/>
  <c r="BL20" i="9" s="1"/>
  <c r="BK276" i="9"/>
  <c r="BK20" i="9" s="1"/>
  <c r="BV275" i="9"/>
  <c r="BU275" i="9"/>
  <c r="BU16" i="9" s="1"/>
  <c r="BT275" i="9"/>
  <c r="BT16" i="9" s="1"/>
  <c r="BR275" i="9"/>
  <c r="BR16" i="9" s="1"/>
  <c r="BQ275" i="9"/>
  <c r="BQ16" i="9" s="1"/>
  <c r="BP275" i="9"/>
  <c r="BP16" i="9" s="1"/>
  <c r="BO275" i="9"/>
  <c r="BM275" i="9"/>
  <c r="BL275" i="9"/>
  <c r="BL16" i="9" s="1"/>
  <c r="BK275" i="9"/>
  <c r="BK16" i="9" s="1"/>
  <c r="BV274" i="9"/>
  <c r="BV12" i="9" s="1"/>
  <c r="BU274" i="9"/>
  <c r="BT274" i="9"/>
  <c r="BT12" i="9" s="1"/>
  <c r="BR274" i="9"/>
  <c r="BR12" i="9" s="1"/>
  <c r="BQ274" i="9"/>
  <c r="BQ12" i="9" s="1"/>
  <c r="BP274" i="9"/>
  <c r="BP12" i="9" s="1"/>
  <c r="BO274" i="9"/>
  <c r="BO12" i="9" s="1"/>
  <c r="BM274" i="9"/>
  <c r="BM12" i="9" s="1"/>
  <c r="BL274" i="9"/>
  <c r="BL12" i="9" s="1"/>
  <c r="BK274" i="9"/>
  <c r="D270" i="9"/>
  <c r="C270" i="9"/>
  <c r="BJ263" i="9"/>
  <c r="AK263" i="9"/>
  <c r="BO262" i="9"/>
  <c r="BO290" i="9" s="1"/>
  <c r="BO27" i="9" s="1"/>
  <c r="BO28" i="9" s="1"/>
  <c r="BJ262" i="9"/>
  <c r="BI262" i="9"/>
  <c r="BG262" i="9"/>
  <c r="BF262" i="9"/>
  <c r="BE262" i="9"/>
  <c r="BD262" i="9"/>
  <c r="BB262" i="9"/>
  <c r="BA262" i="9"/>
  <c r="BA263" i="9" s="1"/>
  <c r="AZ262" i="9"/>
  <c r="AY262" i="9"/>
  <c r="AW262" i="9"/>
  <c r="BB263" i="9" s="1"/>
  <c r="AV262" i="9"/>
  <c r="AU262" i="9"/>
  <c r="AT262" i="9"/>
  <c r="AT263" i="9" s="1"/>
  <c r="AR262" i="9"/>
  <c r="AQ262" i="9"/>
  <c r="AP262" i="9"/>
  <c r="AU263" i="9" s="1"/>
  <c r="AO262" i="9"/>
  <c r="AM262" i="9"/>
  <c r="AM263" i="9" s="1"/>
  <c r="AL262" i="9"/>
  <c r="AK262" i="9"/>
  <c r="AJ262" i="9"/>
  <c r="AH262" i="9"/>
  <c r="AG262" i="9"/>
  <c r="AF262" i="9"/>
  <c r="AE262" i="9"/>
  <c r="Z262" i="9"/>
  <c r="Z263" i="9" s="1"/>
  <c r="U262" i="9"/>
  <c r="P262" i="9"/>
  <c r="K262" i="9"/>
  <c r="F262" i="9"/>
  <c r="E262" i="9"/>
  <c r="D262" i="9"/>
  <c r="C262" i="9"/>
  <c r="BF255" i="9"/>
  <c r="BD255" i="9"/>
  <c r="Q255" i="9"/>
  <c r="P255" i="9"/>
  <c r="BJ254" i="9"/>
  <c r="BH254" i="9"/>
  <c r="AH254" i="9"/>
  <c r="AG254" i="9"/>
  <c r="W254" i="9"/>
  <c r="BJ253" i="9"/>
  <c r="BK253" i="9" s="1"/>
  <c r="BI253" i="9"/>
  <c r="BI255" i="9" s="1"/>
  <c r="BG253" i="9"/>
  <c r="BG254" i="9" s="1"/>
  <c r="BF253" i="9"/>
  <c r="BE253" i="9"/>
  <c r="BD253" i="9"/>
  <c r="BB253" i="9"/>
  <c r="BB255" i="9" s="1"/>
  <c r="BA253" i="9"/>
  <c r="AZ253" i="9"/>
  <c r="AY253" i="9"/>
  <c r="AW253" i="9"/>
  <c r="AV253" i="9"/>
  <c r="AU253" i="9"/>
  <c r="AT253" i="9"/>
  <c r="AS253" i="9"/>
  <c r="AR253" i="9"/>
  <c r="AQ253" i="9"/>
  <c r="AP253" i="9"/>
  <c r="AO253" i="9"/>
  <c r="AO255" i="9" s="1"/>
  <c r="AN253" i="9"/>
  <c r="AM253" i="9"/>
  <c r="AM255" i="9" s="1"/>
  <c r="AL253" i="9"/>
  <c r="AK253" i="9"/>
  <c r="AJ253" i="9"/>
  <c r="AH253" i="9"/>
  <c r="AG253" i="9"/>
  <c r="AF253" i="9"/>
  <c r="AE253" i="9"/>
  <c r="AC253" i="9"/>
  <c r="AB253" i="9"/>
  <c r="AA253" i="9"/>
  <c r="Z253" i="9"/>
  <c r="X253" i="9"/>
  <c r="W253" i="9"/>
  <c r="V253" i="9"/>
  <c r="U253" i="9"/>
  <c r="S253" i="9"/>
  <c r="R253" i="9"/>
  <c r="Q253" i="9"/>
  <c r="P253" i="9"/>
  <c r="U255" i="9" s="1"/>
  <c r="N253" i="9"/>
  <c r="M253" i="9"/>
  <c r="L253" i="9"/>
  <c r="K253" i="9"/>
  <c r="I253" i="9"/>
  <c r="H253" i="9"/>
  <c r="G253" i="9"/>
  <c r="F253" i="9"/>
  <c r="E253" i="9"/>
  <c r="E248" i="9"/>
  <c r="BS247" i="9"/>
  <c r="BN247" i="9"/>
  <c r="BI247" i="9"/>
  <c r="BD247" i="9"/>
  <c r="AY247" i="9"/>
  <c r="AT247" i="9"/>
  <c r="AO247" i="9"/>
  <c r="AJ247" i="9"/>
  <c r="AE247" i="9"/>
  <c r="Z247" i="9"/>
  <c r="U247" i="9"/>
  <c r="P247" i="9"/>
  <c r="K247" i="9"/>
  <c r="BS246" i="9"/>
  <c r="BN246" i="9"/>
  <c r="BI246" i="9"/>
  <c r="BD246" i="9"/>
  <c r="AY246" i="9"/>
  <c r="AT246" i="9"/>
  <c r="AO246" i="9"/>
  <c r="AJ246" i="9"/>
  <c r="AE246" i="9"/>
  <c r="Z246" i="9"/>
  <c r="U246" i="9"/>
  <c r="P246" i="9"/>
  <c r="K246" i="9"/>
  <c r="F246" i="9"/>
  <c r="E245" i="9"/>
  <c r="BV242" i="9"/>
  <c r="BU242" i="9"/>
  <c r="BT242" i="9"/>
  <c r="BR242" i="9"/>
  <c r="BQ242" i="9"/>
  <c r="BP242" i="9"/>
  <c r="BO242" i="9"/>
  <c r="BM242" i="9"/>
  <c r="BL242" i="9"/>
  <c r="BK242" i="9"/>
  <c r="BJ240" i="9"/>
  <c r="BI240" i="9"/>
  <c r="BI241" i="9" s="1"/>
  <c r="BH240" i="9"/>
  <c r="BG240" i="9"/>
  <c r="BF240" i="9"/>
  <c r="BE240" i="9"/>
  <c r="BD240" i="9"/>
  <c r="BC240" i="9"/>
  <c r="BB240" i="9"/>
  <c r="BA240" i="9"/>
  <c r="AZ240" i="9"/>
  <c r="AY240" i="9"/>
  <c r="AX240" i="9"/>
  <c r="AW240" i="9"/>
  <c r="AV240" i="9"/>
  <c r="AU240" i="9"/>
  <c r="AT240" i="9"/>
  <c r="AS240" i="9"/>
  <c r="AR240" i="9"/>
  <c r="AQ240" i="9"/>
  <c r="AP240" i="9"/>
  <c r="AO240" i="9"/>
  <c r="AN240" i="9"/>
  <c r="AM240" i="9"/>
  <c r="AL240" i="9"/>
  <c r="AK240" i="9"/>
  <c r="AJ240" i="9"/>
  <c r="AI240" i="9"/>
  <c r="AH240" i="9"/>
  <c r="AG240" i="9"/>
  <c r="BJ239" i="9"/>
  <c r="BO239" i="9" s="1"/>
  <c r="BO289" i="9" s="1"/>
  <c r="BI239" i="9"/>
  <c r="BI242" i="9" s="1"/>
  <c r="BH239" i="9"/>
  <c r="BG239" i="9"/>
  <c r="BL239" i="9" s="1"/>
  <c r="BF239" i="9"/>
  <c r="BK239" i="9" s="1"/>
  <c r="BE239" i="9"/>
  <c r="BD239" i="9"/>
  <c r="BB239" i="9"/>
  <c r="BA239" i="9"/>
  <c r="AZ239" i="9"/>
  <c r="AY239" i="9"/>
  <c r="AW239" i="9"/>
  <c r="AW242" i="9" s="1"/>
  <c r="AW241" i="9" s="1"/>
  <c r="AV239" i="9"/>
  <c r="AU239" i="9"/>
  <c r="AT239" i="9"/>
  <c r="AR239" i="9"/>
  <c r="AR242" i="9" s="1"/>
  <c r="AQ239" i="9"/>
  <c r="AP239" i="9"/>
  <c r="AO239" i="9"/>
  <c r="AM239" i="9"/>
  <c r="AL239" i="9"/>
  <c r="AK239" i="9"/>
  <c r="AK242" i="9" s="1"/>
  <c r="AK241" i="9" s="1"/>
  <c r="AJ239" i="9"/>
  <c r="AH239" i="9"/>
  <c r="AG239" i="9"/>
  <c r="AF239" i="9"/>
  <c r="F239" i="9"/>
  <c r="AX232" i="9"/>
  <c r="AW232" i="9"/>
  <c r="AT232" i="9"/>
  <c r="AQ232" i="9"/>
  <c r="U232" i="9"/>
  <c r="Q232" i="9"/>
  <c r="E232" i="9"/>
  <c r="BF231" i="9"/>
  <c r="AM231" i="9"/>
  <c r="AB231" i="9"/>
  <c r="T231" i="9"/>
  <c r="S231" i="9"/>
  <c r="R231" i="9"/>
  <c r="BJ230" i="9"/>
  <c r="BI230" i="9"/>
  <c r="BG230" i="9"/>
  <c r="BF230" i="9"/>
  <c r="BE230" i="9"/>
  <c r="BD230" i="9"/>
  <c r="BD232" i="9" s="1"/>
  <c r="BB230" i="9"/>
  <c r="BA230" i="9"/>
  <c r="BF232" i="9" s="1"/>
  <c r="AZ230" i="9"/>
  <c r="BE232" i="9" s="1"/>
  <c r="AY230" i="9"/>
  <c r="AW230" i="9"/>
  <c r="AV230" i="9"/>
  <c r="AU230" i="9"/>
  <c r="AT230" i="9"/>
  <c r="AS230" i="9"/>
  <c r="AR230" i="9"/>
  <c r="AQ230" i="9"/>
  <c r="AP230" i="9"/>
  <c r="AP232" i="9" s="1"/>
  <c r="AO230" i="9"/>
  <c r="AN230" i="9"/>
  <c r="AN231" i="9" s="1"/>
  <c r="AM230" i="9"/>
  <c r="AL230" i="9"/>
  <c r="AK230" i="9"/>
  <c r="AH230" i="9"/>
  <c r="AG230" i="9"/>
  <c r="AF230" i="9"/>
  <c r="AK232" i="9" s="1"/>
  <c r="AE230" i="9"/>
  <c r="AC230" i="9"/>
  <c r="AB230" i="9"/>
  <c r="AA230" i="9"/>
  <c r="Z230" i="9"/>
  <c r="X230" i="9"/>
  <c r="W230" i="9"/>
  <c r="V230" i="9"/>
  <c r="V232" i="9" s="1"/>
  <c r="U230" i="9"/>
  <c r="S230" i="9"/>
  <c r="R230" i="9"/>
  <c r="Q230" i="9"/>
  <c r="P230" i="9"/>
  <c r="O230" i="9"/>
  <c r="N230" i="9"/>
  <c r="M230" i="9"/>
  <c r="L230" i="9"/>
  <c r="K230" i="9"/>
  <c r="I230" i="9"/>
  <c r="H230" i="9"/>
  <c r="G230" i="9"/>
  <c r="L232" i="9" s="1"/>
  <c r="F230" i="9"/>
  <c r="E230" i="9"/>
  <c r="D230" i="9"/>
  <c r="C230" i="9"/>
  <c r="BS224" i="9"/>
  <c r="BN224" i="9"/>
  <c r="BI224" i="9"/>
  <c r="BD224" i="9"/>
  <c r="AY224" i="9"/>
  <c r="AT224" i="9"/>
  <c r="AO224" i="9"/>
  <c r="AJ224" i="9"/>
  <c r="AE224" i="9"/>
  <c r="Z224" i="9"/>
  <c r="U224" i="9"/>
  <c r="P224" i="9"/>
  <c r="K224" i="9"/>
  <c r="F224" i="9"/>
  <c r="E224" i="9"/>
  <c r="D224" i="9"/>
  <c r="C224" i="9"/>
  <c r="BS223" i="9"/>
  <c r="BN223" i="9"/>
  <c r="BI223" i="9"/>
  <c r="BD223" i="9"/>
  <c r="AY223" i="9"/>
  <c r="AT223" i="9"/>
  <c r="AO223" i="9"/>
  <c r="AJ223" i="9"/>
  <c r="AE223" i="9"/>
  <c r="Z223" i="9"/>
  <c r="U223" i="9"/>
  <c r="P223" i="9"/>
  <c r="K223" i="9"/>
  <c r="F223" i="9"/>
  <c r="E223" i="9"/>
  <c r="D223" i="9"/>
  <c r="C223" i="9"/>
  <c r="C403" i="9" s="1"/>
  <c r="BB215" i="9"/>
  <c r="BA215" i="9"/>
  <c r="AM215" i="9"/>
  <c r="BJ214" i="9"/>
  <c r="BI214" i="9"/>
  <c r="BG214" i="9"/>
  <c r="BF214" i="9"/>
  <c r="BE214" i="9"/>
  <c r="BD214" i="9"/>
  <c r="BB214" i="9"/>
  <c r="BA214" i="9"/>
  <c r="BF201" i="9" s="1"/>
  <c r="AZ214" i="9"/>
  <c r="AY214" i="9"/>
  <c r="AW214" i="9"/>
  <c r="BB201" i="9" s="1"/>
  <c r="AV214" i="9"/>
  <c r="AU214" i="9"/>
  <c r="AU201" i="9" s="1"/>
  <c r="AT214" i="9"/>
  <c r="AR214" i="9"/>
  <c r="AQ214" i="9"/>
  <c r="AP214" i="9"/>
  <c r="AO214" i="9"/>
  <c r="AM214" i="9"/>
  <c r="AL214" i="9"/>
  <c r="AK214" i="9"/>
  <c r="AJ214" i="9"/>
  <c r="AI214" i="9"/>
  <c r="AH214" i="9"/>
  <c r="AG214" i="9"/>
  <c r="AF214" i="9"/>
  <c r="AE214" i="9"/>
  <c r="Z214" i="9"/>
  <c r="Z215" i="9" s="1"/>
  <c r="U214" i="9"/>
  <c r="P214" i="9"/>
  <c r="K214" i="9"/>
  <c r="F214" i="9"/>
  <c r="E214" i="9"/>
  <c r="D214" i="9"/>
  <c r="C214" i="9"/>
  <c r="BS203" i="9"/>
  <c r="BN203" i="9"/>
  <c r="BI203" i="9"/>
  <c r="BD203" i="9"/>
  <c r="AY203" i="9"/>
  <c r="AT203" i="9"/>
  <c r="AO203" i="9"/>
  <c r="BG201" i="9"/>
  <c r="BG200" i="9" s="1"/>
  <c r="BD201" i="9"/>
  <c r="BD200" i="9" s="1"/>
  <c r="AV201" i="9"/>
  <c r="AV200" i="9" s="1"/>
  <c r="AE201" i="9"/>
  <c r="Z201" i="9"/>
  <c r="Z200" i="9" s="1"/>
  <c r="BJ197" i="9"/>
  <c r="BI197" i="9"/>
  <c r="BH197" i="9"/>
  <c r="BG197" i="9"/>
  <c r="BF197" i="9"/>
  <c r="BE197" i="9"/>
  <c r="BD197" i="9"/>
  <c r="BC197" i="9"/>
  <c r="BB197" i="9"/>
  <c r="BA197" i="9"/>
  <c r="AZ197" i="9"/>
  <c r="AY197" i="9"/>
  <c r="AX197" i="9"/>
  <c r="AW197" i="9"/>
  <c r="AV197" i="9"/>
  <c r="AU197" i="9"/>
  <c r="AT197" i="9"/>
  <c r="AS197" i="9"/>
  <c r="AR197" i="9"/>
  <c r="AQ197" i="9"/>
  <c r="AP197" i="9"/>
  <c r="AO197" i="9"/>
  <c r="AN197" i="9"/>
  <c r="AM197" i="9"/>
  <c r="AL197" i="9"/>
  <c r="AK197" i="9"/>
  <c r="AJ197" i="9"/>
  <c r="AI197" i="9"/>
  <c r="AH197" i="9"/>
  <c r="AG197" i="9"/>
  <c r="AF197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J185" i="9"/>
  <c r="BH185" i="9"/>
  <c r="BF185" i="9"/>
  <c r="BB185" i="9"/>
  <c r="AW185" i="9"/>
  <c r="AU185" i="9"/>
  <c r="AU180" i="9" s="1"/>
  <c r="AS185" i="9"/>
  <c r="AQ185" i="9"/>
  <c r="AQ180" i="9" s="1"/>
  <c r="AM185" i="9"/>
  <c r="AL185" i="9"/>
  <c r="AH185" i="9"/>
  <c r="AH180" i="9" s="1"/>
  <c r="AF185" i="9"/>
  <c r="AF180" i="9" s="1"/>
  <c r="R185" i="9"/>
  <c r="Q185" i="9"/>
  <c r="M185" i="9"/>
  <c r="J185" i="9"/>
  <c r="H185" i="9"/>
  <c r="BJ182" i="9"/>
  <c r="BI182" i="9"/>
  <c r="BG182" i="9"/>
  <c r="BF182" i="9"/>
  <c r="BE182" i="9"/>
  <c r="BD182" i="9"/>
  <c r="BC182" i="9"/>
  <c r="BB182" i="9"/>
  <c r="BA182" i="9"/>
  <c r="AZ182" i="9"/>
  <c r="AY182" i="9"/>
  <c r="AX182" i="9"/>
  <c r="AW182" i="9"/>
  <c r="AV182" i="9"/>
  <c r="AU182" i="9"/>
  <c r="AT182" i="9"/>
  <c r="AS182" i="9"/>
  <c r="AR182" i="9"/>
  <c r="AQ182" i="9"/>
  <c r="AP182" i="9"/>
  <c r="AO182" i="9"/>
  <c r="AM182" i="9"/>
  <c r="AL182" i="9"/>
  <c r="AK182" i="9"/>
  <c r="AJ182" i="9"/>
  <c r="AI182" i="9"/>
  <c r="AH182" i="9"/>
  <c r="AG182" i="9"/>
  <c r="AF182" i="9"/>
  <c r="AE182" i="9"/>
  <c r="AC182" i="9"/>
  <c r="AB182" i="9"/>
  <c r="AA182" i="9"/>
  <c r="Z182" i="9"/>
  <c r="X182" i="9"/>
  <c r="W182" i="9"/>
  <c r="V182" i="9"/>
  <c r="U182" i="9"/>
  <c r="S182" i="9"/>
  <c r="R182" i="9"/>
  <c r="Q182" i="9"/>
  <c r="P182" i="9"/>
  <c r="N182" i="9"/>
  <c r="M182" i="9"/>
  <c r="L182" i="9"/>
  <c r="K182" i="9"/>
  <c r="I182" i="9"/>
  <c r="H182" i="9"/>
  <c r="G182" i="9"/>
  <c r="F182" i="9"/>
  <c r="E182" i="9"/>
  <c r="D182" i="9"/>
  <c r="C182" i="9"/>
  <c r="BJ180" i="9"/>
  <c r="BB180" i="9"/>
  <c r="AS180" i="9"/>
  <c r="AM180" i="9"/>
  <c r="AL180" i="9"/>
  <c r="Q180" i="9"/>
  <c r="BV175" i="9"/>
  <c r="BU175" i="9"/>
  <c r="BT175" i="9"/>
  <c r="BS175" i="9"/>
  <c r="BR175" i="9"/>
  <c r="BQ175" i="9"/>
  <c r="BP175" i="9"/>
  <c r="BO175" i="9"/>
  <c r="BN175" i="9"/>
  <c r="BM175" i="9"/>
  <c r="BL175" i="9"/>
  <c r="BK175" i="9"/>
  <c r="BJ175" i="9"/>
  <c r="BH175" i="9"/>
  <c r="BG175" i="9"/>
  <c r="BF175" i="9"/>
  <c r="BE175" i="9"/>
  <c r="BC175" i="9"/>
  <c r="BB175" i="9"/>
  <c r="BA175" i="9"/>
  <c r="AZ175" i="9"/>
  <c r="AX175" i="9"/>
  <c r="AW175" i="9"/>
  <c r="AV175" i="9"/>
  <c r="AU175" i="9"/>
  <c r="AS175" i="9"/>
  <c r="AR175" i="9"/>
  <c r="AQ175" i="9"/>
  <c r="AP175" i="9"/>
  <c r="AN175" i="9"/>
  <c r="AM175" i="9"/>
  <c r="AL175" i="9"/>
  <c r="AK175" i="9"/>
  <c r="AI175" i="9"/>
  <c r="AH175" i="9"/>
  <c r="AG175" i="9"/>
  <c r="AF175" i="9"/>
  <c r="AE175" i="9"/>
  <c r="AD175" i="9"/>
  <c r="AC175" i="9"/>
  <c r="AB175" i="9"/>
  <c r="AA175" i="9"/>
  <c r="Y175" i="9"/>
  <c r="X175" i="9"/>
  <c r="W175" i="9"/>
  <c r="V175" i="9"/>
  <c r="T175" i="9"/>
  <c r="S175" i="9"/>
  <c r="R175" i="9"/>
  <c r="Q175" i="9"/>
  <c r="O175" i="9"/>
  <c r="N175" i="9"/>
  <c r="M175" i="9"/>
  <c r="L175" i="9"/>
  <c r="D175" i="9"/>
  <c r="BS168" i="9"/>
  <c r="BN168" i="9"/>
  <c r="BI168" i="9"/>
  <c r="BD168" i="9"/>
  <c r="AY168" i="9"/>
  <c r="AT168" i="9"/>
  <c r="AO168" i="9"/>
  <c r="AJ168" i="9"/>
  <c r="AE168" i="9"/>
  <c r="Z168" i="9"/>
  <c r="U168" i="9"/>
  <c r="P168" i="9"/>
  <c r="K168" i="9"/>
  <c r="F168" i="9"/>
  <c r="E168" i="9"/>
  <c r="D168" i="9"/>
  <c r="C168" i="9"/>
  <c r="BS167" i="9"/>
  <c r="BN167" i="9"/>
  <c r="BI167" i="9"/>
  <c r="BI175" i="9" s="1"/>
  <c r="BD167" i="9"/>
  <c r="BD175" i="9" s="1"/>
  <c r="AY167" i="9"/>
  <c r="AY175" i="9" s="1"/>
  <c r="AT167" i="9"/>
  <c r="AT175" i="9" s="1"/>
  <c r="AO167" i="9"/>
  <c r="AO175" i="9" s="1"/>
  <c r="AJ167" i="9"/>
  <c r="AJ175" i="9" s="1"/>
  <c r="AE167" i="9"/>
  <c r="Z167" i="9"/>
  <c r="Z175" i="9" s="1"/>
  <c r="U167" i="9"/>
  <c r="U175" i="9" s="1"/>
  <c r="P167" i="9"/>
  <c r="P175" i="9" s="1"/>
  <c r="K167" i="9"/>
  <c r="K175" i="9" s="1"/>
  <c r="F167" i="9"/>
  <c r="F175" i="9" s="1"/>
  <c r="E167" i="9"/>
  <c r="E175" i="9" s="1"/>
  <c r="D167" i="9"/>
  <c r="C167" i="9"/>
  <c r="BJ158" i="9"/>
  <c r="BJ159" i="9" s="1"/>
  <c r="BI158" i="9"/>
  <c r="BH158" i="9"/>
  <c r="BG158" i="9"/>
  <c r="BF158" i="9"/>
  <c r="BE158" i="9"/>
  <c r="BD158" i="9"/>
  <c r="BB158" i="9"/>
  <c r="BA158" i="9"/>
  <c r="AZ158" i="9"/>
  <c r="BE145" i="9" s="1"/>
  <c r="AY158" i="9"/>
  <c r="AW158" i="9"/>
  <c r="AV158" i="9"/>
  <c r="AU158" i="9"/>
  <c r="AT158" i="9"/>
  <c r="AR158" i="9"/>
  <c r="AQ158" i="9"/>
  <c r="AP158" i="9"/>
  <c r="AO158" i="9"/>
  <c r="AM158" i="9"/>
  <c r="AL158" i="9"/>
  <c r="AL145" i="9" s="1"/>
  <c r="AK158" i="9"/>
  <c r="AK145" i="9" s="1"/>
  <c r="AJ158" i="9"/>
  <c r="AJ145" i="9" s="1"/>
  <c r="AH158" i="9"/>
  <c r="AG158" i="9"/>
  <c r="AF158" i="9"/>
  <c r="AE158" i="9"/>
  <c r="Z158" i="9"/>
  <c r="U158" i="9"/>
  <c r="P158" i="9"/>
  <c r="K158" i="9"/>
  <c r="F158" i="9"/>
  <c r="F145" i="9" s="1"/>
  <c r="E158" i="9"/>
  <c r="E145" i="9" s="1"/>
  <c r="E144" i="9" s="1"/>
  <c r="D158" i="9"/>
  <c r="C158" i="9"/>
  <c r="D159" i="9" s="1"/>
  <c r="BS147" i="9"/>
  <c r="BN147" i="9"/>
  <c r="BI147" i="9"/>
  <c r="BD147" i="9"/>
  <c r="AY147" i="9"/>
  <c r="AT147" i="9"/>
  <c r="AO147" i="9"/>
  <c r="BJ145" i="9"/>
  <c r="BJ144" i="9" s="1"/>
  <c r="BI145" i="9"/>
  <c r="BI144" i="9" s="1"/>
  <c r="AE145" i="9"/>
  <c r="AE144" i="9" s="1"/>
  <c r="BJ141" i="9"/>
  <c r="BI141" i="9"/>
  <c r="BH141" i="9"/>
  <c r="BG141" i="9"/>
  <c r="BF141" i="9"/>
  <c r="BE141" i="9"/>
  <c r="BD141" i="9"/>
  <c r="BC141" i="9"/>
  <c r="BB141" i="9"/>
  <c r="BA141" i="9"/>
  <c r="AZ141" i="9"/>
  <c r="AY141" i="9"/>
  <c r="AX141" i="9"/>
  <c r="AW141" i="9"/>
  <c r="AV141" i="9"/>
  <c r="AU141" i="9"/>
  <c r="AT141" i="9"/>
  <c r="AS141" i="9"/>
  <c r="AR141" i="9"/>
  <c r="AQ141" i="9"/>
  <c r="AP141" i="9"/>
  <c r="AO141" i="9"/>
  <c r="AN141" i="9"/>
  <c r="AM141" i="9"/>
  <c r="AL141" i="9"/>
  <c r="AK141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H129" i="9"/>
  <c r="BG129" i="9"/>
  <c r="AZ129" i="9"/>
  <c r="AU129" i="9"/>
  <c r="AS129" i="9"/>
  <c r="AL129" i="9"/>
  <c r="V129" i="9"/>
  <c r="L129" i="9"/>
  <c r="BJ126" i="9"/>
  <c r="BI126" i="9"/>
  <c r="BG126" i="9"/>
  <c r="BF126" i="9"/>
  <c r="BE126" i="9"/>
  <c r="BD126" i="9"/>
  <c r="BB126" i="9"/>
  <c r="BA126" i="9"/>
  <c r="AZ126" i="9"/>
  <c r="AY126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H126" i="9"/>
  <c r="AG126" i="9"/>
  <c r="AF126" i="9"/>
  <c r="AE126" i="9"/>
  <c r="AC126" i="9"/>
  <c r="AB126" i="9"/>
  <c r="AA126" i="9"/>
  <c r="Z126" i="9"/>
  <c r="Y126" i="9"/>
  <c r="X126" i="9"/>
  <c r="W126" i="9"/>
  <c r="V126" i="9"/>
  <c r="U126" i="9"/>
  <c r="S126" i="9"/>
  <c r="R126" i="9"/>
  <c r="Q126" i="9"/>
  <c r="P126" i="9"/>
  <c r="N126" i="9"/>
  <c r="M126" i="9"/>
  <c r="L126" i="9"/>
  <c r="K126" i="9"/>
  <c r="I126" i="9"/>
  <c r="H126" i="9"/>
  <c r="G126" i="9"/>
  <c r="F126" i="9"/>
  <c r="E126" i="9"/>
  <c r="D126" i="9"/>
  <c r="C126" i="9"/>
  <c r="AS124" i="9"/>
  <c r="AL124" i="9"/>
  <c r="L124" i="9"/>
  <c r="BV119" i="9"/>
  <c r="BU119" i="9"/>
  <c r="BT119" i="9"/>
  <c r="BR119" i="9"/>
  <c r="BQ119" i="9"/>
  <c r="BP119" i="9"/>
  <c r="BO119" i="9"/>
  <c r="BN119" i="9"/>
  <c r="BM119" i="9"/>
  <c r="BL119" i="9"/>
  <c r="BK119" i="9"/>
  <c r="BJ119" i="9"/>
  <c r="BH119" i="9"/>
  <c r="BG119" i="9"/>
  <c r="BF119" i="9"/>
  <c r="BE119" i="9"/>
  <c r="BC119" i="9"/>
  <c r="BB119" i="9"/>
  <c r="BA119" i="9"/>
  <c r="AZ119" i="9"/>
  <c r="AX119" i="9"/>
  <c r="AW119" i="9"/>
  <c r="AV119" i="9"/>
  <c r="AU119" i="9"/>
  <c r="AS119" i="9"/>
  <c r="AR119" i="9"/>
  <c r="AQ119" i="9"/>
  <c r="AP119" i="9"/>
  <c r="AN119" i="9"/>
  <c r="AM119" i="9"/>
  <c r="AL119" i="9"/>
  <c r="AK119" i="9"/>
  <c r="AJ119" i="9"/>
  <c r="AI119" i="9"/>
  <c r="AH119" i="9"/>
  <c r="AG119" i="9"/>
  <c r="AF119" i="9"/>
  <c r="AD119" i="9"/>
  <c r="AC119" i="9"/>
  <c r="AB119" i="9"/>
  <c r="AA119" i="9"/>
  <c r="Y119" i="9"/>
  <c r="X119" i="9"/>
  <c r="W119" i="9"/>
  <c r="V119" i="9"/>
  <c r="T119" i="9"/>
  <c r="S119" i="9"/>
  <c r="R119" i="9"/>
  <c r="Q119" i="9"/>
  <c r="O119" i="9"/>
  <c r="N119" i="9"/>
  <c r="M119" i="9"/>
  <c r="L119" i="9"/>
  <c r="BS112" i="9"/>
  <c r="BN112" i="9"/>
  <c r="BN404" i="9" s="1"/>
  <c r="BI112" i="9"/>
  <c r="BD112" i="9"/>
  <c r="AY112" i="9"/>
  <c r="AT112" i="9"/>
  <c r="AO112" i="9"/>
  <c r="AJ112" i="9"/>
  <c r="AE112" i="9"/>
  <c r="Z112" i="9"/>
  <c r="U112" i="9"/>
  <c r="P112" i="9"/>
  <c r="K112" i="9"/>
  <c r="F112" i="9"/>
  <c r="E112" i="9"/>
  <c r="D112" i="9"/>
  <c r="C112" i="9"/>
  <c r="C113" i="9" s="1"/>
  <c r="BS111" i="9"/>
  <c r="BN111" i="9"/>
  <c r="BI111" i="9"/>
  <c r="BI119" i="9" s="1"/>
  <c r="BD111" i="9"/>
  <c r="BD119" i="9" s="1"/>
  <c r="AY111" i="9"/>
  <c r="AY119" i="9" s="1"/>
  <c r="AT111" i="9"/>
  <c r="AT119" i="9" s="1"/>
  <c r="AO111" i="9"/>
  <c r="AJ111" i="9"/>
  <c r="AE111" i="9"/>
  <c r="AE119" i="9" s="1"/>
  <c r="Z111" i="9"/>
  <c r="Z119" i="9" s="1"/>
  <c r="U111" i="9"/>
  <c r="U119" i="9" s="1"/>
  <c r="P111" i="9"/>
  <c r="P119" i="9" s="1"/>
  <c r="K111" i="9"/>
  <c r="F111" i="9"/>
  <c r="E111" i="9"/>
  <c r="D111" i="9"/>
  <c r="C111" i="9"/>
  <c r="U103" i="9"/>
  <c r="P103" i="9"/>
  <c r="BJ102" i="9"/>
  <c r="BI102" i="9"/>
  <c r="BG102" i="9"/>
  <c r="BF102" i="9"/>
  <c r="BE102" i="9"/>
  <c r="BJ103" i="9" s="1"/>
  <c r="BD102" i="9"/>
  <c r="BC102" i="9"/>
  <c r="BB102" i="9"/>
  <c r="BA102" i="9"/>
  <c r="AZ102" i="9"/>
  <c r="AY102" i="9"/>
  <c r="AW102" i="9"/>
  <c r="AV102" i="9"/>
  <c r="BA103" i="9" s="1"/>
  <c r="AU102" i="9"/>
  <c r="AZ89" i="9" s="1"/>
  <c r="AZ88" i="9" s="1"/>
  <c r="AT102" i="9"/>
  <c r="AY103" i="9" s="1"/>
  <c r="AR102" i="9"/>
  <c r="AR89" i="9" s="1"/>
  <c r="AR88" i="9" s="1"/>
  <c r="AQ102" i="9"/>
  <c r="AP102" i="9"/>
  <c r="AP89" i="9" s="1"/>
  <c r="AP88" i="9" s="1"/>
  <c r="AO102" i="9"/>
  <c r="AM102" i="9"/>
  <c r="AL102" i="9"/>
  <c r="AK102" i="9"/>
  <c r="AJ102" i="9"/>
  <c r="AO89" i="9" s="1"/>
  <c r="AO88" i="9" s="1"/>
  <c r="AH102" i="9"/>
  <c r="AG102" i="9"/>
  <c r="AF102" i="9"/>
  <c r="AE102" i="9"/>
  <c r="Z102" i="9"/>
  <c r="U102" i="9"/>
  <c r="P102" i="9"/>
  <c r="K102" i="9"/>
  <c r="F102" i="9"/>
  <c r="E102" i="9"/>
  <c r="D102" i="9"/>
  <c r="C102" i="9"/>
  <c r="D89" i="9" s="1"/>
  <c r="BS91" i="9"/>
  <c r="BN91" i="9"/>
  <c r="BI91" i="9"/>
  <c r="BD91" i="9"/>
  <c r="AY91" i="9"/>
  <c r="AT91" i="9"/>
  <c r="AO91" i="9"/>
  <c r="BJ85" i="9"/>
  <c r="BI85" i="9"/>
  <c r="BH85" i="9"/>
  <c r="BG85" i="9"/>
  <c r="BF85" i="9"/>
  <c r="BE85" i="9"/>
  <c r="BD85" i="9"/>
  <c r="BC85" i="9"/>
  <c r="BB85" i="9"/>
  <c r="BA85" i="9"/>
  <c r="AZ85" i="9"/>
  <c r="AY85" i="9"/>
  <c r="AX85" i="9"/>
  <c r="AW85" i="9"/>
  <c r="AV85" i="9"/>
  <c r="AU85" i="9"/>
  <c r="AT85" i="9"/>
  <c r="AS85" i="9"/>
  <c r="AR85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V73" i="9"/>
  <c r="BV69" i="9" s="1"/>
  <c r="BU73" i="9"/>
  <c r="BT73" i="9"/>
  <c r="BR73" i="9"/>
  <c r="BQ73" i="9"/>
  <c r="BP73" i="9"/>
  <c r="BO73" i="9"/>
  <c r="BM73" i="9"/>
  <c r="BL73" i="9"/>
  <c r="BK73" i="9"/>
  <c r="BE73" i="9"/>
  <c r="BE68" i="9" s="1"/>
  <c r="AW73" i="9"/>
  <c r="AW68" i="9" s="1"/>
  <c r="AS73" i="9"/>
  <c r="AQ73" i="9"/>
  <c r="AP73" i="9"/>
  <c r="AN73" i="9"/>
  <c r="AN68" i="9" s="1"/>
  <c r="AM73" i="9"/>
  <c r="AM68" i="9" s="1"/>
  <c r="AK73" i="9"/>
  <c r="AK68" i="9" s="1"/>
  <c r="AH73" i="9"/>
  <c r="T73" i="9"/>
  <c r="Q73" i="9"/>
  <c r="Q68" i="9" s="1"/>
  <c r="M73" i="9"/>
  <c r="M68" i="9" s="1"/>
  <c r="BJ70" i="9"/>
  <c r="BI70" i="9"/>
  <c r="BG70" i="9"/>
  <c r="BF70" i="9"/>
  <c r="BE70" i="9"/>
  <c r="BD70" i="9"/>
  <c r="BC70" i="9"/>
  <c r="BB70" i="9"/>
  <c r="BA70" i="9"/>
  <c r="AZ70" i="9"/>
  <c r="AY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H70" i="9"/>
  <c r="AG70" i="9"/>
  <c r="AF70" i="9"/>
  <c r="AE70" i="9"/>
  <c r="AC70" i="9"/>
  <c r="AB70" i="9"/>
  <c r="AA70" i="9"/>
  <c r="Z70" i="9"/>
  <c r="X70" i="9"/>
  <c r="W70" i="9"/>
  <c r="V70" i="9"/>
  <c r="U70" i="9"/>
  <c r="S70" i="9"/>
  <c r="R70" i="9"/>
  <c r="Q70" i="9"/>
  <c r="P70" i="9"/>
  <c r="N70" i="9"/>
  <c r="M70" i="9"/>
  <c r="L70" i="9"/>
  <c r="K70" i="9"/>
  <c r="I70" i="9"/>
  <c r="H70" i="9"/>
  <c r="G70" i="9"/>
  <c r="F70" i="9"/>
  <c r="E70" i="9"/>
  <c r="D70" i="9"/>
  <c r="C70" i="9"/>
  <c r="BQ69" i="9"/>
  <c r="BP69" i="9"/>
  <c r="BO69" i="9"/>
  <c r="BO82" i="9" s="1"/>
  <c r="BV68" i="9"/>
  <c r="BU68" i="9"/>
  <c r="BT68" i="9"/>
  <c r="BR68" i="9"/>
  <c r="BQ68" i="9"/>
  <c r="BP68" i="9"/>
  <c r="BO68" i="9"/>
  <c r="BM68" i="9"/>
  <c r="BL68" i="9"/>
  <c r="BK68" i="9"/>
  <c r="AH68" i="9"/>
  <c r="T68" i="9"/>
  <c r="BV63" i="9"/>
  <c r="BU63" i="9"/>
  <c r="BT63" i="9"/>
  <c r="BS63" i="9"/>
  <c r="BR63" i="9"/>
  <c r="BQ63" i="9"/>
  <c r="BP63" i="9"/>
  <c r="BO63" i="9"/>
  <c r="BM63" i="9"/>
  <c r="BL63" i="9"/>
  <c r="BK63" i="9"/>
  <c r="BJ63" i="9"/>
  <c r="BH63" i="9"/>
  <c r="BG63" i="9"/>
  <c r="BF63" i="9"/>
  <c r="BE63" i="9"/>
  <c r="BC63" i="9"/>
  <c r="BB63" i="9"/>
  <c r="BA63" i="9"/>
  <c r="AZ63" i="9"/>
  <c r="AY63" i="9"/>
  <c r="AX63" i="9"/>
  <c r="AW63" i="9"/>
  <c r="AV63" i="9"/>
  <c r="AU63" i="9"/>
  <c r="AS63" i="9"/>
  <c r="AR63" i="9"/>
  <c r="AQ63" i="9"/>
  <c r="AP63" i="9"/>
  <c r="AN63" i="9"/>
  <c r="AM63" i="9"/>
  <c r="AL63" i="9"/>
  <c r="AK63" i="9"/>
  <c r="AI63" i="9"/>
  <c r="AH63" i="9"/>
  <c r="AG63" i="9"/>
  <c r="AF63" i="9"/>
  <c r="AD63" i="9"/>
  <c r="AC63" i="9"/>
  <c r="AB63" i="9"/>
  <c r="AA63" i="9"/>
  <c r="Y63" i="9"/>
  <c r="X63" i="9"/>
  <c r="W63" i="9"/>
  <c r="V63" i="9"/>
  <c r="T63" i="9"/>
  <c r="S63" i="9"/>
  <c r="R63" i="9"/>
  <c r="Q63" i="9"/>
  <c r="O63" i="9"/>
  <c r="N63" i="9"/>
  <c r="M63" i="9"/>
  <c r="L63" i="9"/>
  <c r="BS56" i="9"/>
  <c r="BN56" i="9"/>
  <c r="BI56" i="9"/>
  <c r="BD56" i="9"/>
  <c r="AY56" i="9"/>
  <c r="AT56" i="9"/>
  <c r="AO56" i="9"/>
  <c r="AJ56" i="9"/>
  <c r="AE56" i="9"/>
  <c r="Z56" i="9"/>
  <c r="U56" i="9"/>
  <c r="P56" i="9"/>
  <c r="K56" i="9"/>
  <c r="F56" i="9"/>
  <c r="E56" i="9"/>
  <c r="D56" i="9"/>
  <c r="D74" i="9" s="1"/>
  <c r="C56" i="9"/>
  <c r="C57" i="9" s="1"/>
  <c r="C76" i="9" s="1"/>
  <c r="D72" i="9" s="1"/>
  <c r="BS55" i="9"/>
  <c r="BN55" i="9"/>
  <c r="BN63" i="9" s="1"/>
  <c r="BI55" i="9"/>
  <c r="BD55" i="9"/>
  <c r="BD63" i="9" s="1"/>
  <c r="AY55" i="9"/>
  <c r="AT55" i="9"/>
  <c r="AT63" i="9" s="1"/>
  <c r="AO55" i="9"/>
  <c r="AO63" i="9" s="1"/>
  <c r="AJ55" i="9"/>
  <c r="AE55" i="9"/>
  <c r="AE63" i="9" s="1"/>
  <c r="Z55" i="9"/>
  <c r="Z63" i="9" s="1"/>
  <c r="U55" i="9"/>
  <c r="U63" i="9" s="1"/>
  <c r="P55" i="9"/>
  <c r="P63" i="9" s="1"/>
  <c r="K55" i="9"/>
  <c r="K63" i="9" s="1"/>
  <c r="F55" i="9"/>
  <c r="E55" i="9"/>
  <c r="D55" i="9"/>
  <c r="C55" i="9"/>
  <c r="AQ37" i="9"/>
  <c r="AJ37" i="9"/>
  <c r="AE37" i="9"/>
  <c r="AC37" i="9"/>
  <c r="V37" i="9"/>
  <c r="U37" i="9"/>
  <c r="R37" i="9"/>
  <c r="Q37" i="9"/>
  <c r="BI36" i="9"/>
  <c r="BF36" i="9"/>
  <c r="BD36" i="9"/>
  <c r="BB36" i="9"/>
  <c r="BA36" i="9"/>
  <c r="AZ36" i="9"/>
  <c r="AY36" i="9"/>
  <c r="AW36" i="9"/>
  <c r="AV36" i="9"/>
  <c r="AU36" i="9"/>
  <c r="AT36" i="9"/>
  <c r="AS36" i="9"/>
  <c r="AR36" i="9"/>
  <c r="AQ36" i="9"/>
  <c r="AO36" i="9"/>
  <c r="AH36" i="9"/>
  <c r="AE36" i="9"/>
  <c r="AA36" i="9"/>
  <c r="S36" i="9"/>
  <c r="R36" i="9"/>
  <c r="Q36" i="9"/>
  <c r="K36" i="9"/>
  <c r="I36" i="9"/>
  <c r="H36" i="9"/>
  <c r="G36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G32" i="9"/>
  <c r="BF32" i="9"/>
  <c r="BE32" i="9"/>
  <c r="BC32" i="9"/>
  <c r="AU32" i="9"/>
  <c r="AS32" i="9"/>
  <c r="AR32" i="9"/>
  <c r="AQ32" i="9"/>
  <c r="AH32" i="9"/>
  <c r="A31" i="9"/>
  <c r="BJ30" i="9"/>
  <c r="BG30" i="9"/>
  <c r="BG34" i="9" s="1"/>
  <c r="BD30" i="9"/>
  <c r="BB30" i="9"/>
  <c r="AY30" i="9"/>
  <c r="AU30" i="9"/>
  <c r="AQ30" i="9"/>
  <c r="AN30" i="9"/>
  <c r="AL30" i="9"/>
  <c r="AK30" i="9"/>
  <c r="AJ30" i="9"/>
  <c r="AH30" i="9"/>
  <c r="AG30" i="9"/>
  <c r="AD30" i="9"/>
  <c r="AA30" i="9"/>
  <c r="W30" i="9"/>
  <c r="S30" i="9"/>
  <c r="R30" i="9"/>
  <c r="Q30" i="9"/>
  <c r="O30" i="9"/>
  <c r="N30" i="9"/>
  <c r="L30" i="9"/>
  <c r="J30" i="9"/>
  <c r="BJ27" i="9"/>
  <c r="BI27" i="9"/>
  <c r="BG27" i="9"/>
  <c r="BF27" i="9"/>
  <c r="BF28" i="9" s="1"/>
  <c r="BE27" i="9"/>
  <c r="BJ28" i="9" s="1"/>
  <c r="BD27" i="9"/>
  <c r="BD28" i="9" s="1"/>
  <c r="BB27" i="9"/>
  <c r="BB28" i="9" s="1"/>
  <c r="BA27" i="9"/>
  <c r="AZ27" i="9"/>
  <c r="AY27" i="9"/>
  <c r="AW27" i="9"/>
  <c r="AV27" i="9"/>
  <c r="AU27" i="9"/>
  <c r="AZ28" i="9" s="1"/>
  <c r="AT27" i="9"/>
  <c r="AS27" i="9"/>
  <c r="AR27" i="9"/>
  <c r="AR28" i="9" s="1"/>
  <c r="AQ27" i="9"/>
  <c r="AP27" i="9"/>
  <c r="AO27" i="9"/>
  <c r="AM27" i="9"/>
  <c r="AL27" i="9"/>
  <c r="AK27" i="9"/>
  <c r="AJ27" i="9"/>
  <c r="AJ28" i="9" s="1"/>
  <c r="AI27" i="9"/>
  <c r="AH27" i="9"/>
  <c r="AM28" i="9" s="1"/>
  <c r="AG27" i="9"/>
  <c r="AF27" i="9"/>
  <c r="AE27" i="9"/>
  <c r="Z27" i="9"/>
  <c r="U27" i="9"/>
  <c r="P27" i="9"/>
  <c r="K27" i="9"/>
  <c r="F27" i="9"/>
  <c r="E27" i="9"/>
  <c r="D27" i="9"/>
  <c r="E28" i="9" s="1"/>
  <c r="C27" i="9"/>
  <c r="BV24" i="9"/>
  <c r="BR24" i="9"/>
  <c r="BQ24" i="9"/>
  <c r="BP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BJ23" i="9"/>
  <c r="BI23" i="9"/>
  <c r="BH23" i="9"/>
  <c r="BG23" i="9"/>
  <c r="BG25" i="9" s="1"/>
  <c r="BF23" i="9"/>
  <c r="BE23" i="9"/>
  <c r="BE25" i="9" s="1"/>
  <c r="BD23" i="9"/>
  <c r="BB23" i="9"/>
  <c r="BB25" i="9" s="1"/>
  <c r="BA23" i="9"/>
  <c r="AZ23" i="9"/>
  <c r="AY23" i="9"/>
  <c r="AW23" i="9"/>
  <c r="AV23" i="9"/>
  <c r="AU23" i="9"/>
  <c r="AT23" i="9"/>
  <c r="AR23" i="9"/>
  <c r="AW25" i="9" s="1"/>
  <c r="AQ23" i="9"/>
  <c r="AP23" i="9"/>
  <c r="AP25" i="9" s="1"/>
  <c r="AO23" i="9"/>
  <c r="AM23" i="9"/>
  <c r="AL23" i="9"/>
  <c r="AK23" i="9"/>
  <c r="AJ23" i="9"/>
  <c r="AH23" i="9"/>
  <c r="AG23" i="9"/>
  <c r="AF23" i="9"/>
  <c r="AK25" i="9" s="1"/>
  <c r="F23" i="9"/>
  <c r="E23" i="9"/>
  <c r="C23" i="9"/>
  <c r="AP21" i="9"/>
  <c r="D21" i="9"/>
  <c r="BU20" i="9"/>
  <c r="BT20" i="9"/>
  <c r="BR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J19" i="9"/>
  <c r="BI19" i="9"/>
  <c r="BG19" i="9"/>
  <c r="BF19" i="9"/>
  <c r="BE19" i="9"/>
  <c r="BD19" i="9"/>
  <c r="BD21" i="9" s="1"/>
  <c r="BC19" i="9"/>
  <c r="BB19" i="9"/>
  <c r="BA19" i="9"/>
  <c r="AZ19" i="9"/>
  <c r="AY19" i="9"/>
  <c r="AY21" i="9" s="1"/>
  <c r="AW19" i="9"/>
  <c r="AV19" i="9"/>
  <c r="AV21" i="9" s="1"/>
  <c r="AU19" i="9"/>
  <c r="AT19" i="9"/>
  <c r="AT21" i="9" s="1"/>
  <c r="AR19" i="9"/>
  <c r="AR21" i="9" s="1"/>
  <c r="AQ19" i="9"/>
  <c r="AP19" i="9"/>
  <c r="AO19" i="9"/>
  <c r="AM19" i="9"/>
  <c r="AL19" i="9"/>
  <c r="AQ21" i="9" s="1"/>
  <c r="AK19" i="9"/>
  <c r="AJ19" i="9"/>
  <c r="AI19" i="9"/>
  <c r="AH19" i="9"/>
  <c r="AG19" i="9"/>
  <c r="AF19" i="9"/>
  <c r="AE19" i="9"/>
  <c r="Z19" i="9"/>
  <c r="U19" i="9"/>
  <c r="P19" i="9"/>
  <c r="K19" i="9"/>
  <c r="F19" i="9"/>
  <c r="E19" i="9"/>
  <c r="D19" i="9"/>
  <c r="E21" i="9" s="1"/>
  <c r="C19" i="9"/>
  <c r="BF17" i="9"/>
  <c r="BD17" i="9"/>
  <c r="AO17" i="9"/>
  <c r="AJ17" i="9"/>
  <c r="AE17" i="9"/>
  <c r="U17" i="9"/>
  <c r="BV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J15" i="9"/>
  <c r="BI15" i="9"/>
  <c r="BI17" i="9" s="1"/>
  <c r="BH15" i="9"/>
  <c r="BG15" i="9"/>
  <c r="BG17" i="9" s="1"/>
  <c r="BF15" i="9"/>
  <c r="BE15" i="9"/>
  <c r="BE17" i="9" s="1"/>
  <c r="BD15" i="9"/>
  <c r="BB15" i="9"/>
  <c r="BA15" i="9"/>
  <c r="AZ15" i="9"/>
  <c r="AY15" i="9"/>
  <c r="AW15" i="9"/>
  <c r="AV15" i="9"/>
  <c r="AV17" i="9" s="1"/>
  <c r="AU15" i="9"/>
  <c r="AU17" i="9" s="1"/>
  <c r="AT15" i="9"/>
  <c r="AR15" i="9"/>
  <c r="AQ15" i="9"/>
  <c r="AP15" i="9"/>
  <c r="AO15" i="9"/>
  <c r="AM15" i="9"/>
  <c r="AL15" i="9"/>
  <c r="AK15" i="9"/>
  <c r="AJ15" i="9"/>
  <c r="AH15" i="9"/>
  <c r="AG15" i="9"/>
  <c r="AF15" i="9"/>
  <c r="AE15" i="9"/>
  <c r="Z15" i="9"/>
  <c r="Z17" i="9" s="1"/>
  <c r="U15" i="9"/>
  <c r="P15" i="9"/>
  <c r="K15" i="9"/>
  <c r="F15" i="9"/>
  <c r="E15" i="9"/>
  <c r="D15" i="9"/>
  <c r="C15" i="9"/>
  <c r="D17" i="9" s="1"/>
  <c r="BJ13" i="9"/>
  <c r="BI13" i="9"/>
  <c r="BU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J11" i="9"/>
  <c r="BI11" i="9"/>
  <c r="BH11" i="9"/>
  <c r="BG11" i="9"/>
  <c r="BF11" i="9"/>
  <c r="BF13" i="9" s="1"/>
  <c r="BE11" i="9"/>
  <c r="BD11" i="9"/>
  <c r="BC11" i="9"/>
  <c r="BB11" i="9"/>
  <c r="BA11" i="9"/>
  <c r="AZ11" i="9"/>
  <c r="AY11" i="9"/>
  <c r="AW11" i="9"/>
  <c r="AV11" i="9"/>
  <c r="AV13" i="9" s="1"/>
  <c r="AU11" i="9"/>
  <c r="AT11" i="9"/>
  <c r="AR11" i="9"/>
  <c r="AQ11" i="9"/>
  <c r="AP11" i="9"/>
  <c r="AO11" i="9"/>
  <c r="AM11" i="9"/>
  <c r="AL11" i="9"/>
  <c r="AK11" i="9"/>
  <c r="AJ11" i="9"/>
  <c r="AH11" i="9"/>
  <c r="AG11" i="9"/>
  <c r="AF11" i="9"/>
  <c r="AE11" i="9"/>
  <c r="Z11" i="9"/>
  <c r="Z13" i="9" s="1"/>
  <c r="U11" i="9"/>
  <c r="P11" i="9"/>
  <c r="U13" i="9" s="1"/>
  <c r="K11" i="9"/>
  <c r="F11" i="9"/>
  <c r="E11" i="9"/>
  <c r="D11" i="9"/>
  <c r="C11" i="9"/>
  <c r="D5" i="9"/>
  <c r="E5" i="9" s="1"/>
  <c r="F5" i="9" s="1"/>
  <c r="A5" i="9"/>
  <c r="BL4" i="9"/>
  <c r="BM4" i="9" s="1"/>
  <c r="BM1276" i="9" s="1"/>
  <c r="BK4" i="9"/>
  <c r="BH4" i="9"/>
  <c r="BC4" i="9"/>
  <c r="BC3" i="9" s="1"/>
  <c r="AX4" i="9"/>
  <c r="AS4" i="9"/>
  <c r="AS3" i="9" s="1"/>
  <c r="AN4" i="9"/>
  <c r="AI4" i="9"/>
  <c r="AI1276" i="9" s="1"/>
  <c r="AD4" i="9"/>
  <c r="AD3" i="9" s="1"/>
  <c r="Y4" i="9"/>
  <c r="T4" i="9"/>
  <c r="O4" i="9"/>
  <c r="O3" i="9" s="1"/>
  <c r="J4" i="9"/>
  <c r="A4" i="9"/>
  <c r="BJ3" i="9"/>
  <c r="BI3" i="9"/>
  <c r="BI1246" i="9" s="1"/>
  <c r="BH3" i="9"/>
  <c r="BG3" i="9"/>
  <c r="BG1246" i="9" s="1"/>
  <c r="BF3" i="9"/>
  <c r="BF1246" i="9" s="1"/>
  <c r="BF1252" i="9" s="1"/>
  <c r="BE3" i="9"/>
  <c r="BE1246" i="9" s="1"/>
  <c r="BE1266" i="9" s="1"/>
  <c r="BD3" i="9"/>
  <c r="BD1246" i="9" s="1"/>
  <c r="BB3" i="9"/>
  <c r="BB1246" i="9" s="1"/>
  <c r="BA3" i="9"/>
  <c r="BA1246" i="9" s="1"/>
  <c r="AZ3" i="9"/>
  <c r="AZ1246" i="9" s="1"/>
  <c r="AZ1264" i="9" s="1"/>
  <c r="AZ1122" i="11" s="1"/>
  <c r="AY3" i="9"/>
  <c r="AY1246" i="9" s="1"/>
  <c r="AX3" i="9"/>
  <c r="AW3" i="9"/>
  <c r="AW1246" i="9" s="1"/>
  <c r="AV3" i="9"/>
  <c r="AV1246" i="9" s="1"/>
  <c r="AU3" i="9"/>
  <c r="AU1246" i="9" s="1"/>
  <c r="AT3" i="9"/>
  <c r="AR3" i="9"/>
  <c r="AR1246" i="9" s="1"/>
  <c r="AR1266" i="9" s="1"/>
  <c r="AQ3" i="9"/>
  <c r="AQ1246" i="9" s="1"/>
  <c r="AP3" i="9"/>
  <c r="AP1246" i="9" s="1"/>
  <c r="AP1266" i="9" s="1"/>
  <c r="AO3" i="9"/>
  <c r="AO1246" i="9" s="1"/>
  <c r="AM3" i="9"/>
  <c r="AM1246" i="9" s="1"/>
  <c r="AM1266" i="9" s="1"/>
  <c r="AL3" i="9"/>
  <c r="AL1246" i="9" s="1"/>
  <c r="AK3" i="9"/>
  <c r="AK1246" i="9" s="1"/>
  <c r="AK1250" i="9" s="1"/>
  <c r="AK1108" i="11" s="1"/>
  <c r="AJ3" i="9"/>
  <c r="AI3" i="9"/>
  <c r="AH3" i="9"/>
  <c r="AG3" i="9"/>
  <c r="AG1246" i="9" s="1"/>
  <c r="AF3" i="9"/>
  <c r="AF1246" i="9" s="1"/>
  <c r="AF1252" i="9" s="1"/>
  <c r="AE3" i="9"/>
  <c r="AC3" i="9"/>
  <c r="AC1246" i="9" s="1"/>
  <c r="AC1259" i="9" s="1"/>
  <c r="AB3" i="9"/>
  <c r="AB1246" i="9" s="1"/>
  <c r="AB1266" i="9" s="1"/>
  <c r="AA3" i="9"/>
  <c r="AA1246" i="9" s="1"/>
  <c r="Z3" i="9"/>
  <c r="X3" i="9"/>
  <c r="X1246" i="9" s="1"/>
  <c r="W3" i="9"/>
  <c r="W1246" i="9" s="1"/>
  <c r="V3" i="9"/>
  <c r="V1246" i="9" s="1"/>
  <c r="U3" i="9"/>
  <c r="T3" i="9"/>
  <c r="T1246" i="9" s="1"/>
  <c r="S3" i="9"/>
  <c r="R3" i="9"/>
  <c r="R1246" i="9" s="1"/>
  <c r="R1257" i="9" s="1"/>
  <c r="R1115" i="11" s="1"/>
  <c r="Q3" i="9"/>
  <c r="Q1246" i="9" s="1"/>
  <c r="P3" i="9"/>
  <c r="P1246" i="9" s="1"/>
  <c r="P1264" i="9" s="1"/>
  <c r="P1122" i="11" s="1"/>
  <c r="N3" i="9"/>
  <c r="N1246" i="9" s="1"/>
  <c r="N1252" i="9" s="1"/>
  <c r="M3" i="9"/>
  <c r="M1246" i="9" s="1"/>
  <c r="L3" i="9"/>
  <c r="L1246" i="9" s="1"/>
  <c r="K3" i="9"/>
  <c r="I3" i="9"/>
  <c r="I1246" i="9" s="1"/>
  <c r="H3" i="9"/>
  <c r="H1246" i="9" s="1"/>
  <c r="G3" i="9"/>
  <c r="G1246" i="9" s="1"/>
  <c r="G1250" i="9" s="1"/>
  <c r="G1108" i="11" s="1"/>
  <c r="F3" i="9"/>
  <c r="F1246" i="9" s="1"/>
  <c r="E3" i="9"/>
  <c r="E1246" i="9" s="1"/>
  <c r="D3" i="9"/>
  <c r="D1246" i="9" s="1"/>
  <c r="C3" i="9"/>
  <c r="C1246" i="9" s="1"/>
  <c r="I108" i="4"/>
  <c r="J108" i="4"/>
  <c r="H108" i="4"/>
  <c r="I95" i="4"/>
  <c r="J95" i="4"/>
  <c r="I96" i="4"/>
  <c r="J96" i="4"/>
  <c r="H96" i="4"/>
  <c r="H95" i="4"/>
  <c r="I84" i="4"/>
  <c r="J84" i="4"/>
  <c r="H84" i="4"/>
  <c r="E80" i="4"/>
  <c r="H72" i="4"/>
  <c r="I71" i="4"/>
  <c r="J71" i="4"/>
  <c r="I72" i="4"/>
  <c r="J72" i="4"/>
  <c r="H71" i="4"/>
  <c r="F25" i="4"/>
  <c r="T346" i="9" l="1"/>
  <c r="AB563" i="11"/>
  <c r="AB560" i="11"/>
  <c r="AB233" i="11"/>
  <c r="BL411" i="11"/>
  <c r="BU437" i="11"/>
  <c r="BV437" i="11" s="1"/>
  <c r="BB100" i="11"/>
  <c r="BL445" i="11"/>
  <c r="T518" i="11"/>
  <c r="T515" i="11"/>
  <c r="T34" i="11"/>
  <c r="T229" i="11"/>
  <c r="BL428" i="11"/>
  <c r="W96" i="11"/>
  <c r="W97" i="11"/>
  <c r="W109" i="11"/>
  <c r="V14" i="11"/>
  <c r="Q14" i="11"/>
  <c r="BI104" i="11"/>
  <c r="BI103" i="11"/>
  <c r="AR998" i="11"/>
  <c r="AR123" i="11"/>
  <c r="F193" i="11"/>
  <c r="F198" i="11"/>
  <c r="F207" i="11" s="1"/>
  <c r="U510" i="11"/>
  <c r="T537" i="11"/>
  <c r="U537" i="11"/>
  <c r="AA635" i="11"/>
  <c r="AA632" i="11"/>
  <c r="AA247" i="11"/>
  <c r="AP996" i="11"/>
  <c r="AP36" i="11"/>
  <c r="AP35" i="11"/>
  <c r="AP67" i="11"/>
  <c r="AP31" i="11"/>
  <c r="BI60" i="11"/>
  <c r="BI58" i="11"/>
  <c r="BI59" i="11"/>
  <c r="BI64" i="11"/>
  <c r="BJ103" i="11"/>
  <c r="BJ104" i="11"/>
  <c r="R920" i="11"/>
  <c r="R129" i="11"/>
  <c r="BM125" i="11"/>
  <c r="BM170" i="11"/>
  <c r="K5" i="11"/>
  <c r="G5" i="11"/>
  <c r="H5" i="11" s="1"/>
  <c r="I5" i="11" s="1"/>
  <c r="J5" i="11" s="1"/>
  <c r="AQ996" i="11"/>
  <c r="AQ36" i="11"/>
  <c r="AQ35" i="11"/>
  <c r="AQ67" i="11"/>
  <c r="AQ74" i="11" s="1"/>
  <c r="AV36" i="11"/>
  <c r="AQ31" i="11"/>
  <c r="BA51" i="11"/>
  <c r="BA50" i="11"/>
  <c r="BF48" i="11"/>
  <c r="M70" i="11"/>
  <c r="R71" i="11" s="1"/>
  <c r="AR96" i="11"/>
  <c r="AR109" i="11"/>
  <c r="AR97" i="11"/>
  <c r="BI193" i="11"/>
  <c r="BI198" i="11"/>
  <c r="BI207" i="11" s="1"/>
  <c r="Z195" i="11"/>
  <c r="Z193" i="11"/>
  <c r="Z198" i="11"/>
  <c r="Z207" i="11" s="1"/>
  <c r="N562" i="11"/>
  <c r="BG1014" i="11"/>
  <c r="BG973" i="11"/>
  <c r="S563" i="11"/>
  <c r="S560" i="11"/>
  <c r="S233" i="11"/>
  <c r="AF23" i="11"/>
  <c r="AA19" i="11"/>
  <c r="AA15" i="11"/>
  <c r="AA13" i="11"/>
  <c r="AA14" i="11" s="1"/>
  <c r="AC15" i="11"/>
  <c r="AC16" i="11" s="1"/>
  <c r="AE24" i="11"/>
  <c r="AA26" i="11"/>
  <c r="AA23" i="11"/>
  <c r="AA38" i="11"/>
  <c r="Y38" i="11"/>
  <c r="Y32" i="11"/>
  <c r="Y26" i="11"/>
  <c r="AC38" i="11"/>
  <c r="AC39" i="11" s="1"/>
  <c r="AB38" i="11"/>
  <c r="Y29" i="11"/>
  <c r="AR35" i="11"/>
  <c r="BA48" i="11"/>
  <c r="X109" i="11"/>
  <c r="X97" i="11"/>
  <c r="S103" i="11"/>
  <c r="S104" i="11"/>
  <c r="X105" i="11" s="1"/>
  <c r="AZ110" i="11"/>
  <c r="AU111" i="11"/>
  <c r="N245" i="11"/>
  <c r="N119" i="11"/>
  <c r="AH292" i="11"/>
  <c r="AH293" i="11"/>
  <c r="U158" i="11"/>
  <c r="U99" i="11"/>
  <c r="AM696" i="11"/>
  <c r="AM853" i="11"/>
  <c r="BC954" i="11"/>
  <c r="BC917" i="11"/>
  <c r="AD39" i="11"/>
  <c r="AO996" i="11"/>
  <c r="AO36" i="11"/>
  <c r="AO67" i="11"/>
  <c r="U996" i="11"/>
  <c r="U36" i="11"/>
  <c r="U67" i="11"/>
  <c r="P997" i="11"/>
  <c r="AL87" i="11"/>
  <c r="BH85" i="11"/>
  <c r="I997" i="11"/>
  <c r="I87" i="11"/>
  <c r="T103" i="11"/>
  <c r="T104" i="11"/>
  <c r="AO104" i="11"/>
  <c r="AT105" i="11" s="1"/>
  <c r="AO103" i="11"/>
  <c r="H109" i="11"/>
  <c r="Z556" i="11"/>
  <c r="Z238" i="11"/>
  <c r="Q536" i="11"/>
  <c r="Q537" i="11"/>
  <c r="M537" i="11"/>
  <c r="M536" i="11"/>
  <c r="BE520" i="11"/>
  <c r="BN940" i="11"/>
  <c r="AB1001" i="11"/>
  <c r="AS978" i="11"/>
  <c r="AL16" i="11"/>
  <c r="AE23" i="11"/>
  <c r="Z19" i="11"/>
  <c r="Z15" i="11"/>
  <c r="Z16" i="11" s="1"/>
  <c r="Y21" i="11"/>
  <c r="Z13" i="11"/>
  <c r="Z14" i="11" s="1"/>
  <c r="Z26" i="11"/>
  <c r="Z27" i="11" s="1"/>
  <c r="Z23" i="11"/>
  <c r="AI996" i="11"/>
  <c r="AN36" i="11"/>
  <c r="AI67" i="11"/>
  <c r="AI70" i="11" s="1"/>
  <c r="AN71" i="11" s="1"/>
  <c r="AZ67" i="11"/>
  <c r="Q997" i="11"/>
  <c r="AM85" i="11"/>
  <c r="AM82" i="11"/>
  <c r="BI85" i="11"/>
  <c r="BI82" i="11"/>
  <c r="BI83" i="11" s="1"/>
  <c r="V96" i="11"/>
  <c r="V97" i="11"/>
  <c r="V109" i="11"/>
  <c r="AN235" i="11"/>
  <c r="AN160" i="11" s="1"/>
  <c r="AN1004" i="11" s="1"/>
  <c r="AN183" i="11"/>
  <c r="BC82" i="11"/>
  <c r="M600" i="11"/>
  <c r="M601" i="11"/>
  <c r="BQ632" i="11"/>
  <c r="BQ247" i="11"/>
  <c r="BQ635" i="11"/>
  <c r="BQ121" i="11"/>
  <c r="AL997" i="11"/>
  <c r="AG14" i="11"/>
  <c r="AB14" i="11"/>
  <c r="AR16" i="11"/>
  <c r="AU36" i="11"/>
  <c r="R997" i="11"/>
  <c r="R86" i="11"/>
  <c r="AN82" i="11"/>
  <c r="AN85" i="11"/>
  <c r="BJ82" i="11"/>
  <c r="BO82" i="11" s="1"/>
  <c r="BJ85" i="11"/>
  <c r="AD109" i="11"/>
  <c r="AT198" i="11"/>
  <c r="AT207" i="11" s="1"/>
  <c r="AT193" i="11"/>
  <c r="AT195" i="11"/>
  <c r="P195" i="11"/>
  <c r="P198" i="11"/>
  <c r="P207" i="11" s="1"/>
  <c r="BA195" i="11"/>
  <c r="BA198" i="11"/>
  <c r="BA207" i="11" s="1"/>
  <c r="BA193" i="11"/>
  <c r="AL900" i="11"/>
  <c r="AL906" i="11" s="1"/>
  <c r="AL903" i="11"/>
  <c r="AL904" i="11"/>
  <c r="AL511" i="11"/>
  <c r="AL901" i="11"/>
  <c r="AL907" i="11" s="1"/>
  <c r="AL902" i="11"/>
  <c r="BH904" i="11"/>
  <c r="BH901" i="11"/>
  <c r="BH511" i="11"/>
  <c r="BH232" i="11"/>
  <c r="AL232" i="11"/>
  <c r="AO116" i="11"/>
  <c r="AO166" i="11"/>
  <c r="AO115" i="11"/>
  <c r="R601" i="11"/>
  <c r="R600" i="11"/>
  <c r="U555" i="11"/>
  <c r="BH857" i="11"/>
  <c r="BH800" i="11"/>
  <c r="AX859" i="11"/>
  <c r="AX221" i="11" s="1"/>
  <c r="AX800" i="11"/>
  <c r="AX824" i="11" s="1"/>
  <c r="AX827" i="11" s="1"/>
  <c r="P82" i="11"/>
  <c r="P87" i="11"/>
  <c r="E109" i="11"/>
  <c r="E97" i="11"/>
  <c r="AU184" i="11"/>
  <c r="AU188" i="11" s="1"/>
  <c r="AU190" i="11" s="1"/>
  <c r="Q193" i="11"/>
  <c r="Q195" i="11"/>
  <c r="BB195" i="11"/>
  <c r="BB198" i="11"/>
  <c r="BB207" i="11" s="1"/>
  <c r="BB193" i="11"/>
  <c r="R903" i="11"/>
  <c r="R901" i="11"/>
  <c r="R900" i="11"/>
  <c r="R511" i="11"/>
  <c r="R902" i="11"/>
  <c r="W908" i="11" s="1"/>
  <c r="R232" i="11"/>
  <c r="R904" i="11"/>
  <c r="V901" i="11"/>
  <c r="V907" i="11" s="1"/>
  <c r="R155" i="11"/>
  <c r="R156" i="11" s="1"/>
  <c r="R572" i="11" s="1"/>
  <c r="R573" i="11" s="1"/>
  <c r="R160" i="11"/>
  <c r="R1004" i="11" s="1"/>
  <c r="AM904" i="11"/>
  <c r="AM900" i="11"/>
  <c r="AM906" i="11" s="1"/>
  <c r="AM902" i="11"/>
  <c r="AM901" i="11"/>
  <c r="AM903" i="11"/>
  <c r="AM909" i="11" s="1"/>
  <c r="AM511" i="11"/>
  <c r="AP903" i="11"/>
  <c r="AM232" i="11"/>
  <c r="AP902" i="11"/>
  <c r="AP908" i="11" s="1"/>
  <c r="AQ902" i="11"/>
  <c r="AQ908" i="11" s="1"/>
  <c r="AM160" i="11"/>
  <c r="AM1004" i="11" s="1"/>
  <c r="AM165" i="11"/>
  <c r="BI904" i="11"/>
  <c r="BI902" i="11"/>
  <c r="BI908" i="11" s="1"/>
  <c r="BI901" i="11"/>
  <c r="BI907" i="11" s="1"/>
  <c r="BI232" i="11"/>
  <c r="BI716" i="11"/>
  <c r="BI155" i="11"/>
  <c r="BI156" i="11" s="1"/>
  <c r="BI572" i="11" s="1"/>
  <c r="BI152" i="11"/>
  <c r="BI153" i="11" s="1"/>
  <c r="BI165" i="11"/>
  <c r="BI511" i="11"/>
  <c r="BI900" i="11"/>
  <c r="BI906" i="11" s="1"/>
  <c r="AU556" i="11"/>
  <c r="AU238" i="11"/>
  <c r="AP115" i="11"/>
  <c r="AP116" i="11"/>
  <c r="AP166" i="11"/>
  <c r="AP143" i="11"/>
  <c r="W600" i="11"/>
  <c r="W601" i="11"/>
  <c r="O43" i="11"/>
  <c r="O47" i="11"/>
  <c r="O51" i="11" s="1"/>
  <c r="Q82" i="11"/>
  <c r="V83" i="11" s="1"/>
  <c r="AC997" i="11"/>
  <c r="AC87" i="11"/>
  <c r="AC86" i="11"/>
  <c r="Q87" i="11"/>
  <c r="AV184" i="11"/>
  <c r="AV188" i="11" s="1"/>
  <c r="AV190" i="11" s="1"/>
  <c r="U195" i="11"/>
  <c r="U193" i="11"/>
  <c r="U198" i="11"/>
  <c r="U207" i="11" s="1"/>
  <c r="BD193" i="11"/>
  <c r="BD195" i="11"/>
  <c r="E155" i="11"/>
  <c r="E156" i="11" s="1"/>
  <c r="E572" i="11" s="1"/>
  <c r="E232" i="11"/>
  <c r="E152" i="11"/>
  <c r="E153" i="11" s="1"/>
  <c r="Z155" i="11"/>
  <c r="Z156" i="11" s="1"/>
  <c r="Z572" i="11" s="1"/>
  <c r="Z573" i="11" s="1"/>
  <c r="Z152" i="11"/>
  <c r="Z153" i="11" s="1"/>
  <c r="AV556" i="11"/>
  <c r="AV238" i="11"/>
  <c r="AQ115" i="11"/>
  <c r="AQ166" i="11"/>
  <c r="AQ143" i="11"/>
  <c r="AQ116" i="11"/>
  <c r="S592" i="11"/>
  <c r="T567" i="11"/>
  <c r="T571" i="11" s="1"/>
  <c r="Y782" i="11"/>
  <c r="Y790" i="11" s="1"/>
  <c r="Y836" i="11"/>
  <c r="AJ712" i="11"/>
  <c r="AJ884" i="11"/>
  <c r="BN871" i="11"/>
  <c r="U16" i="11"/>
  <c r="K70" i="11"/>
  <c r="P71" i="11" s="1"/>
  <c r="U111" i="11"/>
  <c r="J201" i="11"/>
  <c r="J249" i="11"/>
  <c r="J739" i="11" s="1"/>
  <c r="S38" i="11"/>
  <c r="S39" i="11" s="1"/>
  <c r="O26" i="11"/>
  <c r="O27" i="11" s="1"/>
  <c r="R38" i="11"/>
  <c r="R39" i="11" s="1"/>
  <c r="Q38" i="11"/>
  <c r="Q39" i="11" s="1"/>
  <c r="O38" i="11"/>
  <c r="O29" i="11"/>
  <c r="O32" i="11"/>
  <c r="U58" i="11"/>
  <c r="U64" i="11"/>
  <c r="U60" i="11"/>
  <c r="AO58" i="11"/>
  <c r="AO60" i="11"/>
  <c r="L70" i="11"/>
  <c r="Q71" i="11" s="1"/>
  <c r="AF85" i="11"/>
  <c r="BB70" i="11"/>
  <c r="K198" i="11"/>
  <c r="K207" i="11" s="1"/>
  <c r="K193" i="11"/>
  <c r="K195" i="11"/>
  <c r="Y193" i="11"/>
  <c r="Y198" i="11"/>
  <c r="Y207" i="11" s="1"/>
  <c r="Y195" i="11"/>
  <c r="Y536" i="11"/>
  <c r="Z536" i="11"/>
  <c r="Z537" i="11"/>
  <c r="Y537" i="11"/>
  <c r="Z510" i="11"/>
  <c r="T32" i="11"/>
  <c r="V35" i="11" s="1"/>
  <c r="T38" i="11"/>
  <c r="T39" i="11" s="1"/>
  <c r="X38" i="11"/>
  <c r="T29" i="11"/>
  <c r="W38" i="11"/>
  <c r="W39" i="11" s="1"/>
  <c r="AK39" i="11"/>
  <c r="AG70" i="11"/>
  <c r="AL71" i="11" s="1"/>
  <c r="L209" i="11"/>
  <c r="L217" i="11" s="1"/>
  <c r="H562" i="11"/>
  <c r="H557" i="11"/>
  <c r="BO170" i="11"/>
  <c r="BO125" i="11"/>
  <c r="R845" i="11"/>
  <c r="AO59" i="11"/>
  <c r="T85" i="11"/>
  <c r="F74" i="11"/>
  <c r="AD997" i="11"/>
  <c r="AW198" i="11"/>
  <c r="AW207" i="11" s="1"/>
  <c r="AW195" i="11"/>
  <c r="V193" i="11"/>
  <c r="V198" i="11"/>
  <c r="V207" i="11" s="1"/>
  <c r="V195" i="11"/>
  <c r="BI195" i="11"/>
  <c r="AC119" i="11"/>
  <c r="AC245" i="11"/>
  <c r="F155" i="11"/>
  <c r="F156" i="11" s="1"/>
  <c r="F572" i="11" s="1"/>
  <c r="F152" i="11"/>
  <c r="F153" i="11" s="1"/>
  <c r="AA152" i="11"/>
  <c r="AA153" i="11" s="1"/>
  <c r="AA232" i="11"/>
  <c r="AA155" i="11"/>
  <c r="AA156" i="11" s="1"/>
  <c r="AA572" i="11" s="1"/>
  <c r="AA573" i="11" s="1"/>
  <c r="AY155" i="11"/>
  <c r="AY156" i="11" s="1"/>
  <c r="AY572" i="11" s="1"/>
  <c r="AY152" i="11"/>
  <c r="AY153" i="11" s="1"/>
  <c r="N251" i="11"/>
  <c r="N239" i="11"/>
  <c r="N162" i="11" s="1"/>
  <c r="N161" i="11"/>
  <c r="N244" i="11"/>
  <c r="N167" i="11" s="1"/>
  <c r="AB930" i="11"/>
  <c r="AB114" i="11"/>
  <c r="AB165" i="11"/>
  <c r="AB152" i="11"/>
  <c r="AB153" i="11" s="1"/>
  <c r="AY930" i="11"/>
  <c r="AY114" i="11"/>
  <c r="AY165" i="11"/>
  <c r="R518" i="11"/>
  <c r="R229" i="11"/>
  <c r="R515" i="11"/>
  <c r="R34" i="11"/>
  <c r="F744" i="11"/>
  <c r="F743" i="11"/>
  <c r="AD712" i="11"/>
  <c r="AD884" i="11"/>
  <c r="AY712" i="11"/>
  <c r="AY884" i="11"/>
  <c r="AY887" i="11" s="1"/>
  <c r="AZ996" i="11"/>
  <c r="AZ35" i="11"/>
  <c r="AL51" i="11"/>
  <c r="AL52" i="11"/>
  <c r="AL48" i="11"/>
  <c r="AQ48" i="11"/>
  <c r="AL64" i="11"/>
  <c r="AL50" i="11"/>
  <c r="AE85" i="11"/>
  <c r="AF97" i="11"/>
  <c r="AF100" i="11" s="1"/>
  <c r="AF96" i="11"/>
  <c r="AF109" i="11"/>
  <c r="I111" i="11"/>
  <c r="AX184" i="11"/>
  <c r="AX188" i="11" s="1"/>
  <c r="AX190" i="11" s="1"/>
  <c r="AD202" i="11"/>
  <c r="AD250" i="11"/>
  <c r="BF198" i="11"/>
  <c r="BF207" i="11" s="1"/>
  <c r="BF195" i="11"/>
  <c r="BF193" i="11"/>
  <c r="AL292" i="11"/>
  <c r="AK292" i="11"/>
  <c r="S518" i="11"/>
  <c r="S515" i="11"/>
  <c r="S34" i="11"/>
  <c r="S229" i="11"/>
  <c r="N995" i="11"/>
  <c r="N733" i="11"/>
  <c r="N740" i="11"/>
  <c r="K743" i="11"/>
  <c r="K744" i="11"/>
  <c r="J712" i="11"/>
  <c r="J884" i="11"/>
  <c r="AE884" i="11"/>
  <c r="AE712" i="11"/>
  <c r="AL884" i="11"/>
  <c r="AL712" i="11"/>
  <c r="BH884" i="11"/>
  <c r="T711" i="11"/>
  <c r="T884" i="11"/>
  <c r="AN711" i="11"/>
  <c r="BI711" i="11"/>
  <c r="BI884" i="11"/>
  <c r="AO884" i="11"/>
  <c r="AO711" i="11"/>
  <c r="BN870" i="11"/>
  <c r="BJ884" i="11"/>
  <c r="BJ711" i="11"/>
  <c r="BA996" i="11"/>
  <c r="BA67" i="11"/>
  <c r="BA82" i="11" s="1"/>
  <c r="BF83" i="11" s="1"/>
  <c r="BF36" i="11"/>
  <c r="BA31" i="11"/>
  <c r="BA35" i="11"/>
  <c r="BA36" i="11"/>
  <c r="AG97" i="11"/>
  <c r="AG100" i="11" s="1"/>
  <c r="AG109" i="11"/>
  <c r="AG96" i="11"/>
  <c r="BG198" i="11"/>
  <c r="BG207" i="11" s="1"/>
  <c r="BG195" i="11"/>
  <c r="BG193" i="11"/>
  <c r="M253" i="11"/>
  <c r="AJ253" i="11"/>
  <c r="BE253" i="11"/>
  <c r="O995" i="11"/>
  <c r="O733" i="11"/>
  <c r="AJ995" i="11"/>
  <c r="AJ733" i="11"/>
  <c r="Q242" i="11"/>
  <c r="Q152" i="11" s="1"/>
  <c r="Q153" i="11" s="1"/>
  <c r="Q845" i="11"/>
  <c r="Q199" i="11"/>
  <c r="Q207" i="11" s="1"/>
  <c r="AL845" i="11"/>
  <c r="AL242" i="11"/>
  <c r="AL132" i="11"/>
  <c r="AL131" i="11" s="1"/>
  <c r="AL199" i="11"/>
  <c r="AL27" i="11"/>
  <c r="AG27" i="11"/>
  <c r="AZ28" i="11"/>
  <c r="AE996" i="11"/>
  <c r="AE67" i="11"/>
  <c r="AE36" i="11"/>
  <c r="BB996" i="11"/>
  <c r="BB67" i="11"/>
  <c r="BB82" i="11" s="1"/>
  <c r="BB35" i="11"/>
  <c r="BB36" i="11"/>
  <c r="Q48" i="11"/>
  <c r="Q50" i="11"/>
  <c r="Q52" i="11"/>
  <c r="V48" i="11"/>
  <c r="Q51" i="11"/>
  <c r="AF59" i="11"/>
  <c r="AF60" i="11"/>
  <c r="AF64" i="11"/>
  <c r="AF58" i="11"/>
  <c r="AZ60" i="11"/>
  <c r="AZ64" i="11"/>
  <c r="AZ58" i="11"/>
  <c r="AL82" i="11"/>
  <c r="BD97" i="11"/>
  <c r="BD109" i="11"/>
  <c r="P209" i="11"/>
  <c r="P217" i="11" s="1"/>
  <c r="BC287" i="11"/>
  <c r="AC512" i="11"/>
  <c r="H233" i="11"/>
  <c r="H560" i="11"/>
  <c r="AC563" i="11"/>
  <c r="AC560" i="11"/>
  <c r="AO845" i="11"/>
  <c r="AN909" i="11"/>
  <c r="Y910" i="11"/>
  <c r="AF996" i="11"/>
  <c r="AF67" i="11"/>
  <c r="AF35" i="11"/>
  <c r="AF36" i="11"/>
  <c r="AG58" i="11"/>
  <c r="AG60" i="11"/>
  <c r="AG59" i="11"/>
  <c r="AG64" i="11"/>
  <c r="I195" i="11"/>
  <c r="I198" i="11"/>
  <c r="I207" i="11" s="1"/>
  <c r="I193" i="11"/>
  <c r="T292" i="11"/>
  <c r="T293" i="11"/>
  <c r="BR403" i="11"/>
  <c r="BP563" i="11"/>
  <c r="BP560" i="11"/>
  <c r="BP233" i="11"/>
  <c r="AP696" i="11"/>
  <c r="AP853" i="11"/>
  <c r="AQ16" i="11"/>
  <c r="M22" i="11"/>
  <c r="AG996" i="11"/>
  <c r="AG67" i="11"/>
  <c r="AG35" i="11"/>
  <c r="AG36" i="11"/>
  <c r="AL36" i="11"/>
  <c r="AX47" i="11"/>
  <c r="AX51" i="11" s="1"/>
  <c r="AX63" i="11"/>
  <c r="BA52" i="11"/>
  <c r="AH60" i="11"/>
  <c r="AH59" i="11"/>
  <c r="AH58" i="11"/>
  <c r="AH64" i="11"/>
  <c r="AO105" i="11"/>
  <c r="AJ105" i="11"/>
  <c r="AC109" i="11"/>
  <c r="AC96" i="11"/>
  <c r="G195" i="11"/>
  <c r="G198" i="11"/>
  <c r="G207" i="11" s="1"/>
  <c r="G193" i="11"/>
  <c r="AG119" i="11"/>
  <c r="AG245" i="11"/>
  <c r="AZ827" i="11"/>
  <c r="BB85" i="11"/>
  <c r="BQ74" i="11"/>
  <c r="BK21" i="11"/>
  <c r="BP13" i="11"/>
  <c r="BP21" i="11" s="1"/>
  <c r="BH43" i="11"/>
  <c r="BH47" i="11"/>
  <c r="BH50" i="11" s="1"/>
  <c r="BH62" i="11"/>
  <c r="AZ59" i="11"/>
  <c r="AZ86" i="11"/>
  <c r="R97" i="11"/>
  <c r="R109" i="11"/>
  <c r="R96" i="11"/>
  <c r="AR105" i="11"/>
  <c r="AH97" i="11"/>
  <c r="AH100" i="11" s="1"/>
  <c r="AH109" i="11"/>
  <c r="AH96" i="11"/>
  <c r="W998" i="11"/>
  <c r="W123" i="11"/>
  <c r="P129" i="11"/>
  <c r="P914" i="11" s="1"/>
  <c r="AI184" i="11"/>
  <c r="AI188" i="11" s="1"/>
  <c r="AI190" i="11" s="1"/>
  <c r="G244" i="11"/>
  <c r="G167" i="11" s="1"/>
  <c r="G239" i="11"/>
  <c r="G162" i="11" s="1"/>
  <c r="G251" i="11"/>
  <c r="AB907" i="11"/>
  <c r="O232" i="11"/>
  <c r="O155" i="11"/>
  <c r="O156" i="11" s="1"/>
  <c r="O572" i="11" s="1"/>
  <c r="O573" i="11" s="1"/>
  <c r="AK155" i="11"/>
  <c r="AK156" i="11" s="1"/>
  <c r="AK572" i="11" s="1"/>
  <c r="AK152" i="11"/>
  <c r="AK153" i="11" s="1"/>
  <c r="AK232" i="11"/>
  <c r="BG155" i="11"/>
  <c r="BG156" i="11" s="1"/>
  <c r="BG572" i="11" s="1"/>
  <c r="BG152" i="11"/>
  <c r="BG153" i="11" s="1"/>
  <c r="Z143" i="11"/>
  <c r="Z115" i="11"/>
  <c r="Z166" i="11"/>
  <c r="Z116" i="11"/>
  <c r="AS287" i="11"/>
  <c r="U536" i="11"/>
  <c r="T253" i="11"/>
  <c r="AZ900" i="11"/>
  <c r="AY70" i="11"/>
  <c r="AC97" i="11"/>
  <c r="R110" i="11"/>
  <c r="M111" i="11"/>
  <c r="Q132" i="11"/>
  <c r="O198" i="11"/>
  <c r="O195" i="11"/>
  <c r="AJ198" i="11"/>
  <c r="AJ207" i="11" s="1"/>
  <c r="AJ193" i="11"/>
  <c r="AJ195" i="11"/>
  <c r="AW193" i="11"/>
  <c r="H251" i="11"/>
  <c r="H244" i="11"/>
  <c r="H167" i="11" s="1"/>
  <c r="H239" i="11"/>
  <c r="H162" i="11" s="1"/>
  <c r="H161" i="11"/>
  <c r="AC556" i="11"/>
  <c r="AD562" i="11" s="1"/>
  <c r="AC238" i="11"/>
  <c r="P232" i="11"/>
  <c r="P152" i="11"/>
  <c r="P153" i="11" s="1"/>
  <c r="P155" i="11"/>
  <c r="P156" i="11" s="1"/>
  <c r="P572" i="11" s="1"/>
  <c r="P573" i="11" s="1"/>
  <c r="AL155" i="11"/>
  <c r="AL156" i="11" s="1"/>
  <c r="AL572" i="11" s="1"/>
  <c r="AL152" i="11"/>
  <c r="AL153" i="11" s="1"/>
  <c r="AD251" i="11"/>
  <c r="AD239" i="11"/>
  <c r="AD162" i="11" s="1"/>
  <c r="AD244" i="11"/>
  <c r="AD167" i="11" s="1"/>
  <c r="BC143" i="11"/>
  <c r="BC115" i="11"/>
  <c r="BC116" i="11"/>
  <c r="BC166" i="11"/>
  <c r="U253" i="11"/>
  <c r="AT287" i="11"/>
  <c r="BL462" i="11"/>
  <c r="K125" i="11"/>
  <c r="K170" i="11"/>
  <c r="Z1011" i="11"/>
  <c r="L23" i="11"/>
  <c r="L19" i="11"/>
  <c r="L22" i="11"/>
  <c r="L26" i="11"/>
  <c r="N15" i="11"/>
  <c r="M15" i="11"/>
  <c r="L15" i="11"/>
  <c r="Q23" i="11"/>
  <c r="BA28" i="11"/>
  <c r="AI35" i="11"/>
  <c r="AT63" i="11"/>
  <c r="AT51" i="11"/>
  <c r="AT46" i="11"/>
  <c r="AT47" i="11"/>
  <c r="R51" i="11"/>
  <c r="R52" i="11"/>
  <c r="R48" i="11"/>
  <c r="R50" i="11"/>
  <c r="W48" i="11"/>
  <c r="BA59" i="11"/>
  <c r="BA64" i="11"/>
  <c r="BA58" i="11"/>
  <c r="BA60" i="11"/>
  <c r="V79" i="11"/>
  <c r="BE109" i="11"/>
  <c r="BE96" i="11"/>
  <c r="BE97" i="11"/>
  <c r="BE100" i="11" s="1"/>
  <c r="AA109" i="11"/>
  <c r="AA96" i="11"/>
  <c r="J91" i="11"/>
  <c r="J95" i="11" s="1"/>
  <c r="J175" i="11"/>
  <c r="J184" i="11" s="1"/>
  <c r="J188" i="11" s="1"/>
  <c r="J190" i="11" s="1"/>
  <c r="J227" i="11"/>
  <c r="N900" i="11" s="1"/>
  <c r="AE198" i="11"/>
  <c r="AE207" i="11" s="1"/>
  <c r="AE195" i="11"/>
  <c r="AE193" i="11"/>
  <c r="AR742" i="11"/>
  <c r="AR628" i="11"/>
  <c r="AR168" i="11"/>
  <c r="AR644" i="11" s="1"/>
  <c r="BB28" i="11"/>
  <c r="BB31" i="11" s="1"/>
  <c r="AK35" i="11"/>
  <c r="BB58" i="11"/>
  <c r="BB64" i="11"/>
  <c r="BB60" i="11"/>
  <c r="AS85" i="11"/>
  <c r="AZ193" i="11"/>
  <c r="AZ195" i="11"/>
  <c r="AZ198" i="11"/>
  <c r="AZ207" i="11" s="1"/>
  <c r="BF293" i="11"/>
  <c r="BF292" i="11"/>
  <c r="BQ563" i="11"/>
  <c r="BQ233" i="11"/>
  <c r="BQ560" i="11"/>
  <c r="BC63" i="11"/>
  <c r="BC46" i="11"/>
  <c r="BC47" i="11"/>
  <c r="Z82" i="11"/>
  <c r="Z70" i="11"/>
  <c r="F82" i="11"/>
  <c r="F85" i="11"/>
  <c r="AA85" i="11"/>
  <c r="AW82" i="11"/>
  <c r="AW85" i="11"/>
  <c r="AN109" i="11"/>
  <c r="AN97" i="11"/>
  <c r="AN96" i="11"/>
  <c r="AG195" i="11"/>
  <c r="AG193" i="11"/>
  <c r="AX74" i="11"/>
  <c r="AL193" i="11"/>
  <c r="AL195" i="11"/>
  <c r="AL198" i="11"/>
  <c r="AL207" i="11" s="1"/>
  <c r="Z901" i="11"/>
  <c r="Z907" i="11" s="1"/>
  <c r="Z900" i="11"/>
  <c r="Z902" i="11"/>
  <c r="Z908" i="11" s="1"/>
  <c r="Z903" i="11"/>
  <c r="Z511" i="11"/>
  <c r="Z904" i="11"/>
  <c r="BL286" i="11"/>
  <c r="BL394" i="11"/>
  <c r="BR233" i="11"/>
  <c r="BR560" i="11"/>
  <c r="BR563" i="11"/>
  <c r="N673" i="11"/>
  <c r="P627" i="11"/>
  <c r="N672" i="11"/>
  <c r="AD868" i="11"/>
  <c r="AD821" i="11"/>
  <c r="K67" i="11"/>
  <c r="K82" i="11" s="1"/>
  <c r="P83" i="11" s="1"/>
  <c r="K996" i="11"/>
  <c r="K36" i="11"/>
  <c r="P36" i="11"/>
  <c r="G82" i="11"/>
  <c r="G85" i="11"/>
  <c r="AB82" i="11"/>
  <c r="AB85" i="11"/>
  <c r="AY82" i="11"/>
  <c r="BD83" i="11" s="1"/>
  <c r="AY85" i="11"/>
  <c r="BD997" i="11"/>
  <c r="BD87" i="11"/>
  <c r="BD86" i="11"/>
  <c r="Q109" i="11"/>
  <c r="Q97" i="11"/>
  <c r="Q96" i="11"/>
  <c r="AQ105" i="11"/>
  <c r="AA97" i="11"/>
  <c r="AA100" i="11" s="1"/>
  <c r="M198" i="11"/>
  <c r="M207" i="11" s="1"/>
  <c r="M193" i="11"/>
  <c r="F902" i="11"/>
  <c r="F901" i="11"/>
  <c r="F900" i="11"/>
  <c r="F904" i="11"/>
  <c r="F996" i="11"/>
  <c r="F903" i="11"/>
  <c r="F511" i="11"/>
  <c r="F232" i="11"/>
  <c r="AW902" i="11"/>
  <c r="AW908" i="11" s="1"/>
  <c r="AW900" i="11"/>
  <c r="AW906" i="11" s="1"/>
  <c r="AW901" i="11"/>
  <c r="AW907" i="11" s="1"/>
  <c r="AW903" i="11"/>
  <c r="AW909" i="11" s="1"/>
  <c r="AW511" i="11"/>
  <c r="AW166" i="11"/>
  <c r="AW155" i="11"/>
  <c r="AW156" i="11" s="1"/>
  <c r="AW572" i="11" s="1"/>
  <c r="AW160" i="11"/>
  <c r="AW1004" i="11" s="1"/>
  <c r="AW232" i="11"/>
  <c r="BL377" i="11"/>
  <c r="BM515" i="11"/>
  <c r="BM518" i="11"/>
  <c r="BM34" i="11"/>
  <c r="BM229" i="11"/>
  <c r="T536" i="11"/>
  <c r="Z125" i="11"/>
  <c r="Z170" i="11"/>
  <c r="AI995" i="11"/>
  <c r="AA22" i="11"/>
  <c r="P14" i="11"/>
  <c r="U14" i="11"/>
  <c r="V38" i="11"/>
  <c r="V39" i="11" s="1"/>
  <c r="AZ70" i="11"/>
  <c r="BE71" i="11" s="1"/>
  <c r="P93" i="11"/>
  <c r="AO111" i="11"/>
  <c r="AA121" i="11"/>
  <c r="G129" i="11"/>
  <c r="G131" i="11" s="1"/>
  <c r="BJ198" i="11"/>
  <c r="BJ207" i="11" s="1"/>
  <c r="BJ195" i="11"/>
  <c r="BJ193" i="11"/>
  <c r="F195" i="11"/>
  <c r="BD198" i="11"/>
  <c r="BD207" i="11" s="1"/>
  <c r="AD557" i="11"/>
  <c r="Q232" i="11"/>
  <c r="Q155" i="11"/>
  <c r="Q156" i="11" s="1"/>
  <c r="Q572" i="11" s="1"/>
  <c r="Q573" i="11" s="1"/>
  <c r="AM152" i="11"/>
  <c r="AM153" i="11" s="1"/>
  <c r="AM155" i="11"/>
  <c r="AM156" i="11" s="1"/>
  <c r="AM572" i="11" s="1"/>
  <c r="AB166" i="11"/>
  <c r="AB115" i="11"/>
  <c r="AB116" i="11"/>
  <c r="AB143" i="11"/>
  <c r="BD166" i="11"/>
  <c r="BD116" i="11"/>
  <c r="BD115" i="11"/>
  <c r="V253" i="11"/>
  <c r="X293" i="11"/>
  <c r="X292" i="11"/>
  <c r="AC293" i="11"/>
  <c r="Y292" i="11"/>
  <c r="AU287" i="11"/>
  <c r="BP229" i="11"/>
  <c r="BP518" i="11"/>
  <c r="BP515" i="11"/>
  <c r="BP34" i="11"/>
  <c r="D279" i="11"/>
  <c r="D3" i="11"/>
  <c r="L996" i="11"/>
  <c r="Q36" i="11"/>
  <c r="AH996" i="11"/>
  <c r="AH35" i="11"/>
  <c r="AH36" i="11"/>
  <c r="BC67" i="11"/>
  <c r="BC31" i="11"/>
  <c r="L36" i="11"/>
  <c r="O46" i="11"/>
  <c r="AF48" i="11"/>
  <c r="AF50" i="11"/>
  <c r="AF51" i="11"/>
  <c r="AF52" i="11"/>
  <c r="L67" i="11"/>
  <c r="N70" i="11"/>
  <c r="N71" i="11" s="1"/>
  <c r="AP103" i="11"/>
  <c r="AU103" i="11"/>
  <c r="AP104" i="11"/>
  <c r="AU105" i="11" s="1"/>
  <c r="U105" i="11"/>
  <c r="AS235" i="11"/>
  <c r="AS160" i="11" s="1"/>
  <c r="AS1004" i="11" s="1"/>
  <c r="AS69" i="11"/>
  <c r="AS183" i="11"/>
  <c r="BE198" i="11"/>
  <c r="BE207" i="11" s="1"/>
  <c r="BE193" i="11"/>
  <c r="F166" i="11"/>
  <c r="F116" i="11"/>
  <c r="BE143" i="11"/>
  <c r="BE116" i="11"/>
  <c r="BE166" i="11"/>
  <c r="BE115" i="11"/>
  <c r="AK253" i="11"/>
  <c r="BF253" i="11"/>
  <c r="BI287" i="11"/>
  <c r="BI293" i="11" s="1"/>
  <c r="BO515" i="11"/>
  <c r="BO229" i="11"/>
  <c r="BO518" i="11"/>
  <c r="V518" i="11"/>
  <c r="V515" i="11"/>
  <c r="Q520" i="11"/>
  <c r="BD538" i="11"/>
  <c r="I560" i="11"/>
  <c r="I233" i="11"/>
  <c r="AD560" i="11"/>
  <c r="AD563" i="11"/>
  <c r="X99" i="11"/>
  <c r="X158" i="11"/>
  <c r="O632" i="11"/>
  <c r="O121" i="11"/>
  <c r="O635" i="11"/>
  <c r="BR921" i="11"/>
  <c r="BR915" i="11"/>
  <c r="V994" i="11"/>
  <c r="V733" i="11"/>
  <c r="AP994" i="11"/>
  <c r="AP488" i="11"/>
  <c r="AP490" i="11" s="1"/>
  <c r="AP493" i="11" s="1"/>
  <c r="AP495" i="11" s="1"/>
  <c r="G166" i="11"/>
  <c r="G116" i="11"/>
  <c r="AC243" i="11"/>
  <c r="AC715" i="11"/>
  <c r="AC716" i="11" s="1"/>
  <c r="AX715" i="11"/>
  <c r="AX716" i="11" s="1"/>
  <c r="AX243" i="11"/>
  <c r="BA884" i="11"/>
  <c r="BA712" i="11"/>
  <c r="O712" i="11"/>
  <c r="O884" i="11"/>
  <c r="E4" i="11"/>
  <c r="AS16" i="11"/>
  <c r="M996" i="11"/>
  <c r="M67" i="11"/>
  <c r="R36" i="11"/>
  <c r="M35" i="11"/>
  <c r="BD996" i="11"/>
  <c r="BI36" i="11"/>
  <c r="BD28" i="11"/>
  <c r="M36" i="11"/>
  <c r="T47" i="11"/>
  <c r="L48" i="11"/>
  <c r="L50" i="11"/>
  <c r="L51" i="11"/>
  <c r="AG51" i="11"/>
  <c r="AG52" i="11"/>
  <c r="H78" i="11"/>
  <c r="Z96" i="11"/>
  <c r="Z109" i="11"/>
  <c r="Z110" i="11" s="1"/>
  <c r="AQ103" i="11"/>
  <c r="V105" i="11"/>
  <c r="BE104" i="11"/>
  <c r="AC152" i="11"/>
  <c r="AC153" i="11" s="1"/>
  <c r="AB155" i="11"/>
  <c r="AB156" i="11" s="1"/>
  <c r="AB572" i="11" s="1"/>
  <c r="AX235" i="11"/>
  <c r="AX160" i="11" s="1"/>
  <c r="AX1004" i="11" s="1"/>
  <c r="AX102" i="11"/>
  <c r="AB232" i="11"/>
  <c r="AF116" i="11"/>
  <c r="AF143" i="11"/>
  <c r="O253" i="11"/>
  <c r="AL253" i="11"/>
  <c r="BG253" i="11"/>
  <c r="BN280" i="11"/>
  <c r="AP293" i="11"/>
  <c r="AP292" i="11"/>
  <c r="AA292" i="11"/>
  <c r="Y515" i="11"/>
  <c r="Y518" i="11"/>
  <c r="Y229" i="11"/>
  <c r="M517" i="11"/>
  <c r="M512" i="11"/>
  <c r="M520" i="11"/>
  <c r="J560" i="11"/>
  <c r="J233" i="11"/>
  <c r="AA600" i="11"/>
  <c r="AA601" i="11"/>
  <c r="BP600" i="11"/>
  <c r="BS555" i="11"/>
  <c r="L672" i="11"/>
  <c r="L673" i="11"/>
  <c r="BL672" i="11"/>
  <c r="BL673" i="11"/>
  <c r="BT915" i="11"/>
  <c r="BT921" i="11"/>
  <c r="F716" i="11"/>
  <c r="AI790" i="11"/>
  <c r="AG712" i="11"/>
  <c r="AG884" i="11"/>
  <c r="BB884" i="11"/>
  <c r="BB712" i="11"/>
  <c r="AT16" i="11"/>
  <c r="S26" i="11"/>
  <c r="S27" i="11" s="1"/>
  <c r="S23" i="11"/>
  <c r="S13" i="11"/>
  <c r="N996" i="11"/>
  <c r="N35" i="11"/>
  <c r="N67" i="11"/>
  <c r="S36" i="11"/>
  <c r="AJ996" i="11"/>
  <c r="AJ36" i="11"/>
  <c r="BE996" i="11"/>
  <c r="BE36" i="11"/>
  <c r="BE28" i="11"/>
  <c r="W35" i="11"/>
  <c r="N36" i="11"/>
  <c r="BC36" i="11"/>
  <c r="AI62" i="11"/>
  <c r="M51" i="11"/>
  <c r="M48" i="11"/>
  <c r="AH51" i="11"/>
  <c r="AH50" i="11"/>
  <c r="AH52" i="11"/>
  <c r="BI48" i="11"/>
  <c r="BD51" i="11"/>
  <c r="BD48" i="11"/>
  <c r="AG50" i="11"/>
  <c r="BF70" i="11"/>
  <c r="BK70" i="11" s="1"/>
  <c r="AJ95" i="11"/>
  <c r="W104" i="11"/>
  <c r="W103" i="11"/>
  <c r="AV103" i="11"/>
  <c r="F115" i="11"/>
  <c r="K129" i="11"/>
  <c r="K914" i="11" s="1"/>
  <c r="AD152" i="11"/>
  <c r="AD153" i="11" s="1"/>
  <c r="AC155" i="11"/>
  <c r="AC156" i="11" s="1"/>
  <c r="AC572" i="11" s="1"/>
  <c r="AC573" i="11" s="1"/>
  <c r="H166" i="11"/>
  <c r="BC235" i="11"/>
  <c r="BC160" i="11" s="1"/>
  <c r="BC1004" i="11" s="1"/>
  <c r="BC183" i="11"/>
  <c r="BC184" i="11" s="1"/>
  <c r="BC188" i="11" s="1"/>
  <c r="BC190" i="11" s="1"/>
  <c r="BC69" i="11"/>
  <c r="BC70" i="11" s="1"/>
  <c r="BH472" i="11"/>
  <c r="BI472" i="11" s="1"/>
  <c r="BC155" i="11"/>
  <c r="BC156" i="11" s="1"/>
  <c r="BC572" i="11" s="1"/>
  <c r="X930" i="11"/>
  <c r="X114" i="11"/>
  <c r="X165" i="11"/>
  <c r="AU930" i="11"/>
  <c r="AU114" i="11"/>
  <c r="AU165" i="11"/>
  <c r="AG116" i="11"/>
  <c r="AG143" i="11"/>
  <c r="J253" i="11"/>
  <c r="AQ293" i="11"/>
  <c r="AQ292" i="11"/>
  <c r="BG517" i="11"/>
  <c r="V632" i="11"/>
  <c r="V635" i="11"/>
  <c r="V247" i="11"/>
  <c r="U170" i="11"/>
  <c r="U125" i="11"/>
  <c r="G715" i="11"/>
  <c r="G716" i="11" s="1"/>
  <c r="U853" i="11"/>
  <c r="U696" i="11"/>
  <c r="K910" i="11"/>
  <c r="AT19" i="11"/>
  <c r="AT20" i="11"/>
  <c r="T21" i="11"/>
  <c r="BH38" i="11"/>
  <c r="AK996" i="11"/>
  <c r="AK36" i="11"/>
  <c r="BD36" i="11"/>
  <c r="AJ42" i="11"/>
  <c r="N51" i="11"/>
  <c r="N48" i="11"/>
  <c r="AI47" i="11"/>
  <c r="BE51" i="11"/>
  <c r="BE48" i="11"/>
  <c r="BE64" i="11"/>
  <c r="Z74" i="11"/>
  <c r="AU997" i="11"/>
  <c r="AU86" i="11"/>
  <c r="AB109" i="11"/>
  <c r="AB96" i="11"/>
  <c r="AK95" i="11"/>
  <c r="X104" i="11"/>
  <c r="AC105" i="11" s="1"/>
  <c r="X103" i="11"/>
  <c r="AS102" i="11"/>
  <c r="AW103" i="11"/>
  <c r="G115" i="11"/>
  <c r="L916" i="11"/>
  <c r="AA184" i="11"/>
  <c r="AA188" i="11" s="1"/>
  <c r="AA190" i="11" s="1"/>
  <c r="BH102" i="11"/>
  <c r="BH108" i="11"/>
  <c r="BH237" i="11"/>
  <c r="AR209" i="11"/>
  <c r="AR217" i="11" s="1"/>
  <c r="BE195" i="11"/>
  <c r="Y930" i="11"/>
  <c r="Y165" i="11"/>
  <c r="Y114" i="11"/>
  <c r="AV930" i="11"/>
  <c r="AV114" i="11"/>
  <c r="AV152" i="11"/>
  <c r="AV153" i="11" s="1"/>
  <c r="AV165" i="11"/>
  <c r="BQ420" i="11"/>
  <c r="BC472" i="11"/>
  <c r="BD472" i="11" s="1"/>
  <c r="AQ490" i="11"/>
  <c r="AQ493" i="11" s="1"/>
  <c r="AQ495" i="11" s="1"/>
  <c r="AN520" i="11"/>
  <c r="BV915" i="11"/>
  <c r="BV921" i="11"/>
  <c r="BH733" i="11"/>
  <c r="BN861" i="11"/>
  <c r="BN704" i="11" s="1"/>
  <c r="Y907" i="11"/>
  <c r="S22" i="11"/>
  <c r="AR31" i="11"/>
  <c r="BF51" i="11"/>
  <c r="BF52" i="11"/>
  <c r="BF64" i="11"/>
  <c r="BG58" i="11"/>
  <c r="BG60" i="11"/>
  <c r="BG64" i="11"/>
  <c r="BG59" i="11"/>
  <c r="AM60" i="11"/>
  <c r="BH69" i="11"/>
  <c r="L85" i="11"/>
  <c r="AJ85" i="11"/>
  <c r="AJ82" i="11"/>
  <c r="BF85" i="11"/>
  <c r="AV997" i="11"/>
  <c r="AL95" i="11"/>
  <c r="L103" i="11"/>
  <c r="H115" i="11"/>
  <c r="M916" i="11"/>
  <c r="AB184" i="11"/>
  <c r="AB188" i="11" s="1"/>
  <c r="AB190" i="11" s="1"/>
  <c r="BC108" i="11"/>
  <c r="BE556" i="11"/>
  <c r="BE238" i="11"/>
  <c r="AJ238" i="11"/>
  <c r="Z930" i="11"/>
  <c r="Z165" i="11"/>
  <c r="Z114" i="11"/>
  <c r="AW930" i="11"/>
  <c r="AW152" i="11"/>
  <c r="AW153" i="11" s="1"/>
  <c r="AW165" i="11"/>
  <c r="AZ293" i="11"/>
  <c r="AR292" i="11"/>
  <c r="BQ386" i="11"/>
  <c r="AR490" i="11"/>
  <c r="AR493" i="11" s="1"/>
  <c r="AR495" i="11" s="1"/>
  <c r="Q519" i="11"/>
  <c r="Q513" i="11"/>
  <c r="BR99" i="11"/>
  <c r="BR158" i="11"/>
  <c r="BB491" i="11"/>
  <c r="BB995" i="11"/>
  <c r="AJ1003" i="11"/>
  <c r="AJ702" i="11"/>
  <c r="AJ931" i="11" s="1"/>
  <c r="AJ220" i="11"/>
  <c r="BE1003" i="11"/>
  <c r="BE702" i="11"/>
  <c r="BE931" i="11" s="1"/>
  <c r="BE220" i="11"/>
  <c r="T914" i="11"/>
  <c r="T916" i="11" s="1"/>
  <c r="AR978" i="11"/>
  <c r="AR987" i="11" s="1"/>
  <c r="AR989" i="11" s="1"/>
  <c r="BL7" i="11"/>
  <c r="BJ29" i="11"/>
  <c r="BJ38" i="11"/>
  <c r="W36" i="11"/>
  <c r="P48" i="11"/>
  <c r="P50" i="11"/>
  <c r="AK51" i="11"/>
  <c r="AK50" i="11"/>
  <c r="AK48" i="11"/>
  <c r="BG51" i="11"/>
  <c r="BG52" i="11"/>
  <c r="BG50" i="11"/>
  <c r="T58" i="11"/>
  <c r="T60" i="11"/>
  <c r="AN64" i="11"/>
  <c r="AN58" i="11"/>
  <c r="BH60" i="11"/>
  <c r="BH58" i="11"/>
  <c r="AN60" i="11"/>
  <c r="W67" i="11"/>
  <c r="M85" i="11"/>
  <c r="O85" i="11"/>
  <c r="AK85" i="11"/>
  <c r="BG85" i="11"/>
  <c r="BG82" i="11"/>
  <c r="BL82" i="11" s="1"/>
  <c r="AM95" i="11"/>
  <c r="M103" i="11"/>
  <c r="U104" i="11"/>
  <c r="Z105" i="11" s="1"/>
  <c r="N916" i="11"/>
  <c r="BD132" i="11"/>
  <c r="BD131" i="11" s="1"/>
  <c r="BL158" i="11"/>
  <c r="H184" i="11"/>
  <c r="H188" i="11" s="1"/>
  <c r="H190" i="11" s="1"/>
  <c r="N193" i="11"/>
  <c r="AA930" i="11"/>
  <c r="AA165" i="11"/>
  <c r="AA114" i="11"/>
  <c r="AX930" i="11"/>
  <c r="AX165" i="11"/>
  <c r="AN293" i="11"/>
  <c r="AN292" i="11"/>
  <c r="BA293" i="11"/>
  <c r="AQ342" i="11"/>
  <c r="N561" i="11"/>
  <c r="N564" i="11"/>
  <c r="N558" i="11"/>
  <c r="BL125" i="11"/>
  <c r="BL170" i="11"/>
  <c r="BD733" i="11"/>
  <c r="BD491" i="11"/>
  <c r="BD995" i="11"/>
  <c r="N1003" i="11"/>
  <c r="N220" i="11"/>
  <c r="N702" i="11"/>
  <c r="N931" i="11" s="1"/>
  <c r="AK1003" i="11"/>
  <c r="AK702" i="11"/>
  <c r="AK931" i="11" s="1"/>
  <c r="AK220" i="11"/>
  <c r="BF1003" i="11"/>
  <c r="BF702" i="11"/>
  <c r="BF931" i="11" s="1"/>
  <c r="BF220" i="11"/>
  <c r="BB1003" i="11"/>
  <c r="BB702" i="11"/>
  <c r="BB221" i="11"/>
  <c r="AD512" i="11"/>
  <c r="AD517" i="11"/>
  <c r="BR632" i="11"/>
  <c r="BR635" i="11"/>
  <c r="BR247" i="11"/>
  <c r="G827" i="11"/>
  <c r="AW853" i="11"/>
  <c r="AW696" i="11"/>
  <c r="U908" i="11"/>
  <c r="Y987" i="11"/>
  <c r="AW987" i="11"/>
  <c r="BL21" i="11"/>
  <c r="BQ13" i="11"/>
  <c r="AB19" i="11"/>
  <c r="AB22" i="11"/>
  <c r="AB26" i="11"/>
  <c r="AB27" i="11" s="1"/>
  <c r="AG23" i="11"/>
  <c r="AD32" i="11"/>
  <c r="AD26" i="11"/>
  <c r="AD27" i="11" s="1"/>
  <c r="AH38" i="11"/>
  <c r="AH39" i="11" s="1"/>
  <c r="AD29" i="11"/>
  <c r="V996" i="11"/>
  <c r="V36" i="11"/>
  <c r="AH67" i="11"/>
  <c r="BA85" i="11"/>
  <c r="BE997" i="11"/>
  <c r="BE87" i="11"/>
  <c r="AW109" i="11"/>
  <c r="AW97" i="11"/>
  <c r="AW100" i="11" s="1"/>
  <c r="AL105" i="11"/>
  <c r="AX183" i="11"/>
  <c r="L198" i="11"/>
  <c r="L207" i="11" s="1"/>
  <c r="L195" i="11"/>
  <c r="AB900" i="11"/>
  <c r="AB902" i="11"/>
  <c r="AB908" i="11" s="1"/>
  <c r="AB903" i="11"/>
  <c r="AB904" i="11"/>
  <c r="AB160" i="11"/>
  <c r="AB1004" i="11" s="1"/>
  <c r="AB511" i="11"/>
  <c r="AC517" i="11" s="1"/>
  <c r="AR115" i="11"/>
  <c r="AR143" i="11"/>
  <c r="AR116" i="11"/>
  <c r="BG292" i="11"/>
  <c r="AB538" i="11"/>
  <c r="AE520" i="11"/>
  <c r="AA538" i="11"/>
  <c r="O837" i="11"/>
  <c r="O782" i="11"/>
  <c r="O790" i="11" s="1"/>
  <c r="AM715" i="11"/>
  <c r="AM716" i="11" s="1"/>
  <c r="AM243" i="11"/>
  <c r="BH715" i="11"/>
  <c r="BH716" i="11" s="1"/>
  <c r="BH243" i="11"/>
  <c r="W253" i="11"/>
  <c r="BM21" i="11"/>
  <c r="BR13" i="11"/>
  <c r="BR21" i="11" s="1"/>
  <c r="AD15" i="11"/>
  <c r="AW27" i="11"/>
  <c r="AS996" i="11"/>
  <c r="AS67" i="11"/>
  <c r="AS82" i="11" s="1"/>
  <c r="AX83" i="11" s="1"/>
  <c r="AS31" i="11"/>
  <c r="AX36" i="11"/>
  <c r="BO34" i="11"/>
  <c r="AS35" i="11"/>
  <c r="AS64" i="11"/>
  <c r="AS59" i="11"/>
  <c r="AS60" i="11"/>
  <c r="AS58" i="11"/>
  <c r="BB74" i="11"/>
  <c r="BG75" i="11" s="1"/>
  <c r="BB111" i="11"/>
  <c r="Z103" i="11"/>
  <c r="AH198" i="11"/>
  <c r="AH207" i="11" s="1"/>
  <c r="AH195" i="11"/>
  <c r="I716" i="11"/>
  <c r="I155" i="11"/>
  <c r="I156" i="11" s="1"/>
  <c r="I572" i="11" s="1"/>
  <c r="I511" i="11"/>
  <c r="I232" i="11"/>
  <c r="AC902" i="11"/>
  <c r="AC900" i="11"/>
  <c r="AC903" i="11"/>
  <c r="AH909" i="11" s="1"/>
  <c r="AC901" i="11"/>
  <c r="AC907" i="11" s="1"/>
  <c r="AC904" i="11"/>
  <c r="AC910" i="11" s="1"/>
  <c r="AC996" i="11"/>
  <c r="AC160" i="11"/>
  <c r="AC1004" i="11" s="1"/>
  <c r="AY903" i="11"/>
  <c r="AY902" i="11"/>
  <c r="AY908" i="11" s="1"/>
  <c r="AY904" i="11"/>
  <c r="AY901" i="11"/>
  <c r="AY907" i="11" s="1"/>
  <c r="AY511" i="11"/>
  <c r="BD520" i="11" s="1"/>
  <c r="AY716" i="11"/>
  <c r="AY232" i="11"/>
  <c r="AY166" i="11"/>
  <c r="BA556" i="11"/>
  <c r="BA238" i="11"/>
  <c r="Q243" i="11"/>
  <c r="S292" i="11"/>
  <c r="BH467" i="11"/>
  <c r="BH465" i="11"/>
  <c r="AG517" i="11"/>
  <c r="H672" i="11"/>
  <c r="H673" i="11"/>
  <c r="AN715" i="11"/>
  <c r="AN716" i="11" s="1"/>
  <c r="AN243" i="11"/>
  <c r="BA853" i="11"/>
  <c r="BA696" i="11"/>
  <c r="AV919" i="11"/>
  <c r="AM1001" i="11"/>
  <c r="BP9" i="11"/>
  <c r="BK8" i="11"/>
  <c r="BN8" i="11" s="1"/>
  <c r="BN9" i="11" s="1"/>
  <c r="X996" i="11"/>
  <c r="X36" i="11"/>
  <c r="N85" i="11"/>
  <c r="BC74" i="11"/>
  <c r="BG104" i="11"/>
  <c r="BG95" i="11"/>
  <c r="AA103" i="11"/>
  <c r="P125" i="11"/>
  <c r="AS249" i="11"/>
  <c r="AS739" i="11" s="1"/>
  <c r="AS201" i="11"/>
  <c r="AZ902" i="11"/>
  <c r="AZ903" i="11"/>
  <c r="AZ901" i="11"/>
  <c r="AZ165" i="11"/>
  <c r="AZ232" i="11"/>
  <c r="AZ152" i="11"/>
  <c r="AZ153" i="11" s="1"/>
  <c r="AZ155" i="11"/>
  <c r="AZ156" i="11" s="1"/>
  <c r="AZ572" i="11" s="1"/>
  <c r="I930" i="11"/>
  <c r="I114" i="11"/>
  <c r="R243" i="11"/>
  <c r="AA253" i="11"/>
  <c r="BH397" i="11"/>
  <c r="BH399" i="11"/>
  <c r="BH402" i="11" s="1"/>
  <c r="M518" i="11"/>
  <c r="M229" i="11"/>
  <c r="M515" i="11"/>
  <c r="BM536" i="11"/>
  <c r="AH520" i="11"/>
  <c r="AH517" i="11"/>
  <c r="L512" i="11"/>
  <c r="S715" i="11"/>
  <c r="S716" i="11" s="1"/>
  <c r="S845" i="11"/>
  <c r="BJ715" i="11"/>
  <c r="BJ243" i="11"/>
  <c r="G863" i="11"/>
  <c r="AC863" i="11"/>
  <c r="W14" i="11"/>
  <c r="AY23" i="11"/>
  <c r="AY20" i="11"/>
  <c r="AY13" i="11"/>
  <c r="AY14" i="11" s="1"/>
  <c r="AY24" i="11"/>
  <c r="AI74" i="11"/>
  <c r="AN75" i="11" s="1"/>
  <c r="V82" i="11"/>
  <c r="AR85" i="11"/>
  <c r="U997" i="11"/>
  <c r="U86" i="11"/>
  <c r="BH95" i="11"/>
  <c r="AB103" i="11"/>
  <c r="Q125" i="11"/>
  <c r="S916" i="11"/>
  <c r="AW472" i="11"/>
  <c r="K903" i="11"/>
  <c r="K909" i="11" s="1"/>
  <c r="K902" i="11"/>
  <c r="K900" i="11"/>
  <c r="K906" i="11" s="1"/>
  <c r="K901" i="11"/>
  <c r="K511" i="11"/>
  <c r="P538" i="11" s="1"/>
  <c r="K155" i="11"/>
  <c r="K156" i="11" s="1"/>
  <c r="K572" i="11" s="1"/>
  <c r="K573" i="11" s="1"/>
  <c r="K232" i="11"/>
  <c r="K166" i="11"/>
  <c r="K716" i="11"/>
  <c r="AE904" i="11"/>
  <c r="AE910" i="11" s="1"/>
  <c r="AE901" i="11"/>
  <c r="AE903" i="11"/>
  <c r="AE902" i="11"/>
  <c r="AE232" i="11"/>
  <c r="AE900" i="11"/>
  <c r="AE906" i="11" s="1"/>
  <c r="AE152" i="11"/>
  <c r="AE153" i="11" s="1"/>
  <c r="BA903" i="11"/>
  <c r="BA902" i="11"/>
  <c r="BA901" i="11"/>
  <c r="BA511" i="11"/>
  <c r="BA155" i="11"/>
  <c r="BA156" i="11" s="1"/>
  <c r="BA572" i="11" s="1"/>
  <c r="AH930" i="11"/>
  <c r="AH165" i="11"/>
  <c r="S243" i="11"/>
  <c r="BH382" i="11"/>
  <c r="BH385" i="11" s="1"/>
  <c r="BH380" i="11"/>
  <c r="BQ515" i="11"/>
  <c r="BQ229" i="11"/>
  <c r="BQ518" i="11"/>
  <c r="AI520" i="11"/>
  <c r="AI517" i="11"/>
  <c r="AA567" i="11"/>
  <c r="AA571" i="11" s="1"/>
  <c r="Y592" i="11"/>
  <c r="BP632" i="11"/>
  <c r="BP635" i="11"/>
  <c r="BP247" i="11"/>
  <c r="BD696" i="11"/>
  <c r="BD853" i="11"/>
  <c r="K696" i="11"/>
  <c r="K853" i="11"/>
  <c r="AR1003" i="11"/>
  <c r="AR702" i="11"/>
  <c r="AR931" i="11" s="1"/>
  <c r="BN1003" i="11"/>
  <c r="AM1003" i="11"/>
  <c r="AM702" i="11"/>
  <c r="AM931" i="11" s="1"/>
  <c r="AM221" i="11"/>
  <c r="AR908" i="11"/>
  <c r="BC1014" i="11"/>
  <c r="AO1014" i="11"/>
  <c r="AO973" i="11"/>
  <c r="AS731" i="11"/>
  <c r="AS730" i="11"/>
  <c r="BC26" i="11"/>
  <c r="BC27" i="11" s="1"/>
  <c r="H996" i="11"/>
  <c r="H67" i="11"/>
  <c r="H35" i="11"/>
  <c r="I35" i="11"/>
  <c r="Y50" i="11"/>
  <c r="Y52" i="11"/>
  <c r="Y48" i="11"/>
  <c r="BB50" i="11"/>
  <c r="BD70" i="11"/>
  <c r="BI71" i="11" s="1"/>
  <c r="BE74" i="11"/>
  <c r="BJ75" i="11" s="1"/>
  <c r="W85" i="11"/>
  <c r="V85" i="11"/>
  <c r="BI96" i="11"/>
  <c r="BI97" i="11"/>
  <c r="L96" i="11"/>
  <c r="L97" i="11"/>
  <c r="L100" i="11" s="1"/>
  <c r="AI104" i="11"/>
  <c r="AN105" i="11" s="1"/>
  <c r="AC103" i="11"/>
  <c r="R125" i="11"/>
  <c r="L131" i="11"/>
  <c r="AE166" i="11"/>
  <c r="BH996" i="11"/>
  <c r="BH35" i="11"/>
  <c r="BH67" i="11"/>
  <c r="BH175" i="11"/>
  <c r="BH184" i="11" s="1"/>
  <c r="BH188" i="11" s="1"/>
  <c r="BH190" i="11" s="1"/>
  <c r="L903" i="11"/>
  <c r="L716" i="11"/>
  <c r="L232" i="11"/>
  <c r="BB901" i="11"/>
  <c r="BB903" i="11"/>
  <c r="BB900" i="11"/>
  <c r="BB902" i="11"/>
  <c r="BB511" i="11"/>
  <c r="BG520" i="11" s="1"/>
  <c r="BB232" i="11"/>
  <c r="AI930" i="11"/>
  <c r="AI165" i="11"/>
  <c r="AD293" i="11"/>
  <c r="AD292" i="11"/>
  <c r="BC380" i="11"/>
  <c r="BC972" i="11" s="1"/>
  <c r="BC973" i="11" s="1"/>
  <c r="AJ520" i="11"/>
  <c r="AJ538" i="11"/>
  <c r="AI538" i="11"/>
  <c r="AH538" i="11"/>
  <c r="AN538" i="11"/>
  <c r="AM538" i="11"/>
  <c r="AK538" i="11"/>
  <c r="L199" i="11"/>
  <c r="L845" i="11"/>
  <c r="Q863" i="11"/>
  <c r="AS1003" i="11"/>
  <c r="AS702" i="11"/>
  <c r="AS931" i="11" s="1"/>
  <c r="AH15" i="11"/>
  <c r="BI13" i="11"/>
  <c r="BI14" i="11" s="1"/>
  <c r="BI24" i="11"/>
  <c r="J31" i="11"/>
  <c r="J32" i="11" s="1"/>
  <c r="BD50" i="11"/>
  <c r="Q74" i="11"/>
  <c r="BF74" i="11"/>
  <c r="BK74" i="11" s="1"/>
  <c r="Z85" i="11"/>
  <c r="S95" i="11"/>
  <c r="X96" i="11" s="1"/>
  <c r="K93" i="11"/>
  <c r="AF166" i="11"/>
  <c r="AM184" i="11"/>
  <c r="AM188" i="11" s="1"/>
  <c r="AM190" i="11" s="1"/>
  <c r="X207" i="11"/>
  <c r="BD238" i="11"/>
  <c r="L242" i="11"/>
  <c r="W293" i="11"/>
  <c r="W292" i="11"/>
  <c r="AD297" i="11"/>
  <c r="AA592" i="11"/>
  <c r="AB567" i="11"/>
  <c r="AB571" i="11" s="1"/>
  <c r="BN915" i="11"/>
  <c r="AJ740" i="11"/>
  <c r="H853" i="11"/>
  <c r="H696" i="11"/>
  <c r="BD863" i="11"/>
  <c r="BA14" i="11"/>
  <c r="AV14" i="11"/>
  <c r="BI20" i="11"/>
  <c r="BI26" i="11"/>
  <c r="AS36" i="11"/>
  <c r="N50" i="11"/>
  <c r="BE50" i="11"/>
  <c r="M52" i="11"/>
  <c r="AD64" i="11"/>
  <c r="AD58" i="11"/>
  <c r="AD60" i="11"/>
  <c r="AD59" i="11"/>
  <c r="AX69" i="11"/>
  <c r="AL74" i="11"/>
  <c r="W78" i="11"/>
  <c r="W79" i="11" s="1"/>
  <c r="Y85" i="11"/>
  <c r="BE86" i="11"/>
  <c r="BJ95" i="11"/>
  <c r="AW96" i="11"/>
  <c r="AH103" i="11"/>
  <c r="H160" i="11"/>
  <c r="H1004" i="11" s="1"/>
  <c r="AG166" i="11"/>
  <c r="AD155" i="11"/>
  <c r="AD156" i="11" s="1"/>
  <c r="AD572" i="11" s="1"/>
  <c r="AD573" i="11" s="1"/>
  <c r="S184" i="11"/>
  <c r="S188" i="11" s="1"/>
  <c r="S190" i="11" s="1"/>
  <c r="AH193" i="11"/>
  <c r="X232" i="11"/>
  <c r="X155" i="11"/>
  <c r="X156" i="11" s="1"/>
  <c r="X572" i="11" s="1"/>
  <c r="X573" i="11" s="1"/>
  <c r="X152" i="11"/>
  <c r="X153" i="11" s="1"/>
  <c r="AU152" i="11"/>
  <c r="AU153" i="11" s="1"/>
  <c r="AU155" i="11"/>
  <c r="AU156" i="11" s="1"/>
  <c r="AU572" i="11" s="1"/>
  <c r="AZ166" i="11"/>
  <c r="AZ115" i="11"/>
  <c r="BB287" i="11"/>
  <c r="BG293" i="11" s="1"/>
  <c r="BE972" i="11"/>
  <c r="O515" i="11"/>
  <c r="O229" i="11"/>
  <c r="O518" i="11"/>
  <c r="O512" i="11"/>
  <c r="AD538" i="11"/>
  <c r="W995" i="11"/>
  <c r="W733" i="11"/>
  <c r="Y821" i="11"/>
  <c r="Y824" i="11" s="1"/>
  <c r="Y866" i="11"/>
  <c r="N827" i="11"/>
  <c r="AB845" i="11"/>
  <c r="AZ845" i="11"/>
  <c r="W715" i="11"/>
  <c r="W716" i="11" s="1"/>
  <c r="W243" i="11"/>
  <c r="AS715" i="11"/>
  <c r="AS716" i="11" s="1"/>
  <c r="AS243" i="11"/>
  <c r="AH863" i="11"/>
  <c r="BE863" i="11"/>
  <c r="P926" i="11"/>
  <c r="BQ981" i="11"/>
  <c r="AR996" i="11"/>
  <c r="AR36" i="11"/>
  <c r="AR67" i="11"/>
  <c r="AW36" i="11"/>
  <c r="BH51" i="11"/>
  <c r="BH46" i="11"/>
  <c r="J997" i="11"/>
  <c r="N95" i="11"/>
  <c r="F109" i="11"/>
  <c r="F97" i="11"/>
  <c r="F100" i="11" s="1"/>
  <c r="F96" i="11"/>
  <c r="U573" i="11"/>
  <c r="H511" i="11"/>
  <c r="H155" i="11"/>
  <c r="H156" i="11" s="1"/>
  <c r="H572" i="11" s="1"/>
  <c r="AX903" i="11"/>
  <c r="AX901" i="11"/>
  <c r="AX511" i="11"/>
  <c r="AX232" i="11"/>
  <c r="AD233" i="11"/>
  <c r="BH287" i="11"/>
  <c r="BH431" i="11"/>
  <c r="BH476" i="11"/>
  <c r="BI476" i="11" s="1"/>
  <c r="BL563" i="11"/>
  <c r="BL233" i="11"/>
  <c r="BL560" i="11"/>
  <c r="BO672" i="11"/>
  <c r="BO673" i="11"/>
  <c r="BI995" i="11"/>
  <c r="BI491" i="11"/>
  <c r="BH1003" i="11"/>
  <c r="BH702" i="11"/>
  <c r="BH931" i="11" s="1"/>
  <c r="BH220" i="11"/>
  <c r="AX985" i="11"/>
  <c r="AC22" i="11"/>
  <c r="AC19" i="11"/>
  <c r="AC26" i="11"/>
  <c r="AH23" i="11"/>
  <c r="AC13" i="11"/>
  <c r="AM38" i="11"/>
  <c r="AI26" i="11"/>
  <c r="AN29" i="11"/>
  <c r="AI38" i="11"/>
  <c r="AI39" i="11" s="1"/>
  <c r="AI29" i="11"/>
  <c r="AL38" i="11"/>
  <c r="AL39" i="11" s="1"/>
  <c r="BG48" i="11"/>
  <c r="Y60" i="11"/>
  <c r="Y58" i="11"/>
  <c r="AG85" i="11"/>
  <c r="S997" i="11"/>
  <c r="O109" i="11"/>
  <c r="O97" i="11"/>
  <c r="G109" i="11"/>
  <c r="AM105" i="11"/>
  <c r="AS227" i="11"/>
  <c r="AS91" i="11"/>
  <c r="AS95" i="11" s="1"/>
  <c r="AS175" i="11"/>
  <c r="AS184" i="11" s="1"/>
  <c r="AS188" i="11" s="1"/>
  <c r="AS190" i="11" s="1"/>
  <c r="L34" i="11"/>
  <c r="L229" i="11"/>
  <c r="L518" i="11"/>
  <c r="Y635" i="11"/>
  <c r="Y632" i="11"/>
  <c r="Y247" i="11"/>
  <c r="Y121" i="11"/>
  <c r="AF22" i="11"/>
  <c r="AD22" i="11"/>
  <c r="AI23" i="11"/>
  <c r="AD13" i="11"/>
  <c r="AH85" i="11"/>
  <c r="P97" i="11"/>
  <c r="P109" i="11"/>
  <c r="BB103" i="11"/>
  <c r="BB104" i="11"/>
  <c r="J183" i="11"/>
  <c r="AC209" i="11"/>
  <c r="AC217" i="11" s="1"/>
  <c r="AD904" i="11"/>
  <c r="AD910" i="11" s="1"/>
  <c r="AD900" i="11"/>
  <c r="AD906" i="11" s="1"/>
  <c r="AD165" i="11"/>
  <c r="BD930" i="11"/>
  <c r="BD165" i="11"/>
  <c r="BD114" i="11"/>
  <c r="M672" i="11"/>
  <c r="M673" i="11"/>
  <c r="BO23" i="11"/>
  <c r="BO22" i="11"/>
  <c r="AF15" i="11"/>
  <c r="AK16" i="11" s="1"/>
  <c r="AU31" i="11"/>
  <c r="AY31" i="11" s="1"/>
  <c r="AU996" i="11"/>
  <c r="AU67" i="11"/>
  <c r="AU28" i="11"/>
  <c r="AV35" i="11"/>
  <c r="AU35" i="11"/>
  <c r="Y34" i="11"/>
  <c r="BD74" i="11"/>
  <c r="BI75" i="11" s="1"/>
  <c r="AT86" i="11"/>
  <c r="AX109" i="11"/>
  <c r="AX97" i="11"/>
  <c r="BC102" i="11"/>
  <c r="K131" i="11"/>
  <c r="BC227" i="11"/>
  <c r="BC91" i="11"/>
  <c r="BC95" i="11" s="1"/>
  <c r="AG15" i="11"/>
  <c r="BD15" i="11"/>
  <c r="BD23" i="11"/>
  <c r="BD20" i="11"/>
  <c r="BD24" i="11"/>
  <c r="U24" i="11"/>
  <c r="Z996" i="11"/>
  <c r="AM36" i="11"/>
  <c r="AI43" i="11"/>
  <c r="BD64" i="11"/>
  <c r="AJ74" i="11"/>
  <c r="N104" i="11"/>
  <c r="BD104" i="11"/>
  <c r="BI105" i="11" s="1"/>
  <c r="H152" i="11"/>
  <c r="H153" i="11" s="1"/>
  <c r="AF193" i="11"/>
  <c r="W628" i="11"/>
  <c r="W742" i="11"/>
  <c r="AF903" i="11"/>
  <c r="AF902" i="11"/>
  <c r="AF900" i="11"/>
  <c r="AF904" i="11"/>
  <c r="AF901" i="11"/>
  <c r="AF907" i="11" s="1"/>
  <c r="AF511" i="11"/>
  <c r="AF152" i="11"/>
  <c r="AF153" i="11" s="1"/>
  <c r="AF232" i="11"/>
  <c r="K930" i="11"/>
  <c r="K114" i="11"/>
  <c r="K152" i="11"/>
  <c r="K153" i="11" s="1"/>
  <c r="O740" i="11"/>
  <c r="V293" i="11"/>
  <c r="V292" i="11"/>
  <c r="AY972" i="11"/>
  <c r="BS229" i="11"/>
  <c r="BS518" i="11"/>
  <c r="AE601" i="11"/>
  <c r="AE555" i="11"/>
  <c r="AD601" i="11"/>
  <c r="AD600" i="11"/>
  <c r="W1003" i="11"/>
  <c r="W702" i="11"/>
  <c r="W931" i="11" s="1"/>
  <c r="W220" i="11"/>
  <c r="BO863" i="11"/>
  <c r="BS1011" i="11" s="1"/>
  <c r="BS858" i="11"/>
  <c r="BO1003" i="11"/>
  <c r="AT908" i="11"/>
  <c r="BB16" i="11"/>
  <c r="BH26" i="11"/>
  <c r="AV29" i="11"/>
  <c r="AX38" i="11"/>
  <c r="AX39" i="11" s="1"/>
  <c r="AW38" i="11"/>
  <c r="AV38" i="11"/>
  <c r="AV39" i="11" s="1"/>
  <c r="M50" i="11"/>
  <c r="L52" i="11"/>
  <c r="BH63" i="11"/>
  <c r="AK74" i="11"/>
  <c r="X85" i="11"/>
  <c r="X82" i="11"/>
  <c r="AC83" i="11" s="1"/>
  <c r="BF95" i="11"/>
  <c r="AG103" i="11"/>
  <c r="U914" i="11"/>
  <c r="U131" i="11"/>
  <c r="M131" i="11"/>
  <c r="I152" i="11"/>
  <c r="I153" i="11" s="1"/>
  <c r="BE155" i="11"/>
  <c r="BE156" i="11" s="1"/>
  <c r="BE572" i="11" s="1"/>
  <c r="R184" i="11"/>
  <c r="R188" i="11" s="1"/>
  <c r="R190" i="11" s="1"/>
  <c r="AG903" i="11"/>
  <c r="AG909" i="11" s="1"/>
  <c r="W155" i="11"/>
  <c r="W156" i="11" s="1"/>
  <c r="W572" i="11" s="1"/>
  <c r="W573" i="11" s="1"/>
  <c r="W152" i="11"/>
  <c r="W153" i="11" s="1"/>
  <c r="AT155" i="11"/>
  <c r="AT156" i="11" s="1"/>
  <c r="AT572" i="11" s="1"/>
  <c r="AT152" i="11"/>
  <c r="AT153" i="11" s="1"/>
  <c r="AI293" i="11"/>
  <c r="BD1014" i="11"/>
  <c r="BD973" i="11"/>
  <c r="L537" i="11"/>
  <c r="L536" i="11"/>
  <c r="AC538" i="11"/>
  <c r="G592" i="11"/>
  <c r="H567" i="11"/>
  <c r="H571" i="11" s="1"/>
  <c r="BS627" i="11"/>
  <c r="AU718" i="11"/>
  <c r="AU719" i="11" s="1"/>
  <c r="AU720" i="11" s="1"/>
  <c r="AU721" i="11" s="1"/>
  <c r="AU699" i="11"/>
  <c r="M199" i="11"/>
  <c r="M242" i="11"/>
  <c r="V715" i="11"/>
  <c r="V716" i="11" s="1"/>
  <c r="V243" i="11"/>
  <c r="X1003" i="11"/>
  <c r="X702" i="11"/>
  <c r="X931" i="11" s="1"/>
  <c r="X220" i="11"/>
  <c r="T902" i="11"/>
  <c r="T908" i="11" s="1"/>
  <c r="BC729" i="11"/>
  <c r="AB996" i="11"/>
  <c r="BJ26" i="11"/>
  <c r="AY996" i="11"/>
  <c r="AY28" i="11"/>
  <c r="BC35" i="11"/>
  <c r="BF50" i="11"/>
  <c r="N52" i="11"/>
  <c r="AE60" i="11"/>
  <c r="AE58" i="11"/>
  <c r="AE59" i="11"/>
  <c r="AE64" i="11"/>
  <c r="U71" i="11"/>
  <c r="S74" i="11"/>
  <c r="X75" i="11" s="1"/>
  <c r="AM74" i="11"/>
  <c r="X78" i="11"/>
  <c r="E85" i="11"/>
  <c r="BF82" i="11"/>
  <c r="BK82" i="11" s="1"/>
  <c r="M97" i="11"/>
  <c r="M100" i="11" s="1"/>
  <c r="M96" i="11"/>
  <c r="Z97" i="11"/>
  <c r="AI103" i="11"/>
  <c r="AR104" i="11"/>
  <c r="L109" i="11"/>
  <c r="BI109" i="11"/>
  <c r="BP125" i="11"/>
  <c r="I160" i="11"/>
  <c r="I1004" i="11" s="1"/>
  <c r="AI231" i="11"/>
  <c r="AI94" i="11"/>
  <c r="AI95" i="11" s="1"/>
  <c r="AK198" i="11"/>
  <c r="AK207" i="11" s="1"/>
  <c r="AK193" i="11"/>
  <c r="AK195" i="11"/>
  <c r="J202" i="11"/>
  <c r="J250" i="11"/>
  <c r="AF198" i="11"/>
  <c r="AF207" i="11" s="1"/>
  <c r="AC221" i="11"/>
  <c r="BA221" i="11"/>
  <c r="Y152" i="11"/>
  <c r="Y153" i="11" s="1"/>
  <c r="Y155" i="11"/>
  <c r="Y156" i="11" s="1"/>
  <c r="Y572" i="11" s="1"/>
  <c r="Y573" i="11" s="1"/>
  <c r="M556" i="11"/>
  <c r="M238" i="11"/>
  <c r="BH235" i="11"/>
  <c r="BH160" i="11" s="1"/>
  <c r="BH1004" i="11" s="1"/>
  <c r="BJ930" i="11"/>
  <c r="BJ152" i="11"/>
  <c r="BJ153" i="11" s="1"/>
  <c r="Y166" i="11"/>
  <c r="Y143" i="11"/>
  <c r="BA116" i="11"/>
  <c r="BA166" i="11"/>
  <c r="BJ739" i="11"/>
  <c r="AF292" i="11"/>
  <c r="AF293" i="11"/>
  <c r="BF973" i="11"/>
  <c r="BF1014" i="11"/>
  <c r="BJ476" i="11"/>
  <c r="BJ472" i="11" s="1"/>
  <c r="Q515" i="11"/>
  <c r="Q229" i="11"/>
  <c r="Q518" i="11"/>
  <c r="AE538" i="11"/>
  <c r="H601" i="11"/>
  <c r="H600" i="11"/>
  <c r="L560" i="11"/>
  <c r="L563" i="11"/>
  <c r="AC845" i="11"/>
  <c r="AD902" i="11"/>
  <c r="AD908" i="11" s="1"/>
  <c r="T904" i="11"/>
  <c r="R672" i="11"/>
  <c r="R673" i="11"/>
  <c r="BA863" i="11"/>
  <c r="BD1011" i="11" s="1"/>
  <c r="P702" i="11"/>
  <c r="P931" i="11" s="1"/>
  <c r="P220" i="11"/>
  <c r="AL702" i="11"/>
  <c r="AL931" i="11" s="1"/>
  <c r="AL1003" i="11"/>
  <c r="AL220" i="11"/>
  <c r="BG1003" i="11"/>
  <c r="BG702" i="11"/>
  <c r="BG931" i="11" s="1"/>
  <c r="BG220" i="11"/>
  <c r="M884" i="11"/>
  <c r="M712" i="11"/>
  <c r="AH884" i="11"/>
  <c r="AH712" i="11"/>
  <c r="BC900" i="11"/>
  <c r="AD903" i="11"/>
  <c r="AD909" i="11" s="1"/>
  <c r="AG989" i="11"/>
  <c r="AG1001" i="11"/>
  <c r="BC16" i="11"/>
  <c r="X19" i="11"/>
  <c r="X23" i="11"/>
  <c r="AO47" i="11"/>
  <c r="AO64" i="11" s="1"/>
  <c r="AO43" i="11"/>
  <c r="AC48" i="11"/>
  <c r="AC64" i="11"/>
  <c r="AC51" i="11"/>
  <c r="AC50" i="11"/>
  <c r="BD59" i="11"/>
  <c r="BD58" i="11"/>
  <c r="AA67" i="11"/>
  <c r="T95" i="11"/>
  <c r="Y109" i="11"/>
  <c r="O104" i="11"/>
  <c r="T105" i="11" s="1"/>
  <c r="P105" i="11"/>
  <c r="H131" i="11"/>
  <c r="AD175" i="11"/>
  <c r="AD184" i="11" s="1"/>
  <c r="AD188" i="11" s="1"/>
  <c r="AD190" i="11" s="1"/>
  <c r="AY184" i="11"/>
  <c r="AY188" i="11" s="1"/>
  <c r="AY190" i="11" s="1"/>
  <c r="W903" i="11"/>
  <c r="W232" i="11"/>
  <c r="W904" i="11"/>
  <c r="W910" i="11" s="1"/>
  <c r="W511" i="11"/>
  <c r="X900" i="11"/>
  <c r="X906" i="11" s="1"/>
  <c r="W900" i="11"/>
  <c r="W906" i="11" s="1"/>
  <c r="AR903" i="11"/>
  <c r="AR909" i="11" s="1"/>
  <c r="AR904" i="11"/>
  <c r="AR900" i="11"/>
  <c r="AR906" i="11" s="1"/>
  <c r="AR901" i="11"/>
  <c r="AR907" i="11" s="1"/>
  <c r="AR511" i="11"/>
  <c r="AR232" i="11"/>
  <c r="R930" i="11"/>
  <c r="R114" i="11"/>
  <c r="BD473" i="11"/>
  <c r="U512" i="11"/>
  <c r="U538" i="11"/>
  <c r="T538" i="11"/>
  <c r="U520" i="11"/>
  <c r="S538" i="11"/>
  <c r="R538" i="11"/>
  <c r="Q538" i="11"/>
  <c r="BJ520" i="11"/>
  <c r="V563" i="11"/>
  <c r="V560" i="11"/>
  <c r="AB635" i="11"/>
  <c r="Y856" i="11"/>
  <c r="Y863" i="11" s="1"/>
  <c r="Y800" i="11"/>
  <c r="BB863" i="11"/>
  <c r="Q702" i="11"/>
  <c r="Q931" i="11" s="1"/>
  <c r="AG1003" i="11"/>
  <c r="AG702" i="11"/>
  <c r="AG931" i="11" s="1"/>
  <c r="P863" i="11"/>
  <c r="N884" i="11"/>
  <c r="N712" i="11"/>
  <c r="BS871" i="11"/>
  <c r="BD1001" i="11"/>
  <c r="AX14" i="11"/>
  <c r="AJ16" i="11"/>
  <c r="BE16" i="11"/>
  <c r="P26" i="11"/>
  <c r="P15" i="11"/>
  <c r="P16" i="11" s="1"/>
  <c r="E996" i="11"/>
  <c r="E67" i="11"/>
  <c r="E82" i="11" s="1"/>
  <c r="F83" i="11" s="1"/>
  <c r="F36" i="11"/>
  <c r="AD50" i="11"/>
  <c r="F78" i="11"/>
  <c r="AP997" i="11"/>
  <c r="U96" i="11"/>
  <c r="U97" i="11"/>
  <c r="AP95" i="11"/>
  <c r="I131" i="11"/>
  <c r="AI902" i="11"/>
  <c r="AI904" i="11"/>
  <c r="AI903" i="11"/>
  <c r="AI900" i="11"/>
  <c r="BC201" i="11"/>
  <c r="BC249" i="11"/>
  <c r="BC739" i="11" s="1"/>
  <c r="AT901" i="11"/>
  <c r="AT907" i="11" s="1"/>
  <c r="AT903" i="11"/>
  <c r="AT904" i="11"/>
  <c r="AT910" i="11" s="1"/>
  <c r="AT511" i="11"/>
  <c r="AT900" i="11"/>
  <c r="AT906" i="11" s="1"/>
  <c r="AT232" i="11"/>
  <c r="AT166" i="11"/>
  <c r="AT716" i="11"/>
  <c r="AG232" i="11"/>
  <c r="AO930" i="11"/>
  <c r="AO114" i="11"/>
  <c r="P740" i="11"/>
  <c r="F253" i="11"/>
  <c r="AY253" i="11"/>
  <c r="AX416" i="11"/>
  <c r="AX419" i="11" s="1"/>
  <c r="BL600" i="11"/>
  <c r="BL601" i="11"/>
  <c r="AK715" i="11"/>
  <c r="AK716" i="11" s="1"/>
  <c r="AK243" i="11"/>
  <c r="BF243" i="11"/>
  <c r="BF715" i="11"/>
  <c r="BF716" i="11" s="1"/>
  <c r="AU853" i="11"/>
  <c r="AN1003" i="11"/>
  <c r="AN702" i="11"/>
  <c r="AN931" i="11" s="1"/>
  <c r="BJ1003" i="11"/>
  <c r="BJ702" i="11"/>
  <c r="BJ931" i="11" s="1"/>
  <c r="AA903" i="11"/>
  <c r="F989" i="11"/>
  <c r="K16" i="11"/>
  <c r="BF16" i="11"/>
  <c r="AZ48" i="11"/>
  <c r="AZ50" i="11"/>
  <c r="I52" i="11"/>
  <c r="Q70" i="11"/>
  <c r="V71" i="11" s="1"/>
  <c r="G78" i="11"/>
  <c r="AQ82" i="11"/>
  <c r="AQ85" i="11"/>
  <c r="AV86" i="11" s="1"/>
  <c r="AQ95" i="11"/>
  <c r="J131" i="11"/>
  <c r="AD131" i="11"/>
  <c r="AG152" i="11"/>
  <c r="AG153" i="11" s="1"/>
  <c r="Z158" i="11"/>
  <c r="R165" i="11"/>
  <c r="L166" i="11"/>
  <c r="BC202" i="11"/>
  <c r="Y902" i="11"/>
  <c r="Y511" i="11"/>
  <c r="AD520" i="11" s="1"/>
  <c r="Y903" i="11"/>
  <c r="Y909" i="11" s="1"/>
  <c r="Y232" i="11"/>
  <c r="Y900" i="11"/>
  <c r="Y906" i="11" s="1"/>
  <c r="AA900" i="11"/>
  <c r="AU901" i="11"/>
  <c r="AU907" i="11" s="1"/>
  <c r="AU903" i="11"/>
  <c r="AU909" i="11" s="1"/>
  <c r="AU900" i="11"/>
  <c r="AU906" i="11" s="1"/>
  <c r="AU511" i="11"/>
  <c r="AU902" i="11"/>
  <c r="AU908" i="11" s="1"/>
  <c r="G253" i="11"/>
  <c r="AZ253" i="11"/>
  <c r="AY350" i="11"/>
  <c r="BD351" i="11"/>
  <c r="BJ972" i="11"/>
  <c r="AX467" i="11"/>
  <c r="AX465" i="11"/>
  <c r="AX972" i="11" s="1"/>
  <c r="BS571" i="11"/>
  <c r="AD632" i="11"/>
  <c r="AD635" i="11"/>
  <c r="AL715" i="11"/>
  <c r="AL716" i="11" s="1"/>
  <c r="AL243" i="11"/>
  <c r="BG715" i="11"/>
  <c r="BG716" i="11" s="1"/>
  <c r="BG243" i="11"/>
  <c r="S702" i="11"/>
  <c r="S931" i="11" s="1"/>
  <c r="S1003" i="11"/>
  <c r="W901" i="11"/>
  <c r="W907" i="11" s="1"/>
  <c r="M978" i="11"/>
  <c r="M987" i="11" s="1"/>
  <c r="M989" i="11" s="1"/>
  <c r="P1003" i="11"/>
  <c r="BQ9" i="11"/>
  <c r="BL8" i="11"/>
  <c r="M26" i="11"/>
  <c r="M13" i="11"/>
  <c r="S51" i="11"/>
  <c r="Z64" i="11"/>
  <c r="Z60" i="11"/>
  <c r="Z58" i="11"/>
  <c r="H82" i="11"/>
  <c r="AZ82" i="11"/>
  <c r="BE83" i="11" s="1"/>
  <c r="AT103" i="11"/>
  <c r="AN175" i="11"/>
  <c r="M900" i="11"/>
  <c r="M716" i="11"/>
  <c r="M160" i="11"/>
  <c r="M1004" i="11" s="1"/>
  <c r="AG902" i="11"/>
  <c r="AG908" i="11" s="1"/>
  <c r="AG900" i="11"/>
  <c r="AG906" i="11" s="1"/>
  <c r="AG904" i="11"/>
  <c r="AG910" i="11" s="1"/>
  <c r="AG155" i="11"/>
  <c r="AG156" i="11" s="1"/>
  <c r="AG572" i="11" s="1"/>
  <c r="BI160" i="11"/>
  <c r="BI1004" i="11" s="1"/>
  <c r="AC930" i="11"/>
  <c r="AC165" i="11"/>
  <c r="AB293" i="11"/>
  <c r="AK520" i="11"/>
  <c r="AK517" i="11"/>
  <c r="AB600" i="11"/>
  <c r="AB601" i="11"/>
  <c r="W632" i="11"/>
  <c r="W247" i="11"/>
  <c r="BM915" i="11"/>
  <c r="BM921" i="11"/>
  <c r="AG716" i="11"/>
  <c r="H824" i="11"/>
  <c r="H827" i="11" s="1"/>
  <c r="Q904" i="11"/>
  <c r="AQ989" i="11"/>
  <c r="AQ1001" i="11"/>
  <c r="AU989" i="11"/>
  <c r="V978" i="11"/>
  <c r="V987" i="11" s="1"/>
  <c r="V989" i="11" s="1"/>
  <c r="AX977" i="11"/>
  <c r="AX732" i="11"/>
  <c r="AX492" i="11" s="1"/>
  <c r="BO10" i="11"/>
  <c r="BM10" i="11"/>
  <c r="N26" i="11"/>
  <c r="N27" i="11" s="1"/>
  <c r="N13" i="11"/>
  <c r="N14" i="11" s="1"/>
  <c r="AN48" i="11"/>
  <c r="BA95" i="11"/>
  <c r="BA104" i="11"/>
  <c r="BF105" i="11" s="1"/>
  <c r="AO96" i="11"/>
  <c r="AT109" i="11"/>
  <c r="BH250" i="11"/>
  <c r="BH202" i="11"/>
  <c r="AI253" i="11"/>
  <c r="AI206" i="11"/>
  <c r="Q902" i="11"/>
  <c r="N511" i="11"/>
  <c r="Q901" i="11"/>
  <c r="Q903" i="11"/>
  <c r="N166" i="11"/>
  <c r="AH901" i="11"/>
  <c r="AH902" i="11"/>
  <c r="AH908" i="11" s="1"/>
  <c r="AH904" i="11"/>
  <c r="AH232" i="11"/>
  <c r="AH900" i="11"/>
  <c r="AL160" i="11"/>
  <c r="AL1004" i="11" s="1"/>
  <c r="AP348" i="11"/>
  <c r="AP352" i="11" s="1"/>
  <c r="AT348" i="11"/>
  <c r="AT352" i="11" s="1"/>
  <c r="AT972" i="11"/>
  <c r="AA518" i="11"/>
  <c r="AA34" i="11"/>
  <c r="BQ158" i="11"/>
  <c r="BQ99" i="11"/>
  <c r="BF994" i="11"/>
  <c r="BF733" i="11"/>
  <c r="T995" i="11"/>
  <c r="T733" i="11"/>
  <c r="AO995" i="11"/>
  <c r="AO733" i="11"/>
  <c r="AO491" i="11"/>
  <c r="I827" i="11"/>
  <c r="AG845" i="11"/>
  <c r="BE845" i="11"/>
  <c r="Z884" i="11"/>
  <c r="Z712" i="11"/>
  <c r="AE711" i="11"/>
  <c r="L711" i="11"/>
  <c r="L884" i="11"/>
  <c r="AM712" i="11"/>
  <c r="V712" i="11"/>
  <c r="AJ908" i="11"/>
  <c r="AA916" i="11"/>
  <c r="P919" i="11"/>
  <c r="P928" i="11" s="1"/>
  <c r="L919" i="11"/>
  <c r="K922" i="11"/>
  <c r="AF919" i="11"/>
  <c r="AE922" i="11"/>
  <c r="AJ919" i="11"/>
  <c r="AV989" i="11"/>
  <c r="AW965" i="11"/>
  <c r="AW967" i="11"/>
  <c r="AW978" i="11" s="1"/>
  <c r="M19" i="11"/>
  <c r="AB35" i="11"/>
  <c r="BJ48" i="11"/>
  <c r="BJ50" i="11"/>
  <c r="AS48" i="11"/>
  <c r="AT96" i="11"/>
  <c r="AT97" i="11"/>
  <c r="AT100" i="11" s="1"/>
  <c r="N99" i="11"/>
  <c r="BA103" i="11"/>
  <c r="AV104" i="11"/>
  <c r="AV105" i="11" s="1"/>
  <c r="AX152" i="11"/>
  <c r="AX153" i="11" s="1"/>
  <c r="AP184" i="11"/>
  <c r="AP188" i="11" s="1"/>
  <c r="AP190" i="11" s="1"/>
  <c r="AE930" i="11"/>
  <c r="AE114" i="11"/>
  <c r="AE165" i="11"/>
  <c r="M116" i="11"/>
  <c r="M166" i="11"/>
  <c r="AI292" i="11"/>
  <c r="AU972" i="11"/>
  <c r="BC416" i="11"/>
  <c r="BC419" i="11" s="1"/>
  <c r="H515" i="11"/>
  <c r="H229" i="11"/>
  <c r="AC518" i="11"/>
  <c r="AC515" i="11"/>
  <c r="J537" i="11"/>
  <c r="K536" i="11"/>
  <c r="K537" i="11"/>
  <c r="K510" i="11"/>
  <c r="AA512" i="11"/>
  <c r="BN600" i="11"/>
  <c r="BM600" i="11"/>
  <c r="BM601" i="11"/>
  <c r="T632" i="11"/>
  <c r="T247" i="11"/>
  <c r="T635" i="11"/>
  <c r="U733" i="11"/>
  <c r="AH845" i="11"/>
  <c r="BF845" i="11"/>
  <c r="F884" i="11"/>
  <c r="AT925" i="11"/>
  <c r="AT927" i="11"/>
  <c r="AG922" i="11"/>
  <c r="AS943" i="11"/>
  <c r="AS955" i="11" s="1"/>
  <c r="AS728" i="11"/>
  <c r="AX967" i="11"/>
  <c r="AX965" i="11"/>
  <c r="R23" i="11"/>
  <c r="AM48" i="11"/>
  <c r="AT64" i="11"/>
  <c r="AT59" i="11"/>
  <c r="AT60" i="11"/>
  <c r="Y103" i="11"/>
  <c r="Y104" i="11"/>
  <c r="AD105" i="11" s="1"/>
  <c r="T184" i="11"/>
  <c r="T188" i="11" s="1"/>
  <c r="T190" i="11" s="1"/>
  <c r="BE431" i="11"/>
  <c r="BE433" i="11"/>
  <c r="BE436" i="11" s="1"/>
  <c r="AE1013" i="11"/>
  <c r="AW716" i="11"/>
  <c r="AN995" i="11"/>
  <c r="AN733" i="11"/>
  <c r="AO740" i="11"/>
  <c r="AW14" i="11"/>
  <c r="S52" i="11"/>
  <c r="F105" i="11"/>
  <c r="T125" i="11"/>
  <c r="AO184" i="11"/>
  <c r="AO188" i="11" s="1"/>
  <c r="AO190" i="11" s="1"/>
  <c r="AI85" i="11"/>
  <c r="AI82" i="11"/>
  <c r="AN83" i="11" s="1"/>
  <c r="Z740" i="11"/>
  <c r="AB515" i="11"/>
  <c r="AB34" i="11"/>
  <c r="BS643" i="11"/>
  <c r="X15" i="11"/>
  <c r="O21" i="11"/>
  <c r="BK26" i="11"/>
  <c r="BP26" i="11" s="1"/>
  <c r="H47" i="11"/>
  <c r="H50" i="11"/>
  <c r="AP48" i="11"/>
  <c r="AP64" i="11"/>
  <c r="AP82" i="11"/>
  <c r="F104" i="11"/>
  <c r="K105" i="11" s="1"/>
  <c r="F103" i="11"/>
  <c r="F165" i="11"/>
  <c r="BF900" i="11"/>
  <c r="BF902" i="11"/>
  <c r="BF511" i="11"/>
  <c r="BF901" i="11"/>
  <c r="BF232" i="11"/>
  <c r="BF165" i="11"/>
  <c r="BM233" i="11"/>
  <c r="N19" i="11"/>
  <c r="U23" i="11"/>
  <c r="BG26" i="11"/>
  <c r="S996" i="11"/>
  <c r="S67" i="11"/>
  <c r="BJ996" i="11"/>
  <c r="BJ36" i="11"/>
  <c r="J42" i="11"/>
  <c r="H85" i="11"/>
  <c r="AW104" i="11"/>
  <c r="BB105" i="11" s="1"/>
  <c r="K103" i="11"/>
  <c r="AC114" i="11"/>
  <c r="R152" i="11"/>
  <c r="R153" i="11" s="1"/>
  <c r="BA152" i="11"/>
  <c r="BA153" i="11" s="1"/>
  <c r="AG160" i="11"/>
  <c r="AG1004" i="11" s="1"/>
  <c r="AS206" i="11"/>
  <c r="AS253" i="11"/>
  <c r="AD206" i="11"/>
  <c r="AN220" i="11"/>
  <c r="BG900" i="11"/>
  <c r="BG902" i="11"/>
  <c r="BG903" i="11"/>
  <c r="BG901" i="11"/>
  <c r="L155" i="11"/>
  <c r="L156" i="11" s="1"/>
  <c r="L572" i="11" s="1"/>
  <c r="L573" i="11" s="1"/>
  <c r="L152" i="11"/>
  <c r="L153" i="11" s="1"/>
  <c r="BG232" i="11"/>
  <c r="H930" i="11"/>
  <c r="H114" i="11"/>
  <c r="AV972" i="11"/>
  <c r="BH414" i="11"/>
  <c r="BH416" i="11"/>
  <c r="BH419" i="11" s="1"/>
  <c r="I229" i="11"/>
  <c r="I515" i="11"/>
  <c r="AD518" i="11"/>
  <c r="AD515" i="11"/>
  <c r="BJ517" i="11"/>
  <c r="J536" i="11"/>
  <c r="Q233" i="11"/>
  <c r="Q563" i="11"/>
  <c r="Z635" i="11"/>
  <c r="Z121" i="11"/>
  <c r="AQ995" i="11"/>
  <c r="AQ733" i="11"/>
  <c r="AN863" i="11"/>
  <c r="BJ863" i="11"/>
  <c r="BN1011" i="11" s="1"/>
  <c r="BN856" i="11"/>
  <c r="BN863" i="11" s="1"/>
  <c r="AU863" i="11"/>
  <c r="AY1011" i="11" s="1"/>
  <c r="AJ906" i="11"/>
  <c r="AA904" i="11"/>
  <c r="AI954" i="11"/>
  <c r="AI917" i="11"/>
  <c r="AI916" i="11" s="1"/>
  <c r="BC965" i="11"/>
  <c r="BC732" i="11"/>
  <c r="BC492" i="11" s="1"/>
  <c r="I537" i="11"/>
  <c r="I536" i="11"/>
  <c r="AN517" i="11"/>
  <c r="AZ7" i="11"/>
  <c r="AZ8" i="11" s="1"/>
  <c r="AY11" i="11"/>
  <c r="AZ14" i="11"/>
  <c r="AP38" i="11"/>
  <c r="AP39" i="11" s="1"/>
  <c r="AN38" i="11"/>
  <c r="AS39" i="11" s="1"/>
  <c r="AL996" i="11"/>
  <c r="BF35" i="11"/>
  <c r="AU64" i="11"/>
  <c r="AU60" i="11"/>
  <c r="U70" i="11"/>
  <c r="Z71" i="11" s="1"/>
  <c r="K85" i="11"/>
  <c r="AQ184" i="11"/>
  <c r="AQ188" i="11" s="1"/>
  <c r="AQ190" i="11" s="1"/>
  <c r="S904" i="11"/>
  <c r="S900" i="11"/>
  <c r="S903" i="11"/>
  <c r="S901" i="11"/>
  <c r="S232" i="11"/>
  <c r="S511" i="11"/>
  <c r="AN904" i="11"/>
  <c r="AN910" i="11" s="1"/>
  <c r="AN902" i="11"/>
  <c r="AN908" i="11" s="1"/>
  <c r="AN900" i="11"/>
  <c r="AN906" i="11" s="1"/>
  <c r="AN232" i="11"/>
  <c r="AN996" i="11"/>
  <c r="BJ904" i="11"/>
  <c r="BJ900" i="11"/>
  <c r="BJ902" i="11"/>
  <c r="BJ901" i="11"/>
  <c r="BJ232" i="11"/>
  <c r="AV287" i="11"/>
  <c r="AX474" i="11"/>
  <c r="AX472" i="11" s="1"/>
  <c r="AY472" i="11" s="1"/>
  <c r="AL538" i="11"/>
  <c r="AO538" i="11"/>
  <c r="BB716" i="11"/>
  <c r="N845" i="11"/>
  <c r="BN879" i="11"/>
  <c r="BN712" i="11" s="1"/>
  <c r="AC989" i="11"/>
  <c r="AD965" i="11"/>
  <c r="AD967" i="11"/>
  <c r="BC730" i="11"/>
  <c r="BC731" i="11"/>
  <c r="AB592" i="11"/>
  <c r="AC567" i="11"/>
  <c r="AC571" i="11" s="1"/>
  <c r="AE643" i="11"/>
  <c r="BA716" i="11"/>
  <c r="AD800" i="11"/>
  <c r="AD856" i="11"/>
  <c r="AD863" i="11" s="1"/>
  <c r="O1003" i="11"/>
  <c r="O702" i="11"/>
  <c r="O931" i="11" s="1"/>
  <c r="O220" i="11"/>
  <c r="K827" i="11"/>
  <c r="L826" i="11" s="1"/>
  <c r="M826" i="11" s="1"/>
  <c r="N826" i="11" s="1"/>
  <c r="O826" i="11" s="1"/>
  <c r="P826" i="11" s="1"/>
  <c r="P827" i="11" s="1"/>
  <c r="Q826" i="11" s="1"/>
  <c r="M845" i="11"/>
  <c r="AI845" i="11"/>
  <c r="AY853" i="11"/>
  <c r="AY696" i="11"/>
  <c r="U884" i="11"/>
  <c r="V22" i="11"/>
  <c r="V19" i="11"/>
  <c r="AM996" i="11"/>
  <c r="AM35" i="11"/>
  <c r="BG31" i="11"/>
  <c r="BG35" i="11"/>
  <c r="AQ39" i="11"/>
  <c r="AP70" i="11"/>
  <c r="AP114" i="11"/>
  <c r="AD103" i="11"/>
  <c r="AN202" i="11"/>
  <c r="AN250" i="11"/>
  <c r="F160" i="11"/>
  <c r="F1004" i="11" s="1"/>
  <c r="Z160" i="11"/>
  <c r="Z1004" i="11" s="1"/>
  <c r="AS930" i="11"/>
  <c r="AS165" i="11"/>
  <c r="AS114" i="11"/>
  <c r="BD740" i="11"/>
  <c r="K253" i="11"/>
  <c r="AW287" i="11"/>
  <c r="BA972" i="11"/>
  <c r="BD475" i="11"/>
  <c r="AP517" i="11"/>
  <c r="S601" i="11"/>
  <c r="S600" i="11"/>
  <c r="N233" i="11"/>
  <c r="N560" i="11"/>
  <c r="I567" i="11"/>
  <c r="I571" i="11" s="1"/>
  <c r="BC716" i="11"/>
  <c r="AK845" i="11"/>
  <c r="BJ845" i="11"/>
  <c r="S902" i="11"/>
  <c r="AK916" i="11"/>
  <c r="AH1001" i="11"/>
  <c r="AH989" i="11"/>
  <c r="BB973" i="11"/>
  <c r="W22" i="11"/>
  <c r="W19" i="11"/>
  <c r="AN26" i="11"/>
  <c r="R996" i="11"/>
  <c r="BI996" i="11"/>
  <c r="BG36" i="11"/>
  <c r="AR38" i="11"/>
  <c r="AQ70" i="11"/>
  <c r="V74" i="11"/>
  <c r="AV109" i="11"/>
  <c r="AV97" i="11"/>
  <c r="AI183" i="11"/>
  <c r="AX82" i="11"/>
  <c r="BB155" i="11"/>
  <c r="BB156" i="11" s="1"/>
  <c r="BB572" i="11" s="1"/>
  <c r="AT930" i="11"/>
  <c r="AT114" i="11"/>
  <c r="BD474" i="11"/>
  <c r="X536" i="11"/>
  <c r="X537" i="11"/>
  <c r="X600" i="11"/>
  <c r="Z555" i="11"/>
  <c r="R563" i="11"/>
  <c r="R560" i="11"/>
  <c r="R233" i="11"/>
  <c r="BP672" i="11"/>
  <c r="BP673" i="11"/>
  <c r="AS863" i="11"/>
  <c r="BG845" i="11"/>
  <c r="N711" i="11"/>
  <c r="AH711" i="11"/>
  <c r="BC711" i="11"/>
  <c r="BD711" i="11"/>
  <c r="U913" i="11"/>
  <c r="AL989" i="11"/>
  <c r="U926" i="11"/>
  <c r="AJ1248" i="9"/>
  <c r="AJ758" i="11" s="1"/>
  <c r="AJ1108" i="11"/>
  <c r="AV996" i="11"/>
  <c r="AV67" i="11"/>
  <c r="V59" i="11"/>
  <c r="S922" i="11"/>
  <c r="AD201" i="11"/>
  <c r="AD249" i="11"/>
  <c r="AD739" i="11" s="1"/>
  <c r="T901" i="11"/>
  <c r="T907" i="11" s="1"/>
  <c r="T903" i="11"/>
  <c r="T900" i="11"/>
  <c r="T232" i="11"/>
  <c r="AO904" i="11"/>
  <c r="AO903" i="11"/>
  <c r="AO909" i="11" s="1"/>
  <c r="AO902" i="11"/>
  <c r="AO908" i="11" s="1"/>
  <c r="AO901" i="11"/>
  <c r="AO900" i="11"/>
  <c r="AO906" i="11" s="1"/>
  <c r="AO232" i="11"/>
  <c r="V238" i="11"/>
  <c r="V556" i="11"/>
  <c r="BJ160" i="11"/>
  <c r="BJ1004" i="11" s="1"/>
  <c r="N266" i="11"/>
  <c r="X253" i="11"/>
  <c r="BD350" i="11"/>
  <c r="AD537" i="11"/>
  <c r="AE537" i="11"/>
  <c r="P512" i="11"/>
  <c r="K555" i="11"/>
  <c r="K600" i="11"/>
  <c r="J600" i="11"/>
  <c r="AA733" i="11"/>
  <c r="AA995" i="11"/>
  <c r="AN800" i="11"/>
  <c r="AS892" i="11"/>
  <c r="AS831" i="11"/>
  <c r="F1003" i="11"/>
  <c r="F702" i="11"/>
  <c r="F931" i="11" s="1"/>
  <c r="F863" i="11"/>
  <c r="W884" i="11"/>
  <c r="AQ711" i="11"/>
  <c r="BJ903" i="11"/>
  <c r="AW949" i="11"/>
  <c r="BJ953" i="11"/>
  <c r="BK952" i="11"/>
  <c r="BL952" i="11" s="1"/>
  <c r="BM952" i="11" s="1"/>
  <c r="BN952" i="11" s="1"/>
  <c r="BO952" i="11" s="1"/>
  <c r="BP952" i="11" s="1"/>
  <c r="BQ952" i="11" s="1"/>
  <c r="BR952" i="11" s="1"/>
  <c r="BS952" i="11" s="1"/>
  <c r="BT952" i="11" s="1"/>
  <c r="BU952" i="11" s="1"/>
  <c r="BV952" i="11" s="1"/>
  <c r="W1001" i="11"/>
  <c r="S672" i="11"/>
  <c r="S673" i="11"/>
  <c r="AQ845" i="11"/>
  <c r="AA1003" i="11"/>
  <c r="AA863" i="11"/>
  <c r="N987" i="11"/>
  <c r="AW996" i="11"/>
  <c r="W64" i="11"/>
  <c r="AQ64" i="11"/>
  <c r="AQ58" i="11"/>
  <c r="W59" i="11"/>
  <c r="G70" i="11"/>
  <c r="AA70" i="11"/>
  <c r="AU70" i="11"/>
  <c r="AZ71" i="11" s="1"/>
  <c r="I78" i="11"/>
  <c r="AY95" i="11"/>
  <c r="BD96" i="11" s="1"/>
  <c r="S131" i="11"/>
  <c r="U901" i="11"/>
  <c r="U907" i="11" s="1"/>
  <c r="U903" i="11"/>
  <c r="U909" i="11" s="1"/>
  <c r="U900" i="11"/>
  <c r="U232" i="11"/>
  <c r="U904" i="11"/>
  <c r="U910" i="11" s="1"/>
  <c r="U716" i="11"/>
  <c r="AP900" i="11"/>
  <c r="AP901" i="11"/>
  <c r="AP232" i="11"/>
  <c r="AP904" i="11"/>
  <c r="T160" i="11"/>
  <c r="T1004" i="11" s="1"/>
  <c r="AM293" i="11"/>
  <c r="AM292" i="11"/>
  <c r="P555" i="11"/>
  <c r="O601" i="11"/>
  <c r="AE627" i="11"/>
  <c r="Z716" i="11"/>
  <c r="AW994" i="11"/>
  <c r="AW733" i="11"/>
  <c r="AB995" i="11"/>
  <c r="AB733" i="11"/>
  <c r="BH837" i="11"/>
  <c r="BH782" i="11"/>
  <c r="BH790" i="11" s="1"/>
  <c r="AX839" i="11"/>
  <c r="AX782" i="11"/>
  <c r="AX790" i="11" s="1"/>
  <c r="BV824" i="11"/>
  <c r="N863" i="11"/>
  <c r="AL863" i="11"/>
  <c r="AO1011" i="11" s="1"/>
  <c r="BH863" i="11"/>
  <c r="AC1003" i="11"/>
  <c r="AX220" i="11"/>
  <c r="AV863" i="11"/>
  <c r="V884" i="11"/>
  <c r="H711" i="11"/>
  <c r="AB711" i="11"/>
  <c r="AC711" i="11"/>
  <c r="AX884" i="11"/>
  <c r="Q672" i="11"/>
  <c r="Q673" i="11"/>
  <c r="A1102" i="11"/>
  <c r="AV824" i="11"/>
  <c r="G884" i="11"/>
  <c r="I996" i="11"/>
  <c r="AX996" i="11"/>
  <c r="Y46" i="11"/>
  <c r="AW50" i="11"/>
  <c r="X59" i="11"/>
  <c r="K95" i="11"/>
  <c r="AE95" i="11"/>
  <c r="AF104" i="11"/>
  <c r="AF103" i="11"/>
  <c r="AN131" i="11"/>
  <c r="J102" i="11"/>
  <c r="V904" i="11"/>
  <c r="V910" i="11" s="1"/>
  <c r="V903" i="11"/>
  <c r="V909" i="11" s="1"/>
  <c r="V900" i="11"/>
  <c r="V906" i="11" s="1"/>
  <c r="V511" i="11"/>
  <c r="AA520" i="11" s="1"/>
  <c r="V902" i="11"/>
  <c r="AQ903" i="11"/>
  <c r="AQ909" i="11" s="1"/>
  <c r="AQ901" i="11"/>
  <c r="AQ907" i="11" s="1"/>
  <c r="AQ900" i="11"/>
  <c r="AQ232" i="11"/>
  <c r="AQ904" i="11"/>
  <c r="AQ910" i="11" s="1"/>
  <c r="AQ511" i="11"/>
  <c r="AO160" i="11"/>
  <c r="AO1004" i="11" s="1"/>
  <c r="V740" i="11"/>
  <c r="BE287" i="11"/>
  <c r="BI351" i="11"/>
  <c r="AE510" i="11"/>
  <c r="T511" i="11"/>
  <c r="AO1013" i="11"/>
  <c r="BI824" i="11"/>
  <c r="P845" i="11"/>
  <c r="AJ845" i="11"/>
  <c r="AM863" i="11"/>
  <c r="BI863" i="11"/>
  <c r="W863" i="11"/>
  <c r="H1003" i="11"/>
  <c r="H702" i="11"/>
  <c r="AD1003" i="11"/>
  <c r="AD220" i="11"/>
  <c r="BU863" i="11"/>
  <c r="BI712" i="11"/>
  <c r="AD955" i="11"/>
  <c r="AV948" i="11"/>
  <c r="X989" i="11"/>
  <c r="X903" i="11"/>
  <c r="X909" i="11" s="1"/>
  <c r="X902" i="11"/>
  <c r="X908" i="11" s="1"/>
  <c r="X511" i="11"/>
  <c r="U740" i="11"/>
  <c r="AW972" i="11"/>
  <c r="N537" i="11"/>
  <c r="N536" i="11"/>
  <c r="AH733" i="11"/>
  <c r="AH995" i="11"/>
  <c r="H716" i="11"/>
  <c r="AD715" i="11"/>
  <c r="AD716" i="11" s="1"/>
  <c r="AD243" i="11"/>
  <c r="AO863" i="11"/>
  <c r="X863" i="11"/>
  <c r="I1003" i="11"/>
  <c r="I702" i="11"/>
  <c r="I931" i="11" s="1"/>
  <c r="AM706" i="11"/>
  <c r="P910" i="11"/>
  <c r="W919" i="11"/>
  <c r="S989" i="11"/>
  <c r="L922" i="11"/>
  <c r="AA902" i="11"/>
  <c r="AA908" i="11" s="1"/>
  <c r="AV902" i="11"/>
  <c r="AV904" i="11"/>
  <c r="AV910" i="11" s="1"/>
  <c r="BI349" i="11"/>
  <c r="AZ972" i="11"/>
  <c r="AC536" i="11"/>
  <c r="R635" i="11"/>
  <c r="R247" i="11"/>
  <c r="AL994" i="11"/>
  <c r="AL733" i="11"/>
  <c r="P995" i="11"/>
  <c r="P733" i="11"/>
  <c r="AI856" i="11"/>
  <c r="AI863" i="11" s="1"/>
  <c r="AI800" i="11"/>
  <c r="Y1003" i="11"/>
  <c r="Y702" i="11"/>
  <c r="Y931" i="11" s="1"/>
  <c r="BM821" i="11"/>
  <c r="BM824" i="11" s="1"/>
  <c r="AS711" i="11"/>
  <c r="T824" i="11"/>
  <c r="BP824" i="11"/>
  <c r="BS860" i="11"/>
  <c r="BS705" i="11" s="1"/>
  <c r="S884" i="11"/>
  <c r="X904" i="11"/>
  <c r="X910" i="11" s="1"/>
  <c r="AQ919" i="11"/>
  <c r="AP922" i="11"/>
  <c r="AP989" i="11"/>
  <c r="BI972" i="11"/>
  <c r="O536" i="11"/>
  <c r="P510" i="11"/>
  <c r="W672" i="11"/>
  <c r="W673" i="11"/>
  <c r="AE740" i="11"/>
  <c r="AC824" i="11"/>
  <c r="BA824" i="11"/>
  <c r="BA827" i="11" s="1"/>
  <c r="BI845" i="11"/>
  <c r="T845" i="11"/>
  <c r="T715" i="11"/>
  <c r="T716" i="11" s="1"/>
  <c r="AP716" i="11"/>
  <c r="X845" i="11"/>
  <c r="AN916" i="11"/>
  <c r="BK913" i="11"/>
  <c r="AD922" i="11"/>
  <c r="AD901" i="11"/>
  <c r="AD907" i="11" s="1"/>
  <c r="L955" i="11"/>
  <c r="L989" i="11" s="1"/>
  <c r="AB716" i="11"/>
  <c r="BM800" i="11"/>
  <c r="BC1003" i="11"/>
  <c r="BC702" i="11"/>
  <c r="BC931" i="11" s="1"/>
  <c r="AX863" i="11"/>
  <c r="BI1003" i="11"/>
  <c r="BI702" i="11"/>
  <c r="BI931" i="11" s="1"/>
  <c r="BQ863" i="11"/>
  <c r="X712" i="11"/>
  <c r="AR884" i="11"/>
  <c r="AF711" i="11"/>
  <c r="BA711" i="11"/>
  <c r="AX900" i="11"/>
  <c r="AX917" i="11"/>
  <c r="AX954" i="11"/>
  <c r="BF953" i="11"/>
  <c r="BG949" i="11"/>
  <c r="BF954" i="11"/>
  <c r="AX902" i="11"/>
  <c r="I673" i="11"/>
  <c r="AD836" i="11"/>
  <c r="AD782" i="11"/>
  <c r="AD790" i="11" s="1"/>
  <c r="AI702" i="11"/>
  <c r="AI931" i="11" s="1"/>
  <c r="AI221" i="11"/>
  <c r="L863" i="11"/>
  <c r="AJ863" i="11"/>
  <c r="BF863" i="11"/>
  <c r="BP863" i="11"/>
  <c r="AW884" i="11"/>
  <c r="AW887" i="11" s="1"/>
  <c r="BD712" i="11"/>
  <c r="AJ711" i="11"/>
  <c r="BE711" i="11"/>
  <c r="R712" i="11"/>
  <c r="X884" i="11"/>
  <c r="AN922" i="11"/>
  <c r="J943" i="11"/>
  <c r="J955" i="11" s="1"/>
  <c r="J728" i="11"/>
  <c r="J994" i="11" s="1"/>
  <c r="AI901" i="11"/>
  <c r="AI907" i="11" s="1"/>
  <c r="AI943" i="11"/>
  <c r="AI955" i="11" s="1"/>
  <c r="BE965" i="11"/>
  <c r="BE967" i="11"/>
  <c r="BE978" i="11" s="1"/>
  <c r="BE987" i="11" s="1"/>
  <c r="BE989" i="11" s="1"/>
  <c r="AF987" i="11"/>
  <c r="AF989" i="11" s="1"/>
  <c r="K627" i="11"/>
  <c r="BO632" i="11"/>
  <c r="L824" i="11"/>
  <c r="AH824" i="11"/>
  <c r="M863" i="11"/>
  <c r="BG863" i="11"/>
  <c r="BN859" i="11"/>
  <c r="BN702" i="11" s="1"/>
  <c r="BN931" i="11" s="1"/>
  <c r="H884" i="11"/>
  <c r="AX712" i="11"/>
  <c r="AF884" i="11"/>
  <c r="AF712" i="11"/>
  <c r="AT919" i="11"/>
  <c r="AP919" i="11"/>
  <c r="AO922" i="11"/>
  <c r="BH941" i="11"/>
  <c r="BH903" i="11" s="1"/>
  <c r="BI903" i="11"/>
  <c r="BI909" i="11" s="1"/>
  <c r="N989" i="11"/>
  <c r="AJ955" i="11"/>
  <c r="BH955" i="11"/>
  <c r="BF960" i="11"/>
  <c r="O901" i="11"/>
  <c r="O904" i="11"/>
  <c r="O900" i="11"/>
  <c r="O902" i="11"/>
  <c r="O903" i="11"/>
  <c r="A1097" i="11"/>
  <c r="BN673" i="11"/>
  <c r="BN672" i="11"/>
  <c r="BM672" i="11"/>
  <c r="AL824" i="11"/>
  <c r="BR821" i="11"/>
  <c r="BR824" i="11" s="1"/>
  <c r="BC821" i="11"/>
  <c r="BQ824" i="11"/>
  <c r="AR845" i="11"/>
  <c r="H863" i="11"/>
  <c r="AO1003" i="11"/>
  <c r="AO702" i="11"/>
  <c r="AO931" i="11" s="1"/>
  <c r="BK1003" i="11"/>
  <c r="BK863" i="11"/>
  <c r="AS916" i="11"/>
  <c r="AX943" i="11"/>
  <c r="AX955" i="11" s="1"/>
  <c r="O955" i="11"/>
  <c r="N1001" i="11" s="1"/>
  <c r="BI1001" i="11"/>
  <c r="Y967" i="11"/>
  <c r="Y978" i="11" s="1"/>
  <c r="BA966" i="11"/>
  <c r="BA904" i="11"/>
  <c r="AE985" i="11"/>
  <c r="AE987" i="11" s="1"/>
  <c r="AD981" i="11"/>
  <c r="AD985" i="11" s="1"/>
  <c r="BH985" i="11"/>
  <c r="P900" i="11"/>
  <c r="P906" i="11" s="1"/>
  <c r="P902" i="11"/>
  <c r="AJ901" i="11"/>
  <c r="AJ907" i="11" s="1"/>
  <c r="AJ904" i="11"/>
  <c r="AJ910" i="11" s="1"/>
  <c r="AJ903" i="11"/>
  <c r="AJ909" i="11" s="1"/>
  <c r="AJ716" i="11"/>
  <c r="BD902" i="11"/>
  <c r="BD901" i="11"/>
  <c r="BD900" i="11"/>
  <c r="BD906" i="11" s="1"/>
  <c r="BD716" i="11"/>
  <c r="BD904" i="11"/>
  <c r="BD910" i="11" s="1"/>
  <c r="AY994" i="11"/>
  <c r="AY488" i="11"/>
  <c r="AN839" i="11"/>
  <c r="AN845" i="11" s="1"/>
  <c r="AN782" i="11"/>
  <c r="AN790" i="11" s="1"/>
  <c r="BC856" i="11"/>
  <c r="BC863" i="11" s="1"/>
  <c r="BC800" i="11"/>
  <c r="BH821" i="11"/>
  <c r="V845" i="11"/>
  <c r="AA845" i="11"/>
  <c r="I863" i="11"/>
  <c r="AM884" i="11"/>
  <c r="BG884" i="11"/>
  <c r="BG712" i="11"/>
  <c r="AT712" i="11"/>
  <c r="F711" i="11"/>
  <c r="Z711" i="11"/>
  <c r="AU711" i="11"/>
  <c r="BN878" i="11"/>
  <c r="AY913" i="11"/>
  <c r="AY925" i="11" s="1"/>
  <c r="AT916" i="11"/>
  <c r="BN921" i="11"/>
  <c r="AS919" i="11"/>
  <c r="AR922" i="11"/>
  <c r="BC943" i="11"/>
  <c r="BC728" i="11"/>
  <c r="Y954" i="11"/>
  <c r="BB960" i="11"/>
  <c r="Q900" i="11"/>
  <c r="AK900" i="11"/>
  <c r="AK906" i="11" s="1"/>
  <c r="AK902" i="11"/>
  <c r="AK908" i="11" s="1"/>
  <c r="AK901" i="11"/>
  <c r="AK907" i="11" s="1"/>
  <c r="AK903" i="11"/>
  <c r="AK909" i="11" s="1"/>
  <c r="AK904" i="11"/>
  <c r="AK910" i="11" s="1"/>
  <c r="BE901" i="11"/>
  <c r="BE907" i="11" s="1"/>
  <c r="BE900" i="11"/>
  <c r="BE906" i="11" s="1"/>
  <c r="BE902" i="11"/>
  <c r="BE908" i="11" s="1"/>
  <c r="AV995" i="11"/>
  <c r="AV491" i="11"/>
  <c r="W824" i="11"/>
  <c r="BH831" i="11"/>
  <c r="BH892" i="11"/>
  <c r="J863" i="11"/>
  <c r="V1003" i="11"/>
  <c r="V702" i="11"/>
  <c r="AQ1003" i="11"/>
  <c r="AQ702" i="11"/>
  <c r="AQ931" i="11" s="1"/>
  <c r="AN884" i="11"/>
  <c r="BH712" i="11"/>
  <c r="BS915" i="11"/>
  <c r="Y916" i="11"/>
  <c r="BC904" i="11"/>
  <c r="BC910" i="11" s="1"/>
  <c r="T673" i="11"/>
  <c r="T672" i="11"/>
  <c r="U673" i="11"/>
  <c r="AP733" i="11"/>
  <c r="AN706" i="11"/>
  <c r="X824" i="11"/>
  <c r="AZ716" i="11"/>
  <c r="T863" i="11"/>
  <c r="AP863" i="11"/>
  <c r="Z863" i="11"/>
  <c r="AZ711" i="11"/>
  <c r="BH900" i="11"/>
  <c r="AW904" i="11"/>
  <c r="AW910" i="11" s="1"/>
  <c r="AS965" i="11"/>
  <c r="BP921" i="11"/>
  <c r="BS921" i="11" s="1"/>
  <c r="BP915" i="11"/>
  <c r="AO716" i="11"/>
  <c r="BM782" i="11"/>
  <c r="BM790" i="11" s="1"/>
  <c r="I845" i="11"/>
  <c r="AE845" i="11"/>
  <c r="BB845" i="11"/>
  <c r="J845" i="11"/>
  <c r="J715" i="11"/>
  <c r="U863" i="11"/>
  <c r="AS884" i="11"/>
  <c r="AB712" i="11"/>
  <c r="AB884" i="11"/>
  <c r="AQ916" i="11"/>
  <c r="AA922" i="11"/>
  <c r="AX904" i="11"/>
  <c r="AS977" i="11"/>
  <c r="U627" i="11"/>
  <c r="BQ915" i="11"/>
  <c r="BQ921" i="11"/>
  <c r="AD730" i="11"/>
  <c r="AU995" i="11"/>
  <c r="AU733" i="11"/>
  <c r="BF827" i="11"/>
  <c r="AT884" i="11"/>
  <c r="G712" i="11"/>
  <c r="AA884" i="11"/>
  <c r="AA712" i="11"/>
  <c r="AU712" i="11"/>
  <c r="AU884" i="11"/>
  <c r="H712" i="11"/>
  <c r="AS913" i="11"/>
  <c r="AR916" i="11"/>
  <c r="AD917" i="11"/>
  <c r="AD916" i="11" s="1"/>
  <c r="AD954" i="11"/>
  <c r="AZ966" i="11"/>
  <c r="AZ904" i="11"/>
  <c r="AU987" i="11"/>
  <c r="AX845" i="11"/>
  <c r="AJ824" i="11"/>
  <c r="AI821" i="11"/>
  <c r="AI824" i="11" s="1"/>
  <c r="AV845" i="11"/>
  <c r="AF1003" i="11"/>
  <c r="AF702" i="11"/>
  <c r="AF931" i="11" s="1"/>
  <c r="BA1003" i="11"/>
  <c r="AI866" i="11"/>
  <c r="BC884" i="11"/>
  <c r="P884" i="11"/>
  <c r="O922" i="11"/>
  <c r="AI922" i="11"/>
  <c r="BH954" i="11"/>
  <c r="AC978" i="11"/>
  <c r="AC987" i="11" s="1"/>
  <c r="AJ1013" i="11"/>
  <c r="J995" i="11"/>
  <c r="J733" i="11"/>
  <c r="BC782" i="11"/>
  <c r="BC790" i="11" s="1"/>
  <c r="BC836" i="11"/>
  <c r="AI1003" i="11"/>
  <c r="F845" i="11"/>
  <c r="Z845" i="11"/>
  <c r="AO927" i="11"/>
  <c r="AO925" i="11"/>
  <c r="P922" i="11"/>
  <c r="U919" i="11"/>
  <c r="Q919" i="11"/>
  <c r="AO928" i="11"/>
  <c r="AO955" i="11"/>
  <c r="AE989" i="11"/>
  <c r="AS985" i="11"/>
  <c r="AS987" i="11" s="1"/>
  <c r="AY733" i="11"/>
  <c r="AY995" i="11"/>
  <c r="BH845" i="11"/>
  <c r="BL824" i="11"/>
  <c r="Q922" i="11"/>
  <c r="R919" i="11"/>
  <c r="AK922" i="11"/>
  <c r="AL919" i="11"/>
  <c r="J954" i="11"/>
  <c r="T967" i="11"/>
  <c r="T978" i="11" s="1"/>
  <c r="T987" i="11" s="1"/>
  <c r="AC995" i="11"/>
  <c r="AC733" i="11"/>
  <c r="AS782" i="11"/>
  <c r="AS790" i="11" s="1"/>
  <c r="AS836" i="11"/>
  <c r="O856" i="11"/>
  <c r="O863" i="11" s="1"/>
  <c r="O800" i="11"/>
  <c r="AY824" i="11"/>
  <c r="AY827" i="11" s="1"/>
  <c r="AZ826" i="11" s="1"/>
  <c r="BA826" i="11" s="1"/>
  <c r="BB826" i="11" s="1"/>
  <c r="BC826" i="11" s="1"/>
  <c r="BD826" i="11" s="1"/>
  <c r="BD889" i="11" s="1"/>
  <c r="J824" i="11"/>
  <c r="J827" i="11" s="1"/>
  <c r="AF824" i="11"/>
  <c r="G845" i="11"/>
  <c r="I884" i="11"/>
  <c r="I712" i="11"/>
  <c r="AC712" i="11"/>
  <c r="AC884" i="11"/>
  <c r="AA913" i="11"/>
  <c r="AE913" i="11"/>
  <c r="AV913" i="11"/>
  <c r="AN901" i="11"/>
  <c r="AT989" i="11"/>
  <c r="AT1001" i="11"/>
  <c r="Q733" i="11"/>
  <c r="AK733" i="11"/>
  <c r="BE995" i="11"/>
  <c r="BE733" i="11"/>
  <c r="AS821" i="11"/>
  <c r="AS824" i="11" s="1"/>
  <c r="AG863" i="11"/>
  <c r="AJ1011" i="11" s="1"/>
  <c r="U1003" i="11"/>
  <c r="AP1003" i="11"/>
  <c r="AP702" i="11"/>
  <c r="BL1003" i="11"/>
  <c r="R884" i="11"/>
  <c r="BF712" i="11"/>
  <c r="K955" i="11"/>
  <c r="BC902" i="11"/>
  <c r="BC908" i="11" s="1"/>
  <c r="BC977" i="11"/>
  <c r="BC978" i="11" s="1"/>
  <c r="AB987" i="11"/>
  <c r="AB989" i="11" s="1"/>
  <c r="AG824" i="11"/>
  <c r="BD824" i="11"/>
  <c r="BD827" i="11" s="1"/>
  <c r="BE826" i="11" s="1"/>
  <c r="BF826" i="11" s="1"/>
  <c r="BG826" i="11" s="1"/>
  <c r="BV1003" i="11"/>
  <c r="AT926" i="11"/>
  <c r="U989" i="11"/>
  <c r="Q884" i="11"/>
  <c r="Q712" i="11"/>
  <c r="AK884" i="11"/>
  <c r="AK712" i="11"/>
  <c r="BE884" i="11"/>
  <c r="BE712" i="11"/>
  <c r="W711" i="11"/>
  <c r="BC901" i="11"/>
  <c r="BC907" i="11" s="1"/>
  <c r="AY967" i="11"/>
  <c r="AY978" i="11" s="1"/>
  <c r="AY987" i="11" s="1"/>
  <c r="AY989" i="11" s="1"/>
  <c r="AY965" i="11"/>
  <c r="J977" i="11"/>
  <c r="J978" i="11" s="1"/>
  <c r="J987" i="11" s="1"/>
  <c r="O821" i="11"/>
  <c r="O824" i="11" s="1"/>
  <c r="BF884" i="11"/>
  <c r="AT711" i="11"/>
  <c r="AO894" i="11"/>
  <c r="AH913" i="11"/>
  <c r="Z922" i="11"/>
  <c r="BL962" i="11"/>
  <c r="AA989" i="11"/>
  <c r="T954" i="11"/>
  <c r="T955" i="11" s="1"/>
  <c r="BA949" i="11"/>
  <c r="AZ954" i="11"/>
  <c r="BD967" i="11"/>
  <c r="BD978" i="11" s="1"/>
  <c r="BD987" i="11" s="1"/>
  <c r="BD989" i="11" s="1"/>
  <c r="BD965" i="11"/>
  <c r="AF845" i="11"/>
  <c r="BD884" i="11"/>
  <c r="BD925" i="11"/>
  <c r="AZ913" i="11"/>
  <c r="BD913" i="11"/>
  <c r="W845" i="11"/>
  <c r="L1003" i="11"/>
  <c r="K928" i="11"/>
  <c r="Z955" i="11"/>
  <c r="AE1001" i="11" s="1"/>
  <c r="BH902" i="11"/>
  <c r="AI967" i="11"/>
  <c r="AI978" i="11" s="1"/>
  <c r="AI987" i="11" s="1"/>
  <c r="AD977" i="11"/>
  <c r="AO987" i="11"/>
  <c r="AW824" i="11"/>
  <c r="AT845" i="11"/>
  <c r="M1003" i="11"/>
  <c r="AH1003" i="11"/>
  <c r="BB913" i="11"/>
  <c r="AB922" i="11"/>
  <c r="AC919" i="11"/>
  <c r="BL971" i="11"/>
  <c r="BK732" i="11"/>
  <c r="BK492" i="11" s="1"/>
  <c r="P987" i="11"/>
  <c r="P989" i="11" s="1"/>
  <c r="N922" i="11"/>
  <c r="Y943" i="11"/>
  <c r="Y955" i="11" s="1"/>
  <c r="X1001" i="11" s="1"/>
  <c r="BC985" i="11"/>
  <c r="AJ987" i="11"/>
  <c r="AB1003" i="11"/>
  <c r="AW1003" i="11"/>
  <c r="BR1003" i="11"/>
  <c r="Z927" i="11"/>
  <c r="AK955" i="11"/>
  <c r="BF955" i="11"/>
  <c r="AN954" i="11"/>
  <c r="AN955" i="11" s="1"/>
  <c r="AS947" i="11"/>
  <c r="AS923" i="11" s="1"/>
  <c r="BM970" i="11"/>
  <c r="Q955" i="11"/>
  <c r="BH966" i="11"/>
  <c r="BI967" i="11"/>
  <c r="BI978" i="11" s="1"/>
  <c r="BI987" i="11" s="1"/>
  <c r="BI989" i="11" s="1"/>
  <c r="AZ955" i="11"/>
  <c r="K987" i="11"/>
  <c r="AO916" i="11"/>
  <c r="AL916" i="11"/>
  <c r="R978" i="11"/>
  <c r="R987" i="11" s="1"/>
  <c r="R989" i="11" s="1"/>
  <c r="AM978" i="11"/>
  <c r="AM987" i="11" s="1"/>
  <c r="AM989" i="11" s="1"/>
  <c r="BQ82" i="9"/>
  <c r="BH409" i="9"/>
  <c r="V409" i="9"/>
  <c r="W409" i="9"/>
  <c r="BV82" i="9"/>
  <c r="R409" i="9"/>
  <c r="AP346" i="9"/>
  <c r="AH778" i="9"/>
  <c r="AH786" i="9" s="1"/>
  <c r="AH795" i="9" s="1"/>
  <c r="BN364" i="9"/>
  <c r="S891" i="9"/>
  <c r="S767" i="9"/>
  <c r="S634" i="9" s="1"/>
  <c r="AZ646" i="9"/>
  <c r="AZ648" i="9" s="1"/>
  <c r="AZ681" i="9"/>
  <c r="P296" i="9"/>
  <c r="P297" i="9"/>
  <c r="AT25" i="9"/>
  <c r="AY25" i="9"/>
  <c r="AR103" i="9"/>
  <c r="AY242" i="9"/>
  <c r="AY241" i="9" s="1"/>
  <c r="AT242" i="9"/>
  <c r="BG346" i="9"/>
  <c r="AQ435" i="9"/>
  <c r="AQ1163" i="9"/>
  <c r="AG36" i="9"/>
  <c r="AG399" i="9"/>
  <c r="AH661" i="9"/>
  <c r="AH667" i="9" s="1"/>
  <c r="AH644" i="9"/>
  <c r="AW917" i="9"/>
  <c r="AV1162" i="9"/>
  <c r="AZ1163" i="9"/>
  <c r="AZ390" i="9"/>
  <c r="AZ37" i="9" s="1"/>
  <c r="BC388" i="9"/>
  <c r="AW435" i="9"/>
  <c r="AW436" i="9" s="1"/>
  <c r="AW393" i="9"/>
  <c r="AH409" i="9"/>
  <c r="BF661" i="9"/>
  <c r="BF667" i="9" s="1"/>
  <c r="BF644" i="9"/>
  <c r="BC695" i="9"/>
  <c r="BC708" i="9" s="1"/>
  <c r="BC783" i="9"/>
  <c r="D103" i="9"/>
  <c r="AZ103" i="9"/>
  <c r="BA242" i="9"/>
  <c r="BA241" i="9" s="1"/>
  <c r="AV242" i="9"/>
  <c r="AV241" i="9" s="1"/>
  <c r="AN15" i="9"/>
  <c r="AN158" i="9"/>
  <c r="AW323" i="9"/>
  <c r="AW327" i="9" s="1"/>
  <c r="AZ394" i="9"/>
  <c r="BE395" i="9" s="1"/>
  <c r="U484" i="9"/>
  <c r="U479" i="9"/>
  <c r="T479" i="9" s="1"/>
  <c r="BH357" i="9"/>
  <c r="BH713" i="9"/>
  <c r="AB664" i="9"/>
  <c r="AB320" i="9" s="1"/>
  <c r="AB359" i="9"/>
  <c r="AK716" i="9"/>
  <c r="AK360" i="9"/>
  <c r="AK373" i="9" s="1"/>
  <c r="AK761" i="9" s="1"/>
  <c r="AK629" i="9" s="1"/>
  <c r="BC720" i="9"/>
  <c r="BC363" i="9"/>
  <c r="BA722" i="9"/>
  <c r="BA365" i="9"/>
  <c r="Z860" i="9"/>
  <c r="BH1009" i="9"/>
  <c r="BH766" i="9" s="1"/>
  <c r="BH1100" i="9" s="1"/>
  <c r="BH1084" i="9" s="1"/>
  <c r="BH1095" i="9" s="1"/>
  <c r="BH960" i="9"/>
  <c r="BH971" i="9" s="1"/>
  <c r="H1176" i="9"/>
  <c r="E103" i="9"/>
  <c r="AK409" i="9"/>
  <c r="AF426" i="9"/>
  <c r="AF424" i="9"/>
  <c r="AZ424" i="9"/>
  <c r="AZ426" i="9"/>
  <c r="V484" i="9"/>
  <c r="V479" i="9"/>
  <c r="V483" i="9" s="1"/>
  <c r="V485" i="9" s="1"/>
  <c r="AS661" i="9"/>
  <c r="AS667" i="9" s="1"/>
  <c r="AG1154" i="9"/>
  <c r="AP937" i="9"/>
  <c r="AP939" i="9"/>
  <c r="BJ939" i="9"/>
  <c r="BJ937" i="9"/>
  <c r="BJ940" i="9" s="1"/>
  <c r="BJ924" i="9" s="1"/>
  <c r="F17" i="9"/>
  <c r="AW17" i="9"/>
  <c r="BG28" i="9"/>
  <c r="F89" i="9"/>
  <c r="F88" i="9" s="1"/>
  <c r="AM145" i="9"/>
  <c r="AM144" i="9" s="1"/>
  <c r="AM159" i="9"/>
  <c r="AJ159" i="9"/>
  <c r="H231" i="9"/>
  <c r="BN240" i="9"/>
  <c r="BN279" i="9" s="1"/>
  <c r="BN24" i="9" s="1"/>
  <c r="AM305" i="9"/>
  <c r="AM316" i="9"/>
  <c r="AC373" i="9"/>
  <c r="AC761" i="9" s="1"/>
  <c r="M424" i="9"/>
  <c r="M426" i="9"/>
  <c r="BA426" i="9"/>
  <c r="BD426" i="9" s="1"/>
  <c r="BA424" i="9"/>
  <c r="BA469" i="9"/>
  <c r="Y484" i="9"/>
  <c r="W484" i="9"/>
  <c r="W479" i="9"/>
  <c r="W483" i="9" s="1"/>
  <c r="W485" i="9" s="1"/>
  <c r="AU622" i="9"/>
  <c r="AY316" i="9"/>
  <c r="Y824" i="9"/>
  <c r="AA824" i="9"/>
  <c r="X908" i="9"/>
  <c r="X1161" i="9"/>
  <c r="BS1011" i="9"/>
  <c r="K882" i="9"/>
  <c r="K1039" i="9"/>
  <c r="Y3" i="9"/>
  <c r="Y1097" i="9" s="1"/>
  <c r="Y1276" i="9"/>
  <c r="AK28" i="9"/>
  <c r="J231" i="9"/>
  <c r="BB242" i="9"/>
  <c r="BB241" i="9" s="1"/>
  <c r="AN262" i="9"/>
  <c r="AN263" i="9" s="1"/>
  <c r="AE263" i="9"/>
  <c r="AF294" i="9"/>
  <c r="AF293" i="9"/>
  <c r="AF295" i="9"/>
  <c r="AS311" i="9"/>
  <c r="AU311" i="9"/>
  <c r="AS312" i="9"/>
  <c r="BI755" i="9"/>
  <c r="BI624" i="9" s="1"/>
  <c r="AO346" i="9"/>
  <c r="AO333" i="9"/>
  <c r="E373" i="9"/>
  <c r="E761" i="9" s="1"/>
  <c r="E759" i="9"/>
  <c r="BN1011" i="9"/>
  <c r="BB426" i="9"/>
  <c r="BB424" i="9"/>
  <c r="BB469" i="9"/>
  <c r="AZ661" i="9"/>
  <c r="AZ667" i="9" s="1"/>
  <c r="AY618" i="9"/>
  <c r="AY619" i="9" s="1"/>
  <c r="AY315" i="9"/>
  <c r="AY314" i="9" s="1"/>
  <c r="Q334" i="9"/>
  <c r="Q346" i="9" s="1"/>
  <c r="Q621" i="9"/>
  <c r="Q1174" i="9" s="1"/>
  <c r="BH346" i="9"/>
  <c r="J887" i="9"/>
  <c r="AN995" i="9"/>
  <c r="AE1039" i="9"/>
  <c r="D940" i="9"/>
  <c r="D924" i="9" s="1"/>
  <c r="X937" i="9"/>
  <c r="X940" i="9" s="1"/>
  <c r="X939" i="9"/>
  <c r="BL934" i="9"/>
  <c r="BL935" i="9"/>
  <c r="BL936" i="9"/>
  <c r="X1250" i="9"/>
  <c r="X1264" i="9"/>
  <c r="X1252" i="9"/>
  <c r="AU1259" i="9"/>
  <c r="AU1257" i="9"/>
  <c r="AE13" i="9"/>
  <c r="BC13" i="9"/>
  <c r="AL28" i="9"/>
  <c r="P404" i="9"/>
  <c r="AP159" i="9"/>
  <c r="BF242" i="9"/>
  <c r="BF241" i="9" s="1"/>
  <c r="AG298" i="9"/>
  <c r="AG294" i="9"/>
  <c r="AG293" i="9"/>
  <c r="AG295" i="9"/>
  <c r="AG300" i="9" s="1"/>
  <c r="BH426" i="9"/>
  <c r="AJ436" i="9"/>
  <c r="V231" i="9"/>
  <c r="BJ469" i="9"/>
  <c r="G469" i="9"/>
  <c r="G475" i="9" s="1"/>
  <c r="G476" i="9"/>
  <c r="N644" i="9"/>
  <c r="N681" i="9" s="1"/>
  <c r="N693" i="9" s="1"/>
  <c r="P916" i="9"/>
  <c r="P376" i="9" s="1"/>
  <c r="P378" i="9" s="1"/>
  <c r="P774" i="9"/>
  <c r="BO773" i="9"/>
  <c r="BS773" i="9" s="1"/>
  <c r="AL781" i="9"/>
  <c r="Q1173" i="9"/>
  <c r="Q1101" i="9"/>
  <c r="Q1085" i="9" s="1"/>
  <c r="AY1100" i="9"/>
  <c r="AY1084" i="9" s="1"/>
  <c r="AY1095" i="9" s="1"/>
  <c r="P1156" i="9"/>
  <c r="F21" i="9"/>
  <c r="F25" i="9"/>
  <c r="AW28" i="9"/>
  <c r="U404" i="9"/>
  <c r="Z404" i="9"/>
  <c r="AQ159" i="9"/>
  <c r="AS214" i="9"/>
  <c r="BG242" i="9"/>
  <c r="BG241" i="9" s="1"/>
  <c r="AP263" i="9"/>
  <c r="BB755" i="9"/>
  <c r="BS365" i="9"/>
  <c r="S409" i="9"/>
  <c r="AP409" i="9"/>
  <c r="Y232" i="9"/>
  <c r="AI599" i="9"/>
  <c r="AA1100" i="9"/>
  <c r="AA1084" i="9" s="1"/>
  <c r="AA1095" i="9" s="1"/>
  <c r="AA633" i="9"/>
  <c r="T887" i="9"/>
  <c r="AY1083" i="9"/>
  <c r="AU1083" i="9"/>
  <c r="AW1264" i="9"/>
  <c r="AW1257" i="9"/>
  <c r="BE13" i="9"/>
  <c r="BD25" i="9"/>
  <c r="BI25" i="9"/>
  <c r="BJ255" i="9"/>
  <c r="AQ263" i="9"/>
  <c r="AV263" i="9"/>
  <c r="BI299" i="9"/>
  <c r="BI295" i="9"/>
  <c r="BI293" i="9"/>
  <c r="BI294" i="9"/>
  <c r="BI300" i="9" s="1"/>
  <c r="AY356" i="9"/>
  <c r="T1163" i="9"/>
  <c r="AG395" i="9"/>
  <c r="AQ644" i="9"/>
  <c r="AQ661" i="9"/>
  <c r="AQ667" i="9" s="1"/>
  <c r="P696" i="9"/>
  <c r="P708" i="9" s="1"/>
  <c r="K1073" i="9"/>
  <c r="K1068" i="9"/>
  <c r="K30" i="9"/>
  <c r="AE473" i="9"/>
  <c r="AE303" i="9"/>
  <c r="AE305" i="9" s="1"/>
  <c r="AE1163" i="9"/>
  <c r="AX634" i="9"/>
  <c r="G774" i="9"/>
  <c r="AR937" i="9"/>
  <c r="AR940" i="9" s="1"/>
  <c r="AR924" i="9" s="1"/>
  <c r="AG939" i="9"/>
  <c r="S998" i="9"/>
  <c r="T1122" i="9"/>
  <c r="T481" i="9" s="1"/>
  <c r="T484" i="9" s="1"/>
  <c r="T1087" i="9"/>
  <c r="AV393" i="9"/>
  <c r="AZ242" i="9"/>
  <c r="AZ241" i="9" s="1"/>
  <c r="AU242" i="9"/>
  <c r="AU241" i="9" s="1"/>
  <c r="J750" i="9"/>
  <c r="J755" i="9"/>
  <c r="Y311" i="9"/>
  <c r="Y312" i="9"/>
  <c r="BB305" i="9"/>
  <c r="BB316" i="9"/>
  <c r="R755" i="9"/>
  <c r="R750" i="9"/>
  <c r="R751" i="9" s="1"/>
  <c r="R756" i="9" s="1"/>
  <c r="BE621" i="9"/>
  <c r="BE1174" i="9" s="1"/>
  <c r="BE473" i="9"/>
  <c r="BE1154" i="9"/>
  <c r="BE1156" i="9" s="1"/>
  <c r="BE28" i="9"/>
  <c r="BP82" i="9"/>
  <c r="BP239" i="9"/>
  <c r="BP289" i="9" s="1"/>
  <c r="BK289" i="9"/>
  <c r="BK23" i="9" s="1"/>
  <c r="AX21" i="9"/>
  <c r="AS409" i="9"/>
  <c r="BF484" i="9"/>
  <c r="BF483" i="9"/>
  <c r="BF485" i="9" s="1"/>
  <c r="AM712" i="9"/>
  <c r="AM356" i="9"/>
  <c r="AM373" i="9" s="1"/>
  <c r="AM761" i="9" s="1"/>
  <c r="AM629" i="9" s="1"/>
  <c r="BG712" i="9"/>
  <c r="BG356" i="9"/>
  <c r="BG373" i="9" s="1"/>
  <c r="BG761" i="9" s="1"/>
  <c r="BG629" i="9" s="1"/>
  <c r="BE358" i="9"/>
  <c r="BE714" i="9"/>
  <c r="BI860" i="9"/>
  <c r="BG865" i="9"/>
  <c r="M1162" i="9"/>
  <c r="M908" i="9"/>
  <c r="BA89" i="9"/>
  <c r="BA88" i="9" s="1"/>
  <c r="U403" i="9"/>
  <c r="U409" i="9" s="1"/>
  <c r="AJ404" i="9"/>
  <c r="O232" i="9"/>
  <c r="BE303" i="9"/>
  <c r="T750" i="9"/>
  <c r="T755" i="9"/>
  <c r="AW346" i="9"/>
  <c r="AW349" i="9" s="1"/>
  <c r="L399" i="9"/>
  <c r="R436" i="9"/>
  <c r="W436" i="9"/>
  <c r="S485" i="9"/>
  <c r="U646" i="9"/>
  <c r="U648" i="9" s="1"/>
  <c r="U650" i="9" s="1"/>
  <c r="C762" i="9"/>
  <c r="AT908" i="9"/>
  <c r="O1276" i="9"/>
  <c r="AS28" i="9"/>
  <c r="N36" i="9"/>
  <c r="BE89" i="9"/>
  <c r="BE88" i="9" s="1"/>
  <c r="AO232" i="9"/>
  <c r="N316" i="9"/>
  <c r="U750" i="9"/>
  <c r="U751" i="9" s="1"/>
  <c r="U756" i="9" s="1"/>
  <c r="U755" i="9"/>
  <c r="N305" i="9"/>
  <c r="BD346" i="9"/>
  <c r="BD349" i="9" s="1"/>
  <c r="AH399" i="9"/>
  <c r="M399" i="9"/>
  <c r="Y409" i="9"/>
  <c r="X485" i="9"/>
  <c r="BI484" i="9"/>
  <c r="BI483" i="9"/>
  <c r="BI485" i="9" s="1"/>
  <c r="AE710" i="9"/>
  <c r="AE727" i="9" s="1"/>
  <c r="AE650" i="9"/>
  <c r="AA373" i="9"/>
  <c r="AA761" i="9" s="1"/>
  <c r="AA629" i="9" s="1"/>
  <c r="BE716" i="9"/>
  <c r="R848" i="9"/>
  <c r="P860" i="9"/>
  <c r="N865" i="9"/>
  <c r="AV908" i="9"/>
  <c r="AT1176" i="9"/>
  <c r="AY937" i="9"/>
  <c r="AY940" i="9" s="1"/>
  <c r="BC21" i="9"/>
  <c r="BJ89" i="9"/>
  <c r="BJ88" i="9" s="1"/>
  <c r="AE200" i="9"/>
  <c r="BF409" i="9"/>
  <c r="E484" i="9"/>
  <c r="E479" i="9"/>
  <c r="E483" i="9" s="1"/>
  <c r="E485" i="9" s="1"/>
  <c r="AP356" i="9"/>
  <c r="AP712" i="9"/>
  <c r="AT363" i="9"/>
  <c r="AT373" i="9" s="1"/>
  <c r="AT761" i="9" s="1"/>
  <c r="AT720" i="9"/>
  <c r="AE838" i="9"/>
  <c r="AF767" i="9"/>
  <c r="AF634" i="9" s="1"/>
  <c r="AF891" i="9"/>
  <c r="O904" i="9"/>
  <c r="O906" i="9"/>
  <c r="P917" i="9" s="1"/>
  <c r="AE215" i="9"/>
  <c r="AL242" i="9"/>
  <c r="AL241" i="9" s="1"/>
  <c r="AL255" i="9"/>
  <c r="AL254" i="9"/>
  <c r="AQ293" i="9"/>
  <c r="AQ295" i="9"/>
  <c r="AQ299" i="9"/>
  <c r="BS362" i="9"/>
  <c r="BG409" i="9"/>
  <c r="AS472" i="9"/>
  <c r="AX472" i="9"/>
  <c r="F484" i="9"/>
  <c r="F479" i="9"/>
  <c r="F483" i="9" s="1"/>
  <c r="F485" i="9" s="1"/>
  <c r="AL484" i="9"/>
  <c r="AL483" i="9"/>
  <c r="AL485" i="9" s="1"/>
  <c r="BG484" i="9"/>
  <c r="BG485" i="9" s="1"/>
  <c r="C621" i="9"/>
  <c r="C1174" i="9" s="1"/>
  <c r="F760" i="9"/>
  <c r="F334" i="9"/>
  <c r="AV346" i="9"/>
  <c r="AV348" i="9" s="1"/>
  <c r="AV1176" i="9"/>
  <c r="AD1134" i="9"/>
  <c r="AD1070" i="9"/>
  <c r="AG924" i="9"/>
  <c r="BA937" i="9"/>
  <c r="BA940" i="9" s="1"/>
  <c r="BA924" i="9" s="1"/>
  <c r="BA939" i="9"/>
  <c r="BU935" i="9"/>
  <c r="BU936" i="9"/>
  <c r="BU934" i="9"/>
  <c r="L1257" i="9"/>
  <c r="L1252" i="9"/>
  <c r="L1264" i="9"/>
  <c r="L1266" i="9"/>
  <c r="L1250" i="9"/>
  <c r="L1259" i="9"/>
  <c r="BA201" i="9"/>
  <c r="BA200" i="9" s="1"/>
  <c r="AR231" i="9"/>
  <c r="BE263" i="9"/>
  <c r="AZ263" i="9"/>
  <c r="AR295" i="9"/>
  <c r="AR299" i="9"/>
  <c r="AR298" i="9"/>
  <c r="AY305" i="9"/>
  <c r="BD307" i="9" s="1"/>
  <c r="BJ755" i="9"/>
  <c r="BN318" i="9"/>
  <c r="AS360" i="9"/>
  <c r="AG426" i="9"/>
  <c r="G484" i="9"/>
  <c r="G479" i="9"/>
  <c r="G483" i="9" s="1"/>
  <c r="G485" i="9" s="1"/>
  <c r="BI315" i="9"/>
  <c r="BI314" i="9" s="1"/>
  <c r="BI618" i="9"/>
  <c r="BI619" i="9" s="1"/>
  <c r="BF843" i="9"/>
  <c r="BI838" i="9"/>
  <c r="P28" i="9"/>
  <c r="F103" i="9"/>
  <c r="AU231" i="9"/>
  <c r="AS231" i="9"/>
  <c r="AN254" i="9"/>
  <c r="AN255" i="9"/>
  <c r="C467" i="9"/>
  <c r="D465" i="9" s="1"/>
  <c r="D467" i="9" s="1"/>
  <c r="E465" i="9" s="1"/>
  <c r="E467" i="9" s="1"/>
  <c r="F465" i="9" s="1"/>
  <c r="F467" i="9" s="1"/>
  <c r="K465" i="9" s="1"/>
  <c r="H484" i="9"/>
  <c r="H479" i="9"/>
  <c r="H483" i="9" s="1"/>
  <c r="H485" i="9" s="1"/>
  <c r="J646" i="9"/>
  <c r="J648" i="9" s="1"/>
  <c r="J681" i="9"/>
  <c r="J693" i="9" s="1"/>
  <c r="AD661" i="9"/>
  <c r="AD644" i="9"/>
  <c r="AD646" i="9" s="1"/>
  <c r="AD648" i="9" s="1"/>
  <c r="AD710" i="9" s="1"/>
  <c r="AD727" i="9" s="1"/>
  <c r="S762" i="9"/>
  <c r="S1165" i="9" s="1"/>
  <c r="S618" i="9"/>
  <c r="S619" i="9" s="1"/>
  <c r="AX758" i="9"/>
  <c r="AX334" i="9" s="1"/>
  <c r="AX346" i="9" s="1"/>
  <c r="R762" i="9"/>
  <c r="R1165" i="9" s="1"/>
  <c r="Y825" i="9"/>
  <c r="AN1054" i="9"/>
  <c r="AO886" i="9"/>
  <c r="K103" i="9"/>
  <c r="BD159" i="9"/>
  <c r="AU299" i="9"/>
  <c r="AU298" i="9"/>
  <c r="AU294" i="9"/>
  <c r="AU293" i="9"/>
  <c r="BS356" i="9"/>
  <c r="BA646" i="9"/>
  <c r="BA648" i="9" s="1"/>
  <c r="BA681" i="9"/>
  <c r="BA693" i="9" s="1"/>
  <c r="BC669" i="9"/>
  <c r="BC679" i="9" s="1"/>
  <c r="P693" i="9"/>
  <c r="T762" i="9"/>
  <c r="T768" i="9" s="1"/>
  <c r="T635" i="9" s="1"/>
  <c r="T618" i="9"/>
  <c r="T619" i="9" s="1"/>
  <c r="AP1071" i="9"/>
  <c r="AP303" i="9"/>
  <c r="AP762" i="9"/>
  <c r="AP622" i="9" s="1"/>
  <c r="AP1073" i="9"/>
  <c r="AP473" i="9"/>
  <c r="AW756" i="9"/>
  <c r="D939" i="9"/>
  <c r="AI1019" i="9"/>
  <c r="AB998" i="9"/>
  <c r="AT879" i="9"/>
  <c r="AT1039" i="9"/>
  <c r="AP886" i="9"/>
  <c r="AL1259" i="9"/>
  <c r="AL1266" i="9"/>
  <c r="AT13" i="9"/>
  <c r="P13" i="9"/>
  <c r="AK21" i="9"/>
  <c r="R255" i="9"/>
  <c r="AX11" i="9"/>
  <c r="AX102" i="9"/>
  <c r="BN361" i="9"/>
  <c r="BS364" i="9"/>
  <c r="AV394" i="9"/>
  <c r="BC409" i="9"/>
  <c r="AQ762" i="9"/>
  <c r="AQ622" i="9" s="1"/>
  <c r="AQ1073" i="9"/>
  <c r="AQ621" i="9"/>
  <c r="AQ1174" i="9" s="1"/>
  <c r="AQ303" i="9"/>
  <c r="BE762" i="9"/>
  <c r="I781" i="9"/>
  <c r="AN1033" i="9"/>
  <c r="AN879" i="9" s="1"/>
  <c r="AN1173" i="9" s="1"/>
  <c r="AN980" i="9"/>
  <c r="BC995" i="9"/>
  <c r="AQ1054" i="9"/>
  <c r="O1152" i="9"/>
  <c r="T232" i="9"/>
  <c r="AQ255" i="9"/>
  <c r="AQ254" i="9"/>
  <c r="AF299" i="9"/>
  <c r="AA334" i="9"/>
  <c r="AA346" i="9" s="1"/>
  <c r="AO393" i="9"/>
  <c r="AO435" i="9"/>
  <c r="AO436" i="9" s="1"/>
  <c r="AF399" i="9"/>
  <c r="AF36" i="9"/>
  <c r="AG409" i="9"/>
  <c r="N424" i="9"/>
  <c r="AX473" i="9"/>
  <c r="AS749" i="9"/>
  <c r="AS303" i="9" s="1"/>
  <c r="AS388" i="9"/>
  <c r="M661" i="9"/>
  <c r="M667" i="9" s="1"/>
  <c r="M644" i="9"/>
  <c r="M681" i="9" s="1"/>
  <c r="M693" i="9" s="1"/>
  <c r="AG661" i="9"/>
  <c r="AG667" i="9" s="1"/>
  <c r="AG644" i="9"/>
  <c r="V30" i="9"/>
  <c r="V34" i="9" s="1"/>
  <c r="W1071" i="9"/>
  <c r="V291" i="9"/>
  <c r="AR621" i="9"/>
  <c r="AR1174" i="9" s="1"/>
  <c r="AR30" i="9"/>
  <c r="AR34" i="9" s="1"/>
  <c r="AR762" i="9"/>
  <c r="AR1165" i="9" s="1"/>
  <c r="AR303" i="9"/>
  <c r="BE751" i="9"/>
  <c r="BI633" i="9"/>
  <c r="BI1100" i="9"/>
  <c r="BI1084" i="9" s="1"/>
  <c r="AZ917" i="9"/>
  <c r="AW870" i="9"/>
  <c r="BJ1173" i="9"/>
  <c r="BJ1101" i="9"/>
  <c r="BJ1085" i="9" s="1"/>
  <c r="BN1085" i="9" s="1"/>
  <c r="AG998" i="9"/>
  <c r="F1095" i="9"/>
  <c r="AN903" i="9"/>
  <c r="AN1161" i="9" s="1"/>
  <c r="W395" i="9"/>
  <c r="X399" i="9"/>
  <c r="AZ485" i="9"/>
  <c r="J593" i="9"/>
  <c r="X870" i="9"/>
  <c r="Q1162" i="9"/>
  <c r="Q908" i="9"/>
  <c r="AU998" i="9"/>
  <c r="BL998" i="9"/>
  <c r="U998" i="9"/>
  <c r="AZ633" i="9"/>
  <c r="AZ1100" i="9"/>
  <c r="AZ1084" i="9" s="1"/>
  <c r="AZ1095" i="9" s="1"/>
  <c r="AE1019" i="9"/>
  <c r="AE873" i="9" s="1"/>
  <c r="AA887" i="9"/>
  <c r="S1123" i="9"/>
  <c r="S1171" i="9" s="1"/>
  <c r="AT1171" i="9"/>
  <c r="AT1156" i="9"/>
  <c r="D13" i="9"/>
  <c r="AU13" i="9"/>
  <c r="BJ17" i="9"/>
  <c r="AU25" i="9"/>
  <c r="P232" i="9"/>
  <c r="AH231" i="9"/>
  <c r="AM242" i="9"/>
  <c r="D291" i="9"/>
  <c r="D23" i="9"/>
  <c r="D239" i="9"/>
  <c r="AR1163" i="9"/>
  <c r="AI409" i="9"/>
  <c r="Z479" i="9"/>
  <c r="Z484" i="9"/>
  <c r="O599" i="9"/>
  <c r="H710" i="9"/>
  <c r="H727" i="9" s="1"/>
  <c r="BI751" i="9"/>
  <c r="BI473" i="9"/>
  <c r="S346" i="9"/>
  <c r="W767" i="9"/>
  <c r="W891" i="9"/>
  <c r="AV891" i="9"/>
  <c r="AV767" i="9"/>
  <c r="AV634" i="9" s="1"/>
  <c r="C879" i="9"/>
  <c r="C1101" i="9" s="1"/>
  <c r="C1039" i="9"/>
  <c r="AJ887" i="9"/>
  <c r="BI1072" i="9"/>
  <c r="AX903" i="9"/>
  <c r="AX1161" i="9" s="1"/>
  <c r="AD1122" i="9"/>
  <c r="AD481" i="9" s="1"/>
  <c r="AD484" i="9" s="1"/>
  <c r="AM17" i="9"/>
  <c r="AV25" i="9"/>
  <c r="U28" i="9"/>
  <c r="AY28" i="9"/>
  <c r="BS73" i="9"/>
  <c r="BS68" i="9" s="1"/>
  <c r="AU200" i="9"/>
  <c r="L231" i="9"/>
  <c r="E291" i="9"/>
  <c r="E299" i="9" s="1"/>
  <c r="G303" i="9"/>
  <c r="AH755" i="9"/>
  <c r="AH624" i="9" s="1"/>
  <c r="BN359" i="9"/>
  <c r="D399" i="9"/>
  <c r="AJ230" i="9"/>
  <c r="AJ232" i="9" s="1"/>
  <c r="AI443" i="9"/>
  <c r="AI230" i="9" s="1"/>
  <c r="AK231" i="9" s="1"/>
  <c r="AO466" i="9"/>
  <c r="AA667" i="9"/>
  <c r="BC356" i="9"/>
  <c r="BC373" i="9" s="1"/>
  <c r="BC761" i="9" s="1"/>
  <c r="BC712" i="9"/>
  <c r="Q762" i="9"/>
  <c r="Q1165" i="9" s="1"/>
  <c r="BD618" i="9"/>
  <c r="BD619" i="9" s="1"/>
  <c r="BD762" i="9"/>
  <c r="BD778" i="9" s="1"/>
  <c r="BD786" i="9" s="1"/>
  <c r="BD795" i="9" s="1"/>
  <c r="BD1159" i="9" s="1"/>
  <c r="U1100" i="9"/>
  <c r="U1084" i="9" s="1"/>
  <c r="U1095" i="9" s="1"/>
  <c r="U633" i="9"/>
  <c r="U634" i="9"/>
  <c r="Z908" i="9"/>
  <c r="AU908" i="9"/>
  <c r="AW998" i="9"/>
  <c r="G1100" i="9"/>
  <c r="G1084" i="9" s="1"/>
  <c r="G633" i="9"/>
  <c r="AU1039" i="9"/>
  <c r="BJ886" i="9"/>
  <c r="AD1087" i="9"/>
  <c r="BG1156" i="9"/>
  <c r="BB13" i="9"/>
  <c r="AV215" i="9"/>
  <c r="AL231" i="9"/>
  <c r="AL232" i="9"/>
  <c r="BE255" i="9"/>
  <c r="AJ263" i="9"/>
  <c r="BN355" i="9"/>
  <c r="BE365" i="9"/>
  <c r="K433" i="9"/>
  <c r="N469" i="9"/>
  <c r="AB661" i="9"/>
  <c r="AB644" i="9"/>
  <c r="R1069" i="9"/>
  <c r="S1072" i="9"/>
  <c r="AM751" i="9"/>
  <c r="AM756" i="9" s="1"/>
  <c r="AM473" i="9"/>
  <c r="AM469" i="9" s="1"/>
  <c r="AM30" i="9"/>
  <c r="F750" i="9"/>
  <c r="F751" i="9" s="1"/>
  <c r="N618" i="9"/>
  <c r="N619" i="9" s="1"/>
  <c r="N315" i="9"/>
  <c r="N314" i="9" s="1"/>
  <c r="S939" i="9"/>
  <c r="S924" i="9" s="1"/>
  <c r="BD1019" i="9"/>
  <c r="BD873" i="9" s="1"/>
  <c r="BD766" i="9"/>
  <c r="AV1039" i="9"/>
  <c r="BN1051" i="9"/>
  <c r="BN886" i="9" s="1"/>
  <c r="W1123" i="9"/>
  <c r="W1156" i="9" s="1"/>
  <c r="AD1142" i="9"/>
  <c r="AD1143" i="9" s="1"/>
  <c r="AD1154" i="9" s="1"/>
  <c r="K13" i="9"/>
  <c r="AY13" i="9"/>
  <c r="AP17" i="9"/>
  <c r="AE21" i="9"/>
  <c r="BA28" i="9"/>
  <c r="BD34" i="9"/>
  <c r="AR159" i="9"/>
  <c r="D404" i="9"/>
  <c r="P201" i="9"/>
  <c r="P200" i="9" s="1"/>
  <c r="BB200" i="9"/>
  <c r="AK254" i="9"/>
  <c r="BI263" i="9"/>
  <c r="AK295" i="9"/>
  <c r="AK300" i="9" s="1"/>
  <c r="AY298" i="9"/>
  <c r="AK755" i="9"/>
  <c r="BI346" i="9"/>
  <c r="AO360" i="9"/>
  <c r="AO373" i="9" s="1"/>
  <c r="AO761" i="9" s="1"/>
  <c r="AO629" i="9" s="1"/>
  <c r="O409" i="9"/>
  <c r="AB426" i="9"/>
  <c r="AB424" i="9"/>
  <c r="BF424" i="9"/>
  <c r="I646" i="9"/>
  <c r="I648" i="9" s="1"/>
  <c r="I681" i="9"/>
  <c r="I693" i="9" s="1"/>
  <c r="AC667" i="9"/>
  <c r="AY644" i="9"/>
  <c r="AY661" i="9"/>
  <c r="AY667" i="9" s="1"/>
  <c r="K646" i="9"/>
  <c r="K648" i="9" s="1"/>
  <c r="K650" i="9" s="1"/>
  <c r="AQ716" i="9"/>
  <c r="AQ360" i="9"/>
  <c r="O315" i="9"/>
  <c r="O314" i="9" s="1"/>
  <c r="O618" i="9"/>
  <c r="O619" i="9" s="1"/>
  <c r="AJ315" i="9"/>
  <c r="AJ314" i="9" s="1"/>
  <c r="AJ618" i="9"/>
  <c r="AJ619" i="9" s="1"/>
  <c r="AA767" i="9"/>
  <c r="AA634" i="9" s="1"/>
  <c r="H908" i="9"/>
  <c r="AY891" i="9"/>
  <c r="N886" i="9"/>
  <c r="BN1044" i="9"/>
  <c r="P887" i="9"/>
  <c r="BH1114" i="9"/>
  <c r="AX907" i="9"/>
  <c r="BR934" i="9"/>
  <c r="BR935" i="9"/>
  <c r="BR936" i="9"/>
  <c r="AR263" i="9"/>
  <c r="I373" i="9"/>
  <c r="I761" i="9" s="1"/>
  <c r="Y424" i="9"/>
  <c r="Y426" i="9"/>
  <c r="AH436" i="9"/>
  <c r="AO485" i="9"/>
  <c r="Y593" i="9"/>
  <c r="AJ644" i="9"/>
  <c r="AJ661" i="9"/>
  <c r="AJ667" i="9" s="1"/>
  <c r="M843" i="9"/>
  <c r="P838" i="9"/>
  <c r="BA1162" i="9"/>
  <c r="BA908" i="9"/>
  <c r="R1100" i="9"/>
  <c r="R1084" i="9" s="1"/>
  <c r="R633" i="9"/>
  <c r="AU887" i="9"/>
  <c r="AX1276" i="9"/>
  <c r="AX1246" i="9"/>
  <c r="AJ13" i="9"/>
  <c r="BG13" i="9"/>
  <c r="D88" i="9"/>
  <c r="C239" i="9"/>
  <c r="AW263" i="9"/>
  <c r="X750" i="9"/>
  <c r="X755" i="9"/>
  <c r="BS361" i="9"/>
  <c r="M395" i="9"/>
  <c r="AD426" i="9"/>
  <c r="AD424" i="9"/>
  <c r="K435" i="9"/>
  <c r="K436" i="9" s="1"/>
  <c r="P428" i="9"/>
  <c r="P429" i="9" s="1"/>
  <c r="AX481" i="9"/>
  <c r="AX483" i="9" s="1"/>
  <c r="AI314" i="9"/>
  <c r="AK661" i="9"/>
  <c r="AK667" i="9" s="1"/>
  <c r="AK644" i="9"/>
  <c r="AW363" i="9"/>
  <c r="AW720" i="9"/>
  <c r="AU365" i="9"/>
  <c r="AU722" i="9"/>
  <c r="G1163" i="9"/>
  <c r="G30" i="9"/>
  <c r="AA751" i="9"/>
  <c r="AA291" i="9"/>
  <c r="AA303" i="9"/>
  <c r="U916" i="9"/>
  <c r="U376" i="9" s="1"/>
  <c r="U378" i="9" s="1"/>
  <c r="U774" i="9"/>
  <c r="Y774" i="9"/>
  <c r="AQ924" i="9"/>
  <c r="AB1019" i="9"/>
  <c r="BI634" i="9"/>
  <c r="AJ1019" i="9"/>
  <c r="Z886" i="9"/>
  <c r="R937" i="9"/>
  <c r="R940" i="9" s="1"/>
  <c r="R939" i="9"/>
  <c r="AL940" i="9"/>
  <c r="AL939" i="9"/>
  <c r="AL937" i="9"/>
  <c r="P89" i="9"/>
  <c r="P88" i="9" s="1"/>
  <c r="BD145" i="9"/>
  <c r="AV232" i="9"/>
  <c r="F263" i="9"/>
  <c r="AY263" i="9"/>
  <c r="AC316" i="9"/>
  <c r="AC352" i="9" s="1"/>
  <c r="O560" i="9"/>
  <c r="O562" i="9" s="1"/>
  <c r="O1163" i="9"/>
  <c r="AR394" i="9"/>
  <c r="AA409" i="9"/>
  <c r="AB409" i="9"/>
  <c r="P435" i="9"/>
  <c r="P433" i="9"/>
  <c r="R485" i="9"/>
  <c r="AC633" i="9"/>
  <c r="BI661" i="9"/>
  <c r="BI667" i="9" s="1"/>
  <c r="AY1073" i="9"/>
  <c r="AY751" i="9"/>
  <c r="AY756" i="9" s="1"/>
  <c r="AY473" i="9"/>
  <c r="AF908" i="9"/>
  <c r="BD908" i="9"/>
  <c r="BD1162" i="9"/>
  <c r="BF937" i="9"/>
  <c r="AC1019" i="9"/>
  <c r="AY1019" i="9"/>
  <c r="BS1035" i="9"/>
  <c r="BS882" i="9" s="1"/>
  <c r="AM1176" i="9"/>
  <c r="BN1036" i="9"/>
  <c r="BN881" i="9" s="1"/>
  <c r="AW887" i="9"/>
  <c r="V1083" i="9"/>
  <c r="V1095" i="9" s="1"/>
  <c r="Z1083" i="9"/>
  <c r="Z1097" i="9" s="1"/>
  <c r="AN1072" i="9"/>
  <c r="BG937" i="9"/>
  <c r="BG940" i="9"/>
  <c r="BG924" i="9" s="1"/>
  <c r="AF1250" i="9"/>
  <c r="AF1264" i="9"/>
  <c r="BJ25" i="9"/>
  <c r="BF254" i="9"/>
  <c r="BD315" i="9"/>
  <c r="T560" i="9"/>
  <c r="T562" i="9" s="1"/>
  <c r="T390" i="9"/>
  <c r="T37" i="9" s="1"/>
  <c r="H399" i="9"/>
  <c r="AS391" i="9"/>
  <c r="AS435" i="9" s="1"/>
  <c r="AC399" i="9"/>
  <c r="AK424" i="9"/>
  <c r="AN426" i="9"/>
  <c r="P431" i="9"/>
  <c r="AD472" i="9"/>
  <c r="AH476" i="9"/>
  <c r="AE633" i="9"/>
  <c r="X700" i="9"/>
  <c r="X708" i="9" s="1"/>
  <c r="BN362" i="9"/>
  <c r="AW722" i="9"/>
  <c r="AW365" i="9"/>
  <c r="H708" i="9"/>
  <c r="AC473" i="9"/>
  <c r="AC476" i="9" s="1"/>
  <c r="AF1072" i="9"/>
  <c r="AZ751" i="9"/>
  <c r="AZ303" i="9"/>
  <c r="Q870" i="9"/>
  <c r="AP870" i="9"/>
  <c r="AI870" i="9"/>
  <c r="BH870" i="9"/>
  <c r="BF940" i="9"/>
  <c r="BF924" i="9" s="1"/>
  <c r="AO1039" i="9"/>
  <c r="BL1173" i="9"/>
  <c r="BL1039" i="9"/>
  <c r="S886" i="9"/>
  <c r="S1054" i="9"/>
  <c r="AB887" i="9"/>
  <c r="AX887" i="9"/>
  <c r="G1162" i="9"/>
  <c r="D130" i="9"/>
  <c r="AM201" i="9"/>
  <c r="AM200" i="9" s="1"/>
  <c r="AV231" i="9"/>
  <c r="BE242" i="9"/>
  <c r="BE241" i="9" s="1"/>
  <c r="BA255" i="9"/>
  <c r="C298" i="9"/>
  <c r="AI759" i="9"/>
  <c r="AD759" i="9"/>
  <c r="BN354" i="9"/>
  <c r="BH360" i="9"/>
  <c r="BN363" i="9"/>
  <c r="AL424" i="9"/>
  <c r="K429" i="9"/>
  <c r="Y433" i="9"/>
  <c r="AT916" i="9"/>
  <c r="AT376" i="9" s="1"/>
  <c r="AT378" i="9" s="1"/>
  <c r="AT774" i="9"/>
  <c r="R870" i="9"/>
  <c r="AQ870" i="9"/>
  <c r="BJ870" i="9"/>
  <c r="BC870" i="9"/>
  <c r="O886" i="9"/>
  <c r="H1019" i="9"/>
  <c r="BI1039" i="9"/>
  <c r="BQ1039" i="9"/>
  <c r="S1039" i="9"/>
  <c r="S881" i="9"/>
  <c r="S1176" i="9" s="1"/>
  <c r="T1114" i="9"/>
  <c r="T1123" i="9" s="1"/>
  <c r="AS1152" i="9"/>
  <c r="AY1173" i="9"/>
  <c r="AQ483" i="9"/>
  <c r="AQ484" i="9"/>
  <c r="O605" i="9"/>
  <c r="BC825" i="9"/>
  <c r="BE824" i="9"/>
  <c r="V848" i="9"/>
  <c r="AU848" i="9"/>
  <c r="AN848" i="9"/>
  <c r="AE860" i="9"/>
  <c r="AA865" i="9"/>
  <c r="S870" i="9"/>
  <c r="AR870" i="9"/>
  <c r="M870" i="9"/>
  <c r="AY998" i="9"/>
  <c r="BJ1039" i="9"/>
  <c r="BN1035" i="9"/>
  <c r="BN882" i="9" s="1"/>
  <c r="AR887" i="9"/>
  <c r="N1123" i="9"/>
  <c r="AF1143" i="9"/>
  <c r="BE1143" i="9"/>
  <c r="BD144" i="9"/>
  <c r="K232" i="9"/>
  <c r="F232" i="9"/>
  <c r="AO263" i="9"/>
  <c r="C316" i="9"/>
  <c r="C323" i="9" s="1"/>
  <c r="AL755" i="9"/>
  <c r="BS359" i="9"/>
  <c r="BS360" i="9"/>
  <c r="P395" i="9"/>
  <c r="AW409" i="9"/>
  <c r="AI424" i="9"/>
  <c r="BD476" i="9"/>
  <c r="AD593" i="9"/>
  <c r="BD360" i="9"/>
  <c r="BD716" i="9"/>
  <c r="AP621" i="9"/>
  <c r="AP1174" i="9" s="1"/>
  <c r="AO774" i="9"/>
  <c r="S774" i="9"/>
  <c r="W848" i="9"/>
  <c r="AV848" i="9"/>
  <c r="Q848" i="9"/>
  <c r="J848" i="9"/>
  <c r="AS870" i="9"/>
  <c r="O924" i="9"/>
  <c r="AA998" i="9"/>
  <c r="V887" i="9"/>
  <c r="E1095" i="9"/>
  <c r="E1097" i="9"/>
  <c r="BG1095" i="9"/>
  <c r="O1068" i="9"/>
  <c r="AN1073" i="9"/>
  <c r="J1087" i="9"/>
  <c r="J1122" i="9"/>
  <c r="J481" i="9" s="1"/>
  <c r="J484" i="9" s="1"/>
  <c r="Q1123" i="9"/>
  <c r="AN1152" i="9"/>
  <c r="BD483" i="9"/>
  <c r="BD485" i="9" s="1"/>
  <c r="BD484" i="9"/>
  <c r="G618" i="9"/>
  <c r="G619" i="9" s="1"/>
  <c r="AA762" i="9"/>
  <c r="AA622" i="9" s="1"/>
  <c r="V634" i="9"/>
  <c r="BH995" i="9"/>
  <c r="BH1042" i="9"/>
  <c r="I998" i="9"/>
  <c r="BE998" i="9"/>
  <c r="BI887" i="9"/>
  <c r="AR1054" i="9"/>
  <c r="BC907" i="9"/>
  <c r="P1143" i="9"/>
  <c r="P1154" i="9" s="1"/>
  <c r="BD13" i="9"/>
  <c r="E17" i="9"/>
  <c r="AL21" i="9"/>
  <c r="AT404" i="9"/>
  <c r="AT294" i="9"/>
  <c r="AL759" i="9"/>
  <c r="AL760" i="9" s="1"/>
  <c r="E395" i="9"/>
  <c r="AB395" i="9"/>
  <c r="O476" i="9"/>
  <c r="AJ1072" i="9"/>
  <c r="AJ762" i="9"/>
  <c r="AJ622" i="9" s="1"/>
  <c r="L848" i="9"/>
  <c r="AK848" i="9"/>
  <c r="AO848" i="9" s="1"/>
  <c r="AO843" i="9" s="1"/>
  <c r="BJ848" i="9"/>
  <c r="P886" i="9"/>
  <c r="O1114" i="9"/>
  <c r="AU937" i="9"/>
  <c r="AU940" i="9" s="1"/>
  <c r="AU939" i="9"/>
  <c r="AJ998" i="9"/>
  <c r="BF998" i="9"/>
  <c r="V1123" i="9"/>
  <c r="AU1123" i="9"/>
  <c r="H1143" i="9"/>
  <c r="H1154" i="9" s="1"/>
  <c r="AN1142" i="9"/>
  <c r="BH1152" i="9"/>
  <c r="BJ1154" i="9"/>
  <c r="BJ1156" i="9" s="1"/>
  <c r="AM13" i="9"/>
  <c r="AJ21" i="9"/>
  <c r="BF21" i="9"/>
  <c r="AE28" i="9"/>
  <c r="U201" i="9"/>
  <c r="U200" i="9" s="1"/>
  <c r="F242" i="9"/>
  <c r="BD242" i="9"/>
  <c r="BD241" i="9" s="1"/>
  <c r="V255" i="9"/>
  <c r="AL263" i="9"/>
  <c r="AM755" i="9"/>
  <c r="AM624" i="9" s="1"/>
  <c r="BN358" i="9"/>
  <c r="AI398" i="9"/>
  <c r="AI399" i="9" s="1"/>
  <c r="L395" i="9"/>
  <c r="M476" i="9"/>
  <c r="M469" i="9"/>
  <c r="M475" i="9" s="1"/>
  <c r="M477" i="9" s="1"/>
  <c r="T599" i="9"/>
  <c r="J605" i="9"/>
  <c r="J618" i="9"/>
  <c r="J619" i="9" s="1"/>
  <c r="AV916" i="9"/>
  <c r="AV774" i="9"/>
  <c r="X848" i="9"/>
  <c r="BC924" i="9"/>
  <c r="O633" i="9"/>
  <c r="X1019" i="9"/>
  <c r="Q891" i="9"/>
  <c r="AY1039" i="9"/>
  <c r="BA887" i="9"/>
  <c r="F886" i="9"/>
  <c r="BS1085" i="9"/>
  <c r="BG1143" i="9"/>
  <c r="BG1154" i="9" s="1"/>
  <c r="BG1019" i="9"/>
  <c r="BG873" i="9" s="1"/>
  <c r="AK1176" i="9"/>
  <c r="S887" i="9"/>
  <c r="AJ1123" i="9"/>
  <c r="BE1123" i="9"/>
  <c r="AY1154" i="9"/>
  <c r="D1250" i="9"/>
  <c r="D1257" i="9"/>
  <c r="BA13" i="9"/>
  <c r="AW21" i="9"/>
  <c r="D145" i="9"/>
  <c r="D144" i="9" s="1"/>
  <c r="BD263" i="9"/>
  <c r="BS355" i="9"/>
  <c r="BJ395" i="9"/>
  <c r="I399" i="9"/>
  <c r="AD762" i="9"/>
  <c r="AD622" i="9" s="1"/>
  <c r="AD473" i="9"/>
  <c r="AD476" i="9" s="1"/>
  <c r="BA1073" i="9"/>
  <c r="I760" i="9"/>
  <c r="M848" i="9"/>
  <c r="P848" i="9" s="1"/>
  <c r="BH1054" i="9"/>
  <c r="D1095" i="9"/>
  <c r="AE634" i="9"/>
  <c r="BA891" i="9"/>
  <c r="AR886" i="9"/>
  <c r="AD1114" i="9"/>
  <c r="AD1123" i="9" s="1"/>
  <c r="AK1123" i="9"/>
  <c r="BF1123" i="9"/>
  <c r="AV1143" i="9"/>
  <c r="E1154" i="9"/>
  <c r="E1156" i="9" s="1"/>
  <c r="Y708" i="9"/>
  <c r="AF1071" i="9"/>
  <c r="AH1071" i="9"/>
  <c r="AY916" i="9"/>
  <c r="AY774" i="9"/>
  <c r="BN790" i="9"/>
  <c r="N848" i="9"/>
  <c r="AM848" i="9"/>
  <c r="AG848" i="9"/>
  <c r="U860" i="9"/>
  <c r="H870" i="9"/>
  <c r="AG870" i="9"/>
  <c r="BF870" i="9"/>
  <c r="AA870" i="9"/>
  <c r="AZ870" i="9"/>
  <c r="T870" i="9"/>
  <c r="E908" i="9"/>
  <c r="AH924" i="9"/>
  <c r="BV998" i="9"/>
  <c r="BR995" i="9"/>
  <c r="BR998" i="9" s="1"/>
  <c r="L998" i="9"/>
  <c r="AK998" i="9"/>
  <c r="BG998" i="9"/>
  <c r="AQ887" i="9"/>
  <c r="AS1142" i="9"/>
  <c r="AT722" i="9"/>
  <c r="K838" i="9"/>
  <c r="I843" i="9"/>
  <c r="BB1162" i="9"/>
  <c r="BB908" i="9"/>
  <c r="AM998" i="9"/>
  <c r="BD998" i="9"/>
  <c r="I1019" i="9"/>
  <c r="W887" i="9"/>
  <c r="J1114" i="9"/>
  <c r="J1123" i="9" s="1"/>
  <c r="AA1123" i="9"/>
  <c r="AA1156" i="9" s="1"/>
  <c r="K1143" i="9"/>
  <c r="K1154" i="9" s="1"/>
  <c r="BD1143" i="9"/>
  <c r="N1154" i="9"/>
  <c r="N1156" i="9" s="1"/>
  <c r="AL1154" i="9"/>
  <c r="AL1156" i="9" s="1"/>
  <c r="T924" i="9"/>
  <c r="AW618" i="9"/>
  <c r="AW619" i="9" s="1"/>
  <c r="BN793" i="9"/>
  <c r="AB848" i="9"/>
  <c r="BA848" i="9"/>
  <c r="AY855" i="9"/>
  <c r="AO998" i="9"/>
  <c r="Z1019" i="9"/>
  <c r="AO887" i="9"/>
  <c r="BB1123" i="9"/>
  <c r="AB1123" i="9"/>
  <c r="Y1152" i="9"/>
  <c r="Z700" i="9"/>
  <c r="Z708" i="9" s="1"/>
  <c r="X916" i="9"/>
  <c r="X376" i="9" s="1"/>
  <c r="X378" i="9" s="1"/>
  <c r="X774" i="9"/>
  <c r="BS777" i="9"/>
  <c r="AV781" i="9"/>
  <c r="AP848" i="9"/>
  <c r="BH848" i="9"/>
  <c r="AQ998" i="9"/>
  <c r="AX886" i="9"/>
  <c r="M998" i="9"/>
  <c r="AL998" i="9"/>
  <c r="BM1039" i="9"/>
  <c r="G1039" i="9"/>
  <c r="AE887" i="9"/>
  <c r="F887" i="9"/>
  <c r="AZ887" i="9"/>
  <c r="C886" i="9"/>
  <c r="Y1122" i="9"/>
  <c r="Y481" i="9" s="1"/>
  <c r="AW1143" i="9"/>
  <c r="AW1154" i="9" s="1"/>
  <c r="AW1156" i="9" s="1"/>
  <c r="C940" i="9"/>
  <c r="C924" i="9" s="1"/>
  <c r="S727" i="9"/>
  <c r="N621" i="9"/>
  <c r="N1174" i="9" s="1"/>
  <c r="AH621" i="9"/>
  <c r="AH1174" i="9" s="1"/>
  <c r="I774" i="9"/>
  <c r="AC774" i="9"/>
  <c r="AX848" i="9"/>
  <c r="AA908" i="9"/>
  <c r="AC908" i="9"/>
  <c r="AN1039" i="9"/>
  <c r="AJ781" i="9"/>
  <c r="Q1019" i="9"/>
  <c r="U891" i="9"/>
  <c r="BI886" i="9"/>
  <c r="H887" i="9"/>
  <c r="BC903" i="9"/>
  <c r="BC1161" i="9" s="1"/>
  <c r="AC1123" i="9"/>
  <c r="AC1143" i="9"/>
  <c r="AC1154" i="9" s="1"/>
  <c r="J1142" i="9"/>
  <c r="AA1161" i="9"/>
  <c r="J774" i="9"/>
  <c r="AY908" i="9"/>
  <c r="AC998" i="9"/>
  <c r="BA998" i="9"/>
  <c r="AN887" i="9"/>
  <c r="G1123" i="9"/>
  <c r="BH1134" i="9"/>
  <c r="G1143" i="9"/>
  <c r="G1154" i="9" s="1"/>
  <c r="G1156" i="9" s="1"/>
  <c r="O1142" i="9"/>
  <c r="AX1152" i="9"/>
  <c r="D1156" i="9"/>
  <c r="E1171" i="9"/>
  <c r="D1171" i="9"/>
  <c r="E63" i="9"/>
  <c r="E403" i="9"/>
  <c r="AZ124" i="9"/>
  <c r="AS254" i="9"/>
  <c r="AS255" i="9"/>
  <c r="X255" i="9"/>
  <c r="X254" i="9"/>
  <c r="AG314" i="9"/>
  <c r="AG316" i="9"/>
  <c r="AP483" i="9"/>
  <c r="AP484" i="9"/>
  <c r="BD475" i="9"/>
  <c r="O1069" i="9"/>
  <c r="C1266" i="9"/>
  <c r="C1259" i="9"/>
  <c r="C1252" i="9"/>
  <c r="C1250" i="9"/>
  <c r="C1264" i="9"/>
  <c r="C1257" i="9"/>
  <c r="N409" i="9"/>
  <c r="M409" i="9"/>
  <c r="J409" i="9"/>
  <c r="K119" i="9"/>
  <c r="K403" i="9"/>
  <c r="K409" i="9" s="1"/>
  <c r="AS1087" i="9"/>
  <c r="AS1122" i="9"/>
  <c r="AU124" i="9"/>
  <c r="AX1087" i="9"/>
  <c r="AX1122" i="9"/>
  <c r="AX1123" i="9" s="1"/>
  <c r="AT1246" i="9"/>
  <c r="AP917" i="9"/>
  <c r="AQ201" i="9"/>
  <c r="AQ200" i="9" s="1"/>
  <c r="AQ215" i="9"/>
  <c r="AL201" i="9"/>
  <c r="AL200" i="9" s="1"/>
  <c r="AL215" i="9"/>
  <c r="E1252" i="9"/>
  <c r="E1266" i="9"/>
  <c r="E1259" i="9"/>
  <c r="E1250" i="9"/>
  <c r="E1264" i="9"/>
  <c r="E1257" i="9"/>
  <c r="Z1246" i="9"/>
  <c r="X917" i="9"/>
  <c r="AI102" i="9"/>
  <c r="AI11" i="9"/>
  <c r="F1252" i="9"/>
  <c r="F1266" i="9"/>
  <c r="F1264" i="9"/>
  <c r="F1259" i="9"/>
  <c r="F1257" i="9"/>
  <c r="F1250" i="9"/>
  <c r="M231" i="9"/>
  <c r="M232" i="9"/>
  <c r="R232" i="9"/>
  <c r="AI232" i="9"/>
  <c r="AI231" i="9"/>
  <c r="AN232" i="9"/>
  <c r="AN293" i="9"/>
  <c r="AN102" i="9"/>
  <c r="AN11" i="9"/>
  <c r="AE89" i="9"/>
  <c r="AE88" i="9" s="1"/>
  <c r="AE103" i="9"/>
  <c r="BB89" i="9"/>
  <c r="BB88" i="9" s="1"/>
  <c r="BB103" i="9"/>
  <c r="T255" i="9"/>
  <c r="V254" i="9"/>
  <c r="T254" i="9"/>
  <c r="AN1276" i="9"/>
  <c r="AN3" i="9"/>
  <c r="AL17" i="9"/>
  <c r="AQ17" i="9"/>
  <c r="BF25" i="9"/>
  <c r="BK25" i="9"/>
  <c r="AK89" i="9"/>
  <c r="AK88" i="9" s="1"/>
  <c r="BC89" i="9"/>
  <c r="BC88" i="9" s="1"/>
  <c r="BC103" i="9"/>
  <c r="AF1019" i="9"/>
  <c r="AF766" i="9"/>
  <c r="BB1100" i="9"/>
  <c r="BB1084" i="9" s="1"/>
  <c r="BB633" i="9"/>
  <c r="BD89" i="9"/>
  <c r="BD88" i="9" s="1"/>
  <c r="BD103" i="9"/>
  <c r="T1034" i="9"/>
  <c r="T1039" i="9" s="1"/>
  <c r="T980" i="9"/>
  <c r="BC882" i="9"/>
  <c r="BC1176" i="9" s="1"/>
  <c r="BC1039" i="9"/>
  <c r="D1019" i="9"/>
  <c r="AV1019" i="9"/>
  <c r="K1019" i="9"/>
  <c r="K766" i="9"/>
  <c r="AG1100" i="9"/>
  <c r="AG1084" i="9" s="1"/>
  <c r="AG633" i="9"/>
  <c r="BC1100" i="9"/>
  <c r="BC1084" i="9" s="1"/>
  <c r="P469" i="9"/>
  <c r="P476" i="9"/>
  <c r="P1101" i="9"/>
  <c r="P1085" i="9" s="1"/>
  <c r="P1176" i="9"/>
  <c r="AN1122" i="9"/>
  <c r="AN1087" i="9"/>
  <c r="BA1252" i="9"/>
  <c r="BA1257" i="9"/>
  <c r="BA1259" i="9"/>
  <c r="BA1266" i="9"/>
  <c r="BA1264" i="9"/>
  <c r="BA1250" i="9"/>
  <c r="T1134" i="9"/>
  <c r="T1143" i="9" s="1"/>
  <c r="T1071" i="9"/>
  <c r="BE21" i="9"/>
  <c r="BJ21" i="9"/>
  <c r="D28" i="9"/>
  <c r="L34" i="9"/>
  <c r="AR215" i="9"/>
  <c r="AR201" i="9"/>
  <c r="AR200" i="9" s="1"/>
  <c r="AW215" i="9"/>
  <c r="D608" i="9"/>
  <c r="D611" i="9" s="1"/>
  <c r="C271" i="9"/>
  <c r="C615" i="9"/>
  <c r="C445" i="9" s="1"/>
  <c r="S1162" i="9"/>
  <c r="S908" i="9"/>
  <c r="S917" i="9"/>
  <c r="AS1276" i="9"/>
  <c r="AM103" i="9"/>
  <c r="AM1100" i="9"/>
  <c r="AM1084" i="9" s="1"/>
  <c r="AM633" i="9"/>
  <c r="AE1246" i="9"/>
  <c r="AI376" i="9"/>
  <c r="AI378" i="9" s="1"/>
  <c r="AP68" i="9"/>
  <c r="BC397" i="9"/>
  <c r="AO1100" i="9"/>
  <c r="AO1084" i="9" s="1"/>
  <c r="AO633" i="9"/>
  <c r="AC781" i="9"/>
  <c r="AQ69" i="9"/>
  <c r="AQ82" i="9" s="1"/>
  <c r="AQ83" i="9" s="1"/>
  <c r="AQ68" i="9"/>
  <c r="AW625" i="9"/>
  <c r="AU786" i="9"/>
  <c r="AU795" i="9" s="1"/>
  <c r="AU807" i="9"/>
  <c r="AD781" i="9"/>
  <c r="BK1138" i="9"/>
  <c r="BL905" i="9"/>
  <c r="AO376" i="9"/>
  <c r="AO378" i="9" s="1"/>
  <c r="AO917" i="9"/>
  <c r="O312" i="9"/>
  <c r="L311" i="9"/>
  <c r="J311" i="9"/>
  <c r="AE781" i="9"/>
  <c r="AT838" i="9"/>
  <c r="AP843" i="9"/>
  <c r="BB323" i="9"/>
  <c r="BB470" i="9"/>
  <c r="BB475" i="9"/>
  <c r="BB477" i="9" s="1"/>
  <c r="AF781" i="9"/>
  <c r="N395" i="9"/>
  <c r="S395" i="9"/>
  <c r="C352" i="9"/>
  <c r="C353" i="9" s="1"/>
  <c r="C774" i="9"/>
  <c r="C916" i="9"/>
  <c r="C376" i="9" s="1"/>
  <c r="C378" i="9" s="1"/>
  <c r="AQ916" i="9"/>
  <c r="AQ774" i="9"/>
  <c r="AS239" i="9"/>
  <c r="AS23" i="9"/>
  <c r="AS291" i="9"/>
  <c r="AS298" i="9"/>
  <c r="K759" i="9"/>
  <c r="K760" i="9" s="1"/>
  <c r="K373" i="9"/>
  <c r="K761" i="9" s="1"/>
  <c r="AR917" i="9"/>
  <c r="AU1176" i="9"/>
  <c r="G767" i="9"/>
  <c r="G634" i="9" s="1"/>
  <c r="G891" i="9"/>
  <c r="E242" i="9"/>
  <c r="D242" i="9"/>
  <c r="AX23" i="9"/>
  <c r="AX25" i="9" s="1"/>
  <c r="AX291" i="9"/>
  <c r="AX239" i="9"/>
  <c r="AS767" i="9"/>
  <c r="O759" i="9"/>
  <c r="O760" i="9" s="1"/>
  <c r="O373" i="9"/>
  <c r="O761" i="9" s="1"/>
  <c r="BC759" i="9"/>
  <c r="BC760" i="9" s="1"/>
  <c r="AI436" i="9"/>
  <c r="X873" i="9"/>
  <c r="X1030" i="9"/>
  <c r="X875" i="9" s="1"/>
  <c r="BN1045" i="9"/>
  <c r="AS102" i="9"/>
  <c r="AS11" i="9"/>
  <c r="AS13" i="9" s="1"/>
  <c r="AS293" i="9"/>
  <c r="AL629" i="9"/>
  <c r="AY1266" i="9"/>
  <c r="AY1259" i="9"/>
  <c r="AY1252" i="9"/>
  <c r="AY1257" i="9"/>
  <c r="AY1264" i="9"/>
  <c r="AY1250" i="9"/>
  <c r="F403" i="9"/>
  <c r="F409" i="9" s="1"/>
  <c r="F63" i="9"/>
  <c r="BG124" i="9"/>
  <c r="AH376" i="9"/>
  <c r="AH917" i="9"/>
  <c r="G1095" i="9"/>
  <c r="K1246" i="9"/>
  <c r="AN633" i="9"/>
  <c r="AN1100" i="9"/>
  <c r="AN1084" i="9" s="1"/>
  <c r="AN1095" i="9" s="1"/>
  <c r="BF781" i="9"/>
  <c r="S1264" i="9"/>
  <c r="S1257" i="9"/>
  <c r="S1250" i="9"/>
  <c r="S1266" i="9"/>
  <c r="S1259" i="9"/>
  <c r="S1252" i="9"/>
  <c r="AJ376" i="9"/>
  <c r="AJ378" i="9" s="1"/>
  <c r="BI781" i="9"/>
  <c r="AQ34" i="9"/>
  <c r="AL34" i="9"/>
  <c r="AS68" i="9"/>
  <c r="AH307" i="9"/>
  <c r="AM328" i="9"/>
  <c r="AH308" i="9"/>
  <c r="AH328" i="9"/>
  <c r="T349" i="9"/>
  <c r="BA475" i="9"/>
  <c r="BA477" i="9" s="1"/>
  <c r="BJ781" i="9"/>
  <c r="AU917" i="9"/>
  <c r="AU376" i="9"/>
  <c r="AU378" i="9" s="1"/>
  <c r="AS1246" i="9"/>
  <c r="AY917" i="9"/>
  <c r="AY376" i="9"/>
  <c r="AY378" i="9" s="1"/>
  <c r="AX1252" i="9"/>
  <c r="AX1264" i="9"/>
  <c r="AX1266" i="9"/>
  <c r="AX1259" i="9"/>
  <c r="AX1250" i="9"/>
  <c r="AX1257" i="9"/>
  <c r="AO28" i="9"/>
  <c r="AT28" i="9"/>
  <c r="AI239" i="9"/>
  <c r="AI291" i="9"/>
  <c r="AI298" i="9" s="1"/>
  <c r="P1100" i="9"/>
  <c r="P1084" i="9" s="1"/>
  <c r="P633" i="9"/>
  <c r="AP34" i="9"/>
  <c r="AN291" i="9"/>
  <c r="AN239" i="9"/>
  <c r="AN298" i="9"/>
  <c r="AN23" i="9"/>
  <c r="AN25" i="9" s="1"/>
  <c r="W916" i="9"/>
  <c r="W774" i="9"/>
  <c r="AO767" i="9"/>
  <c r="AO891" i="9"/>
  <c r="AU681" i="9"/>
  <c r="AU693" i="9" s="1"/>
  <c r="AU646" i="9"/>
  <c r="AU648" i="9" s="1"/>
  <c r="AR891" i="9"/>
  <c r="AR767" i="9"/>
  <c r="AR634" i="9" s="1"/>
  <c r="BN365" i="9"/>
  <c r="H891" i="9"/>
  <c r="H767" i="9"/>
  <c r="BD300" i="9"/>
  <c r="P759" i="9"/>
  <c r="P760" i="9" s="1"/>
  <c r="P373" i="9"/>
  <c r="P761" i="9" s="1"/>
  <c r="AJ759" i="9"/>
  <c r="AJ760" i="9" s="1"/>
  <c r="BD759" i="9"/>
  <c r="BD760" i="9" s="1"/>
  <c r="BD628" i="9" s="1"/>
  <c r="L436" i="9"/>
  <c r="Q436" i="9"/>
  <c r="O1050" i="9"/>
  <c r="O1054" i="9" s="1"/>
  <c r="O995" i="9"/>
  <c r="AC1030" i="9"/>
  <c r="AC875" i="9" s="1"/>
  <c r="AC873" i="9"/>
  <c r="D781" i="9"/>
  <c r="Y781" i="9"/>
  <c r="AT781" i="9"/>
  <c r="AV28" i="9"/>
  <c r="AQ28" i="9"/>
  <c r="BJ475" i="9"/>
  <c r="BJ477" i="9" s="1"/>
  <c r="J3" i="9"/>
  <c r="J1246" i="9" s="1"/>
  <c r="J1276" i="9"/>
  <c r="BI21" i="9"/>
  <c r="AR255" i="9"/>
  <c r="AR254" i="9"/>
  <c r="AJ751" i="9"/>
  <c r="AJ756" i="9" s="1"/>
  <c r="Q373" i="9"/>
  <c r="Q761" i="9" s="1"/>
  <c r="Q759" i="9"/>
  <c r="Q760" i="9" s="1"/>
  <c r="K5" i="9"/>
  <c r="G5" i="9"/>
  <c r="H5" i="9" s="1"/>
  <c r="I5" i="9" s="1"/>
  <c r="J5" i="9" s="1"/>
  <c r="AL25" i="9"/>
  <c r="AQ25" i="9"/>
  <c r="AM232" i="9"/>
  <c r="AR232" i="9"/>
  <c r="F296" i="9"/>
  <c r="F295" i="9"/>
  <c r="F294" i="9"/>
  <c r="F293" i="9"/>
  <c r="F299" i="9"/>
  <c r="F297" i="9"/>
  <c r="AL295" i="9"/>
  <c r="AL299" i="9"/>
  <c r="AL298" i="9"/>
  <c r="AL294" i="9"/>
  <c r="AL293" i="9"/>
  <c r="AL300" i="9" s="1"/>
  <c r="N768" i="9"/>
  <c r="N635" i="9" s="1"/>
  <c r="N622" i="9"/>
  <c r="N1165" i="9"/>
  <c r="N778" i="9"/>
  <c r="N786" i="9" s="1"/>
  <c r="N795" i="9" s="1"/>
  <c r="J806" i="9"/>
  <c r="O824" i="9"/>
  <c r="Q824" i="9"/>
  <c r="O825" i="9"/>
  <c r="Q873" i="9"/>
  <c r="Q1030" i="9"/>
  <c r="Y255" i="9"/>
  <c r="Y254" i="9"/>
  <c r="R469" i="9"/>
  <c r="R476" i="9"/>
  <c r="F879" i="9"/>
  <c r="F1039" i="9"/>
  <c r="AX879" i="9"/>
  <c r="AX1101" i="9" s="1"/>
  <c r="AX1085" i="9" s="1"/>
  <c r="E296" i="9"/>
  <c r="E295" i="9"/>
  <c r="E294" i="9"/>
  <c r="E293" i="9"/>
  <c r="E298" i="9"/>
  <c r="E297" i="9"/>
  <c r="C449" i="9"/>
  <c r="C415" i="9"/>
  <c r="AD254" i="9"/>
  <c r="AD255" i="9"/>
  <c r="AF254" i="9"/>
  <c r="V476" i="9"/>
  <c r="V469" i="9"/>
  <c r="E1072" i="9"/>
  <c r="E1079" i="9" s="1"/>
  <c r="E1073" i="9"/>
  <c r="E1069" i="9"/>
  <c r="E1071" i="9"/>
  <c r="E1068" i="9"/>
  <c r="E473" i="9"/>
  <c r="E1070" i="9"/>
  <c r="E30" i="9"/>
  <c r="E634" i="9"/>
  <c r="E762" i="9"/>
  <c r="E303" i="9"/>
  <c r="E633" i="9"/>
  <c r="E1163" i="9"/>
  <c r="E891" i="9"/>
  <c r="E621" i="9"/>
  <c r="E1174" i="9" s="1"/>
  <c r="Y1073" i="9"/>
  <c r="AA1068" i="9"/>
  <c r="AA1071" i="9"/>
  <c r="Y751" i="9"/>
  <c r="Y1069" i="9"/>
  <c r="Y1076" i="9" s="1"/>
  <c r="AA1073" i="9"/>
  <c r="Y762" i="9"/>
  <c r="Y633" i="9"/>
  <c r="Y303" i="9"/>
  <c r="Y473" i="9"/>
  <c r="Y291" i="9"/>
  <c r="Y1072" i="9"/>
  <c r="Y1079" i="9" s="1"/>
  <c r="Y30" i="9"/>
  <c r="AC1070" i="9"/>
  <c r="AB1070" i="9"/>
  <c r="Y1068" i="9"/>
  <c r="AD1075" i="9" s="1"/>
  <c r="AT1071" i="9"/>
  <c r="AT1070" i="9"/>
  <c r="AT473" i="9"/>
  <c r="AT1068" i="9"/>
  <c r="AT1075" i="9" s="1"/>
  <c r="AT751" i="9"/>
  <c r="AT762" i="9"/>
  <c r="AT30" i="9"/>
  <c r="AY34" i="9" s="1"/>
  <c r="AT1069" i="9"/>
  <c r="AT1076" i="9" s="1"/>
  <c r="AT303" i="9"/>
  <c r="AT1073" i="9"/>
  <c r="E315" i="9"/>
  <c r="E314" i="9" s="1"/>
  <c r="E618" i="9"/>
  <c r="E619" i="9" s="1"/>
  <c r="Y618" i="9"/>
  <c r="Y619" i="9" s="1"/>
  <c r="Y315" i="9"/>
  <c r="Y314" i="9" s="1"/>
  <c r="AT618" i="9"/>
  <c r="AT619" i="9" s="1"/>
  <c r="AT315" i="9"/>
  <c r="AT314" i="9" s="1"/>
  <c r="J778" i="9"/>
  <c r="J622" i="9"/>
  <c r="J1165" i="9"/>
  <c r="J768" i="9"/>
  <c r="J635" i="9" s="1"/>
  <c r="L824" i="9"/>
  <c r="J824" i="9"/>
  <c r="AJ908" i="9"/>
  <c r="AJ1162" i="9"/>
  <c r="BG908" i="9"/>
  <c r="BG1162" i="9"/>
  <c r="AJ1030" i="9"/>
  <c r="AJ875" i="9" s="1"/>
  <c r="AJ873" i="9"/>
  <c r="AM25" i="9"/>
  <c r="AR25" i="9"/>
  <c r="W316" i="9"/>
  <c r="W314" i="9"/>
  <c r="BF346" i="9"/>
  <c r="Y759" i="9"/>
  <c r="AB628" i="9"/>
  <c r="AI36" i="9"/>
  <c r="AR727" i="9"/>
  <c r="O1162" i="9"/>
  <c r="O908" i="9"/>
  <c r="AL1162" i="9"/>
  <c r="AL908" i="9"/>
  <c r="BJ1162" i="9"/>
  <c r="BJ908" i="9"/>
  <c r="N231" i="9"/>
  <c r="N232" i="9"/>
  <c r="O231" i="9"/>
  <c r="X346" i="9"/>
  <c r="I778" i="9"/>
  <c r="I1165" i="9"/>
  <c r="I768" i="9"/>
  <c r="I635" i="9" s="1"/>
  <c r="I622" i="9"/>
  <c r="BG232" i="9"/>
  <c r="BH231" i="9"/>
  <c r="BG231" i="9"/>
  <c r="BJ299" i="9"/>
  <c r="BJ298" i="9"/>
  <c r="BJ293" i="9"/>
  <c r="BJ295" i="9"/>
  <c r="BJ294" i="9"/>
  <c r="AO145" i="9"/>
  <c r="AO144" i="9" s="1"/>
  <c r="AO159" i="9"/>
  <c r="AS334" i="9"/>
  <c r="AS346" i="9" s="1"/>
  <c r="P1162" i="9"/>
  <c r="P908" i="9"/>
  <c r="BK906" i="9"/>
  <c r="U316" i="9"/>
  <c r="U305" i="9"/>
  <c r="AK201" i="9"/>
  <c r="AK200" i="9" s="1"/>
  <c r="AP215" i="9"/>
  <c r="AK215" i="9"/>
  <c r="AP299" i="9"/>
  <c r="AP294" i="9"/>
  <c r="AP293" i="9"/>
  <c r="AP295" i="9"/>
  <c r="AJ373" i="9"/>
  <c r="AJ761" i="9" s="1"/>
  <c r="BD755" i="9"/>
  <c r="AT621" i="9"/>
  <c r="AT1174" i="9" s="1"/>
  <c r="AN1162" i="9"/>
  <c r="AN908" i="9"/>
  <c r="AP28" i="9"/>
  <c r="AU28" i="9"/>
  <c r="AM34" i="9"/>
  <c r="D215" i="9"/>
  <c r="D201" i="9"/>
  <c r="D200" i="9" s="1"/>
  <c r="AO293" i="9"/>
  <c r="AO294" i="9"/>
  <c r="AO298" i="9"/>
  <c r="L373" i="9"/>
  <c r="L761" i="9" s="1"/>
  <c r="BG759" i="9"/>
  <c r="BG760" i="9" s="1"/>
  <c r="BG628" i="9" s="1"/>
  <c r="N1162" i="9"/>
  <c r="N908" i="9"/>
  <c r="O980" i="9"/>
  <c r="O1034" i="9"/>
  <c r="O1039" i="9" s="1"/>
  <c r="AX1035" i="9"/>
  <c r="AX980" i="9"/>
  <c r="I1030" i="9"/>
  <c r="I875" i="9" s="1"/>
  <c r="I873" i="9"/>
  <c r="AY873" i="9"/>
  <c r="AY1030" i="9"/>
  <c r="AY875" i="9" s="1"/>
  <c r="BC291" i="9"/>
  <c r="BC299" i="9" s="1"/>
  <c r="BC298" i="9"/>
  <c r="BC23" i="9"/>
  <c r="BH25" i="9" s="1"/>
  <c r="BC239" i="9"/>
  <c r="BC242" i="9" s="1"/>
  <c r="BC241" i="9" s="1"/>
  <c r="M484" i="9"/>
  <c r="M479" i="9"/>
  <c r="M483" i="9" s="1"/>
  <c r="M485" i="9" s="1"/>
  <c r="I891" i="9"/>
  <c r="I767" i="9"/>
  <c r="I634" i="9" s="1"/>
  <c r="AT767" i="9"/>
  <c r="AT634" i="9" s="1"/>
  <c r="AT891" i="9"/>
  <c r="AA1019" i="9"/>
  <c r="AW1019" i="9"/>
  <c r="L1019" i="9"/>
  <c r="L766" i="9"/>
  <c r="AH1100" i="9"/>
  <c r="AH1084" i="9" s="1"/>
  <c r="AH633" i="9"/>
  <c r="BD1030" i="9"/>
  <c r="BD875" i="9" s="1"/>
  <c r="BD921" i="9" s="1"/>
  <c r="BH13" i="9"/>
  <c r="AO25" i="9"/>
  <c r="F245" i="9"/>
  <c r="F248" i="9" s="1"/>
  <c r="E270" i="9"/>
  <c r="E251" i="9"/>
  <c r="BK255" i="9"/>
  <c r="BL253" i="9"/>
  <c r="BK444" i="9"/>
  <c r="BD314" i="9"/>
  <c r="BD316" i="9"/>
  <c r="BB435" i="9"/>
  <c r="BB436" i="9" s="1"/>
  <c r="BB393" i="9"/>
  <c r="BC481" i="9"/>
  <c r="BC484" i="9" s="1"/>
  <c r="AG377" i="9"/>
  <c r="AG773" i="9" s="1"/>
  <c r="AG774" i="9" s="1"/>
  <c r="AG356" i="9"/>
  <c r="AG373" i="9" s="1"/>
  <c r="AG761" i="9" s="1"/>
  <c r="AG629" i="9" s="1"/>
  <c r="BA356" i="9"/>
  <c r="BA712" i="9"/>
  <c r="BJ713" i="9"/>
  <c r="BJ357" i="9"/>
  <c r="BN357" i="9" s="1"/>
  <c r="AD664" i="9"/>
  <c r="AD359" i="9"/>
  <c r="AM360" i="9"/>
  <c r="AM716" i="9"/>
  <c r="BG716" i="9"/>
  <c r="BG360" i="9"/>
  <c r="BE363" i="9"/>
  <c r="BE720" i="9"/>
  <c r="BC722" i="9"/>
  <c r="BC365" i="9"/>
  <c r="AY860" i="9"/>
  <c r="AU865" i="9"/>
  <c r="J891" i="9"/>
  <c r="J767" i="9"/>
  <c r="J634" i="9" s="1"/>
  <c r="AU767" i="9"/>
  <c r="AU634" i="9" s="1"/>
  <c r="AU891" i="9"/>
  <c r="AH1019" i="9"/>
  <c r="AQ882" i="9"/>
  <c r="AQ1176" i="9" s="1"/>
  <c r="AQ1039" i="9"/>
  <c r="Q881" i="9"/>
  <c r="Q1176" i="9" s="1"/>
  <c r="Q1039" i="9"/>
  <c r="Z89" i="9"/>
  <c r="Z88" i="9" s="1"/>
  <c r="Z103" i="9"/>
  <c r="AN21" i="9"/>
  <c r="O255" i="9"/>
  <c r="O254" i="9"/>
  <c r="AH377" i="9"/>
  <c r="AH773" i="9" s="1"/>
  <c r="AH774" i="9" s="1"/>
  <c r="AH356" i="9"/>
  <c r="BB356" i="9"/>
  <c r="BB373" i="9" s="1"/>
  <c r="BB761" i="9" s="1"/>
  <c r="BB712" i="9"/>
  <c r="AZ693" i="9"/>
  <c r="AZ358" i="9"/>
  <c r="AE359" i="9"/>
  <c r="AE664" i="9"/>
  <c r="AE693" i="9"/>
  <c r="AN716" i="9"/>
  <c r="AN360" i="9"/>
  <c r="AN373" i="9" s="1"/>
  <c r="AN761" i="9" s="1"/>
  <c r="AN629" i="9" s="1"/>
  <c r="BF720" i="9"/>
  <c r="BF363" i="9"/>
  <c r="BD365" i="9"/>
  <c r="BD722" i="9"/>
  <c r="D1072" i="9"/>
  <c r="D1163" i="9"/>
  <c r="D1073" i="9"/>
  <c r="D1080" i="9" s="1"/>
  <c r="D1069" i="9"/>
  <c r="D762" i="9"/>
  <c r="D30" i="9"/>
  <c r="D1070" i="9"/>
  <c r="D1071" i="9"/>
  <c r="D1078" i="9" s="1"/>
  <c r="D1068" i="9"/>
  <c r="D1075" i="9" s="1"/>
  <c r="D473" i="9"/>
  <c r="D633" i="9"/>
  <c r="D303" i="9"/>
  <c r="D621" i="9"/>
  <c r="D1174" i="9" s="1"/>
  <c r="X1070" i="9"/>
  <c r="X1069" i="9"/>
  <c r="X1073" i="9"/>
  <c r="X1072" i="9"/>
  <c r="X1079" i="9" s="1"/>
  <c r="X621" i="9"/>
  <c r="X1174" i="9" s="1"/>
  <c r="X1163" i="9"/>
  <c r="X1071" i="9"/>
  <c r="X762" i="9"/>
  <c r="X303" i="9"/>
  <c r="X891" i="9"/>
  <c r="X291" i="9"/>
  <c r="X473" i="9"/>
  <c r="X751" i="9"/>
  <c r="X1068" i="9"/>
  <c r="X30" i="9"/>
  <c r="AS751" i="9"/>
  <c r="AS756" i="9" s="1"/>
  <c r="AU1070" i="9"/>
  <c r="AS762" i="9"/>
  <c r="AU1069" i="9"/>
  <c r="AS30" i="9"/>
  <c r="AS1069" i="9"/>
  <c r="AU1072" i="9"/>
  <c r="AU1079" i="9" s="1"/>
  <c r="AH809" i="9"/>
  <c r="AH801" i="9"/>
  <c r="BE781" i="9"/>
  <c r="AA1039" i="9"/>
  <c r="AA879" i="9"/>
  <c r="BS879" i="9"/>
  <c r="BS1101" i="9" s="1"/>
  <c r="BS1173" i="9"/>
  <c r="BS1039" i="9"/>
  <c r="AS1072" i="9"/>
  <c r="AS1079" i="9" s="1"/>
  <c r="BB1163" i="9"/>
  <c r="BB390" i="9"/>
  <c r="BB37" i="9" s="1"/>
  <c r="J254" i="9"/>
  <c r="K484" i="9"/>
  <c r="K479" i="9"/>
  <c r="AJ484" i="9"/>
  <c r="AJ483" i="9"/>
  <c r="AI334" i="9"/>
  <c r="AI346" i="9" s="1"/>
  <c r="AI760" i="9"/>
  <c r="AW693" i="9"/>
  <c r="AA756" i="9"/>
  <c r="D618" i="9"/>
  <c r="D619" i="9" s="1"/>
  <c r="X624" i="9"/>
  <c r="X618" i="9"/>
  <c r="X619" i="9" s="1"/>
  <c r="X315" i="9"/>
  <c r="X314" i="9" s="1"/>
  <c r="AS618" i="9"/>
  <c r="AS619" i="9" s="1"/>
  <c r="AS315" i="9"/>
  <c r="AS314" i="9" s="1"/>
  <c r="BJ756" i="9"/>
  <c r="BD781" i="9"/>
  <c r="U838" i="9"/>
  <c r="Q843" i="9"/>
  <c r="AG917" i="9"/>
  <c r="AG376" i="9"/>
  <c r="J1008" i="9"/>
  <c r="J960" i="9"/>
  <c r="J971" i="9" s="1"/>
  <c r="AS1009" i="9"/>
  <c r="AS960" i="9"/>
  <c r="AS971" i="9" s="1"/>
  <c r="T1016" i="9"/>
  <c r="T1019" i="9" s="1"/>
  <c r="T960" i="9"/>
  <c r="T971" i="9" s="1"/>
  <c r="BC767" i="9"/>
  <c r="AL881" i="9"/>
  <c r="AL1039" i="9"/>
  <c r="BG881" i="9"/>
  <c r="BG1176" i="9" s="1"/>
  <c r="BG1039" i="9"/>
  <c r="J1171" i="9"/>
  <c r="BH1123" i="9"/>
  <c r="BC1134" i="9"/>
  <c r="BC1143" i="9" s="1"/>
  <c r="BC1070" i="9"/>
  <c r="BC1077" i="9" s="1"/>
  <c r="E201" i="9"/>
  <c r="E200" i="9" s="1"/>
  <c r="E215" i="9"/>
  <c r="AT201" i="9"/>
  <c r="AT200" i="9" s="1"/>
  <c r="AY201" i="9"/>
  <c r="AY200" i="9" s="1"/>
  <c r="AY215" i="9"/>
  <c r="AT215" i="9"/>
  <c r="AT255" i="9"/>
  <c r="BH291" i="9"/>
  <c r="BH298" i="9" s="1"/>
  <c r="P750" i="9"/>
  <c r="P755" i="9"/>
  <c r="AZ395" i="9"/>
  <c r="BC391" i="9"/>
  <c r="BD1163" i="9"/>
  <c r="BD393" i="9"/>
  <c r="BD435" i="9"/>
  <c r="BD436" i="9" s="1"/>
  <c r="M436" i="9"/>
  <c r="F1071" i="9"/>
  <c r="F1078" i="9" s="1"/>
  <c r="F1163" i="9"/>
  <c r="F1070" i="9"/>
  <c r="F1077" i="9" s="1"/>
  <c r="F1072" i="9"/>
  <c r="F30" i="9"/>
  <c r="F762" i="9"/>
  <c r="F1069" i="9"/>
  <c r="F1068" i="9"/>
  <c r="F473" i="9"/>
  <c r="F303" i="9"/>
  <c r="F1073" i="9"/>
  <c r="F621" i="9"/>
  <c r="F1174" i="9" s="1"/>
  <c r="F633" i="9"/>
  <c r="Z473" i="9"/>
  <c r="Z1070" i="9"/>
  <c r="Z1071" i="9"/>
  <c r="Z1069" i="9"/>
  <c r="Z762" i="9"/>
  <c r="Z1073" i="9"/>
  <c r="Z1080" i="9" s="1"/>
  <c r="Z633" i="9"/>
  <c r="Z303" i="9"/>
  <c r="Z891" i="9"/>
  <c r="Z1163" i="9"/>
  <c r="BA756" i="9"/>
  <c r="L624" i="9"/>
  <c r="L618" i="9"/>
  <c r="L619" i="9" s="1"/>
  <c r="L315" i="9"/>
  <c r="AF618" i="9"/>
  <c r="AF619" i="9" s="1"/>
  <c r="AF315" i="9"/>
  <c r="AF762" i="9"/>
  <c r="BA315" i="9"/>
  <c r="BA314" i="9" s="1"/>
  <c r="BA618" i="9"/>
  <c r="BA619" i="9" s="1"/>
  <c r="BA762" i="9"/>
  <c r="Q1100" i="9"/>
  <c r="Q1084" i="9" s="1"/>
  <c r="Q633" i="9"/>
  <c r="BH634" i="9"/>
  <c r="BD1101" i="9"/>
  <c r="BD1085" i="9" s="1"/>
  <c r="BD1173" i="9"/>
  <c r="BD1183" i="9"/>
  <c r="L891" i="9"/>
  <c r="L767" i="9"/>
  <c r="L634" i="9" s="1"/>
  <c r="BE924" i="9"/>
  <c r="AX1019" i="9"/>
  <c r="M1100" i="9"/>
  <c r="M1084" i="9" s="1"/>
  <c r="M633" i="9"/>
  <c r="AJ1097" i="9"/>
  <c r="AJ1095" i="9"/>
  <c r="AJ1086" i="9"/>
  <c r="AG1266" i="9"/>
  <c r="AG1264" i="9"/>
  <c r="AG1257" i="9"/>
  <c r="AG1252" i="9"/>
  <c r="AG1250" i="9"/>
  <c r="AG1259" i="9"/>
  <c r="AM21" i="9"/>
  <c r="Z255" i="9"/>
  <c r="AU254" i="9"/>
  <c r="AU255" i="9"/>
  <c r="P293" i="9"/>
  <c r="P294" i="9"/>
  <c r="P295" i="9"/>
  <c r="Q755" i="9"/>
  <c r="Q750" i="9"/>
  <c r="AF759" i="9"/>
  <c r="AF760" i="9" s="1"/>
  <c r="AM759" i="9"/>
  <c r="AM760" i="9" s="1"/>
  <c r="AM346" i="9"/>
  <c r="BF393" i="9"/>
  <c r="BF435" i="9"/>
  <c r="N436" i="9"/>
  <c r="I650" i="9"/>
  <c r="AO710" i="9"/>
  <c r="AO727" i="9" s="1"/>
  <c r="AO650" i="9"/>
  <c r="BD712" i="9"/>
  <c r="BD356" i="9"/>
  <c r="BH363" i="9"/>
  <c r="BH720" i="9"/>
  <c r="BF722" i="9"/>
  <c r="BF365" i="9"/>
  <c r="AV1072" i="9"/>
  <c r="AV1079" i="9" s="1"/>
  <c r="AV1069" i="9"/>
  <c r="AV1076" i="9" s="1"/>
  <c r="AV762" i="9"/>
  <c r="AV751" i="9"/>
  <c r="AV30" i="9"/>
  <c r="AX1068" i="9"/>
  <c r="AV621" i="9"/>
  <c r="AV1174" i="9" s="1"/>
  <c r="M618" i="9"/>
  <c r="M619" i="9" s="1"/>
  <c r="M315" i="9"/>
  <c r="M314" i="9" s="1"/>
  <c r="AG624" i="9"/>
  <c r="AG762" i="9"/>
  <c r="M891" i="9"/>
  <c r="M767" i="9"/>
  <c r="M634" i="9" s="1"/>
  <c r="Z921" i="9"/>
  <c r="BA1083" i="9"/>
  <c r="AZ1086" i="9"/>
  <c r="AS903" i="9"/>
  <c r="AS1161" i="9" s="1"/>
  <c r="AS1114" i="9"/>
  <c r="AS1123" i="9" s="1"/>
  <c r="AJ403" i="9"/>
  <c r="AJ409" i="9" s="1"/>
  <c r="AJ63" i="9"/>
  <c r="AA254" i="9"/>
  <c r="AA255" i="9"/>
  <c r="AS759" i="9"/>
  <c r="AS760" i="9" s="1"/>
  <c r="T373" i="9"/>
  <c r="T761" i="9" s="1"/>
  <c r="C373" i="9"/>
  <c r="C761" i="9" s="1"/>
  <c r="C759" i="9"/>
  <c r="C760" i="9" s="1"/>
  <c r="AP360" i="9"/>
  <c r="BI435" i="9"/>
  <c r="BI393" i="9"/>
  <c r="BI1163" i="9"/>
  <c r="BJ634" i="9"/>
  <c r="R1171" i="9"/>
  <c r="R1156" i="9"/>
  <c r="AQ103" i="9"/>
  <c r="AV103" i="9"/>
  <c r="AV89" i="9"/>
  <c r="AV88" i="9" s="1"/>
  <c r="BH124" i="9"/>
  <c r="BP23" i="9"/>
  <c r="BP25" i="9" s="1"/>
  <c r="AB254" i="9"/>
  <c r="AG255" i="9"/>
  <c r="AB255" i="9"/>
  <c r="BM16" i="9"/>
  <c r="BM280" i="9"/>
  <c r="BM33" i="9" s="1"/>
  <c r="S750" i="9"/>
  <c r="S755" i="9"/>
  <c r="C305" i="9"/>
  <c r="AT759" i="9"/>
  <c r="AT760" i="9" s="1"/>
  <c r="D373" i="9"/>
  <c r="D761" i="9" s="1"/>
  <c r="D759" i="9"/>
  <c r="D760" i="9" s="1"/>
  <c r="BB394" i="9"/>
  <c r="U36" i="9"/>
  <c r="U399" i="9"/>
  <c r="BB681" i="9"/>
  <c r="BB693" i="9" s="1"/>
  <c r="BB646" i="9"/>
  <c r="BB648" i="9" s="1"/>
  <c r="AD760" i="9"/>
  <c r="AD628" i="9" s="1"/>
  <c r="AH865" i="9"/>
  <c r="AJ860" i="9"/>
  <c r="BC1083" i="9"/>
  <c r="AJ144" i="9"/>
  <c r="E159" i="9"/>
  <c r="BF200" i="9"/>
  <c r="AS232" i="9"/>
  <c r="BL289" i="9"/>
  <c r="BQ239" i="9"/>
  <c r="BQ289" i="9" s="1"/>
  <c r="BD328" i="9"/>
  <c r="AA759" i="9"/>
  <c r="AA760" i="9" s="1"/>
  <c r="AA628" i="9" s="1"/>
  <c r="W661" i="9"/>
  <c r="W667" i="9" s="1"/>
  <c r="W644" i="9"/>
  <c r="AZ650" i="9"/>
  <c r="AZ710" i="9"/>
  <c r="AZ727" i="9" s="1"/>
  <c r="AF693" i="9"/>
  <c r="I708" i="9"/>
  <c r="AE334" i="9"/>
  <c r="AE621" i="9"/>
  <c r="AE1174" i="9" s="1"/>
  <c r="BA334" i="9"/>
  <c r="BA346" i="9" s="1"/>
  <c r="BA621" i="9"/>
  <c r="BA1174" i="9" s="1"/>
  <c r="AO1165" i="9"/>
  <c r="AO622" i="9"/>
  <c r="AO778" i="9"/>
  <c r="X634" i="9"/>
  <c r="J1054" i="9"/>
  <c r="J886" i="9"/>
  <c r="AW13" i="9"/>
  <c r="AR13" i="9"/>
  <c r="AK144" i="9"/>
  <c r="F159" i="9"/>
  <c r="BM239" i="9"/>
  <c r="AW477" i="9"/>
  <c r="D646" i="9"/>
  <c r="D648" i="9" s="1"/>
  <c r="D681" i="9"/>
  <c r="D693" i="9" s="1"/>
  <c r="X644" i="9"/>
  <c r="X661" i="9"/>
  <c r="X667" i="9" s="1"/>
  <c r="M646" i="9"/>
  <c r="M648" i="9" s="1"/>
  <c r="BA650" i="9"/>
  <c r="BA710" i="9"/>
  <c r="AJ755" i="9"/>
  <c r="BD1100" i="9"/>
  <c r="BD1084" i="9" s="1"/>
  <c r="BD1095" i="9" s="1"/>
  <c r="BD633" i="9"/>
  <c r="AY921" i="9"/>
  <c r="AG1054" i="9"/>
  <c r="AG886" i="9"/>
  <c r="AL886" i="9"/>
  <c r="AL1054" i="9"/>
  <c r="AX1142" i="9"/>
  <c r="AX905" i="9"/>
  <c r="K159" i="9"/>
  <c r="K145" i="9"/>
  <c r="K144" i="9" s="1"/>
  <c r="AR316" i="9"/>
  <c r="AR305" i="9"/>
  <c r="AW379" i="9"/>
  <c r="J435" i="9"/>
  <c r="J1163" i="9"/>
  <c r="N475" i="9"/>
  <c r="N477" i="9" s="1"/>
  <c r="Y661" i="9"/>
  <c r="Y667" i="9" s="1"/>
  <c r="Y644" i="9"/>
  <c r="BI646" i="9"/>
  <c r="BI648" i="9" s="1"/>
  <c r="BI681" i="9"/>
  <c r="BI693" i="9" s="1"/>
  <c r="BE1100" i="9"/>
  <c r="BE1084" i="9" s="1"/>
  <c r="BE633" i="9"/>
  <c r="T879" i="9"/>
  <c r="T1101" i="9" s="1"/>
  <c r="T1085" i="9" s="1"/>
  <c r="T1173" i="9"/>
  <c r="BE886" i="9"/>
  <c r="BE1054" i="9"/>
  <c r="C60" i="9"/>
  <c r="D62" i="9"/>
  <c r="D54" i="9"/>
  <c r="D57" i="9" s="1"/>
  <c r="C266" i="9"/>
  <c r="BR69" i="9"/>
  <c r="D118" i="9"/>
  <c r="D110" i="9"/>
  <c r="D113" i="9" s="1"/>
  <c r="C116" i="9"/>
  <c r="C267" i="9"/>
  <c r="C132" i="9"/>
  <c r="D128" i="9" s="1"/>
  <c r="P159" i="9"/>
  <c r="P145" i="9"/>
  <c r="P144" i="9" s="1"/>
  <c r="J314" i="9"/>
  <c r="AY755" i="9"/>
  <c r="AQ346" i="9"/>
  <c r="AJ377" i="9"/>
  <c r="AJ773" i="9" s="1"/>
  <c r="AJ774" i="9" s="1"/>
  <c r="Y36" i="9"/>
  <c r="AS433" i="9"/>
  <c r="AS426" i="9"/>
  <c r="AS424" i="9"/>
  <c r="AN433" i="9"/>
  <c r="AN429" i="9"/>
  <c r="AN431" i="9"/>
  <c r="C479" i="9"/>
  <c r="C483" i="9" s="1"/>
  <c r="C484" i="9"/>
  <c r="F646" i="9"/>
  <c r="F648" i="9" s="1"/>
  <c r="F681" i="9"/>
  <c r="F693" i="9" s="1"/>
  <c r="Z644" i="9"/>
  <c r="Z661" i="9"/>
  <c r="Z667" i="9" s="1"/>
  <c r="AY357" i="9"/>
  <c r="AY373" i="9" s="1"/>
  <c r="AY761" i="9" s="1"/>
  <c r="BH714" i="9"/>
  <c r="BH358" i="9"/>
  <c r="AV360" i="9"/>
  <c r="AV373" i="9" s="1"/>
  <c r="AV761" i="9" s="1"/>
  <c r="AV716" i="9"/>
  <c r="BE362" i="9"/>
  <c r="BE717" i="9"/>
  <c r="AE751" i="9"/>
  <c r="BB781" i="9"/>
  <c r="T1095" i="9"/>
  <c r="T1086" i="9"/>
  <c r="Y980" i="9"/>
  <c r="Y1033" i="9"/>
  <c r="AJ1054" i="9"/>
  <c r="AJ886" i="9"/>
  <c r="H939" i="9"/>
  <c r="H937" i="9"/>
  <c r="H940" i="9" s="1"/>
  <c r="H924" i="9" s="1"/>
  <c r="AV937" i="9"/>
  <c r="AV940" i="9" s="1"/>
  <c r="AV939" i="9"/>
  <c r="BP934" i="9"/>
  <c r="BP935" i="9"/>
  <c r="BP936" i="9"/>
  <c r="AO1250" i="9"/>
  <c r="AO1257" i="9"/>
  <c r="AO1264" i="9"/>
  <c r="AO1252" i="9"/>
  <c r="AO1259" i="9"/>
  <c r="AW103" i="9"/>
  <c r="U145" i="9"/>
  <c r="U144" i="9" s="1"/>
  <c r="BD215" i="9"/>
  <c r="BI201" i="9"/>
  <c r="BI200" i="9" s="1"/>
  <c r="T398" i="9"/>
  <c r="T399" i="9" s="1"/>
  <c r="T435" i="9"/>
  <c r="T436" i="9" s="1"/>
  <c r="T393" i="9"/>
  <c r="T394" i="9"/>
  <c r="E36" i="9"/>
  <c r="E399" i="9"/>
  <c r="AZ409" i="9"/>
  <c r="BA409" i="9"/>
  <c r="AX409" i="9"/>
  <c r="AB479" i="9"/>
  <c r="AB483" i="9" s="1"/>
  <c r="AB485" i="9" s="1"/>
  <c r="G646" i="9"/>
  <c r="G648" i="9" s="1"/>
  <c r="G681" i="9"/>
  <c r="G693" i="9" s="1"/>
  <c r="AV661" i="9"/>
  <c r="AV667" i="9" s="1"/>
  <c r="AV644" i="9"/>
  <c r="AR681" i="9"/>
  <c r="AR693" i="9" s="1"/>
  <c r="BC781" i="9"/>
  <c r="AP1257" i="9"/>
  <c r="AP1264" i="9"/>
  <c r="AP1250" i="9"/>
  <c r="AP1252" i="9"/>
  <c r="AP1259" i="9"/>
  <c r="K17" i="9"/>
  <c r="K89" i="9"/>
  <c r="K88" i="9" s="1"/>
  <c r="BA159" i="9"/>
  <c r="BE201" i="9"/>
  <c r="BE200" i="9" s="1"/>
  <c r="BE215" i="9"/>
  <c r="BJ201" i="9"/>
  <c r="BJ200" i="9" s="1"/>
  <c r="AI255" i="9"/>
  <c r="BA755" i="9"/>
  <c r="AN755" i="9"/>
  <c r="AX388" i="9"/>
  <c r="AY390" i="9"/>
  <c r="AY37" i="9" s="1"/>
  <c r="AY1163" i="9"/>
  <c r="AY394" i="9"/>
  <c r="AY395" i="9" s="1"/>
  <c r="BC232" i="9"/>
  <c r="BE231" i="9"/>
  <c r="BC231" i="9"/>
  <c r="BH232" i="9"/>
  <c r="AQ485" i="9"/>
  <c r="AB681" i="9"/>
  <c r="AB693" i="9" s="1"/>
  <c r="AB646" i="9"/>
  <c r="AB648" i="9" s="1"/>
  <c r="AZ755" i="9"/>
  <c r="Q916" i="9"/>
  <c r="Q774" i="9"/>
  <c r="BF916" i="9"/>
  <c r="BF774" i="9"/>
  <c r="AH781" i="9"/>
  <c r="AH806" i="9" s="1"/>
  <c r="AD891" i="9"/>
  <c r="AD767" i="9"/>
  <c r="AT633" i="9"/>
  <c r="AT1100" i="9"/>
  <c r="AT1084" i="9" s="1"/>
  <c r="BH19" i="9"/>
  <c r="BH21" i="9" s="1"/>
  <c r="BH295" i="9"/>
  <c r="BH214" i="9"/>
  <c r="AO1163" i="9"/>
  <c r="AO390" i="9"/>
  <c r="AO37" i="9" s="1"/>
  <c r="AO394" i="9"/>
  <c r="M1264" i="9"/>
  <c r="M1266" i="9"/>
  <c r="M1250" i="9"/>
  <c r="M1259" i="9"/>
  <c r="M1257" i="9"/>
  <c r="M1252" i="9"/>
  <c r="AM307" i="9"/>
  <c r="S759" i="9"/>
  <c r="S760" i="9" s="1"/>
  <c r="S373" i="9"/>
  <c r="S761" i="9" s="1"/>
  <c r="O426" i="9"/>
  <c r="O433" i="9"/>
  <c r="AY404" i="9"/>
  <c r="F144" i="9"/>
  <c r="AV255" i="9"/>
  <c r="AV254" i="9"/>
  <c r="Y373" i="9"/>
  <c r="Y761" i="9" s="1"/>
  <c r="M373" i="9"/>
  <c r="M761" i="9" s="1"/>
  <c r="AG759" i="9"/>
  <c r="AG760" i="9" s="1"/>
  <c r="AG628" i="9" s="1"/>
  <c r="BJ346" i="9"/>
  <c r="AY621" i="9"/>
  <c r="AY1174" i="9" s="1"/>
  <c r="AY334" i="9"/>
  <c r="AH768" i="9"/>
  <c r="AH635" i="9" s="1"/>
  <c r="AH622" i="9"/>
  <c r="O891" i="9"/>
  <c r="O767" i="9"/>
  <c r="O634" i="9" s="1"/>
  <c r="Z920" i="9"/>
  <c r="Y887" i="9"/>
  <c r="Y1054" i="9"/>
  <c r="AO119" i="9"/>
  <c r="AO403" i="9"/>
  <c r="AO409" i="9" s="1"/>
  <c r="AY145" i="9"/>
  <c r="AY144" i="9" s="1"/>
  <c r="AT145" i="9"/>
  <c r="AT144" i="9" s="1"/>
  <c r="AY159" i="9"/>
  <c r="E259" i="9"/>
  <c r="F257" i="9" s="1"/>
  <c r="BL310" i="9"/>
  <c r="D315" i="9"/>
  <c r="D314" i="9" s="1"/>
  <c r="Z759" i="9"/>
  <c r="Z373" i="9"/>
  <c r="Z761" i="9" s="1"/>
  <c r="AH475" i="9"/>
  <c r="K710" i="9"/>
  <c r="K727" i="9" s="1"/>
  <c r="AT17" i="9"/>
  <c r="AY17" i="9"/>
  <c r="AU159" i="9"/>
  <c r="AU145" i="9"/>
  <c r="AU144" i="9" s="1"/>
  <c r="AW180" i="9"/>
  <c r="W231" i="9"/>
  <c r="W232" i="9"/>
  <c r="AP305" i="9"/>
  <c r="AP349" i="9" s="1"/>
  <c r="AP316" i="9"/>
  <c r="AU759" i="9"/>
  <c r="L470" i="9"/>
  <c r="L475" i="9"/>
  <c r="L477" i="9" s="1"/>
  <c r="C681" i="9"/>
  <c r="C693" i="9" s="1"/>
  <c r="C646" i="9"/>
  <c r="C648" i="9" s="1"/>
  <c r="AR650" i="9"/>
  <c r="L646" i="9"/>
  <c r="L648" i="9" s="1"/>
  <c r="K334" i="9"/>
  <c r="AF1054" i="9"/>
  <c r="AF886" i="9"/>
  <c r="BG1054" i="9"/>
  <c r="BG886" i="9"/>
  <c r="AV145" i="9"/>
  <c r="AV144" i="9" s="1"/>
  <c r="AV159" i="9"/>
  <c r="X231" i="9"/>
  <c r="BO16" i="9"/>
  <c r="BO280" i="9"/>
  <c r="BO33" i="9" s="1"/>
  <c r="P299" i="9"/>
  <c r="AV759" i="9"/>
  <c r="AV760" i="9" s="1"/>
  <c r="BD394" i="9"/>
  <c r="K621" i="9"/>
  <c r="K1174" i="9" s="1"/>
  <c r="AS681" i="9"/>
  <c r="AS693" i="9" s="1"/>
  <c r="AS646" i="9"/>
  <c r="AS648" i="9" s="1"/>
  <c r="R681" i="9"/>
  <c r="R693" i="9" s="1"/>
  <c r="R646" i="9"/>
  <c r="R648" i="9" s="1"/>
  <c r="Y634" i="9"/>
  <c r="K886" i="9"/>
  <c r="K1054" i="9"/>
  <c r="BD1054" i="9"/>
  <c r="BD886" i="9"/>
  <c r="AZ1073" i="9"/>
  <c r="AL144" i="9"/>
  <c r="AW159" i="9"/>
  <c r="AW145" i="9"/>
  <c r="AW144" i="9" s="1"/>
  <c r="BB159" i="9"/>
  <c r="P346" i="9"/>
  <c r="AV473" i="9"/>
  <c r="BH481" i="9"/>
  <c r="BH484" i="9"/>
  <c r="E681" i="9"/>
  <c r="E693" i="9" s="1"/>
  <c r="E646" i="9"/>
  <c r="E648" i="9" s="1"/>
  <c r="AT661" i="9"/>
  <c r="AT667" i="9" s="1"/>
  <c r="AT644" i="9"/>
  <c r="Y891" i="9"/>
  <c r="L1054" i="9"/>
  <c r="L886" i="9"/>
  <c r="AM886" i="9"/>
  <c r="AM1054" i="9"/>
  <c r="Z1086" i="9"/>
  <c r="Z1095" i="9"/>
  <c r="O1097" i="9"/>
  <c r="O1095" i="9"/>
  <c r="AU1154" i="9"/>
  <c r="AZ21" i="9"/>
  <c r="AU21" i="9"/>
  <c r="BI63" i="9"/>
  <c r="BI403" i="9"/>
  <c r="BI409" i="9" s="1"/>
  <c r="M305" i="9"/>
  <c r="C750" i="9"/>
  <c r="C751" i="9" s="1"/>
  <c r="C756" i="9" s="1"/>
  <c r="C755" i="9"/>
  <c r="C624" i="9" s="1"/>
  <c r="W755" i="9"/>
  <c r="W750" i="9"/>
  <c r="W751" i="9" s="1"/>
  <c r="W756" i="9" s="1"/>
  <c r="R346" i="9"/>
  <c r="W348" i="9" s="1"/>
  <c r="O435" i="9"/>
  <c r="O393" i="9"/>
  <c r="O398" i="9"/>
  <c r="O399" i="9" s="1"/>
  <c r="O394" i="9"/>
  <c r="O395" i="9" s="1"/>
  <c r="O475" i="9"/>
  <c r="O477" i="9" s="1"/>
  <c r="AA479" i="9"/>
  <c r="AA483" i="9" s="1"/>
  <c r="AA485" i="9" s="1"/>
  <c r="BJ712" i="9"/>
  <c r="BJ356" i="9"/>
  <c r="BN356" i="9" s="1"/>
  <c r="AR722" i="9"/>
  <c r="AR365" i="9"/>
  <c r="I710" i="9"/>
  <c r="I727" i="9" s="1"/>
  <c r="AN315" i="9"/>
  <c r="AN618" i="9"/>
  <c r="AN619" i="9" s="1"/>
  <c r="M1054" i="9"/>
  <c r="M886" i="9"/>
  <c r="Q886" i="9"/>
  <c r="AG1077" i="9"/>
  <c r="AB939" i="9"/>
  <c r="AB940" i="9"/>
  <c r="BI1250" i="9"/>
  <c r="BI1257" i="9"/>
  <c r="BI1259" i="9"/>
  <c r="BI1264" i="9"/>
  <c r="BI1266" i="9"/>
  <c r="BI1252" i="9"/>
  <c r="AZ145" i="9"/>
  <c r="AZ144" i="9" s="1"/>
  <c r="AZ159" i="9"/>
  <c r="X232" i="9"/>
  <c r="AF373" i="9"/>
  <c r="AF761" i="9" s="1"/>
  <c r="AW1163" i="9"/>
  <c r="AW390" i="9"/>
  <c r="AW37" i="9" s="1"/>
  <c r="AW394" i="9"/>
  <c r="Z399" i="9"/>
  <c r="AX424" i="9"/>
  <c r="AX426" i="9"/>
  <c r="AY426" i="9" s="1"/>
  <c r="C476" i="9"/>
  <c r="C469" i="9"/>
  <c r="C475" i="9" s="1"/>
  <c r="C477" i="9" s="1"/>
  <c r="AA644" i="9"/>
  <c r="AS783" i="9"/>
  <c r="AS695" i="9"/>
  <c r="AS708" i="9" s="1"/>
  <c r="BB751" i="9"/>
  <c r="BE916" i="9"/>
  <c r="BE774" i="9"/>
  <c r="AR1019" i="9"/>
  <c r="AR766" i="9"/>
  <c r="AQ767" i="9"/>
  <c r="AQ634" i="9" s="1"/>
  <c r="AQ891" i="9"/>
  <c r="M1019" i="9"/>
  <c r="N1054" i="9"/>
  <c r="AK1054" i="9"/>
  <c r="AK886" i="9"/>
  <c r="R886" i="9"/>
  <c r="R1054" i="9"/>
  <c r="Z1068" i="9"/>
  <c r="U1246" i="9"/>
  <c r="R1095" i="9"/>
  <c r="BJ1246" i="9"/>
  <c r="BT69" i="9"/>
  <c r="BT82" i="9" s="1"/>
  <c r="AQ89" i="9"/>
  <c r="AQ88" i="9" s="1"/>
  <c r="BS119" i="9"/>
  <c r="BS403" i="9"/>
  <c r="BA145" i="9"/>
  <c r="BA144" i="9" s="1"/>
  <c r="O316" i="9"/>
  <c r="O305" i="9"/>
  <c r="AU316" i="9"/>
  <c r="AU305" i="9"/>
  <c r="L346" i="9"/>
  <c r="Y435" i="9"/>
  <c r="Y398" i="9"/>
  <c r="Y399" i="9" s="1"/>
  <c r="Y393" i="9"/>
  <c r="AA395" i="9"/>
  <c r="AF395" i="9"/>
  <c r="AY403" i="9"/>
  <c r="AY409" i="9" s="1"/>
  <c r="I426" i="9"/>
  <c r="K426" i="9" s="1"/>
  <c r="I424" i="9"/>
  <c r="AC426" i="9"/>
  <c r="AE426" i="9" s="1"/>
  <c r="AC424" i="9"/>
  <c r="AH756" i="9"/>
  <c r="AK774" i="9"/>
  <c r="AK916" i="9"/>
  <c r="N781" i="9"/>
  <c r="AY848" i="9"/>
  <c r="AY843" i="9" s="1"/>
  <c r="W1095" i="9"/>
  <c r="N1030" i="9"/>
  <c r="N875" i="9" s="1"/>
  <c r="N873" i="9"/>
  <c r="AE1086" i="9"/>
  <c r="AE1097" i="9"/>
  <c r="V1264" i="9"/>
  <c r="V1257" i="9"/>
  <c r="V1250" i="9"/>
  <c r="V1266" i="9"/>
  <c r="V1259" i="9"/>
  <c r="V1252" i="9"/>
  <c r="AQ1266" i="9"/>
  <c r="AQ1264" i="9"/>
  <c r="AQ1259" i="9"/>
  <c r="AQ1250" i="9"/>
  <c r="AQ1252" i="9"/>
  <c r="AQ1257" i="9"/>
  <c r="BA17" i="9"/>
  <c r="Z30" i="9"/>
  <c r="BU69" i="9"/>
  <c r="BU82" i="9" s="1"/>
  <c r="AY89" i="9"/>
  <c r="AY88" i="9" s="1"/>
  <c r="BB145" i="9"/>
  <c r="BB144" i="9" s="1"/>
  <c r="BF215" i="9"/>
  <c r="AR241" i="9"/>
  <c r="K23" i="9"/>
  <c r="K25" i="9" s="1"/>
  <c r="K239" i="9"/>
  <c r="K242" i="9" s="1"/>
  <c r="K291" i="9"/>
  <c r="S305" i="9"/>
  <c r="S328" i="9" s="1"/>
  <c r="S316" i="9"/>
  <c r="AV303" i="9"/>
  <c r="BI307" i="9"/>
  <c r="BI308" i="9"/>
  <c r="AH373" i="9"/>
  <c r="AH761" i="9" s="1"/>
  <c r="AH629" i="9" s="1"/>
  <c r="U346" i="9"/>
  <c r="AT346" i="9"/>
  <c r="U759" i="9"/>
  <c r="U373" i="9"/>
  <c r="U761" i="9" s="1"/>
  <c r="AO759" i="9"/>
  <c r="AO760" i="9" s="1"/>
  <c r="BI759" i="9"/>
  <c r="BI760" i="9" s="1"/>
  <c r="AD435" i="9"/>
  <c r="AD393" i="9"/>
  <c r="AC409" i="9"/>
  <c r="AW424" i="9"/>
  <c r="AU477" i="9"/>
  <c r="AZ469" i="9"/>
  <c r="AZ476" i="9"/>
  <c r="AJ633" i="9"/>
  <c r="P1163" i="9"/>
  <c r="P1071" i="9"/>
  <c r="P762" i="9"/>
  <c r="P1073" i="9"/>
  <c r="P1080" i="9" s="1"/>
  <c r="P1072" i="9"/>
  <c r="P1079" i="9" s="1"/>
  <c r="P303" i="9"/>
  <c r="P751" i="9"/>
  <c r="P756" i="9" s="1"/>
  <c r="P1070" i="9"/>
  <c r="P1069" i="9"/>
  <c r="P1076" i="9" s="1"/>
  <c r="P1068" i="9"/>
  <c r="P1075" i="9" s="1"/>
  <c r="P618" i="9"/>
  <c r="P619" i="9" s="1"/>
  <c r="P30" i="9"/>
  <c r="AK762" i="9"/>
  <c r="AK473" i="9"/>
  <c r="AK303" i="9"/>
  <c r="AK751" i="9"/>
  <c r="AN1069" i="9"/>
  <c r="BF1073" i="9"/>
  <c r="BF1070" i="9"/>
  <c r="BF762" i="9"/>
  <c r="BF303" i="9"/>
  <c r="BF751" i="9"/>
  <c r="BF30" i="9"/>
  <c r="BF473" i="9"/>
  <c r="BF633" i="9"/>
  <c r="R774" i="9"/>
  <c r="R916" i="9"/>
  <c r="AL916" i="9"/>
  <c r="AL774" i="9"/>
  <c r="BG774" i="9"/>
  <c r="BG916" i="9"/>
  <c r="O781" i="9"/>
  <c r="AI783" i="9"/>
  <c r="F891" i="9"/>
  <c r="Y1019" i="9"/>
  <c r="AQ781" i="9"/>
  <c r="AJ1183" i="9"/>
  <c r="BE1176" i="9"/>
  <c r="BG887" i="9"/>
  <c r="AW1068" i="9"/>
  <c r="AS1070" i="9"/>
  <c r="AS1134" i="9"/>
  <c r="AS1143" i="9" s="1"/>
  <c r="AS1154" i="9" s="1"/>
  <c r="W1266" i="9"/>
  <c r="W1264" i="9"/>
  <c r="W1257" i="9"/>
  <c r="W1250" i="9"/>
  <c r="W1259" i="9"/>
  <c r="W1252" i="9"/>
  <c r="B1297" i="9"/>
  <c r="AZ13" i="9"/>
  <c r="Z36" i="9"/>
  <c r="AW89" i="9"/>
  <c r="AW88" i="9" s="1"/>
  <c r="U89" i="9"/>
  <c r="U88" i="9" s="1"/>
  <c r="AT159" i="9"/>
  <c r="AJ215" i="9"/>
  <c r="AJ201" i="9"/>
  <c r="AJ200" i="9" s="1"/>
  <c r="AO215" i="9"/>
  <c r="BG215" i="9"/>
  <c r="AT241" i="9"/>
  <c r="N254" i="9"/>
  <c r="S255" i="9"/>
  <c r="N255" i="9"/>
  <c r="T305" i="9"/>
  <c r="T316" i="9"/>
  <c r="W305" i="9"/>
  <c r="BK312" i="9"/>
  <c r="AH316" i="9"/>
  <c r="AI373" i="9"/>
  <c r="AI761" i="9" s="1"/>
  <c r="BC755" i="9"/>
  <c r="AP755" i="9"/>
  <c r="AP624" i="9" s="1"/>
  <c r="V346" i="9"/>
  <c r="AU346" i="9"/>
  <c r="N759" i="9"/>
  <c r="N760" i="9" s="1"/>
  <c r="N373" i="9"/>
  <c r="N761" i="9" s="1"/>
  <c r="AH759" i="9"/>
  <c r="BB759" i="9"/>
  <c r="BB760" i="9" s="1"/>
  <c r="AC346" i="9"/>
  <c r="AF409" i="9"/>
  <c r="AD409" i="9"/>
  <c r="O424" i="9"/>
  <c r="AK633" i="9"/>
  <c r="Z751" i="9"/>
  <c r="V781" i="9"/>
  <c r="W781" i="9"/>
  <c r="U1019" i="9"/>
  <c r="N1039" i="9"/>
  <c r="N881" i="9"/>
  <c r="BF1176" i="9"/>
  <c r="Z1072" i="9"/>
  <c r="AX1070" i="9"/>
  <c r="AX1134" i="9"/>
  <c r="BF180" i="9"/>
  <c r="F215" i="9"/>
  <c r="F201" i="9"/>
  <c r="F200" i="9" s="1"/>
  <c r="D232" i="9"/>
  <c r="Y231" i="9"/>
  <c r="AU232" i="9"/>
  <c r="AM241" i="9"/>
  <c r="F255" i="9"/>
  <c r="AC254" i="9"/>
  <c r="AW254" i="9"/>
  <c r="AW255" i="9"/>
  <c r="AI158" i="9"/>
  <c r="AI15" i="9"/>
  <c r="AN28" i="9"/>
  <c r="V305" i="9"/>
  <c r="AU1163" i="9"/>
  <c r="AZ393" i="9"/>
  <c r="AU435" i="9"/>
  <c r="F395" i="9"/>
  <c r="K395" i="9"/>
  <c r="BE424" i="9"/>
  <c r="BE426" i="9"/>
  <c r="BI426" i="9" s="1"/>
  <c r="AX433" i="9"/>
  <c r="AX431" i="9"/>
  <c r="BC472" i="9"/>
  <c r="Q485" i="9"/>
  <c r="BE661" i="9"/>
  <c r="BE667" i="9" s="1"/>
  <c r="BE644" i="9"/>
  <c r="AX695" i="9"/>
  <c r="AX708" i="9" s="1"/>
  <c r="AX783" i="9"/>
  <c r="AB476" i="9"/>
  <c r="AB469" i="9"/>
  <c r="F618" i="9"/>
  <c r="F619" i="9" s="1"/>
  <c r="Z618" i="9"/>
  <c r="Z619" i="9" s="1"/>
  <c r="Z315" i="9"/>
  <c r="Z314" i="9" s="1"/>
  <c r="AU1165" i="9"/>
  <c r="AP633" i="9"/>
  <c r="AP1100" i="9"/>
  <c r="AP1084" i="9" s="1"/>
  <c r="AU781" i="9"/>
  <c r="AU806" i="9" s="1"/>
  <c r="AB870" i="9"/>
  <c r="BA870" i="9"/>
  <c r="AZ908" i="9"/>
  <c r="AZ1162" i="9"/>
  <c r="K767" i="9"/>
  <c r="K634" i="9" s="1"/>
  <c r="K891" i="9"/>
  <c r="Y886" i="9"/>
  <c r="BM1137" i="9"/>
  <c r="O34" i="9"/>
  <c r="BN403" i="9"/>
  <c r="BE144" i="9"/>
  <c r="BF159" i="9"/>
  <c r="C169" i="9"/>
  <c r="K201" i="9"/>
  <c r="K200" i="9" s="1"/>
  <c r="Z232" i="9"/>
  <c r="BA232" i="9"/>
  <c r="BO23" i="9"/>
  <c r="BO25" i="9" s="1"/>
  <c r="L255" i="9"/>
  <c r="G254" i="9"/>
  <c r="AX254" i="9"/>
  <c r="AX255" i="9"/>
  <c r="AS263" i="9"/>
  <c r="E333" i="9"/>
  <c r="E346" i="9"/>
  <c r="AH346" i="9"/>
  <c r="BC429" i="9"/>
  <c r="BC431" i="9"/>
  <c r="BC433" i="9"/>
  <c r="W469" i="9"/>
  <c r="BH472" i="9"/>
  <c r="BC1169" i="9"/>
  <c r="BC749" i="9"/>
  <c r="BC642" i="9"/>
  <c r="O644" i="9"/>
  <c r="O661" i="9"/>
  <c r="O667" i="9" s="1"/>
  <c r="BC334" i="9"/>
  <c r="BC346" i="9" s="1"/>
  <c r="AI644" i="9"/>
  <c r="AV618" i="9"/>
  <c r="AV619" i="9" s="1"/>
  <c r="AY1097" i="9"/>
  <c r="AY1086" i="9"/>
  <c r="AS906" i="9"/>
  <c r="AS904" i="9"/>
  <c r="BN141" i="9"/>
  <c r="BN275" i="9" s="1"/>
  <c r="BN16" i="9" s="1"/>
  <c r="AA232" i="9"/>
  <c r="AA231" i="9"/>
  <c r="AF232" i="9"/>
  <c r="AO242" i="9"/>
  <c r="AO241" i="9" s="1"/>
  <c r="BJ242" i="9"/>
  <c r="BJ241" i="9" s="1"/>
  <c r="AE255" i="9"/>
  <c r="AY255" i="9"/>
  <c r="AC255" i="9"/>
  <c r="AS15" i="9"/>
  <c r="AS158" i="9"/>
  <c r="J751" i="9"/>
  <c r="BH431" i="9"/>
  <c r="BH433" i="9"/>
  <c r="BH429" i="9"/>
  <c r="AN484" i="9"/>
  <c r="BH1169" i="9"/>
  <c r="BH642" i="9"/>
  <c r="BH394" i="9"/>
  <c r="BH749" i="9"/>
  <c r="BH618" i="9" s="1"/>
  <c r="BH619" i="9" s="1"/>
  <c r="BG644" i="9"/>
  <c r="BG661" i="9"/>
  <c r="BG667" i="9" s="1"/>
  <c r="BH781" i="9"/>
  <c r="O346" i="9"/>
  <c r="T348" i="9" s="1"/>
  <c r="BA917" i="9"/>
  <c r="BC886" i="9"/>
  <c r="BC1054" i="9"/>
  <c r="AS1044" i="9"/>
  <c r="AS1054" i="9" s="1"/>
  <c r="AS995" i="9"/>
  <c r="H998" i="9"/>
  <c r="AJ767" i="9"/>
  <c r="AJ634" i="9" s="1"/>
  <c r="AJ891" i="9"/>
  <c r="Z1176" i="9"/>
  <c r="C404" i="9"/>
  <c r="BG145" i="9"/>
  <c r="BG144" i="9" s="1"/>
  <c r="BH145" i="9"/>
  <c r="BH144" i="9" s="1"/>
  <c r="BH159" i="9"/>
  <c r="AB232" i="9"/>
  <c r="AG232" i="9"/>
  <c r="AP242" i="9"/>
  <c r="AP241" i="9" s="1"/>
  <c r="I254" i="9"/>
  <c r="AW299" i="9"/>
  <c r="AW295" i="9"/>
  <c r="AW294" i="9"/>
  <c r="AW293" i="9"/>
  <c r="AW300" i="9" s="1"/>
  <c r="AI312" i="9"/>
  <c r="AK311" i="9"/>
  <c r="AI311" i="9"/>
  <c r="AP759" i="9"/>
  <c r="AP760" i="9" s="1"/>
  <c r="AP628" i="9" s="1"/>
  <c r="AT393" i="9"/>
  <c r="AT1163" i="9"/>
  <c r="AT435" i="9"/>
  <c r="AT436" i="9" s="1"/>
  <c r="BD466" i="9"/>
  <c r="AL646" i="9"/>
  <c r="AL648" i="9" s="1"/>
  <c r="AL681" i="9"/>
  <c r="AL693" i="9" s="1"/>
  <c r="BN750" i="9"/>
  <c r="M774" i="9"/>
  <c r="M916" i="9"/>
  <c r="BB916" i="9"/>
  <c r="BB774" i="9"/>
  <c r="AR1176" i="9"/>
  <c r="AH998" i="9"/>
  <c r="BI1019" i="9"/>
  <c r="BG1030" i="9"/>
  <c r="BG875" i="9" s="1"/>
  <c r="AE484" i="9"/>
  <c r="AE479" i="9"/>
  <c r="BC904" i="9"/>
  <c r="BC906" i="9"/>
  <c r="I1250" i="9"/>
  <c r="I1266" i="9"/>
  <c r="I1257" i="9"/>
  <c r="I1264" i="9"/>
  <c r="I1259" i="9"/>
  <c r="I1252" i="9"/>
  <c r="AM1264" i="9"/>
  <c r="AM1250" i="9"/>
  <c r="AM1257" i="9"/>
  <c r="AM1252" i="9"/>
  <c r="AM1259" i="9"/>
  <c r="BG1264" i="9"/>
  <c r="BG1266" i="9"/>
  <c r="BG1259" i="9"/>
  <c r="BG1250" i="9"/>
  <c r="BG1257" i="9"/>
  <c r="BG1252" i="9"/>
  <c r="BM1246" i="9"/>
  <c r="AP13" i="9"/>
  <c r="AK13" i="9"/>
  <c r="BB21" i="9"/>
  <c r="BG21" i="9"/>
  <c r="AT89" i="9"/>
  <c r="AT88" i="9" s="1"/>
  <c r="AO103" i="9"/>
  <c r="E119" i="9"/>
  <c r="AL159" i="9"/>
  <c r="AQ145" i="9"/>
  <c r="AQ144" i="9" s="1"/>
  <c r="BI159" i="9"/>
  <c r="AC232" i="9"/>
  <c r="AD231" i="9"/>
  <c r="AC231" i="9"/>
  <c r="AH232" i="9"/>
  <c r="AY232" i="9"/>
  <c r="AQ242" i="9"/>
  <c r="AQ241" i="9" s="1"/>
  <c r="AJ255" i="9"/>
  <c r="AF300" i="9"/>
  <c r="AV315" i="9"/>
  <c r="AV314" i="9" s="1"/>
  <c r="AQ755" i="9"/>
  <c r="W759" i="9"/>
  <c r="W760" i="9" s="1"/>
  <c r="W373" i="9"/>
  <c r="W761" i="9" s="1"/>
  <c r="AQ759" i="9"/>
  <c r="AQ760" i="9" s="1"/>
  <c r="AX759" i="9"/>
  <c r="AX760" i="9" s="1"/>
  <c r="AD1163" i="9"/>
  <c r="AD397" i="9"/>
  <c r="AD394" i="9"/>
  <c r="AD395" i="9" s="1"/>
  <c r="AD390" i="9"/>
  <c r="AD37" i="9" s="1"/>
  <c r="AD560" i="9"/>
  <c r="AD562" i="9" s="1"/>
  <c r="AR409" i="9"/>
  <c r="AQ409" i="9"/>
  <c r="BI466" i="9"/>
  <c r="AD469" i="9"/>
  <c r="AW484" i="9"/>
  <c r="AW483" i="9"/>
  <c r="I484" i="9"/>
  <c r="I485" i="9" s="1"/>
  <c r="AU751" i="9"/>
  <c r="BS750" i="9"/>
  <c r="N774" i="9"/>
  <c r="N916" i="9"/>
  <c r="BC916" i="9"/>
  <c r="BC774" i="9"/>
  <c r="AP781" i="9"/>
  <c r="AE870" i="9"/>
  <c r="AE865" i="9" s="1"/>
  <c r="K908" i="9"/>
  <c r="AN924" i="9"/>
  <c r="AH886" i="9"/>
  <c r="AH1054" i="9"/>
  <c r="AB1054" i="9"/>
  <c r="AT1054" i="9"/>
  <c r="D1086" i="9"/>
  <c r="D1097" i="9"/>
  <c r="AV1083" i="9"/>
  <c r="S633" i="9"/>
  <c r="S1100" i="9"/>
  <c r="S1084" i="9" s="1"/>
  <c r="AQ633" i="9"/>
  <c r="AQ1100" i="9"/>
  <c r="AQ1084" i="9" s="1"/>
  <c r="AQ1095" i="9" s="1"/>
  <c r="K774" i="9"/>
  <c r="K916" i="9"/>
  <c r="AE917" i="9"/>
  <c r="AE376" i="9"/>
  <c r="AE378" i="9" s="1"/>
  <c r="G781" i="9"/>
  <c r="AA781" i="9"/>
  <c r="C833" i="9"/>
  <c r="C831" i="9"/>
  <c r="AP1176" i="9"/>
  <c r="AD908" i="9"/>
  <c r="AD1162" i="9"/>
  <c r="AZ1255" i="9"/>
  <c r="AK1248" i="9"/>
  <c r="P1262" i="9"/>
  <c r="R1255" i="9"/>
  <c r="AJ1262" i="9"/>
  <c r="AZ1262" i="9"/>
  <c r="G1248" i="9"/>
  <c r="G934" i="9" s="1"/>
  <c r="N1262" i="9"/>
  <c r="N936" i="9" s="1"/>
  <c r="BF145" i="9"/>
  <c r="BF144" i="9" s="1"/>
  <c r="BG159" i="9"/>
  <c r="D186" i="9"/>
  <c r="BH180" i="9"/>
  <c r="AX231" i="9"/>
  <c r="AW231" i="9"/>
  <c r="M255" i="9"/>
  <c r="H254" i="9"/>
  <c r="E263" i="9"/>
  <c r="D263" i="9"/>
  <c r="AX262" i="9"/>
  <c r="AX263" i="9" s="1"/>
  <c r="AX27" i="9"/>
  <c r="S426" i="9"/>
  <c r="U426" i="9" s="1"/>
  <c r="S424" i="9"/>
  <c r="AY466" i="9"/>
  <c r="P710" i="9"/>
  <c r="P727" i="9" s="1"/>
  <c r="P650" i="9"/>
  <c r="BB1165" i="9"/>
  <c r="BB768" i="9"/>
  <c r="BB635" i="9" s="1"/>
  <c r="BB622" i="9"/>
  <c r="BB778" i="9"/>
  <c r="BG876" i="9"/>
  <c r="BG893" i="9"/>
  <c r="BG894" i="9" s="1"/>
  <c r="BG895" i="9" s="1"/>
  <c r="BD891" i="9"/>
  <c r="BD767" i="9"/>
  <c r="BD634" i="9" s="1"/>
  <c r="Y903" i="9"/>
  <c r="Y1161" i="9" s="1"/>
  <c r="Y1114" i="9"/>
  <c r="AX904" i="9"/>
  <c r="AX906" i="9"/>
  <c r="BA21" i="9"/>
  <c r="Q34" i="9"/>
  <c r="AP145" i="9"/>
  <c r="AP144" i="9" s="1"/>
  <c r="AK159" i="9"/>
  <c r="BC27" i="9"/>
  <c r="BC262" i="9"/>
  <c r="AB316" i="9"/>
  <c r="AB305" i="9"/>
  <c r="V373" i="9"/>
  <c r="V761" i="9" s="1"/>
  <c r="V759" i="9"/>
  <c r="V760" i="9" s="1"/>
  <c r="BJ759" i="9"/>
  <c r="AC469" i="9"/>
  <c r="AH470" i="9" s="1"/>
  <c r="AV484" i="9"/>
  <c r="AV483" i="9"/>
  <c r="AV485" i="9" s="1"/>
  <c r="Q661" i="9"/>
  <c r="Q667" i="9" s="1"/>
  <c r="Q644" i="9"/>
  <c r="K1176" i="9"/>
  <c r="AK767" i="9"/>
  <c r="AK634" i="9" s="1"/>
  <c r="AK891" i="9"/>
  <c r="BE767" i="9"/>
  <c r="BE634" i="9" s="1"/>
  <c r="BE891" i="9"/>
  <c r="E1176" i="9"/>
  <c r="T905" i="9"/>
  <c r="T1142" i="9"/>
  <c r="T1257" i="9"/>
  <c r="T1264" i="9"/>
  <c r="T1250" i="9"/>
  <c r="T1266" i="9"/>
  <c r="T1259" i="9"/>
  <c r="BN4" i="9"/>
  <c r="AL13" i="9"/>
  <c r="AK17" i="9"/>
  <c r="AU103" i="9"/>
  <c r="AU89" i="9"/>
  <c r="AU88" i="9" s="1"/>
  <c r="AP103" i="9"/>
  <c r="F119" i="9"/>
  <c r="AH255" i="9"/>
  <c r="K263" i="9"/>
  <c r="BH294" i="9"/>
  <c r="AY295" i="9"/>
  <c r="AY294" i="9"/>
  <c r="AY293" i="9"/>
  <c r="V316" i="9"/>
  <c r="AR755" i="9"/>
  <c r="AR624" i="9" s="1"/>
  <c r="AR373" i="9"/>
  <c r="AR761" i="9" s="1"/>
  <c r="AR629" i="9" s="1"/>
  <c r="AT755" i="9"/>
  <c r="X759" i="9"/>
  <c r="X760" i="9" s="1"/>
  <c r="X628" i="9" s="1"/>
  <c r="X373" i="9"/>
  <c r="X761" i="9" s="1"/>
  <c r="X629" i="9" s="1"/>
  <c r="AR346" i="9"/>
  <c r="AR759" i="9"/>
  <c r="AR760" i="9" s="1"/>
  <c r="F373" i="9"/>
  <c r="F761" i="9" s="1"/>
  <c r="AI394" i="9"/>
  <c r="AI390" i="9"/>
  <c r="AI37" i="9" s="1"/>
  <c r="V424" i="9"/>
  <c r="V426" i="9"/>
  <c r="AP424" i="9"/>
  <c r="AP426" i="9"/>
  <c r="BJ426" i="9"/>
  <c r="BJ424" i="9"/>
  <c r="BE254" i="9"/>
  <c r="BC254" i="9"/>
  <c r="K466" i="9"/>
  <c r="K467" i="9" s="1"/>
  <c r="P465" i="9" s="1"/>
  <c r="P467" i="9" s="1"/>
  <c r="U465" i="9" s="1"/>
  <c r="U467" i="9" s="1"/>
  <c r="Z465" i="9" s="1"/>
  <c r="Z467" i="9" s="1"/>
  <c r="AE465" i="9" s="1"/>
  <c r="AE467" i="9" s="1"/>
  <c r="AJ465" i="9" s="1"/>
  <c r="AF476" i="9"/>
  <c r="AF469" i="9"/>
  <c r="BH695" i="9"/>
  <c r="BH708" i="9" s="1"/>
  <c r="H1165" i="9"/>
  <c r="H622" i="9"/>
  <c r="H778" i="9"/>
  <c r="O774" i="9"/>
  <c r="O916" i="9"/>
  <c r="AI774" i="9"/>
  <c r="BD860" i="9"/>
  <c r="BB865" i="9"/>
  <c r="AC767" i="9"/>
  <c r="AC634" i="9" s="1"/>
  <c r="AC891" i="9"/>
  <c r="BF1162" i="9"/>
  <c r="BF908" i="9"/>
  <c r="AC881" i="9"/>
  <c r="AC1176" i="9" s="1"/>
  <c r="AC1039" i="9"/>
  <c r="AC1057" i="9" s="1"/>
  <c r="AE1054" i="9"/>
  <c r="AE886" i="9"/>
  <c r="BA1054" i="9"/>
  <c r="BA886" i="9"/>
  <c r="BF1054" i="9"/>
  <c r="BF886" i="9"/>
  <c r="E887" i="9"/>
  <c r="AH1078" i="9"/>
  <c r="L485" i="9"/>
  <c r="AJ1154" i="9"/>
  <c r="Q1252" i="9"/>
  <c r="Q1257" i="9"/>
  <c r="Q1266" i="9"/>
  <c r="Q1259" i="9"/>
  <c r="Q1250" i="9"/>
  <c r="Q1264" i="9"/>
  <c r="V824" i="9"/>
  <c r="T824" i="9"/>
  <c r="Z838" i="9"/>
  <c r="V843" i="9"/>
  <c r="U848" i="9"/>
  <c r="V870" i="9"/>
  <c r="AU870" i="9"/>
  <c r="AY1176" i="9"/>
  <c r="P891" i="9"/>
  <c r="AX960" i="9"/>
  <c r="AX971" i="9" s="1"/>
  <c r="T1043" i="9"/>
  <c r="T1054" i="9" s="1"/>
  <c r="T995" i="9"/>
  <c r="BI998" i="9"/>
  <c r="V1039" i="9"/>
  <c r="V879" i="9"/>
  <c r="AR1039" i="9"/>
  <c r="AR879" i="9"/>
  <c r="AR1101" i="9" s="1"/>
  <c r="AR1085" i="9" s="1"/>
  <c r="AR1173" i="9"/>
  <c r="O1122" i="9"/>
  <c r="O1087" i="9"/>
  <c r="Y906" i="9"/>
  <c r="Y1142" i="9"/>
  <c r="Y1143" i="9" s="1"/>
  <c r="Y905" i="9"/>
  <c r="S34" i="9"/>
  <c r="BD404" i="9"/>
  <c r="C225" i="9"/>
  <c r="AE232" i="9"/>
  <c r="AZ231" i="9"/>
  <c r="AZ232" i="9"/>
  <c r="I231" i="9"/>
  <c r="AZ255" i="9"/>
  <c r="AZ254" i="9"/>
  <c r="AF255" i="9"/>
  <c r="P263" i="9"/>
  <c r="AX158" i="9"/>
  <c r="BD294" i="9"/>
  <c r="BD295" i="9"/>
  <c r="BD299" i="9"/>
  <c r="BD298" i="9"/>
  <c r="AQ298" i="9"/>
  <c r="BE755" i="9"/>
  <c r="BG755" i="9"/>
  <c r="Y346" i="9"/>
  <c r="J397" i="9"/>
  <c r="O390" i="9"/>
  <c r="O37" i="9" s="1"/>
  <c r="F36" i="9"/>
  <c r="F399" i="9"/>
  <c r="AQ424" i="9"/>
  <c r="AQ426" i="9"/>
  <c r="T483" i="9"/>
  <c r="T485" i="9" s="1"/>
  <c r="AR485" i="9"/>
  <c r="AC646" i="9"/>
  <c r="AC648" i="9" s="1"/>
  <c r="AC681" i="9"/>
  <c r="AC693" i="9" s="1"/>
  <c r="AW710" i="9"/>
  <c r="BJ681" i="9"/>
  <c r="BJ693" i="9" s="1"/>
  <c r="AW356" i="9"/>
  <c r="AW712" i="9"/>
  <c r="T1073" i="9"/>
  <c r="T1080" i="9" s="1"/>
  <c r="T473" i="9"/>
  <c r="T1070" i="9"/>
  <c r="T751" i="9"/>
  <c r="T756" i="9" s="1"/>
  <c r="T291" i="9"/>
  <c r="V1073" i="9"/>
  <c r="V1068" i="9"/>
  <c r="V1075" i="9" s="1"/>
  <c r="V1069" i="9"/>
  <c r="V1076" i="9" s="1"/>
  <c r="T1069" i="9"/>
  <c r="T621" i="9"/>
  <c r="T1174" i="9" s="1"/>
  <c r="AO1073" i="9"/>
  <c r="AO1068" i="9"/>
  <c r="AO1069" i="9"/>
  <c r="AO1071" i="9"/>
  <c r="AO30" i="9"/>
  <c r="AO1072" i="9"/>
  <c r="AO303" i="9"/>
  <c r="AO751" i="9"/>
  <c r="AO473" i="9"/>
  <c r="AO618" i="9"/>
  <c r="AO619" i="9" s="1"/>
  <c r="AO315" i="9"/>
  <c r="AO314" i="9" s="1"/>
  <c r="E760" i="9"/>
  <c r="Y760" i="9"/>
  <c r="Y628" i="9" s="1"/>
  <c r="Y621" i="9"/>
  <c r="Y1174" i="9" s="1"/>
  <c r="AM774" i="9"/>
  <c r="AM916" i="9"/>
  <c r="BH916" i="9"/>
  <c r="BH774" i="9"/>
  <c r="D908" i="9"/>
  <c r="AI1037" i="9"/>
  <c r="AI1039" i="9" s="1"/>
  <c r="AI980" i="9"/>
  <c r="O887" i="9"/>
  <c r="W1039" i="9"/>
  <c r="W879" i="9"/>
  <c r="AS1039" i="9"/>
  <c r="BN1033" i="9"/>
  <c r="I1176" i="9"/>
  <c r="AZ1068" i="9"/>
  <c r="AX1069" i="9"/>
  <c r="AO1070" i="9"/>
  <c r="AO1077" i="9" s="1"/>
  <c r="BB1154" i="9"/>
  <c r="BB1156" i="9" s="1"/>
  <c r="H1257" i="9"/>
  <c r="H1259" i="9"/>
  <c r="H1252" i="9"/>
  <c r="H1250" i="9"/>
  <c r="H1264" i="9"/>
  <c r="H1266" i="9"/>
  <c r="AB1257" i="9"/>
  <c r="AB1264" i="9"/>
  <c r="AB1250" i="9"/>
  <c r="AB1259" i="9"/>
  <c r="AB1252" i="9"/>
  <c r="AV1257" i="9"/>
  <c r="AV1266" i="9"/>
  <c r="AV1259" i="9"/>
  <c r="AV1252" i="9"/>
  <c r="AV1264" i="9"/>
  <c r="AV1250" i="9"/>
  <c r="T1276" i="9"/>
  <c r="AO13" i="9"/>
  <c r="Z28" i="9"/>
  <c r="T30" i="9"/>
  <c r="AJ89" i="9"/>
  <c r="AJ88" i="9" s="1"/>
  <c r="AJ103" i="9"/>
  <c r="BF103" i="9"/>
  <c r="BF89" i="9"/>
  <c r="BF88" i="9" s="1"/>
  <c r="M180" i="9"/>
  <c r="AN214" i="9"/>
  <c r="K255" i="9"/>
  <c r="BA254" i="9"/>
  <c r="U263" i="9"/>
  <c r="BC158" i="9"/>
  <c r="BC15" i="9"/>
  <c r="BE298" i="9"/>
  <c r="BE299" i="9"/>
  <c r="E750" i="9"/>
  <c r="E751" i="9" s="1"/>
  <c r="E755" i="9"/>
  <c r="AX312" i="9"/>
  <c r="BC312" i="9"/>
  <c r="AZ311" i="9"/>
  <c r="BI316" i="9"/>
  <c r="BF755" i="9"/>
  <c r="BH755" i="9"/>
  <c r="Z346" i="9"/>
  <c r="BF1163" i="9"/>
  <c r="BF390" i="9"/>
  <c r="BF37" i="9" s="1"/>
  <c r="BF394" i="9"/>
  <c r="AU485" i="9"/>
  <c r="T593" i="9"/>
  <c r="AX712" i="9"/>
  <c r="AX356" i="9"/>
  <c r="AX373" i="9" s="1"/>
  <c r="AX761" i="9" s="1"/>
  <c r="F708" i="9"/>
  <c r="U1073" i="9"/>
  <c r="U1068" i="9"/>
  <c r="U1075" i="9" s="1"/>
  <c r="U1163" i="9"/>
  <c r="U1070" i="9"/>
  <c r="U1069" i="9"/>
  <c r="U1076" i="9" s="1"/>
  <c r="U30" i="9"/>
  <c r="U473" i="9"/>
  <c r="U762" i="9"/>
  <c r="Z621" i="9"/>
  <c r="Z1174" i="9" s="1"/>
  <c r="AU760" i="9"/>
  <c r="AU621" i="9"/>
  <c r="AU1174" i="9" s="1"/>
  <c r="AN774" i="9"/>
  <c r="AN916" i="9"/>
  <c r="AD825" i="9"/>
  <c r="AU843" i="9"/>
  <c r="AY838" i="9"/>
  <c r="T1176" i="9"/>
  <c r="F908" i="9"/>
  <c r="N924" i="9"/>
  <c r="X879" i="9"/>
  <c r="X1039" i="9"/>
  <c r="X1173" i="9"/>
  <c r="AT1173" i="9"/>
  <c r="BO1039" i="9"/>
  <c r="AJ1039" i="9"/>
  <c r="BA1176" i="9"/>
  <c r="AY1076" i="9"/>
  <c r="F1097" i="9"/>
  <c r="I1154" i="9"/>
  <c r="AF1162" i="9"/>
  <c r="AH1266" i="9"/>
  <c r="AH1250" i="9"/>
  <c r="AH1259" i="9"/>
  <c r="AH1264" i="9"/>
  <c r="AH1257" i="9"/>
  <c r="AH1252" i="9"/>
  <c r="AC1250" i="9"/>
  <c r="AC1252" i="9"/>
  <c r="AC1264" i="9"/>
  <c r="AC1257" i="9"/>
  <c r="AC1266" i="9"/>
  <c r="AW1250" i="9"/>
  <c r="AW1266" i="9"/>
  <c r="AW1259" i="9"/>
  <c r="AW1252" i="9"/>
  <c r="Y1246" i="9"/>
  <c r="AK103" i="9"/>
  <c r="BG89" i="9"/>
  <c r="BG88" i="9" s="1"/>
  <c r="AR145" i="9"/>
  <c r="AR144" i="9" s="1"/>
  <c r="AO201" i="9"/>
  <c r="AO200" i="9" s="1"/>
  <c r="BB232" i="9"/>
  <c r="BB231" i="9"/>
  <c r="BA231" i="9"/>
  <c r="M254" i="9"/>
  <c r="L254" i="9"/>
  <c r="BB254" i="9"/>
  <c r="AJ294" i="9"/>
  <c r="AJ295" i="9"/>
  <c r="BF294" i="9"/>
  <c r="BF299" i="9"/>
  <c r="BF298" i="9"/>
  <c r="AQ294" i="9"/>
  <c r="BJ308" i="9"/>
  <c r="BJ316" i="9"/>
  <c r="C333" i="9"/>
  <c r="C346" i="9"/>
  <c r="AJ346" i="9"/>
  <c r="AL409" i="9"/>
  <c r="AN409" i="9"/>
  <c r="AM409" i="9"/>
  <c r="W426" i="9"/>
  <c r="AD433" i="9"/>
  <c r="AD431" i="9"/>
  <c r="AD429" i="9"/>
  <c r="AA469" i="9"/>
  <c r="AT483" i="9"/>
  <c r="AT484" i="9"/>
  <c r="T634" i="9"/>
  <c r="AN669" i="9"/>
  <c r="AN679" i="9" s="1"/>
  <c r="AN758" i="9"/>
  <c r="AQ1068" i="9"/>
  <c r="AQ751" i="9"/>
  <c r="AQ756" i="9" s="1"/>
  <c r="AQ473" i="9"/>
  <c r="AQ1069" i="9"/>
  <c r="AQ1070" i="9"/>
  <c r="AQ1072" i="9"/>
  <c r="AQ624" i="9"/>
  <c r="AQ618" i="9"/>
  <c r="AQ619" i="9" s="1"/>
  <c r="G334" i="9"/>
  <c r="G346" i="9" s="1"/>
  <c r="G760" i="9"/>
  <c r="X781" i="9"/>
  <c r="AK824" i="9"/>
  <c r="AI825" i="9"/>
  <c r="AA848" i="9"/>
  <c r="AZ848" i="9"/>
  <c r="BD848" i="9" s="1"/>
  <c r="U1176" i="9"/>
  <c r="BI1176" i="9"/>
  <c r="G1161" i="9"/>
  <c r="G908" i="9"/>
  <c r="E917" i="9"/>
  <c r="E376" i="9"/>
  <c r="E378" i="9" s="1"/>
  <c r="BJ916" i="9"/>
  <c r="W924" i="9"/>
  <c r="R998" i="9"/>
  <c r="O1019" i="9"/>
  <c r="AL1019" i="9"/>
  <c r="BF1019" i="9"/>
  <c r="BE1019" i="9"/>
  <c r="D879" i="9"/>
  <c r="D1101" i="9" s="1"/>
  <c r="D1085" i="9" s="1"/>
  <c r="D1173" i="9"/>
  <c r="AU879" i="9"/>
  <c r="BP1173" i="9"/>
  <c r="BP1039" i="9"/>
  <c r="AG1176" i="9"/>
  <c r="I1039" i="9"/>
  <c r="BB1069" i="9"/>
  <c r="G1097" i="9"/>
  <c r="G1086" i="9"/>
  <c r="AB1156" i="9"/>
  <c r="BI1171" i="9"/>
  <c r="BC1152" i="9"/>
  <c r="G1173" i="9"/>
  <c r="AJ1259" i="9"/>
  <c r="AJ1252" i="9"/>
  <c r="AJ1257" i="9"/>
  <c r="AJ1266" i="9"/>
  <c r="AD1246" i="9"/>
  <c r="AQ13" i="9"/>
  <c r="W34" i="9"/>
  <c r="BD403" i="9"/>
  <c r="BD409" i="9" s="1"/>
  <c r="BS404" i="9"/>
  <c r="AL103" i="9"/>
  <c r="AL89" i="9"/>
  <c r="AL88" i="9" s="1"/>
  <c r="D119" i="9"/>
  <c r="AP201" i="9"/>
  <c r="AP200" i="9" s="1"/>
  <c r="AU215" i="9"/>
  <c r="Q231" i="9"/>
  <c r="BG294" i="9"/>
  <c r="BG298" i="9"/>
  <c r="AJ293" i="9"/>
  <c r="AJ300" i="9" s="1"/>
  <c r="AR294" i="9"/>
  <c r="BE295" i="9"/>
  <c r="BH299" i="9"/>
  <c r="BA316" i="9"/>
  <c r="G755" i="9"/>
  <c r="G750" i="9"/>
  <c r="AA755" i="9"/>
  <c r="BH312" i="9"/>
  <c r="D333" i="9"/>
  <c r="D346" i="9"/>
  <c r="AB346" i="9"/>
  <c r="AZ346" i="9"/>
  <c r="BE356" i="9"/>
  <c r="Y390" i="9"/>
  <c r="Y37" i="9" s="1"/>
  <c r="Y1163" i="9"/>
  <c r="AD232" i="9"/>
  <c r="AJ466" i="9"/>
  <c r="AX484" i="9"/>
  <c r="AX485" i="9" s="1"/>
  <c r="J560" i="9"/>
  <c r="J562" i="9" s="1"/>
  <c r="AX1169" i="9"/>
  <c r="AX642" i="9"/>
  <c r="BD661" i="9"/>
  <c r="BD667" i="9" s="1"/>
  <c r="BD644" i="9"/>
  <c r="S650" i="9"/>
  <c r="T710" i="9"/>
  <c r="T727" i="9" s="1"/>
  <c r="T650" i="9"/>
  <c r="C1068" i="9"/>
  <c r="C1070" i="9"/>
  <c r="C1163" i="9"/>
  <c r="C1069" i="9"/>
  <c r="C1072" i="9"/>
  <c r="C30" i="9"/>
  <c r="W1073" i="9"/>
  <c r="W1072" i="9"/>
  <c r="W1069" i="9"/>
  <c r="W1076" i="9" s="1"/>
  <c r="W1068" i="9"/>
  <c r="W762" i="9"/>
  <c r="W621" i="9"/>
  <c r="W1174" i="9" s="1"/>
  <c r="AR1070" i="9"/>
  <c r="AR1068" i="9"/>
  <c r="AR1069" i="9"/>
  <c r="AR751" i="9"/>
  <c r="AR1072" i="9"/>
  <c r="AR473" i="9"/>
  <c r="AR618" i="9"/>
  <c r="AR619" i="9" s="1"/>
  <c r="AI755" i="9"/>
  <c r="H334" i="9"/>
  <c r="H346" i="9" s="1"/>
  <c r="H760" i="9"/>
  <c r="AB621" i="9"/>
  <c r="AB1174" i="9" s="1"/>
  <c r="V916" i="9"/>
  <c r="V774" i="9"/>
  <c r="E781" i="9"/>
  <c r="BJ1176" i="9"/>
  <c r="BF767" i="9"/>
  <c r="BF634" i="9" s="1"/>
  <c r="BF891" i="9"/>
  <c r="L908" i="9"/>
  <c r="F917" i="9"/>
  <c r="F376" i="9"/>
  <c r="F378" i="9" s="1"/>
  <c r="AI960" i="9"/>
  <c r="AI971" i="9" s="1"/>
  <c r="BN998" i="9"/>
  <c r="P1019" i="9"/>
  <c r="AM1019" i="9"/>
  <c r="AH1176" i="9"/>
  <c r="BD1176" i="9"/>
  <c r="P939" i="9"/>
  <c r="P940" i="9"/>
  <c r="P924" i="9" s="1"/>
  <c r="AJ937" i="9"/>
  <c r="AJ940" i="9" s="1"/>
  <c r="AJ924" i="9" s="1"/>
  <c r="BD937" i="9"/>
  <c r="BD940" i="9" s="1"/>
  <c r="BD924" i="9" s="1"/>
  <c r="AD1276" i="9"/>
  <c r="AW781" i="9"/>
  <c r="G870" i="9"/>
  <c r="K870" i="9" s="1"/>
  <c r="K865" i="9" s="1"/>
  <c r="AF870" i="9"/>
  <c r="AJ870" i="9" s="1"/>
  <c r="AJ865" i="9" s="1"/>
  <c r="BE870" i="9"/>
  <c r="BI870" i="9" s="1"/>
  <c r="BI865" i="9" s="1"/>
  <c r="Y995" i="9"/>
  <c r="X1100" i="9"/>
  <c r="X1084" i="9" s="1"/>
  <c r="X1097" i="9" s="1"/>
  <c r="X633" i="9"/>
  <c r="AK1019" i="9"/>
  <c r="U1039" i="9"/>
  <c r="AU1054" i="9"/>
  <c r="AU886" i="9"/>
  <c r="AY1054" i="9"/>
  <c r="I1054" i="9"/>
  <c r="Q1097" i="9"/>
  <c r="AZ1097" i="9"/>
  <c r="AS1073" i="9"/>
  <c r="AS1080" i="9" s="1"/>
  <c r="AC1156" i="9"/>
  <c r="T906" i="9"/>
  <c r="T917" i="9" s="1"/>
  <c r="BE1252" i="9"/>
  <c r="BE1259" i="9"/>
  <c r="BE1250" i="9"/>
  <c r="BE1264" i="9"/>
  <c r="BE1257" i="9"/>
  <c r="K21" i="9"/>
  <c r="V124" i="9"/>
  <c r="Z159" i="9"/>
  <c r="U159" i="9"/>
  <c r="K215" i="9"/>
  <c r="BF263" i="9"/>
  <c r="BK262" i="9"/>
  <c r="P239" i="9"/>
  <c r="P23" i="9"/>
  <c r="P25" i="9" s="1"/>
  <c r="P298" i="9"/>
  <c r="AM308" i="9"/>
  <c r="AM323" i="9"/>
  <c r="AS755" i="9"/>
  <c r="R373" i="9"/>
  <c r="R761" i="9" s="1"/>
  <c r="R759" i="9"/>
  <c r="BF759" i="9"/>
  <c r="BF760" i="9" s="1"/>
  <c r="G373" i="9"/>
  <c r="G761" i="9" s="1"/>
  <c r="AL388" i="9"/>
  <c r="AQ394" i="9"/>
  <c r="AV395" i="9" s="1"/>
  <c r="AJ36" i="9"/>
  <c r="AJ399" i="9"/>
  <c r="AG436" i="9"/>
  <c r="AB436" i="9"/>
  <c r="U483" i="9"/>
  <c r="U485" i="9" s="1"/>
  <c r="H1163" i="9"/>
  <c r="H303" i="9"/>
  <c r="H473" i="9"/>
  <c r="H291" i="9"/>
  <c r="H751" i="9"/>
  <c r="H756" i="9" s="1"/>
  <c r="H633" i="9"/>
  <c r="AB1072" i="9"/>
  <c r="AB1068" i="9"/>
  <c r="AB1163" i="9"/>
  <c r="AB762" i="9"/>
  <c r="AB1071" i="9"/>
  <c r="AB30" i="9"/>
  <c r="AB1069" i="9"/>
  <c r="AB1073" i="9"/>
  <c r="AW1072" i="9"/>
  <c r="AW1079" i="9" s="1"/>
  <c r="AW1070" i="9"/>
  <c r="AW1069" i="9"/>
  <c r="AW1076" i="9" s="1"/>
  <c r="AW1073" i="9"/>
  <c r="AW1080" i="9" s="1"/>
  <c r="AW762" i="9"/>
  <c r="AW30" i="9"/>
  <c r="AW621" i="9"/>
  <c r="AW1174" i="9" s="1"/>
  <c r="AG621" i="9"/>
  <c r="AG1174" i="9" s="1"/>
  <c r="AG334" i="9"/>
  <c r="AG346" i="9" s="1"/>
  <c r="BB621" i="9"/>
  <c r="BB1174" i="9" s="1"/>
  <c r="BB334" i="9"/>
  <c r="AE1176" i="9"/>
  <c r="I908" i="9"/>
  <c r="Y376" i="9"/>
  <c r="Y378" i="9" s="1"/>
  <c r="AN960" i="9"/>
  <c r="AN971" i="9" s="1"/>
  <c r="AV1100" i="9"/>
  <c r="AV1084" i="9" s="1"/>
  <c r="AV633" i="9"/>
  <c r="AF1039" i="9"/>
  <c r="AF879" i="9"/>
  <c r="AF1101" i="9" s="1"/>
  <c r="AF1085" i="9" s="1"/>
  <c r="AF1173" i="9"/>
  <c r="BA1039" i="9"/>
  <c r="BA879" i="9"/>
  <c r="BA1101" i="9" s="1"/>
  <c r="BA1085" i="9" s="1"/>
  <c r="BV1173" i="9"/>
  <c r="BV1039" i="9"/>
  <c r="D1054" i="9"/>
  <c r="D886" i="9"/>
  <c r="AV886" i="9"/>
  <c r="AV1054" i="9"/>
  <c r="AZ886" i="9"/>
  <c r="AS887" i="9"/>
  <c r="S1079" i="9"/>
  <c r="T1097" i="9"/>
  <c r="AX1073" i="9"/>
  <c r="AI1122" i="9"/>
  <c r="AI1123" i="9" s="1"/>
  <c r="P17" i="9"/>
  <c r="AX15" i="9"/>
  <c r="P21" i="9"/>
  <c r="BA25" i="9"/>
  <c r="AU34" i="9"/>
  <c r="E404" i="9"/>
  <c r="BE159" i="9"/>
  <c r="P215" i="9"/>
  <c r="BI215" i="9"/>
  <c r="BL262" i="9"/>
  <c r="BG263" i="9"/>
  <c r="AS21" i="9"/>
  <c r="U23" i="9"/>
  <c r="U239" i="9"/>
  <c r="U291" i="9"/>
  <c r="AR293" i="9"/>
  <c r="M334" i="9"/>
  <c r="M346" i="9" s="1"/>
  <c r="AM352" i="9"/>
  <c r="AM353" i="9" s="1"/>
  <c r="H373" i="9"/>
  <c r="H761" i="9" s="1"/>
  <c r="BG365" i="9"/>
  <c r="AV435" i="9"/>
  <c r="AV1163" i="9"/>
  <c r="BA393" i="9"/>
  <c r="X409" i="9"/>
  <c r="AJ426" i="9"/>
  <c r="L424" i="9"/>
  <c r="T472" i="9"/>
  <c r="Y472" i="9"/>
  <c r="AM470" i="9"/>
  <c r="AM475" i="9"/>
  <c r="AI481" i="9"/>
  <c r="AI484" i="9" s="1"/>
  <c r="AI483" i="9"/>
  <c r="AI485" i="9" s="1"/>
  <c r="AP646" i="9"/>
  <c r="AP648" i="9" s="1"/>
  <c r="AP681" i="9"/>
  <c r="AP693" i="9" s="1"/>
  <c r="AW650" i="9"/>
  <c r="BH365" i="9"/>
  <c r="BH722" i="9"/>
  <c r="I1163" i="9"/>
  <c r="I30" i="9"/>
  <c r="N34" i="9" s="1"/>
  <c r="I473" i="9"/>
  <c r="I303" i="9"/>
  <c r="I291" i="9"/>
  <c r="AC1163" i="9"/>
  <c r="AC1072" i="9"/>
  <c r="AC1068" i="9"/>
  <c r="AC1071" i="9"/>
  <c r="AC1078" i="9" s="1"/>
  <c r="AC30" i="9"/>
  <c r="AD1073" i="9"/>
  <c r="AC618" i="9"/>
  <c r="AC619" i="9" s="1"/>
  <c r="AD1071" i="9"/>
  <c r="AC1069" i="9"/>
  <c r="AC1073" i="9"/>
  <c r="AC621" i="9"/>
  <c r="AC1174" i="9" s="1"/>
  <c r="AF1068" i="9"/>
  <c r="AC762" i="9"/>
  <c r="AX303" i="9"/>
  <c r="AX751" i="9"/>
  <c r="AX756" i="9" s="1"/>
  <c r="AX621" i="9"/>
  <c r="AX1174" i="9" s="1"/>
  <c r="AX762" i="9"/>
  <c r="AX1072" i="9"/>
  <c r="D750" i="9"/>
  <c r="AR778" i="9"/>
  <c r="AR786" i="9" s="1"/>
  <c r="AR795" i="9" s="1"/>
  <c r="BJ1100" i="9"/>
  <c r="BJ1084" i="9" s="1"/>
  <c r="P781" i="9"/>
  <c r="AY781" i="9"/>
  <c r="AP1101" i="9"/>
  <c r="AP1085" i="9" s="1"/>
  <c r="AP1173" i="9"/>
  <c r="AG1162" i="9"/>
  <c r="AG908" i="9"/>
  <c r="BM960" i="9"/>
  <c r="BM971" i="9" s="1"/>
  <c r="K1173" i="9"/>
  <c r="AG1039" i="9"/>
  <c r="AG1173" i="9"/>
  <c r="BB1039" i="9"/>
  <c r="BB879" i="9"/>
  <c r="BB1101" i="9" s="1"/>
  <c r="BB1085" i="9" s="1"/>
  <c r="E1054" i="9"/>
  <c r="E886" i="9"/>
  <c r="Z1054" i="9"/>
  <c r="AW1054" i="9"/>
  <c r="X1054" i="9"/>
  <c r="X887" i="9"/>
  <c r="AT887" i="9"/>
  <c r="K1080" i="9"/>
  <c r="W1097" i="9"/>
  <c r="I1123" i="9"/>
  <c r="U21" i="9"/>
  <c r="BI28" i="9"/>
  <c r="F404" i="9"/>
  <c r="BE103" i="9"/>
  <c r="U215" i="9"/>
  <c r="AW201" i="9"/>
  <c r="AW200" i="9" s="1"/>
  <c r="BJ215" i="9"/>
  <c r="AF231" i="9"/>
  <c r="AP254" i="9"/>
  <c r="AP255" i="9"/>
  <c r="BH262" i="9"/>
  <c r="Z291" i="9"/>
  <c r="Z239" i="9"/>
  <c r="Z23" i="9"/>
  <c r="BE294" i="9"/>
  <c r="N750" i="9"/>
  <c r="N751" i="9" s="1"/>
  <c r="N755" i="9"/>
  <c r="N624" i="9" s="1"/>
  <c r="BD308" i="9"/>
  <c r="BI328" i="9"/>
  <c r="N334" i="9"/>
  <c r="N346" i="9" s="1"/>
  <c r="AL346" i="9"/>
  <c r="T759" i="9"/>
  <c r="AN759" i="9"/>
  <c r="BH759" i="9"/>
  <c r="BH760" i="9" s="1"/>
  <c r="AB399" i="9"/>
  <c r="AU409" i="9"/>
  <c r="E436" i="9"/>
  <c r="AE466" i="9"/>
  <c r="AN481" i="9"/>
  <c r="AN483" i="9" s="1"/>
  <c r="AI593" i="9"/>
  <c r="H621" i="9"/>
  <c r="H1174" i="9" s="1"/>
  <c r="AQ720" i="9"/>
  <c r="AQ363" i="9"/>
  <c r="BI365" i="9"/>
  <c r="BI373" i="9" s="1"/>
  <c r="BI761" i="9" s="1"/>
  <c r="BI629" i="9" s="1"/>
  <c r="BI722" i="9"/>
  <c r="O708" i="9"/>
  <c r="N1100" i="9"/>
  <c r="N1084" i="9" s="1"/>
  <c r="N633" i="9"/>
  <c r="L781" i="9"/>
  <c r="AZ781" i="9"/>
  <c r="D891" i="9"/>
  <c r="D767" i="9"/>
  <c r="D634" i="9" s="1"/>
  <c r="AH1162" i="9"/>
  <c r="AH908" i="9"/>
  <c r="I917" i="9"/>
  <c r="BR960" i="9"/>
  <c r="BR971" i="9" s="1"/>
  <c r="AT1019" i="9"/>
  <c r="E1019" i="9"/>
  <c r="AU1019" i="9"/>
  <c r="AM1039" i="9"/>
  <c r="F1054" i="9"/>
  <c r="AA886" i="9"/>
  <c r="AX1054" i="9"/>
  <c r="H1054" i="9"/>
  <c r="V1070" i="9"/>
  <c r="U1072" i="9"/>
  <c r="U1079" i="9" s="1"/>
  <c r="H1095" i="9"/>
  <c r="AI904" i="9"/>
  <c r="BN1147" i="9"/>
  <c r="BO1147" i="9" s="1"/>
  <c r="BP1147" i="9" s="1"/>
  <c r="BQ1147" i="9" s="1"/>
  <c r="BR1147" i="9" s="1"/>
  <c r="BS1147" i="9" s="1"/>
  <c r="BT1147" i="9" s="1"/>
  <c r="BU1147" i="9" s="1"/>
  <c r="BV1147" i="9" s="1"/>
  <c r="R1264" i="9"/>
  <c r="R1259" i="9"/>
  <c r="R1252" i="9"/>
  <c r="R1250" i="9"/>
  <c r="R1266" i="9"/>
  <c r="AL1250" i="9"/>
  <c r="AL1257" i="9"/>
  <c r="AL1264" i="9"/>
  <c r="AL1252" i="9"/>
  <c r="BF1266" i="9"/>
  <c r="BF1259" i="9"/>
  <c r="BF1264" i="9"/>
  <c r="BF1257" i="9"/>
  <c r="BL1246" i="9"/>
  <c r="AZ17" i="9"/>
  <c r="Z21" i="9"/>
  <c r="H30" i="9"/>
  <c r="D403" i="9"/>
  <c r="D409" i="9" s="1"/>
  <c r="D63" i="9"/>
  <c r="K404" i="9"/>
  <c r="BG103" i="9"/>
  <c r="AX214" i="9"/>
  <c r="BC215" i="9" s="1"/>
  <c r="AG231" i="9"/>
  <c r="W255" i="9"/>
  <c r="AE239" i="9"/>
  <c r="AE23" i="9"/>
  <c r="AE291" i="9"/>
  <c r="AT293" i="9"/>
  <c r="O750" i="9"/>
  <c r="O755" i="9"/>
  <c r="AB373" i="9"/>
  <c r="AB761" i="9" s="1"/>
  <c r="AB629" i="9" s="1"/>
  <c r="AB755" i="9"/>
  <c r="AV755" i="9"/>
  <c r="J373" i="9"/>
  <c r="J761" i="9" s="1"/>
  <c r="AS373" i="9"/>
  <c r="AS761" i="9" s="1"/>
  <c r="J394" i="9"/>
  <c r="AY435" i="9"/>
  <c r="AX391" i="9"/>
  <c r="AY393" i="9"/>
  <c r="AV409" i="9"/>
  <c r="J433" i="9"/>
  <c r="J424" i="9"/>
  <c r="J426" i="9"/>
  <c r="AS483" i="9"/>
  <c r="AS485" i="9" s="1"/>
  <c r="AG483" i="9"/>
  <c r="AG484" i="9"/>
  <c r="I621" i="9"/>
  <c r="I1174" i="9" s="1"/>
  <c r="AB633" i="9"/>
  <c r="V661" i="9"/>
  <c r="V667" i="9" s="1"/>
  <c r="V644" i="9"/>
  <c r="AF650" i="9"/>
  <c r="AF710" i="9"/>
  <c r="AF727" i="9" s="1"/>
  <c r="AO681" i="9"/>
  <c r="AO693" i="9" s="1"/>
  <c r="K618" i="9"/>
  <c r="K619" i="9" s="1"/>
  <c r="AE315" i="9"/>
  <c r="AE618" i="9"/>
  <c r="AE619" i="9" s="1"/>
  <c r="AD376" i="9"/>
  <c r="AD378" i="9" s="1"/>
  <c r="AD917" i="9"/>
  <c r="AP774" i="9"/>
  <c r="U781" i="9"/>
  <c r="M781" i="9"/>
  <c r="BA781" i="9"/>
  <c r="T825" i="9"/>
  <c r="J1173" i="9"/>
  <c r="J1101" i="9"/>
  <c r="J1085" i="9" s="1"/>
  <c r="J1086" i="9" s="1"/>
  <c r="AS879" i="9"/>
  <c r="AS1173" i="9" s="1"/>
  <c r="AO1176" i="9"/>
  <c r="F634" i="9"/>
  <c r="AL891" i="9"/>
  <c r="AL767" i="9"/>
  <c r="AL634" i="9" s="1"/>
  <c r="AW891" i="9"/>
  <c r="AI906" i="9"/>
  <c r="AF917" i="9"/>
  <c r="AF376" i="9"/>
  <c r="AF378" i="9" s="1"/>
  <c r="T891" i="9"/>
  <c r="C1019" i="9"/>
  <c r="G1054" i="9"/>
  <c r="AB886" i="9"/>
  <c r="BB886" i="9"/>
  <c r="BB1054" i="9"/>
  <c r="C1054" i="9"/>
  <c r="Z887" i="9"/>
  <c r="W1070" i="9"/>
  <c r="W1077" i="9" s="1"/>
  <c r="U1071" i="9"/>
  <c r="V1072" i="9"/>
  <c r="BD1097" i="9"/>
  <c r="AN1114" i="9"/>
  <c r="BF1250" i="9"/>
  <c r="V436" i="9"/>
  <c r="AA436" i="9"/>
  <c r="AK484" i="9"/>
  <c r="AK483" i="9"/>
  <c r="AK485" i="9" s="1"/>
  <c r="AS916" i="9"/>
  <c r="AS774" i="9"/>
  <c r="AZ1069" i="9"/>
  <c r="AZ1072" i="9"/>
  <c r="AZ1070" i="9"/>
  <c r="AZ762" i="9"/>
  <c r="AZ621" i="9"/>
  <c r="AZ1174" i="9" s="1"/>
  <c r="AZ30" i="9"/>
  <c r="AU1100" i="9"/>
  <c r="AU1084" i="9" s="1"/>
  <c r="AU633" i="9"/>
  <c r="AU824" i="9"/>
  <c r="AS824" i="9"/>
  <c r="AW634" i="9"/>
  <c r="AN1019" i="9"/>
  <c r="BJ1019" i="9"/>
  <c r="W634" i="9"/>
  <c r="L1039" i="9"/>
  <c r="L879" i="9"/>
  <c r="AH1173" i="9"/>
  <c r="AH1039" i="9"/>
  <c r="AD887" i="9"/>
  <c r="Q937" i="9"/>
  <c r="Q940" i="9" s="1"/>
  <c r="Q939" i="9"/>
  <c r="AK939" i="9"/>
  <c r="AK924" i="9" s="1"/>
  <c r="BE939" i="9"/>
  <c r="S232" i="9"/>
  <c r="BI232" i="9"/>
  <c r="C297" i="9"/>
  <c r="C294" i="9"/>
  <c r="C296" i="9"/>
  <c r="AI472" i="9"/>
  <c r="E696" i="9"/>
  <c r="E708" i="9" s="1"/>
  <c r="AF1069" i="9"/>
  <c r="AF1070" i="9"/>
  <c r="AF1077" i="9" s="1"/>
  <c r="AF1073" i="9"/>
  <c r="AF1080" i="9" s="1"/>
  <c r="T760" i="9"/>
  <c r="T628" i="9" s="1"/>
  <c r="T781" i="9"/>
  <c r="AX825" i="9"/>
  <c r="U1162" i="9"/>
  <c r="U908" i="9"/>
  <c r="R1019" i="9"/>
  <c r="AO1019" i="9"/>
  <c r="M1039" i="9"/>
  <c r="M879" i="9"/>
  <c r="M1101" i="9" s="1"/>
  <c r="M1085" i="9" s="1"/>
  <c r="M1173" i="9"/>
  <c r="BD1039" i="9"/>
  <c r="BF887" i="9"/>
  <c r="N1083" i="9"/>
  <c r="BD1086" i="9"/>
  <c r="BI1083" i="9"/>
  <c r="BE1083" i="9"/>
  <c r="BO1146" i="9"/>
  <c r="AT103" i="9"/>
  <c r="AP231" i="9"/>
  <c r="BK280" i="9"/>
  <c r="BK33" i="9" s="1"/>
  <c r="C295" i="9"/>
  <c r="BE316" i="9"/>
  <c r="BE305" i="9"/>
  <c r="BJ307" i="9" s="1"/>
  <c r="V311" i="9"/>
  <c r="AD346" i="9"/>
  <c r="AY759" i="9"/>
  <c r="AY760" i="9" s="1"/>
  <c r="F426" i="9"/>
  <c r="F424" i="9"/>
  <c r="AG1069" i="9"/>
  <c r="AG1073" i="9"/>
  <c r="AG1072" i="9"/>
  <c r="AH1073" i="9"/>
  <c r="AH1072" i="9"/>
  <c r="AH1079" i="9" s="1"/>
  <c r="AG473" i="9"/>
  <c r="AK624" i="9"/>
  <c r="AW1086" i="9"/>
  <c r="AW1095" i="9"/>
  <c r="G848" i="9"/>
  <c r="AF848" i="9"/>
  <c r="V908" i="9"/>
  <c r="V1162" i="9"/>
  <c r="D424" i="9"/>
  <c r="D426" i="9"/>
  <c r="AR424" i="9"/>
  <c r="AR426" i="9"/>
  <c r="D696" i="9"/>
  <c r="D708" i="9" s="1"/>
  <c r="K1163" i="9"/>
  <c r="K1071" i="9"/>
  <c r="K1070" i="9"/>
  <c r="K762" i="9"/>
  <c r="K473" i="9"/>
  <c r="AE1070" i="9"/>
  <c r="AE1077" i="9" s="1"/>
  <c r="AE1068" i="9"/>
  <c r="AE1075" i="9" s="1"/>
  <c r="AE1072" i="9"/>
  <c r="AE1069" i="9"/>
  <c r="AE1071" i="9"/>
  <c r="AE1073" i="9"/>
  <c r="BG762" i="9"/>
  <c r="BG781" i="9"/>
  <c r="AJ838" i="9"/>
  <c r="AF843" i="9"/>
  <c r="AM865" i="9"/>
  <c r="AO860" i="9"/>
  <c r="AZ891" i="9"/>
  <c r="AO1162" i="9"/>
  <c r="AO908" i="9"/>
  <c r="AK908" i="9"/>
  <c r="BC1173" i="9"/>
  <c r="AW1039" i="9"/>
  <c r="AW882" i="9"/>
  <c r="AW1176" i="9" s="1"/>
  <c r="BE887" i="9"/>
  <c r="M1083" i="9"/>
  <c r="AG1083" i="9"/>
  <c r="AG1097" i="9" s="1"/>
  <c r="Q1154" i="9"/>
  <c r="Q1156" i="9" s="1"/>
  <c r="N1250" i="9"/>
  <c r="N1259" i="9"/>
  <c r="N1266" i="9"/>
  <c r="N1257" i="9"/>
  <c r="BB17" i="9"/>
  <c r="AO21" i="9"/>
  <c r="AE404" i="9"/>
  <c r="AC750" i="9"/>
  <c r="AC755" i="9"/>
  <c r="L1069" i="9"/>
  <c r="L1068" i="9"/>
  <c r="L621" i="9"/>
  <c r="L1174" i="9" s="1"/>
  <c r="L291" i="9"/>
  <c r="L1071" i="9"/>
  <c r="L1070" i="9"/>
  <c r="L762" i="9"/>
  <c r="L1073" i="9"/>
  <c r="L751" i="9"/>
  <c r="L756" i="9" s="1"/>
  <c r="BA1069" i="9"/>
  <c r="BA1072" i="9"/>
  <c r="BA1068" i="9"/>
  <c r="BA1070" i="9"/>
  <c r="BB1068" i="9"/>
  <c r="BB1070" i="9"/>
  <c r="BB1077" i="9" s="1"/>
  <c r="BA30" i="9"/>
  <c r="BB1072" i="9"/>
  <c r="BB1079" i="9" s="1"/>
  <c r="Y1095" i="9"/>
  <c r="AK781" i="9"/>
  <c r="AN781" i="9"/>
  <c r="AD848" i="9"/>
  <c r="AP1162" i="9"/>
  <c r="AP908" i="9"/>
  <c r="K998" i="9"/>
  <c r="AT998" i="9"/>
  <c r="AI879" i="9"/>
  <c r="AI1176" i="9" s="1"/>
  <c r="T886" i="9"/>
  <c r="AG1068" i="9"/>
  <c r="M1070" i="9"/>
  <c r="R1077" i="9" s="1"/>
  <c r="AZ1071" i="9"/>
  <c r="AG1086" i="9"/>
  <c r="AH1083" i="9"/>
  <c r="AD1069" i="9"/>
  <c r="AD1076" i="9" s="1"/>
  <c r="F28" i="9"/>
  <c r="BJ231" i="9"/>
  <c r="BJ232" i="9"/>
  <c r="AK255" i="9"/>
  <c r="BA293" i="9"/>
  <c r="BA298" i="9"/>
  <c r="BA295" i="9"/>
  <c r="AE759" i="9"/>
  <c r="AE760" i="9" s="1"/>
  <c r="AT390" i="9"/>
  <c r="AT37" i="9" s="1"/>
  <c r="BG621" i="9"/>
  <c r="BG1174" i="9" s="1"/>
  <c r="W700" i="9"/>
  <c r="W708" i="9" s="1"/>
  <c r="M1163" i="9"/>
  <c r="M1069" i="9"/>
  <c r="R1076" i="9" s="1"/>
  <c r="M1073" i="9"/>
  <c r="M1068" i="9"/>
  <c r="M1072" i="9"/>
  <c r="M762" i="9"/>
  <c r="M1071" i="9"/>
  <c r="N1073" i="9"/>
  <c r="M30" i="9"/>
  <c r="R34" i="9" s="1"/>
  <c r="M751" i="9"/>
  <c r="BB1073" i="9"/>
  <c r="BB1080" i="9" s="1"/>
  <c r="I750" i="9"/>
  <c r="BE618" i="9"/>
  <c r="BE619" i="9" s="1"/>
  <c r="BJ1165" i="9"/>
  <c r="BJ778" i="9"/>
  <c r="BJ786" i="9" s="1"/>
  <c r="BJ795" i="9" s="1"/>
  <c r="BJ622" i="9"/>
  <c r="BE848" i="9"/>
  <c r="AQ908" i="9"/>
  <c r="AQ1162" i="9"/>
  <c r="J1035" i="9"/>
  <c r="J980" i="9"/>
  <c r="AD995" i="9"/>
  <c r="AD998" i="9" s="1"/>
  <c r="AD1042" i="9"/>
  <c r="BM995" i="9"/>
  <c r="BM998" i="9" s="1"/>
  <c r="BC887" i="9"/>
  <c r="S1019" i="9"/>
  <c r="Z1039" i="9"/>
  <c r="U1054" i="9"/>
  <c r="AH1068" i="9"/>
  <c r="AH1075" i="9" s="1"/>
  <c r="N1070" i="9"/>
  <c r="BA1071" i="9"/>
  <c r="AL1095" i="9"/>
  <c r="AL1097" i="9"/>
  <c r="AI1083" i="9"/>
  <c r="AI1097" i="9" s="1"/>
  <c r="BF1083" i="9"/>
  <c r="P1259" i="9"/>
  <c r="P1257" i="9"/>
  <c r="P1252" i="9"/>
  <c r="P1250" i="9"/>
  <c r="P1266" i="9"/>
  <c r="BD1259" i="9"/>
  <c r="BD1250" i="9"/>
  <c r="BD1252" i="9"/>
  <c r="BD1257" i="9"/>
  <c r="BD1264" i="9"/>
  <c r="BH1246" i="9"/>
  <c r="BH1276" i="9"/>
  <c r="K28" i="9"/>
  <c r="AE30" i="9"/>
  <c r="Z403" i="9"/>
  <c r="Z409" i="9" s="1"/>
  <c r="AO404" i="9"/>
  <c r="E89" i="9"/>
  <c r="E88" i="9" s="1"/>
  <c r="AQ231" i="9"/>
  <c r="BK230" i="9"/>
  <c r="Q254" i="9"/>
  <c r="BL280" i="9"/>
  <c r="BL33" i="9" s="1"/>
  <c r="BH293" i="9"/>
  <c r="BH102" i="9"/>
  <c r="BB298" i="9"/>
  <c r="BB300" i="9" s="1"/>
  <c r="BB299" i="9"/>
  <c r="K755" i="9"/>
  <c r="K750" i="9"/>
  <c r="K751" i="9" s="1"/>
  <c r="K756" i="9" s="1"/>
  <c r="AO755" i="9"/>
  <c r="AO624" i="9" s="1"/>
  <c r="L759" i="9"/>
  <c r="L760" i="9" s="1"/>
  <c r="L628" i="9" s="1"/>
  <c r="AZ759" i="9"/>
  <c r="AZ760" i="9" s="1"/>
  <c r="AZ628" i="9" s="1"/>
  <c r="R395" i="9"/>
  <c r="AI749" i="9"/>
  <c r="AI634" i="9" s="1"/>
  <c r="AU356" i="9"/>
  <c r="AU373" i="9" s="1"/>
  <c r="AU761" i="9" s="1"/>
  <c r="AU629" i="9" s="1"/>
  <c r="AU712" i="9"/>
  <c r="AH1070" i="9"/>
  <c r="BD1071" i="9"/>
  <c r="BD1072" i="9"/>
  <c r="BD1069" i="9"/>
  <c r="BD1076" i="9" s="1"/>
  <c r="BD751" i="9"/>
  <c r="BD756" i="9" s="1"/>
  <c r="BD1073" i="9"/>
  <c r="Q618" i="9"/>
  <c r="Q619" i="9" s="1"/>
  <c r="AL618" i="9"/>
  <c r="AL619" i="9" s="1"/>
  <c r="BF618" i="9"/>
  <c r="BF619" i="9" s="1"/>
  <c r="V762" i="9"/>
  <c r="V621" i="9"/>
  <c r="V1174" i="9" s="1"/>
  <c r="AX1100" i="9"/>
  <c r="AX1084" i="9" s="1"/>
  <c r="AX633" i="9"/>
  <c r="AX824" i="9"/>
  <c r="H848" i="9"/>
  <c r="BF848" i="9"/>
  <c r="AL870" i="9"/>
  <c r="G1176" i="9"/>
  <c r="W908" i="9"/>
  <c r="W1162" i="9"/>
  <c r="AR908" i="9"/>
  <c r="L917" i="9"/>
  <c r="AW924" i="9"/>
  <c r="AI1042" i="9"/>
  <c r="AI995" i="9"/>
  <c r="BH887" i="9"/>
  <c r="D998" i="9"/>
  <c r="D1001" i="9" s="1"/>
  <c r="E1000" i="9" s="1"/>
  <c r="AQ1019" i="9"/>
  <c r="Z634" i="9"/>
  <c r="BS1044" i="9"/>
  <c r="AL887" i="9"/>
  <c r="BD887" i="9"/>
  <c r="BB1071" i="9"/>
  <c r="BG1097" i="9"/>
  <c r="AW1097" i="9"/>
  <c r="AK1156" i="9"/>
  <c r="BN1139" i="9"/>
  <c r="BM907" i="9"/>
  <c r="BK1266" i="9"/>
  <c r="BK1250" i="9"/>
  <c r="BK1259" i="9"/>
  <c r="BK1264" i="9"/>
  <c r="AK1252" i="9"/>
  <c r="AK1266" i="9"/>
  <c r="AK1259" i="9"/>
  <c r="AK1264" i="9"/>
  <c r="AK1257" i="9"/>
  <c r="BK1276" i="9"/>
  <c r="BK12" i="9"/>
  <c r="AZ25" i="9"/>
  <c r="AF30" i="9"/>
  <c r="AA34" i="9"/>
  <c r="R180" i="9"/>
  <c r="R254" i="9"/>
  <c r="BG255" i="9"/>
  <c r="S254" i="9"/>
  <c r="F298" i="9"/>
  <c r="AH298" i="9"/>
  <c r="AH299" i="9"/>
  <c r="AH294" i="9"/>
  <c r="AH300" i="9" s="1"/>
  <c r="K303" i="9"/>
  <c r="AD312" i="9"/>
  <c r="AD311" i="9"/>
  <c r="P315" i="9"/>
  <c r="P314" i="9" s="1"/>
  <c r="AP373" i="9"/>
  <c r="AP761" i="9" s="1"/>
  <c r="AP629" i="9" s="1"/>
  <c r="BJ373" i="9"/>
  <c r="BJ761" i="9" s="1"/>
  <c r="M759" i="9"/>
  <c r="BA759" i="9"/>
  <c r="BA760" i="9" s="1"/>
  <c r="BA628" i="9" s="1"/>
  <c r="P403" i="9"/>
  <c r="P409" i="9" s="1"/>
  <c r="BJ409" i="9"/>
  <c r="AW633" i="9"/>
  <c r="AJ1163" i="9"/>
  <c r="AJ1071" i="9"/>
  <c r="AJ1078" i="9" s="1"/>
  <c r="AJ1068" i="9"/>
  <c r="AJ1075" i="9" s="1"/>
  <c r="AJ303" i="9"/>
  <c r="AJ1069" i="9"/>
  <c r="AJ1076" i="9" s="1"/>
  <c r="AJ473" i="9"/>
  <c r="BE30" i="9"/>
  <c r="R618" i="9"/>
  <c r="R619" i="9" s="1"/>
  <c r="BS761" i="9"/>
  <c r="AE762" i="9"/>
  <c r="AC917" i="9"/>
  <c r="AC376" i="9"/>
  <c r="AX916" i="9"/>
  <c r="AX774" i="9"/>
  <c r="AZ824" i="9"/>
  <c r="I848" i="9"/>
  <c r="AH848" i="9"/>
  <c r="BG848" i="9"/>
  <c r="C908" i="9"/>
  <c r="C1162" i="9"/>
  <c r="BJ887" i="9"/>
  <c r="BS886" i="9"/>
  <c r="BJ1054" i="9"/>
  <c r="AJ1073" i="9"/>
  <c r="U1086" i="9"/>
  <c r="U1097" i="9"/>
  <c r="AO1083" i="9"/>
  <c r="AK1083" i="9"/>
  <c r="BH1083" i="9"/>
  <c r="BG1086" i="9"/>
  <c r="AO1171" i="9"/>
  <c r="U939" i="9"/>
  <c r="U940" i="9"/>
  <c r="U924" i="9" s="1"/>
  <c r="U937" i="9"/>
  <c r="AO939" i="9"/>
  <c r="AO924" i="9" s="1"/>
  <c r="BI939" i="9"/>
  <c r="BI937" i="9"/>
  <c r="BI940" i="9" s="1"/>
  <c r="BI924" i="9" s="1"/>
  <c r="BK1257" i="9"/>
  <c r="AM661" i="9"/>
  <c r="AM667" i="9" s="1"/>
  <c r="AM644" i="9"/>
  <c r="AL473" i="9"/>
  <c r="AL762" i="9"/>
  <c r="AL303" i="9"/>
  <c r="AL751" i="9"/>
  <c r="E774" i="9"/>
  <c r="AJ1173" i="9"/>
  <c r="BE879" i="9"/>
  <c r="BE1101" i="9" s="1"/>
  <c r="BE1085" i="9" s="1"/>
  <c r="BE1039" i="9"/>
  <c r="BE1173" i="9"/>
  <c r="AB1039" i="9"/>
  <c r="AB882" i="9"/>
  <c r="AB1176" i="9" s="1"/>
  <c r="U887" i="9"/>
  <c r="R1097" i="9"/>
  <c r="Z1171" i="9"/>
  <c r="Z1156" i="9"/>
  <c r="AV1154" i="9"/>
  <c r="AV1156" i="9" s="1"/>
  <c r="BB1252" i="9"/>
  <c r="BB1264" i="9"/>
  <c r="BB1257" i="9"/>
  <c r="BB1250" i="9"/>
  <c r="BB1266" i="9"/>
  <c r="E13" i="9"/>
  <c r="AT403" i="9"/>
  <c r="AT409" i="9" s="1"/>
  <c r="AM89" i="9"/>
  <c r="AM88" i="9" s="1"/>
  <c r="Z145" i="9"/>
  <c r="Z144" i="9" s="1"/>
  <c r="AF755" i="9"/>
  <c r="AF750" i="9"/>
  <c r="AN311" i="9"/>
  <c r="AF346" i="9"/>
  <c r="W399" i="9"/>
  <c r="R1072" i="9"/>
  <c r="R1073" i="9"/>
  <c r="R1080" i="9" s="1"/>
  <c r="R1071" i="9"/>
  <c r="R1163" i="9"/>
  <c r="R1068" i="9"/>
  <c r="R891" i="9"/>
  <c r="R303" i="9"/>
  <c r="R291" i="9"/>
  <c r="AK334" i="9"/>
  <c r="AK346" i="9" s="1"/>
  <c r="AP348" i="9" s="1"/>
  <c r="AK621" i="9"/>
  <c r="AK1174" i="9" s="1"/>
  <c r="Z774" i="9"/>
  <c r="AQ848" i="9"/>
  <c r="AT848" i="9" s="1"/>
  <c r="F998" i="9"/>
  <c r="G1019" i="9"/>
  <c r="O879" i="9"/>
  <c r="BF1173" i="9"/>
  <c r="BF1039" i="9"/>
  <c r="AN886" i="9"/>
  <c r="S1083" i="9"/>
  <c r="J1134" i="9"/>
  <c r="J1143" i="9" s="1"/>
  <c r="J1154" i="9" s="1"/>
  <c r="BH905" i="9"/>
  <c r="BH906" i="9"/>
  <c r="BB1259" i="9"/>
  <c r="Q1163" i="9"/>
  <c r="Q1071" i="9"/>
  <c r="Q1078" i="9" s="1"/>
  <c r="Q1070" i="9"/>
  <c r="Q1068" i="9"/>
  <c r="Q1069" i="9"/>
  <c r="Q1073" i="9"/>
  <c r="Q1080" i="9" s="1"/>
  <c r="Q473" i="9"/>
  <c r="Q1072" i="9"/>
  <c r="Q1079" i="9" s="1"/>
  <c r="BG1069" i="9"/>
  <c r="BG618" i="9"/>
  <c r="BG619" i="9" s="1"/>
  <c r="BG473" i="9"/>
  <c r="BG303" i="9"/>
  <c r="BS759" i="9"/>
  <c r="BJ824" i="9"/>
  <c r="AI848" i="9"/>
  <c r="BC980" i="9"/>
  <c r="BC998" i="9" s="1"/>
  <c r="BT998" i="9"/>
  <c r="F1019" i="9"/>
  <c r="N879" i="9"/>
  <c r="N1101" i="9" s="1"/>
  <c r="N1085" i="9" s="1"/>
  <c r="E1039" i="9"/>
  <c r="AP1070" i="9"/>
  <c r="U1171" i="9"/>
  <c r="U1156" i="9"/>
  <c r="F13" i="9"/>
  <c r="AR17" i="9"/>
  <c r="BI404" i="9"/>
  <c r="C399" i="9"/>
  <c r="AN472" i="9"/>
  <c r="AM618" i="9"/>
  <c r="AM619" i="9" s="1"/>
  <c r="AM891" i="9"/>
  <c r="AM762" i="9"/>
  <c r="I618" i="9"/>
  <c r="I619" i="9" s="1"/>
  <c r="I315" i="9"/>
  <c r="I314" i="9" s="1"/>
  <c r="AX618" i="9"/>
  <c r="AX619" i="9" s="1"/>
  <c r="BE334" i="9"/>
  <c r="BE346" i="9" s="1"/>
  <c r="BE760" i="9"/>
  <c r="BE628" i="9" s="1"/>
  <c r="AC1095" i="9"/>
  <c r="AC1097" i="9"/>
  <c r="AC1086" i="9"/>
  <c r="Y960" i="9"/>
  <c r="Y971" i="9" s="1"/>
  <c r="BH1033" i="9"/>
  <c r="BH980" i="9"/>
  <c r="AS886" i="9"/>
  <c r="AK1173" i="9"/>
  <c r="AK1039" i="9"/>
  <c r="V1054" i="9"/>
  <c r="AH887" i="9"/>
  <c r="BN1083" i="9"/>
  <c r="BJ1083" i="9"/>
  <c r="BC1246" i="9"/>
  <c r="BI89" i="9"/>
  <c r="BI88" i="9" s="1"/>
  <c r="BI103" i="9"/>
  <c r="AE159" i="9"/>
  <c r="AZ201" i="9"/>
  <c r="AZ200" i="9" s="1"/>
  <c r="AZ215" i="9"/>
  <c r="AV293" i="9"/>
  <c r="AV294" i="9"/>
  <c r="AV299" i="9"/>
  <c r="Q303" i="9"/>
  <c r="AG755" i="9"/>
  <c r="AG756" i="9" s="1"/>
  <c r="BS363" i="9"/>
  <c r="BA435" i="9"/>
  <c r="BA436" i="9" s="1"/>
  <c r="BA394" i="9"/>
  <c r="P479" i="9"/>
  <c r="AD681" i="9"/>
  <c r="AD693" i="9" s="1"/>
  <c r="V708" i="9"/>
  <c r="S1069" i="9"/>
  <c r="S1076" i="9" s="1"/>
  <c r="S1068" i="9"/>
  <c r="S1075" i="9" s="1"/>
  <c r="S1071" i="9"/>
  <c r="S1078" i="9" s="1"/>
  <c r="S1073" i="9"/>
  <c r="S1070" i="9"/>
  <c r="S473" i="9"/>
  <c r="AN473" i="9"/>
  <c r="AN1071" i="9"/>
  <c r="AP1069" i="9"/>
  <c r="AN891" i="9"/>
  <c r="BI1073" i="9"/>
  <c r="BI1080" i="9" s="1"/>
  <c r="BI1068" i="9"/>
  <c r="BI1075" i="9" s="1"/>
  <c r="BI1071" i="9"/>
  <c r="BI1070" i="9"/>
  <c r="BI1077" i="9" s="1"/>
  <c r="BI1069" i="9"/>
  <c r="BI762" i="9"/>
  <c r="BI621" i="9"/>
  <c r="BI1174" i="9" s="1"/>
  <c r="BI30" i="9"/>
  <c r="AN751" i="9"/>
  <c r="AD618" i="9"/>
  <c r="AD619" i="9" s="1"/>
  <c r="AD315" i="9"/>
  <c r="AD314" i="9" s="1"/>
  <c r="R621" i="9"/>
  <c r="R1174" i="9" s="1"/>
  <c r="AL621" i="9"/>
  <c r="AL1174" i="9" s="1"/>
  <c r="BF621" i="9"/>
  <c r="BF1174" i="9" s="1"/>
  <c r="H1097" i="9"/>
  <c r="H1086" i="9"/>
  <c r="C781" i="9"/>
  <c r="AZ843" i="9"/>
  <c r="BD838" i="9"/>
  <c r="AR848" i="9"/>
  <c r="L870" i="9"/>
  <c r="P870" i="9" s="1"/>
  <c r="P865" i="9" s="1"/>
  <c r="AK870" i="9"/>
  <c r="D917" i="9"/>
  <c r="AD1008" i="9"/>
  <c r="AD960" i="9"/>
  <c r="AD971" i="9" s="1"/>
  <c r="BM980" i="9"/>
  <c r="AX995" i="9"/>
  <c r="AZ1019" i="9"/>
  <c r="P1173" i="9"/>
  <c r="P1039" i="9"/>
  <c r="AL879" i="9"/>
  <c r="AL1101" i="9" s="1"/>
  <c r="AL1085" i="9" s="1"/>
  <c r="AL1086" i="9" s="1"/>
  <c r="AL1173" i="9"/>
  <c r="BG1173" i="9"/>
  <c r="AO1054" i="9"/>
  <c r="AI887" i="9"/>
  <c r="BH1068" i="9"/>
  <c r="O1071" i="9"/>
  <c r="T1152" i="9"/>
  <c r="I1100" i="9"/>
  <c r="I1084" i="9" s="1"/>
  <c r="I1097" i="9" s="1"/>
  <c r="I633" i="9"/>
  <c r="AE1095" i="9"/>
  <c r="BA1100" i="9"/>
  <c r="BA1084" i="9" s="1"/>
  <c r="BA633" i="9"/>
  <c r="AA916" i="9"/>
  <c r="AA774" i="9"/>
  <c r="AU774" i="9"/>
  <c r="AZ1176" i="9"/>
  <c r="AX891" i="9"/>
  <c r="BD917" i="9"/>
  <c r="O960" i="9"/>
  <c r="O971" i="9" s="1"/>
  <c r="AD1173" i="9"/>
  <c r="AD1039" i="9"/>
  <c r="AD980" i="9"/>
  <c r="BJ998" i="9"/>
  <c r="BA1019" i="9"/>
  <c r="P1054" i="9"/>
  <c r="BH886" i="9"/>
  <c r="W886" i="9"/>
  <c r="BC1122" i="9"/>
  <c r="BC1123" i="9" s="1"/>
  <c r="AX1071" i="9"/>
  <c r="BF1143" i="9"/>
  <c r="BF1154" i="9" s="1"/>
  <c r="BH1142" i="9"/>
  <c r="BH1143" i="9" s="1"/>
  <c r="BH1154" i="9" s="1"/>
  <c r="I939" i="9"/>
  <c r="I924" i="9" s="1"/>
  <c r="AC939" i="9"/>
  <c r="AC937" i="9"/>
  <c r="AC940" i="9" s="1"/>
  <c r="AW939" i="9"/>
  <c r="G1264" i="9"/>
  <c r="G1259" i="9"/>
  <c r="G1257" i="9"/>
  <c r="G1252" i="9"/>
  <c r="AA1264" i="9"/>
  <c r="AA1266" i="9"/>
  <c r="AA1259" i="9"/>
  <c r="AA1252" i="9"/>
  <c r="AA1257" i="9"/>
  <c r="AA1250" i="9"/>
  <c r="AU1264" i="9"/>
  <c r="AU1250" i="9"/>
  <c r="O1246" i="9"/>
  <c r="AM254" i="9"/>
  <c r="BS358" i="9"/>
  <c r="AE395" i="9"/>
  <c r="V399" i="9"/>
  <c r="L409" i="9"/>
  <c r="Z428" i="9"/>
  <c r="Z429" i="9" s="1"/>
  <c r="BH483" i="9"/>
  <c r="BH485" i="9" s="1"/>
  <c r="AD605" i="9"/>
  <c r="J473" i="9"/>
  <c r="J303" i="9"/>
  <c r="AD1072" i="9"/>
  <c r="AD1079" i="9" s="1"/>
  <c r="AD303" i="9"/>
  <c r="AY1068" i="9"/>
  <c r="AY1070" i="9"/>
  <c r="AY1071" i="9"/>
  <c r="AY762" i="9"/>
  <c r="AY1072" i="9"/>
  <c r="AY1079" i="9" s="1"/>
  <c r="J760" i="9"/>
  <c r="AB1162" i="9"/>
  <c r="AB908" i="9"/>
  <c r="AW908" i="9"/>
  <c r="BQ934" i="9"/>
  <c r="M924" i="9"/>
  <c r="BC960" i="9"/>
  <c r="BC971" i="9" s="1"/>
  <c r="AE998" i="9"/>
  <c r="J995" i="9"/>
  <c r="BK998" i="9"/>
  <c r="AD1100" i="9"/>
  <c r="AD1084" i="9" s="1"/>
  <c r="AD633" i="9"/>
  <c r="R1039" i="9"/>
  <c r="R879" i="9"/>
  <c r="Q1054" i="9"/>
  <c r="R887" i="9"/>
  <c r="AB1083" i="9"/>
  <c r="T903" i="9"/>
  <c r="T1161" i="9" s="1"/>
  <c r="BH1122" i="9"/>
  <c r="AI1134" i="9"/>
  <c r="AI1143" i="9" s="1"/>
  <c r="AW1162" i="9"/>
  <c r="J937" i="9"/>
  <c r="J940" i="9" s="1"/>
  <c r="J939" i="9"/>
  <c r="AX940" i="9"/>
  <c r="AX924" i="9" s="1"/>
  <c r="AU1266" i="9"/>
  <c r="AS980" i="9"/>
  <c r="AH1159" i="9"/>
  <c r="AP1039" i="9"/>
  <c r="AR1123" i="9"/>
  <c r="AQ1171" i="9" s="1"/>
  <c r="C1171" i="9"/>
  <c r="Y1154" i="9"/>
  <c r="AP940" i="9"/>
  <c r="AP924" i="9" s="1"/>
  <c r="D1259" i="9"/>
  <c r="D1252" i="9"/>
  <c r="D1266" i="9"/>
  <c r="D1264" i="9"/>
  <c r="X1259" i="9"/>
  <c r="X1266" i="9"/>
  <c r="X1257" i="9"/>
  <c r="AR1259" i="9"/>
  <c r="AR1264" i="9"/>
  <c r="AR1257" i="9"/>
  <c r="AR1250" i="9"/>
  <c r="AR1252" i="9"/>
  <c r="AV390" i="9"/>
  <c r="AV37" i="9" s="1"/>
  <c r="U621" i="9"/>
  <c r="U1174" i="9" s="1"/>
  <c r="O848" i="9"/>
  <c r="Y870" i="9"/>
  <c r="AX870" i="9"/>
  <c r="C1176" i="9"/>
  <c r="BC1019" i="9"/>
  <c r="V998" i="9"/>
  <c r="AR998" i="9"/>
  <c r="BI891" i="9"/>
  <c r="I886" i="9"/>
  <c r="AZ1054" i="9"/>
  <c r="AN1169" i="9"/>
  <c r="AF1259" i="9"/>
  <c r="AF1266" i="9"/>
  <c r="AF1257" i="9"/>
  <c r="AZ1266" i="9"/>
  <c r="AZ1259" i="9"/>
  <c r="AZ1252" i="9"/>
  <c r="AZ1250" i="9"/>
  <c r="AI1246" i="9"/>
  <c r="AU755" i="9"/>
  <c r="Q399" i="9"/>
  <c r="BB409" i="9"/>
  <c r="AN642" i="9"/>
  <c r="O1070" i="9"/>
  <c r="O762" i="9"/>
  <c r="G762" i="9"/>
  <c r="L774" i="9"/>
  <c r="AF774" i="9"/>
  <c r="AZ774" i="9"/>
  <c r="Z781" i="9"/>
  <c r="J870" i="9"/>
  <c r="V1019" i="9"/>
  <c r="AB891" i="9"/>
  <c r="AB767" i="9"/>
  <c r="AB634" i="9" s="1"/>
  <c r="H1173" i="9"/>
  <c r="H1039" i="9"/>
  <c r="AC1173" i="9"/>
  <c r="BI1054" i="9"/>
  <c r="AP1054" i="9"/>
  <c r="M1123" i="9"/>
  <c r="AG1123" i="9"/>
  <c r="BA1123" i="9"/>
  <c r="J904" i="9"/>
  <c r="J906" i="9"/>
  <c r="BK1142" i="9"/>
  <c r="AF1154" i="9"/>
  <c r="BD1154" i="9"/>
  <c r="BD1156" i="9" s="1"/>
  <c r="K937" i="9"/>
  <c r="K940" i="9" s="1"/>
  <c r="K924" i="9" s="1"/>
  <c r="AE939" i="9"/>
  <c r="AE924" i="9" s="1"/>
  <c r="AY939" i="9"/>
  <c r="BS934" i="9"/>
  <c r="BS936" i="9"/>
  <c r="AS1169" i="9"/>
  <c r="AB917" i="9"/>
  <c r="AE908" i="9"/>
  <c r="E998" i="9"/>
  <c r="Z998" i="9"/>
  <c r="BP998" i="9"/>
  <c r="W1019" i="9"/>
  <c r="V891" i="9"/>
  <c r="AP891" i="9"/>
  <c r="BJ891" i="9"/>
  <c r="AM1173" i="9"/>
  <c r="AN1068" i="9"/>
  <c r="O1072" i="9"/>
  <c r="T1079" i="9" s="1"/>
  <c r="AM1143" i="9"/>
  <c r="AM1154" i="9" s="1"/>
  <c r="AM1156" i="9" s="1"/>
  <c r="AI1152" i="9"/>
  <c r="Y937" i="9"/>
  <c r="Y940" i="9" s="1"/>
  <c r="Y924" i="9" s="1"/>
  <c r="BM936" i="9"/>
  <c r="C696" i="9"/>
  <c r="C708" i="9" s="1"/>
  <c r="V1163" i="9"/>
  <c r="V1071" i="9"/>
  <c r="AP1072" i="9"/>
  <c r="AP1068" i="9"/>
  <c r="V751" i="9"/>
  <c r="V618" i="9"/>
  <c r="V619" i="9" s="1"/>
  <c r="AP618" i="9"/>
  <c r="AP619" i="9" s="1"/>
  <c r="BJ618" i="9"/>
  <c r="BJ619" i="9" s="1"/>
  <c r="AD870" i="9"/>
  <c r="AF1176" i="9"/>
  <c r="BB1019" i="9"/>
  <c r="E1173" i="9"/>
  <c r="Z1173" i="9"/>
  <c r="AV1173" i="9"/>
  <c r="H886" i="9"/>
  <c r="AY886" i="9"/>
  <c r="AZ1154" i="9"/>
  <c r="AZ1156" i="9" s="1"/>
  <c r="I1173" i="9"/>
  <c r="BT1039" i="9"/>
  <c r="W1054" i="9"/>
  <c r="AR1143" i="9"/>
  <c r="AR1154" i="9" s="1"/>
  <c r="BT1173" i="9"/>
  <c r="AH483" i="9"/>
  <c r="AH485" i="9" s="1"/>
  <c r="BB483" i="9"/>
  <c r="BB485" i="9" s="1"/>
  <c r="AA1070" i="9"/>
  <c r="AA1069" i="9"/>
  <c r="AA1072" i="9"/>
  <c r="AA1163" i="9"/>
  <c r="AU1071" i="9"/>
  <c r="AU1078" i="9" s="1"/>
  <c r="AU1073" i="9"/>
  <c r="AU1080" i="9" s="1"/>
  <c r="L1176" i="9"/>
  <c r="R1162" i="9"/>
  <c r="R908" i="9"/>
  <c r="AP1019" i="9"/>
  <c r="AH891" i="9"/>
  <c r="AE1173" i="9"/>
  <c r="AZ1039" i="9"/>
  <c r="AZ879" i="9"/>
  <c r="AZ1101" i="9" s="1"/>
  <c r="AZ1085" i="9" s="1"/>
  <c r="BU1039" i="9"/>
  <c r="E1086" i="9"/>
  <c r="Y1070" i="9"/>
  <c r="BU1173" i="9"/>
  <c r="A1242" i="9"/>
  <c r="D1176" i="9"/>
  <c r="AF998" i="9"/>
  <c r="AG1019" i="9"/>
  <c r="BS1036" i="9"/>
  <c r="BS881" i="9" s="1"/>
  <c r="AR1083" i="9"/>
  <c r="T1068" i="9"/>
  <c r="T1075" i="9" s="1"/>
  <c r="AN1134" i="9"/>
  <c r="AN1143" i="9" s="1"/>
  <c r="AN1154" i="9" s="1"/>
  <c r="AN1070" i="9"/>
  <c r="S1173" i="9"/>
  <c r="H1123" i="9"/>
  <c r="F1156" i="9"/>
  <c r="X1154" i="9"/>
  <c r="X1156" i="9" s="1"/>
  <c r="L937" i="9"/>
  <c r="L940" i="9" s="1"/>
  <c r="L924" i="9" s="1"/>
  <c r="AF937" i="9"/>
  <c r="AF940" i="9" s="1"/>
  <c r="AF924" i="9" s="1"/>
  <c r="AZ937" i="9"/>
  <c r="AZ940" i="9" s="1"/>
  <c r="AZ924" i="9" s="1"/>
  <c r="BT934" i="9"/>
  <c r="AW1173" i="9"/>
  <c r="O1134" i="9"/>
  <c r="O1143" i="9" s="1"/>
  <c r="O1154" i="9" s="1"/>
  <c r="Y1071" i="9"/>
  <c r="S1143" i="9"/>
  <c r="S1154" i="9" s="1"/>
  <c r="S1156" i="9" s="1"/>
  <c r="K1123" i="9"/>
  <c r="F1171" i="9" s="1"/>
  <c r="AE1123" i="9"/>
  <c r="AY1123" i="9"/>
  <c r="BD1171" i="9" s="1"/>
  <c r="U1173" i="9"/>
  <c r="AO1173" i="9"/>
  <c r="BI1173" i="9"/>
  <c r="L1123" i="9"/>
  <c r="AF1123" i="9"/>
  <c r="V1143" i="9"/>
  <c r="V1154" i="9" s="1"/>
  <c r="C1143" i="9"/>
  <c r="C1154" i="9" s="1"/>
  <c r="C1156" i="9" s="1"/>
  <c r="W1143" i="9"/>
  <c r="W1154" i="9" s="1"/>
  <c r="AQ1143" i="9"/>
  <c r="AQ1154" i="9" s="1"/>
  <c r="AQ1156" i="9" s="1"/>
  <c r="BC1142" i="9"/>
  <c r="U1154" i="9"/>
  <c r="AO1154" i="9"/>
  <c r="AO1156" i="9" s="1"/>
  <c r="BI1154" i="9"/>
  <c r="BI1156" i="9" s="1"/>
  <c r="H10" i="4"/>
  <c r="F72" i="4" s="1"/>
  <c r="H11" i="4"/>
  <c r="F73" i="4" s="1"/>
  <c r="H12" i="4"/>
  <c r="F74" i="4" s="1"/>
  <c r="H13" i="4"/>
  <c r="F75" i="4" s="1"/>
  <c r="H14" i="4"/>
  <c r="F84" i="4" s="1"/>
  <c r="H15" i="4"/>
  <c r="F85" i="4" s="1"/>
  <c r="H16" i="4"/>
  <c r="F95" i="4" s="1"/>
  <c r="H17" i="4"/>
  <c r="F96" i="4" s="1"/>
  <c r="H18" i="4"/>
  <c r="F97" i="4" s="1"/>
  <c r="H19" i="4"/>
  <c r="F98" i="4" s="1"/>
  <c r="H9" i="4"/>
  <c r="F71" i="4" s="1"/>
  <c r="C84" i="4"/>
  <c r="E84" i="4"/>
  <c r="C85" i="4"/>
  <c r="E85" i="4"/>
  <c r="C95" i="4"/>
  <c r="E95" i="4"/>
  <c r="C96" i="4"/>
  <c r="E96" i="4"/>
  <c r="C97" i="4"/>
  <c r="E97" i="4"/>
  <c r="C98" i="4"/>
  <c r="E98" i="4"/>
  <c r="C107" i="4"/>
  <c r="E107" i="4"/>
  <c r="P34" i="4"/>
  <c r="O34" i="4"/>
  <c r="I63" i="4"/>
  <c r="J63" i="4"/>
  <c r="H63" i="4"/>
  <c r="C75" i="4"/>
  <c r="E75" i="4"/>
  <c r="E73" i="4"/>
  <c r="E74" i="4"/>
  <c r="C73" i="4"/>
  <c r="C74" i="4"/>
  <c r="E72" i="4"/>
  <c r="E71" i="4"/>
  <c r="C72" i="4"/>
  <c r="C71" i="4"/>
  <c r="K12" i="4"/>
  <c r="K11" i="4"/>
  <c r="K10" i="4"/>
  <c r="K9" i="4"/>
  <c r="T1165" i="9" l="1"/>
  <c r="AR622" i="9"/>
  <c r="R826" i="11"/>
  <c r="Q827" i="11"/>
  <c r="T989" i="11"/>
  <c r="T1001" i="11"/>
  <c r="S1001" i="11"/>
  <c r="V1001" i="11"/>
  <c r="BC195" i="11"/>
  <c r="BC193" i="11"/>
  <c r="BC198" i="11"/>
  <c r="BC207" i="11" s="1"/>
  <c r="AN853" i="11"/>
  <c r="AN696" i="11"/>
  <c r="AX973" i="11"/>
  <c r="AX1014" i="11"/>
  <c r="BS7" i="11"/>
  <c r="BN11" i="11"/>
  <c r="BO7" i="11"/>
  <c r="BO8" i="11" s="1"/>
  <c r="BI1262" i="9"/>
  <c r="BI1122" i="11"/>
  <c r="AT1011" i="11"/>
  <c r="AP887" i="11"/>
  <c r="T193" i="11"/>
  <c r="T195" i="11"/>
  <c r="T198" i="11"/>
  <c r="T207" i="11" s="1"/>
  <c r="P853" i="11"/>
  <c r="P696" i="11"/>
  <c r="AU517" i="11"/>
  <c r="AU520" i="11"/>
  <c r="AV517" i="11"/>
  <c r="BH198" i="11"/>
  <c r="BH207" i="11" s="1"/>
  <c r="BH193" i="11"/>
  <c r="BH195" i="11"/>
  <c r="J716" i="11"/>
  <c r="AN238" i="11"/>
  <c r="AN556" i="11"/>
  <c r="K79" i="11"/>
  <c r="BI88" i="11"/>
  <c r="AE74" i="11"/>
  <c r="AJ75" i="11" s="1"/>
  <c r="AE82" i="11"/>
  <c r="AJ83" i="11" s="1"/>
  <c r="BG887" i="11"/>
  <c r="AW948" i="11"/>
  <c r="N902" i="11"/>
  <c r="S908" i="11" s="1"/>
  <c r="AI27" i="11"/>
  <c r="S115" i="11"/>
  <c r="S116" i="11"/>
  <c r="S143" i="11"/>
  <c r="S166" i="11"/>
  <c r="AG520" i="11"/>
  <c r="AB556" i="11"/>
  <c r="AC562" i="11" s="1"/>
  <c r="AB238" i="11"/>
  <c r="Z518" i="11"/>
  <c r="Z34" i="11"/>
  <c r="Z229" i="11"/>
  <c r="BM428" i="11"/>
  <c r="G1255" i="9"/>
  <c r="G935" i="9" s="1"/>
  <c r="G1115" i="11"/>
  <c r="BK1255" i="9"/>
  <c r="BK1115" i="11"/>
  <c r="AW1248" i="9"/>
  <c r="AW1108" i="11"/>
  <c r="AM1255" i="9"/>
  <c r="AM1115" i="11"/>
  <c r="AG1262" i="9"/>
  <c r="AG1122" i="11"/>
  <c r="C1255" i="9"/>
  <c r="C935" i="9" s="1"/>
  <c r="C1115" i="11"/>
  <c r="A1115" i="11"/>
  <c r="AK1001" i="11"/>
  <c r="AK989" i="11"/>
  <c r="AP1001" i="11"/>
  <c r="BD887" i="11"/>
  <c r="BD999" i="11" s="1"/>
  <c r="W922" i="11"/>
  <c r="BC845" i="11"/>
  <c r="BB853" i="11"/>
  <c r="BB696" i="11"/>
  <c r="AX906" i="11"/>
  <c r="J165" i="11"/>
  <c r="T512" i="11"/>
  <c r="T517" i="11"/>
  <c r="T520" i="11"/>
  <c r="J104" i="11"/>
  <c r="O105" i="11" s="1"/>
  <c r="O103" i="11"/>
  <c r="L71" i="11"/>
  <c r="AU1014" i="11"/>
  <c r="AU973" i="11"/>
  <c r="L887" i="11"/>
  <c r="P1012" i="11"/>
  <c r="AR538" i="11"/>
  <c r="AQ538" i="11"/>
  <c r="AT538" i="11"/>
  <c r="AT520" i="11"/>
  <c r="AS538" i="11"/>
  <c r="AP538" i="11"/>
  <c r="W556" i="11"/>
  <c r="W238" i="11"/>
  <c r="AY973" i="11"/>
  <c r="AY1014" i="11"/>
  <c r="AM39" i="11"/>
  <c r="AR74" i="11"/>
  <c r="AW75" i="11" s="1"/>
  <c r="AR82" i="11"/>
  <c r="AW83" i="11" s="1"/>
  <c r="AH209" i="11"/>
  <c r="AH217" i="11" s="1"/>
  <c r="AX104" i="11"/>
  <c r="BC105" i="11" s="1"/>
  <c r="AX103" i="11"/>
  <c r="BD26" i="11"/>
  <c r="BD29" i="11"/>
  <c r="BD38" i="11"/>
  <c r="BI29" i="11"/>
  <c r="AY86" i="11"/>
  <c r="AY87" i="11"/>
  <c r="BD88" i="11" s="1"/>
  <c r="AY997" i="11"/>
  <c r="AP105" i="11"/>
  <c r="AZ26" i="11"/>
  <c r="AZ27" i="11" s="1"/>
  <c r="AZ38" i="11"/>
  <c r="AZ39" i="11" s="1"/>
  <c r="AZ29" i="11"/>
  <c r="Z244" i="11"/>
  <c r="Z167" i="11" s="1"/>
  <c r="Z161" i="11"/>
  <c r="Z239" i="11"/>
  <c r="Z162" i="11" s="1"/>
  <c r="Z251" i="11"/>
  <c r="P1255" i="9"/>
  <c r="P1115" i="11"/>
  <c r="T1255" i="9"/>
  <c r="T1115" i="11"/>
  <c r="AK934" i="9"/>
  <c r="AK758" i="11"/>
  <c r="C1122" i="11"/>
  <c r="A1122" i="11"/>
  <c r="O827" i="11"/>
  <c r="X853" i="11"/>
  <c r="X696" i="11"/>
  <c r="AU71" i="11"/>
  <c r="AP71" i="11"/>
  <c r="N901" i="11"/>
  <c r="AW39" i="11"/>
  <c r="S105" i="11"/>
  <c r="K908" i="11"/>
  <c r="AC908" i="11"/>
  <c r="F556" i="11"/>
  <c r="F238" i="11"/>
  <c r="P925" i="11"/>
  <c r="P916" i="11"/>
  <c r="AK1255" i="9"/>
  <c r="AK1115" i="11"/>
  <c r="AC1255" i="9"/>
  <c r="AC1115" i="11"/>
  <c r="AZ935" i="9"/>
  <c r="AZ759" i="11"/>
  <c r="AM1262" i="9"/>
  <c r="AM1122" i="11"/>
  <c r="AQ1248" i="9"/>
  <c r="AQ1108" i="11"/>
  <c r="A1108" i="11"/>
  <c r="C1108" i="11"/>
  <c r="BH696" i="11"/>
  <c r="BH853" i="11"/>
  <c r="AX733" i="11"/>
  <c r="AE853" i="11"/>
  <c r="AE696" i="11"/>
  <c r="AZ1014" i="11"/>
  <c r="AZ973" i="11"/>
  <c r="BG696" i="11"/>
  <c r="BG853" i="11"/>
  <c r="S512" i="11"/>
  <c r="S520" i="11"/>
  <c r="S517" i="11"/>
  <c r="AI997" i="11"/>
  <c r="AI87" i="11"/>
  <c r="AI86" i="11"/>
  <c r="AT973" i="11"/>
  <c r="AT1014" i="11"/>
  <c r="BS99" i="11"/>
  <c r="BS158" i="11"/>
  <c r="AT909" i="11"/>
  <c r="BG105" i="11"/>
  <c r="AS193" i="11"/>
  <c r="AS198" i="11"/>
  <c r="AS207" i="11" s="1"/>
  <c r="AS195" i="11"/>
  <c r="H74" i="11"/>
  <c r="H70" i="11"/>
  <c r="M71" i="11" s="1"/>
  <c r="R116" i="11"/>
  <c r="R143" i="11"/>
  <c r="R115" i="11"/>
  <c r="R166" i="11"/>
  <c r="I238" i="11"/>
  <c r="I556" i="11"/>
  <c r="BB931" i="11"/>
  <c r="BD1013" i="11"/>
  <c r="BQ82" i="11"/>
  <c r="AZ538" i="11"/>
  <c r="BH39" i="11"/>
  <c r="M516" i="11"/>
  <c r="M513" i="11"/>
  <c r="M519" i="11"/>
  <c r="AB573" i="11"/>
  <c r="F538" i="11"/>
  <c r="F520" i="11"/>
  <c r="AB997" i="11"/>
  <c r="AB86" i="11"/>
  <c r="AB87" i="11"/>
  <c r="AG88" i="11" s="1"/>
  <c r="AS997" i="11"/>
  <c r="AS87" i="11"/>
  <c r="AS86" i="11"/>
  <c r="H255" i="11"/>
  <c r="H267" i="11"/>
  <c r="P131" i="11"/>
  <c r="BN21" i="11"/>
  <c r="BK22" i="11"/>
  <c r="BK23" i="11"/>
  <c r="BK15" i="11"/>
  <c r="BK16" i="11" s="1"/>
  <c r="BK28" i="11"/>
  <c r="AZ520" i="11"/>
  <c r="AE997" i="11"/>
  <c r="AE87" i="11"/>
  <c r="AE86" i="11"/>
  <c r="BH910" i="11"/>
  <c r="BM904" i="11"/>
  <c r="BR904" i="11" s="1"/>
  <c r="AS83" i="11"/>
  <c r="BC85" i="11"/>
  <c r="Y23" i="11"/>
  <c r="Y15" i="11"/>
  <c r="Y19" i="11"/>
  <c r="Z24" i="11"/>
  <c r="Y13" i="11"/>
  <c r="Y22" i="11"/>
  <c r="X100" i="11"/>
  <c r="AK1262" i="9"/>
  <c r="AK1122" i="11"/>
  <c r="AC1262" i="9"/>
  <c r="AC1122" i="11"/>
  <c r="AF1262" i="9"/>
  <c r="AF1122" i="11"/>
  <c r="AT853" i="11"/>
  <c r="AT696" i="11"/>
  <c r="L827" i="11"/>
  <c r="AK105" i="11"/>
  <c r="AF105" i="11"/>
  <c r="BC83" i="11"/>
  <c r="BJ696" i="11"/>
  <c r="BJ853" i="11"/>
  <c r="BA1014" i="11"/>
  <c r="BA973" i="11"/>
  <c r="S556" i="11"/>
  <c r="S238" i="11"/>
  <c r="AO195" i="11"/>
  <c r="AO198" i="11"/>
  <c r="AO207" i="11" s="1"/>
  <c r="AO193" i="11"/>
  <c r="AT354" i="11"/>
  <c r="AT360" i="11" s="1"/>
  <c r="AU348" i="11"/>
  <c r="AU352" i="11" s="1"/>
  <c r="AY348" i="11"/>
  <c r="AY352" i="11" s="1"/>
  <c r="Y556" i="11"/>
  <c r="Y238" i="11"/>
  <c r="AS96" i="11"/>
  <c r="AS109" i="11"/>
  <c r="AS97" i="11"/>
  <c r="AS100" i="11" s="1"/>
  <c r="AH27" i="11"/>
  <c r="AC27" i="11"/>
  <c r="AX556" i="11"/>
  <c r="AX238" i="11"/>
  <c r="BR981" i="11"/>
  <c r="BA520" i="11"/>
  <c r="BA517" i="11"/>
  <c r="K1011" i="11"/>
  <c r="I512" i="11"/>
  <c r="I517" i="11"/>
  <c r="AI16" i="11"/>
  <c r="AB15" i="11"/>
  <c r="BG997" i="11"/>
  <c r="BG87" i="11"/>
  <c r="BG86" i="11"/>
  <c r="AS103" i="11"/>
  <c r="AS104" i="11"/>
  <c r="T22" i="11"/>
  <c r="T23" i="11"/>
  <c r="W15" i="11"/>
  <c r="W16" i="11" s="1"/>
  <c r="T13" i="11"/>
  <c r="T14" i="11" s="1"/>
  <c r="V15" i="11"/>
  <c r="T19" i="11"/>
  <c r="T15" i="11"/>
  <c r="T16" i="11" s="1"/>
  <c r="AU293" i="11"/>
  <c r="AU292" i="11"/>
  <c r="Q556" i="11"/>
  <c r="Q238" i="11"/>
  <c r="AA997" i="11"/>
  <c r="AA86" i="11"/>
  <c r="AA87" i="11"/>
  <c r="AS74" i="11"/>
  <c r="BE111" i="11"/>
  <c r="BE112" i="11" s="1"/>
  <c r="BJ110" i="11"/>
  <c r="BE110" i="11"/>
  <c r="AW209" i="11"/>
  <c r="AW217" i="11" s="1"/>
  <c r="H266" i="11"/>
  <c r="AO853" i="11"/>
  <c r="AO696" i="11"/>
  <c r="AO887" i="11"/>
  <c r="E111" i="11"/>
  <c r="F110" i="11"/>
  <c r="AL908" i="11"/>
  <c r="M110" i="11"/>
  <c r="H111" i="11"/>
  <c r="AC110" i="11"/>
  <c r="X111" i="11"/>
  <c r="BF1248" i="9"/>
  <c r="BF1108" i="11"/>
  <c r="AL1262" i="9"/>
  <c r="AL1122" i="11"/>
  <c r="AB1248" i="9"/>
  <c r="AB1108" i="11"/>
  <c r="W1248" i="9"/>
  <c r="W1108" i="11"/>
  <c r="AQ1262" i="9"/>
  <c r="AQ1122" i="11"/>
  <c r="AF1248" i="9"/>
  <c r="AF1108" i="11"/>
  <c r="BD890" i="11"/>
  <c r="BC955" i="11"/>
  <c r="BE1001" i="11" s="1"/>
  <c r="BF966" i="11"/>
  <c r="BG960" i="11"/>
  <c r="BF904" i="11"/>
  <c r="T853" i="11"/>
  <c r="T696" i="11"/>
  <c r="S887" i="11"/>
  <c r="BE293" i="11"/>
  <c r="BE292" i="11"/>
  <c r="BJ293" i="11"/>
  <c r="AE97" i="11"/>
  <c r="AE100" i="11" s="1"/>
  <c r="AE96" i="11"/>
  <c r="AE109" i="11"/>
  <c r="S907" i="11"/>
  <c r="X907" i="11"/>
  <c r="S70" i="11"/>
  <c r="S78" i="11"/>
  <c r="X79" i="11" s="1"/>
  <c r="S87" i="11"/>
  <c r="S82" i="11"/>
  <c r="X83" i="11" s="1"/>
  <c r="AQ348" i="11"/>
  <c r="AQ352" i="11" s="1"/>
  <c r="AP354" i="11"/>
  <c r="AP360" i="11" s="1"/>
  <c r="P27" i="11"/>
  <c r="U27" i="11"/>
  <c r="BC906" i="11"/>
  <c r="AC853" i="11"/>
  <c r="AC696" i="11"/>
  <c r="AK209" i="11"/>
  <c r="AK217" i="11" s="1"/>
  <c r="V115" i="11"/>
  <c r="V116" i="11"/>
  <c r="V166" i="11"/>
  <c r="V143" i="11"/>
  <c r="BM26" i="11"/>
  <c r="BR26" i="11" s="1"/>
  <c r="BH27" i="11"/>
  <c r="P111" i="11"/>
  <c r="U110" i="11"/>
  <c r="AS902" i="11"/>
  <c r="AS908" i="11" s="1"/>
  <c r="AS901" i="11"/>
  <c r="AS907" i="11" s="1"/>
  <c r="AS904" i="11"/>
  <c r="AS910" i="11" s="1"/>
  <c r="AS511" i="11"/>
  <c r="AS900" i="11"/>
  <c r="AS906" i="11" s="1"/>
  <c r="AS232" i="11"/>
  <c r="AS903" i="11"/>
  <c r="AS909" i="11" s="1"/>
  <c r="AV900" i="11"/>
  <c r="AS155" i="11"/>
  <c r="AS156" i="11" s="1"/>
  <c r="AS572" i="11" s="1"/>
  <c r="AV901" i="11"/>
  <c r="AX520" i="11"/>
  <c r="AX517" i="11"/>
  <c r="AZ517" i="11"/>
  <c r="BD239" i="11"/>
  <c r="BD162" i="11" s="1"/>
  <c r="BD161" i="11"/>
  <c r="BD251" i="11"/>
  <c r="BD244" i="11"/>
  <c r="BD167" i="11" s="1"/>
  <c r="BJ115" i="11"/>
  <c r="BJ116" i="11"/>
  <c r="BN116" i="11" s="1"/>
  <c r="BJ143" i="11"/>
  <c r="BJ166" i="11"/>
  <c r="BP10" i="11"/>
  <c r="BQ7" i="11"/>
  <c r="BQ8" i="11" s="1"/>
  <c r="BP8" i="11"/>
  <c r="Q116" i="11"/>
  <c r="Q143" i="11"/>
  <c r="Q115" i="11"/>
  <c r="Q166" i="11"/>
  <c r="I573" i="11"/>
  <c r="BR28" i="11"/>
  <c r="BR23" i="11"/>
  <c r="L119" i="11"/>
  <c r="L245" i="11"/>
  <c r="AR342" i="11"/>
  <c r="AQ346" i="11"/>
  <c r="AK997" i="11"/>
  <c r="AK87" i="11"/>
  <c r="AK86" i="11"/>
  <c r="AP86" i="11"/>
  <c r="F997" i="11"/>
  <c r="F86" i="11"/>
  <c r="F87" i="11"/>
  <c r="AI105" i="11"/>
  <c r="L27" i="11"/>
  <c r="Q27" i="11"/>
  <c r="BG209" i="11"/>
  <c r="BG217" i="11" s="1"/>
  <c r="T158" i="11"/>
  <c r="T99" i="11"/>
  <c r="T573" i="11"/>
  <c r="AV195" i="11"/>
  <c r="AV198" i="11"/>
  <c r="AV207" i="11" s="1"/>
  <c r="AV193" i="11"/>
  <c r="AM698" i="11"/>
  <c r="AM219" i="11"/>
  <c r="AM222" i="11" s="1"/>
  <c r="S1255" i="9"/>
  <c r="S1115" i="11"/>
  <c r="AJ696" i="11"/>
  <c r="AJ853" i="11"/>
  <c r="BJ910" i="11"/>
  <c r="BO904" i="11"/>
  <c r="AU698" i="11"/>
  <c r="AY1010" i="11"/>
  <c r="AU219" i="11"/>
  <c r="AU222" i="11" s="1"/>
  <c r="AV853" i="11"/>
  <c r="AV696" i="11"/>
  <c r="X512" i="11"/>
  <c r="X520" i="11"/>
  <c r="X517" i="11"/>
  <c r="AC520" i="11"/>
  <c r="L79" i="11"/>
  <c r="AT887" i="11"/>
  <c r="J696" i="11"/>
  <c r="J853" i="11"/>
  <c r="P513" i="11"/>
  <c r="P519" i="11"/>
  <c r="P1013" i="11"/>
  <c r="BF116" i="11"/>
  <c r="BF166" i="11"/>
  <c r="BF143" i="11"/>
  <c r="BF115" i="11"/>
  <c r="E997" i="11"/>
  <c r="E87" i="11"/>
  <c r="AX111" i="11"/>
  <c r="X556" i="11"/>
  <c r="X238" i="11"/>
  <c r="BD219" i="11"/>
  <c r="BD222" i="11" s="1"/>
  <c r="BD698" i="11"/>
  <c r="K907" i="11"/>
  <c r="P907" i="11"/>
  <c r="AC909" i="11"/>
  <c r="AB195" i="11"/>
  <c r="AB193" i="11"/>
  <c r="AB198" i="11"/>
  <c r="AB207" i="11" s="1"/>
  <c r="AS110" i="11"/>
  <c r="AN111" i="11"/>
  <c r="AQ83" i="11"/>
  <c r="AK110" i="11"/>
  <c r="AF111" i="11"/>
  <c r="AF112" i="11" s="1"/>
  <c r="K71" i="11"/>
  <c r="AP909" i="11"/>
  <c r="BB1262" i="9"/>
  <c r="BB1122" i="11"/>
  <c r="BF1262" i="9"/>
  <c r="BF1122" i="11"/>
  <c r="T1262" i="9"/>
  <c r="T1122" i="11"/>
  <c r="P936" i="9"/>
  <c r="P760" i="11"/>
  <c r="AQ1255" i="9"/>
  <c r="AQ1115" i="11"/>
  <c r="E1248" i="9"/>
  <c r="E934" i="9" s="1"/>
  <c r="E1108" i="11"/>
  <c r="AW1262" i="9"/>
  <c r="AW1122" i="11"/>
  <c r="G853" i="11"/>
  <c r="G696" i="11"/>
  <c r="K1009" i="11"/>
  <c r="BO903" i="11"/>
  <c r="H997" i="11"/>
  <c r="H87" i="11"/>
  <c r="U744" i="11"/>
  <c r="U743" i="11"/>
  <c r="AK115" i="11"/>
  <c r="AK116" i="11"/>
  <c r="AK143" i="11"/>
  <c r="AK166" i="11"/>
  <c r="BH293" i="11"/>
  <c r="BH292" i="11"/>
  <c r="BJ292" i="11"/>
  <c r="BD699" i="11"/>
  <c r="BD718" i="11"/>
  <c r="BD719" i="11" s="1"/>
  <c r="BD720" i="11" s="1"/>
  <c r="BD721" i="11" s="1"/>
  <c r="N997" i="11"/>
  <c r="N87" i="11"/>
  <c r="S88" i="11" s="1"/>
  <c r="N86" i="11"/>
  <c r="S86" i="11"/>
  <c r="AC906" i="11"/>
  <c r="AI198" i="11"/>
  <c r="AI207" i="11" s="1"/>
  <c r="AI193" i="11"/>
  <c r="AI195" i="11"/>
  <c r="AJ266" i="11"/>
  <c r="AV1255" i="9"/>
  <c r="AV1115" i="11"/>
  <c r="AM1248" i="9"/>
  <c r="AM1108" i="11"/>
  <c r="AJ1009" i="11"/>
  <c r="AF696" i="11"/>
  <c r="AF853" i="11"/>
  <c r="AX853" i="11"/>
  <c r="AX696" i="11"/>
  <c r="AQ922" i="11"/>
  <c r="AE34" i="11"/>
  <c r="AE518" i="11"/>
  <c r="AE229" i="11"/>
  <c r="AE512" i="11"/>
  <c r="AF14" i="11"/>
  <c r="AA906" i="11"/>
  <c r="AC14" i="11"/>
  <c r="AH14" i="11"/>
  <c r="S195" i="11"/>
  <c r="S193" i="11"/>
  <c r="S198" i="11"/>
  <c r="S207" i="11" s="1"/>
  <c r="AM96" i="11"/>
  <c r="AM97" i="11"/>
  <c r="AM109" i="11"/>
  <c r="L82" i="11"/>
  <c r="Q83" i="11" s="1"/>
  <c r="L74" i="11"/>
  <c r="AY906" i="11"/>
  <c r="BM394" i="11"/>
  <c r="AS292" i="11"/>
  <c r="AS293" i="11"/>
  <c r="AX293" i="11"/>
  <c r="BP28" i="11"/>
  <c r="BP23" i="11"/>
  <c r="BP15" i="11"/>
  <c r="BP16" i="11" s="1"/>
  <c r="BP22" i="11"/>
  <c r="R696" i="11"/>
  <c r="R853" i="11"/>
  <c r="R887" i="11" s="1"/>
  <c r="AN997" i="11"/>
  <c r="AN87" i="11"/>
  <c r="AS88" i="11" s="1"/>
  <c r="AN86" i="11"/>
  <c r="Z602" i="11"/>
  <c r="Z557" i="11"/>
  <c r="AT1012" i="11"/>
  <c r="G1262" i="9"/>
  <c r="G936" i="9" s="1"/>
  <c r="G1122" i="11"/>
  <c r="AL1255" i="9"/>
  <c r="AL1115" i="11"/>
  <c r="AC1248" i="9"/>
  <c r="AC1108" i="11"/>
  <c r="AB1262" i="9"/>
  <c r="AB1122" i="11"/>
  <c r="I1262" i="9"/>
  <c r="I936" i="9" s="1"/>
  <c r="I1122" i="11"/>
  <c r="W1255" i="9"/>
  <c r="W1115" i="11"/>
  <c r="BA954" i="11"/>
  <c r="BA955" i="11" s="1"/>
  <c r="BB949" i="11"/>
  <c r="BA953" i="11"/>
  <c r="U247" i="11"/>
  <c r="U121" i="11"/>
  <c r="U635" i="11"/>
  <c r="P1011" i="11"/>
  <c r="BI853" i="11"/>
  <c r="BI696" i="11"/>
  <c r="AD116" i="11"/>
  <c r="AD166" i="11"/>
  <c r="AD143" i="11"/>
  <c r="AD115" i="11"/>
  <c r="AD1001" i="11"/>
  <c r="AF1001" i="11"/>
  <c r="K96" i="11"/>
  <c r="K109" i="11"/>
  <c r="K97" i="11"/>
  <c r="K100" i="11" s="1"/>
  <c r="P96" i="11"/>
  <c r="AW292" i="11"/>
  <c r="AW293" i="11"/>
  <c r="AX292" i="11"/>
  <c r="AE125" i="11"/>
  <c r="AE170" i="11"/>
  <c r="S909" i="11"/>
  <c r="BL901" i="11"/>
  <c r="BQ901" i="11" s="1"/>
  <c r="BG907" i="11"/>
  <c r="M14" i="11"/>
  <c r="R14" i="11"/>
  <c r="Y520" i="11"/>
  <c r="Y512" i="11"/>
  <c r="AA517" i="11"/>
  <c r="Y517" i="11"/>
  <c r="AK245" i="11"/>
  <c r="AK119" i="11"/>
  <c r="AU29" i="11"/>
  <c r="AU38" i="11"/>
  <c r="AU39" i="11" s="1"/>
  <c r="AU26" i="11"/>
  <c r="AU27" i="11" s="1"/>
  <c r="P100" i="11"/>
  <c r="X245" i="11"/>
  <c r="X119" i="11"/>
  <c r="AA158" i="11"/>
  <c r="AA99" i="11"/>
  <c r="BA908" i="11"/>
  <c r="BJ716" i="11"/>
  <c r="BA244" i="11"/>
  <c r="BA167" i="11" s="1"/>
  <c r="BA251" i="11"/>
  <c r="BA161" i="11"/>
  <c r="BA239" i="11"/>
  <c r="BA162" i="11" s="1"/>
  <c r="BQ21" i="11"/>
  <c r="O997" i="11"/>
  <c r="O86" i="11"/>
  <c r="AL96" i="11"/>
  <c r="AL97" i="11"/>
  <c r="AL100" i="11" s="1"/>
  <c r="AL109" i="11"/>
  <c r="AL110" i="11" s="1"/>
  <c r="BE105" i="11"/>
  <c r="BJ105" i="11"/>
  <c r="M82" i="11"/>
  <c r="R83" i="11" s="1"/>
  <c r="M78" i="11"/>
  <c r="R79" i="11" s="1"/>
  <c r="M74" i="11"/>
  <c r="R75" i="11" s="1"/>
  <c r="AD561" i="11"/>
  <c r="AD564" i="11"/>
  <c r="AD558" i="11"/>
  <c r="Z909" i="11"/>
  <c r="K83" i="11"/>
  <c r="AJ209" i="11"/>
  <c r="AJ217" i="11" s="1"/>
  <c r="BB997" i="11"/>
  <c r="BB86" i="11"/>
  <c r="BB87" i="11"/>
  <c r="AX52" i="11"/>
  <c r="AX50" i="11"/>
  <c r="AX64" i="11"/>
  <c r="AX48" i="11"/>
  <c r="BS403" i="11"/>
  <c r="BF538" i="11"/>
  <c r="BE538" i="11"/>
  <c r="BI520" i="11"/>
  <c r="BG538" i="11"/>
  <c r="BI538" i="11"/>
  <c r="BH538" i="11"/>
  <c r="AM910" i="11"/>
  <c r="AL517" i="11"/>
  <c r="AL520" i="11"/>
  <c r="AM718" i="11"/>
  <c r="AM719" i="11" s="1"/>
  <c r="AM720" i="11" s="1"/>
  <c r="AM721" i="11" s="1"/>
  <c r="AM699" i="11"/>
  <c r="AT31" i="11"/>
  <c r="AT32" i="11" s="1"/>
  <c r="AL1248" i="9"/>
  <c r="AL1108" i="11"/>
  <c r="AB1255" i="9"/>
  <c r="AB1115" i="11"/>
  <c r="I1255" i="9"/>
  <c r="I935" i="9" s="1"/>
  <c r="I1115" i="11"/>
  <c r="W1262" i="9"/>
  <c r="W1122" i="11"/>
  <c r="M1255" i="9"/>
  <c r="M935" i="9" s="1"/>
  <c r="M1115" i="11"/>
  <c r="D1255" i="9"/>
  <c r="D935" i="9" s="1"/>
  <c r="D1115" i="11"/>
  <c r="AU1255" i="9"/>
  <c r="AU1115" i="11"/>
  <c r="BH826" i="11"/>
  <c r="BI826" i="11" s="1"/>
  <c r="BI889" i="11" s="1"/>
  <c r="BG827" i="11"/>
  <c r="BJ954" i="11"/>
  <c r="BJ955" i="11" s="1"/>
  <c r="AZ965" i="11"/>
  <c r="AZ967" i="11"/>
  <c r="AZ978" i="11" s="1"/>
  <c r="AZ987" i="11" s="1"/>
  <c r="BH824" i="11"/>
  <c r="BH827" i="11" s="1"/>
  <c r="AJ1001" i="11"/>
  <c r="AJ989" i="11"/>
  <c r="K635" i="11"/>
  <c r="K247" i="11"/>
  <c r="K121" i="11"/>
  <c r="AV100" i="11"/>
  <c r="AO1009" i="11"/>
  <c r="AK853" i="11"/>
  <c r="AK696" i="11"/>
  <c r="AC99" i="11"/>
  <c r="AC158" i="11"/>
  <c r="BL903" i="11"/>
  <c r="BQ903" i="11" s="1"/>
  <c r="BG909" i="11"/>
  <c r="BL26" i="11"/>
  <c r="BQ26" i="11" s="1"/>
  <c r="BG27" i="11"/>
  <c r="H52" i="11"/>
  <c r="H51" i="11"/>
  <c r="AX978" i="11"/>
  <c r="AX987" i="11" s="1"/>
  <c r="AX989" i="11" s="1"/>
  <c r="BI1009" i="11"/>
  <c r="BE696" i="11"/>
  <c r="BE853" i="11"/>
  <c r="R27" i="11"/>
  <c r="M27" i="11"/>
  <c r="Y908" i="11"/>
  <c r="AE14" i="11"/>
  <c r="AI906" i="11"/>
  <c r="AI97" i="11"/>
  <c r="AI109" i="11"/>
  <c r="AI96" i="11"/>
  <c r="M930" i="11"/>
  <c r="M165" i="11"/>
  <c r="M152" i="11"/>
  <c r="M153" i="11" s="1"/>
  <c r="M114" i="11"/>
  <c r="R198" i="11"/>
  <c r="R207" i="11" s="1"/>
  <c r="R195" i="11"/>
  <c r="R193" i="11"/>
  <c r="AU74" i="11"/>
  <c r="AZ75" i="11" s="1"/>
  <c r="AU82" i="11"/>
  <c r="AZ83" i="11" s="1"/>
  <c r="AU87" i="11"/>
  <c r="AZ88" i="11" s="1"/>
  <c r="AH997" i="11"/>
  <c r="AH87" i="11"/>
  <c r="AH86" i="11"/>
  <c r="L110" i="11"/>
  <c r="G111" i="11"/>
  <c r="AE27" i="11"/>
  <c r="AM193" i="11"/>
  <c r="AM195" i="11"/>
  <c r="AM198" i="11"/>
  <c r="AM207" i="11" s="1"/>
  <c r="AS995" i="11"/>
  <c r="AS733" i="11"/>
  <c r="AS491" i="11"/>
  <c r="AT740" i="11"/>
  <c r="S853" i="11"/>
  <c r="S696" i="11"/>
  <c r="BL23" i="11"/>
  <c r="BL22" i="11"/>
  <c r="BL15" i="11"/>
  <c r="BL16" i="11" s="1"/>
  <c r="BL28" i="11"/>
  <c r="M997" i="11"/>
  <c r="M86" i="11"/>
  <c r="M87" i="11"/>
  <c r="R88" i="11" s="1"/>
  <c r="BR386" i="11"/>
  <c r="AK109" i="11"/>
  <c r="AK96" i="11"/>
  <c r="AK97" i="11"/>
  <c r="AK100" i="11" s="1"/>
  <c r="BE26" i="11"/>
  <c r="BE27" i="11" s="1"/>
  <c r="BF38" i="11"/>
  <c r="BE29" i="11"/>
  <c r="BE38" i="11"/>
  <c r="BE31" i="11"/>
  <c r="BI31" i="11" s="1"/>
  <c r="AJ245" i="11"/>
  <c r="AJ119" i="11"/>
  <c r="V245" i="11"/>
  <c r="V119" i="11"/>
  <c r="E78" i="11"/>
  <c r="F79" i="11" s="1"/>
  <c r="AL910" i="11"/>
  <c r="V111" i="11"/>
  <c r="V112" i="11" s="1"/>
  <c r="AA110" i="11"/>
  <c r="Y105" i="11"/>
  <c r="AP87" i="11"/>
  <c r="AU88" i="11" s="1"/>
  <c r="AP74" i="11"/>
  <c r="BK1262" i="9"/>
  <c r="BK1122" i="11"/>
  <c r="N1255" i="9"/>
  <c r="N935" i="9" s="1"/>
  <c r="N1115" i="11"/>
  <c r="AH1255" i="9"/>
  <c r="AH1115" i="11"/>
  <c r="D1248" i="9"/>
  <c r="D934" i="9" s="1"/>
  <c r="D1108" i="11"/>
  <c r="AN907" i="11"/>
  <c r="AS845" i="11"/>
  <c r="P908" i="11"/>
  <c r="AR853" i="11"/>
  <c r="AR696" i="11"/>
  <c r="AV903" i="11"/>
  <c r="AE1011" i="11"/>
  <c r="AV74" i="11"/>
  <c r="AV70" i="11"/>
  <c r="BA71" i="11" s="1"/>
  <c r="AV82" i="11"/>
  <c r="BA83" i="11" s="1"/>
  <c r="AV87" i="11"/>
  <c r="AV111" i="11"/>
  <c r="BG908" i="11"/>
  <c r="BL902" i="11"/>
  <c r="BQ902" i="11" s="1"/>
  <c r="BG38" i="11"/>
  <c r="BG39" i="11" s="1"/>
  <c r="AS994" i="11"/>
  <c r="AS488" i="11"/>
  <c r="AS490" i="11" s="1"/>
  <c r="AS493" i="11" s="1"/>
  <c r="AS495" i="11" s="1"/>
  <c r="AJ928" i="11"/>
  <c r="AJ922" i="11"/>
  <c r="AJ926" i="11"/>
  <c r="AH906" i="11"/>
  <c r="AT111" i="11"/>
  <c r="AT112" i="11" s="1"/>
  <c r="BJ973" i="11"/>
  <c r="BK973" i="11" s="1"/>
  <c r="BL973" i="11" s="1"/>
  <c r="BM973" i="11" s="1"/>
  <c r="BN973" i="11" s="1"/>
  <c r="BO973" i="11" s="1"/>
  <c r="BP973" i="11" s="1"/>
  <c r="BQ973" i="11" s="1"/>
  <c r="BR973" i="11" s="1"/>
  <c r="BS973" i="11" s="1"/>
  <c r="BT973" i="11" s="1"/>
  <c r="BU973" i="11" s="1"/>
  <c r="BV973" i="11" s="1"/>
  <c r="BJ1014" i="11"/>
  <c r="Y111" i="11"/>
  <c r="AD110" i="11"/>
  <c r="AI155" i="11"/>
  <c r="AI156" i="11" s="1"/>
  <c r="AI572" i="11" s="1"/>
  <c r="AI152" i="11"/>
  <c r="AI153" i="11" s="1"/>
  <c r="AI232" i="11"/>
  <c r="AF556" i="11"/>
  <c r="AF238" i="11"/>
  <c r="X27" i="11"/>
  <c r="AS152" i="11"/>
  <c r="AS153" i="11" s="1"/>
  <c r="AZ556" i="11"/>
  <c r="AZ238" i="11"/>
  <c r="BH166" i="11"/>
  <c r="BH116" i="11"/>
  <c r="BH115" i="11"/>
  <c r="BH143" i="11"/>
  <c r="W70" i="11"/>
  <c r="W74" i="11"/>
  <c r="W82" i="11"/>
  <c r="Z906" i="11"/>
  <c r="AH111" i="11"/>
  <c r="AH112" i="11" s="1"/>
  <c r="AG742" i="11"/>
  <c r="AG168" i="11"/>
  <c r="AG644" i="11" s="1"/>
  <c r="AG628" i="11"/>
  <c r="V209" i="11"/>
  <c r="V217" i="11" s="1"/>
  <c r="Y245" i="11"/>
  <c r="Y119" i="11"/>
  <c r="BI1013" i="11"/>
  <c r="AL909" i="11"/>
  <c r="V100" i="11"/>
  <c r="AB39" i="11"/>
  <c r="AG39" i="11"/>
  <c r="AV1248" i="9"/>
  <c r="AV1108" i="11"/>
  <c r="AE1012" i="11"/>
  <c r="O989" i="11"/>
  <c r="O1001" i="11"/>
  <c r="AV1014" i="11"/>
  <c r="AV973" i="11"/>
  <c r="AV83" i="11"/>
  <c r="W629" i="11"/>
  <c r="K556" i="11"/>
  <c r="K238" i="11"/>
  <c r="AA195" i="11"/>
  <c r="AA193" i="11"/>
  <c r="AA198" i="11"/>
  <c r="AA207" i="11" s="1"/>
  <c r="AW520" i="11"/>
  <c r="AW517" i="11"/>
  <c r="Q111" i="11"/>
  <c r="Q112" i="11" s="1"/>
  <c r="V110" i="11"/>
  <c r="J232" i="11"/>
  <c r="J511" i="11"/>
  <c r="J155" i="11"/>
  <c r="J156" i="11" s="1"/>
  <c r="J572" i="11" s="1"/>
  <c r="J573" i="11" s="1"/>
  <c r="J166" i="11"/>
  <c r="J152" i="11"/>
  <c r="J153" i="11" s="1"/>
  <c r="J160" i="11"/>
  <c r="J1004" i="11" s="1"/>
  <c r="L904" i="11"/>
  <c r="Q910" i="11" s="1"/>
  <c r="L902" i="11"/>
  <c r="Q908" i="11" s="1"/>
  <c r="L900" i="11"/>
  <c r="Q906" i="11" s="1"/>
  <c r="L901" i="11"/>
  <c r="M902" i="11"/>
  <c r="BI110" i="11"/>
  <c r="BD111" i="11"/>
  <c r="AX198" i="11"/>
  <c r="AX207" i="11" s="1"/>
  <c r="AX195" i="11"/>
  <c r="AX193" i="11"/>
  <c r="BA70" i="11"/>
  <c r="BF71" i="11" s="1"/>
  <c r="BB209" i="11"/>
  <c r="BB217" i="11" s="1"/>
  <c r="AT245" i="11"/>
  <c r="AT119" i="11"/>
  <c r="U1012" i="11"/>
  <c r="BK900" i="11"/>
  <c r="BP900" i="11" s="1"/>
  <c r="BF906" i="11"/>
  <c r="AY1009" i="11"/>
  <c r="AF209" i="11"/>
  <c r="AF217" i="11" s="1"/>
  <c r="AH16" i="11"/>
  <c r="K219" i="11"/>
  <c r="K222" i="11" s="1"/>
  <c r="K698" i="11"/>
  <c r="J198" i="11"/>
  <c r="J207" i="11" s="1"/>
  <c r="J193" i="11"/>
  <c r="J195" i="11"/>
  <c r="G255" i="11"/>
  <c r="G267" i="11"/>
  <c r="T997" i="11"/>
  <c r="T86" i="11"/>
  <c r="T996" i="11"/>
  <c r="T36" i="11"/>
  <c r="T67" i="11"/>
  <c r="T35" i="11"/>
  <c r="E556" i="11"/>
  <c r="E238" i="11"/>
  <c r="BB119" i="11"/>
  <c r="BB245" i="11"/>
  <c r="AO74" i="11"/>
  <c r="AO87" i="11"/>
  <c r="R914" i="11"/>
  <c r="R131" i="11"/>
  <c r="BI827" i="11"/>
  <c r="BJ826" i="11" s="1"/>
  <c r="BJ827" i="11" s="1"/>
  <c r="K563" i="11"/>
  <c r="K233" i="11"/>
  <c r="AN39" i="11"/>
  <c r="AX100" i="11"/>
  <c r="AB99" i="11"/>
  <c r="AB158" i="11"/>
  <c r="BH74" i="11"/>
  <c r="BM74" i="11" s="1"/>
  <c r="BH82" i="11"/>
  <c r="BM82" i="11" s="1"/>
  <c r="K718" i="11"/>
  <c r="K719" i="11" s="1"/>
  <c r="K720" i="11" s="1"/>
  <c r="K721" i="11" s="1"/>
  <c r="K699" i="11"/>
  <c r="J538" i="11"/>
  <c r="K512" i="11"/>
  <c r="I538" i="11"/>
  <c r="K538" i="11"/>
  <c r="H538" i="11"/>
  <c r="G538" i="11"/>
  <c r="O538" i="11"/>
  <c r="K520" i="11"/>
  <c r="P520" i="11"/>
  <c r="N538" i="11"/>
  <c r="M538" i="11"/>
  <c r="L538" i="11"/>
  <c r="AJ62" i="11"/>
  <c r="AJ43" i="11"/>
  <c r="AJ47" i="11"/>
  <c r="AA238" i="11"/>
  <c r="AA556" i="11"/>
  <c r="AM238" i="11"/>
  <c r="AM556" i="11"/>
  <c r="R922" i="11"/>
  <c r="AH1262" i="9"/>
  <c r="AH1122" i="11"/>
  <c r="M1248" i="9"/>
  <c r="M934" i="9" s="1"/>
  <c r="M1108" i="11"/>
  <c r="F1248" i="9"/>
  <c r="F934" i="9" s="1"/>
  <c r="F1108" i="11"/>
  <c r="BC987" i="11"/>
  <c r="M827" i="11"/>
  <c r="BG906" i="11"/>
  <c r="BL900" i="11"/>
  <c r="BQ900" i="11" s="1"/>
  <c r="AA516" i="11"/>
  <c r="AA519" i="11"/>
  <c r="AA513" i="11"/>
  <c r="AG696" i="11"/>
  <c r="AG853" i="11"/>
  <c r="AH238" i="11"/>
  <c r="AH556" i="11"/>
  <c r="BR7" i="11"/>
  <c r="BR8" i="11" s="1"/>
  <c r="BR10" i="11"/>
  <c r="BQ10" i="11"/>
  <c r="T109" i="11"/>
  <c r="T97" i="11"/>
  <c r="T96" i="11"/>
  <c r="Y96" i="11"/>
  <c r="BS1003" i="11"/>
  <c r="BS702" i="11"/>
  <c r="BS931" i="11" s="1"/>
  <c r="BS863" i="11"/>
  <c r="E279" i="11"/>
  <c r="E3" i="11"/>
  <c r="F4" i="11"/>
  <c r="BJ209" i="11"/>
  <c r="BJ217" i="11" s="1"/>
  <c r="BC48" i="11"/>
  <c r="BC64" i="11"/>
  <c r="BC52" i="11"/>
  <c r="BC50" i="11"/>
  <c r="AG998" i="11"/>
  <c r="AG123" i="11"/>
  <c r="AG111" i="11"/>
  <c r="Y209" i="11"/>
  <c r="Y217" i="11" s="1"/>
  <c r="N88" i="11"/>
  <c r="AY474" i="11"/>
  <c r="L5" i="11"/>
  <c r="M5" i="11" s="1"/>
  <c r="N5" i="11" s="1"/>
  <c r="O5" i="11" s="1"/>
  <c r="P5" i="11"/>
  <c r="AZ1248" i="9"/>
  <c r="AZ1108" i="11"/>
  <c r="BK1248" i="9"/>
  <c r="BK1108" i="11"/>
  <c r="V1248" i="9"/>
  <c r="V1108" i="11"/>
  <c r="AX1255" i="9"/>
  <c r="AX1115" i="11"/>
  <c r="X1262" i="9"/>
  <c r="X1122" i="11"/>
  <c r="Y1001" i="11"/>
  <c r="Y989" i="11"/>
  <c r="BM902" i="11"/>
  <c r="BR902" i="11" s="1"/>
  <c r="BH908" i="11"/>
  <c r="AD845" i="11"/>
  <c r="AV908" i="11"/>
  <c r="U238" i="11"/>
  <c r="U556" i="11"/>
  <c r="AQ853" i="11"/>
  <c r="AQ696" i="11"/>
  <c r="O13" i="11"/>
  <c r="O14" i="11" s="1"/>
  <c r="O15" i="11"/>
  <c r="R15" i="11"/>
  <c r="R16" i="11" s="1"/>
  <c r="Q22" i="11"/>
  <c r="O22" i="11"/>
  <c r="S15" i="11"/>
  <c r="S16" i="11" s="1"/>
  <c r="O19" i="11"/>
  <c r="O23" i="11"/>
  <c r="AH910" i="11"/>
  <c r="AF16" i="11"/>
  <c r="S97" i="11"/>
  <c r="S109" i="11"/>
  <c r="S96" i="11"/>
  <c r="Q129" i="11"/>
  <c r="Q914" i="11" s="1"/>
  <c r="Q131" i="11"/>
  <c r="R910" i="11"/>
  <c r="AO1255" i="9"/>
  <c r="AO1115" i="11"/>
  <c r="V512" i="11"/>
  <c r="V520" i="11"/>
  <c r="V517" i="11"/>
  <c r="AY109" i="11"/>
  <c r="AY97" i="11"/>
  <c r="AY96" i="11"/>
  <c r="N853" i="11"/>
  <c r="N696" i="11"/>
  <c r="AO52" i="11"/>
  <c r="AO50" i="11"/>
  <c r="AO51" i="11"/>
  <c r="F853" i="11"/>
  <c r="F696" i="11"/>
  <c r="N904" i="11"/>
  <c r="AT556" i="11"/>
  <c r="AT238" i="11"/>
  <c r="W520" i="11"/>
  <c r="W512" i="11"/>
  <c r="W517" i="11"/>
  <c r="BR420" i="11"/>
  <c r="AC557" i="11"/>
  <c r="BH48" i="11"/>
  <c r="BH52" i="11"/>
  <c r="BH64" i="11"/>
  <c r="AF74" i="11"/>
  <c r="AK75" i="11" s="1"/>
  <c r="AF82" i="11"/>
  <c r="AK83" i="11" s="1"/>
  <c r="BD14" i="11"/>
  <c r="K887" i="11"/>
  <c r="R1248" i="9"/>
  <c r="R1108" i="11"/>
  <c r="H1262" i="9"/>
  <c r="H936" i="9" s="1"/>
  <c r="H1122" i="11"/>
  <c r="L1248" i="9"/>
  <c r="L934" i="9" s="1"/>
  <c r="L1108" i="11"/>
  <c r="AS989" i="11"/>
  <c r="AS1001" i="11"/>
  <c r="AU1001" i="11"/>
  <c r="AS115" i="11"/>
  <c r="AS116" i="11"/>
  <c r="AS143" i="11"/>
  <c r="AS166" i="11"/>
  <c r="BB238" i="11"/>
  <c r="BB556" i="11"/>
  <c r="AB105" i="11"/>
  <c r="W105" i="11"/>
  <c r="BE1255" i="9"/>
  <c r="BE1115" i="11"/>
  <c r="F1255" i="9"/>
  <c r="F935" i="9" s="1"/>
  <c r="F1115" i="11"/>
  <c r="BH987" i="11"/>
  <c r="BH989" i="11" s="1"/>
  <c r="AV71" i="11"/>
  <c r="AQ71" i="11"/>
  <c r="AC922" i="11"/>
  <c r="AA74" i="11"/>
  <c r="AF75" i="11" s="1"/>
  <c r="AA82" i="11"/>
  <c r="BE1014" i="11"/>
  <c r="BE973" i="11"/>
  <c r="BB517" i="11"/>
  <c r="BB520" i="11"/>
  <c r="BI100" i="11"/>
  <c r="BF997" i="11"/>
  <c r="BF87" i="11"/>
  <c r="BF86" i="11"/>
  <c r="V266" i="11"/>
  <c r="M209" i="11"/>
  <c r="M217" i="11" s="1"/>
  <c r="AL245" i="11"/>
  <c r="AL119" i="11"/>
  <c r="Y27" i="11"/>
  <c r="Z245" i="11"/>
  <c r="Z119" i="11"/>
  <c r="AR1248" i="9"/>
  <c r="AR1108" i="11"/>
  <c r="BE1262" i="9"/>
  <c r="BE1122" i="11"/>
  <c r="V1255" i="9"/>
  <c r="V1115" i="11"/>
  <c r="AP1248" i="9"/>
  <c r="AP1108" i="11"/>
  <c r="AY1255" i="9"/>
  <c r="AY1115" i="11"/>
  <c r="L1262" i="9"/>
  <c r="L936" i="9" s="1"/>
  <c r="L1122" i="11"/>
  <c r="Z1001" i="11"/>
  <c r="Z989" i="11"/>
  <c r="AD987" i="11"/>
  <c r="AD989" i="11" s="1"/>
  <c r="BM903" i="11"/>
  <c r="BR903" i="11" s="1"/>
  <c r="BH909" i="11"/>
  <c r="AR39" i="11"/>
  <c r="U887" i="11"/>
  <c r="X16" i="11"/>
  <c r="BA219" i="11"/>
  <c r="BA222" i="11" s="1"/>
  <c r="BA698" i="11"/>
  <c r="AV538" i="11"/>
  <c r="AU538" i="11"/>
  <c r="AY520" i="11"/>
  <c r="AY538" i="11"/>
  <c r="AX538" i="11"/>
  <c r="AW538" i="11"/>
  <c r="BC538" i="11"/>
  <c r="BB538" i="11"/>
  <c r="BA538" i="11"/>
  <c r="AA907" i="11"/>
  <c r="BB75" i="11"/>
  <c r="BM377" i="11"/>
  <c r="AD255" i="11"/>
  <c r="AD266" i="11"/>
  <c r="AD267" i="11"/>
  <c r="AP83" i="11"/>
  <c r="AH88" i="11"/>
  <c r="R556" i="11"/>
  <c r="R238" i="11"/>
  <c r="BA119" i="11"/>
  <c r="BA245" i="11"/>
  <c r="BI997" i="11"/>
  <c r="BI86" i="11"/>
  <c r="BI87" i="11"/>
  <c r="BH997" i="11"/>
  <c r="BH87" i="11"/>
  <c r="Y996" i="11"/>
  <c r="Y67" i="11"/>
  <c r="Y35" i="11"/>
  <c r="Y36" i="11"/>
  <c r="Z209" i="11"/>
  <c r="Z217" i="11" s="1"/>
  <c r="Z1005" i="11" s="1"/>
  <c r="AU1248" i="9"/>
  <c r="AU1108" i="11"/>
  <c r="BE1248" i="9"/>
  <c r="BE1108" i="11"/>
  <c r="V1262" i="9"/>
  <c r="V1122" i="11"/>
  <c r="K989" i="11"/>
  <c r="K1001" i="11"/>
  <c r="AR1001" i="11"/>
  <c r="AQ238" i="11"/>
  <c r="AQ556" i="11"/>
  <c r="AE635" i="11"/>
  <c r="AE247" i="11"/>
  <c r="AE121" i="11"/>
  <c r="V244" i="11"/>
  <c r="V167" i="11" s="1"/>
  <c r="V251" i="11"/>
  <c r="V161" i="11"/>
  <c r="V239" i="11"/>
  <c r="V162" i="11" s="1"/>
  <c r="Z563" i="11"/>
  <c r="Z233" i="11"/>
  <c r="AY699" i="11"/>
  <c r="AY718" i="11"/>
  <c r="AY719" i="11" s="1"/>
  <c r="AY720" i="11" s="1"/>
  <c r="AY721" i="11" s="1"/>
  <c r="K87" i="11"/>
  <c r="P88" i="11" s="1"/>
  <c r="K997" i="11"/>
  <c r="K86" i="11"/>
  <c r="P86" i="11"/>
  <c r="Q110" i="11"/>
  <c r="L111" i="11"/>
  <c r="BS635" i="11"/>
  <c r="BS247" i="11"/>
  <c r="BS121" i="11"/>
  <c r="U916" i="11"/>
  <c r="U925" i="11"/>
  <c r="Y997" i="11"/>
  <c r="Y87" i="11"/>
  <c r="Y86" i="11"/>
  <c r="V997" i="11"/>
  <c r="V87" i="11"/>
  <c r="AA88" i="11" s="1"/>
  <c r="V86" i="11"/>
  <c r="AR70" i="11"/>
  <c r="BA997" i="11"/>
  <c r="BA86" i="11"/>
  <c r="BA87" i="11"/>
  <c r="BF88" i="11" s="1"/>
  <c r="AJ997" i="11"/>
  <c r="AJ87" i="11"/>
  <c r="AO88" i="11" s="1"/>
  <c r="AJ86" i="11"/>
  <c r="AO86" i="11"/>
  <c r="AG71" i="11"/>
  <c r="N105" i="11"/>
  <c r="AL209" i="11"/>
  <c r="AL217" i="11" s="1"/>
  <c r="M112" i="11"/>
  <c r="BC293" i="11"/>
  <c r="BC292" i="11"/>
  <c r="BF209" i="11"/>
  <c r="BF217" i="11" s="1"/>
  <c r="AZ31" i="11"/>
  <c r="BD31" i="11" s="1"/>
  <c r="K245" i="11"/>
  <c r="K119" i="11"/>
  <c r="R908" i="11"/>
  <c r="AR83" i="11"/>
  <c r="Y39" i="11"/>
  <c r="BM411" i="11"/>
  <c r="AR1262" i="9"/>
  <c r="AR1122" i="11"/>
  <c r="H1255" i="9"/>
  <c r="H935" i="9" s="1"/>
  <c r="H1115" i="11"/>
  <c r="Q1248" i="9"/>
  <c r="Q1108" i="11"/>
  <c r="L1255" i="9"/>
  <c r="L935" i="9" s="1"/>
  <c r="L1115" i="11"/>
  <c r="BA910" i="11"/>
  <c r="AX908" i="11"/>
  <c r="P229" i="11"/>
  <c r="P518" i="11"/>
  <c r="P34" i="11"/>
  <c r="AQ906" i="11"/>
  <c r="AN824" i="11"/>
  <c r="AO238" i="11"/>
  <c r="AO556" i="11"/>
  <c r="BJ238" i="11"/>
  <c r="BJ556" i="11"/>
  <c r="AO70" i="11"/>
  <c r="AW105" i="11"/>
  <c r="K110" i="11"/>
  <c r="F111" i="11"/>
  <c r="BB909" i="11"/>
  <c r="O242" i="11"/>
  <c r="O845" i="11"/>
  <c r="O199" i="11"/>
  <c r="O207" i="11" s="1"/>
  <c r="O132" i="11"/>
  <c r="AS70" i="11"/>
  <c r="BC75" i="11"/>
  <c r="BM462" i="11"/>
  <c r="AJ744" i="11"/>
  <c r="AJ743" i="11"/>
  <c r="AD86" i="11"/>
  <c r="BJ83" i="11"/>
  <c r="AV251" i="11"/>
  <c r="AV244" i="11"/>
  <c r="AV167" i="11" s="1"/>
  <c r="AV239" i="11"/>
  <c r="AV162" i="11" s="1"/>
  <c r="AV161" i="11"/>
  <c r="R517" i="11"/>
  <c r="R520" i="11"/>
  <c r="R512" i="11"/>
  <c r="U563" i="11"/>
  <c r="U233" i="11"/>
  <c r="P245" i="11"/>
  <c r="P119" i="11"/>
  <c r="AM997" i="11"/>
  <c r="AM86" i="11"/>
  <c r="AM87" i="11"/>
  <c r="AR88" i="11" s="1"/>
  <c r="AA39" i="11"/>
  <c r="AF39" i="11"/>
  <c r="BI119" i="11"/>
  <c r="BI245" i="11"/>
  <c r="AF1255" i="9"/>
  <c r="AF1115" i="11"/>
  <c r="AA1248" i="9"/>
  <c r="AA1108" i="11"/>
  <c r="AX1262" i="9"/>
  <c r="AX1122" i="11"/>
  <c r="BH967" i="11"/>
  <c r="BH978" i="11" s="1"/>
  <c r="BH965" i="11"/>
  <c r="BM962" i="11"/>
  <c r="AC887" i="11"/>
  <c r="AI884" i="11"/>
  <c r="AI712" i="11"/>
  <c r="BA967" i="11"/>
  <c r="BA978" i="11" s="1"/>
  <c r="BA987" i="11" s="1"/>
  <c r="BA965" i="11"/>
  <c r="AT928" i="11"/>
  <c r="AT922" i="11"/>
  <c r="P1001" i="11"/>
  <c r="P233" i="11"/>
  <c r="P563" i="11"/>
  <c r="AI696" i="11"/>
  <c r="AI853" i="11"/>
  <c r="BJ907" i="11"/>
  <c r="BO901" i="11"/>
  <c r="BF556" i="11"/>
  <c r="BF238" i="11"/>
  <c r="AY29" i="11"/>
  <c r="AY38" i="11"/>
  <c r="AY39" i="11" s="1"/>
  <c r="AY26" i="11"/>
  <c r="AY27" i="11" s="1"/>
  <c r="AE16" i="11"/>
  <c r="AQ75" i="11"/>
  <c r="AA83" i="11"/>
  <c r="AW718" i="11"/>
  <c r="AW719" i="11" s="1"/>
  <c r="AW720" i="11" s="1"/>
  <c r="AW721" i="11" s="1"/>
  <c r="AW699" i="11"/>
  <c r="L78" i="11"/>
  <c r="Q79" i="11" s="1"/>
  <c r="AH110" i="11"/>
  <c r="AC111" i="11"/>
  <c r="AC112" i="11" s="1"/>
  <c r="BF245" i="11"/>
  <c r="BF119" i="11"/>
  <c r="AV562" i="11"/>
  <c r="AV565" i="11"/>
  <c r="X1255" i="9"/>
  <c r="X1115" i="11"/>
  <c r="AA1255" i="9"/>
  <c r="AA1115" i="11"/>
  <c r="BD1255" i="9"/>
  <c r="BD1115" i="11"/>
  <c r="AJ934" i="9"/>
  <c r="BG1248" i="9"/>
  <c r="BG1108" i="11"/>
  <c r="BA1248" i="9"/>
  <c r="BA1108" i="11"/>
  <c r="Q1001" i="11"/>
  <c r="Q989" i="11"/>
  <c r="AL922" i="11"/>
  <c r="P909" i="11"/>
  <c r="J989" i="11"/>
  <c r="AW1014" i="11"/>
  <c r="AW973" i="11"/>
  <c r="AX702" i="11"/>
  <c r="AO907" i="11"/>
  <c r="AC1001" i="11"/>
  <c r="BJ908" i="11"/>
  <c r="BO902" i="11"/>
  <c r="BK901" i="11"/>
  <c r="BP901" i="11" s="1"/>
  <c r="BF907" i="11"/>
  <c r="F887" i="11"/>
  <c r="F890" i="11" s="1"/>
  <c r="Q907" i="11"/>
  <c r="M903" i="11"/>
  <c r="R909" i="11" s="1"/>
  <c r="U100" i="11"/>
  <c r="U513" i="11"/>
  <c r="U519" i="11"/>
  <c r="AR910" i="11"/>
  <c r="M239" i="11"/>
  <c r="M162" i="11" s="1"/>
  <c r="M244" i="11"/>
  <c r="M167" i="11" s="1"/>
  <c r="M161" i="11"/>
  <c r="M251" i="11"/>
  <c r="Z100" i="11"/>
  <c r="BC96" i="11"/>
  <c r="BC109" i="11"/>
  <c r="BC97" i="11"/>
  <c r="BC100" i="11" s="1"/>
  <c r="AB696" i="11"/>
  <c r="AB853" i="11"/>
  <c r="AB887" i="11" s="1"/>
  <c r="H718" i="11"/>
  <c r="H719" i="11" s="1"/>
  <c r="H720" i="11" s="1"/>
  <c r="H721" i="11" s="1"/>
  <c r="H699" i="11"/>
  <c r="J996" i="11"/>
  <c r="J67" i="11"/>
  <c r="J35" i="11"/>
  <c r="L556" i="11"/>
  <c r="L238" i="11"/>
  <c r="AY909" i="11"/>
  <c r="BD909" i="11"/>
  <c r="AW698" i="11"/>
  <c r="AW219" i="11"/>
  <c r="AW222" i="11" s="1"/>
  <c r="N209" i="11"/>
  <c r="N217" i="11" s="1"/>
  <c r="BH70" i="11"/>
  <c r="BM70" i="11" s="1"/>
  <c r="P635" i="11"/>
  <c r="P121" i="11"/>
  <c r="P247" i="11"/>
  <c r="AG209" i="11"/>
  <c r="AG217" i="11" s="1"/>
  <c r="AT52" i="11"/>
  <c r="AT48" i="11"/>
  <c r="AT50" i="11"/>
  <c r="AY48" i="11"/>
  <c r="AT293" i="11"/>
  <c r="AY293" i="11"/>
  <c r="AP698" i="11"/>
  <c r="AP219" i="11"/>
  <c r="AP222" i="11" s="1"/>
  <c r="AY890" i="11"/>
  <c r="N267" i="11"/>
  <c r="N255" i="11"/>
  <c r="T26" i="11"/>
  <c r="T27" i="11" s="1"/>
  <c r="AF997" i="11"/>
  <c r="AF87" i="11"/>
  <c r="AK88" i="11" s="1"/>
  <c r="AF86" i="11"/>
  <c r="R907" i="11"/>
  <c r="BB827" i="11"/>
  <c r="U78" i="11"/>
  <c r="U74" i="11"/>
  <c r="U87" i="11"/>
  <c r="U82" i="11"/>
  <c r="N628" i="11"/>
  <c r="N168" i="11"/>
  <c r="N644" i="11" s="1"/>
  <c r="N645" i="11" s="1"/>
  <c r="N742" i="11"/>
  <c r="AA27" i="11"/>
  <c r="AF27" i="11"/>
  <c r="BD1248" i="9"/>
  <c r="BD1108" i="11"/>
  <c r="BN970" i="11"/>
  <c r="BF908" i="11"/>
  <c r="BK902" i="11"/>
  <c r="BP902" i="11" s="1"/>
  <c r="Z853" i="11"/>
  <c r="Z696" i="11"/>
  <c r="AH696" i="11"/>
  <c r="AH853" i="11"/>
  <c r="N903" i="11"/>
  <c r="BC104" i="11"/>
  <c r="BC103" i="11"/>
  <c r="Y884" i="11"/>
  <c r="Y712" i="11"/>
  <c r="BG97" i="11"/>
  <c r="BG109" i="11"/>
  <c r="BG96" i="11"/>
  <c r="AB520" i="11"/>
  <c r="AB517" i="11"/>
  <c r="AB512" i="11"/>
  <c r="V931" i="11"/>
  <c r="Z1013" i="11"/>
  <c r="I1248" i="9"/>
  <c r="I934" i="9" s="1"/>
  <c r="I1108" i="11"/>
  <c r="AY1248" i="9"/>
  <c r="AY1108" i="11"/>
  <c r="BJ97" i="11"/>
  <c r="BJ96" i="11"/>
  <c r="BJ109" i="11"/>
  <c r="AW111" i="11"/>
  <c r="BB110" i="11"/>
  <c r="AG110" i="11"/>
  <c r="AB111" i="11"/>
  <c r="Z111" i="11"/>
  <c r="Z112" i="11" s="1"/>
  <c r="H1248" i="9"/>
  <c r="H934" i="9" s="1"/>
  <c r="H1108" i="11"/>
  <c r="AY1262" i="9"/>
  <c r="AY1122" i="11"/>
  <c r="AZ1001" i="11"/>
  <c r="AZ989" i="11"/>
  <c r="Q15" i="11"/>
  <c r="Q16" i="11" s="1"/>
  <c r="AF517" i="11"/>
  <c r="AF520" i="11"/>
  <c r="AE556" i="11"/>
  <c r="AE238" i="11"/>
  <c r="BH109" i="11"/>
  <c r="BH97" i="11"/>
  <c r="BH96" i="11"/>
  <c r="BB112" i="11"/>
  <c r="AM115" i="11"/>
  <c r="AM166" i="11"/>
  <c r="AM143" i="11"/>
  <c r="AM116" i="11"/>
  <c r="BJ88" i="11"/>
  <c r="AJ97" i="11"/>
  <c r="AJ96" i="11"/>
  <c r="AJ109" i="11"/>
  <c r="K78" i="11"/>
  <c r="P79" i="11" s="1"/>
  <c r="K74" i="11"/>
  <c r="P75" i="11" s="1"/>
  <c r="BB29" i="11"/>
  <c r="BB26" i="11"/>
  <c r="BB27" i="11" s="1"/>
  <c r="BG29" i="11"/>
  <c r="BC38" i="11"/>
  <c r="BC39" i="11" s="1"/>
  <c r="BB38" i="11"/>
  <c r="BB39" i="11" s="1"/>
  <c r="Q245" i="11"/>
  <c r="Q119" i="11"/>
  <c r="AW119" i="11"/>
  <c r="AW245" i="11"/>
  <c r="AZ112" i="11"/>
  <c r="BA209" i="11"/>
  <c r="BA217" i="11" s="1"/>
  <c r="N1248" i="9"/>
  <c r="N934" i="9" s="1"/>
  <c r="N1108" i="11"/>
  <c r="AH1248" i="9"/>
  <c r="AH1108" i="11"/>
  <c r="M1262" i="9"/>
  <c r="M936" i="9" s="1"/>
  <c r="M1122" i="11"/>
  <c r="AX1248" i="9"/>
  <c r="AX1108" i="11"/>
  <c r="X1248" i="9"/>
  <c r="X1108" i="11"/>
  <c r="AA1001" i="11"/>
  <c r="BC824" i="11"/>
  <c r="BC827" i="11" s="1"/>
  <c r="U906" i="11"/>
  <c r="V565" i="11"/>
  <c r="V557" i="11"/>
  <c r="U1013" i="11"/>
  <c r="BA97" i="11"/>
  <c r="BA100" i="11" s="1"/>
  <c r="BA109" i="11"/>
  <c r="BA96" i="11"/>
  <c r="AR556" i="11"/>
  <c r="AR238" i="11"/>
  <c r="BI111" i="11"/>
  <c r="BI112" i="11" s="1"/>
  <c r="W115" i="11"/>
  <c r="W166" i="11"/>
  <c r="W116" i="11"/>
  <c r="W143" i="11"/>
  <c r="Z997" i="11"/>
  <c r="Z86" i="11"/>
  <c r="Z87" i="11"/>
  <c r="AE88" i="11" s="1"/>
  <c r="BB908" i="11"/>
  <c r="M79" i="11"/>
  <c r="BJ245" i="11"/>
  <c r="BJ119" i="11"/>
  <c r="M119" i="11"/>
  <c r="M245" i="11"/>
  <c r="AK556" i="11"/>
  <c r="AK238" i="11"/>
  <c r="U1009" i="11"/>
  <c r="Q853" i="11"/>
  <c r="Q696" i="11"/>
  <c r="BI556" i="11"/>
  <c r="BI238" i="11"/>
  <c r="AM16" i="11"/>
  <c r="BO940" i="11"/>
  <c r="AR1255" i="9"/>
  <c r="AR1115" i="11"/>
  <c r="R1262" i="9"/>
  <c r="R1122" i="11"/>
  <c r="Q1262" i="9"/>
  <c r="Q1122" i="11"/>
  <c r="AP1262" i="9"/>
  <c r="AP1122" i="11"/>
  <c r="F1262" i="9"/>
  <c r="F936" i="9" s="1"/>
  <c r="F1122" i="11"/>
  <c r="P887" i="11"/>
  <c r="P999" i="11" s="1"/>
  <c r="AY927" i="11"/>
  <c r="AY916" i="11"/>
  <c r="AI1001" i="11"/>
  <c r="AI989" i="11"/>
  <c r="H931" i="11"/>
  <c r="K1013" i="11"/>
  <c r="Z1012" i="11"/>
  <c r="I158" i="11"/>
  <c r="I99" i="11"/>
  <c r="BS125" i="11"/>
  <c r="BS170" i="11"/>
  <c r="AH907" i="11"/>
  <c r="AO82" i="11"/>
  <c r="AR517" i="11"/>
  <c r="AR520" i="11"/>
  <c r="AG997" i="11"/>
  <c r="AG86" i="11"/>
  <c r="AG87" i="11"/>
  <c r="AL88" i="11" s="1"/>
  <c r="AL86" i="11"/>
  <c r="BB293" i="11"/>
  <c r="BB292" i="11"/>
  <c r="BP74" i="11"/>
  <c r="BB906" i="11"/>
  <c r="AN116" i="11"/>
  <c r="AN166" i="11"/>
  <c r="AN115" i="11"/>
  <c r="AN143" i="11"/>
  <c r="U698" i="11"/>
  <c r="U219" i="11"/>
  <c r="U222" i="11" s="1"/>
  <c r="AD824" i="11"/>
  <c r="BC51" i="11"/>
  <c r="Q930" i="11"/>
  <c r="Q114" i="11"/>
  <c r="Q165" i="11"/>
  <c r="AA71" i="11"/>
  <c r="AE70" i="11"/>
  <c r="AU1262" i="9"/>
  <c r="AU1122" i="11"/>
  <c r="AP1255" i="9"/>
  <c r="AP1115" i="11"/>
  <c r="U928" i="11"/>
  <c r="U922" i="11"/>
  <c r="BH906" i="11"/>
  <c r="BM900" i="11"/>
  <c r="BR900" i="11" s="1"/>
  <c r="K1012" i="11"/>
  <c r="M901" i="11"/>
  <c r="N887" i="11"/>
  <c r="H158" i="11"/>
  <c r="H99" i="11"/>
  <c r="AD23" i="11"/>
  <c r="AZ696" i="11"/>
  <c r="AZ853" i="11"/>
  <c r="BD1012" i="11"/>
  <c r="V75" i="11"/>
  <c r="W87" i="11"/>
  <c r="W997" i="11"/>
  <c r="W86" i="11"/>
  <c r="AY910" i="11"/>
  <c r="BA74" i="11"/>
  <c r="BF75" i="11" s="1"/>
  <c r="L87" i="11"/>
  <c r="Q88" i="11" s="1"/>
  <c r="L997" i="11"/>
  <c r="L86" i="11"/>
  <c r="BP70" i="11"/>
  <c r="N82" i="11"/>
  <c r="N74" i="11"/>
  <c r="N78" i="11"/>
  <c r="S79" i="11" s="1"/>
  <c r="BA887" i="11"/>
  <c r="AW238" i="11"/>
  <c r="AW556" i="11"/>
  <c r="BD1262" i="9"/>
  <c r="BD1122" i="11"/>
  <c r="BG1255" i="9"/>
  <c r="BG1115" i="11"/>
  <c r="AY1012" i="11"/>
  <c r="AU887" i="11"/>
  <c r="BE827" i="11"/>
  <c r="P927" i="11"/>
  <c r="BA105" i="11"/>
  <c r="Q909" i="11"/>
  <c r="AA35" i="11"/>
  <c r="AP97" i="11"/>
  <c r="AP96" i="11"/>
  <c r="AU96" i="11"/>
  <c r="AP109" i="11"/>
  <c r="N96" i="11"/>
  <c r="N97" i="11"/>
  <c r="N100" i="11" s="1"/>
  <c r="N109" i="11"/>
  <c r="BB907" i="11"/>
  <c r="AH82" i="11"/>
  <c r="AH74" i="11"/>
  <c r="AH70" i="11"/>
  <c r="BS563" i="11"/>
  <c r="BS233" i="11"/>
  <c r="AX116" i="11"/>
  <c r="AX115" i="11"/>
  <c r="AX143" i="11"/>
  <c r="AX166" i="11"/>
  <c r="AE209" i="11"/>
  <c r="AE217" i="11" s="1"/>
  <c r="AC100" i="11"/>
  <c r="BG71" i="11"/>
  <c r="BB71" i="11"/>
  <c r="O48" i="11"/>
  <c r="O52" i="11"/>
  <c r="BI910" i="11"/>
  <c r="R906" i="11"/>
  <c r="Q86" i="11"/>
  <c r="BD75" i="11"/>
  <c r="N998" i="11"/>
  <c r="N123" i="11"/>
  <c r="BI209" i="11"/>
  <c r="BI217" i="11" s="1"/>
  <c r="Q1255" i="9"/>
  <c r="Q1115" i="11"/>
  <c r="AO1262" i="9"/>
  <c r="AO1122" i="11"/>
  <c r="S1248" i="9"/>
  <c r="S1108" i="11"/>
  <c r="BA1262" i="9"/>
  <c r="BA1122" i="11"/>
  <c r="BM971" i="11"/>
  <c r="BL732" i="11"/>
  <c r="BL492" i="11" s="1"/>
  <c r="W853" i="11"/>
  <c r="W696" i="11"/>
  <c r="AH916" i="11"/>
  <c r="AO1012" i="11"/>
  <c r="AP931" i="11"/>
  <c r="AT1013" i="11"/>
  <c r="V908" i="11"/>
  <c r="AX1003" i="11"/>
  <c r="R1001" i="11"/>
  <c r="AL1001" i="11"/>
  <c r="M853" i="11"/>
  <c r="M696" i="11"/>
  <c r="BO900" i="11"/>
  <c r="BJ906" i="11"/>
  <c r="AA910" i="11"/>
  <c r="BF517" i="11"/>
  <c r="BF520" i="11"/>
  <c r="BF853" i="11"/>
  <c r="BF696" i="11"/>
  <c r="N517" i="11"/>
  <c r="N512" i="11"/>
  <c r="N520" i="11"/>
  <c r="O517" i="11"/>
  <c r="M904" i="11"/>
  <c r="AU904" i="11"/>
  <c r="AU910" i="11" s="1"/>
  <c r="AQ997" i="11"/>
  <c r="AQ87" i="11"/>
  <c r="AV88" i="11" s="1"/>
  <c r="AQ86" i="11"/>
  <c r="AG556" i="11"/>
  <c r="AG238" i="11"/>
  <c r="M565" i="11"/>
  <c r="M557" i="11"/>
  <c r="AX96" i="11"/>
  <c r="AE563" i="11"/>
  <c r="AE233" i="11"/>
  <c r="BE903" i="11"/>
  <c r="BC165" i="11"/>
  <c r="BC232" i="11"/>
  <c r="BC511" i="11"/>
  <c r="BC903" i="11"/>
  <c r="BC909" i="11" s="1"/>
  <c r="BC152" i="11"/>
  <c r="BC153" i="11" s="1"/>
  <c r="BE904" i="11"/>
  <c r="BE910" i="11" s="1"/>
  <c r="BF903" i="11"/>
  <c r="BC996" i="11"/>
  <c r="AX70" i="11"/>
  <c r="BC71" i="11" s="1"/>
  <c r="AX85" i="11"/>
  <c r="H698" i="11"/>
  <c r="H219" i="11"/>
  <c r="H222" i="11" s="1"/>
  <c r="BH972" i="11"/>
  <c r="H195" i="11"/>
  <c r="H198" i="11"/>
  <c r="H207" i="11" s="1"/>
  <c r="H193" i="11"/>
  <c r="BH104" i="11"/>
  <c r="BH103" i="11"/>
  <c r="AI51" i="11"/>
  <c r="AI64" i="11"/>
  <c r="AI48" i="11"/>
  <c r="AI52" i="11"/>
  <c r="AI50" i="11"/>
  <c r="S14" i="11"/>
  <c r="X14" i="11"/>
  <c r="BD105" i="11"/>
  <c r="L35" i="11"/>
  <c r="Q100" i="11"/>
  <c r="AE245" i="11"/>
  <c r="AE119" i="11"/>
  <c r="AP718" i="11"/>
  <c r="AP719" i="11" s="1"/>
  <c r="AP720" i="11" s="1"/>
  <c r="AP721" i="11" s="1"/>
  <c r="AP699" i="11"/>
  <c r="BG83" i="11"/>
  <c r="K75" i="11"/>
  <c r="X39" i="11"/>
  <c r="AF70" i="11"/>
  <c r="AK71" i="11" s="1"/>
  <c r="U112" i="11"/>
  <c r="O50" i="11"/>
  <c r="AT209" i="11"/>
  <c r="AT217" i="11" s="1"/>
  <c r="AZ74" i="11"/>
  <c r="BE75" i="11" s="1"/>
  <c r="AZ87" i="11"/>
  <c r="BE88" i="11" s="1"/>
  <c r="AT110" i="11"/>
  <c r="AW110" i="11"/>
  <c r="AR111" i="11"/>
  <c r="U518" i="11"/>
  <c r="U34" i="11"/>
  <c r="U229" i="11"/>
  <c r="F119" i="11"/>
  <c r="F245" i="11"/>
  <c r="BM445" i="11"/>
  <c r="BB966" i="11"/>
  <c r="BB904" i="11"/>
  <c r="BB910" i="11" s="1"/>
  <c r="AM887" i="11"/>
  <c r="AP910" i="11"/>
  <c r="AO910" i="11"/>
  <c r="U927" i="11"/>
  <c r="AY698" i="11"/>
  <c r="AY219" i="11"/>
  <c r="AY222" i="11" s="1"/>
  <c r="BC995" i="11"/>
  <c r="BC491" i="11"/>
  <c r="BC733" i="11"/>
  <c r="S906" i="11"/>
  <c r="K229" i="11"/>
  <c r="K34" i="11"/>
  <c r="K518" i="11"/>
  <c r="AF922" i="11"/>
  <c r="AI909" i="11"/>
  <c r="W909" i="11"/>
  <c r="BJ27" i="11"/>
  <c r="BO26" i="11"/>
  <c r="BO28" i="11" s="1"/>
  <c r="AF910" i="11"/>
  <c r="AI14" i="11"/>
  <c r="O111" i="11"/>
  <c r="T110" i="11"/>
  <c r="U1011" i="11"/>
  <c r="AE908" i="11"/>
  <c r="BA565" i="11"/>
  <c r="BA562" i="11"/>
  <c r="BM28" i="11"/>
  <c r="BM23" i="11"/>
  <c r="BM22" i="11"/>
  <c r="BM15" i="11"/>
  <c r="BM16" i="11" s="1"/>
  <c r="AB910" i="11"/>
  <c r="AD996" i="11"/>
  <c r="AD67" i="11"/>
  <c r="AD36" i="11"/>
  <c r="AD35" i="11"/>
  <c r="AJ161" i="11"/>
  <c r="AJ244" i="11"/>
  <c r="AJ167" i="11" s="1"/>
  <c r="AJ251" i="11"/>
  <c r="AJ239" i="11"/>
  <c r="AJ162" i="11" s="1"/>
  <c r="K916" i="11"/>
  <c r="K925" i="11"/>
  <c r="K927" i="11"/>
  <c r="G997" i="11"/>
  <c r="G87" i="11"/>
  <c r="L88" i="11" s="1"/>
  <c r="BM286" i="11"/>
  <c r="J109" i="11"/>
  <c r="J97" i="11"/>
  <c r="O100" i="11" s="1"/>
  <c r="R111" i="11"/>
  <c r="R112" i="11" s="1"/>
  <c r="W110" i="11"/>
  <c r="G245" i="11"/>
  <c r="G119" i="11"/>
  <c r="AG74" i="11"/>
  <c r="AG82" i="11"/>
  <c r="AL83" i="11" s="1"/>
  <c r="AC742" i="11"/>
  <c r="AC168" i="11"/>
  <c r="AC644" i="11" s="1"/>
  <c r="AC645" i="11" s="1"/>
  <c r="AC628" i="11"/>
  <c r="BD209" i="11"/>
  <c r="BD217" i="11" s="1"/>
  <c r="AM517" i="11"/>
  <c r="AM520" i="11"/>
  <c r="Q209" i="11"/>
  <c r="Q217" i="11" s="1"/>
  <c r="AL556" i="11"/>
  <c r="AL238" i="11"/>
  <c r="D1262" i="9"/>
  <c r="D936" i="9" s="1"/>
  <c r="D1122" i="11"/>
  <c r="AJ1255" i="9"/>
  <c r="AJ1115" i="11"/>
  <c r="AV1262" i="9"/>
  <c r="AV1122" i="11"/>
  <c r="AZ936" i="9"/>
  <c r="AZ760" i="11"/>
  <c r="BG1262" i="9"/>
  <c r="BG1122" i="11"/>
  <c r="AO1248" i="9"/>
  <c r="AO1108" i="11"/>
  <c r="AG1248" i="9"/>
  <c r="AG1108" i="11"/>
  <c r="S1262" i="9"/>
  <c r="S1122" i="11"/>
  <c r="AS922" i="11"/>
  <c r="AO989" i="11"/>
  <c r="AO1001" i="11"/>
  <c r="I853" i="11"/>
  <c r="I696" i="11"/>
  <c r="BD907" i="11"/>
  <c r="BI973" i="11"/>
  <c r="BI1014" i="11"/>
  <c r="BH242" i="11"/>
  <c r="BH132" i="11"/>
  <c r="AP238" i="11"/>
  <c r="AP556" i="11"/>
  <c r="T238" i="11"/>
  <c r="T556" i="11"/>
  <c r="AV292" i="11"/>
  <c r="AV293" i="11"/>
  <c r="S910" i="11"/>
  <c r="BG238" i="11"/>
  <c r="BG556" i="11"/>
  <c r="BG115" i="11"/>
  <c r="BG116" i="11"/>
  <c r="BG143" i="11"/>
  <c r="BG166" i="11"/>
  <c r="G266" i="11"/>
  <c r="AA909" i="11"/>
  <c r="AI910" i="11"/>
  <c r="AY198" i="11"/>
  <c r="AY207" i="11" s="1"/>
  <c r="AY193" i="11"/>
  <c r="AY195" i="11"/>
  <c r="BP82" i="11"/>
  <c r="BF97" i="11"/>
  <c r="BF109" i="11"/>
  <c r="BF96" i="11"/>
  <c r="AF906" i="11"/>
  <c r="BD16" i="11"/>
  <c r="BI16" i="11"/>
  <c r="BO15" i="11"/>
  <c r="BO16" i="11" s="1"/>
  <c r="O96" i="11"/>
  <c r="H573" i="11"/>
  <c r="BI1011" i="11"/>
  <c r="L696" i="11"/>
  <c r="L853" i="11"/>
  <c r="AE909" i="11"/>
  <c r="L516" i="11"/>
  <c r="L513" i="11"/>
  <c r="L519" i="11"/>
  <c r="AZ907" i="11"/>
  <c r="AH245" i="11"/>
  <c r="AH119" i="11"/>
  <c r="AB909" i="11"/>
  <c r="AD516" i="11"/>
  <c r="AD513" i="11"/>
  <c r="AD519" i="11"/>
  <c r="BE251" i="11"/>
  <c r="BE161" i="11"/>
  <c r="BE244" i="11"/>
  <c r="BE167" i="11" s="1"/>
  <c r="BE239" i="11"/>
  <c r="BE162" i="11" s="1"/>
  <c r="BE209" i="11"/>
  <c r="BE217" i="11" s="1"/>
  <c r="L83" i="11"/>
  <c r="AW997" i="11"/>
  <c r="AW86" i="11"/>
  <c r="AW87" i="11"/>
  <c r="BB88" i="11" s="1"/>
  <c r="AZ245" i="11"/>
  <c r="AZ119" i="11"/>
  <c r="BA26" i="11"/>
  <c r="BF29" i="11"/>
  <c r="BA29" i="11"/>
  <c r="BA38" i="11"/>
  <c r="BA39" i="11" s="1"/>
  <c r="BD71" i="11"/>
  <c r="R100" i="11"/>
  <c r="I245" i="11"/>
  <c r="I119" i="11"/>
  <c r="BG245" i="11"/>
  <c r="BG119" i="11"/>
  <c r="AC998" i="11"/>
  <c r="AC123" i="11"/>
  <c r="U119" i="11"/>
  <c r="U245" i="11"/>
  <c r="AU195" i="11"/>
  <c r="AU198" i="11"/>
  <c r="AU207" i="11" s="1"/>
  <c r="AU193" i="11"/>
  <c r="BH238" i="11"/>
  <c r="BH556" i="11"/>
  <c r="AD111" i="11"/>
  <c r="AD112" i="11" s="1"/>
  <c r="AQ88" i="11"/>
  <c r="AB110" i="11"/>
  <c r="W111" i="11"/>
  <c r="W112" i="11" s="1"/>
  <c r="AA1262" i="9"/>
  <c r="AA1122" i="11"/>
  <c r="BB1248" i="9"/>
  <c r="BB1108" i="11"/>
  <c r="AJ936" i="9"/>
  <c r="AJ760" i="11"/>
  <c r="BI1255" i="9"/>
  <c r="BI1115" i="11"/>
  <c r="BA1255" i="9"/>
  <c r="BA1115" i="11"/>
  <c r="E1255" i="9"/>
  <c r="E935" i="9" s="1"/>
  <c r="E1115" i="11"/>
  <c r="AN989" i="11"/>
  <c r="AN1001" i="11"/>
  <c r="BI1012" i="11"/>
  <c r="BE887" i="11"/>
  <c r="AE925" i="11"/>
  <c r="AE927" i="11"/>
  <c r="AE916" i="11"/>
  <c r="AX910" i="11"/>
  <c r="AA853" i="11"/>
  <c r="AA696" i="11"/>
  <c r="BD908" i="11"/>
  <c r="H887" i="11"/>
  <c r="BG953" i="11"/>
  <c r="BG954" i="11" s="1"/>
  <c r="BG955" i="11" s="1"/>
  <c r="AP907" i="11"/>
  <c r="T906" i="11"/>
  <c r="AS27" i="11"/>
  <c r="AN27" i="11"/>
  <c r="AD978" i="11"/>
  <c r="AP193" i="11"/>
  <c r="AP195" i="11"/>
  <c r="AP198" i="11"/>
  <c r="AP207" i="11" s="1"/>
  <c r="AN184" i="11"/>
  <c r="AN188" i="11" s="1"/>
  <c r="AN190" i="11" s="1"/>
  <c r="AI908" i="11"/>
  <c r="AD198" i="11"/>
  <c r="AD207" i="11" s="1"/>
  <c r="AD195" i="11"/>
  <c r="AD193" i="11"/>
  <c r="AF119" i="11"/>
  <c r="AF245" i="11"/>
  <c r="AF908" i="11"/>
  <c r="H512" i="11"/>
  <c r="H517" i="11"/>
  <c r="O519" i="11"/>
  <c r="O516" i="11"/>
  <c r="O513" i="11"/>
  <c r="AE907" i="11"/>
  <c r="AZ909" i="11"/>
  <c r="AY556" i="11"/>
  <c r="AY238" i="11"/>
  <c r="BE565" i="11"/>
  <c r="AE75" i="11"/>
  <c r="T52" i="11"/>
  <c r="T50" i="11"/>
  <c r="T48" i="11"/>
  <c r="T64" i="11"/>
  <c r="AC143" i="11"/>
  <c r="AC166" i="11"/>
  <c r="AC116" i="11"/>
  <c r="AC115" i="11"/>
  <c r="BE245" i="11"/>
  <c r="BE119" i="11"/>
  <c r="BD245" i="11"/>
  <c r="BD119" i="11"/>
  <c r="Z910" i="11"/>
  <c r="BB83" i="11"/>
  <c r="AF110" i="11"/>
  <c r="AA111" i="11"/>
  <c r="AA112" i="11" s="1"/>
  <c r="P556" i="11"/>
  <c r="P238" i="11"/>
  <c r="AL930" i="11"/>
  <c r="AL165" i="11"/>
  <c r="AL114" i="11"/>
  <c r="Y845" i="11"/>
  <c r="U209" i="11"/>
  <c r="U217" i="11" s="1"/>
  <c r="AU239" i="11"/>
  <c r="AU162" i="11" s="1"/>
  <c r="AU251" i="11"/>
  <c r="AU161" i="11"/>
  <c r="AU244" i="11"/>
  <c r="AU167" i="11" s="1"/>
  <c r="AM907" i="11"/>
  <c r="BH520" i="11"/>
  <c r="BH517" i="11"/>
  <c r="AI36" i="11"/>
  <c r="AB100" i="11"/>
  <c r="W100" i="11"/>
  <c r="BB1255" i="9"/>
  <c r="BB1115" i="11"/>
  <c r="P1248" i="9"/>
  <c r="P1108" i="11"/>
  <c r="BF1255" i="9"/>
  <c r="BF1115" i="11"/>
  <c r="T1248" i="9"/>
  <c r="T1108" i="11"/>
  <c r="R935" i="9"/>
  <c r="R759" i="11"/>
  <c r="BI1248" i="9"/>
  <c r="BI1108" i="11"/>
  <c r="AG1255" i="9"/>
  <c r="AG1115" i="11"/>
  <c r="E1262" i="9"/>
  <c r="E936" i="9" s="1"/>
  <c r="E1122" i="11"/>
  <c r="AW1255" i="9"/>
  <c r="AW1115" i="11"/>
  <c r="BD927" i="11"/>
  <c r="BD916" i="11"/>
  <c r="BC994" i="11"/>
  <c r="BC488" i="11"/>
  <c r="V696" i="11"/>
  <c r="V853" i="11"/>
  <c r="Z1009" i="11"/>
  <c r="P743" i="11"/>
  <c r="P744" i="11"/>
  <c r="AQ517" i="11"/>
  <c r="AQ520" i="11"/>
  <c r="AX887" i="11"/>
  <c r="AP906" i="11"/>
  <c r="W887" i="11"/>
  <c r="T909" i="11"/>
  <c r="AQ195" i="11"/>
  <c r="AQ198" i="11"/>
  <c r="AQ207" i="11" s="1"/>
  <c r="AQ193" i="11"/>
  <c r="J47" i="11"/>
  <c r="J50" i="11" s="1"/>
  <c r="AL166" i="11"/>
  <c r="AL116" i="11"/>
  <c r="AL143" i="11"/>
  <c r="AL115" i="11"/>
  <c r="AQ96" i="11"/>
  <c r="AV96" i="11"/>
  <c r="AQ109" i="11"/>
  <c r="AQ97" i="11"/>
  <c r="AQ100" i="11" s="1"/>
  <c r="T910" i="11"/>
  <c r="X997" i="11"/>
  <c r="X87" i="11"/>
  <c r="AC88" i="11" s="1"/>
  <c r="X86" i="11"/>
  <c r="AF909" i="11"/>
  <c r="L930" i="11"/>
  <c r="L114" i="11"/>
  <c r="L165" i="11"/>
  <c r="AR997" i="11"/>
  <c r="AR87" i="11"/>
  <c r="AR86" i="11"/>
  <c r="AZ908" i="11"/>
  <c r="BA718" i="11"/>
  <c r="BA719" i="11" s="1"/>
  <c r="BA720" i="11" s="1"/>
  <c r="BA721" i="11" s="1"/>
  <c r="BA699" i="11"/>
  <c r="AB906" i="11"/>
  <c r="U718" i="11"/>
  <c r="U719" i="11" s="1"/>
  <c r="U720" i="11" s="1"/>
  <c r="U721" i="11" s="1"/>
  <c r="U699" i="11"/>
  <c r="T51" i="11"/>
  <c r="X538" i="11"/>
  <c r="W538" i="11"/>
  <c r="Z520" i="11"/>
  <c r="V538" i="11"/>
  <c r="Z538" i="11"/>
  <c r="Y538" i="11"/>
  <c r="Z512" i="11"/>
  <c r="AZ209" i="11"/>
  <c r="AZ217" i="11" s="1"/>
  <c r="AC244" i="11"/>
  <c r="AC167" i="11" s="1"/>
  <c r="AC251" i="11"/>
  <c r="AC161" i="11"/>
  <c r="AC239" i="11"/>
  <c r="AC162" i="11" s="1"/>
  <c r="AZ906" i="11"/>
  <c r="O238" i="11"/>
  <c r="O556" i="11"/>
  <c r="AC519" i="11"/>
  <c r="AC513" i="11"/>
  <c r="AC516" i="11"/>
  <c r="AL853" i="11"/>
  <c r="AL696" i="11"/>
  <c r="T887" i="11"/>
  <c r="H558" i="11"/>
  <c r="H561" i="11"/>
  <c r="O996" i="11"/>
  <c r="O67" i="11"/>
  <c r="O35" i="11"/>
  <c r="O36" i="11"/>
  <c r="Q35" i="11"/>
  <c r="AM908" i="11"/>
  <c r="BH907" i="11"/>
  <c r="BM901" i="11"/>
  <c r="BR901" i="11" s="1"/>
  <c r="BJ997" i="11"/>
  <c r="BJ86" i="11"/>
  <c r="BJ87" i="11"/>
  <c r="AV520" i="11"/>
  <c r="BD807" i="9"/>
  <c r="BD806" i="9"/>
  <c r="T778" i="9"/>
  <c r="T622" i="9"/>
  <c r="R778" i="9"/>
  <c r="R806" i="9" s="1"/>
  <c r="R622" i="9"/>
  <c r="S768" i="9"/>
  <c r="S635" i="9" s="1"/>
  <c r="BD622" i="9"/>
  <c r="AP1165" i="9"/>
  <c r="AA778" i="9"/>
  <c r="AA786" i="9" s="1"/>
  <c r="AA795" i="9" s="1"/>
  <c r="AA809" i="9" s="1"/>
  <c r="AA1165" i="9"/>
  <c r="S778" i="9"/>
  <c r="S786" i="9" s="1"/>
  <c r="S795" i="9" s="1"/>
  <c r="R768" i="9"/>
  <c r="R635" i="9" s="1"/>
  <c r="AP768" i="9"/>
  <c r="AP635" i="9" s="1"/>
  <c r="S622" i="9"/>
  <c r="AP778" i="9"/>
  <c r="AP786" i="9" s="1"/>
  <c r="AP795" i="9" s="1"/>
  <c r="AP1159" i="9" s="1"/>
  <c r="AJ1165" i="9"/>
  <c r="Q768" i="9"/>
  <c r="Q635" i="9" s="1"/>
  <c r="AJ768" i="9"/>
  <c r="AJ635" i="9" s="1"/>
  <c r="Q622" i="9"/>
  <c r="AD778" i="9"/>
  <c r="AD786" i="9" s="1"/>
  <c r="AD795" i="9" s="1"/>
  <c r="N352" i="9"/>
  <c r="N353" i="9" s="1"/>
  <c r="AD1165" i="9"/>
  <c r="AJ778" i="9"/>
  <c r="AJ807" i="9" s="1"/>
  <c r="AH807" i="9"/>
  <c r="Q778" i="9"/>
  <c r="Q806" i="9" s="1"/>
  <c r="T347" i="9"/>
  <c r="AQ768" i="9"/>
  <c r="AQ635" i="9" s="1"/>
  <c r="AQ778" i="9"/>
  <c r="AQ806" i="9" s="1"/>
  <c r="T806" i="9"/>
  <c r="AQ1165" i="9"/>
  <c r="AR806" i="9"/>
  <c r="AC353" i="9"/>
  <c r="AC366" i="9" s="1"/>
  <c r="AO348" i="9"/>
  <c r="AN1123" i="9"/>
  <c r="AP1171" i="9" s="1"/>
  <c r="N756" i="9"/>
  <c r="Z917" i="9"/>
  <c r="Y917" i="9"/>
  <c r="AZ1075" i="9"/>
  <c r="E756" i="9"/>
  <c r="E625" i="9" s="1"/>
  <c r="C1262" i="9"/>
  <c r="C936" i="9" s="1"/>
  <c r="A1262" i="9"/>
  <c r="C1248" i="9"/>
  <c r="C934" i="9" s="1"/>
  <c r="A1248" i="9"/>
  <c r="AX298" i="9"/>
  <c r="AX294" i="9"/>
  <c r="AX295" i="9"/>
  <c r="F1079" i="9"/>
  <c r="K1079" i="9"/>
  <c r="AQ300" i="9"/>
  <c r="AH681" i="9"/>
  <c r="AH693" i="9" s="1"/>
  <c r="AH646" i="9"/>
  <c r="AH648" i="9" s="1"/>
  <c r="AH1160" i="9" s="1"/>
  <c r="AH1165" i="9"/>
  <c r="AK1070" i="9"/>
  <c r="AK1077" i="9" s="1"/>
  <c r="U624" i="9"/>
  <c r="U1078" i="9"/>
  <c r="C485" i="9"/>
  <c r="AX1079" i="9"/>
  <c r="AA1101" i="9"/>
  <c r="AA1085" i="9" s="1"/>
  <c r="AA1086" i="9" s="1"/>
  <c r="AA1173" i="9"/>
  <c r="AY476" i="9"/>
  <c r="AY469" i="9"/>
  <c r="BN755" i="9"/>
  <c r="BJ624" i="9"/>
  <c r="X924" i="9"/>
  <c r="AY352" i="9"/>
  <c r="AY353" i="9" s="1"/>
  <c r="AY323" i="9"/>
  <c r="AY327" i="9" s="1"/>
  <c r="AB1080" i="9"/>
  <c r="BD870" i="9"/>
  <c r="BD865" i="9" s="1"/>
  <c r="N629" i="9"/>
  <c r="AL924" i="9"/>
  <c r="AK681" i="9"/>
  <c r="AK693" i="9" s="1"/>
  <c r="AK646" i="9"/>
  <c r="AK648" i="9" s="1"/>
  <c r="E25" i="9"/>
  <c r="D25" i="9"/>
  <c r="J710" i="9"/>
  <c r="J727" i="9" s="1"/>
  <c r="J650" i="9"/>
  <c r="BE469" i="9"/>
  <c r="BE476" i="9"/>
  <c r="BH998" i="9"/>
  <c r="AN998" i="9"/>
  <c r="BH633" i="9"/>
  <c r="Z1076" i="9"/>
  <c r="AO1183" i="9"/>
  <c r="D294" i="9"/>
  <c r="D297" i="9"/>
  <c r="D293" i="9"/>
  <c r="D298" i="9"/>
  <c r="D299" i="9"/>
  <c r="V1097" i="9"/>
  <c r="M1097" i="9"/>
  <c r="BF628" i="9"/>
  <c r="N323" i="9"/>
  <c r="N39" i="9" s="1"/>
  <c r="AX1077" i="9"/>
  <c r="AU1156" i="9"/>
  <c r="BB806" i="9"/>
  <c r="K628" i="9"/>
  <c r="R924" i="9"/>
  <c r="AE469" i="9"/>
  <c r="AE475" i="9" s="1"/>
  <c r="AE476" i="9"/>
  <c r="J1097" i="9"/>
  <c r="AA1077" i="9"/>
  <c r="R1075" i="9"/>
  <c r="BC294" i="9"/>
  <c r="AB1078" i="9"/>
  <c r="AA768" i="9"/>
  <c r="AA635" i="9" s="1"/>
  <c r="P426" i="9"/>
  <c r="AV917" i="9"/>
  <c r="AV376" i="9"/>
  <c r="AV378" i="9" s="1"/>
  <c r="H1030" i="9"/>
  <c r="H875" i="9" s="1"/>
  <c r="H873" i="9"/>
  <c r="R624" i="9"/>
  <c r="V756" i="9"/>
  <c r="V625" i="9" s="1"/>
  <c r="V624" i="9"/>
  <c r="J924" i="9"/>
  <c r="AO870" i="9"/>
  <c r="AT917" i="9"/>
  <c r="R629" i="9"/>
  <c r="J756" i="9"/>
  <c r="J763" i="9" s="1"/>
  <c r="BJ727" i="9"/>
  <c r="BB395" i="9"/>
  <c r="BG395" i="9"/>
  <c r="P624" i="9"/>
  <c r="U1181" i="9"/>
  <c r="BF1171" i="9"/>
  <c r="BF1156" i="9"/>
  <c r="BI349" i="9"/>
  <c r="BI350" i="9" s="1"/>
  <c r="BI348" i="9"/>
  <c r="BI347" i="9"/>
  <c r="AG646" i="9"/>
  <c r="AG648" i="9" s="1"/>
  <c r="AG681" i="9"/>
  <c r="AG693" i="9" s="1"/>
  <c r="AU300" i="9"/>
  <c r="F346" i="9"/>
  <c r="F333" i="9"/>
  <c r="R1078" i="9"/>
  <c r="N807" i="9"/>
  <c r="BF373" i="9"/>
  <c r="BF761" i="9" s="1"/>
  <c r="BF629" i="9" s="1"/>
  <c r="BB328" i="9"/>
  <c r="BB307" i="9"/>
  <c r="BF681" i="9"/>
  <c r="BF693" i="9" s="1"/>
  <c r="BF646" i="9"/>
  <c r="BF648" i="9" s="1"/>
  <c r="AS17" i="9"/>
  <c r="N806" i="9"/>
  <c r="P436" i="9"/>
  <c r="U436" i="9"/>
  <c r="C1165" i="9"/>
  <c r="C778" i="9"/>
  <c r="C786" i="9" s="1"/>
  <c r="C795" i="9" s="1"/>
  <c r="C1160" i="9" s="1"/>
  <c r="C768" i="9"/>
  <c r="C635" i="9" s="1"/>
  <c r="C622" i="9"/>
  <c r="R1079" i="9"/>
  <c r="V1080" i="9"/>
  <c r="BH1019" i="9"/>
  <c r="J1156" i="9"/>
  <c r="AX882" i="9"/>
  <c r="AX1176" i="9" s="1"/>
  <c r="AX1039" i="9"/>
  <c r="AP388" i="9"/>
  <c r="AS394" i="9"/>
  <c r="BE778" i="9"/>
  <c r="BE768" i="9"/>
  <c r="BE635" i="9" s="1"/>
  <c r="BE622" i="9"/>
  <c r="AQ681" i="9"/>
  <c r="AQ693" i="9" s="1"/>
  <c r="AQ646" i="9"/>
  <c r="AQ648" i="9" s="1"/>
  <c r="AY924" i="9"/>
  <c r="AD1078" i="9"/>
  <c r="AV1073" i="9"/>
  <c r="AV1071" i="9"/>
  <c r="AV1078" i="9" s="1"/>
  <c r="AV1070" i="9"/>
  <c r="AV1077" i="9" s="1"/>
  <c r="AW1071" i="9"/>
  <c r="AW1078" i="9" s="1"/>
  <c r="AS1071" i="9"/>
  <c r="AS1078" i="9" s="1"/>
  <c r="AS891" i="9"/>
  <c r="AV1068" i="9"/>
  <c r="AV1075" i="9" s="1"/>
  <c r="AS621" i="9"/>
  <c r="AS1174" i="9" s="1"/>
  <c r="AQ305" i="9"/>
  <c r="AQ316" i="9"/>
  <c r="AI873" i="9"/>
  <c r="AI1030" i="9"/>
  <c r="AI875" i="9" s="1"/>
  <c r="T1077" i="9"/>
  <c r="AB1171" i="9"/>
  <c r="AG1078" i="9"/>
  <c r="BB756" i="9"/>
  <c r="BB763" i="9" s="1"/>
  <c r="BB624" i="9"/>
  <c r="AY629" i="9"/>
  <c r="S1077" i="9"/>
  <c r="D296" i="9"/>
  <c r="W1171" i="9"/>
  <c r="T328" i="9"/>
  <c r="O436" i="9"/>
  <c r="L314" i="9"/>
  <c r="L316" i="9"/>
  <c r="L323" i="9" s="1"/>
  <c r="AS1068" i="9"/>
  <c r="AS1075" i="9" s="1"/>
  <c r="AU924" i="9"/>
  <c r="AM1071" i="9"/>
  <c r="AM1078" i="9" s="1"/>
  <c r="AL1070" i="9"/>
  <c r="AL1077" i="9" s="1"/>
  <c r="AM1069" i="9"/>
  <c r="AM1076" i="9" s="1"/>
  <c r="V1079" i="9"/>
  <c r="BB1076" i="9"/>
  <c r="AF1075" i="9"/>
  <c r="E920" i="9"/>
  <c r="E921" i="9"/>
  <c r="AA1176" i="9"/>
  <c r="AB1075" i="9"/>
  <c r="AZ1171" i="9"/>
  <c r="AV1171" i="9"/>
  <c r="AB1030" i="9"/>
  <c r="AB875" i="9" s="1"/>
  <c r="AB873" i="9"/>
  <c r="AB893" i="9" s="1"/>
  <c r="AB894" i="9" s="1"/>
  <c r="AB895" i="9" s="1"/>
  <c r="AB896" i="9" s="1"/>
  <c r="C1173" i="9"/>
  <c r="V1171" i="9"/>
  <c r="AT1101" i="9"/>
  <c r="AT1085" i="9" s="1"/>
  <c r="AT1086" i="9" s="1"/>
  <c r="AT1183" i="9"/>
  <c r="AU628" i="9"/>
  <c r="AJ467" i="9"/>
  <c r="AO465" i="9" s="1"/>
  <c r="AO467" i="9" s="1"/>
  <c r="AT465" i="9" s="1"/>
  <c r="AT467" i="9" s="1"/>
  <c r="AY465" i="9" s="1"/>
  <c r="BB308" i="9"/>
  <c r="AU1076" i="9"/>
  <c r="AJ646" i="9"/>
  <c r="AJ648" i="9" s="1"/>
  <c r="AJ681" i="9"/>
  <c r="AJ693" i="9" s="1"/>
  <c r="AN469" i="9"/>
  <c r="AN476" i="9"/>
  <c r="U843" i="9"/>
  <c r="BG1068" i="9"/>
  <c r="BC891" i="9"/>
  <c r="BG1073" i="9"/>
  <c r="BG1080" i="9" s="1"/>
  <c r="BA373" i="9"/>
  <c r="BA761" i="9" s="1"/>
  <c r="BA629" i="9" s="1"/>
  <c r="AY1078" i="9"/>
  <c r="AS1163" i="9"/>
  <c r="C349" i="9"/>
  <c r="J1095" i="9"/>
  <c r="AS473" i="9"/>
  <c r="C925" i="9"/>
  <c r="C926" i="9" s="1"/>
  <c r="Z848" i="9"/>
  <c r="Z843" i="9" s="1"/>
  <c r="S347" i="9"/>
  <c r="S348" i="9"/>
  <c r="AX469" i="9"/>
  <c r="AX476" i="9"/>
  <c r="AI1154" i="9"/>
  <c r="D295" i="9"/>
  <c r="AX1076" i="9"/>
  <c r="U710" i="9"/>
  <c r="U727" i="9" s="1"/>
  <c r="AB924" i="9"/>
  <c r="AU1068" i="9"/>
  <c r="AW39" i="9"/>
  <c r="P843" i="9"/>
  <c r="BI756" i="9"/>
  <c r="BI625" i="9" s="1"/>
  <c r="Z1075" i="9"/>
  <c r="BJ1071" i="9"/>
  <c r="BJ1078" i="9" s="1"/>
  <c r="AH378" i="9"/>
  <c r="AP476" i="9"/>
  <c r="AP469" i="9"/>
  <c r="BD1080" i="9"/>
  <c r="Z25" i="9"/>
  <c r="I1057" i="9"/>
  <c r="N1176" i="9"/>
  <c r="AM476" i="9"/>
  <c r="AM477" i="9" s="1"/>
  <c r="M1176" i="9"/>
  <c r="AW395" i="9"/>
  <c r="AX1173" i="9"/>
  <c r="AS634" i="9"/>
  <c r="AA1097" i="9"/>
  <c r="BD477" i="9"/>
  <c r="AY681" i="9"/>
  <c r="AY693" i="9" s="1"/>
  <c r="AY646" i="9"/>
  <c r="AY648" i="9" s="1"/>
  <c r="AX998" i="9"/>
  <c r="K1078" i="9"/>
  <c r="AZ1077" i="9"/>
  <c r="AE25" i="9"/>
  <c r="BA1173" i="9"/>
  <c r="AP756" i="9"/>
  <c r="AP763" i="9" s="1"/>
  <c r="BH621" i="9"/>
  <c r="BH1174" i="9" s="1"/>
  <c r="W628" i="9"/>
  <c r="AN17" i="9"/>
  <c r="N646" i="9"/>
  <c r="N648" i="9" s="1"/>
  <c r="AV347" i="9"/>
  <c r="L629" i="9"/>
  <c r="AB667" i="9"/>
  <c r="Z483" i="9"/>
  <c r="Z485" i="9" s="1"/>
  <c r="Y479" i="9"/>
  <c r="Y483" i="9" s="1"/>
  <c r="Y485" i="9" s="1"/>
  <c r="AB1079" i="9"/>
  <c r="N628" i="9"/>
  <c r="G316" i="9"/>
  <c r="G305" i="9"/>
  <c r="BI469" i="9"/>
  <c r="BI476" i="9"/>
  <c r="AT870" i="9"/>
  <c r="AT865" i="9" s="1"/>
  <c r="Z1030" i="9"/>
  <c r="Z875" i="9" s="1"/>
  <c r="Z873" i="9"/>
  <c r="AC323" i="9"/>
  <c r="V1156" i="9"/>
  <c r="J998" i="9"/>
  <c r="Z426" i="9"/>
  <c r="Y1123" i="9"/>
  <c r="AQ628" i="9"/>
  <c r="BE373" i="9"/>
  <c r="BE761" i="9" s="1"/>
  <c r="BE629" i="9" s="1"/>
  <c r="AV756" i="9"/>
  <c r="K1077" i="9"/>
  <c r="BA395" i="9"/>
  <c r="BD1078" i="9"/>
  <c r="AE1030" i="9"/>
  <c r="AE875" i="9" s="1"/>
  <c r="AY624" i="9"/>
  <c r="E1076" i="9"/>
  <c r="AX1086" i="9"/>
  <c r="U870" i="9"/>
  <c r="U865" i="9" s="1"/>
  <c r="G477" i="9"/>
  <c r="AO756" i="9"/>
  <c r="AO763" i="9" s="1"/>
  <c r="AX1075" i="9"/>
  <c r="Z1077" i="9"/>
  <c r="AA305" i="9"/>
  <c r="AA316" i="9"/>
  <c r="AH1080" i="9"/>
  <c r="AT426" i="9"/>
  <c r="X756" i="9"/>
  <c r="X763" i="9" s="1"/>
  <c r="AQ373" i="9"/>
  <c r="AQ761" i="9" s="1"/>
  <c r="AQ629" i="9" s="1"/>
  <c r="AY1181" i="9"/>
  <c r="AT300" i="9"/>
  <c r="P242" i="9"/>
  <c r="AY1057" i="9"/>
  <c r="AH477" i="9"/>
  <c r="AY628" i="9"/>
  <c r="V1078" i="9"/>
  <c r="W629" i="9"/>
  <c r="AP391" i="9"/>
  <c r="Z629" i="9"/>
  <c r="AH1077" i="9"/>
  <c r="AV436" i="9"/>
  <c r="AX17" i="9"/>
  <c r="AA624" i="9"/>
  <c r="BF395" i="9"/>
  <c r="AJ1156" i="9"/>
  <c r="BI628" i="9"/>
  <c r="AM628" i="9"/>
  <c r="AJ485" i="9"/>
  <c r="E1080" i="9"/>
  <c r="T1078" i="9"/>
  <c r="AZ316" i="9"/>
  <c r="AZ305" i="9"/>
  <c r="AZ307" i="9" s="1"/>
  <c r="A1255" i="9"/>
  <c r="T1030" i="9"/>
  <c r="T875" i="9" s="1"/>
  <c r="T873" i="9"/>
  <c r="U1179" i="9"/>
  <c r="N1171" i="9"/>
  <c r="AY1075" i="9"/>
  <c r="BD1075" i="9"/>
  <c r="AJ316" i="9"/>
  <c r="AJ305" i="9"/>
  <c r="AE1079" i="9"/>
  <c r="AJ1079" i="9"/>
  <c r="R917" i="9"/>
  <c r="R376" i="9"/>
  <c r="R378" i="9" s="1"/>
  <c r="BE917" i="9"/>
  <c r="BE376" i="9"/>
  <c r="BE378" i="9" s="1"/>
  <c r="D267" i="9"/>
  <c r="D116" i="9"/>
  <c r="D115" i="9"/>
  <c r="E110" i="9"/>
  <c r="E113" i="9" s="1"/>
  <c r="D132" i="9"/>
  <c r="E118" i="9"/>
  <c r="Q624" i="9"/>
  <c r="AT469" i="9"/>
  <c r="AT476" i="9"/>
  <c r="Q875" i="9"/>
  <c r="AV1030" i="9"/>
  <c r="AV875" i="9" s="1"/>
  <c r="AV873" i="9"/>
  <c r="AX348" i="9"/>
  <c r="AX347" i="9"/>
  <c r="Q893" i="9"/>
  <c r="Q894" i="9" s="1"/>
  <c r="Q895" i="9" s="1"/>
  <c r="Q896" i="9" s="1"/>
  <c r="Q876" i="9"/>
  <c r="Q924" i="9"/>
  <c r="AA349" i="9"/>
  <c r="AA348" i="9"/>
  <c r="AA347" i="9"/>
  <c r="AF1171" i="9"/>
  <c r="AF1156" i="9"/>
  <c r="J305" i="9"/>
  <c r="O307" i="9" s="1"/>
  <c r="J316" i="9"/>
  <c r="BA1030" i="9"/>
  <c r="BA873" i="9"/>
  <c r="J399" i="9"/>
  <c r="J36" i="9"/>
  <c r="AI886" i="9"/>
  <c r="AI1054" i="9"/>
  <c r="K768" i="9"/>
  <c r="K635" i="9" s="1"/>
  <c r="K778" i="9"/>
  <c r="K622" i="9"/>
  <c r="K1165" i="9"/>
  <c r="BP1146" i="9"/>
  <c r="BB346" i="9"/>
  <c r="BB352" i="9"/>
  <c r="BB353" i="9" s="1"/>
  <c r="AS624" i="9"/>
  <c r="T763" i="9"/>
  <c r="T625" i="9"/>
  <c r="AF475" i="9"/>
  <c r="AF477" i="9" s="1"/>
  <c r="AF470" i="9"/>
  <c r="AA1079" i="9"/>
  <c r="AF1079" i="9"/>
  <c r="D300" i="9"/>
  <c r="BB628" i="9"/>
  <c r="AM327" i="9"/>
  <c r="AM39" i="9"/>
  <c r="W681" i="9"/>
  <c r="W693" i="9" s="1"/>
  <c r="W646" i="9"/>
  <c r="W648" i="9" s="1"/>
  <c r="F34" i="9"/>
  <c r="K34" i="9"/>
  <c r="BF348" i="9"/>
  <c r="BF347" i="9"/>
  <c r="J1266" i="9"/>
  <c r="J1252" i="9"/>
  <c r="J1264" i="9"/>
  <c r="J1259" i="9"/>
  <c r="J1250" i="9"/>
  <c r="J1257" i="9"/>
  <c r="AU1160" i="9"/>
  <c r="AU650" i="9"/>
  <c r="AU710" i="9"/>
  <c r="AU727" i="9" s="1"/>
  <c r="D612" i="9"/>
  <c r="D271" i="9"/>
  <c r="E608" i="9"/>
  <c r="E611" i="9" s="1"/>
  <c r="D613" i="9"/>
  <c r="AO426" i="9"/>
  <c r="AN1246" i="9"/>
  <c r="AF349" i="9"/>
  <c r="AF347" i="9"/>
  <c r="AF348" i="9"/>
  <c r="AG469" i="9"/>
  <c r="AG476" i="9"/>
  <c r="BI1097" i="9"/>
  <c r="BI1095" i="9"/>
  <c r="BI1086" i="9"/>
  <c r="AU1101" i="9"/>
  <c r="AU1085" i="9" s="1"/>
  <c r="AU1086" i="9" s="1"/>
  <c r="AU1173" i="9"/>
  <c r="AN917" i="9"/>
  <c r="AN376" i="9"/>
  <c r="AN378" i="9" s="1"/>
  <c r="T469" i="9"/>
  <c r="T476" i="9"/>
  <c r="AT348" i="9"/>
  <c r="AT347" i="9"/>
  <c r="AJ1077" i="9"/>
  <c r="AI876" i="9"/>
  <c r="AI893" i="9"/>
  <c r="AI894" i="9" s="1"/>
  <c r="AI895" i="9" s="1"/>
  <c r="AW41" i="9"/>
  <c r="K629" i="9"/>
  <c r="AK1171" i="9"/>
  <c r="S873" i="9"/>
  <c r="S1030" i="9"/>
  <c r="G408" i="9"/>
  <c r="C405" i="9"/>
  <c r="P763" i="9"/>
  <c r="P625" i="9"/>
  <c r="U348" i="9"/>
  <c r="U349" i="9"/>
  <c r="U347" i="9"/>
  <c r="AD634" i="9"/>
  <c r="AD768" i="9"/>
  <c r="AD635" i="9" s="1"/>
  <c r="AZ373" i="9"/>
  <c r="AZ761" i="9" s="1"/>
  <c r="AZ629" i="9" s="1"/>
  <c r="AR308" i="9"/>
  <c r="AR307" i="9"/>
  <c r="AR328" i="9"/>
  <c r="AW328" i="9"/>
  <c r="AW307" i="9"/>
  <c r="AW308" i="9"/>
  <c r="M710" i="9"/>
  <c r="M727" i="9" s="1"/>
  <c r="M650" i="9"/>
  <c r="BG316" i="9"/>
  <c r="BG305" i="9"/>
  <c r="H763" i="9"/>
  <c r="H625" i="9"/>
  <c r="W1101" i="9"/>
  <c r="W1085" i="9" s="1"/>
  <c r="W1086" i="9" s="1"/>
  <c r="W1173" i="9"/>
  <c r="W1176" i="9"/>
  <c r="BC917" i="9"/>
  <c r="BC376" i="9"/>
  <c r="BC378" i="9" s="1"/>
  <c r="P316" i="9"/>
  <c r="P305" i="9"/>
  <c r="AX397" i="9"/>
  <c r="AX1163" i="9"/>
  <c r="AX390" i="9"/>
  <c r="AX37" i="9" s="1"/>
  <c r="AX394" i="9"/>
  <c r="BC390" i="9"/>
  <c r="BC37" i="9" s="1"/>
  <c r="AV924" i="9"/>
  <c r="AR323" i="9"/>
  <c r="AR352" i="9"/>
  <c r="AR353" i="9" s="1"/>
  <c r="U308" i="9"/>
  <c r="Y1077" i="9"/>
  <c r="AD1077" i="9"/>
  <c r="BG469" i="9"/>
  <c r="BG476" i="9"/>
  <c r="BJ629" i="9"/>
  <c r="BN761" i="9"/>
  <c r="AF34" i="9"/>
  <c r="BH300" i="9"/>
  <c r="BA34" i="9"/>
  <c r="H624" i="9"/>
  <c r="AE293" i="9"/>
  <c r="AE299" i="9"/>
  <c r="AE294" i="9"/>
  <c r="AE297" i="9"/>
  <c r="AE296" i="9"/>
  <c r="AE295" i="9"/>
  <c r="L349" i="9"/>
  <c r="L347" i="9"/>
  <c r="L348" i="9"/>
  <c r="Z305" i="9"/>
  <c r="Z316" i="9"/>
  <c r="U352" i="9"/>
  <c r="U353" i="9" s="1"/>
  <c r="U323" i="9"/>
  <c r="S1080" i="9"/>
  <c r="M622" i="9"/>
  <c r="M778" i="9"/>
  <c r="M806" i="9" s="1"/>
  <c r="M768" i="9"/>
  <c r="M635" i="9" s="1"/>
  <c r="M1165" i="9"/>
  <c r="AN201" i="9"/>
  <c r="AN200" i="9" s="1"/>
  <c r="AN215" i="9"/>
  <c r="AS201" i="9"/>
  <c r="AS200" i="9" s="1"/>
  <c r="AS215" i="9"/>
  <c r="C228" i="9"/>
  <c r="D222" i="9"/>
  <c r="D225" i="9" s="1"/>
  <c r="C236" i="9"/>
  <c r="D234" i="9" s="1"/>
  <c r="C269" i="9"/>
  <c r="C272" i="9" s="1"/>
  <c r="BI1030" i="9"/>
  <c r="BI875" i="9" s="1"/>
  <c r="BI873" i="9"/>
  <c r="AB328" i="9"/>
  <c r="W349" i="9"/>
  <c r="BF1077" i="9"/>
  <c r="BK1070" i="9"/>
  <c r="BP1070" i="9" s="1"/>
  <c r="Z34" i="9"/>
  <c r="AV1165" i="9"/>
  <c r="AV768" i="9"/>
  <c r="AV635" i="9" s="1"/>
  <c r="AV622" i="9"/>
  <c r="AV778" i="9"/>
  <c r="BH1171" i="9"/>
  <c r="BH1156" i="9"/>
  <c r="BG1171" i="9"/>
  <c r="AE1171" i="9"/>
  <c r="AE1156" i="9"/>
  <c r="AH1097" i="9"/>
  <c r="AH1086" i="9"/>
  <c r="AE314" i="9"/>
  <c r="AE316" i="9"/>
  <c r="AJ1181" i="9"/>
  <c r="AL1030" i="9"/>
  <c r="AL873" i="9"/>
  <c r="P778" i="9"/>
  <c r="P622" i="9"/>
  <c r="P1165" i="9"/>
  <c r="P768" i="9"/>
  <c r="P635" i="9" s="1"/>
  <c r="AU1159" i="9"/>
  <c r="AU809" i="9"/>
  <c r="AU801" i="9"/>
  <c r="AI908" i="9"/>
  <c r="AI1162" i="9"/>
  <c r="AJ917" i="9"/>
  <c r="AI917" i="9"/>
  <c r="AE242" i="9"/>
  <c r="AJ242" i="9"/>
  <c r="AJ241" i="9" s="1"/>
  <c r="AX763" i="9"/>
  <c r="AX625" i="9"/>
  <c r="M347" i="9"/>
  <c r="M348" i="9"/>
  <c r="M349" i="9"/>
  <c r="BG300" i="9"/>
  <c r="Z760" i="9"/>
  <c r="Z628" i="9" s="1"/>
  <c r="AB308" i="9"/>
  <c r="AB307" i="9"/>
  <c r="AG308" i="9"/>
  <c r="AG328" i="9"/>
  <c r="AG307" i="9"/>
  <c r="AV1097" i="9"/>
  <c r="AV1086" i="9"/>
  <c r="AM347" i="9"/>
  <c r="AM349" i="9"/>
  <c r="AM348" i="9"/>
  <c r="Z1165" i="9"/>
  <c r="Z622" i="9"/>
  <c r="Z778" i="9"/>
  <c r="Z768" i="9"/>
  <c r="Z635" i="9" s="1"/>
  <c r="AS305" i="9"/>
  <c r="AS349" i="9" s="1"/>
  <c r="AS316" i="9"/>
  <c r="E624" i="9"/>
  <c r="AX1171" i="9"/>
  <c r="AQ1097" i="9"/>
  <c r="J624" i="9"/>
  <c r="AK1097" i="9"/>
  <c r="AK1086" i="9"/>
  <c r="AK1095" i="9"/>
  <c r="J882" i="9"/>
  <c r="J1039" i="9"/>
  <c r="K1181" i="9" s="1"/>
  <c r="AZ1078" i="9"/>
  <c r="K624" i="9"/>
  <c r="AX305" i="9"/>
  <c r="AX349" i="9" s="1"/>
  <c r="AX316" i="9"/>
  <c r="AV1095" i="9"/>
  <c r="BS1181" i="9"/>
  <c r="BF624" i="9"/>
  <c r="AE897" i="9"/>
  <c r="AE877" i="9"/>
  <c r="AE930" i="9" s="1"/>
  <c r="AE874" i="9"/>
  <c r="AX781" i="9"/>
  <c r="AN1076" i="9"/>
  <c r="S352" i="9"/>
  <c r="S353" i="9" s="1"/>
  <c r="S323" i="9"/>
  <c r="E629" i="9"/>
  <c r="BE1095" i="9"/>
  <c r="AT1080" i="9"/>
  <c r="AY1080" i="9"/>
  <c r="AZ873" i="9"/>
  <c r="AZ1030" i="9"/>
  <c r="BD1179" i="9"/>
  <c r="AN756" i="9"/>
  <c r="AL756" i="9"/>
  <c r="AL628" i="9"/>
  <c r="AL624" i="9"/>
  <c r="BL230" i="9"/>
  <c r="BK443" i="9"/>
  <c r="BK232" i="9"/>
  <c r="O1266" i="9"/>
  <c r="O1250" i="9"/>
  <c r="O1259" i="9"/>
  <c r="O1257" i="9"/>
  <c r="O1264" i="9"/>
  <c r="O1252" i="9"/>
  <c r="BE349" i="9"/>
  <c r="BE348" i="9"/>
  <c r="BE347" i="9"/>
  <c r="U295" i="9"/>
  <c r="U299" i="9"/>
  <c r="U294" i="9"/>
  <c r="U293" i="9"/>
  <c r="U297" i="9"/>
  <c r="U296" i="9"/>
  <c r="U34" i="9"/>
  <c r="AS34" i="9"/>
  <c r="AX34" i="9"/>
  <c r="AJ25" i="9"/>
  <c r="V475" i="9"/>
  <c r="V477" i="9" s="1"/>
  <c r="V470" i="9"/>
  <c r="AT843" i="9"/>
  <c r="AM1095" i="9"/>
  <c r="AM1086" i="9"/>
  <c r="AM1097" i="9"/>
  <c r="E1001" i="9"/>
  <c r="F1000" i="9" s="1"/>
  <c r="Z1179" i="9"/>
  <c r="V1030" i="9"/>
  <c r="V873" i="9"/>
  <c r="U1182" i="9"/>
  <c r="Q1057" i="9"/>
  <c r="AA917" i="9"/>
  <c r="AA376" i="9"/>
  <c r="BI34" i="9"/>
  <c r="O479" i="9"/>
  <c r="O483" i="9" s="1"/>
  <c r="O485" i="9" s="1"/>
  <c r="P483" i="9"/>
  <c r="P485" i="9" s="1"/>
  <c r="BC1266" i="9"/>
  <c r="BC1259" i="9"/>
  <c r="BC1264" i="9"/>
  <c r="BC1257" i="9"/>
  <c r="BC1250" i="9"/>
  <c r="BC1252" i="9"/>
  <c r="AK347" i="9"/>
  <c r="AK348" i="9"/>
  <c r="AP347" i="9"/>
  <c r="AL768" i="9"/>
  <c r="AL635" i="9" s="1"/>
  <c r="AL778" i="9"/>
  <c r="AL622" i="9"/>
  <c r="AL1165" i="9"/>
  <c r="AI1073" i="9"/>
  <c r="AI1069" i="9"/>
  <c r="AI1076" i="9" s="1"/>
  <c r="AI1071" i="9"/>
  <c r="AI1078" i="9" s="1"/>
  <c r="AI762" i="9"/>
  <c r="AI751" i="9"/>
  <c r="AI756" i="9" s="1"/>
  <c r="AI30" i="9"/>
  <c r="AI303" i="9"/>
  <c r="AI1068" i="9"/>
  <c r="AI1075" i="9" s="1"/>
  <c r="AI1072" i="9"/>
  <c r="AI473" i="9"/>
  <c r="AI633" i="9"/>
  <c r="AI1070" i="9"/>
  <c r="AL1071" i="9"/>
  <c r="AI618" i="9"/>
  <c r="AI619" i="9" s="1"/>
  <c r="AL1073" i="9"/>
  <c r="AM1070" i="9"/>
  <c r="AI621" i="9"/>
  <c r="AI1174" i="9" s="1"/>
  <c r="AI891" i="9"/>
  <c r="AI1163" i="9"/>
  <c r="AM1068" i="9"/>
  <c r="AM1075" i="9" s="1"/>
  <c r="AK1068" i="9"/>
  <c r="AK1075" i="9" s="1"/>
  <c r="AK1069" i="9"/>
  <c r="AK1076" i="9" s="1"/>
  <c r="AM1073" i="9"/>
  <c r="AK1071" i="9"/>
  <c r="AK1072" i="9"/>
  <c r="AK1079" i="9" s="1"/>
  <c r="R873" i="9"/>
  <c r="R1030" i="9"/>
  <c r="R875" i="9" s="1"/>
  <c r="BE300" i="9"/>
  <c r="AP710" i="9"/>
  <c r="AP727" i="9" s="1"/>
  <c r="AP650" i="9"/>
  <c r="U242" i="9"/>
  <c r="AY1183" i="9"/>
  <c r="O917" i="9"/>
  <c r="O376" i="9"/>
  <c r="O378" i="9" s="1"/>
  <c r="BC28" i="9"/>
  <c r="BH28" i="9"/>
  <c r="BB917" i="9"/>
  <c r="BB376" i="9"/>
  <c r="BB378" i="9" s="1"/>
  <c r="BC762" i="9"/>
  <c r="BC473" i="9"/>
  <c r="BC1073" i="9"/>
  <c r="BC1080" i="9" s="1"/>
  <c r="BC1072" i="9"/>
  <c r="BC1079" i="9" s="1"/>
  <c r="BC1071" i="9"/>
  <c r="BC1078" i="9" s="1"/>
  <c r="BC30" i="9"/>
  <c r="BC751" i="9"/>
  <c r="BC756" i="9" s="1"/>
  <c r="BC1069" i="9"/>
  <c r="BC1076" i="9" s="1"/>
  <c r="BE1070" i="9"/>
  <c r="BE1077" i="9" s="1"/>
  <c r="BC1068" i="9"/>
  <c r="BC303" i="9"/>
  <c r="BC618" i="9"/>
  <c r="BC619" i="9" s="1"/>
  <c r="BC621" i="9"/>
  <c r="BC1174" i="9" s="1"/>
  <c r="BF1072" i="9"/>
  <c r="BG1071" i="9"/>
  <c r="BE1069" i="9"/>
  <c r="BE1076" i="9" s="1"/>
  <c r="BF1071" i="9"/>
  <c r="BE1071" i="9"/>
  <c r="BE1078" i="9" s="1"/>
  <c r="BC633" i="9"/>
  <c r="BG1070" i="9"/>
  <c r="BE1073" i="9"/>
  <c r="BE1080" i="9" s="1"/>
  <c r="BE1072" i="9"/>
  <c r="BE1079" i="9" s="1"/>
  <c r="BG1072" i="9"/>
  <c r="BF1069" i="9"/>
  <c r="BF1068" i="9"/>
  <c r="BE1068" i="9"/>
  <c r="BE1075" i="9" s="1"/>
  <c r="V307" i="9"/>
  <c r="AA307" i="9"/>
  <c r="AA328" i="9"/>
  <c r="AA308" i="9"/>
  <c r="BG917" i="9"/>
  <c r="BG376" i="9"/>
  <c r="BG378" i="9" s="1"/>
  <c r="AK316" i="9"/>
  <c r="AK305" i="9"/>
  <c r="BA1165" i="9"/>
  <c r="BA778" i="9"/>
  <c r="BA806" i="9" s="1"/>
  <c r="BA768" i="9"/>
  <c r="BA635" i="9" s="1"/>
  <c r="BA622" i="9"/>
  <c r="X1076" i="9"/>
  <c r="AX624" i="9"/>
  <c r="AT34" i="9"/>
  <c r="AA1078" i="9"/>
  <c r="AF1078" i="9"/>
  <c r="AX13" i="9"/>
  <c r="Z1266" i="9"/>
  <c r="Z1259" i="9"/>
  <c r="Z1252" i="9"/>
  <c r="Z1250" i="9"/>
  <c r="Z1257" i="9"/>
  <c r="Z1264" i="9"/>
  <c r="AD1095" i="9"/>
  <c r="AD1086" i="9"/>
  <c r="AD1097" i="9"/>
  <c r="AM681" i="9"/>
  <c r="AM693" i="9" s="1"/>
  <c r="AM646" i="9"/>
  <c r="AM648" i="9" s="1"/>
  <c r="AW1057" i="9"/>
  <c r="O481" i="9"/>
  <c r="O484" i="9" s="1"/>
  <c r="O1123" i="9"/>
  <c r="Q1171" i="9" s="1"/>
  <c r="AJ625" i="9"/>
  <c r="AJ763" i="9"/>
  <c r="AY39" i="9"/>
  <c r="BD326" i="9"/>
  <c r="J908" i="9"/>
  <c r="J1162" i="9"/>
  <c r="J917" i="9"/>
  <c r="AD305" i="9"/>
  <c r="AD349" i="9" s="1"/>
  <c r="AD316" i="9"/>
  <c r="W475" i="9"/>
  <c r="W477" i="9" s="1"/>
  <c r="W470" i="9"/>
  <c r="D174" i="9"/>
  <c r="C188" i="9"/>
  <c r="D184" i="9" s="1"/>
  <c r="C172" i="9"/>
  <c r="C268" i="9"/>
  <c r="D166" i="9"/>
  <c r="D169" i="9" s="1"/>
  <c r="AS650" i="9"/>
  <c r="AS710" i="9"/>
  <c r="AS727" i="9" s="1"/>
  <c r="AG1030" i="9"/>
  <c r="AG873" i="9"/>
  <c r="E628" i="9"/>
  <c r="AT624" i="9"/>
  <c r="BH215" i="9"/>
  <c r="BH201" i="9"/>
  <c r="BH200" i="9" s="1"/>
  <c r="BN197" i="9"/>
  <c r="BN276" i="9" s="1"/>
  <c r="BN20" i="9" s="1"/>
  <c r="D873" i="9"/>
  <c r="D1030" i="9"/>
  <c r="D875" i="9" s="1"/>
  <c r="BJ1264" i="9"/>
  <c r="BJ1257" i="9"/>
  <c r="BJ1266" i="9"/>
  <c r="BJ1252" i="9"/>
  <c r="BJ1250" i="9"/>
  <c r="BJ1259" i="9"/>
  <c r="K333" i="9"/>
  <c r="K346" i="9"/>
  <c r="P347" i="9" s="1"/>
  <c r="T395" i="9"/>
  <c r="Y395" i="9"/>
  <c r="N763" i="9"/>
  <c r="N625" i="9"/>
  <c r="V778" i="9"/>
  <c r="V806" i="9" s="1"/>
  <c r="V768" i="9"/>
  <c r="V635" i="9" s="1"/>
  <c r="V1165" i="9"/>
  <c r="V622" i="9"/>
  <c r="T908" i="9"/>
  <c r="T1162" i="9"/>
  <c r="U917" i="9"/>
  <c r="AR1075" i="9"/>
  <c r="BD681" i="9"/>
  <c r="BD693" i="9" s="1"/>
  <c r="BD646" i="9"/>
  <c r="BD648" i="9" s="1"/>
  <c r="BD1165" i="9"/>
  <c r="Y347" i="9"/>
  <c r="Y348" i="9"/>
  <c r="V348" i="9"/>
  <c r="V349" i="9"/>
  <c r="V347" i="9"/>
  <c r="F622" i="9"/>
  <c r="F768" i="9"/>
  <c r="F1165" i="9"/>
  <c r="F778" i="9"/>
  <c r="O622" i="9"/>
  <c r="O1165" i="9"/>
  <c r="O768" i="9"/>
  <c r="O635" i="9" s="1"/>
  <c r="O778" i="9"/>
  <c r="BN907" i="9"/>
  <c r="BO1139" i="9"/>
  <c r="BN1039" i="9"/>
  <c r="BN879" i="9"/>
  <c r="BN1173" i="9"/>
  <c r="BG646" i="9"/>
  <c r="BG648" i="9" s="1"/>
  <c r="BG681" i="9"/>
  <c r="BG693" i="9" s="1"/>
  <c r="M756" i="9"/>
  <c r="M624" i="9"/>
  <c r="AF1076" i="9"/>
  <c r="AN760" i="9"/>
  <c r="AN628" i="9" s="1"/>
  <c r="AN334" i="9"/>
  <c r="AN346" i="9" s="1"/>
  <c r="AS348" i="9" s="1"/>
  <c r="AN621" i="9"/>
  <c r="AN1174" i="9" s="1"/>
  <c r="AN762" i="9"/>
  <c r="T624" i="9"/>
  <c r="BG624" i="9"/>
  <c r="AY467" i="9"/>
  <c r="BD465" i="9" s="1"/>
  <c r="BD467" i="9" s="1"/>
  <c r="BI465" i="9" s="1"/>
  <c r="BI467" i="9" s="1"/>
  <c r="AS145" i="9"/>
  <c r="AS144" i="9" s="1"/>
  <c r="AS159" i="9"/>
  <c r="P1077" i="9"/>
  <c r="U1250" i="9"/>
  <c r="U1252" i="9"/>
  <c r="U1264" i="9"/>
  <c r="U1266" i="9"/>
  <c r="U1257" i="9"/>
  <c r="U1259" i="9"/>
  <c r="AA681" i="9"/>
  <c r="AA693" i="9" s="1"/>
  <c r="AA646" i="9"/>
  <c r="AA648" i="9" s="1"/>
  <c r="AN644" i="9"/>
  <c r="AN661" i="9"/>
  <c r="AN667" i="9" s="1"/>
  <c r="BC1030" i="9"/>
  <c r="BC873" i="9"/>
  <c r="AN475" i="9"/>
  <c r="AG348" i="9"/>
  <c r="AG347" i="9"/>
  <c r="AG349" i="9"/>
  <c r="BN1181" i="9"/>
  <c r="BH1039" i="9"/>
  <c r="BH879" i="9"/>
  <c r="BH1173" i="9" s="1"/>
  <c r="AC751" i="9"/>
  <c r="AO921" i="9"/>
  <c r="M1086" i="9"/>
  <c r="V1101" i="9"/>
  <c r="V1085" i="9" s="1"/>
  <c r="V1086" i="9" s="1"/>
  <c r="V1173" i="9"/>
  <c r="V1176" i="9"/>
  <c r="N876" i="9"/>
  <c r="N893" i="9"/>
  <c r="N894" i="9" s="1"/>
  <c r="N895" i="9" s="1"/>
  <c r="N896" i="9" s="1"/>
  <c r="Y436" i="9"/>
  <c r="AN1086" i="9"/>
  <c r="N376" i="9"/>
  <c r="N917" i="9"/>
  <c r="AD399" i="9"/>
  <c r="AD36" i="9"/>
  <c r="BG897" i="9"/>
  <c r="BG898" i="9" s="1"/>
  <c r="BG899" i="9" s="1"/>
  <c r="BG900" i="9" s="1"/>
  <c r="BG877" i="9"/>
  <c r="BG874" i="9"/>
  <c r="N874" i="9"/>
  <c r="N877" i="9"/>
  <c r="N897" i="9"/>
  <c r="N898" i="9" s="1"/>
  <c r="N899" i="9" s="1"/>
  <c r="N900" i="9" s="1"/>
  <c r="AY346" i="9"/>
  <c r="AY333" i="9"/>
  <c r="X681" i="9"/>
  <c r="X693" i="9" s="1"/>
  <c r="X646" i="9"/>
  <c r="X648" i="9" s="1"/>
  <c r="AV763" i="9"/>
  <c r="AV625" i="9"/>
  <c r="L5" i="9"/>
  <c r="M5" i="9" s="1"/>
  <c r="N5" i="9" s="1"/>
  <c r="O5" i="9" s="1"/>
  <c r="P5" i="9"/>
  <c r="AJ628" i="9"/>
  <c r="O1101" i="9"/>
  <c r="O1085" i="9" s="1"/>
  <c r="O1086" i="9" s="1"/>
  <c r="O1173" i="9"/>
  <c r="O1176" i="9"/>
  <c r="AX376" i="9"/>
  <c r="AX378" i="9" s="1"/>
  <c r="AX917" i="9"/>
  <c r="AN624" i="9"/>
  <c r="BL444" i="9"/>
  <c r="BL255" i="9"/>
  <c r="BM253" i="9"/>
  <c r="P1183" i="9"/>
  <c r="P629" i="9"/>
  <c r="AI1266" i="9"/>
  <c r="AI1264" i="9"/>
  <c r="AI1257" i="9"/>
  <c r="AI1259" i="9"/>
  <c r="AI1252" i="9"/>
  <c r="AI1250" i="9"/>
  <c r="AO305" i="9"/>
  <c r="AO316" i="9"/>
  <c r="AB475" i="9"/>
  <c r="AB477" i="9" s="1"/>
  <c r="AB470" i="9"/>
  <c r="T352" i="9"/>
  <c r="T353" i="9" s="1"/>
  <c r="T323" i="9"/>
  <c r="BF1080" i="9"/>
  <c r="BK1073" i="9"/>
  <c r="BP1073" i="9" s="1"/>
  <c r="AU307" i="9"/>
  <c r="AZ328" i="9"/>
  <c r="AU308" i="9"/>
  <c r="BA624" i="9"/>
  <c r="D710" i="9"/>
  <c r="D727" i="9" s="1"/>
  <c r="D650" i="9"/>
  <c r="AS1171" i="9"/>
  <c r="AS1156" i="9"/>
  <c r="P628" i="9"/>
  <c r="AO634" i="9"/>
  <c r="AO768" i="9"/>
  <c r="AO635" i="9" s="1"/>
  <c r="AE1259" i="9"/>
  <c r="AE1264" i="9"/>
  <c r="AE1257" i="9"/>
  <c r="AE1266" i="9"/>
  <c r="AE1252" i="9"/>
  <c r="AE1250" i="9"/>
  <c r="P1171" i="9"/>
  <c r="K1171" i="9"/>
  <c r="K1156" i="9"/>
  <c r="H1156" i="9"/>
  <c r="H1171" i="9"/>
  <c r="Y1165" i="9"/>
  <c r="Y778" i="9"/>
  <c r="Y768" i="9"/>
  <c r="Y635" i="9" s="1"/>
  <c r="Y622" i="9"/>
  <c r="U1165" i="9"/>
  <c r="U622" i="9"/>
  <c r="U768" i="9"/>
  <c r="U635" i="9" s="1"/>
  <c r="U778" i="9"/>
  <c r="AB352" i="9"/>
  <c r="AB353" i="9" s="1"/>
  <c r="AB323" i="9"/>
  <c r="AA1080" i="9"/>
  <c r="F1101" i="9"/>
  <c r="F1085" i="9" s="1"/>
  <c r="F1086" i="9" s="1"/>
  <c r="F1176" i="9"/>
  <c r="W917" i="9"/>
  <c r="W376" i="9"/>
  <c r="W378" i="9" s="1"/>
  <c r="E409" i="9"/>
  <c r="I409" i="9"/>
  <c r="H409" i="9"/>
  <c r="G409" i="9"/>
  <c r="AX1080" i="9"/>
  <c r="AK756" i="9"/>
  <c r="AK628" i="9"/>
  <c r="E650" i="9"/>
  <c r="E710" i="9"/>
  <c r="E727" i="9" s="1"/>
  <c r="AP352" i="9"/>
  <c r="AP353" i="9" s="1"/>
  <c r="AP323" i="9"/>
  <c r="Q1095" i="9"/>
  <c r="Q1086" i="9"/>
  <c r="X1080" i="9"/>
  <c r="Y756" i="9"/>
  <c r="Y624" i="9"/>
  <c r="Q629" i="9"/>
  <c r="AE921" i="9"/>
  <c r="AE920" i="9"/>
  <c r="R1101" i="9"/>
  <c r="R1085" i="9" s="1"/>
  <c r="R1086" i="9" s="1"/>
  <c r="R1173" i="9"/>
  <c r="AL476" i="9"/>
  <c r="AL469" i="9"/>
  <c r="AN1097" i="9"/>
  <c r="AJ1171" i="9"/>
  <c r="AE1080" i="9"/>
  <c r="K848" i="9"/>
  <c r="K843" i="9" s="1"/>
  <c r="AN1156" i="9"/>
  <c r="AN1171" i="9"/>
  <c r="AM1171" i="9"/>
  <c r="AX215" i="9"/>
  <c r="BC201" i="9"/>
  <c r="BC200" i="9" s="1"/>
  <c r="AX201" i="9"/>
  <c r="AX200" i="9" s="1"/>
  <c r="AC1080" i="9"/>
  <c r="U298" i="9"/>
  <c r="C625" i="9"/>
  <c r="C763" i="9"/>
  <c r="X1101" i="9"/>
  <c r="X1085" i="9" s="1"/>
  <c r="X1086" i="9" s="1"/>
  <c r="X1176" i="9"/>
  <c r="R1176" i="9"/>
  <c r="M376" i="9"/>
  <c r="M378" i="9" s="1"/>
  <c r="M917" i="9"/>
  <c r="AK1073" i="9"/>
  <c r="F650" i="9"/>
  <c r="F710" i="9"/>
  <c r="F727" i="9" s="1"/>
  <c r="S751" i="9"/>
  <c r="AS622" i="9"/>
  <c r="AS778" i="9"/>
  <c r="AS1165" i="9"/>
  <c r="X1077" i="9"/>
  <c r="AH1030" i="9"/>
  <c r="AH875" i="9" s="1"/>
  <c r="AH873" i="9"/>
  <c r="AJ920" i="9"/>
  <c r="AJ921" i="9"/>
  <c r="AT622" i="9"/>
  <c r="AT1165" i="9"/>
  <c r="AT768" i="9"/>
  <c r="AT635" i="9" s="1"/>
  <c r="AT778" i="9"/>
  <c r="AA1075" i="9"/>
  <c r="R470" i="9"/>
  <c r="R475" i="9"/>
  <c r="R477" i="9" s="1"/>
  <c r="BD809" i="9"/>
  <c r="BD801" i="9"/>
  <c r="BD810" i="9" s="1"/>
  <c r="BD729" i="9" s="1"/>
  <c r="BD746" i="9" s="1"/>
  <c r="AU1095" i="9"/>
  <c r="AU1097" i="9"/>
  <c r="D469" i="9"/>
  <c r="D476" i="9"/>
  <c r="AD475" i="9"/>
  <c r="AD477" i="9" s="1"/>
  <c r="BB625" i="9"/>
  <c r="AA763" i="9"/>
  <c r="AA625" i="9"/>
  <c r="AS628" i="9"/>
  <c r="Y1171" i="9"/>
  <c r="Y1156" i="9"/>
  <c r="X1171" i="9"/>
  <c r="AU347" i="9"/>
  <c r="AU348" i="9"/>
  <c r="AU349" i="9"/>
  <c r="AU350" i="9" s="1"/>
  <c r="AM763" i="9"/>
  <c r="AM625" i="9"/>
  <c r="X34" i="9"/>
  <c r="AS89" i="9"/>
  <c r="AS88" i="9" s="1"/>
  <c r="AS103" i="9"/>
  <c r="AX89" i="9"/>
  <c r="AX88" i="9" s="1"/>
  <c r="BB1030" i="9"/>
  <c r="BB873" i="9"/>
  <c r="E54" i="9"/>
  <c r="E57" i="9" s="1"/>
  <c r="D59" i="9"/>
  <c r="D266" i="9"/>
  <c r="D60" i="9"/>
  <c r="D76" i="9"/>
  <c r="E62" i="9"/>
  <c r="I786" i="9"/>
  <c r="I795" i="9" s="1"/>
  <c r="I807" i="9"/>
  <c r="I806" i="9"/>
  <c r="K1257" i="9"/>
  <c r="K1259" i="9"/>
  <c r="K1252" i="9"/>
  <c r="K1266" i="9"/>
  <c r="K1250" i="9"/>
  <c r="K1264" i="9"/>
  <c r="BN887" i="9"/>
  <c r="S1097" i="9"/>
  <c r="S1086" i="9"/>
  <c r="K763" i="9"/>
  <c r="K625" i="9"/>
  <c r="BE1097" i="9"/>
  <c r="BE1086" i="9"/>
  <c r="BJ323" i="9"/>
  <c r="BJ352" i="9"/>
  <c r="W1078" i="9"/>
  <c r="AW1075" i="9"/>
  <c r="U760" i="9"/>
  <c r="U628" i="9" s="1"/>
  <c r="AS781" i="9"/>
  <c r="BD395" i="9"/>
  <c r="BI395" i="9"/>
  <c r="AT1095" i="9"/>
  <c r="AT1097" i="9"/>
  <c r="BA625" i="9"/>
  <c r="BA763" i="9"/>
  <c r="AS766" i="9"/>
  <c r="AS768" i="9" s="1"/>
  <c r="AS635" i="9" s="1"/>
  <c r="AS1019" i="9"/>
  <c r="AT1179" i="9" s="1"/>
  <c r="X348" i="9"/>
  <c r="X349" i="9"/>
  <c r="X347" i="9"/>
  <c r="AA1076" i="9"/>
  <c r="BL1259" i="9"/>
  <c r="BL1250" i="9"/>
  <c r="BL1257" i="9"/>
  <c r="BL1266" i="9"/>
  <c r="BL1252" i="9"/>
  <c r="BL1264" i="9"/>
  <c r="M34" i="9"/>
  <c r="AG485" i="9"/>
  <c r="O751" i="9"/>
  <c r="BE756" i="9"/>
  <c r="BE624" i="9"/>
  <c r="AO1057" i="9"/>
  <c r="S476" i="9"/>
  <c r="S469" i="9"/>
  <c r="BH89" i="9"/>
  <c r="BH88" i="9" s="1"/>
  <c r="BH103" i="9"/>
  <c r="BN85" i="9"/>
  <c r="BN274" i="9" s="1"/>
  <c r="I469" i="9"/>
  <c r="I476" i="9"/>
  <c r="AO469" i="9"/>
  <c r="AO476" i="9"/>
  <c r="AW373" i="9"/>
  <c r="AW761" i="9" s="1"/>
  <c r="AW366" i="9"/>
  <c r="AX28" i="9"/>
  <c r="AY1171" i="9"/>
  <c r="AY1156" i="9"/>
  <c r="AU624" i="9"/>
  <c r="BG1075" i="9"/>
  <c r="BL1068" i="9"/>
  <c r="BQ1068" i="9" s="1"/>
  <c r="AD886" i="9"/>
  <c r="AD1054" i="9"/>
  <c r="AE1182" i="9" s="1"/>
  <c r="AE298" i="9"/>
  <c r="AX768" i="9"/>
  <c r="AX635" i="9" s="1"/>
  <c r="AX622" i="9"/>
  <c r="AX778" i="9"/>
  <c r="H629" i="9"/>
  <c r="M760" i="9"/>
  <c r="M628" i="9" s="1"/>
  <c r="H469" i="9"/>
  <c r="H476" i="9"/>
  <c r="BK290" i="9"/>
  <c r="BP262" i="9"/>
  <c r="BP290" i="9" s="1"/>
  <c r="BF1030" i="9"/>
  <c r="BF875" i="9" s="1"/>
  <c r="BF873" i="9"/>
  <c r="AC378" i="9"/>
  <c r="AC379" i="9"/>
  <c r="BD1079" i="9"/>
  <c r="BI1079" i="9"/>
  <c r="BB1075" i="9"/>
  <c r="AM366" i="9"/>
  <c r="AM379" i="9"/>
  <c r="H316" i="9"/>
  <c r="H305" i="9"/>
  <c r="Z347" i="9"/>
  <c r="Z348" i="9"/>
  <c r="BG1076" i="9"/>
  <c r="BL1069" i="9"/>
  <c r="BQ1069" i="9" s="1"/>
  <c r="BH1097" i="9"/>
  <c r="Z756" i="9"/>
  <c r="Z624" i="9"/>
  <c r="T307" i="9"/>
  <c r="T308" i="9"/>
  <c r="P1078" i="9"/>
  <c r="AV305" i="9"/>
  <c r="AV316" i="9"/>
  <c r="AE1165" i="9"/>
  <c r="AE778" i="9"/>
  <c r="AE806" i="9" s="1"/>
  <c r="AE768" i="9"/>
  <c r="AE635" i="9" s="1"/>
  <c r="AE622" i="9"/>
  <c r="AI1171" i="9"/>
  <c r="AI1156" i="9"/>
  <c r="AH1171" i="9"/>
  <c r="AW34" i="9"/>
  <c r="BB34" i="9"/>
  <c r="AO1097" i="9"/>
  <c r="AO1086" i="9"/>
  <c r="AN1101" i="9"/>
  <c r="AN1085" i="9" s="1"/>
  <c r="AN1176" i="9"/>
  <c r="BG756" i="9"/>
  <c r="I1156" i="9"/>
  <c r="I1171" i="9"/>
  <c r="AC1165" i="9"/>
  <c r="AC778" i="9"/>
  <c r="AC806" i="9" s="1"/>
  <c r="AC622" i="9"/>
  <c r="AC768" i="9"/>
  <c r="AC635" i="9" s="1"/>
  <c r="AR300" i="9"/>
  <c r="AD1156" i="9"/>
  <c r="AD1171" i="9"/>
  <c r="AC1171" i="9"/>
  <c r="O1030" i="9"/>
  <c r="O873" i="9"/>
  <c r="U469" i="9"/>
  <c r="U476" i="9"/>
  <c r="BI352" i="9"/>
  <c r="BI353" i="9" s="1"/>
  <c r="BI323" i="9"/>
  <c r="S307" i="9"/>
  <c r="S308" i="9"/>
  <c r="BA1086" i="9"/>
  <c r="BA1097" i="9"/>
  <c r="AF628" i="9"/>
  <c r="Z1078" i="9"/>
  <c r="BC393" i="9"/>
  <c r="BC398" i="9"/>
  <c r="BC399" i="9" s="1"/>
  <c r="BC435" i="9"/>
  <c r="BC1163" i="9"/>
  <c r="BC394" i="9"/>
  <c r="BC395" i="9" s="1"/>
  <c r="AS1076" i="9"/>
  <c r="AD320" i="9"/>
  <c r="AD667" i="9"/>
  <c r="G245" i="9"/>
  <c r="G248" i="9" s="1"/>
  <c r="F270" i="9"/>
  <c r="F250" i="9"/>
  <c r="K245" i="9"/>
  <c r="F251" i="9"/>
  <c r="F259" i="9"/>
  <c r="AT316" i="9"/>
  <c r="AT305" i="9"/>
  <c r="AT349" i="9" s="1"/>
  <c r="F1173" i="9"/>
  <c r="H634" i="9"/>
  <c r="H768" i="9"/>
  <c r="H635" i="9" s="1"/>
  <c r="AQ917" i="9"/>
  <c r="AQ376" i="9"/>
  <c r="AQ378" i="9" s="1"/>
  <c r="AA1171" i="9"/>
  <c r="AL305" i="9"/>
  <c r="AL349" i="9" s="1"/>
  <c r="AL316" i="9"/>
  <c r="BC1171" i="9"/>
  <c r="BB1171" i="9"/>
  <c r="BA1095" i="9"/>
  <c r="AD1019" i="9"/>
  <c r="AD650" i="9"/>
  <c r="BI1165" i="9"/>
  <c r="BI768" i="9"/>
  <c r="BI635" i="9" s="1"/>
  <c r="BI622" i="9"/>
  <c r="BI778" i="9"/>
  <c r="R305" i="9"/>
  <c r="W307" i="9" s="1"/>
  <c r="R316" i="9"/>
  <c r="AL1068" i="9"/>
  <c r="AJ1080" i="9"/>
  <c r="AQ1030" i="9"/>
  <c r="AQ873" i="9"/>
  <c r="AE1078" i="9"/>
  <c r="BE307" i="9"/>
  <c r="BJ328" i="9"/>
  <c r="BE308" i="9"/>
  <c r="BE328" i="9"/>
  <c r="U920" i="9"/>
  <c r="U921" i="9"/>
  <c r="AS1101" i="9"/>
  <c r="AS1085" i="9" s="1"/>
  <c r="AS1176" i="9"/>
  <c r="P806" i="9"/>
  <c r="AC1076" i="9"/>
  <c r="AH1076" i="9"/>
  <c r="U25" i="9"/>
  <c r="AM873" i="9"/>
  <c r="AM1030" i="9"/>
  <c r="AM875" i="9" s="1"/>
  <c r="AB348" i="9"/>
  <c r="AB349" i="9"/>
  <c r="AB347" i="9"/>
  <c r="AU1171" i="9"/>
  <c r="AY870" i="9"/>
  <c r="AY865" i="9" s="1"/>
  <c r="H786" i="9"/>
  <c r="H795" i="9" s="1"/>
  <c r="H806" i="9"/>
  <c r="H807" i="9"/>
  <c r="AS1162" i="9"/>
  <c r="AS908" i="9"/>
  <c r="AL1072" i="9"/>
  <c r="AX103" i="9"/>
  <c r="BG1057" i="9"/>
  <c r="BI710" i="9"/>
  <c r="BI727" i="9" s="1"/>
  <c r="BI650" i="9"/>
  <c r="AE346" i="9"/>
  <c r="AJ348" i="9" s="1"/>
  <c r="AE333" i="9"/>
  <c r="AT756" i="9"/>
  <c r="AT629" i="9"/>
  <c r="Y1080" i="9"/>
  <c r="S349" i="9"/>
  <c r="AK34" i="9"/>
  <c r="AN89" i="9"/>
  <c r="AN88" i="9" s="1"/>
  <c r="AN103" i="9"/>
  <c r="BE681" i="9"/>
  <c r="BE693" i="9" s="1"/>
  <c r="BE646" i="9"/>
  <c r="BE648" i="9" s="1"/>
  <c r="BE1165" i="9"/>
  <c r="I1086" i="9"/>
  <c r="I1095" i="9"/>
  <c r="BM262" i="9"/>
  <c r="BH263" i="9"/>
  <c r="AJ786" i="9"/>
  <c r="AJ806" i="9"/>
  <c r="T1154" i="9"/>
  <c r="T1156" i="9" s="1"/>
  <c r="BH1162" i="9"/>
  <c r="BH908" i="9"/>
  <c r="BI917" i="9"/>
  <c r="AS625" i="9"/>
  <c r="AS763" i="9"/>
  <c r="AI998" i="9"/>
  <c r="K476" i="9"/>
  <c r="K469" i="9"/>
  <c r="P470" i="9" s="1"/>
  <c r="L1171" i="9"/>
  <c r="L1156" i="9"/>
  <c r="J469" i="9"/>
  <c r="J476" i="9"/>
  <c r="I751" i="9"/>
  <c r="U625" i="9"/>
  <c r="BC263" i="9"/>
  <c r="AQ1086" i="9"/>
  <c r="AY1077" i="9"/>
  <c r="BD1077" i="9"/>
  <c r="AL1069" i="9"/>
  <c r="AL1076" i="9" s="1"/>
  <c r="AX1097" i="9"/>
  <c r="AX1095" i="9"/>
  <c r="AZ436" i="9"/>
  <c r="AE628" i="9"/>
  <c r="AE1076" i="9"/>
  <c r="BE352" i="9"/>
  <c r="BE353" i="9" s="1"/>
  <c r="BE323" i="9"/>
  <c r="X1057" i="9"/>
  <c r="AR768" i="9"/>
  <c r="AR635" i="9" s="1"/>
  <c r="P1030" i="9"/>
  <c r="P875" i="9" s="1"/>
  <c r="P873" i="9"/>
  <c r="D347" i="9"/>
  <c r="D348" i="9"/>
  <c r="AQ1077" i="9"/>
  <c r="Z870" i="9"/>
  <c r="Z865" i="9" s="1"/>
  <c r="AR348" i="9"/>
  <c r="AR349" i="9"/>
  <c r="AW350" i="9" s="1"/>
  <c r="AR347" i="9"/>
  <c r="AW348" i="9"/>
  <c r="AW347" i="9"/>
  <c r="BD768" i="9"/>
  <c r="BD635" i="9" s="1"/>
  <c r="BE1171" i="9"/>
  <c r="AN159" i="9"/>
  <c r="AN145" i="9"/>
  <c r="AN144" i="9" s="1"/>
  <c r="AL917" i="9"/>
  <c r="AL376" i="9"/>
  <c r="AL378" i="9" s="1"/>
  <c r="AM1072" i="9"/>
  <c r="AM1079" i="9" s="1"/>
  <c r="AV469" i="9"/>
  <c r="AV476" i="9"/>
  <c r="R650" i="9"/>
  <c r="R710" i="9"/>
  <c r="R727" i="9" s="1"/>
  <c r="R625" i="9"/>
  <c r="BH373" i="9"/>
  <c r="BH761" i="9" s="1"/>
  <c r="Q751" i="9"/>
  <c r="Q756" i="9" s="1"/>
  <c r="BC634" i="9"/>
  <c r="U1183" i="9"/>
  <c r="G1171" i="9"/>
  <c r="C366" i="9"/>
  <c r="C379" i="9"/>
  <c r="K1030" i="9"/>
  <c r="K875" i="9" s="1"/>
  <c r="K873" i="9"/>
  <c r="AG1079" i="9"/>
  <c r="AW727" i="9"/>
  <c r="AK469" i="9"/>
  <c r="AK476" i="9"/>
  <c r="AM1057" i="9"/>
  <c r="X1075" i="9"/>
  <c r="E300" i="9"/>
  <c r="AS295" i="9"/>
  <c r="AS299" i="9"/>
  <c r="AS294" i="9"/>
  <c r="AS300" i="9" s="1"/>
  <c r="AP485" i="9"/>
  <c r="G1030" i="9"/>
  <c r="G873" i="9"/>
  <c r="BA1079" i="9"/>
  <c r="AO1182" i="9"/>
  <c r="R347" i="9"/>
  <c r="R348" i="9"/>
  <c r="W347" i="9"/>
  <c r="L650" i="9"/>
  <c r="L710" i="9"/>
  <c r="L727" i="9" s="1"/>
  <c r="BC25" i="9"/>
  <c r="AC1077" i="9"/>
  <c r="BA1171" i="9"/>
  <c r="BA1156" i="9"/>
  <c r="BJ1086" i="9"/>
  <c r="L1173" i="9"/>
  <c r="L1101" i="9"/>
  <c r="L1085" i="9" s="1"/>
  <c r="AL347" i="9"/>
  <c r="AL348" i="9"/>
  <c r="W1075" i="9"/>
  <c r="BF476" i="9"/>
  <c r="BF469" i="9"/>
  <c r="AK917" i="9"/>
  <c r="AK376" i="9"/>
  <c r="AK378" i="9" s="1"/>
  <c r="BJ347" i="9"/>
  <c r="BJ348" i="9"/>
  <c r="BJ349" i="9"/>
  <c r="Q917" i="9"/>
  <c r="Q376" i="9"/>
  <c r="Q378" i="9" s="1"/>
  <c r="AV681" i="9"/>
  <c r="AV693" i="9" s="1"/>
  <c r="AV646" i="9"/>
  <c r="AV648" i="9" s="1"/>
  <c r="BD876" i="9"/>
  <c r="BD893" i="9"/>
  <c r="BD894" i="9" s="1"/>
  <c r="BD895" i="9" s="1"/>
  <c r="BD896" i="9" s="1"/>
  <c r="Y34" i="9"/>
  <c r="AD34" i="9"/>
  <c r="AC897" i="9"/>
  <c r="AC898" i="9" s="1"/>
  <c r="AC899" i="9" s="1"/>
  <c r="AC900" i="9" s="1"/>
  <c r="AC874" i="9"/>
  <c r="AC877" i="9"/>
  <c r="AN242" i="9"/>
  <c r="AN241" i="9" s="1"/>
  <c r="AR809" i="9"/>
  <c r="AR801" i="9"/>
  <c r="AR1159" i="9"/>
  <c r="V376" i="9"/>
  <c r="V378" i="9" s="1"/>
  <c r="V917" i="9"/>
  <c r="C629" i="9"/>
  <c r="BC483" i="9"/>
  <c r="BC485" i="9" s="1"/>
  <c r="BC295" i="9"/>
  <c r="BC293" i="9"/>
  <c r="E34" i="9"/>
  <c r="BC36" i="9"/>
  <c r="Y1078" i="9"/>
  <c r="AZ1173" i="9"/>
  <c r="M1171" i="9"/>
  <c r="M1156" i="9"/>
  <c r="AB1086" i="9"/>
  <c r="AB1097" i="9"/>
  <c r="AB1095" i="9"/>
  <c r="BM1068" i="9"/>
  <c r="BR1068" i="9" s="1"/>
  <c r="F1001" i="9"/>
  <c r="G1000" i="9" s="1"/>
  <c r="BJ801" i="9"/>
  <c r="BJ809" i="9"/>
  <c r="BJ1160" i="9"/>
  <c r="C873" i="9"/>
  <c r="C1030" i="9"/>
  <c r="C875" i="9" s="1"/>
  <c r="AV624" i="9"/>
  <c r="AE1183" i="9"/>
  <c r="AT873" i="9"/>
  <c r="AT1030" i="9"/>
  <c r="AT875" i="9" s="1"/>
  <c r="N1095" i="9"/>
  <c r="AI1095" i="9"/>
  <c r="AB1076" i="9"/>
  <c r="X1095" i="9"/>
  <c r="W763" i="9"/>
  <c r="W625" i="9"/>
  <c r="G751" i="9"/>
  <c r="G756" i="9" s="1"/>
  <c r="BF300" i="9"/>
  <c r="F921" i="9"/>
  <c r="F920" i="9"/>
  <c r="BC1162" i="9"/>
  <c r="BC908" i="9"/>
  <c r="BN1137" i="9"/>
  <c r="U873" i="9"/>
  <c r="U1030" i="9"/>
  <c r="B1285" i="9"/>
  <c r="A2" i="9"/>
  <c r="B1287" i="9" s="1"/>
  <c r="M629" i="9"/>
  <c r="F756" i="9"/>
  <c r="F624" i="9"/>
  <c r="AQ307" i="9"/>
  <c r="AQ308" i="9"/>
  <c r="BA348" i="9"/>
  <c r="BA349" i="9"/>
  <c r="BA347" i="9"/>
  <c r="T629" i="9"/>
  <c r="AF314" i="9"/>
  <c r="AF316" i="9"/>
  <c r="F316" i="9"/>
  <c r="F305" i="9"/>
  <c r="BJ625" i="9"/>
  <c r="AH1095" i="9"/>
  <c r="AY897" i="9"/>
  <c r="AY874" i="9"/>
  <c r="AY877" i="9"/>
  <c r="AY930" i="9" s="1"/>
  <c r="E1077" i="9"/>
  <c r="N1159" i="9"/>
  <c r="N801" i="9"/>
  <c r="N809" i="9"/>
  <c r="BJ806" i="9"/>
  <c r="BC1095" i="9"/>
  <c r="BC1086" i="9"/>
  <c r="AF1030" i="9"/>
  <c r="AF873" i="9"/>
  <c r="AJ1179" i="9"/>
  <c r="N1097" i="9"/>
  <c r="N1086" i="9"/>
  <c r="AS629" i="9"/>
  <c r="BG896" i="9"/>
  <c r="AZ475" i="9"/>
  <c r="AZ477" i="9" s="1"/>
  <c r="AZ470" i="9"/>
  <c r="AU323" i="9"/>
  <c r="AU352" i="9"/>
  <c r="AU353" i="9" s="1"/>
  <c r="BF917" i="9"/>
  <c r="BF376" i="9"/>
  <c r="BF378" i="9" s="1"/>
  <c r="AG1165" i="9"/>
  <c r="AG622" i="9"/>
  <c r="AG778" i="9"/>
  <c r="AG768" i="9"/>
  <c r="AG635" i="9" s="1"/>
  <c r="AI877" i="9"/>
  <c r="AI897" i="9"/>
  <c r="AI898" i="9" s="1"/>
  <c r="AI899" i="9" s="1"/>
  <c r="AI874" i="9"/>
  <c r="BI1076" i="9"/>
  <c r="BE34" i="9"/>
  <c r="BJ34" i="9"/>
  <c r="J629" i="9"/>
  <c r="AK873" i="9"/>
  <c r="AK1030" i="9"/>
  <c r="AO1179" i="9"/>
  <c r="V352" i="9"/>
  <c r="V353" i="9" s="1"/>
  <c r="V323" i="9"/>
  <c r="AS25" i="9"/>
  <c r="AO1095" i="9"/>
  <c r="AF751" i="9"/>
  <c r="AJ34" i="9"/>
  <c r="AE34" i="9"/>
  <c r="AZ1079" i="9"/>
  <c r="AU873" i="9"/>
  <c r="AU1030" i="9"/>
  <c r="AU1057" i="9" s="1"/>
  <c r="AY1179" i="9"/>
  <c r="D920" i="9"/>
  <c r="D921" i="9"/>
  <c r="BB786" i="9"/>
  <c r="BB795" i="9" s="1"/>
  <c r="BB1160" i="9" s="1"/>
  <c r="BB807" i="9"/>
  <c r="AL710" i="9"/>
  <c r="AL727" i="9" s="1"/>
  <c r="AL650" i="9"/>
  <c r="BD1181" i="9"/>
  <c r="AG1171" i="9"/>
  <c r="AG1156" i="9"/>
  <c r="AL1171" i="9"/>
  <c r="K316" i="9"/>
  <c r="K305" i="9"/>
  <c r="P1181" i="9"/>
  <c r="V646" i="9"/>
  <c r="V648" i="9" s="1"/>
  <c r="V681" i="9"/>
  <c r="V693" i="9" s="1"/>
  <c r="E1030" i="9"/>
  <c r="E875" i="9" s="1"/>
  <c r="E873" i="9"/>
  <c r="N347" i="9"/>
  <c r="N348" i="9"/>
  <c r="N349" i="9"/>
  <c r="BB1173" i="9"/>
  <c r="AL397" i="9"/>
  <c r="AL390" i="9"/>
  <c r="AL37" i="9" s="1"/>
  <c r="AL391" i="9"/>
  <c r="BJ376" i="9"/>
  <c r="BJ378" i="9" s="1"/>
  <c r="BJ917" i="9"/>
  <c r="U1080" i="9"/>
  <c r="T34" i="9"/>
  <c r="T998" i="9"/>
  <c r="AU768" i="9"/>
  <c r="AU635" i="9" s="1"/>
  <c r="D1076" i="9"/>
  <c r="G1165" i="9"/>
  <c r="G778" i="9"/>
  <c r="G622" i="9"/>
  <c r="G768" i="9"/>
  <c r="G635" i="9" s="1"/>
  <c r="Q316" i="9"/>
  <c r="Q305" i="9"/>
  <c r="V308" i="9" s="1"/>
  <c r="N1173" i="9"/>
  <c r="Q1076" i="9"/>
  <c r="BI1181" i="9"/>
  <c r="BH1257" i="9"/>
  <c r="BH1250" i="9"/>
  <c r="BH1259" i="9"/>
  <c r="BH1264" i="9"/>
  <c r="BH1266" i="9"/>
  <c r="BH1252" i="9"/>
  <c r="L1165" i="9"/>
  <c r="L622" i="9"/>
  <c r="L768" i="9"/>
  <c r="L635" i="9" s="1"/>
  <c r="L778" i="9"/>
  <c r="L806" i="9" s="1"/>
  <c r="BJ1159" i="9"/>
  <c r="AS917" i="9"/>
  <c r="AS376" i="9"/>
  <c r="AS378" i="9" s="1"/>
  <c r="AB624" i="9"/>
  <c r="AG34" i="9"/>
  <c r="AB34" i="9"/>
  <c r="Y998" i="9"/>
  <c r="W1079" i="9"/>
  <c r="BH376" i="9"/>
  <c r="BH378" i="9" s="1"/>
  <c r="BH917" i="9"/>
  <c r="AO1080" i="9"/>
  <c r="AY300" i="9"/>
  <c r="AR807" i="9"/>
  <c r="AC349" i="9"/>
  <c r="AC347" i="9"/>
  <c r="AC348" i="9"/>
  <c r="AR1160" i="9"/>
  <c r="Y629" i="9"/>
  <c r="AJ1057" i="9"/>
  <c r="AJ624" i="9"/>
  <c r="BH242" i="9"/>
  <c r="BH241" i="9" s="1"/>
  <c r="M1095" i="9"/>
  <c r="F476" i="9"/>
  <c r="F469" i="9"/>
  <c r="AB874" i="9"/>
  <c r="AH810" i="9"/>
  <c r="AH729" i="9" s="1"/>
  <c r="AH746" i="9" s="1"/>
  <c r="AH830" i="9"/>
  <c r="X316" i="9"/>
  <c r="X305" i="9"/>
  <c r="X328" i="9" s="1"/>
  <c r="L633" i="9"/>
  <c r="L1100" i="9"/>
  <c r="L1084" i="9" s="1"/>
  <c r="AY893" i="9"/>
  <c r="AY894" i="9" s="1"/>
  <c r="AY895" i="9" s="1"/>
  <c r="AY896" i="9" s="1"/>
  <c r="AY876" i="9"/>
  <c r="R786" i="9"/>
  <c r="R795" i="9" s="1"/>
  <c r="R1160" i="9" s="1"/>
  <c r="R807" i="9"/>
  <c r="Y476" i="9"/>
  <c r="Y469" i="9"/>
  <c r="AD470" i="9" s="1"/>
  <c r="E469" i="9"/>
  <c r="E476" i="9"/>
  <c r="BJ807" i="9"/>
  <c r="AG323" i="9"/>
  <c r="AG352" i="9"/>
  <c r="AG353" i="9" s="1"/>
  <c r="E1057" i="9"/>
  <c r="AD1080" i="9"/>
  <c r="AX661" i="9"/>
  <c r="AX667" i="9" s="1"/>
  <c r="AX644" i="9"/>
  <c r="U1077" i="9"/>
  <c r="Z1079" i="9"/>
  <c r="K299" i="9"/>
  <c r="K293" i="9"/>
  <c r="K294" i="9"/>
  <c r="K297" i="9"/>
  <c r="K295" i="9"/>
  <c r="K296" i="9"/>
  <c r="AG763" i="9"/>
  <c r="AG625" i="9"/>
  <c r="AO786" i="9"/>
  <c r="AO807" i="9"/>
  <c r="AO806" i="9"/>
  <c r="BI436" i="9"/>
  <c r="BB629" i="9"/>
  <c r="AH34" i="9"/>
  <c r="AC34" i="9"/>
  <c r="W1165" i="9"/>
  <c r="W768" i="9"/>
  <c r="W635" i="9" s="1"/>
  <c r="W778" i="9"/>
  <c r="W622" i="9"/>
  <c r="AT485" i="9"/>
  <c r="X625" i="9"/>
  <c r="AO300" i="9"/>
  <c r="AO865" i="9"/>
  <c r="AP1077" i="9"/>
  <c r="AI1101" i="9"/>
  <c r="AI1085" i="9" s="1"/>
  <c r="AI1086" i="9" s="1"/>
  <c r="AI1173" i="9"/>
  <c r="C300" i="9"/>
  <c r="K1182" i="9"/>
  <c r="AY763" i="9"/>
  <c r="AY625" i="9"/>
  <c r="N1160" i="9"/>
  <c r="N710" i="9"/>
  <c r="N727" i="9" s="1"/>
  <c r="N650" i="9"/>
  <c r="AL1176" i="9"/>
  <c r="D778" i="9"/>
  <c r="D806" i="9" s="1"/>
  <c r="D1165" i="9"/>
  <c r="D622" i="9"/>
  <c r="D768" i="9"/>
  <c r="D635" i="9" s="1"/>
  <c r="AS242" i="9"/>
  <c r="AS241" i="9" s="1"/>
  <c r="BI1078" i="9"/>
  <c r="AM1165" i="9"/>
  <c r="AM778" i="9"/>
  <c r="AM768" i="9"/>
  <c r="AM635" i="9" s="1"/>
  <c r="AM622" i="9"/>
  <c r="Q469" i="9"/>
  <c r="Q476" i="9"/>
  <c r="AF624" i="9"/>
  <c r="AZ1076" i="9"/>
  <c r="BC348" i="9"/>
  <c r="BC347" i="9"/>
  <c r="BH347" i="9"/>
  <c r="BH348" i="9"/>
  <c r="AK768" i="9"/>
  <c r="AK635" i="9" s="1"/>
  <c r="AK778" i="9"/>
  <c r="AK806" i="9" s="1"/>
  <c r="AK622" i="9"/>
  <c r="AK1165" i="9"/>
  <c r="BI1182" i="9"/>
  <c r="AF633" i="9"/>
  <c r="AF1100" i="9"/>
  <c r="AF1084" i="9" s="1"/>
  <c r="AZ1057" i="9"/>
  <c r="BD1182" i="9"/>
  <c r="AT1181" i="9"/>
  <c r="Z1182" i="9"/>
  <c r="F1030" i="9"/>
  <c r="F873" i="9"/>
  <c r="Q1075" i="9"/>
  <c r="BG622" i="9"/>
  <c r="BG1165" i="9"/>
  <c r="BG778" i="9"/>
  <c r="BG806" i="9" s="1"/>
  <c r="BG768" i="9"/>
  <c r="BG635" i="9" s="1"/>
  <c r="AD347" i="9"/>
  <c r="AD348" i="9"/>
  <c r="AO873" i="9"/>
  <c r="AO1030" i="9"/>
  <c r="AO875" i="9" s="1"/>
  <c r="BJ1030" i="9"/>
  <c r="BJ1057" i="9" s="1"/>
  <c r="BJ873" i="9"/>
  <c r="R760" i="9"/>
  <c r="H628" i="9"/>
  <c r="W1080" i="9"/>
  <c r="BA323" i="9"/>
  <c r="BA352" i="9"/>
  <c r="BA353" i="9" s="1"/>
  <c r="AM376" i="9"/>
  <c r="AM378" i="9" s="1"/>
  <c r="AM917" i="9"/>
  <c r="AX145" i="9"/>
  <c r="AX144" i="9" s="1"/>
  <c r="AX159" i="9"/>
  <c r="K917" i="9"/>
  <c r="K376" i="9"/>
  <c r="K378" i="9" s="1"/>
  <c r="AD479" i="9"/>
  <c r="AD483" i="9" s="1"/>
  <c r="AD485" i="9" s="1"/>
  <c r="AE483" i="9"/>
  <c r="AE485" i="9" s="1"/>
  <c r="O646" i="9"/>
  <c r="O648" i="9" s="1"/>
  <c r="O681" i="9"/>
  <c r="O693" i="9" s="1"/>
  <c r="BF34" i="9"/>
  <c r="AR1100" i="9"/>
  <c r="AR1084" i="9" s="1"/>
  <c r="AR633" i="9"/>
  <c r="M316" i="9"/>
  <c r="AT646" i="9"/>
  <c r="AT648" i="9" s="1"/>
  <c r="AT681" i="9"/>
  <c r="AT693" i="9" s="1"/>
  <c r="C710" i="9"/>
  <c r="C727" i="9" s="1"/>
  <c r="C650" i="9"/>
  <c r="AO395" i="9"/>
  <c r="AT395" i="9"/>
  <c r="Y1039" i="9"/>
  <c r="Z1181" i="9" s="1"/>
  <c r="Y879" i="9"/>
  <c r="BR239" i="9"/>
  <c r="BR289" i="9" s="1"/>
  <c r="BM289" i="9"/>
  <c r="BN289" i="9" s="1"/>
  <c r="F1075" i="9"/>
  <c r="K1075" i="9"/>
  <c r="X1165" i="9"/>
  <c r="X778" i="9"/>
  <c r="X806" i="9" s="1"/>
  <c r="X622" i="9"/>
  <c r="X768" i="9"/>
  <c r="X635" i="9" s="1"/>
  <c r="D1079" i="9"/>
  <c r="P1179" i="9"/>
  <c r="L1030" i="9"/>
  <c r="L873" i="9"/>
  <c r="AP300" i="9"/>
  <c r="AJ893" i="9"/>
  <c r="AJ894" i="9" s="1"/>
  <c r="AJ895" i="9" s="1"/>
  <c r="AJ896" i="9" s="1"/>
  <c r="AJ876" i="9"/>
  <c r="Y305" i="9"/>
  <c r="Y349" i="9" s="1"/>
  <c r="Y350" i="9" s="1"/>
  <c r="Y316" i="9"/>
  <c r="E1075" i="9"/>
  <c r="P1095" i="9"/>
  <c r="P1097" i="9"/>
  <c r="P1086" i="9"/>
  <c r="AX242" i="9"/>
  <c r="AX241" i="9" s="1"/>
  <c r="AG1095" i="9"/>
  <c r="BF1097" i="9"/>
  <c r="BF1086" i="9"/>
  <c r="BF1095" i="9"/>
  <c r="AG1075" i="9"/>
  <c r="AO1079" i="9"/>
  <c r="AT1079" i="9"/>
  <c r="AX628" i="9"/>
  <c r="AH348" i="9"/>
  <c r="AH347" i="9"/>
  <c r="AH349" i="9"/>
  <c r="BD373" i="9"/>
  <c r="BD761" i="9" s="1"/>
  <c r="BD763" i="9" s="1"/>
  <c r="J479" i="9"/>
  <c r="J483" i="9" s="1"/>
  <c r="J485" i="9" s="1"/>
  <c r="K483" i="9"/>
  <c r="K485" i="9" s="1"/>
  <c r="D1077" i="9"/>
  <c r="AR1171" i="9"/>
  <c r="AR1156" i="9"/>
  <c r="AW1171" i="9"/>
  <c r="E348" i="9"/>
  <c r="E347" i="9"/>
  <c r="AP1095" i="9"/>
  <c r="AP1086" i="9"/>
  <c r="AP1097" i="9"/>
  <c r="Y1030" i="9"/>
  <c r="Y875" i="9" s="1"/>
  <c r="Y873" i="9"/>
  <c r="K298" i="9"/>
  <c r="BB710" i="9"/>
  <c r="BB727" i="9" s="1"/>
  <c r="BB650" i="9"/>
  <c r="D34" i="9"/>
  <c r="BD877" i="9"/>
  <c r="BD930" i="9" s="1"/>
  <c r="BD874" i="9"/>
  <c r="BD897" i="9"/>
  <c r="E1165" i="9"/>
  <c r="E622" i="9"/>
  <c r="E768" i="9"/>
  <c r="E635" i="9" s="1"/>
  <c r="E778" i="9"/>
  <c r="E806" i="9" s="1"/>
  <c r="AC893" i="9"/>
  <c r="AC894" i="9" s="1"/>
  <c r="AC895" i="9" s="1"/>
  <c r="AC896" i="9" s="1"/>
  <c r="AC876" i="9"/>
  <c r="BI848" i="9"/>
  <c r="BI843" i="9" s="1"/>
  <c r="AA470" i="9"/>
  <c r="AA475" i="9"/>
  <c r="AA477" i="9" s="1"/>
  <c r="BN1276" i="9"/>
  <c r="BN3" i="9"/>
  <c r="BN1246" i="9" s="1"/>
  <c r="BO4" i="9"/>
  <c r="Q646" i="9"/>
  <c r="Q648" i="9" s="1"/>
  <c r="Q681" i="9"/>
  <c r="Q693" i="9" s="1"/>
  <c r="AI681" i="9"/>
  <c r="AI693" i="9" s="1"/>
  <c r="AI646" i="9"/>
  <c r="AI648" i="9" s="1"/>
  <c r="BQ23" i="9"/>
  <c r="BQ25" i="9" s="1"/>
  <c r="C628" i="9"/>
  <c r="X476" i="9"/>
  <c r="X469" i="9"/>
  <c r="P475" i="9"/>
  <c r="P477" i="9" s="1"/>
  <c r="BB1095" i="9"/>
  <c r="BB1097" i="9"/>
  <c r="BB1086" i="9"/>
  <c r="T786" i="9"/>
  <c r="T795" i="9" s="1"/>
  <c r="T807" i="9"/>
  <c r="AZ624" i="9"/>
  <c r="AZ756" i="9"/>
  <c r="AQ347" i="9"/>
  <c r="AQ348" i="9"/>
  <c r="AQ349" i="9"/>
  <c r="AQ352" i="9"/>
  <c r="AQ353" i="9" s="1"/>
  <c r="AQ323" i="9"/>
  <c r="BL23" i="9"/>
  <c r="BL25" i="9" s="1"/>
  <c r="AR1097" i="9"/>
  <c r="AP1030" i="9"/>
  <c r="AP873" i="9"/>
  <c r="W1030" i="9"/>
  <c r="W875" i="9" s="1"/>
  <c r="W873" i="9"/>
  <c r="AT1182" i="9"/>
  <c r="J628" i="9"/>
  <c r="AC924" i="9"/>
  <c r="AO1181" i="9"/>
  <c r="BA300" i="9"/>
  <c r="AJ848" i="9"/>
  <c r="AJ843" i="9" s="1"/>
  <c r="AN873" i="9"/>
  <c r="AN1030" i="9"/>
  <c r="D751" i="9"/>
  <c r="D629" i="9" s="1"/>
  <c r="I316" i="9"/>
  <c r="I305" i="9"/>
  <c r="AB778" i="9"/>
  <c r="AB768" i="9"/>
  <c r="AB635" i="9" s="1"/>
  <c r="AB622" i="9"/>
  <c r="AB1165" i="9"/>
  <c r="AD1252" i="9"/>
  <c r="AD1250" i="9"/>
  <c r="AD1266" i="9"/>
  <c r="AD1264" i="9"/>
  <c r="AD1259" i="9"/>
  <c r="AD1257" i="9"/>
  <c r="BB1176" i="9"/>
  <c r="T1076" i="9"/>
  <c r="Y1162" i="9"/>
  <c r="Y908" i="9"/>
  <c r="O347" i="9"/>
  <c r="O348" i="9"/>
  <c r="O349" i="9"/>
  <c r="BC661" i="9"/>
  <c r="BC667" i="9" s="1"/>
  <c r="BC644" i="9"/>
  <c r="AH760" i="9"/>
  <c r="AH628" i="9" s="1"/>
  <c r="AR873" i="9"/>
  <c r="AR1030" i="9"/>
  <c r="AR875" i="9" s="1"/>
  <c r="AN316" i="9"/>
  <c r="AN314" i="9"/>
  <c r="Z681" i="9"/>
  <c r="Z693" i="9" s="1"/>
  <c r="Z646" i="9"/>
  <c r="Z648" i="9" s="1"/>
  <c r="BA727" i="9"/>
  <c r="AX1030" i="9"/>
  <c r="AX873" i="9"/>
  <c r="F1076" i="9"/>
  <c r="K1076" i="9"/>
  <c r="X1078" i="9"/>
  <c r="AW1030" i="9"/>
  <c r="AW875" i="9" s="1"/>
  <c r="AW873" i="9"/>
  <c r="AJ877" i="9"/>
  <c r="AJ930" i="9" s="1"/>
  <c r="AJ897" i="9"/>
  <c r="AJ874" i="9"/>
  <c r="E1078" i="9"/>
  <c r="AI295" i="9"/>
  <c r="AI299" i="9"/>
  <c r="AI293" i="9"/>
  <c r="AI294" i="9"/>
  <c r="AX299" i="9"/>
  <c r="AX293" i="9"/>
  <c r="AX300" i="9" s="1"/>
  <c r="AB756" i="9"/>
  <c r="K1100" i="9"/>
  <c r="K1084" i="9" s="1"/>
  <c r="K633" i="9"/>
  <c r="F628" i="9"/>
  <c r="AC1075" i="9"/>
  <c r="BL290" i="9"/>
  <c r="BQ262" i="9"/>
  <c r="BQ290" i="9" s="1"/>
  <c r="AW1165" i="9"/>
  <c r="AW622" i="9"/>
  <c r="AW778" i="9"/>
  <c r="AW768" i="9"/>
  <c r="AW635" i="9" s="1"/>
  <c r="AR469" i="9"/>
  <c r="AR476" i="9"/>
  <c r="AQ1076" i="9"/>
  <c r="Y1252" i="9"/>
  <c r="Y1250" i="9"/>
  <c r="Y1264" i="9"/>
  <c r="Y1257" i="9"/>
  <c r="Y1259" i="9"/>
  <c r="Y1266" i="9"/>
  <c r="AO34" i="9"/>
  <c r="AI395" i="9"/>
  <c r="AC475" i="9"/>
  <c r="AC477" i="9" s="1"/>
  <c r="AU756" i="9"/>
  <c r="AE893" i="9"/>
  <c r="AE894" i="9" s="1"/>
  <c r="AE895" i="9" s="1"/>
  <c r="AE896" i="9" s="1"/>
  <c r="AE876" i="9"/>
  <c r="BH1073" i="9"/>
  <c r="BH1072" i="9"/>
  <c r="BH473" i="9"/>
  <c r="BH1069" i="9"/>
  <c r="BH1070" i="9"/>
  <c r="BJ1073" i="9"/>
  <c r="BJ1068" i="9"/>
  <c r="BH303" i="9"/>
  <c r="BH762" i="9"/>
  <c r="BH30" i="9"/>
  <c r="BJ1072" i="9"/>
  <c r="BH751" i="9"/>
  <c r="BJ1069" i="9"/>
  <c r="BH891" i="9"/>
  <c r="BJ1070" i="9"/>
  <c r="AI781" i="9"/>
  <c r="BF756" i="9"/>
  <c r="P34" i="9"/>
  <c r="AD436" i="9"/>
  <c r="O352" i="9"/>
  <c r="O353" i="9" s="1"/>
  <c r="O323" i="9"/>
  <c r="N1057" i="9"/>
  <c r="AV628" i="9"/>
  <c r="AP307" i="9"/>
  <c r="AP308" i="9"/>
  <c r="AU328" i="9"/>
  <c r="AB650" i="9"/>
  <c r="AB710" i="9"/>
  <c r="AB727" i="9" s="1"/>
  <c r="Y681" i="9"/>
  <c r="Y693" i="9" s="1"/>
  <c r="Y646" i="9"/>
  <c r="Y648" i="9" s="1"/>
  <c r="AT628" i="9"/>
  <c r="Z476" i="9"/>
  <c r="Z469" i="9"/>
  <c r="J1019" i="9"/>
  <c r="K1179" i="9" s="1"/>
  <c r="BD352" i="9"/>
  <c r="BD353" i="9" s="1"/>
  <c r="BD323" i="9"/>
  <c r="I893" i="9"/>
  <c r="I894" i="9" s="1"/>
  <c r="I895" i="9" s="1"/>
  <c r="I896" i="9" s="1"/>
  <c r="I876" i="9"/>
  <c r="W352" i="9"/>
  <c r="W353" i="9" s="1"/>
  <c r="W323" i="9"/>
  <c r="AT1077" i="9"/>
  <c r="O998" i="9"/>
  <c r="AN294" i="9"/>
  <c r="AN295" i="9"/>
  <c r="AN299" i="9"/>
  <c r="BL1138" i="9"/>
  <c r="BL1142" i="9" s="1"/>
  <c r="BM905" i="9"/>
  <c r="BM1138" i="9" s="1"/>
  <c r="BN1138" i="9" s="1"/>
  <c r="BN905" i="9" s="1"/>
  <c r="BO905" i="9" s="1"/>
  <c r="AG1080" i="9"/>
  <c r="AZ34" i="9"/>
  <c r="C1057" i="9"/>
  <c r="AX398" i="9"/>
  <c r="AX393" i="9"/>
  <c r="AX435" i="9"/>
  <c r="AX436" i="9" s="1"/>
  <c r="V1077" i="9"/>
  <c r="Z242" i="9"/>
  <c r="AC1079" i="9"/>
  <c r="AY1182" i="9"/>
  <c r="AR1079" i="9"/>
  <c r="AQ476" i="9"/>
  <c r="AQ469" i="9"/>
  <c r="AX629" i="9"/>
  <c r="AO1078" i="9"/>
  <c r="BN759" i="9"/>
  <c r="BJ760" i="9"/>
  <c r="BJ628" i="9" s="1"/>
  <c r="AX1162" i="9"/>
  <c r="AX908" i="9"/>
  <c r="S1095" i="9"/>
  <c r="BF305" i="9"/>
  <c r="BF316" i="9"/>
  <c r="AH625" i="9"/>
  <c r="M873" i="9"/>
  <c r="M1030" i="9"/>
  <c r="M875" i="9" s="1"/>
  <c r="W624" i="9"/>
  <c r="P1182" i="9"/>
  <c r="L1057" i="9"/>
  <c r="AZ1080" i="9"/>
  <c r="AV629" i="9"/>
  <c r="P300" i="9"/>
  <c r="D316" i="9"/>
  <c r="D305" i="9"/>
  <c r="D349" i="9" s="1"/>
  <c r="D350" i="9" s="1"/>
  <c r="AE1179" i="9"/>
  <c r="AA1030" i="9"/>
  <c r="AA1057" i="9" s="1"/>
  <c r="AA873" i="9"/>
  <c r="I877" i="9"/>
  <c r="I897" i="9"/>
  <c r="I898" i="9" s="1"/>
  <c r="I899" i="9" s="1"/>
  <c r="I900" i="9" s="1"/>
  <c r="I874" i="9"/>
  <c r="BD624" i="9"/>
  <c r="BK1162" i="9"/>
  <c r="BL906" i="9"/>
  <c r="BK904" i="9"/>
  <c r="BK1132" i="9" s="1"/>
  <c r="AT1078" i="9"/>
  <c r="AS1252" i="9"/>
  <c r="AS1264" i="9"/>
  <c r="AS1257" i="9"/>
  <c r="AS1250" i="9"/>
  <c r="AS1266" i="9"/>
  <c r="AS1259" i="9"/>
  <c r="AT1264" i="9"/>
  <c r="AT1266" i="9"/>
  <c r="AT1259" i="9"/>
  <c r="AT1252" i="9"/>
  <c r="AT1250" i="9"/>
  <c r="AT1257" i="9"/>
  <c r="BA1076" i="9"/>
  <c r="AG1076" i="9"/>
  <c r="AY436" i="9"/>
  <c r="AN485" i="9"/>
  <c r="Z296" i="9"/>
  <c r="Z295" i="9"/>
  <c r="Z299" i="9"/>
  <c r="Z293" i="9"/>
  <c r="Z294" i="9"/>
  <c r="Z297" i="9"/>
  <c r="AR756" i="9"/>
  <c r="BD843" i="9"/>
  <c r="AQ763" i="9"/>
  <c r="AQ625" i="9"/>
  <c r="BC17" i="9"/>
  <c r="BH17" i="9"/>
  <c r="AO1076" i="9"/>
  <c r="AC650" i="9"/>
  <c r="AC710" i="9"/>
  <c r="AC727" i="9" s="1"/>
  <c r="F629" i="9"/>
  <c r="V628" i="9"/>
  <c r="AS998" i="9"/>
  <c r="BH644" i="9"/>
  <c r="BH661" i="9"/>
  <c r="BH667" i="9" s="1"/>
  <c r="BF1165" i="9"/>
  <c r="BF622" i="9"/>
  <c r="BF768" i="9"/>
  <c r="BF635" i="9" s="1"/>
  <c r="BF778" i="9"/>
  <c r="AO628" i="9"/>
  <c r="BM310" i="9"/>
  <c r="BL312" i="9"/>
  <c r="G710" i="9"/>
  <c r="G727" i="9" s="1"/>
  <c r="G650" i="9"/>
  <c r="BR82" i="9"/>
  <c r="BS69" i="9"/>
  <c r="BS82" i="9" s="1"/>
  <c r="BC1097" i="9"/>
  <c r="D328" i="9"/>
  <c r="AG378" i="9"/>
  <c r="AU1075" i="9"/>
  <c r="AE320" i="9"/>
  <c r="AE667" i="9"/>
  <c r="AJ629" i="9"/>
  <c r="P921" i="9"/>
  <c r="P920" i="9"/>
  <c r="BJ300" i="9"/>
  <c r="J786" i="9"/>
  <c r="J795" i="9" s="1"/>
  <c r="J807" i="9"/>
  <c r="Y1075" i="9"/>
  <c r="Q347" i="9"/>
  <c r="Q348" i="9"/>
  <c r="X874" i="9"/>
  <c r="X877" i="9"/>
  <c r="X897" i="9"/>
  <c r="X898" i="9" s="1"/>
  <c r="X899" i="9" s="1"/>
  <c r="X900" i="9" s="1"/>
  <c r="BB325" i="9"/>
  <c r="BB327" i="9"/>
  <c r="BB39" i="9"/>
  <c r="BB326" i="9"/>
  <c r="AD806" i="9"/>
  <c r="AY1165" i="9"/>
  <c r="AY778" i="9"/>
  <c r="AY768" i="9"/>
  <c r="AY635" i="9" s="1"/>
  <c r="AY622" i="9"/>
  <c r="AV300" i="9"/>
  <c r="Q1077" i="9"/>
  <c r="C921" i="9"/>
  <c r="C920" i="9"/>
  <c r="AJ469" i="9"/>
  <c r="AJ476" i="9"/>
  <c r="BD625" i="9"/>
  <c r="L763" i="9"/>
  <c r="L625" i="9"/>
  <c r="AZ778" i="9"/>
  <c r="AZ768" i="9"/>
  <c r="AZ635" i="9" s="1"/>
  <c r="AZ622" i="9"/>
  <c r="AZ1165" i="9"/>
  <c r="Z298" i="9"/>
  <c r="AW1077" i="9"/>
  <c r="AR1076" i="9"/>
  <c r="AZ348" i="9"/>
  <c r="AZ347" i="9"/>
  <c r="BC1154" i="9"/>
  <c r="BC1156" i="9" s="1"/>
  <c r="BE1030" i="9"/>
  <c r="BE1057" i="9" s="1"/>
  <c r="BE873" i="9"/>
  <c r="AE848" i="9"/>
  <c r="AE843" i="9" s="1"/>
  <c r="AO347" i="9"/>
  <c r="BC159" i="9"/>
  <c r="BC145" i="9"/>
  <c r="BC144" i="9" s="1"/>
  <c r="AO1075" i="9"/>
  <c r="AR628" i="9"/>
  <c r="V629" i="9"/>
  <c r="BH1071" i="9"/>
  <c r="K920" i="9"/>
  <c r="K921" i="9"/>
  <c r="AW485" i="9"/>
  <c r="BM1252" i="9"/>
  <c r="BM1257" i="9"/>
  <c r="BM1250" i="9"/>
  <c r="BM1264" i="9"/>
  <c r="BM1259" i="9"/>
  <c r="BM1266" i="9"/>
  <c r="AX1143" i="9"/>
  <c r="AX1154" i="9" s="1"/>
  <c r="AX1156" i="9" s="1"/>
  <c r="AH352" i="9"/>
  <c r="AH353" i="9" s="1"/>
  <c r="AH323" i="9"/>
  <c r="AM325" i="9" s="1"/>
  <c r="AS1077" i="9"/>
  <c r="U629" i="9"/>
  <c r="BD1057" i="9"/>
  <c r="BD1168" i="9" s="1"/>
  <c r="AV34" i="9"/>
  <c r="BF436" i="9"/>
  <c r="AF1165" i="9"/>
  <c r="AF622" i="9"/>
  <c r="AF778" i="9"/>
  <c r="AF768" i="9"/>
  <c r="AF635" i="9" s="1"/>
  <c r="F1080" i="9"/>
  <c r="AI347" i="9"/>
  <c r="AI348" i="9"/>
  <c r="AE1181" i="9"/>
  <c r="AU1077" i="9"/>
  <c r="AB1077" i="9"/>
  <c r="E316" i="9"/>
  <c r="E305" i="9"/>
  <c r="E349" i="9" s="1"/>
  <c r="F300" i="9"/>
  <c r="X876" i="9"/>
  <c r="X893" i="9"/>
  <c r="X894" i="9" s="1"/>
  <c r="X895" i="9" s="1"/>
  <c r="X896" i="9" s="1"/>
  <c r="C327" i="9"/>
  <c r="C41" i="9" s="1"/>
  <c r="C39" i="9"/>
  <c r="AN13" i="9"/>
  <c r="O96" i="4"/>
  <c r="N96" i="4"/>
  <c r="M96" i="4"/>
  <c r="N95" i="4"/>
  <c r="M95" i="4"/>
  <c r="O95" i="4"/>
  <c r="M84" i="4"/>
  <c r="O84" i="4"/>
  <c r="N84" i="4"/>
  <c r="N71" i="4"/>
  <c r="M71" i="4"/>
  <c r="O71" i="4"/>
  <c r="N72" i="4"/>
  <c r="O72" i="4"/>
  <c r="M72" i="4"/>
  <c r="P72" i="4" s="1"/>
  <c r="L12" i="4"/>
  <c r="M12" i="4" s="1"/>
  <c r="N12" i="4" s="1"/>
  <c r="H20" i="4"/>
  <c r="F107" i="4" s="1"/>
  <c r="L11" i="4"/>
  <c r="M11" i="4" s="1"/>
  <c r="N11" i="4" s="1"/>
  <c r="L10" i="4"/>
  <c r="M10" i="4" s="1"/>
  <c r="N10" i="4" s="1"/>
  <c r="L9" i="4"/>
  <c r="M9" i="4" s="1"/>
  <c r="N9" i="4" s="1"/>
  <c r="F26" i="4"/>
  <c r="F27" i="4"/>
  <c r="F28" i="4"/>
  <c r="D22" i="3"/>
  <c r="E22" i="3"/>
  <c r="F22" i="3"/>
  <c r="G22" i="3"/>
  <c r="H22" i="3"/>
  <c r="I22" i="3"/>
  <c r="J22" i="3"/>
  <c r="K22" i="3"/>
  <c r="L22" i="3"/>
  <c r="D23" i="3"/>
  <c r="E23" i="3"/>
  <c r="F23" i="3"/>
  <c r="G23" i="3"/>
  <c r="H23" i="3"/>
  <c r="I23" i="3"/>
  <c r="J23" i="3"/>
  <c r="K23" i="3"/>
  <c r="L23" i="3"/>
  <c r="D24" i="3"/>
  <c r="E24" i="3"/>
  <c r="F24" i="3"/>
  <c r="G24" i="3"/>
  <c r="H24" i="3"/>
  <c r="I24" i="3"/>
  <c r="J24" i="3"/>
  <c r="K24" i="3"/>
  <c r="L24" i="3"/>
  <c r="E21" i="3"/>
  <c r="F21" i="3"/>
  <c r="G21" i="3"/>
  <c r="H21" i="3"/>
  <c r="I21" i="3"/>
  <c r="J21" i="3"/>
  <c r="K21" i="3"/>
  <c r="L21" i="3"/>
  <c r="D21" i="3"/>
  <c r="S806" i="9" l="1"/>
  <c r="AG934" i="9"/>
  <c r="AG758" i="11"/>
  <c r="AO110" i="11"/>
  <c r="AJ111" i="11"/>
  <c r="BC696" i="11"/>
  <c r="BC853" i="11"/>
  <c r="BD1010" i="11" s="1"/>
  <c r="BD1009" i="11"/>
  <c r="BH1001" i="11"/>
  <c r="H245" i="11"/>
  <c r="H119" i="11"/>
  <c r="BG742" i="11"/>
  <c r="BG628" i="11"/>
  <c r="BG168" i="11"/>
  <c r="BG644" i="11" s="1"/>
  <c r="J74" i="11"/>
  <c r="O75" i="11" s="1"/>
  <c r="J87" i="11"/>
  <c r="O88" i="11" s="1"/>
  <c r="J82" i="11"/>
  <c r="O83" i="11" s="1"/>
  <c r="J70" i="11"/>
  <c r="O71" i="11" s="1"/>
  <c r="J78" i="11"/>
  <c r="I998" i="11"/>
  <c r="N122" i="11"/>
  <c r="I123" i="11"/>
  <c r="N126" i="11" s="1"/>
  <c r="BB965" i="11"/>
  <c r="BB967" i="11"/>
  <c r="BB978" i="11" s="1"/>
  <c r="BB987" i="11" s="1"/>
  <c r="AR239" i="11"/>
  <c r="AR162" i="11" s="1"/>
  <c r="AR244" i="11"/>
  <c r="AR167" i="11" s="1"/>
  <c r="AR251" i="11"/>
  <c r="AR161" i="11"/>
  <c r="AA565" i="11"/>
  <c r="AA562" i="11"/>
  <c r="AA557" i="11"/>
  <c r="AK244" i="11"/>
  <c r="AK167" i="11" s="1"/>
  <c r="AK161" i="11"/>
  <c r="AK239" i="11"/>
  <c r="AK162" i="11" s="1"/>
  <c r="AK251" i="11"/>
  <c r="AG718" i="11"/>
  <c r="AG719" i="11" s="1"/>
  <c r="AG720" i="11" s="1"/>
  <c r="AG721" i="11" s="1"/>
  <c r="AG699" i="11"/>
  <c r="Y1255" i="9"/>
  <c r="Y1115" i="11"/>
  <c r="BC1248" i="9"/>
  <c r="BC1108" i="11"/>
  <c r="AL698" i="11"/>
  <c r="AL219" i="11"/>
  <c r="AL222" i="11" s="1"/>
  <c r="AL887" i="11"/>
  <c r="AL999" i="11" s="1"/>
  <c r="AM71" i="11"/>
  <c r="AH71" i="11"/>
  <c r="BG935" i="9"/>
  <c r="BG759" i="11"/>
  <c r="AZ698" i="11"/>
  <c r="AZ219" i="11"/>
  <c r="AZ222" i="11" s="1"/>
  <c r="AZ887" i="11"/>
  <c r="AZ999" i="11" s="1"/>
  <c r="M628" i="11"/>
  <c r="M168" i="11"/>
  <c r="M644" i="11" s="1"/>
  <c r="M645" i="11" s="1"/>
  <c r="M742" i="11"/>
  <c r="Z83" i="11"/>
  <c r="U83" i="11"/>
  <c r="K628" i="11"/>
  <c r="K742" i="11"/>
  <c r="K168" i="11"/>
  <c r="K644" i="11" s="1"/>
  <c r="K645" i="11" s="1"/>
  <c r="K239" i="11"/>
  <c r="K162" i="11" s="1"/>
  <c r="K161" i="11"/>
  <c r="K251" i="11"/>
  <c r="K244" i="11"/>
  <c r="K167" i="11" s="1"/>
  <c r="AK111" i="11"/>
  <c r="AK112" i="11" s="1"/>
  <c r="AP110" i="11"/>
  <c r="AK998" i="11"/>
  <c r="AP122" i="11"/>
  <c r="AK123" i="11"/>
  <c r="X71" i="11"/>
  <c r="S71" i="11"/>
  <c r="AE699" i="11"/>
  <c r="AE718" i="11"/>
  <c r="AE719" i="11" s="1"/>
  <c r="AE720" i="11" s="1"/>
  <c r="AE721" i="11" s="1"/>
  <c r="F239" i="11"/>
  <c r="F162" i="11" s="1"/>
  <c r="F244" i="11"/>
  <c r="F161" i="11"/>
  <c r="F251" i="11"/>
  <c r="Z255" i="11"/>
  <c r="Z267" i="11"/>
  <c r="Z266" i="11"/>
  <c r="Y1262" i="9"/>
  <c r="Y1122" i="11"/>
  <c r="BC1255" i="9"/>
  <c r="BC1115" i="11"/>
  <c r="AD119" i="11"/>
  <c r="AD245" i="11"/>
  <c r="AM75" i="11"/>
  <c r="AH75" i="11"/>
  <c r="AZ699" i="11"/>
  <c r="AZ718" i="11"/>
  <c r="AZ719" i="11" s="1"/>
  <c r="AZ720" i="11" s="1"/>
  <c r="AZ721" i="11" s="1"/>
  <c r="Z88" i="11"/>
  <c r="U88" i="11"/>
  <c r="K1005" i="11"/>
  <c r="K602" i="11"/>
  <c r="H602" i="11"/>
  <c r="G602" i="11"/>
  <c r="J602" i="11"/>
  <c r="I602" i="11"/>
  <c r="K565" i="11"/>
  <c r="K557" i="11"/>
  <c r="BS386" i="11"/>
  <c r="AK742" i="11"/>
  <c r="AK628" i="11"/>
  <c r="AK168" i="11"/>
  <c r="AK644" i="11" s="1"/>
  <c r="AB936" i="9"/>
  <c r="AB760" i="11"/>
  <c r="AW936" i="9"/>
  <c r="AW760" i="11"/>
  <c r="AB245" i="11"/>
  <c r="AB119" i="11"/>
  <c r="AQ936" i="9"/>
  <c r="AQ760" i="11"/>
  <c r="AE698" i="11"/>
  <c r="AE219" i="11"/>
  <c r="AE222" i="11" s="1"/>
  <c r="AE887" i="11"/>
  <c r="AE999" i="11" s="1"/>
  <c r="F602" i="11"/>
  <c r="F565" i="11"/>
  <c r="Y1248" i="9"/>
  <c r="Y1108" i="11"/>
  <c r="K1262" i="9"/>
  <c r="K936" i="9" s="1"/>
  <c r="K1122" i="11"/>
  <c r="BC1262" i="9"/>
  <c r="BC1122" i="11"/>
  <c r="AM83" i="11"/>
  <c r="AH83" i="11"/>
  <c r="BD936" i="9"/>
  <c r="BD760" i="11"/>
  <c r="Z75" i="11"/>
  <c r="U75" i="11"/>
  <c r="BN462" i="11"/>
  <c r="BO462" i="11" s="1"/>
  <c r="V934" i="9"/>
  <c r="V758" i="11"/>
  <c r="AU75" i="11"/>
  <c r="AP75" i="11"/>
  <c r="H993" i="11"/>
  <c r="L557" i="11"/>
  <c r="L562" i="11"/>
  <c r="L565" i="11"/>
  <c r="M562" i="11"/>
  <c r="U1010" i="11"/>
  <c r="Q219" i="11"/>
  <c r="Q222" i="11" s="1"/>
  <c r="Q698" i="11"/>
  <c r="AE1010" i="11"/>
  <c r="AA219" i="11"/>
  <c r="AA222" i="11" s="1"/>
  <c r="AA698" i="11"/>
  <c r="AA887" i="11"/>
  <c r="AB999" i="11" s="1"/>
  <c r="AI100" i="11"/>
  <c r="AN100" i="11"/>
  <c r="AA936" i="9"/>
  <c r="AA760" i="11"/>
  <c r="BN445" i="11"/>
  <c r="BO445" i="11" s="1"/>
  <c r="AK562" i="11"/>
  <c r="AK565" i="11"/>
  <c r="K998" i="11"/>
  <c r="K123" i="11"/>
  <c r="P122" i="11"/>
  <c r="K1248" i="9"/>
  <c r="K934" i="9" s="1"/>
  <c r="K1108" i="11"/>
  <c r="Z1262" i="9"/>
  <c r="Z1122" i="11"/>
  <c r="P161" i="11"/>
  <c r="P251" i="11"/>
  <c r="P239" i="11"/>
  <c r="P162" i="11" s="1"/>
  <c r="P244" i="11"/>
  <c r="P167" i="11" s="1"/>
  <c r="Z1255" i="9"/>
  <c r="Z1115" i="11"/>
  <c r="BF718" i="11"/>
  <c r="BF719" i="11" s="1"/>
  <c r="BF720" i="11" s="1"/>
  <c r="BF721" i="11" s="1"/>
  <c r="BF699" i="11"/>
  <c r="AF71" i="11"/>
  <c r="AY239" i="11"/>
  <c r="AY162" i="11" s="1"/>
  <c r="AY244" i="11"/>
  <c r="AY167" i="11" s="1"/>
  <c r="AY251" i="11"/>
  <c r="AY161" i="11"/>
  <c r="BN286" i="11"/>
  <c r="BO286" i="11" s="1"/>
  <c r="AY934" i="9"/>
  <c r="AY758" i="11"/>
  <c r="Z698" i="11"/>
  <c r="Z219" i="11"/>
  <c r="Z222" i="11" s="1"/>
  <c r="Z887" i="11"/>
  <c r="Z999" i="11" s="1"/>
  <c r="P998" i="11"/>
  <c r="P123" i="11"/>
  <c r="P126" i="11" s="1"/>
  <c r="U122" i="11"/>
  <c r="BA168" i="11"/>
  <c r="BA644" i="11" s="1"/>
  <c r="BA742" i="11"/>
  <c r="BA628" i="11"/>
  <c r="AQ699" i="11"/>
  <c r="AQ718" i="11"/>
  <c r="AQ719" i="11" s="1"/>
  <c r="AQ720" i="11" s="1"/>
  <c r="AQ721" i="11" s="1"/>
  <c r="AB75" i="11"/>
  <c r="W75" i="11"/>
  <c r="AR110" i="11"/>
  <c r="AM111" i="11"/>
  <c r="AM112" i="11" s="1"/>
  <c r="AM110" i="11"/>
  <c r="K519" i="11"/>
  <c r="K513" i="11"/>
  <c r="BE255" i="11"/>
  <c r="BE267" i="11"/>
  <c r="AP935" i="9"/>
  <c r="AP759" i="11"/>
  <c r="AT239" i="11"/>
  <c r="AT162" i="11" s="1"/>
  <c r="AT251" i="11"/>
  <c r="AT161" i="11"/>
  <c r="AT244" i="11"/>
  <c r="AT167" i="11" s="1"/>
  <c r="F1002" i="11"/>
  <c r="K889" i="11"/>
  <c r="K890" i="11" s="1"/>
  <c r="F897" i="11"/>
  <c r="G889" i="11"/>
  <c r="G890" i="11" s="1"/>
  <c r="AH251" i="11"/>
  <c r="AH239" i="11"/>
  <c r="AH162" i="11" s="1"/>
  <c r="AH161" i="11"/>
  <c r="AH244" i="11"/>
  <c r="AH167" i="11" s="1"/>
  <c r="AB88" i="11"/>
  <c r="W88" i="11"/>
  <c r="AL998" i="11"/>
  <c r="AL123" i="11"/>
  <c r="AL126" i="11" s="1"/>
  <c r="AL122" i="11"/>
  <c r="AD74" i="11"/>
  <c r="AI75" i="11" s="1"/>
  <c r="AD82" i="11"/>
  <c r="AI83" i="11" s="1"/>
  <c r="AD87" i="11"/>
  <c r="AI88" i="11" s="1"/>
  <c r="AD70" i="11"/>
  <c r="AI71" i="11" s="1"/>
  <c r="BH1262" i="9"/>
  <c r="BH1122" i="11"/>
  <c r="J1255" i="9"/>
  <c r="J935" i="9" s="1"/>
  <c r="J1115" i="11"/>
  <c r="AY948" i="11"/>
  <c r="AW953" i="11"/>
  <c r="AW954" i="11" s="1"/>
  <c r="AW955" i="11" s="1"/>
  <c r="J1248" i="9"/>
  <c r="J934" i="9" s="1"/>
  <c r="J1108" i="11"/>
  <c r="AY111" i="11"/>
  <c r="AY112" i="11" s="1"/>
  <c r="BD110" i="11"/>
  <c r="BH1255" i="9"/>
  <c r="BH1115" i="11"/>
  <c r="BB935" i="9"/>
  <c r="BB759" i="11"/>
  <c r="BE909" i="11"/>
  <c r="BJ909" i="11"/>
  <c r="P742" i="11"/>
  <c r="P628" i="11"/>
  <c r="P168" i="11"/>
  <c r="P644" i="11" s="1"/>
  <c r="P645" i="11" s="1"/>
  <c r="O245" i="11"/>
  <c r="O119" i="11"/>
  <c r="P1005" i="11"/>
  <c r="BA998" i="11"/>
  <c r="BA123" i="11"/>
  <c r="BF122" i="11"/>
  <c r="V513" i="11"/>
  <c r="V519" i="11"/>
  <c r="V516" i="11"/>
  <c r="AB71" i="11"/>
  <c r="W71" i="11"/>
  <c r="BA255" i="11"/>
  <c r="BA267" i="11"/>
  <c r="BA266" i="11"/>
  <c r="AM100" i="11"/>
  <c r="AR100" i="11"/>
  <c r="W519" i="11"/>
  <c r="W513" i="11"/>
  <c r="W516" i="11"/>
  <c r="AV934" i="9"/>
  <c r="AV758" i="11"/>
  <c r="S209" i="11"/>
  <c r="S217" i="11" s="1"/>
  <c r="M561" i="11"/>
  <c r="M564" i="11"/>
  <c r="M558" i="11"/>
  <c r="BG934" i="9"/>
  <c r="BG758" i="11"/>
  <c r="V936" i="9"/>
  <c r="V760" i="11"/>
  <c r="S244" i="11"/>
  <c r="S167" i="11" s="1"/>
  <c r="S251" i="11"/>
  <c r="S161" i="11"/>
  <c r="S239" i="11"/>
  <c r="S162" i="11" s="1"/>
  <c r="Y14" i="11"/>
  <c r="AD14" i="11"/>
  <c r="H259" i="11"/>
  <c r="H992" i="11"/>
  <c r="AH934" i="9"/>
  <c r="AH758" i="11"/>
  <c r="AJ100" i="11"/>
  <c r="AO100" i="11"/>
  <c r="AA75" i="11"/>
  <c r="AM562" i="11"/>
  <c r="AM565" i="11"/>
  <c r="T74" i="11"/>
  <c r="T78" i="11"/>
  <c r="T82" i="11"/>
  <c r="T70" i="11"/>
  <c r="T87" i="11"/>
  <c r="Y88" i="11" s="1"/>
  <c r="AU722" i="11"/>
  <c r="AU723" i="11" s="1"/>
  <c r="AU724" i="11" s="1"/>
  <c r="AU725" i="11" s="1"/>
  <c r="AU697" i="11"/>
  <c r="AU700" i="11"/>
  <c r="S557" i="11"/>
  <c r="S565" i="11"/>
  <c r="S562" i="11"/>
  <c r="BE934" i="9"/>
  <c r="BE758" i="11"/>
  <c r="AS602" i="11"/>
  <c r="AR602" i="11"/>
  <c r="AQ602" i="11"/>
  <c r="AP602" i="11"/>
  <c r="AT565" i="11"/>
  <c r="AT602" i="11"/>
  <c r="AH562" i="11"/>
  <c r="AH565" i="11"/>
  <c r="AM239" i="11"/>
  <c r="AM162" i="11" s="1"/>
  <c r="AM161" i="11"/>
  <c r="AM244" i="11"/>
  <c r="AM167" i="11" s="1"/>
  <c r="AM251" i="11"/>
  <c r="R698" i="11"/>
  <c r="R219" i="11"/>
  <c r="R222" i="11" s="1"/>
  <c r="K88" i="11"/>
  <c r="BD27" i="11"/>
  <c r="BI27" i="11"/>
  <c r="BD935" i="9"/>
  <c r="BD759" i="11"/>
  <c r="R699" i="11"/>
  <c r="R718" i="11"/>
  <c r="R719" i="11" s="1"/>
  <c r="R720" i="11" s="1"/>
  <c r="R721" i="11" s="1"/>
  <c r="BS9" i="11"/>
  <c r="I742" i="11"/>
  <c r="I168" i="11"/>
  <c r="I644" i="11" s="1"/>
  <c r="I645" i="11" s="1"/>
  <c r="I628" i="11"/>
  <c r="AJ71" i="11"/>
  <c r="AE71" i="11"/>
  <c r="AR562" i="11"/>
  <c r="AR565" i="11"/>
  <c r="AG698" i="11"/>
  <c r="AG219" i="11"/>
  <c r="AG222" i="11" s="1"/>
  <c r="AG887" i="11"/>
  <c r="AA239" i="11"/>
  <c r="AA162" i="11" s="1"/>
  <c r="AA244" i="11"/>
  <c r="AA167" i="11" s="1"/>
  <c r="AA161" i="11"/>
  <c r="AA251" i="11"/>
  <c r="AM245" i="11"/>
  <c r="AM119" i="11"/>
  <c r="AM122" i="11" s="1"/>
  <c r="AN110" i="11"/>
  <c r="AI111" i="11"/>
  <c r="AI112" i="11" s="1"/>
  <c r="AI110" i="11"/>
  <c r="AO1010" i="11"/>
  <c r="AK219" i="11"/>
  <c r="AK222" i="11" s="1"/>
  <c r="AK698" i="11"/>
  <c r="AJ219" i="11"/>
  <c r="AJ222" i="11" s="1"/>
  <c r="AJ698" i="11"/>
  <c r="AJ887" i="11"/>
  <c r="AO999" i="11" s="1"/>
  <c r="BD1002" i="11"/>
  <c r="BD897" i="11"/>
  <c r="BE889" i="11"/>
  <c r="BE890" i="11" s="1"/>
  <c r="V16" i="11"/>
  <c r="BS981" i="11"/>
  <c r="BJ219" i="11"/>
  <c r="BJ222" i="11" s="1"/>
  <c r="BJ698" i="11"/>
  <c r="BJ887" i="11"/>
  <c r="BE266" i="11"/>
  <c r="AA119" i="11"/>
  <c r="AA245" i="11"/>
  <c r="W936" i="9"/>
  <c r="W760" i="11"/>
  <c r="W935" i="9"/>
  <c r="W759" i="11"/>
  <c r="T935" i="9"/>
  <c r="T759" i="11"/>
  <c r="BA111" i="11"/>
  <c r="BA112" i="11" s="1"/>
  <c r="BF110" i="11"/>
  <c r="BA110" i="11"/>
  <c r="AL742" i="11"/>
  <c r="AL628" i="11"/>
  <c r="AL168" i="11"/>
  <c r="AL644" i="11" s="1"/>
  <c r="AA209" i="11"/>
  <c r="AA217" i="11" s="1"/>
  <c r="AM209" i="11"/>
  <c r="AM217" i="11" s="1"/>
  <c r="G718" i="11"/>
  <c r="G719" i="11" s="1"/>
  <c r="G720" i="11" s="1"/>
  <c r="G721" i="11" s="1"/>
  <c r="G699" i="11"/>
  <c r="AO699" i="11"/>
  <c r="AO718" i="11"/>
  <c r="AO719" i="11" s="1"/>
  <c r="AO720" i="11" s="1"/>
  <c r="AO721" i="11" s="1"/>
  <c r="AL699" i="11"/>
  <c r="AL718" i="11"/>
  <c r="AL719" i="11" s="1"/>
  <c r="AL720" i="11" s="1"/>
  <c r="AL721" i="11" s="1"/>
  <c r="G698" i="11"/>
  <c r="K1010" i="11"/>
  <c r="G219" i="11"/>
  <c r="G222" i="11" s="1"/>
  <c r="G887" i="11"/>
  <c r="AF934" i="9"/>
  <c r="AF758" i="11"/>
  <c r="AO698" i="11"/>
  <c r="AO219" i="11"/>
  <c r="AO222" i="11" s="1"/>
  <c r="P935" i="9"/>
  <c r="P759" i="11"/>
  <c r="AE1248" i="9"/>
  <c r="AE1108" i="11"/>
  <c r="AN198" i="11"/>
  <c r="AN207" i="11" s="1"/>
  <c r="AN193" i="11"/>
  <c r="AN195" i="11"/>
  <c r="Z79" i="11"/>
  <c r="U79" i="11"/>
  <c r="BA75" i="11"/>
  <c r="AV75" i="11"/>
  <c r="AX718" i="11"/>
  <c r="AX719" i="11" s="1"/>
  <c r="AX720" i="11" s="1"/>
  <c r="AX721" i="11" s="1"/>
  <c r="AX699" i="11"/>
  <c r="AJ110" i="11"/>
  <c r="AE111" i="11"/>
  <c r="AE112" i="11" s="1"/>
  <c r="AE110" i="11"/>
  <c r="BH698" i="11"/>
  <c r="BH219" i="11"/>
  <c r="BH222" i="11" s="1"/>
  <c r="BH887" i="11"/>
  <c r="BJ1248" i="9"/>
  <c r="BJ1108" i="11"/>
  <c r="AK887" i="11"/>
  <c r="AY100" i="11"/>
  <c r="BD100" i="11"/>
  <c r="Y519" i="11"/>
  <c r="Y513" i="11"/>
  <c r="Y516" i="11"/>
  <c r="AX219" i="11"/>
  <c r="AX222" i="11" s="1"/>
  <c r="AX698" i="11"/>
  <c r="BH718" i="11"/>
  <c r="BH719" i="11" s="1"/>
  <c r="BH720" i="11" s="1"/>
  <c r="BH721" i="11" s="1"/>
  <c r="BH699" i="11"/>
  <c r="AP245" i="11"/>
  <c r="AP119" i="11"/>
  <c r="O110" i="11"/>
  <c r="J111" i="11"/>
  <c r="AH699" i="11"/>
  <c r="AH718" i="11"/>
  <c r="AH719" i="11" s="1"/>
  <c r="AH720" i="11" s="1"/>
  <c r="AH721" i="11" s="1"/>
  <c r="AX71" i="11"/>
  <c r="AS71" i="11"/>
  <c r="BQ23" i="11"/>
  <c r="BQ15" i="11"/>
  <c r="BQ16" i="11" s="1"/>
  <c r="BQ22" i="11"/>
  <c r="BQ28" i="11"/>
  <c r="BR15" i="11"/>
  <c r="BR16" i="11" s="1"/>
  <c r="BR22" i="11"/>
  <c r="BS21" i="11"/>
  <c r="AJ1010" i="11"/>
  <c r="AF698" i="11"/>
  <c r="AF219" i="11"/>
  <c r="AF222" i="11" s="1"/>
  <c r="AF887" i="11"/>
  <c r="AE1255" i="9"/>
  <c r="AE1115" i="11"/>
  <c r="P934" i="9"/>
  <c r="P758" i="11"/>
  <c r="BF698" i="11"/>
  <c r="BF219" i="11"/>
  <c r="BF222" i="11" s="1"/>
  <c r="BF887" i="11"/>
  <c r="BF999" i="11" s="1"/>
  <c r="U722" i="11"/>
  <c r="U697" i="11"/>
  <c r="U700" i="11"/>
  <c r="AO83" i="11"/>
  <c r="Z718" i="11"/>
  <c r="Z719" i="11" s="1"/>
  <c r="Z720" i="11" s="1"/>
  <c r="Z721" i="11" s="1"/>
  <c r="Z699" i="11"/>
  <c r="AZ934" i="9"/>
  <c r="AZ758" i="11"/>
  <c r="AV909" i="11"/>
  <c r="BA909" i="11"/>
  <c r="AF699" i="11"/>
  <c r="AF718" i="11"/>
  <c r="AF719" i="11" s="1"/>
  <c r="AF720" i="11" s="1"/>
  <c r="AF721" i="11" s="1"/>
  <c r="BG562" i="11"/>
  <c r="BG565" i="11"/>
  <c r="S936" i="9"/>
  <c r="S760" i="11"/>
  <c r="AI887" i="11"/>
  <c r="AJ1012" i="11"/>
  <c r="R239" i="11"/>
  <c r="R162" i="11" s="1"/>
  <c r="R251" i="11"/>
  <c r="R244" i="11"/>
  <c r="R167" i="11" s="1"/>
  <c r="R161" i="11"/>
  <c r="BB998" i="11"/>
  <c r="BB123" i="11"/>
  <c r="BB126" i="11" s="1"/>
  <c r="BG122" i="11"/>
  <c r="AY110" i="11"/>
  <c r="AV907" i="11"/>
  <c r="BA907" i="11"/>
  <c r="AK936" i="9"/>
  <c r="AK760" i="11"/>
  <c r="BN23" i="11"/>
  <c r="BN15" i="11"/>
  <c r="BN16" i="11" s="1"/>
  <c r="BN13" i="11"/>
  <c r="BN14" i="11" s="1"/>
  <c r="BB718" i="11"/>
  <c r="BB719" i="11" s="1"/>
  <c r="BB720" i="11" s="1"/>
  <c r="BB721" i="11" s="1"/>
  <c r="BB699" i="11"/>
  <c r="AU936" i="9"/>
  <c r="AU760" i="11"/>
  <c r="BH119" i="11"/>
  <c r="BH245" i="11"/>
  <c r="BI1005" i="11"/>
  <c r="AO239" i="11"/>
  <c r="AO162" i="11" s="1"/>
  <c r="AO161" i="11"/>
  <c r="AO244" i="11"/>
  <c r="AO167" i="11" s="1"/>
  <c r="AO251" i="11"/>
  <c r="AH698" i="11"/>
  <c r="AH219" i="11"/>
  <c r="AH222" i="11" s="1"/>
  <c r="AH887" i="11"/>
  <c r="AH999" i="11" s="1"/>
  <c r="BH1248" i="9"/>
  <c r="BH1108" i="11"/>
  <c r="M602" i="11"/>
  <c r="P602" i="11"/>
  <c r="P557" i="11"/>
  <c r="O602" i="11"/>
  <c r="N602" i="11"/>
  <c r="L602" i="11"/>
  <c r="P565" i="11"/>
  <c r="Z1248" i="9"/>
  <c r="Z1108" i="11"/>
  <c r="AW934" i="9"/>
  <c r="AW758" i="11"/>
  <c r="BF1001" i="11"/>
  <c r="BG161" i="11"/>
  <c r="BG251" i="11"/>
  <c r="BG244" i="11"/>
  <c r="BG167" i="11" s="1"/>
  <c r="BG239" i="11"/>
  <c r="BG162" i="11" s="1"/>
  <c r="AA16" i="11"/>
  <c r="BA934" i="9"/>
  <c r="BA758" i="11"/>
  <c r="R565" i="11"/>
  <c r="R562" i="11"/>
  <c r="R557" i="11"/>
  <c r="E239" i="11"/>
  <c r="E162" i="11" s="1"/>
  <c r="E161" i="11"/>
  <c r="E251" i="11"/>
  <c r="Q887" i="11"/>
  <c r="S245" i="11"/>
  <c r="S119" i="11"/>
  <c r="BB219" i="11"/>
  <c r="BB222" i="11" s="1"/>
  <c r="BB698" i="11"/>
  <c r="BB887" i="11"/>
  <c r="AO934" i="9"/>
  <c r="AO758" i="11"/>
  <c r="BM29" i="11"/>
  <c r="BM32" i="11"/>
  <c r="W636" i="11"/>
  <c r="W633" i="11"/>
  <c r="W630" i="11"/>
  <c r="AN699" i="11"/>
  <c r="AN718" i="11"/>
  <c r="AN719" i="11" s="1"/>
  <c r="AN720" i="11" s="1"/>
  <c r="AN721" i="11" s="1"/>
  <c r="BJ1255" i="9"/>
  <c r="BJ1115" i="11"/>
  <c r="BK97" i="11"/>
  <c r="BF100" i="11"/>
  <c r="BH1014" i="11"/>
  <c r="BH973" i="11"/>
  <c r="AW244" i="11"/>
  <c r="AW167" i="11" s="1"/>
  <c r="AW239" i="11"/>
  <c r="AW162" i="11" s="1"/>
  <c r="AW251" i="11"/>
  <c r="AW161" i="11"/>
  <c r="AA935" i="9"/>
  <c r="AA759" i="11"/>
  <c r="AO935" i="9"/>
  <c r="AO759" i="11"/>
  <c r="BN428" i="11"/>
  <c r="BO428" i="11" s="1"/>
  <c r="BA27" i="11"/>
  <c r="BF27" i="11"/>
  <c r="AE998" i="11"/>
  <c r="AJ122" i="11"/>
  <c r="AE123" i="11"/>
  <c r="AW998" i="11"/>
  <c r="BB122" i="11"/>
  <c r="AW123" i="11"/>
  <c r="AW126" i="11" s="1"/>
  <c r="AW122" i="11"/>
  <c r="F698" i="11"/>
  <c r="F219" i="11"/>
  <c r="F222" i="11" s="1"/>
  <c r="U244" i="11"/>
  <c r="U167" i="11" s="1"/>
  <c r="U251" i="11"/>
  <c r="U161" i="11"/>
  <c r="U239" i="11"/>
  <c r="U162" i="11" s="1"/>
  <c r="Y628" i="11"/>
  <c r="Y742" i="11"/>
  <c r="Y168" i="11"/>
  <c r="Y644" i="11" s="1"/>
  <c r="Y645" i="11" s="1"/>
  <c r="AT1255" i="9"/>
  <c r="AT1115" i="11"/>
  <c r="BH251" i="11"/>
  <c r="BH161" i="11"/>
  <c r="BH244" i="11"/>
  <c r="BH167" i="11" s="1"/>
  <c r="BH239" i="11"/>
  <c r="BH162" i="11" s="1"/>
  <c r="AE628" i="11"/>
  <c r="AE168" i="11"/>
  <c r="AE644" i="11" s="1"/>
  <c r="AE645" i="11" s="1"/>
  <c r="AE742" i="11"/>
  <c r="BM732" i="11"/>
  <c r="BM492" i="11" s="1"/>
  <c r="BN971" i="11"/>
  <c r="AX931" i="11"/>
  <c r="AY1013" i="11"/>
  <c r="O930" i="11"/>
  <c r="O114" i="11"/>
  <c r="O165" i="11"/>
  <c r="O152" i="11"/>
  <c r="O153" i="11" s="1"/>
  <c r="K999" i="11"/>
  <c r="AX997" i="11"/>
  <c r="AX86" i="11"/>
  <c r="AX87" i="11"/>
  <c r="BC88" i="11" s="1"/>
  <c r="B4" i="9"/>
  <c r="B4" i="11"/>
  <c r="BA936" i="9"/>
  <c r="BA760" i="11"/>
  <c r="S83" i="11"/>
  <c r="N83" i="11"/>
  <c r="AY119" i="11"/>
  <c r="AY122" i="11" s="1"/>
  <c r="AY245" i="11"/>
  <c r="BN377" i="11"/>
  <c r="BO377" i="11" s="1"/>
  <c r="AI209" i="11"/>
  <c r="AI217" i="11" s="1"/>
  <c r="AJ1005" i="11" s="1"/>
  <c r="U742" i="11"/>
  <c r="U628" i="11"/>
  <c r="U168" i="11"/>
  <c r="U644" i="11" s="1"/>
  <c r="U645" i="11" s="1"/>
  <c r="S934" i="9"/>
  <c r="S758" i="11"/>
  <c r="BG111" i="11"/>
  <c r="BG112" i="11" s="1"/>
  <c r="BG110" i="11"/>
  <c r="AJ742" i="11"/>
  <c r="AJ628" i="11"/>
  <c r="AJ168" i="11"/>
  <c r="AJ644" i="11" s="1"/>
  <c r="AI245" i="11"/>
  <c r="AI119" i="11"/>
  <c r="AH998" i="11"/>
  <c r="AH123" i="11"/>
  <c r="AH126" i="11" s="1"/>
  <c r="T557" i="11"/>
  <c r="T565" i="11"/>
  <c r="T562" i="11"/>
  <c r="AW565" i="11"/>
  <c r="AW562" i="11"/>
  <c r="M998" i="11"/>
  <c r="R122" i="11"/>
  <c r="M123" i="11"/>
  <c r="AQ698" i="11"/>
  <c r="AQ219" i="11"/>
  <c r="AQ222" i="11" s="1"/>
  <c r="AQ887" i="11"/>
  <c r="AZ239" i="11"/>
  <c r="AZ162" i="11" s="1"/>
  <c r="AZ251" i="11"/>
  <c r="AZ161" i="11"/>
  <c r="AZ244" i="11"/>
  <c r="AZ167" i="11" s="1"/>
  <c r="AB209" i="11"/>
  <c r="AB217" i="11" s="1"/>
  <c r="J219" i="11"/>
  <c r="J222" i="11" s="1"/>
  <c r="J698" i="11"/>
  <c r="AJ699" i="11"/>
  <c r="AJ718" i="11"/>
  <c r="AJ719" i="11" s="1"/>
  <c r="AJ720" i="11" s="1"/>
  <c r="AJ721" i="11" s="1"/>
  <c r="AX244" i="11"/>
  <c r="AX167" i="11" s="1"/>
  <c r="AX239" i="11"/>
  <c r="AX162" i="11" s="1"/>
  <c r="AX251" i="11"/>
  <c r="AX161" i="11"/>
  <c r="BJ699" i="11"/>
  <c r="BJ718" i="11"/>
  <c r="BJ719" i="11" s="1"/>
  <c r="BJ720" i="11" s="1"/>
  <c r="BJ721" i="11" s="1"/>
  <c r="Y16" i="11"/>
  <c r="I562" i="11"/>
  <c r="I557" i="11"/>
  <c r="N565" i="11"/>
  <c r="K1255" i="9"/>
  <c r="K935" i="9" s="1"/>
  <c r="K1115" i="11"/>
  <c r="T251" i="11"/>
  <c r="T161" i="11"/>
  <c r="T244" i="11"/>
  <c r="T167" i="11" s="1"/>
  <c r="T239" i="11"/>
  <c r="T162" i="11" s="1"/>
  <c r="S110" i="11"/>
  <c r="N111" i="11"/>
  <c r="N112" i="11" s="1"/>
  <c r="N110" i="11"/>
  <c r="BJ998" i="11"/>
  <c r="BJ123" i="11"/>
  <c r="BJ126" i="11" s="1"/>
  <c r="BN962" i="11"/>
  <c r="AU934" i="9"/>
  <c r="AU758" i="11"/>
  <c r="F718" i="11"/>
  <c r="F719" i="11" s="1"/>
  <c r="F720" i="11" s="1"/>
  <c r="F721" i="11" s="1"/>
  <c r="F699" i="11"/>
  <c r="Q602" i="11"/>
  <c r="U557" i="11"/>
  <c r="R602" i="11"/>
  <c r="T602" i="11"/>
  <c r="S602" i="11"/>
  <c r="U602" i="11"/>
  <c r="U565" i="11"/>
  <c r="AJ51" i="11"/>
  <c r="AJ64" i="11"/>
  <c r="AJ48" i="11"/>
  <c r="AJ52" i="11"/>
  <c r="BR74" i="11"/>
  <c r="Y998" i="11"/>
  <c r="Y123" i="11"/>
  <c r="AD122" i="11"/>
  <c r="AR718" i="11"/>
  <c r="AR719" i="11" s="1"/>
  <c r="AR720" i="11" s="1"/>
  <c r="AR721" i="11" s="1"/>
  <c r="AR699" i="11"/>
  <c r="AM88" i="11"/>
  <c r="AC934" i="9"/>
  <c r="AC758" i="11"/>
  <c r="AV906" i="11"/>
  <c r="BA906" i="11"/>
  <c r="AC699" i="11"/>
  <c r="AC718" i="11"/>
  <c r="AC719" i="11" s="1"/>
  <c r="AC720" i="11" s="1"/>
  <c r="AC721" i="11" s="1"/>
  <c r="W934" i="9"/>
  <c r="W758" i="11"/>
  <c r="AX562" i="11"/>
  <c r="I239" i="11"/>
  <c r="I162" i="11" s="1"/>
  <c r="I161" i="11"/>
  <c r="I244" i="11"/>
  <c r="I167" i="11" s="1"/>
  <c r="I251" i="11"/>
  <c r="AN88" i="11"/>
  <c r="BD742" i="11"/>
  <c r="BD628" i="11"/>
  <c r="BD168" i="11"/>
  <c r="BD644" i="11" s="1"/>
  <c r="AP565" i="11"/>
  <c r="AP562" i="11"/>
  <c r="AG239" i="11"/>
  <c r="AG162" i="11" s="1"/>
  <c r="AG244" i="11"/>
  <c r="AG167" i="11" s="1"/>
  <c r="AG161" i="11"/>
  <c r="AG251" i="11"/>
  <c r="BJ628" i="11"/>
  <c r="BJ742" i="11"/>
  <c r="BJ168" i="11"/>
  <c r="BJ644" i="11" s="1"/>
  <c r="O696" i="11"/>
  <c r="O853" i="11"/>
  <c r="AR698" i="11"/>
  <c r="AR219" i="11"/>
  <c r="AR222" i="11" s="1"/>
  <c r="BE718" i="11"/>
  <c r="BE719" i="11" s="1"/>
  <c r="BE720" i="11" s="1"/>
  <c r="BE721" i="11" s="1"/>
  <c r="BE699" i="11"/>
  <c r="BI698" i="11"/>
  <c r="BI219" i="11"/>
  <c r="BI222" i="11" s="1"/>
  <c r="AR75" i="11"/>
  <c r="BP38" i="11"/>
  <c r="AC698" i="11"/>
  <c r="AC219" i="11"/>
  <c r="AC222" i="11" s="1"/>
  <c r="AX105" i="11"/>
  <c r="AS105" i="11"/>
  <c r="BC997" i="11"/>
  <c r="BC86" i="11"/>
  <c r="BC87" i="11"/>
  <c r="BH88" i="11" s="1"/>
  <c r="BC245" i="11"/>
  <c r="BC119" i="11"/>
  <c r="AP244" i="11"/>
  <c r="AP167" i="11" s="1"/>
  <c r="AP239" i="11"/>
  <c r="AP162" i="11" s="1"/>
  <c r="AP251" i="11"/>
  <c r="AP161" i="11"/>
  <c r="Q936" i="9"/>
  <c r="Q760" i="11"/>
  <c r="BF251" i="11"/>
  <c r="BF244" i="11"/>
  <c r="BF167" i="11" s="1"/>
  <c r="BF161" i="11"/>
  <c r="BF239" i="11"/>
  <c r="BF162" i="11" s="1"/>
  <c r="AQ935" i="9"/>
  <c r="AQ759" i="11"/>
  <c r="S935" i="9"/>
  <c r="S759" i="11"/>
  <c r="AS556" i="11"/>
  <c r="AX565" i="11" s="1"/>
  <c r="AS238" i="11"/>
  <c r="S999" i="11"/>
  <c r="AB934" i="9"/>
  <c r="AB758" i="11"/>
  <c r="U1262" i="9"/>
  <c r="U1122" i="11"/>
  <c r="AG935" i="9"/>
  <c r="AG759" i="11"/>
  <c r="AZ628" i="11"/>
  <c r="AZ742" i="11"/>
  <c r="AZ168" i="11"/>
  <c r="AZ644" i="11" s="1"/>
  <c r="AP111" i="11"/>
  <c r="AU110" i="11"/>
  <c r="BF562" i="11"/>
  <c r="BF565" i="11"/>
  <c r="AD259" i="11"/>
  <c r="BE935" i="9"/>
  <c r="BE759" i="11"/>
  <c r="AS853" i="11"/>
  <c r="AS696" i="11"/>
  <c r="AT996" i="11"/>
  <c r="AT67" i="11"/>
  <c r="AT36" i="11"/>
  <c r="AY36" i="11"/>
  <c r="AU83" i="11"/>
  <c r="AP88" i="11"/>
  <c r="T699" i="11"/>
  <c r="T718" i="11"/>
  <c r="T719" i="11" s="1"/>
  <c r="T720" i="11" s="1"/>
  <c r="T721" i="11" s="1"/>
  <c r="AQ934" i="9"/>
  <c r="AQ758" i="11"/>
  <c r="AI1255" i="9"/>
  <c r="AI1115" i="11"/>
  <c r="M699" i="11"/>
  <c r="M718" i="11"/>
  <c r="M719" i="11" s="1"/>
  <c r="M720" i="11" s="1"/>
  <c r="M721" i="11" s="1"/>
  <c r="AD992" i="11"/>
  <c r="BP29" i="11"/>
  <c r="BP32" i="11"/>
  <c r="BD700" i="11"/>
  <c r="BD697" i="11"/>
  <c r="BD722" i="11"/>
  <c r="AM700" i="11"/>
  <c r="AM697" i="11"/>
  <c r="AM722" i="11"/>
  <c r="AM723" i="11" s="1"/>
  <c r="AM724" i="11" s="1"/>
  <c r="AM725" i="11" s="1"/>
  <c r="AS517" i="11"/>
  <c r="AS520" i="11"/>
  <c r="T698" i="11"/>
  <c r="T219" i="11"/>
  <c r="T222" i="11" s="1"/>
  <c r="AL936" i="9"/>
  <c r="AL760" i="11"/>
  <c r="AS111" i="11"/>
  <c r="AS112" i="11" s="1"/>
  <c r="AX110" i="11"/>
  <c r="S516" i="11"/>
  <c r="S519" i="11"/>
  <c r="S513" i="11"/>
  <c r="W244" i="11"/>
  <c r="W167" i="11" s="1"/>
  <c r="W251" i="11"/>
  <c r="W161" i="11"/>
  <c r="W239" i="11"/>
  <c r="W162" i="11" s="1"/>
  <c r="T119" i="11"/>
  <c r="T245" i="11"/>
  <c r="AD1255" i="9"/>
  <c r="AD1115" i="11"/>
  <c r="AU255" i="11"/>
  <c r="AU267" i="11"/>
  <c r="AU266" i="11"/>
  <c r="AJ255" i="11"/>
  <c r="AJ267" i="11"/>
  <c r="AX909" i="11"/>
  <c r="AR112" i="11"/>
  <c r="M698" i="11"/>
  <c r="M219" i="11"/>
  <c r="M222" i="11" s="1"/>
  <c r="AT1009" i="11"/>
  <c r="AY1002" i="11"/>
  <c r="AY897" i="11"/>
  <c r="AZ889" i="11"/>
  <c r="M255" i="11"/>
  <c r="M267" i="11"/>
  <c r="V935" i="9"/>
  <c r="V759" i="11"/>
  <c r="AO48" i="11"/>
  <c r="AF565" i="11"/>
  <c r="AF562" i="11"/>
  <c r="X998" i="11"/>
  <c r="AC122" i="11"/>
  <c r="X123" i="11"/>
  <c r="AC126" i="11" s="1"/>
  <c r="AE513" i="11"/>
  <c r="AE519" i="11"/>
  <c r="AT999" i="11"/>
  <c r="AR887" i="11"/>
  <c r="AX75" i="11"/>
  <c r="AS75" i="11"/>
  <c r="AM936" i="9"/>
  <c r="AM760" i="11"/>
  <c r="X718" i="11"/>
  <c r="X719" i="11" s="1"/>
  <c r="X720" i="11" s="1"/>
  <c r="X721" i="11" s="1"/>
  <c r="X699" i="11"/>
  <c r="W565" i="11"/>
  <c r="W562" i="11"/>
  <c r="W557" i="11"/>
  <c r="BM1255" i="9"/>
  <c r="BM1115" i="11"/>
  <c r="AP100" i="11"/>
  <c r="AU100" i="11"/>
  <c r="AR935" i="9"/>
  <c r="AR759" i="11"/>
  <c r="BD934" i="9"/>
  <c r="BD758" i="11"/>
  <c r="BF998" i="11"/>
  <c r="BF123" i="11"/>
  <c r="S111" i="11"/>
  <c r="X110" i="11"/>
  <c r="S699" i="11"/>
  <c r="S718" i="11"/>
  <c r="S719" i="11" s="1"/>
  <c r="S720" i="11" s="1"/>
  <c r="S721" i="11" s="1"/>
  <c r="X742" i="11"/>
  <c r="X628" i="11"/>
  <c r="X168" i="11"/>
  <c r="X644" i="11" s="1"/>
  <c r="X645" i="11" s="1"/>
  <c r="X239" i="11"/>
  <c r="X162" i="11" s="1"/>
  <c r="X251" i="11"/>
  <c r="X161" i="11"/>
  <c r="X244" i="11"/>
  <c r="X167" i="11" s="1"/>
  <c r="AV209" i="11"/>
  <c r="AV217" i="11" s="1"/>
  <c r="AS342" i="11"/>
  <c r="AR346" i="11"/>
  <c r="BK904" i="11"/>
  <c r="BP904" i="11" s="1"/>
  <c r="BF910" i="11"/>
  <c r="AF88" i="11"/>
  <c r="AB16" i="11"/>
  <c r="Y244" i="11"/>
  <c r="Y167" i="11" s="1"/>
  <c r="Y251" i="11"/>
  <c r="Y161" i="11"/>
  <c r="Y239" i="11"/>
  <c r="Y162" i="11" s="1"/>
  <c r="AT718" i="11"/>
  <c r="AT719" i="11" s="1"/>
  <c r="AT720" i="11" s="1"/>
  <c r="AT721" i="11" s="1"/>
  <c r="AT699" i="11"/>
  <c r="AJ88" i="11"/>
  <c r="X698" i="11"/>
  <c r="X219" i="11"/>
  <c r="X222" i="11" s="1"/>
  <c r="BL1255" i="9"/>
  <c r="BL1115" i="11"/>
  <c r="AC255" i="11"/>
  <c r="AC266" i="11"/>
  <c r="AC267" i="11"/>
  <c r="AW88" i="11"/>
  <c r="V698" i="11"/>
  <c r="V219" i="11"/>
  <c r="V222" i="11" s="1"/>
  <c r="AY722" i="11"/>
  <c r="AY700" i="11"/>
  <c r="AY697" i="11"/>
  <c r="BP940" i="11"/>
  <c r="BH111" i="11"/>
  <c r="BH112" i="11" s="1"/>
  <c r="BL97" i="11"/>
  <c r="BG100" i="11"/>
  <c r="BF742" i="11"/>
  <c r="BF168" i="11"/>
  <c r="BF644" i="11" s="1"/>
  <c r="BF628" i="11"/>
  <c r="AI699" i="11"/>
  <c r="AI718" i="11"/>
  <c r="AI719" i="11" s="1"/>
  <c r="AI720" i="11" s="1"/>
  <c r="AI721" i="11" s="1"/>
  <c r="BE936" i="9"/>
  <c r="BE760" i="11"/>
  <c r="BB251" i="11"/>
  <c r="BB239" i="11"/>
  <c r="BB162" i="11" s="1"/>
  <c r="BB161" i="11"/>
  <c r="BB244" i="11"/>
  <c r="BB167" i="11" s="1"/>
  <c r="N79" i="11"/>
  <c r="AG112" i="11"/>
  <c r="AI238" i="11"/>
  <c r="AI556" i="11"/>
  <c r="R119" i="11"/>
  <c r="R245" i="11"/>
  <c r="BT403" i="11"/>
  <c r="Z564" i="11"/>
  <c r="Z558" i="11"/>
  <c r="X557" i="11"/>
  <c r="X565" i="11"/>
  <c r="X562" i="11"/>
  <c r="AV245" i="11"/>
  <c r="AV119" i="11"/>
  <c r="L628" i="11"/>
  <c r="L168" i="11"/>
  <c r="L644" i="11" s="1"/>
  <c r="L645" i="11" s="1"/>
  <c r="L742" i="11"/>
  <c r="BG904" i="11"/>
  <c r="BG966" i="11"/>
  <c r="M75" i="11"/>
  <c r="BL1248" i="9"/>
  <c r="BL1108" i="11"/>
  <c r="V718" i="11"/>
  <c r="V719" i="11" s="1"/>
  <c r="V720" i="11" s="1"/>
  <c r="V721" i="11" s="1"/>
  <c r="V699" i="11"/>
  <c r="BI935" i="9"/>
  <c r="BI759" i="11"/>
  <c r="P1010" i="11"/>
  <c r="L698" i="11"/>
  <c r="L219" i="11"/>
  <c r="L222" i="11" s="1"/>
  <c r="I718" i="11"/>
  <c r="I719" i="11" s="1"/>
  <c r="I720" i="11" s="1"/>
  <c r="I721" i="11" s="1"/>
  <c r="I699" i="11"/>
  <c r="AL75" i="11"/>
  <c r="AG75" i="11"/>
  <c r="V887" i="11"/>
  <c r="V999" i="11" s="1"/>
  <c r="AE244" i="11"/>
  <c r="AE167" i="11" s="1"/>
  <c r="AE239" i="11"/>
  <c r="AE162" i="11" s="1"/>
  <c r="AE251" i="11"/>
  <c r="AE161" i="11"/>
  <c r="BH86" i="11"/>
  <c r="T111" i="11"/>
  <c r="T112" i="11" s="1"/>
  <c r="Y110" i="11"/>
  <c r="K697" i="11"/>
  <c r="K700" i="11"/>
  <c r="K722" i="11"/>
  <c r="K723" i="11" s="1"/>
  <c r="K724" i="11" s="1"/>
  <c r="K725" i="11" s="1"/>
  <c r="AZ910" i="11"/>
  <c r="AX112" i="11"/>
  <c r="AR348" i="11"/>
  <c r="AR352" i="11" s="1"/>
  <c r="AQ354" i="11"/>
  <c r="AQ360" i="11" s="1"/>
  <c r="BF965" i="11"/>
  <c r="BF967" i="11"/>
  <c r="BF978" i="11" s="1"/>
  <c r="BF987" i="11" s="1"/>
  <c r="BF989" i="11" s="1"/>
  <c r="X112" i="11"/>
  <c r="AY354" i="11"/>
  <c r="AY360" i="11" s="1"/>
  <c r="BD348" i="11"/>
  <c r="BD352" i="11" s="1"/>
  <c r="AZ348" i="11"/>
  <c r="AZ352" i="11" s="1"/>
  <c r="M266" i="11"/>
  <c r="BG699" i="11"/>
  <c r="BG718" i="11"/>
  <c r="BG719" i="11" s="1"/>
  <c r="BG720" i="11" s="1"/>
  <c r="BG721" i="11" s="1"/>
  <c r="O1262" i="9"/>
  <c r="O1122" i="11"/>
  <c r="Y853" i="11"/>
  <c r="Z1010" i="11" s="1"/>
  <c r="Y696" i="11"/>
  <c r="L699" i="11"/>
  <c r="L718" i="11"/>
  <c r="L719" i="11" s="1"/>
  <c r="L720" i="11" s="1"/>
  <c r="L721" i="11" s="1"/>
  <c r="G998" i="11"/>
  <c r="L122" i="11"/>
  <c r="G123" i="11"/>
  <c r="AD602" i="11"/>
  <c r="AC602" i="11"/>
  <c r="AB602" i="11"/>
  <c r="AE565" i="11"/>
  <c r="AA602" i="11"/>
  <c r="AE557" i="11"/>
  <c r="AE602" i="11"/>
  <c r="AI602" i="11"/>
  <c r="AF602" i="11"/>
  <c r="AG602" i="11"/>
  <c r="AJ602" i="11"/>
  <c r="AH602" i="11"/>
  <c r="AJ565" i="11"/>
  <c r="O129" i="11"/>
  <c r="O914" i="11" s="1"/>
  <c r="AT998" i="11"/>
  <c r="AT123" i="11"/>
  <c r="J1262" i="9"/>
  <c r="J936" i="9" s="1"/>
  <c r="J1122" i="11"/>
  <c r="F742" i="11"/>
  <c r="F168" i="11"/>
  <c r="F644" i="11" s="1"/>
  <c r="F628" i="11"/>
  <c r="V558" i="11"/>
  <c r="V564" i="11"/>
  <c r="V561" i="11"/>
  <c r="AB718" i="11"/>
  <c r="AB719" i="11" s="1"/>
  <c r="AB720" i="11" s="1"/>
  <c r="AB721" i="11" s="1"/>
  <c r="AB699" i="11"/>
  <c r="AW71" i="11"/>
  <c r="AR71" i="11"/>
  <c r="AB935" i="9"/>
  <c r="AB759" i="11"/>
  <c r="BI699" i="11"/>
  <c r="BI718" i="11"/>
  <c r="BI719" i="11" s="1"/>
  <c r="BI720" i="11" s="1"/>
  <c r="BI721" i="11" s="1"/>
  <c r="J699" i="11"/>
  <c r="J718" i="11"/>
  <c r="J719" i="11" s="1"/>
  <c r="J720" i="11" s="1"/>
  <c r="J721" i="11" s="1"/>
  <c r="AN698" i="11"/>
  <c r="AN219" i="11"/>
  <c r="AN222" i="11" s="1"/>
  <c r="BJ1262" i="9"/>
  <c r="BJ1122" i="11"/>
  <c r="BG936" i="9"/>
  <c r="BG760" i="11"/>
  <c r="F998" i="11"/>
  <c r="K122" i="11"/>
  <c r="F123" i="11"/>
  <c r="V562" i="11"/>
  <c r="O557" i="11"/>
  <c r="O562" i="11"/>
  <c r="AZ998" i="11"/>
  <c r="AZ123" i="11"/>
  <c r="BE122" i="11"/>
  <c r="AC629" i="11"/>
  <c r="H722" i="11"/>
  <c r="H723" i="11" s="1"/>
  <c r="H724" i="11" s="1"/>
  <c r="H725" i="11" s="1"/>
  <c r="H700" i="11"/>
  <c r="H697" i="11"/>
  <c r="R519" i="11"/>
  <c r="R513" i="11"/>
  <c r="R516" i="11"/>
  <c r="AL934" i="9"/>
  <c r="AL758" i="11"/>
  <c r="BC209" i="11"/>
  <c r="BC217" i="11" s="1"/>
  <c r="BD1005" i="11" s="1"/>
  <c r="BN1271" i="9"/>
  <c r="BN1129" i="11" s="1"/>
  <c r="BR1133" i="11"/>
  <c r="AX1133" i="11"/>
  <c r="AD1133" i="11"/>
  <c r="J1133" i="11"/>
  <c r="BJ1132" i="11"/>
  <c r="AP1132" i="11"/>
  <c r="V1132" i="11"/>
  <c r="BV1131" i="11"/>
  <c r="BB1131" i="11"/>
  <c r="AH1131" i="11"/>
  <c r="N1131" i="11"/>
  <c r="BQ1133" i="11"/>
  <c r="AW1133" i="11"/>
  <c r="AC1133" i="11"/>
  <c r="I1133" i="11"/>
  <c r="BI1132" i="11"/>
  <c r="AO1132" i="11"/>
  <c r="U1132" i="11"/>
  <c r="BU1131" i="11"/>
  <c r="BA1131" i="11"/>
  <c r="AG1131" i="11"/>
  <c r="M1131" i="11"/>
  <c r="BP1133" i="11"/>
  <c r="AV1133" i="11"/>
  <c r="AB1133" i="11"/>
  <c r="H1133" i="11"/>
  <c r="BH1132" i="11"/>
  <c r="AN1132" i="11"/>
  <c r="T1132" i="11"/>
  <c r="BT1131" i="11"/>
  <c r="AZ1131" i="11"/>
  <c r="AF1131" i="11"/>
  <c r="L1131" i="11"/>
  <c r="BO1133" i="11"/>
  <c r="AR1133" i="11"/>
  <c r="U1133" i="11"/>
  <c r="BR1132" i="11"/>
  <c r="AU1132" i="11"/>
  <c r="X1132" i="11"/>
  <c r="BR1131" i="11"/>
  <c r="AU1131" i="11"/>
  <c r="X1131" i="11"/>
  <c r="BN1133" i="11"/>
  <c r="AQ1133" i="11"/>
  <c r="T1133" i="11"/>
  <c r="BQ1132" i="11"/>
  <c r="AT1132" i="11"/>
  <c r="W1132" i="11"/>
  <c r="BQ1131" i="11"/>
  <c r="AT1131" i="11"/>
  <c r="W1131" i="11"/>
  <c r="BM1133" i="11"/>
  <c r="AP1133" i="11"/>
  <c r="S1133" i="11"/>
  <c r="BP1132" i="11"/>
  <c r="AS1132" i="11"/>
  <c r="S1132" i="11"/>
  <c r="BP1131" i="11"/>
  <c r="AS1131" i="11"/>
  <c r="V1131" i="11"/>
  <c r="BL1133" i="11"/>
  <c r="AL1133" i="11"/>
  <c r="L1133" i="11"/>
  <c r="BC1132" i="11"/>
  <c r="AC1132" i="11"/>
  <c r="C1132" i="11"/>
  <c r="AQ1131" i="11"/>
  <c r="Q1131" i="11"/>
  <c r="BK1133" i="11"/>
  <c r="AK1133" i="11"/>
  <c r="K1133" i="11"/>
  <c r="BB1132" i="11"/>
  <c r="AB1132" i="11"/>
  <c r="BS1131" i="11"/>
  <c r="AP1131" i="11"/>
  <c r="P1131" i="11"/>
  <c r="BJ1133" i="11"/>
  <c r="AJ1133" i="11"/>
  <c r="G1133" i="11"/>
  <c r="BA1132" i="11"/>
  <c r="AA1132" i="11"/>
  <c r="BO1131" i="11"/>
  <c r="AO1131" i="11"/>
  <c r="O1131" i="11"/>
  <c r="BI1133" i="11"/>
  <c r="AF1133" i="11"/>
  <c r="BT1132" i="11"/>
  <c r="AK1132" i="11"/>
  <c r="H1132" i="11"/>
  <c r="AV1131" i="11"/>
  <c r="J1131" i="11"/>
  <c r="BH1133" i="11"/>
  <c r="AE1133" i="11"/>
  <c r="BS1132" i="11"/>
  <c r="AJ1132" i="11"/>
  <c r="G1132" i="11"/>
  <c r="AR1131" i="11"/>
  <c r="I1131" i="11"/>
  <c r="AU1133" i="11"/>
  <c r="O1133" i="11"/>
  <c r="AZ1132" i="11"/>
  <c r="Q1132" i="11"/>
  <c r="BH1131" i="11"/>
  <c r="AB1131" i="11"/>
  <c r="BG1133" i="11"/>
  <c r="X1133" i="11"/>
  <c r="BF1132" i="11"/>
  <c r="P1132" i="11"/>
  <c r="BD1131" i="11"/>
  <c r="R1131" i="11"/>
  <c r="BF1133" i="11"/>
  <c r="W1133" i="11"/>
  <c r="BE1132" i="11"/>
  <c r="O1132" i="11"/>
  <c r="BC1131" i="11"/>
  <c r="K1131" i="11"/>
  <c r="AO1133" i="11"/>
  <c r="C1133" i="11"/>
  <c r="AI1132" i="11"/>
  <c r="BN1131" i="11"/>
  <c r="AE1131" i="11"/>
  <c r="BE1133" i="11"/>
  <c r="P1133" i="11"/>
  <c r="AQ1132" i="11"/>
  <c r="BM1131" i="11"/>
  <c r="Z1131" i="11"/>
  <c r="AS1133" i="11"/>
  <c r="BO1132" i="11"/>
  <c r="Z1132" i="11"/>
  <c r="AY1131" i="11"/>
  <c r="E1131" i="11"/>
  <c r="AI1133" i="11"/>
  <c r="BL1132" i="11"/>
  <c r="N1132" i="11"/>
  <c r="AN1131" i="11"/>
  <c r="BD1133" i="11"/>
  <c r="E1133" i="11"/>
  <c r="AD1132" i="11"/>
  <c r="AM1131" i="11"/>
  <c r="BC1133" i="11"/>
  <c r="D1133" i="11"/>
  <c r="Y1132" i="11"/>
  <c r="AL1131" i="11"/>
  <c r="AA1133" i="11"/>
  <c r="AW1132" i="11"/>
  <c r="BL1131" i="11"/>
  <c r="S1131" i="11"/>
  <c r="BB1133" i="11"/>
  <c r="BM1132" i="11"/>
  <c r="F1132" i="11"/>
  <c r="H1131" i="11"/>
  <c r="BA1133" i="11"/>
  <c r="BK1132" i="11"/>
  <c r="E1132" i="11"/>
  <c r="G1131" i="11"/>
  <c r="AZ1133" i="11"/>
  <c r="AY1132" i="11"/>
  <c r="BG1131" i="11"/>
  <c r="A759" i="11"/>
  <c r="AY1133" i="11"/>
  <c r="AX1132" i="11"/>
  <c r="BF1131" i="11"/>
  <c r="AT1133" i="11"/>
  <c r="AV1132" i="11"/>
  <c r="BE1131" i="11"/>
  <c r="AN1133" i="11"/>
  <c r="AH1132" i="11"/>
  <c r="AC1131" i="11"/>
  <c r="AM1133" i="11"/>
  <c r="AG1132" i="11"/>
  <c r="AA1131" i="11"/>
  <c r="AH1133" i="11"/>
  <c r="AF1132" i="11"/>
  <c r="Y1131" i="11"/>
  <c r="AG1133" i="11"/>
  <c r="L1132" i="11"/>
  <c r="A761" i="11"/>
  <c r="Z1133" i="11"/>
  <c r="K1132" i="11"/>
  <c r="F1133" i="11"/>
  <c r="AX1131" i="11"/>
  <c r="Y1133" i="11"/>
  <c r="BK1131" i="11"/>
  <c r="V1133" i="11"/>
  <c r="BJ1131" i="11"/>
  <c r="A762" i="11"/>
  <c r="R1133" i="11"/>
  <c r="BI1131" i="11"/>
  <c r="Q1133" i="11"/>
  <c r="AI1131" i="11"/>
  <c r="N1133" i="11"/>
  <c r="AD1131" i="11"/>
  <c r="A763" i="11"/>
  <c r="M1133" i="11"/>
  <c r="U1131" i="11"/>
  <c r="BV1132" i="11"/>
  <c r="C1131" i="11"/>
  <c r="BU1132" i="11"/>
  <c r="BN1132" i="11"/>
  <c r="A764" i="11"/>
  <c r="BG1132" i="11"/>
  <c r="BD1132" i="11"/>
  <c r="J1132" i="11"/>
  <c r="AR1132" i="11"/>
  <c r="AW1131" i="11"/>
  <c r="T1131" i="11"/>
  <c r="AM1132" i="11"/>
  <c r="AL1132" i="11"/>
  <c r="AE1132" i="11"/>
  <c r="R1132" i="11"/>
  <c r="M1132" i="11"/>
  <c r="I1132" i="11"/>
  <c r="A758" i="11"/>
  <c r="AK1131" i="11"/>
  <c r="D1132" i="11"/>
  <c r="AJ1131" i="11"/>
  <c r="A3" i="11"/>
  <c r="F1131" i="11"/>
  <c r="D1131" i="11"/>
  <c r="A760" i="11"/>
  <c r="B1150" i="11"/>
  <c r="BV1133" i="11"/>
  <c r="BS1133" i="11"/>
  <c r="BU1133" i="11"/>
  <c r="BT1133" i="11"/>
  <c r="Q998" i="11"/>
  <c r="Q123" i="11"/>
  <c r="Q126" i="11" s="1"/>
  <c r="V122" i="11"/>
  <c r="N259" i="11"/>
  <c r="N992" i="11"/>
  <c r="V998" i="11"/>
  <c r="V123" i="11"/>
  <c r="P698" i="11"/>
  <c r="P219" i="11"/>
  <c r="P222" i="11" s="1"/>
  <c r="BM1262" i="9"/>
  <c r="BM1122" i="11"/>
  <c r="BE742" i="11"/>
  <c r="BE628" i="11"/>
  <c r="BE168" i="11"/>
  <c r="BE644" i="11" s="1"/>
  <c r="BH930" i="11"/>
  <c r="BH165" i="11"/>
  <c r="BH114" i="11"/>
  <c r="BH152" i="11"/>
  <c r="BH153" i="11" s="1"/>
  <c r="Q742" i="11"/>
  <c r="Q628" i="11"/>
  <c r="Q168" i="11"/>
  <c r="Q644" i="11" s="1"/>
  <c r="Q645" i="11" s="1"/>
  <c r="BO970" i="11"/>
  <c r="BR70" i="11"/>
  <c r="F112" i="11"/>
  <c r="V628" i="11"/>
  <c r="V742" i="11"/>
  <c r="V168" i="11"/>
  <c r="V644" i="11" s="1"/>
  <c r="V645" i="11" s="1"/>
  <c r="M83" i="11"/>
  <c r="U1248" i="9"/>
  <c r="U1108" i="11"/>
  <c r="AV936" i="9"/>
  <c r="AV760" i="11"/>
  <c r="AD88" i="11"/>
  <c r="AB251" i="11"/>
  <c r="AB239" i="11"/>
  <c r="AB162" i="11" s="1"/>
  <c r="AB161" i="11"/>
  <c r="AB244" i="11"/>
  <c r="AB167" i="11" s="1"/>
  <c r="AB112" i="11"/>
  <c r="AI219" i="11"/>
  <c r="AI222" i="11" s="1"/>
  <c r="AI698" i="11"/>
  <c r="BJ989" i="11"/>
  <c r="T209" i="11"/>
  <c r="T217" i="11" s="1"/>
  <c r="AD1262" i="9"/>
  <c r="AD1122" i="11"/>
  <c r="AU565" i="11"/>
  <c r="J52" i="11"/>
  <c r="J51" i="11"/>
  <c r="U998" i="11"/>
  <c r="U123" i="11"/>
  <c r="U126" i="11" s="1"/>
  <c r="Z122" i="11"/>
  <c r="J887" i="11"/>
  <c r="L999" i="11" s="1"/>
  <c r="S100" i="11"/>
  <c r="T100" i="11"/>
  <c r="Y100" i="11"/>
  <c r="J119" i="11"/>
  <c r="J245" i="11"/>
  <c r="AL111" i="11"/>
  <c r="AL112" i="11" s="1"/>
  <c r="AQ110" i="11"/>
  <c r="AP361" i="11"/>
  <c r="AP484" i="11"/>
  <c r="Y565" i="11"/>
  <c r="Y562" i="11"/>
  <c r="Y557" i="11"/>
  <c r="AD565" i="11"/>
  <c r="AN565" i="11"/>
  <c r="AN562" i="11"/>
  <c r="X887" i="11"/>
  <c r="O112" i="11"/>
  <c r="X934" i="9"/>
  <c r="X758" i="11"/>
  <c r="AW697" i="11"/>
  <c r="AW722" i="11"/>
  <c r="AW723" i="11" s="1"/>
  <c r="AW724" i="11" s="1"/>
  <c r="AW725" i="11" s="1"/>
  <c r="AW700" i="11"/>
  <c r="AV267" i="11"/>
  <c r="AV255" i="11"/>
  <c r="AV266" i="11"/>
  <c r="BI890" i="11"/>
  <c r="V602" i="11"/>
  <c r="BN394" i="11"/>
  <c r="BO394" i="11" s="1"/>
  <c r="M88" i="11"/>
  <c r="AD16" i="11"/>
  <c r="BH75" i="11"/>
  <c r="AD1248" i="9"/>
  <c r="AD1108" i="11"/>
  <c r="Y887" i="11"/>
  <c r="Y999" i="11" s="1"/>
  <c r="AO71" i="11"/>
  <c r="AQ565" i="11"/>
  <c r="AQ562" i="11"/>
  <c r="AE83" i="11"/>
  <c r="AF936" i="9"/>
  <c r="AF760" i="11"/>
  <c r="S826" i="11"/>
  <c r="R827" i="11"/>
  <c r="AS1248" i="9"/>
  <c r="AS1108" i="11"/>
  <c r="O1255" i="9"/>
  <c r="O1115" i="11"/>
  <c r="AQ245" i="11"/>
  <c r="AQ119" i="11"/>
  <c r="AF998" i="11"/>
  <c r="AF123" i="11"/>
  <c r="AK122" i="11"/>
  <c r="AH122" i="11"/>
  <c r="P1009" i="11"/>
  <c r="AL161" i="11"/>
  <c r="AL244" i="11"/>
  <c r="AL167" i="11" s="1"/>
  <c r="AL239" i="11"/>
  <c r="AL162" i="11" s="1"/>
  <c r="AL251" i="11"/>
  <c r="G742" i="11"/>
  <c r="G628" i="11"/>
  <c r="G629" i="11" s="1"/>
  <c r="G630" i="11" s="1"/>
  <c r="G168" i="11"/>
  <c r="G644" i="11" s="1"/>
  <c r="G645" i="11" s="1"/>
  <c r="BD743" i="11"/>
  <c r="N513" i="11"/>
  <c r="N516" i="11"/>
  <c r="N519" i="11"/>
  <c r="Q935" i="9"/>
  <c r="Q759" i="11"/>
  <c r="BI244" i="11"/>
  <c r="BI167" i="11" s="1"/>
  <c r="BI161" i="11"/>
  <c r="BI251" i="11"/>
  <c r="BI239" i="11"/>
  <c r="BI162" i="11" s="1"/>
  <c r="AX934" i="9"/>
  <c r="AX758" i="11"/>
  <c r="BJ111" i="11"/>
  <c r="BJ112" i="11" s="1"/>
  <c r="AP700" i="11"/>
  <c r="AP722" i="11"/>
  <c r="AP723" i="11" s="1"/>
  <c r="AP724" i="11" s="1"/>
  <c r="AP725" i="11" s="1"/>
  <c r="AP697" i="11"/>
  <c r="BI998" i="11"/>
  <c r="BI123" i="11"/>
  <c r="BJ565" i="11"/>
  <c r="BJ562" i="11"/>
  <c r="AR936" i="9"/>
  <c r="AR760" i="11"/>
  <c r="AQ244" i="11"/>
  <c r="AQ167" i="11" s="1"/>
  <c r="AQ251" i="11"/>
  <c r="AQ239" i="11"/>
  <c r="AQ162" i="11" s="1"/>
  <c r="AQ161" i="11"/>
  <c r="Z998" i="11"/>
  <c r="Z123" i="11"/>
  <c r="Z126" i="11" s="1"/>
  <c r="AE122" i="11"/>
  <c r="AC558" i="11"/>
  <c r="AC561" i="11"/>
  <c r="AC564" i="11"/>
  <c r="X936" i="9"/>
  <c r="X760" i="11"/>
  <c r="BD112" i="11"/>
  <c r="AV112" i="11"/>
  <c r="AH935" i="9"/>
  <c r="AH759" i="11"/>
  <c r="BE39" i="11"/>
  <c r="AU935" i="9"/>
  <c r="AU759" i="11"/>
  <c r="BJ39" i="11"/>
  <c r="Z565" i="11"/>
  <c r="BB936" i="9"/>
  <c r="BB760" i="11"/>
  <c r="F88" i="11"/>
  <c r="X519" i="11"/>
  <c r="X513" i="11"/>
  <c r="X516" i="11"/>
  <c r="AY744" i="11"/>
  <c r="Q161" i="11"/>
  <c r="Q244" i="11"/>
  <c r="Q167" i="11" s="1"/>
  <c r="Q239" i="11"/>
  <c r="Q162" i="11" s="1"/>
  <c r="Q251" i="11"/>
  <c r="I516" i="11"/>
  <c r="I513" i="11"/>
  <c r="AT361" i="11"/>
  <c r="BO38" i="11"/>
  <c r="BO39" i="11" s="1"/>
  <c r="BK29" i="11"/>
  <c r="BM38" i="11"/>
  <c r="BM39" i="11" s="1"/>
  <c r="BK32" i="11"/>
  <c r="BK38" i="11"/>
  <c r="BK39" i="11" s="1"/>
  <c r="BL38" i="11"/>
  <c r="BL39" i="11" s="1"/>
  <c r="BN28" i="11"/>
  <c r="AS209" i="11"/>
  <c r="AS217" i="11" s="1"/>
  <c r="AG936" i="9"/>
  <c r="AG760" i="11"/>
  <c r="AY565" i="11"/>
  <c r="AX602" i="11"/>
  <c r="AY602" i="11"/>
  <c r="AW602" i="11"/>
  <c r="AV602" i="11"/>
  <c r="AU602" i="11"/>
  <c r="AZ602" i="11"/>
  <c r="BD565" i="11"/>
  <c r="BD602" i="11"/>
  <c r="BC602" i="11"/>
  <c r="BB602" i="11"/>
  <c r="BA602" i="11"/>
  <c r="F3" i="11"/>
  <c r="F279" i="11"/>
  <c r="G4" i="11"/>
  <c r="AT742" i="11"/>
  <c r="AT628" i="11"/>
  <c r="AT743" i="11"/>
  <c r="AT168" i="11"/>
  <c r="AT644" i="11" s="1"/>
  <c r="BI1010" i="11"/>
  <c r="BE698" i="11"/>
  <c r="BE219" i="11"/>
  <c r="BE222" i="11" s="1"/>
  <c r="AM934" i="9"/>
  <c r="AM758" i="11"/>
  <c r="U1255" i="9"/>
  <c r="U1115" i="11"/>
  <c r="BH562" i="11"/>
  <c r="AY936" i="9"/>
  <c r="AY760" i="11"/>
  <c r="BC111" i="11"/>
  <c r="BC112" i="11" s="1"/>
  <c r="BH110" i="11"/>
  <c r="BL29" i="11"/>
  <c r="BL32" i="11"/>
  <c r="AV935" i="9"/>
  <c r="AV759" i="11"/>
  <c r="P718" i="11"/>
  <c r="P719" i="11" s="1"/>
  <c r="P720" i="11" s="1"/>
  <c r="P721" i="11" s="1"/>
  <c r="P699" i="11"/>
  <c r="AU209" i="11"/>
  <c r="AU217" i="11" s="1"/>
  <c r="S75" i="11"/>
  <c r="N75" i="11"/>
  <c r="AP934" i="9"/>
  <c r="AP758" i="11"/>
  <c r="AD853" i="11"/>
  <c r="AD696" i="11"/>
  <c r="AJ50" i="11"/>
  <c r="AU245" i="11"/>
  <c r="AU119" i="11"/>
  <c r="AY209" i="11"/>
  <c r="AY217" i="11" s="1"/>
  <c r="AY1005" i="11" s="1"/>
  <c r="R936" i="9"/>
  <c r="R760" i="11"/>
  <c r="Q916" i="11"/>
  <c r="V88" i="11"/>
  <c r="AF251" i="11"/>
  <c r="AF244" i="11"/>
  <c r="AF167" i="11" s="1"/>
  <c r="AF239" i="11"/>
  <c r="AF162" i="11" s="1"/>
  <c r="AF161" i="11"/>
  <c r="BM1248" i="9"/>
  <c r="BM1108" i="11"/>
  <c r="BI934" i="9"/>
  <c r="BI758" i="11"/>
  <c r="H513" i="11"/>
  <c r="H516" i="11"/>
  <c r="AY999" i="11"/>
  <c r="Q934" i="9"/>
  <c r="Q758" i="11"/>
  <c r="Y70" i="11"/>
  <c r="AD71" i="11" s="1"/>
  <c r="Y74" i="11"/>
  <c r="AD75" i="11" s="1"/>
  <c r="Y82" i="11"/>
  <c r="AD83" i="11" s="1"/>
  <c r="Y78" i="11"/>
  <c r="AT1262" i="9"/>
  <c r="AT1122" i="11"/>
  <c r="AG16" i="11"/>
  <c r="AJ935" i="9"/>
  <c r="AJ759" i="11"/>
  <c r="BF909" i="11"/>
  <c r="BK903" i="11"/>
  <c r="BP903" i="11" s="1"/>
  <c r="AX209" i="11"/>
  <c r="AX217" i="11" s="1"/>
  <c r="S698" i="11"/>
  <c r="S219" i="11"/>
  <c r="S222" i="11" s="1"/>
  <c r="AT698" i="11"/>
  <c r="AT219" i="11"/>
  <c r="AT222" i="11" s="1"/>
  <c r="BG219" i="11"/>
  <c r="BG222" i="11" s="1"/>
  <c r="BG698" i="11"/>
  <c r="BD744" i="11"/>
  <c r="AO936" i="9"/>
  <c r="AO760" i="11"/>
  <c r="AF935" i="9"/>
  <c r="AF759" i="11"/>
  <c r="BA697" i="11"/>
  <c r="BA722" i="11"/>
  <c r="BA723" i="11" s="1"/>
  <c r="BA724" i="11" s="1"/>
  <c r="BA725" i="11" s="1"/>
  <c r="BA700" i="11"/>
  <c r="AX907" i="11"/>
  <c r="BF936" i="9"/>
  <c r="BF760" i="11"/>
  <c r="L998" i="11"/>
  <c r="Q122" i="11"/>
  <c r="L123" i="11"/>
  <c r="AN161" i="11"/>
  <c r="AN239" i="11"/>
  <c r="AN162" i="11" s="1"/>
  <c r="AN244" i="11"/>
  <c r="AN167" i="11" s="1"/>
  <c r="AN251" i="11"/>
  <c r="AQ209" i="11"/>
  <c r="AQ217" i="11" s="1"/>
  <c r="AT1005" i="11" s="1"/>
  <c r="AF168" i="11"/>
  <c r="AF644" i="11" s="1"/>
  <c r="AF742" i="11"/>
  <c r="AF628" i="11"/>
  <c r="AG634" i="11" s="1"/>
  <c r="BI742" i="11"/>
  <c r="BI628" i="11"/>
  <c r="BI168" i="11"/>
  <c r="BI644" i="11" s="1"/>
  <c r="BI743" i="11"/>
  <c r="X602" i="11"/>
  <c r="BC110" i="11"/>
  <c r="BC989" i="11"/>
  <c r="AG83" i="11"/>
  <c r="AU354" i="11"/>
  <c r="AU360" i="11" s="1"/>
  <c r="AV348" i="11"/>
  <c r="AV352" i="11" s="1"/>
  <c r="AS245" i="11"/>
  <c r="AS119" i="11"/>
  <c r="AC935" i="9"/>
  <c r="AC759" i="11"/>
  <c r="AS1255" i="9"/>
  <c r="AS1115" i="11"/>
  <c r="Z519" i="11"/>
  <c r="Z513" i="11"/>
  <c r="BF935" i="9"/>
  <c r="BF759" i="11"/>
  <c r="AD993" i="11"/>
  <c r="AD209" i="11"/>
  <c r="AD217" i="11" s="1"/>
  <c r="AE1005" i="11" s="1"/>
  <c r="AE1009" i="11"/>
  <c r="AL562" i="11"/>
  <c r="AL565" i="11"/>
  <c r="BC520" i="11"/>
  <c r="BC517" i="11"/>
  <c r="BE517" i="11"/>
  <c r="AN887" i="11"/>
  <c r="BG602" i="11"/>
  <c r="BF602" i="11"/>
  <c r="BE602" i="11"/>
  <c r="BI602" i="11"/>
  <c r="BH602" i="11"/>
  <c r="BI565" i="11"/>
  <c r="BH105" i="11"/>
  <c r="AT1010" i="11"/>
  <c r="BJ161" i="11"/>
  <c r="BJ251" i="11"/>
  <c r="BJ239" i="11"/>
  <c r="BJ244" i="11"/>
  <c r="BJ167" i="11" s="1"/>
  <c r="BN411" i="11"/>
  <c r="BO411" i="11" s="1"/>
  <c r="U999" i="11"/>
  <c r="Z742" i="11"/>
  <c r="Z628" i="11"/>
  <c r="Z168" i="11"/>
  <c r="Z644" i="11" s="1"/>
  <c r="Z645" i="11" s="1"/>
  <c r="M887" i="11"/>
  <c r="M999" i="11" s="1"/>
  <c r="AC565" i="11"/>
  <c r="N718" i="11"/>
  <c r="N719" i="11" s="1"/>
  <c r="N720" i="11" s="1"/>
  <c r="N721" i="11" s="1"/>
  <c r="N699" i="11"/>
  <c r="BQ38" i="11"/>
  <c r="BQ39" i="11" s="1"/>
  <c r="AH936" i="9"/>
  <c r="AH760" i="11"/>
  <c r="BA88" i="11"/>
  <c r="P110" i="11"/>
  <c r="K111" i="11"/>
  <c r="K112" i="11" s="1"/>
  <c r="BB953" i="11"/>
  <c r="BB954" i="11"/>
  <c r="BB955" i="11" s="1"/>
  <c r="BA1001" i="11" s="1"/>
  <c r="W602" i="11"/>
  <c r="Q75" i="11"/>
  <c r="L75" i="11"/>
  <c r="AV718" i="11"/>
  <c r="AV719" i="11" s="1"/>
  <c r="AV720" i="11" s="1"/>
  <c r="AV721" i="11" s="1"/>
  <c r="AV699" i="11"/>
  <c r="X88" i="11"/>
  <c r="Q557" i="11"/>
  <c r="Q565" i="11"/>
  <c r="Q562" i="11"/>
  <c r="AO209" i="11"/>
  <c r="AO217" i="11" s="1"/>
  <c r="AC936" i="9"/>
  <c r="AC760" i="11"/>
  <c r="AK935" i="9"/>
  <c r="AK759" i="11"/>
  <c r="BD39" i="11"/>
  <c r="BI39" i="11"/>
  <c r="BI936" i="9"/>
  <c r="BI760" i="11"/>
  <c r="AW935" i="9"/>
  <c r="AW759" i="11"/>
  <c r="AP209" i="11"/>
  <c r="AP217" i="11" s="1"/>
  <c r="BF111" i="11"/>
  <c r="W718" i="11"/>
  <c r="W719" i="11" s="1"/>
  <c r="W720" i="11" s="1"/>
  <c r="W721" i="11" s="1"/>
  <c r="W699" i="11"/>
  <c r="AB698" i="11"/>
  <c r="AB219" i="11"/>
  <c r="AB222" i="11" s="1"/>
  <c r="U5" i="11"/>
  <c r="Q5" i="11"/>
  <c r="R5" i="11" s="1"/>
  <c r="S5" i="11" s="1"/>
  <c r="T5" i="11" s="1"/>
  <c r="BR82" i="11"/>
  <c r="AE1262" i="9"/>
  <c r="AE1122" i="11"/>
  <c r="AV110" i="11"/>
  <c r="AQ111" i="11"/>
  <c r="BD998" i="11"/>
  <c r="BD123" i="11"/>
  <c r="BI122" i="11"/>
  <c r="AH168" i="11"/>
  <c r="AH644" i="11" s="1"/>
  <c r="AH742" i="11"/>
  <c r="AH628" i="11"/>
  <c r="W219" i="11"/>
  <c r="W222" i="11" s="1"/>
  <c r="W698" i="11"/>
  <c r="AP936" i="9"/>
  <c r="AP760" i="11"/>
  <c r="AW742" i="11"/>
  <c r="AW168" i="11"/>
  <c r="AW644" i="11" s="1"/>
  <c r="AW628" i="11"/>
  <c r="AZ565" i="11"/>
  <c r="AZ562" i="11"/>
  <c r="AI1248" i="9"/>
  <c r="AI1108" i="11"/>
  <c r="AB516" i="11"/>
  <c r="AB513" i="11"/>
  <c r="AB519" i="11"/>
  <c r="AY935" i="9"/>
  <c r="AY759" i="11"/>
  <c r="R934" i="9"/>
  <c r="R758" i="11"/>
  <c r="AG565" i="11"/>
  <c r="AG562" i="11"/>
  <c r="X935" i="9"/>
  <c r="X759" i="11"/>
  <c r="J512" i="11"/>
  <c r="J517" i="11"/>
  <c r="O520" i="11"/>
  <c r="L517" i="11"/>
  <c r="AL935" i="9"/>
  <c r="AL759" i="11"/>
  <c r="AT1248" i="9"/>
  <c r="AT1108" i="11"/>
  <c r="O239" i="11"/>
  <c r="O162" i="11" s="1"/>
  <c r="O161" i="11"/>
  <c r="O251" i="11"/>
  <c r="O244" i="11"/>
  <c r="O167" i="11" s="1"/>
  <c r="BE998" i="11"/>
  <c r="BE123" i="11"/>
  <c r="BE126" i="11" s="1"/>
  <c r="BJ122" i="11"/>
  <c r="J238" i="11"/>
  <c r="J556" i="11"/>
  <c r="BL1262" i="9"/>
  <c r="BL1122" i="11"/>
  <c r="AX936" i="9"/>
  <c r="AX760" i="11"/>
  <c r="V255" i="11"/>
  <c r="V267" i="11"/>
  <c r="G259" i="11"/>
  <c r="G992" i="11"/>
  <c r="BH71" i="11"/>
  <c r="AI1262" i="9"/>
  <c r="AI1122" i="11"/>
  <c r="BI887" i="11"/>
  <c r="BI999" i="11" s="1"/>
  <c r="AJ998" i="11"/>
  <c r="AJ123" i="11"/>
  <c r="AJ126" i="11" s="1"/>
  <c r="R209" i="11"/>
  <c r="R217" i="11" s="1"/>
  <c r="U1005" i="11" s="1"/>
  <c r="BA935" i="9"/>
  <c r="BA759" i="11"/>
  <c r="BM97" i="11"/>
  <c r="BH100" i="11"/>
  <c r="AA934" i="9"/>
  <c r="AA758" i="11"/>
  <c r="BB562" i="11"/>
  <c r="BB565" i="11"/>
  <c r="T936" i="9"/>
  <c r="T760" i="11"/>
  <c r="BF934" i="9"/>
  <c r="BF758" i="11"/>
  <c r="AB565" i="11"/>
  <c r="AB557" i="11"/>
  <c r="AB562" i="11"/>
  <c r="T934" i="9"/>
  <c r="T758" i="11"/>
  <c r="I698" i="11"/>
  <c r="I219" i="11"/>
  <c r="I222" i="11" s="1"/>
  <c r="AW112" i="11"/>
  <c r="AR934" i="9"/>
  <c r="AR758" i="11"/>
  <c r="R916" i="11"/>
  <c r="AX119" i="11"/>
  <c r="AX245" i="11"/>
  <c r="I887" i="11"/>
  <c r="BD255" i="11"/>
  <c r="BD267" i="11"/>
  <c r="BD266" i="11"/>
  <c r="AS1262" i="9"/>
  <c r="AS1122" i="11"/>
  <c r="O1248" i="9"/>
  <c r="O1108" i="11"/>
  <c r="O70" i="11"/>
  <c r="O78" i="11"/>
  <c r="T79" i="11" s="1"/>
  <c r="O82" i="11"/>
  <c r="T83" i="11" s="1"/>
  <c r="O74" i="11"/>
  <c r="T75" i="11" s="1"/>
  <c r="AA718" i="11"/>
  <c r="AA719" i="11" s="1"/>
  <c r="AA720" i="11" s="1"/>
  <c r="AA721" i="11" s="1"/>
  <c r="AA699" i="11"/>
  <c r="BB934" i="9"/>
  <c r="BB758" i="11"/>
  <c r="BG998" i="11"/>
  <c r="BG123" i="11"/>
  <c r="BG126" i="11" s="1"/>
  <c r="BS28" i="11"/>
  <c r="BO29" i="11"/>
  <c r="BO32" i="11"/>
  <c r="BC238" i="11"/>
  <c r="BC556" i="11"/>
  <c r="BH565" i="11" s="1"/>
  <c r="Q718" i="11"/>
  <c r="Q719" i="11" s="1"/>
  <c r="Q720" i="11" s="1"/>
  <c r="Q721" i="11" s="1"/>
  <c r="Q699" i="11"/>
  <c r="BO97" i="11"/>
  <c r="BJ100" i="11"/>
  <c r="N629" i="11"/>
  <c r="N637" i="11"/>
  <c r="L239" i="11"/>
  <c r="L162" i="11" s="1"/>
  <c r="L161" i="11"/>
  <c r="L251" i="11"/>
  <c r="L244" i="11"/>
  <c r="L167" i="11" s="1"/>
  <c r="AL602" i="11"/>
  <c r="AK602" i="11"/>
  <c r="AO602" i="11"/>
  <c r="AN602" i="11"/>
  <c r="AM602" i="11"/>
  <c r="AO565" i="11"/>
  <c r="L112" i="11"/>
  <c r="AF83" i="11"/>
  <c r="BS420" i="11"/>
  <c r="N698" i="11"/>
  <c r="N219" i="11"/>
  <c r="N222" i="11" s="1"/>
  <c r="AX935" i="9"/>
  <c r="AX759" i="11"/>
  <c r="BB168" i="11"/>
  <c r="BB644" i="11" s="1"/>
  <c r="BB742" i="11"/>
  <c r="BB628" i="11"/>
  <c r="AB83" i="11"/>
  <c r="W83" i="11"/>
  <c r="Y112" i="11"/>
  <c r="BF39" i="11"/>
  <c r="AK699" i="11"/>
  <c r="AK718" i="11"/>
  <c r="AK719" i="11" s="1"/>
  <c r="AK720" i="11" s="1"/>
  <c r="AK721" i="11" s="1"/>
  <c r="BG88" i="11"/>
  <c r="O87" i="11"/>
  <c r="BA989" i="11"/>
  <c r="Y602" i="11"/>
  <c r="AV698" i="11"/>
  <c r="AV219" i="11"/>
  <c r="AV222" i="11" s="1"/>
  <c r="AV887" i="11"/>
  <c r="AV999" i="11" s="1"/>
  <c r="BR29" i="11"/>
  <c r="BR32" i="11"/>
  <c r="AO245" i="11"/>
  <c r="AO119" i="11"/>
  <c r="AO75" i="11"/>
  <c r="BH83" i="11"/>
  <c r="T516" i="11"/>
  <c r="T513" i="11"/>
  <c r="T519" i="11"/>
  <c r="AM935" i="9"/>
  <c r="AM759" i="11"/>
  <c r="BH209" i="11"/>
  <c r="BH217" i="11" s="1"/>
  <c r="BS8" i="11"/>
  <c r="AP1160" i="9"/>
  <c r="AP801" i="9"/>
  <c r="AP809" i="9"/>
  <c r="AP807" i="9"/>
  <c r="AP806" i="9"/>
  <c r="AA1159" i="9"/>
  <c r="AA806" i="9"/>
  <c r="AA801" i="9"/>
  <c r="AA830" i="9" s="1"/>
  <c r="AD807" i="9"/>
  <c r="N366" i="9"/>
  <c r="N1166" i="9" s="1"/>
  <c r="S807" i="9"/>
  <c r="AA350" i="9"/>
  <c r="Q807" i="9"/>
  <c r="AA807" i="9"/>
  <c r="Q786" i="9"/>
  <c r="Q795" i="9" s="1"/>
  <c r="Q1160" i="9" s="1"/>
  <c r="AQ786" i="9"/>
  <c r="AQ795" i="9" s="1"/>
  <c r="AQ1160" i="9" s="1"/>
  <c r="AH350" i="9"/>
  <c r="AQ807" i="9"/>
  <c r="AG350" i="9"/>
  <c r="AC370" i="9"/>
  <c r="AC46" i="9" s="1"/>
  <c r="AC44" i="9"/>
  <c r="AR350" i="9"/>
  <c r="AJ347" i="9"/>
  <c r="AH763" i="9"/>
  <c r="AH630" i="9" s="1"/>
  <c r="AC381" i="9"/>
  <c r="AC384" i="9" s="1"/>
  <c r="AB350" i="9"/>
  <c r="X350" i="9"/>
  <c r="C1166" i="9"/>
  <c r="K1057" i="9"/>
  <c r="BA1078" i="9"/>
  <c r="AN300" i="9"/>
  <c r="AB876" i="9"/>
  <c r="BO1071" i="9"/>
  <c r="V763" i="9"/>
  <c r="V779" i="9" s="1"/>
  <c r="AP625" i="9"/>
  <c r="AN477" i="9"/>
  <c r="U300" i="9"/>
  <c r="AI628" i="9"/>
  <c r="BN1272" i="9"/>
  <c r="BB1078" i="9"/>
  <c r="BL1073" i="9"/>
  <c r="BQ1073" i="9" s="1"/>
  <c r="AY379" i="9"/>
  <c r="AQ710" i="9"/>
  <c r="AQ727" i="9" s="1"/>
  <c r="AQ650" i="9"/>
  <c r="Q628" i="9"/>
  <c r="BN1273" i="9"/>
  <c r="AP1075" i="9"/>
  <c r="AX395" i="9"/>
  <c r="AY366" i="9"/>
  <c r="AY1166" i="9" s="1"/>
  <c r="P348" i="9"/>
  <c r="AZ352" i="9"/>
  <c r="AZ353" i="9" s="1"/>
  <c r="AZ323" i="9"/>
  <c r="Z1057" i="9"/>
  <c r="BF650" i="9"/>
  <c r="BF710" i="9"/>
  <c r="BF727" i="9" s="1"/>
  <c r="BD470" i="9"/>
  <c r="AY475" i="9"/>
  <c r="AY477" i="9" s="1"/>
  <c r="N327" i="9"/>
  <c r="AG650" i="9"/>
  <c r="AG710" i="9"/>
  <c r="AG727" i="9" s="1"/>
  <c r="L328" i="9"/>
  <c r="L308" i="9"/>
  <c r="L307" i="9"/>
  <c r="AO625" i="9"/>
  <c r="D1057" i="9"/>
  <c r="AV1057" i="9"/>
  <c r="W1057" i="9"/>
  <c r="AC350" i="9"/>
  <c r="U763" i="9"/>
  <c r="U779" i="9" s="1"/>
  <c r="T1057" i="9"/>
  <c r="BC300" i="9"/>
  <c r="E763" i="9"/>
  <c r="E630" i="9" s="1"/>
  <c r="AH650" i="9"/>
  <c r="L352" i="9"/>
  <c r="L353" i="9" s="1"/>
  <c r="AR1078" i="9"/>
  <c r="AU390" i="9"/>
  <c r="AU37" i="9" s="1"/>
  <c r="AP394" i="9"/>
  <c r="AU395" i="9" s="1"/>
  <c r="AP1163" i="9"/>
  <c r="AP397" i="9"/>
  <c r="AP36" i="9" s="1"/>
  <c r="H876" i="9"/>
  <c r="H893" i="9"/>
  <c r="H894" i="9" s="1"/>
  <c r="H895" i="9" s="1"/>
  <c r="H896" i="9" s="1"/>
  <c r="BH1057" i="9"/>
  <c r="G629" i="9"/>
  <c r="AN1075" i="9"/>
  <c r="AQ350" i="9"/>
  <c r="BI763" i="9"/>
  <c r="BI630" i="9" s="1"/>
  <c r="BM1142" i="9"/>
  <c r="AI629" i="9"/>
  <c r="AP435" i="9"/>
  <c r="AU436" i="9" s="1"/>
  <c r="AH710" i="9"/>
  <c r="AH727" i="9" s="1"/>
  <c r="AB1057" i="9"/>
  <c r="AB1168" i="9" s="1"/>
  <c r="BC628" i="9"/>
  <c r="BC629" i="9"/>
  <c r="AA352" i="9"/>
  <c r="AA323" i="9"/>
  <c r="AX475" i="9"/>
  <c r="AX477" i="9" s="1"/>
  <c r="BA1077" i="9"/>
  <c r="AX1078" i="9"/>
  <c r="BH1030" i="9"/>
  <c r="BH875" i="9" s="1"/>
  <c r="BH873" i="9"/>
  <c r="AK650" i="9"/>
  <c r="AK710" i="9"/>
  <c r="AK727" i="9" s="1"/>
  <c r="Z876" i="9"/>
  <c r="Z893" i="9"/>
  <c r="Z894" i="9" s="1"/>
  <c r="Z895" i="9" s="1"/>
  <c r="Z896" i="9" s="1"/>
  <c r="AP475" i="9"/>
  <c r="AP477" i="9" s="1"/>
  <c r="AU470" i="9"/>
  <c r="AX806" i="9"/>
  <c r="Z897" i="9"/>
  <c r="Z898" i="9" s="1"/>
  <c r="Z899" i="9" s="1"/>
  <c r="Z900" i="9" s="1"/>
  <c r="Z874" i="9"/>
  <c r="Z877" i="9"/>
  <c r="Z930" i="9" s="1"/>
  <c r="AS469" i="9"/>
  <c r="AX470" i="9" s="1"/>
  <c r="AS476" i="9"/>
  <c r="BI475" i="9"/>
  <c r="BI477" i="9" s="1"/>
  <c r="BI470" i="9"/>
  <c r="AJ1168" i="9"/>
  <c r="G352" i="9"/>
  <c r="G353" i="9" s="1"/>
  <c r="G323" i="9"/>
  <c r="AY710" i="9"/>
  <c r="AY727" i="9" s="1"/>
  <c r="AY650" i="9"/>
  <c r="AB877" i="9"/>
  <c r="AB897" i="9"/>
  <c r="AB898" i="9" s="1"/>
  <c r="AB899" i="9" s="1"/>
  <c r="AB900" i="9" s="1"/>
  <c r="AV1080" i="9"/>
  <c r="BA1080" i="9"/>
  <c r="G349" i="9"/>
  <c r="L350" i="9" s="1"/>
  <c r="R1057" i="9"/>
  <c r="BI1179" i="9"/>
  <c r="J625" i="9"/>
  <c r="BE786" i="9"/>
  <c r="BE795" i="9" s="1"/>
  <c r="BE1160" i="9" s="1"/>
  <c r="BE807" i="9"/>
  <c r="C806" i="9"/>
  <c r="AH1057" i="9"/>
  <c r="AP1076" i="9"/>
  <c r="AU393" i="9"/>
  <c r="BA1075" i="9"/>
  <c r="AZ308" i="9"/>
  <c r="C807" i="9"/>
  <c r="P1057" i="9"/>
  <c r="P1168" i="9" s="1"/>
  <c r="AF328" i="9"/>
  <c r="AF307" i="9"/>
  <c r="AF308" i="9"/>
  <c r="AC39" i="9"/>
  <c r="AC327" i="9"/>
  <c r="AC41" i="9" s="1"/>
  <c r="H877" i="9"/>
  <c r="H874" i="9"/>
  <c r="H897" i="9"/>
  <c r="H898" i="9" s="1"/>
  <c r="H899" i="9" s="1"/>
  <c r="H900" i="9" s="1"/>
  <c r="AE1057" i="9"/>
  <c r="AE1168" i="9" s="1"/>
  <c r="AE477" i="9"/>
  <c r="BE806" i="9"/>
  <c r="AJ710" i="9"/>
  <c r="AJ727" i="9" s="1"/>
  <c r="AJ650" i="9"/>
  <c r="BE475" i="9"/>
  <c r="BE477" i="9" s="1"/>
  <c r="BJ470" i="9"/>
  <c r="BE470" i="9"/>
  <c r="AZ349" i="9"/>
  <c r="BE350" i="9" s="1"/>
  <c r="G624" i="9"/>
  <c r="S326" i="9"/>
  <c r="F347" i="9"/>
  <c r="F348" i="9"/>
  <c r="H1057" i="9"/>
  <c r="BN1264" i="9"/>
  <c r="BN1257" i="9"/>
  <c r="BN1250" i="9"/>
  <c r="BN1252" i="9"/>
  <c r="BN1266" i="9"/>
  <c r="BN1259" i="9"/>
  <c r="BN23" i="9"/>
  <c r="BN25" i="9" s="1"/>
  <c r="BN239" i="9"/>
  <c r="BD779" i="9"/>
  <c r="BD769" i="9"/>
  <c r="BD630" i="9"/>
  <c r="BH756" i="9"/>
  <c r="BH624" i="9"/>
  <c r="BN1101" i="9"/>
  <c r="AJ308" i="9"/>
  <c r="AO328" i="9"/>
  <c r="AJ307" i="9"/>
  <c r="AJ328" i="9"/>
  <c r="AT893" i="9"/>
  <c r="AT894" i="9" s="1"/>
  <c r="AT895" i="9" s="1"/>
  <c r="AT896" i="9" s="1"/>
  <c r="AT876" i="9"/>
  <c r="P893" i="9"/>
  <c r="P894" i="9" s="1"/>
  <c r="P895" i="9" s="1"/>
  <c r="P896" i="9" s="1"/>
  <c r="P876" i="9"/>
  <c r="X710" i="9"/>
  <c r="X727" i="9" s="1"/>
  <c r="X650" i="9"/>
  <c r="M876" i="9"/>
  <c r="M893" i="9"/>
  <c r="M894" i="9" s="1"/>
  <c r="M895" i="9" s="1"/>
  <c r="M896" i="9" s="1"/>
  <c r="X630" i="9"/>
  <c r="X779" i="9"/>
  <c r="X769" i="9"/>
  <c r="E475" i="9"/>
  <c r="E477" i="9" s="1"/>
  <c r="E470" i="9"/>
  <c r="P877" i="9"/>
  <c r="P930" i="9" s="1"/>
  <c r="P897" i="9"/>
  <c r="P874" i="9"/>
  <c r="O893" i="9"/>
  <c r="O894" i="9" s="1"/>
  <c r="O895" i="9" s="1"/>
  <c r="O896" i="9" s="1"/>
  <c r="O876" i="9"/>
  <c r="AU326" i="9"/>
  <c r="AP39" i="9"/>
  <c r="AP327" i="9"/>
  <c r="AP325" i="9"/>
  <c r="AM650" i="9"/>
  <c r="AM710" i="9"/>
  <c r="AM727" i="9" s="1"/>
  <c r="V876" i="9"/>
  <c r="V893" i="9"/>
  <c r="V894" i="9" s="1"/>
  <c r="V895" i="9" s="1"/>
  <c r="V896" i="9" s="1"/>
  <c r="BL443" i="9"/>
  <c r="BM230" i="9"/>
  <c r="BL232" i="9"/>
  <c r="BG308" i="9"/>
  <c r="BG307" i="9"/>
  <c r="BG349" i="9"/>
  <c r="BG328" i="9"/>
  <c r="Q897" i="9"/>
  <c r="Q898" i="9" s="1"/>
  <c r="Q899" i="9" s="1"/>
  <c r="Q900" i="9" s="1"/>
  <c r="Q877" i="9"/>
  <c r="Q874" i="9"/>
  <c r="AW786" i="9"/>
  <c r="AW795" i="9" s="1"/>
  <c r="AW807" i="9"/>
  <c r="N328" i="9"/>
  <c r="I349" i="9"/>
  <c r="N350" i="9" s="1"/>
  <c r="N307" i="9"/>
  <c r="N308" i="9"/>
  <c r="O308" i="9"/>
  <c r="BM290" i="9"/>
  <c r="BR262" i="9"/>
  <c r="BR290" i="9" s="1"/>
  <c r="AT625" i="9"/>
  <c r="AT763" i="9"/>
  <c r="O875" i="9"/>
  <c r="O1057" i="9"/>
  <c r="N1168" i="9" s="1"/>
  <c r="AP379" i="9"/>
  <c r="AP366" i="9"/>
  <c r="AP1166" i="9" s="1"/>
  <c r="O786" i="9"/>
  <c r="O795" i="9" s="1"/>
  <c r="O1160" i="9" s="1"/>
  <c r="O807" i="9"/>
  <c r="AL786" i="9"/>
  <c r="AL795" i="9" s="1"/>
  <c r="AL806" i="9"/>
  <c r="AL807" i="9"/>
  <c r="Z1180" i="9"/>
  <c r="V875" i="9"/>
  <c r="AR366" i="9"/>
  <c r="AW368" i="9" s="1"/>
  <c r="AR379" i="9"/>
  <c r="BG352" i="9"/>
  <c r="BG353" i="9" s="1"/>
  <c r="BG323" i="9"/>
  <c r="P769" i="9"/>
  <c r="P636" i="9" s="1"/>
  <c r="P630" i="9"/>
  <c r="P779" i="9"/>
  <c r="BH1079" i="9"/>
  <c r="BM1072" i="9"/>
  <c r="BR1072" i="9" s="1"/>
  <c r="T350" i="9"/>
  <c r="I323" i="9"/>
  <c r="I352" i="9"/>
  <c r="I353" i="9" s="1"/>
  <c r="D786" i="9"/>
  <c r="D795" i="9" s="1"/>
  <c r="I1170" i="9" s="1"/>
  <c r="D807" i="9"/>
  <c r="G786" i="9"/>
  <c r="G795" i="9" s="1"/>
  <c r="H1170" i="9" s="1"/>
  <c r="G807" i="9"/>
  <c r="G806" i="9"/>
  <c r="AF352" i="9"/>
  <c r="AF353" i="9" s="1"/>
  <c r="AF323" i="9"/>
  <c r="H475" i="9"/>
  <c r="H477" i="9" s="1"/>
  <c r="M470" i="9"/>
  <c r="AS806" i="9"/>
  <c r="AM779" i="9"/>
  <c r="AM769" i="9"/>
  <c r="AM630" i="9"/>
  <c r="AM1166" i="9"/>
  <c r="BD1160" i="9"/>
  <c r="BD710" i="9"/>
  <c r="BD727" i="9" s="1"/>
  <c r="BD650" i="9"/>
  <c r="M786" i="9"/>
  <c r="M795" i="9" s="1"/>
  <c r="M807" i="9"/>
  <c r="AW326" i="9"/>
  <c r="AR325" i="9"/>
  <c r="AR39" i="9"/>
  <c r="AR327" i="9"/>
  <c r="AW325" i="9"/>
  <c r="AR326" i="9"/>
  <c r="H408" i="9"/>
  <c r="C417" i="9"/>
  <c r="D408" i="9"/>
  <c r="C451" i="9"/>
  <c r="C432" i="9"/>
  <c r="D402" i="9"/>
  <c r="C406" i="9"/>
  <c r="C419" i="9"/>
  <c r="BB379" i="9"/>
  <c r="BB366" i="9"/>
  <c r="BB1166" i="9" s="1"/>
  <c r="AT470" i="9"/>
  <c r="AT475" i="9"/>
  <c r="AT477" i="9" s="1"/>
  <c r="AY470" i="9"/>
  <c r="BK912" i="9"/>
  <c r="BL912" i="9"/>
  <c r="BL910" i="9" s="1"/>
  <c r="BK1084" i="9"/>
  <c r="BK914" i="9"/>
  <c r="BM23" i="9"/>
  <c r="BM25" i="9" s="1"/>
  <c r="AH366" i="9"/>
  <c r="AM368" i="9" s="1"/>
  <c r="AH379" i="9"/>
  <c r="BR23" i="9"/>
  <c r="BS289" i="9"/>
  <c r="F470" i="9"/>
  <c r="F475" i="9"/>
  <c r="F477" i="9" s="1"/>
  <c r="AD755" i="9"/>
  <c r="AD373" i="9"/>
  <c r="AD761" i="9" s="1"/>
  <c r="AD629" i="9" s="1"/>
  <c r="BA779" i="9"/>
  <c r="BA630" i="9"/>
  <c r="BA769" i="9"/>
  <c r="BB875" i="9"/>
  <c r="BB1057" i="9"/>
  <c r="Y786" i="9"/>
  <c r="Y795" i="9" s="1"/>
  <c r="Y1160" i="9" s="1"/>
  <c r="Y807" i="9"/>
  <c r="Y806" i="9"/>
  <c r="AG875" i="9"/>
  <c r="AG1057" i="9"/>
  <c r="AI763" i="9"/>
  <c r="AI625" i="9"/>
  <c r="BH628" i="9"/>
  <c r="AI300" i="9"/>
  <c r="BH316" i="9"/>
  <c r="BH305" i="9"/>
  <c r="AP1079" i="9"/>
  <c r="Y763" i="9"/>
  <c r="Y625" i="9"/>
  <c r="BA875" i="9"/>
  <c r="BA1057" i="9"/>
  <c r="BA1168" i="9" s="1"/>
  <c r="BM906" i="9"/>
  <c r="BL1162" i="9"/>
  <c r="BL904" i="9"/>
  <c r="BL1132" i="9" s="1"/>
  <c r="W39" i="9"/>
  <c r="AB326" i="9"/>
  <c r="W327" i="9"/>
  <c r="U475" i="9"/>
  <c r="U477" i="9" s="1"/>
  <c r="U470" i="9"/>
  <c r="AV470" i="9"/>
  <c r="AV475" i="9"/>
  <c r="AV477" i="9" s="1"/>
  <c r="BA470" i="9"/>
  <c r="J475" i="9"/>
  <c r="J477" i="9" s="1"/>
  <c r="O470" i="9"/>
  <c r="AQ875" i="9"/>
  <c r="AQ1057" i="9"/>
  <c r="AI624" i="9"/>
  <c r="AK308" i="9"/>
  <c r="AP328" i="9"/>
  <c r="AK307" i="9"/>
  <c r="AK328" i="9"/>
  <c r="BE875" i="9"/>
  <c r="AB327" i="9"/>
  <c r="AB39" i="9"/>
  <c r="AB325" i="9"/>
  <c r="AG326" i="9"/>
  <c r="F786" i="9"/>
  <c r="F795" i="9" s="1"/>
  <c r="F807" i="9"/>
  <c r="F806" i="9"/>
  <c r="AK349" i="9"/>
  <c r="AW806" i="9"/>
  <c r="AM897" i="9"/>
  <c r="AM898" i="9" s="1"/>
  <c r="AM899" i="9" s="1"/>
  <c r="AM900" i="9" s="1"/>
  <c r="AM877" i="9"/>
  <c r="AM874" i="9"/>
  <c r="AT323" i="9"/>
  <c r="AT352" i="9"/>
  <c r="AT353" i="9" s="1"/>
  <c r="M328" i="9"/>
  <c r="H349" i="9"/>
  <c r="M350" i="9" s="1"/>
  <c r="M308" i="9"/>
  <c r="M307" i="9"/>
  <c r="AN768" i="9"/>
  <c r="AN635" i="9" s="1"/>
  <c r="AN622" i="9"/>
  <c r="AN778" i="9"/>
  <c r="AN1165" i="9"/>
  <c r="E116" i="9"/>
  <c r="E267" i="9"/>
  <c r="E115" i="9"/>
  <c r="F110" i="9"/>
  <c r="F113" i="9" s="1"/>
  <c r="E132" i="9"/>
  <c r="F118" i="9"/>
  <c r="J801" i="9"/>
  <c r="J809" i="9"/>
  <c r="J1160" i="9"/>
  <c r="J1159" i="9"/>
  <c r="AR763" i="9"/>
  <c r="AR625" i="9"/>
  <c r="AA875" i="9"/>
  <c r="J873" i="9"/>
  <c r="J1030" i="9"/>
  <c r="J875" i="9" s="1"/>
  <c r="BJ1097" i="9"/>
  <c r="AM893" i="9"/>
  <c r="AM894" i="9" s="1"/>
  <c r="AM895" i="9" s="1"/>
  <c r="AM896" i="9" s="1"/>
  <c r="AM876" i="9"/>
  <c r="R307" i="9"/>
  <c r="W328" i="9"/>
  <c r="R308" i="9"/>
  <c r="W308" i="9"/>
  <c r="R349" i="9"/>
  <c r="R350" i="9" s="1"/>
  <c r="R328" i="9"/>
  <c r="K257" i="9"/>
  <c r="F258" i="9"/>
  <c r="G257" i="9"/>
  <c r="F260" i="9"/>
  <c r="H352" i="9"/>
  <c r="H353" i="9" s="1"/>
  <c r="H323" i="9"/>
  <c r="F635" i="9"/>
  <c r="BC305" i="9"/>
  <c r="BC316" i="9"/>
  <c r="AI1077" i="9"/>
  <c r="AN1077" i="9"/>
  <c r="BI897" i="9"/>
  <c r="BI877" i="9"/>
  <c r="BI930" i="9" s="1"/>
  <c r="BI874" i="9"/>
  <c r="BI921" i="9"/>
  <c r="K807" i="9"/>
  <c r="K786" i="9"/>
  <c r="K806" i="9"/>
  <c r="BJ1079" i="9"/>
  <c r="BO1072" i="9"/>
  <c r="Z650" i="9"/>
  <c r="Z710" i="9"/>
  <c r="Z727" i="9" s="1"/>
  <c r="AD328" i="9"/>
  <c r="Y308" i="9"/>
  <c r="Y307" i="9"/>
  <c r="Y328" i="9"/>
  <c r="AM786" i="9"/>
  <c r="AM795" i="9" s="1"/>
  <c r="AM1160" i="9" s="1"/>
  <c r="AM806" i="9"/>
  <c r="AM807" i="9"/>
  <c r="AG327" i="9"/>
  <c r="AG325" i="9"/>
  <c r="AG39" i="9"/>
  <c r="AL393" i="9"/>
  <c r="AL435" i="9"/>
  <c r="AL398" i="9"/>
  <c r="AL399" i="9" s="1"/>
  <c r="AQ393" i="9"/>
  <c r="AL1163" i="9"/>
  <c r="D1168" i="9"/>
  <c r="Q5" i="9"/>
  <c r="U5" i="9"/>
  <c r="BG710" i="9"/>
  <c r="BG727" i="9" s="1"/>
  <c r="BG650" i="9"/>
  <c r="BG1079" i="9"/>
  <c r="BL1072" i="9"/>
  <c r="BQ1072" i="9" s="1"/>
  <c r="AO795" i="9"/>
  <c r="BJ1272" i="9"/>
  <c r="AP1272" i="9"/>
  <c r="V1272" i="9"/>
  <c r="BB1271" i="9"/>
  <c r="BB1269" i="9" s="1"/>
  <c r="AH1271" i="9"/>
  <c r="AH1269" i="9" s="1"/>
  <c r="N1271" i="9"/>
  <c r="N1269" i="9" s="1"/>
  <c r="N938" i="9" s="1"/>
  <c r="BJ1273" i="9"/>
  <c r="AP1273" i="9"/>
  <c r="V1273" i="9"/>
  <c r="BB1272" i="9"/>
  <c r="AH1272" i="9"/>
  <c r="N1272" i="9"/>
  <c r="AT1271" i="9"/>
  <c r="AT1269" i="9" s="1"/>
  <c r="Z1271" i="9"/>
  <c r="Z1269" i="9" s="1"/>
  <c r="F1271" i="9"/>
  <c r="F1269" i="9" s="1"/>
  <c r="F938" i="9" s="1"/>
  <c r="AR1273" i="9"/>
  <c r="U1273" i="9"/>
  <c r="AW1272" i="9"/>
  <c r="AA1272" i="9"/>
  <c r="E1272" i="9"/>
  <c r="AF1271" i="9"/>
  <c r="AF1269" i="9" s="1"/>
  <c r="AQ1273" i="9"/>
  <c r="AV1272" i="9"/>
  <c r="Z1272" i="9"/>
  <c r="D1272" i="9"/>
  <c r="BA1271" i="9"/>
  <c r="BA1269" i="9" s="1"/>
  <c r="AE1271" i="9"/>
  <c r="AE1269" i="9" s="1"/>
  <c r="I1271" i="9"/>
  <c r="I1269" i="9" s="1"/>
  <c r="I938" i="9" s="1"/>
  <c r="AL1273" i="9"/>
  <c r="N1273" i="9"/>
  <c r="BI1272" i="9"/>
  <c r="AK1272" i="9"/>
  <c r="L1272" i="9"/>
  <c r="AJ1271" i="9"/>
  <c r="AJ1269" i="9" s="1"/>
  <c r="K1271" i="9"/>
  <c r="K1269" i="9" s="1"/>
  <c r="K938" i="9" s="1"/>
  <c r="BI1273" i="9"/>
  <c r="AK1273" i="9"/>
  <c r="M1273" i="9"/>
  <c r="AJ1272" i="9"/>
  <c r="K1272" i="9"/>
  <c r="BG1271" i="9"/>
  <c r="BG1269" i="9" s="1"/>
  <c r="H1271" i="9"/>
  <c r="H1269" i="9" s="1"/>
  <c r="H938" i="9" s="1"/>
  <c r="AH1273" i="9"/>
  <c r="G1273" i="9"/>
  <c r="AZ1272" i="9"/>
  <c r="X1272" i="9"/>
  <c r="AP1271" i="9"/>
  <c r="AP1269" i="9" s="1"/>
  <c r="P1271" i="9"/>
  <c r="P1269" i="9" s="1"/>
  <c r="BG1273" i="9"/>
  <c r="AG1273" i="9"/>
  <c r="F1273" i="9"/>
  <c r="AY1272" i="9"/>
  <c r="W1272" i="9"/>
  <c r="AO1271" i="9"/>
  <c r="AO1269" i="9" s="1"/>
  <c r="BF1273" i="9"/>
  <c r="AC1273" i="9"/>
  <c r="AO1272" i="9"/>
  <c r="AY1271" i="9"/>
  <c r="AY1269" i="9" s="1"/>
  <c r="V1271" i="9"/>
  <c r="V1269" i="9" s="1"/>
  <c r="AW1273" i="9"/>
  <c r="R1273" i="9"/>
  <c r="BG1272" i="9"/>
  <c r="G1271" i="9"/>
  <c r="G1269" i="9" s="1"/>
  <c r="G938" i="9" s="1"/>
  <c r="BE1273" i="9"/>
  <c r="Z1273" i="9"/>
  <c r="AE1272" i="9"/>
  <c r="AG1271" i="9"/>
  <c r="AG1269" i="9" s="1"/>
  <c r="A934" i="9"/>
  <c r="AU1273" i="9"/>
  <c r="L1273" i="9"/>
  <c r="Q1272" i="9"/>
  <c r="BD1271" i="9"/>
  <c r="BD1269" i="9" s="1"/>
  <c r="U1271" i="9"/>
  <c r="U1269" i="9" s="1"/>
  <c r="A936" i="9"/>
  <c r="BD1273" i="9"/>
  <c r="W1273" i="9"/>
  <c r="BD1272" i="9"/>
  <c r="R1272" i="9"/>
  <c r="Q1271" i="9"/>
  <c r="Q1269" i="9" s="1"/>
  <c r="A940" i="9"/>
  <c r="BB1273" i="9"/>
  <c r="P1273" i="9"/>
  <c r="AT1272" i="9"/>
  <c r="H1272" i="9"/>
  <c r="AQ1271" i="9"/>
  <c r="AQ1269" i="9" s="1"/>
  <c r="BA1273" i="9"/>
  <c r="G1272" i="9"/>
  <c r="AM1271" i="9"/>
  <c r="AM1269" i="9" s="1"/>
  <c r="AZ1273" i="9"/>
  <c r="H1273" i="9"/>
  <c r="AL1272" i="9"/>
  <c r="W1271" i="9"/>
  <c r="W1269" i="9" s="1"/>
  <c r="AJ1273" i="9"/>
  <c r="AV1271" i="9"/>
  <c r="AV1269" i="9" s="1"/>
  <c r="C1271" i="9"/>
  <c r="C1129" i="11" s="1"/>
  <c r="A937" i="9"/>
  <c r="AY1273" i="9"/>
  <c r="C1273" i="9"/>
  <c r="AB1272" i="9"/>
  <c r="AW1271" i="9"/>
  <c r="AW1269" i="9" s="1"/>
  <c r="AV1273" i="9"/>
  <c r="AU1271" i="9"/>
  <c r="AU1269" i="9" s="1"/>
  <c r="AF1273" i="9"/>
  <c r="BE1272" i="9"/>
  <c r="F1272" i="9"/>
  <c r="AB1271" i="9"/>
  <c r="AB1269" i="9" s="1"/>
  <c r="AE1273" i="9"/>
  <c r="C1272" i="9"/>
  <c r="AA1271" i="9"/>
  <c r="AA1269" i="9" s="1"/>
  <c r="AT1273" i="9"/>
  <c r="L1271" i="9"/>
  <c r="L1269" i="9" s="1"/>
  <c r="L938" i="9" s="1"/>
  <c r="BF1272" i="9"/>
  <c r="E1271" i="9"/>
  <c r="E1269" i="9" s="1"/>
  <c r="E938" i="9" s="1"/>
  <c r="AO1273" i="9"/>
  <c r="AR1272" i="9"/>
  <c r="BE1271" i="9"/>
  <c r="BE1269" i="9" s="1"/>
  <c r="AQ1272" i="9"/>
  <c r="AZ1271" i="9"/>
  <c r="AZ1269" i="9" s="1"/>
  <c r="A935" i="9"/>
  <c r="AM1273" i="9"/>
  <c r="S1272" i="9"/>
  <c r="R1271" i="9"/>
  <c r="R1269" i="9" s="1"/>
  <c r="X1273" i="9"/>
  <c r="P1272" i="9"/>
  <c r="M1271" i="9"/>
  <c r="M1269" i="9" s="1"/>
  <c r="M938" i="9" s="1"/>
  <c r="S1273" i="9"/>
  <c r="O1272" i="9"/>
  <c r="D1271" i="9"/>
  <c r="D1269" i="9" s="1"/>
  <c r="D938" i="9" s="1"/>
  <c r="Q1273" i="9"/>
  <c r="I1272" i="9"/>
  <c r="M1272" i="9"/>
  <c r="K1273" i="9"/>
  <c r="D1273" i="9"/>
  <c r="AL1271" i="9"/>
  <c r="AL1269" i="9" s="1"/>
  <c r="AK1271" i="9"/>
  <c r="AK1269" i="9" s="1"/>
  <c r="AD1271" i="9"/>
  <c r="AD1269" i="9" s="1"/>
  <c r="AC1271" i="9"/>
  <c r="AC1269" i="9" s="1"/>
  <c r="BL1272" i="9"/>
  <c r="Y1271" i="9"/>
  <c r="Y1269" i="9" s="1"/>
  <c r="A939" i="9"/>
  <c r="AI1272" i="9"/>
  <c r="AG1272" i="9"/>
  <c r="AF1272" i="9"/>
  <c r="AC1272" i="9"/>
  <c r="U1272" i="9"/>
  <c r="S1271" i="9"/>
  <c r="S1269" i="9" s="1"/>
  <c r="A938" i="9"/>
  <c r="BL1273" i="9"/>
  <c r="AI1273" i="9"/>
  <c r="AB1273" i="9"/>
  <c r="AA1273" i="9"/>
  <c r="E1273" i="9"/>
  <c r="BA1272" i="9"/>
  <c r="A3" i="9"/>
  <c r="AU1272" i="9"/>
  <c r="AM1272" i="9"/>
  <c r="BK1271" i="9"/>
  <c r="BK1269" i="9" s="1"/>
  <c r="AR1271" i="9"/>
  <c r="AR1269" i="9" s="1"/>
  <c r="BJ1271" i="9"/>
  <c r="BJ1269" i="9" s="1"/>
  <c r="BI1271" i="9"/>
  <c r="BI1269" i="9" s="1"/>
  <c r="BF1271" i="9"/>
  <c r="BF1269" i="9" s="1"/>
  <c r="X1271" i="9"/>
  <c r="X1269" i="9" s="1"/>
  <c r="I1273" i="9"/>
  <c r="T1271" i="9"/>
  <c r="T1269" i="9" s="1"/>
  <c r="AS1272" i="9"/>
  <c r="T1272" i="9"/>
  <c r="BH1272" i="9"/>
  <c r="O1273" i="9"/>
  <c r="AS1273" i="9"/>
  <c r="AS1271" i="9"/>
  <c r="AS1269" i="9" s="1"/>
  <c r="J1273" i="9"/>
  <c r="T1273" i="9"/>
  <c r="Y1273" i="9"/>
  <c r="BH1271" i="9"/>
  <c r="BH1269" i="9" s="1"/>
  <c r="BH1273" i="9"/>
  <c r="AN1273" i="9"/>
  <c r="BM1273" i="9"/>
  <c r="BM1271" i="9"/>
  <c r="BM1269" i="9" s="1"/>
  <c r="B1290" i="9"/>
  <c r="AN1271" i="9"/>
  <c r="AN1269" i="9" s="1"/>
  <c r="BK1273" i="9"/>
  <c r="BM1272" i="9"/>
  <c r="BK1272" i="9"/>
  <c r="BC1272" i="9"/>
  <c r="AX1272" i="9"/>
  <c r="BC1271" i="9"/>
  <c r="BC1269" i="9" s="1"/>
  <c r="BC1273" i="9"/>
  <c r="AX1273" i="9"/>
  <c r="AI1271" i="9"/>
  <c r="AI1269" i="9" s="1"/>
  <c r="AX1271" i="9"/>
  <c r="AX1269" i="9" s="1"/>
  <c r="AD1273" i="9"/>
  <c r="AD1272" i="9"/>
  <c r="BL1271" i="9"/>
  <c r="BL1269" i="9" s="1"/>
  <c r="O1271" i="9"/>
  <c r="O1269" i="9" s="1"/>
  <c r="Y1272" i="9"/>
  <c r="J1271" i="9"/>
  <c r="J1269" i="9" s="1"/>
  <c r="J938" i="9" s="1"/>
  <c r="AN1272" i="9"/>
  <c r="J1272" i="9"/>
  <c r="U875" i="9"/>
  <c r="U1057" i="9"/>
  <c r="BF897" i="9"/>
  <c r="BF898" i="9" s="1"/>
  <c r="BF899" i="9" s="1"/>
  <c r="BF900" i="9" s="1"/>
  <c r="BF874" i="9"/>
  <c r="BF877" i="9"/>
  <c r="BB630" i="9"/>
  <c r="BB769" i="9"/>
  <c r="BB779" i="9"/>
  <c r="BJ1075" i="9"/>
  <c r="BO1068" i="9"/>
  <c r="J323" i="9"/>
  <c r="J352" i="9"/>
  <c r="J353" i="9" s="1"/>
  <c r="BJ1095" i="9"/>
  <c r="AW629" i="9"/>
  <c r="AW763" i="9"/>
  <c r="AR1057" i="9"/>
  <c r="J349" i="9"/>
  <c r="O350" i="9" s="1"/>
  <c r="O328" i="9"/>
  <c r="O379" i="9"/>
  <c r="O366" i="9"/>
  <c r="BM312" i="9"/>
  <c r="BO310" i="9"/>
  <c r="BN310" i="9"/>
  <c r="G893" i="9"/>
  <c r="G894" i="9" s="1"/>
  <c r="G895" i="9" s="1"/>
  <c r="G896" i="9" s="1"/>
  <c r="G876" i="9"/>
  <c r="BN280" i="9"/>
  <c r="BN33" i="9" s="1"/>
  <c r="BN12" i="9"/>
  <c r="T893" i="9"/>
  <c r="T894" i="9" s="1"/>
  <c r="T895" i="9" s="1"/>
  <c r="T896" i="9" s="1"/>
  <c r="T876" i="9"/>
  <c r="AQ779" i="9"/>
  <c r="AQ769" i="9"/>
  <c r="AQ630" i="9"/>
  <c r="O806" i="9"/>
  <c r="BA39" i="9"/>
  <c r="BA327" i="9"/>
  <c r="BA325" i="9"/>
  <c r="AG786" i="9"/>
  <c r="AG795" i="9" s="1"/>
  <c r="AG807" i="9"/>
  <c r="AG806" i="9"/>
  <c r="AB379" i="9"/>
  <c r="AB366" i="9"/>
  <c r="BC875" i="9"/>
  <c r="BC1057" i="9"/>
  <c r="BF786" i="9"/>
  <c r="BF795" i="9" s="1"/>
  <c r="BF807" i="9"/>
  <c r="BF806" i="9"/>
  <c r="K307" i="9"/>
  <c r="P328" i="9"/>
  <c r="K308" i="9"/>
  <c r="BJ810" i="9"/>
  <c r="BJ729" i="9" s="1"/>
  <c r="BJ746" i="9" s="1"/>
  <c r="BJ830" i="9"/>
  <c r="AV650" i="9"/>
  <c r="AV710" i="9"/>
  <c r="AV727" i="9" s="1"/>
  <c r="BE710" i="9"/>
  <c r="BE727" i="9" s="1"/>
  <c r="BE650" i="9"/>
  <c r="BI786" i="9"/>
  <c r="BI807" i="9"/>
  <c r="BI806" i="9"/>
  <c r="BJ379" i="9"/>
  <c r="BJ366" i="9"/>
  <c r="BJ1166" i="9" s="1"/>
  <c r="U786" i="9"/>
  <c r="U807" i="9"/>
  <c r="U806" i="9"/>
  <c r="AN646" i="9"/>
  <c r="AN648" i="9" s="1"/>
  <c r="AN681" i="9"/>
  <c r="AN693" i="9" s="1"/>
  <c r="AN348" i="9"/>
  <c r="AN349" i="9"/>
  <c r="AS350" i="9" s="1"/>
  <c r="AN347" i="9"/>
  <c r="AS347" i="9"/>
  <c r="BC1075" i="9"/>
  <c r="BH1075" i="9"/>
  <c r="BD1180" i="9"/>
  <c r="AZ875" i="9"/>
  <c r="C1164" i="9"/>
  <c r="C7" i="9"/>
  <c r="AX399" i="9"/>
  <c r="AX36" i="9"/>
  <c r="BJ1076" i="9"/>
  <c r="BO1069" i="9"/>
  <c r="AB625" i="9"/>
  <c r="AB763" i="9"/>
  <c r="AD801" i="9"/>
  <c r="AD809" i="9"/>
  <c r="AD1160" i="9"/>
  <c r="AD1159" i="9"/>
  <c r="AS786" i="9"/>
  <c r="AS795" i="9" s="1"/>
  <c r="AS807" i="9"/>
  <c r="V786" i="9"/>
  <c r="V795" i="9" s="1"/>
  <c r="V807" i="9"/>
  <c r="BO1271" i="9"/>
  <c r="BO1269" i="9" s="1"/>
  <c r="BO1246" i="9"/>
  <c r="BO1272" i="9"/>
  <c r="BO1273" i="9"/>
  <c r="BP4" i="9"/>
  <c r="BO1276" i="9"/>
  <c r="BJ876" i="9"/>
  <c r="BJ893" i="9"/>
  <c r="BJ894" i="9" s="1"/>
  <c r="BJ895" i="9" s="1"/>
  <c r="BJ896" i="9" s="1"/>
  <c r="V327" i="9"/>
  <c r="V39" i="9"/>
  <c r="AU379" i="9"/>
  <c r="AU366" i="9"/>
  <c r="N810" i="9"/>
  <c r="N729" i="9" s="1"/>
  <c r="N746" i="9" s="1"/>
  <c r="N830" i="9"/>
  <c r="H1000" i="9"/>
  <c r="G1001" i="9"/>
  <c r="H245" i="9"/>
  <c r="H248" i="9" s="1"/>
  <c r="G270" i="9"/>
  <c r="G249" i="9"/>
  <c r="G251" i="9"/>
  <c r="G259" i="9"/>
  <c r="F54" i="9"/>
  <c r="F57" i="9" s="1"/>
  <c r="E76" i="9"/>
  <c r="E266" i="9"/>
  <c r="E60" i="9"/>
  <c r="F62" i="9"/>
  <c r="E59" i="9"/>
  <c r="R893" i="9"/>
  <c r="R894" i="9" s="1"/>
  <c r="R895" i="9" s="1"/>
  <c r="R896" i="9" s="1"/>
  <c r="R876" i="9"/>
  <c r="AI305" i="9"/>
  <c r="AI328" i="9" s="1"/>
  <c r="AI316" i="9"/>
  <c r="AH325" i="9"/>
  <c r="AM326" i="9"/>
  <c r="AH327" i="9"/>
  <c r="AH39" i="9"/>
  <c r="AH326" i="9"/>
  <c r="AY786" i="9"/>
  <c r="AY807" i="9"/>
  <c r="AS633" i="9"/>
  <c r="AS1100" i="9"/>
  <c r="AS1084" i="9" s="1"/>
  <c r="K630" i="9"/>
  <c r="K779" i="9"/>
  <c r="K769" i="9"/>
  <c r="BB893" i="9"/>
  <c r="BB894" i="9" s="1"/>
  <c r="BB895" i="9" s="1"/>
  <c r="BB896" i="9" s="1"/>
  <c r="BB876" i="9"/>
  <c r="AC756" i="9"/>
  <c r="AC628" i="9"/>
  <c r="AC629" i="9"/>
  <c r="AC624" i="9"/>
  <c r="AG876" i="9"/>
  <c r="AG893" i="9"/>
  <c r="AG894" i="9" s="1"/>
  <c r="AG895" i="9" s="1"/>
  <c r="AG896" i="9" s="1"/>
  <c r="AI34" i="9"/>
  <c r="AN34" i="9"/>
  <c r="AU810" i="9"/>
  <c r="AU729" i="9" s="1"/>
  <c r="AU746" i="9" s="1"/>
  <c r="AU830" i="9"/>
  <c r="AE373" i="9"/>
  <c r="AE761" i="9" s="1"/>
  <c r="AE629" i="9" s="1"/>
  <c r="AE755" i="9"/>
  <c r="BH34" i="9"/>
  <c r="AG379" i="9"/>
  <c r="AG366" i="9"/>
  <c r="N378" i="9"/>
  <c r="N379" i="9"/>
  <c r="AY41" i="9"/>
  <c r="BK1069" i="9"/>
  <c r="BP1069" i="9" s="1"/>
  <c r="BF1076" i="9"/>
  <c r="Z323" i="9"/>
  <c r="Z352" i="9"/>
  <c r="Z353" i="9" s="1"/>
  <c r="BH622" i="9"/>
  <c r="BH778" i="9"/>
  <c r="BH768" i="9"/>
  <c r="BH635" i="9" s="1"/>
  <c r="BH1165" i="9"/>
  <c r="BD629" i="9"/>
  <c r="Y1101" i="9"/>
  <c r="Y1085" i="9" s="1"/>
  <c r="Y1086" i="9" s="1"/>
  <c r="Y1176" i="9"/>
  <c r="Z1183" i="9"/>
  <c r="Y1173" i="9"/>
  <c r="BF876" i="9"/>
  <c r="BF893" i="9"/>
  <c r="BF894" i="9" s="1"/>
  <c r="BF895" i="9" s="1"/>
  <c r="BF896" i="9" s="1"/>
  <c r="AA779" i="9"/>
  <c r="AA769" i="9"/>
  <c r="AA630" i="9"/>
  <c r="S756" i="9"/>
  <c r="S624" i="9"/>
  <c r="AJ769" i="9"/>
  <c r="AJ630" i="9"/>
  <c r="AJ779" i="9"/>
  <c r="J1176" i="9"/>
  <c r="K1183" i="9"/>
  <c r="Z308" i="9"/>
  <c r="AE328" i="9"/>
  <c r="Z307" i="9"/>
  <c r="AE308" i="9"/>
  <c r="AE307" i="9"/>
  <c r="Z328" i="9"/>
  <c r="Z349" i="9"/>
  <c r="Z350" i="9" s="1"/>
  <c r="AX350" i="9"/>
  <c r="AZ786" i="9"/>
  <c r="AZ807" i="9"/>
  <c r="AZ806" i="9"/>
  <c r="AN323" i="9"/>
  <c r="AN352" i="9"/>
  <c r="AN353" i="9" s="1"/>
  <c r="BC469" i="9"/>
  <c r="BC476" i="9"/>
  <c r="AI896" i="9"/>
  <c r="AQ475" i="9"/>
  <c r="AQ477" i="9" s="1"/>
  <c r="AQ470" i="9"/>
  <c r="AR874" i="9"/>
  <c r="AR897" i="9"/>
  <c r="AR898" i="9" s="1"/>
  <c r="AR899" i="9" s="1"/>
  <c r="AR900" i="9" s="1"/>
  <c r="AR877" i="9"/>
  <c r="AP876" i="9"/>
  <c r="AP893" i="9"/>
  <c r="AP894" i="9" s="1"/>
  <c r="AP895" i="9" s="1"/>
  <c r="AP896" i="9" s="1"/>
  <c r="AY898" i="9"/>
  <c r="AY899" i="9" s="1"/>
  <c r="AY900" i="9" s="1"/>
  <c r="U876" i="9"/>
  <c r="U893" i="9"/>
  <c r="U894" i="9" s="1"/>
  <c r="U895" i="9" s="1"/>
  <c r="U896" i="9" s="1"/>
  <c r="BF470" i="9"/>
  <c r="BF475" i="9"/>
  <c r="BF477" i="9" s="1"/>
  <c r="O756" i="9"/>
  <c r="O629" i="9"/>
  <c r="O628" i="9"/>
  <c r="L779" i="9"/>
  <c r="L630" i="9"/>
  <c r="L769" i="9"/>
  <c r="BO1073" i="9"/>
  <c r="BJ1080" i="9"/>
  <c r="AD350" i="9"/>
  <c r="AG779" i="9"/>
  <c r="AG630" i="9"/>
  <c r="AG769" i="9"/>
  <c r="BO1137" i="9"/>
  <c r="BN1142" i="9"/>
  <c r="AY806" i="9"/>
  <c r="AW370" i="9"/>
  <c r="AW44" i="9"/>
  <c r="AW381" i="9"/>
  <c r="N41" i="9"/>
  <c r="AV769" i="9"/>
  <c r="AV779" i="9"/>
  <c r="AV630" i="9"/>
  <c r="S325" i="9"/>
  <c r="X326" i="9"/>
  <c r="S39" i="9"/>
  <c r="S327" i="9"/>
  <c r="M874" i="9"/>
  <c r="M897" i="9"/>
  <c r="M898" i="9" s="1"/>
  <c r="M899" i="9" s="1"/>
  <c r="M900" i="9" s="1"/>
  <c r="M877" i="9"/>
  <c r="S366" i="9"/>
  <c r="S379" i="9"/>
  <c r="AG470" i="9"/>
  <c r="AG475" i="9"/>
  <c r="AG477" i="9" s="1"/>
  <c r="W379" i="9"/>
  <c r="W366" i="9"/>
  <c r="W1166" i="9" s="1"/>
  <c r="AJ898" i="9"/>
  <c r="AJ899" i="9" s="1"/>
  <c r="AJ900" i="9" s="1"/>
  <c r="AB786" i="9"/>
  <c r="AB795" i="9" s="1"/>
  <c r="AB806" i="9"/>
  <c r="AB807" i="9"/>
  <c r="BH1080" i="9"/>
  <c r="BM1073" i="9"/>
  <c r="BR1073" i="9" s="1"/>
  <c r="D756" i="9"/>
  <c r="D624" i="9"/>
  <c r="W786" i="9"/>
  <c r="W795" i="9" s="1"/>
  <c r="W1160" i="9" s="1"/>
  <c r="W807" i="9"/>
  <c r="W806" i="9"/>
  <c r="BM444" i="9"/>
  <c r="BM255" i="9"/>
  <c r="BO253" i="9"/>
  <c r="BL1071" i="9"/>
  <c r="BQ1071" i="9" s="1"/>
  <c r="BG1078" i="9"/>
  <c r="AM1077" i="9"/>
  <c r="AR1077" i="9"/>
  <c r="AL893" i="9"/>
  <c r="AL894" i="9" s="1"/>
  <c r="AL895" i="9" s="1"/>
  <c r="AL896" i="9" s="1"/>
  <c r="AL876" i="9"/>
  <c r="BF1057" i="9"/>
  <c r="AY347" i="9"/>
  <c r="AY348" i="9"/>
  <c r="AY349" i="9"/>
  <c r="BD348" i="9"/>
  <c r="BD347" i="9"/>
  <c r="AK352" i="9"/>
  <c r="AK353" i="9" s="1"/>
  <c r="AK323" i="9"/>
  <c r="AL1080" i="9"/>
  <c r="AQ1080" i="9"/>
  <c r="AL875" i="9"/>
  <c r="AL1057" i="9"/>
  <c r="W710" i="9"/>
  <c r="W727" i="9" s="1"/>
  <c r="W650" i="9"/>
  <c r="BF308" i="9"/>
  <c r="BF307" i="9"/>
  <c r="BF328" i="9"/>
  <c r="BF349" i="9"/>
  <c r="AN875" i="9"/>
  <c r="AN1057" i="9"/>
  <c r="AM1168" i="9" s="1"/>
  <c r="BA366" i="9"/>
  <c r="BA1166" i="9" s="1"/>
  <c r="BA379" i="9"/>
  <c r="AF875" i="9"/>
  <c r="AJ1180" i="9"/>
  <c r="AF1057" i="9"/>
  <c r="G875" i="9"/>
  <c r="AE898" i="9"/>
  <c r="AE899" i="9" s="1"/>
  <c r="AE900" i="9" s="1"/>
  <c r="AE300" i="9"/>
  <c r="V1057" i="9"/>
  <c r="AL1078" i="9"/>
  <c r="AQ1078" i="9"/>
  <c r="Z786" i="9"/>
  <c r="Z807" i="9"/>
  <c r="AE323" i="9"/>
  <c r="AE352" i="9"/>
  <c r="AE353" i="9" s="1"/>
  <c r="BI893" i="9"/>
  <c r="BI894" i="9" s="1"/>
  <c r="BI895" i="9" s="1"/>
  <c r="BI896" i="9" s="1"/>
  <c r="BI876" i="9"/>
  <c r="E613" i="9"/>
  <c r="E612" i="9"/>
  <c r="C1168" i="9"/>
  <c r="C1060" i="9"/>
  <c r="AX876" i="9"/>
  <c r="AX893" i="9"/>
  <c r="AX894" i="9" s="1"/>
  <c r="AX895" i="9" s="1"/>
  <c r="AX896" i="9" s="1"/>
  <c r="K323" i="9"/>
  <c r="K352" i="9"/>
  <c r="K353" i="9" s="1"/>
  <c r="AF756" i="9"/>
  <c r="AF629" i="9"/>
  <c r="W630" i="9"/>
  <c r="W779" i="9"/>
  <c r="W769" i="9"/>
  <c r="AV323" i="9"/>
  <c r="AV352" i="9"/>
  <c r="AV353" i="9" s="1"/>
  <c r="AD1057" i="9"/>
  <c r="BI1057" i="9"/>
  <c r="BI1168" i="9" s="1"/>
  <c r="AZ893" i="9"/>
  <c r="AZ894" i="9" s="1"/>
  <c r="AZ895" i="9" s="1"/>
  <c r="AZ896" i="9" s="1"/>
  <c r="AZ876" i="9"/>
  <c r="Q650" i="9"/>
  <c r="Q710" i="9"/>
  <c r="Q727" i="9" s="1"/>
  <c r="Y323" i="9"/>
  <c r="Y352" i="9"/>
  <c r="Y353" i="9" s="1"/>
  <c r="AJ349" i="9"/>
  <c r="AR876" i="9"/>
  <c r="AR893" i="9"/>
  <c r="AR894" i="9" s="1"/>
  <c r="AR895" i="9" s="1"/>
  <c r="AR896" i="9" s="1"/>
  <c r="AP875" i="9"/>
  <c r="AP1057" i="9"/>
  <c r="H801" i="9"/>
  <c r="H809" i="9"/>
  <c r="H1159" i="9"/>
  <c r="H1160" i="9"/>
  <c r="H769" i="9"/>
  <c r="H630" i="9"/>
  <c r="H779" i="9"/>
  <c r="S629" i="9"/>
  <c r="AJ323" i="9"/>
  <c r="AJ352" i="9"/>
  <c r="AJ353" i="9" s="1"/>
  <c r="BF323" i="9"/>
  <c r="BF326" i="9" s="1"/>
  <c r="BF352" i="9"/>
  <c r="BF353" i="9" s="1"/>
  <c r="E350" i="9"/>
  <c r="F893" i="9"/>
  <c r="F894" i="9" s="1"/>
  <c r="F895" i="9" s="1"/>
  <c r="F896" i="9" s="1"/>
  <c r="F876" i="9"/>
  <c r="R809" i="9"/>
  <c r="R801" i="9"/>
  <c r="R1159" i="9"/>
  <c r="K893" i="9"/>
  <c r="K894" i="9" s="1"/>
  <c r="K895" i="9" s="1"/>
  <c r="K896" i="9" s="1"/>
  <c r="K876" i="9"/>
  <c r="BF1079" i="9"/>
  <c r="BK1072" i="9"/>
  <c r="BP1072" i="9" s="1"/>
  <c r="AS308" i="9"/>
  <c r="AS307" i="9"/>
  <c r="AX328" i="9"/>
  <c r="AS328" i="9"/>
  <c r="F875" i="9"/>
  <c r="F1057" i="9"/>
  <c r="F1168" i="9" s="1"/>
  <c r="K897" i="9"/>
  <c r="K874" i="9"/>
  <c r="K877" i="9"/>
  <c r="K930" i="9" s="1"/>
  <c r="BE366" i="9"/>
  <c r="BE379" i="9"/>
  <c r="AP769" i="9"/>
  <c r="AP779" i="9"/>
  <c r="AP630" i="9"/>
  <c r="AL1075" i="9"/>
  <c r="AQ1075" i="9"/>
  <c r="AT307" i="9"/>
  <c r="AY328" i="9"/>
  <c r="AT308" i="9"/>
  <c r="AY307" i="9"/>
  <c r="AY308" i="9"/>
  <c r="BC893" i="9"/>
  <c r="BC894" i="9" s="1"/>
  <c r="BC895" i="9" s="1"/>
  <c r="BC896" i="9" s="1"/>
  <c r="BC876" i="9"/>
  <c r="E128" i="9"/>
  <c r="D131" i="9"/>
  <c r="D129" i="9" s="1"/>
  <c r="D133" i="9"/>
  <c r="M1057" i="9"/>
  <c r="AA893" i="9"/>
  <c r="AA894" i="9" s="1"/>
  <c r="AA895" i="9" s="1"/>
  <c r="AA896" i="9" s="1"/>
  <c r="AA876" i="9"/>
  <c r="AN893" i="9"/>
  <c r="AN894" i="9" s="1"/>
  <c r="AN895" i="9" s="1"/>
  <c r="AN896" i="9" s="1"/>
  <c r="AN876" i="9"/>
  <c r="AR1095" i="9"/>
  <c r="AR1086" i="9"/>
  <c r="R323" i="9"/>
  <c r="R352" i="9"/>
  <c r="R353" i="9" s="1"/>
  <c r="I801" i="9"/>
  <c r="I809" i="9"/>
  <c r="I1159" i="9"/>
  <c r="I1160" i="9"/>
  <c r="S628" i="9"/>
  <c r="K1095" i="9"/>
  <c r="K1086" i="9"/>
  <c r="K1097" i="9"/>
  <c r="AX875" i="9"/>
  <c r="AX1057" i="9"/>
  <c r="BD898" i="9"/>
  <c r="BD899" i="9" s="1"/>
  <c r="BD900" i="9" s="1"/>
  <c r="Z806" i="9"/>
  <c r="D628" i="9"/>
  <c r="O710" i="9"/>
  <c r="O727" i="9" s="1"/>
  <c r="O650" i="9"/>
  <c r="R628" i="9"/>
  <c r="R763" i="9"/>
  <c r="G1057" i="9"/>
  <c r="AS630" i="9"/>
  <c r="AS779" i="9"/>
  <c r="AS769" i="9"/>
  <c r="AL1079" i="9"/>
  <c r="AQ1079" i="9"/>
  <c r="AC786" i="9"/>
  <c r="AC795" i="9" s="1"/>
  <c r="AC807" i="9"/>
  <c r="BA328" i="9"/>
  <c r="AV307" i="9"/>
  <c r="AV308" i="9"/>
  <c r="BA308" i="9"/>
  <c r="BA307" i="9"/>
  <c r="AV349" i="9"/>
  <c r="AV350" i="9" s="1"/>
  <c r="AV328" i="9"/>
  <c r="S475" i="9"/>
  <c r="S477" i="9" s="1"/>
  <c r="S470" i="9"/>
  <c r="AK625" i="9"/>
  <c r="AK763" i="9"/>
  <c r="AO323" i="9"/>
  <c r="AO352" i="9"/>
  <c r="AO353" i="9" s="1"/>
  <c r="AA710" i="9"/>
  <c r="AA727" i="9" s="1"/>
  <c r="AA650" i="9"/>
  <c r="AA1160" i="9"/>
  <c r="O624" i="9"/>
  <c r="D228" i="9"/>
  <c r="D227" i="9"/>
  <c r="E222" i="9"/>
  <c r="E225" i="9" s="1"/>
  <c r="D236" i="9"/>
  <c r="D269" i="9"/>
  <c r="P308" i="9"/>
  <c r="P307" i="9"/>
  <c r="U328" i="9"/>
  <c r="U307" i="9"/>
  <c r="P349" i="9"/>
  <c r="U350" i="9" s="1"/>
  <c r="AI1057" i="9"/>
  <c r="AJ1182" i="9"/>
  <c r="BJ875" i="9"/>
  <c r="K300" i="9"/>
  <c r="V379" i="9"/>
  <c r="V366" i="9"/>
  <c r="BO349" i="9"/>
  <c r="BJ350" i="9"/>
  <c r="AO1168" i="9"/>
  <c r="BJ325" i="9"/>
  <c r="BJ39" i="9"/>
  <c r="BJ327" i="9"/>
  <c r="D77" i="9"/>
  <c r="E72" i="9"/>
  <c r="D75" i="9"/>
  <c r="D73" i="9" s="1"/>
  <c r="D268" i="9"/>
  <c r="D272" i="9" s="1"/>
  <c r="E174" i="9"/>
  <c r="D188" i="9"/>
  <c r="D171" i="9"/>
  <c r="D172" i="9"/>
  <c r="E166" i="9"/>
  <c r="E169" i="9" s="1"/>
  <c r="U39" i="9"/>
  <c r="U327" i="9"/>
  <c r="Z326" i="9"/>
  <c r="Z300" i="9"/>
  <c r="BM1070" i="9"/>
  <c r="BR1070" i="9" s="1"/>
  <c r="BH1077" i="9"/>
  <c r="AY769" i="9"/>
  <c r="AY779" i="9"/>
  <c r="AY630" i="9"/>
  <c r="T39" i="9"/>
  <c r="T327" i="9"/>
  <c r="T325" i="9"/>
  <c r="L325" i="9"/>
  <c r="L39" i="9"/>
  <c r="L327" i="9"/>
  <c r="D874" i="9"/>
  <c r="D877" i="9"/>
  <c r="D930" i="9" s="1"/>
  <c r="D897" i="9"/>
  <c r="BC625" i="9"/>
  <c r="BC763" i="9"/>
  <c r="AI469" i="9"/>
  <c r="AI476" i="9"/>
  <c r="BB41" i="9"/>
  <c r="BB42" i="9" s="1"/>
  <c r="BB330" i="9"/>
  <c r="BB329" i="9" s="1"/>
  <c r="BH646" i="9"/>
  <c r="BH648" i="9" s="1"/>
  <c r="BH681" i="9"/>
  <c r="BH693" i="9" s="1"/>
  <c r="D307" i="9"/>
  <c r="D308" i="9"/>
  <c r="E328" i="9"/>
  <c r="BC624" i="9"/>
  <c r="BD325" i="9"/>
  <c r="BD327" i="9"/>
  <c r="BD39" i="9"/>
  <c r="BI326" i="9"/>
  <c r="BH1076" i="9"/>
  <c r="BM1069" i="9"/>
  <c r="BR1069" i="9" s="1"/>
  <c r="AR470" i="9"/>
  <c r="AR475" i="9"/>
  <c r="AR477" i="9" s="1"/>
  <c r="AW470" i="9"/>
  <c r="AQ379" i="9"/>
  <c r="AQ366" i="9"/>
  <c r="AQ1166" i="9" s="1"/>
  <c r="Y877" i="9"/>
  <c r="Y897" i="9"/>
  <c r="Y898" i="9" s="1"/>
  <c r="Y899" i="9" s="1"/>
  <c r="Y900" i="9" s="1"/>
  <c r="Y874" i="9"/>
  <c r="L876" i="9"/>
  <c r="L893" i="9"/>
  <c r="L894" i="9" s="1"/>
  <c r="L895" i="9" s="1"/>
  <c r="L896" i="9" s="1"/>
  <c r="AO897" i="9"/>
  <c r="AO874" i="9"/>
  <c r="AO877" i="9"/>
  <c r="AO930" i="9" s="1"/>
  <c r="Q323" i="9"/>
  <c r="V325" i="9" s="1"/>
  <c r="Q352" i="9"/>
  <c r="Q353" i="9" s="1"/>
  <c r="AO1180" i="9"/>
  <c r="AK875" i="9"/>
  <c r="F763" i="9"/>
  <c r="F625" i="9"/>
  <c r="S350" i="9"/>
  <c r="AE786" i="9"/>
  <c r="AE807" i="9"/>
  <c r="BP27" i="9"/>
  <c r="T379" i="9"/>
  <c r="T366" i="9"/>
  <c r="T1166" i="9" s="1"/>
  <c r="M763" i="9"/>
  <c r="M625" i="9"/>
  <c r="D876" i="9"/>
  <c r="D893" i="9"/>
  <c r="D894" i="9" s="1"/>
  <c r="D895" i="9" s="1"/>
  <c r="D896" i="9" s="1"/>
  <c r="O1171" i="9"/>
  <c r="O1156" i="9"/>
  <c r="T1171" i="9"/>
  <c r="BC34" i="9"/>
  <c r="AI1079" i="9"/>
  <c r="AN1079" i="9"/>
  <c r="C1170" i="9"/>
  <c r="C809" i="9"/>
  <c r="C801" i="9"/>
  <c r="C810" i="9" s="1"/>
  <c r="C729" i="9" s="1"/>
  <c r="C746" i="9" s="1"/>
  <c r="C1159" i="9"/>
  <c r="AL625" i="9"/>
  <c r="AL763" i="9"/>
  <c r="S893" i="9"/>
  <c r="S894" i="9" s="1"/>
  <c r="S895" i="9" s="1"/>
  <c r="S896" i="9" s="1"/>
  <c r="S876" i="9"/>
  <c r="AN1078" i="9"/>
  <c r="X475" i="9"/>
  <c r="X477" i="9" s="1"/>
  <c r="X470" i="9"/>
  <c r="Y470" i="9"/>
  <c r="Y475" i="9"/>
  <c r="Y477" i="9" s="1"/>
  <c r="AU327" i="9"/>
  <c r="AU39" i="9"/>
  <c r="AU325" i="9"/>
  <c r="AZ326" i="9"/>
  <c r="AZ325" i="9"/>
  <c r="BH1101" i="9"/>
  <c r="BH1085" i="9" s="1"/>
  <c r="BH1086" i="9" s="1"/>
  <c r="BH1176" i="9"/>
  <c r="AO769" i="9"/>
  <c r="AO779" i="9"/>
  <c r="AO630" i="9"/>
  <c r="T874" i="9"/>
  <c r="T897" i="9"/>
  <c r="T898" i="9" s="1"/>
  <c r="T899" i="9" s="1"/>
  <c r="T900" i="9" s="1"/>
  <c r="T877" i="9"/>
  <c r="AF786" i="9"/>
  <c r="AF795" i="9" s="1"/>
  <c r="AF807" i="9"/>
  <c r="AV326" i="9"/>
  <c r="AQ39" i="9"/>
  <c r="AQ327" i="9"/>
  <c r="Y893" i="9"/>
  <c r="Y894" i="9" s="1"/>
  <c r="Y895" i="9" s="1"/>
  <c r="Y896" i="9" s="1"/>
  <c r="Y876" i="9"/>
  <c r="AF1095" i="9"/>
  <c r="AF1086" i="9"/>
  <c r="AF1097" i="9"/>
  <c r="Q470" i="9"/>
  <c r="Q475" i="9"/>
  <c r="Q477" i="9" s="1"/>
  <c r="Y1057" i="9"/>
  <c r="Q307" i="9"/>
  <c r="V328" i="9"/>
  <c r="Q328" i="9"/>
  <c r="Q308" i="9"/>
  <c r="AL36" i="9"/>
  <c r="C381" i="9"/>
  <c r="C44" i="9"/>
  <c r="C370" i="9"/>
  <c r="C46" i="9" s="1"/>
  <c r="I756" i="9"/>
  <c r="I628" i="9"/>
  <c r="I629" i="9"/>
  <c r="I624" i="9"/>
  <c r="AT786" i="9"/>
  <c r="AT807" i="9"/>
  <c r="AK1080" i="9"/>
  <c r="AP1080" i="9"/>
  <c r="AV786" i="9"/>
  <c r="AV795" i="9" s="1"/>
  <c r="AV807" i="9"/>
  <c r="AV806" i="9"/>
  <c r="U379" i="9"/>
  <c r="U366" i="9"/>
  <c r="S875" i="9"/>
  <c r="S1057" i="9"/>
  <c r="S1168" i="9" s="1"/>
  <c r="AF350" i="9"/>
  <c r="BE876" i="9"/>
  <c r="BE893" i="9"/>
  <c r="BE894" i="9" s="1"/>
  <c r="BE895" i="9" s="1"/>
  <c r="BE896" i="9" s="1"/>
  <c r="D352" i="9"/>
  <c r="D353" i="9" s="1"/>
  <c r="D323" i="9"/>
  <c r="BH395" i="9"/>
  <c r="BD366" i="9"/>
  <c r="BD1166" i="9" s="1"/>
  <c r="BD379" i="9"/>
  <c r="O327" i="9"/>
  <c r="O39" i="9"/>
  <c r="O325" i="9"/>
  <c r="T326" i="9"/>
  <c r="BH469" i="9"/>
  <c r="BH476" i="9"/>
  <c r="L875" i="9"/>
  <c r="P1180" i="9"/>
  <c r="AO893" i="9"/>
  <c r="AO894" i="9" s="1"/>
  <c r="AO895" i="9" s="1"/>
  <c r="AO896" i="9" s="1"/>
  <c r="AO876" i="9"/>
  <c r="BB801" i="9"/>
  <c r="BB809" i="9"/>
  <c r="BB1159" i="9"/>
  <c r="AK876" i="9"/>
  <c r="AK893" i="9"/>
  <c r="AK894" i="9" s="1"/>
  <c r="AK895" i="9" s="1"/>
  <c r="AK896" i="9" s="1"/>
  <c r="AT874" i="9"/>
  <c r="AT877" i="9"/>
  <c r="AT930" i="9" s="1"/>
  <c r="AT897" i="9"/>
  <c r="AT921" i="9"/>
  <c r="AR810" i="9"/>
  <c r="AR729" i="9" s="1"/>
  <c r="AR746" i="9" s="1"/>
  <c r="AR830" i="9"/>
  <c r="BE327" i="9"/>
  <c r="BE39" i="9"/>
  <c r="BJ326" i="9"/>
  <c r="BE325" i="9"/>
  <c r="AJ795" i="9"/>
  <c r="AD873" i="9"/>
  <c r="AD1030" i="9"/>
  <c r="AD875" i="9" s="1"/>
  <c r="BK27" i="9"/>
  <c r="BK28" i="9" s="1"/>
  <c r="BE625" i="9"/>
  <c r="BE763" i="9"/>
  <c r="AS873" i="9"/>
  <c r="AS1030" i="9"/>
  <c r="D475" i="9"/>
  <c r="D477" i="9" s="1"/>
  <c r="D470" i="9"/>
  <c r="BK1068" i="9"/>
  <c r="BP1068" i="9" s="1"/>
  <c r="BF1075" i="9"/>
  <c r="R874" i="9"/>
  <c r="R877" i="9"/>
  <c r="R897" i="9"/>
  <c r="R898" i="9" s="1"/>
  <c r="R899" i="9" s="1"/>
  <c r="R900" i="9" s="1"/>
  <c r="AN625" i="9"/>
  <c r="AN763" i="9"/>
  <c r="AS323" i="9"/>
  <c r="AS352" i="9"/>
  <c r="AS353" i="9" s="1"/>
  <c r="P786" i="9"/>
  <c r="P807" i="9"/>
  <c r="S809" i="9"/>
  <c r="S1170" i="9"/>
  <c r="S1159" i="9"/>
  <c r="S801" i="9"/>
  <c r="S1160" i="9"/>
  <c r="AN1257" i="9"/>
  <c r="AN1266" i="9"/>
  <c r="AN1259" i="9"/>
  <c r="AN1252" i="9"/>
  <c r="AN1250" i="9"/>
  <c r="AN1264" i="9"/>
  <c r="T779" i="9"/>
  <c r="T769" i="9"/>
  <c r="T636" i="9" s="1"/>
  <c r="T630" i="9"/>
  <c r="BA876" i="9"/>
  <c r="BA893" i="9"/>
  <c r="BA894" i="9" s="1"/>
  <c r="BA895" i="9" s="1"/>
  <c r="BA896" i="9" s="1"/>
  <c r="AZ625" i="9"/>
  <c r="AZ763" i="9"/>
  <c r="AK786" i="9"/>
  <c r="AK795" i="9" s="1"/>
  <c r="AK807" i="9"/>
  <c r="AK475" i="9"/>
  <c r="AK477" i="9" s="1"/>
  <c r="AK470" i="9"/>
  <c r="AP470" i="9"/>
  <c r="N630" i="9"/>
  <c r="N779" i="9"/>
  <c r="N769" i="9"/>
  <c r="BF763" i="9"/>
  <c r="BF625" i="9"/>
  <c r="AT650" i="9"/>
  <c r="AT710" i="9"/>
  <c r="AT727" i="9" s="1"/>
  <c r="L786" i="9"/>
  <c r="L795" i="9" s="1"/>
  <c r="L807" i="9"/>
  <c r="E874" i="9"/>
  <c r="E897" i="9"/>
  <c r="E877" i="9"/>
  <c r="E930" i="9" s="1"/>
  <c r="AM44" i="9"/>
  <c r="AM370" i="9"/>
  <c r="AM381" i="9"/>
  <c r="T475" i="9"/>
  <c r="T477" i="9" s="1"/>
  <c r="T470" i="9"/>
  <c r="E307" i="9"/>
  <c r="F328" i="9"/>
  <c r="E308" i="9"/>
  <c r="Q349" i="9"/>
  <c r="Q350" i="9" s="1"/>
  <c r="AC470" i="9"/>
  <c r="BL27" i="9"/>
  <c r="BL28" i="9" s="1"/>
  <c r="AW874" i="9"/>
  <c r="AW877" i="9"/>
  <c r="AW897" i="9"/>
  <c r="AW898" i="9" s="1"/>
  <c r="AW899" i="9" s="1"/>
  <c r="AW900" i="9" s="1"/>
  <c r="M323" i="9"/>
  <c r="M352" i="9"/>
  <c r="M353" i="9" s="1"/>
  <c r="BG786" i="9"/>
  <c r="BG795" i="9" s="1"/>
  <c r="BG807" i="9"/>
  <c r="AX646" i="9"/>
  <c r="AX648" i="9" s="1"/>
  <c r="AX681" i="9"/>
  <c r="AX693" i="9" s="1"/>
  <c r="X308" i="9"/>
  <c r="AC328" i="9"/>
  <c r="X307" i="9"/>
  <c r="AC308" i="9"/>
  <c r="AC307" i="9"/>
  <c r="AY1180" i="9"/>
  <c r="AU875" i="9"/>
  <c r="BJ763" i="9"/>
  <c r="G628" i="9"/>
  <c r="C876" i="9"/>
  <c r="C893" i="9"/>
  <c r="C894" i="9" s="1"/>
  <c r="C895" i="9" s="1"/>
  <c r="C896" i="9" s="1"/>
  <c r="BH629" i="9"/>
  <c r="AL352" i="9"/>
  <c r="AL353" i="9" s="1"/>
  <c r="AL323" i="9"/>
  <c r="BG763" i="9"/>
  <c r="BG625" i="9"/>
  <c r="AX1165" i="9"/>
  <c r="BI779" i="9"/>
  <c r="AH897" i="9"/>
  <c r="AH898" i="9" s="1"/>
  <c r="AH899" i="9" s="1"/>
  <c r="AH900" i="9" s="1"/>
  <c r="AH877" i="9"/>
  <c r="AH874" i="9"/>
  <c r="J630" i="9"/>
  <c r="J779" i="9"/>
  <c r="J769" i="9"/>
  <c r="AD352" i="9"/>
  <c r="AD353" i="9" s="1"/>
  <c r="AD323" i="9"/>
  <c r="AA378" i="9"/>
  <c r="AX352" i="9"/>
  <c r="AX353" i="9" s="1"/>
  <c r="AX323" i="9"/>
  <c r="AF806" i="9"/>
  <c r="BQ1146" i="9"/>
  <c r="AV877" i="9"/>
  <c r="AV874" i="9"/>
  <c r="AV897" i="9"/>
  <c r="AV898" i="9" s="1"/>
  <c r="AV899" i="9" s="1"/>
  <c r="AV900" i="9" s="1"/>
  <c r="AJ475" i="9"/>
  <c r="AJ477" i="9" s="1"/>
  <c r="AJ470" i="9"/>
  <c r="Q1159" i="9"/>
  <c r="L1095" i="9"/>
  <c r="L1097" i="9"/>
  <c r="L1086" i="9"/>
  <c r="E876" i="9"/>
  <c r="E893" i="9"/>
  <c r="E894" i="9" s="1"/>
  <c r="E895" i="9" s="1"/>
  <c r="E896" i="9" s="1"/>
  <c r="AE347" i="9"/>
  <c r="AE348" i="9"/>
  <c r="AE349" i="9"/>
  <c r="AO307" i="9"/>
  <c r="AO308" i="9"/>
  <c r="AT328" i="9"/>
  <c r="AO349" i="9"/>
  <c r="BG475" i="9"/>
  <c r="BG477" i="9" s="1"/>
  <c r="BG470" i="9"/>
  <c r="P323" i="9"/>
  <c r="P352" i="9"/>
  <c r="P353" i="9" s="1"/>
  <c r="BB347" i="9"/>
  <c r="BB349" i="9"/>
  <c r="BB350" i="9" s="1"/>
  <c r="BB348" i="9"/>
  <c r="BG348" i="9"/>
  <c r="BG347" i="9"/>
  <c r="Z470" i="9"/>
  <c r="Z475" i="9"/>
  <c r="Z477" i="9" s="1"/>
  <c r="AE470" i="9"/>
  <c r="BQ27" i="9"/>
  <c r="AW876" i="9"/>
  <c r="AW893" i="9"/>
  <c r="AW894" i="9" s="1"/>
  <c r="AW895" i="9" s="1"/>
  <c r="AW896" i="9" s="1"/>
  <c r="E786" i="9"/>
  <c r="E795" i="9" s="1"/>
  <c r="E807" i="9"/>
  <c r="X786" i="9"/>
  <c r="X795" i="9" s="1"/>
  <c r="X1160" i="9" s="1"/>
  <c r="X807" i="9"/>
  <c r="AH1168" i="9"/>
  <c r="AO470" i="9"/>
  <c r="AO475" i="9"/>
  <c r="AO477" i="9" s="1"/>
  <c r="AH893" i="9"/>
  <c r="AH894" i="9" s="1"/>
  <c r="AH895" i="9" s="1"/>
  <c r="AH896" i="9" s="1"/>
  <c r="AH876" i="9"/>
  <c r="AL470" i="9"/>
  <c r="AL475" i="9"/>
  <c r="AL477" i="9" s="1"/>
  <c r="BA786" i="9"/>
  <c r="BA795" i="9" s="1"/>
  <c r="BA807" i="9"/>
  <c r="BL1070" i="9"/>
  <c r="BQ1070" i="9" s="1"/>
  <c r="BG1077" i="9"/>
  <c r="AM1080" i="9"/>
  <c r="AR1080" i="9"/>
  <c r="AX779" i="9"/>
  <c r="AX769" i="9"/>
  <c r="AX630" i="9"/>
  <c r="E323" i="9"/>
  <c r="E352" i="9"/>
  <c r="E353" i="9" s="1"/>
  <c r="W893" i="9"/>
  <c r="W894" i="9" s="1"/>
  <c r="W895" i="9" s="1"/>
  <c r="W896" i="9" s="1"/>
  <c r="W876" i="9"/>
  <c r="X323" i="9"/>
  <c r="X352" i="9"/>
  <c r="X353" i="9" s="1"/>
  <c r="V710" i="9"/>
  <c r="V727" i="9" s="1"/>
  <c r="V650" i="9"/>
  <c r="AU876" i="9"/>
  <c r="AU893" i="9"/>
  <c r="AU894" i="9" s="1"/>
  <c r="AU895" i="9" s="1"/>
  <c r="AU896" i="9" s="1"/>
  <c r="AI900" i="9"/>
  <c r="F307" i="9"/>
  <c r="K328" i="9"/>
  <c r="F308" i="9"/>
  <c r="F349" i="9"/>
  <c r="F350" i="9" s="1"/>
  <c r="G625" i="9"/>
  <c r="G763" i="9"/>
  <c r="AL307" i="9"/>
  <c r="AL308" i="9"/>
  <c r="AQ328" i="9"/>
  <c r="AL328" i="9"/>
  <c r="BC436" i="9"/>
  <c r="BI325" i="9"/>
  <c r="BI39" i="9"/>
  <c r="BI327" i="9"/>
  <c r="AX786" i="9"/>
  <c r="AX795" i="9" s="1"/>
  <c r="AX807" i="9"/>
  <c r="I475" i="9"/>
  <c r="I477" i="9" s="1"/>
  <c r="N470" i="9"/>
  <c r="C630" i="9"/>
  <c r="C779" i="9"/>
  <c r="C769" i="9"/>
  <c r="K347" i="9"/>
  <c r="K348" i="9"/>
  <c r="K349" i="9"/>
  <c r="AD307" i="9"/>
  <c r="AD308" i="9"/>
  <c r="AI1080" i="9"/>
  <c r="AN1080" i="9"/>
  <c r="AX307" i="9"/>
  <c r="AX308" i="9"/>
  <c r="BC328" i="9"/>
  <c r="AM350" i="9"/>
  <c r="BI1183" i="9"/>
  <c r="AP830" i="9"/>
  <c r="AP810" i="9"/>
  <c r="AP729" i="9" s="1"/>
  <c r="AP746" i="9" s="1"/>
  <c r="BC768" i="9"/>
  <c r="BC635" i="9" s="1"/>
  <c r="BC622" i="9"/>
  <c r="BC778" i="9"/>
  <c r="BC1165" i="9"/>
  <c r="AK1078" i="9"/>
  <c r="AP1078" i="9"/>
  <c r="AI622" i="9"/>
  <c r="AI768" i="9"/>
  <c r="AI635" i="9" s="1"/>
  <c r="AI778" i="9"/>
  <c r="AI806" i="9" s="1"/>
  <c r="AI1165" i="9"/>
  <c r="BH1078" i="9"/>
  <c r="BM1071" i="9"/>
  <c r="BR1071" i="9" s="1"/>
  <c r="AU625" i="9"/>
  <c r="AU763" i="9"/>
  <c r="AI710" i="9"/>
  <c r="AI727" i="9" s="1"/>
  <c r="AI650" i="9"/>
  <c r="C897" i="9"/>
  <c r="C877" i="9"/>
  <c r="C930" i="9" s="1"/>
  <c r="C874" i="9"/>
  <c r="Q763" i="9"/>
  <c r="Q625" i="9"/>
  <c r="K475" i="9"/>
  <c r="K477" i="9" s="1"/>
  <c r="K470" i="9"/>
  <c r="AV893" i="9"/>
  <c r="AV894" i="9" s="1"/>
  <c r="AV895" i="9" s="1"/>
  <c r="AV896" i="9" s="1"/>
  <c r="AV876" i="9"/>
  <c r="BO1138" i="9"/>
  <c r="BP905" i="9"/>
  <c r="Y710" i="9"/>
  <c r="Y727" i="9" s="1"/>
  <c r="Y650" i="9"/>
  <c r="BJ1077" i="9"/>
  <c r="BO1070" i="9"/>
  <c r="BC681" i="9"/>
  <c r="BC693" i="9" s="1"/>
  <c r="BC646" i="9"/>
  <c r="BC648" i="9" s="1"/>
  <c r="W874" i="9"/>
  <c r="W877" i="9"/>
  <c r="W897" i="9"/>
  <c r="W898" i="9" s="1"/>
  <c r="W899" i="9" s="1"/>
  <c r="W900" i="9" s="1"/>
  <c r="T809" i="9"/>
  <c r="T801" i="9"/>
  <c r="T1160" i="9"/>
  <c r="T1159" i="9"/>
  <c r="AH833" i="9"/>
  <c r="AH925" i="9" s="1"/>
  <c r="AH926" i="9" s="1"/>
  <c r="AH831" i="9"/>
  <c r="AF876" i="9"/>
  <c r="AF893" i="9"/>
  <c r="AF894" i="9" s="1"/>
  <c r="AF895" i="9" s="1"/>
  <c r="AF896" i="9" s="1"/>
  <c r="F352" i="9"/>
  <c r="F353" i="9" s="1"/>
  <c r="F323" i="9"/>
  <c r="AL350" i="9"/>
  <c r="AK1057" i="9"/>
  <c r="AQ876" i="9"/>
  <c r="AQ893" i="9"/>
  <c r="AQ894" i="9" s="1"/>
  <c r="AQ895" i="9" s="1"/>
  <c r="AQ896" i="9" s="1"/>
  <c r="BI379" i="9"/>
  <c r="BI366" i="9"/>
  <c r="Z625" i="9"/>
  <c r="Z763" i="9"/>
  <c r="AT806" i="9"/>
  <c r="BO907" i="9"/>
  <c r="BP1139" i="9"/>
  <c r="BF1078" i="9"/>
  <c r="BK1071" i="9"/>
  <c r="BP1071" i="9" s="1"/>
  <c r="AT1057" i="9"/>
  <c r="Q1168" i="9"/>
  <c r="AM41" i="9"/>
  <c r="U1180" i="9"/>
  <c r="N107" i="4"/>
  <c r="N108" i="4" s="1"/>
  <c r="M107" i="4"/>
  <c r="O107" i="4"/>
  <c r="O108" i="4" s="1"/>
  <c r="P96" i="4"/>
  <c r="P95" i="4"/>
  <c r="P84" i="4"/>
  <c r="P71" i="4"/>
  <c r="L13" i="4"/>
  <c r="M13" i="4" s="1"/>
  <c r="N13" i="4" s="1"/>
  <c r="H37" i="4"/>
  <c r="I37" i="4"/>
  <c r="H36" i="4"/>
  <c r="I36" i="4"/>
  <c r="H38" i="4"/>
  <c r="I38" i="4"/>
  <c r="I119" i="4" s="1"/>
  <c r="I35" i="4"/>
  <c r="H35" i="4"/>
  <c r="I27" i="4"/>
  <c r="J27" i="4"/>
  <c r="H27" i="4"/>
  <c r="I25" i="4"/>
  <c r="J25" i="4"/>
  <c r="H25" i="4"/>
  <c r="I28" i="4"/>
  <c r="J28" i="4"/>
  <c r="H28" i="4"/>
  <c r="I26" i="4"/>
  <c r="J26" i="4"/>
  <c r="H26" i="4"/>
  <c r="F39" i="3"/>
  <c r="D39" i="3"/>
  <c r="M19" i="3"/>
  <c r="M22" i="3"/>
  <c r="M23" i="3"/>
  <c r="M24" i="3"/>
  <c r="M21" i="3"/>
  <c r="M25" i="3" s="1"/>
  <c r="M26" i="3" s="1"/>
  <c r="E25" i="3"/>
  <c r="E26" i="3" s="1"/>
  <c r="F25" i="3"/>
  <c r="F26" i="3" s="1"/>
  <c r="G25" i="3"/>
  <c r="G26" i="3" s="1"/>
  <c r="L32" i="3"/>
  <c r="F32" i="3"/>
  <c r="E32" i="3"/>
  <c r="D32" i="3"/>
  <c r="AA810" i="9" l="1"/>
  <c r="AA729" i="9" s="1"/>
  <c r="AA746" i="9" s="1"/>
  <c r="N44" i="9"/>
  <c r="N370" i="9"/>
  <c r="BB369" i="9"/>
  <c r="S369" i="9"/>
  <c r="BE1129" i="11"/>
  <c r="W1129" i="11"/>
  <c r="AA1129" i="11"/>
  <c r="AM1129" i="11"/>
  <c r="AB1129" i="11"/>
  <c r="AP1129" i="11"/>
  <c r="AK1129" i="11"/>
  <c r="O1129" i="11"/>
  <c r="BL1129" i="11"/>
  <c r="BN1269" i="9"/>
  <c r="BN938" i="9" s="1"/>
  <c r="BO1129" i="11"/>
  <c r="BH1129" i="11"/>
  <c r="V1129" i="11"/>
  <c r="AX1129" i="11"/>
  <c r="AO1129" i="11"/>
  <c r="BA1129" i="11"/>
  <c r="BC1129" i="11"/>
  <c r="AG1129" i="11"/>
  <c r="AR1129" i="11"/>
  <c r="K1129" i="11"/>
  <c r="L1129" i="11"/>
  <c r="N1129" i="11"/>
  <c r="H1129" i="11"/>
  <c r="U1129" i="11"/>
  <c r="Y1129" i="11"/>
  <c r="AN1129" i="11"/>
  <c r="AZ1129" i="11"/>
  <c r="AC1129" i="11"/>
  <c r="AY1129" i="11"/>
  <c r="BK1129" i="11"/>
  <c r="AL1129" i="11"/>
  <c r="AV1129" i="11"/>
  <c r="J1129" i="11"/>
  <c r="AS1129" i="11"/>
  <c r="S1129" i="11"/>
  <c r="AQ938" i="9"/>
  <c r="AQ747" i="11" s="1"/>
  <c r="AQ762" i="11"/>
  <c r="AE564" i="11"/>
  <c r="AE558" i="11"/>
  <c r="Y935" i="9"/>
  <c r="Y759" i="11"/>
  <c r="B3" i="9"/>
  <c r="B3" i="11"/>
  <c r="BI637" i="11"/>
  <c r="BE674" i="11"/>
  <c r="BI674" i="11"/>
  <c r="BH674" i="11"/>
  <c r="BG674" i="11"/>
  <c r="BF674" i="11"/>
  <c r="AU938" i="9"/>
  <c r="AU747" i="11" s="1"/>
  <c r="AU762" i="11"/>
  <c r="BG938" i="9"/>
  <c r="BG747" i="11" s="1"/>
  <c r="BG762" i="11"/>
  <c r="L255" i="11"/>
  <c r="L267" i="11"/>
  <c r="L266" i="11"/>
  <c r="BL36" i="11"/>
  <c r="BL35" i="11"/>
  <c r="BL91" i="11"/>
  <c r="BL95" i="11" s="1"/>
  <c r="BL67" i="11"/>
  <c r="BN38" i="11"/>
  <c r="BN39" i="11" s="1"/>
  <c r="BN29" i="11"/>
  <c r="BN32" i="11"/>
  <c r="BN26" i="11"/>
  <c r="BN27" i="11" s="1"/>
  <c r="AQ361" i="11"/>
  <c r="AQ484" i="11"/>
  <c r="T998" i="11"/>
  <c r="Y122" i="11"/>
  <c r="T123" i="11"/>
  <c r="T126" i="11" s="1"/>
  <c r="AP255" i="11"/>
  <c r="AP267" i="11"/>
  <c r="AP266" i="11"/>
  <c r="BI938" i="9"/>
  <c r="BI747" i="11" s="1"/>
  <c r="BI762" i="11"/>
  <c r="X634" i="11"/>
  <c r="X629" i="11"/>
  <c r="M629" i="11"/>
  <c r="M634" i="11"/>
  <c r="BJ938" i="9"/>
  <c r="BJ747" i="11" s="1"/>
  <c r="BJ762" i="11"/>
  <c r="AB722" i="11"/>
  <c r="AB723" i="11" s="1"/>
  <c r="AB724" i="11" s="1"/>
  <c r="AB725" i="11" s="1"/>
  <c r="AB700" i="11"/>
  <c r="AB697" i="11"/>
  <c r="AD934" i="9"/>
  <c r="AD758" i="11"/>
  <c r="AW1129" i="11"/>
  <c r="AT70" i="11"/>
  <c r="AT82" i="11"/>
  <c r="AT87" i="11"/>
  <c r="AT74" i="11"/>
  <c r="U637" i="11"/>
  <c r="S674" i="11"/>
  <c r="R674" i="11"/>
  <c r="T674" i="11"/>
  <c r="U674" i="11"/>
  <c r="U629" i="11"/>
  <c r="Q674" i="11"/>
  <c r="AM742" i="11"/>
  <c r="AM628" i="11"/>
  <c r="AM168" i="11"/>
  <c r="AM644" i="11" s="1"/>
  <c r="AT266" i="11"/>
  <c r="AT267" i="11"/>
  <c r="AT255" i="11"/>
  <c r="AR938" i="9"/>
  <c r="AR747" i="11" s="1"/>
  <c r="AR762" i="11"/>
  <c r="AY938" i="9"/>
  <c r="AY747" i="11" s="1"/>
  <c r="AY762" i="11"/>
  <c r="Q561" i="11"/>
  <c r="Q564" i="11"/>
  <c r="Q558" i="11"/>
  <c r="BG700" i="11"/>
  <c r="BG722" i="11"/>
  <c r="BG723" i="11" s="1"/>
  <c r="BG724" i="11" s="1"/>
  <c r="BG725" i="11" s="1"/>
  <c r="BG697" i="11"/>
  <c r="T1129" i="11"/>
  <c r="BJ936" i="9"/>
  <c r="BJ760" i="11"/>
  <c r="M1000" i="11"/>
  <c r="M259" i="11"/>
  <c r="M992" i="11"/>
  <c r="BB697" i="11"/>
  <c r="BB722" i="11"/>
  <c r="BB723" i="11" s="1"/>
  <c r="BB724" i="11" s="1"/>
  <c r="BB725" i="11" s="1"/>
  <c r="BB700" i="11"/>
  <c r="AE934" i="9"/>
  <c r="AE758" i="11"/>
  <c r="Q722" i="11"/>
  <c r="Q723" i="11" s="1"/>
  <c r="Q724" i="11" s="1"/>
  <c r="Q725" i="11" s="1"/>
  <c r="Q700" i="11"/>
  <c r="Q697" i="11"/>
  <c r="H998" i="11"/>
  <c r="H123" i="11"/>
  <c r="M122" i="11"/>
  <c r="BK938" i="9"/>
  <c r="BK822" i="9" s="1"/>
  <c r="BK762" i="11"/>
  <c r="N634" i="11"/>
  <c r="AZ890" i="11"/>
  <c r="W255" i="11"/>
  <c r="W267" i="11"/>
  <c r="W266" i="11"/>
  <c r="BD723" i="11"/>
  <c r="BD724" i="11" s="1"/>
  <c r="BD725" i="11" s="1"/>
  <c r="AS699" i="11"/>
  <c r="AS718" i="11"/>
  <c r="AS719" i="11" s="1"/>
  <c r="AS720" i="11" s="1"/>
  <c r="AS721" i="11" s="1"/>
  <c r="AW255" i="11"/>
  <c r="AW267" i="11"/>
  <c r="AW266" i="11"/>
  <c r="Z936" i="9"/>
  <c r="Z760" i="11"/>
  <c r="AK126" i="11"/>
  <c r="H742" i="11"/>
  <c r="H168" i="11"/>
  <c r="H644" i="11" s="1"/>
  <c r="H645" i="11" s="1"/>
  <c r="H628" i="11"/>
  <c r="I634" i="11" s="1"/>
  <c r="AD938" i="9"/>
  <c r="AD747" i="11" s="1"/>
  <c r="AD762" i="11"/>
  <c r="BR91" i="11"/>
  <c r="BR67" i="11"/>
  <c r="BR69" i="11" s="1"/>
  <c r="BR35" i="11"/>
  <c r="BR36" i="11"/>
  <c r="N630" i="11"/>
  <c r="N636" i="11"/>
  <c r="N633" i="11"/>
  <c r="O935" i="9"/>
  <c r="O759" i="11"/>
  <c r="AD936" i="9"/>
  <c r="AD760" i="11"/>
  <c r="AD1129" i="11"/>
  <c r="AI562" i="11"/>
  <c r="AI565" i="11"/>
  <c r="Y255" i="11"/>
  <c r="Y267" i="11"/>
  <c r="Y266" i="11"/>
  <c r="AS698" i="11"/>
  <c r="AS219" i="11"/>
  <c r="AS222" i="11" s="1"/>
  <c r="AS887" i="11"/>
  <c r="Z722" i="11"/>
  <c r="Z697" i="11"/>
  <c r="Z700" i="11"/>
  <c r="O938" i="9"/>
  <c r="O747" i="11" s="1"/>
  <c r="O762" i="11"/>
  <c r="AK938" i="9"/>
  <c r="AK747" i="11" s="1"/>
  <c r="AK762" i="11"/>
  <c r="A1269" i="9"/>
  <c r="A1129" i="11"/>
  <c r="I697" i="11"/>
  <c r="I722" i="11"/>
  <c r="I723" i="11" s="1"/>
  <c r="I724" i="11" s="1"/>
  <c r="I725" i="11" s="1"/>
  <c r="I700" i="11"/>
  <c r="J239" i="11"/>
  <c r="J162" i="11" s="1"/>
  <c r="J161" i="11"/>
  <c r="J251" i="11"/>
  <c r="J244" i="11"/>
  <c r="J167" i="11" s="1"/>
  <c r="BF112" i="11"/>
  <c r="W674" i="11"/>
  <c r="Z674" i="11"/>
  <c r="Y674" i="11"/>
  <c r="Z629" i="11"/>
  <c r="X674" i="11"/>
  <c r="V674" i="11"/>
  <c r="Z637" i="11"/>
  <c r="AS123" i="11"/>
  <c r="AS998" i="11"/>
  <c r="AX122" i="11"/>
  <c r="AT722" i="11"/>
  <c r="AT697" i="11"/>
  <c r="AT700" i="11"/>
  <c r="AT744" i="11"/>
  <c r="AD699" i="11"/>
  <c r="AD718" i="11"/>
  <c r="AD719" i="11" s="1"/>
  <c r="AD720" i="11" s="1"/>
  <c r="AD721" i="11" s="1"/>
  <c r="V637" i="11"/>
  <c r="V629" i="11"/>
  <c r="V634" i="11"/>
  <c r="W634" i="11"/>
  <c r="AI239" i="11"/>
  <c r="AI162" i="11" s="1"/>
  <c r="AI244" i="11"/>
  <c r="AI167" i="11" s="1"/>
  <c r="AI161" i="11"/>
  <c r="AI251" i="11"/>
  <c r="BJ637" i="11"/>
  <c r="BJ634" i="11"/>
  <c r="T558" i="11"/>
  <c r="T564" i="11"/>
  <c r="T561" i="11"/>
  <c r="S742" i="11"/>
  <c r="S628" i="11"/>
  <c r="X637" i="11" s="1"/>
  <c r="S168" i="11"/>
  <c r="S644" i="11" s="1"/>
  <c r="S645" i="11" s="1"/>
  <c r="BH998" i="11"/>
  <c r="BH123" i="11"/>
  <c r="R255" i="11"/>
  <c r="R266" i="11"/>
  <c r="R267" i="11"/>
  <c r="BJ934" i="9"/>
  <c r="BJ758" i="11"/>
  <c r="AL637" i="11"/>
  <c r="AL634" i="11"/>
  <c r="BT981" i="11"/>
  <c r="S561" i="11"/>
  <c r="S564" i="11"/>
  <c r="S558" i="11"/>
  <c r="BG1001" i="11"/>
  <c r="BC674" i="11"/>
  <c r="BH934" i="9"/>
  <c r="BH758" i="11"/>
  <c r="BF637" i="11"/>
  <c r="BF634" i="11"/>
  <c r="AX123" i="11"/>
  <c r="AX998" i="11"/>
  <c r="BC122" i="11"/>
  <c r="BR81" i="11"/>
  <c r="X938" i="9"/>
  <c r="X747" i="11" s="1"/>
  <c r="X762" i="11"/>
  <c r="BF938" i="9"/>
  <c r="BF747" i="11" s="1"/>
  <c r="BF762" i="11"/>
  <c r="V259" i="11"/>
  <c r="V992" i="11"/>
  <c r="AW634" i="11"/>
  <c r="AW637" i="11"/>
  <c r="BG1129" i="11"/>
  <c r="L722" i="11"/>
  <c r="L723" i="11" s="1"/>
  <c r="L724" i="11" s="1"/>
  <c r="L725" i="11" s="1"/>
  <c r="L700" i="11"/>
  <c r="L697" i="11"/>
  <c r="AN938" i="9"/>
  <c r="AN747" i="11" s="1"/>
  <c r="AN762" i="11"/>
  <c r="Y634" i="11"/>
  <c r="Y629" i="11"/>
  <c r="Y637" i="11"/>
  <c r="Y938" i="9"/>
  <c r="Y747" i="11" s="1"/>
  <c r="Y762" i="11"/>
  <c r="AO998" i="11"/>
  <c r="AO123" i="11"/>
  <c r="AO126" i="11" s="1"/>
  <c r="AT122" i="11"/>
  <c r="AQ998" i="11"/>
  <c r="AQ123" i="11"/>
  <c r="AQ126" i="11" s="1"/>
  <c r="AV122" i="11"/>
  <c r="AU1129" i="11"/>
  <c r="BU403" i="11"/>
  <c r="O718" i="11"/>
  <c r="O719" i="11" s="1"/>
  <c r="O720" i="11" s="1"/>
  <c r="O721" i="11" s="1"/>
  <c r="O699" i="11"/>
  <c r="BQ29" i="11"/>
  <c r="BQ32" i="11"/>
  <c r="AB742" i="11"/>
  <c r="AB628" i="11"/>
  <c r="AB168" i="11"/>
  <c r="AB644" i="11" s="1"/>
  <c r="AB645" i="11" s="1"/>
  <c r="BM938" i="9"/>
  <c r="BM762" i="11"/>
  <c r="AZ938" i="9"/>
  <c r="AZ747" i="11" s="1"/>
  <c r="AZ762" i="11"/>
  <c r="AO742" i="11"/>
  <c r="AO628" i="11"/>
  <c r="AO168" i="11"/>
  <c r="AO644" i="11" s="1"/>
  <c r="AO743" i="11"/>
  <c r="AS935" i="9"/>
  <c r="AS759" i="11"/>
  <c r="AU998" i="11"/>
  <c r="AU123" i="11"/>
  <c r="AZ126" i="11" s="1"/>
  <c r="AZ122" i="11"/>
  <c r="BK36" i="11"/>
  <c r="BK35" i="11"/>
  <c r="BK91" i="11"/>
  <c r="BK95" i="11" s="1"/>
  <c r="BK67" i="11"/>
  <c r="AQ255" i="11"/>
  <c r="AQ267" i="11"/>
  <c r="AQ266" i="11"/>
  <c r="AQ628" i="11"/>
  <c r="AQ742" i="11"/>
  <c r="AQ168" i="11"/>
  <c r="AQ644" i="11" s="1"/>
  <c r="BE637" i="11"/>
  <c r="BM1129" i="11"/>
  <c r="BF1129" i="11"/>
  <c r="R168" i="11"/>
  <c r="R644" i="11" s="1"/>
  <c r="R645" i="11" s="1"/>
  <c r="R628" i="11"/>
  <c r="R742" i="11"/>
  <c r="U936" i="9"/>
  <c r="U760" i="11"/>
  <c r="BC998" i="11"/>
  <c r="BC123" i="11"/>
  <c r="BH122" i="11"/>
  <c r="AX88" i="11"/>
  <c r="BJ697" i="11"/>
  <c r="BJ700" i="11"/>
  <c r="BJ722" i="11"/>
  <c r="BJ723" i="11" s="1"/>
  <c r="BJ724" i="11" s="1"/>
  <c r="BJ725" i="11" s="1"/>
  <c r="AA255" i="11"/>
  <c r="AA267" i="11"/>
  <c r="AA266" i="11"/>
  <c r="AM999" i="11"/>
  <c r="O674" i="11"/>
  <c r="L674" i="11"/>
  <c r="P629" i="11"/>
  <c r="P637" i="11"/>
  <c r="P674" i="11"/>
  <c r="N674" i="11"/>
  <c r="M674" i="11"/>
  <c r="AA564" i="11"/>
  <c r="AA561" i="11"/>
  <c r="AA558" i="11"/>
  <c r="AN1262" i="9"/>
  <c r="AN1122" i="11"/>
  <c r="AC938" i="9"/>
  <c r="AC747" i="11" s="1"/>
  <c r="AC762" i="11"/>
  <c r="AU742" i="11"/>
  <c r="AU168" i="11"/>
  <c r="AU644" i="11" s="1"/>
  <c r="AU628" i="11"/>
  <c r="Y564" i="11"/>
  <c r="Y561" i="11"/>
  <c r="Y558" i="11"/>
  <c r="BJ1129" i="11"/>
  <c r="R998" i="11"/>
  <c r="R123" i="11"/>
  <c r="W122" i="11"/>
  <c r="BC742" i="11"/>
  <c r="BC168" i="11"/>
  <c r="BC644" i="11" s="1"/>
  <c r="BC628" i="11"/>
  <c r="BE634" i="11" s="1"/>
  <c r="U255" i="11"/>
  <c r="U267" i="11"/>
  <c r="U266" i="11"/>
  <c r="AK999" i="11"/>
  <c r="AZ722" i="11"/>
  <c r="AZ723" i="11" s="1"/>
  <c r="AZ724" i="11" s="1"/>
  <c r="AZ725" i="11" s="1"/>
  <c r="AZ697" i="11"/>
  <c r="AZ700" i="11"/>
  <c r="AN1248" i="9"/>
  <c r="AN1108" i="11"/>
  <c r="BE938" i="9"/>
  <c r="BE747" i="11" s="1"/>
  <c r="BE762" i="11"/>
  <c r="BM95" i="11"/>
  <c r="BR97" i="11"/>
  <c r="J562" i="11"/>
  <c r="J557" i="11"/>
  <c r="W700" i="11"/>
  <c r="W722" i="11"/>
  <c r="W723" i="11" s="1"/>
  <c r="W724" i="11" s="1"/>
  <c r="W725" i="11" s="1"/>
  <c r="W697" i="11"/>
  <c r="AN999" i="11"/>
  <c r="AN255" i="11"/>
  <c r="AN267" i="11"/>
  <c r="AN266" i="11"/>
  <c r="AN700" i="11"/>
  <c r="AN697" i="11"/>
  <c r="AN722" i="11"/>
  <c r="AN723" i="11" s="1"/>
  <c r="AN724" i="11" s="1"/>
  <c r="AN725" i="11" s="1"/>
  <c r="BQ940" i="11"/>
  <c r="S998" i="11"/>
  <c r="S123" i="11"/>
  <c r="S126" i="11" s="1"/>
  <c r="X122" i="11"/>
  <c r="S122" i="11"/>
  <c r="BH742" i="11"/>
  <c r="BH628" i="11"/>
  <c r="BH168" i="11"/>
  <c r="BH644" i="11" s="1"/>
  <c r="H261" i="11"/>
  <c r="H269" i="11"/>
  <c r="BL938" i="9"/>
  <c r="BL762" i="11"/>
  <c r="BH938" i="9"/>
  <c r="BH747" i="11" s="1"/>
  <c r="BH762" i="11"/>
  <c r="AL938" i="9"/>
  <c r="AL747" i="11" s="1"/>
  <c r="AL762" i="11"/>
  <c r="AV938" i="9"/>
  <c r="AV747" i="11" s="1"/>
  <c r="AV762" i="11"/>
  <c r="AO938" i="9"/>
  <c r="AO747" i="11" s="1"/>
  <c r="AO762" i="11"/>
  <c r="AJ938" i="9"/>
  <c r="AJ747" i="11" s="1"/>
  <c r="AJ762" i="11"/>
  <c r="Z938" i="9"/>
  <c r="Z747" i="11" s="1"/>
  <c r="Z762" i="11"/>
  <c r="N700" i="11"/>
  <c r="N697" i="11"/>
  <c r="N722" i="11"/>
  <c r="N723" i="11" s="1"/>
  <c r="N724" i="11" s="1"/>
  <c r="N725" i="11" s="1"/>
  <c r="T71" i="11"/>
  <c r="AH637" i="11"/>
  <c r="AH634" i="11"/>
  <c r="AS742" i="11"/>
  <c r="AS628" i="11"/>
  <c r="AS168" i="11"/>
  <c r="AS644" i="11" s="1"/>
  <c r="AD698" i="11"/>
  <c r="AD219" i="11"/>
  <c r="AD222" i="11" s="1"/>
  <c r="AD887" i="11"/>
  <c r="AD999" i="11" s="1"/>
  <c r="AS934" i="9"/>
  <c r="AS758" i="11"/>
  <c r="BP394" i="11"/>
  <c r="AQ1129" i="11"/>
  <c r="I1129" i="11"/>
  <c r="X1129" i="11"/>
  <c r="Z1129" i="11"/>
  <c r="Q1129" i="11"/>
  <c r="O131" i="11"/>
  <c r="Y718" i="11"/>
  <c r="Y719" i="11" s="1"/>
  <c r="Y720" i="11" s="1"/>
  <c r="Y721" i="11" s="1"/>
  <c r="Y699" i="11"/>
  <c r="S112" i="11"/>
  <c r="BP91" i="11"/>
  <c r="BP67" i="11"/>
  <c r="BP36" i="11"/>
  <c r="BP35" i="11"/>
  <c r="AS244" i="11"/>
  <c r="AS167" i="11" s="1"/>
  <c r="AS251" i="11"/>
  <c r="AS239" i="11"/>
  <c r="AS162" i="11" s="1"/>
  <c r="AS161" i="11"/>
  <c r="BA999" i="11"/>
  <c r="J697" i="11"/>
  <c r="J722" i="11"/>
  <c r="J723" i="11" s="1"/>
  <c r="J724" i="11" s="1"/>
  <c r="J725" i="11" s="1"/>
  <c r="J700" i="11"/>
  <c r="BP377" i="11"/>
  <c r="F700" i="11"/>
  <c r="F697" i="11"/>
  <c r="F722" i="11"/>
  <c r="F723" i="11" s="1"/>
  <c r="F724" i="11" s="1"/>
  <c r="F725" i="11" s="1"/>
  <c r="Z934" i="9"/>
  <c r="Z758" i="11"/>
  <c r="U723" i="11"/>
  <c r="U724" i="11" s="1"/>
  <c r="U725" i="11" s="1"/>
  <c r="AO700" i="11"/>
  <c r="AO722" i="11"/>
  <c r="AO697" i="11"/>
  <c r="AO744" i="11"/>
  <c r="AG999" i="11"/>
  <c r="R722" i="11"/>
  <c r="R723" i="11" s="1"/>
  <c r="R724" i="11" s="1"/>
  <c r="R725" i="11" s="1"/>
  <c r="R700" i="11"/>
  <c r="R697" i="11"/>
  <c r="BE259" i="11"/>
  <c r="BE992" i="11"/>
  <c r="AD742" i="11"/>
  <c r="AD628" i="11"/>
  <c r="AD168" i="11"/>
  <c r="AD644" i="11" s="1"/>
  <c r="AD645" i="11" s="1"/>
  <c r="AR255" i="11"/>
  <c r="AR266" i="11"/>
  <c r="AR267" i="11"/>
  <c r="F255" i="11"/>
  <c r="F267" i="11"/>
  <c r="F266" i="11"/>
  <c r="T938" i="9"/>
  <c r="T747" i="11" s="1"/>
  <c r="T762" i="11"/>
  <c r="AT936" i="9"/>
  <c r="AT760" i="11"/>
  <c r="BB1129" i="11"/>
  <c r="F167" i="11"/>
  <c r="R938" i="9"/>
  <c r="R747" i="11" s="1"/>
  <c r="R762" i="11"/>
  <c r="X722" i="11"/>
  <c r="X723" i="11" s="1"/>
  <c r="X724" i="11" s="1"/>
  <c r="X725" i="11" s="1"/>
  <c r="X697" i="11"/>
  <c r="X700" i="11"/>
  <c r="AZ634" i="11"/>
  <c r="AR722" i="11"/>
  <c r="AR723" i="11" s="1"/>
  <c r="AR724" i="11" s="1"/>
  <c r="AR725" i="11" s="1"/>
  <c r="AR697" i="11"/>
  <c r="AR700" i="11"/>
  <c r="BO962" i="11"/>
  <c r="AH700" i="11"/>
  <c r="AH722" i="11"/>
  <c r="AH723" i="11" s="1"/>
  <c r="AH724" i="11" s="1"/>
  <c r="AH725" i="11" s="1"/>
  <c r="AH697" i="11"/>
  <c r="BS23" i="11"/>
  <c r="BS15" i="11"/>
  <c r="BS16" i="11" s="1"/>
  <c r="BS13" i="11"/>
  <c r="AA742" i="11"/>
  <c r="AA628" i="11"/>
  <c r="AA168" i="11"/>
  <c r="AA644" i="11" s="1"/>
  <c r="AA645" i="11" s="1"/>
  <c r="AW938" i="9"/>
  <c r="AW747" i="11" s="1"/>
  <c r="AW762" i="11"/>
  <c r="J516" i="11"/>
  <c r="J513" i="11"/>
  <c r="O698" i="11"/>
  <c r="O219" i="11"/>
  <c r="O222" i="11" s="1"/>
  <c r="O887" i="11"/>
  <c r="Q999" i="11" s="1"/>
  <c r="AX255" i="11"/>
  <c r="AX266" i="11"/>
  <c r="AX267" i="11"/>
  <c r="BG255" i="11"/>
  <c r="BG267" i="11"/>
  <c r="BG266" i="11"/>
  <c r="V938" i="9"/>
  <c r="V747" i="11" s="1"/>
  <c r="V762" i="11"/>
  <c r="AW348" i="11"/>
  <c r="AW352" i="11" s="1"/>
  <c r="AV354" i="11"/>
  <c r="AV360" i="11" s="1"/>
  <c r="S722" i="11"/>
  <c r="S723" i="11" s="1"/>
  <c r="S724" i="11" s="1"/>
  <c r="S725" i="11" s="1"/>
  <c r="S700" i="11"/>
  <c r="S697" i="11"/>
  <c r="O916" i="11"/>
  <c r="AW999" i="11"/>
  <c r="AS562" i="11"/>
  <c r="AS565" i="11"/>
  <c r="AU562" i="11"/>
  <c r="AG255" i="11"/>
  <c r="AG267" i="11"/>
  <c r="AG266" i="11"/>
  <c r="BN732" i="11"/>
  <c r="BN492" i="11" s="1"/>
  <c r="BO971" i="11"/>
  <c r="BD938" i="9"/>
  <c r="BD747" i="11" s="1"/>
  <c r="BD762" i="11"/>
  <c r="T826" i="11"/>
  <c r="S827" i="11"/>
  <c r="AC637" i="11"/>
  <c r="M700" i="11"/>
  <c r="M697" i="11"/>
  <c r="M722" i="11"/>
  <c r="M723" i="11" s="1"/>
  <c r="M724" i="11" s="1"/>
  <c r="M725" i="11" s="1"/>
  <c r="T255" i="11"/>
  <c r="T267" i="11"/>
  <c r="T266" i="11"/>
  <c r="AI700" i="11"/>
  <c r="AI697" i="11"/>
  <c r="AI722" i="11"/>
  <c r="AI723" i="11" s="1"/>
  <c r="AI724" i="11" s="1"/>
  <c r="AI725" i="11" s="1"/>
  <c r="V126" i="11"/>
  <c r="BN1255" i="9"/>
  <c r="BN1115" i="11"/>
  <c r="E1129" i="11"/>
  <c r="AH1129" i="11"/>
  <c r="AA938" i="9"/>
  <c r="AA747" i="11" s="1"/>
  <c r="AA762" i="11"/>
  <c r="J742" i="11"/>
  <c r="J628" i="11"/>
  <c r="L634" i="11" s="1"/>
  <c r="J168" i="11"/>
  <c r="J644" i="11" s="1"/>
  <c r="J645" i="11" s="1"/>
  <c r="BB267" i="11"/>
  <c r="BB255" i="11"/>
  <c r="BB266" i="11"/>
  <c r="R561" i="11"/>
  <c r="R564" i="11"/>
  <c r="R558" i="11"/>
  <c r="AM938" i="9"/>
  <c r="AM747" i="11" s="1"/>
  <c r="AM762" i="11"/>
  <c r="P938" i="9"/>
  <c r="P747" i="11" s="1"/>
  <c r="P762" i="11"/>
  <c r="T88" i="11"/>
  <c r="BR38" i="11"/>
  <c r="BR39" i="11" s="1"/>
  <c r="AB558" i="11"/>
  <c r="AB561" i="11"/>
  <c r="AB564" i="11"/>
  <c r="AQ112" i="11"/>
  <c r="BJ162" i="11"/>
  <c r="P112" i="11"/>
  <c r="AL255" i="11"/>
  <c r="AL267" i="11"/>
  <c r="AL266" i="11"/>
  <c r="J998" i="11"/>
  <c r="O122" i="11"/>
  <c r="J123" i="11"/>
  <c r="BP970" i="11"/>
  <c r="N261" i="11"/>
  <c r="N269" i="11"/>
  <c r="N993" i="11"/>
  <c r="AE1129" i="11"/>
  <c r="F1129" i="11"/>
  <c r="P1129" i="11"/>
  <c r="L629" i="11"/>
  <c r="L637" i="11"/>
  <c r="AT342" i="11"/>
  <c r="AT346" i="11" s="1"/>
  <c r="AU342" i="11" s="1"/>
  <c r="AS346" i="11"/>
  <c r="AJ1000" i="11"/>
  <c r="AJ992" i="11"/>
  <c r="AJ259" i="11"/>
  <c r="AI935" i="9"/>
  <c r="AI759" i="11"/>
  <c r="BG999" i="11"/>
  <c r="AZ255" i="11"/>
  <c r="AZ267" i="11"/>
  <c r="AZ266" i="11"/>
  <c r="AP998" i="11"/>
  <c r="AP123" i="11"/>
  <c r="AP126" i="11" s="1"/>
  <c r="AU122" i="11"/>
  <c r="AJ700" i="11"/>
  <c r="AJ722" i="11"/>
  <c r="AJ697" i="11"/>
  <c r="Y79" i="11"/>
  <c r="BP445" i="11"/>
  <c r="Y934" i="9"/>
  <c r="Y758" i="11"/>
  <c r="AH938" i="9"/>
  <c r="AH747" i="11" s="1"/>
  <c r="AH762" i="11"/>
  <c r="BS32" i="11"/>
  <c r="BS29" i="11"/>
  <c r="BS26" i="11"/>
  <c r="BS38" i="11"/>
  <c r="BS39" i="11" s="1"/>
  <c r="AI934" i="9"/>
  <c r="AI758" i="11"/>
  <c r="AE936" i="9"/>
  <c r="AE760" i="11"/>
  <c r="AB267" i="11"/>
  <c r="AB255" i="11"/>
  <c r="AB266" i="11"/>
  <c r="Q629" i="11"/>
  <c r="Q637" i="11"/>
  <c r="M1129" i="11"/>
  <c r="AY361" i="11"/>
  <c r="AU259" i="11"/>
  <c r="AU992" i="11"/>
  <c r="AP112" i="11"/>
  <c r="AU112" i="11"/>
  <c r="BF255" i="11"/>
  <c r="BF267" i="11"/>
  <c r="BF266" i="11"/>
  <c r="BH255" i="11"/>
  <c r="BH266" i="11"/>
  <c r="BH267" i="11"/>
  <c r="AY947" i="11"/>
  <c r="AX948" i="11"/>
  <c r="G1002" i="11"/>
  <c r="H889" i="11"/>
  <c r="H890" i="11" s="1"/>
  <c r="BB938" i="9"/>
  <c r="BB747" i="11" s="1"/>
  <c r="BB762" i="11"/>
  <c r="AX742" i="11"/>
  <c r="AX168" i="11"/>
  <c r="AX644" i="11" s="1"/>
  <c r="AX628" i="11"/>
  <c r="AQ700" i="11"/>
  <c r="AQ722" i="11"/>
  <c r="AQ723" i="11" s="1"/>
  <c r="AQ724" i="11" s="1"/>
  <c r="AQ725" i="11" s="1"/>
  <c r="AQ697" i="11"/>
  <c r="AF722" i="11"/>
  <c r="AF723" i="11" s="1"/>
  <c r="AF724" i="11" s="1"/>
  <c r="AF725" i="11" s="1"/>
  <c r="AF697" i="11"/>
  <c r="AF700" i="11"/>
  <c r="AX697" i="11"/>
  <c r="AX700" i="11"/>
  <c r="AX722" i="11"/>
  <c r="AX723" i="11" s="1"/>
  <c r="AX724" i="11" s="1"/>
  <c r="AX725" i="11" s="1"/>
  <c r="BA126" i="11"/>
  <c r="BA634" i="11"/>
  <c r="BA637" i="11"/>
  <c r="G269" i="11"/>
  <c r="G261" i="11"/>
  <c r="G993" i="11"/>
  <c r="AS674" i="11"/>
  <c r="AQ674" i="11"/>
  <c r="AT637" i="11"/>
  <c r="AT674" i="11"/>
  <c r="AR674" i="11"/>
  <c r="AP674" i="11"/>
  <c r="X564" i="11"/>
  <c r="X561" i="11"/>
  <c r="X558" i="11"/>
  <c r="X255" i="11"/>
  <c r="X267" i="11"/>
  <c r="X266" i="11"/>
  <c r="AD935" i="9"/>
  <c r="AD759" i="11"/>
  <c r="M126" i="11"/>
  <c r="AT935" i="9"/>
  <c r="AT759" i="11"/>
  <c r="BP428" i="11"/>
  <c r="BM91" i="11"/>
  <c r="BM67" i="11"/>
  <c r="BM36" i="11"/>
  <c r="BM35" i="11"/>
  <c r="BT7" i="11"/>
  <c r="BS11" i="11"/>
  <c r="BT9" i="11"/>
  <c r="K1002" i="11"/>
  <c r="P889" i="11"/>
  <c r="P890" i="11" s="1"/>
  <c r="K897" i="11"/>
  <c r="L889" i="11"/>
  <c r="L890" i="11" s="1"/>
  <c r="Z935" i="9"/>
  <c r="Z759" i="11"/>
  <c r="AE697" i="11"/>
  <c r="AE722" i="11"/>
  <c r="AE700" i="11"/>
  <c r="X999" i="11"/>
  <c r="W564" i="11"/>
  <c r="W561" i="11"/>
  <c r="W558" i="11"/>
  <c r="T742" i="11"/>
  <c r="T628" i="11"/>
  <c r="T168" i="11"/>
  <c r="T644" i="11" s="1"/>
  <c r="T645" i="11" s="1"/>
  <c r="I255" i="11"/>
  <c r="I267" i="11"/>
  <c r="I266" i="11"/>
  <c r="AA999" i="11"/>
  <c r="AK255" i="11"/>
  <c r="AK267" i="11"/>
  <c r="AK266" i="11"/>
  <c r="Z5" i="11"/>
  <c r="V5" i="11"/>
  <c r="W5" i="11" s="1"/>
  <c r="X5" i="11" s="1"/>
  <c r="Y5" i="11" s="1"/>
  <c r="G279" i="11"/>
  <c r="G3" i="11"/>
  <c r="H4" i="11"/>
  <c r="AF126" i="11"/>
  <c r="AO255" i="11"/>
  <c r="AO267" i="11"/>
  <c r="AO266" i="11"/>
  <c r="AN209" i="11"/>
  <c r="AN217" i="11" s="1"/>
  <c r="AO1005" i="11" s="1"/>
  <c r="AA998" i="11"/>
  <c r="AA123" i="11"/>
  <c r="AA126" i="11" s="1"/>
  <c r="AF122" i="11"/>
  <c r="O998" i="11"/>
  <c r="O123" i="11"/>
  <c r="O126" i="11" s="1"/>
  <c r="T122" i="11"/>
  <c r="BH936" i="9"/>
  <c r="BH760" i="11"/>
  <c r="AA700" i="11"/>
  <c r="AA722" i="11"/>
  <c r="AA723" i="11" s="1"/>
  <c r="AA724" i="11" s="1"/>
  <c r="AA725" i="11" s="1"/>
  <c r="AA697" i="11"/>
  <c r="BP462" i="11"/>
  <c r="BI255" i="11"/>
  <c r="BI266" i="11"/>
  <c r="BI267" i="11"/>
  <c r="BQ97" i="11"/>
  <c r="P255" i="11"/>
  <c r="P267" i="11"/>
  <c r="P266" i="11"/>
  <c r="BG634" i="11"/>
  <c r="BG637" i="11"/>
  <c r="BL763" i="11"/>
  <c r="BS763" i="11"/>
  <c r="BK763" i="11"/>
  <c r="BP763" i="11"/>
  <c r="BR763" i="11"/>
  <c r="BQ763" i="11"/>
  <c r="BO763" i="11"/>
  <c r="BM763" i="11"/>
  <c r="BU763" i="11"/>
  <c r="BV763" i="11"/>
  <c r="BN763" i="11"/>
  <c r="BT763" i="11"/>
  <c r="U938" i="9"/>
  <c r="U747" i="11" s="1"/>
  <c r="U762" i="11"/>
  <c r="P700" i="11"/>
  <c r="P722" i="11"/>
  <c r="P697" i="11"/>
  <c r="BF126" i="11"/>
  <c r="AD261" i="11"/>
  <c r="AD269" i="11"/>
  <c r="AM255" i="11"/>
  <c r="AM266" i="11"/>
  <c r="AM267" i="11"/>
  <c r="K126" i="11"/>
  <c r="AK637" i="11"/>
  <c r="AK634" i="11"/>
  <c r="AD998" i="11"/>
  <c r="AI122" i="11"/>
  <c r="AD123" i="11"/>
  <c r="AD126" i="11" s="1"/>
  <c r="AN1255" i="9"/>
  <c r="AN1115" i="11"/>
  <c r="W938" i="9"/>
  <c r="W747" i="11" s="1"/>
  <c r="W762" i="11"/>
  <c r="AV697" i="11"/>
  <c r="AV722" i="11"/>
  <c r="AV723" i="11" s="1"/>
  <c r="AV724" i="11" s="1"/>
  <c r="AV725" i="11" s="1"/>
  <c r="AV700" i="11"/>
  <c r="O934" i="9"/>
  <c r="O758" i="11"/>
  <c r="L126" i="11"/>
  <c r="BN889" i="11"/>
  <c r="BJ889" i="11"/>
  <c r="BJ890" i="11" s="1"/>
  <c r="BI897" i="11"/>
  <c r="BI1002" i="11"/>
  <c r="AY742" i="11"/>
  <c r="AY628" i="11"/>
  <c r="BD674" i="11" s="1"/>
  <c r="AY168" i="11"/>
  <c r="AY644" i="11" s="1"/>
  <c r="AY743" i="11"/>
  <c r="AI999" i="11"/>
  <c r="BH700" i="11"/>
  <c r="BH722" i="11"/>
  <c r="BH723" i="11" s="1"/>
  <c r="BH724" i="11" s="1"/>
  <c r="BH725" i="11" s="1"/>
  <c r="BH697" i="11"/>
  <c r="BE1002" i="11"/>
  <c r="BF889" i="11"/>
  <c r="BF890" i="11" s="1"/>
  <c r="BE897" i="11"/>
  <c r="AG697" i="11"/>
  <c r="AG722" i="11"/>
  <c r="AG723" i="11" s="1"/>
  <c r="AG724" i="11" s="1"/>
  <c r="AG725" i="11" s="1"/>
  <c r="AG700" i="11"/>
  <c r="BP286" i="11"/>
  <c r="BC936" i="9"/>
  <c r="BC760" i="11"/>
  <c r="AX938" i="9"/>
  <c r="AX747" i="11" s="1"/>
  <c r="AX762" i="11"/>
  <c r="BN1248" i="9"/>
  <c r="BN1108" i="11"/>
  <c r="U935" i="9"/>
  <c r="U759" i="11"/>
  <c r="BI1129" i="11"/>
  <c r="AF1129" i="11"/>
  <c r="BG910" i="11"/>
  <c r="BL904" i="11"/>
  <c r="BQ904" i="11" s="1"/>
  <c r="V722" i="11"/>
  <c r="V723" i="11" s="1"/>
  <c r="V724" i="11" s="1"/>
  <c r="V725" i="11" s="1"/>
  <c r="V697" i="11"/>
  <c r="V700" i="11"/>
  <c r="AY998" i="11"/>
  <c r="BD122" i="11"/>
  <c r="AY123" i="11"/>
  <c r="AY126" i="11" s="1"/>
  <c r="BP97" i="11"/>
  <c r="BF700" i="11"/>
  <c r="BF722" i="11"/>
  <c r="BF723" i="11" s="1"/>
  <c r="BF724" i="11" s="1"/>
  <c r="BF725" i="11" s="1"/>
  <c r="BF697" i="11"/>
  <c r="AN112" i="11"/>
  <c r="S255" i="11"/>
  <c r="S266" i="11"/>
  <c r="S267" i="11"/>
  <c r="BA1000" i="11"/>
  <c r="BA259" i="11"/>
  <c r="BA992" i="11"/>
  <c r="BH935" i="9"/>
  <c r="BH759" i="11"/>
  <c r="L561" i="11"/>
  <c r="L564" i="11"/>
  <c r="L558" i="11"/>
  <c r="BT386" i="11"/>
  <c r="BC935" i="9"/>
  <c r="BC759" i="11"/>
  <c r="K255" i="11"/>
  <c r="K267" i="11"/>
  <c r="K266" i="11"/>
  <c r="BC699" i="11"/>
  <c r="BC718" i="11"/>
  <c r="BC719" i="11" s="1"/>
  <c r="BC720" i="11" s="1"/>
  <c r="BC721" i="11" s="1"/>
  <c r="AS938" i="9"/>
  <c r="AS747" i="11" s="1"/>
  <c r="AS762" i="11"/>
  <c r="AS936" i="9"/>
  <c r="AS760" i="11"/>
  <c r="AP999" i="11"/>
  <c r="O255" i="11"/>
  <c r="O267" i="11"/>
  <c r="O266" i="11"/>
  <c r="BB1001" i="11"/>
  <c r="BB989" i="11"/>
  <c r="AE255" i="11"/>
  <c r="AE266" i="11"/>
  <c r="AE267" i="11"/>
  <c r="AC700" i="11"/>
  <c r="AC697" i="11"/>
  <c r="AC722" i="11"/>
  <c r="AC723" i="11" s="1"/>
  <c r="AC724" i="11" s="1"/>
  <c r="AC725" i="11" s="1"/>
  <c r="Y71" i="11"/>
  <c r="AY255" i="11"/>
  <c r="AY267" i="11"/>
  <c r="AY266" i="11"/>
  <c r="AJ112" i="11"/>
  <c r="AO112" i="11"/>
  <c r="BO938" i="9"/>
  <c r="BO762" i="11"/>
  <c r="BN1262" i="9"/>
  <c r="BN1122" i="11"/>
  <c r="AO122" i="11"/>
  <c r="AT1129" i="11"/>
  <c r="BP39" i="11"/>
  <c r="AI742" i="11"/>
  <c r="AI168" i="11"/>
  <c r="AI644" i="11" s="1"/>
  <c r="AI628" i="11"/>
  <c r="AA674" i="11"/>
  <c r="AE637" i="11"/>
  <c r="AE674" i="11"/>
  <c r="AB674" i="11"/>
  <c r="AD674" i="11"/>
  <c r="AC674" i="11"/>
  <c r="AE629" i="11"/>
  <c r="BJ935" i="9"/>
  <c r="BJ759" i="11"/>
  <c r="P558" i="11"/>
  <c r="P564" i="11"/>
  <c r="AJ999" i="11"/>
  <c r="Y83" i="11"/>
  <c r="W999" i="11"/>
  <c r="K564" i="11"/>
  <c r="K558" i="11"/>
  <c r="Y936" i="9"/>
  <c r="Y760" i="11"/>
  <c r="BC938" i="9"/>
  <c r="BC747" i="11" s="1"/>
  <c r="BC762" i="11"/>
  <c r="AG938" i="9"/>
  <c r="AG747" i="11" s="1"/>
  <c r="AG762" i="11"/>
  <c r="AP938" i="9"/>
  <c r="AP747" i="11" s="1"/>
  <c r="AP762" i="11"/>
  <c r="AE938" i="9"/>
  <c r="AE747" i="11" s="1"/>
  <c r="AE762" i="11"/>
  <c r="BO91" i="11"/>
  <c r="BO35" i="11"/>
  <c r="BO36" i="11"/>
  <c r="BO67" i="11"/>
  <c r="BD259" i="11"/>
  <c r="BD992" i="11"/>
  <c r="BJ255" i="11"/>
  <c r="BJ266" i="11"/>
  <c r="BJ267" i="11"/>
  <c r="AF255" i="11"/>
  <c r="AF267" i="11"/>
  <c r="AF266" i="11"/>
  <c r="BE722" i="11"/>
  <c r="BE723" i="11" s="1"/>
  <c r="BE724" i="11" s="1"/>
  <c r="BE725" i="11" s="1"/>
  <c r="BE700" i="11"/>
  <c r="BE697" i="11"/>
  <c r="AJ1129" i="11"/>
  <c r="O561" i="11"/>
  <c r="O558" i="11"/>
  <c r="O564" i="11"/>
  <c r="BA348" i="11"/>
  <c r="BA352" i="11" s="1"/>
  <c r="AZ354" i="11"/>
  <c r="AZ360" i="11" s="1"/>
  <c r="AV998" i="11"/>
  <c r="BA122" i="11"/>
  <c r="AV123" i="11"/>
  <c r="AV126" i="11" s="1"/>
  <c r="AI674" i="11"/>
  <c r="AG674" i="11"/>
  <c r="AH674" i="11"/>
  <c r="AF674" i="11"/>
  <c r="AJ637" i="11"/>
  <c r="AJ674" i="11"/>
  <c r="AE935" i="9"/>
  <c r="AE759" i="11"/>
  <c r="AP742" i="11"/>
  <c r="AP628" i="11"/>
  <c r="AP168" i="11"/>
  <c r="AP644" i="11" s="1"/>
  <c r="G700" i="11"/>
  <c r="G697" i="11"/>
  <c r="G722" i="11"/>
  <c r="G723" i="11" s="1"/>
  <c r="G724" i="11" s="1"/>
  <c r="G725" i="11" s="1"/>
  <c r="Y75" i="11"/>
  <c r="BC934" i="9"/>
  <c r="BC758" i="11"/>
  <c r="AF938" i="9"/>
  <c r="AF747" i="11" s="1"/>
  <c r="AF762" i="11"/>
  <c r="AF634" i="11"/>
  <c r="BB637" i="11"/>
  <c r="BB634" i="11"/>
  <c r="R1129" i="11"/>
  <c r="AS348" i="11"/>
  <c r="AS352" i="11" s="1"/>
  <c r="AS354" i="11" s="1"/>
  <c r="AS360" i="11" s="1"/>
  <c r="AR354" i="11"/>
  <c r="AR360" i="11" s="1"/>
  <c r="BR73" i="11"/>
  <c r="AN245" i="11"/>
  <c r="AN119" i="11"/>
  <c r="AM998" i="11"/>
  <c r="AR122" i="11"/>
  <c r="AM123" i="11"/>
  <c r="O628" i="11"/>
  <c r="O742" i="11"/>
  <c r="O168" i="11"/>
  <c r="O644" i="11" s="1"/>
  <c r="O645" i="11" s="1"/>
  <c r="AB998" i="11"/>
  <c r="AB123" i="11"/>
  <c r="AG122" i="11"/>
  <c r="AB122" i="11"/>
  <c r="Q938" i="9"/>
  <c r="Q747" i="11" s="1"/>
  <c r="Q762" i="11"/>
  <c r="U934" i="9"/>
  <c r="U758" i="11"/>
  <c r="AT938" i="9"/>
  <c r="AT747" i="11" s="1"/>
  <c r="AT762" i="11"/>
  <c r="AC630" i="11"/>
  <c r="AC633" i="11"/>
  <c r="AC636" i="11"/>
  <c r="Y698" i="11"/>
  <c r="Y219" i="11"/>
  <c r="Y222" i="11" s="1"/>
  <c r="AY723" i="11"/>
  <c r="AY724" i="11" s="1"/>
  <c r="AY725" i="11" s="1"/>
  <c r="E255" i="11"/>
  <c r="E259" i="11" s="1"/>
  <c r="E267" i="11"/>
  <c r="E266" i="11"/>
  <c r="AQ122" i="11"/>
  <c r="BT420" i="11"/>
  <c r="AU361" i="11"/>
  <c r="AA122" i="11"/>
  <c r="BG965" i="11"/>
  <c r="BG967" i="11"/>
  <c r="BG978" i="11" s="1"/>
  <c r="BG987" i="11" s="1"/>
  <c r="BG989" i="11" s="1"/>
  <c r="BC698" i="11"/>
  <c r="BC219" i="11"/>
  <c r="BC222" i="11" s="1"/>
  <c r="BC887" i="11"/>
  <c r="BC999" i="11" s="1"/>
  <c r="BP411" i="11"/>
  <c r="O936" i="9"/>
  <c r="O760" i="11"/>
  <c r="AI938" i="9"/>
  <c r="AI747" i="11" s="1"/>
  <c r="AI762" i="11"/>
  <c r="BC562" i="11"/>
  <c r="BC565" i="11"/>
  <c r="BE562" i="11"/>
  <c r="BC1001" i="11"/>
  <c r="Q255" i="11"/>
  <c r="Q267" i="11"/>
  <c r="Q266" i="11"/>
  <c r="BI126" i="11"/>
  <c r="AV259" i="11"/>
  <c r="AV992" i="11"/>
  <c r="AI998" i="11"/>
  <c r="AI123" i="11"/>
  <c r="BC239" i="11"/>
  <c r="BC162" i="11" s="1"/>
  <c r="BC161" i="11"/>
  <c r="BC251" i="11"/>
  <c r="BC244" i="11"/>
  <c r="BC167" i="11" s="1"/>
  <c r="U558" i="11"/>
  <c r="U564" i="11"/>
  <c r="AE126" i="11"/>
  <c r="AL700" i="11"/>
  <c r="AL697" i="11"/>
  <c r="AL722" i="11"/>
  <c r="AL723" i="11" s="1"/>
  <c r="AL724" i="11" s="1"/>
  <c r="AL725" i="11" s="1"/>
  <c r="S938" i="9"/>
  <c r="S747" i="11" s="1"/>
  <c r="S762" i="11"/>
  <c r="AB938" i="9"/>
  <c r="AB747" i="11" s="1"/>
  <c r="AB762" i="11"/>
  <c r="BA938" i="9"/>
  <c r="BA747" i="11" s="1"/>
  <c r="BA762" i="11"/>
  <c r="AI936" i="9"/>
  <c r="AI760" i="11"/>
  <c r="AT934" i="9"/>
  <c r="AT758" i="11"/>
  <c r="AI1129" i="11"/>
  <c r="G1129" i="11"/>
  <c r="D1129" i="11"/>
  <c r="BD1129" i="11"/>
  <c r="O565" i="11"/>
  <c r="BI348" i="11"/>
  <c r="BI352" i="11" s="1"/>
  <c r="BD354" i="11"/>
  <c r="BD360" i="11" s="1"/>
  <c r="BE348" i="11"/>
  <c r="BE352" i="11" s="1"/>
  <c r="AV628" i="11"/>
  <c r="AV742" i="11"/>
  <c r="AV168" i="11"/>
  <c r="AV644" i="11" s="1"/>
  <c r="AC992" i="11"/>
  <c r="AC259" i="11"/>
  <c r="T722" i="11"/>
  <c r="T723" i="11" s="1"/>
  <c r="T724" i="11" s="1"/>
  <c r="T725" i="11" s="1"/>
  <c r="T700" i="11"/>
  <c r="T697" i="11"/>
  <c r="BI722" i="11"/>
  <c r="BI697" i="11"/>
  <c r="BI700" i="11"/>
  <c r="BI744" i="11"/>
  <c r="I558" i="11"/>
  <c r="I561" i="11"/>
  <c r="AQ999" i="11"/>
  <c r="AC999" i="11"/>
  <c r="AK700" i="11"/>
  <c r="AK722" i="11"/>
  <c r="AK723" i="11" s="1"/>
  <c r="AK724" i="11" s="1"/>
  <c r="AK725" i="11" s="1"/>
  <c r="AK697" i="11"/>
  <c r="I629" i="11"/>
  <c r="AW1001" i="11"/>
  <c r="AW989" i="11"/>
  <c r="AV1001" i="11"/>
  <c r="AX1001" i="11"/>
  <c r="AH255" i="11"/>
  <c r="AH267" i="11"/>
  <c r="AH266" i="11"/>
  <c r="Z1007" i="11"/>
  <c r="Z1000" i="11"/>
  <c r="Z992" i="11"/>
  <c r="Z259" i="11"/>
  <c r="K674" i="11"/>
  <c r="J674" i="11"/>
  <c r="I674" i="11"/>
  <c r="H674" i="11"/>
  <c r="K629" i="11"/>
  <c r="G674" i="11"/>
  <c r="K637" i="11"/>
  <c r="O79" i="11"/>
  <c r="R999" i="11"/>
  <c r="J37" i="4"/>
  <c r="Q809" i="9"/>
  <c r="Q801" i="9"/>
  <c r="N381" i="9"/>
  <c r="AR1166" i="9"/>
  <c r="AM1167" i="9"/>
  <c r="AH779" i="9"/>
  <c r="AH784" i="9" s="1"/>
  <c r="E769" i="9"/>
  <c r="E919" i="9" s="1"/>
  <c r="E779" i="9"/>
  <c r="V769" i="9"/>
  <c r="V919" i="9" s="1"/>
  <c r="AO350" i="9"/>
  <c r="BI769" i="9"/>
  <c r="BI636" i="9" s="1"/>
  <c r="V350" i="9"/>
  <c r="Q1170" i="9"/>
  <c r="BI1166" i="9"/>
  <c r="BD369" i="9"/>
  <c r="U769" i="9"/>
  <c r="U919" i="9" s="1"/>
  <c r="AD1170" i="9"/>
  <c r="J1170" i="9"/>
  <c r="AY370" i="9"/>
  <c r="AY46" i="9" s="1"/>
  <c r="AY44" i="9"/>
  <c r="AQ1159" i="9"/>
  <c r="AQ809" i="9"/>
  <c r="AQ801" i="9"/>
  <c r="U1166" i="9"/>
  <c r="BA350" i="9"/>
  <c r="AA353" i="9"/>
  <c r="AA366" i="9" s="1"/>
  <c r="AZ350" i="9"/>
  <c r="AH769" i="9"/>
  <c r="AH636" i="9" s="1"/>
  <c r="U630" i="9"/>
  <c r="V630" i="9"/>
  <c r="AE350" i="9"/>
  <c r="AA379" i="9"/>
  <c r="L366" i="9"/>
  <c r="L1166" i="9" s="1"/>
  <c r="L379" i="9"/>
  <c r="AU1166" i="9"/>
  <c r="AY381" i="9"/>
  <c r="AY384" i="9" s="1"/>
  <c r="R1168" i="9"/>
  <c r="AA327" i="9"/>
  <c r="AA39" i="9"/>
  <c r="T1170" i="9"/>
  <c r="AL1168" i="9"/>
  <c r="BC1168" i="9"/>
  <c r="AW1168" i="9"/>
  <c r="G1168" i="9"/>
  <c r="V1168" i="9"/>
  <c r="BH876" i="9"/>
  <c r="BH893" i="9"/>
  <c r="BH894" i="9" s="1"/>
  <c r="BH895" i="9" s="1"/>
  <c r="BH896" i="9" s="1"/>
  <c r="BH897" i="9"/>
  <c r="BH898" i="9" s="1"/>
  <c r="BH899" i="9" s="1"/>
  <c r="BH900" i="9" s="1"/>
  <c r="BH874" i="9"/>
  <c r="BH877" i="9"/>
  <c r="AZ327" i="9"/>
  <c r="AZ41" i="9" s="1"/>
  <c r="AZ39" i="9"/>
  <c r="K1180" i="9"/>
  <c r="AI1168" i="9"/>
  <c r="AF1168" i="9"/>
  <c r="G327" i="9"/>
  <c r="G41" i="9" s="1"/>
  <c r="G39" i="9"/>
  <c r="L326" i="9"/>
  <c r="BI1180" i="9"/>
  <c r="AS470" i="9"/>
  <c r="AS475" i="9"/>
  <c r="AS477" i="9" s="1"/>
  <c r="AZ379" i="9"/>
  <c r="AZ366" i="9"/>
  <c r="AZ369" i="9" s="1"/>
  <c r="P350" i="9"/>
  <c r="AA325" i="9"/>
  <c r="Y1168" i="9"/>
  <c r="AA326" i="9"/>
  <c r="AQ1168" i="9"/>
  <c r="AP398" i="9"/>
  <c r="AP399" i="9" s="1"/>
  <c r="G379" i="9"/>
  <c r="G366" i="9"/>
  <c r="L368" i="9" s="1"/>
  <c r="BE1159" i="9"/>
  <c r="BE809" i="9"/>
  <c r="BE801" i="9"/>
  <c r="BE326" i="9"/>
  <c r="M1168" i="9"/>
  <c r="C1269" i="9"/>
  <c r="C938" i="9" s="1"/>
  <c r="D1164" i="9"/>
  <c r="D7" i="9"/>
  <c r="D9" i="9" s="1"/>
  <c r="N784" i="9"/>
  <c r="AR833" i="9"/>
  <c r="AR925" i="9" s="1"/>
  <c r="AR926" i="9" s="1"/>
  <c r="AR831" i="9"/>
  <c r="AV801" i="9"/>
  <c r="AV809" i="9"/>
  <c r="AV1170" i="9"/>
  <c r="AV1159" i="9"/>
  <c r="AU1170" i="9"/>
  <c r="Y379" i="9"/>
  <c r="Y366" i="9"/>
  <c r="Y1166" i="9" s="1"/>
  <c r="AG1170" i="9"/>
  <c r="AG1159" i="9"/>
  <c r="AG809" i="9"/>
  <c r="AG801" i="9"/>
  <c r="AG1160" i="9"/>
  <c r="U1168" i="9"/>
  <c r="Z1168" i="9"/>
  <c r="G779" i="9"/>
  <c r="G769" i="9"/>
  <c r="G630" i="9"/>
  <c r="AO379" i="9"/>
  <c r="AO366" i="9"/>
  <c r="AO1166" i="9" s="1"/>
  <c r="BJ833" i="9"/>
  <c r="BJ925" i="9" s="1"/>
  <c r="BJ926" i="9" s="1"/>
  <c r="BJ831" i="9"/>
  <c r="U877" i="9"/>
  <c r="U930" i="9" s="1"/>
  <c r="U874" i="9"/>
  <c r="U897" i="9"/>
  <c r="H784" i="9"/>
  <c r="AG919" i="9"/>
  <c r="AG636" i="9"/>
  <c r="BA897" i="9"/>
  <c r="BA898" i="9" s="1"/>
  <c r="BA899" i="9" s="1"/>
  <c r="BA900" i="9" s="1"/>
  <c r="BA874" i="9"/>
  <c r="BA877" i="9"/>
  <c r="BI784" i="9"/>
  <c r="AS875" i="9"/>
  <c r="AS1057" i="9"/>
  <c r="AT1177" i="9"/>
  <c r="AT795" i="9"/>
  <c r="D68" i="9"/>
  <c r="D69" i="9"/>
  <c r="D82" i="9" s="1"/>
  <c r="H919" i="9"/>
  <c r="H636" i="9"/>
  <c r="BO255" i="9"/>
  <c r="BO444" i="9"/>
  <c r="BP253" i="9"/>
  <c r="AM46" i="9"/>
  <c r="BH786" i="9"/>
  <c r="BH795" i="9" s="1"/>
  <c r="BG1170" i="9" s="1"/>
  <c r="BH807" i="9"/>
  <c r="BH806" i="9"/>
  <c r="AW630" i="9"/>
  <c r="AW779" i="9"/>
  <c r="AW769" i="9"/>
  <c r="BD784" i="9"/>
  <c r="AX801" i="9"/>
  <c r="AX809" i="9"/>
  <c r="AX1159" i="9"/>
  <c r="BH352" i="9"/>
  <c r="BH353" i="9" s="1"/>
  <c r="BH323" i="9"/>
  <c r="F1170" i="9"/>
  <c r="E801" i="9"/>
  <c r="E1159" i="9"/>
  <c r="E1170" i="9"/>
  <c r="E809" i="9"/>
  <c r="E1160" i="9"/>
  <c r="K118" i="9"/>
  <c r="G110" i="9"/>
  <c r="G113" i="9" s="1"/>
  <c r="F132" i="9"/>
  <c r="K110" i="9"/>
  <c r="F267" i="9"/>
  <c r="F115" i="9"/>
  <c r="F116" i="9"/>
  <c r="F39" i="9"/>
  <c r="K326" i="9"/>
  <c r="F325" i="9"/>
  <c r="F327" i="9"/>
  <c r="BR1146" i="9"/>
  <c r="BG769" i="9"/>
  <c r="BG779" i="9"/>
  <c r="BG630" i="9"/>
  <c r="M327" i="9"/>
  <c r="R326" i="9"/>
  <c r="M325" i="9"/>
  <c r="M39" i="9"/>
  <c r="BP28" i="9"/>
  <c r="AP784" i="9"/>
  <c r="R830" i="9"/>
  <c r="R810" i="9"/>
  <c r="R729" i="9" s="1"/>
  <c r="R746" i="9" s="1"/>
  <c r="H830" i="9"/>
  <c r="H810" i="9"/>
  <c r="H729" i="9" s="1"/>
  <c r="H746" i="9" s="1"/>
  <c r="AK366" i="9"/>
  <c r="AP368" i="9" s="1"/>
  <c r="AK379" i="9"/>
  <c r="Z325" i="9"/>
  <c r="Z327" i="9"/>
  <c r="Z39" i="9"/>
  <c r="AE326" i="9"/>
  <c r="AH41" i="9"/>
  <c r="AH42" i="9" s="1"/>
  <c r="AH330" i="9"/>
  <c r="AH329" i="9" s="1"/>
  <c r="H270" i="9"/>
  <c r="I245" i="9"/>
  <c r="I248" i="9" s="1"/>
  <c r="H249" i="9"/>
  <c r="H251" i="9"/>
  <c r="H259" i="9"/>
  <c r="M1170" i="9"/>
  <c r="M801" i="9"/>
  <c r="M809" i="9"/>
  <c r="M1159" i="9"/>
  <c r="M1160" i="9"/>
  <c r="I366" i="9"/>
  <c r="I379" i="9"/>
  <c r="O809" i="9"/>
  <c r="O801" i="9"/>
  <c r="O1170" i="9"/>
  <c r="O1159" i="9"/>
  <c r="BN242" i="9"/>
  <c r="BN241" i="9" s="1"/>
  <c r="BS240" i="9"/>
  <c r="BS279" i="9" s="1"/>
  <c r="BS24" i="9" s="1"/>
  <c r="F379" i="9"/>
  <c r="F366" i="9"/>
  <c r="F1166" i="9" s="1"/>
  <c r="AL325" i="9"/>
  <c r="AQ326" i="9"/>
  <c r="AL327" i="9"/>
  <c r="AL39" i="9"/>
  <c r="E898" i="9"/>
  <c r="E899" i="9" s="1"/>
  <c r="E900" i="9" s="1"/>
  <c r="P1177" i="9"/>
  <c r="P795" i="9"/>
  <c r="BB830" i="9"/>
  <c r="BB810" i="9"/>
  <c r="BB729" i="9" s="1"/>
  <c r="BB746" i="9" s="1"/>
  <c r="AQ325" i="9"/>
  <c r="AI470" i="9"/>
  <c r="AI475" i="9"/>
  <c r="AI477" i="9" s="1"/>
  <c r="AN470" i="9"/>
  <c r="AP919" i="9"/>
  <c r="AP636" i="9"/>
  <c r="AV1168" i="9"/>
  <c r="AF874" i="9"/>
  <c r="AF877" i="9"/>
  <c r="AF897" i="9"/>
  <c r="AF898" i="9" s="1"/>
  <c r="AF899" i="9" s="1"/>
  <c r="AF900" i="9" s="1"/>
  <c r="L784" i="9"/>
  <c r="AJ636" i="9"/>
  <c r="AJ919" i="9"/>
  <c r="V1170" i="9"/>
  <c r="V809" i="9"/>
  <c r="V801" i="9"/>
  <c r="V1159" i="9"/>
  <c r="AA1170" i="9"/>
  <c r="J366" i="9"/>
  <c r="O368" i="9" s="1"/>
  <c r="J379" i="9"/>
  <c r="AL326" i="9"/>
  <c r="F809" i="9"/>
  <c r="F801" i="9"/>
  <c r="F1159" i="9"/>
  <c r="F1160" i="9"/>
  <c r="I327" i="9"/>
  <c r="I39" i="9"/>
  <c r="N326" i="9"/>
  <c r="N325" i="9"/>
  <c r="AP44" i="9"/>
  <c r="AU369" i="9"/>
  <c r="AP381" i="9"/>
  <c r="AP1167" i="9" s="1"/>
  <c r="AP370" i="9"/>
  <c r="AM330" i="9"/>
  <c r="AM329" i="9" s="1"/>
  <c r="BQ905" i="9"/>
  <c r="BP1138" i="9"/>
  <c r="AI807" i="9"/>
  <c r="AI786" i="9"/>
  <c r="AI795" i="9" s="1"/>
  <c r="AK1170" i="9" s="1"/>
  <c r="BQ28" i="9"/>
  <c r="AL366" i="9"/>
  <c r="AQ368" i="9" s="1"/>
  <c r="AL379" i="9"/>
  <c r="AS379" i="9"/>
  <c r="AS366" i="9"/>
  <c r="AS1166" i="9" s="1"/>
  <c r="AD897" i="9"/>
  <c r="AD898" i="9" s="1"/>
  <c r="AD899" i="9" s="1"/>
  <c r="AD900" i="9" s="1"/>
  <c r="AD877" i="9"/>
  <c r="AD874" i="9"/>
  <c r="AU330" i="9"/>
  <c r="AU329" i="9" s="1"/>
  <c r="AU41" i="9"/>
  <c r="AE1177" i="9"/>
  <c r="AE795" i="9"/>
  <c r="BC769" i="9"/>
  <c r="BC630" i="9"/>
  <c r="BC779" i="9"/>
  <c r="R1170" i="9"/>
  <c r="AP1168" i="9"/>
  <c r="W1170" i="9"/>
  <c r="W801" i="9"/>
  <c r="W809" i="9"/>
  <c r="W1159" i="9"/>
  <c r="AW1166" i="9"/>
  <c r="BC475" i="9"/>
  <c r="BC477" i="9" s="1"/>
  <c r="BC470" i="9"/>
  <c r="I1000" i="9"/>
  <c r="H1001" i="9"/>
  <c r="BF1170" i="9"/>
  <c r="BF801" i="9"/>
  <c r="BF1159" i="9"/>
  <c r="BF809" i="9"/>
  <c r="BF1160" i="9"/>
  <c r="J327" i="9"/>
  <c r="J41" i="9" s="1"/>
  <c r="J39" i="9"/>
  <c r="O326" i="9"/>
  <c r="AG41" i="9"/>
  <c r="AG330" i="9"/>
  <c r="AG329" i="9" s="1"/>
  <c r="BI898" i="9"/>
  <c r="BI899" i="9" s="1"/>
  <c r="BI900" i="9" s="1"/>
  <c r="BS239" i="9"/>
  <c r="BS23" i="9"/>
  <c r="BS25" i="9" s="1"/>
  <c r="BB370" i="9"/>
  <c r="BB381" i="9"/>
  <c r="BB368" i="9"/>
  <c r="BB44" i="9"/>
  <c r="AT350" i="9"/>
  <c r="C919" i="9"/>
  <c r="C636" i="9"/>
  <c r="AA831" i="9"/>
  <c r="AA833" i="9"/>
  <c r="AA925" i="9" s="1"/>
  <c r="AA926" i="9" s="1"/>
  <c r="C784" i="9"/>
  <c r="BH763" i="9"/>
  <c r="BH625" i="9"/>
  <c r="E77" i="9"/>
  <c r="F72" i="9"/>
  <c r="E75" i="9"/>
  <c r="E379" i="9"/>
  <c r="E366" i="9"/>
  <c r="T330" i="9"/>
  <c r="T329" i="9" s="1"/>
  <c r="T41" i="9"/>
  <c r="AB1170" i="9"/>
  <c r="AB809" i="9"/>
  <c r="AB801" i="9"/>
  <c r="AB1159" i="9"/>
  <c r="AB1160" i="9"/>
  <c r="K54" i="9"/>
  <c r="G54" i="9"/>
  <c r="G57" i="9" s="1"/>
  <c r="F76" i="9"/>
  <c r="K62" i="9"/>
  <c r="F59" i="9"/>
  <c r="F266" i="9"/>
  <c r="F60" i="9"/>
  <c r="I830" i="9"/>
  <c r="I810" i="9"/>
  <c r="I729" i="9" s="1"/>
  <c r="I746" i="9" s="1"/>
  <c r="AL877" i="9"/>
  <c r="AL897" i="9"/>
  <c r="AL898" i="9" s="1"/>
  <c r="AL899" i="9" s="1"/>
  <c r="AL900" i="9" s="1"/>
  <c r="AL874" i="9"/>
  <c r="AY795" i="9"/>
  <c r="AX1170" i="9" s="1"/>
  <c r="AY1177" i="9"/>
  <c r="G260" i="9"/>
  <c r="H257" i="9"/>
  <c r="G258" i="9"/>
  <c r="J830" i="9"/>
  <c r="J810" i="9"/>
  <c r="J729" i="9" s="1"/>
  <c r="J746" i="9" s="1"/>
  <c r="BD636" i="9"/>
  <c r="BD919" i="9"/>
  <c r="BD920" i="9"/>
  <c r="AU630" i="9"/>
  <c r="AU769" i="9"/>
  <c r="AU779" i="9"/>
  <c r="X1159" i="9"/>
  <c r="X801" i="9"/>
  <c r="X1170" i="9"/>
  <c r="X809" i="9"/>
  <c r="AR369" i="9"/>
  <c r="D107" i="9"/>
  <c r="D98" i="9"/>
  <c r="BG809" i="9"/>
  <c r="BG801" i="9"/>
  <c r="BG1159" i="9"/>
  <c r="AY784" i="9"/>
  <c r="W326" i="9"/>
  <c r="R39" i="9"/>
  <c r="R327" i="9"/>
  <c r="W330" i="9" s="1"/>
  <c r="W329" i="9" s="1"/>
  <c r="R325" i="9"/>
  <c r="E131" i="9"/>
  <c r="F128" i="9"/>
  <c r="E133" i="9"/>
  <c r="AP41" i="9"/>
  <c r="AX784" i="9"/>
  <c r="I625" i="9"/>
  <c r="I763" i="9"/>
  <c r="AY636" i="9"/>
  <c r="AY919" i="9"/>
  <c r="AY920" i="9"/>
  <c r="W370" i="9"/>
  <c r="AB369" i="9"/>
  <c r="W381" i="9"/>
  <c r="W44" i="9"/>
  <c r="BJ369" i="9"/>
  <c r="BE381" i="9"/>
  <c r="BE44" i="9"/>
  <c r="BE370" i="9"/>
  <c r="AP874" i="9"/>
  <c r="AP897" i="9"/>
  <c r="AP898" i="9" s="1"/>
  <c r="AP899" i="9" s="1"/>
  <c r="AP900" i="9" s="1"/>
  <c r="AP877" i="9"/>
  <c r="AY350" i="9"/>
  <c r="BD350" i="9"/>
  <c r="S625" i="9"/>
  <c r="S763" i="9"/>
  <c r="AX366" i="9"/>
  <c r="AX379" i="9"/>
  <c r="T784" i="9"/>
  <c r="P898" i="9"/>
  <c r="P899" i="9" s="1"/>
  <c r="P900" i="9" s="1"/>
  <c r="AC1170" i="9"/>
  <c r="AC1159" i="9"/>
  <c r="AC801" i="9"/>
  <c r="AC809" i="9"/>
  <c r="AC1160" i="9"/>
  <c r="BF1168" i="9"/>
  <c r="V1160" i="9"/>
  <c r="AI326" i="9"/>
  <c r="AD39" i="9"/>
  <c r="AD325" i="9"/>
  <c r="AD327" i="9"/>
  <c r="BJ630" i="9"/>
  <c r="BJ779" i="9"/>
  <c r="BJ769" i="9"/>
  <c r="L874" i="9"/>
  <c r="L897" i="9"/>
  <c r="L898" i="9" s="1"/>
  <c r="L899" i="9" s="1"/>
  <c r="L900" i="9" s="1"/>
  <c r="L877" i="9"/>
  <c r="U370" i="9"/>
  <c r="U381" i="9"/>
  <c r="U1167" i="9" s="1"/>
  <c r="U44" i="9"/>
  <c r="AK874" i="9"/>
  <c r="AK877" i="9"/>
  <c r="AK897" i="9"/>
  <c r="AK898" i="9" s="1"/>
  <c r="AK899" i="9" s="1"/>
  <c r="AK900" i="9" s="1"/>
  <c r="F174" i="9"/>
  <c r="E172" i="9"/>
  <c r="E171" i="9"/>
  <c r="E188" i="9"/>
  <c r="F166" i="9"/>
  <c r="F169" i="9" s="1"/>
  <c r="E268" i="9"/>
  <c r="E272" i="9" s="1"/>
  <c r="K898" i="9"/>
  <c r="K899" i="9" s="1"/>
  <c r="K900" i="9" s="1"/>
  <c r="BF366" i="9"/>
  <c r="BF369" i="9" s="1"/>
  <c r="BF379" i="9"/>
  <c r="AJ350" i="9"/>
  <c r="AD1168" i="9"/>
  <c r="AC1168" i="9"/>
  <c r="AE325" i="9"/>
  <c r="AE39" i="9"/>
  <c r="AE327" i="9"/>
  <c r="AJ326" i="9"/>
  <c r="BF350" i="9"/>
  <c r="BK349" i="9"/>
  <c r="AZ795" i="9"/>
  <c r="AG368" i="9"/>
  <c r="AG370" i="9"/>
  <c r="AG381" i="9"/>
  <c r="AG1167" i="9" s="1"/>
  <c r="AG44" i="9"/>
  <c r="AS809" i="9"/>
  <c r="AS801" i="9"/>
  <c r="AS1159" i="9"/>
  <c r="AS1160" i="9"/>
  <c r="BP310" i="9"/>
  <c r="BO312" i="9"/>
  <c r="AA877" i="9"/>
  <c r="AA897" i="9"/>
  <c r="AA898" i="9" s="1"/>
  <c r="AA899" i="9" s="1"/>
  <c r="AA900" i="9" s="1"/>
  <c r="AA874" i="9"/>
  <c r="AH368" i="9"/>
  <c r="AH381" i="9"/>
  <c r="AH370" i="9"/>
  <c r="AM371" i="9" s="1"/>
  <c r="AM369" i="9"/>
  <c r="AH44" i="9"/>
  <c r="AH369" i="9"/>
  <c r="D405" i="9"/>
  <c r="D406" i="9"/>
  <c r="AM919" i="9"/>
  <c r="AM636" i="9"/>
  <c r="J1057" i="9"/>
  <c r="S330" i="9"/>
  <c r="S329" i="9" s="1"/>
  <c r="S41" i="9"/>
  <c r="S42" i="9" s="1"/>
  <c r="C898" i="9"/>
  <c r="C899" i="9" s="1"/>
  <c r="C900" i="9" s="1"/>
  <c r="C931" i="9"/>
  <c r="C932" i="9"/>
  <c r="N46" i="9"/>
  <c r="AR368" i="9"/>
  <c r="AR370" i="9"/>
  <c r="AR381" i="9"/>
  <c r="AW382" i="9" s="1"/>
  <c r="AR44" i="9"/>
  <c r="AW369" i="9"/>
  <c r="AT898" i="9"/>
  <c r="AT899" i="9" s="1"/>
  <c r="AT900" i="9" s="1"/>
  <c r="R630" i="9"/>
  <c r="R769" i="9"/>
  <c r="R779" i="9"/>
  <c r="AU833" i="9"/>
  <c r="AU925" i="9" s="1"/>
  <c r="AU926" i="9" s="1"/>
  <c r="AU831" i="9"/>
  <c r="V877" i="9"/>
  <c r="V897" i="9"/>
  <c r="V898" i="9" s="1"/>
  <c r="V899" i="9" s="1"/>
  <c r="V900" i="9" s="1"/>
  <c r="V874" i="9"/>
  <c r="BC710" i="9"/>
  <c r="BC727" i="9" s="1"/>
  <c r="BC650" i="9"/>
  <c r="AS876" i="9"/>
  <c r="AS893" i="9"/>
  <c r="AS894" i="9" s="1"/>
  <c r="AS895" i="9" s="1"/>
  <c r="AS896" i="9" s="1"/>
  <c r="BI369" i="9"/>
  <c r="BD368" i="9"/>
  <c r="BD381" i="9"/>
  <c r="BD44" i="9"/>
  <c r="BD370" i="9"/>
  <c r="K325" i="9"/>
  <c r="K39" i="9"/>
  <c r="P326" i="9"/>
  <c r="K327" i="9"/>
  <c r="W350" i="9"/>
  <c r="BH710" i="9"/>
  <c r="BH727" i="9" s="1"/>
  <c r="BH650" i="9"/>
  <c r="AW1170" i="9"/>
  <c r="AW801" i="9"/>
  <c r="AW809" i="9"/>
  <c r="AW1159" i="9"/>
  <c r="AW1160" i="9"/>
  <c r="AL1170" i="9"/>
  <c r="AL801" i="9"/>
  <c r="AL809" i="9"/>
  <c r="AL1159" i="9"/>
  <c r="AQ1170" i="9"/>
  <c r="AL1160" i="9"/>
  <c r="AQ41" i="9"/>
  <c r="AQ381" i="9"/>
  <c r="AQ1167" i="9" s="1"/>
  <c r="AQ370" i="9"/>
  <c r="AQ44" i="9"/>
  <c r="AX39" i="9"/>
  <c r="AX327" i="9"/>
  <c r="AX325" i="9"/>
  <c r="L809" i="9"/>
  <c r="L801" i="9"/>
  <c r="L1170" i="9"/>
  <c r="L1159" i="9"/>
  <c r="L1160" i="9"/>
  <c r="AT1180" i="9"/>
  <c r="BL349" i="9"/>
  <c r="BG350" i="9"/>
  <c r="U41" i="9"/>
  <c r="AN874" i="9"/>
  <c r="AN897" i="9"/>
  <c r="AN898" i="9" s="1"/>
  <c r="AN899" i="9" s="1"/>
  <c r="AN900" i="9" s="1"/>
  <c r="AN877" i="9"/>
  <c r="AA784" i="9"/>
  <c r="AZ874" i="9"/>
  <c r="AZ877" i="9"/>
  <c r="AZ897" i="9"/>
  <c r="AZ898" i="9" s="1"/>
  <c r="AZ899" i="9" s="1"/>
  <c r="AZ900" i="9" s="1"/>
  <c r="BN312" i="9"/>
  <c r="BC786" i="9"/>
  <c r="BC795" i="9" s="1"/>
  <c r="BC1160" i="9" s="1"/>
  <c r="BC807" i="9"/>
  <c r="BC806" i="9"/>
  <c r="K350" i="9"/>
  <c r="X366" i="9"/>
  <c r="X369" i="9" s="1"/>
  <c r="X379" i="9"/>
  <c r="AD366" i="9"/>
  <c r="AD379" i="9"/>
  <c r="AU877" i="9"/>
  <c r="AU874" i="9"/>
  <c r="AU897" i="9"/>
  <c r="AU898" i="9" s="1"/>
  <c r="AU899" i="9" s="1"/>
  <c r="AU900" i="9" s="1"/>
  <c r="C929" i="9"/>
  <c r="M769" i="9"/>
  <c r="M630" i="9"/>
  <c r="M779" i="9"/>
  <c r="BH1168" i="9"/>
  <c r="V44" i="9"/>
  <c r="V370" i="9"/>
  <c r="V381" i="9"/>
  <c r="D125" i="9"/>
  <c r="D138" i="9" s="1"/>
  <c r="D124" i="9"/>
  <c r="BF327" i="9"/>
  <c r="BF39" i="9"/>
  <c r="BF325" i="9"/>
  <c r="AA1168" i="9"/>
  <c r="AV379" i="9"/>
  <c r="AV366" i="9"/>
  <c r="AV369" i="9" s="1"/>
  <c r="BG1168" i="9"/>
  <c r="AE1180" i="9"/>
  <c r="Y1170" i="9"/>
  <c r="Y801" i="9"/>
  <c r="Y809" i="9"/>
  <c r="Y1159" i="9"/>
  <c r="AH1166" i="9"/>
  <c r="AM784" i="9"/>
  <c r="BR27" i="9"/>
  <c r="BR28" i="9" s="1"/>
  <c r="BS290" i="9"/>
  <c r="Z779" i="9"/>
  <c r="Z769" i="9"/>
  <c r="Z630" i="9"/>
  <c r="W784" i="9"/>
  <c r="U784" i="9"/>
  <c r="AV1160" i="9"/>
  <c r="AT379" i="9"/>
  <c r="AT366" i="9"/>
  <c r="BM1162" i="9"/>
  <c r="BM904" i="9"/>
  <c r="BM1132" i="9" s="1"/>
  <c r="BN1132" i="9" s="1"/>
  <c r="BA919" i="9"/>
  <c r="BA636" i="9"/>
  <c r="D415" i="9"/>
  <c r="C416" i="9"/>
  <c r="AP831" i="9"/>
  <c r="AP833" i="9"/>
  <c r="AP925" i="9" s="1"/>
  <c r="AP926" i="9" s="1"/>
  <c r="P366" i="9"/>
  <c r="P1166" i="9" s="1"/>
  <c r="P379" i="9"/>
  <c r="N384" i="9"/>
  <c r="Y327" i="9"/>
  <c r="AD326" i="9"/>
  <c r="Y39" i="9"/>
  <c r="Y325" i="9"/>
  <c r="W1168" i="9"/>
  <c r="T1168" i="9"/>
  <c r="Q810" i="9"/>
  <c r="Q729" i="9" s="1"/>
  <c r="Q746" i="9" s="1"/>
  <c r="Q830" i="9"/>
  <c r="O41" i="9"/>
  <c r="AO898" i="9"/>
  <c r="AO899" i="9" s="1"/>
  <c r="AO900" i="9" s="1"/>
  <c r="AO325" i="9"/>
  <c r="AT326" i="9"/>
  <c r="AO39" i="9"/>
  <c r="AO327" i="9"/>
  <c r="BA41" i="9"/>
  <c r="AK630" i="9"/>
  <c r="AK779" i="9"/>
  <c r="AK769" i="9"/>
  <c r="AF625" i="9"/>
  <c r="AF763" i="9"/>
  <c r="AB769" i="9"/>
  <c r="AB779" i="9"/>
  <c r="AB630" i="9"/>
  <c r="AQ897" i="9"/>
  <c r="AQ898" i="9" s="1"/>
  <c r="AQ899" i="9" s="1"/>
  <c r="AQ900" i="9" s="1"/>
  <c r="AQ877" i="9"/>
  <c r="AQ874" i="9"/>
  <c r="AF379" i="9"/>
  <c r="AF366" i="9"/>
  <c r="S810" i="9"/>
  <c r="S729" i="9" s="1"/>
  <c r="S746" i="9" s="1"/>
  <c r="S830" i="9"/>
  <c r="BP1271" i="9"/>
  <c r="BP1246" i="9"/>
  <c r="BQ4" i="9"/>
  <c r="BP1272" i="9"/>
  <c r="BP1273" i="9"/>
  <c r="BP1276" i="9"/>
  <c r="AR1168" i="9"/>
  <c r="Y779" i="9"/>
  <c r="Y630" i="9"/>
  <c r="Y769" i="9"/>
  <c r="BK766" i="9"/>
  <c r="BK1097" i="9"/>
  <c r="BK1117" i="9"/>
  <c r="AR330" i="9"/>
  <c r="AR329" i="9" s="1"/>
  <c r="AR41" i="9"/>
  <c r="AW330" i="9"/>
  <c r="AW329" i="9" s="1"/>
  <c r="AK801" i="9"/>
  <c r="AK809" i="9"/>
  <c r="AK1159" i="9"/>
  <c r="AK1160" i="9"/>
  <c r="BE779" i="9"/>
  <c r="BE769" i="9"/>
  <c r="BE630" i="9"/>
  <c r="C1167" i="9"/>
  <c r="R366" i="9"/>
  <c r="W368" i="9" s="1"/>
  <c r="R379" i="9"/>
  <c r="G897" i="9"/>
  <c r="G898" i="9" s="1"/>
  <c r="G899" i="9" s="1"/>
  <c r="G900" i="9" s="1"/>
  <c r="G877" i="9"/>
  <c r="G874" i="9"/>
  <c r="AL436" i="9"/>
  <c r="AQ436" i="9"/>
  <c r="K1177" i="9"/>
  <c r="K795" i="9"/>
  <c r="BH308" i="9"/>
  <c r="BH307" i="9"/>
  <c r="BH349" i="9"/>
  <c r="BM912" i="9"/>
  <c r="BM910" i="9" s="1"/>
  <c r="G1170" i="9"/>
  <c r="G801" i="9"/>
  <c r="G809" i="9"/>
  <c r="G1159" i="9"/>
  <c r="G1160" i="9"/>
  <c r="D325" i="9"/>
  <c r="D39" i="9"/>
  <c r="D327" i="9"/>
  <c r="E326" i="9"/>
  <c r="D326" i="9"/>
  <c r="AV784" i="9"/>
  <c r="AD624" i="9"/>
  <c r="AD756" i="9"/>
  <c r="BK910" i="9"/>
  <c r="BI41" i="9"/>
  <c r="BI330" i="9"/>
  <c r="BI329" i="9" s="1"/>
  <c r="D1059" i="9"/>
  <c r="D1060" i="9" s="1"/>
  <c r="C1065" i="9"/>
  <c r="C1172" i="9"/>
  <c r="L919" i="9"/>
  <c r="L636" i="9"/>
  <c r="AJ784" i="9"/>
  <c r="AQ784" i="9"/>
  <c r="D1170" i="9"/>
  <c r="D801" i="9"/>
  <c r="D809" i="9"/>
  <c r="D1159" i="9"/>
  <c r="D1160" i="9"/>
  <c r="H1168" i="9"/>
  <c r="AS39" i="9"/>
  <c r="AX326" i="9"/>
  <c r="AS325" i="9"/>
  <c r="AS327" i="9"/>
  <c r="AI779" i="9"/>
  <c r="AI769" i="9"/>
  <c r="AI630" i="9"/>
  <c r="AN630" i="9"/>
  <c r="AN779" i="9"/>
  <c r="AN769" i="9"/>
  <c r="AF1170" i="9"/>
  <c r="AF809" i="9"/>
  <c r="AF801" i="9"/>
  <c r="AF1160" i="9"/>
  <c r="AF1159" i="9"/>
  <c r="X1168" i="9"/>
  <c r="D898" i="9"/>
  <c r="D899" i="9" s="1"/>
  <c r="D900" i="9" s="1"/>
  <c r="F222" i="9"/>
  <c r="F225" i="9" s="1"/>
  <c r="E269" i="9"/>
  <c r="E236" i="9"/>
  <c r="E227" i="9"/>
  <c r="E228" i="9"/>
  <c r="AW384" i="9"/>
  <c r="O625" i="9"/>
  <c r="O763" i="9"/>
  <c r="AC625" i="9"/>
  <c r="AC763" i="9"/>
  <c r="AI352" i="9"/>
  <c r="AI353" i="9" s="1"/>
  <c r="AI323" i="9"/>
  <c r="BC877" i="9"/>
  <c r="BC897" i="9"/>
  <c r="BC898" i="9" s="1"/>
  <c r="BC899" i="9" s="1"/>
  <c r="BC900" i="9" s="1"/>
  <c r="BC874" i="9"/>
  <c r="AO1170" i="9"/>
  <c r="AO809" i="9"/>
  <c r="AO801" i="9"/>
  <c r="AO810" i="9" s="1"/>
  <c r="AO729" i="9" s="1"/>
  <c r="AO746" i="9" s="1"/>
  <c r="AO1160" i="9"/>
  <c r="AO1159" i="9"/>
  <c r="AN786" i="9"/>
  <c r="AN795" i="9" s="1"/>
  <c r="AP1170" i="9" s="1"/>
  <c r="AN807" i="9"/>
  <c r="AN806" i="9"/>
  <c r="AG1168" i="9"/>
  <c r="BR25" i="9"/>
  <c r="AN1168" i="9"/>
  <c r="S370" i="9"/>
  <c r="S381" i="9"/>
  <c r="S383" i="9" s="1"/>
  <c r="S368" i="9"/>
  <c r="S44" i="9"/>
  <c r="AA636" i="9"/>
  <c r="AA919" i="9"/>
  <c r="AU381" i="9"/>
  <c r="AU370" i="9"/>
  <c r="AU44" i="9"/>
  <c r="AU368" i="9"/>
  <c r="AG369" i="9"/>
  <c r="AB381" i="9"/>
  <c r="AB44" i="9"/>
  <c r="AB370" i="9"/>
  <c r="AB368" i="9"/>
  <c r="BB784" i="9"/>
  <c r="AM801" i="9"/>
  <c r="AM809" i="9"/>
  <c r="AM1170" i="9"/>
  <c r="AM1159" i="9"/>
  <c r="AR1170" i="9"/>
  <c r="BC352" i="9"/>
  <c r="BC353" i="9" s="1"/>
  <c r="BC323" i="9"/>
  <c r="J897" i="9"/>
  <c r="J898" i="9" s="1"/>
  <c r="J899" i="9" s="1"/>
  <c r="J900" i="9" s="1"/>
  <c r="J874" i="9"/>
  <c r="J877" i="9"/>
  <c r="AB41" i="9"/>
  <c r="AB330" i="9"/>
  <c r="AB329" i="9" s="1"/>
  <c r="W41" i="9"/>
  <c r="AG874" i="9"/>
  <c r="AG877" i="9"/>
  <c r="AG897" i="9"/>
  <c r="AG898" i="9" s="1"/>
  <c r="AG899" i="9" s="1"/>
  <c r="AG900" i="9" s="1"/>
  <c r="O877" i="9"/>
  <c r="O874" i="9"/>
  <c r="O897" i="9"/>
  <c r="O898" i="9" s="1"/>
  <c r="O899" i="9" s="1"/>
  <c r="O900" i="9" s="1"/>
  <c r="F779" i="9"/>
  <c r="F769" i="9"/>
  <c r="F630" i="9"/>
  <c r="P784" i="9"/>
  <c r="AT769" i="9"/>
  <c r="AT779" i="9"/>
  <c r="AT630" i="9"/>
  <c r="BP907" i="9"/>
  <c r="BQ1139" i="9"/>
  <c r="T810" i="9"/>
  <c r="T729" i="9" s="1"/>
  <c r="T746" i="9" s="1"/>
  <c r="T830" i="9"/>
  <c r="Q769" i="9"/>
  <c r="Q636" i="9" s="1"/>
  <c r="Q630" i="9"/>
  <c r="Q779" i="9"/>
  <c r="E784" i="9"/>
  <c r="AC326" i="9"/>
  <c r="X327" i="9"/>
  <c r="X39" i="9"/>
  <c r="X325" i="9"/>
  <c r="AC325" i="9"/>
  <c r="J919" i="9"/>
  <c r="J636" i="9"/>
  <c r="BF779" i="9"/>
  <c r="BF769" i="9"/>
  <c r="BF630" i="9"/>
  <c r="BH475" i="9"/>
  <c r="BH477" i="9" s="1"/>
  <c r="BH470" i="9"/>
  <c r="AO784" i="9"/>
  <c r="T368" i="9"/>
  <c r="T370" i="9"/>
  <c r="T381" i="9"/>
  <c r="T44" i="9"/>
  <c r="Q366" i="9"/>
  <c r="Q1166" i="9" s="1"/>
  <c r="Q379" i="9"/>
  <c r="L41" i="9"/>
  <c r="L42" i="9" s="1"/>
  <c r="L330" i="9"/>
  <c r="L329" i="9" s="1"/>
  <c r="AS636" i="9"/>
  <c r="AS919" i="9"/>
  <c r="F897" i="9"/>
  <c r="F874" i="9"/>
  <c r="F877" i="9"/>
  <c r="F930" i="9" s="1"/>
  <c r="AJ366" i="9"/>
  <c r="AJ1166" i="9"/>
  <c r="AJ379" i="9"/>
  <c r="AV39" i="9"/>
  <c r="AV325" i="9"/>
  <c r="BA326" i="9"/>
  <c r="AV327" i="9"/>
  <c r="Z1177" i="9"/>
  <c r="Z795" i="9"/>
  <c r="AG1166" i="9"/>
  <c r="K919" i="9"/>
  <c r="K636" i="9"/>
  <c r="BG1160" i="9"/>
  <c r="H39" i="9"/>
  <c r="M326" i="9"/>
  <c r="H327" i="9"/>
  <c r="H41" i="9" s="1"/>
  <c r="BB1168" i="9"/>
  <c r="D449" i="9"/>
  <c r="C450" i="9"/>
  <c r="BG39" i="9"/>
  <c r="BG327" i="9"/>
  <c r="BG325" i="9"/>
  <c r="BG326" i="9"/>
  <c r="BM27" i="9"/>
  <c r="BM28" i="9" s="1"/>
  <c r="BN290" i="9"/>
  <c r="BM443" i="9"/>
  <c r="BM232" i="9"/>
  <c r="BO230" i="9"/>
  <c r="X919" i="9"/>
  <c r="X636" i="9"/>
  <c r="R5" i="9"/>
  <c r="S5" i="9" s="1"/>
  <c r="T5" i="9" s="1"/>
  <c r="BJ877" i="9"/>
  <c r="BJ897" i="9"/>
  <c r="BJ898" i="9" s="1"/>
  <c r="BJ899" i="9" s="1"/>
  <c r="BJ900" i="9" s="1"/>
  <c r="BJ874" i="9"/>
  <c r="AE624" i="9"/>
  <c r="AE756" i="9"/>
  <c r="AS1095" i="9"/>
  <c r="AS1097" i="9"/>
  <c r="AS1086" i="9"/>
  <c r="AD830" i="9"/>
  <c r="AD810" i="9"/>
  <c r="AD729" i="9" s="1"/>
  <c r="AD746" i="9" s="1"/>
  <c r="BO939" i="9"/>
  <c r="BN939" i="9"/>
  <c r="BK939" i="9"/>
  <c r="BT939" i="9"/>
  <c r="BU939" i="9"/>
  <c r="BR939" i="9"/>
  <c r="BM939" i="9"/>
  <c r="BL939" i="9"/>
  <c r="BV939" i="9"/>
  <c r="BQ939" i="9"/>
  <c r="BS939" i="9"/>
  <c r="BP939" i="9"/>
  <c r="AT325" i="9"/>
  <c r="AY326" i="9"/>
  <c r="AT39" i="9"/>
  <c r="AT327" i="9"/>
  <c r="AY325" i="9"/>
  <c r="BI370" i="9"/>
  <c r="BI381" i="9"/>
  <c r="BI1167" i="9" s="1"/>
  <c r="BI44" i="9"/>
  <c r="BI368" i="9"/>
  <c r="U326" i="9"/>
  <c r="P325" i="9"/>
  <c r="P39" i="9"/>
  <c r="P327" i="9"/>
  <c r="Y326" i="9"/>
  <c r="AZ1168" i="9"/>
  <c r="BA784" i="9"/>
  <c r="AF325" i="9"/>
  <c r="AF327" i="9"/>
  <c r="AF39" i="9"/>
  <c r="AK326" i="9"/>
  <c r="AF326" i="9"/>
  <c r="V784" i="9"/>
  <c r="AM384" i="9"/>
  <c r="K366" i="9"/>
  <c r="K1166" i="9" s="1"/>
  <c r="K379" i="9"/>
  <c r="AG784" i="9"/>
  <c r="AN650" i="9"/>
  <c r="AN710" i="9"/>
  <c r="AN727" i="9" s="1"/>
  <c r="AN1160" i="9"/>
  <c r="E325" i="9"/>
  <c r="E39" i="9"/>
  <c r="E327" i="9"/>
  <c r="F326" i="9"/>
  <c r="AX650" i="9"/>
  <c r="AX710" i="9"/>
  <c r="AX727" i="9" s="1"/>
  <c r="AX1160" i="9"/>
  <c r="AK1168" i="9"/>
  <c r="AX919" i="9"/>
  <c r="AX636" i="9"/>
  <c r="AZ779" i="9"/>
  <c r="AZ630" i="9"/>
  <c r="AZ769" i="9"/>
  <c r="BJ41" i="9"/>
  <c r="BJ330" i="9"/>
  <c r="BJ329" i="9" s="1"/>
  <c r="BO1264" i="9"/>
  <c r="BO1257" i="9"/>
  <c r="BO1250" i="9"/>
  <c r="BO1266" i="9"/>
  <c r="BO1252" i="9"/>
  <c r="BO1259" i="9"/>
  <c r="U1177" i="9"/>
  <c r="U795" i="9"/>
  <c r="AQ636" i="9"/>
  <c r="AQ919" i="9"/>
  <c r="AK350" i="9"/>
  <c r="AP350" i="9"/>
  <c r="M379" i="9"/>
  <c r="M366" i="9"/>
  <c r="D366" i="9"/>
  <c r="D379" i="9"/>
  <c r="AK325" i="9"/>
  <c r="AP326" i="9"/>
  <c r="AK327" i="9"/>
  <c r="AK39" i="9"/>
  <c r="AV919" i="9"/>
  <c r="AV636" i="9"/>
  <c r="Z379" i="9"/>
  <c r="Z366" i="9"/>
  <c r="Z369" i="9" s="1"/>
  <c r="BJ368" i="9"/>
  <c r="BJ381" i="9"/>
  <c r="BJ44" i="9"/>
  <c r="BJ370" i="9"/>
  <c r="AD893" i="9"/>
  <c r="AD894" i="9" s="1"/>
  <c r="AD895" i="9" s="1"/>
  <c r="AD896" i="9" s="1"/>
  <c r="AD876" i="9"/>
  <c r="C384" i="9"/>
  <c r="D237" i="9"/>
  <c r="D235" i="9"/>
  <c r="E234" i="9"/>
  <c r="BA370" i="9"/>
  <c r="BA44" i="9"/>
  <c r="BA381" i="9"/>
  <c r="BA1167" i="9" s="1"/>
  <c r="AN379" i="9"/>
  <c r="AN366" i="9"/>
  <c r="N833" i="9"/>
  <c r="N925" i="9" s="1"/>
  <c r="N926" i="9" s="1"/>
  <c r="N831" i="9"/>
  <c r="AJ1159" i="9"/>
  <c r="AJ809" i="9"/>
  <c r="AJ801" i="9"/>
  <c r="AJ810" i="9" s="1"/>
  <c r="AJ729" i="9" s="1"/>
  <c r="AJ746" i="9" s="1"/>
  <c r="AJ1160" i="9"/>
  <c r="U325" i="9"/>
  <c r="AX1168" i="9"/>
  <c r="BE1166" i="9"/>
  <c r="D625" i="9"/>
  <c r="D763" i="9"/>
  <c r="AN39" i="9"/>
  <c r="AS326" i="9"/>
  <c r="AN327" i="9"/>
  <c r="W325" i="9"/>
  <c r="AT1168" i="9"/>
  <c r="AY1168" i="9"/>
  <c r="BA809" i="9"/>
  <c r="BA801" i="9"/>
  <c r="BA1159" i="9"/>
  <c r="BA1160" i="9"/>
  <c r="S874" i="9"/>
  <c r="S897" i="9"/>
  <c r="S898" i="9" s="1"/>
  <c r="S899" i="9" s="1"/>
  <c r="S900" i="9" s="1"/>
  <c r="S877" i="9"/>
  <c r="AX897" i="9"/>
  <c r="AX898" i="9" s="1"/>
  <c r="AX899" i="9" s="1"/>
  <c r="AX900" i="9" s="1"/>
  <c r="AX874" i="9"/>
  <c r="AX877" i="9"/>
  <c r="N1167" i="9"/>
  <c r="AI308" i="9"/>
  <c r="AN308" i="9"/>
  <c r="AI307" i="9"/>
  <c r="AN307" i="9"/>
  <c r="AN328" i="9"/>
  <c r="AI349" i="9"/>
  <c r="AI350" i="9" s="1"/>
  <c r="BI795" i="9"/>
  <c r="D154" i="9"/>
  <c r="D163" i="9"/>
  <c r="AE379" i="9"/>
  <c r="AE366" i="9"/>
  <c r="AW46" i="9"/>
  <c r="AB1166" i="9"/>
  <c r="BB919" i="9"/>
  <c r="BB636" i="9"/>
  <c r="BC307" i="9"/>
  <c r="BC308" i="9"/>
  <c r="BH328" i="9"/>
  <c r="BC349" i="9"/>
  <c r="BC350" i="9" s="1"/>
  <c r="J876" i="9"/>
  <c r="J893" i="9"/>
  <c r="J894" i="9" s="1"/>
  <c r="J895" i="9" s="1"/>
  <c r="J896" i="9" s="1"/>
  <c r="BE874" i="9"/>
  <c r="BE897" i="9"/>
  <c r="BE898" i="9" s="1"/>
  <c r="BE899" i="9" s="1"/>
  <c r="BE900" i="9" s="1"/>
  <c r="BE877" i="9"/>
  <c r="E636" i="9"/>
  <c r="J784" i="9"/>
  <c r="N636" i="9"/>
  <c r="N919" i="9"/>
  <c r="BE41" i="9"/>
  <c r="AO636" i="9"/>
  <c r="AO919" i="9"/>
  <c r="AO920" i="9"/>
  <c r="AL769" i="9"/>
  <c r="AL779" i="9"/>
  <c r="AL630" i="9"/>
  <c r="V326" i="9"/>
  <c r="Q39" i="9"/>
  <c r="Q327" i="9"/>
  <c r="Q325" i="9"/>
  <c r="BD330" i="9"/>
  <c r="BD329" i="9" s="1"/>
  <c r="BD41" i="9"/>
  <c r="BD42" i="9" s="1"/>
  <c r="Q326" i="9"/>
  <c r="E184" i="9"/>
  <c r="D187" i="9"/>
  <c r="D185" i="9" s="1"/>
  <c r="D189" i="9"/>
  <c r="V1166" i="9"/>
  <c r="AS784" i="9"/>
  <c r="N1170" i="9"/>
  <c r="AJ327" i="9"/>
  <c r="AO326" i="9"/>
  <c r="AJ325" i="9"/>
  <c r="AJ39" i="9"/>
  <c r="K1168" i="9"/>
  <c r="W919" i="9"/>
  <c r="W636" i="9"/>
  <c r="BP1137" i="9"/>
  <c r="BO1142" i="9"/>
  <c r="K784" i="9"/>
  <c r="V330" i="9"/>
  <c r="V329" i="9" s="1"/>
  <c r="V41" i="9"/>
  <c r="O44" i="9"/>
  <c r="T369" i="9"/>
  <c r="O370" i="9"/>
  <c r="O381" i="9"/>
  <c r="V5" i="9"/>
  <c r="W5" i="9" s="1"/>
  <c r="X5" i="9" s="1"/>
  <c r="Y5" i="9" s="1"/>
  <c r="Z5" i="9"/>
  <c r="H366" i="9"/>
  <c r="H1166" i="9" s="1"/>
  <c r="H379" i="9"/>
  <c r="AR769" i="9"/>
  <c r="AR630" i="9"/>
  <c r="AR779" i="9"/>
  <c r="BB897" i="9"/>
  <c r="BB898" i="9" s="1"/>
  <c r="BB899" i="9" s="1"/>
  <c r="BB900" i="9" s="1"/>
  <c r="BB874" i="9"/>
  <c r="BB877" i="9"/>
  <c r="E1168" i="9"/>
  <c r="BG366" i="9"/>
  <c r="BG369" i="9" s="1"/>
  <c r="BG379" i="9"/>
  <c r="X784" i="9"/>
  <c r="BE1168" i="9"/>
  <c r="M108" i="4"/>
  <c r="P107" i="4"/>
  <c r="P108" i="4" s="1"/>
  <c r="H46" i="4"/>
  <c r="H39" i="4"/>
  <c r="I39" i="4"/>
  <c r="H45" i="4"/>
  <c r="H29" i="4"/>
  <c r="J29" i="4"/>
  <c r="I29" i="4"/>
  <c r="I44" i="4"/>
  <c r="H44" i="4"/>
  <c r="J46" i="4"/>
  <c r="I46" i="4"/>
  <c r="J38" i="4"/>
  <c r="J119" i="4" s="1"/>
  <c r="J35" i="4"/>
  <c r="H39" i="3"/>
  <c r="J39" i="3" s="1"/>
  <c r="J36" i="4"/>
  <c r="I45" i="4"/>
  <c r="H47" i="4"/>
  <c r="K37" i="4"/>
  <c r="K28" i="4"/>
  <c r="I47" i="4"/>
  <c r="K27" i="4"/>
  <c r="K25" i="4"/>
  <c r="K26" i="4"/>
  <c r="D25" i="3"/>
  <c r="L25" i="3"/>
  <c r="L26" i="3" s="1"/>
  <c r="K25" i="3"/>
  <c r="K26" i="3" s="1"/>
  <c r="J25" i="3"/>
  <c r="J26" i="3" s="1"/>
  <c r="I25" i="3"/>
  <c r="I26" i="3" s="1"/>
  <c r="H25" i="3"/>
  <c r="H26" i="3" s="1"/>
  <c r="BN762" i="11" l="1"/>
  <c r="L381" i="9"/>
  <c r="L44" i="9"/>
  <c r="BK819" i="9"/>
  <c r="BK825" i="9" s="1"/>
  <c r="BL232" i="11"/>
  <c r="BL96" i="11"/>
  <c r="BK232" i="11"/>
  <c r="BK96" i="11"/>
  <c r="BJ348" i="11"/>
  <c r="BJ352" i="11" s="1"/>
  <c r="BJ354" i="11" s="1"/>
  <c r="BJ360" i="11" s="1"/>
  <c r="BI354" i="11"/>
  <c r="BI360" i="11" s="1"/>
  <c r="BQ377" i="11"/>
  <c r="AY83" i="11"/>
  <c r="AT83" i="11"/>
  <c r="X280" i="11"/>
  <c r="X748" i="11"/>
  <c r="X749" i="11" s="1"/>
  <c r="AY754" i="11"/>
  <c r="AY280" i="11"/>
  <c r="AY748" i="11"/>
  <c r="G270" i="11"/>
  <c r="G264" i="11"/>
  <c r="AV361" i="11"/>
  <c r="Y280" i="11"/>
  <c r="Y748" i="11"/>
  <c r="Y749" i="11" s="1"/>
  <c r="BC255" i="11"/>
  <c r="BC267" i="11"/>
  <c r="BC266" i="11"/>
  <c r="AS126" i="11"/>
  <c r="AE723" i="11"/>
  <c r="AE724" i="11" s="1"/>
  <c r="AE725" i="11" s="1"/>
  <c r="AQ1000" i="11"/>
  <c r="AQ259" i="11"/>
  <c r="AQ992" i="11"/>
  <c r="AB637" i="11"/>
  <c r="AB629" i="11"/>
  <c r="AB634" i="11"/>
  <c r="AC634" i="11"/>
  <c r="AG637" i="11"/>
  <c r="BU981" i="11"/>
  <c r="AB1000" i="11"/>
  <c r="AB259" i="11"/>
  <c r="AB992" i="11"/>
  <c r="BQ411" i="11"/>
  <c r="AP637" i="11"/>
  <c r="BI723" i="11"/>
  <c r="BI724" i="11" s="1"/>
  <c r="BI725" i="11" s="1"/>
  <c r="AY1007" i="11"/>
  <c r="AY1000" i="11"/>
  <c r="AY259" i="11"/>
  <c r="AY992" i="11"/>
  <c r="BE999" i="11"/>
  <c r="T280" i="11"/>
  <c r="T748" i="11"/>
  <c r="T749" i="11" s="1"/>
  <c r="AO723" i="11"/>
  <c r="AO724" i="11" s="1"/>
  <c r="AO725" i="11" s="1"/>
  <c r="AS267" i="11"/>
  <c r="AS255" i="11"/>
  <c r="AS266" i="11"/>
  <c r="BQ91" i="11"/>
  <c r="BQ67" i="11"/>
  <c r="BQ36" i="11"/>
  <c r="BQ35" i="11"/>
  <c r="M269" i="11"/>
  <c r="M261" i="11"/>
  <c r="M993" i="11"/>
  <c r="AM637" i="11"/>
  <c r="AM634" i="11"/>
  <c r="AR637" i="11"/>
  <c r="BN36" i="11"/>
  <c r="BN67" i="11"/>
  <c r="BO1248" i="9"/>
  <c r="BO1108" i="11"/>
  <c r="AH259" i="11"/>
  <c r="AH992" i="11"/>
  <c r="AR361" i="11"/>
  <c r="AR484" i="11"/>
  <c r="AP280" i="11"/>
  <c r="AP486" i="11" s="1"/>
  <c r="AP499" i="11" s="1"/>
  <c r="AP748" i="11"/>
  <c r="AP749" i="11" s="1"/>
  <c r="BJ1002" i="11"/>
  <c r="BK889" i="11"/>
  <c r="BJ897" i="11"/>
  <c r="L1002" i="11"/>
  <c r="M889" i="11"/>
  <c r="M890" i="11" s="1"/>
  <c r="AG1000" i="11"/>
  <c r="AG259" i="11"/>
  <c r="AG992" i="11"/>
  <c r="BG1000" i="11"/>
  <c r="BG259" i="11"/>
  <c r="BG992" i="11"/>
  <c r="AV280" i="11"/>
  <c r="AV748" i="11"/>
  <c r="AV749" i="11" s="1"/>
  <c r="AS999" i="11"/>
  <c r="AU999" i="11"/>
  <c r="AX999" i="11"/>
  <c r="BR227" i="11"/>
  <c r="W1000" i="11"/>
  <c r="W992" i="11"/>
  <c r="W259" i="11"/>
  <c r="BO1255" i="9"/>
  <c r="BO1115" i="11"/>
  <c r="BC700" i="11"/>
  <c r="BC697" i="11"/>
  <c r="BC722" i="11"/>
  <c r="BC723" i="11" s="1"/>
  <c r="BC724" i="11" s="1"/>
  <c r="BC725" i="11" s="1"/>
  <c r="AS361" i="11"/>
  <c r="AS484" i="11"/>
  <c r="AM1000" i="11"/>
  <c r="AM259" i="11"/>
  <c r="AM992" i="11"/>
  <c r="AK259" i="11"/>
  <c r="AK992" i="11"/>
  <c r="X992" i="11"/>
  <c r="X1000" i="11"/>
  <c r="X259" i="11"/>
  <c r="BH1000" i="11"/>
  <c r="BH259" i="11"/>
  <c r="BH992" i="11"/>
  <c r="P280" i="11"/>
  <c r="P754" i="11"/>
  <c r="P748" i="11"/>
  <c r="P749" i="11" s="1"/>
  <c r="BP962" i="11"/>
  <c r="BH999" i="11"/>
  <c r="AD697" i="11"/>
  <c r="AD700" i="11"/>
  <c r="AD722" i="11"/>
  <c r="AD723" i="11" s="1"/>
  <c r="AD724" i="11" s="1"/>
  <c r="AD725" i="11" s="1"/>
  <c r="AZ1002" i="11"/>
  <c r="BA889" i="11"/>
  <c r="BA890" i="11" s="1"/>
  <c r="AZ897" i="11"/>
  <c r="BB999" i="11"/>
  <c r="BJ280" i="11"/>
  <c r="BJ748" i="11"/>
  <c r="BJ749" i="11" s="1"/>
  <c r="BO1262" i="9"/>
  <c r="BO1122" i="11"/>
  <c r="BA280" i="11"/>
  <c r="BA748" i="11"/>
  <c r="BA749" i="11" s="1"/>
  <c r="AV261" i="11"/>
  <c r="AV269" i="11"/>
  <c r="AV993" i="11"/>
  <c r="AT754" i="11"/>
  <c r="AT748" i="11"/>
  <c r="AT749" i="11" s="1"/>
  <c r="AT756" i="11" s="1"/>
  <c r="AT280" i="11"/>
  <c r="AG280" i="11"/>
  <c r="AG748" i="11"/>
  <c r="AG749" i="11" s="1"/>
  <c r="K992" i="11"/>
  <c r="K259" i="11"/>
  <c r="K1000" i="11"/>
  <c r="BP95" i="11"/>
  <c r="Q889" i="11"/>
  <c r="Q890" i="11" s="1"/>
  <c r="U889" i="11"/>
  <c r="U890" i="11" s="1"/>
  <c r="P897" i="11"/>
  <c r="P1002" i="11"/>
  <c r="N264" i="11"/>
  <c r="N271" i="11" s="1"/>
  <c r="N270" i="11"/>
  <c r="F259" i="11"/>
  <c r="F992" i="11"/>
  <c r="AL280" i="11"/>
  <c r="AL748" i="11"/>
  <c r="AL749" i="11" s="1"/>
  <c r="U1007" i="11"/>
  <c r="U1000" i="11"/>
  <c r="U259" i="11"/>
  <c r="U992" i="11"/>
  <c r="AS722" i="11"/>
  <c r="AS723" i="11" s="1"/>
  <c r="AS724" i="11" s="1"/>
  <c r="AS725" i="11" s="1"/>
  <c r="AS697" i="11"/>
  <c r="AS700" i="11"/>
  <c r="AT126" i="11"/>
  <c r="M637" i="11"/>
  <c r="BL69" i="11"/>
  <c r="BL73" i="11"/>
  <c r="BL81" i="11"/>
  <c r="BL85" i="11" s="1"/>
  <c r="BK764" i="11"/>
  <c r="BS761" i="11"/>
  <c r="BS764" i="11"/>
  <c r="BL761" i="11"/>
  <c r="BK761" i="11"/>
  <c r="BM764" i="11"/>
  <c r="BT761" i="11"/>
  <c r="BQ761" i="11"/>
  <c r="BR764" i="11"/>
  <c r="BV764" i="11"/>
  <c r="BU764" i="11"/>
  <c r="BT764" i="11"/>
  <c r="BV761" i="11"/>
  <c r="BQ764" i="11"/>
  <c r="BM761" i="11"/>
  <c r="BP764" i="11"/>
  <c r="BN761" i="11"/>
  <c r="BL764" i="11"/>
  <c r="BU761" i="11"/>
  <c r="BR761" i="11"/>
  <c r="BO764" i="11"/>
  <c r="BN764" i="11"/>
  <c r="BP761" i="11"/>
  <c r="BO761" i="11"/>
  <c r="BV937" i="9"/>
  <c r="BK940" i="9"/>
  <c r="BK747" i="11" s="1"/>
  <c r="BR937" i="9"/>
  <c r="BN937" i="9"/>
  <c r="BN940" i="9"/>
  <c r="BN747" i="11" s="1"/>
  <c r="BQ937" i="9"/>
  <c r="BR940" i="9"/>
  <c r="BR924" i="9" s="1"/>
  <c r="BS940" i="9"/>
  <c r="BS924" i="9" s="1"/>
  <c r="BV940" i="9"/>
  <c r="BV924" i="9" s="1"/>
  <c r="BU937" i="9"/>
  <c r="BM937" i="9"/>
  <c r="BL940" i="9"/>
  <c r="BL747" i="11" s="1"/>
  <c r="BM940" i="9"/>
  <c r="BM747" i="11" s="1"/>
  <c r="BO940" i="9"/>
  <c r="BO747" i="11" s="1"/>
  <c r="BP940" i="9"/>
  <c r="BP924" i="9" s="1"/>
  <c r="BO937" i="9"/>
  <c r="BL937" i="9"/>
  <c r="BT940" i="9"/>
  <c r="BT924" i="9" s="1"/>
  <c r="BP937" i="9"/>
  <c r="BT937" i="9"/>
  <c r="BK937" i="9"/>
  <c r="BQ940" i="9"/>
  <c r="BS937" i="9"/>
  <c r="BU940" i="9"/>
  <c r="BU924" i="9" s="1"/>
  <c r="BQ445" i="11"/>
  <c r="U826" i="11"/>
  <c r="U827" i="11" s="1"/>
  <c r="V826" i="11" s="1"/>
  <c r="T827" i="11"/>
  <c r="AU346" i="11"/>
  <c r="AV342" i="11"/>
  <c r="BE280" i="11"/>
  <c r="BE748" i="11"/>
  <c r="BE749" i="11" s="1"/>
  <c r="AU634" i="11"/>
  <c r="AU637" i="11"/>
  <c r="AQ634" i="11"/>
  <c r="AQ637" i="11"/>
  <c r="AR634" i="11"/>
  <c r="AI280" i="11"/>
  <c r="AI748" i="11"/>
  <c r="AI749" i="11" s="1"/>
  <c r="BB748" i="11"/>
  <c r="BB749" i="11" s="1"/>
  <c r="BB280" i="11"/>
  <c r="AX348" i="11"/>
  <c r="AX352" i="11" s="1"/>
  <c r="AX354" i="11" s="1"/>
  <c r="AX360" i="11" s="1"/>
  <c r="AW354" i="11"/>
  <c r="AW360" i="11" s="1"/>
  <c r="Y722" i="11"/>
  <c r="Y723" i="11" s="1"/>
  <c r="Y724" i="11" s="1"/>
  <c r="Y725" i="11" s="1"/>
  <c r="Y697" i="11"/>
  <c r="Y700" i="11"/>
  <c r="AN998" i="11"/>
  <c r="AN123" i="11"/>
  <c r="AN126" i="11" s="1"/>
  <c r="AS122" i="11"/>
  <c r="S1000" i="11"/>
  <c r="S259" i="11"/>
  <c r="S992" i="11"/>
  <c r="AN628" i="11"/>
  <c r="AP634" i="11" s="1"/>
  <c r="AN168" i="11"/>
  <c r="AN644" i="11" s="1"/>
  <c r="AN742" i="11"/>
  <c r="AZ947" i="11"/>
  <c r="AX947" i="11"/>
  <c r="AX923" i="11" s="1"/>
  <c r="AY923" i="11"/>
  <c r="AV1000" i="11"/>
  <c r="BQ286" i="11"/>
  <c r="BP73" i="11"/>
  <c r="BP81" i="11"/>
  <c r="BP69" i="11"/>
  <c r="U636" i="11"/>
  <c r="U630" i="11"/>
  <c r="BC280" i="11"/>
  <c r="BC748" i="11"/>
  <c r="BC749" i="11" s="1"/>
  <c r="BF1000" i="11"/>
  <c r="BF259" i="11"/>
  <c r="BF992" i="11"/>
  <c r="BH280" i="11"/>
  <c r="BH748" i="11"/>
  <c r="BH749" i="11" s="1"/>
  <c r="BV403" i="11"/>
  <c r="M630" i="11"/>
  <c r="M636" i="11"/>
  <c r="M633" i="11"/>
  <c r="I633" i="11"/>
  <c r="I630" i="11"/>
  <c r="AR259" i="11"/>
  <c r="AR1000" i="11"/>
  <c r="AR992" i="11"/>
  <c r="X630" i="11"/>
  <c r="X636" i="11"/>
  <c r="X633" i="11"/>
  <c r="Q1000" i="11"/>
  <c r="Q259" i="11"/>
  <c r="Q992" i="11"/>
  <c r="BJ259" i="11"/>
  <c r="BJ992" i="11"/>
  <c r="X126" i="11"/>
  <c r="P1007" i="11"/>
  <c r="P1000" i="11"/>
  <c r="P259" i="11"/>
  <c r="P992" i="11"/>
  <c r="I259" i="11"/>
  <c r="I992" i="11"/>
  <c r="N1000" i="11"/>
  <c r="BS67" i="11"/>
  <c r="BS36" i="11"/>
  <c r="AZ637" i="11"/>
  <c r="AD637" i="11"/>
  <c r="AD629" i="11"/>
  <c r="AD634" i="11"/>
  <c r="R126" i="11"/>
  <c r="W126" i="11"/>
  <c r="P636" i="11"/>
  <c r="P630" i="11"/>
  <c r="V269" i="11"/>
  <c r="V261" i="11"/>
  <c r="V993" i="11"/>
  <c r="AN935" i="9"/>
  <c r="AN759" i="11"/>
  <c r="J634" i="11"/>
  <c r="J629" i="11"/>
  <c r="BM96" i="11"/>
  <c r="BM232" i="11"/>
  <c r="BG748" i="11"/>
  <c r="BG749" i="11" s="1"/>
  <c r="BG280" i="11"/>
  <c r="AZ361" i="11"/>
  <c r="BO69" i="11"/>
  <c r="BO73" i="11"/>
  <c r="BO81" i="11"/>
  <c r="O992" i="11"/>
  <c r="O259" i="11"/>
  <c r="O1000" i="11"/>
  <c r="BI1007" i="11"/>
  <c r="BI1000" i="11"/>
  <c r="BI259" i="11"/>
  <c r="BI992" i="11"/>
  <c r="AO1000" i="11"/>
  <c r="AO1007" i="11"/>
  <c r="AO259" i="11"/>
  <c r="AO992" i="11"/>
  <c r="AA637" i="11"/>
  <c r="AA629" i="11"/>
  <c r="AA634" i="11"/>
  <c r="AZ280" i="11"/>
  <c r="AZ748" i="11"/>
  <c r="AZ749" i="11" s="1"/>
  <c r="O629" i="11"/>
  <c r="O634" i="11"/>
  <c r="O637" i="11"/>
  <c r="BA354" i="11"/>
  <c r="BA360" i="11" s="1"/>
  <c r="BB348" i="11"/>
  <c r="BB352" i="11" s="1"/>
  <c r="BA269" i="11"/>
  <c r="BA261" i="11"/>
  <c r="BA993" i="11"/>
  <c r="AM126" i="11"/>
  <c r="AR126" i="11"/>
  <c r="Z280" i="11"/>
  <c r="Z754" i="11"/>
  <c r="Z748" i="11"/>
  <c r="Z749" i="11" s="1"/>
  <c r="Z756" i="11" s="1"/>
  <c r="BR85" i="11"/>
  <c r="I889" i="11"/>
  <c r="I890" i="11" s="1"/>
  <c r="H1002" i="11"/>
  <c r="BQ394" i="11"/>
  <c r="O748" i="11"/>
  <c r="O749" i="11" s="1"/>
  <c r="O280" i="11"/>
  <c r="AX674" i="11"/>
  <c r="AW674" i="11"/>
  <c r="AV674" i="11"/>
  <c r="AY637" i="11"/>
  <c r="AY674" i="11"/>
  <c r="AU674" i="11"/>
  <c r="BQ462" i="11"/>
  <c r="BP971" i="11"/>
  <c r="BO732" i="11"/>
  <c r="BO492" i="11" s="1"/>
  <c r="AJ754" i="11"/>
  <c r="AJ280" i="11"/>
  <c r="AJ748" i="11"/>
  <c r="AJ749" i="11" s="1"/>
  <c r="AJ756" i="11" s="1"/>
  <c r="V280" i="11"/>
  <c r="V748" i="11"/>
  <c r="V749" i="11" s="1"/>
  <c r="AC280" i="11"/>
  <c r="AC748" i="11"/>
  <c r="AC749" i="11" s="1"/>
  <c r="AE754" i="11"/>
  <c r="AE280" i="11"/>
  <c r="AE748" i="11"/>
  <c r="AE749" i="11" s="1"/>
  <c r="AO754" i="11"/>
  <c r="AO280" i="11"/>
  <c r="AO748" i="11"/>
  <c r="AO749" i="11" s="1"/>
  <c r="AO756" i="11" s="1"/>
  <c r="Z630" i="11"/>
  <c r="Z636" i="11"/>
  <c r="BC126" i="11"/>
  <c r="AM280" i="11"/>
  <c r="AM748" i="11"/>
  <c r="AM749" i="11" s="1"/>
  <c r="AS634" i="11"/>
  <c r="AN259" i="11"/>
  <c r="AN992" i="11"/>
  <c r="AD280" i="11"/>
  <c r="AD748" i="11"/>
  <c r="AD749" i="11" s="1"/>
  <c r="BU7" i="11"/>
  <c r="BT8" i="11"/>
  <c r="BU9" i="11"/>
  <c r="O999" i="11"/>
  <c r="T999" i="11"/>
  <c r="V636" i="11"/>
  <c r="V633" i="11"/>
  <c r="V630" i="11"/>
  <c r="J255" i="11"/>
  <c r="K1007" i="11" s="1"/>
  <c r="J267" i="11"/>
  <c r="J266" i="11"/>
  <c r="BA674" i="11"/>
  <c r="Y259" i="11"/>
  <c r="Y1000" i="11"/>
  <c r="Y992" i="11"/>
  <c r="AD1000" i="11"/>
  <c r="Q280" i="11"/>
  <c r="Q748" i="11"/>
  <c r="Q749" i="11" s="1"/>
  <c r="BU386" i="11"/>
  <c r="AR999" i="11"/>
  <c r="O700" i="11"/>
  <c r="O697" i="11"/>
  <c r="O722" i="11"/>
  <c r="O723" i="11" s="1"/>
  <c r="O724" i="11" s="1"/>
  <c r="O725" i="11" s="1"/>
  <c r="AV634" i="11"/>
  <c r="AV637" i="11"/>
  <c r="BU420" i="11"/>
  <c r="AF637" i="11"/>
  <c r="BF1002" i="11"/>
  <c r="BF897" i="11"/>
  <c r="BG889" i="11"/>
  <c r="BG890" i="11" s="1"/>
  <c r="BQ95" i="11"/>
  <c r="AU261" i="11"/>
  <c r="AU269" i="11"/>
  <c r="AU993" i="11"/>
  <c r="AJ269" i="11"/>
  <c r="AJ261" i="11"/>
  <c r="AJ993" i="11"/>
  <c r="BB259" i="11"/>
  <c r="BB992" i="11"/>
  <c r="H264" i="11"/>
  <c r="H271" i="11" s="1"/>
  <c r="H270" i="11"/>
  <c r="J561" i="11"/>
  <c r="J558" i="11"/>
  <c r="V1000" i="11"/>
  <c r="BD637" i="11"/>
  <c r="AQ280" i="11"/>
  <c r="AQ486" i="11" s="1"/>
  <c r="AQ499" i="11" s="1"/>
  <c r="AQ748" i="11"/>
  <c r="AQ749" i="11" s="1"/>
  <c r="BE261" i="11"/>
  <c r="BE269" i="11"/>
  <c r="BE993" i="11"/>
  <c r="AT723" i="11"/>
  <c r="AT724" i="11" s="1"/>
  <c r="AT725" i="11" s="1"/>
  <c r="AW1000" i="11"/>
  <c r="AW992" i="11"/>
  <c r="AW259" i="11"/>
  <c r="AP1000" i="11"/>
  <c r="AP259" i="11"/>
  <c r="AP992" i="11"/>
  <c r="AA1000" i="11"/>
  <c r="AA992" i="11"/>
  <c r="AA259" i="11"/>
  <c r="AK280" i="11"/>
  <c r="AK748" i="11"/>
  <c r="AK749" i="11" s="1"/>
  <c r="AU280" i="11"/>
  <c r="AU748" i="11"/>
  <c r="AU749" i="11" s="1"/>
  <c r="AA280" i="11"/>
  <c r="AA748" i="11"/>
  <c r="AA749" i="11" s="1"/>
  <c r="BT13" i="11"/>
  <c r="BS14" i="11"/>
  <c r="AR748" i="11"/>
  <c r="AR749" i="11" s="1"/>
  <c r="AR280" i="11"/>
  <c r="AR486" i="11" s="1"/>
  <c r="AR499" i="11" s="1"/>
  <c r="BO227" i="11"/>
  <c r="BD754" i="11"/>
  <c r="BD280" i="11"/>
  <c r="BD748" i="11"/>
  <c r="AN934" i="9"/>
  <c r="AN758" i="11"/>
  <c r="AT1007" i="11"/>
  <c r="AT1000" i="11"/>
  <c r="AT992" i="11"/>
  <c r="AT259" i="11"/>
  <c r="AE636" i="11"/>
  <c r="AE630" i="11"/>
  <c r="AJ723" i="11"/>
  <c r="AJ724" i="11" s="1"/>
  <c r="AJ725" i="11" s="1"/>
  <c r="AI126" i="11"/>
  <c r="AS748" i="11"/>
  <c r="AS749" i="11" s="1"/>
  <c r="AS280" i="11"/>
  <c r="AS486" i="11" s="1"/>
  <c r="AS499" i="11" s="1"/>
  <c r="BR940" i="11"/>
  <c r="BK69" i="11"/>
  <c r="BK73" i="11"/>
  <c r="BK81" i="11"/>
  <c r="AX126" i="11"/>
  <c r="AA5" i="11"/>
  <c r="AB5" i="11" s="1"/>
  <c r="AC5" i="11" s="1"/>
  <c r="AD5" i="11" s="1"/>
  <c r="AE5" i="11"/>
  <c r="BK227" i="11"/>
  <c r="BN91" i="11"/>
  <c r="BK94" i="11"/>
  <c r="BN94" i="11" s="1"/>
  <c r="AI255" i="11"/>
  <c r="AK1000" i="11" s="1"/>
  <c r="AI267" i="11"/>
  <c r="AI266" i="11"/>
  <c r="AN936" i="9"/>
  <c r="AN760" i="11"/>
  <c r="AC261" i="11"/>
  <c r="AC269" i="11"/>
  <c r="AC993" i="11"/>
  <c r="AI637" i="11"/>
  <c r="AI634" i="11"/>
  <c r="BQ970" i="11"/>
  <c r="AX259" i="11"/>
  <c r="AX1000" i="11"/>
  <c r="AX992" i="11"/>
  <c r="BC637" i="11"/>
  <c r="BC634" i="11"/>
  <c r="AU126" i="11"/>
  <c r="AB280" i="11"/>
  <c r="AB748" i="11"/>
  <c r="AB749" i="11" s="1"/>
  <c r="AF1000" i="11"/>
  <c r="AF259" i="11"/>
  <c r="AF992" i="11"/>
  <c r="R634" i="11"/>
  <c r="R629" i="11"/>
  <c r="R637" i="11"/>
  <c r="W637" i="11"/>
  <c r="H634" i="11"/>
  <c r="H629" i="11"/>
  <c r="BP1269" i="9"/>
  <c r="BP1129" i="11"/>
  <c r="BS27" i="11"/>
  <c r="BT26" i="11"/>
  <c r="BU26" i="11" s="1"/>
  <c r="BV26" i="11" s="1"/>
  <c r="R1000" i="11"/>
  <c r="R259" i="11"/>
  <c r="R992" i="11"/>
  <c r="S280" i="11"/>
  <c r="S748" i="11"/>
  <c r="S749" i="11" s="1"/>
  <c r="AE1007" i="11"/>
  <c r="AE1000" i="11"/>
  <c r="AE259" i="11"/>
  <c r="AE992" i="11"/>
  <c r="P723" i="11"/>
  <c r="P724" i="11" s="1"/>
  <c r="P725" i="11" s="1"/>
  <c r="T992" i="11"/>
  <c r="T1000" i="11"/>
  <c r="T259" i="11"/>
  <c r="K630" i="11"/>
  <c r="K636" i="11"/>
  <c r="BE354" i="11"/>
  <c r="BE360" i="11" s="1"/>
  <c r="BF348" i="11"/>
  <c r="BF352" i="11" s="1"/>
  <c r="AB126" i="11"/>
  <c r="AG126" i="11"/>
  <c r="BD269" i="11"/>
  <c r="BD261" i="11"/>
  <c r="BD993" i="11"/>
  <c r="BD126" i="11"/>
  <c r="W280" i="11"/>
  <c r="W748" i="11"/>
  <c r="W749" i="11" s="1"/>
  <c r="U754" i="11"/>
  <c r="U280" i="11"/>
  <c r="U748" i="11"/>
  <c r="T634" i="11"/>
  <c r="T637" i="11"/>
  <c r="T629" i="11"/>
  <c r="BM69" i="11"/>
  <c r="BM81" i="11"/>
  <c r="BM73" i="11"/>
  <c r="AU1000" i="11"/>
  <c r="AH280" i="11"/>
  <c r="AH748" i="11"/>
  <c r="AH749" i="11" s="1"/>
  <c r="BO95" i="11"/>
  <c r="AO637" i="11"/>
  <c r="AM674" i="11"/>
  <c r="AL674" i="11"/>
  <c r="AK674" i="11"/>
  <c r="AO674" i="11"/>
  <c r="AN674" i="11"/>
  <c r="AY75" i="11"/>
  <c r="AT75" i="11"/>
  <c r="BI280" i="11"/>
  <c r="BI754" i="11"/>
  <c r="BI748" i="11"/>
  <c r="BI749" i="11" s="1"/>
  <c r="BI756" i="11" s="1"/>
  <c r="L259" i="11"/>
  <c r="L1000" i="11"/>
  <c r="L992" i="11"/>
  <c r="E261" i="11"/>
  <c r="E269" i="11"/>
  <c r="BQ428" i="11"/>
  <c r="R280" i="11"/>
  <c r="R748" i="11"/>
  <c r="R749" i="11" s="1"/>
  <c r="AY71" i="11"/>
  <c r="AT71" i="11"/>
  <c r="Z261" i="11"/>
  <c r="Z269" i="11"/>
  <c r="Z993" i="11"/>
  <c r="I4" i="11"/>
  <c r="H279" i="11"/>
  <c r="H3" i="11"/>
  <c r="Q636" i="11"/>
  <c r="Q630" i="11"/>
  <c r="Q633" i="11"/>
  <c r="Q634" i="11"/>
  <c r="L630" i="11"/>
  <c r="L633" i="11"/>
  <c r="L636" i="11"/>
  <c r="Y630" i="11"/>
  <c r="Y636" i="11"/>
  <c r="Y633" i="11"/>
  <c r="AN122" i="11"/>
  <c r="AN280" i="11"/>
  <c r="AN748" i="11"/>
  <c r="AN749" i="11" s="1"/>
  <c r="Z723" i="11"/>
  <c r="Z724" i="11" s="1"/>
  <c r="Z725" i="11" s="1"/>
  <c r="AX748" i="11"/>
  <c r="AX749" i="11" s="1"/>
  <c r="AX280" i="11"/>
  <c r="AD264" i="11"/>
  <c r="AD271" i="11" s="1"/>
  <c r="AD270" i="11"/>
  <c r="BL227" i="11"/>
  <c r="BL94" i="11"/>
  <c r="Y126" i="11"/>
  <c r="AZ1000" i="11"/>
  <c r="AZ259" i="11"/>
  <c r="AZ992" i="11"/>
  <c r="BP94" i="11"/>
  <c r="BP227" i="11"/>
  <c r="AC1000" i="11"/>
  <c r="AZ674" i="11"/>
  <c r="BH126" i="11"/>
  <c r="AF999" i="11"/>
  <c r="BD361" i="11"/>
  <c r="AF280" i="11"/>
  <c r="AF748" i="11"/>
  <c r="AF749" i="11" s="1"/>
  <c r="BD1000" i="11"/>
  <c r="BM227" i="11"/>
  <c r="BM94" i="11"/>
  <c r="AX637" i="11"/>
  <c r="AX634" i="11"/>
  <c r="AL1000" i="11"/>
  <c r="AL992" i="11"/>
  <c r="AL259" i="11"/>
  <c r="AW748" i="11"/>
  <c r="AW749" i="11" s="1"/>
  <c r="AW280" i="11"/>
  <c r="BH637" i="11"/>
  <c r="BH634" i="11"/>
  <c r="BR95" i="11"/>
  <c r="BR94" i="11" s="1"/>
  <c r="BF280" i="11"/>
  <c r="BF748" i="11"/>
  <c r="BF749" i="11" s="1"/>
  <c r="BB674" i="11"/>
  <c r="S634" i="11"/>
  <c r="S629" i="11"/>
  <c r="S637" i="11"/>
  <c r="AY88" i="11"/>
  <c r="AT88" i="11"/>
  <c r="N999" i="11"/>
  <c r="AL1166" i="9"/>
  <c r="L370" i="9"/>
  <c r="L46" i="9" s="1"/>
  <c r="AO1177" i="9"/>
  <c r="AH1167" i="9"/>
  <c r="BI920" i="9"/>
  <c r="BI919" i="9"/>
  <c r="V636" i="9"/>
  <c r="AY1167" i="9"/>
  <c r="AL369" i="9"/>
  <c r="U636" i="9"/>
  <c r="AQ810" i="9"/>
  <c r="AQ729" i="9" s="1"/>
  <c r="AQ746" i="9" s="1"/>
  <c r="AQ830" i="9"/>
  <c r="Q369" i="9"/>
  <c r="AK1166" i="9"/>
  <c r="AH919" i="9"/>
  <c r="BG1166" i="9"/>
  <c r="AA370" i="9"/>
  <c r="AA46" i="9" s="1"/>
  <c r="AA44" i="9"/>
  <c r="AA1166" i="9"/>
  <c r="AA369" i="9"/>
  <c r="AA381" i="9"/>
  <c r="AA383" i="9" s="1"/>
  <c r="AA368" i="9"/>
  <c r="AA382" i="9"/>
  <c r="BD383" i="9"/>
  <c r="BE369" i="9"/>
  <c r="BE368" i="9"/>
  <c r="BA368" i="9"/>
  <c r="BE1167" i="9"/>
  <c r="BD1167" i="9"/>
  <c r="AB42" i="9"/>
  <c r="BH1160" i="9"/>
  <c r="BE42" i="9"/>
  <c r="AZ381" i="9"/>
  <c r="AZ384" i="9" s="1"/>
  <c r="AZ370" i="9"/>
  <c r="AZ46" i="9" s="1"/>
  <c r="AZ44" i="9"/>
  <c r="BI1177" i="9"/>
  <c r="AZ1166" i="9"/>
  <c r="BI42" i="9"/>
  <c r="G381" i="9"/>
  <c r="G384" i="9" s="1"/>
  <c r="G44" i="9"/>
  <c r="G370" i="9"/>
  <c r="G46" i="9" s="1"/>
  <c r="BD1177" i="9"/>
  <c r="AB1167" i="9"/>
  <c r="AS1170" i="9"/>
  <c r="AA330" i="9"/>
  <c r="AA329" i="9" s="1"/>
  <c r="AA41" i="9"/>
  <c r="AA42" i="9" s="1"/>
  <c r="L369" i="9"/>
  <c r="BE330" i="9"/>
  <c r="BE329" i="9" s="1"/>
  <c r="G1166" i="9"/>
  <c r="BB1170" i="9"/>
  <c r="V1167" i="9"/>
  <c r="AM42" i="9"/>
  <c r="AN350" i="9"/>
  <c r="AZ330" i="9"/>
  <c r="AZ329" i="9" s="1"/>
  <c r="AZ368" i="9"/>
  <c r="BE830" i="9"/>
  <c r="BE810" i="9"/>
  <c r="BE729" i="9" s="1"/>
  <c r="BE746" i="9" s="1"/>
  <c r="E1164" i="9"/>
  <c r="E7" i="9"/>
  <c r="E9" i="9" s="1"/>
  <c r="E330" i="9"/>
  <c r="E329" i="9" s="1"/>
  <c r="E41" i="9"/>
  <c r="I41" i="9"/>
  <c r="N42" i="9" s="1"/>
  <c r="N330" i="9"/>
  <c r="N329" i="9" s="1"/>
  <c r="U898" i="9"/>
  <c r="U899" i="9" s="1"/>
  <c r="U900" i="9" s="1"/>
  <c r="G72" i="9"/>
  <c r="F75" i="9"/>
  <c r="K72" i="9"/>
  <c r="F77" i="9"/>
  <c r="T383" i="9"/>
  <c r="O384" i="9"/>
  <c r="BA46" i="9"/>
  <c r="BF919" i="9"/>
  <c r="BF636" i="9"/>
  <c r="K222" i="9"/>
  <c r="G222" i="9"/>
  <c r="G225" i="9" s="1"/>
  <c r="F236" i="9"/>
  <c r="F227" i="9"/>
  <c r="F228" i="9"/>
  <c r="F269" i="9"/>
  <c r="G830" i="9"/>
  <c r="G810" i="9"/>
  <c r="G729" i="9" s="1"/>
  <c r="G746" i="9" s="1"/>
  <c r="M636" i="9"/>
  <c r="M919" i="9"/>
  <c r="G76" i="9"/>
  <c r="L62" i="9"/>
  <c r="H54" i="9"/>
  <c r="H57" i="9" s="1"/>
  <c r="G266" i="9"/>
  <c r="G60" i="9"/>
  <c r="D83" i="9"/>
  <c r="D80" i="9" s="1"/>
  <c r="D79" i="9"/>
  <c r="D65" i="9" s="1"/>
  <c r="E74" i="9" s="1"/>
  <c r="E73" i="9" s="1"/>
  <c r="O46" i="9"/>
  <c r="BC327" i="9"/>
  <c r="BC39" i="9"/>
  <c r="BC325" i="9"/>
  <c r="BH326" i="9"/>
  <c r="AX830" i="9"/>
  <c r="AX810" i="9"/>
  <c r="AX729" i="9" s="1"/>
  <c r="AX746" i="9" s="1"/>
  <c r="BC379" i="9"/>
  <c r="BC366" i="9"/>
  <c r="BC369" i="9" s="1"/>
  <c r="AB784" i="9"/>
  <c r="AA805" i="9"/>
  <c r="AA785" i="9"/>
  <c r="AA796" i="9"/>
  <c r="AA797" i="9" s="1"/>
  <c r="AA802" i="9" s="1"/>
  <c r="AV1166" i="9"/>
  <c r="F184" i="9"/>
  <c r="E189" i="9"/>
  <c r="E187" i="9"/>
  <c r="S630" i="9"/>
  <c r="S769" i="9"/>
  <c r="S779" i="9"/>
  <c r="S1167" i="9" s="1"/>
  <c r="X805" i="9"/>
  <c r="X785" i="9"/>
  <c r="X796" i="9"/>
  <c r="X797" i="9" s="1"/>
  <c r="X802" i="9" s="1"/>
  <c r="X811" i="9" s="1"/>
  <c r="X49" i="9" s="1"/>
  <c r="AS1168" i="9"/>
  <c r="AU1168" i="9"/>
  <c r="J805" i="9"/>
  <c r="J785" i="9"/>
  <c r="J796" i="9"/>
  <c r="J797" i="9" s="1"/>
  <c r="J802" i="9" s="1"/>
  <c r="J811" i="9" s="1"/>
  <c r="J49" i="9" s="1"/>
  <c r="M370" i="9"/>
  <c r="M368" i="9"/>
  <c r="M44" i="9"/>
  <c r="R369" i="9"/>
  <c r="M381" i="9"/>
  <c r="M1167" i="9" s="1"/>
  <c r="AI327" i="9"/>
  <c r="AI39" i="9"/>
  <c r="AN326" i="9"/>
  <c r="AI325" i="9"/>
  <c r="AD625" i="9"/>
  <c r="AD763" i="9"/>
  <c r="AD1166" i="9" s="1"/>
  <c r="AK810" i="9"/>
  <c r="AK729" i="9" s="1"/>
  <c r="AK746" i="9" s="1"/>
  <c r="AK830" i="9"/>
  <c r="BQ1271" i="9"/>
  <c r="BQ1272" i="9"/>
  <c r="BQ1246" i="9"/>
  <c r="BQ1273" i="9"/>
  <c r="BQ1276" i="9"/>
  <c r="BR4" i="9"/>
  <c r="BQ310" i="9"/>
  <c r="BP312" i="9"/>
  <c r="BP349" i="9"/>
  <c r="AB830" i="9"/>
  <c r="AB810" i="9"/>
  <c r="AB729" i="9" s="1"/>
  <c r="AB746" i="9" s="1"/>
  <c r="BC784" i="9"/>
  <c r="J370" i="9"/>
  <c r="J46" i="9" s="1"/>
  <c r="O369" i="9"/>
  <c r="J44" i="9"/>
  <c r="J381" i="9"/>
  <c r="O382" i="9" s="1"/>
  <c r="H110" i="9"/>
  <c r="H113" i="9" s="1"/>
  <c r="G132" i="9"/>
  <c r="G267" i="9"/>
  <c r="L118" i="9"/>
  <c r="G116" i="9"/>
  <c r="AW919" i="9"/>
  <c r="AW636" i="9"/>
  <c r="AS897" i="9"/>
  <c r="AS898" i="9" s="1"/>
  <c r="AS899" i="9" s="1"/>
  <c r="AS900" i="9" s="1"/>
  <c r="AS877" i="9"/>
  <c r="AS874" i="9"/>
  <c r="AJ1177" i="9"/>
  <c r="AZ919" i="9"/>
  <c r="AZ636" i="9"/>
  <c r="F919" i="9"/>
  <c r="F636" i="9"/>
  <c r="AI366" i="9"/>
  <c r="AI369" i="9" s="1"/>
  <c r="AI379" i="9"/>
  <c r="K809" i="9"/>
  <c r="K801" i="9"/>
  <c r="K810" i="9" s="1"/>
  <c r="K729" i="9" s="1"/>
  <c r="K746" i="9" s="1"/>
  <c r="K1170" i="9"/>
  <c r="K1159" i="9"/>
  <c r="K1160" i="9"/>
  <c r="BP1257" i="9"/>
  <c r="BP1264" i="9"/>
  <c r="BP1250" i="9"/>
  <c r="BP1266" i="9"/>
  <c r="BP1252" i="9"/>
  <c r="BP1259" i="9"/>
  <c r="AK919" i="9"/>
  <c r="AK636" i="9"/>
  <c r="O330" i="9"/>
  <c r="O329" i="9" s="1"/>
  <c r="AQ46" i="9"/>
  <c r="AX805" i="9"/>
  <c r="AX796" i="9"/>
  <c r="AX797" i="9" s="1"/>
  <c r="AX802" i="9" s="1"/>
  <c r="AX811" i="9" s="1"/>
  <c r="AX49" i="9" s="1"/>
  <c r="AX785" i="9"/>
  <c r="J1166" i="9"/>
  <c r="AW784" i="9"/>
  <c r="AW1167" i="9"/>
  <c r="AV810" i="9"/>
  <c r="AV729" i="9" s="1"/>
  <c r="AV746" i="9" s="1"/>
  <c r="AV830" i="9"/>
  <c r="BG381" i="9"/>
  <c r="BG383" i="9" s="1"/>
  <c r="BG370" i="9"/>
  <c r="BG44" i="9"/>
  <c r="BG368" i="9"/>
  <c r="K805" i="9"/>
  <c r="K785" i="9"/>
  <c r="K796" i="9"/>
  <c r="K797" i="9" s="1"/>
  <c r="K802" i="9" s="1"/>
  <c r="K811" i="9" s="1"/>
  <c r="M1166" i="9"/>
  <c r="K368" i="9"/>
  <c r="K370" i="9"/>
  <c r="K44" i="9"/>
  <c r="K381" i="9"/>
  <c r="P369" i="9"/>
  <c r="X330" i="9"/>
  <c r="X329" i="9" s="1"/>
  <c r="X41" i="9"/>
  <c r="AC330" i="9"/>
  <c r="AC329" i="9" s="1"/>
  <c r="F784" i="9"/>
  <c r="S384" i="9"/>
  <c r="S385" i="9" s="1"/>
  <c r="S382" i="9"/>
  <c r="AC779" i="9"/>
  <c r="AC769" i="9"/>
  <c r="AC630" i="9"/>
  <c r="AC1166" i="9"/>
  <c r="AK784" i="9"/>
  <c r="O42" i="9"/>
  <c r="AD381" i="9"/>
  <c r="AD370" i="9"/>
  <c r="AD368" i="9"/>
  <c r="AD44" i="9"/>
  <c r="BF810" i="9"/>
  <c r="BF729" i="9" s="1"/>
  <c r="BF746" i="9" s="1"/>
  <c r="BF830" i="9"/>
  <c r="BC919" i="9"/>
  <c r="BC636" i="9"/>
  <c r="BQ1138" i="9"/>
  <c r="BR905" i="9"/>
  <c r="BR1138" i="9" s="1"/>
  <c r="BS1138" i="9" s="1"/>
  <c r="BS905" i="9" s="1"/>
  <c r="BT905" i="9" s="1"/>
  <c r="BI805" i="9"/>
  <c r="BI785" i="9"/>
  <c r="BI796" i="9"/>
  <c r="BI797" i="9" s="1"/>
  <c r="BI802" i="9" s="1"/>
  <c r="BI811" i="9" s="1"/>
  <c r="AZ784" i="9"/>
  <c r="AR383" i="9"/>
  <c r="BO232" i="9"/>
  <c r="BO443" i="9"/>
  <c r="BP230" i="9"/>
  <c r="AM810" i="9"/>
  <c r="AM729" i="9" s="1"/>
  <c r="AM746" i="9" s="1"/>
  <c r="AM830" i="9"/>
  <c r="S371" i="9"/>
  <c r="S46" i="9"/>
  <c r="S47" i="9" s="1"/>
  <c r="AF830" i="9"/>
  <c r="AF810" i="9"/>
  <c r="AF729" i="9" s="1"/>
  <c r="AF746" i="9" s="1"/>
  <c r="AV805" i="9"/>
  <c r="AV785" i="9"/>
  <c r="AV796" i="9"/>
  <c r="AV797" i="9" s="1"/>
  <c r="AV802" i="9" s="1"/>
  <c r="AV811" i="9" s="1"/>
  <c r="AV49" i="9" s="1"/>
  <c r="Q833" i="9"/>
  <c r="Q925" i="9" s="1"/>
  <c r="Q926" i="9" s="1"/>
  <c r="Q831" i="9"/>
  <c r="AM805" i="9"/>
  <c r="AM785" i="9"/>
  <c r="AM796" i="9"/>
  <c r="AM797" i="9" s="1"/>
  <c r="AM802" i="9" s="1"/>
  <c r="AM811" i="9" s="1"/>
  <c r="AM49" i="9" s="1"/>
  <c r="BF330" i="9"/>
  <c r="BF329" i="9" s="1"/>
  <c r="BF41" i="9"/>
  <c r="BF42" i="9" s="1"/>
  <c r="AQ384" i="9"/>
  <c r="AE41" i="9"/>
  <c r="AE330" i="9"/>
  <c r="AE329" i="9" s="1"/>
  <c r="T42" i="9"/>
  <c r="AE1170" i="9"/>
  <c r="AE809" i="9"/>
  <c r="AE801" i="9"/>
  <c r="AE810" i="9" s="1"/>
  <c r="AE729" i="9" s="1"/>
  <c r="AE746" i="9" s="1"/>
  <c r="AE1160" i="9"/>
  <c r="AE1159" i="9"/>
  <c r="O830" i="9"/>
  <c r="O810" i="9"/>
  <c r="O729" i="9" s="1"/>
  <c r="O746" i="9" s="1"/>
  <c r="G919" i="9"/>
  <c r="G636" i="9"/>
  <c r="AJ330" i="9"/>
  <c r="AJ329" i="9" s="1"/>
  <c r="AJ41" i="9"/>
  <c r="AJ42" i="9" s="1"/>
  <c r="AN41" i="9"/>
  <c r="AN330" i="9"/>
  <c r="AN329" i="9" s="1"/>
  <c r="AF41" i="9"/>
  <c r="AF42" i="9" s="1"/>
  <c r="AF330" i="9"/>
  <c r="AF329" i="9" s="1"/>
  <c r="AI784" i="9"/>
  <c r="BK1100" i="9"/>
  <c r="BK1009" i="9"/>
  <c r="AJ370" i="9"/>
  <c r="AJ368" i="9"/>
  <c r="AJ381" i="9"/>
  <c r="AJ1167" i="9" s="1"/>
  <c r="AO369" i="9"/>
  <c r="AJ44" i="9"/>
  <c r="BA805" i="9"/>
  <c r="BA785" i="9"/>
  <c r="BA796" i="9"/>
  <c r="BA797" i="9" s="1"/>
  <c r="BA802" i="9" s="1"/>
  <c r="BA811" i="9" s="1"/>
  <c r="BA49" i="9" s="1"/>
  <c r="AR371" i="9"/>
  <c r="AR46" i="9"/>
  <c r="AR47" i="9" s="1"/>
  <c r="D630" i="9"/>
  <c r="D779" i="9"/>
  <c r="D769" i="9"/>
  <c r="AT784" i="9"/>
  <c r="H258" i="9"/>
  <c r="I257" i="9"/>
  <c r="H260" i="9"/>
  <c r="AW371" i="9"/>
  <c r="BF784" i="9"/>
  <c r="BC326" i="9"/>
  <c r="AX370" i="9"/>
  <c r="AX368" i="9"/>
  <c r="AX381" i="9"/>
  <c r="AX44" i="9"/>
  <c r="BG810" i="9"/>
  <c r="BG729" i="9" s="1"/>
  <c r="BG746" i="9" s="1"/>
  <c r="BG830" i="9"/>
  <c r="F810" i="9"/>
  <c r="F729" i="9" s="1"/>
  <c r="F746" i="9" s="1"/>
  <c r="F830" i="9"/>
  <c r="D219" i="9"/>
  <c r="D210" i="9"/>
  <c r="Z636" i="9"/>
  <c r="Z919" i="9"/>
  <c r="AZ1170" i="9"/>
  <c r="AZ801" i="9"/>
  <c r="AZ809" i="9"/>
  <c r="AZ1160" i="9"/>
  <c r="BE1170" i="9"/>
  <c r="AZ1159" i="9"/>
  <c r="AX1166" i="9"/>
  <c r="AE370" i="9"/>
  <c r="AE381" i="9"/>
  <c r="AE368" i="9"/>
  <c r="AJ369" i="9"/>
  <c r="AE44" i="9"/>
  <c r="D370" i="9"/>
  <c r="D44" i="9"/>
  <c r="D368" i="9"/>
  <c r="E369" i="9"/>
  <c r="D381" i="9"/>
  <c r="D369" i="9"/>
  <c r="P330" i="9"/>
  <c r="P329" i="9" s="1"/>
  <c r="P41" i="9"/>
  <c r="BM349" i="9"/>
  <c r="BH350" i="9"/>
  <c r="AW830" i="9"/>
  <c r="AW810" i="9"/>
  <c r="AW729" i="9" s="1"/>
  <c r="AW746" i="9" s="1"/>
  <c r="BN910" i="9"/>
  <c r="BK916" i="9"/>
  <c r="AF779" i="9"/>
  <c r="AF769" i="9"/>
  <c r="AF630" i="9"/>
  <c r="BD805" i="9"/>
  <c r="BD785" i="9"/>
  <c r="BD796" i="9"/>
  <c r="BD797" i="9" s="1"/>
  <c r="BD802" i="9" s="1"/>
  <c r="BD811" i="9" s="1"/>
  <c r="BA810" i="9"/>
  <c r="BA729" i="9" s="1"/>
  <c r="BA746" i="9" s="1"/>
  <c r="BA830" i="9"/>
  <c r="Q381" i="9"/>
  <c r="V382" i="9" s="1"/>
  <c r="Q44" i="9"/>
  <c r="V369" i="9"/>
  <c r="Q368" i="9"/>
  <c r="Q370" i="9"/>
  <c r="V371" i="9" s="1"/>
  <c r="J1168" i="9"/>
  <c r="I1168" i="9"/>
  <c r="BB382" i="9"/>
  <c r="BB384" i="9"/>
  <c r="BB385" i="9" s="1"/>
  <c r="M330" i="9"/>
  <c r="M329" i="9" s="1"/>
  <c r="M41" i="9"/>
  <c r="M42" i="9" s="1"/>
  <c r="N805" i="9"/>
  <c r="N785" i="9"/>
  <c r="N796" i="9"/>
  <c r="N797" i="9" s="1"/>
  <c r="N802" i="9" s="1"/>
  <c r="N811" i="9" s="1"/>
  <c r="N49" i="9" s="1"/>
  <c r="BH809" i="9"/>
  <c r="BH1170" i="9"/>
  <c r="BH801" i="9"/>
  <c r="BH1159" i="9"/>
  <c r="BN262" i="9"/>
  <c r="BN263" i="9" s="1"/>
  <c r="BN27" i="9"/>
  <c r="BN28" i="9" s="1"/>
  <c r="T382" i="9"/>
  <c r="T384" i="9"/>
  <c r="AB46" i="9"/>
  <c r="AB371" i="9"/>
  <c r="BB383" i="9"/>
  <c r="AR42" i="9"/>
  <c r="AW42" i="9"/>
  <c r="J1000" i="9"/>
  <c r="I1001" i="9"/>
  <c r="T1167" i="9"/>
  <c r="AN44" i="9"/>
  <c r="AS369" i="9"/>
  <c r="AN381" i="9"/>
  <c r="AN1167" i="9" s="1"/>
  <c r="AN370" i="9"/>
  <c r="AE369" i="9"/>
  <c r="Z368" i="9"/>
  <c r="Z370" i="9"/>
  <c r="Z381" i="9"/>
  <c r="Z383" i="9" s="1"/>
  <c r="Z44" i="9"/>
  <c r="AT330" i="9"/>
  <c r="AT329" i="9" s="1"/>
  <c r="AT41" i="9"/>
  <c r="AY330" i="9"/>
  <c r="AY329" i="9" s="1"/>
  <c r="T46" i="9"/>
  <c r="T371" i="9"/>
  <c r="AY369" i="9"/>
  <c r="AT381" i="9"/>
  <c r="AT1167" i="9" s="1"/>
  <c r="AT370" i="9"/>
  <c r="AT44" i="9"/>
  <c r="AT368" i="9"/>
  <c r="AY368" i="9"/>
  <c r="V384" i="9"/>
  <c r="BQ349" i="9"/>
  <c r="E402" i="9"/>
  <c r="D417" i="9"/>
  <c r="I408" i="9"/>
  <c r="E408" i="9"/>
  <c r="D451" i="9"/>
  <c r="D432" i="9"/>
  <c r="D419" i="9"/>
  <c r="D420" i="9" s="1"/>
  <c r="U384" i="9"/>
  <c r="BS1146" i="9"/>
  <c r="H805" i="9"/>
  <c r="H785" i="9"/>
  <c r="H796" i="9"/>
  <c r="H797" i="9" s="1"/>
  <c r="H802" i="9" s="1"/>
  <c r="H811" i="9" s="1"/>
  <c r="H49" i="9" s="1"/>
  <c r="AG810" i="9"/>
  <c r="AG729" i="9" s="1"/>
  <c r="AG746" i="9" s="1"/>
  <c r="AG830" i="9"/>
  <c r="AH382" i="9"/>
  <c r="AH384" i="9"/>
  <c r="AH385" i="9" s="1"/>
  <c r="AM383" i="9"/>
  <c r="AH383" i="9"/>
  <c r="AK330" i="9"/>
  <c r="AK329" i="9" s="1"/>
  <c r="AK41" i="9"/>
  <c r="AS330" i="9"/>
  <c r="AS329" i="9" s="1"/>
  <c r="AS41" i="9"/>
  <c r="W46" i="9"/>
  <c r="W810" i="9"/>
  <c r="W729" i="9" s="1"/>
  <c r="W746" i="9" s="1"/>
  <c r="W830" i="9"/>
  <c r="Y784" i="9"/>
  <c r="U369" i="9"/>
  <c r="P44" i="9"/>
  <c r="P368" i="9"/>
  <c r="P370" i="9"/>
  <c r="U371" i="9" s="1"/>
  <c r="P381" i="9"/>
  <c r="P1167" i="9" s="1"/>
  <c r="F188" i="9"/>
  <c r="F268" i="9"/>
  <c r="F272" i="9" s="1"/>
  <c r="F172" i="9"/>
  <c r="F171" i="9"/>
  <c r="K166" i="9"/>
  <c r="K174" i="9"/>
  <c r="G166" i="9"/>
  <c r="G169" i="9" s="1"/>
  <c r="J831" i="9"/>
  <c r="K830" i="9"/>
  <c r="J833" i="9"/>
  <c r="J925" i="9" s="1"/>
  <c r="J926" i="9" s="1"/>
  <c r="AP805" i="9"/>
  <c r="AP785" i="9"/>
  <c r="AP796" i="9"/>
  <c r="AP797" i="9" s="1"/>
  <c r="AP802" i="9" s="1"/>
  <c r="AT809" i="9"/>
  <c r="AT1170" i="9"/>
  <c r="AT801" i="9"/>
  <c r="AT810" i="9" s="1"/>
  <c r="AT729" i="9" s="1"/>
  <c r="AT746" i="9" s="1"/>
  <c r="AT1159" i="9"/>
  <c r="AT1160" i="9"/>
  <c r="Z784" i="9"/>
  <c r="BL819" i="9"/>
  <c r="BL814" i="9" s="1"/>
  <c r="BL883" i="9" s="1"/>
  <c r="BL1006" i="11" s="1"/>
  <c r="D181" i="9"/>
  <c r="D194" i="9" s="1"/>
  <c r="D180" i="9"/>
  <c r="I769" i="9"/>
  <c r="I630" i="9"/>
  <c r="I779" i="9"/>
  <c r="AO370" i="9"/>
  <c r="AT369" i="9"/>
  <c r="AO368" i="9"/>
  <c r="AO44" i="9"/>
  <c r="AO381" i="9"/>
  <c r="AO1167" i="9" s="1"/>
  <c r="L1168" i="9"/>
  <c r="X44" i="9"/>
  <c r="X370" i="9"/>
  <c r="X368" i="9"/>
  <c r="AC369" i="9"/>
  <c r="X381" i="9"/>
  <c r="X383" i="9" s="1"/>
  <c r="AC368" i="9"/>
  <c r="E154" i="9"/>
  <c r="E163" i="9"/>
  <c r="BJ382" i="9"/>
  <c r="BJ384" i="9"/>
  <c r="AE830" i="9"/>
  <c r="AD831" i="9"/>
  <c r="AD833" i="9"/>
  <c r="AD925" i="9" s="1"/>
  <c r="AD926" i="9" s="1"/>
  <c r="AN919" i="9"/>
  <c r="AN636" i="9"/>
  <c r="X1166" i="9"/>
  <c r="I381" i="9"/>
  <c r="I370" i="9"/>
  <c r="I44" i="9"/>
  <c r="N369" i="9"/>
  <c r="N368" i="9"/>
  <c r="AV41" i="9"/>
  <c r="AV42" i="9" s="1"/>
  <c r="AV330" i="9"/>
  <c r="AV329" i="9" s="1"/>
  <c r="AN784" i="9"/>
  <c r="D330" i="9"/>
  <c r="D329" i="9" s="1"/>
  <c r="D41" i="9"/>
  <c r="D42" i="9" s="1"/>
  <c r="BA330" i="9"/>
  <c r="BA329" i="9" s="1"/>
  <c r="AR636" i="9"/>
  <c r="AR919" i="9"/>
  <c r="AN1166" i="9"/>
  <c r="U1170" i="9"/>
  <c r="U801" i="9"/>
  <c r="U810" i="9" s="1"/>
  <c r="U729" i="9" s="1"/>
  <c r="U746" i="9" s="1"/>
  <c r="U1175" i="9" s="1"/>
  <c r="U809" i="9"/>
  <c r="U1160" i="9"/>
  <c r="U1159" i="9"/>
  <c r="AG383" i="9"/>
  <c r="AB382" i="9"/>
  <c r="AB384" i="9"/>
  <c r="BB1167" i="9"/>
  <c r="AJ805" i="9"/>
  <c r="AJ785" i="9"/>
  <c r="AJ796" i="9"/>
  <c r="AJ797" i="9" s="1"/>
  <c r="AJ802" i="9" s="1"/>
  <c r="AJ811" i="9" s="1"/>
  <c r="R370" i="9"/>
  <c r="W369" i="9"/>
  <c r="R368" i="9"/>
  <c r="R44" i="9"/>
  <c r="R381" i="9"/>
  <c r="R1167" i="9" s="1"/>
  <c r="AF44" i="9"/>
  <c r="AF381" i="9"/>
  <c r="AF368" i="9"/>
  <c r="AF370" i="9"/>
  <c r="AK369" i="9"/>
  <c r="AF369" i="9"/>
  <c r="AO41" i="9"/>
  <c r="AO330" i="9"/>
  <c r="AO329" i="9" s="1"/>
  <c r="V46" i="9"/>
  <c r="BD46" i="9"/>
  <c r="BD47" i="9" s="1"/>
  <c r="BD371" i="9"/>
  <c r="U46" i="9"/>
  <c r="BE384" i="9"/>
  <c r="BJ383" i="9"/>
  <c r="AU784" i="9"/>
  <c r="I833" i="9"/>
  <c r="I925" i="9" s="1"/>
  <c r="I926" i="9" s="1"/>
  <c r="I831" i="9"/>
  <c r="BT239" i="9"/>
  <c r="BS242" i="9"/>
  <c r="BS241" i="9" s="1"/>
  <c r="AK370" i="9"/>
  <c r="AP371" i="9" s="1"/>
  <c r="AK368" i="9"/>
  <c r="AK44" i="9"/>
  <c r="AP369" i="9"/>
  <c r="AK381" i="9"/>
  <c r="AP382" i="9" s="1"/>
  <c r="BH327" i="9"/>
  <c r="BH325" i="9"/>
  <c r="BH39" i="9"/>
  <c r="BP444" i="9"/>
  <c r="BP255" i="9"/>
  <c r="BQ253" i="9"/>
  <c r="BR1139" i="9"/>
  <c r="BQ907" i="9"/>
  <c r="Y41" i="9"/>
  <c r="Y42" i="9" s="1"/>
  <c r="Y330" i="9"/>
  <c r="Y329" i="9" s="1"/>
  <c r="AH371" i="9"/>
  <c r="AH46" i="9"/>
  <c r="AH47" i="9" s="1"/>
  <c r="AG382" i="9"/>
  <c r="AG384" i="9"/>
  <c r="AB383" i="9"/>
  <c r="W384" i="9"/>
  <c r="AL41" i="9"/>
  <c r="AL42" i="9" s="1"/>
  <c r="AL330" i="9"/>
  <c r="AL329" i="9" s="1"/>
  <c r="M810" i="9"/>
  <c r="M729" i="9" s="1"/>
  <c r="M746" i="9" s="1"/>
  <c r="M830" i="9"/>
  <c r="AE5" i="9"/>
  <c r="AA5" i="9"/>
  <c r="AB5" i="9" s="1"/>
  <c r="AC5" i="9" s="1"/>
  <c r="AD5" i="9" s="1"/>
  <c r="AC1224" i="9" s="1"/>
  <c r="E237" i="9"/>
  <c r="F234" i="9"/>
  <c r="E235" i="9"/>
  <c r="BE919" i="9"/>
  <c r="BE636" i="9"/>
  <c r="Y919" i="9"/>
  <c r="Y636" i="9"/>
  <c r="U805" i="9"/>
  <c r="U785" i="9"/>
  <c r="U796" i="9"/>
  <c r="U797" i="9" s="1"/>
  <c r="U802" i="9" s="1"/>
  <c r="U811" i="9" s="1"/>
  <c r="M784" i="9"/>
  <c r="L830" i="9"/>
  <c r="L810" i="9"/>
  <c r="L729" i="9" s="1"/>
  <c r="L746" i="9" s="1"/>
  <c r="AW383" i="9"/>
  <c r="AR384" i="9"/>
  <c r="AR385" i="9" s="1"/>
  <c r="AR382" i="9"/>
  <c r="AG46" i="9"/>
  <c r="AG371" i="9"/>
  <c r="BJ919" i="9"/>
  <c r="BJ636" i="9"/>
  <c r="T805" i="9"/>
  <c r="T785" i="9"/>
  <c r="T796" i="9"/>
  <c r="T797" i="9" s="1"/>
  <c r="T802" i="9" s="1"/>
  <c r="T811" i="9" s="1"/>
  <c r="T49" i="9" s="1"/>
  <c r="BH769" i="9"/>
  <c r="BH779" i="9"/>
  <c r="BH630" i="9"/>
  <c r="AD369" i="9"/>
  <c r="Y370" i="9"/>
  <c r="Y44" i="9"/>
  <c r="Y381" i="9"/>
  <c r="Y383" i="9" s="1"/>
  <c r="Y368" i="9"/>
  <c r="AS805" i="9"/>
  <c r="AS785" i="9"/>
  <c r="AS796" i="9"/>
  <c r="AS797" i="9" s="1"/>
  <c r="AS802" i="9" s="1"/>
  <c r="AS811" i="9" s="1"/>
  <c r="AS49" i="9" s="1"/>
  <c r="AU46" i="9"/>
  <c r="AU371" i="9"/>
  <c r="BE784" i="9"/>
  <c r="BJ784" i="9"/>
  <c r="AY805" i="9"/>
  <c r="AY785" i="9"/>
  <c r="AY796" i="9"/>
  <c r="AY797" i="9" s="1"/>
  <c r="AY802" i="9" s="1"/>
  <c r="AY811" i="9" s="1"/>
  <c r="C785" i="9"/>
  <c r="C805" i="9"/>
  <c r="C796" i="9"/>
  <c r="C797" i="9" s="1"/>
  <c r="C802" i="9" s="1"/>
  <c r="C811" i="9" s="1"/>
  <c r="BJ1167" i="9"/>
  <c r="H833" i="9"/>
  <c r="H925" i="9" s="1"/>
  <c r="H926" i="9" s="1"/>
  <c r="H831" i="9"/>
  <c r="D1172" i="9"/>
  <c r="D1065" i="9"/>
  <c r="E1059" i="9"/>
  <c r="E1060" i="9" s="1"/>
  <c r="W805" i="9"/>
  <c r="W785" i="9"/>
  <c r="W796" i="9"/>
  <c r="W797" i="9" s="1"/>
  <c r="W802" i="9" s="1"/>
  <c r="W811" i="9" s="1"/>
  <c r="W49" i="9" s="1"/>
  <c r="AG42" i="9"/>
  <c r="F381" i="9"/>
  <c r="F1167" i="9" s="1"/>
  <c r="K369" i="9"/>
  <c r="F44" i="9"/>
  <c r="F368" i="9"/>
  <c r="F370" i="9"/>
  <c r="F898" i="9"/>
  <c r="F899" i="9" s="1"/>
  <c r="F900" i="9" s="1"/>
  <c r="AT636" i="9"/>
  <c r="AT919" i="9"/>
  <c r="AT920" i="9"/>
  <c r="AU382" i="9"/>
  <c r="AU384" i="9"/>
  <c r="BA369" i="9"/>
  <c r="AV370" i="9"/>
  <c r="BA371" i="9" s="1"/>
  <c r="AV381" i="9"/>
  <c r="BA382" i="9" s="1"/>
  <c r="AV44" i="9"/>
  <c r="AV368" i="9"/>
  <c r="AD330" i="9"/>
  <c r="AD329" i="9" s="1"/>
  <c r="AD41" i="9"/>
  <c r="AD42" i="9" s="1"/>
  <c r="AL381" i="9"/>
  <c r="AL383" i="9" s="1"/>
  <c r="AL370" i="9"/>
  <c r="AQ371" i="9" s="1"/>
  <c r="AL368" i="9"/>
  <c r="AL44" i="9"/>
  <c r="AQ369" i="9"/>
  <c r="R833" i="9"/>
  <c r="R925" i="9" s="1"/>
  <c r="R926" i="9" s="1"/>
  <c r="R831" i="9"/>
  <c r="BJ42" i="9"/>
  <c r="AG805" i="9"/>
  <c r="AG785" i="9"/>
  <c r="AG796" i="9"/>
  <c r="AG797" i="9" s="1"/>
  <c r="AG802" i="9" s="1"/>
  <c r="AG811" i="9" s="1"/>
  <c r="AG49" i="9" s="1"/>
  <c r="P785" i="9"/>
  <c r="P805" i="9"/>
  <c r="P796" i="9"/>
  <c r="P797" i="9" s="1"/>
  <c r="P802" i="9" s="1"/>
  <c r="P811" i="9" s="1"/>
  <c r="BN912" i="9"/>
  <c r="BN913" i="9" s="1"/>
  <c r="AB919" i="9"/>
  <c r="AB636" i="9"/>
  <c r="AX41" i="9"/>
  <c r="AX330" i="9"/>
  <c r="AX329" i="9" s="1"/>
  <c r="AR1167" i="9"/>
  <c r="I249" i="9"/>
  <c r="I251" i="9"/>
  <c r="J245" i="9"/>
  <c r="J248" i="9" s="1"/>
  <c r="I270" i="9"/>
  <c r="I259" i="9"/>
  <c r="D1166" i="9"/>
  <c r="L384" i="9"/>
  <c r="BS27" i="9"/>
  <c r="BS262" i="9"/>
  <c r="AH805" i="9"/>
  <c r="AH785" i="9"/>
  <c r="AH796" i="9"/>
  <c r="AH797" i="9" s="1"/>
  <c r="AH802" i="9" s="1"/>
  <c r="AH811" i="9" s="1"/>
  <c r="AH49" i="9" s="1"/>
  <c r="AI1170" i="9"/>
  <c r="AI809" i="9"/>
  <c r="AI801" i="9"/>
  <c r="AI1159" i="9"/>
  <c r="AI1160" i="9"/>
  <c r="K128" i="9"/>
  <c r="G128" i="9"/>
  <c r="F131" i="9"/>
  <c r="F133" i="9"/>
  <c r="BJ46" i="9"/>
  <c r="BJ371" i="9"/>
  <c r="AM382" i="9"/>
  <c r="BB805" i="9"/>
  <c r="BB796" i="9"/>
  <c r="BB797" i="9" s="1"/>
  <c r="BB802" i="9" s="1"/>
  <c r="BB811" i="9" s="1"/>
  <c r="BB49" i="9" s="1"/>
  <c r="BB785" i="9"/>
  <c r="D810" i="9"/>
  <c r="D729" i="9" s="1"/>
  <c r="D746" i="9" s="1"/>
  <c r="D830" i="9"/>
  <c r="R784" i="9"/>
  <c r="AH1170" i="9"/>
  <c r="AP330" i="9"/>
  <c r="AP329" i="9" s="1"/>
  <c r="AY1170" i="9"/>
  <c r="AY1159" i="9"/>
  <c r="AY809" i="9"/>
  <c r="AY801" i="9"/>
  <c r="AY810" i="9" s="1"/>
  <c r="AY729" i="9" s="1"/>
  <c r="AY746" i="9" s="1"/>
  <c r="AY1160" i="9"/>
  <c r="BD1170" i="9"/>
  <c r="AP46" i="9"/>
  <c r="Z41" i="9"/>
  <c r="Z42" i="9" s="1"/>
  <c r="Z330" i="9"/>
  <c r="Z329" i="9" s="1"/>
  <c r="G784" i="9"/>
  <c r="BP1142" i="9"/>
  <c r="BQ1137" i="9"/>
  <c r="Q330" i="9"/>
  <c r="Q329" i="9" s="1"/>
  <c r="Q41" i="9"/>
  <c r="Q42" i="9" s="1"/>
  <c r="BI1170" i="9"/>
  <c r="BI801" i="9"/>
  <c r="BI810" i="9" s="1"/>
  <c r="BI729" i="9" s="1"/>
  <c r="BI746" i="9" s="1"/>
  <c r="BI809" i="9"/>
  <c r="BI1159" i="9"/>
  <c r="BI1160" i="9"/>
  <c r="AJ1170" i="9"/>
  <c r="BI384" i="9"/>
  <c r="BI382" i="9"/>
  <c r="Z1170" i="9"/>
  <c r="Z801" i="9"/>
  <c r="Z810" i="9" s="1"/>
  <c r="Z729" i="9" s="1"/>
  <c r="Z746" i="9" s="1"/>
  <c r="Z809" i="9"/>
  <c r="Z1159" i="9"/>
  <c r="Z1160" i="9"/>
  <c r="O779" i="9"/>
  <c r="O1167" i="9" s="1"/>
  <c r="O630" i="9"/>
  <c r="O769" i="9"/>
  <c r="O1166" i="9"/>
  <c r="S833" i="9"/>
  <c r="S925" i="9" s="1"/>
  <c r="S926" i="9" s="1"/>
  <c r="S831" i="9"/>
  <c r="BN906" i="9"/>
  <c r="BN904" i="9"/>
  <c r="D139" i="9"/>
  <c r="D136" i="9" s="1"/>
  <c r="D135" i="9"/>
  <c r="D121" i="9" s="1"/>
  <c r="E130" i="9" s="1"/>
  <c r="E129" i="9" s="1"/>
  <c r="U330" i="9"/>
  <c r="U329" i="9" s="1"/>
  <c r="AQ330" i="9"/>
  <c r="AQ329" i="9" s="1"/>
  <c r="K41" i="9"/>
  <c r="K330" i="9"/>
  <c r="K329" i="9" s="1"/>
  <c r="R636" i="9"/>
  <c r="R919" i="9"/>
  <c r="F369" i="9"/>
  <c r="E368" i="9"/>
  <c r="E381" i="9"/>
  <c r="E1167" i="9" s="1"/>
  <c r="E44" i="9"/>
  <c r="E370" i="9"/>
  <c r="AU383" i="9"/>
  <c r="AP384" i="9"/>
  <c r="BI371" i="9"/>
  <c r="BI46" i="9"/>
  <c r="D7" i="10" s="1"/>
  <c r="D5" i="10" s="1"/>
  <c r="E805" i="9"/>
  <c r="E785" i="9"/>
  <c r="E796" i="9"/>
  <c r="E797" i="9" s="1"/>
  <c r="E802" i="9" s="1"/>
  <c r="E811" i="9" s="1"/>
  <c r="U42" i="9"/>
  <c r="AQ42" i="9"/>
  <c r="AC830" i="9"/>
  <c r="AC810" i="9"/>
  <c r="AC729" i="9" s="1"/>
  <c r="AC746" i="9" s="1"/>
  <c r="X830" i="9"/>
  <c r="X810" i="9"/>
  <c r="X729" i="9" s="1"/>
  <c r="X746" i="9" s="1"/>
  <c r="AU42" i="9"/>
  <c r="AZ42" i="9"/>
  <c r="V830" i="9"/>
  <c r="V810" i="9"/>
  <c r="V729" i="9" s="1"/>
  <c r="V746" i="9" s="1"/>
  <c r="W1167" i="9"/>
  <c r="AR784" i="9"/>
  <c r="BA1170" i="9"/>
  <c r="V805" i="9"/>
  <c r="V785" i="9"/>
  <c r="V796" i="9"/>
  <c r="V797" i="9" s="1"/>
  <c r="V802" i="9" s="1"/>
  <c r="Q784" i="9"/>
  <c r="L1167" i="9"/>
  <c r="BE46" i="9"/>
  <c r="I1166" i="9"/>
  <c r="AL784" i="9"/>
  <c r="Z1166" i="9"/>
  <c r="AE625" i="9"/>
  <c r="AE763" i="9"/>
  <c r="AE1166" i="9" s="1"/>
  <c r="AO805" i="9"/>
  <c r="AO785" i="9"/>
  <c r="AO796" i="9"/>
  <c r="AO797" i="9" s="1"/>
  <c r="AO802" i="9" s="1"/>
  <c r="AO811" i="9" s="1"/>
  <c r="T831" i="9"/>
  <c r="U830" i="9"/>
  <c r="T833" i="9"/>
  <c r="T925" i="9" s="1"/>
  <c r="T926" i="9" s="1"/>
  <c r="AN1170" i="9"/>
  <c r="AN801" i="9"/>
  <c r="AN809" i="9"/>
  <c r="AN1159" i="9"/>
  <c r="R1166" i="9"/>
  <c r="BK1087" i="9"/>
  <c r="AT1166" i="9"/>
  <c r="AU1167" i="9"/>
  <c r="BF368" i="9"/>
  <c r="BF381" i="9"/>
  <c r="BF1167" i="9" s="1"/>
  <c r="BF44" i="9"/>
  <c r="BF370" i="9"/>
  <c r="R330" i="9"/>
  <c r="R329" i="9" s="1"/>
  <c r="R41" i="9"/>
  <c r="AU636" i="9"/>
  <c r="AU919" i="9"/>
  <c r="E107" i="9"/>
  <c r="E98" i="9"/>
  <c r="BH366" i="9"/>
  <c r="BH379" i="9"/>
  <c r="O1168" i="9"/>
  <c r="BB833" i="9"/>
  <c r="BB925" i="9" s="1"/>
  <c r="BB926" i="9" s="1"/>
  <c r="BB831" i="9"/>
  <c r="Y369" i="9"/>
  <c r="AQ805" i="9"/>
  <c r="AQ785" i="9"/>
  <c r="AQ796" i="9"/>
  <c r="AQ797" i="9" s="1"/>
  <c r="AQ802" i="9" s="1"/>
  <c r="AQ811" i="9" s="1"/>
  <c r="AQ49" i="9" s="1"/>
  <c r="U368" i="9"/>
  <c r="BB371" i="9"/>
  <c r="BB46" i="9"/>
  <c r="BB47" i="9" s="1"/>
  <c r="P1170" i="9"/>
  <c r="P801" i="9"/>
  <c r="P810" i="9" s="1"/>
  <c r="P729" i="9" s="1"/>
  <c r="P746" i="9" s="1"/>
  <c r="P809" i="9"/>
  <c r="P1159" i="9"/>
  <c r="P1160" i="9"/>
  <c r="BG784" i="9"/>
  <c r="E830" i="9"/>
  <c r="E810" i="9"/>
  <c r="E729" i="9" s="1"/>
  <c r="E746" i="9" s="1"/>
  <c r="Y830" i="9"/>
  <c r="Y810" i="9"/>
  <c r="Y729" i="9" s="1"/>
  <c r="Y746" i="9" s="1"/>
  <c r="V368" i="9"/>
  <c r="AS810" i="9"/>
  <c r="AS729" i="9" s="1"/>
  <c r="AS746" i="9" s="1"/>
  <c r="AS830" i="9"/>
  <c r="E1166" i="9"/>
  <c r="BG919" i="9"/>
  <c r="BG636" i="9"/>
  <c r="M369" i="9"/>
  <c r="H381" i="9"/>
  <c r="H1167" i="9" s="1"/>
  <c r="H370" i="9"/>
  <c r="H46" i="9" s="1"/>
  <c r="H44" i="9"/>
  <c r="AL919" i="9"/>
  <c r="AL636" i="9"/>
  <c r="AN325" i="9"/>
  <c r="BA384" i="9"/>
  <c r="BG330" i="9"/>
  <c r="BG329" i="9" s="1"/>
  <c r="BG41" i="9"/>
  <c r="BG42" i="9" s="1"/>
  <c r="AI636" i="9"/>
  <c r="AI919" i="9"/>
  <c r="AF1166" i="9"/>
  <c r="BC1170" i="9"/>
  <c r="BC801" i="9"/>
  <c r="BC809" i="9"/>
  <c r="BC1159" i="9"/>
  <c r="AL810" i="9"/>
  <c r="AL729" i="9" s="1"/>
  <c r="AL746" i="9" s="1"/>
  <c r="AL830" i="9"/>
  <c r="BD382" i="9"/>
  <c r="BI383" i="9"/>
  <c r="BD384" i="9"/>
  <c r="BD385" i="9" s="1"/>
  <c r="BF1166" i="9"/>
  <c r="AS44" i="9"/>
  <c r="AS381" i="9"/>
  <c r="AS1167" i="9" s="1"/>
  <c r="AS370" i="9"/>
  <c r="AS368" i="9"/>
  <c r="AX369" i="9"/>
  <c r="L805" i="9"/>
  <c r="L785" i="9"/>
  <c r="L796" i="9"/>
  <c r="L797" i="9" s="1"/>
  <c r="L802" i="9" s="1"/>
  <c r="F41" i="9"/>
  <c r="F42" i="9" s="1"/>
  <c r="F330" i="9"/>
  <c r="F329" i="9" s="1"/>
  <c r="S1166" i="9"/>
  <c r="H119" i="4"/>
  <c r="L37" i="4"/>
  <c r="K89" i="4" s="1"/>
  <c r="K90" i="4" s="1"/>
  <c r="K91" i="4" s="1"/>
  <c r="I48" i="4"/>
  <c r="H48" i="4"/>
  <c r="K46" i="4"/>
  <c r="K38" i="4"/>
  <c r="K119" i="4" s="1"/>
  <c r="K36" i="4"/>
  <c r="J47" i="4"/>
  <c r="J45" i="4"/>
  <c r="K29" i="4"/>
  <c r="J44" i="4"/>
  <c r="J39" i="4"/>
  <c r="K35" i="4"/>
  <c r="H40" i="3"/>
  <c r="F40" i="3"/>
  <c r="D40" i="3"/>
  <c r="D26" i="3"/>
  <c r="BO924" i="9" l="1"/>
  <c r="BK830" i="9"/>
  <c r="BK833" i="9" s="1"/>
  <c r="BL822" i="9"/>
  <c r="BK824" i="9"/>
  <c r="BK814" i="9"/>
  <c r="BK883" i="9" s="1"/>
  <c r="BK1006" i="11" s="1"/>
  <c r="AV51" i="9"/>
  <c r="AA371" i="9"/>
  <c r="AO755" i="11"/>
  <c r="AJ755" i="11"/>
  <c r="BI755" i="11"/>
  <c r="AT755" i="11"/>
  <c r="BN924" i="9"/>
  <c r="BL924" i="9"/>
  <c r="Z755" i="11"/>
  <c r="BV7" i="11"/>
  <c r="BV9" i="11"/>
  <c r="BV8" i="11" s="1"/>
  <c r="BU8" i="11"/>
  <c r="BA270" i="11"/>
  <c r="BA264" i="11"/>
  <c r="BA271" i="11" s="1"/>
  <c r="O269" i="11"/>
  <c r="O261" i="11"/>
  <c r="O993" i="11"/>
  <c r="BJ261" i="11"/>
  <c r="BJ269" i="11"/>
  <c r="BJ993" i="11"/>
  <c r="BP958" i="11"/>
  <c r="BP960" i="11"/>
  <c r="BP941" i="11"/>
  <c r="BP942" i="11" s="1"/>
  <c r="BP938" i="11"/>
  <c r="BP939" i="11"/>
  <c r="BP715" i="11"/>
  <c r="BP243" i="11" s="1"/>
  <c r="BP511" i="11"/>
  <c r="BP231" i="11"/>
  <c r="BP996" i="11"/>
  <c r="BL87" i="11"/>
  <c r="BL102" i="11"/>
  <c r="BL86" i="11"/>
  <c r="AJ1007" i="11"/>
  <c r="BE361" i="11"/>
  <c r="BN95" i="11"/>
  <c r="Q1002" i="11"/>
  <c r="Q897" i="11"/>
  <c r="R889" i="11"/>
  <c r="R890" i="11" s="1"/>
  <c r="BJ468" i="11"/>
  <c r="BJ434" i="11"/>
  <c r="BJ438" i="11" s="1"/>
  <c r="BJ439" i="11" s="1"/>
  <c r="BJ417" i="11"/>
  <c r="BJ421" i="11" s="1"/>
  <c r="BJ422" i="11" s="1"/>
  <c r="BJ383" i="11"/>
  <c r="BJ387" i="11" s="1"/>
  <c r="BJ400" i="11"/>
  <c r="BJ404" i="11" s="1"/>
  <c r="BJ405" i="11" s="1"/>
  <c r="BJ451" i="11"/>
  <c r="BJ455" i="11" s="1"/>
  <c r="BJ456" i="11" s="1"/>
  <c r="AZ261" i="11"/>
  <c r="AZ269" i="11"/>
  <c r="AZ993" i="11"/>
  <c r="BK960" i="11"/>
  <c r="BK851" i="11" s="1"/>
  <c r="BK958" i="11"/>
  <c r="BK850" i="11" s="1"/>
  <c r="BK941" i="11"/>
  <c r="BK942" i="11" s="1"/>
  <c r="BK938" i="11"/>
  <c r="BK511" i="11"/>
  <c r="BK231" i="11"/>
  <c r="BK939" i="11"/>
  <c r="BK715" i="11"/>
  <c r="BN227" i="11"/>
  <c r="BK996" i="11"/>
  <c r="AS637" i="11"/>
  <c r="AZ417" i="11"/>
  <c r="AZ421" i="11" s="1"/>
  <c r="AZ422" i="11" s="1"/>
  <c r="AZ400" i="11"/>
  <c r="AZ404" i="11" s="1"/>
  <c r="AZ405" i="11" s="1"/>
  <c r="AZ468" i="11"/>
  <c r="AZ383" i="11"/>
  <c r="AZ387" i="11" s="1"/>
  <c r="AZ388" i="11" s="1"/>
  <c r="AZ370" i="11"/>
  <c r="AZ374" i="11" s="1"/>
  <c r="BG451" i="11"/>
  <c r="BG455" i="11" s="1"/>
  <c r="BG456" i="11" s="1"/>
  <c r="BG417" i="11"/>
  <c r="BG421" i="11" s="1"/>
  <c r="BG422" i="11" s="1"/>
  <c r="BG434" i="11"/>
  <c r="BG438" i="11" s="1"/>
  <c r="BG439" i="11" s="1"/>
  <c r="BG400" i="11"/>
  <c r="BG404" i="11" s="1"/>
  <c r="BG405" i="11" s="1"/>
  <c r="BG468" i="11"/>
  <c r="BG383" i="11"/>
  <c r="BG387" i="11" s="1"/>
  <c r="AD636" i="11"/>
  <c r="AD633" i="11"/>
  <c r="AD630" i="11"/>
  <c r="BE434" i="11"/>
  <c r="BE438" i="11" s="1"/>
  <c r="BE439" i="11" s="1"/>
  <c r="BE400" i="11"/>
  <c r="BE404" i="11" s="1"/>
  <c r="BE405" i="11" s="1"/>
  <c r="BE383" i="11"/>
  <c r="BE387" i="11" s="1"/>
  <c r="BE417" i="11"/>
  <c r="BE421" i="11" s="1"/>
  <c r="BE422" i="11" s="1"/>
  <c r="BE468" i="11"/>
  <c r="BP96" i="11"/>
  <c r="BP232" i="11"/>
  <c r="BR411" i="11"/>
  <c r="L269" i="11"/>
  <c r="L261" i="11"/>
  <c r="L993" i="11"/>
  <c r="BM85" i="11"/>
  <c r="AF5" i="11"/>
  <c r="AJ5" i="11"/>
  <c r="AA269" i="11"/>
  <c r="AA261" i="11"/>
  <c r="AA993" i="11"/>
  <c r="BV420" i="11"/>
  <c r="AJ753" i="11"/>
  <c r="AJ752" i="11"/>
  <c r="I1002" i="11"/>
  <c r="J889" i="11"/>
  <c r="J890" i="11" s="1"/>
  <c r="BC383" i="11"/>
  <c r="BC468" i="11"/>
  <c r="BC417" i="11"/>
  <c r="BC421" i="11" s="1"/>
  <c r="BC422" i="11" s="1"/>
  <c r="BC434" i="11"/>
  <c r="BC438" i="11" s="1"/>
  <c r="BC439" i="11" s="1"/>
  <c r="BC400" i="11"/>
  <c r="BC404" i="11" s="1"/>
  <c r="BC405" i="11" s="1"/>
  <c r="AH269" i="11"/>
  <c r="AH261" i="11"/>
  <c r="AH993" i="11"/>
  <c r="AS1000" i="11"/>
  <c r="AS259" i="11"/>
  <c r="AS992" i="11"/>
  <c r="BR377" i="11"/>
  <c r="AJ264" i="11"/>
  <c r="AJ271" i="11" s="1"/>
  <c r="AJ751" i="11" s="1"/>
  <c r="AJ270" i="11"/>
  <c r="P261" i="11"/>
  <c r="P269" i="11"/>
  <c r="P993" i="11"/>
  <c r="BQ962" i="11"/>
  <c r="AE261" i="11"/>
  <c r="AE269" i="11"/>
  <c r="AE993" i="11"/>
  <c r="AE753" i="11"/>
  <c r="AE752" i="11"/>
  <c r="AC264" i="11"/>
  <c r="AC271" i="11" s="1"/>
  <c r="AC270" i="11"/>
  <c r="BV386" i="11"/>
  <c r="P752" i="11"/>
  <c r="P753" i="11"/>
  <c r="AY749" i="11"/>
  <c r="AY755" i="11"/>
  <c r="AV270" i="11"/>
  <c r="AV264" i="11"/>
  <c r="AV271" i="11" s="1"/>
  <c r="AQ269" i="11"/>
  <c r="AQ261" i="11"/>
  <c r="AQ993" i="11"/>
  <c r="AW383" i="11"/>
  <c r="AW387" i="11" s="1"/>
  <c r="AW388" i="11" s="1"/>
  <c r="AW468" i="11"/>
  <c r="AW400" i="11"/>
  <c r="AW404" i="11" s="1"/>
  <c r="AW405" i="11" s="1"/>
  <c r="AW370" i="11"/>
  <c r="AW417" i="11"/>
  <c r="AW421" i="11" s="1"/>
  <c r="AW422" i="11" s="1"/>
  <c r="BQ96" i="11"/>
  <c r="BQ232" i="11"/>
  <c r="BA383" i="11"/>
  <c r="BA387" i="11" s="1"/>
  <c r="BA388" i="11" s="1"/>
  <c r="BA417" i="11"/>
  <c r="BA421" i="11" s="1"/>
  <c r="BA422" i="11" s="1"/>
  <c r="BA400" i="11"/>
  <c r="BA404" i="11" s="1"/>
  <c r="BA405" i="11" s="1"/>
  <c r="BA468" i="11"/>
  <c r="BA370" i="11"/>
  <c r="BA374" i="11" s="1"/>
  <c r="W269" i="11"/>
  <c r="W261" i="11"/>
  <c r="W993" i="11"/>
  <c r="AE755" i="11"/>
  <c r="AL269" i="11"/>
  <c r="AL261" i="11"/>
  <c r="AL993" i="11"/>
  <c r="BR428" i="11"/>
  <c r="BS73" i="11"/>
  <c r="BS74" i="11" s="1"/>
  <c r="BT74" i="11" s="1"/>
  <c r="BH417" i="11"/>
  <c r="BH421" i="11" s="1"/>
  <c r="BH422" i="11" s="1"/>
  <c r="BH383" i="11"/>
  <c r="BH468" i="11"/>
  <c r="BH434" i="11"/>
  <c r="BH438" i="11" s="1"/>
  <c r="BH439" i="11" s="1"/>
  <c r="BH451" i="11"/>
  <c r="BH455" i="11" s="1"/>
  <c r="BH456" i="11" s="1"/>
  <c r="BH400" i="11"/>
  <c r="BH404" i="11" s="1"/>
  <c r="BH405" i="11" s="1"/>
  <c r="BH261" i="11"/>
  <c r="BH269" i="11"/>
  <c r="BH993" i="11"/>
  <c r="AT261" i="11"/>
  <c r="AT269" i="11"/>
  <c r="AT993" i="11"/>
  <c r="BF354" i="11"/>
  <c r="BF360" i="11" s="1"/>
  <c r="BG348" i="11"/>
  <c r="BG352" i="11" s="1"/>
  <c r="AQ501" i="11"/>
  <c r="AQ502" i="11"/>
  <c r="Q261" i="11"/>
  <c r="Q269" i="11"/>
  <c r="Q993" i="11"/>
  <c r="X261" i="11"/>
  <c r="X269" i="11"/>
  <c r="X993" i="11"/>
  <c r="BQ227" i="11"/>
  <c r="BQ94" i="11"/>
  <c r="BI752" i="11"/>
  <c r="BI753" i="11"/>
  <c r="AA630" i="11"/>
  <c r="AA633" i="11"/>
  <c r="AA636" i="11"/>
  <c r="AW342" i="11"/>
  <c r="AV346" i="11"/>
  <c r="K269" i="11"/>
  <c r="K261" i="11"/>
  <c r="K993" i="11"/>
  <c r="BA1002" i="11"/>
  <c r="BB889" i="11"/>
  <c r="BB890" i="11" s="1"/>
  <c r="BA897" i="11"/>
  <c r="AK269" i="11"/>
  <c r="AK261" i="11"/>
  <c r="AK993" i="11"/>
  <c r="AH1000" i="11"/>
  <c r="T630" i="11"/>
  <c r="T633" i="11"/>
  <c r="T636" i="11"/>
  <c r="BP938" i="9"/>
  <c r="BP747" i="11" s="1"/>
  <c r="BP762" i="11"/>
  <c r="BN73" i="11"/>
  <c r="BN74" i="11" s="1"/>
  <c r="AO261" i="11"/>
  <c r="AO269" i="11"/>
  <c r="AO993" i="11"/>
  <c r="BP85" i="11"/>
  <c r="AM269" i="11"/>
  <c r="AM261" i="11"/>
  <c r="AM993" i="11"/>
  <c r="U749" i="11"/>
  <c r="U755" i="11"/>
  <c r="BN69" i="11"/>
  <c r="BN70" i="11" s="1"/>
  <c r="AP269" i="11"/>
  <c r="AP261" i="11"/>
  <c r="AP993" i="11"/>
  <c r="BQ971" i="11"/>
  <c r="BP732" i="11"/>
  <c r="BP492" i="11" s="1"/>
  <c r="J633" i="11"/>
  <c r="J630" i="11"/>
  <c r="AW361" i="11"/>
  <c r="U269" i="11"/>
  <c r="U261" i="11"/>
  <c r="U993" i="11"/>
  <c r="BG269" i="11"/>
  <c r="BG261" i="11"/>
  <c r="BG993" i="11"/>
  <c r="BK556" i="11"/>
  <c r="BR232" i="11"/>
  <c r="BR231" i="11" s="1"/>
  <c r="BR109" i="11"/>
  <c r="BR96" i="11"/>
  <c r="V264" i="11"/>
  <c r="V270" i="11"/>
  <c r="AZ923" i="11"/>
  <c r="BA947" i="11"/>
  <c r="AZ948" i="11"/>
  <c r="F269" i="11"/>
  <c r="F261" i="11"/>
  <c r="F993" i="11"/>
  <c r="M264" i="11"/>
  <c r="M271" i="11" s="1"/>
  <c r="M270" i="11"/>
  <c r="BU13" i="11"/>
  <c r="BT21" i="11"/>
  <c r="AU270" i="11"/>
  <c r="AU264" i="11"/>
  <c r="BO96" i="11"/>
  <c r="BO232" i="11"/>
  <c r="BO231" i="11" s="1"/>
  <c r="BE270" i="11"/>
  <c r="BE264" i="11"/>
  <c r="BH889" i="11"/>
  <c r="BH890" i="11" s="1"/>
  <c r="BG1002" i="11"/>
  <c r="BG897" i="11"/>
  <c r="AN637" i="11"/>
  <c r="AN634" i="11"/>
  <c r="AP502" i="11"/>
  <c r="AP501" i="11"/>
  <c r="E270" i="11"/>
  <c r="E264" i="11"/>
  <c r="E271" i="11" s="1"/>
  <c r="AU400" i="11"/>
  <c r="AU404" i="11" s="1"/>
  <c r="AU405" i="11" s="1"/>
  <c r="AU468" i="11"/>
  <c r="AU370" i="11"/>
  <c r="AU374" i="11" s="1"/>
  <c r="AU383" i="11"/>
  <c r="AU387" i="11" s="1"/>
  <c r="AU388" i="11" s="1"/>
  <c r="AU417" i="11"/>
  <c r="AU421" i="11" s="1"/>
  <c r="AU422" i="11" s="1"/>
  <c r="AN1000" i="11"/>
  <c r="BR394" i="11"/>
  <c r="BF269" i="11"/>
  <c r="BF261" i="11"/>
  <c r="BF993" i="11"/>
  <c r="BR939" i="11"/>
  <c r="BS939" i="11" s="1"/>
  <c r="BR938" i="11"/>
  <c r="BS938" i="11" s="1"/>
  <c r="BR715" i="11"/>
  <c r="BR243" i="11" s="1"/>
  <c r="BR941" i="11"/>
  <c r="BS941" i="11" s="1"/>
  <c r="BS903" i="11" s="1"/>
  <c r="BR958" i="11"/>
  <c r="BR960" i="11"/>
  <c r="BR511" i="11"/>
  <c r="BR996" i="11"/>
  <c r="BP1262" i="9"/>
  <c r="BP1122" i="11"/>
  <c r="BM556" i="11"/>
  <c r="BC1000" i="11"/>
  <c r="BC259" i="11"/>
  <c r="BC992" i="11"/>
  <c r="BE1000" i="11"/>
  <c r="BD1007" i="11"/>
  <c r="T261" i="11"/>
  <c r="T269" i="11"/>
  <c r="T993" i="11"/>
  <c r="AX269" i="11"/>
  <c r="AX261" i="11"/>
  <c r="AX993" i="11"/>
  <c r="BD383" i="11"/>
  <c r="BD387" i="11" s="1"/>
  <c r="BD400" i="11"/>
  <c r="BD404" i="11" s="1"/>
  <c r="BD405" i="11" s="1"/>
  <c r="BD434" i="11"/>
  <c r="BD438" i="11" s="1"/>
  <c r="BD439" i="11" s="1"/>
  <c r="BD417" i="11"/>
  <c r="BD421" i="11" s="1"/>
  <c r="BD422" i="11" s="1"/>
  <c r="BD468" i="11"/>
  <c r="S630" i="11"/>
  <c r="S633" i="11"/>
  <c r="S636" i="11"/>
  <c r="H633" i="11"/>
  <c r="H630" i="11"/>
  <c r="W826" i="11"/>
  <c r="V827" i="11"/>
  <c r="AX400" i="11"/>
  <c r="AX404" i="11" s="1"/>
  <c r="AX405" i="11" s="1"/>
  <c r="AX370" i="11"/>
  <c r="AX374" i="11" s="1"/>
  <c r="AX468" i="11"/>
  <c r="AX417" i="11"/>
  <c r="AX421" i="11" s="1"/>
  <c r="AX422" i="11" s="1"/>
  <c r="AX383" i="11"/>
  <c r="AX387" i="11" s="1"/>
  <c r="AX388" i="11" s="1"/>
  <c r="J4" i="11"/>
  <c r="I279" i="11"/>
  <c r="I3" i="11"/>
  <c r="P756" i="11"/>
  <c r="BR942" i="11"/>
  <c r="BS940" i="11"/>
  <c r="BS91" i="11"/>
  <c r="BB269" i="11"/>
  <c r="BB261" i="11"/>
  <c r="BB993" i="11"/>
  <c r="AO752" i="11"/>
  <c r="AO753" i="11"/>
  <c r="AR261" i="11"/>
  <c r="AR269" i="11"/>
  <c r="AR993" i="11"/>
  <c r="AX361" i="11"/>
  <c r="BR445" i="11"/>
  <c r="AT400" i="11"/>
  <c r="AT404" i="11" s="1"/>
  <c r="AT405" i="11" s="1"/>
  <c r="AT383" i="11"/>
  <c r="AT387" i="11" s="1"/>
  <c r="AT388" i="11" s="1"/>
  <c r="AT468" i="11"/>
  <c r="AT417" i="11"/>
  <c r="AT421" i="11" s="1"/>
  <c r="AT422" i="11" s="1"/>
  <c r="AT370" i="11"/>
  <c r="AT374" i="11" s="1"/>
  <c r="AB630" i="11"/>
  <c r="AB636" i="11"/>
  <c r="AB633" i="11"/>
  <c r="N889" i="11"/>
  <c r="N890" i="11" s="1"/>
  <c r="M1002" i="11"/>
  <c r="AY370" i="11"/>
  <c r="AY374" i="11" s="1"/>
  <c r="AY468" i="11"/>
  <c r="AY417" i="11"/>
  <c r="AY421" i="11" s="1"/>
  <c r="AY422" i="11" s="1"/>
  <c r="AY400" i="11"/>
  <c r="AY404" i="11" s="1"/>
  <c r="AY405" i="11" s="1"/>
  <c r="AY383" i="11"/>
  <c r="AY387" i="11" s="1"/>
  <c r="AY388" i="11" s="1"/>
  <c r="BD264" i="11"/>
  <c r="BD271" i="11" s="1"/>
  <c r="BD751" i="11" s="1"/>
  <c r="BD270" i="11"/>
  <c r="AF269" i="11"/>
  <c r="AF261" i="11"/>
  <c r="AF993" i="11"/>
  <c r="BB354" i="11"/>
  <c r="BB360" i="11" s="1"/>
  <c r="BC348" i="11"/>
  <c r="BC352" i="11" s="1"/>
  <c r="BC354" i="11" s="1"/>
  <c r="BC360" i="11" s="1"/>
  <c r="AN261" i="11"/>
  <c r="AN269" i="11"/>
  <c r="AN993" i="11"/>
  <c r="BQ69" i="11"/>
  <c r="BQ73" i="11"/>
  <c r="BQ81" i="11"/>
  <c r="BQ85" i="11" s="1"/>
  <c r="O630" i="11"/>
  <c r="O636" i="11"/>
  <c r="O633" i="11"/>
  <c r="S269" i="11"/>
  <c r="S261" i="11"/>
  <c r="S993" i="11"/>
  <c r="BK924" i="9"/>
  <c r="BK925" i="9" s="1"/>
  <c r="BQ1269" i="9"/>
  <c r="BQ1129" i="11"/>
  <c r="AB269" i="11"/>
  <c r="AB261" i="11"/>
  <c r="AB993" i="11"/>
  <c r="BD749" i="11"/>
  <c r="BD755" i="11"/>
  <c r="BJ361" i="11"/>
  <c r="J992" i="11"/>
  <c r="J259" i="11"/>
  <c r="Z753" i="11"/>
  <c r="Z752" i="11"/>
  <c r="AV400" i="11"/>
  <c r="AV404" i="11" s="1"/>
  <c r="AV405" i="11" s="1"/>
  <c r="AV383" i="11"/>
  <c r="AV387" i="11" s="1"/>
  <c r="AV388" i="11" s="1"/>
  <c r="AV468" i="11"/>
  <c r="AV370" i="11"/>
  <c r="AV374" i="11" s="1"/>
  <c r="AV417" i="11"/>
  <c r="AV421" i="11" s="1"/>
  <c r="AV422" i="11" s="1"/>
  <c r="BI468" i="11"/>
  <c r="BI434" i="11"/>
  <c r="BI438" i="11" s="1"/>
  <c r="BI439" i="11" s="1"/>
  <c r="BI417" i="11"/>
  <c r="BI421" i="11" s="1"/>
  <c r="BI422" i="11" s="1"/>
  <c r="BI451" i="11"/>
  <c r="BI455" i="11" s="1"/>
  <c r="BI456" i="11" s="1"/>
  <c r="BI383" i="11"/>
  <c r="BI387" i="11" s="1"/>
  <c r="BI400" i="11"/>
  <c r="BI404" i="11" s="1"/>
  <c r="BI405" i="11" s="1"/>
  <c r="BO941" i="11"/>
  <c r="BO942" i="11" s="1"/>
  <c r="BP848" i="11" s="1"/>
  <c r="BO938" i="11"/>
  <c r="BP846" i="11" s="1"/>
  <c r="BO939" i="11"/>
  <c r="BP847" i="11" s="1"/>
  <c r="BO958" i="11"/>
  <c r="BO960" i="11"/>
  <c r="BO715" i="11"/>
  <c r="BO511" i="11"/>
  <c r="BS227" i="11"/>
  <c r="BO996" i="11"/>
  <c r="AW261" i="11"/>
  <c r="AW269" i="11"/>
  <c r="AW993" i="11"/>
  <c r="BB1000" i="11"/>
  <c r="AO417" i="11"/>
  <c r="AO421" i="11" s="1"/>
  <c r="AO422" i="11" s="1"/>
  <c r="AO383" i="11"/>
  <c r="AO387" i="11" s="1"/>
  <c r="AO388" i="11" s="1"/>
  <c r="AO486" i="11"/>
  <c r="AO370" i="11"/>
  <c r="BR462" i="11"/>
  <c r="I261" i="11"/>
  <c r="I269" i="11"/>
  <c r="I993" i="11"/>
  <c r="BR286" i="11"/>
  <c r="BB383" i="11"/>
  <c r="BB387" i="11" s="1"/>
  <c r="BB434" i="11"/>
  <c r="BB438" i="11" s="1"/>
  <c r="BB439" i="11" s="1"/>
  <c r="BB417" i="11"/>
  <c r="BB421" i="11" s="1"/>
  <c r="BB422" i="11" s="1"/>
  <c r="BB400" i="11"/>
  <c r="BB404" i="11" s="1"/>
  <c r="BB405" i="11" s="1"/>
  <c r="BB468" i="11"/>
  <c r="BM924" i="9"/>
  <c r="AT753" i="11"/>
  <c r="AT752" i="11"/>
  <c r="Z270" i="11"/>
  <c r="Z264" i="11"/>
  <c r="Z271" i="11" s="1"/>
  <c r="Z751" i="11" s="1"/>
  <c r="AY269" i="11"/>
  <c r="AY261" i="11"/>
  <c r="AY993" i="11"/>
  <c r="AR501" i="11"/>
  <c r="AR502" i="11"/>
  <c r="AZ919" i="11"/>
  <c r="AY922" i="11"/>
  <c r="BD919" i="11"/>
  <c r="BA361" i="11"/>
  <c r="BO85" i="11"/>
  <c r="BS81" i="11"/>
  <c r="AI1000" i="11"/>
  <c r="AI259" i="11"/>
  <c r="AI992" i="11"/>
  <c r="BS69" i="11"/>
  <c r="BS70" i="11" s="1"/>
  <c r="BT70" i="11" s="1"/>
  <c r="AE756" i="11"/>
  <c r="R261" i="11"/>
  <c r="R269" i="11"/>
  <c r="R993" i="11"/>
  <c r="Y261" i="11"/>
  <c r="Y269" i="11"/>
  <c r="Y993" i="11"/>
  <c r="U1002" i="11"/>
  <c r="U897" i="11"/>
  <c r="Z889" i="11"/>
  <c r="Z890" i="11" s="1"/>
  <c r="V889" i="11"/>
  <c r="V890" i="11" s="1"/>
  <c r="BP1248" i="9"/>
  <c r="BP1108" i="11"/>
  <c r="BR102" i="11"/>
  <c r="BR86" i="11"/>
  <c r="BR87" i="11"/>
  <c r="BI361" i="11"/>
  <c r="BQ924" i="9"/>
  <c r="BP1255" i="9"/>
  <c r="BP1115" i="11"/>
  <c r="BM939" i="11"/>
  <c r="BN939" i="11" s="1"/>
  <c r="BM960" i="11"/>
  <c r="BM941" i="11"/>
  <c r="BM958" i="11"/>
  <c r="BM938" i="11"/>
  <c r="BN938" i="11" s="1"/>
  <c r="BM715" i="11"/>
  <c r="BM243" i="11" s="1"/>
  <c r="BM511" i="11"/>
  <c r="BM231" i="11"/>
  <c r="BM996" i="11"/>
  <c r="BL941" i="11"/>
  <c r="BL942" i="11" s="1"/>
  <c r="BL958" i="11"/>
  <c r="BL938" i="11"/>
  <c r="BM846" i="11" s="1"/>
  <c r="BL939" i="11"/>
  <c r="BL231" i="11"/>
  <c r="BL960" i="11"/>
  <c r="BL851" i="11" s="1"/>
  <c r="BL511" i="11"/>
  <c r="BL715" i="11"/>
  <c r="BL243" i="11" s="1"/>
  <c r="BL996" i="11"/>
  <c r="BK85" i="11"/>
  <c r="BN81" i="11"/>
  <c r="BR970" i="11"/>
  <c r="BV981" i="11"/>
  <c r="BF468" i="11"/>
  <c r="BF434" i="11"/>
  <c r="BF438" i="11" s="1"/>
  <c r="BF439" i="11" s="1"/>
  <c r="BF417" i="11"/>
  <c r="BF421" i="11" s="1"/>
  <c r="BF422" i="11" s="1"/>
  <c r="BF451" i="11"/>
  <c r="BF455" i="11" s="1"/>
  <c r="BF456" i="11" s="1"/>
  <c r="BF400" i="11"/>
  <c r="BF404" i="11" s="1"/>
  <c r="BF405" i="11" s="1"/>
  <c r="BF383" i="11"/>
  <c r="BF387" i="11" s="1"/>
  <c r="P755" i="11"/>
  <c r="R636" i="11"/>
  <c r="R630" i="11"/>
  <c r="R633" i="11"/>
  <c r="AS502" i="11"/>
  <c r="AS501" i="11"/>
  <c r="BO94" i="11"/>
  <c r="BS94" i="11" s="1"/>
  <c r="BI261" i="11"/>
  <c r="BI269" i="11"/>
  <c r="BI993" i="11"/>
  <c r="AG269" i="11"/>
  <c r="AG261" i="11"/>
  <c r="AG993" i="11"/>
  <c r="G271" i="11"/>
  <c r="BL556" i="11"/>
  <c r="K1175" i="9"/>
  <c r="AZ1167" i="9"/>
  <c r="O47" i="9"/>
  <c r="O371" i="9"/>
  <c r="AQ833" i="9"/>
  <c r="AQ925" i="9" s="1"/>
  <c r="AQ926" i="9" s="1"/>
  <c r="AQ831" i="9"/>
  <c r="AM47" i="9"/>
  <c r="Q383" i="9"/>
  <c r="I1167" i="9"/>
  <c r="BG1167" i="9"/>
  <c r="AA384" i="9"/>
  <c r="AA385" i="9" s="1"/>
  <c r="AA1167" i="9"/>
  <c r="BE385" i="9"/>
  <c r="BE371" i="9"/>
  <c r="AX51" i="9"/>
  <c r="AN368" i="9"/>
  <c r="AV383" i="9"/>
  <c r="BE382" i="9"/>
  <c r="AZ382" i="9"/>
  <c r="BE47" i="9"/>
  <c r="AV1167" i="9"/>
  <c r="U382" i="9"/>
  <c r="J1167" i="9"/>
  <c r="L385" i="9"/>
  <c r="L382" i="9"/>
  <c r="G1167" i="9"/>
  <c r="L47" i="9"/>
  <c r="L371" i="9"/>
  <c r="AG47" i="9"/>
  <c r="Q1167" i="9"/>
  <c r="L383" i="9"/>
  <c r="W382" i="9"/>
  <c r="AM385" i="9"/>
  <c r="Y1167" i="9"/>
  <c r="BC1166" i="9"/>
  <c r="V42" i="9"/>
  <c r="D66" i="9"/>
  <c r="BE383" i="9"/>
  <c r="BS28" i="9"/>
  <c r="AZ383" i="9"/>
  <c r="BE833" i="9"/>
  <c r="BE925" i="9" s="1"/>
  <c r="BE926" i="9" s="1"/>
  <c r="BE831" i="9"/>
  <c r="Z1175" i="9"/>
  <c r="AI1166" i="9"/>
  <c r="K42" i="9"/>
  <c r="AZ371" i="9"/>
  <c r="BL1176" i="9"/>
  <c r="BL1047" i="9"/>
  <c r="BL1054" i="9" s="1"/>
  <c r="E68" i="9"/>
  <c r="E69" i="9"/>
  <c r="E82" i="9" s="1"/>
  <c r="E125" i="9"/>
  <c r="E138" i="9" s="1"/>
  <c r="E124" i="9"/>
  <c r="U49" i="9"/>
  <c r="U928" i="9"/>
  <c r="F1164" i="9"/>
  <c r="F7" i="9"/>
  <c r="F9" i="9" s="1"/>
  <c r="W804" i="9"/>
  <c r="W787" i="9"/>
  <c r="BJ385" i="9"/>
  <c r="BG805" i="9"/>
  <c r="BG785" i="9"/>
  <c r="BG796" i="9"/>
  <c r="BG797" i="9" s="1"/>
  <c r="BG802" i="9" s="1"/>
  <c r="BG811" i="9" s="1"/>
  <c r="BG49" i="9" s="1"/>
  <c r="BG51" i="9" s="1"/>
  <c r="BH368" i="9"/>
  <c r="BH381" i="9"/>
  <c r="BH44" i="9"/>
  <c r="BH370" i="9"/>
  <c r="F831" i="9"/>
  <c r="F833" i="9"/>
  <c r="F925" i="9" s="1"/>
  <c r="F1059" i="9"/>
  <c r="F1060" i="9" s="1"/>
  <c r="E1065" i="9"/>
  <c r="E1172" i="9"/>
  <c r="K833" i="9"/>
  <c r="K925" i="9" s="1"/>
  <c r="K831" i="9"/>
  <c r="AD371" i="9"/>
  <c r="AD46" i="9"/>
  <c r="P49" i="9"/>
  <c r="P928" i="9"/>
  <c r="BJ47" i="9"/>
  <c r="AB47" i="9"/>
  <c r="AA804" i="9"/>
  <c r="AA787" i="9"/>
  <c r="AA47" i="9"/>
  <c r="AW831" i="9"/>
  <c r="AW833" i="9"/>
  <c r="AW925" i="9" s="1"/>
  <c r="AW926" i="9" s="1"/>
  <c r="AZ805" i="9"/>
  <c r="AZ785" i="9"/>
  <c r="AZ796" i="9"/>
  <c r="AZ797" i="9" s="1"/>
  <c r="AZ802" i="9" s="1"/>
  <c r="AK805" i="9"/>
  <c r="AK785" i="9"/>
  <c r="AK796" i="9"/>
  <c r="AK797" i="9" s="1"/>
  <c r="AK802" i="9" s="1"/>
  <c r="K49" i="9"/>
  <c r="K928" i="9"/>
  <c r="I260" i="9"/>
  <c r="J257" i="9"/>
  <c r="I258" i="9"/>
  <c r="D416" i="9"/>
  <c r="E415" i="9"/>
  <c r="P830" i="9"/>
  <c r="O831" i="9"/>
  <c r="O833" i="9"/>
  <c r="O925" i="9" s="1"/>
  <c r="O926" i="9" s="1"/>
  <c r="BQ1250" i="9"/>
  <c r="BQ1257" i="9"/>
  <c r="BQ1264" i="9"/>
  <c r="BQ1266" i="9"/>
  <c r="BQ1259" i="9"/>
  <c r="BQ1252" i="9"/>
  <c r="BF46" i="9"/>
  <c r="BF47" i="9" s="1"/>
  <c r="BF371" i="9"/>
  <c r="U833" i="9"/>
  <c r="U925" i="9" s="1"/>
  <c r="U831" i="9"/>
  <c r="V811" i="9"/>
  <c r="V49" i="9" s="1"/>
  <c r="BI47" i="9"/>
  <c r="BO906" i="9"/>
  <c r="BN1162" i="9"/>
  <c r="C49" i="9"/>
  <c r="C928" i="9"/>
  <c r="U804" i="9"/>
  <c r="U787" i="9"/>
  <c r="AG385" i="9"/>
  <c r="E405" i="9"/>
  <c r="Z382" i="9"/>
  <c r="Z384" i="9"/>
  <c r="Z385" i="9" s="1"/>
  <c r="AE383" i="9"/>
  <c r="Q371" i="9"/>
  <c r="Q46" i="9"/>
  <c r="Q47" i="9" s="1"/>
  <c r="BR349" i="9"/>
  <c r="AX46" i="9"/>
  <c r="AX371" i="9"/>
  <c r="K804" i="9"/>
  <c r="K787" i="9"/>
  <c r="BC810" i="9"/>
  <c r="BC729" i="9" s="1"/>
  <c r="BC746" i="9" s="1"/>
  <c r="BC830" i="9"/>
  <c r="V804" i="9"/>
  <c r="V787" i="9"/>
  <c r="J249" i="9"/>
  <c r="K248" i="9"/>
  <c r="J251" i="9"/>
  <c r="K251" i="9" s="1"/>
  <c r="J270" i="9"/>
  <c r="J259" i="9"/>
  <c r="AK371" i="9"/>
  <c r="AK46" i="9"/>
  <c r="X371" i="9"/>
  <c r="X46" i="9"/>
  <c r="AC371" i="9"/>
  <c r="K184" i="9"/>
  <c r="G184" i="9"/>
  <c r="F189" i="9"/>
  <c r="F187" i="9"/>
  <c r="Z46" i="9"/>
  <c r="Z47" i="9" s="1"/>
  <c r="Z371" i="9"/>
  <c r="P42" i="9"/>
  <c r="AO383" i="9"/>
  <c r="AJ384" i="9"/>
  <c r="AJ382" i="9"/>
  <c r="G133" i="9"/>
  <c r="H128" i="9"/>
  <c r="G131" i="9"/>
  <c r="AK1167" i="9"/>
  <c r="BA42" i="9"/>
  <c r="AO49" i="9"/>
  <c r="AO928" i="9"/>
  <c r="F46" i="9"/>
  <c r="F371" i="9"/>
  <c r="C804" i="9"/>
  <c r="C787" i="9"/>
  <c r="AO42" i="9"/>
  <c r="I46" i="9"/>
  <c r="N47" i="9" s="1"/>
  <c r="N371" i="9"/>
  <c r="Z785" i="9"/>
  <c r="Z805" i="9"/>
  <c r="Z796" i="9"/>
  <c r="Z797" i="9" s="1"/>
  <c r="Z802" i="9" s="1"/>
  <c r="Z811" i="9" s="1"/>
  <c r="P384" i="9"/>
  <c r="U385" i="9" s="1"/>
  <c r="P382" i="9"/>
  <c r="U383" i="9"/>
  <c r="AG831" i="9"/>
  <c r="AG833" i="9"/>
  <c r="AG925" i="9" s="1"/>
  <c r="AG926" i="9" s="1"/>
  <c r="BI804" i="9"/>
  <c r="BI787" i="9"/>
  <c r="AC919" i="9"/>
  <c r="AC636" i="9"/>
  <c r="AN369" i="9"/>
  <c r="AI368" i="9"/>
  <c r="AI381" i="9"/>
  <c r="AI1167" i="9" s="1"/>
  <c r="AI370" i="9"/>
  <c r="AN371" i="9" s="1"/>
  <c r="AI44" i="9"/>
  <c r="I110" i="9"/>
  <c r="I113" i="9" s="1"/>
  <c r="H132" i="9"/>
  <c r="H267" i="9"/>
  <c r="M118" i="9"/>
  <c r="H114" i="9"/>
  <c r="H116" i="9"/>
  <c r="AK831" i="9"/>
  <c r="AK833" i="9"/>
  <c r="AK925" i="9" s="1"/>
  <c r="AK926" i="9" s="1"/>
  <c r="BC381" i="9"/>
  <c r="BH369" i="9"/>
  <c r="BC44" i="9"/>
  <c r="BC370" i="9"/>
  <c r="BC368" i="9"/>
  <c r="D784" i="9"/>
  <c r="AU385" i="9"/>
  <c r="AZ385" i="9"/>
  <c r="D195" i="9"/>
  <c r="D192" i="9" s="1"/>
  <c r="D191" i="9"/>
  <c r="D177" i="9" s="1"/>
  <c r="E186" i="9" s="1"/>
  <c r="E185" i="9" s="1"/>
  <c r="AE371" i="9"/>
  <c r="AE46" i="9"/>
  <c r="AS804" i="9"/>
  <c r="AS787" i="9"/>
  <c r="P383" i="9"/>
  <c r="K384" i="9"/>
  <c r="K382" i="9"/>
  <c r="AA811" i="9"/>
  <c r="AA49" i="9" s="1"/>
  <c r="L831" i="9"/>
  <c r="L833" i="9"/>
  <c r="L925" i="9" s="1"/>
  <c r="L926" i="9" s="1"/>
  <c r="AW385" i="9"/>
  <c r="AZ830" i="9"/>
  <c r="AZ810" i="9"/>
  <c r="AZ729" i="9" s="1"/>
  <c r="AZ746" i="9" s="1"/>
  <c r="AB785" i="9"/>
  <c r="AB805" i="9"/>
  <c r="AB796" i="9"/>
  <c r="AB797" i="9" s="1"/>
  <c r="AB802" i="9" s="1"/>
  <c r="AB811" i="9" s="1"/>
  <c r="AB49" i="9" s="1"/>
  <c r="AG51" i="9" s="1"/>
  <c r="AE1175" i="9"/>
  <c r="G831" i="9"/>
  <c r="G833" i="9"/>
  <c r="G925" i="9" s="1"/>
  <c r="G926" i="9" s="1"/>
  <c r="L804" i="9"/>
  <c r="L787" i="9"/>
  <c r="AY804" i="9"/>
  <c r="AY787" i="9"/>
  <c r="V383" i="9"/>
  <c r="Q382" i="9"/>
  <c r="Q384" i="9"/>
  <c r="Q385" i="9" s="1"/>
  <c r="AI810" i="9"/>
  <c r="AI729" i="9" s="1"/>
  <c r="AI746" i="9" s="1"/>
  <c r="AJ1175" i="9" s="1"/>
  <c r="AI830" i="9"/>
  <c r="AT1175" i="9"/>
  <c r="BH830" i="9"/>
  <c r="BH810" i="9"/>
  <c r="BH729" i="9" s="1"/>
  <c r="BH746" i="9" s="1"/>
  <c r="BI1175" i="9" s="1"/>
  <c r="R805" i="9"/>
  <c r="R785" i="9"/>
  <c r="R796" i="9"/>
  <c r="R797" i="9" s="1"/>
  <c r="R802" i="9" s="1"/>
  <c r="R811" i="9" s="1"/>
  <c r="R49" i="9" s="1"/>
  <c r="W51" i="9" s="1"/>
  <c r="F384" i="9"/>
  <c r="K383" i="9"/>
  <c r="F382" i="9"/>
  <c r="X1167" i="9"/>
  <c r="AK383" i="9"/>
  <c r="AF382" i="9"/>
  <c r="AF384" i="9"/>
  <c r="AF383" i="9"/>
  <c r="AW47" i="9"/>
  <c r="AF833" i="9"/>
  <c r="AF925" i="9" s="1"/>
  <c r="AF926" i="9" s="1"/>
  <c r="AF831" i="9"/>
  <c r="F805" i="9"/>
  <c r="F796" i="9"/>
  <c r="F797" i="9" s="1"/>
  <c r="F802" i="9" s="1"/>
  <c r="F811" i="9" s="1"/>
  <c r="F785" i="9"/>
  <c r="K234" i="9"/>
  <c r="F237" i="9"/>
  <c r="G234" i="9"/>
  <c r="F235" i="9"/>
  <c r="AS371" i="9"/>
  <c r="AS46" i="9"/>
  <c r="Z830" i="9"/>
  <c r="Y833" i="9"/>
  <c r="Y925" i="9" s="1"/>
  <c r="Y926" i="9" s="1"/>
  <c r="Y831" i="9"/>
  <c r="V831" i="9"/>
  <c r="V833" i="9"/>
  <c r="V925" i="9" s="1"/>
  <c r="V926" i="9" s="1"/>
  <c r="F383" i="9"/>
  <c r="E384" i="9"/>
  <c r="E382" i="9"/>
  <c r="D831" i="9"/>
  <c r="D833" i="9"/>
  <c r="D925" i="9" s="1"/>
  <c r="BS1139" i="9"/>
  <c r="BR907" i="9"/>
  <c r="Z1167" i="9"/>
  <c r="AO46" i="9"/>
  <c r="AO371" i="9"/>
  <c r="Y785" i="9"/>
  <c r="Y805" i="9"/>
  <c r="Y796" i="9"/>
  <c r="Y797" i="9" s="1"/>
  <c r="Y802" i="9" s="1"/>
  <c r="Y811" i="9" s="1"/>
  <c r="Y49" i="9" s="1"/>
  <c r="Y51" i="9" s="1"/>
  <c r="BD49" i="9"/>
  <c r="BD928" i="9"/>
  <c r="D46" i="9"/>
  <c r="D47" i="9" s="1"/>
  <c r="D371" i="9"/>
  <c r="BF833" i="9"/>
  <c r="BF925" i="9" s="1"/>
  <c r="BF926" i="9" s="1"/>
  <c r="BF831" i="9"/>
  <c r="BC805" i="9"/>
  <c r="BC785" i="9"/>
  <c r="BC796" i="9"/>
  <c r="BC797" i="9" s="1"/>
  <c r="BC802" i="9" s="1"/>
  <c r="BC811" i="9" s="1"/>
  <c r="BC49" i="9" s="1"/>
  <c r="H222" i="9"/>
  <c r="H225" i="9" s="1"/>
  <c r="G269" i="9"/>
  <c r="G228" i="9"/>
  <c r="G236" i="9"/>
  <c r="E42" i="9"/>
  <c r="I919" i="9"/>
  <c r="I636" i="9"/>
  <c r="D636" i="9"/>
  <c r="D919" i="9"/>
  <c r="E219" i="9"/>
  <c r="E210" i="9"/>
  <c r="X833" i="9"/>
  <c r="X925" i="9" s="1"/>
  <c r="X926" i="9" s="1"/>
  <c r="X831" i="9"/>
  <c r="BS263" i="9"/>
  <c r="BT262" i="9"/>
  <c r="P804" i="9"/>
  <c r="P787" i="9"/>
  <c r="AU47" i="9"/>
  <c r="AZ47" i="9"/>
  <c r="AE384" i="9"/>
  <c r="AJ383" i="9"/>
  <c r="AE382" i="9"/>
  <c r="BP443" i="9"/>
  <c r="BP232" i="9"/>
  <c r="BQ230" i="9"/>
  <c r="M831" i="9"/>
  <c r="M833" i="9"/>
  <c r="M925" i="9" s="1"/>
  <c r="M926" i="9" s="1"/>
  <c r="R371" i="9"/>
  <c r="R46" i="9"/>
  <c r="W47" i="9" s="1"/>
  <c r="W371" i="9"/>
  <c r="AF919" i="9"/>
  <c r="AF636" i="9"/>
  <c r="AC833" i="9"/>
  <c r="AC925" i="9" s="1"/>
  <c r="AC926" i="9" s="1"/>
  <c r="AC831" i="9"/>
  <c r="AG804" i="9"/>
  <c r="AG787" i="9"/>
  <c r="AJ49" i="9"/>
  <c r="AJ928" i="9"/>
  <c r="AS42" i="9"/>
  <c r="T47" i="9"/>
  <c r="AF784" i="9"/>
  <c r="BG833" i="9"/>
  <c r="BG925" i="9" s="1"/>
  <c r="BG926" i="9" s="1"/>
  <c r="BG831" i="9"/>
  <c r="AW805" i="9"/>
  <c r="AW785" i="9"/>
  <c r="AW796" i="9"/>
  <c r="AW797" i="9" s="1"/>
  <c r="AW802" i="9" s="1"/>
  <c r="AW811" i="9" s="1"/>
  <c r="AW49" i="9" s="1"/>
  <c r="BB51" i="9" s="1"/>
  <c r="AJ804" i="9"/>
  <c r="AJ787" i="9"/>
  <c r="G172" i="9"/>
  <c r="G268" i="9"/>
  <c r="G272" i="9" s="1"/>
  <c r="G188" i="9"/>
  <c r="L174" i="9"/>
  <c r="H166" i="9"/>
  <c r="H169" i="9" s="1"/>
  <c r="AN830" i="9"/>
  <c r="AN810" i="9"/>
  <c r="AN729" i="9" s="1"/>
  <c r="AN746" i="9" s="1"/>
  <c r="AO1175" i="9" s="1"/>
  <c r="BI385" i="9"/>
  <c r="BH330" i="9"/>
  <c r="BH329" i="9" s="1"/>
  <c r="BH41" i="9"/>
  <c r="AK42" i="9"/>
  <c r="P1175" i="9"/>
  <c r="E49" i="9"/>
  <c r="E928" i="9"/>
  <c r="M805" i="9"/>
  <c r="M785" i="9"/>
  <c r="M796" i="9"/>
  <c r="M797" i="9" s="1"/>
  <c r="M802" i="9" s="1"/>
  <c r="M811" i="9" s="1"/>
  <c r="M49" i="9" s="1"/>
  <c r="AX382" i="9"/>
  <c r="AX384" i="9"/>
  <c r="F107" i="9"/>
  <c r="F98" i="9"/>
  <c r="R42" i="9"/>
  <c r="BM819" i="9"/>
  <c r="BM814" i="9" s="1"/>
  <c r="BM883" i="9" s="1"/>
  <c r="BM1006" i="11" s="1"/>
  <c r="BL825" i="9"/>
  <c r="BL830" i="9"/>
  <c r="BL833" i="9" s="1"/>
  <c r="BL824" i="9"/>
  <c r="BM822" i="9"/>
  <c r="Q805" i="9"/>
  <c r="Q785" i="9"/>
  <c r="Q796" i="9"/>
  <c r="Q797" i="9" s="1"/>
  <c r="Q802" i="9" s="1"/>
  <c r="AY49" i="9"/>
  <c r="AY928" i="9"/>
  <c r="AB385" i="9"/>
  <c r="AM804" i="9"/>
  <c r="AM787" i="9"/>
  <c r="G77" i="9"/>
  <c r="H72" i="9"/>
  <c r="G75" i="9"/>
  <c r="BF382" i="9"/>
  <c r="BF384" i="9"/>
  <c r="BF385" i="9" s="1"/>
  <c r="BI49" i="9"/>
  <c r="BI928" i="9"/>
  <c r="BU239" i="9"/>
  <c r="BT289" i="9"/>
  <c r="P371" i="9"/>
  <c r="P46" i="9"/>
  <c r="U47" i="9" s="1"/>
  <c r="BA51" i="9"/>
  <c r="AS831" i="9"/>
  <c r="AT830" i="9"/>
  <c r="AS833" i="9"/>
  <c r="AS925" i="9" s="1"/>
  <c r="AS926" i="9" s="1"/>
  <c r="BH919" i="9"/>
  <c r="BH636" i="9"/>
  <c r="AO384" i="9"/>
  <c r="AO382" i="9"/>
  <c r="AT383" i="9"/>
  <c r="E383" i="9"/>
  <c r="D384" i="9"/>
  <c r="D385" i="9" s="1"/>
  <c r="D382" i="9"/>
  <c r="D383" i="9"/>
  <c r="BF805" i="9"/>
  <c r="BF785" i="9"/>
  <c r="BF796" i="9"/>
  <c r="BF797" i="9" s="1"/>
  <c r="BF802" i="9" s="1"/>
  <c r="BF811" i="9" s="1"/>
  <c r="BF49" i="9" s="1"/>
  <c r="BF51" i="9" s="1"/>
  <c r="AV804" i="9"/>
  <c r="AV787" i="9"/>
  <c r="AD769" i="9"/>
  <c r="AD630" i="9"/>
  <c r="AD779" i="9"/>
  <c r="AD1167" i="9" s="1"/>
  <c r="X804" i="9"/>
  <c r="X787" i="9"/>
  <c r="AE630" i="9"/>
  <c r="AE779" i="9"/>
  <c r="AE769" i="9"/>
  <c r="H804" i="9"/>
  <c r="H787" i="9"/>
  <c r="T804" i="9"/>
  <c r="T787" i="9"/>
  <c r="AF1167" i="9"/>
  <c r="BR1137" i="9"/>
  <c r="BQ1142" i="9"/>
  <c r="AX383" i="9"/>
  <c r="AS384" i="9"/>
  <c r="AS382" i="9"/>
  <c r="BK1086" i="9"/>
  <c r="BL1083" i="9"/>
  <c r="AM51" i="9"/>
  <c r="BA383" i="9"/>
  <c r="AV382" i="9"/>
  <c r="AV384" i="9"/>
  <c r="AV385" i="9" s="1"/>
  <c r="AX1167" i="9"/>
  <c r="BE805" i="9"/>
  <c r="BE785" i="9"/>
  <c r="BE796" i="9"/>
  <c r="BE797" i="9" s="1"/>
  <c r="BE802" i="9" s="1"/>
  <c r="BQ444" i="9"/>
  <c r="BR253" i="9"/>
  <c r="BQ255" i="9"/>
  <c r="R384" i="9"/>
  <c r="W383" i="9"/>
  <c r="R382" i="9"/>
  <c r="I784" i="9"/>
  <c r="AP811" i="9"/>
  <c r="AP49" i="9" s="1"/>
  <c r="AT371" i="9"/>
  <c r="AT46" i="9"/>
  <c r="AY371" i="9"/>
  <c r="BD804" i="9"/>
  <c r="BD787" i="9"/>
  <c r="AI805" i="9"/>
  <c r="AI785" i="9"/>
  <c r="AI796" i="9"/>
  <c r="AI797" i="9" s="1"/>
  <c r="AI802" i="9" s="1"/>
  <c r="AI811" i="9" s="1"/>
  <c r="AI49" i="9" s="1"/>
  <c r="AE42" i="9"/>
  <c r="AV831" i="9"/>
  <c r="AV833" i="9"/>
  <c r="AV925" i="9" s="1"/>
  <c r="AV926" i="9" s="1"/>
  <c r="AI41" i="9"/>
  <c r="AI42" i="9" s="1"/>
  <c r="AI330" i="9"/>
  <c r="AI329" i="9" s="1"/>
  <c r="AC1230" i="9"/>
  <c r="AJ5" i="9"/>
  <c r="AF5" i="9"/>
  <c r="K1000" i="9"/>
  <c r="K1001" i="9" s="1"/>
  <c r="L1000" i="9" s="1"/>
  <c r="J1001" i="9"/>
  <c r="BR310" i="9"/>
  <c r="BS310" i="9" s="1"/>
  <c r="BQ312" i="9"/>
  <c r="M371" i="9"/>
  <c r="M46" i="9"/>
  <c r="M47" i="9" s="1"/>
  <c r="AN805" i="9"/>
  <c r="AN785" i="9"/>
  <c r="AN796" i="9"/>
  <c r="AN797" i="9" s="1"/>
  <c r="AN802" i="9" s="1"/>
  <c r="AN811" i="9" s="1"/>
  <c r="AN49" i="9" s="1"/>
  <c r="AS51" i="9" s="1"/>
  <c r="BK917" i="9"/>
  <c r="BK376" i="9"/>
  <c r="BK378" i="9" s="1"/>
  <c r="BK772" i="9"/>
  <c r="AD384" i="9"/>
  <c r="AD382" i="9"/>
  <c r="AL833" i="9"/>
  <c r="AL925" i="9" s="1"/>
  <c r="AL926" i="9" s="1"/>
  <c r="AL831" i="9"/>
  <c r="D450" i="9"/>
  <c r="E449" i="9"/>
  <c r="AT42" i="9"/>
  <c r="AY42" i="9"/>
  <c r="K371" i="9"/>
  <c r="K46" i="9"/>
  <c r="AX804" i="9"/>
  <c r="AX787" i="9"/>
  <c r="BR1273" i="9"/>
  <c r="BR1272" i="9"/>
  <c r="BR1246" i="9"/>
  <c r="BR1271" i="9"/>
  <c r="BR1276" i="9"/>
  <c r="BS4" i="9"/>
  <c r="J804" i="9"/>
  <c r="J787" i="9"/>
  <c r="AD383" i="9"/>
  <c r="Y382" i="9"/>
  <c r="Y384" i="9"/>
  <c r="Y385" i="9" s="1"/>
  <c r="AK384" i="9"/>
  <c r="AP385" i="9" s="1"/>
  <c r="AP383" i="9"/>
  <c r="AK382" i="9"/>
  <c r="T385" i="9"/>
  <c r="BA804" i="9"/>
  <c r="BA787" i="9"/>
  <c r="H266" i="9"/>
  <c r="H76" i="9"/>
  <c r="H58" i="9"/>
  <c r="M62" i="9"/>
  <c r="I54" i="9"/>
  <c r="I57" i="9" s="1"/>
  <c r="H60" i="9"/>
  <c r="M383" i="9"/>
  <c r="H384" i="9"/>
  <c r="W42" i="9"/>
  <c r="E804" i="9"/>
  <c r="E787" i="9"/>
  <c r="AY1175" i="9"/>
  <c r="F163" i="9"/>
  <c r="F154" i="9"/>
  <c r="X382" i="9"/>
  <c r="AC383" i="9"/>
  <c r="X384" i="9"/>
  <c r="AC382" i="9"/>
  <c r="Y371" i="9"/>
  <c r="Y46" i="9"/>
  <c r="Y47" i="9" s="1"/>
  <c r="D122" i="9"/>
  <c r="L811" i="9"/>
  <c r="L49" i="9" s="1"/>
  <c r="AO804" i="9"/>
  <c r="AO787" i="9"/>
  <c r="AL46" i="9"/>
  <c r="AL47" i="9" s="1"/>
  <c r="AL371" i="9"/>
  <c r="BH784" i="9"/>
  <c r="I384" i="9"/>
  <c r="N385" i="9" s="1"/>
  <c r="N383" i="9"/>
  <c r="N382" i="9"/>
  <c r="AJ46" i="9"/>
  <c r="AJ371" i="9"/>
  <c r="AC784" i="9"/>
  <c r="AC1167" i="9"/>
  <c r="J384" i="9"/>
  <c r="O385" i="9" s="1"/>
  <c r="O383" i="9"/>
  <c r="AQ804" i="9"/>
  <c r="AQ787" i="9"/>
  <c r="AQ383" i="9"/>
  <c r="AL382" i="9"/>
  <c r="AL384" i="9"/>
  <c r="AL385" i="9" s="1"/>
  <c r="AN46" i="9"/>
  <c r="BT1138" i="9"/>
  <c r="BU905" i="9"/>
  <c r="AR805" i="9"/>
  <c r="AR785" i="9"/>
  <c r="AR796" i="9"/>
  <c r="AR797" i="9" s="1"/>
  <c r="AR802" i="9" s="1"/>
  <c r="AR811" i="9" s="1"/>
  <c r="AR49" i="9" s="1"/>
  <c r="O919" i="9"/>
  <c r="O636" i="9"/>
  <c r="AF371" i="9"/>
  <c r="AF46" i="9"/>
  <c r="AF47" i="9" s="1"/>
  <c r="AS383" i="9"/>
  <c r="AN384" i="9"/>
  <c r="BG46" i="9"/>
  <c r="BG47" i="9" s="1"/>
  <c r="BG371" i="9"/>
  <c r="E46" i="9"/>
  <c r="E371" i="9"/>
  <c r="AX42" i="9"/>
  <c r="BJ805" i="9"/>
  <c r="BJ785" i="9"/>
  <c r="BJ796" i="9"/>
  <c r="BJ797" i="9" s="1"/>
  <c r="BJ802" i="9" s="1"/>
  <c r="BA833" i="9"/>
  <c r="BA925" i="9" s="1"/>
  <c r="BA926" i="9" s="1"/>
  <c r="BA831" i="9"/>
  <c r="D1167" i="9"/>
  <c r="BG382" i="9"/>
  <c r="BG384" i="9"/>
  <c r="BG385" i="9" s="1"/>
  <c r="K1167" i="9"/>
  <c r="S784" i="9"/>
  <c r="AY830" i="9"/>
  <c r="AX831" i="9"/>
  <c r="AX833" i="9"/>
  <c r="AX925" i="9" s="1"/>
  <c r="AX926" i="9" s="1"/>
  <c r="O784" i="9"/>
  <c r="AL1167" i="9"/>
  <c r="AU805" i="9"/>
  <c r="AU785" i="9"/>
  <c r="AU796" i="9"/>
  <c r="AU797" i="9" s="1"/>
  <c r="AU802" i="9" s="1"/>
  <c r="BT1146" i="9"/>
  <c r="AP42" i="9"/>
  <c r="S636" i="9"/>
  <c r="S919" i="9"/>
  <c r="BF383" i="9"/>
  <c r="E831" i="9"/>
  <c r="E833" i="9"/>
  <c r="E925" i="9" s="1"/>
  <c r="BH1166" i="9"/>
  <c r="AL805" i="9"/>
  <c r="AL796" i="9"/>
  <c r="AL797" i="9" s="1"/>
  <c r="AL802" i="9" s="1"/>
  <c r="AL811" i="9" s="1"/>
  <c r="AL49" i="9" s="1"/>
  <c r="AQ51" i="9" s="1"/>
  <c r="AL785" i="9"/>
  <c r="G805" i="9"/>
  <c r="G785" i="9"/>
  <c r="G796" i="9"/>
  <c r="G797" i="9" s="1"/>
  <c r="G802" i="9" s="1"/>
  <c r="BB804" i="9"/>
  <c r="BB787" i="9"/>
  <c r="AH804" i="9"/>
  <c r="AH787" i="9"/>
  <c r="AV371" i="9"/>
  <c r="AV46" i="9"/>
  <c r="AV47" i="9" s="1"/>
  <c r="AE831" i="9"/>
  <c r="AE833" i="9"/>
  <c r="AE925" i="9" s="1"/>
  <c r="AP804" i="9"/>
  <c r="AP787" i="9"/>
  <c r="W833" i="9"/>
  <c r="W925" i="9" s="1"/>
  <c r="W926" i="9" s="1"/>
  <c r="W831" i="9"/>
  <c r="AY383" i="9"/>
  <c r="AT384" i="9"/>
  <c r="AT382" i="9"/>
  <c r="AY382" i="9"/>
  <c r="N804" i="9"/>
  <c r="N787" i="9"/>
  <c r="AT785" i="9"/>
  <c r="AT805" i="9"/>
  <c r="AT796" i="9"/>
  <c r="AT797" i="9" s="1"/>
  <c r="AT802" i="9" s="1"/>
  <c r="AT811" i="9" s="1"/>
  <c r="AQ382" i="9"/>
  <c r="AM831" i="9"/>
  <c r="AM833" i="9"/>
  <c r="AM925" i="9" s="1"/>
  <c r="AM926" i="9" s="1"/>
  <c r="X42" i="9"/>
  <c r="AC42" i="9"/>
  <c r="AB831" i="9"/>
  <c r="AB833" i="9"/>
  <c r="AB925" i="9" s="1"/>
  <c r="AB926" i="9" s="1"/>
  <c r="M382" i="9"/>
  <c r="M384" i="9"/>
  <c r="R383" i="9"/>
  <c r="BC41" i="9"/>
  <c r="BC42" i="9" s="1"/>
  <c r="BC330" i="9"/>
  <c r="BC329" i="9" s="1"/>
  <c r="L35" i="4"/>
  <c r="L36" i="4"/>
  <c r="K79" i="4" s="1"/>
  <c r="K80" i="4" s="1"/>
  <c r="K81" i="4" s="1"/>
  <c r="L38" i="4"/>
  <c r="K102" i="4" s="1"/>
  <c r="K103" i="4" s="1"/>
  <c r="K104" i="4" s="1"/>
  <c r="H89" i="4"/>
  <c r="H90" i="4" s="1"/>
  <c r="J89" i="4"/>
  <c r="J90" i="4" s="1"/>
  <c r="I89" i="4"/>
  <c r="I90" i="4" s="1"/>
  <c r="K47" i="4"/>
  <c r="J48" i="4"/>
  <c r="K45" i="4"/>
  <c r="K39" i="4"/>
  <c r="K44" i="4"/>
  <c r="H41" i="3"/>
  <c r="F41" i="3"/>
  <c r="D41" i="3"/>
  <c r="J40" i="3"/>
  <c r="K66" i="4" l="1"/>
  <c r="K67" i="4" s="1"/>
  <c r="K68" i="4" s="1"/>
  <c r="H66" i="4"/>
  <c r="AO494" i="11"/>
  <c r="BL925" i="9"/>
  <c r="BE482" i="11"/>
  <c r="BE388" i="11"/>
  <c r="BE489" i="11" s="1"/>
  <c r="BE490" i="11" s="1"/>
  <c r="BE493" i="11" s="1"/>
  <c r="BR155" i="11"/>
  <c r="BR156" i="11" s="1"/>
  <c r="BR572" i="11" s="1"/>
  <c r="BR573" i="11" s="1"/>
  <c r="BO155" i="11"/>
  <c r="BO156" i="11" s="1"/>
  <c r="BO572" i="11" s="1"/>
  <c r="BO573" i="11" s="1"/>
  <c r="BS231" i="11"/>
  <c r="BB482" i="11"/>
  <c r="BB388" i="11"/>
  <c r="BB489" i="11" s="1"/>
  <c r="BB490" i="11" s="1"/>
  <c r="BB493" i="11" s="1"/>
  <c r="BG388" i="11"/>
  <c r="BG489" i="11" s="1"/>
  <c r="BG490" i="11" s="1"/>
  <c r="BG493" i="11" s="1"/>
  <c r="BG482" i="11"/>
  <c r="BF482" i="11"/>
  <c r="BF388" i="11"/>
  <c r="BF489" i="11" s="1"/>
  <c r="BF490" i="11" s="1"/>
  <c r="BF493" i="11" s="1"/>
  <c r="AZ375" i="11"/>
  <c r="AZ489" i="11" s="1"/>
  <c r="AZ490" i="11" s="1"/>
  <c r="AZ493" i="11" s="1"/>
  <c r="AZ482" i="11"/>
  <c r="AU375" i="11"/>
  <c r="AU489" i="11" s="1"/>
  <c r="AU490" i="11" s="1"/>
  <c r="AU493" i="11" s="1"/>
  <c r="AU495" i="11" s="1"/>
  <c r="AU482" i="11"/>
  <c r="BN901" i="11"/>
  <c r="BN907" i="11" s="1"/>
  <c r="BO847" i="11"/>
  <c r="BS847" i="11" s="1"/>
  <c r="BN85" i="11"/>
  <c r="BN82" i="11"/>
  <c r="AT375" i="11"/>
  <c r="AT489" i="11" s="1"/>
  <c r="AT490" i="11" s="1"/>
  <c r="AT493" i="11" s="1"/>
  <c r="AT482" i="11"/>
  <c r="BA375" i="11"/>
  <c r="BA489" i="11" s="1"/>
  <c r="BA490" i="11" s="1"/>
  <c r="BA493" i="11" s="1"/>
  <c r="BA482" i="11"/>
  <c r="R270" i="11"/>
  <c r="R264" i="11"/>
  <c r="R271" i="11" s="1"/>
  <c r="AE270" i="11"/>
  <c r="AE264" i="11"/>
  <c r="AE271" i="11" s="1"/>
  <c r="AE751" i="11" s="1"/>
  <c r="BL166" i="11"/>
  <c r="BL838" i="11"/>
  <c r="BL115" i="11"/>
  <c r="BQ1262" i="9"/>
  <c r="BQ1122" i="11"/>
  <c r="BM847" i="11"/>
  <c r="BU74" i="11"/>
  <c r="BP850" i="11"/>
  <c r="BQ1255" i="9"/>
  <c r="BQ1115" i="11"/>
  <c r="BO102" i="11"/>
  <c r="BO86" i="11"/>
  <c r="BO87" i="11"/>
  <c r="BO88" i="11" s="1"/>
  <c r="BI494" i="11"/>
  <c r="BI481" i="11"/>
  <c r="BQ102" i="11"/>
  <c r="BQ87" i="11"/>
  <c r="BQ86" i="11"/>
  <c r="BR512" i="11"/>
  <c r="BR520" i="11"/>
  <c r="BR517" i="11"/>
  <c r="AM270" i="11"/>
  <c r="AM264" i="11"/>
  <c r="AM271" i="11" s="1"/>
  <c r="K264" i="11"/>
  <c r="K271" i="11" s="1"/>
  <c r="K270" i="11"/>
  <c r="BF361" i="11"/>
  <c r="BS428" i="11"/>
  <c r="BT428" i="11" s="1"/>
  <c r="BQ556" i="11"/>
  <c r="AY753" i="11"/>
  <c r="AY752" i="11"/>
  <c r="AY756" i="11"/>
  <c r="BK517" i="11"/>
  <c r="BK520" i="11"/>
  <c r="R1002" i="11"/>
  <c r="R897" i="11"/>
  <c r="S889" i="11"/>
  <c r="S890" i="11" s="1"/>
  <c r="BQ1248" i="9"/>
  <c r="BQ1108" i="11"/>
  <c r="BL850" i="11"/>
  <c r="AY482" i="11"/>
  <c r="AY375" i="11"/>
  <c r="AY489" i="11" s="1"/>
  <c r="AY490" i="11" s="1"/>
  <c r="AY493" i="11" s="1"/>
  <c r="BS960" i="11"/>
  <c r="BS904" i="11" s="1"/>
  <c r="BR851" i="11"/>
  <c r="AU271" i="11"/>
  <c r="BG270" i="11"/>
  <c r="BG264" i="11"/>
  <c r="BG271" i="11" s="1"/>
  <c r="BS377" i="11"/>
  <c r="BT377" i="11" s="1"/>
  <c r="BL846" i="11"/>
  <c r="BK846" i="11"/>
  <c r="BN846" i="11" s="1"/>
  <c r="AG264" i="11"/>
  <c r="AG271" i="11" s="1"/>
  <c r="AG270" i="11"/>
  <c r="J261" i="11"/>
  <c r="J269" i="11"/>
  <c r="J993" i="11"/>
  <c r="AY494" i="11"/>
  <c r="AY481" i="11"/>
  <c r="AX481" i="11"/>
  <c r="AX494" i="11"/>
  <c r="BP86" i="11"/>
  <c r="BP87" i="11"/>
  <c r="BP102" i="11"/>
  <c r="BK848" i="11"/>
  <c r="BL848" i="11"/>
  <c r="BJ270" i="11"/>
  <c r="BJ264" i="11"/>
  <c r="BB947" i="11"/>
  <c r="BA923" i="11"/>
  <c r="BA948" i="11"/>
  <c r="BQ938" i="9"/>
  <c r="BQ747" i="11" s="1"/>
  <c r="BQ762" i="11"/>
  <c r="BA919" i="11"/>
  <c r="BP155" i="11"/>
  <c r="BP156" i="11" s="1"/>
  <c r="BP572" i="11" s="1"/>
  <c r="BP573" i="11" s="1"/>
  <c r="I270" i="11"/>
  <c r="I264" i="11"/>
  <c r="AV482" i="11"/>
  <c r="AV375" i="11"/>
  <c r="AV489" i="11" s="1"/>
  <c r="AV490" i="11" s="1"/>
  <c r="AV493" i="11" s="1"/>
  <c r="BH897" i="11"/>
  <c r="BH1002" i="11"/>
  <c r="X270" i="11"/>
  <c r="X264" i="11"/>
  <c r="X271" i="11" s="1"/>
  <c r="AV494" i="11"/>
  <c r="AV481" i="11"/>
  <c r="V271" i="11"/>
  <c r="BL517" i="11"/>
  <c r="BL512" i="11"/>
  <c r="BL520" i="11"/>
  <c r="BD388" i="11"/>
  <c r="BD489" i="11" s="1"/>
  <c r="BD490" i="11" s="1"/>
  <c r="BD493" i="11" s="1"/>
  <c r="BD495" i="11" s="1"/>
  <c r="BD482" i="11"/>
  <c r="BM565" i="11"/>
  <c r="BM562" i="11"/>
  <c r="BM557" i="11"/>
  <c r="Q270" i="11"/>
  <c r="Q264" i="11"/>
  <c r="BB1002" i="11"/>
  <c r="BC889" i="11"/>
  <c r="BC890" i="11" s="1"/>
  <c r="BB897" i="11"/>
  <c r="BR235" i="11"/>
  <c r="BR104" i="11"/>
  <c r="BK155" i="11"/>
  <c r="BK156" i="11" s="1"/>
  <c r="BK572" i="11" s="1"/>
  <c r="BN231" i="11"/>
  <c r="BD926" i="11"/>
  <c r="BD928" i="11"/>
  <c r="BR838" i="11"/>
  <c r="BR166" i="11"/>
  <c r="BR115" i="11"/>
  <c r="BM166" i="11"/>
  <c r="BM838" i="11"/>
  <c r="BM115" i="11"/>
  <c r="BH264" i="11"/>
  <c r="BH271" i="11" s="1"/>
  <c r="BH270" i="11"/>
  <c r="AW481" i="11"/>
  <c r="AW494" i="11"/>
  <c r="BI270" i="11"/>
  <c r="BI264" i="11"/>
  <c r="BI271" i="11" s="1"/>
  <c r="BI751" i="11" s="1"/>
  <c r="BO846" i="11"/>
  <c r="BN900" i="11"/>
  <c r="BN906" i="11" s="1"/>
  <c r="BD752" i="11"/>
  <c r="BD753" i="11"/>
  <c r="BD756" i="11"/>
  <c r="BB361" i="11"/>
  <c r="BS901" i="11"/>
  <c r="W264" i="11"/>
  <c r="W271" i="11" s="1"/>
  <c r="W270" i="11"/>
  <c r="AH264" i="11"/>
  <c r="AH271" i="11" s="1"/>
  <c r="AH270" i="11"/>
  <c r="AZ270" i="11"/>
  <c r="AZ264" i="11"/>
  <c r="BG481" i="11"/>
  <c r="BG494" i="11"/>
  <c r="BC269" i="11"/>
  <c r="BC261" i="11"/>
  <c r="BC993" i="11"/>
  <c r="BP517" i="11"/>
  <c r="BP520" i="11"/>
  <c r="BP512" i="11"/>
  <c r="BS462" i="11"/>
  <c r="BT462" i="11" s="1"/>
  <c r="AQ264" i="11"/>
  <c r="AQ271" i="11" s="1"/>
  <c r="AQ270" i="11"/>
  <c r="BJ494" i="11"/>
  <c r="BJ481" i="11"/>
  <c r="BS71" i="11"/>
  <c r="BN71" i="11"/>
  <c r="BN511" i="11"/>
  <c r="BN232" i="11"/>
  <c r="BN996" i="11"/>
  <c r="BR556" i="11"/>
  <c r="BR238" i="11"/>
  <c r="BK243" i="11"/>
  <c r="BN715" i="11"/>
  <c r="BN716" i="11" s="1"/>
  <c r="BL155" i="11"/>
  <c r="BL156" i="11" s="1"/>
  <c r="BL572" i="11" s="1"/>
  <c r="BL573" i="11" s="1"/>
  <c r="P264" i="11"/>
  <c r="P271" i="11" s="1"/>
  <c r="P751" i="11" s="1"/>
  <c r="P270" i="11"/>
  <c r="BP851" i="11"/>
  <c r="V897" i="11"/>
  <c r="V1002" i="11"/>
  <c r="W889" i="11"/>
  <c r="W890" i="11" s="1"/>
  <c r="BS958" i="11"/>
  <c r="BS902" i="11" s="1"/>
  <c r="AT270" i="11"/>
  <c r="AT264" i="11"/>
  <c r="AT271" i="11" s="1"/>
  <c r="AT751" i="11" s="1"/>
  <c r="BR1269" i="9"/>
  <c r="BR1129" i="11"/>
  <c r="U270" i="11"/>
  <c r="U264" i="11"/>
  <c r="U271" i="11" s="1"/>
  <c r="U751" i="11" s="1"/>
  <c r="BN851" i="11"/>
  <c r="AX264" i="11"/>
  <c r="AX271" i="11" s="1"/>
  <c r="AX270" i="11"/>
  <c r="AO270" i="11"/>
  <c r="AO264" i="11"/>
  <c r="AO271" i="11" s="1"/>
  <c r="AO751" i="11" s="1"/>
  <c r="BE481" i="11"/>
  <c r="BE484" i="11" s="1"/>
  <c r="BE486" i="11" s="1"/>
  <c r="BE494" i="11"/>
  <c r="AW270" i="11"/>
  <c r="AW264" i="11"/>
  <c r="AW271" i="11" s="1"/>
  <c r="BN958" i="11"/>
  <c r="BN902" i="11" s="1"/>
  <c r="BN908" i="11" s="1"/>
  <c r="BM850" i="11"/>
  <c r="BS232" i="11"/>
  <c r="BS511" i="11"/>
  <c r="BS996" i="11"/>
  <c r="AT494" i="11"/>
  <c r="AT481" i="11"/>
  <c r="BB264" i="11"/>
  <c r="BB271" i="11" s="1"/>
  <c r="BB270" i="11"/>
  <c r="X826" i="11"/>
  <c r="W827" i="11"/>
  <c r="F270" i="11"/>
  <c r="F264" i="11"/>
  <c r="F271" i="11" s="1"/>
  <c r="AE1081" i="11"/>
  <c r="AD1081" i="11"/>
  <c r="AH1081" i="11"/>
  <c r="AD676" i="11"/>
  <c r="AE676" i="11"/>
  <c r="AH604" i="11"/>
  <c r="AG604" i="11"/>
  <c r="AH540" i="11"/>
  <c r="AG1081" i="11"/>
  <c r="AG540" i="11"/>
  <c r="AE540" i="11"/>
  <c r="AF676" i="11"/>
  <c r="AF1081" i="11"/>
  <c r="AE604" i="11"/>
  <c r="AH676" i="11"/>
  <c r="AF604" i="11"/>
  <c r="AG676" i="11"/>
  <c r="AD604" i="11"/>
  <c r="AO5" i="11"/>
  <c r="AK5" i="11"/>
  <c r="AF540" i="11"/>
  <c r="AD540" i="11"/>
  <c r="BL235" i="11"/>
  <c r="BL103" i="11"/>
  <c r="BL104" i="11"/>
  <c r="BL109" i="11"/>
  <c r="BQ732" i="11"/>
  <c r="BQ492" i="11" s="1"/>
  <c r="BR971" i="11"/>
  <c r="BS411" i="11"/>
  <c r="BT411" i="11" s="1"/>
  <c r="BR111" i="11"/>
  <c r="BP556" i="11"/>
  <c r="BL847" i="11"/>
  <c r="BK847" i="11"/>
  <c r="BN847" i="11" s="1"/>
  <c r="BN850" i="11"/>
  <c r="BM155" i="11"/>
  <c r="BM156" i="11" s="1"/>
  <c r="BM572" i="11" s="1"/>
  <c r="BM573" i="11" s="1"/>
  <c r="AE889" i="11"/>
  <c r="AE890" i="11" s="1"/>
  <c r="AA889" i="11"/>
  <c r="AA890" i="11" s="1"/>
  <c r="Z897" i="11"/>
  <c r="AR264" i="11"/>
  <c r="AR271" i="11" s="1"/>
  <c r="AR270" i="11"/>
  <c r="AS261" i="11"/>
  <c r="AS269" i="11"/>
  <c r="AS993" i="11"/>
  <c r="BM520" i="11"/>
  <c r="BM512" i="11"/>
  <c r="BM517" i="11"/>
  <c r="BS970" i="11"/>
  <c r="BN941" i="11"/>
  <c r="BM942" i="11"/>
  <c r="BM848" i="11" s="1"/>
  <c r="AB270" i="11"/>
  <c r="AB264" i="11"/>
  <c r="AB271" i="11" s="1"/>
  <c r="AF270" i="11"/>
  <c r="AF264" i="11"/>
  <c r="T264" i="11"/>
  <c r="T271" i="11" s="1"/>
  <c r="T270" i="11"/>
  <c r="BF270" i="11"/>
  <c r="BF264" i="11"/>
  <c r="BF271" i="11" s="1"/>
  <c r="BA494" i="11"/>
  <c r="BA481" i="11"/>
  <c r="AW374" i="11"/>
  <c r="AE1066" i="11"/>
  <c r="AD1066" i="11"/>
  <c r="AE648" i="11"/>
  <c r="AD648" i="11"/>
  <c r="AE576" i="11"/>
  <c r="AD576" i="11"/>
  <c r="AG5" i="11"/>
  <c r="AD523" i="11"/>
  <c r="AE523" i="11"/>
  <c r="BS715" i="11"/>
  <c r="BS716" i="11" s="1"/>
  <c r="BO243" i="11"/>
  <c r="BT940" i="11"/>
  <c r="BS942" i="11"/>
  <c r="BS394" i="11"/>
  <c r="BT394" i="11" s="1"/>
  <c r="BJ388" i="11"/>
  <c r="BJ489" i="11" s="1"/>
  <c r="BJ490" i="11" s="1"/>
  <c r="BJ493" i="11" s="1"/>
  <c r="BJ482" i="11"/>
  <c r="L264" i="11"/>
  <c r="L270" i="11"/>
  <c r="BK87" i="11"/>
  <c r="BK86" i="11"/>
  <c r="BK102" i="11"/>
  <c r="BO850" i="11"/>
  <c r="BE271" i="11"/>
  <c r="AP270" i="11"/>
  <c r="AP264" i="11"/>
  <c r="AK264" i="11"/>
  <c r="AK270" i="11"/>
  <c r="BP838" i="11"/>
  <c r="BP115" i="11"/>
  <c r="BP166" i="11"/>
  <c r="BU70" i="11"/>
  <c r="S270" i="11"/>
  <c r="S264" i="11"/>
  <c r="S271" i="11" s="1"/>
  <c r="BR962" i="11"/>
  <c r="BQ847" i="11"/>
  <c r="K4" i="11"/>
  <c r="J279" i="11"/>
  <c r="J3" i="11"/>
  <c r="BH481" i="11"/>
  <c r="BH494" i="11"/>
  <c r="BF481" i="11"/>
  <c r="BF494" i="11"/>
  <c r="AI269" i="11"/>
  <c r="AI261" i="11"/>
  <c r="AI993" i="11"/>
  <c r="BO556" i="11"/>
  <c r="BL562" i="11"/>
  <c r="BL557" i="11"/>
  <c r="BL565" i="11"/>
  <c r="AO374" i="11"/>
  <c r="AO375" i="11" s="1"/>
  <c r="AO489" i="11" s="1"/>
  <c r="AO490" i="11" s="1"/>
  <c r="AO493" i="11" s="1"/>
  <c r="BS445" i="11"/>
  <c r="BT445" i="11" s="1"/>
  <c r="AU494" i="11"/>
  <c r="AU481" i="11"/>
  <c r="BK565" i="11"/>
  <c r="BK562" i="11"/>
  <c r="U752" i="11"/>
  <c r="U753" i="11"/>
  <c r="U756" i="11"/>
  <c r="BC494" i="11"/>
  <c r="BC481" i="11"/>
  <c r="BS85" i="11"/>
  <c r="BS82" i="11"/>
  <c r="BT82" i="11" s="1"/>
  <c r="BG354" i="11"/>
  <c r="BG360" i="11" s="1"/>
  <c r="BH348" i="11"/>
  <c r="BH352" i="11" s="1"/>
  <c r="BH354" i="11" s="1"/>
  <c r="BH360" i="11" s="1"/>
  <c r="J1002" i="11"/>
  <c r="J897" i="11"/>
  <c r="BI388" i="11"/>
  <c r="BI489" i="11" s="1"/>
  <c r="BI490" i="11" s="1"/>
  <c r="BI493" i="11" s="1"/>
  <c r="BI482" i="11"/>
  <c r="BD494" i="11"/>
  <c r="BD481" i="11"/>
  <c r="BT28" i="11"/>
  <c r="BT23" i="11"/>
  <c r="BT15" i="11"/>
  <c r="BT16" i="11" s="1"/>
  <c r="AW346" i="11"/>
  <c r="AX342" i="11"/>
  <c r="AL270" i="11"/>
  <c r="AL264" i="11"/>
  <c r="AL271" i="11" s="1"/>
  <c r="BN96" i="11"/>
  <c r="BN97" i="11"/>
  <c r="BN100" i="11" s="1"/>
  <c r="N897" i="11"/>
  <c r="O889" i="11"/>
  <c r="O890" i="11" s="1"/>
  <c r="N1002" i="11"/>
  <c r="AX482" i="11"/>
  <c r="AX375" i="11"/>
  <c r="AX489" i="11" s="1"/>
  <c r="AX490" i="11" s="1"/>
  <c r="AX493" i="11" s="1"/>
  <c r="BT903" i="11"/>
  <c r="BU903" i="11" s="1"/>
  <c r="BV903" i="11" s="1"/>
  <c r="BV13" i="11"/>
  <c r="BV21" i="11" s="1"/>
  <c r="BU21" i="11"/>
  <c r="AZ494" i="11"/>
  <c r="AZ481" i="11"/>
  <c r="O264" i="11"/>
  <c r="O271" i="11" s="1"/>
  <c r="O270" i="11"/>
  <c r="AN270" i="11"/>
  <c r="AN264" i="11"/>
  <c r="AN271" i="11" s="1"/>
  <c r="BB494" i="11"/>
  <c r="BB481" i="11"/>
  <c r="BC361" i="11"/>
  <c r="BS900" i="11"/>
  <c r="BS75" i="11"/>
  <c r="BN75" i="11"/>
  <c r="AA270" i="11"/>
  <c r="AA264" i="11"/>
  <c r="BN960" i="11"/>
  <c r="BN904" i="11" s="1"/>
  <c r="BN910" i="11" s="1"/>
  <c r="BM851" i="11"/>
  <c r="Y270" i="11"/>
  <c r="Y264" i="11"/>
  <c r="Y271" i="11" s="1"/>
  <c r="AY264" i="11"/>
  <c r="AY271" i="11" s="1"/>
  <c r="AY751" i="11" s="1"/>
  <c r="AY270" i="11"/>
  <c r="BS286" i="11"/>
  <c r="BT286" i="11" s="1"/>
  <c r="BO517" i="11"/>
  <c r="BO520" i="11"/>
  <c r="BO512" i="11"/>
  <c r="BS95" i="11"/>
  <c r="BQ958" i="11"/>
  <c r="BQ850" i="11" s="1"/>
  <c r="BQ938" i="11"/>
  <c r="BR846" i="11" s="1"/>
  <c r="BQ941" i="11"/>
  <c r="BQ942" i="11" s="1"/>
  <c r="BR848" i="11" s="1"/>
  <c r="BQ715" i="11"/>
  <c r="BQ243" i="11" s="1"/>
  <c r="BQ939" i="11"/>
  <c r="BR847" i="11" s="1"/>
  <c r="BQ231" i="11"/>
  <c r="BQ960" i="11"/>
  <c r="BQ851" i="11" s="1"/>
  <c r="BQ511" i="11"/>
  <c r="BQ996" i="11"/>
  <c r="BH387" i="11"/>
  <c r="BC387" i="11"/>
  <c r="BM87" i="11"/>
  <c r="BM86" i="11"/>
  <c r="BM102" i="11"/>
  <c r="BQ88" i="11"/>
  <c r="BL88" i="11"/>
  <c r="AS385" i="9"/>
  <c r="AO51" i="9"/>
  <c r="AL51" i="9"/>
  <c r="AF385" i="9"/>
  <c r="BA47" i="9"/>
  <c r="AK47" i="9"/>
  <c r="AN382" i="9"/>
  <c r="R51" i="9"/>
  <c r="AI383" i="9"/>
  <c r="AO385" i="9"/>
  <c r="K385" i="9"/>
  <c r="AD385" i="9"/>
  <c r="BH42" i="9"/>
  <c r="K47" i="9"/>
  <c r="E47" i="9"/>
  <c r="R385" i="9"/>
  <c r="BA385" i="9"/>
  <c r="AW51" i="9"/>
  <c r="M51" i="9"/>
  <c r="V47" i="9"/>
  <c r="BD51" i="9"/>
  <c r="AE47" i="9"/>
  <c r="G1164" i="9"/>
  <c r="G7" i="9"/>
  <c r="G8" i="9" s="1"/>
  <c r="BC46" i="9"/>
  <c r="BC47" i="9" s="1"/>
  <c r="BC371" i="9"/>
  <c r="AK804" i="9"/>
  <c r="AK787" i="9"/>
  <c r="O805" i="9"/>
  <c r="O785" i="9"/>
  <c r="O796" i="9"/>
  <c r="O797" i="9" s="1"/>
  <c r="O802" i="9" s="1"/>
  <c r="I76" i="9"/>
  <c r="I60" i="9"/>
  <c r="N62" i="9"/>
  <c r="J54" i="9"/>
  <c r="J57" i="9" s="1"/>
  <c r="I58" i="9"/>
  <c r="I266" i="9"/>
  <c r="BK774" i="9"/>
  <c r="F408" i="9"/>
  <c r="E417" i="9"/>
  <c r="J408" i="9"/>
  <c r="E451" i="9"/>
  <c r="E432" i="9"/>
  <c r="F402" i="9"/>
  <c r="E419" i="9"/>
  <c r="E420" i="9" s="1"/>
  <c r="G804" i="9"/>
  <c r="G787" i="9"/>
  <c r="AN831" i="9"/>
  <c r="AN833" i="9"/>
  <c r="AN925" i="9" s="1"/>
  <c r="AN926" i="9" s="1"/>
  <c r="AO830" i="9"/>
  <c r="AN804" i="9"/>
  <c r="AN787" i="9"/>
  <c r="F926" i="9"/>
  <c r="F931" i="9"/>
  <c r="V385" i="9"/>
  <c r="BE811" i="9"/>
  <c r="BE49" i="9" s="1"/>
  <c r="Z804" i="9"/>
  <c r="Z787" i="9"/>
  <c r="W385" i="9"/>
  <c r="D178" i="9"/>
  <c r="Z831" i="9"/>
  <c r="Z833" i="9"/>
  <c r="Z925" i="9" s="1"/>
  <c r="BH46" i="9"/>
  <c r="BH371" i="9"/>
  <c r="Q811" i="9"/>
  <c r="Q49" i="9" s="1"/>
  <c r="V51" i="9" s="1"/>
  <c r="R47" i="9"/>
  <c r="BH382" i="9"/>
  <c r="BH384" i="9"/>
  <c r="Q804" i="9"/>
  <c r="Q787" i="9"/>
  <c r="AU804" i="9"/>
  <c r="AU787" i="9"/>
  <c r="AI831" i="9"/>
  <c r="AI833" i="9"/>
  <c r="AI925" i="9" s="1"/>
  <c r="AI926" i="9" s="1"/>
  <c r="AJ830" i="9"/>
  <c r="AT49" i="9"/>
  <c r="AY51" i="9" s="1"/>
  <c r="AT928" i="9"/>
  <c r="E181" i="9"/>
  <c r="E194" i="9" s="1"/>
  <c r="E180" i="9"/>
  <c r="D926" i="9"/>
  <c r="D931" i="9"/>
  <c r="AZ804" i="9"/>
  <c r="AZ787" i="9"/>
  <c r="BN819" i="9"/>
  <c r="BM830" i="9"/>
  <c r="BN830" i="9" s="1"/>
  <c r="BM824" i="9"/>
  <c r="BM825" i="9"/>
  <c r="BO822" i="9"/>
  <c r="AE385" i="9"/>
  <c r="J260" i="9"/>
  <c r="K260" i="9" s="1"/>
  <c r="J258" i="9"/>
  <c r="H226" i="9"/>
  <c r="I222" i="9"/>
  <c r="I225" i="9" s="1"/>
  <c r="H269" i="9"/>
  <c r="H228" i="9"/>
  <c r="H236" i="9"/>
  <c r="E406" i="9"/>
  <c r="F1172" i="9"/>
  <c r="G1059" i="9"/>
  <c r="G1060" i="9" s="1"/>
  <c r="F1065" i="9"/>
  <c r="K1059" i="9"/>
  <c r="K1060" i="9" s="1"/>
  <c r="Z49" i="9"/>
  <c r="Z51" i="9" s="1"/>
  <c r="Z928" i="9"/>
  <c r="AQ385" i="9"/>
  <c r="AJ385" i="9"/>
  <c r="BC51" i="9"/>
  <c r="AX385" i="9"/>
  <c r="E139" i="9"/>
  <c r="E136" i="9" s="1"/>
  <c r="E135" i="9"/>
  <c r="E121" i="9" s="1"/>
  <c r="F130" i="9" s="1"/>
  <c r="F129" i="9" s="1"/>
  <c r="E83" i="9"/>
  <c r="E80" i="9" s="1"/>
  <c r="E79" i="9"/>
  <c r="E65" i="9" s="1"/>
  <c r="F74" i="9" s="1"/>
  <c r="F73" i="9" s="1"/>
  <c r="M385" i="9"/>
  <c r="AP47" i="9"/>
  <c r="AS47" i="9"/>
  <c r="AR804" i="9"/>
  <c r="AR787" i="9"/>
  <c r="BK1047" i="9"/>
  <c r="BK1176" i="9"/>
  <c r="AT47" i="9"/>
  <c r="AY47" i="9"/>
  <c r="AD636" i="9"/>
  <c r="AD919" i="9"/>
  <c r="P47" i="9"/>
  <c r="AW804" i="9"/>
  <c r="AW787" i="9"/>
  <c r="AB804" i="9"/>
  <c r="AB787" i="9"/>
  <c r="F47" i="9"/>
  <c r="AX47" i="9"/>
  <c r="AA51" i="9"/>
  <c r="BM1176" i="9"/>
  <c r="BM1047" i="9"/>
  <c r="BM1054" i="9" s="1"/>
  <c r="BD1178" i="9"/>
  <c r="AZ811" i="9"/>
  <c r="AZ49" i="9" s="1"/>
  <c r="BR1142" i="9"/>
  <c r="BS1137" i="9"/>
  <c r="BC382" i="9"/>
  <c r="BC384" i="9"/>
  <c r="BC385" i="9" s="1"/>
  <c r="BH383" i="9"/>
  <c r="AT804" i="9"/>
  <c r="AT787" i="9"/>
  <c r="BC804" i="9"/>
  <c r="BC787" i="9"/>
  <c r="L245" i="9"/>
  <c r="L248" i="9" s="1"/>
  <c r="K259" i="9"/>
  <c r="K250" i="9"/>
  <c r="K270" i="9"/>
  <c r="P245" i="9"/>
  <c r="BC383" i="9"/>
  <c r="AE784" i="9"/>
  <c r="AN42" i="9"/>
  <c r="P833" i="9"/>
  <c r="P925" i="9" s="1"/>
  <c r="P831" i="9"/>
  <c r="AC805" i="9"/>
  <c r="AC785" i="9"/>
  <c r="AC796" i="9"/>
  <c r="AC797" i="9" s="1"/>
  <c r="AC802" i="9" s="1"/>
  <c r="AT831" i="9"/>
  <c r="AT833" i="9"/>
  <c r="AT925" i="9" s="1"/>
  <c r="BN814" i="9"/>
  <c r="R804" i="9"/>
  <c r="R787" i="9"/>
  <c r="AB51" i="9"/>
  <c r="BJ811" i="9"/>
  <c r="BJ49" i="9" s="1"/>
  <c r="M1000" i="9"/>
  <c r="L1001" i="9"/>
  <c r="BL1084" i="9"/>
  <c r="AR51" i="9"/>
  <c r="Y804" i="9"/>
  <c r="Y787" i="9"/>
  <c r="BD1175" i="9"/>
  <c r="D805" i="9"/>
  <c r="D785" i="9"/>
  <c r="D796" i="9"/>
  <c r="D797" i="9" s="1"/>
  <c r="D802" i="9" s="1"/>
  <c r="D811" i="9" s="1"/>
  <c r="Z1178" i="9"/>
  <c r="U51" i="9"/>
  <c r="AE1167" i="9"/>
  <c r="X47" i="9"/>
  <c r="AC47" i="9"/>
  <c r="I805" i="9"/>
  <c r="I785" i="9"/>
  <c r="I796" i="9"/>
  <c r="I797" i="9" s="1"/>
  <c r="I802" i="9" s="1"/>
  <c r="I811" i="9" s="1"/>
  <c r="I49" i="9" s="1"/>
  <c r="N51" i="9" s="1"/>
  <c r="AF805" i="9"/>
  <c r="AF785" i="9"/>
  <c r="AF796" i="9"/>
  <c r="AF797" i="9" s="1"/>
  <c r="AF802" i="9" s="1"/>
  <c r="G237" i="9"/>
  <c r="H234" i="9"/>
  <c r="G235" i="9"/>
  <c r="BT1139" i="9"/>
  <c r="BS907" i="9"/>
  <c r="K926" i="9"/>
  <c r="K931" i="9"/>
  <c r="BR1266" i="9"/>
  <c r="BR1259" i="9"/>
  <c r="BR1252" i="9"/>
  <c r="BR1264" i="9"/>
  <c r="BR1257" i="9"/>
  <c r="BR1250" i="9"/>
  <c r="BR444" i="9"/>
  <c r="BR255" i="9"/>
  <c r="H188" i="9"/>
  <c r="I166" i="9"/>
  <c r="I169" i="9" s="1"/>
  <c r="H268" i="9"/>
  <c r="H272" i="9" s="1"/>
  <c r="H172" i="9"/>
  <c r="H170" i="9"/>
  <c r="M174" i="9"/>
  <c r="E385" i="9"/>
  <c r="P385" i="9"/>
  <c r="AL804" i="9"/>
  <c r="AL787" i="9"/>
  <c r="AY833" i="9"/>
  <c r="AY925" i="9" s="1"/>
  <c r="AY831" i="9"/>
  <c r="BC1167" i="9"/>
  <c r="H77" i="9"/>
  <c r="H75" i="9"/>
  <c r="I72" i="9"/>
  <c r="BS312" i="9"/>
  <c r="BT310" i="9"/>
  <c r="G187" i="9"/>
  <c r="H184" i="9"/>
  <c r="G189" i="9"/>
  <c r="S805" i="9"/>
  <c r="S785" i="9"/>
  <c r="S796" i="9"/>
  <c r="S797" i="9" s="1"/>
  <c r="S802" i="9" s="1"/>
  <c r="S811" i="9" s="1"/>
  <c r="S49" i="9" s="1"/>
  <c r="AN51" i="9"/>
  <c r="BE804" i="9"/>
  <c r="BE787" i="9"/>
  <c r="BT290" i="9"/>
  <c r="BU262" i="9"/>
  <c r="H133" i="9"/>
  <c r="I128" i="9"/>
  <c r="H131" i="9"/>
  <c r="E122" i="9"/>
  <c r="X385" i="9"/>
  <c r="AC385" i="9"/>
  <c r="I132" i="9"/>
  <c r="I267" i="9"/>
  <c r="N118" i="9"/>
  <c r="I114" i="9"/>
  <c r="J110" i="9"/>
  <c r="J113" i="9" s="1"/>
  <c r="I116" i="9"/>
  <c r="BD830" i="9"/>
  <c r="BC831" i="9"/>
  <c r="BC833" i="9"/>
  <c r="BC925" i="9" s="1"/>
  <c r="BC926" i="9" s="1"/>
  <c r="AQ47" i="9"/>
  <c r="BR312" i="9"/>
  <c r="M804" i="9"/>
  <c r="M787" i="9"/>
  <c r="F385" i="9"/>
  <c r="AI46" i="9"/>
  <c r="AI47" i="9" s="1"/>
  <c r="AI371" i="9"/>
  <c r="AK385" i="9"/>
  <c r="BI51" i="9"/>
  <c r="AI384" i="9"/>
  <c r="AI385" i="9" s="1"/>
  <c r="AI382" i="9"/>
  <c r="AN383" i="9"/>
  <c r="AE926" i="9"/>
  <c r="AE931" i="9"/>
  <c r="F210" i="9"/>
  <c r="F219" i="9"/>
  <c r="BU1146" i="9"/>
  <c r="BJ804" i="9"/>
  <c r="BJ787" i="9"/>
  <c r="BU1138" i="9"/>
  <c r="BV905" i="9"/>
  <c r="BV1138" i="9" s="1"/>
  <c r="AD1224" i="9"/>
  <c r="AE1224" i="9"/>
  <c r="AG5" i="9"/>
  <c r="BT23" i="9"/>
  <c r="BT25" i="9" s="1"/>
  <c r="BR230" i="9"/>
  <c r="BQ443" i="9"/>
  <c r="BQ232" i="9"/>
  <c r="BH831" i="9"/>
  <c r="BI830" i="9"/>
  <c r="BH833" i="9"/>
  <c r="BH925" i="9" s="1"/>
  <c r="BH926" i="9" s="1"/>
  <c r="AZ831" i="9"/>
  <c r="AZ833" i="9"/>
  <c r="AZ925" i="9" s="1"/>
  <c r="AZ926" i="9" s="1"/>
  <c r="BH1167" i="9"/>
  <c r="P51" i="9"/>
  <c r="AD47" i="9"/>
  <c r="BG804" i="9"/>
  <c r="BG787" i="9"/>
  <c r="BS1272" i="9"/>
  <c r="BS1271" i="9"/>
  <c r="BS3" i="9"/>
  <c r="BS1246" i="9" s="1"/>
  <c r="BS1273" i="9"/>
  <c r="BS1276" i="9"/>
  <c r="BT4" i="9"/>
  <c r="BF804" i="9"/>
  <c r="BF787" i="9"/>
  <c r="F49" i="9"/>
  <c r="K51" i="9" s="1"/>
  <c r="F928" i="9"/>
  <c r="G811" i="9"/>
  <c r="G49" i="9" s="1"/>
  <c r="L51" i="9" s="1"/>
  <c r="AT385" i="9"/>
  <c r="AY385" i="9"/>
  <c r="AE919" i="9"/>
  <c r="AE636" i="9"/>
  <c r="AI804" i="9"/>
  <c r="AI787" i="9"/>
  <c r="E926" i="9"/>
  <c r="E931" i="9"/>
  <c r="AJ47" i="9"/>
  <c r="AD784" i="9"/>
  <c r="BO1162" i="9"/>
  <c r="BO904" i="9"/>
  <c r="BO1132" i="9" s="1"/>
  <c r="BP906" i="9"/>
  <c r="AU811" i="9"/>
  <c r="AU49" i="9" s="1"/>
  <c r="AY1178" i="9"/>
  <c r="BH805" i="9"/>
  <c r="BH785" i="9"/>
  <c r="BH796" i="9"/>
  <c r="BH797" i="9" s="1"/>
  <c r="BH802" i="9" s="1"/>
  <c r="BH811" i="9" s="1"/>
  <c r="BH49" i="9" s="1"/>
  <c r="BH51" i="9" s="1"/>
  <c r="AG1230" i="9"/>
  <c r="AG1229" i="9" s="1"/>
  <c r="AD1230" i="9"/>
  <c r="AD1229" i="9" s="1"/>
  <c r="AK5" i="9"/>
  <c r="AO5" i="9"/>
  <c r="AH1230" i="9"/>
  <c r="AF1230" i="9"/>
  <c r="AE1230" i="9"/>
  <c r="AE1229" i="9" s="1"/>
  <c r="AT1178" i="9"/>
  <c r="BV239" i="9"/>
  <c r="BV289" i="9" s="1"/>
  <c r="BU289" i="9"/>
  <c r="AO47" i="9"/>
  <c r="F804" i="9"/>
  <c r="F787" i="9"/>
  <c r="U926" i="9"/>
  <c r="U931" i="9"/>
  <c r="AO1178" i="9"/>
  <c r="AK811" i="9"/>
  <c r="AK49" i="9" s="1"/>
  <c r="AP51" i="9" s="1"/>
  <c r="J33" i="4"/>
  <c r="J91" i="4"/>
  <c r="J97" i="4"/>
  <c r="H91" i="4"/>
  <c r="H97" i="4"/>
  <c r="I91" i="4"/>
  <c r="I97" i="4"/>
  <c r="I98" i="4" s="1"/>
  <c r="N98" i="4" s="1"/>
  <c r="H67" i="4"/>
  <c r="I66" i="4"/>
  <c r="I67" i="4" s="1"/>
  <c r="J66" i="4"/>
  <c r="J67" i="4" s="1"/>
  <c r="I102" i="4"/>
  <c r="I103" i="4" s="1"/>
  <c r="I104" i="4" s="1"/>
  <c r="H102" i="4"/>
  <c r="H103" i="4" s="1"/>
  <c r="H104" i="4" s="1"/>
  <c r="J102" i="4"/>
  <c r="J103" i="4" s="1"/>
  <c r="J104" i="4" s="1"/>
  <c r="I79" i="4"/>
  <c r="I80" i="4" s="1"/>
  <c r="H79" i="4"/>
  <c r="H80" i="4" s="1"/>
  <c r="J79" i="4"/>
  <c r="J80" i="4" s="1"/>
  <c r="I33" i="4"/>
  <c r="H33" i="4"/>
  <c r="K48" i="4"/>
  <c r="D42" i="3"/>
  <c r="D43" i="3" s="1"/>
  <c r="F42" i="3"/>
  <c r="F43" i="3" s="1"/>
  <c r="H42" i="3"/>
  <c r="J41" i="3"/>
  <c r="BF484" i="11" l="1"/>
  <c r="BF486" i="11" s="1"/>
  <c r="AZ495" i="11"/>
  <c r="AO495" i="11"/>
  <c r="AO499" i="11" s="1"/>
  <c r="AO501" i="11" s="1"/>
  <c r="BB484" i="11"/>
  <c r="BB486" i="11" s="1"/>
  <c r="AY495" i="11"/>
  <c r="AT484" i="11"/>
  <c r="AT486" i="11" s="1"/>
  <c r="BJ484" i="11"/>
  <c r="BJ486" i="11" s="1"/>
  <c r="AV495" i="11"/>
  <c r="AX484" i="11"/>
  <c r="AX486" i="11" s="1"/>
  <c r="BI484" i="11"/>
  <c r="BI486" i="11" s="1"/>
  <c r="BQ848" i="11"/>
  <c r="BN86" i="11"/>
  <c r="BN87" i="11"/>
  <c r="AL1081" i="11"/>
  <c r="AK1081" i="11"/>
  <c r="AM1081" i="11"/>
  <c r="AI604" i="11"/>
  <c r="AM540" i="11"/>
  <c r="AL540" i="11"/>
  <c r="AJ1081" i="11"/>
  <c r="AI540" i="11"/>
  <c r="AI1081" i="11"/>
  <c r="AM604" i="11"/>
  <c r="AL604" i="11"/>
  <c r="AJ676" i="11"/>
  <c r="AI676" i="11"/>
  <c r="AL676" i="11"/>
  <c r="AM676" i="11"/>
  <c r="AK676" i="11"/>
  <c r="AJ604" i="11"/>
  <c r="AP5" i="11"/>
  <c r="AK604" i="11"/>
  <c r="AK540" i="11"/>
  <c r="AT5" i="11"/>
  <c r="AJ540" i="11"/>
  <c r="BR1248" i="9"/>
  <c r="BR1108" i="11"/>
  <c r="BS97" i="11"/>
  <c r="BS96" i="11"/>
  <c r="BS87" i="11"/>
  <c r="BS86" i="11"/>
  <c r="AO1008" i="11"/>
  <c r="AK271" i="11"/>
  <c r="BM564" i="11"/>
  <c r="BM558" i="11"/>
  <c r="BM561" i="11"/>
  <c r="BR938" i="9"/>
  <c r="BR747" i="11" s="1"/>
  <c r="BR762" i="11"/>
  <c r="S1002" i="11"/>
  <c r="S897" i="11"/>
  <c r="T889" i="11"/>
  <c r="T890" i="11" s="1"/>
  <c r="BU286" i="11"/>
  <c r="AY342" i="11"/>
  <c r="AY346" i="11" s="1"/>
  <c r="AZ342" i="11" s="1"/>
  <c r="AX346" i="11"/>
  <c r="J270" i="11"/>
  <c r="J264" i="11"/>
  <c r="J271" i="11" s="1"/>
  <c r="BR88" i="11"/>
  <c r="BM88" i="11"/>
  <c r="BM516" i="11"/>
  <c r="BM513" i="11"/>
  <c r="BM519" i="11"/>
  <c r="BS556" i="11"/>
  <c r="BT901" i="11"/>
  <c r="BU901" i="11" s="1"/>
  <c r="BV901" i="11" s="1"/>
  <c r="BS907" i="11"/>
  <c r="BU462" i="11"/>
  <c r="BB923" i="11"/>
  <c r="BB948" i="11"/>
  <c r="BD948" i="11" s="1"/>
  <c r="BU23" i="11"/>
  <c r="BU28" i="11"/>
  <c r="BU15" i="11"/>
  <c r="BU16" i="11" s="1"/>
  <c r="AS270" i="11"/>
  <c r="AS264" i="11"/>
  <c r="AS271" i="11" s="1"/>
  <c r="BQ512" i="11"/>
  <c r="BQ520" i="11"/>
  <c r="BQ517" i="11"/>
  <c r="BV23" i="11"/>
  <c r="BV28" i="11"/>
  <c r="BV15" i="11"/>
  <c r="BV16" i="11" s="1"/>
  <c r="BS962" i="11"/>
  <c r="BA484" i="11"/>
  <c r="BA486" i="11" s="1"/>
  <c r="BL105" i="11"/>
  <c r="AV484" i="11"/>
  <c r="AV486" i="11" s="1"/>
  <c r="BA495" i="11"/>
  <c r="BG484" i="11"/>
  <c r="BG486" i="11" s="1"/>
  <c r="BG361" i="11"/>
  <c r="BV70" i="11"/>
  <c r="AF889" i="11"/>
  <c r="AF890" i="11" s="1"/>
  <c r="AJ889" i="11"/>
  <c r="AJ890" i="11" s="1"/>
  <c r="AE897" i="11"/>
  <c r="BO838" i="11"/>
  <c r="BS243" i="11"/>
  <c r="BS166" i="11" s="1"/>
  <c r="BO166" i="11"/>
  <c r="BO115" i="11"/>
  <c r="BS115" i="11" s="1"/>
  <c r="Y826" i="11"/>
  <c r="X827" i="11"/>
  <c r="U1008" i="11"/>
  <c r="Q271" i="11"/>
  <c r="I271" i="11"/>
  <c r="BV74" i="11"/>
  <c r="BR1262" i="9"/>
  <c r="BR1122" i="11"/>
  <c r="BT970" i="11"/>
  <c r="BM235" i="11"/>
  <c r="BM103" i="11"/>
  <c r="BM104" i="11"/>
  <c r="BM109" i="11"/>
  <c r="BK235" i="11"/>
  <c r="BK103" i="11"/>
  <c r="BK104" i="11"/>
  <c r="BN102" i="11"/>
  <c r="BK109" i="11"/>
  <c r="AG1082" i="11"/>
  <c r="AG546" i="11" s="1"/>
  <c r="AG541" i="11" s="1"/>
  <c r="AG1084" i="11"/>
  <c r="AG1080" i="11"/>
  <c r="AG1088" i="11"/>
  <c r="AG686" i="11" s="1"/>
  <c r="AG690" i="11" s="1"/>
  <c r="AG1086" i="11"/>
  <c r="AG615" i="11" s="1"/>
  <c r="AG1085" i="11"/>
  <c r="AG614" i="11" s="1"/>
  <c r="AG618" i="11" s="1"/>
  <c r="AG1090" i="11"/>
  <c r="AG1089" i="11"/>
  <c r="AG687" i="11" s="1"/>
  <c r="AG1083" i="11"/>
  <c r="AG547" i="11" s="1"/>
  <c r="AG542" i="11" s="1"/>
  <c r="AG1087" i="11"/>
  <c r="BB495" i="11"/>
  <c r="AE1075" i="11"/>
  <c r="AE1074" i="11"/>
  <c r="AE662" i="11" s="1"/>
  <c r="AE1069" i="11"/>
  <c r="AE1072" i="11"/>
  <c r="AE1070" i="11"/>
  <c r="AE589" i="11" s="1"/>
  <c r="AE1071" i="11"/>
  <c r="AE590" i="11" s="1"/>
  <c r="AE1068" i="11"/>
  <c r="AE533" i="11" s="1"/>
  <c r="AE525" i="11" s="1"/>
  <c r="AE1073" i="11"/>
  <c r="AE661" i="11" s="1"/>
  <c r="AE1067" i="11"/>
  <c r="AE532" i="11" s="1"/>
  <c r="AE524" i="11" s="1"/>
  <c r="BS155" i="11"/>
  <c r="BS156" i="11" s="1"/>
  <c r="BS572" i="11" s="1"/>
  <c r="BS573" i="11" s="1"/>
  <c r="BU377" i="11"/>
  <c r="AE1008" i="11"/>
  <c r="AA271" i="11"/>
  <c r="BI495" i="11"/>
  <c r="L271" i="11"/>
  <c r="P1008" i="11"/>
  <c r="BT900" i="11"/>
  <c r="BU900" i="11" s="1"/>
  <c r="BV900" i="11" s="1"/>
  <c r="BS906" i="11"/>
  <c r="AJ1008" i="11"/>
  <c r="AF271" i="11"/>
  <c r="BC1002" i="11"/>
  <c r="BC897" i="11"/>
  <c r="BU82" i="11"/>
  <c r="BR557" i="11"/>
  <c r="BR562" i="11"/>
  <c r="BR565" i="11"/>
  <c r="AZ271" i="11"/>
  <c r="BR1255" i="9"/>
  <c r="BR1115" i="11"/>
  <c r="BO519" i="11"/>
  <c r="BO516" i="11"/>
  <c r="BO513" i="11"/>
  <c r="BN556" i="11"/>
  <c r="AY484" i="11"/>
  <c r="AY486" i="11" s="1"/>
  <c r="AF1066" i="11"/>
  <c r="AF648" i="11"/>
  <c r="AF523" i="11"/>
  <c r="AH5" i="11"/>
  <c r="AF576" i="11"/>
  <c r="AF1087" i="11"/>
  <c r="AF1083" i="11"/>
  <c r="AF547" i="11" s="1"/>
  <c r="AF542" i="11" s="1"/>
  <c r="AF1084" i="11"/>
  <c r="AF1080" i="11"/>
  <c r="AF1086" i="11"/>
  <c r="AF615" i="11" s="1"/>
  <c r="AF1090" i="11"/>
  <c r="AF1085" i="11"/>
  <c r="AF614" i="11" s="1"/>
  <c r="AF618" i="11" s="1"/>
  <c r="AF1082" i="11"/>
  <c r="AF546" i="11" s="1"/>
  <c r="AF541" i="11" s="1"/>
  <c r="AF543" i="11" s="1"/>
  <c r="AF1088" i="11"/>
  <c r="AF686" i="11" s="1"/>
  <c r="AF690" i="11" s="1"/>
  <c r="AF1089" i="11"/>
  <c r="AF687" i="11" s="1"/>
  <c r="BR519" i="11"/>
  <c r="BR513" i="11"/>
  <c r="BR516" i="11"/>
  <c r="AZ484" i="11"/>
  <c r="AZ486" i="11" s="1"/>
  <c r="BT902" i="11"/>
  <c r="BU902" i="11" s="1"/>
  <c r="BV902" i="11" s="1"/>
  <c r="BS908" i="11"/>
  <c r="BG495" i="11"/>
  <c r="BL513" i="11"/>
  <c r="BL519" i="11"/>
  <c r="BL516" i="11"/>
  <c r="BQ235" i="11"/>
  <c r="BQ103" i="11"/>
  <c r="BQ104" i="11"/>
  <c r="BQ105" i="11" s="1"/>
  <c r="BQ109" i="11"/>
  <c r="AU484" i="11"/>
  <c r="AU486" i="11" s="1"/>
  <c r="AU499" i="11" s="1"/>
  <c r="BB919" i="11"/>
  <c r="BD484" i="11"/>
  <c r="BD486" i="11" s="1"/>
  <c r="BD499" i="11" s="1"/>
  <c r="BP88" i="11"/>
  <c r="BK88" i="11"/>
  <c r="BL111" i="11"/>
  <c r="BL112" i="11" s="1"/>
  <c r="BQ110" i="11"/>
  <c r="BL110" i="11"/>
  <c r="BP519" i="11"/>
  <c r="BP516" i="11"/>
  <c r="BP513" i="11"/>
  <c r="BN155" i="11"/>
  <c r="BN156" i="11" s="1"/>
  <c r="BN572" i="11" s="1"/>
  <c r="BJ271" i="11"/>
  <c r="BS1269" i="9"/>
  <c r="BS1129" i="11"/>
  <c r="BQ155" i="11"/>
  <c r="BQ156" i="11" s="1"/>
  <c r="BQ572" i="11" s="1"/>
  <c r="BQ573" i="11" s="1"/>
  <c r="BL160" i="11"/>
  <c r="BL997" i="11"/>
  <c r="BL238" i="11"/>
  <c r="AH1088" i="11"/>
  <c r="AH686" i="11" s="1"/>
  <c r="AH690" i="11" s="1"/>
  <c r="AH1084" i="11"/>
  <c r="AH1086" i="11"/>
  <c r="AH615" i="11" s="1"/>
  <c r="AH1082" i="11"/>
  <c r="AH546" i="11" s="1"/>
  <c r="AH541" i="11" s="1"/>
  <c r="AH1090" i="11"/>
  <c r="AH1089" i="11"/>
  <c r="AH687" i="11" s="1"/>
  <c r="AH1085" i="11"/>
  <c r="AH614" i="11" s="1"/>
  <c r="AH618" i="11" s="1"/>
  <c r="AH1087" i="11"/>
  <c r="AH1080" i="11"/>
  <c r="AH1083" i="11"/>
  <c r="AH547" i="11" s="1"/>
  <c r="AH542" i="11" s="1"/>
  <c r="BS846" i="11"/>
  <c r="BR103" i="11"/>
  <c r="BN848" i="11"/>
  <c r="BQ565" i="11"/>
  <c r="BQ562" i="11"/>
  <c r="BQ557" i="11"/>
  <c r="AT495" i="11"/>
  <c r="BS910" i="11"/>
  <c r="BT904" i="11"/>
  <c r="BU904" i="11" s="1"/>
  <c r="BV904" i="11" s="1"/>
  <c r="BP557" i="11"/>
  <c r="BP565" i="11"/>
  <c r="BP562" i="11"/>
  <c r="AX495" i="11"/>
  <c r="BL564" i="11"/>
  <c r="BL558" i="11"/>
  <c r="BL561" i="11"/>
  <c r="BJ495" i="11"/>
  <c r="AB889" i="11"/>
  <c r="AB890" i="11" s="1"/>
  <c r="AA897" i="11"/>
  <c r="AD1089" i="11"/>
  <c r="AD687" i="11" s="1"/>
  <c r="AD1085" i="11"/>
  <c r="AD614" i="11" s="1"/>
  <c r="AD618" i="11" s="1"/>
  <c r="AD1080" i="11"/>
  <c r="AD1088" i="11"/>
  <c r="AD686" i="11" s="1"/>
  <c r="AD690" i="11" s="1"/>
  <c r="AD1083" i="11"/>
  <c r="AD547" i="11" s="1"/>
  <c r="AD542" i="11" s="1"/>
  <c r="AD1082" i="11"/>
  <c r="AD546" i="11" s="1"/>
  <c r="AD541" i="11" s="1"/>
  <c r="AD543" i="11" s="1"/>
  <c r="AD1090" i="11"/>
  <c r="AD1086" i="11"/>
  <c r="AD615" i="11" s="1"/>
  <c r="AD1084" i="11"/>
  <c r="AD1087" i="11"/>
  <c r="BC264" i="11"/>
  <c r="BC271" i="11" s="1"/>
  <c r="BC270" i="11"/>
  <c r="BP235" i="11"/>
  <c r="BP103" i="11"/>
  <c r="BP104" i="11"/>
  <c r="BP109" i="11"/>
  <c r="BO235" i="11"/>
  <c r="BO103" i="11"/>
  <c r="BS102" i="11"/>
  <c r="BO104" i="11"/>
  <c r="BO105" i="11" s="1"/>
  <c r="BO109" i="11"/>
  <c r="BO851" i="11"/>
  <c r="BS851" i="11" s="1"/>
  <c r="BE495" i="11"/>
  <c r="BE499" i="11" s="1"/>
  <c r="AI1066" i="11"/>
  <c r="AJ1066" i="11"/>
  <c r="AJ523" i="11"/>
  <c r="AI523" i="11"/>
  <c r="AJ648" i="11"/>
  <c r="AL5" i="11"/>
  <c r="AI648" i="11"/>
  <c r="AI576" i="11"/>
  <c r="AJ576" i="11"/>
  <c r="BK838" i="11"/>
  <c r="BK166" i="11"/>
  <c r="BK115" i="11"/>
  <c r="BN115" i="11" s="1"/>
  <c r="BN243" i="11"/>
  <c r="BN166" i="11" s="1"/>
  <c r="O1002" i="11"/>
  <c r="O897" i="11"/>
  <c r="BR239" i="11"/>
  <c r="BR162" i="11" s="1"/>
  <c r="BR161" i="11"/>
  <c r="BO557" i="11"/>
  <c r="BO565" i="11"/>
  <c r="BO562" i="11"/>
  <c r="BU940" i="11"/>
  <c r="AI264" i="11"/>
  <c r="AI271" i="11" s="1"/>
  <c r="AI270" i="11"/>
  <c r="BL538" i="11"/>
  <c r="BK538" i="11"/>
  <c r="BM538" i="11"/>
  <c r="BN538" i="11"/>
  <c r="BJ538" i="11"/>
  <c r="BN520" i="11"/>
  <c r="AT1008" i="11"/>
  <c r="AP271" i="11"/>
  <c r="BN903" i="11"/>
  <c r="BN942" i="11"/>
  <c r="BO848" i="11" s="1"/>
  <c r="BS848" i="11" s="1"/>
  <c r="BF495" i="11"/>
  <c r="BQ846" i="11"/>
  <c r="BI1008" i="11"/>
  <c r="BS520" i="11"/>
  <c r="BS512" i="11"/>
  <c r="BS538" i="11"/>
  <c r="BP538" i="11"/>
  <c r="BO538" i="11"/>
  <c r="BQ538" i="11"/>
  <c r="BR538" i="11"/>
  <c r="BR850" i="11"/>
  <c r="BS850" i="11" s="1"/>
  <c r="BU411" i="11"/>
  <c r="W897" i="11"/>
  <c r="W1002" i="11"/>
  <c r="X889" i="11"/>
  <c r="X890" i="11" s="1"/>
  <c r="BC388" i="11"/>
  <c r="BC489" i="11" s="1"/>
  <c r="BC490" i="11" s="1"/>
  <c r="BC493" i="11" s="1"/>
  <c r="BC495" i="11" s="1"/>
  <c r="BC482" i="11"/>
  <c r="BC484" i="11" s="1"/>
  <c r="BC486" i="11" s="1"/>
  <c r="BT32" i="11"/>
  <c r="BT29" i="11"/>
  <c r="BT38" i="11"/>
  <c r="BT39" i="11" s="1"/>
  <c r="AD1074" i="11"/>
  <c r="AD662" i="11" s="1"/>
  <c r="AD1070" i="11"/>
  <c r="AD589" i="11" s="1"/>
  <c r="AD1069" i="11"/>
  <c r="AD1068" i="11"/>
  <c r="AD533" i="11" s="1"/>
  <c r="AD525" i="11" s="1"/>
  <c r="AD1075" i="11"/>
  <c r="AD1071" i="11"/>
  <c r="AD590" i="11" s="1"/>
  <c r="AD1067" i="11"/>
  <c r="AD532" i="11" s="1"/>
  <c r="AD524" i="11" s="1"/>
  <c r="AD1073" i="11"/>
  <c r="AD661" i="11" s="1"/>
  <c r="AD1072" i="11"/>
  <c r="BR732" i="11"/>
  <c r="BR492" i="11" s="1"/>
  <c r="BS971" i="11"/>
  <c r="BH388" i="11"/>
  <c r="BH489" i="11" s="1"/>
  <c r="BH490" i="11" s="1"/>
  <c r="BH493" i="11" s="1"/>
  <c r="BH495" i="11" s="1"/>
  <c r="BH482" i="11"/>
  <c r="BH484" i="11" s="1"/>
  <c r="BH486" i="11" s="1"/>
  <c r="L4" i="11"/>
  <c r="K279" i="11"/>
  <c r="K3" i="11"/>
  <c r="BU445" i="11"/>
  <c r="AW482" i="11"/>
  <c r="AW484" i="11" s="1"/>
  <c r="AW486" i="11" s="1"/>
  <c r="AW375" i="11"/>
  <c r="AW489" i="11" s="1"/>
  <c r="AW490" i="11" s="1"/>
  <c r="AW493" i="11" s="1"/>
  <c r="AW495" i="11" s="1"/>
  <c r="Z1008" i="11"/>
  <c r="BQ838" i="11"/>
  <c r="BQ166" i="11"/>
  <c r="BQ115" i="11"/>
  <c r="BH361" i="11"/>
  <c r="BU394" i="11"/>
  <c r="AE1080" i="11"/>
  <c r="AE1089" i="11"/>
  <c r="AE687" i="11" s="1"/>
  <c r="AE1088" i="11"/>
  <c r="AE686" i="11" s="1"/>
  <c r="AE690" i="11" s="1"/>
  <c r="AE1087" i="11"/>
  <c r="AE1082" i="11"/>
  <c r="AE546" i="11" s="1"/>
  <c r="AE541" i="11" s="1"/>
  <c r="AE543" i="11" s="1"/>
  <c r="AE1084" i="11"/>
  <c r="AE1085" i="11"/>
  <c r="AE614" i="11" s="1"/>
  <c r="AE618" i="11" s="1"/>
  <c r="AE1086" i="11"/>
  <c r="AE615" i="11" s="1"/>
  <c r="AE1090" i="11"/>
  <c r="AE1083" i="11"/>
  <c r="AE547" i="11" s="1"/>
  <c r="AE542" i="11" s="1"/>
  <c r="BR160" i="11"/>
  <c r="BR997" i="11"/>
  <c r="AY1008" i="11"/>
  <c r="BU428" i="11"/>
  <c r="BS83" i="11"/>
  <c r="BN83" i="11"/>
  <c r="K1178" i="9"/>
  <c r="Q51" i="9"/>
  <c r="BM833" i="9"/>
  <c r="BM925" i="9" s="1"/>
  <c r="AN47" i="9"/>
  <c r="BH47" i="9"/>
  <c r="AT51" i="9"/>
  <c r="AZ51" i="9"/>
  <c r="BJ51" i="9"/>
  <c r="AN385" i="9"/>
  <c r="BH385" i="9"/>
  <c r="F51" i="9"/>
  <c r="BN831" i="9"/>
  <c r="E66" i="9"/>
  <c r="BS1266" i="9"/>
  <c r="BS1259" i="9"/>
  <c r="BS1252" i="9"/>
  <c r="BS1264" i="9"/>
  <c r="BS1257" i="9"/>
  <c r="BS1250" i="9"/>
  <c r="BV262" i="9"/>
  <c r="BV290" i="9" s="1"/>
  <c r="BU290" i="9"/>
  <c r="BH804" i="9"/>
  <c r="BH787" i="9"/>
  <c r="H1164" i="9"/>
  <c r="H7" i="9"/>
  <c r="H8" i="9" s="1"/>
  <c r="BN825" i="9"/>
  <c r="BO819" i="9"/>
  <c r="BO814" i="9" s="1"/>
  <c r="BN833" i="9"/>
  <c r="BN925" i="9" s="1"/>
  <c r="BP1162" i="9"/>
  <c r="BQ906" i="9"/>
  <c r="BP904" i="9"/>
  <c r="BP1132" i="9" s="1"/>
  <c r="AC811" i="9"/>
  <c r="AC49" i="9" s="1"/>
  <c r="S804" i="9"/>
  <c r="S787" i="9"/>
  <c r="O811" i="9"/>
  <c r="O49" i="9" s="1"/>
  <c r="P1178" i="9"/>
  <c r="J114" i="9"/>
  <c r="J116" i="9"/>
  <c r="K116" i="9" s="1"/>
  <c r="J267" i="9"/>
  <c r="O118" i="9"/>
  <c r="K113" i="9"/>
  <c r="J132" i="9"/>
  <c r="BS1142" i="9"/>
  <c r="BT1137" i="9"/>
  <c r="BN1047" i="9"/>
  <c r="BK1054" i="9"/>
  <c r="G1172" i="9"/>
  <c r="G1065" i="9"/>
  <c r="H1059" i="9"/>
  <c r="H1060" i="9" s="1"/>
  <c r="D929" i="9"/>
  <c r="D932" i="9"/>
  <c r="O804" i="9"/>
  <c r="O787" i="9"/>
  <c r="BU23" i="9"/>
  <c r="BU25" i="9" s="1"/>
  <c r="BT1272" i="9"/>
  <c r="BT1246" i="9"/>
  <c r="BT1273" i="9"/>
  <c r="BT1276" i="9"/>
  <c r="BT1271" i="9"/>
  <c r="BU4" i="9"/>
  <c r="AE929" i="9"/>
  <c r="AE932" i="9"/>
  <c r="P926" i="9"/>
  <c r="P931" i="9"/>
  <c r="AC1229" i="9"/>
  <c r="K929" i="9"/>
  <c r="K932" i="9"/>
  <c r="U1178" i="9"/>
  <c r="BV23" i="9"/>
  <c r="N174" i="9"/>
  <c r="I268" i="9"/>
  <c r="I188" i="9"/>
  <c r="I172" i="9"/>
  <c r="I170" i="9"/>
  <c r="J166" i="9"/>
  <c r="J169" i="9" s="1"/>
  <c r="E195" i="9"/>
  <c r="E192" i="9" s="1"/>
  <c r="E191" i="9"/>
  <c r="E177" i="9" s="1"/>
  <c r="F186" i="9" s="1"/>
  <c r="F185" i="9" s="1"/>
  <c r="AF804" i="9"/>
  <c r="AF787" i="9"/>
  <c r="N1000" i="9"/>
  <c r="M1001" i="9"/>
  <c r="J222" i="9"/>
  <c r="J225" i="9" s="1"/>
  <c r="I269" i="9"/>
  <c r="I226" i="9"/>
  <c r="I236" i="9"/>
  <c r="I228" i="9"/>
  <c r="L251" i="9"/>
  <c r="L249" i="9"/>
  <c r="M245" i="9"/>
  <c r="M248" i="9" s="1"/>
  <c r="L259" i="9"/>
  <c r="L250" i="9"/>
  <c r="L270" i="9"/>
  <c r="AT926" i="9"/>
  <c r="AT931" i="9"/>
  <c r="AC804" i="9"/>
  <c r="AC787" i="9"/>
  <c r="P1059" i="9"/>
  <c r="P1060" i="9" s="1"/>
  <c r="L1059" i="9"/>
  <c r="L1060" i="9" s="1"/>
  <c r="K1065" i="9"/>
  <c r="K1172" i="9"/>
  <c r="I75" i="9"/>
  <c r="I77" i="9"/>
  <c r="J72" i="9"/>
  <c r="AJ1178" i="9"/>
  <c r="AF811" i="9"/>
  <c r="AF49" i="9" s="1"/>
  <c r="AE805" i="9"/>
  <c r="AE785" i="9"/>
  <c r="AE796" i="9"/>
  <c r="AE797" i="9" s="1"/>
  <c r="AE802" i="9" s="1"/>
  <c r="AE811" i="9" s="1"/>
  <c r="F449" i="9"/>
  <c r="F450" i="9" s="1"/>
  <c r="E450" i="9"/>
  <c r="AU51" i="9"/>
  <c r="F69" i="9"/>
  <c r="F82" i="9" s="1"/>
  <c r="F68" i="9"/>
  <c r="I272" i="9"/>
  <c r="J76" i="9"/>
  <c r="J60" i="9"/>
  <c r="K60" i="9" s="1"/>
  <c r="K57" i="9"/>
  <c r="J58" i="9"/>
  <c r="J266" i="9"/>
  <c r="O62" i="9"/>
  <c r="U929" i="9"/>
  <c r="U932" i="9"/>
  <c r="BV1146" i="9"/>
  <c r="D49" i="9"/>
  <c r="D928" i="9"/>
  <c r="X51" i="9"/>
  <c r="S51" i="9"/>
  <c r="D804" i="9"/>
  <c r="D787" i="9"/>
  <c r="BI831" i="9"/>
  <c r="BI833" i="9"/>
  <c r="BI925" i="9" s="1"/>
  <c r="BD831" i="9"/>
  <c r="BD833" i="9"/>
  <c r="BD925" i="9" s="1"/>
  <c r="BU1139" i="9"/>
  <c r="BT907" i="9"/>
  <c r="AO831" i="9"/>
  <c r="AO833" i="9"/>
  <c r="AO925" i="9" s="1"/>
  <c r="AD805" i="9"/>
  <c r="AD785" i="9"/>
  <c r="AD796" i="9"/>
  <c r="AD797" i="9" s="1"/>
  <c r="AD802" i="9" s="1"/>
  <c r="AD811" i="9" s="1"/>
  <c r="AD49" i="9" s="1"/>
  <c r="BR443" i="9"/>
  <c r="BR232" i="9"/>
  <c r="BU310" i="9"/>
  <c r="I184" i="9"/>
  <c r="H189" i="9"/>
  <c r="H187" i="9"/>
  <c r="H186" i="9" s="1"/>
  <c r="BL766" i="9"/>
  <c r="BL1117" i="9"/>
  <c r="H235" i="9"/>
  <c r="I234" i="9"/>
  <c r="H237" i="9"/>
  <c r="BP912" i="9"/>
  <c r="BP910" i="9" s="1"/>
  <c r="BQ912" i="9"/>
  <c r="BQ910" i="9" s="1"/>
  <c r="BO912" i="9"/>
  <c r="J128" i="9"/>
  <c r="I131" i="9"/>
  <c r="I133" i="9"/>
  <c r="AF1229" i="9"/>
  <c r="I804" i="9"/>
  <c r="I787" i="9"/>
  <c r="AK1230" i="9"/>
  <c r="AJ1230" i="9"/>
  <c r="AJ1229" i="9" s="1"/>
  <c r="AP5" i="9"/>
  <c r="AM1230" i="9"/>
  <c r="AL1230" i="9"/>
  <c r="AL1229" i="9" s="1"/>
  <c r="AI1230" i="9"/>
  <c r="AI1229" i="9" s="1"/>
  <c r="AT5" i="9"/>
  <c r="AF1224" i="9"/>
  <c r="AH5" i="9"/>
  <c r="F415" i="9"/>
  <c r="E416" i="9"/>
  <c r="AY926" i="9"/>
  <c r="AY931" i="9"/>
  <c r="BT27" i="9"/>
  <c r="BT28" i="9" s="1"/>
  <c r="F929" i="9"/>
  <c r="F932" i="9"/>
  <c r="BE51" i="9"/>
  <c r="Z926" i="9"/>
  <c r="Z931" i="9"/>
  <c r="BL1097" i="9"/>
  <c r="F405" i="9"/>
  <c r="F406" i="9"/>
  <c r="E929" i="9"/>
  <c r="E932" i="9"/>
  <c r="AJ831" i="9"/>
  <c r="AJ833" i="9"/>
  <c r="AJ925" i="9" s="1"/>
  <c r="AL5" i="9"/>
  <c r="AJ1224" i="9"/>
  <c r="AI1224" i="9"/>
  <c r="P257" i="9"/>
  <c r="L257" i="9"/>
  <c r="K258" i="9"/>
  <c r="F124" i="9"/>
  <c r="F125" i="9"/>
  <c r="F138" i="9" s="1"/>
  <c r="BI1178" i="9"/>
  <c r="M97" i="4"/>
  <c r="H98" i="4"/>
  <c r="M98" i="4" s="1"/>
  <c r="N97" i="4"/>
  <c r="N99" i="4" s="1"/>
  <c r="I99" i="4"/>
  <c r="O97" i="4"/>
  <c r="J98" i="4"/>
  <c r="O98" i="4" s="1"/>
  <c r="J81" i="4"/>
  <c r="H81" i="4"/>
  <c r="I81" i="4"/>
  <c r="J73" i="4"/>
  <c r="O73" i="4" s="1"/>
  <c r="J68" i="4"/>
  <c r="I73" i="4"/>
  <c r="I68" i="4"/>
  <c r="H73" i="4"/>
  <c r="M73" i="4" s="1"/>
  <c r="H68" i="4"/>
  <c r="F44" i="3"/>
  <c r="D44" i="3"/>
  <c r="J42" i="3"/>
  <c r="J43" i="3" s="1"/>
  <c r="H43" i="3"/>
  <c r="BF499" i="11" l="1"/>
  <c r="AZ499" i="11"/>
  <c r="AZ502" i="11" s="1"/>
  <c r="AY499" i="11"/>
  <c r="AO502" i="11"/>
  <c r="AX499" i="11"/>
  <c r="AX501" i="11" s="1"/>
  <c r="AT499" i="11"/>
  <c r="AT501" i="11" s="1"/>
  <c r="BJ499" i="11"/>
  <c r="BJ501" i="11" s="1"/>
  <c r="BB499" i="11"/>
  <c r="BB502" i="11" s="1"/>
  <c r="AV499" i="11"/>
  <c r="AV502" i="11" s="1"/>
  <c r="BI499" i="11"/>
  <c r="BI501" i="11" s="1"/>
  <c r="BH499" i="11"/>
  <c r="BH501" i="11" s="1"/>
  <c r="BA499" i="11"/>
  <c r="BA501" i="11" s="1"/>
  <c r="AW499" i="11"/>
  <c r="AW502" i="11" s="1"/>
  <c r="BS1248" i="9"/>
  <c r="BS1108" i="11"/>
  <c r="BS1255" i="9"/>
  <c r="BS1115" i="11"/>
  <c r="AE591" i="11"/>
  <c r="AE592" i="11"/>
  <c r="BV29" i="11"/>
  <c r="BV32" i="11"/>
  <c r="BV38" i="11"/>
  <c r="BV39" i="11" s="1"/>
  <c r="AD616" i="11"/>
  <c r="AD617" i="11" s="1"/>
  <c r="AD619" i="11"/>
  <c r="BL239" i="11"/>
  <c r="BL162" i="11" s="1"/>
  <c r="BL161" i="11"/>
  <c r="BD501" i="11"/>
  <c r="BD502" i="11"/>
  <c r="AD596" i="11"/>
  <c r="AE596" i="11" s="1"/>
  <c r="AD593" i="11"/>
  <c r="AE593" i="11" s="1"/>
  <c r="AF678" i="11"/>
  <c r="AF606" i="11"/>
  <c r="AF605" i="11"/>
  <c r="AF548" i="11"/>
  <c r="AJ507" i="11"/>
  <c r="AF677" i="11"/>
  <c r="AD606" i="11"/>
  <c r="AD678" i="11"/>
  <c r="AD605" i="11"/>
  <c r="AD548" i="11"/>
  <c r="AJ506" i="11"/>
  <c r="AD677" i="11"/>
  <c r="BO111" i="11"/>
  <c r="BO112" i="11" s="1"/>
  <c r="BO110" i="11"/>
  <c r="BT1269" i="9"/>
  <c r="BT1129" i="11"/>
  <c r="X897" i="11"/>
  <c r="X1002" i="11"/>
  <c r="Y889" i="11"/>
  <c r="Y890" i="11" s="1"/>
  <c r="BN909" i="11"/>
  <c r="BS909" i="11"/>
  <c r="BV82" i="11"/>
  <c r="AG543" i="11"/>
  <c r="BR602" i="11"/>
  <c r="BS602" i="11"/>
  <c r="BO602" i="11"/>
  <c r="BQ602" i="11"/>
  <c r="BP602" i="11"/>
  <c r="BS565" i="11"/>
  <c r="BS557" i="11"/>
  <c r="AE678" i="11"/>
  <c r="AE606" i="11"/>
  <c r="AE605" i="11"/>
  <c r="AE548" i="11"/>
  <c r="AE677" i="11"/>
  <c r="L279" i="11"/>
  <c r="M4" i="11"/>
  <c r="L3" i="11"/>
  <c r="BS104" i="11"/>
  <c r="BS103" i="11"/>
  <c r="BE501" i="11"/>
  <c r="BE502" i="11"/>
  <c r="AE529" i="11"/>
  <c r="AE526" i="11"/>
  <c r="BK111" i="11"/>
  <c r="BK112" i="11" s="1"/>
  <c r="BP110" i="11"/>
  <c r="BK110" i="11"/>
  <c r="AH544" i="11"/>
  <c r="AG1066" i="11"/>
  <c r="AG576" i="11"/>
  <c r="AG523" i="11"/>
  <c r="AG648" i="11"/>
  <c r="AI5" i="11"/>
  <c r="BN103" i="11"/>
  <c r="BN104" i="11"/>
  <c r="BN109" i="11"/>
  <c r="Z826" i="11"/>
  <c r="Z827" i="11" s="1"/>
  <c r="Y827" i="11"/>
  <c r="BT962" i="11"/>
  <c r="AC889" i="11"/>
  <c r="AC890" i="11" s="1"/>
  <c r="AB897" i="11"/>
  <c r="BS1262" i="9"/>
  <c r="BS1122" i="11"/>
  <c r="AF1075" i="11"/>
  <c r="AF1074" i="11"/>
  <c r="AF662" i="11" s="1"/>
  <c r="AF1069" i="11"/>
  <c r="AF1073" i="11"/>
  <c r="AF661" i="11" s="1"/>
  <c r="AF1068" i="11"/>
  <c r="AF533" i="11" s="1"/>
  <c r="AF525" i="11" s="1"/>
  <c r="AF1067" i="11"/>
  <c r="AF532" i="11" s="1"/>
  <c r="AF524" i="11" s="1"/>
  <c r="AF1070" i="11"/>
  <c r="AF589" i="11" s="1"/>
  <c r="AF1071" i="11"/>
  <c r="AF590" i="11" s="1"/>
  <c r="AF1072" i="11"/>
  <c r="BM602" i="11"/>
  <c r="BL602" i="11"/>
  <c r="BK602" i="11"/>
  <c r="BN565" i="11"/>
  <c r="BN602" i="11"/>
  <c r="BJ602" i="11"/>
  <c r="AD526" i="11"/>
  <c r="AD529" i="11"/>
  <c r="AH543" i="11"/>
  <c r="AH545" i="11" s="1"/>
  <c r="AE663" i="11"/>
  <c r="AE664" i="11"/>
  <c r="BQ519" i="11"/>
  <c r="BQ516" i="11"/>
  <c r="BQ513" i="11"/>
  <c r="AJ1084" i="11"/>
  <c r="AJ1085" i="11"/>
  <c r="AJ614" i="11" s="1"/>
  <c r="AJ618" i="11" s="1"/>
  <c r="AJ1088" i="11"/>
  <c r="AJ686" i="11" s="1"/>
  <c r="AJ690" i="11" s="1"/>
  <c r="AJ1082" i="11"/>
  <c r="AJ546" i="11" s="1"/>
  <c r="AJ541" i="11" s="1"/>
  <c r="AJ1080" i="11"/>
  <c r="AJ1090" i="11"/>
  <c r="AJ1087" i="11"/>
  <c r="AJ1089" i="11"/>
  <c r="AJ687" i="11" s="1"/>
  <c r="AJ1086" i="11"/>
  <c r="AJ615" i="11" s="1"/>
  <c r="AJ1083" i="11"/>
  <c r="AJ547" i="11" s="1"/>
  <c r="AJ542" i="11" s="1"/>
  <c r="AD668" i="11"/>
  <c r="AE668" i="11" s="1"/>
  <c r="AD665" i="11"/>
  <c r="AE665" i="11" s="1"/>
  <c r="BN838" i="11"/>
  <c r="BP160" i="11"/>
  <c r="BP238" i="11"/>
  <c r="BP997" i="11"/>
  <c r="AD594" i="11"/>
  <c r="AE594" i="11" s="1"/>
  <c r="AD591" i="11"/>
  <c r="AD597" i="11"/>
  <c r="AE597" i="11" s="1"/>
  <c r="AD592" i="11"/>
  <c r="AH619" i="11"/>
  <c r="AH616" i="11"/>
  <c r="BM160" i="11"/>
  <c r="BM238" i="11"/>
  <c r="BM997" i="11"/>
  <c r="AO889" i="11"/>
  <c r="AO890" i="11" s="1"/>
  <c r="AJ897" i="11"/>
  <c r="AK889" i="11"/>
  <c r="AK890" i="11" s="1"/>
  <c r="BT97" i="11"/>
  <c r="BS100" i="11"/>
  <c r="AG889" i="11"/>
  <c r="AG890" i="11" s="1"/>
  <c r="AF897" i="11"/>
  <c r="BS109" i="11"/>
  <c r="BM111" i="11"/>
  <c r="BR110" i="11"/>
  <c r="BM110" i="11"/>
  <c r="BS838" i="11"/>
  <c r="AI1088" i="11"/>
  <c r="AI686" i="11" s="1"/>
  <c r="AI690" i="11" s="1"/>
  <c r="AI1084" i="11"/>
  <c r="AI1086" i="11"/>
  <c r="AI615" i="11" s="1"/>
  <c r="AI1080" i="11"/>
  <c r="AI1089" i="11"/>
  <c r="AI687" i="11" s="1"/>
  <c r="AI1090" i="11"/>
  <c r="AI1082" i="11"/>
  <c r="AI546" i="11" s="1"/>
  <c r="AI541" i="11" s="1"/>
  <c r="AI543" i="11" s="1"/>
  <c r="AI1087" i="11"/>
  <c r="AI1083" i="11"/>
  <c r="AI547" i="11" s="1"/>
  <c r="AI542" i="11" s="1"/>
  <c r="AI1085" i="11"/>
  <c r="AI614" i="11" s="1"/>
  <c r="AI618" i="11" s="1"/>
  <c r="BV394" i="11"/>
  <c r="BR105" i="11"/>
  <c r="BM105" i="11"/>
  <c r="BF501" i="11"/>
  <c r="BV428" i="11"/>
  <c r="AD527" i="11"/>
  <c r="AD528" i="11"/>
  <c r="AD530" i="11"/>
  <c r="BS519" i="11"/>
  <c r="BS513" i="11"/>
  <c r="AK1066" i="11"/>
  <c r="AM5" i="11"/>
  <c r="AK576" i="11"/>
  <c r="AK648" i="11"/>
  <c r="AK523" i="11"/>
  <c r="BP558" i="11"/>
  <c r="BP564" i="11"/>
  <c r="BP561" i="11"/>
  <c r="AF691" i="11"/>
  <c r="AF688" i="11"/>
  <c r="BU970" i="11"/>
  <c r="BA342" i="11"/>
  <c r="AZ346" i="11"/>
  <c r="AE527" i="11"/>
  <c r="AE528" i="11"/>
  <c r="AE530" i="11"/>
  <c r="BP105" i="11"/>
  <c r="BK105" i="11"/>
  <c r="AE688" i="11"/>
  <c r="AE692" i="11" s="1"/>
  <c r="AE691" i="11"/>
  <c r="AE689" i="11"/>
  <c r="BS732" i="11"/>
  <c r="BS492" i="11" s="1"/>
  <c r="BT971" i="11"/>
  <c r="BV411" i="11"/>
  <c r="BP111" i="11"/>
  <c r="BP112" i="11" s="1"/>
  <c r="AH691" i="11"/>
  <c r="AH688" i="11"/>
  <c r="AZ501" i="11"/>
  <c r="AY502" i="11"/>
  <c r="AY501" i="11"/>
  <c r="BS235" i="11"/>
  <c r="BO160" i="11"/>
  <c r="BO238" i="11"/>
  <c r="BO997" i="11"/>
  <c r="BN235" i="11"/>
  <c r="BK160" i="11"/>
  <c r="BK238" i="11"/>
  <c r="BK997" i="11"/>
  <c r="AG544" i="11"/>
  <c r="BU29" i="11"/>
  <c r="BU32" i="11"/>
  <c r="BU38" i="11"/>
  <c r="BU39" i="11" s="1"/>
  <c r="AM1087" i="11"/>
  <c r="AM1083" i="11"/>
  <c r="AM547" i="11" s="1"/>
  <c r="AM542" i="11" s="1"/>
  <c r="AM1084" i="11"/>
  <c r="AM1086" i="11"/>
  <c r="AM615" i="11" s="1"/>
  <c r="AM1089" i="11"/>
  <c r="AM687" i="11" s="1"/>
  <c r="AM1090" i="11"/>
  <c r="AM1085" i="11"/>
  <c r="AM614" i="11" s="1"/>
  <c r="AM618" i="11" s="1"/>
  <c r="AM1088" i="11"/>
  <c r="AM686" i="11" s="1"/>
  <c r="AM690" i="11" s="1"/>
  <c r="AM1080" i="11"/>
  <c r="AM1082" i="11"/>
  <c r="AM546" i="11" s="1"/>
  <c r="AM541" i="11" s="1"/>
  <c r="AM543" i="11" s="1"/>
  <c r="AD669" i="11"/>
  <c r="AE669" i="11" s="1"/>
  <c r="AD664" i="11"/>
  <c r="AD663" i="11"/>
  <c r="AD666" i="11"/>
  <c r="AE666" i="11" s="1"/>
  <c r="BV940" i="11"/>
  <c r="AD545" i="11"/>
  <c r="AD544" i="11"/>
  <c r="BQ558" i="11"/>
  <c r="BQ564" i="11"/>
  <c r="BQ561" i="11"/>
  <c r="AU501" i="11"/>
  <c r="AU502" i="11"/>
  <c r="AE544" i="11"/>
  <c r="AE545" i="11"/>
  <c r="AI1073" i="11"/>
  <c r="AI661" i="11" s="1"/>
  <c r="AI1069" i="11"/>
  <c r="AI1074" i="11"/>
  <c r="AI662" i="11" s="1"/>
  <c r="AI1072" i="11"/>
  <c r="AI1075" i="11"/>
  <c r="AI1070" i="11"/>
  <c r="AI589" i="11" s="1"/>
  <c r="AI1067" i="11"/>
  <c r="AI532" i="11" s="1"/>
  <c r="AI524" i="11" s="1"/>
  <c r="AI1071" i="11"/>
  <c r="AI590" i="11" s="1"/>
  <c r="AI1068" i="11"/>
  <c r="AI533" i="11" s="1"/>
  <c r="AI525" i="11" s="1"/>
  <c r="AF617" i="11"/>
  <c r="AF619" i="11"/>
  <c r="AF616" i="11"/>
  <c r="AG619" i="11"/>
  <c r="AG616" i="11"/>
  <c r="AG617" i="11" s="1"/>
  <c r="BD1008" i="11"/>
  <c r="BQ111" i="11"/>
  <c r="BQ112" i="11" s="1"/>
  <c r="BV445" i="11"/>
  <c r="BT91" i="11"/>
  <c r="BT67" i="11"/>
  <c r="BT36" i="11"/>
  <c r="BO561" i="11"/>
  <c r="BO564" i="11"/>
  <c r="BO558" i="11"/>
  <c r="BV377" i="11"/>
  <c r="K1008" i="11"/>
  <c r="BV462" i="11"/>
  <c r="AO648" i="11"/>
  <c r="AN648" i="11"/>
  <c r="AN523" i="11"/>
  <c r="AO576" i="11"/>
  <c r="AO523" i="11"/>
  <c r="AN1066" i="11"/>
  <c r="AO1066" i="11"/>
  <c r="AN576" i="11"/>
  <c r="AQ5" i="11"/>
  <c r="AG689" i="11"/>
  <c r="AG691" i="11"/>
  <c r="AG688" i="11"/>
  <c r="BV286" i="11"/>
  <c r="AK1085" i="11"/>
  <c r="AK614" i="11" s="1"/>
  <c r="AK618" i="11" s="1"/>
  <c r="AK1083" i="11"/>
  <c r="AK547" i="11" s="1"/>
  <c r="AK542" i="11" s="1"/>
  <c r="AK1084" i="11"/>
  <c r="AK1082" i="11"/>
  <c r="AK546" i="11" s="1"/>
  <c r="AK541" i="11" s="1"/>
  <c r="AK543" i="11" s="1"/>
  <c r="AK1087" i="11"/>
  <c r="AK1089" i="11"/>
  <c r="AK687" i="11" s="1"/>
  <c r="AK1086" i="11"/>
  <c r="AK615" i="11" s="1"/>
  <c r="AK1088" i="11"/>
  <c r="AK686" i="11" s="1"/>
  <c r="AK690" i="11" s="1"/>
  <c r="AK1080" i="11"/>
  <c r="AK1090" i="11"/>
  <c r="BD947" i="11"/>
  <c r="BC948" i="11"/>
  <c r="T897" i="11"/>
  <c r="T1002" i="11"/>
  <c r="AP1081" i="11"/>
  <c r="AN1081" i="11"/>
  <c r="AQ1081" i="11"/>
  <c r="AR676" i="11"/>
  <c r="AR1081" i="11"/>
  <c r="AO1081" i="11"/>
  <c r="AR604" i="11"/>
  <c r="AQ604" i="11"/>
  <c r="AP604" i="11"/>
  <c r="AQ676" i="11"/>
  <c r="AR540" i="11"/>
  <c r="AO604" i="11"/>
  <c r="AO676" i="11"/>
  <c r="AN676" i="11"/>
  <c r="AP676" i="11"/>
  <c r="AY5" i="11"/>
  <c r="AQ540" i="11"/>
  <c r="AP540" i="11"/>
  <c r="AN604" i="11"/>
  <c r="AU5" i="11"/>
  <c r="AO540" i="11"/>
  <c r="AN540" i="11"/>
  <c r="AL1085" i="11"/>
  <c r="AL614" i="11" s="1"/>
  <c r="AL618" i="11" s="1"/>
  <c r="AL1083" i="11"/>
  <c r="AL547" i="11" s="1"/>
  <c r="AL542" i="11" s="1"/>
  <c r="AL1089" i="11"/>
  <c r="AL687" i="11" s="1"/>
  <c r="AL1087" i="11"/>
  <c r="AL1084" i="11"/>
  <c r="AL1088" i="11"/>
  <c r="AL686" i="11" s="1"/>
  <c r="AL690" i="11" s="1"/>
  <c r="AL1086" i="11"/>
  <c r="AL615" i="11" s="1"/>
  <c r="AL1082" i="11"/>
  <c r="AL546" i="11" s="1"/>
  <c r="AL541" i="11" s="1"/>
  <c r="AL543" i="11" s="1"/>
  <c r="AL1080" i="11"/>
  <c r="AL1090" i="11"/>
  <c r="AJ1072" i="11"/>
  <c r="AJ1073" i="11"/>
  <c r="AJ661" i="11" s="1"/>
  <c r="AJ1070" i="11"/>
  <c r="AJ589" i="11" s="1"/>
  <c r="AJ1071" i="11"/>
  <c r="AJ590" i="11" s="1"/>
  <c r="AJ1075" i="11"/>
  <c r="AJ1068" i="11"/>
  <c r="AJ533" i="11" s="1"/>
  <c r="AJ525" i="11" s="1"/>
  <c r="AJ1069" i="11"/>
  <c r="AJ1074" i="11"/>
  <c r="AJ662" i="11" s="1"/>
  <c r="AJ1067" i="11"/>
  <c r="AJ532" i="11" s="1"/>
  <c r="AJ524" i="11" s="1"/>
  <c r="BG499" i="11"/>
  <c r="BC919" i="11"/>
  <c r="BS88" i="11"/>
  <c r="BN88" i="11"/>
  <c r="AE616" i="11"/>
  <c r="AE620" i="11" s="1"/>
  <c r="AE617" i="11"/>
  <c r="AE619" i="11"/>
  <c r="BC499" i="11"/>
  <c r="BS938" i="9"/>
  <c r="BS762" i="11"/>
  <c r="BR564" i="11"/>
  <c r="BR561" i="11"/>
  <c r="BR558" i="11"/>
  <c r="AD691" i="11"/>
  <c r="AD688" i="11"/>
  <c r="AD689" i="11"/>
  <c r="BQ160" i="11"/>
  <c r="BQ238" i="11"/>
  <c r="BQ997" i="11"/>
  <c r="AF545" i="11"/>
  <c r="AF544" i="11"/>
  <c r="BV25" i="9"/>
  <c r="J131" i="9"/>
  <c r="J133" i="9"/>
  <c r="K133" i="9" s="1"/>
  <c r="K132" i="9"/>
  <c r="L110" i="9"/>
  <c r="L113" i="9" s="1"/>
  <c r="K267" i="9"/>
  <c r="K115" i="9"/>
  <c r="P110" i="9"/>
  <c r="P118" i="9"/>
  <c r="Z929" i="9"/>
  <c r="Z932" i="9"/>
  <c r="AK1229" i="9"/>
  <c r="AH1229" i="9"/>
  <c r="I189" i="9"/>
  <c r="J184" i="9"/>
  <c r="I187" i="9"/>
  <c r="BV310" i="9"/>
  <c r="M250" i="9"/>
  <c r="M251" i="9"/>
  <c r="M270" i="9"/>
  <c r="M249" i="9"/>
  <c r="M259" i="9"/>
  <c r="N245" i="9"/>
  <c r="N248" i="9" s="1"/>
  <c r="BU27" i="9"/>
  <c r="BU28" i="9" s="1"/>
  <c r="F139" i="9"/>
  <c r="F136" i="9" s="1"/>
  <c r="F135" i="9"/>
  <c r="F121" i="9" s="1"/>
  <c r="E51" i="9"/>
  <c r="D51" i="9"/>
  <c r="AE49" i="9"/>
  <c r="AE928" i="9"/>
  <c r="BV27" i="9"/>
  <c r="F122" i="9"/>
  <c r="AE804" i="9"/>
  <c r="AE787" i="9"/>
  <c r="T51" i="9"/>
  <c r="O51" i="9"/>
  <c r="BI926" i="9"/>
  <c r="BI931" i="9"/>
  <c r="AM1229" i="9"/>
  <c r="BL1009" i="9"/>
  <c r="BL1100" i="9"/>
  <c r="K169" i="9"/>
  <c r="J268" i="9"/>
  <c r="J188" i="9"/>
  <c r="J170" i="9"/>
  <c r="O174" i="9"/>
  <c r="J172" i="9"/>
  <c r="K172" i="9" s="1"/>
  <c r="AO1224" i="9"/>
  <c r="AN1224" i="9"/>
  <c r="AQ5" i="9"/>
  <c r="AT929" i="9"/>
  <c r="AT932" i="9"/>
  <c r="BT1252" i="9"/>
  <c r="BT1266" i="9"/>
  <c r="BT1257" i="9"/>
  <c r="BT1259" i="9"/>
  <c r="BT1250" i="9"/>
  <c r="BT1264" i="9"/>
  <c r="L260" i="9"/>
  <c r="M257" i="9"/>
  <c r="L258" i="9"/>
  <c r="K228" i="9"/>
  <c r="BU1137" i="9"/>
  <c r="BT1142" i="9"/>
  <c r="F181" i="9"/>
  <c r="F194" i="9" s="1"/>
  <c r="F180" i="9"/>
  <c r="AO926" i="9"/>
  <c r="AO931" i="9"/>
  <c r="J228" i="9"/>
  <c r="J269" i="9"/>
  <c r="J226" i="9"/>
  <c r="J236" i="9"/>
  <c r="K225" i="9"/>
  <c r="AH51" i="9"/>
  <c r="AC51" i="9"/>
  <c r="AM5" i="9"/>
  <c r="AK1224" i="9"/>
  <c r="AJ926" i="9"/>
  <c r="AJ931" i="9"/>
  <c r="P62" i="9"/>
  <c r="K76" i="9"/>
  <c r="L54" i="9"/>
  <c r="L57" i="9" s="1"/>
  <c r="K266" i="9"/>
  <c r="K59" i="9"/>
  <c r="P54" i="9"/>
  <c r="O1000" i="9"/>
  <c r="N1001" i="9"/>
  <c r="I1164" i="9"/>
  <c r="I7" i="9"/>
  <c r="I8" i="9" s="1"/>
  <c r="BL1087" i="9"/>
  <c r="BO883" i="9"/>
  <c r="BO1006" i="11" s="1"/>
  <c r="F417" i="9"/>
  <c r="G402" i="9"/>
  <c r="K408" i="9"/>
  <c r="K402" i="9"/>
  <c r="F432" i="9"/>
  <c r="F419" i="9"/>
  <c r="F420" i="9" s="1"/>
  <c r="F83" i="9"/>
  <c r="F80" i="9" s="1"/>
  <c r="F79" i="9"/>
  <c r="F65" i="9" s="1"/>
  <c r="BU1272" i="9"/>
  <c r="BV4" i="9"/>
  <c r="BU1246" i="9"/>
  <c r="BU1273" i="9"/>
  <c r="BU1276" i="9"/>
  <c r="BU1271" i="9"/>
  <c r="AD804" i="9"/>
  <c r="AD787" i="9"/>
  <c r="BO910" i="9"/>
  <c r="AG1224" i="9"/>
  <c r="AI5" i="9"/>
  <c r="AH1224" i="9" s="1"/>
  <c r="BV1139" i="9"/>
  <c r="BV907" i="9" s="1"/>
  <c r="BU907" i="9"/>
  <c r="P929" i="9"/>
  <c r="P932" i="9"/>
  <c r="BN1182" i="9"/>
  <c r="BQ1162" i="9"/>
  <c r="BQ904" i="9"/>
  <c r="BQ1132" i="9" s="1"/>
  <c r="BR906" i="9"/>
  <c r="AQ1230" i="9"/>
  <c r="AQ1229" i="9" s="1"/>
  <c r="AP1230" i="9"/>
  <c r="AN1230" i="9"/>
  <c r="AR1230" i="9"/>
  <c r="AU5" i="9"/>
  <c r="AO1230" i="9"/>
  <c r="AY5" i="9"/>
  <c r="U1059" i="9"/>
  <c r="U1060" i="9" s="1"/>
  <c r="Q1059" i="9"/>
  <c r="Q1060" i="9" s="1"/>
  <c r="P1065" i="9"/>
  <c r="BP819" i="9"/>
  <c r="BP814" i="9" s="1"/>
  <c r="BP883" i="9" s="1"/>
  <c r="BP1006" i="11" s="1"/>
  <c r="BO824" i="9"/>
  <c r="BO825" i="9"/>
  <c r="BO830" i="9"/>
  <c r="BO833" i="9" s="1"/>
  <c r="BO925" i="9" s="1"/>
  <c r="BP822" i="9"/>
  <c r="AI51" i="9"/>
  <c r="AD51" i="9"/>
  <c r="AK51" i="9"/>
  <c r="AF51" i="9"/>
  <c r="J234" i="9"/>
  <c r="I237" i="9"/>
  <c r="I235" i="9"/>
  <c r="AY929" i="9"/>
  <c r="AY932" i="9"/>
  <c r="AE1178" i="9"/>
  <c r="J272" i="9"/>
  <c r="H1172" i="9"/>
  <c r="H1065" i="9"/>
  <c r="I1059" i="9"/>
  <c r="I1060" i="9" s="1"/>
  <c r="E178" i="9"/>
  <c r="BD926" i="9"/>
  <c r="BD931" i="9"/>
  <c r="J75" i="9"/>
  <c r="J77" i="9"/>
  <c r="K77" i="9" s="1"/>
  <c r="M1059" i="9"/>
  <c r="M1060" i="9" s="1"/>
  <c r="L1065" i="9"/>
  <c r="L1172" i="9"/>
  <c r="BN883" i="9"/>
  <c r="BN1054" i="9"/>
  <c r="I118" i="4"/>
  <c r="J99" i="4"/>
  <c r="O99" i="4"/>
  <c r="P98" i="4"/>
  <c r="H99" i="4"/>
  <c r="P97" i="4"/>
  <c r="P99" i="4" s="1"/>
  <c r="M99" i="4"/>
  <c r="N85" i="4"/>
  <c r="N86" i="4" s="1"/>
  <c r="I117" i="4" s="1"/>
  <c r="I86" i="4"/>
  <c r="M85" i="4"/>
  <c r="H86" i="4"/>
  <c r="O85" i="4"/>
  <c r="O86" i="4" s="1"/>
  <c r="J117" i="4" s="1"/>
  <c r="J86" i="4"/>
  <c r="I74" i="4"/>
  <c r="N74" i="4" s="1"/>
  <c r="N73" i="4"/>
  <c r="P73" i="4" s="1"/>
  <c r="H74" i="4"/>
  <c r="J74" i="4"/>
  <c r="J44" i="3"/>
  <c r="H44" i="3"/>
  <c r="AT502" i="11" l="1"/>
  <c r="AX502" i="11"/>
  <c r="BB501" i="11"/>
  <c r="AV501" i="11"/>
  <c r="BA502" i="11"/>
  <c r="AW501" i="11"/>
  <c r="AJ688" i="11"/>
  <c r="AJ692" i="11" s="1"/>
  <c r="AJ691" i="11"/>
  <c r="AJ689" i="11"/>
  <c r="AA826" i="11"/>
  <c r="Z1002" i="11"/>
  <c r="AF679" i="11"/>
  <c r="AF682" i="11"/>
  <c r="BV91" i="11"/>
  <c r="BV67" i="11"/>
  <c r="BV36" i="11"/>
  <c r="BG501" i="11"/>
  <c r="AN1087" i="11"/>
  <c r="AN1083" i="11"/>
  <c r="AN547" i="11" s="1"/>
  <c r="AN542" i="11" s="1"/>
  <c r="AN1084" i="11"/>
  <c r="AN1085" i="11"/>
  <c r="AN614" i="11" s="1"/>
  <c r="AN618" i="11" s="1"/>
  <c r="AN1090" i="11"/>
  <c r="AN1089" i="11"/>
  <c r="AN687" i="11" s="1"/>
  <c r="AN1086" i="11"/>
  <c r="AN615" i="11" s="1"/>
  <c r="AN1080" i="11"/>
  <c r="AN1082" i="11"/>
  <c r="AN546" i="11" s="1"/>
  <c r="AN541" i="11" s="1"/>
  <c r="AN1088" i="11"/>
  <c r="AN686" i="11" s="1"/>
  <c r="AN690" i="11" s="1"/>
  <c r="AI529" i="11"/>
  <c r="AI526" i="11"/>
  <c r="BK239" i="11"/>
  <c r="BK161" i="11"/>
  <c r="BU971" i="11"/>
  <c r="BT732" i="11"/>
  <c r="BT492" i="11" s="1"/>
  <c r="AL889" i="11"/>
  <c r="AL890" i="11" s="1"/>
  <c r="AK897" i="11"/>
  <c r="AD610" i="11"/>
  <c r="AD607" i="11"/>
  <c r="AD609" i="11" s="1"/>
  <c r="AI596" i="11"/>
  <c r="AJ596" i="11" s="1"/>
  <c r="AI593" i="11"/>
  <c r="AJ593" i="11" s="1"/>
  <c r="AI605" i="11"/>
  <c r="AI548" i="11"/>
  <c r="AI677" i="11"/>
  <c r="AO506" i="11"/>
  <c r="AI678" i="11"/>
  <c r="AI606" i="11"/>
  <c r="AJ544" i="11"/>
  <c r="BU962" i="11"/>
  <c r="AD683" i="11"/>
  <c r="AD680" i="11"/>
  <c r="AK1073" i="11"/>
  <c r="AK661" i="11" s="1"/>
  <c r="AK1071" i="11"/>
  <c r="AK590" i="11" s="1"/>
  <c r="AK1067" i="11"/>
  <c r="AK532" i="11" s="1"/>
  <c r="AK524" i="11" s="1"/>
  <c r="AK1069" i="11"/>
  <c r="AK1072" i="11"/>
  <c r="AK1074" i="11"/>
  <c r="AK662" i="11" s="1"/>
  <c r="AK1070" i="11"/>
  <c r="AK589" i="11" s="1"/>
  <c r="AK1068" i="11"/>
  <c r="AK533" i="11" s="1"/>
  <c r="AK525" i="11" s="1"/>
  <c r="AK1075" i="11"/>
  <c r="BS105" i="11"/>
  <c r="BN105" i="11"/>
  <c r="AI665" i="11"/>
  <c r="AJ665" i="11" s="1"/>
  <c r="AI668" i="11"/>
  <c r="AJ668" i="11" s="1"/>
  <c r="AH620" i="11"/>
  <c r="AJ570" i="11"/>
  <c r="AL1066" i="11"/>
  <c r="AN5" i="11"/>
  <c r="AL576" i="11"/>
  <c r="AL523" i="11"/>
  <c r="AL648" i="11"/>
  <c r="AF593" i="11"/>
  <c r="AF596" i="11"/>
  <c r="AE679" i="11"/>
  <c r="AE684" i="11" s="1"/>
  <c r="AE682" i="11"/>
  <c r="AF681" i="11"/>
  <c r="AF680" i="11"/>
  <c r="AF683" i="11"/>
  <c r="AF529" i="11"/>
  <c r="AF526" i="11"/>
  <c r="BT1262" i="9"/>
  <c r="BT1122" i="11"/>
  <c r="BB342" i="11"/>
  <c r="BA346" i="11"/>
  <c r="AF668" i="11"/>
  <c r="AF665" i="11"/>
  <c r="AG1075" i="11"/>
  <c r="AG1074" i="11"/>
  <c r="AG662" i="11" s="1"/>
  <c r="AG1071" i="11"/>
  <c r="AG590" i="11" s="1"/>
  <c r="AG1069" i="11"/>
  <c r="AG1067" i="11"/>
  <c r="AG532" i="11" s="1"/>
  <c r="AG524" i="11" s="1"/>
  <c r="AG1070" i="11"/>
  <c r="AG589" i="11" s="1"/>
  <c r="AG1072" i="11"/>
  <c r="AG1073" i="11"/>
  <c r="AG661" i="11" s="1"/>
  <c r="AG1068" i="11"/>
  <c r="AG533" i="11" s="1"/>
  <c r="AG525" i="11" s="1"/>
  <c r="AE611" i="11"/>
  <c r="AE608" i="11"/>
  <c r="BT938" i="9"/>
  <c r="BT747" i="11" s="1"/>
  <c r="BT762" i="11"/>
  <c r="AM677" i="11"/>
  <c r="AM548" i="11"/>
  <c r="AO509" i="11"/>
  <c r="AM606" i="11"/>
  <c r="AM605" i="11"/>
  <c r="AM678" i="11"/>
  <c r="BN160" i="11"/>
  <c r="BN997" i="11"/>
  <c r="BN238" i="11"/>
  <c r="AI663" i="11"/>
  <c r="AI669" i="11"/>
  <c r="AJ669" i="11" s="1"/>
  <c r="AI666" i="11"/>
  <c r="AJ666" i="11" s="1"/>
  <c r="AI664" i="11"/>
  <c r="AF591" i="11"/>
  <c r="AF594" i="11"/>
  <c r="AF597" i="11"/>
  <c r="AF592" i="11"/>
  <c r="AH1066" i="11"/>
  <c r="AH523" i="11"/>
  <c r="AH648" i="11"/>
  <c r="AH576" i="11"/>
  <c r="Y1002" i="11"/>
  <c r="Y897" i="11"/>
  <c r="AF611" i="11"/>
  <c r="AF608" i="11"/>
  <c r="AK619" i="11"/>
  <c r="AK616" i="11"/>
  <c r="AF530" i="11"/>
  <c r="AF527" i="11"/>
  <c r="AF528" i="11"/>
  <c r="AE607" i="11"/>
  <c r="AE612" i="11" s="1"/>
  <c r="AE610" i="11"/>
  <c r="BT1248" i="9"/>
  <c r="BT1108" i="11"/>
  <c r="BS747" i="11"/>
  <c r="BS823" i="9"/>
  <c r="BN1006" i="11"/>
  <c r="BC501" i="11"/>
  <c r="BC502" i="11"/>
  <c r="BU91" i="11"/>
  <c r="BU36" i="11"/>
  <c r="BU67" i="11"/>
  <c r="AH692" i="11"/>
  <c r="AJ642" i="11"/>
  <c r="BM112" i="11"/>
  <c r="BR112" i="11"/>
  <c r="AJ619" i="11"/>
  <c r="AJ616" i="11"/>
  <c r="AJ620" i="11" s="1"/>
  <c r="AG677" i="11"/>
  <c r="AG678" i="11"/>
  <c r="AG605" i="11"/>
  <c r="AG606" i="11"/>
  <c r="AG548" i="11"/>
  <c r="AJ508" i="11"/>
  <c r="AD611" i="11"/>
  <c r="AD608" i="11"/>
  <c r="BU1269" i="9"/>
  <c r="BU1129" i="11"/>
  <c r="AM616" i="11"/>
  <c r="AM619" i="11"/>
  <c r="BS160" i="11"/>
  <c r="BS997" i="11"/>
  <c r="BS238" i="11"/>
  <c r="AH617" i="11"/>
  <c r="AE681" i="11"/>
  <c r="AE683" i="11"/>
  <c r="AE680" i="11"/>
  <c r="AJ640" i="11"/>
  <c r="AF692" i="11"/>
  <c r="AO897" i="11"/>
  <c r="AP889" i="11"/>
  <c r="AP890" i="11" s="1"/>
  <c r="AT889" i="11"/>
  <c r="AT890" i="11" s="1"/>
  <c r="BS110" i="11"/>
  <c r="BN111" i="11"/>
  <c r="BN112" i="11" s="1"/>
  <c r="BN110" i="11"/>
  <c r="AG537" i="11"/>
  <c r="AG536" i="11"/>
  <c r="AD692" i="11"/>
  <c r="AJ639" i="11"/>
  <c r="BO239" i="11"/>
  <c r="BO161" i="11"/>
  <c r="AL678" i="11"/>
  <c r="AL548" i="11"/>
  <c r="AL606" i="11"/>
  <c r="AL605" i="11"/>
  <c r="AL677" i="11"/>
  <c r="AO508" i="11"/>
  <c r="AF666" i="11"/>
  <c r="AF663" i="11"/>
  <c r="AF664" i="11"/>
  <c r="AF669" i="11"/>
  <c r="BS564" i="11"/>
  <c r="BS558" i="11"/>
  <c r="AJ568" i="11"/>
  <c r="AF620" i="11"/>
  <c r="AH689" i="11"/>
  <c r="AF689" i="11"/>
  <c r="BP161" i="11"/>
  <c r="BP239" i="11"/>
  <c r="BP162" i="11" s="1"/>
  <c r="AM545" i="11"/>
  <c r="AM544" i="11"/>
  <c r="AL617" i="11"/>
  <c r="AL616" i="11"/>
  <c r="AL619" i="11"/>
  <c r="AO1083" i="11"/>
  <c r="AO547" i="11" s="1"/>
  <c r="AO542" i="11" s="1"/>
  <c r="AO1082" i="11"/>
  <c r="AO546" i="11" s="1"/>
  <c r="AO541" i="11" s="1"/>
  <c r="AO1080" i="11"/>
  <c r="AO1086" i="11"/>
  <c r="AO615" i="11" s="1"/>
  <c r="AO1089" i="11"/>
  <c r="AO687" i="11" s="1"/>
  <c r="AO1087" i="11"/>
  <c r="AO1084" i="11"/>
  <c r="AO1090" i="11"/>
  <c r="AO1088" i="11"/>
  <c r="AO686" i="11" s="1"/>
  <c r="AO690" i="11" s="1"/>
  <c r="AO1085" i="11"/>
  <c r="AO614" i="11" s="1"/>
  <c r="AO618" i="11" s="1"/>
  <c r="AG897" i="11"/>
  <c r="AH889" i="11"/>
  <c r="AH890" i="11" s="1"/>
  <c r="AH548" i="11"/>
  <c r="AH605" i="11"/>
  <c r="AH606" i="11"/>
  <c r="AH678" i="11"/>
  <c r="AJ509" i="11"/>
  <c r="AH677" i="11"/>
  <c r="BT69" i="11"/>
  <c r="BT73" i="11"/>
  <c r="BT81" i="11"/>
  <c r="BD923" i="11"/>
  <c r="BC947" i="11"/>
  <c r="BC923" i="11" s="1"/>
  <c r="BE947" i="11"/>
  <c r="AN1072" i="11"/>
  <c r="AN1068" i="11"/>
  <c r="AN533" i="11" s="1"/>
  <c r="AN525" i="11" s="1"/>
  <c r="AN1071" i="11"/>
  <c r="AN590" i="11" s="1"/>
  <c r="AN1070" i="11"/>
  <c r="AN589" i="11" s="1"/>
  <c r="AN1069" i="11"/>
  <c r="AN1073" i="11"/>
  <c r="AN661" i="11" s="1"/>
  <c r="AN1067" i="11"/>
  <c r="AN532" i="11" s="1"/>
  <c r="AN524" i="11" s="1"/>
  <c r="AN1074" i="11"/>
  <c r="AN662" i="11" s="1"/>
  <c r="AN1075" i="11"/>
  <c r="N4" i="11"/>
  <c r="M3" i="11"/>
  <c r="M279" i="11"/>
  <c r="AF610" i="11"/>
  <c r="AF607" i="11"/>
  <c r="AF609" i="11" s="1"/>
  <c r="AK688" i="11"/>
  <c r="AK689" i="11"/>
  <c r="AK691" i="11"/>
  <c r="AK677" i="11"/>
  <c r="AK678" i="11"/>
  <c r="AK548" i="11"/>
  <c r="AK605" i="11"/>
  <c r="AO507" i="11"/>
  <c r="AK606" i="11"/>
  <c r="AG620" i="11"/>
  <c r="AJ569" i="11"/>
  <c r="BV970" i="11"/>
  <c r="AD598" i="11"/>
  <c r="AE598" i="11" s="1"/>
  <c r="AD595" i="11"/>
  <c r="AE595" i="11" s="1"/>
  <c r="AF567" i="11"/>
  <c r="AF571" i="11" s="1"/>
  <c r="BT1255" i="9"/>
  <c r="BT1115" i="11"/>
  <c r="AK544" i="11"/>
  <c r="AK545" i="11"/>
  <c r="BS111" i="11"/>
  <c r="BS112" i="11" s="1"/>
  <c r="AL688" i="11"/>
  <c r="AL689" i="11" s="1"/>
  <c r="AL691" i="11"/>
  <c r="AR1090" i="11"/>
  <c r="AR1086" i="11"/>
  <c r="AR615" i="11" s="1"/>
  <c r="AR1082" i="11"/>
  <c r="AR546" i="11" s="1"/>
  <c r="AR541" i="11" s="1"/>
  <c r="AR543" i="11" s="1"/>
  <c r="AR1087" i="11"/>
  <c r="AR1085" i="11"/>
  <c r="AR614" i="11" s="1"/>
  <c r="AR618" i="11" s="1"/>
  <c r="AR1080" i="11"/>
  <c r="AR1089" i="11"/>
  <c r="AR687" i="11" s="1"/>
  <c r="AR1088" i="11"/>
  <c r="AR686" i="11" s="1"/>
  <c r="AR690" i="11" s="1"/>
  <c r="AR1083" i="11"/>
  <c r="AR547" i="11" s="1"/>
  <c r="AR542" i="11" s="1"/>
  <c r="AR1084" i="11"/>
  <c r="AD682" i="11"/>
  <c r="AD679" i="11"/>
  <c r="AD681" i="11" s="1"/>
  <c r="AJ663" i="11"/>
  <c r="AJ664" i="11"/>
  <c r="AS1066" i="11"/>
  <c r="AT1066" i="11"/>
  <c r="AT648" i="11"/>
  <c r="AT576" i="11"/>
  <c r="AS523" i="11"/>
  <c r="AS648" i="11"/>
  <c r="AV5" i="11"/>
  <c r="AS576" i="11"/>
  <c r="AT523" i="11"/>
  <c r="AP1066" i="11"/>
  <c r="AP648" i="11"/>
  <c r="AP576" i="11"/>
  <c r="AP523" i="11"/>
  <c r="AR5" i="11"/>
  <c r="AI688" i="11"/>
  <c r="AI691" i="11"/>
  <c r="AI619" i="11"/>
  <c r="AI616" i="11"/>
  <c r="BM239" i="11"/>
  <c r="BM162" i="11" s="1"/>
  <c r="BM161" i="11"/>
  <c r="AM688" i="11"/>
  <c r="AM691" i="11"/>
  <c r="AM689" i="11"/>
  <c r="AL545" i="11"/>
  <c r="AL544" i="11"/>
  <c r="AI528" i="11"/>
  <c r="AI527" i="11"/>
  <c r="AI530" i="11"/>
  <c r="AG545" i="11"/>
  <c r="AD577" i="11"/>
  <c r="AF506" i="11"/>
  <c r="AF510" i="11" s="1"/>
  <c r="AD531" i="11"/>
  <c r="AD649" i="11"/>
  <c r="AD650" i="11"/>
  <c r="AD578" i="11"/>
  <c r="AD534" i="11"/>
  <c r="AF536" i="11"/>
  <c r="AF537" i="11"/>
  <c r="AJ529" i="11"/>
  <c r="AJ526" i="11"/>
  <c r="AJ528" i="11" s="1"/>
  <c r="AP1082" i="11"/>
  <c r="AP546" i="11" s="1"/>
  <c r="AP541" i="11" s="1"/>
  <c r="AP543" i="11" s="1"/>
  <c r="AP1080" i="11"/>
  <c r="AP1087" i="11"/>
  <c r="AP1084" i="11"/>
  <c r="AP1088" i="11"/>
  <c r="AP686" i="11" s="1"/>
  <c r="AP690" i="11" s="1"/>
  <c r="AP1086" i="11"/>
  <c r="AP615" i="11" s="1"/>
  <c r="AP1090" i="11"/>
  <c r="AP1085" i="11"/>
  <c r="AP614" i="11" s="1"/>
  <c r="AP618" i="11" s="1"/>
  <c r="AP1089" i="11"/>
  <c r="AP687" i="11" s="1"/>
  <c r="AP1083" i="11"/>
  <c r="AP547" i="11" s="1"/>
  <c r="AP542" i="11" s="1"/>
  <c r="BQ239" i="11"/>
  <c r="BQ162" i="11" s="1"/>
  <c r="BQ161" i="11"/>
  <c r="AJ527" i="11"/>
  <c r="AJ530" i="11"/>
  <c r="AO1070" i="11"/>
  <c r="AO589" i="11" s="1"/>
  <c r="AO1067" i="11"/>
  <c r="AO532" i="11" s="1"/>
  <c r="AO524" i="11" s="1"/>
  <c r="AO1069" i="11"/>
  <c r="AO1073" i="11"/>
  <c r="AO661" i="11" s="1"/>
  <c r="AO1075" i="11"/>
  <c r="AO1072" i="11"/>
  <c r="AO1074" i="11"/>
  <c r="AO662" i="11" s="1"/>
  <c r="AO1068" i="11"/>
  <c r="AO533" i="11" s="1"/>
  <c r="AO525" i="11" s="1"/>
  <c r="AO1071" i="11"/>
  <c r="AO590" i="11" s="1"/>
  <c r="BT94" i="11"/>
  <c r="BT227" i="11"/>
  <c r="AJ591" i="11"/>
  <c r="AJ592" i="11"/>
  <c r="AS1081" i="11"/>
  <c r="AV1081" i="11"/>
  <c r="AW1081" i="11"/>
  <c r="AU1081" i="11"/>
  <c r="AV604" i="11"/>
  <c r="AW676" i="11"/>
  <c r="AU676" i="11"/>
  <c r="AT676" i="11"/>
  <c r="AS676" i="11"/>
  <c r="AV676" i="11"/>
  <c r="AS540" i="11"/>
  <c r="AU604" i="11"/>
  <c r="AV540" i="11"/>
  <c r="AU540" i="11"/>
  <c r="AT540" i="11"/>
  <c r="BD5" i="11"/>
  <c r="AZ5" i="11"/>
  <c r="AW540" i="11"/>
  <c r="AT604" i="11"/>
  <c r="AS604" i="11"/>
  <c r="AW604" i="11"/>
  <c r="AT1081" i="11"/>
  <c r="AJ543" i="11"/>
  <c r="AQ1085" i="11"/>
  <c r="AQ614" i="11" s="1"/>
  <c r="AQ618" i="11" s="1"/>
  <c r="AQ1082" i="11"/>
  <c r="AQ546" i="11" s="1"/>
  <c r="AQ541" i="11" s="1"/>
  <c r="AQ1086" i="11"/>
  <c r="AQ615" i="11" s="1"/>
  <c r="AQ1080" i="11"/>
  <c r="AQ1088" i="11"/>
  <c r="AQ686" i="11" s="1"/>
  <c r="AQ690" i="11" s="1"/>
  <c r="AQ1084" i="11"/>
  <c r="AQ1087" i="11"/>
  <c r="AQ1089" i="11"/>
  <c r="AQ687" i="11" s="1"/>
  <c r="AQ1090" i="11"/>
  <c r="AQ1083" i="11"/>
  <c r="AQ547" i="11" s="1"/>
  <c r="AQ542" i="11" s="1"/>
  <c r="AG692" i="11"/>
  <c r="AJ641" i="11"/>
  <c r="AI594" i="11"/>
  <c r="AJ594" i="11" s="1"/>
  <c r="AI597" i="11"/>
  <c r="AJ597" i="11" s="1"/>
  <c r="AI591" i="11"/>
  <c r="AI592" i="11"/>
  <c r="AD667" i="11"/>
  <c r="AE667" i="11" s="1"/>
  <c r="AD670" i="11"/>
  <c r="AE670" i="11" s="1"/>
  <c r="AF639" i="11"/>
  <c r="AF643" i="11" s="1"/>
  <c r="AI544" i="11"/>
  <c r="AI545" i="11"/>
  <c r="BU97" i="11"/>
  <c r="BT95" i="11"/>
  <c r="AD889" i="11"/>
  <c r="AD890" i="11" s="1"/>
  <c r="AC897" i="11"/>
  <c r="AE534" i="11"/>
  <c r="AE650" i="11"/>
  <c r="AE649" i="11"/>
  <c r="AE531" i="11"/>
  <c r="AE577" i="11"/>
  <c r="AE578" i="11"/>
  <c r="AJ567" i="11"/>
  <c r="AD620" i="11"/>
  <c r="BV28" i="9"/>
  <c r="AP1229" i="9"/>
  <c r="K98" i="9"/>
  <c r="K107" i="9"/>
  <c r="K163" i="9"/>
  <c r="K154" i="9"/>
  <c r="J73" i="9"/>
  <c r="F195" i="9"/>
  <c r="F192" i="9" s="1"/>
  <c r="F191" i="9"/>
  <c r="F177" i="9" s="1"/>
  <c r="K75" i="9"/>
  <c r="P72" i="9"/>
  <c r="L72" i="9"/>
  <c r="BD929" i="9"/>
  <c r="BD932" i="9"/>
  <c r="BU1142" i="9"/>
  <c r="BV1137" i="9"/>
  <c r="BV1142" i="9" s="1"/>
  <c r="AJ51" i="9"/>
  <c r="AE51" i="9"/>
  <c r="I1065" i="9"/>
  <c r="I1172" i="9"/>
  <c r="J1059" i="9"/>
  <c r="J1060" i="9" s="1"/>
  <c r="AJ929" i="9"/>
  <c r="AJ932" i="9"/>
  <c r="H130" i="9"/>
  <c r="H129" i="9" s="1"/>
  <c r="G130" i="9"/>
  <c r="J130" i="9"/>
  <c r="J129" i="9" s="1"/>
  <c r="I130" i="9"/>
  <c r="I129" i="9" s="1"/>
  <c r="BQ819" i="9"/>
  <c r="BP824" i="9"/>
  <c r="BP825" i="9"/>
  <c r="BP830" i="9"/>
  <c r="BP833" i="9" s="1"/>
  <c r="BP925" i="9" s="1"/>
  <c r="BQ822" i="9"/>
  <c r="G405" i="9"/>
  <c r="BP1176" i="9"/>
  <c r="BP1047" i="9"/>
  <c r="BP1054" i="9" s="1"/>
  <c r="K405" i="9"/>
  <c r="K406" i="9" s="1"/>
  <c r="P166" i="9"/>
  <c r="K171" i="9"/>
  <c r="L166" i="9"/>
  <c r="L169" i="9" s="1"/>
  <c r="K188" i="9"/>
  <c r="K268" i="9"/>
  <c r="P174" i="9"/>
  <c r="K415" i="9"/>
  <c r="F416" i="9"/>
  <c r="AN5" i="9"/>
  <c r="AM1224" i="9" s="1"/>
  <c r="AL1224" i="9"/>
  <c r="I74" i="9"/>
  <c r="I73" i="9" s="1"/>
  <c r="H74" i="9"/>
  <c r="H73" i="9" s="1"/>
  <c r="G74" i="9"/>
  <c r="J74" i="9"/>
  <c r="Q62" i="9"/>
  <c r="L60" i="9"/>
  <c r="M54" i="9"/>
  <c r="M57" i="9" s="1"/>
  <c r="L266" i="9"/>
  <c r="L58" i="9"/>
  <c r="L59" i="9"/>
  <c r="L76" i="9"/>
  <c r="J187" i="9"/>
  <c r="J186" i="9" s="1"/>
  <c r="J189" i="9"/>
  <c r="K189" i="9" s="1"/>
  <c r="O245" i="9"/>
  <c r="O248" i="9" s="1"/>
  <c r="N270" i="9"/>
  <c r="N259" i="9"/>
  <c r="N251" i="9"/>
  <c r="N250" i="9"/>
  <c r="N249" i="9"/>
  <c r="Z1059" i="9"/>
  <c r="Z1060" i="9" s="1"/>
  <c r="U1065" i="9"/>
  <c r="V1059" i="9"/>
  <c r="V1060" i="9" s="1"/>
  <c r="BM1083" i="9"/>
  <c r="BL1086" i="9"/>
  <c r="J237" i="9"/>
  <c r="K237" i="9" s="1"/>
  <c r="J235" i="9"/>
  <c r="AO1229" i="9"/>
  <c r="F66" i="9"/>
  <c r="P1000" i="9"/>
  <c r="P1001" i="9" s="1"/>
  <c r="O1001" i="9"/>
  <c r="AP1224" i="9"/>
  <c r="AR5" i="9"/>
  <c r="BU1257" i="9"/>
  <c r="BU1266" i="9"/>
  <c r="BU1252" i="9"/>
  <c r="BU1250" i="9"/>
  <c r="BU1259" i="9"/>
  <c r="BU1264" i="9"/>
  <c r="AO929" i="9"/>
  <c r="AO932" i="9"/>
  <c r="M1172" i="9"/>
  <c r="N1059" i="9"/>
  <c r="N1060" i="9" s="1"/>
  <c r="M1065" i="9"/>
  <c r="BR904" i="9"/>
  <c r="BR1132" i="9" s="1"/>
  <c r="BS1132" i="9" s="1"/>
  <c r="BR1162" i="9"/>
  <c r="BR912" i="9"/>
  <c r="BV1271" i="9"/>
  <c r="BV1272" i="9"/>
  <c r="BV1246" i="9"/>
  <c r="BV1276" i="9"/>
  <c r="BV1273" i="9"/>
  <c r="F178" i="9"/>
  <c r="J1164" i="9"/>
  <c r="J7" i="9"/>
  <c r="J8" i="9" s="1"/>
  <c r="M258" i="9"/>
  <c r="N257" i="9"/>
  <c r="M260" i="9"/>
  <c r="AS1230" i="9"/>
  <c r="AT1230" i="9"/>
  <c r="AW1230" i="9"/>
  <c r="AZ5" i="9"/>
  <c r="AV1230" i="9"/>
  <c r="AU1230" i="9"/>
  <c r="AU1229" i="9" s="1"/>
  <c r="BD5" i="9"/>
  <c r="BI929" i="9"/>
  <c r="BI932" i="9"/>
  <c r="L116" i="9"/>
  <c r="Q118" i="9"/>
  <c r="L132" i="9"/>
  <c r="L114" i="9"/>
  <c r="M110" i="9"/>
  <c r="M113" i="9" s="1"/>
  <c r="L115" i="9"/>
  <c r="L267" i="9"/>
  <c r="Q1065" i="9"/>
  <c r="R1059" i="9"/>
  <c r="R1060" i="9" s="1"/>
  <c r="BO1047" i="9"/>
  <c r="BO1176" i="9"/>
  <c r="K131" i="9"/>
  <c r="P128" i="9"/>
  <c r="L128" i="9"/>
  <c r="P222" i="9"/>
  <c r="K269" i="9"/>
  <c r="K227" i="9"/>
  <c r="L222" i="9"/>
  <c r="L225" i="9" s="1"/>
  <c r="K236" i="9"/>
  <c r="AT1224" i="9"/>
  <c r="AS1224" i="9"/>
  <c r="AV5" i="9"/>
  <c r="BN1176" i="9"/>
  <c r="BN1183" i="9"/>
  <c r="AN1229" i="9"/>
  <c r="H118" i="4"/>
  <c r="K118" i="4"/>
  <c r="J118" i="4"/>
  <c r="P85" i="4"/>
  <c r="P86" i="4" s="1"/>
  <c r="K117" i="4" s="1"/>
  <c r="M86" i="4"/>
  <c r="H117" i="4" s="1"/>
  <c r="J75" i="4"/>
  <c r="O75" i="4" s="1"/>
  <c r="O74" i="4"/>
  <c r="I75" i="4"/>
  <c r="H75" i="4"/>
  <c r="M75" i="4" s="1"/>
  <c r="M74" i="4"/>
  <c r="AE579" i="11" l="1"/>
  <c r="AE582" i="11"/>
  <c r="AR691" i="11"/>
  <c r="AR688" i="11"/>
  <c r="AR689" i="11" s="1"/>
  <c r="AN669" i="11"/>
  <c r="AO669" i="11" s="1"/>
  <c r="AN664" i="11"/>
  <c r="AN666" i="11"/>
  <c r="AO666" i="11" s="1"/>
  <c r="AN663" i="11"/>
  <c r="AH897" i="11"/>
  <c r="AI889" i="11"/>
  <c r="AI890" i="11" s="1"/>
  <c r="AL680" i="11"/>
  <c r="AL681" i="11"/>
  <c r="AL683" i="11"/>
  <c r="AG679" i="11"/>
  <c r="AG682" i="11"/>
  <c r="AK666" i="11"/>
  <c r="AK663" i="11"/>
  <c r="AK669" i="11"/>
  <c r="AQ544" i="11"/>
  <c r="AN688" i="11"/>
  <c r="AN689" i="11" s="1"/>
  <c r="AN691" i="11"/>
  <c r="AK596" i="11"/>
  <c r="AK593" i="11"/>
  <c r="AG596" i="11"/>
  <c r="AG593" i="11"/>
  <c r="AO527" i="11"/>
  <c r="AO530" i="11"/>
  <c r="AK607" i="11"/>
  <c r="AK610" i="11"/>
  <c r="AJ643" i="11"/>
  <c r="AK620" i="11"/>
  <c r="AO568" i="11"/>
  <c r="BN161" i="11"/>
  <c r="AG591" i="11"/>
  <c r="AG597" i="11"/>
  <c r="AG592" i="11"/>
  <c r="AG594" i="11"/>
  <c r="BV971" i="11"/>
  <c r="BU732" i="11"/>
  <c r="BU492" i="11" s="1"/>
  <c r="AG680" i="11"/>
  <c r="AG683" i="11"/>
  <c r="AG530" i="11"/>
  <c r="AG527" i="11"/>
  <c r="AG528" i="11"/>
  <c r="AR678" i="11"/>
  <c r="AR605" i="11"/>
  <c r="AR677" i="11"/>
  <c r="AT509" i="11"/>
  <c r="AR548" i="11"/>
  <c r="AR606" i="11"/>
  <c r="AK611" i="11"/>
  <c r="AK608" i="11"/>
  <c r="AG526" i="11"/>
  <c r="AG529" i="11"/>
  <c r="AO663" i="11"/>
  <c r="AO664" i="11" s="1"/>
  <c r="AE654" i="11"/>
  <c r="AE651" i="11"/>
  <c r="AN544" i="11"/>
  <c r="AR619" i="11"/>
  <c r="AR616" i="11"/>
  <c r="AL536" i="11"/>
  <c r="AL537" i="11"/>
  <c r="BT232" i="11"/>
  <c r="BT96" i="11"/>
  <c r="AD580" i="11"/>
  <c r="AD583" i="11"/>
  <c r="AD586" i="11"/>
  <c r="AE586" i="11" s="1"/>
  <c r="AT1068" i="11"/>
  <c r="AT533" i="11" s="1"/>
  <c r="AT525" i="11" s="1"/>
  <c r="AT1071" i="11"/>
  <c r="AT590" i="11" s="1"/>
  <c r="AT1069" i="11"/>
  <c r="AT1074" i="11"/>
  <c r="AT662" i="11" s="1"/>
  <c r="AT1073" i="11"/>
  <c r="AT661" i="11" s="1"/>
  <c r="AT1070" i="11"/>
  <c r="AT589" i="11" s="1"/>
  <c r="AT1075" i="11"/>
  <c r="AT1067" i="11"/>
  <c r="AT532" i="11" s="1"/>
  <c r="AT524" i="11" s="1"/>
  <c r="AT1072" i="11"/>
  <c r="AK682" i="11"/>
  <c r="AK679" i="11"/>
  <c r="AO688" i="11"/>
  <c r="AO692" i="11" s="1"/>
  <c r="AO689" i="11"/>
  <c r="AO691" i="11"/>
  <c r="AM680" i="11"/>
  <c r="AM683" i="11"/>
  <c r="AL1071" i="11"/>
  <c r="AL590" i="11" s="1"/>
  <c r="AL1075" i="11"/>
  <c r="AL1073" i="11"/>
  <c r="AL661" i="11" s="1"/>
  <c r="AL1068" i="11"/>
  <c r="AL533" i="11" s="1"/>
  <c r="AL525" i="11" s="1"/>
  <c r="AL1074" i="11"/>
  <c r="AL662" i="11" s="1"/>
  <c r="AL1070" i="11"/>
  <c r="AL589" i="11" s="1"/>
  <c r="AL1069" i="11"/>
  <c r="AL1067" i="11"/>
  <c r="AL532" i="11" s="1"/>
  <c r="AL524" i="11" s="1"/>
  <c r="AL1072" i="11"/>
  <c r="AN665" i="11"/>
  <c r="AO665" i="11" s="1"/>
  <c r="AN668" i="11"/>
  <c r="AO668" i="11" s="1"/>
  <c r="AJ617" i="11"/>
  <c r="AF595" i="11"/>
  <c r="AG567" i="11"/>
  <c r="AG571" i="11" s="1"/>
  <c r="AF598" i="11"/>
  <c r="AK597" i="11"/>
  <c r="AK591" i="11"/>
  <c r="AK594" i="11"/>
  <c r="AO570" i="11"/>
  <c r="AM620" i="11"/>
  <c r="AM1066" i="11"/>
  <c r="AM523" i="11"/>
  <c r="AM576" i="11"/>
  <c r="AM648" i="11"/>
  <c r="BV962" i="11"/>
  <c r="BV227" i="11"/>
  <c r="AU1088" i="11"/>
  <c r="AU686" i="11" s="1"/>
  <c r="AU690" i="11" s="1"/>
  <c r="AU1090" i="11"/>
  <c r="AU1080" i="11"/>
  <c r="AU1084" i="11"/>
  <c r="AU1086" i="11"/>
  <c r="AU615" i="11" s="1"/>
  <c r="AU1087" i="11"/>
  <c r="AU1083" i="11"/>
  <c r="AU547" i="11" s="1"/>
  <c r="AU542" i="11" s="1"/>
  <c r="AU1085" i="11"/>
  <c r="AU614" i="11" s="1"/>
  <c r="AU618" i="11" s="1"/>
  <c r="AU1089" i="11"/>
  <c r="AU687" i="11" s="1"/>
  <c r="AU1082" i="11"/>
  <c r="AU546" i="11" s="1"/>
  <c r="AU541" i="11" s="1"/>
  <c r="AD655" i="11"/>
  <c r="AD658" i="11"/>
  <c r="AE658" i="11" s="1"/>
  <c r="AD652" i="11"/>
  <c r="AS1075" i="11"/>
  <c r="AS1071" i="11"/>
  <c r="AS590" i="11" s="1"/>
  <c r="AS1067" i="11"/>
  <c r="AS532" i="11" s="1"/>
  <c r="AS524" i="11" s="1"/>
  <c r="AS1068" i="11"/>
  <c r="AS533" i="11" s="1"/>
  <c r="AS525" i="11" s="1"/>
  <c r="AS1070" i="11"/>
  <c r="AS589" i="11" s="1"/>
  <c r="AS1069" i="11"/>
  <c r="AS1073" i="11"/>
  <c r="AS661" i="11" s="1"/>
  <c r="AS1074" i="11"/>
  <c r="AS662" i="11" s="1"/>
  <c r="AS1072" i="11"/>
  <c r="BD922" i="11"/>
  <c r="BI919" i="11"/>
  <c r="BE919" i="11"/>
  <c r="AF125" i="11"/>
  <c r="AF170" i="11"/>
  <c r="AF645" i="11"/>
  <c r="AJ678" i="11"/>
  <c r="AJ605" i="11"/>
  <c r="AJ677" i="11"/>
  <c r="AJ548" i="11"/>
  <c r="AJ606" i="11"/>
  <c r="AW1089" i="11"/>
  <c r="AW687" i="11" s="1"/>
  <c r="AW1085" i="11"/>
  <c r="AW614" i="11" s="1"/>
  <c r="AW618" i="11" s="1"/>
  <c r="AW1090" i="11"/>
  <c r="AW1082" i="11"/>
  <c r="AW546" i="11" s="1"/>
  <c r="AW541" i="11" s="1"/>
  <c r="AW1086" i="11"/>
  <c r="AW615" i="11" s="1"/>
  <c r="AW1084" i="11"/>
  <c r="AW1083" i="11"/>
  <c r="AW547" i="11" s="1"/>
  <c r="AW542" i="11" s="1"/>
  <c r="AW1088" i="11"/>
  <c r="AW686" i="11" s="1"/>
  <c r="AW690" i="11" s="1"/>
  <c r="AW1087" i="11"/>
  <c r="AD654" i="11"/>
  <c r="AD657" i="11"/>
  <c r="AE657" i="11" s="1"/>
  <c r="AD651" i="11"/>
  <c r="AD653" i="11" s="1"/>
  <c r="AO567" i="11"/>
  <c r="AI620" i="11"/>
  <c r="BT85" i="11"/>
  <c r="AK529" i="11"/>
  <c r="AK526" i="11"/>
  <c r="AN527" i="11"/>
  <c r="AN530" i="11"/>
  <c r="AG666" i="11"/>
  <c r="AG663" i="11"/>
  <c r="AG664" i="11" s="1"/>
  <c r="AG669" i="11"/>
  <c r="BV69" i="11"/>
  <c r="BV73" i="11"/>
  <c r="BU1248" i="9"/>
  <c r="BU1108" i="11"/>
  <c r="AO619" i="11"/>
  <c r="AO616" i="11"/>
  <c r="AO620" i="11" s="1"/>
  <c r="BU938" i="9"/>
  <c r="BU747" i="11" s="1"/>
  <c r="BU762" i="11"/>
  <c r="BU227" i="11"/>
  <c r="AM607" i="11"/>
  <c r="AM610" i="11"/>
  <c r="AJ571" i="11"/>
  <c r="AJ545" i="11"/>
  <c r="BK162" i="11"/>
  <c r="BN239" i="11"/>
  <c r="BN162" i="11" s="1"/>
  <c r="BU1255" i="9"/>
  <c r="BU1115" i="11"/>
  <c r="AT1089" i="11"/>
  <c r="AT687" i="11" s="1"/>
  <c r="AT1088" i="11"/>
  <c r="AT686" i="11" s="1"/>
  <c r="AT690" i="11" s="1"/>
  <c r="AT1087" i="11"/>
  <c r="AT1085" i="11"/>
  <c r="AT614" i="11" s="1"/>
  <c r="AT618" i="11" s="1"/>
  <c r="AT1086" i="11"/>
  <c r="AT615" i="11" s="1"/>
  <c r="AT1080" i="11"/>
  <c r="AT1090" i="11"/>
  <c r="AT1084" i="11"/>
  <c r="AT1083" i="11"/>
  <c r="AT547" i="11" s="1"/>
  <c r="AT542" i="11" s="1"/>
  <c r="AT1082" i="11"/>
  <c r="AT546" i="11" s="1"/>
  <c r="AT541" i="11" s="1"/>
  <c r="AV1089" i="11"/>
  <c r="AV687" i="11" s="1"/>
  <c r="AV1082" i="11"/>
  <c r="AV546" i="11" s="1"/>
  <c r="AV541" i="11" s="1"/>
  <c r="AV1090" i="11"/>
  <c r="AV1080" i="11"/>
  <c r="AV1083" i="11"/>
  <c r="AV547" i="11" s="1"/>
  <c r="AV542" i="11" s="1"/>
  <c r="AV1084" i="11"/>
  <c r="AV1085" i="11"/>
  <c r="AV614" i="11" s="1"/>
  <c r="AV618" i="11" s="1"/>
  <c r="AV1087" i="11"/>
  <c r="AV1086" i="11"/>
  <c r="AV615" i="11" s="1"/>
  <c r="AV1088" i="11"/>
  <c r="AV686" i="11" s="1"/>
  <c r="AV690" i="11" s="1"/>
  <c r="AI617" i="11"/>
  <c r="AK692" i="11"/>
  <c r="AO640" i="11"/>
  <c r="AM609" i="11"/>
  <c r="AM611" i="11"/>
  <c r="AM608" i="11"/>
  <c r="AJ624" i="11"/>
  <c r="AF684" i="11"/>
  <c r="AQ689" i="11"/>
  <c r="AQ688" i="11"/>
  <c r="AQ691" i="11"/>
  <c r="AP606" i="11"/>
  <c r="AP677" i="11"/>
  <c r="AP605" i="11"/>
  <c r="AT507" i="11"/>
  <c r="AP678" i="11"/>
  <c r="AP548" i="11"/>
  <c r="AN593" i="11"/>
  <c r="AO593" i="11" s="1"/>
  <c r="AN596" i="11"/>
  <c r="AO596" i="11" s="1"/>
  <c r="BS239" i="11"/>
  <c r="BS162" i="11" s="1"/>
  <c r="BO162" i="11"/>
  <c r="BS161" i="11"/>
  <c r="AK668" i="11"/>
  <c r="AK665" i="11"/>
  <c r="AM889" i="11"/>
  <c r="AM890" i="11" s="1"/>
  <c r="AL897" i="11"/>
  <c r="AD897" i="11"/>
  <c r="AQ543" i="11"/>
  <c r="AQ545" i="11" s="1"/>
  <c r="AL692" i="11"/>
  <c r="AO641" i="11"/>
  <c r="AK680" i="11"/>
  <c r="AK683" i="11"/>
  <c r="BF947" i="11"/>
  <c r="BE923" i="11"/>
  <c r="BE948" i="11"/>
  <c r="AM617" i="11"/>
  <c r="BU73" i="11"/>
  <c r="BU69" i="11"/>
  <c r="BU81" i="11"/>
  <c r="BU85" i="11" s="1"/>
  <c r="AK617" i="11"/>
  <c r="AS1090" i="11"/>
  <c r="AS1086" i="11"/>
  <c r="AS615" i="11" s="1"/>
  <c r="AS1082" i="11"/>
  <c r="AS546" i="11" s="1"/>
  <c r="AS541" i="11" s="1"/>
  <c r="AS543" i="11" s="1"/>
  <c r="AS1088" i="11"/>
  <c r="AS686" i="11" s="1"/>
  <c r="AS690" i="11" s="1"/>
  <c r="AS1080" i="11"/>
  <c r="AS1083" i="11"/>
  <c r="AS547" i="11" s="1"/>
  <c r="AS542" i="11" s="1"/>
  <c r="AS1087" i="11"/>
  <c r="AS1089" i="11"/>
  <c r="AS687" i="11" s="1"/>
  <c r="AS1085" i="11"/>
  <c r="AS614" i="11" s="1"/>
  <c r="AS618" i="11" s="1"/>
  <c r="AS1084" i="11"/>
  <c r="AF515" i="11"/>
  <c r="AF229" i="11"/>
  <c r="AF34" i="11"/>
  <c r="AF518" i="11"/>
  <c r="AF512" i="11"/>
  <c r="AD684" i="11"/>
  <c r="AJ623" i="11"/>
  <c r="AO543" i="11"/>
  <c r="AO545" i="11" s="1"/>
  <c r="AF670" i="11"/>
  <c r="AG639" i="11"/>
  <c r="AG643" i="11" s="1"/>
  <c r="AF667" i="11"/>
  <c r="AO536" i="11"/>
  <c r="AN536" i="11"/>
  <c r="AO537" i="11"/>
  <c r="AO510" i="11"/>
  <c r="AN537" i="11"/>
  <c r="BB346" i="11"/>
  <c r="BC342" i="11"/>
  <c r="AI611" i="11"/>
  <c r="AI608" i="11"/>
  <c r="AI650" i="11"/>
  <c r="AI531" i="11"/>
  <c r="AI578" i="11"/>
  <c r="AI649" i="11"/>
  <c r="AI534" i="11"/>
  <c r="AK506" i="11"/>
  <c r="AK510" i="11" s="1"/>
  <c r="AI577" i="11"/>
  <c r="BV81" i="11"/>
  <c r="BV85" i="11" s="1"/>
  <c r="AN526" i="11"/>
  <c r="AN529" i="11"/>
  <c r="AJ650" i="11"/>
  <c r="AJ531" i="11"/>
  <c r="AJ578" i="11"/>
  <c r="AJ534" i="11"/>
  <c r="AJ649" i="11"/>
  <c r="AJ577" i="11"/>
  <c r="AM692" i="11"/>
  <c r="AO642" i="11"/>
  <c r="AU1066" i="11"/>
  <c r="AU648" i="11"/>
  <c r="AU523" i="11"/>
  <c r="AW5" i="11"/>
  <c r="AU576" i="11"/>
  <c r="AN591" i="11"/>
  <c r="AN592" i="11" s="1"/>
  <c r="AN597" i="11"/>
  <c r="AO597" i="11" s="1"/>
  <c r="AN594" i="11"/>
  <c r="AO594" i="11" s="1"/>
  <c r="AQ619" i="11"/>
  <c r="AQ616" i="11"/>
  <c r="AP544" i="11"/>
  <c r="AP545" i="11"/>
  <c r="AD582" i="11"/>
  <c r="AD579" i="11"/>
  <c r="AD581" i="11" s="1"/>
  <c r="AD585" i="11"/>
  <c r="AE585" i="11" s="1"/>
  <c r="AJ552" i="11"/>
  <c r="AF612" i="11"/>
  <c r="AH679" i="11"/>
  <c r="AH682" i="11"/>
  <c r="AO544" i="11"/>
  <c r="AT897" i="11"/>
  <c r="AU889" i="11"/>
  <c r="AU890" i="11" s="1"/>
  <c r="AI683" i="11"/>
  <c r="AI680" i="11"/>
  <c r="AP1070" i="11"/>
  <c r="AP589" i="11" s="1"/>
  <c r="AP1068" i="11"/>
  <c r="AP533" i="11" s="1"/>
  <c r="AP525" i="11" s="1"/>
  <c r="AP1073" i="11"/>
  <c r="AP661" i="11" s="1"/>
  <c r="AP1074" i="11"/>
  <c r="AP662" i="11" s="1"/>
  <c r="AP1069" i="11"/>
  <c r="AP1075" i="11"/>
  <c r="AP1072" i="11"/>
  <c r="AP1067" i="11"/>
  <c r="AP532" i="11" s="1"/>
  <c r="AP524" i="11" s="1"/>
  <c r="AP1071" i="11"/>
  <c r="AP590" i="11" s="1"/>
  <c r="AO526" i="11"/>
  <c r="AO528" i="11" s="1"/>
  <c r="AO529" i="11"/>
  <c r="AI670" i="11"/>
  <c r="AJ670" i="11" s="1"/>
  <c r="AI667" i="11"/>
  <c r="AJ667" i="11" s="1"/>
  <c r="AK639" i="11"/>
  <c r="AK643" i="11" s="1"/>
  <c r="BU1262" i="9"/>
  <c r="BU1122" i="11"/>
  <c r="AP688" i="11"/>
  <c r="AP689" i="11"/>
  <c r="AP691" i="11"/>
  <c r="AI692" i="11"/>
  <c r="AO639" i="11"/>
  <c r="AJ537" i="11"/>
  <c r="AJ536" i="11"/>
  <c r="AI537" i="11"/>
  <c r="AI536" i="11"/>
  <c r="AJ510" i="11"/>
  <c r="AM536" i="11"/>
  <c r="AM537" i="11"/>
  <c r="AQ889" i="11"/>
  <c r="AQ890" i="11" s="1"/>
  <c r="AP897" i="11"/>
  <c r="AH537" i="11"/>
  <c r="AH536" i="11"/>
  <c r="AM682" i="11"/>
  <c r="AM679" i="11"/>
  <c r="AK536" i="11"/>
  <c r="AK537" i="11"/>
  <c r="AB826" i="11"/>
  <c r="AA827" i="11"/>
  <c r="AA1002" i="11" s="1"/>
  <c r="BV97" i="11"/>
  <c r="BV95" i="11" s="1"/>
  <c r="BV94" i="11" s="1"/>
  <c r="BU95" i="11"/>
  <c r="AK567" i="11"/>
  <c r="AK571" i="11" s="1"/>
  <c r="AI595" i="11"/>
  <c r="AJ595" i="11" s="1"/>
  <c r="AI598" i="11"/>
  <c r="AJ598" i="11" s="1"/>
  <c r="BT939" i="11"/>
  <c r="BT958" i="11"/>
  <c r="BT850" i="11" s="1"/>
  <c r="BT941" i="11"/>
  <c r="BT942" i="11" s="1"/>
  <c r="BT960" i="11"/>
  <c r="BT851" i="11" s="1"/>
  <c r="BT938" i="11"/>
  <c r="BT715" i="11"/>
  <c r="BT243" i="11" s="1"/>
  <c r="BT511" i="11"/>
  <c r="BT996" i="11"/>
  <c r="AI689" i="11"/>
  <c r="AH680" i="11"/>
  <c r="AH683" i="11"/>
  <c r="AH681" i="11"/>
  <c r="AL620" i="11"/>
  <c r="AO569" i="11"/>
  <c r="AL679" i="11"/>
  <c r="AL682" i="11"/>
  <c r="AI682" i="11"/>
  <c r="AI679" i="11"/>
  <c r="AN543" i="11"/>
  <c r="AX1066" i="11"/>
  <c r="AY1066" i="11"/>
  <c r="AX648" i="11"/>
  <c r="AX523" i="11"/>
  <c r="AY576" i="11"/>
  <c r="AX576" i="11"/>
  <c r="BA5" i="11"/>
  <c r="AY648" i="11"/>
  <c r="AY523" i="11"/>
  <c r="AQ1066" i="11"/>
  <c r="AQ576" i="11"/>
  <c r="AQ523" i="11"/>
  <c r="AQ648" i="11"/>
  <c r="AS5" i="11"/>
  <c r="AF99" i="11"/>
  <c r="AF158" i="11"/>
  <c r="AF573" i="11"/>
  <c r="AH611" i="11"/>
  <c r="AH608" i="11"/>
  <c r="AL607" i="11"/>
  <c r="AL610" i="11"/>
  <c r="AG611" i="11"/>
  <c r="AG608" i="11"/>
  <c r="AG506" i="11"/>
  <c r="AG510" i="11" s="1"/>
  <c r="AF578" i="11"/>
  <c r="AF534" i="11"/>
  <c r="AF577" i="11"/>
  <c r="AF531" i="11"/>
  <c r="AF650" i="11"/>
  <c r="AF649" i="11"/>
  <c r="AJ551" i="11"/>
  <c r="AD612" i="11"/>
  <c r="AE652" i="11"/>
  <c r="AE653" i="11"/>
  <c r="AE655" i="11"/>
  <c r="AG668" i="11"/>
  <c r="AG665" i="11"/>
  <c r="BV1269" i="9"/>
  <c r="BV1129" i="11"/>
  <c r="AE580" i="11"/>
  <c r="AE583" i="11"/>
  <c r="AE581" i="11"/>
  <c r="BA1081" i="11"/>
  <c r="AZ1081" i="11"/>
  <c r="BB1081" i="11"/>
  <c r="AY1081" i="11"/>
  <c r="AX676" i="11"/>
  <c r="AZ676" i="11"/>
  <c r="AX1081" i="11"/>
  <c r="AW1080" i="11" s="1"/>
  <c r="BA676" i="11"/>
  <c r="AY676" i="11"/>
  <c r="BB604" i="11"/>
  <c r="BA540" i="11"/>
  <c r="AZ540" i="11"/>
  <c r="BE5" i="11"/>
  <c r="BB676" i="11"/>
  <c r="BA604" i="11"/>
  <c r="AZ604" i="11"/>
  <c r="AY604" i="11"/>
  <c r="AX604" i="11"/>
  <c r="BB540" i="11"/>
  <c r="AY540" i="11"/>
  <c r="AX540" i="11"/>
  <c r="BI5" i="11"/>
  <c r="AO591" i="11"/>
  <c r="AO592" i="11" s="1"/>
  <c r="AP619" i="11"/>
  <c r="AP616" i="11"/>
  <c r="AP617" i="11"/>
  <c r="AR545" i="11"/>
  <c r="AR544" i="11"/>
  <c r="N279" i="11"/>
  <c r="N3" i="11"/>
  <c r="O4" i="11"/>
  <c r="AH610" i="11"/>
  <c r="AH607" i="11"/>
  <c r="AL609" i="11"/>
  <c r="AL611" i="11"/>
  <c r="AL608" i="11"/>
  <c r="AG610" i="11"/>
  <c r="AG607" i="11"/>
  <c r="AH1073" i="11"/>
  <c r="AH661" i="11" s="1"/>
  <c r="AH1069" i="11"/>
  <c r="AH1074" i="11"/>
  <c r="AH662" i="11" s="1"/>
  <c r="AH1072" i="11"/>
  <c r="AH1075" i="11"/>
  <c r="AH1071" i="11"/>
  <c r="AH590" i="11" s="1"/>
  <c r="AH1070" i="11"/>
  <c r="AH589" i="11" s="1"/>
  <c r="AH1067" i="11"/>
  <c r="AH532" i="11" s="1"/>
  <c r="AH524" i="11" s="1"/>
  <c r="AH1068" i="11"/>
  <c r="AH533" i="11" s="1"/>
  <c r="AH525" i="11" s="1"/>
  <c r="AE609" i="11"/>
  <c r="AK527" i="11"/>
  <c r="AK528" i="11"/>
  <c r="AK530" i="11"/>
  <c r="AI610" i="11"/>
  <c r="AI607" i="11"/>
  <c r="AI609" i="11" s="1"/>
  <c r="AN617" i="11"/>
  <c r="AN616" i="11"/>
  <c r="AN619" i="11"/>
  <c r="AV1229" i="9"/>
  <c r="L125" i="9"/>
  <c r="L138" i="9" s="1"/>
  <c r="L139" i="9" s="1"/>
  <c r="AS1229" i="9"/>
  <c r="K272" i="9"/>
  <c r="K210" i="9"/>
  <c r="K219" i="9"/>
  <c r="K1164" i="9"/>
  <c r="K7" i="9"/>
  <c r="K9" i="9" s="1"/>
  <c r="W1059" i="9"/>
  <c r="W1060" i="9" s="1"/>
  <c r="V1065" i="9"/>
  <c r="L269" i="9"/>
  <c r="M222" i="9"/>
  <c r="M225" i="9" s="1"/>
  <c r="L226" i="9"/>
  <c r="L227" i="9"/>
  <c r="L236" i="9"/>
  <c r="L228" i="9"/>
  <c r="L184" i="9"/>
  <c r="K187" i="9"/>
  <c r="P184" i="9"/>
  <c r="K130" i="9"/>
  <c r="K123" i="9" s="1"/>
  <c r="G129" i="9"/>
  <c r="Q1000" i="9"/>
  <c r="P1172" i="9"/>
  <c r="L268" i="9"/>
  <c r="L171" i="9"/>
  <c r="M166" i="9"/>
  <c r="M169" i="9" s="1"/>
  <c r="L170" i="9"/>
  <c r="L188" i="9"/>
  <c r="Q174" i="9"/>
  <c r="L172" i="9"/>
  <c r="H402" i="9"/>
  <c r="L408" i="9"/>
  <c r="G432" i="9"/>
  <c r="G419" i="9"/>
  <c r="K73" i="9"/>
  <c r="O257" i="9"/>
  <c r="N258" i="9"/>
  <c r="N260" i="9"/>
  <c r="P234" i="9"/>
  <c r="L234" i="9"/>
  <c r="K235" i="9"/>
  <c r="BR910" i="9"/>
  <c r="BS912" i="9"/>
  <c r="BS913" i="9" s="1"/>
  <c r="L77" i="9"/>
  <c r="M72" i="9"/>
  <c r="L75" i="9"/>
  <c r="M266" i="9"/>
  <c r="M58" i="9"/>
  <c r="M59" i="9"/>
  <c r="N54" i="9"/>
  <c r="N57" i="9" s="1"/>
  <c r="R62" i="9"/>
  <c r="M60" i="9"/>
  <c r="M76" i="9"/>
  <c r="R1065" i="9"/>
  <c r="S1059" i="9"/>
  <c r="S1060" i="9" s="1"/>
  <c r="AR1229" i="9"/>
  <c r="L131" i="9"/>
  <c r="L130" i="9" s="1"/>
  <c r="M128" i="9"/>
  <c r="L133" i="9"/>
  <c r="L135" i="9"/>
  <c r="L121" i="9" s="1"/>
  <c r="BS904" i="9"/>
  <c r="BS906" i="9"/>
  <c r="AX1224" i="9"/>
  <c r="AY1224" i="9"/>
  <c r="BA5" i="9"/>
  <c r="N1172" i="9"/>
  <c r="N1065" i="9"/>
  <c r="O1059" i="9"/>
  <c r="O1060" i="9" s="1"/>
  <c r="BM1084" i="9"/>
  <c r="BM1097" i="9" s="1"/>
  <c r="BQ824" i="9"/>
  <c r="BQ830" i="9"/>
  <c r="BQ833" i="9" s="1"/>
  <c r="BQ925" i="9" s="1"/>
  <c r="BQ825" i="9"/>
  <c r="BR819" i="9"/>
  <c r="BR814" i="9" s="1"/>
  <c r="BR883" i="9" s="1"/>
  <c r="BR1006" i="11" s="1"/>
  <c r="BR822" i="9"/>
  <c r="BQ814" i="9"/>
  <c r="BA1230" i="9"/>
  <c r="BA1229" i="9" s="1"/>
  <c r="AY1230" i="9"/>
  <c r="AY1229" i="9" s="1"/>
  <c r="AX1230" i="9"/>
  <c r="AW1229" i="9" s="1"/>
  <c r="BB1230" i="9"/>
  <c r="BE5" i="9"/>
  <c r="AZ1230" i="9"/>
  <c r="BI5" i="9"/>
  <c r="J1065" i="9"/>
  <c r="J1172" i="9"/>
  <c r="K74" i="9"/>
  <c r="K67" i="9" s="1"/>
  <c r="G73" i="9"/>
  <c r="AA1059" i="9"/>
  <c r="AA1060" i="9" s="1"/>
  <c r="AE1059" i="9"/>
  <c r="AE1060" i="9" s="1"/>
  <c r="Z1065" i="9"/>
  <c r="M116" i="9"/>
  <c r="M114" i="9"/>
  <c r="M115" i="9"/>
  <c r="M132" i="9"/>
  <c r="N110" i="9"/>
  <c r="N113" i="9" s="1"/>
  <c r="M267" i="9"/>
  <c r="R118" i="9"/>
  <c r="AU1224" i="9"/>
  <c r="AW5" i="9"/>
  <c r="G186" i="9"/>
  <c r="I186" i="9"/>
  <c r="I185" i="9" s="1"/>
  <c r="AS5" i="9"/>
  <c r="AR1224" i="9" s="1"/>
  <c r="AQ1224" i="9"/>
  <c r="BV1259" i="9"/>
  <c r="BV1264" i="9"/>
  <c r="BV1252" i="9"/>
  <c r="BV1266" i="9"/>
  <c r="BV1250" i="9"/>
  <c r="BV1257" i="9"/>
  <c r="P248" i="9"/>
  <c r="O270" i="9"/>
  <c r="O250" i="9"/>
  <c r="O251" i="9"/>
  <c r="P251" i="9" s="1"/>
  <c r="O249" i="9"/>
  <c r="O259" i="9"/>
  <c r="P408" i="9"/>
  <c r="K417" i="9"/>
  <c r="L402" i="9"/>
  <c r="K432" i="9"/>
  <c r="P402" i="9"/>
  <c r="K419" i="9"/>
  <c r="K420" i="9" s="1"/>
  <c r="BO1054" i="9"/>
  <c r="AT1229" i="9"/>
  <c r="G406" i="9"/>
  <c r="H76" i="4"/>
  <c r="J76" i="4"/>
  <c r="O76" i="4"/>
  <c r="P74" i="4"/>
  <c r="M76" i="4"/>
  <c r="H116" i="4" s="1"/>
  <c r="I76" i="4"/>
  <c r="N75" i="4"/>
  <c r="N76" i="4" s="1"/>
  <c r="I116" i="4" s="1"/>
  <c r="AL567" i="11" l="1"/>
  <c r="AL571" i="11" s="1"/>
  <c r="AK598" i="11"/>
  <c r="AK595" i="11"/>
  <c r="BT556" i="11"/>
  <c r="AS537" i="11"/>
  <c r="AT537" i="11"/>
  <c r="AS536" i="11"/>
  <c r="AT536" i="11"/>
  <c r="AK667" i="11"/>
  <c r="AK670" i="11"/>
  <c r="AL639" i="11"/>
  <c r="AL643" i="11" s="1"/>
  <c r="O279" i="11"/>
  <c r="O3" i="11"/>
  <c r="P4" i="11"/>
  <c r="AN677" i="11"/>
  <c r="AN606" i="11"/>
  <c r="AT506" i="11"/>
  <c r="AN548" i="11"/>
  <c r="AN678" i="11"/>
  <c r="AN605" i="11"/>
  <c r="BT847" i="11"/>
  <c r="AP527" i="11"/>
  <c r="AP530" i="11"/>
  <c r="AN531" i="11"/>
  <c r="AN650" i="11"/>
  <c r="AN534" i="11"/>
  <c r="AN577" i="11"/>
  <c r="AP506" i="11"/>
  <c r="AP510" i="11" s="1"/>
  <c r="AN649" i="11"/>
  <c r="AN578" i="11"/>
  <c r="AG125" i="11"/>
  <c r="AG170" i="11"/>
  <c r="AG645" i="11"/>
  <c r="AS665" i="11"/>
  <c r="AT665" i="11" s="1"/>
  <c r="AS668" i="11"/>
  <c r="AT668" i="11" s="1"/>
  <c r="AT526" i="11"/>
  <c r="AT529" i="11"/>
  <c r="AT691" i="11"/>
  <c r="AT688" i="11"/>
  <c r="AT692" i="11" s="1"/>
  <c r="AW616" i="11"/>
  <c r="AW617" i="11"/>
  <c r="AW619" i="11"/>
  <c r="AN545" i="11"/>
  <c r="AI897" i="11"/>
  <c r="AS678" i="11"/>
  <c r="AS677" i="11"/>
  <c r="AY506" i="11"/>
  <c r="AS548" i="11"/>
  <c r="AS605" i="11"/>
  <c r="AS606" i="11"/>
  <c r="AM897" i="11"/>
  <c r="AN889" i="11"/>
  <c r="AN890" i="11" s="1"/>
  <c r="AK684" i="11"/>
  <c r="AO624" i="11"/>
  <c r="AR620" i="11"/>
  <c r="AT570" i="11"/>
  <c r="AT544" i="11"/>
  <c r="AU619" i="11"/>
  <c r="AU616" i="11"/>
  <c r="AU617" i="11" s="1"/>
  <c r="AG158" i="11"/>
  <c r="AG99" i="11"/>
  <c r="AG573" i="11"/>
  <c r="AR683" i="11"/>
  <c r="AR681" i="11"/>
  <c r="AR680" i="11"/>
  <c r="AJ170" i="11"/>
  <c r="AJ125" i="11"/>
  <c r="AJ645" i="11"/>
  <c r="AG684" i="11"/>
  <c r="AJ625" i="11"/>
  <c r="AF601" i="11"/>
  <c r="AF600" i="11"/>
  <c r="AK158" i="11"/>
  <c r="AK99" i="11"/>
  <c r="AK573" i="11"/>
  <c r="AS669" i="11"/>
  <c r="AT669" i="11" s="1"/>
  <c r="AS663" i="11"/>
  <c r="AS664" i="11" s="1"/>
  <c r="AS666" i="11"/>
  <c r="AT666" i="11" s="1"/>
  <c r="BB1088" i="11"/>
  <c r="BB686" i="11" s="1"/>
  <c r="BB690" i="11" s="1"/>
  <c r="BB1084" i="11"/>
  <c r="BB1087" i="11"/>
  <c r="BB1083" i="11"/>
  <c r="BB547" i="11" s="1"/>
  <c r="BB542" i="11" s="1"/>
  <c r="BB1089" i="11"/>
  <c r="BB687" i="11" s="1"/>
  <c r="BB1090" i="11"/>
  <c r="BB1085" i="11"/>
  <c r="BB614" i="11" s="1"/>
  <c r="BB618" i="11" s="1"/>
  <c r="BB1086" i="11"/>
  <c r="BB615" i="11" s="1"/>
  <c r="BB1082" i="11"/>
  <c r="BB546" i="11" s="1"/>
  <c r="BB541" i="11" s="1"/>
  <c r="AF583" i="11"/>
  <c r="AF586" i="11"/>
  <c r="AF580" i="11"/>
  <c r="AI583" i="11"/>
  <c r="AI580" i="11"/>
  <c r="AI586" i="11"/>
  <c r="AJ586" i="11" s="1"/>
  <c r="BF919" i="11"/>
  <c r="AV619" i="11"/>
  <c r="AV616" i="11"/>
  <c r="AV617" i="11"/>
  <c r="AS528" i="11"/>
  <c r="AS530" i="11"/>
  <c r="AS527" i="11"/>
  <c r="AN670" i="11"/>
  <c r="AO670" i="11" s="1"/>
  <c r="AN667" i="11"/>
  <c r="AO667" i="11" s="1"/>
  <c r="AP639" i="11"/>
  <c r="AP643" i="11" s="1"/>
  <c r="AT619" i="11"/>
  <c r="AT616" i="11"/>
  <c r="AT620" i="11" s="1"/>
  <c r="AR617" i="11"/>
  <c r="AH663" i="11"/>
  <c r="AH666" i="11"/>
  <c r="AH669" i="11"/>
  <c r="AH664" i="11"/>
  <c r="BF1081" i="11"/>
  <c r="BE1081" i="11"/>
  <c r="BG1081" i="11"/>
  <c r="BD604" i="11"/>
  <c r="BG540" i="11"/>
  <c r="BC604" i="11"/>
  <c r="BF540" i="11"/>
  <c r="BE676" i="11"/>
  <c r="BE540" i="11"/>
  <c r="BD676" i="11"/>
  <c r="BD540" i="11"/>
  <c r="BC676" i="11"/>
  <c r="BC540" i="11"/>
  <c r="BD1081" i="11"/>
  <c r="BF604" i="11"/>
  <c r="BF676" i="11"/>
  <c r="BG676" i="11"/>
  <c r="BE604" i="11"/>
  <c r="BG604" i="11"/>
  <c r="BN5" i="11"/>
  <c r="BC1081" i="11"/>
  <c r="BJ5" i="11"/>
  <c r="AZ1089" i="11"/>
  <c r="AZ687" i="11" s="1"/>
  <c r="AZ1088" i="11"/>
  <c r="AZ686" i="11" s="1"/>
  <c r="AZ690" i="11" s="1"/>
  <c r="AZ1083" i="11"/>
  <c r="AZ547" i="11" s="1"/>
  <c r="AZ542" i="11" s="1"/>
  <c r="AZ1087" i="11"/>
  <c r="AZ1090" i="11"/>
  <c r="AZ1080" i="11"/>
  <c r="AZ1085" i="11"/>
  <c r="AZ614" i="11" s="1"/>
  <c r="AZ618" i="11" s="1"/>
  <c r="AZ1084" i="11"/>
  <c r="AZ1086" i="11"/>
  <c r="AZ615" i="11" s="1"/>
  <c r="AZ1082" i="11"/>
  <c r="AZ546" i="11" s="1"/>
  <c r="AZ541" i="11" s="1"/>
  <c r="AG34" i="11"/>
  <c r="AG515" i="11"/>
  <c r="AG518" i="11"/>
  <c r="AG229" i="11"/>
  <c r="AG512" i="11"/>
  <c r="AQ1069" i="11"/>
  <c r="AQ1067" i="11"/>
  <c r="AQ532" i="11" s="1"/>
  <c r="AQ524" i="11" s="1"/>
  <c r="AQ1072" i="11"/>
  <c r="AQ1074" i="11"/>
  <c r="AQ662" i="11" s="1"/>
  <c r="AQ1071" i="11"/>
  <c r="AQ590" i="11" s="1"/>
  <c r="AQ1070" i="11"/>
  <c r="AQ589" i="11" s="1"/>
  <c r="AQ1068" i="11"/>
  <c r="AQ533" i="11" s="1"/>
  <c r="AQ525" i="11" s="1"/>
  <c r="AQ1075" i="11"/>
  <c r="AQ1073" i="11"/>
  <c r="AQ661" i="11" s="1"/>
  <c r="AM684" i="11"/>
  <c r="AO626" i="11"/>
  <c r="AV1066" i="11"/>
  <c r="AV576" i="11"/>
  <c r="AX5" i="11"/>
  <c r="AV523" i="11"/>
  <c r="AV648" i="11"/>
  <c r="BF923" i="11"/>
  <c r="BG947" i="11"/>
  <c r="BF948" i="11"/>
  <c r="AS529" i="11"/>
  <c r="AS526" i="11"/>
  <c r="AL596" i="11"/>
  <c r="AL593" i="11"/>
  <c r="AT664" i="11"/>
  <c r="AT663" i="11"/>
  <c r="AG681" i="11"/>
  <c r="AY1080" i="11"/>
  <c r="AY1090" i="11"/>
  <c r="AY1083" i="11"/>
  <c r="AY547" i="11" s="1"/>
  <c r="AY542" i="11" s="1"/>
  <c r="AY1082" i="11"/>
  <c r="AY546" i="11" s="1"/>
  <c r="AY541" i="11" s="1"/>
  <c r="AY543" i="11" s="1"/>
  <c r="AY1085" i="11"/>
  <c r="AY614" i="11" s="1"/>
  <c r="AY618" i="11" s="1"/>
  <c r="AY1087" i="11"/>
  <c r="AY1089" i="11"/>
  <c r="AY687" i="11" s="1"/>
  <c r="AY1084" i="11"/>
  <c r="AY1086" i="11"/>
  <c r="AY615" i="11" s="1"/>
  <c r="AY1088" i="11"/>
  <c r="AY686" i="11" s="1"/>
  <c r="AY690" i="11" s="1"/>
  <c r="AT640" i="11"/>
  <c r="AP692" i="11"/>
  <c r="AU897" i="11"/>
  <c r="AV889" i="11"/>
  <c r="AV890" i="11" s="1"/>
  <c r="AI657" i="11"/>
  <c r="AJ657" i="11" s="1"/>
  <c r="AI651" i="11"/>
  <c r="AI653" i="11" s="1"/>
  <c r="AI654" i="11"/>
  <c r="AF516" i="11"/>
  <c r="AF513" i="11"/>
  <c r="AF519" i="11"/>
  <c r="BA1089" i="11"/>
  <c r="BA687" i="11" s="1"/>
  <c r="BA1088" i="11"/>
  <c r="BA686" i="11" s="1"/>
  <c r="BA690" i="11" s="1"/>
  <c r="BA1087" i="11"/>
  <c r="BA1085" i="11"/>
  <c r="BA614" i="11" s="1"/>
  <c r="BA618" i="11" s="1"/>
  <c r="BA1090" i="11"/>
  <c r="BA1084" i="11"/>
  <c r="BA1083" i="11"/>
  <c r="BA547" i="11" s="1"/>
  <c r="BA542" i="11" s="1"/>
  <c r="BA1086" i="11"/>
  <c r="BA615" i="11" s="1"/>
  <c r="BA1080" i="11"/>
  <c r="BA1082" i="11"/>
  <c r="BA546" i="11" s="1"/>
  <c r="BA541" i="11" s="1"/>
  <c r="AK170" i="11"/>
  <c r="AK125" i="11"/>
  <c r="AK645" i="11"/>
  <c r="AI658" i="11"/>
  <c r="AJ658" i="11" s="1"/>
  <c r="AI655" i="11"/>
  <c r="AI652" i="11"/>
  <c r="AK681" i="11"/>
  <c r="AS594" i="11"/>
  <c r="AT594" i="11" s="1"/>
  <c r="AS591" i="11"/>
  <c r="AS592" i="11" s="1"/>
  <c r="AS597" i="11"/>
  <c r="AT597" i="11" s="1"/>
  <c r="AL669" i="11"/>
  <c r="AL666" i="11"/>
  <c r="AL663" i="11"/>
  <c r="AL664" i="11"/>
  <c r="AU544" i="11"/>
  <c r="AU545" i="11"/>
  <c r="AR679" i="11"/>
  <c r="AR682" i="11"/>
  <c r="AI684" i="11"/>
  <c r="AO623" i="11"/>
  <c r="AH530" i="11"/>
  <c r="AH527" i="11"/>
  <c r="AF654" i="11"/>
  <c r="AF657" i="11"/>
  <c r="AF651" i="11"/>
  <c r="BU96" i="11"/>
  <c r="BU232" i="11"/>
  <c r="BU109" i="11"/>
  <c r="AH594" i="11"/>
  <c r="AH591" i="11"/>
  <c r="AH597" i="11"/>
  <c r="AF582" i="11"/>
  <c r="AF579" i="11"/>
  <c r="AF581" i="11" s="1"/>
  <c r="AF585" i="11"/>
  <c r="AC826" i="11"/>
  <c r="AB827" i="11"/>
  <c r="AB1002" i="11" s="1"/>
  <c r="AN598" i="11"/>
  <c r="AO598" i="11" s="1"/>
  <c r="AP567" i="11"/>
  <c r="AP571" i="11" s="1"/>
  <c r="AN595" i="11"/>
  <c r="AO595" i="11" s="1"/>
  <c r="AW689" i="11"/>
  <c r="AW691" i="11"/>
  <c r="AW688" i="11"/>
  <c r="AL527" i="11"/>
  <c r="AL530" i="11"/>
  <c r="AL528" i="11"/>
  <c r="AT591" i="11"/>
  <c r="AT592" i="11" s="1"/>
  <c r="BV732" i="11"/>
  <c r="BV492" i="11" s="1"/>
  <c r="AJ581" i="11"/>
  <c r="AJ583" i="11"/>
  <c r="AJ580" i="11"/>
  <c r="AR607" i="11"/>
  <c r="AR610" i="11"/>
  <c r="AL529" i="11"/>
  <c r="AL526" i="11"/>
  <c r="AH665" i="11"/>
  <c r="AH668" i="11"/>
  <c r="AP680" i="11"/>
  <c r="AP683" i="11"/>
  <c r="AV544" i="11"/>
  <c r="AJ158" i="11"/>
  <c r="AJ99" i="11"/>
  <c r="AJ573" i="11"/>
  <c r="AJ608" i="11"/>
  <c r="AJ609" i="11"/>
  <c r="AJ611" i="11"/>
  <c r="AL668" i="11"/>
  <c r="AL665" i="11"/>
  <c r="AT530" i="11"/>
  <c r="AT528" i="11"/>
  <c r="AT527" i="11"/>
  <c r="AH506" i="11"/>
  <c r="AH510" i="11" s="1"/>
  <c r="AG650" i="11"/>
  <c r="AG578" i="11"/>
  <c r="AG531" i="11"/>
  <c r="AG577" i="11"/>
  <c r="AG649" i="11"/>
  <c r="AG534" i="11"/>
  <c r="AS616" i="11"/>
  <c r="AS617" i="11"/>
  <c r="AS619" i="11"/>
  <c r="AG672" i="11"/>
  <c r="AG673" i="11"/>
  <c r="AK612" i="11"/>
  <c r="AO552" i="11"/>
  <c r="AS593" i="11"/>
  <c r="AT593" i="11" s="1"/>
  <c r="AS596" i="11"/>
  <c r="AT596" i="11" s="1"/>
  <c r="BV939" i="11"/>
  <c r="BV938" i="11"/>
  <c r="BV715" i="11"/>
  <c r="BV243" i="11" s="1"/>
  <c r="BV958" i="11"/>
  <c r="BV941" i="11"/>
  <c r="BV942" i="11" s="1"/>
  <c r="BV511" i="11"/>
  <c r="BV960" i="11"/>
  <c r="BV996" i="11"/>
  <c r="AQ536" i="11"/>
  <c r="AQ537" i="11"/>
  <c r="BV1248" i="9"/>
  <c r="BV1108" i="11"/>
  <c r="BT231" i="11"/>
  <c r="AH684" i="11"/>
  <c r="AJ626" i="11"/>
  <c r="AO643" i="11"/>
  <c r="AP610" i="11"/>
  <c r="AP607" i="11"/>
  <c r="AP609" i="11" s="1"/>
  <c r="AN528" i="11"/>
  <c r="AM1072" i="11"/>
  <c r="AM1068" i="11"/>
  <c r="AM533" i="11" s="1"/>
  <c r="AM525" i="11" s="1"/>
  <c r="AM1071" i="11"/>
  <c r="AM590" i="11" s="1"/>
  <c r="AM1075" i="11"/>
  <c r="AM1070" i="11"/>
  <c r="AM589" i="11" s="1"/>
  <c r="AM1074" i="11"/>
  <c r="AM662" i="11" s="1"/>
  <c r="AM1073" i="11"/>
  <c r="AM661" i="11" s="1"/>
  <c r="AM1067" i="11"/>
  <c r="AM532" i="11" s="1"/>
  <c r="AM524" i="11" s="1"/>
  <c r="AM1069" i="11"/>
  <c r="AN692" i="11"/>
  <c r="AT639" i="11"/>
  <c r="BD1066" i="11"/>
  <c r="BC1066" i="11"/>
  <c r="BC648" i="11"/>
  <c r="BD648" i="11"/>
  <c r="BD523" i="11"/>
  <c r="BD576" i="11"/>
  <c r="BF5" i="11"/>
  <c r="BC576" i="11"/>
  <c r="BC523" i="11"/>
  <c r="AX1074" i="11"/>
  <c r="AX662" i="11" s="1"/>
  <c r="AX1070" i="11"/>
  <c r="AX589" i="11" s="1"/>
  <c r="AX1073" i="11"/>
  <c r="AX661" i="11" s="1"/>
  <c r="AX1075" i="11"/>
  <c r="AX1067" i="11"/>
  <c r="AX532" i="11" s="1"/>
  <c r="AX524" i="11" s="1"/>
  <c r="AX1068" i="11"/>
  <c r="AX533" i="11" s="1"/>
  <c r="AX525" i="11" s="1"/>
  <c r="AX1069" i="11"/>
  <c r="AX1071" i="11"/>
  <c r="AX590" i="11" s="1"/>
  <c r="AX1072" i="11"/>
  <c r="AJ229" i="11"/>
  <c r="AJ34" i="11"/>
  <c r="AJ518" i="11"/>
  <c r="AJ512" i="11"/>
  <c r="AP665" i="11"/>
  <c r="AP668" i="11"/>
  <c r="AQ620" i="11"/>
  <c r="AT569" i="11"/>
  <c r="AW545" i="11"/>
  <c r="AW544" i="11"/>
  <c r="AE659" i="11"/>
  <c r="AE656" i="11"/>
  <c r="BV1255" i="9"/>
  <c r="BV1115" i="11"/>
  <c r="AJ553" i="11"/>
  <c r="AG612" i="11"/>
  <c r="AG609" i="11"/>
  <c r="AZ1066" i="11"/>
  <c r="AZ576" i="11"/>
  <c r="AZ523" i="11"/>
  <c r="AZ648" i="11"/>
  <c r="BB5" i="11"/>
  <c r="BT520" i="11"/>
  <c r="BT538" i="11"/>
  <c r="BT512" i="11"/>
  <c r="BT513" i="11" s="1"/>
  <c r="AU1067" i="11"/>
  <c r="AU532" i="11" s="1"/>
  <c r="AU524" i="11" s="1"/>
  <c r="AU1070" i="11"/>
  <c r="AU589" i="11" s="1"/>
  <c r="AU1069" i="11"/>
  <c r="AU1072" i="11"/>
  <c r="AU1075" i="11"/>
  <c r="AU1073" i="11"/>
  <c r="AU661" i="11" s="1"/>
  <c r="AU1068" i="11"/>
  <c r="AU533" i="11" s="1"/>
  <c r="AU525" i="11" s="1"/>
  <c r="AU1074" i="11"/>
  <c r="AU662" i="11" s="1"/>
  <c r="AU1071" i="11"/>
  <c r="AU590" i="11" s="1"/>
  <c r="BT838" i="11"/>
  <c r="BT115" i="11"/>
  <c r="BT166" i="11"/>
  <c r="AO577" i="11"/>
  <c r="AO650" i="11"/>
  <c r="AO534" i="11"/>
  <c r="AO531" i="11"/>
  <c r="AO649" i="11"/>
  <c r="AO578" i="11"/>
  <c r="BD342" i="11"/>
  <c r="BD346" i="11" s="1"/>
  <c r="BE342" i="11" s="1"/>
  <c r="BC346" i="11"/>
  <c r="AS691" i="11"/>
  <c r="AS688" i="11"/>
  <c r="AP682" i="11"/>
  <c r="AP679" i="11"/>
  <c r="AM612" i="11"/>
  <c r="AO554" i="11"/>
  <c r="AK578" i="11"/>
  <c r="AK534" i="11"/>
  <c r="AK650" i="11"/>
  <c r="AL506" i="11"/>
  <c r="AL510" i="11" s="1"/>
  <c r="AK649" i="11"/>
  <c r="AK531" i="11"/>
  <c r="AK577" i="11"/>
  <c r="AJ682" i="11"/>
  <c r="AJ679" i="11"/>
  <c r="AJ684" i="11" s="1"/>
  <c r="AL591" i="11"/>
  <c r="AL594" i="11"/>
  <c r="AL597" i="11"/>
  <c r="AL592" i="11"/>
  <c r="AK609" i="11"/>
  <c r="AR692" i="11"/>
  <c r="AT642" i="11"/>
  <c r="AT643" i="11" s="1"/>
  <c r="AO617" i="11"/>
  <c r="BI928" i="11"/>
  <c r="BI926" i="11"/>
  <c r="AH526" i="11"/>
  <c r="AH529" i="11"/>
  <c r="AX1089" i="11"/>
  <c r="AX687" i="11" s="1"/>
  <c r="AX1085" i="11"/>
  <c r="AX614" i="11" s="1"/>
  <c r="AX618" i="11" s="1"/>
  <c r="AX1080" i="11"/>
  <c r="AX1090" i="11"/>
  <c r="AX1086" i="11"/>
  <c r="AX615" i="11" s="1"/>
  <c r="AX1088" i="11"/>
  <c r="AX686" i="11" s="1"/>
  <c r="AX690" i="11" s="1"/>
  <c r="AX1082" i="11"/>
  <c r="AX546" i="11" s="1"/>
  <c r="AX541" i="11" s="1"/>
  <c r="AX543" i="11" s="1"/>
  <c r="AX1087" i="11"/>
  <c r="AX1083" i="11"/>
  <c r="AX547" i="11" s="1"/>
  <c r="AX542" i="11" s="1"/>
  <c r="AX1084" i="11"/>
  <c r="AF655" i="11"/>
  <c r="AF658" i="11"/>
  <c r="AF652" i="11"/>
  <c r="AF653" i="11"/>
  <c r="AL684" i="11"/>
  <c r="AO625" i="11"/>
  <c r="BV232" i="11"/>
  <c r="BV96" i="11"/>
  <c r="BV109" i="11"/>
  <c r="AI681" i="11"/>
  <c r="AI585" i="11"/>
  <c r="AJ585" i="11" s="1"/>
  <c r="AI582" i="11"/>
  <c r="AI579" i="11"/>
  <c r="AI581" i="11" s="1"/>
  <c r="AO677" i="11"/>
  <c r="AO548" i="11"/>
  <c r="AO678" i="11"/>
  <c r="AO606" i="11"/>
  <c r="AO605" i="11"/>
  <c r="AW543" i="11"/>
  <c r="AN620" i="11"/>
  <c r="AT567" i="11"/>
  <c r="BV938" i="9"/>
  <c r="BV747" i="11" s="1"/>
  <c r="BV762" i="11"/>
  <c r="BT846" i="11"/>
  <c r="AR889" i="11"/>
  <c r="AR890" i="11" s="1"/>
  <c r="AQ897" i="11"/>
  <c r="AP592" i="11"/>
  <c r="AP597" i="11"/>
  <c r="AP594" i="11"/>
  <c r="AP591" i="11"/>
  <c r="AG601" i="11"/>
  <c r="AG600" i="11"/>
  <c r="AJ582" i="11"/>
  <c r="AJ579" i="11"/>
  <c r="AQ677" i="11"/>
  <c r="AQ605" i="11"/>
  <c r="AQ678" i="11"/>
  <c r="AQ548" i="11"/>
  <c r="AQ606" i="11"/>
  <c r="AT508" i="11"/>
  <c r="AP611" i="11"/>
  <c r="AP608" i="11"/>
  <c r="AV543" i="11"/>
  <c r="BU938" i="11"/>
  <c r="BV846" i="11" s="1"/>
  <c r="BU960" i="11"/>
  <c r="BU851" i="11" s="1"/>
  <c r="BU939" i="11"/>
  <c r="BV847" i="11" s="1"/>
  <c r="BU958" i="11"/>
  <c r="BU850" i="11" s="1"/>
  <c r="BU715" i="11"/>
  <c r="BU243" i="11" s="1"/>
  <c r="BU941" i="11"/>
  <c r="BU942" i="11" s="1"/>
  <c r="BV848" i="11" s="1"/>
  <c r="BU511" i="11"/>
  <c r="BU996" i="11"/>
  <c r="AJ607" i="11"/>
  <c r="AJ612" i="11" s="1"/>
  <c r="AJ610" i="11"/>
  <c r="AO571" i="11"/>
  <c r="AG595" i="11"/>
  <c r="AG598" i="11"/>
  <c r="AH567" i="11"/>
  <c r="AH571" i="11" s="1"/>
  <c r="AF623" i="11"/>
  <c r="AF627" i="11" s="1"/>
  <c r="AD656" i="11"/>
  <c r="AD659" i="11"/>
  <c r="AH596" i="11"/>
  <c r="AH593" i="11"/>
  <c r="AP620" i="11"/>
  <c r="AT568" i="11"/>
  <c r="AR1066" i="11"/>
  <c r="AR576" i="11"/>
  <c r="AR523" i="11"/>
  <c r="AR648" i="11"/>
  <c r="AK229" i="11"/>
  <c r="AK518" i="11"/>
  <c r="AK34" i="11"/>
  <c r="AK512" i="11"/>
  <c r="AK515" i="11"/>
  <c r="AF672" i="11"/>
  <c r="AF673" i="11"/>
  <c r="AH639" i="11"/>
  <c r="AH643" i="11" s="1"/>
  <c r="AG670" i="11"/>
  <c r="AG667" i="11"/>
  <c r="BV1262" i="9"/>
  <c r="BV1122" i="11"/>
  <c r="AO553" i="11"/>
  <c r="AL612" i="11"/>
  <c r="AS545" i="11"/>
  <c r="AS544" i="11"/>
  <c r="AV689" i="11"/>
  <c r="AV691" i="11"/>
  <c r="AV688" i="11"/>
  <c r="BU94" i="11"/>
  <c r="BT102" i="11"/>
  <c r="BT87" i="11"/>
  <c r="BT86" i="11"/>
  <c r="AJ680" i="11"/>
  <c r="AJ683" i="11"/>
  <c r="AJ681" i="11"/>
  <c r="AU543" i="11"/>
  <c r="AK592" i="11"/>
  <c r="AM681" i="11"/>
  <c r="AR611" i="11"/>
  <c r="AR609" i="11"/>
  <c r="AR608" i="11"/>
  <c r="AP666" i="11"/>
  <c r="AP669" i="11"/>
  <c r="AP663" i="11"/>
  <c r="AP664" i="11" s="1"/>
  <c r="AJ653" i="11"/>
  <c r="AJ652" i="11"/>
  <c r="AJ655" i="11"/>
  <c r="AP593" i="11"/>
  <c r="AP596" i="11"/>
  <c r="AQ617" i="11"/>
  <c r="BV102" i="11"/>
  <c r="BV87" i="11"/>
  <c r="BV86" i="11"/>
  <c r="BU86" i="11"/>
  <c r="BU102" i="11"/>
  <c r="BU87" i="11"/>
  <c r="BV88" i="11" s="1"/>
  <c r="AP529" i="11"/>
  <c r="AP526" i="11"/>
  <c r="AJ654" i="11"/>
  <c r="AJ651" i="11"/>
  <c r="AO551" i="11"/>
  <c r="AI612" i="11"/>
  <c r="AH612" i="11"/>
  <c r="AJ554" i="11"/>
  <c r="AH609" i="11"/>
  <c r="AY1070" i="11"/>
  <c r="AY589" i="11" s="1"/>
  <c r="AY1075" i="11"/>
  <c r="AY1067" i="11"/>
  <c r="AY532" i="11" s="1"/>
  <c r="AY524" i="11" s="1"/>
  <c r="AY1073" i="11"/>
  <c r="AY661" i="11" s="1"/>
  <c r="AY1069" i="11"/>
  <c r="AY1068" i="11"/>
  <c r="AY533" i="11" s="1"/>
  <c r="AY525" i="11" s="1"/>
  <c r="AY1074" i="11"/>
  <c r="AY662" i="11" s="1"/>
  <c r="AY1072" i="11"/>
  <c r="AY1071" i="11"/>
  <c r="AY590" i="11" s="1"/>
  <c r="BU848" i="11"/>
  <c r="BT848" i="11"/>
  <c r="AD584" i="11"/>
  <c r="AD587" i="11"/>
  <c r="AF551" i="11"/>
  <c r="AF555" i="11" s="1"/>
  <c r="AO518" i="11"/>
  <c r="AO229" i="11"/>
  <c r="AO34" i="11"/>
  <c r="AO512" i="11"/>
  <c r="AT641" i="11"/>
  <c r="AQ692" i="11"/>
  <c r="AT543" i="11"/>
  <c r="AT545" i="11" s="1"/>
  <c r="AU691" i="11"/>
  <c r="AU688" i="11"/>
  <c r="AK664" i="11"/>
  <c r="AE584" i="11"/>
  <c r="AE587" i="11"/>
  <c r="K129" i="9"/>
  <c r="L272" i="9"/>
  <c r="L7" i="9"/>
  <c r="L1164" i="9"/>
  <c r="AB1059" i="9"/>
  <c r="AB1060" i="9" s="1"/>
  <c r="AA1065" i="9"/>
  <c r="H405" i="9"/>
  <c r="BG1230" i="9"/>
  <c r="BF1230" i="9"/>
  <c r="BC1230" i="9"/>
  <c r="BB1229" i="9" s="1"/>
  <c r="BE1230" i="9"/>
  <c r="BE1229" i="9" s="1"/>
  <c r="BN5" i="9"/>
  <c r="BJ5" i="9"/>
  <c r="BD1230" i="9"/>
  <c r="BD1229" i="9" s="1"/>
  <c r="AZ1229" i="9"/>
  <c r="M272" i="9"/>
  <c r="AV1224" i="9"/>
  <c r="AX5" i="9"/>
  <c r="AW1224" i="9" s="1"/>
  <c r="M184" i="9"/>
  <c r="L187" i="9"/>
  <c r="L189" i="9"/>
  <c r="P415" i="9"/>
  <c r="K416" i="9"/>
  <c r="X1059" i="9"/>
  <c r="X1060" i="9" s="1"/>
  <c r="W1065" i="9"/>
  <c r="M75" i="9"/>
  <c r="M74" i="9" s="1"/>
  <c r="M77" i="9"/>
  <c r="N72" i="9"/>
  <c r="K69" i="9"/>
  <c r="K82" i="9" s="1"/>
  <c r="K68" i="9"/>
  <c r="BM766" i="9"/>
  <c r="BN1084" i="9"/>
  <c r="BM1117" i="9"/>
  <c r="L237" i="9"/>
  <c r="M234" i="9"/>
  <c r="L235" i="9"/>
  <c r="K124" i="9"/>
  <c r="K125" i="9"/>
  <c r="K138" i="9" s="1"/>
  <c r="O1065" i="9"/>
  <c r="O1172" i="9"/>
  <c r="N266" i="9"/>
  <c r="N58" i="9"/>
  <c r="N60" i="9"/>
  <c r="O54" i="9"/>
  <c r="O57" i="9" s="1"/>
  <c r="S62" i="9"/>
  <c r="N76" i="9"/>
  <c r="N59" i="9"/>
  <c r="P405" i="9"/>
  <c r="P406" i="9" s="1"/>
  <c r="M227" i="9"/>
  <c r="N222" i="9"/>
  <c r="N225" i="9" s="1"/>
  <c r="M269" i="9"/>
  <c r="M226" i="9"/>
  <c r="M228" i="9"/>
  <c r="M236" i="9"/>
  <c r="K186" i="9"/>
  <c r="K179" i="9" s="1"/>
  <c r="G185" i="9"/>
  <c r="AZ1224" i="9"/>
  <c r="BB5" i="9"/>
  <c r="L405" i="9"/>
  <c r="L406" i="9" s="1"/>
  <c r="BD1224" i="9"/>
  <c r="BC1224" i="9"/>
  <c r="BF5" i="9"/>
  <c r="AX1229" i="9"/>
  <c r="BT906" i="9"/>
  <c r="BT912" i="9"/>
  <c r="BT910" i="9" s="1"/>
  <c r="BS1162" i="9"/>
  <c r="M171" i="9"/>
  <c r="M172" i="9"/>
  <c r="N166" i="9"/>
  <c r="N169" i="9" s="1"/>
  <c r="M170" i="9"/>
  <c r="M188" i="9"/>
  <c r="R174" i="9"/>
  <c r="M268" i="9"/>
  <c r="O260" i="9"/>
  <c r="P260" i="9" s="1"/>
  <c r="O258" i="9"/>
  <c r="M133" i="9"/>
  <c r="M131" i="9"/>
  <c r="N128" i="9"/>
  <c r="BQ883" i="9"/>
  <c r="BQ1006" i="11" s="1"/>
  <c r="BS814" i="9"/>
  <c r="L136" i="9"/>
  <c r="BR825" i="9"/>
  <c r="BS819" i="9"/>
  <c r="BR830" i="9"/>
  <c r="BS830" i="9" s="1"/>
  <c r="BR824" i="9"/>
  <c r="T1059" i="9"/>
  <c r="T1060" i="9" s="1"/>
  <c r="S1065" i="9"/>
  <c r="N116" i="9"/>
  <c r="N114" i="9"/>
  <c r="N115" i="9"/>
  <c r="N132" i="9"/>
  <c r="O110" i="9"/>
  <c r="O113" i="9" s="1"/>
  <c r="S118" i="9"/>
  <c r="N267" i="9"/>
  <c r="M130" i="9"/>
  <c r="L122" i="9"/>
  <c r="BS910" i="9"/>
  <c r="R1000" i="9"/>
  <c r="Q1001" i="9"/>
  <c r="Q1172" i="9" s="1"/>
  <c r="BR1047" i="9"/>
  <c r="BR1054" i="9" s="1"/>
  <c r="BR1176" i="9"/>
  <c r="P270" i="9"/>
  <c r="Q245" i="9"/>
  <c r="Q248" i="9" s="1"/>
  <c r="U245" i="9"/>
  <c r="P250" i="9"/>
  <c r="P259" i="9"/>
  <c r="AE1065" i="9"/>
  <c r="AJ1059" i="9"/>
  <c r="AJ1060" i="9" s="1"/>
  <c r="AF1059" i="9"/>
  <c r="AF1060" i="9" s="1"/>
  <c r="N110" i="4"/>
  <c r="F48" i="3" s="1"/>
  <c r="J116" i="4"/>
  <c r="O110" i="4"/>
  <c r="H48" i="3" s="1"/>
  <c r="M110" i="4"/>
  <c r="D48" i="3" s="1"/>
  <c r="P75" i="4"/>
  <c r="P76" i="4" s="1"/>
  <c r="AO513" i="11" l="1"/>
  <c r="AO519" i="11"/>
  <c r="AK583" i="11"/>
  <c r="AK586" i="11"/>
  <c r="AK580" i="11"/>
  <c r="BB616" i="11"/>
  <c r="BB619" i="11"/>
  <c r="BB617" i="11"/>
  <c r="AN897" i="11"/>
  <c r="AV1067" i="11"/>
  <c r="AV532" i="11" s="1"/>
  <c r="AV524" i="11" s="1"/>
  <c r="AV1071" i="11"/>
  <c r="AV590" i="11" s="1"/>
  <c r="AV1073" i="11"/>
  <c r="AV661" i="11" s="1"/>
  <c r="AV1070" i="11"/>
  <c r="AV589" i="11" s="1"/>
  <c r="AV1075" i="11"/>
  <c r="AV1074" i="11"/>
  <c r="AV662" i="11" s="1"/>
  <c r="AV1072" i="11"/>
  <c r="AV1069" i="11"/>
  <c r="AV1068" i="11"/>
  <c r="AV533" i="11" s="1"/>
  <c r="AV525" i="11" s="1"/>
  <c r="AP536" i="11"/>
  <c r="AP537" i="11"/>
  <c r="AU527" i="11"/>
  <c r="AU530" i="11"/>
  <c r="AK601" i="11"/>
  <c r="AK600" i="11"/>
  <c r="AP670" i="11"/>
  <c r="AQ639" i="11"/>
  <c r="AQ643" i="11" s="1"/>
  <c r="AP667" i="11"/>
  <c r="AR1075" i="11"/>
  <c r="AR1071" i="11"/>
  <c r="AR590" i="11" s="1"/>
  <c r="AR1067" i="11"/>
  <c r="AR532" i="11" s="1"/>
  <c r="AR524" i="11" s="1"/>
  <c r="AR1069" i="11"/>
  <c r="AR1068" i="11"/>
  <c r="AR533" i="11" s="1"/>
  <c r="AR525" i="11" s="1"/>
  <c r="AR1072" i="11"/>
  <c r="AR1073" i="11"/>
  <c r="AR661" i="11" s="1"/>
  <c r="AR1074" i="11"/>
  <c r="AR662" i="11" s="1"/>
  <c r="AR1070" i="11"/>
  <c r="AR589" i="11" s="1"/>
  <c r="BV111" i="11"/>
  <c r="AH650" i="11"/>
  <c r="AH578" i="11"/>
  <c r="AI506" i="11"/>
  <c r="AI510" i="11" s="1"/>
  <c r="AH649" i="11"/>
  <c r="AH531" i="11"/>
  <c r="AH577" i="11"/>
  <c r="AH534" i="11"/>
  <c r="AO601" i="11"/>
  <c r="AN601" i="11"/>
  <c r="AO600" i="11"/>
  <c r="AN600" i="11"/>
  <c r="AO555" i="11"/>
  <c r="AN673" i="11"/>
  <c r="AN672" i="11"/>
  <c r="AO672" i="11"/>
  <c r="AO627" i="11"/>
  <c r="AO673" i="11"/>
  <c r="AU668" i="11"/>
  <c r="AU665" i="11"/>
  <c r="AS608" i="11"/>
  <c r="AS611" i="11"/>
  <c r="AN611" i="11"/>
  <c r="AN608" i="11"/>
  <c r="AP577" i="11"/>
  <c r="AP649" i="11"/>
  <c r="AP650" i="11"/>
  <c r="AP531" i="11"/>
  <c r="AP534" i="11"/>
  <c r="AQ506" i="11"/>
  <c r="AQ510" i="11" s="1"/>
  <c r="AP578" i="11"/>
  <c r="AM601" i="11"/>
  <c r="AM600" i="11"/>
  <c r="AT170" i="11"/>
  <c r="AT125" i="11"/>
  <c r="AT645" i="11"/>
  <c r="AY639" i="11"/>
  <c r="AS692" i="11"/>
  <c r="AF563" i="11"/>
  <c r="AF560" i="11"/>
  <c r="AF233" i="11"/>
  <c r="AF557" i="11"/>
  <c r="AV605" i="11"/>
  <c r="AV678" i="11"/>
  <c r="AV606" i="11"/>
  <c r="AV677" i="11"/>
  <c r="AV548" i="11"/>
  <c r="AY508" i="11"/>
  <c r="AM672" i="11"/>
  <c r="AM673" i="11"/>
  <c r="AQ665" i="11"/>
  <c r="AQ668" i="11"/>
  <c r="AU537" i="11"/>
  <c r="AU536" i="11"/>
  <c r="O928" i="11"/>
  <c r="O927" i="11"/>
  <c r="BU104" i="11"/>
  <c r="BV105" i="11" s="1"/>
  <c r="BU103" i="11"/>
  <c r="BU235" i="11"/>
  <c r="AF635" i="11"/>
  <c r="AF247" i="11"/>
  <c r="AF121" i="11"/>
  <c r="AF632" i="11"/>
  <c r="AF629" i="11"/>
  <c r="AR536" i="11"/>
  <c r="AR537" i="11"/>
  <c r="BT155" i="11"/>
  <c r="BT156" i="11" s="1"/>
  <c r="BT572" i="11" s="1"/>
  <c r="AF656" i="11"/>
  <c r="AG623" i="11"/>
  <c r="AG627" i="11" s="1"/>
  <c r="AF659" i="11"/>
  <c r="AV620" i="11"/>
  <c r="AY569" i="11"/>
  <c r="AS679" i="11"/>
  <c r="AS682" i="11"/>
  <c r="AN580" i="11"/>
  <c r="AN586" i="11"/>
  <c r="AO586" i="11" s="1"/>
  <c r="AN583" i="11"/>
  <c r="BE1066" i="11"/>
  <c r="BE648" i="11"/>
  <c r="BE523" i="11"/>
  <c r="BE576" i="11"/>
  <c r="BG5" i="11"/>
  <c r="AL601" i="11"/>
  <c r="AL600" i="11"/>
  <c r="AQ596" i="11"/>
  <c r="AQ593" i="11"/>
  <c r="AZ691" i="11"/>
  <c r="AZ688" i="11"/>
  <c r="AZ689" i="11" s="1"/>
  <c r="BG1087" i="11"/>
  <c r="BG1083" i="11"/>
  <c r="BG547" i="11" s="1"/>
  <c r="BG542" i="11" s="1"/>
  <c r="BG1085" i="11"/>
  <c r="BG614" i="11" s="1"/>
  <c r="BG618" i="11" s="1"/>
  <c r="BG1089" i="11"/>
  <c r="BG687" i="11" s="1"/>
  <c r="BG1084" i="11"/>
  <c r="BG1090" i="11"/>
  <c r="BG1088" i="11"/>
  <c r="BG686" i="11" s="1"/>
  <c r="BG690" i="11" s="1"/>
  <c r="BG1082" i="11"/>
  <c r="BG546" i="11" s="1"/>
  <c r="BG541" i="11" s="1"/>
  <c r="BG1086" i="11"/>
  <c r="BG615" i="11" s="1"/>
  <c r="AS683" i="11"/>
  <c r="AS680" i="11"/>
  <c r="AN651" i="11"/>
  <c r="AN657" i="11"/>
  <c r="AO657" i="11" s="1"/>
  <c r="AN654" i="11"/>
  <c r="AL170" i="11"/>
  <c r="AL125" i="11"/>
  <c r="AL645" i="11"/>
  <c r="AY688" i="11"/>
  <c r="AY692" i="11" s="1"/>
  <c r="AY691" i="11"/>
  <c r="AY689" i="11"/>
  <c r="AY606" i="11"/>
  <c r="AY678" i="11"/>
  <c r="AY677" i="11"/>
  <c r="AY548" i="11"/>
  <c r="AY605" i="11"/>
  <c r="AU526" i="11"/>
  <c r="AU528" i="11" s="1"/>
  <c r="AU529" i="11"/>
  <c r="AS595" i="11"/>
  <c r="AT595" i="11" s="1"/>
  <c r="AS598" i="11"/>
  <c r="AT598" i="11" s="1"/>
  <c r="AU567" i="11"/>
  <c r="AU571" i="11" s="1"/>
  <c r="AQ527" i="11"/>
  <c r="AQ530" i="11"/>
  <c r="AY592" i="11"/>
  <c r="AY591" i="11"/>
  <c r="AH158" i="11"/>
  <c r="AH99" i="11"/>
  <c r="AH573" i="11"/>
  <c r="AQ609" i="11"/>
  <c r="AQ611" i="11"/>
  <c r="AQ608" i="11"/>
  <c r="BF342" i="11"/>
  <c r="BE346" i="11"/>
  <c r="AJ519" i="11"/>
  <c r="AJ513" i="11"/>
  <c r="BC1073" i="11"/>
  <c r="BC661" i="11" s="1"/>
  <c r="BC1069" i="11"/>
  <c r="BC1068" i="11"/>
  <c r="BC533" i="11" s="1"/>
  <c r="BC525" i="11" s="1"/>
  <c r="BC1072" i="11"/>
  <c r="BC1070" i="11"/>
  <c r="BC589" i="11" s="1"/>
  <c r="BC1071" i="11"/>
  <c r="BC590" i="11" s="1"/>
  <c r="BC1075" i="11"/>
  <c r="BC1067" i="11"/>
  <c r="BC532" i="11" s="1"/>
  <c r="BC524" i="11" s="1"/>
  <c r="BC1074" i="11"/>
  <c r="BC662" i="11" s="1"/>
  <c r="AU606" i="11"/>
  <c r="AU677" i="11"/>
  <c r="AY507" i="11"/>
  <c r="AU678" i="11"/>
  <c r="AU548" i="11"/>
  <c r="AU605" i="11"/>
  <c r="AH125" i="11"/>
  <c r="AH170" i="11"/>
  <c r="AH645" i="11"/>
  <c r="AO583" i="11"/>
  <c r="AO580" i="11"/>
  <c r="BD1074" i="11"/>
  <c r="BD662" i="11" s="1"/>
  <c r="BD1068" i="11"/>
  <c r="BD533" i="11" s="1"/>
  <c r="BD525" i="11" s="1"/>
  <c r="BD1070" i="11"/>
  <c r="BD589" i="11" s="1"/>
  <c r="BD1072" i="11"/>
  <c r="BD1075" i="11"/>
  <c r="BD1073" i="11"/>
  <c r="BD661" i="11" s="1"/>
  <c r="BD1067" i="11"/>
  <c r="BD532" i="11" s="1"/>
  <c r="BD524" i="11" s="1"/>
  <c r="BD1071" i="11"/>
  <c r="BD590" i="11" s="1"/>
  <c r="BD1069" i="11"/>
  <c r="AS620" i="11"/>
  <c r="AY567" i="11"/>
  <c r="AW692" i="11"/>
  <c r="AY642" i="11"/>
  <c r="AQ594" i="11"/>
  <c r="AQ597" i="11"/>
  <c r="AQ591" i="11"/>
  <c r="AQ592" i="11" s="1"/>
  <c r="BI1066" i="11"/>
  <c r="BH1066" i="11"/>
  <c r="BI648" i="11"/>
  <c r="BH648" i="11"/>
  <c r="BH523" i="11"/>
  <c r="BI576" i="11"/>
  <c r="BI523" i="11"/>
  <c r="BH576" i="11"/>
  <c r="BK5" i="11"/>
  <c r="BE1086" i="11"/>
  <c r="BE615" i="11" s="1"/>
  <c r="BE1082" i="11"/>
  <c r="BE546" i="11" s="1"/>
  <c r="BE541" i="11" s="1"/>
  <c r="BE1090" i="11"/>
  <c r="BE1083" i="11"/>
  <c r="BE547" i="11" s="1"/>
  <c r="BE542" i="11" s="1"/>
  <c r="BE1089" i="11"/>
  <c r="BE687" i="11" s="1"/>
  <c r="BE1084" i="11"/>
  <c r="BE1085" i="11"/>
  <c r="BE614" i="11" s="1"/>
  <c r="BE618" i="11" s="1"/>
  <c r="BE1080" i="11"/>
  <c r="BE1087" i="11"/>
  <c r="BE1088" i="11"/>
  <c r="BE686" i="11" s="1"/>
  <c r="BE690" i="11" s="1"/>
  <c r="AP518" i="11"/>
  <c r="AP515" i="11"/>
  <c r="AP229" i="11"/>
  <c r="AP34" i="11"/>
  <c r="AP512" i="11"/>
  <c r="AP612" i="11"/>
  <c r="AT552" i="11"/>
  <c r="AI567" i="11"/>
  <c r="AI571" i="11" s="1"/>
  <c r="AH595" i="11"/>
  <c r="AH598" i="11"/>
  <c r="AL670" i="11"/>
  <c r="AL667" i="11"/>
  <c r="AM639" i="11"/>
  <c r="AM643" i="11" s="1"/>
  <c r="AY544" i="11"/>
  <c r="AY545" i="11"/>
  <c r="AY663" i="11"/>
  <c r="AY664" i="11"/>
  <c r="AQ683" i="11"/>
  <c r="AQ681" i="11"/>
  <c r="AQ680" i="11"/>
  <c r="AW678" i="11"/>
  <c r="AW606" i="11"/>
  <c r="AY509" i="11"/>
  <c r="AW548" i="11"/>
  <c r="AW677" i="11"/>
  <c r="AW605" i="11"/>
  <c r="AJ659" i="11"/>
  <c r="AJ656" i="11"/>
  <c r="AR897" i="11"/>
  <c r="AS889" i="11"/>
  <c r="AS890" i="11" s="1"/>
  <c r="BV238" i="11"/>
  <c r="BV556" i="11"/>
  <c r="AT624" i="11"/>
  <c r="AP684" i="11"/>
  <c r="AZ544" i="11"/>
  <c r="AZ545" i="11"/>
  <c r="BN1093" i="11"/>
  <c r="BJ1081" i="11"/>
  <c r="BI1081" i="11"/>
  <c r="BH1081" i="11"/>
  <c r="BG1080" i="11" s="1"/>
  <c r="BH604" i="11"/>
  <c r="BI540" i="11"/>
  <c r="BI604" i="11"/>
  <c r="BJ604" i="11"/>
  <c r="BH676" i="11"/>
  <c r="BJ540" i="11"/>
  <c r="BO5" i="11"/>
  <c r="BH540" i="11"/>
  <c r="BS5" i="11"/>
  <c r="BJ676" i="11"/>
  <c r="BI676" i="11"/>
  <c r="BD506" i="11"/>
  <c r="AX606" i="11"/>
  <c r="AX678" i="11"/>
  <c r="AX548" i="11"/>
  <c r="AX677" i="11"/>
  <c r="AX605" i="11"/>
  <c r="AG654" i="11"/>
  <c r="AG657" i="11"/>
  <c r="AG651" i="11"/>
  <c r="AH528" i="11"/>
  <c r="AQ529" i="11"/>
  <c r="AQ526" i="11"/>
  <c r="AN653" i="11"/>
  <c r="AN652" i="11"/>
  <c r="AN655" i="11"/>
  <c r="AN658" i="11"/>
  <c r="AO658" i="11" s="1"/>
  <c r="BB691" i="11"/>
  <c r="BB688" i="11"/>
  <c r="AS610" i="11"/>
  <c r="AS607" i="11"/>
  <c r="AN679" i="11"/>
  <c r="AN682" i="11"/>
  <c r="BU846" i="11"/>
  <c r="AS689" i="11"/>
  <c r="BA688" i="11"/>
  <c r="BA689" i="11"/>
  <c r="BA691" i="11"/>
  <c r="AK585" i="11"/>
  <c r="AK579" i="11"/>
  <c r="AK582" i="11"/>
  <c r="AO655" i="11"/>
  <c r="AO652" i="11"/>
  <c r="AX597" i="11"/>
  <c r="AY597" i="11" s="1"/>
  <c r="AX591" i="11"/>
  <c r="AX592" i="11" s="1"/>
  <c r="AX594" i="11"/>
  <c r="AY594" i="11" s="1"/>
  <c r="AM529" i="11"/>
  <c r="AM526" i="11"/>
  <c r="AM528" i="11" s="1"/>
  <c r="BV231" i="11"/>
  <c r="AG582" i="11"/>
  <c r="AG579" i="11"/>
  <c r="AG581" i="11" s="1"/>
  <c r="AG585" i="11"/>
  <c r="AP99" i="11"/>
  <c r="AP158" i="11"/>
  <c r="AP573" i="11"/>
  <c r="AK672" i="11"/>
  <c r="AK673" i="11"/>
  <c r="AW889" i="11"/>
  <c r="AW890" i="11" s="1"/>
  <c r="AV897" i="11"/>
  <c r="AS649" i="11"/>
  <c r="AS650" i="11"/>
  <c r="AS578" i="11"/>
  <c r="AS577" i="11"/>
  <c r="AS534" i="11"/>
  <c r="AU506" i="11"/>
  <c r="AU510" i="11" s="1"/>
  <c r="AS531" i="11"/>
  <c r="AT510" i="11"/>
  <c r="AY530" i="11"/>
  <c r="AY527" i="11"/>
  <c r="AY528" i="11"/>
  <c r="AO99" i="11"/>
  <c r="AO158" i="11"/>
  <c r="AO573" i="11"/>
  <c r="AQ610" i="11"/>
  <c r="AQ607" i="11"/>
  <c r="AO607" i="11"/>
  <c r="AO612" i="11" s="1"/>
  <c r="AO610" i="11"/>
  <c r="AP681" i="11"/>
  <c r="AK623" i="11"/>
  <c r="AK627" i="11" s="1"/>
  <c r="AI659" i="11"/>
  <c r="AI656" i="11"/>
  <c r="AU692" i="11"/>
  <c r="AY640" i="11"/>
  <c r="AY526" i="11"/>
  <c r="AY529" i="11"/>
  <c r="BU88" i="11"/>
  <c r="BT88" i="11"/>
  <c r="AX616" i="11"/>
  <c r="AX619" i="11"/>
  <c r="AX617" i="11"/>
  <c r="AO582" i="11"/>
  <c r="AO579" i="11"/>
  <c r="AZ1073" i="11"/>
  <c r="AZ661" i="11" s="1"/>
  <c r="AZ1071" i="11"/>
  <c r="AZ590" i="11" s="1"/>
  <c r="AZ1072" i="11"/>
  <c r="AZ1067" i="11"/>
  <c r="AZ532" i="11" s="1"/>
  <c r="AZ524" i="11" s="1"/>
  <c r="AZ1069" i="11"/>
  <c r="AZ1074" i="11"/>
  <c r="AZ662" i="11" s="1"/>
  <c r="AZ1075" i="11"/>
  <c r="AZ1070" i="11"/>
  <c r="AZ589" i="11" s="1"/>
  <c r="AZ1068" i="11"/>
  <c r="AZ533" i="11" s="1"/>
  <c r="AZ525" i="11" s="1"/>
  <c r="AM668" i="11"/>
  <c r="AM665" i="11"/>
  <c r="BV851" i="11"/>
  <c r="AG519" i="11"/>
  <c r="AG513" i="11"/>
  <c r="AG516" i="11"/>
  <c r="AI639" i="11"/>
  <c r="AI643" i="11" s="1"/>
  <c r="AH670" i="11"/>
  <c r="AH667" i="11"/>
  <c r="AY570" i="11"/>
  <c r="AW620" i="11"/>
  <c r="BB544" i="11"/>
  <c r="P279" i="11"/>
  <c r="Q4" i="11"/>
  <c r="P3" i="11"/>
  <c r="AQ669" i="11"/>
  <c r="AQ663" i="11"/>
  <c r="AQ664" i="11" s="1"/>
  <c r="AQ666" i="11"/>
  <c r="BC1088" i="11"/>
  <c r="BC686" i="11" s="1"/>
  <c r="BC690" i="11" s="1"/>
  <c r="BC1084" i="11"/>
  <c r="BC1082" i="11"/>
  <c r="BC546" i="11" s="1"/>
  <c r="BC541" i="11" s="1"/>
  <c r="BC1087" i="11"/>
  <c r="BC1090" i="11"/>
  <c r="BC1085" i="11"/>
  <c r="BC614" i="11" s="1"/>
  <c r="BC618" i="11" s="1"/>
  <c r="BC1083" i="11"/>
  <c r="BC547" i="11" s="1"/>
  <c r="BC542" i="11" s="1"/>
  <c r="BC1080" i="11"/>
  <c r="BC1089" i="11"/>
  <c r="BC687" i="11" s="1"/>
  <c r="BC1086" i="11"/>
  <c r="BC615" i="11" s="1"/>
  <c r="BF1084" i="11"/>
  <c r="BF1080" i="11"/>
  <c r="BF1088" i="11"/>
  <c r="BF686" i="11" s="1"/>
  <c r="BF690" i="11" s="1"/>
  <c r="BF1085" i="11"/>
  <c r="BF614" i="11" s="1"/>
  <c r="BF618" i="11" s="1"/>
  <c r="BF1089" i="11"/>
  <c r="BF687" i="11" s="1"/>
  <c r="BF1083" i="11"/>
  <c r="BF547" i="11" s="1"/>
  <c r="BF542" i="11" s="1"/>
  <c r="BF1090" i="11"/>
  <c r="BF1087" i="11"/>
  <c r="BF1082" i="11"/>
  <c r="BF546" i="11" s="1"/>
  <c r="BF541" i="11" s="1"/>
  <c r="BF543" i="11" s="1"/>
  <c r="BF1086" i="11"/>
  <c r="BF615" i="11" s="1"/>
  <c r="AS667" i="11"/>
  <c r="AT667" i="11" s="1"/>
  <c r="AS670" i="11"/>
  <c r="AT670" i="11" s="1"/>
  <c r="AU639" i="11"/>
  <c r="AU643" i="11" s="1"/>
  <c r="AY568" i="11"/>
  <c r="AU620" i="11"/>
  <c r="AN579" i="11"/>
  <c r="AN581" i="11" s="1"/>
  <c r="AN585" i="11"/>
  <c r="AO585" i="11" s="1"/>
  <c r="AN582" i="11"/>
  <c r="BU538" i="11"/>
  <c r="BU512" i="11"/>
  <c r="BU513" i="11" s="1"/>
  <c r="BU520" i="11"/>
  <c r="AO682" i="11"/>
  <c r="AO679" i="11"/>
  <c r="AO684" i="11" s="1"/>
  <c r="AK651" i="11"/>
  <c r="AK657" i="11"/>
  <c r="AK654" i="11"/>
  <c r="AX530" i="11"/>
  <c r="AX527" i="11"/>
  <c r="AX528" i="11"/>
  <c r="AM669" i="11"/>
  <c r="AM666" i="11"/>
  <c r="AM663" i="11"/>
  <c r="AM664" i="11"/>
  <c r="BV538" i="11"/>
  <c r="BV520" i="11"/>
  <c r="BV512" i="11"/>
  <c r="BV513" i="11" s="1"/>
  <c r="AG586" i="11"/>
  <c r="AG583" i="11"/>
  <c r="AG580" i="11"/>
  <c r="AT689" i="11"/>
  <c r="AP528" i="11"/>
  <c r="AO170" i="11"/>
  <c r="AO125" i="11"/>
  <c r="AO645" i="11"/>
  <c r="BV110" i="11"/>
  <c r="BU111" i="11"/>
  <c r="AX545" i="11"/>
  <c r="AX544" i="11"/>
  <c r="AL598" i="11"/>
  <c r="AM567" i="11"/>
  <c r="AM571" i="11" s="1"/>
  <c r="AL595" i="11"/>
  <c r="AO651" i="11"/>
  <c r="AO653" i="11" s="1"/>
  <c r="AO654" i="11"/>
  <c r="BA1066" i="11"/>
  <c r="BA648" i="11"/>
  <c r="BA576" i="11"/>
  <c r="BA523" i="11"/>
  <c r="BC5" i="11"/>
  <c r="AV545" i="11"/>
  <c r="AK519" i="11"/>
  <c r="AK513" i="11"/>
  <c r="AK516" i="11"/>
  <c r="AJ587" i="11"/>
  <c r="AJ584" i="11"/>
  <c r="AO681" i="11"/>
  <c r="AO683" i="11"/>
  <c r="AO680" i="11"/>
  <c r="AT606" i="11"/>
  <c r="AT678" i="11"/>
  <c r="AT677" i="11"/>
  <c r="AT548" i="11"/>
  <c r="AT605" i="11"/>
  <c r="BT104" i="11"/>
  <c r="BT103" i="11"/>
  <c r="BT235" i="11"/>
  <c r="BT109" i="11"/>
  <c r="AK551" i="11"/>
  <c r="AK555" i="11" s="1"/>
  <c r="AI584" i="11"/>
  <c r="AI587" i="11"/>
  <c r="AL229" i="11"/>
  <c r="AL34" i="11"/>
  <c r="AL518" i="11"/>
  <c r="AL515" i="11"/>
  <c r="AL512" i="11"/>
  <c r="AX529" i="11"/>
  <c r="AX526" i="11"/>
  <c r="AM593" i="11"/>
  <c r="AM596" i="11"/>
  <c r="AG658" i="11"/>
  <c r="AG653" i="11"/>
  <c r="AG652" i="11"/>
  <c r="AG655" i="11"/>
  <c r="AL650" i="11"/>
  <c r="AL531" i="11"/>
  <c r="AM506" i="11"/>
  <c r="AM510" i="11" s="1"/>
  <c r="AL578" i="11"/>
  <c r="AL534" i="11"/>
  <c r="AL649" i="11"/>
  <c r="AL577" i="11"/>
  <c r="AD826" i="11"/>
  <c r="AC827" i="11"/>
  <c r="AC1002" i="11" s="1"/>
  <c r="BG923" i="11"/>
  <c r="BG948" i="11"/>
  <c r="BI948" i="11" s="1"/>
  <c r="AT617" i="11"/>
  <c r="AT571" i="11"/>
  <c r="BT565" i="11"/>
  <c r="BT602" i="11"/>
  <c r="BT557" i="11"/>
  <c r="BT558" i="11" s="1"/>
  <c r="AU593" i="11"/>
  <c r="AU596" i="11"/>
  <c r="AI673" i="11"/>
  <c r="AJ672" i="11"/>
  <c r="AI672" i="11"/>
  <c r="AJ673" i="11"/>
  <c r="AJ627" i="11"/>
  <c r="BU238" i="11"/>
  <c r="BU556" i="11"/>
  <c r="BV103" i="11"/>
  <c r="BV104" i="11"/>
  <c r="BV235" i="11"/>
  <c r="AQ679" i="11"/>
  <c r="AQ682" i="11"/>
  <c r="AO611" i="11"/>
  <c r="AO609" i="11"/>
  <c r="AO608" i="11"/>
  <c r="AU689" i="11"/>
  <c r="BU838" i="11"/>
  <c r="BU115" i="11"/>
  <c r="BU166" i="11"/>
  <c r="AP595" i="11"/>
  <c r="AP598" i="11"/>
  <c r="AQ567" i="11"/>
  <c r="AQ571" i="11" s="1"/>
  <c r="AK658" i="11"/>
  <c r="AK653" i="11"/>
  <c r="AK652" i="11"/>
  <c r="AK655" i="11"/>
  <c r="AH601" i="11"/>
  <c r="AH600" i="11"/>
  <c r="BV850" i="11"/>
  <c r="AH515" i="11"/>
  <c r="AH229" i="11"/>
  <c r="AH34" i="11"/>
  <c r="AH518" i="11"/>
  <c r="AH512" i="11"/>
  <c r="BA543" i="11"/>
  <c r="BG919" i="11"/>
  <c r="BD1086" i="11"/>
  <c r="BD615" i="11" s="1"/>
  <c r="BD1083" i="11"/>
  <c r="BD547" i="11" s="1"/>
  <c r="BD542" i="11" s="1"/>
  <c r="BD1090" i="11"/>
  <c r="BD1080" i="11"/>
  <c r="BD1089" i="11"/>
  <c r="BD687" i="11" s="1"/>
  <c r="BD1084" i="11"/>
  <c r="BD1085" i="11"/>
  <c r="BD614" i="11" s="1"/>
  <c r="BD618" i="11" s="1"/>
  <c r="BD1082" i="11"/>
  <c r="BD546" i="11" s="1"/>
  <c r="BD541" i="11" s="1"/>
  <c r="BD1087" i="11"/>
  <c r="BD1088" i="11"/>
  <c r="BD686" i="11" s="1"/>
  <c r="BD690" i="11" s="1"/>
  <c r="AJ555" i="11"/>
  <c r="AJ600" i="11"/>
  <c r="AI601" i="11"/>
  <c r="AJ601" i="11"/>
  <c r="AI600" i="11"/>
  <c r="AY641" i="11"/>
  <c r="AV692" i="11"/>
  <c r="BU231" i="11"/>
  <c r="AX691" i="11"/>
  <c r="AX688" i="11"/>
  <c r="AX689" i="11"/>
  <c r="AU594" i="11"/>
  <c r="AU591" i="11"/>
  <c r="AU597" i="11"/>
  <c r="AX668" i="11"/>
  <c r="AY668" i="11" s="1"/>
  <c r="AX665" i="11"/>
  <c r="AY665" i="11" s="1"/>
  <c r="AM591" i="11"/>
  <c r="AM597" i="11"/>
  <c r="AM594" i="11"/>
  <c r="AM592" i="11"/>
  <c r="BV838" i="11"/>
  <c r="BV166" i="11"/>
  <c r="BV115" i="11"/>
  <c r="AF587" i="11"/>
  <c r="AF584" i="11"/>
  <c r="AG551" i="11"/>
  <c r="AG555" i="11" s="1"/>
  <c r="AT626" i="11"/>
  <c r="AR684" i="11"/>
  <c r="AH672" i="11"/>
  <c r="AH673" i="11"/>
  <c r="AL672" i="11"/>
  <c r="AL673" i="11"/>
  <c r="BU847" i="11"/>
  <c r="AU666" i="11"/>
  <c r="AU663" i="11"/>
  <c r="AU669" i="11"/>
  <c r="AX596" i="11"/>
  <c r="AY596" i="11" s="1"/>
  <c r="AX593" i="11"/>
  <c r="AY593" i="11" s="1"/>
  <c r="AM527" i="11"/>
  <c r="AM530" i="11"/>
  <c r="AR612" i="11"/>
  <c r="AT554" i="11"/>
  <c r="BA616" i="11"/>
  <c r="BA617" i="11"/>
  <c r="BA619" i="11"/>
  <c r="AY616" i="11"/>
  <c r="AY620" i="11" s="1"/>
  <c r="AY619" i="11"/>
  <c r="AY617" i="11"/>
  <c r="AZ543" i="11"/>
  <c r="AP170" i="11"/>
  <c r="AP125" i="11"/>
  <c r="AP645" i="11"/>
  <c r="BB543" i="11"/>
  <c r="AT650" i="11"/>
  <c r="AT649" i="11"/>
  <c r="AT578" i="11"/>
  <c r="AT534" i="11"/>
  <c r="AT531" i="11"/>
  <c r="AT577" i="11"/>
  <c r="AN607" i="11"/>
  <c r="AN610" i="11"/>
  <c r="AX669" i="11"/>
  <c r="AY669" i="11" s="1"/>
  <c r="AX666" i="11"/>
  <c r="AY666" i="11" s="1"/>
  <c r="AX663" i="11"/>
  <c r="AX664" i="11" s="1"/>
  <c r="AH592" i="11"/>
  <c r="BA545" i="11"/>
  <c r="BA544" i="11"/>
  <c r="AW1066" i="11"/>
  <c r="AW576" i="11"/>
  <c r="AW523" i="11"/>
  <c r="AW648" i="11"/>
  <c r="AZ617" i="11"/>
  <c r="AZ619" i="11"/>
  <c r="AZ616" i="11"/>
  <c r="BB1080" i="11"/>
  <c r="AN680" i="11"/>
  <c r="AN683" i="11"/>
  <c r="AL158" i="11"/>
  <c r="AL99" i="11"/>
  <c r="AL573" i="11"/>
  <c r="BF1229" i="9"/>
  <c r="BR833" i="9"/>
  <c r="BR925" i="9" s="1"/>
  <c r="BE1224" i="9"/>
  <c r="BG5" i="9"/>
  <c r="O59" i="9"/>
  <c r="O60" i="9"/>
  <c r="P60" i="9" s="1"/>
  <c r="T62" i="9"/>
  <c r="O266" i="9"/>
  <c r="O76" i="9"/>
  <c r="O58" i="9"/>
  <c r="P57" i="9"/>
  <c r="AG1059" i="9"/>
  <c r="AG1060" i="9" s="1"/>
  <c r="AF1065" i="9"/>
  <c r="N133" i="9"/>
  <c r="N131" i="9"/>
  <c r="O128" i="9"/>
  <c r="AK1059" i="9"/>
  <c r="AK1060" i="9" s="1"/>
  <c r="AJ1065" i="9"/>
  <c r="AO1059" i="9"/>
  <c r="AO1060" i="9" s="1"/>
  <c r="X1065" i="9"/>
  <c r="Y1059" i="9"/>
  <c r="Y1060" i="9" s="1"/>
  <c r="M402" i="9"/>
  <c r="L432" i="9"/>
  <c r="Q408" i="9"/>
  <c r="L419" i="9"/>
  <c r="L420" i="9" s="1"/>
  <c r="H432" i="9"/>
  <c r="M408" i="9"/>
  <c r="I402" i="9"/>
  <c r="H419" i="9"/>
  <c r="BA1224" i="9"/>
  <c r="BC5" i="9"/>
  <c r="BB1224" i="9" s="1"/>
  <c r="H406" i="9"/>
  <c r="U402" i="9"/>
  <c r="Q402" i="9"/>
  <c r="P417" i="9"/>
  <c r="P432" i="9"/>
  <c r="U408" i="9"/>
  <c r="P419" i="9"/>
  <c r="P420" i="9" s="1"/>
  <c r="K139" i="9"/>
  <c r="K136" i="9" s="1"/>
  <c r="K135" i="9"/>
  <c r="K121" i="9" s="1"/>
  <c r="T1065" i="9"/>
  <c r="K122" i="9"/>
  <c r="K185" i="9"/>
  <c r="Q270" i="9"/>
  <c r="R245" i="9"/>
  <c r="R248" i="9" s="1"/>
  <c r="Q251" i="9"/>
  <c r="Q250" i="9"/>
  <c r="Q249" i="9"/>
  <c r="Q259" i="9"/>
  <c r="M237" i="9"/>
  <c r="M235" i="9"/>
  <c r="N234" i="9"/>
  <c r="N184" i="9"/>
  <c r="M189" i="9"/>
  <c r="M187" i="9"/>
  <c r="M186" i="9" s="1"/>
  <c r="AB1065" i="9"/>
  <c r="AC1059" i="9"/>
  <c r="AC1060" i="9" s="1"/>
  <c r="BI1224" i="9"/>
  <c r="BH1224" i="9"/>
  <c r="BK5" i="9"/>
  <c r="BS831" i="9"/>
  <c r="S1000" i="9"/>
  <c r="R1001" i="9"/>
  <c r="R1172" i="9" s="1"/>
  <c r="M1164" i="9"/>
  <c r="M7" i="9"/>
  <c r="BU906" i="9"/>
  <c r="BU912" i="9" s="1"/>
  <c r="BU910" i="9" s="1"/>
  <c r="BT904" i="9"/>
  <c r="BT1132" i="9" s="1"/>
  <c r="BT1162" i="9"/>
  <c r="O72" i="9"/>
  <c r="N75" i="9"/>
  <c r="N77" i="9"/>
  <c r="BQ1176" i="9"/>
  <c r="BQ1047" i="9"/>
  <c r="O267" i="9"/>
  <c r="O116" i="9"/>
  <c r="P116" i="9" s="1"/>
  <c r="O115" i="9"/>
  <c r="P113" i="9"/>
  <c r="O114" i="9"/>
  <c r="O132" i="9"/>
  <c r="T118" i="9"/>
  <c r="BC1229" i="9"/>
  <c r="P258" i="9"/>
  <c r="Q257" i="9"/>
  <c r="U257" i="9"/>
  <c r="BT819" i="9"/>
  <c r="BS833" i="9"/>
  <c r="BS925" i="9" s="1"/>
  <c r="BS825" i="9"/>
  <c r="BT823" i="9"/>
  <c r="S174" i="9"/>
  <c r="N170" i="9"/>
  <c r="N171" i="9"/>
  <c r="O166" i="9"/>
  <c r="O169" i="9" s="1"/>
  <c r="N188" i="9"/>
  <c r="N172" i="9"/>
  <c r="N268" i="9"/>
  <c r="BM1087" i="9"/>
  <c r="BM1086" i="9" s="1"/>
  <c r="BN1117" i="9"/>
  <c r="BM1009" i="9"/>
  <c r="BN1009" i="9" s="1"/>
  <c r="BM1100" i="9"/>
  <c r="BN766" i="9"/>
  <c r="K83" i="9"/>
  <c r="K80" i="9" s="1"/>
  <c r="K79" i="9"/>
  <c r="K65" i="9" s="1"/>
  <c r="L74" i="9" s="1"/>
  <c r="BH1230" i="9"/>
  <c r="BI1230" i="9"/>
  <c r="BO5" i="9"/>
  <c r="BN1233" i="9"/>
  <c r="BS5" i="9"/>
  <c r="BJ1230" i="9"/>
  <c r="BJ1229" i="9" s="1"/>
  <c r="M129" i="9"/>
  <c r="N226" i="9"/>
  <c r="N227" i="9"/>
  <c r="O222" i="9"/>
  <c r="O225" i="9" s="1"/>
  <c r="N269" i="9"/>
  <c r="N228" i="9"/>
  <c r="N236" i="9"/>
  <c r="BN1095" i="9"/>
  <c r="BN1097" i="9"/>
  <c r="L8" i="9"/>
  <c r="L9" i="9"/>
  <c r="H120" i="4"/>
  <c r="K116" i="4"/>
  <c r="P110" i="4"/>
  <c r="K120" i="4" s="1"/>
  <c r="H49" i="3"/>
  <c r="H50" i="3" s="1"/>
  <c r="J120" i="4"/>
  <c r="F49" i="3"/>
  <c r="F50" i="3" s="1"/>
  <c r="I120" i="4"/>
  <c r="BN1094" i="11"/>
  <c r="BN1234" i="9"/>
  <c r="BG691" i="11" l="1"/>
  <c r="BG688" i="11"/>
  <c r="AR593" i="11"/>
  <c r="AR596" i="11"/>
  <c r="AU595" i="11"/>
  <c r="AU598" i="11"/>
  <c r="AV567" i="11"/>
  <c r="AV571" i="11" s="1"/>
  <c r="AU125" i="11"/>
  <c r="AU170" i="11"/>
  <c r="AU645" i="11"/>
  <c r="BD544" i="11"/>
  <c r="BD545" i="11"/>
  <c r="AT683" i="11"/>
  <c r="AT681" i="11"/>
  <c r="AT680" i="11"/>
  <c r="BE544" i="11"/>
  <c r="BE545" i="11"/>
  <c r="AU679" i="11"/>
  <c r="AU681" i="11" s="1"/>
  <c r="AU682" i="11"/>
  <c r="AO563" i="11"/>
  <c r="AO233" i="11"/>
  <c r="AO557" i="11"/>
  <c r="BF617" i="11"/>
  <c r="BF616" i="11"/>
  <c r="BF619" i="11"/>
  <c r="AS583" i="11"/>
  <c r="AS580" i="11"/>
  <c r="AS586" i="11"/>
  <c r="AT586" i="11" s="1"/>
  <c r="BV565" i="11"/>
  <c r="BV557" i="11"/>
  <c r="BV558" i="11" s="1"/>
  <c r="BV602" i="11"/>
  <c r="AM170" i="11"/>
  <c r="AM125" i="11"/>
  <c r="AM645" i="11"/>
  <c r="AU608" i="11"/>
  <c r="AU611" i="11"/>
  <c r="AQ229" i="11"/>
  <c r="AQ518" i="11"/>
  <c r="AQ515" i="11"/>
  <c r="AQ34" i="11"/>
  <c r="AQ512" i="11"/>
  <c r="AR594" i="11"/>
  <c r="AR591" i="11"/>
  <c r="AR597" i="11"/>
  <c r="AV526" i="11"/>
  <c r="AV529" i="11"/>
  <c r="AV527" i="11"/>
  <c r="AV530" i="11"/>
  <c r="AV528" i="11"/>
  <c r="BB678" i="11"/>
  <c r="BB548" i="11"/>
  <c r="BB606" i="11"/>
  <c r="BB677" i="11"/>
  <c r="BB605" i="11"/>
  <c r="BD509" i="11"/>
  <c r="AY623" i="11"/>
  <c r="AS684" i="11"/>
  <c r="BC669" i="11"/>
  <c r="BD669" i="11" s="1"/>
  <c r="BC664" i="11"/>
  <c r="BC666" i="11"/>
  <c r="BD666" i="11" s="1"/>
  <c r="BC663" i="11"/>
  <c r="AL519" i="11"/>
  <c r="AL516" i="11"/>
  <c r="AL513" i="11"/>
  <c r="AZ596" i="11"/>
  <c r="AZ593" i="11"/>
  <c r="AS654" i="11"/>
  <c r="AS657" i="11"/>
  <c r="AT657" i="11" s="1"/>
  <c r="AS651" i="11"/>
  <c r="AS897" i="11"/>
  <c r="BE619" i="11"/>
  <c r="BE616" i="11"/>
  <c r="BE617" i="11"/>
  <c r="BD526" i="11"/>
  <c r="BD528" i="11" s="1"/>
  <c r="BD529" i="11"/>
  <c r="BC529" i="11"/>
  <c r="BC526" i="11"/>
  <c r="AW537" i="11"/>
  <c r="AW536" i="11"/>
  <c r="AR669" i="11"/>
  <c r="AR664" i="11"/>
  <c r="AR663" i="11"/>
  <c r="AR666" i="11"/>
  <c r="AW1074" i="11"/>
  <c r="AW662" i="11" s="1"/>
  <c r="AW1070" i="11"/>
  <c r="AW589" i="11" s="1"/>
  <c r="AW1072" i="11"/>
  <c r="AW1073" i="11"/>
  <c r="AW661" i="11" s="1"/>
  <c r="AW1069" i="11"/>
  <c r="AW1075" i="11"/>
  <c r="AW1068" i="11"/>
  <c r="AW533" i="11" s="1"/>
  <c r="AW525" i="11" s="1"/>
  <c r="AW1067" i="11"/>
  <c r="AW532" i="11" s="1"/>
  <c r="AW524" i="11" s="1"/>
  <c r="AW1071" i="11"/>
  <c r="AW590" i="11" s="1"/>
  <c r="AZ606" i="11"/>
  <c r="AZ678" i="11"/>
  <c r="AZ677" i="11"/>
  <c r="AZ605" i="11"/>
  <c r="AZ548" i="11"/>
  <c r="BD507" i="11"/>
  <c r="AS582" i="11"/>
  <c r="AS585" i="11"/>
  <c r="AT585" i="11" s="1"/>
  <c r="AS579" i="11"/>
  <c r="AS581" i="11" s="1"/>
  <c r="BS1093" i="11"/>
  <c r="BT5" i="11"/>
  <c r="AQ672" i="11"/>
  <c r="AQ673" i="11"/>
  <c r="AP581" i="11"/>
  <c r="AP586" i="11"/>
  <c r="AP580" i="11"/>
  <c r="AP583" i="11"/>
  <c r="BA620" i="11"/>
  <c r="BD569" i="11"/>
  <c r="BH948" i="11"/>
  <c r="BI947" i="11"/>
  <c r="AK632" i="11"/>
  <c r="AK121" i="11"/>
  <c r="AK247" i="11"/>
  <c r="AK635" i="11"/>
  <c r="AK629" i="11"/>
  <c r="AQ649" i="11"/>
  <c r="AQ577" i="11"/>
  <c r="AQ531" i="11"/>
  <c r="AQ578" i="11"/>
  <c r="AQ650" i="11"/>
  <c r="AQ534" i="11"/>
  <c r="AR506" i="11"/>
  <c r="AR510" i="11" s="1"/>
  <c r="BK1093" i="11"/>
  <c r="BJ1066" i="11"/>
  <c r="BJ648" i="11"/>
  <c r="BJ576" i="11"/>
  <c r="BJ523" i="11"/>
  <c r="BL5" i="11"/>
  <c r="AQ528" i="11"/>
  <c r="AN659" i="11"/>
  <c r="AN656" i="11"/>
  <c r="AP623" i="11"/>
  <c r="AP627" i="11" s="1"/>
  <c r="AP653" i="11"/>
  <c r="AP655" i="11"/>
  <c r="AP658" i="11"/>
  <c r="AP652" i="11"/>
  <c r="AQ125" i="11"/>
  <c r="AQ170" i="11"/>
  <c r="AQ645" i="11"/>
  <c r="BF346" i="11"/>
  <c r="BG342" i="11"/>
  <c r="AY683" i="11"/>
  <c r="AY680" i="11"/>
  <c r="AV669" i="11"/>
  <c r="AV666" i="11"/>
  <c r="AV663" i="11"/>
  <c r="AU592" i="11"/>
  <c r="AV593" i="11"/>
  <c r="AV596" i="11"/>
  <c r="AZ527" i="11"/>
  <c r="AZ528" i="11"/>
  <c r="AZ530" i="11"/>
  <c r="AS652" i="11"/>
  <c r="AS655" i="11"/>
  <c r="AS653" i="11"/>
  <c r="AS658" i="11"/>
  <c r="AT658" i="11" s="1"/>
  <c r="BO1093" i="11"/>
  <c r="BP5" i="11"/>
  <c r="BV239" i="11"/>
  <c r="BV162" i="11" s="1"/>
  <c r="BV161" i="11"/>
  <c r="BC594" i="11"/>
  <c r="BD594" i="11" s="1"/>
  <c r="BC597" i="11"/>
  <c r="BD597" i="11" s="1"/>
  <c r="BC592" i="11"/>
  <c r="BC591" i="11"/>
  <c r="BF1066" i="11"/>
  <c r="BF648" i="11"/>
  <c r="BF523" i="11"/>
  <c r="BH5" i="11"/>
  <c r="BF576" i="11"/>
  <c r="AV682" i="11"/>
  <c r="AV679" i="11"/>
  <c r="AP654" i="11"/>
  <c r="AP651" i="11"/>
  <c r="AP657" i="11"/>
  <c r="AT652" i="11"/>
  <c r="AT655" i="11"/>
  <c r="BD688" i="11"/>
  <c r="BD692" i="11" s="1"/>
  <c r="BD691" i="11"/>
  <c r="AT679" i="11"/>
  <c r="AT684" i="11" s="1"/>
  <c r="AT682" i="11"/>
  <c r="AM158" i="11"/>
  <c r="AM99" i="11"/>
  <c r="AM573" i="11"/>
  <c r="AM670" i="11"/>
  <c r="AN639" i="11"/>
  <c r="AN643" i="11" s="1"/>
  <c r="AM667" i="11"/>
  <c r="BB692" i="11"/>
  <c r="BD642" i="11"/>
  <c r="BD619" i="11"/>
  <c r="BD616" i="11"/>
  <c r="BD620" i="11" s="1"/>
  <c r="BD617" i="11"/>
  <c r="AT608" i="11"/>
  <c r="AT611" i="11"/>
  <c r="BD591" i="11"/>
  <c r="BD592" i="11" s="1"/>
  <c r="AH519" i="11"/>
  <c r="AH513" i="11"/>
  <c r="AH516" i="11"/>
  <c r="AS600" i="11"/>
  <c r="AT600" i="11"/>
  <c r="AT601" i="11"/>
  <c r="AS601" i="11"/>
  <c r="BH919" i="11"/>
  <c r="AL623" i="11"/>
  <c r="AL627" i="11" s="1"/>
  <c r="AK659" i="11"/>
  <c r="AK656" i="11"/>
  <c r="BF689" i="11"/>
  <c r="BF691" i="11"/>
  <c r="BF688" i="11"/>
  <c r="N925" i="11"/>
  <c r="L926" i="11"/>
  <c r="M926" i="11"/>
  <c r="L925" i="11"/>
  <c r="N926" i="11"/>
  <c r="O926" i="11"/>
  <c r="M925" i="11"/>
  <c r="O925" i="11"/>
  <c r="L928" i="11"/>
  <c r="L927" i="11"/>
  <c r="M927" i="11"/>
  <c r="M928" i="11"/>
  <c r="N927" i="11"/>
  <c r="N928" i="11"/>
  <c r="AK584" i="11"/>
  <c r="AL551" i="11"/>
  <c r="AL555" i="11" s="1"/>
  <c r="AK587" i="11"/>
  <c r="AI99" i="11"/>
  <c r="AI158" i="11"/>
  <c r="AI573" i="11"/>
  <c r="BC593" i="11"/>
  <c r="BD593" i="11" s="1"/>
  <c r="BC596" i="11"/>
  <c r="BD596" i="11" s="1"/>
  <c r="AU99" i="11"/>
  <c r="AU158" i="11"/>
  <c r="AU573" i="11"/>
  <c r="AS681" i="11"/>
  <c r="AV608" i="11"/>
  <c r="AV611" i="11"/>
  <c r="AP579" i="11"/>
  <c r="AP582" i="11"/>
  <c r="AP585" i="11"/>
  <c r="AH585" i="11"/>
  <c r="AH582" i="11"/>
  <c r="AH579" i="11"/>
  <c r="BD570" i="11"/>
  <c r="BB620" i="11"/>
  <c r="AY608" i="11"/>
  <c r="AY611" i="11"/>
  <c r="AV668" i="11"/>
  <c r="AV665" i="11"/>
  <c r="BD639" i="11"/>
  <c r="AX692" i="11"/>
  <c r="BF544" i="11"/>
  <c r="BF545" i="11"/>
  <c r="AT625" i="11"/>
  <c r="AQ684" i="11"/>
  <c r="AN612" i="11"/>
  <c r="AT551" i="11"/>
  <c r="AT555" i="11" s="1"/>
  <c r="BV160" i="11"/>
  <c r="BV997" i="11"/>
  <c r="AE826" i="11"/>
  <c r="AE827" i="11" s="1"/>
  <c r="AD827" i="11"/>
  <c r="AD1002" i="11" s="1"/>
  <c r="Q279" i="11"/>
  <c r="R4" i="11"/>
  <c r="Q3" i="11"/>
  <c r="AZ526" i="11"/>
  <c r="AZ529" i="11"/>
  <c r="AG656" i="11"/>
  <c r="AH623" i="11"/>
  <c r="AH627" i="11" s="1"/>
  <c r="AG659" i="11"/>
  <c r="AQ600" i="11"/>
  <c r="AQ601" i="11"/>
  <c r="AF633" i="11"/>
  <c r="AF630" i="11"/>
  <c r="AF636" i="11"/>
  <c r="AV681" i="11"/>
  <c r="AV680" i="11"/>
  <c r="AV683" i="11"/>
  <c r="AU670" i="11"/>
  <c r="AU667" i="11"/>
  <c r="AV639" i="11"/>
  <c r="AV643" i="11" s="1"/>
  <c r="AI125" i="11"/>
  <c r="AI170" i="11"/>
  <c r="AI645" i="11"/>
  <c r="BD567" i="11"/>
  <c r="AX620" i="11"/>
  <c r="BV155" i="11"/>
  <c r="BV156" i="11" s="1"/>
  <c r="BV572" i="11" s="1"/>
  <c r="AS612" i="11"/>
  <c r="AY551" i="11"/>
  <c r="AZ536" i="11"/>
  <c r="AZ537" i="11"/>
  <c r="BJ1084" i="11"/>
  <c r="BJ1083" i="11"/>
  <c r="BJ547" i="11" s="1"/>
  <c r="BJ542" i="11" s="1"/>
  <c r="BJ1085" i="11"/>
  <c r="BJ614" i="11" s="1"/>
  <c r="BJ618" i="11" s="1"/>
  <c r="BJ1088" i="11"/>
  <c r="BJ686" i="11" s="1"/>
  <c r="BJ690" i="11" s="1"/>
  <c r="BJ1080" i="11"/>
  <c r="BJ1086" i="11"/>
  <c r="BJ615" i="11" s="1"/>
  <c r="BJ1090" i="11"/>
  <c r="BJ1082" i="11"/>
  <c r="BJ546" i="11" s="1"/>
  <c r="BJ541" i="11" s="1"/>
  <c r="BJ543" i="11" s="1"/>
  <c r="BJ1089" i="11"/>
  <c r="BJ687" i="11" s="1"/>
  <c r="BJ1087" i="11"/>
  <c r="AY643" i="11"/>
  <c r="BE691" i="11"/>
  <c r="BE688" i="11"/>
  <c r="BE689" i="11" s="1"/>
  <c r="AV537" i="11"/>
  <c r="AV536" i="11"/>
  <c r="AG635" i="11"/>
  <c r="AG247" i="11"/>
  <c r="AG121" i="11"/>
  <c r="AG632" i="11"/>
  <c r="AG629" i="11"/>
  <c r="AZ663" i="11"/>
  <c r="AZ664" i="11"/>
  <c r="AZ666" i="11"/>
  <c r="AZ669" i="11"/>
  <c r="AX889" i="11"/>
  <c r="AX890" i="11" s="1"/>
  <c r="AW897" i="11"/>
  <c r="AT582" i="11"/>
  <c r="AT579" i="11"/>
  <c r="AL585" i="11"/>
  <c r="AL579" i="11"/>
  <c r="AL582" i="11"/>
  <c r="AQ612" i="11"/>
  <c r="AT553" i="11"/>
  <c r="AW607" i="11"/>
  <c r="AW610" i="11"/>
  <c r="BD530" i="11"/>
  <c r="BD527" i="11"/>
  <c r="BC528" i="11"/>
  <c r="BC527" i="11"/>
  <c r="BC530" i="11"/>
  <c r="BG619" i="11"/>
  <c r="BG616" i="11"/>
  <c r="BG617" i="11" s="1"/>
  <c r="AV610" i="11"/>
  <c r="AV607" i="11"/>
  <c r="AV609" i="11" s="1"/>
  <c r="AN609" i="11"/>
  <c r="AH654" i="11"/>
  <c r="AH651" i="11"/>
  <c r="AH657" i="11"/>
  <c r="AL652" i="11"/>
  <c r="AL658" i="11"/>
  <c r="AL655" i="11"/>
  <c r="BU105" i="11"/>
  <c r="BT105" i="11"/>
  <c r="BG544" i="11"/>
  <c r="BG545" i="11"/>
  <c r="AO247" i="11"/>
  <c r="AO121" i="11"/>
  <c r="AO635" i="11"/>
  <c r="AO629" i="11"/>
  <c r="AU683" i="11"/>
  <c r="AU680" i="11"/>
  <c r="BD640" i="11"/>
  <c r="AZ692" i="11"/>
  <c r="AV597" i="11"/>
  <c r="AV594" i="11"/>
  <c r="AV591" i="11"/>
  <c r="AV592" i="11" s="1"/>
  <c r="AX650" i="11"/>
  <c r="AX577" i="11"/>
  <c r="AX534" i="11"/>
  <c r="AX531" i="11"/>
  <c r="AX578" i="11"/>
  <c r="AZ506" i="11"/>
  <c r="AZ510" i="11" s="1"/>
  <c r="AX649" i="11"/>
  <c r="BU112" i="11"/>
  <c r="AZ639" i="11"/>
  <c r="AZ643" i="11" s="1"/>
  <c r="AX667" i="11"/>
  <c r="AY667" i="11" s="1"/>
  <c r="AX670" i="11"/>
  <c r="AY670" i="11" s="1"/>
  <c r="AS672" i="11"/>
  <c r="AT673" i="11"/>
  <c r="AS673" i="11"/>
  <c r="AT672" i="11"/>
  <c r="AT627" i="11"/>
  <c r="BU155" i="11"/>
  <c r="BU156" i="11" s="1"/>
  <c r="BU572" i="11" s="1"/>
  <c r="BA606" i="11"/>
  <c r="BD508" i="11"/>
  <c r="BA677" i="11"/>
  <c r="BA678" i="11"/>
  <c r="BA548" i="11"/>
  <c r="BA605" i="11"/>
  <c r="AT99" i="11"/>
  <c r="AT158" i="11"/>
  <c r="AT573" i="11"/>
  <c r="AJ233" i="11"/>
  <c r="AJ563" i="11"/>
  <c r="AJ557" i="11"/>
  <c r="AL654" i="11"/>
  <c r="AL657" i="11"/>
  <c r="AL651" i="11"/>
  <c r="BB1066" i="11"/>
  <c r="BB648" i="11"/>
  <c r="BB576" i="11"/>
  <c r="BB523" i="11"/>
  <c r="BD663" i="11"/>
  <c r="BD664" i="11"/>
  <c r="BG543" i="11"/>
  <c r="BE1074" i="11"/>
  <c r="BE662" i="11" s="1"/>
  <c r="BE1072" i="11"/>
  <c r="BE1075" i="11"/>
  <c r="BE1071" i="11"/>
  <c r="BE590" i="11" s="1"/>
  <c r="BE1067" i="11"/>
  <c r="BE532" i="11" s="1"/>
  <c r="BE524" i="11" s="1"/>
  <c r="BE1070" i="11"/>
  <c r="BE589" i="11" s="1"/>
  <c r="BE1068" i="11"/>
  <c r="BE533" i="11" s="1"/>
  <c r="BE525" i="11" s="1"/>
  <c r="BE1073" i="11"/>
  <c r="BE661" i="11" s="1"/>
  <c r="BE1069" i="11"/>
  <c r="AF558" i="11"/>
  <c r="AF564" i="11"/>
  <c r="AF561" i="11"/>
  <c r="AI229" i="11"/>
  <c r="AI34" i="11"/>
  <c r="AI518" i="11"/>
  <c r="AI515" i="11"/>
  <c r="AI512" i="11"/>
  <c r="BC544" i="11"/>
  <c r="AT623" i="11"/>
  <c r="AN684" i="11"/>
  <c r="AX608" i="11"/>
  <c r="AX609" i="11"/>
  <c r="AX611" i="11"/>
  <c r="BI1084" i="11"/>
  <c r="BI1088" i="11"/>
  <c r="BI686" i="11" s="1"/>
  <c r="BI690" i="11" s="1"/>
  <c r="BI1086" i="11"/>
  <c r="BI615" i="11" s="1"/>
  <c r="BI1087" i="11"/>
  <c r="BI1085" i="11"/>
  <c r="BI614" i="11" s="1"/>
  <c r="BI618" i="11" s="1"/>
  <c r="BI1083" i="11"/>
  <c r="BI547" i="11" s="1"/>
  <c r="BI542" i="11" s="1"/>
  <c r="BI1082" i="11"/>
  <c r="BI546" i="11" s="1"/>
  <c r="BI541" i="11" s="1"/>
  <c r="BI1089" i="11"/>
  <c r="BI687" i="11" s="1"/>
  <c r="BI1080" i="11"/>
  <c r="BI1090" i="11"/>
  <c r="AR665" i="11"/>
  <c r="AR668" i="11"/>
  <c r="AR530" i="11"/>
  <c r="AR527" i="11"/>
  <c r="BF605" i="11"/>
  <c r="BI508" i="11"/>
  <c r="BF678" i="11"/>
  <c r="BF606" i="11"/>
  <c r="BF677" i="11"/>
  <c r="BF548" i="11"/>
  <c r="AQ667" i="11"/>
  <c r="AR639" i="11"/>
  <c r="AR643" i="11" s="1"/>
  <c r="AQ670" i="11"/>
  <c r="AZ594" i="11"/>
  <c r="AZ597" i="11"/>
  <c r="AZ591" i="11"/>
  <c r="AZ592" i="11" s="1"/>
  <c r="AW682" i="11"/>
  <c r="AW679" i="11"/>
  <c r="AP513" i="11"/>
  <c r="AP519" i="11"/>
  <c r="AP516" i="11"/>
  <c r="AN681" i="11"/>
  <c r="AZ665" i="11"/>
  <c r="AZ668" i="11"/>
  <c r="BD641" i="11"/>
  <c r="BA692" i="11"/>
  <c r="AX610" i="11"/>
  <c r="AX607" i="11"/>
  <c r="BC665" i="11"/>
  <c r="BD665" i="11" s="1"/>
  <c r="BC668" i="11"/>
  <c r="BD668" i="11" s="1"/>
  <c r="AU649" i="11"/>
  <c r="AU650" i="11"/>
  <c r="AV506" i="11"/>
  <c r="AV510" i="11" s="1"/>
  <c r="AU578" i="11"/>
  <c r="AU534" i="11"/>
  <c r="AU531" i="11"/>
  <c r="AU577" i="11"/>
  <c r="AH583" i="11"/>
  <c r="AH586" i="11"/>
  <c r="AH580" i="11"/>
  <c r="AK581" i="11"/>
  <c r="AU664" i="11"/>
  <c r="AQ99" i="11"/>
  <c r="AQ158" i="11"/>
  <c r="AQ573" i="11"/>
  <c r="AT610" i="11"/>
  <c r="AT607" i="11"/>
  <c r="AT612" i="11" s="1"/>
  <c r="AO656" i="11"/>
  <c r="AO659" i="11"/>
  <c r="AY534" i="11"/>
  <c r="AY531" i="11"/>
  <c r="AY650" i="11"/>
  <c r="AY578" i="11"/>
  <c r="AY649" i="11"/>
  <c r="AY577" i="11"/>
  <c r="AZ567" i="11"/>
  <c r="AZ571" i="11" s="1"/>
  <c r="AX598" i="11"/>
  <c r="AY598" i="11" s="1"/>
  <c r="AX595" i="11"/>
  <c r="AY595" i="11" s="1"/>
  <c r="AG560" i="11"/>
  <c r="AG563" i="11"/>
  <c r="AG233" i="11"/>
  <c r="AG557" i="11"/>
  <c r="BU602" i="11"/>
  <c r="BU565" i="11"/>
  <c r="BU557" i="11"/>
  <c r="BU558" i="11" s="1"/>
  <c r="AK233" i="11"/>
  <c r="AK560" i="11"/>
  <c r="AK563" i="11"/>
  <c r="AK557" i="11"/>
  <c r="BU239" i="11"/>
  <c r="BU162" i="11" s="1"/>
  <c r="BU161" i="11"/>
  <c r="AL581" i="11"/>
  <c r="AL580" i="11"/>
  <c r="AL583" i="11"/>
  <c r="AL586" i="11"/>
  <c r="BU110" i="11"/>
  <c r="BT111" i="11"/>
  <c r="BT112" i="11" s="1"/>
  <c r="BT110" i="11"/>
  <c r="BC619" i="11"/>
  <c r="BC616" i="11"/>
  <c r="BC617" i="11"/>
  <c r="AO584" i="11"/>
  <c r="AO587" i="11"/>
  <c r="AX682" i="11"/>
  <c r="AX679" i="11"/>
  <c r="AX537" i="11"/>
  <c r="AX536" i="11"/>
  <c r="AY537" i="11"/>
  <c r="AY510" i="11"/>
  <c r="AY536" i="11"/>
  <c r="BH1072" i="11"/>
  <c r="BH1068" i="11"/>
  <c r="BH533" i="11" s="1"/>
  <c r="BH525" i="11" s="1"/>
  <c r="BH1071" i="11"/>
  <c r="BH590" i="11" s="1"/>
  <c r="BH1074" i="11"/>
  <c r="BH662" i="11" s="1"/>
  <c r="BH1069" i="11"/>
  <c r="BH1075" i="11"/>
  <c r="BH1067" i="11"/>
  <c r="BH532" i="11" s="1"/>
  <c r="BH524" i="11" s="1"/>
  <c r="BH1073" i="11"/>
  <c r="BH661" i="11" s="1"/>
  <c r="BH1070" i="11"/>
  <c r="BH589" i="11" s="1"/>
  <c r="AO581" i="11"/>
  <c r="AY607" i="11"/>
  <c r="AY612" i="11" s="1"/>
  <c r="AY610" i="11"/>
  <c r="AS609" i="11"/>
  <c r="AH652" i="11"/>
  <c r="AH658" i="11"/>
  <c r="AH655" i="11"/>
  <c r="AH653" i="11"/>
  <c r="BA1075" i="11"/>
  <c r="BA1067" i="11"/>
  <c r="BA532" i="11" s="1"/>
  <c r="BA524" i="11" s="1"/>
  <c r="BA1071" i="11"/>
  <c r="BA590" i="11" s="1"/>
  <c r="BA1069" i="11"/>
  <c r="BA1072" i="11"/>
  <c r="BA1073" i="11"/>
  <c r="BA661" i="11" s="1"/>
  <c r="BA1074" i="11"/>
  <c r="BA662" i="11" s="1"/>
  <c r="BA1068" i="11"/>
  <c r="BA533" i="11" s="1"/>
  <c r="BA525" i="11" s="1"/>
  <c r="BA1070" i="11"/>
  <c r="BA589" i="11" s="1"/>
  <c r="AN587" i="11"/>
  <c r="AN584" i="11"/>
  <c r="AP551" i="11"/>
  <c r="AP555" i="11" s="1"/>
  <c r="AH551" i="11"/>
  <c r="AH555" i="11" s="1"/>
  <c r="AG587" i="11"/>
  <c r="AG584" i="11"/>
  <c r="AX680" i="11"/>
  <c r="AX683" i="11"/>
  <c r="AX681" i="11"/>
  <c r="BH1087" i="11"/>
  <c r="BH1083" i="11"/>
  <c r="BH547" i="11" s="1"/>
  <c r="BH542" i="11" s="1"/>
  <c r="BH1085" i="11"/>
  <c r="BH614" i="11" s="1"/>
  <c r="BH618" i="11" s="1"/>
  <c r="BH1084" i="11"/>
  <c r="BH1082" i="11"/>
  <c r="BH546" i="11" s="1"/>
  <c r="BH541" i="11" s="1"/>
  <c r="BH543" i="11" s="1"/>
  <c r="BH1088" i="11"/>
  <c r="BH686" i="11" s="1"/>
  <c r="BH690" i="11" s="1"/>
  <c r="BH1086" i="11"/>
  <c r="BH615" i="11" s="1"/>
  <c r="BH1089" i="11"/>
  <c r="BH687" i="11" s="1"/>
  <c r="BH1080" i="11"/>
  <c r="BH1090" i="11"/>
  <c r="AW681" i="11"/>
  <c r="AW680" i="11"/>
  <c r="AW683" i="11"/>
  <c r="AQ595" i="11"/>
  <c r="AQ598" i="11"/>
  <c r="AR567" i="11"/>
  <c r="AR571" i="11" s="1"/>
  <c r="AY679" i="11"/>
  <c r="AY684" i="11" s="1"/>
  <c r="AY682" i="11"/>
  <c r="AT229" i="11"/>
  <c r="AT34" i="11"/>
  <c r="AT518" i="11"/>
  <c r="AT512" i="11"/>
  <c r="AM531" i="11"/>
  <c r="AM577" i="11"/>
  <c r="AN506" i="11"/>
  <c r="AN510" i="11" s="1"/>
  <c r="AM650" i="11"/>
  <c r="AM534" i="11"/>
  <c r="AM649" i="11"/>
  <c r="AM578" i="11"/>
  <c r="AU610" i="11"/>
  <c r="AU607" i="11"/>
  <c r="BC543" i="11"/>
  <c r="BC545" i="11" s="1"/>
  <c r="AU515" i="11"/>
  <c r="AU518" i="11"/>
  <c r="AU229" i="11"/>
  <c r="AU34" i="11"/>
  <c r="AU512" i="11"/>
  <c r="BB689" i="11"/>
  <c r="AR526" i="11"/>
  <c r="AR529" i="11"/>
  <c r="BE543" i="11"/>
  <c r="BB545" i="11"/>
  <c r="AT583" i="11"/>
  <c r="AT581" i="11"/>
  <c r="AT580" i="11"/>
  <c r="AZ620" i="11"/>
  <c r="BD568" i="11"/>
  <c r="AT651" i="11"/>
  <c r="AT654" i="11"/>
  <c r="AM598" i="11"/>
  <c r="AM595" i="11"/>
  <c r="AN567" i="11"/>
  <c r="AN571" i="11" s="1"/>
  <c r="BD543" i="11"/>
  <c r="AJ635" i="11"/>
  <c r="AJ121" i="11"/>
  <c r="AJ247" i="11"/>
  <c r="AJ629" i="11"/>
  <c r="AM229" i="11"/>
  <c r="AM518" i="11"/>
  <c r="AM34" i="11"/>
  <c r="AM515" i="11"/>
  <c r="AM512" i="11"/>
  <c r="BT160" i="11"/>
  <c r="BT238" i="11"/>
  <c r="BT997" i="11"/>
  <c r="BC688" i="11"/>
  <c r="BC689" i="11"/>
  <c r="BC691" i="11"/>
  <c r="AY571" i="11"/>
  <c r="AW608" i="11"/>
  <c r="AW611" i="11"/>
  <c r="AW609" i="11"/>
  <c r="BI1071" i="11"/>
  <c r="BI590" i="11" s="1"/>
  <c r="BI1070" i="11"/>
  <c r="BI589" i="11" s="1"/>
  <c r="BI1069" i="11"/>
  <c r="BI1068" i="11"/>
  <c r="BI533" i="11" s="1"/>
  <c r="BI525" i="11" s="1"/>
  <c r="BI1072" i="11"/>
  <c r="BI1073" i="11"/>
  <c r="BI661" i="11" s="1"/>
  <c r="BI1067" i="11"/>
  <c r="BI532" i="11" s="1"/>
  <c r="BI524" i="11" s="1"/>
  <c r="BI1074" i="11"/>
  <c r="BI662" i="11" s="1"/>
  <c r="BI1075" i="11"/>
  <c r="BU160" i="11"/>
  <c r="BU997" i="11"/>
  <c r="BV112" i="11"/>
  <c r="N272" i="9"/>
  <c r="BI1229" i="9"/>
  <c r="N1164" i="9"/>
  <c r="N7" i="9"/>
  <c r="N189" i="9"/>
  <c r="O184" i="9"/>
  <c r="N187" i="9"/>
  <c r="P267" i="9"/>
  <c r="P115" i="9"/>
  <c r="U118" i="9"/>
  <c r="U110" i="9"/>
  <c r="Q110" i="9"/>
  <c r="Q113" i="9" s="1"/>
  <c r="P132" i="9"/>
  <c r="BJ1224" i="9"/>
  <c r="BK1233" i="9"/>
  <c r="BL5" i="9"/>
  <c r="BO1233" i="9"/>
  <c r="BP5" i="9"/>
  <c r="K181" i="9"/>
  <c r="K194" i="9" s="1"/>
  <c r="K180" i="9"/>
  <c r="AC1065" i="9"/>
  <c r="AD1059" i="9"/>
  <c r="AD1060" i="9" s="1"/>
  <c r="P266" i="9"/>
  <c r="P76" i="9"/>
  <c r="Q54" i="9"/>
  <c r="Q57" i="9" s="1"/>
  <c r="U62" i="9"/>
  <c r="P59" i="9"/>
  <c r="U54" i="9"/>
  <c r="T1000" i="9"/>
  <c r="S1001" i="9"/>
  <c r="S1172" i="9" s="1"/>
  <c r="T174" i="9"/>
  <c r="O170" i="9"/>
  <c r="O171" i="9"/>
  <c r="O188" i="9"/>
  <c r="P169" i="9"/>
  <c r="O172" i="9"/>
  <c r="P172" i="9" s="1"/>
  <c r="O268" i="9"/>
  <c r="S245" i="9"/>
  <c r="S248" i="9" s="1"/>
  <c r="R270" i="9"/>
  <c r="R251" i="9"/>
  <c r="R250" i="9"/>
  <c r="R249" i="9"/>
  <c r="R259" i="9"/>
  <c r="I405" i="9"/>
  <c r="I406" i="9"/>
  <c r="BQ1054" i="9"/>
  <c r="BS1047" i="9"/>
  <c r="AH1059" i="9"/>
  <c r="AH1060" i="9" s="1"/>
  <c r="AG1065" i="9"/>
  <c r="BH1229" i="9"/>
  <c r="BT830" i="9"/>
  <c r="BT833" i="9" s="1"/>
  <c r="BT925" i="9" s="1"/>
  <c r="BT825" i="9"/>
  <c r="BU819" i="9"/>
  <c r="BU814" i="9" s="1"/>
  <c r="BU883" i="9" s="1"/>
  <c r="BU1006" i="11" s="1"/>
  <c r="BU823" i="9"/>
  <c r="M405" i="9"/>
  <c r="M406" i="9" s="1"/>
  <c r="O75" i="9"/>
  <c r="O77" i="9"/>
  <c r="L73" i="9"/>
  <c r="BT814" i="9"/>
  <c r="BT883" i="9" s="1"/>
  <c r="BT1006" i="11" s="1"/>
  <c r="BG1229" i="9"/>
  <c r="N237" i="9"/>
  <c r="N235" i="9"/>
  <c r="O234" i="9"/>
  <c r="BS1233" i="9"/>
  <c r="BT5" i="9"/>
  <c r="U415" i="9"/>
  <c r="P416" i="9"/>
  <c r="Q405" i="9"/>
  <c r="Q406" i="9" s="1"/>
  <c r="M125" i="9"/>
  <c r="M138" i="9" s="1"/>
  <c r="M124" i="9"/>
  <c r="M8" i="9"/>
  <c r="M9" i="9"/>
  <c r="O269" i="9"/>
  <c r="O227" i="9"/>
  <c r="O226" i="9"/>
  <c r="P225" i="9"/>
  <c r="O236" i="9"/>
  <c r="O228" i="9"/>
  <c r="P228" i="9" s="1"/>
  <c r="BF1224" i="9"/>
  <c r="BH5" i="9"/>
  <c r="BG1224" i="9" s="1"/>
  <c r="BN1087" i="9"/>
  <c r="U405" i="9"/>
  <c r="AT1059" i="9"/>
  <c r="AT1060" i="9" s="1"/>
  <c r="AP1059" i="9"/>
  <c r="AP1060" i="9" s="1"/>
  <c r="AO1065" i="9"/>
  <c r="Q260" i="9"/>
  <c r="Q258" i="9"/>
  <c r="R257" i="9"/>
  <c r="AK1065" i="9"/>
  <c r="AL1059" i="9"/>
  <c r="AL1060" i="9" s="1"/>
  <c r="K66" i="9"/>
  <c r="BN1100" i="9"/>
  <c r="Y1065" i="9"/>
  <c r="BV912" i="9"/>
  <c r="BV910" i="9" s="1"/>
  <c r="BU1162" i="9"/>
  <c r="BU904" i="9"/>
  <c r="BU1132" i="9" s="1"/>
  <c r="BV906" i="9"/>
  <c r="O133" i="9"/>
  <c r="P133" i="9" s="1"/>
  <c r="O131" i="9"/>
  <c r="J48" i="3"/>
  <c r="J49" i="3" s="1"/>
  <c r="J50" i="3" s="1"/>
  <c r="D49" i="3"/>
  <c r="D50" i="3" s="1"/>
  <c r="BK1094" i="11"/>
  <c r="BO1094" i="11"/>
  <c r="BS1094" i="11"/>
  <c r="BO1234" i="9"/>
  <c r="BS1234" i="9"/>
  <c r="BK1234" i="9"/>
  <c r="BK1095" i="11" l="1"/>
  <c r="AT563" i="11"/>
  <c r="AT233" i="11"/>
  <c r="AT557" i="11"/>
  <c r="AY552" i="11"/>
  <c r="AU612" i="11"/>
  <c r="AW597" i="11"/>
  <c r="AW594" i="11"/>
  <c r="AW591" i="11"/>
  <c r="AW592" i="11" s="1"/>
  <c r="BI568" i="11"/>
  <c r="BE620" i="11"/>
  <c r="BB682" i="11"/>
  <c r="BB679" i="11"/>
  <c r="AU609" i="11"/>
  <c r="AT659" i="11"/>
  <c r="AT656" i="11"/>
  <c r="AM657" i="11"/>
  <c r="AM651" i="11"/>
  <c r="AM654" i="11"/>
  <c r="BH619" i="11"/>
  <c r="BH616" i="11"/>
  <c r="AY651" i="11"/>
  <c r="AY654" i="11"/>
  <c r="BI543" i="11"/>
  <c r="AO636" i="11"/>
  <c r="AO630" i="11"/>
  <c r="AP584" i="11"/>
  <c r="AQ551" i="11"/>
  <c r="AQ555" i="11" s="1"/>
  <c r="AP587" i="11"/>
  <c r="BE567" i="11"/>
  <c r="BE571" i="11" s="1"/>
  <c r="BC598" i="11"/>
  <c r="BD598" i="11" s="1"/>
  <c r="BC595" i="11"/>
  <c r="BD595" i="11" s="1"/>
  <c r="AQ655" i="11"/>
  <c r="AQ653" i="11"/>
  <c r="AQ652" i="11"/>
  <c r="AQ658" i="11"/>
  <c r="BB680" i="11"/>
  <c r="BB683" i="11"/>
  <c r="BA596" i="11"/>
  <c r="BA593" i="11"/>
  <c r="BB1073" i="11"/>
  <c r="BB661" i="11" s="1"/>
  <c r="BB1069" i="11"/>
  <c r="BB1075" i="11"/>
  <c r="BB1074" i="11"/>
  <c r="BB662" i="11" s="1"/>
  <c r="BB1067" i="11"/>
  <c r="BB532" i="11" s="1"/>
  <c r="BB524" i="11" s="1"/>
  <c r="BB1068" i="11"/>
  <c r="BB533" i="11" s="1"/>
  <c r="BB525" i="11" s="1"/>
  <c r="BB1070" i="11"/>
  <c r="BB589" i="11" s="1"/>
  <c r="BB1072" i="11"/>
  <c r="BB1071" i="11"/>
  <c r="BB590" i="11" s="1"/>
  <c r="AX897" i="11"/>
  <c r="AX1002" i="11"/>
  <c r="AN515" i="11"/>
  <c r="AN518" i="11"/>
  <c r="AN34" i="11"/>
  <c r="AN229" i="11"/>
  <c r="AN512" i="11"/>
  <c r="AW665" i="11"/>
  <c r="AW668" i="11"/>
  <c r="BI616" i="11"/>
  <c r="BI620" i="11" s="1"/>
  <c r="BI619" i="11"/>
  <c r="BI617" i="11"/>
  <c r="BE530" i="11"/>
  <c r="BE527" i="11"/>
  <c r="AX654" i="11"/>
  <c r="AX657" i="11"/>
  <c r="AY657" i="11" s="1"/>
  <c r="AX651" i="11"/>
  <c r="AQ657" i="11"/>
  <c r="AQ651" i="11"/>
  <c r="AQ654" i="11"/>
  <c r="AW593" i="11"/>
  <c r="AW596" i="11"/>
  <c r="BA663" i="11"/>
  <c r="BA664" i="11"/>
  <c r="BA666" i="11"/>
  <c r="BA669" i="11"/>
  <c r="BI688" i="11"/>
  <c r="BI692" i="11" s="1"/>
  <c r="BI691" i="11"/>
  <c r="BF1072" i="11"/>
  <c r="BF1073" i="11"/>
  <c r="BF661" i="11" s="1"/>
  <c r="BF1074" i="11"/>
  <c r="BF662" i="11" s="1"/>
  <c r="BF1070" i="11"/>
  <c r="BF589" i="11" s="1"/>
  <c r="BF1067" i="11"/>
  <c r="BF532" i="11" s="1"/>
  <c r="BF524" i="11" s="1"/>
  <c r="BF1068" i="11"/>
  <c r="BF533" i="11" s="1"/>
  <c r="BF525" i="11" s="1"/>
  <c r="BF1075" i="11"/>
  <c r="BF1071" i="11"/>
  <c r="BF590" i="11" s="1"/>
  <c r="BF1069" i="11"/>
  <c r="BC692" i="11"/>
  <c r="BI639" i="11"/>
  <c r="AM653" i="11"/>
  <c r="AM652" i="11"/>
  <c r="AM655" i="11"/>
  <c r="AM658" i="11"/>
  <c r="BE593" i="11"/>
  <c r="BE596" i="11"/>
  <c r="AZ515" i="11"/>
  <c r="AZ518" i="11"/>
  <c r="AZ34" i="11"/>
  <c r="AZ229" i="11"/>
  <c r="AZ512" i="11"/>
  <c r="AK636" i="11"/>
  <c r="AK633" i="11"/>
  <c r="AK630" i="11"/>
  <c r="AW669" i="11"/>
  <c r="AW663" i="11"/>
  <c r="AW664" i="11" s="1"/>
  <c r="AW666" i="11"/>
  <c r="AV649" i="11"/>
  <c r="AV577" i="11"/>
  <c r="AV650" i="11"/>
  <c r="AV578" i="11"/>
  <c r="AW506" i="11"/>
  <c r="AW510" i="11" s="1"/>
  <c r="AV531" i="11"/>
  <c r="AV534" i="11"/>
  <c r="BA527" i="11"/>
  <c r="BA530" i="11"/>
  <c r="AW526" i="11"/>
  <c r="AW529" i="11"/>
  <c r="BB611" i="11"/>
  <c r="BB608" i="11"/>
  <c r="AS659" i="11"/>
  <c r="AS656" i="11"/>
  <c r="AU623" i="11"/>
  <c r="AU627" i="11" s="1"/>
  <c r="BT161" i="11"/>
  <c r="BT239" i="11"/>
  <c r="BT162" i="11" s="1"/>
  <c r="A239" i="11"/>
  <c r="AM585" i="11"/>
  <c r="AM579" i="11"/>
  <c r="AM582" i="11"/>
  <c r="AQ579" i="11"/>
  <c r="AQ582" i="11"/>
  <c r="AQ585" i="11"/>
  <c r="BT1093" i="11"/>
  <c r="BU5" i="11"/>
  <c r="BE529" i="11"/>
  <c r="BE526" i="11"/>
  <c r="BE528" i="11" s="1"/>
  <c r="AX580" i="11"/>
  <c r="AX583" i="11"/>
  <c r="AX586" i="11"/>
  <c r="AY586" i="11" s="1"/>
  <c r="AX581" i="11"/>
  <c r="AU600" i="11"/>
  <c r="AU601" i="11"/>
  <c r="BD689" i="11"/>
  <c r="AV667" i="11"/>
  <c r="AW639" i="11"/>
  <c r="AW643" i="11" s="1"/>
  <c r="AV670" i="11"/>
  <c r="AV158" i="11"/>
  <c r="AV99" i="11"/>
  <c r="AV573" i="11"/>
  <c r="BH669" i="11"/>
  <c r="BI669" i="11" s="1"/>
  <c r="BH666" i="11"/>
  <c r="BI666" i="11" s="1"/>
  <c r="BH663" i="11"/>
  <c r="BH664" i="11"/>
  <c r="AW684" i="11"/>
  <c r="AY626" i="11"/>
  <c r="BJ545" i="11"/>
  <c r="BJ544" i="11"/>
  <c r="AP635" i="11"/>
  <c r="AP247" i="11"/>
  <c r="AP632" i="11"/>
  <c r="AP121" i="11"/>
  <c r="AP629" i="11"/>
  <c r="BI526" i="11"/>
  <c r="BI528" i="11" s="1"/>
  <c r="BI529" i="11"/>
  <c r="AR649" i="11"/>
  <c r="AR577" i="11"/>
  <c r="AR650" i="11"/>
  <c r="AR534" i="11"/>
  <c r="AS506" i="11"/>
  <c r="AS510" i="11" s="1"/>
  <c r="AR531" i="11"/>
  <c r="AR578" i="11"/>
  <c r="AX612" i="11"/>
  <c r="BD551" i="11"/>
  <c r="BF682" i="11"/>
  <c r="BF679" i="11"/>
  <c r="BF681" i="11" s="1"/>
  <c r="BE597" i="11"/>
  <c r="BE591" i="11"/>
  <c r="BE594" i="11"/>
  <c r="BE592" i="11"/>
  <c r="BA607" i="11"/>
  <c r="BA610" i="11"/>
  <c r="AH247" i="11"/>
  <c r="AH635" i="11"/>
  <c r="AH121" i="11"/>
  <c r="AH632" i="11"/>
  <c r="AH629" i="11"/>
  <c r="AT653" i="11"/>
  <c r="AR667" i="11"/>
  <c r="AR670" i="11"/>
  <c r="AS639" i="11"/>
  <c r="AS643" i="11" s="1"/>
  <c r="AR598" i="11"/>
  <c r="AR595" i="11"/>
  <c r="AS567" i="11"/>
  <c r="AS571" i="11" s="1"/>
  <c r="AY553" i="11"/>
  <c r="AV612" i="11"/>
  <c r="AM516" i="11"/>
  <c r="AM513" i="11"/>
  <c r="AM519" i="11"/>
  <c r="AT519" i="11"/>
  <c r="AT513" i="11"/>
  <c r="AR125" i="11"/>
  <c r="AR170" i="11"/>
  <c r="AR645" i="11"/>
  <c r="BF608" i="11"/>
  <c r="BF611" i="11"/>
  <c r="AY554" i="11"/>
  <c r="AW612" i="11"/>
  <c r="AV664" i="11"/>
  <c r="BL1093" i="11"/>
  <c r="BM5" i="11"/>
  <c r="AS587" i="11"/>
  <c r="AU551" i="11"/>
  <c r="AU555" i="11" s="1"/>
  <c r="AS584" i="11"/>
  <c r="AT635" i="11"/>
  <c r="AT247" i="11"/>
  <c r="AT121" i="11"/>
  <c r="AT629" i="11"/>
  <c r="BA668" i="11"/>
  <c r="BA665" i="11"/>
  <c r="BA594" i="11"/>
  <c r="BA597" i="11"/>
  <c r="BA591" i="11"/>
  <c r="AY580" i="11"/>
  <c r="AY583" i="11"/>
  <c r="AY581" i="11"/>
  <c r="AU583" i="11"/>
  <c r="AU580" i="11"/>
  <c r="AU586" i="11"/>
  <c r="AU655" i="11"/>
  <c r="AU652" i="11"/>
  <c r="AU653" i="11"/>
  <c r="AU658" i="11"/>
  <c r="AJ636" i="11"/>
  <c r="AJ630" i="11"/>
  <c r="AU513" i="11"/>
  <c r="AU516" i="11"/>
  <c r="AU519" i="11"/>
  <c r="BF683" i="11"/>
  <c r="BF680" i="11"/>
  <c r="BA683" i="11"/>
  <c r="BA681" i="11"/>
  <c r="BA680" i="11"/>
  <c r="AX579" i="11"/>
  <c r="AX585" i="11"/>
  <c r="AY585" i="11" s="1"/>
  <c r="AX582" i="11"/>
  <c r="AR600" i="11"/>
  <c r="AR601" i="11"/>
  <c r="BC670" i="11"/>
  <c r="BD670" i="11" s="1"/>
  <c r="BC667" i="11"/>
  <c r="BD667" i="11" s="1"/>
  <c r="BE639" i="11"/>
  <c r="BE643" i="11" s="1"/>
  <c r="AR592" i="11"/>
  <c r="BI569" i="11"/>
  <c r="BF620" i="11"/>
  <c r="BJ691" i="11"/>
  <c r="BJ688" i="11"/>
  <c r="BJ689" i="11"/>
  <c r="AV125" i="11"/>
  <c r="AV170" i="11"/>
  <c r="AV645" i="11"/>
  <c r="AF826" i="11"/>
  <c r="AE1002" i="11"/>
  <c r="AI551" i="11"/>
  <c r="AI555" i="11" s="1"/>
  <c r="AH587" i="11"/>
  <c r="AH584" i="11"/>
  <c r="AL632" i="11"/>
  <c r="AL635" i="11"/>
  <c r="AL121" i="11"/>
  <c r="AL247" i="11"/>
  <c r="AL629" i="11"/>
  <c r="AZ683" i="11"/>
  <c r="AZ680" i="11"/>
  <c r="AZ681" i="11"/>
  <c r="BD650" i="11"/>
  <c r="BD531" i="11"/>
  <c r="BD578" i="11"/>
  <c r="BD534" i="11"/>
  <c r="BD649" i="11"/>
  <c r="BD577" i="11"/>
  <c r="BD510" i="11"/>
  <c r="BD537" i="11"/>
  <c r="BD536" i="11"/>
  <c r="BC537" i="11"/>
  <c r="BC536" i="11"/>
  <c r="AU684" i="11"/>
  <c r="AY624" i="11"/>
  <c r="BH591" i="11"/>
  <c r="BH594" i="11"/>
  <c r="BI594" i="11" s="1"/>
  <c r="BH597" i="11"/>
  <c r="BI597" i="11" s="1"/>
  <c r="AZ99" i="11"/>
  <c r="AZ158" i="11"/>
  <c r="AZ573" i="11"/>
  <c r="AU579" i="11"/>
  <c r="AU581" i="11" s="1"/>
  <c r="AU585" i="11"/>
  <c r="AU582" i="11"/>
  <c r="AM623" i="11"/>
  <c r="AM627" i="11" s="1"/>
  <c r="AL659" i="11"/>
  <c r="AL656" i="11"/>
  <c r="BI570" i="11"/>
  <c r="BG620" i="11"/>
  <c r="BI545" i="11"/>
  <c r="BI544" i="11"/>
  <c r="AJ564" i="11"/>
  <c r="AJ558" i="11"/>
  <c r="BE665" i="11"/>
  <c r="BE668" i="11"/>
  <c r="AG633" i="11"/>
  <c r="AG636" i="11"/>
  <c r="AG630" i="11"/>
  <c r="BI663" i="11"/>
  <c r="BI664" i="11"/>
  <c r="AX684" i="11"/>
  <c r="BD623" i="11"/>
  <c r="BE663" i="11"/>
  <c r="BE666" i="11"/>
  <c r="BE664" i="11"/>
  <c r="BE669" i="11"/>
  <c r="BA682" i="11"/>
  <c r="BA679" i="11"/>
  <c r="AX655" i="11"/>
  <c r="AX652" i="11"/>
  <c r="AX658" i="11"/>
  <c r="AY658" i="11" s="1"/>
  <c r="AZ649" i="11"/>
  <c r="BA506" i="11"/>
  <c r="BA510" i="11" s="1"/>
  <c r="AZ577" i="11"/>
  <c r="AZ578" i="11"/>
  <c r="AZ531" i="11"/>
  <c r="AZ534" i="11"/>
  <c r="AZ650" i="11"/>
  <c r="BI641" i="11"/>
  <c r="BF692" i="11"/>
  <c r="AT609" i="11"/>
  <c r="AY681" i="11"/>
  <c r="BI923" i="11"/>
  <c r="BJ947" i="11"/>
  <c r="BH947" i="11"/>
  <c r="BH923" i="11" s="1"/>
  <c r="AQ519" i="11"/>
  <c r="AQ513" i="11"/>
  <c r="AQ516" i="11"/>
  <c r="BJ606" i="11"/>
  <c r="BJ678" i="11"/>
  <c r="BN507" i="11"/>
  <c r="BJ677" i="11"/>
  <c r="BJ605" i="11"/>
  <c r="BJ548" i="11"/>
  <c r="BG1066" i="11"/>
  <c r="BG523" i="11"/>
  <c r="BG576" i="11"/>
  <c r="BG648" i="11"/>
  <c r="BJ1070" i="11"/>
  <c r="BJ589" i="11" s="1"/>
  <c r="BJ1075" i="11"/>
  <c r="BJ1073" i="11"/>
  <c r="BJ661" i="11" s="1"/>
  <c r="BJ1068" i="11"/>
  <c r="BJ533" i="11" s="1"/>
  <c r="BJ525" i="11" s="1"/>
  <c r="BJ1072" i="11"/>
  <c r="BJ1067" i="11"/>
  <c r="BJ532" i="11" s="1"/>
  <c r="BJ524" i="11" s="1"/>
  <c r="BJ1074" i="11"/>
  <c r="BJ662" i="11" s="1"/>
  <c r="BJ1069" i="11"/>
  <c r="BJ1071" i="11"/>
  <c r="BJ590" i="11" s="1"/>
  <c r="AZ608" i="11"/>
  <c r="AZ611" i="11"/>
  <c r="BB607" i="11"/>
  <c r="BB610" i="11"/>
  <c r="AY158" i="11"/>
  <c r="AY99" i="11"/>
  <c r="AY573" i="11"/>
  <c r="AM580" i="11"/>
  <c r="AM583" i="11"/>
  <c r="AM586" i="11"/>
  <c r="BH527" i="11"/>
  <c r="BH530" i="11"/>
  <c r="AY579" i="11"/>
  <c r="AY582" i="11"/>
  <c r="AZ595" i="11"/>
  <c r="BA567" i="11"/>
  <c r="BA571" i="11" s="1"/>
  <c r="AZ598" i="11"/>
  <c r="BA529" i="11"/>
  <c r="BA526" i="11"/>
  <c r="AY518" i="11"/>
  <c r="AY34" i="11"/>
  <c r="AY229" i="11"/>
  <c r="AY512" i="11"/>
  <c r="AY652" i="11"/>
  <c r="AY655" i="11"/>
  <c r="AY653" i="11"/>
  <c r="AV515" i="11"/>
  <c r="AV229" i="11"/>
  <c r="AV34" i="11"/>
  <c r="AV518" i="11"/>
  <c r="AV512" i="11"/>
  <c r="BH545" i="11"/>
  <c r="BH544" i="11"/>
  <c r="AU651" i="11"/>
  <c r="AU654" i="11"/>
  <c r="AU657" i="11"/>
  <c r="BE677" i="11"/>
  <c r="BI507" i="11"/>
  <c r="BE548" i="11"/>
  <c r="BE605" i="11"/>
  <c r="BE678" i="11"/>
  <c r="BE606" i="11"/>
  <c r="BI530" i="11"/>
  <c r="BI527" i="11"/>
  <c r="AR99" i="11"/>
  <c r="AR158" i="11"/>
  <c r="AR573" i="11"/>
  <c r="BG536" i="11"/>
  <c r="BG537" i="11"/>
  <c r="AH560" i="11"/>
  <c r="AH563" i="11"/>
  <c r="AH233" i="11"/>
  <c r="AH557" i="11"/>
  <c r="BC620" i="11"/>
  <c r="BI567" i="11"/>
  <c r="BF607" i="11"/>
  <c r="BF610" i="11"/>
  <c r="AP672" i="11"/>
  <c r="AP673" i="11"/>
  <c r="BG605" i="11"/>
  <c r="BG548" i="11"/>
  <c r="BG678" i="11"/>
  <c r="BG677" i="11"/>
  <c r="BG606" i="11"/>
  <c r="BI509" i="11"/>
  <c r="BB536" i="11"/>
  <c r="BB537" i="11"/>
  <c r="AL653" i="11"/>
  <c r="BE692" i="11"/>
  <c r="BI640" i="11"/>
  <c r="AP659" i="11"/>
  <c r="AQ623" i="11"/>
  <c r="AQ627" i="11" s="1"/>
  <c r="AP656" i="11"/>
  <c r="BP1093" i="11"/>
  <c r="BQ5" i="11"/>
  <c r="BA537" i="11"/>
  <c r="BA536" i="11"/>
  <c r="AO558" i="11"/>
  <c r="AO564" i="11"/>
  <c r="BG692" i="11"/>
  <c r="BI642" i="11"/>
  <c r="AN170" i="11"/>
  <c r="AN125" i="11"/>
  <c r="AN645" i="11"/>
  <c r="AW530" i="11"/>
  <c r="AW528" i="11"/>
  <c r="AW527" i="11"/>
  <c r="AZ125" i="11"/>
  <c r="AZ170" i="11"/>
  <c r="AZ645" i="11"/>
  <c r="BA639" i="11"/>
  <c r="BA643" i="11" s="1"/>
  <c r="AZ667" i="11"/>
  <c r="AZ670" i="11"/>
  <c r="AK561" i="11"/>
  <c r="AK564" i="11"/>
  <c r="AK558" i="11"/>
  <c r="AP563" i="11"/>
  <c r="AP233" i="11"/>
  <c r="AP560" i="11"/>
  <c r="AP557" i="11"/>
  <c r="BH596" i="11"/>
  <c r="BI596" i="11" s="1"/>
  <c r="BH593" i="11"/>
  <c r="BI593" i="11" s="1"/>
  <c r="AG558" i="11"/>
  <c r="AG564" i="11"/>
  <c r="AG561" i="11"/>
  <c r="BA608" i="11"/>
  <c r="BA611" i="11"/>
  <c r="AV595" i="11"/>
  <c r="AV598" i="11"/>
  <c r="AW567" i="11"/>
  <c r="AW571" i="11" s="1"/>
  <c r="AL584" i="11"/>
  <c r="AL587" i="11"/>
  <c r="AM551" i="11"/>
  <c r="AM555" i="11" s="1"/>
  <c r="R3" i="11"/>
  <c r="R279" i="11"/>
  <c r="S4" i="11"/>
  <c r="AY609" i="11"/>
  <c r="BC650" i="11"/>
  <c r="BC531" i="11"/>
  <c r="BC578" i="11"/>
  <c r="BC649" i="11"/>
  <c r="BE506" i="11"/>
  <c r="BE510" i="11" s="1"/>
  <c r="BC534" i="11"/>
  <c r="BC577" i="11"/>
  <c r="BH688" i="11"/>
  <c r="BH689" i="11"/>
  <c r="BH691" i="11"/>
  <c r="BH605" i="11"/>
  <c r="BH548" i="11"/>
  <c r="BH678" i="11"/>
  <c r="BH606" i="11"/>
  <c r="BH677" i="11"/>
  <c r="BN506" i="11"/>
  <c r="BI591" i="11"/>
  <c r="BI592" i="11" s="1"/>
  <c r="BD678" i="11"/>
  <c r="BD677" i="11"/>
  <c r="BD606" i="11"/>
  <c r="BD548" i="11"/>
  <c r="BD605" i="11"/>
  <c r="BH668" i="11"/>
  <c r="BI668" i="11" s="1"/>
  <c r="BH665" i="11"/>
  <c r="BI665" i="11" s="1"/>
  <c r="AH656" i="11"/>
  <c r="AI623" i="11"/>
  <c r="AI627" i="11" s="1"/>
  <c r="AH659" i="11"/>
  <c r="AY125" i="11"/>
  <c r="AY170" i="11"/>
  <c r="AY645" i="11"/>
  <c r="AV684" i="11"/>
  <c r="AY625" i="11"/>
  <c r="BG346" i="11"/>
  <c r="BH342" i="11"/>
  <c r="AZ610" i="11"/>
  <c r="AZ607" i="11"/>
  <c r="BG689" i="11"/>
  <c r="BJ619" i="11"/>
  <c r="BJ616" i="11"/>
  <c r="AP600" i="11"/>
  <c r="AP601" i="11"/>
  <c r="AR518" i="11"/>
  <c r="AR515" i="11"/>
  <c r="AR229" i="11"/>
  <c r="AR34" i="11"/>
  <c r="AR512" i="11"/>
  <c r="AR673" i="11"/>
  <c r="AR672" i="11"/>
  <c r="AQ580" i="11"/>
  <c r="AQ583" i="11"/>
  <c r="AQ581" i="11"/>
  <c r="AQ586" i="11"/>
  <c r="AN158" i="11"/>
  <c r="AN99" i="11"/>
  <c r="AN573" i="11"/>
  <c r="BC677" i="11"/>
  <c r="BC605" i="11"/>
  <c r="BC678" i="11"/>
  <c r="BC548" i="11"/>
  <c r="BI506" i="11"/>
  <c r="BC606" i="11"/>
  <c r="BH526" i="11"/>
  <c r="BH529" i="11"/>
  <c r="AH581" i="11"/>
  <c r="AR528" i="11"/>
  <c r="AI513" i="11"/>
  <c r="AI519" i="11"/>
  <c r="AI516" i="11"/>
  <c r="AT587" i="11"/>
  <c r="AT584" i="11"/>
  <c r="BD571" i="11"/>
  <c r="AL233" i="11"/>
  <c r="AL563" i="11"/>
  <c r="AL560" i="11"/>
  <c r="AL557" i="11"/>
  <c r="BD643" i="11"/>
  <c r="AZ679" i="11"/>
  <c r="AZ682" i="11"/>
  <c r="AU673" i="11"/>
  <c r="AU672" i="11"/>
  <c r="O272" i="9"/>
  <c r="BK1235" i="9"/>
  <c r="O1164" i="9"/>
  <c r="O7" i="9"/>
  <c r="P163" i="9"/>
  <c r="P154" i="9"/>
  <c r="AD1065" i="9"/>
  <c r="BU1047" i="9"/>
  <c r="BU1054" i="9" s="1"/>
  <c r="BU1176" i="9"/>
  <c r="O235" i="9"/>
  <c r="O237" i="9"/>
  <c r="AL1065" i="9"/>
  <c r="AM1059" i="9"/>
  <c r="AM1060" i="9" s="1"/>
  <c r="Q114" i="9"/>
  <c r="Q115" i="9"/>
  <c r="V118" i="9"/>
  <c r="R110" i="9"/>
  <c r="R113" i="9" s="1"/>
  <c r="Q116" i="9"/>
  <c r="Q132" i="9"/>
  <c r="Q267" i="9"/>
  <c r="T245" i="9"/>
  <c r="T248" i="9" s="1"/>
  <c r="S270" i="9"/>
  <c r="S249" i="9"/>
  <c r="S251" i="9"/>
  <c r="S259" i="9"/>
  <c r="S250" i="9"/>
  <c r="BL1233" i="9"/>
  <c r="BM5" i="9"/>
  <c r="BU825" i="9"/>
  <c r="BU830" i="9"/>
  <c r="BU833" i="9" s="1"/>
  <c r="BU925" i="9" s="1"/>
  <c r="BV819" i="9"/>
  <c r="BV814" i="9" s="1"/>
  <c r="BV883" i="9" s="1"/>
  <c r="BV1006" i="11" s="1"/>
  <c r="BV823" i="9"/>
  <c r="Q166" i="9"/>
  <c r="Q169" i="9" s="1"/>
  <c r="P171" i="9"/>
  <c r="U166" i="9"/>
  <c r="P268" i="9"/>
  <c r="P272" i="9" s="1"/>
  <c r="P188" i="9"/>
  <c r="U174" i="9"/>
  <c r="K178" i="9"/>
  <c r="Q222" i="9"/>
  <c r="Q225" i="9" s="1"/>
  <c r="P269" i="9"/>
  <c r="P227" i="9"/>
  <c r="U222" i="9"/>
  <c r="P236" i="9"/>
  <c r="O189" i="9"/>
  <c r="O187" i="9"/>
  <c r="K195" i="9"/>
  <c r="K192" i="9" s="1"/>
  <c r="K191" i="9"/>
  <c r="K177" i="9" s="1"/>
  <c r="L186" i="9" s="1"/>
  <c r="Q128" i="9"/>
  <c r="U128" i="9"/>
  <c r="P131" i="9"/>
  <c r="BT1233" i="9"/>
  <c r="BU5" i="9"/>
  <c r="P237" i="9"/>
  <c r="L69" i="9"/>
  <c r="L82" i="9" s="1"/>
  <c r="L68" i="9"/>
  <c r="M69" i="9"/>
  <c r="M82" i="9" s="1"/>
  <c r="AQ1059" i="9"/>
  <c r="AQ1060" i="9" s="1"/>
  <c r="AP1065" i="9"/>
  <c r="AT1065" i="9"/>
  <c r="AY1059" i="9"/>
  <c r="AY1060" i="9" s="1"/>
  <c r="AU1059" i="9"/>
  <c r="AU1060" i="9" s="1"/>
  <c r="BV1162" i="9"/>
  <c r="BV904" i="9"/>
  <c r="BV1132" i="9" s="1"/>
  <c r="R258" i="9"/>
  <c r="R260" i="9"/>
  <c r="S257" i="9"/>
  <c r="AI1059" i="9"/>
  <c r="AI1060" i="9" s="1"/>
  <c r="AH1065" i="9"/>
  <c r="BP1233" i="9"/>
  <c r="BQ5" i="9"/>
  <c r="BT1176" i="9"/>
  <c r="BT1047" i="9"/>
  <c r="BT1054" i="9" s="1"/>
  <c r="BS1182" i="9"/>
  <c r="M139" i="9"/>
  <c r="M135" i="9"/>
  <c r="M121" i="9" s="1"/>
  <c r="N130" i="9" s="1"/>
  <c r="P77" i="9"/>
  <c r="N9" i="9"/>
  <c r="N8" i="9"/>
  <c r="U417" i="9"/>
  <c r="Z408" i="9"/>
  <c r="Z402" i="9"/>
  <c r="V402" i="9"/>
  <c r="U432" i="9"/>
  <c r="U419" i="9"/>
  <c r="U420" i="9" s="1"/>
  <c r="Q60" i="9"/>
  <c r="R54" i="9"/>
  <c r="R57" i="9" s="1"/>
  <c r="V62" i="9"/>
  <c r="Q266" i="9"/>
  <c r="Q76" i="9"/>
  <c r="Q58" i="9"/>
  <c r="Q59" i="9"/>
  <c r="U406" i="9"/>
  <c r="Q72" i="9"/>
  <c r="P75" i="9"/>
  <c r="U72" i="9"/>
  <c r="BN1086" i="9"/>
  <c r="BO1083" i="9"/>
  <c r="BS1083" i="9"/>
  <c r="BS883" i="9"/>
  <c r="BS1054" i="9"/>
  <c r="U1000" i="9"/>
  <c r="U1001" i="9" s="1"/>
  <c r="T1001" i="9"/>
  <c r="T1172" i="9" s="1"/>
  <c r="R402" i="9"/>
  <c r="Q432" i="9"/>
  <c r="V408" i="9"/>
  <c r="Q419" i="9"/>
  <c r="Q420" i="9" s="1"/>
  <c r="N408" i="9"/>
  <c r="I432" i="9"/>
  <c r="J402" i="9"/>
  <c r="I419" i="9"/>
  <c r="N402" i="9"/>
  <c r="M432" i="9"/>
  <c r="R408" i="9"/>
  <c r="M419" i="9"/>
  <c r="M420" i="9" s="1"/>
  <c r="BP1094" i="11"/>
  <c r="BT1094" i="11"/>
  <c r="BL1094" i="11"/>
  <c r="BT1234" i="9"/>
  <c r="BP1234" i="9"/>
  <c r="BL1234" i="9"/>
  <c r="BL1095" i="11" l="1"/>
  <c r="BB594" i="11"/>
  <c r="BB592" i="11"/>
  <c r="BB597" i="11"/>
  <c r="BB591" i="11"/>
  <c r="BE158" i="11"/>
  <c r="BE99" i="11"/>
  <c r="BE573" i="11"/>
  <c r="AL564" i="11"/>
  <c r="AL558" i="11"/>
  <c r="AL561" i="11"/>
  <c r="BD552" i="11"/>
  <c r="AZ612" i="11"/>
  <c r="BG608" i="11"/>
  <c r="BG611" i="11"/>
  <c r="BG1072" i="11"/>
  <c r="BG1068" i="11"/>
  <c r="BG533" i="11" s="1"/>
  <c r="BG525" i="11" s="1"/>
  <c r="BG1073" i="11"/>
  <c r="BG661" i="11" s="1"/>
  <c r="BG1075" i="11"/>
  <c r="BG1074" i="11"/>
  <c r="BG662" i="11" s="1"/>
  <c r="BG1069" i="11"/>
  <c r="BG1070" i="11"/>
  <c r="BG589" i="11" s="1"/>
  <c r="BG1067" i="11"/>
  <c r="BG532" i="11" s="1"/>
  <c r="BG524" i="11" s="1"/>
  <c r="BG1071" i="11"/>
  <c r="BG590" i="11" s="1"/>
  <c r="AZ583" i="11"/>
  <c r="AZ586" i="11"/>
  <c r="AZ580" i="11"/>
  <c r="BH595" i="11"/>
  <c r="BI595" i="11" s="1"/>
  <c r="BJ567" i="11"/>
  <c r="BJ571" i="11" s="1"/>
  <c r="BH598" i="11"/>
  <c r="BI598" i="11" s="1"/>
  <c r="BE595" i="11"/>
  <c r="BF567" i="11"/>
  <c r="BF571" i="11" s="1"/>
  <c r="BE598" i="11"/>
  <c r="BB527" i="11"/>
  <c r="BB530" i="11"/>
  <c r="AP636" i="11"/>
  <c r="AP630" i="11"/>
  <c r="AP633" i="11"/>
  <c r="AM584" i="11"/>
  <c r="AM587" i="11"/>
  <c r="AN551" i="11"/>
  <c r="AN555" i="11" s="1"/>
  <c r="AW515" i="11"/>
  <c r="AW229" i="11"/>
  <c r="AW518" i="11"/>
  <c r="AW34" i="11"/>
  <c r="AW512" i="11"/>
  <c r="BA670" i="11"/>
  <c r="BB639" i="11"/>
  <c r="BB643" i="11" s="1"/>
  <c r="BA667" i="11"/>
  <c r="BN568" i="11"/>
  <c r="BN571" i="11" s="1"/>
  <c r="BJ620" i="11"/>
  <c r="BD608" i="11"/>
  <c r="BD611" i="11"/>
  <c r="BD609" i="11"/>
  <c r="BC652" i="11"/>
  <c r="BC658" i="11"/>
  <c r="BD658" i="11" s="1"/>
  <c r="BC655" i="11"/>
  <c r="AM581" i="11"/>
  <c r="BF527" i="11"/>
  <c r="BF530" i="11"/>
  <c r="BB529" i="11"/>
  <c r="BB526" i="11"/>
  <c r="BB528" i="11" s="1"/>
  <c r="BF529" i="11"/>
  <c r="BF526" i="11"/>
  <c r="BF528" i="11" s="1"/>
  <c r="BB663" i="11"/>
  <c r="BB666" i="11"/>
  <c r="BB664" i="11"/>
  <c r="BB669" i="11"/>
  <c r="BF596" i="11"/>
  <c r="BF593" i="11"/>
  <c r="BI677" i="11"/>
  <c r="BI548" i="11"/>
  <c r="BI606" i="11"/>
  <c r="BI605" i="11"/>
  <c r="BI678" i="11"/>
  <c r="BF666" i="11"/>
  <c r="BF663" i="11"/>
  <c r="BF664" i="11"/>
  <c r="BF669" i="11"/>
  <c r="AV600" i="11"/>
  <c r="AV601" i="11"/>
  <c r="BJ537" i="11"/>
  <c r="BJ536" i="11"/>
  <c r="AM233" i="11"/>
  <c r="AM560" i="11"/>
  <c r="AM563" i="11"/>
  <c r="AM557" i="11"/>
  <c r="BG682" i="11"/>
  <c r="BG679" i="11"/>
  <c r="BH592" i="11"/>
  <c r="AX659" i="11"/>
  <c r="AZ623" i="11"/>
  <c r="AZ627" i="11" s="1"/>
  <c r="AX656" i="11"/>
  <c r="AY519" i="11"/>
  <c r="AY513" i="11"/>
  <c r="AX673" i="11"/>
  <c r="AY673" i="11"/>
  <c r="AY627" i="11"/>
  <c r="AY672" i="11"/>
  <c r="AX672" i="11"/>
  <c r="BE611" i="11"/>
  <c r="BE608" i="11"/>
  <c r="AX653" i="11"/>
  <c r="AI233" i="11"/>
  <c r="AI560" i="11"/>
  <c r="AI563" i="11"/>
  <c r="AI557" i="11"/>
  <c r="BJ611" i="11"/>
  <c r="BJ608" i="11"/>
  <c r="BB668" i="11"/>
  <c r="BB665" i="11"/>
  <c r="AY659" i="11"/>
  <c r="AY656" i="11"/>
  <c r="AT564" i="11"/>
  <c r="AT558" i="11"/>
  <c r="BF591" i="11"/>
  <c r="BF597" i="11"/>
  <c r="BF592" i="11"/>
  <c r="BF594" i="11"/>
  <c r="AX567" i="11"/>
  <c r="AX571" i="11" s="1"/>
  <c r="AW598" i="11"/>
  <c r="AW595" i="11"/>
  <c r="BH679" i="11"/>
  <c r="BH682" i="11"/>
  <c r="BJ607" i="11"/>
  <c r="BJ610" i="11"/>
  <c r="BJ679" i="11"/>
  <c r="BJ682" i="11"/>
  <c r="BH680" i="11"/>
  <c r="BH683" i="11"/>
  <c r="BG610" i="11"/>
  <c r="BG607" i="11"/>
  <c r="BK536" i="11"/>
  <c r="BK537" i="11"/>
  <c r="BN510" i="11"/>
  <c r="BF536" i="11"/>
  <c r="BF537" i="11"/>
  <c r="BH620" i="11"/>
  <c r="BN567" i="11"/>
  <c r="AZ582" i="11"/>
  <c r="AZ579" i="11"/>
  <c r="AZ581" i="11" s="1"/>
  <c r="AZ585" i="11"/>
  <c r="BM1093" i="11"/>
  <c r="BE650" i="11"/>
  <c r="BE578" i="11"/>
  <c r="BE534" i="11"/>
  <c r="BF506" i="11"/>
  <c r="BF510" i="11" s="1"/>
  <c r="BE649" i="11"/>
  <c r="BE577" i="11"/>
  <c r="BE531" i="11"/>
  <c r="AX639" i="11"/>
  <c r="AX643" i="11" s="1"/>
  <c r="AW667" i="11"/>
  <c r="AW670" i="11"/>
  <c r="AQ563" i="11"/>
  <c r="AQ233" i="11"/>
  <c r="AQ560" i="11"/>
  <c r="AQ557" i="11"/>
  <c r="BI342" i="11"/>
  <c r="BI346" i="11" s="1"/>
  <c r="BJ342" i="11" s="1"/>
  <c r="BJ346" i="11" s="1"/>
  <c r="BH346" i="11"/>
  <c r="BG680" i="11"/>
  <c r="BG681" i="11"/>
  <c r="BG683" i="11"/>
  <c r="AU635" i="11"/>
  <c r="AU632" i="11"/>
  <c r="AU121" i="11"/>
  <c r="AU247" i="11"/>
  <c r="AU629" i="11"/>
  <c r="BH608" i="11"/>
  <c r="BH611" i="11"/>
  <c r="AZ651" i="11"/>
  <c r="AZ654" i="11"/>
  <c r="AZ657" i="11"/>
  <c r="BD158" i="11"/>
  <c r="BD99" i="11"/>
  <c r="BD573" i="11"/>
  <c r="AW673" i="11"/>
  <c r="AW672" i="11"/>
  <c r="AW99" i="11"/>
  <c r="AW158" i="11"/>
  <c r="AW573" i="11"/>
  <c r="BA125" i="11"/>
  <c r="BA170" i="11"/>
  <c r="BA645" i="11"/>
  <c r="BE680" i="11"/>
  <c r="BE683" i="11"/>
  <c r="BB612" i="11"/>
  <c r="BD554" i="11"/>
  <c r="AX584" i="11"/>
  <c r="AX587" i="11"/>
  <c r="AZ551" i="11"/>
  <c r="AZ555" i="11" s="1"/>
  <c r="AS158" i="11"/>
  <c r="AS99" i="11"/>
  <c r="AS573" i="11"/>
  <c r="AZ600" i="11"/>
  <c r="AZ601" i="11"/>
  <c r="BE607" i="11"/>
  <c r="BE610" i="11"/>
  <c r="BJ680" i="11"/>
  <c r="BJ683" i="11"/>
  <c r="BJ681" i="11"/>
  <c r="BB506" i="11"/>
  <c r="BB510" i="11" s="1"/>
  <c r="BA649" i="11"/>
  <c r="BA577" i="11"/>
  <c r="BA534" i="11"/>
  <c r="BA531" i="11"/>
  <c r="BA578" i="11"/>
  <c r="BA650" i="11"/>
  <c r="AR583" i="11"/>
  <c r="AR586" i="11"/>
  <c r="AR580" i="11"/>
  <c r="BB609" i="11"/>
  <c r="AZ609" i="11"/>
  <c r="AG826" i="11"/>
  <c r="AF827" i="11"/>
  <c r="AF1002" i="11" s="1"/>
  <c r="BB567" i="11"/>
  <c r="BB571" i="11" s="1"/>
  <c r="BA595" i="11"/>
  <c r="BA598" i="11"/>
  <c r="AS170" i="11"/>
  <c r="AS125" i="11"/>
  <c r="AS645" i="11"/>
  <c r="AZ516" i="11"/>
  <c r="AZ513" i="11"/>
  <c r="AZ519" i="11"/>
  <c r="BD582" i="11"/>
  <c r="BD579" i="11"/>
  <c r="BA592" i="11"/>
  <c r="AW649" i="11"/>
  <c r="AW577" i="11"/>
  <c r="AW534" i="11"/>
  <c r="AW578" i="11"/>
  <c r="AX506" i="11"/>
  <c r="AX510" i="11" s="1"/>
  <c r="AW650" i="11"/>
  <c r="AW531" i="11"/>
  <c r="BJ593" i="11"/>
  <c r="BJ596" i="11"/>
  <c r="AV586" i="11"/>
  <c r="AV583" i="11"/>
  <c r="AV580" i="11"/>
  <c r="BC680" i="11"/>
  <c r="BC683" i="11"/>
  <c r="BJ617" i="11"/>
  <c r="BD682" i="11"/>
  <c r="BD679" i="11"/>
  <c r="BD684" i="11" s="1"/>
  <c r="AZ655" i="11"/>
  <c r="AZ658" i="11"/>
  <c r="AZ652" i="11"/>
  <c r="AZ653" i="11"/>
  <c r="BE125" i="11"/>
  <c r="BE170" i="11"/>
  <c r="BE645" i="11"/>
  <c r="BA612" i="11"/>
  <c r="BD553" i="11"/>
  <c r="AV658" i="11"/>
  <c r="AV653" i="11"/>
  <c r="AV652" i="11"/>
  <c r="AV655" i="11"/>
  <c r="BB684" i="11"/>
  <c r="BD626" i="11"/>
  <c r="BD624" i="11"/>
  <c r="AZ684" i="11"/>
  <c r="BC607" i="11"/>
  <c r="BC610" i="11"/>
  <c r="BD680" i="11"/>
  <c r="BD683" i="11"/>
  <c r="S3" i="11"/>
  <c r="S279" i="11"/>
  <c r="T4" i="11"/>
  <c r="AL636" i="11"/>
  <c r="AL633" i="11"/>
  <c r="AL630" i="11"/>
  <c r="AU563" i="11"/>
  <c r="AU233" i="11"/>
  <c r="AU560" i="11"/>
  <c r="AU557" i="11"/>
  <c r="AV579" i="11"/>
  <c r="AV581" i="11" s="1"/>
  <c r="AV585" i="11"/>
  <c r="AV582" i="11"/>
  <c r="BD170" i="11"/>
  <c r="BD125" i="11"/>
  <c r="BD645" i="11"/>
  <c r="BC679" i="11"/>
  <c r="BC682" i="11"/>
  <c r="BH536" i="11"/>
  <c r="BI537" i="11"/>
  <c r="BI536" i="11"/>
  <c r="BH537" i="11"/>
  <c r="BI510" i="11"/>
  <c r="AV651" i="11"/>
  <c r="AV654" i="11"/>
  <c r="AV657" i="11"/>
  <c r="AQ656" i="11"/>
  <c r="AQ659" i="11"/>
  <c r="AR623" i="11"/>
  <c r="AR627" i="11" s="1"/>
  <c r="BJ597" i="11"/>
  <c r="BJ594" i="11"/>
  <c r="BJ591" i="11"/>
  <c r="BD625" i="11"/>
  <c r="BA684" i="11"/>
  <c r="BI571" i="11"/>
  <c r="BD229" i="11"/>
  <c r="BD518" i="11"/>
  <c r="BD34" i="11"/>
  <c r="BD512" i="11"/>
  <c r="AS518" i="11"/>
  <c r="AS515" i="11"/>
  <c r="AS229" i="11"/>
  <c r="AS34" i="11"/>
  <c r="AS512" i="11"/>
  <c r="AR519" i="11"/>
  <c r="AR516" i="11"/>
  <c r="AR513" i="11"/>
  <c r="BH692" i="11"/>
  <c r="BN639" i="11"/>
  <c r="BA158" i="11"/>
  <c r="BA99" i="11"/>
  <c r="BA573" i="11"/>
  <c r="BS1006" i="11"/>
  <c r="AI635" i="11"/>
  <c r="AI632" i="11"/>
  <c r="AI121" i="11"/>
  <c r="AI247" i="11"/>
  <c r="AI629" i="11"/>
  <c r="BC579" i="11"/>
  <c r="BC582" i="11"/>
  <c r="BC585" i="11"/>
  <c r="BD585" i="11" s="1"/>
  <c r="AQ635" i="11"/>
  <c r="AQ247" i="11"/>
  <c r="AQ632" i="11"/>
  <c r="AQ121" i="11"/>
  <c r="AQ629" i="11"/>
  <c r="BJ669" i="11"/>
  <c r="BJ663" i="11"/>
  <c r="BJ664" i="11" s="1"/>
  <c r="BJ666" i="11"/>
  <c r="BD654" i="11"/>
  <c r="BD651" i="11"/>
  <c r="AY600" i="11"/>
  <c r="AX600" i="11"/>
  <c r="AY555" i="11"/>
  <c r="AX601" i="11"/>
  <c r="AY601" i="11"/>
  <c r="AR655" i="11"/>
  <c r="AR652" i="11"/>
  <c r="AR658" i="11"/>
  <c r="BI689" i="11"/>
  <c r="BH617" i="11"/>
  <c r="BC611" i="11"/>
  <c r="BC608" i="11"/>
  <c r="BC609" i="11"/>
  <c r="BD607" i="11"/>
  <c r="BD612" i="11" s="1"/>
  <c r="BD610" i="11"/>
  <c r="BC586" i="11"/>
  <c r="BD586" i="11" s="1"/>
  <c r="BC583" i="11"/>
  <c r="BC580" i="11"/>
  <c r="AV516" i="11"/>
  <c r="AV513" i="11"/>
  <c r="AV519" i="11"/>
  <c r="BU1093" i="11"/>
  <c r="BV5" i="11"/>
  <c r="BH607" i="11"/>
  <c r="BH610" i="11"/>
  <c r="BJ529" i="11"/>
  <c r="BJ526" i="11"/>
  <c r="BJ923" i="11"/>
  <c r="BJ948" i="11"/>
  <c r="BK948" i="11" s="1"/>
  <c r="BL948" i="11" s="1"/>
  <c r="BM948" i="11" s="1"/>
  <c r="BN948" i="11" s="1"/>
  <c r="BO948" i="11" s="1"/>
  <c r="BP948" i="11" s="1"/>
  <c r="BQ948" i="11" s="1"/>
  <c r="BR948" i="11" s="1"/>
  <c r="BS948" i="11" s="1"/>
  <c r="BT948" i="11" s="1"/>
  <c r="BU948" i="11" s="1"/>
  <c r="BV948" i="11" s="1"/>
  <c r="AM247" i="11"/>
  <c r="AM632" i="11"/>
  <c r="AM635" i="11"/>
  <c r="AM121" i="11"/>
  <c r="AM629" i="11"/>
  <c r="AH633" i="11"/>
  <c r="AH636" i="11"/>
  <c r="AH630" i="11"/>
  <c r="AR579" i="11"/>
  <c r="AR581" i="11" s="1"/>
  <c r="AR582" i="11"/>
  <c r="AR585" i="11"/>
  <c r="BA528" i="11"/>
  <c r="BJ668" i="11"/>
  <c r="BJ665" i="11"/>
  <c r="AZ672" i="11"/>
  <c r="AZ673" i="11"/>
  <c r="AV551" i="11"/>
  <c r="AV555" i="11" s="1"/>
  <c r="AU584" i="11"/>
  <c r="AU587" i="11"/>
  <c r="BD652" i="11"/>
  <c r="BD655" i="11"/>
  <c r="BI650" i="11"/>
  <c r="BI531" i="11"/>
  <c r="BI577" i="11"/>
  <c r="BI534" i="11"/>
  <c r="BI649" i="11"/>
  <c r="BI578" i="11"/>
  <c r="BE536" i="11"/>
  <c r="BE537" i="11"/>
  <c r="AP558" i="11"/>
  <c r="AP561" i="11"/>
  <c r="AP564" i="11"/>
  <c r="BI643" i="11"/>
  <c r="BF665" i="11"/>
  <c r="BF668" i="11"/>
  <c r="BK1097" i="11"/>
  <c r="BK1100" i="11"/>
  <c r="BK1098" i="11"/>
  <c r="BK1096" i="11"/>
  <c r="BK1099" i="11"/>
  <c r="BK1101" i="11"/>
  <c r="BK1102" i="11"/>
  <c r="BA609" i="11"/>
  <c r="BF612" i="11"/>
  <c r="BI553" i="11"/>
  <c r="BE682" i="11"/>
  <c r="BE679" i="11"/>
  <c r="AH558" i="11"/>
  <c r="AH564" i="11"/>
  <c r="AH561" i="11"/>
  <c r="AU659" i="11"/>
  <c r="AV623" i="11"/>
  <c r="AV627" i="11" s="1"/>
  <c r="AU656" i="11"/>
  <c r="BE229" i="11"/>
  <c r="BE518" i="11"/>
  <c r="BE515" i="11"/>
  <c r="BE34" i="11"/>
  <c r="BE512" i="11"/>
  <c r="AY584" i="11"/>
  <c r="AY587" i="11"/>
  <c r="BN919" i="11"/>
  <c r="BJ919" i="11"/>
  <c r="BI922" i="11"/>
  <c r="BD581" i="11"/>
  <c r="BD580" i="11"/>
  <c r="BD583" i="11"/>
  <c r="BJ692" i="11"/>
  <c r="BN640" i="11"/>
  <c r="BN643" i="11" s="1"/>
  <c r="AR657" i="11"/>
  <c r="AR651" i="11"/>
  <c r="AR654" i="11"/>
  <c r="AW125" i="11"/>
  <c r="AW170" i="11"/>
  <c r="AW645" i="11"/>
  <c r="AN516" i="11"/>
  <c r="AN513" i="11"/>
  <c r="AN519" i="11"/>
  <c r="BB681" i="11"/>
  <c r="AM656" i="11"/>
  <c r="AN623" i="11"/>
  <c r="AN627" i="11" s="1"/>
  <c r="AM659" i="11"/>
  <c r="BB593" i="11"/>
  <c r="BB596" i="11"/>
  <c r="BA518" i="11"/>
  <c r="BA34" i="11"/>
  <c r="BA515" i="11"/>
  <c r="BA229" i="11"/>
  <c r="BA512" i="11"/>
  <c r="AV672" i="11"/>
  <c r="AV673" i="11"/>
  <c r="BI625" i="11"/>
  <c r="BF684" i="11"/>
  <c r="BQ1093" i="11"/>
  <c r="BR5" i="11"/>
  <c r="AW600" i="11"/>
  <c r="AW601" i="11"/>
  <c r="BH670" i="11"/>
  <c r="BI670" i="11" s="1"/>
  <c r="BH667" i="11"/>
  <c r="BI667" i="11" s="1"/>
  <c r="BJ639" i="11"/>
  <c r="BJ643" i="11" s="1"/>
  <c r="BH650" i="11"/>
  <c r="BH578" i="11"/>
  <c r="BH531" i="11"/>
  <c r="BJ506" i="11"/>
  <c r="BJ510" i="11" s="1"/>
  <c r="BH534" i="11"/>
  <c r="BH649" i="11"/>
  <c r="BH577" i="11"/>
  <c r="BC654" i="11"/>
  <c r="BC651" i="11"/>
  <c r="BC657" i="11"/>
  <c r="BD657" i="11" s="1"/>
  <c r="BH528" i="11"/>
  <c r="BJ528" i="11"/>
  <c r="BJ530" i="11"/>
  <c r="BJ527" i="11"/>
  <c r="BE670" i="11"/>
  <c r="BE667" i="11"/>
  <c r="BF639" i="11"/>
  <c r="BF643" i="11" s="1"/>
  <c r="AT630" i="11"/>
  <c r="AT636" i="11"/>
  <c r="BF609" i="11"/>
  <c r="AQ587" i="11"/>
  <c r="AR551" i="11"/>
  <c r="AR555" i="11" s="1"/>
  <c r="AQ584" i="11"/>
  <c r="M122" i="9"/>
  <c r="BL1235" i="9"/>
  <c r="P1164" i="9"/>
  <c r="P7" i="9"/>
  <c r="P9" i="9" s="1"/>
  <c r="BU1233" i="9"/>
  <c r="BV5" i="9"/>
  <c r="S258" i="9"/>
  <c r="S260" i="9"/>
  <c r="T257" i="9"/>
  <c r="R405" i="9"/>
  <c r="S54" i="9"/>
  <c r="S57" i="9" s="1"/>
  <c r="W62" i="9"/>
  <c r="R60" i="9"/>
  <c r="R266" i="9"/>
  <c r="R76" i="9"/>
  <c r="R58" i="9"/>
  <c r="R59" i="9"/>
  <c r="AU1065" i="9"/>
  <c r="AV1059" i="9"/>
  <c r="AV1060" i="9" s="1"/>
  <c r="V1000" i="9"/>
  <c r="U1172" i="9"/>
  <c r="AZ1059" i="9"/>
  <c r="AZ1060" i="9" s="1"/>
  <c r="AY1065" i="9"/>
  <c r="BD1059" i="9"/>
  <c r="BD1060" i="9" s="1"/>
  <c r="T270" i="9"/>
  <c r="T249" i="9"/>
  <c r="T251" i="9"/>
  <c r="U251" i="9" s="1"/>
  <c r="T250" i="9"/>
  <c r="U248" i="9"/>
  <c r="T259" i="9"/>
  <c r="BV825" i="9"/>
  <c r="BV830" i="9"/>
  <c r="BV833" i="9" s="1"/>
  <c r="BV925" i="9" s="1"/>
  <c r="R166" i="9"/>
  <c r="R169" i="9" s="1"/>
  <c r="Q172" i="9"/>
  <c r="Q171" i="9"/>
  <c r="Q170" i="9"/>
  <c r="Q268" i="9"/>
  <c r="Q272" i="9" s="1"/>
  <c r="V174" i="9"/>
  <c r="Q188" i="9"/>
  <c r="BS1176" i="9"/>
  <c r="BS1183" i="9"/>
  <c r="V405" i="9"/>
  <c r="Q131" i="9"/>
  <c r="R128" i="9"/>
  <c r="Q133" i="9"/>
  <c r="BQ1233" i="9"/>
  <c r="BR5" i="9"/>
  <c r="AR1059" i="9"/>
  <c r="AR1060" i="9" s="1"/>
  <c r="AQ1065" i="9"/>
  <c r="W118" i="9"/>
  <c r="S110" i="9"/>
  <c r="S113" i="9" s="1"/>
  <c r="R116" i="9"/>
  <c r="R114" i="9"/>
  <c r="R132" i="9"/>
  <c r="R267" i="9"/>
  <c r="R115" i="9"/>
  <c r="M83" i="9"/>
  <c r="M80" i="9" s="1"/>
  <c r="M79" i="9"/>
  <c r="M65" i="9" s="1"/>
  <c r="L83" i="9"/>
  <c r="L79" i="9"/>
  <c r="L65" i="9" s="1"/>
  <c r="L66" i="9" s="1"/>
  <c r="P235" i="9"/>
  <c r="Q234" i="9"/>
  <c r="U234" i="9"/>
  <c r="AI1065" i="9"/>
  <c r="AM1065" i="9"/>
  <c r="AN1059" i="9"/>
  <c r="AN1060" i="9" s="1"/>
  <c r="U184" i="9"/>
  <c r="Q184" i="9"/>
  <c r="P187" i="9"/>
  <c r="L185" i="9"/>
  <c r="N405" i="9"/>
  <c r="BV1176" i="9"/>
  <c r="BV1047" i="9"/>
  <c r="BV1054" i="9" s="1"/>
  <c r="BO1084" i="9"/>
  <c r="BO1097" i="9"/>
  <c r="Z415" i="9"/>
  <c r="U416" i="9"/>
  <c r="P107" i="9"/>
  <c r="P98" i="9"/>
  <c r="J405" i="9"/>
  <c r="N129" i="9"/>
  <c r="Q75" i="9"/>
  <c r="Q74" i="9" s="1"/>
  <c r="Q77" i="9"/>
  <c r="R72" i="9"/>
  <c r="Z405" i="9"/>
  <c r="O9" i="9"/>
  <c r="O8" i="9"/>
  <c r="P189" i="9"/>
  <c r="M136" i="9"/>
  <c r="R222" i="9"/>
  <c r="R225" i="9" s="1"/>
  <c r="Q226" i="9"/>
  <c r="Q228" i="9"/>
  <c r="Q269" i="9"/>
  <c r="Q227" i="9"/>
  <c r="Q236" i="9"/>
  <c r="BM1233" i="9"/>
  <c r="BK1242" i="9"/>
  <c r="BK1236" i="9"/>
  <c r="BK626" i="9" s="1"/>
  <c r="BK1241" i="9"/>
  <c r="BK1237" i="9"/>
  <c r="BK1240" i="9"/>
  <c r="BK1239" i="9"/>
  <c r="BK1238" i="9"/>
  <c r="BU1094" i="11"/>
  <c r="BQ1094" i="11"/>
  <c r="BM1094" i="11"/>
  <c r="BU1234" i="9"/>
  <c r="BQ1234" i="9"/>
  <c r="BM1234" i="9"/>
  <c r="BM1095" i="11" l="1"/>
  <c r="BN1095" i="11"/>
  <c r="BO1095" i="11"/>
  <c r="BP1095" i="11"/>
  <c r="BQ1095" i="11"/>
  <c r="BG529" i="11"/>
  <c r="BG526" i="11"/>
  <c r="BG596" i="11"/>
  <c r="BG593" i="11"/>
  <c r="BC567" i="11"/>
  <c r="BC571" i="11" s="1"/>
  <c r="BB598" i="11"/>
  <c r="BB595" i="11"/>
  <c r="BG666" i="11"/>
  <c r="BG669" i="11"/>
  <c r="BG663" i="11"/>
  <c r="BG664" i="11" s="1"/>
  <c r="BG668" i="11"/>
  <c r="BG665" i="11"/>
  <c r="BG527" i="11"/>
  <c r="BG530" i="11"/>
  <c r="AR635" i="11"/>
  <c r="AR632" i="11"/>
  <c r="AR121" i="11"/>
  <c r="AR247" i="11"/>
  <c r="AR629" i="11"/>
  <c r="BN99" i="11"/>
  <c r="BN158" i="11"/>
  <c r="BN573" i="11"/>
  <c r="BL1100" i="11"/>
  <c r="BL1096" i="11"/>
  <c r="BL1101" i="11"/>
  <c r="BL1102" i="11"/>
  <c r="BL1099" i="11"/>
  <c r="BL1098" i="11"/>
  <c r="BL1097" i="11"/>
  <c r="BB158" i="11"/>
  <c r="BB99" i="11"/>
  <c r="BB573" i="11"/>
  <c r="BN552" i="11"/>
  <c r="BJ612" i="11"/>
  <c r="AM561" i="11"/>
  <c r="AM558" i="11"/>
  <c r="AM564" i="11"/>
  <c r="BI170" i="11"/>
  <c r="BI125" i="11"/>
  <c r="BI645" i="11"/>
  <c r="BN551" i="11"/>
  <c r="BH612" i="11"/>
  <c r="BB601" i="11"/>
  <c r="BB600" i="11"/>
  <c r="AQ558" i="11"/>
  <c r="AQ561" i="11"/>
  <c r="AQ564" i="11"/>
  <c r="BJ158" i="11"/>
  <c r="BJ99" i="11"/>
  <c r="BJ573" i="11"/>
  <c r="BK752" i="9"/>
  <c r="BK31" i="9" s="1"/>
  <c r="BK228" i="11"/>
  <c r="BK33" i="11" s="1"/>
  <c r="AV632" i="11"/>
  <c r="AV635" i="11"/>
  <c r="AV247" i="11"/>
  <c r="AV121" i="11"/>
  <c r="AV629" i="11"/>
  <c r="AH826" i="11"/>
  <c r="AG827" i="11"/>
  <c r="AG1002" i="11" s="1"/>
  <c r="BN623" i="11"/>
  <c r="BH684" i="11"/>
  <c r="BB670" i="11"/>
  <c r="BC639" i="11"/>
  <c r="BC643" i="11" s="1"/>
  <c r="BB667" i="11"/>
  <c r="BA601" i="11"/>
  <c r="BA600" i="11"/>
  <c r="BG672" i="11"/>
  <c r="BG673" i="11"/>
  <c r="AS519" i="11"/>
  <c r="AS516" i="11"/>
  <c r="AS513" i="11"/>
  <c r="AW655" i="11"/>
  <c r="AW652" i="11"/>
  <c r="AW658" i="11"/>
  <c r="AR659" i="11"/>
  <c r="AR656" i="11"/>
  <c r="AS623" i="11"/>
  <c r="AS627" i="11" s="1"/>
  <c r="AV656" i="11"/>
  <c r="AV659" i="11"/>
  <c r="AW623" i="11"/>
  <c r="AW627" i="11" s="1"/>
  <c r="BJ518" i="11"/>
  <c r="BJ515" i="11"/>
  <c r="BJ229" i="11"/>
  <c r="BJ34" i="11"/>
  <c r="BJ512" i="11"/>
  <c r="BV1093" i="11"/>
  <c r="BN170" i="11"/>
  <c r="BN125" i="11"/>
  <c r="AR653" i="11"/>
  <c r="AZ560" i="11"/>
  <c r="AZ563" i="11"/>
  <c r="AZ233" i="11"/>
  <c r="AZ557" i="11"/>
  <c r="AR563" i="11"/>
  <c r="AR233" i="11"/>
  <c r="AR560" i="11"/>
  <c r="AR557" i="11"/>
  <c r="BH586" i="11"/>
  <c r="BI586" i="11" s="1"/>
  <c r="BH581" i="11"/>
  <c r="BH580" i="11"/>
  <c r="BH583" i="11"/>
  <c r="BI624" i="11"/>
  <c r="BE684" i="11"/>
  <c r="BI580" i="11"/>
  <c r="BI583" i="11"/>
  <c r="AW579" i="11"/>
  <c r="AW585" i="11"/>
  <c r="AW582" i="11"/>
  <c r="BA623" i="11"/>
  <c r="BA627" i="11" s="1"/>
  <c r="AZ659" i="11"/>
  <c r="AZ656" i="11"/>
  <c r="BH658" i="11"/>
  <c r="BI658" i="11" s="1"/>
  <c r="BH655" i="11"/>
  <c r="BH652" i="11"/>
  <c r="BI654" i="11"/>
  <c r="BI651" i="11"/>
  <c r="AW657" i="11"/>
  <c r="AW651" i="11"/>
  <c r="AW653" i="11" s="1"/>
  <c r="AW654" i="11"/>
  <c r="BH609" i="11"/>
  <c r="BJ170" i="11"/>
  <c r="BJ125" i="11"/>
  <c r="BJ645" i="11"/>
  <c r="BD555" i="11"/>
  <c r="BC601" i="11"/>
  <c r="BD600" i="11"/>
  <c r="BD601" i="11"/>
  <c r="BC600" i="11"/>
  <c r="BE579" i="11"/>
  <c r="BE585" i="11"/>
  <c r="BE582" i="11"/>
  <c r="BI582" i="11"/>
  <c r="BI579" i="11"/>
  <c r="AY233" i="11"/>
  <c r="AY563" i="11"/>
  <c r="AY557" i="11"/>
  <c r="BD681" i="11"/>
  <c r="BD587" i="11"/>
  <c r="BD584" i="11"/>
  <c r="BA586" i="11"/>
  <c r="BA581" i="11"/>
  <c r="BA580" i="11"/>
  <c r="BA583" i="11"/>
  <c r="BE651" i="11"/>
  <c r="BE654" i="11"/>
  <c r="BE657" i="11"/>
  <c r="BC684" i="11"/>
  <c r="BI623" i="11"/>
  <c r="AU630" i="11"/>
  <c r="AU633" i="11"/>
  <c r="AU636" i="11"/>
  <c r="BF170" i="11"/>
  <c r="BF125" i="11"/>
  <c r="BF645" i="11"/>
  <c r="BI655" i="11"/>
  <c r="BI653" i="11"/>
  <c r="BI652" i="11"/>
  <c r="BI607" i="11"/>
  <c r="BI612" i="11" s="1"/>
  <c r="BI610" i="11"/>
  <c r="BA673" i="11"/>
  <c r="BA672" i="11"/>
  <c r="BJ595" i="11"/>
  <c r="BJ598" i="11"/>
  <c r="BK567" i="11"/>
  <c r="BK571" i="11" s="1"/>
  <c r="BH681" i="11"/>
  <c r="BE519" i="11"/>
  <c r="BE513" i="11"/>
  <c r="BE516" i="11"/>
  <c r="BK919" i="11"/>
  <c r="BI679" i="11"/>
  <c r="BI684" i="11" s="1"/>
  <c r="BI682" i="11"/>
  <c r="BK764" i="9"/>
  <c r="BK45" i="9" s="1"/>
  <c r="BK240" i="11"/>
  <c r="AI561" i="11"/>
  <c r="AI564" i="11"/>
  <c r="AI558" i="11"/>
  <c r="BC656" i="11"/>
  <c r="BE623" i="11"/>
  <c r="BE627" i="11" s="1"/>
  <c r="BC659" i="11"/>
  <c r="AQ636" i="11"/>
  <c r="AQ630" i="11"/>
  <c r="AQ633" i="11"/>
  <c r="BE612" i="11"/>
  <c r="BI552" i="11"/>
  <c r="BB125" i="11"/>
  <c r="BB170" i="11"/>
  <c r="BB645" i="11"/>
  <c r="BH585" i="11"/>
  <c r="BI585" i="11" s="1"/>
  <c r="BH579" i="11"/>
  <c r="BH582" i="11"/>
  <c r="BH657" i="11"/>
  <c r="BI657" i="11" s="1"/>
  <c r="BH654" i="11"/>
  <c r="BH651" i="11"/>
  <c r="BH653" i="11" s="1"/>
  <c r="AZ587" i="11"/>
  <c r="AZ584" i="11"/>
  <c r="BA551" i="11"/>
  <c r="BA555" i="11" s="1"/>
  <c r="BF578" i="11"/>
  <c r="BF534" i="11"/>
  <c r="BF649" i="11"/>
  <c r="BF650" i="11"/>
  <c r="BF577" i="11"/>
  <c r="BG506" i="11"/>
  <c r="BG510" i="11" s="1"/>
  <c r="BF531" i="11"/>
  <c r="AW516" i="11"/>
  <c r="AW513" i="11"/>
  <c r="AW519" i="11"/>
  <c r="AX518" i="11"/>
  <c r="AX34" i="11"/>
  <c r="AX229" i="11"/>
  <c r="AX515" i="11"/>
  <c r="AX512" i="11"/>
  <c r="BI518" i="11"/>
  <c r="BI229" i="11"/>
  <c r="BI34" i="11"/>
  <c r="BI512" i="11"/>
  <c r="T3" i="11"/>
  <c r="T279" i="11"/>
  <c r="U4" i="11"/>
  <c r="AW580" i="11"/>
  <c r="AW586" i="11"/>
  <c r="AW581" i="11"/>
  <c r="AW583" i="11"/>
  <c r="AX99" i="11"/>
  <c r="AX158" i="11"/>
  <c r="AX573" i="11"/>
  <c r="BE609" i="11"/>
  <c r="BB649" i="11"/>
  <c r="BC506" i="11"/>
  <c r="BC510" i="11" s="1"/>
  <c r="BB578" i="11"/>
  <c r="BB577" i="11"/>
  <c r="BB531" i="11"/>
  <c r="BB534" i="11"/>
  <c r="BB650" i="11"/>
  <c r="BA516" i="11"/>
  <c r="BA519" i="11"/>
  <c r="BA513" i="11"/>
  <c r="AR587" i="11"/>
  <c r="AR584" i="11"/>
  <c r="AS551" i="11"/>
  <c r="AS555" i="11" s="1"/>
  <c r="BE551" i="11"/>
  <c r="BE555" i="11" s="1"/>
  <c r="BC584" i="11"/>
  <c r="BC587" i="11"/>
  <c r="AX125" i="11"/>
  <c r="AX170" i="11"/>
  <c r="AX645" i="11"/>
  <c r="BD513" i="11"/>
  <c r="BD519" i="11"/>
  <c r="BG601" i="11"/>
  <c r="BG600" i="11"/>
  <c r="BA658" i="11"/>
  <c r="BA655" i="11"/>
  <c r="BA653" i="11"/>
  <c r="BA652" i="11"/>
  <c r="BF667" i="11"/>
  <c r="BF670" i="11"/>
  <c r="BG639" i="11"/>
  <c r="BG643" i="11" s="1"/>
  <c r="BF229" i="11"/>
  <c r="BF515" i="11"/>
  <c r="BF34" i="11"/>
  <c r="BF518" i="11"/>
  <c r="BF512" i="11"/>
  <c r="BI683" i="11"/>
  <c r="BI680" i="11"/>
  <c r="BD656" i="11"/>
  <c r="BD659" i="11"/>
  <c r="BA582" i="11"/>
  <c r="BA585" i="11"/>
  <c r="BA579" i="11"/>
  <c r="BE681" i="11"/>
  <c r="BE581" i="11"/>
  <c r="BE583" i="11"/>
  <c r="BE586" i="11"/>
  <c r="BE580" i="11"/>
  <c r="AN247" i="11"/>
  <c r="AN632" i="11"/>
  <c r="AN121" i="11"/>
  <c r="AN635" i="11"/>
  <c r="AN629" i="11"/>
  <c r="BD653" i="11"/>
  <c r="BC581" i="11"/>
  <c r="BA651" i="11"/>
  <c r="BA654" i="11"/>
  <c r="BA657" i="11"/>
  <c r="BE658" i="11"/>
  <c r="BE653" i="11"/>
  <c r="BE655" i="11"/>
  <c r="BE652" i="11"/>
  <c r="BR1093" i="11"/>
  <c r="BD673" i="11"/>
  <c r="BC673" i="11"/>
  <c r="BD627" i="11"/>
  <c r="BD672" i="11"/>
  <c r="BC672" i="11"/>
  <c r="BC681" i="11"/>
  <c r="BB518" i="11"/>
  <c r="BB34" i="11"/>
  <c r="BB515" i="11"/>
  <c r="BB229" i="11"/>
  <c r="BB512" i="11"/>
  <c r="AZ635" i="11"/>
  <c r="AZ632" i="11"/>
  <c r="AZ247" i="11"/>
  <c r="AZ121" i="11"/>
  <c r="AZ629" i="11"/>
  <c r="AW551" i="11"/>
  <c r="AW555" i="11" s="1"/>
  <c r="AV584" i="11"/>
  <c r="AV587" i="11"/>
  <c r="BJ609" i="11"/>
  <c r="BG591" i="11"/>
  <c r="BG592" i="11"/>
  <c r="BG597" i="11"/>
  <c r="BG594" i="11"/>
  <c r="AI636" i="11"/>
  <c r="AI633" i="11"/>
  <c r="AI630" i="11"/>
  <c r="AN560" i="11"/>
  <c r="AN233" i="11"/>
  <c r="AN563" i="11"/>
  <c r="AN557" i="11"/>
  <c r="BN518" i="11"/>
  <c r="BN229" i="11"/>
  <c r="BN34" i="11"/>
  <c r="BN512" i="11"/>
  <c r="BF595" i="11"/>
  <c r="BG567" i="11"/>
  <c r="BG571" i="11" s="1"/>
  <c r="BF598" i="11"/>
  <c r="AY635" i="11"/>
  <c r="AY121" i="11"/>
  <c r="AY247" i="11"/>
  <c r="AY629" i="11"/>
  <c r="AM636" i="11"/>
  <c r="AM630" i="11"/>
  <c r="AM633" i="11"/>
  <c r="BI158" i="11"/>
  <c r="BI99" i="11"/>
  <c r="BI573" i="11"/>
  <c r="BI551" i="11"/>
  <c r="BC612" i="11"/>
  <c r="BI554" i="11"/>
  <c r="BG612" i="11"/>
  <c r="BC653" i="11"/>
  <c r="BB673" i="11"/>
  <c r="BB672" i="11"/>
  <c r="BI608" i="11"/>
  <c r="BI611" i="11"/>
  <c r="BI609" i="11"/>
  <c r="AV563" i="11"/>
  <c r="AV233" i="11"/>
  <c r="AV560" i="11"/>
  <c r="AV557" i="11"/>
  <c r="BJ650" i="11"/>
  <c r="BJ531" i="11"/>
  <c r="BK506" i="11"/>
  <c r="BK510" i="11" s="1"/>
  <c r="BJ577" i="11"/>
  <c r="BJ534" i="11"/>
  <c r="BJ649" i="11"/>
  <c r="BJ578" i="11"/>
  <c r="BJ667" i="11"/>
  <c r="BK639" i="11"/>
  <c r="BK643" i="11" s="1"/>
  <c r="BJ670" i="11"/>
  <c r="BJ592" i="11"/>
  <c r="AU564" i="11"/>
  <c r="AU561" i="11"/>
  <c r="AU558" i="11"/>
  <c r="BJ684" i="11"/>
  <c r="BN624" i="11"/>
  <c r="BG684" i="11"/>
  <c r="BI626" i="11"/>
  <c r="BF158" i="11"/>
  <c r="BF99" i="11"/>
  <c r="BF573" i="11"/>
  <c r="BG609" i="11"/>
  <c r="BM1235" i="9"/>
  <c r="BO1235" i="9"/>
  <c r="BN1235" i="9"/>
  <c r="BP1235" i="9"/>
  <c r="BQ1235" i="9"/>
  <c r="S128" i="9"/>
  <c r="R133" i="9"/>
  <c r="R131" i="9"/>
  <c r="Q1164" i="9"/>
  <c r="Q7" i="9"/>
  <c r="W1000" i="9"/>
  <c r="V1001" i="9"/>
  <c r="V1172" i="9" s="1"/>
  <c r="AV1065" i="9"/>
  <c r="AW1059" i="9"/>
  <c r="AW1060" i="9" s="1"/>
  <c r="AA408" i="9"/>
  <c r="V432" i="9"/>
  <c r="W402" i="9"/>
  <c r="V419" i="9"/>
  <c r="V420" i="9" s="1"/>
  <c r="V406" i="9"/>
  <c r="BV1233" i="9"/>
  <c r="B1292" i="9"/>
  <c r="R228" i="9"/>
  <c r="R269" i="9"/>
  <c r="R226" i="9"/>
  <c r="S222" i="9"/>
  <c r="S225" i="9" s="1"/>
  <c r="R236" i="9"/>
  <c r="R227" i="9"/>
  <c r="AN1065" i="9"/>
  <c r="S132" i="9"/>
  <c r="T110" i="9"/>
  <c r="T113" i="9" s="1"/>
  <c r="X118" i="9"/>
  <c r="S116" i="9"/>
  <c r="S114" i="9"/>
  <c r="S115" i="9"/>
  <c r="S267" i="9"/>
  <c r="BO766" i="9"/>
  <c r="BO1117" i="9"/>
  <c r="P210" i="9"/>
  <c r="P219" i="9"/>
  <c r="N432" i="9"/>
  <c r="O402" i="9"/>
  <c r="S408" i="9"/>
  <c r="N419" i="9"/>
  <c r="N420" i="9" s="1"/>
  <c r="U250" i="9"/>
  <c r="V245" i="9"/>
  <c r="V248" i="9" s="1"/>
  <c r="U270" i="9"/>
  <c r="U259" i="9"/>
  <c r="Z245" i="9"/>
  <c r="R75" i="9"/>
  <c r="R77" i="9"/>
  <c r="S72" i="9"/>
  <c r="J432" i="9"/>
  <c r="O408" i="9"/>
  <c r="J419" i="9"/>
  <c r="X62" i="9"/>
  <c r="S266" i="9"/>
  <c r="S76" i="9"/>
  <c r="S60" i="9"/>
  <c r="S59" i="9"/>
  <c r="T54" i="9"/>
  <c r="T57" i="9" s="1"/>
  <c r="S58" i="9"/>
  <c r="BE1059" i="9"/>
  <c r="BE1060" i="9" s="1"/>
  <c r="BI1059" i="9"/>
  <c r="BI1060" i="9" s="1"/>
  <c r="BD1065" i="9"/>
  <c r="W408" i="9"/>
  <c r="R432" i="9"/>
  <c r="S402" i="9"/>
  <c r="R419" i="9"/>
  <c r="R420" i="9" s="1"/>
  <c r="N124" i="9"/>
  <c r="N125" i="9"/>
  <c r="N138" i="9" s="1"/>
  <c r="J406" i="9"/>
  <c r="L180" i="9"/>
  <c r="L181" i="9"/>
  <c r="L194" i="9" s="1"/>
  <c r="M181" i="9"/>
  <c r="M194" i="9" s="1"/>
  <c r="R170" i="9"/>
  <c r="R171" i="9"/>
  <c r="S166" i="9"/>
  <c r="S169" i="9" s="1"/>
  <c r="R268" i="9"/>
  <c r="R272" i="9" s="1"/>
  <c r="W174" i="9"/>
  <c r="R188" i="9"/>
  <c r="R172" i="9"/>
  <c r="AE402" i="9"/>
  <c r="Z432" i="9"/>
  <c r="Z417" i="9"/>
  <c r="AA402" i="9"/>
  <c r="AE408" i="9"/>
  <c r="Z419" i="9"/>
  <c r="Z420" i="9" s="1"/>
  <c r="L80" i="9"/>
  <c r="R406" i="9"/>
  <c r="AZ1065" i="9"/>
  <c r="BA1059" i="9"/>
  <c r="BA1060" i="9" s="1"/>
  <c r="N74" i="9"/>
  <c r="M66" i="9"/>
  <c r="Q237" i="9"/>
  <c r="Q235" i="9"/>
  <c r="R234" i="9"/>
  <c r="Q189" i="9"/>
  <c r="R184" i="9"/>
  <c r="Q187" i="9"/>
  <c r="Q186" i="9" s="1"/>
  <c r="AS1059" i="9"/>
  <c r="AS1060" i="9" s="1"/>
  <c r="AR1065" i="9"/>
  <c r="T258" i="9"/>
  <c r="T260" i="9"/>
  <c r="U260" i="9" s="1"/>
  <c r="N406" i="9"/>
  <c r="BR1233" i="9"/>
  <c r="Z406" i="9"/>
  <c r="BL1242" i="9"/>
  <c r="BL1239" i="9"/>
  <c r="BL1236" i="9"/>
  <c r="BL626" i="9" s="1"/>
  <c r="BL1240" i="9"/>
  <c r="BL1237" i="9"/>
  <c r="BL1241" i="9"/>
  <c r="BL1238" i="9"/>
  <c r="BV1094" i="11"/>
  <c r="BR1094" i="11"/>
  <c r="BR1234" i="9"/>
  <c r="BV1234" i="9"/>
  <c r="BK163" i="11" l="1"/>
  <c r="BK40" i="9"/>
  <c r="BK324" i="9"/>
  <c r="BK367" i="9"/>
  <c r="BK631" i="9"/>
  <c r="BK306" i="9"/>
  <c r="BV1095" i="11"/>
  <c r="BR1095" i="11"/>
  <c r="BS1095" i="11"/>
  <c r="BT1095" i="11"/>
  <c r="BU1095" i="11"/>
  <c r="BI656" i="11"/>
  <c r="BI659" i="11"/>
  <c r="BC125" i="11"/>
  <c r="BC170" i="11"/>
  <c r="BC645" i="11"/>
  <c r="BC99" i="11"/>
  <c r="BC158" i="11"/>
  <c r="BC573" i="11"/>
  <c r="BL764" i="9"/>
  <c r="BL240" i="11"/>
  <c r="BN519" i="11"/>
  <c r="BN513" i="11"/>
  <c r="BI584" i="11"/>
  <c r="BI587" i="11"/>
  <c r="BD121" i="11"/>
  <c r="BD635" i="11"/>
  <c r="BD247" i="11"/>
  <c r="BD629" i="11"/>
  <c r="BG598" i="11"/>
  <c r="BG595" i="11"/>
  <c r="BH567" i="11"/>
  <c r="BH571" i="11" s="1"/>
  <c r="BA587" i="11"/>
  <c r="BB551" i="11"/>
  <c r="BB555" i="11" s="1"/>
  <c r="BA584" i="11"/>
  <c r="AW247" i="11"/>
  <c r="AW632" i="11"/>
  <c r="AW635" i="11"/>
  <c r="AW121" i="11"/>
  <c r="AW629" i="11"/>
  <c r="BL752" i="9"/>
  <c r="BL324" i="9" s="1"/>
  <c r="BL228" i="11"/>
  <c r="BL33" i="11" s="1"/>
  <c r="BI601" i="11"/>
  <c r="BH601" i="11"/>
  <c r="BH600" i="11"/>
  <c r="BI555" i="11"/>
  <c r="BI600" i="11"/>
  <c r="BB585" i="11"/>
  <c r="BB579" i="11"/>
  <c r="BB582" i="11"/>
  <c r="AZ564" i="11"/>
  <c r="AZ558" i="11"/>
  <c r="AZ561" i="11"/>
  <c r="BJ672" i="11"/>
  <c r="BJ673" i="11"/>
  <c r="BG578" i="11"/>
  <c r="BG534" i="11"/>
  <c r="BG531" i="11"/>
  <c r="BG649" i="11"/>
  <c r="BH506" i="11"/>
  <c r="BH510" i="11" s="1"/>
  <c r="BG577" i="11"/>
  <c r="BG650" i="11"/>
  <c r="BG170" i="11"/>
  <c r="BG125" i="11"/>
  <c r="BG645" i="11"/>
  <c r="BE632" i="11"/>
  <c r="BE635" i="11"/>
  <c r="BE247" i="11"/>
  <c r="BE121" i="11"/>
  <c r="BE629" i="11"/>
  <c r="BH659" i="11"/>
  <c r="BH656" i="11"/>
  <c r="BJ623" i="11"/>
  <c r="BJ627" i="11" s="1"/>
  <c r="BJ601" i="11"/>
  <c r="BJ600" i="11"/>
  <c r="BJ580" i="11"/>
  <c r="BJ586" i="11"/>
  <c r="BJ583" i="11"/>
  <c r="BB586" i="11"/>
  <c r="BB580" i="11"/>
  <c r="BB583" i="11"/>
  <c r="BB581" i="11"/>
  <c r="BH587" i="11"/>
  <c r="BH584" i="11"/>
  <c r="BJ551" i="11"/>
  <c r="BJ555" i="11" s="1"/>
  <c r="AR636" i="11"/>
  <c r="AR630" i="11"/>
  <c r="AR633" i="11"/>
  <c r="BF658" i="11"/>
  <c r="BF655" i="11"/>
  <c r="BF652" i="11"/>
  <c r="AS560" i="11"/>
  <c r="AS233" i="11"/>
  <c r="AS563" i="11"/>
  <c r="AS557" i="11"/>
  <c r="BF581" i="11"/>
  <c r="BF583" i="11"/>
  <c r="BF580" i="11"/>
  <c r="BF586" i="11"/>
  <c r="BM1096" i="11"/>
  <c r="BM1101" i="11"/>
  <c r="BM1102" i="11"/>
  <c r="BM1099" i="11"/>
  <c r="BM1097" i="11"/>
  <c r="BM1100" i="11"/>
  <c r="BM1098" i="11"/>
  <c r="BJ657" i="11"/>
  <c r="BJ651" i="11"/>
  <c r="BJ654" i="11"/>
  <c r="BE600" i="11"/>
  <c r="BE601" i="11"/>
  <c r="AN558" i="11"/>
  <c r="AN561" i="11"/>
  <c r="AN564" i="11"/>
  <c r="BB513" i="11"/>
  <c r="BB516" i="11"/>
  <c r="BB519" i="11"/>
  <c r="BC518" i="11"/>
  <c r="BC34" i="11"/>
  <c r="BC515" i="11"/>
  <c r="BC229" i="11"/>
  <c r="BC512" i="11"/>
  <c r="BE584" i="11"/>
  <c r="BE587" i="11"/>
  <c r="BF551" i="11"/>
  <c r="BF555" i="11" s="1"/>
  <c r="AS635" i="11"/>
  <c r="AS632" i="11"/>
  <c r="AS121" i="11"/>
  <c r="AS247" i="11"/>
  <c r="AS629" i="11"/>
  <c r="AI826" i="11"/>
  <c r="AH827" i="11"/>
  <c r="AH1002" i="11" s="1"/>
  <c r="BH673" i="11"/>
  <c r="BI672" i="11"/>
  <c r="BH672" i="11"/>
  <c r="BI627" i="11"/>
  <c r="BI673" i="11"/>
  <c r="BF672" i="11"/>
  <c r="BF673" i="11"/>
  <c r="BJ513" i="11"/>
  <c r="BJ516" i="11"/>
  <c r="BJ519" i="11"/>
  <c r="BI513" i="11"/>
  <c r="BI519" i="11"/>
  <c r="BB654" i="11"/>
  <c r="BB657" i="11"/>
  <c r="BB651" i="11"/>
  <c r="BE672" i="11"/>
  <c r="BE673" i="11"/>
  <c r="BA632" i="11"/>
  <c r="BA121" i="11"/>
  <c r="BA247" i="11"/>
  <c r="BA635" i="11"/>
  <c r="BA629" i="11"/>
  <c r="AV633" i="11"/>
  <c r="AV636" i="11"/>
  <c r="AV630" i="11"/>
  <c r="AY630" i="11"/>
  <c r="AY636" i="11"/>
  <c r="BF654" i="11"/>
  <c r="BF657" i="11"/>
  <c r="BF651" i="11"/>
  <c r="BF653" i="11" s="1"/>
  <c r="BG667" i="11"/>
  <c r="BG670" i="11"/>
  <c r="BH639" i="11"/>
  <c r="BH643" i="11" s="1"/>
  <c r="BQ1098" i="11"/>
  <c r="BQ1099" i="11"/>
  <c r="BQ1100" i="11"/>
  <c r="BQ1096" i="11"/>
  <c r="BQ1102" i="11"/>
  <c r="BQ1097" i="11"/>
  <c r="BQ1101" i="11"/>
  <c r="BA560" i="11"/>
  <c r="BA563" i="11"/>
  <c r="BA233" i="11"/>
  <c r="BA557" i="11"/>
  <c r="AX516" i="11"/>
  <c r="AX519" i="11"/>
  <c r="AX513" i="11"/>
  <c r="BJ579" i="11"/>
  <c r="BJ581" i="11" s="1"/>
  <c r="BJ585" i="11"/>
  <c r="BJ582" i="11"/>
  <c r="BP1099" i="11"/>
  <c r="BP1102" i="11"/>
  <c r="BP1098" i="11"/>
  <c r="BP1096" i="11"/>
  <c r="BP1100" i="11"/>
  <c r="BP1097" i="11"/>
  <c r="BP1101" i="11"/>
  <c r="AY558" i="11"/>
  <c r="AY564" i="11"/>
  <c r="AW563" i="11"/>
  <c r="AW560" i="11"/>
  <c r="AW233" i="11"/>
  <c r="AW557" i="11"/>
  <c r="BK229" i="11"/>
  <c r="BK515" i="11"/>
  <c r="BK518" i="11"/>
  <c r="BK34" i="11"/>
  <c r="BK512" i="11"/>
  <c r="U279" i="11"/>
  <c r="U3" i="11"/>
  <c r="T928" i="11" s="1"/>
  <c r="V4" i="11"/>
  <c r="BO1100" i="11"/>
  <c r="BO1096" i="11"/>
  <c r="BO1098" i="11"/>
  <c r="BO1099" i="11"/>
  <c r="BO1097" i="11"/>
  <c r="BO1101" i="11"/>
  <c r="BO1102" i="11"/>
  <c r="BG99" i="11"/>
  <c r="BG158" i="11"/>
  <c r="BG573" i="11"/>
  <c r="AR564" i="11"/>
  <c r="AR558" i="11"/>
  <c r="AR561" i="11"/>
  <c r="BB623" i="11"/>
  <c r="BB627" i="11" s="1"/>
  <c r="BA659" i="11"/>
  <c r="BA656" i="11"/>
  <c r="BI681" i="11"/>
  <c r="BF601" i="11"/>
  <c r="BF600" i="11"/>
  <c r="AW584" i="11"/>
  <c r="AW587" i="11"/>
  <c r="AX551" i="11"/>
  <c r="AX555" i="11" s="1"/>
  <c r="BG528" i="11"/>
  <c r="BK673" i="11"/>
  <c r="BK672" i="11"/>
  <c r="BN627" i="11"/>
  <c r="AZ633" i="11"/>
  <c r="AZ636" i="11"/>
  <c r="AZ630" i="11"/>
  <c r="BK170" i="11"/>
  <c r="BK125" i="11"/>
  <c r="BJ653" i="11"/>
  <c r="BJ655" i="11"/>
  <c r="BJ652" i="11"/>
  <c r="BJ658" i="11"/>
  <c r="BF519" i="11"/>
  <c r="BF516" i="11"/>
  <c r="BF513" i="11"/>
  <c r="BK158" i="11"/>
  <c r="BK99" i="11"/>
  <c r="BK573" i="11"/>
  <c r="BF623" i="11"/>
  <c r="BF627" i="11" s="1"/>
  <c r="BE659" i="11"/>
  <c r="BE656" i="11"/>
  <c r="BD563" i="11"/>
  <c r="BD233" i="11"/>
  <c r="BD557" i="11"/>
  <c r="BI581" i="11"/>
  <c r="BK600" i="11"/>
  <c r="BK601" i="11"/>
  <c r="BN555" i="11"/>
  <c r="BE233" i="11"/>
  <c r="BE560" i="11"/>
  <c r="BE563" i="11"/>
  <c r="BE557" i="11"/>
  <c r="AW659" i="11"/>
  <c r="AW656" i="11"/>
  <c r="AX623" i="11"/>
  <c r="AX627" i="11" s="1"/>
  <c r="BN1101" i="11"/>
  <c r="BN1102" i="11"/>
  <c r="BN1098" i="11"/>
  <c r="BN1096" i="11"/>
  <c r="BN1100" i="11"/>
  <c r="BN1099" i="11"/>
  <c r="BN1097" i="11"/>
  <c r="AV558" i="11"/>
  <c r="AV564" i="11"/>
  <c r="AV561" i="11"/>
  <c r="BG229" i="11"/>
  <c r="BG515" i="11"/>
  <c r="BG518" i="11"/>
  <c r="BG34" i="11"/>
  <c r="BG512" i="11"/>
  <c r="BB653" i="11"/>
  <c r="BB652" i="11"/>
  <c r="BB658" i="11"/>
  <c r="BB655" i="11"/>
  <c r="AN636" i="11"/>
  <c r="AN630" i="11"/>
  <c r="AN633" i="11"/>
  <c r="BF582" i="11"/>
  <c r="BF579" i="11"/>
  <c r="BF585" i="11"/>
  <c r="BV1235" i="9"/>
  <c r="BR1235" i="9"/>
  <c r="BS1235" i="9"/>
  <c r="BU1235" i="9"/>
  <c r="BT1235" i="9"/>
  <c r="R7" i="9"/>
  <c r="R1164" i="9"/>
  <c r="T58" i="9"/>
  <c r="Y62" i="9"/>
  <c r="T266" i="9"/>
  <c r="T76" i="9"/>
  <c r="T59" i="9"/>
  <c r="U57" i="9"/>
  <c r="T60" i="9"/>
  <c r="U60" i="9" s="1"/>
  <c r="L195" i="9"/>
  <c r="L191" i="9"/>
  <c r="L177" i="9" s="1"/>
  <c r="L178" i="9" s="1"/>
  <c r="V270" i="9"/>
  <c r="V251" i="9"/>
  <c r="V250" i="9"/>
  <c r="V249" i="9"/>
  <c r="W245" i="9"/>
  <c r="W248" i="9" s="1"/>
  <c r="V259" i="9"/>
  <c r="AS1065" i="9"/>
  <c r="S77" i="9"/>
  <c r="S75" i="9"/>
  <c r="T72" i="9"/>
  <c r="Y118" i="9"/>
  <c r="U113" i="9"/>
  <c r="T115" i="9"/>
  <c r="T132" i="9"/>
  <c r="T114" i="9"/>
  <c r="T267" i="9"/>
  <c r="T116" i="9"/>
  <c r="U116" i="9" s="1"/>
  <c r="X1000" i="9"/>
  <c r="W1001" i="9"/>
  <c r="W1172" i="9" s="1"/>
  <c r="N139" i="9"/>
  <c r="N135" i="9"/>
  <c r="N121" i="9" s="1"/>
  <c r="O130" i="9" s="1"/>
  <c r="O405" i="9"/>
  <c r="T128" i="9"/>
  <c r="S133" i="9"/>
  <c r="S131" i="9"/>
  <c r="AW1065" i="9"/>
  <c r="AX1059" i="9"/>
  <c r="AX1060" i="9" s="1"/>
  <c r="Q9" i="9"/>
  <c r="Q8" i="9"/>
  <c r="AE405" i="9"/>
  <c r="AE406" i="9"/>
  <c r="S405" i="9"/>
  <c r="S406" i="9" s="1"/>
  <c r="S171" i="9"/>
  <c r="T166" i="9"/>
  <c r="T169" i="9" s="1"/>
  <c r="S268" i="9"/>
  <c r="S272" i="9" s="1"/>
  <c r="X174" i="9"/>
  <c r="S188" i="9"/>
  <c r="S170" i="9"/>
  <c r="S172" i="9"/>
  <c r="AE415" i="9"/>
  <c r="Z416" i="9"/>
  <c r="BQ1238" i="9"/>
  <c r="BQ1237" i="9"/>
  <c r="BQ1239" i="9"/>
  <c r="BQ1241" i="9"/>
  <c r="BQ1240" i="9"/>
  <c r="BQ1236" i="9"/>
  <c r="BQ626" i="9" s="1"/>
  <c r="BQ1242" i="9"/>
  <c r="BP1241" i="9"/>
  <c r="BP1240" i="9"/>
  <c r="BP1237" i="9"/>
  <c r="BP1242" i="9"/>
  <c r="BP1236" i="9"/>
  <c r="BP626" i="9" s="1"/>
  <c r="BP1238" i="9"/>
  <c r="BP1239" i="9"/>
  <c r="BO1087" i="9"/>
  <c r="R189" i="9"/>
  <c r="R187" i="9"/>
  <c r="R186" i="9" s="1"/>
  <c r="S184" i="9"/>
  <c r="BI1065" i="9"/>
  <c r="BN1059" i="9"/>
  <c r="BJ1059" i="9"/>
  <c r="BJ1060" i="9" s="1"/>
  <c r="BO1100" i="9"/>
  <c r="BO1009" i="9"/>
  <c r="W405" i="9"/>
  <c r="BN1238" i="9"/>
  <c r="BN1237" i="9"/>
  <c r="BN1236" i="9"/>
  <c r="BN626" i="9" s="1"/>
  <c r="BN1241" i="9"/>
  <c r="BN1242" i="9"/>
  <c r="BN1240" i="9"/>
  <c r="BN1239" i="9"/>
  <c r="S269" i="9"/>
  <c r="S228" i="9"/>
  <c r="S226" i="9"/>
  <c r="T222" i="9"/>
  <c r="T225" i="9" s="1"/>
  <c r="S227" i="9"/>
  <c r="S236" i="9"/>
  <c r="U258" i="9"/>
  <c r="Z257" i="9"/>
  <c r="V257" i="9"/>
  <c r="M195" i="9"/>
  <c r="M192" i="9" s="1"/>
  <c r="M191" i="9"/>
  <c r="M177" i="9" s="1"/>
  <c r="N122" i="9"/>
  <c r="N73" i="9"/>
  <c r="BF1059" i="9"/>
  <c r="BF1060" i="9" s="1"/>
  <c r="BE1065" i="9"/>
  <c r="BO1240" i="9"/>
  <c r="BO1239" i="9"/>
  <c r="BO1236" i="9"/>
  <c r="BO626" i="9" s="1"/>
  <c r="BO1242" i="9"/>
  <c r="BO1238" i="9"/>
  <c r="BO1241" i="9"/>
  <c r="BO1237" i="9"/>
  <c r="S234" i="9"/>
  <c r="R235" i="9"/>
  <c r="R237" i="9"/>
  <c r="AA405" i="9"/>
  <c r="AA406" i="9"/>
  <c r="BA1065" i="9"/>
  <c r="BB1059" i="9"/>
  <c r="BB1060" i="9" s="1"/>
  <c r="BM1241" i="9"/>
  <c r="BM1240" i="9"/>
  <c r="BM1236" i="9"/>
  <c r="BM626" i="9" s="1"/>
  <c r="BM1239" i="9"/>
  <c r="BM1238" i="9"/>
  <c r="BM1237" i="9"/>
  <c r="BM1242" i="9"/>
  <c r="BL631" i="9" l="1"/>
  <c r="AW558" i="11"/>
  <c r="AW564" i="11"/>
  <c r="AW561" i="11"/>
  <c r="BG654" i="11"/>
  <c r="BG657" i="11"/>
  <c r="BG651" i="11"/>
  <c r="BA630" i="11"/>
  <c r="BA633" i="11"/>
  <c r="BA636" i="11"/>
  <c r="BL31" i="9"/>
  <c r="BG583" i="11"/>
  <c r="BG586" i="11"/>
  <c r="BG581" i="11"/>
  <c r="BG580" i="11"/>
  <c r="BI247" i="11"/>
  <c r="BI121" i="11"/>
  <c r="BI635" i="11"/>
  <c r="BI629" i="11"/>
  <c r="BL367" i="9"/>
  <c r="BN764" i="9"/>
  <c r="BN240" i="11"/>
  <c r="BD564" i="11"/>
  <c r="BD558" i="11"/>
  <c r="AS630" i="11"/>
  <c r="AS633" i="11"/>
  <c r="AS636" i="11"/>
  <c r="BB560" i="11"/>
  <c r="BB563" i="11"/>
  <c r="BB233" i="11"/>
  <c r="BB557" i="11"/>
  <c r="BN635" i="11"/>
  <c r="BN247" i="11"/>
  <c r="BN121" i="11"/>
  <c r="BJ247" i="11"/>
  <c r="BJ635" i="11"/>
  <c r="BJ121" i="11"/>
  <c r="BJ632" i="11"/>
  <c r="BJ629" i="11"/>
  <c r="BG582" i="11"/>
  <c r="BG585" i="11"/>
  <c r="BG579" i="11"/>
  <c r="BG516" i="11"/>
  <c r="BG519" i="11"/>
  <c r="BG513" i="11"/>
  <c r="AW633" i="11"/>
  <c r="AW630" i="11"/>
  <c r="AW636" i="11"/>
  <c r="BJ656" i="11"/>
  <c r="BK623" i="11"/>
  <c r="BK627" i="11" s="1"/>
  <c r="BJ659" i="11"/>
  <c r="T927" i="11"/>
  <c r="BN752" i="9"/>
  <c r="BN306" i="9" s="1"/>
  <c r="BN228" i="11"/>
  <c r="BN33" i="11" s="1"/>
  <c r="BU1097" i="11"/>
  <c r="BU1102" i="11"/>
  <c r="BU1101" i="11"/>
  <c r="BU1100" i="11"/>
  <c r="BU1096" i="11"/>
  <c r="BU1099" i="11"/>
  <c r="BU1098" i="11"/>
  <c r="BB656" i="11"/>
  <c r="BC623" i="11"/>
  <c r="BC627" i="11" s="1"/>
  <c r="BB659" i="11"/>
  <c r="BK513" i="11"/>
  <c r="BK516" i="11"/>
  <c r="BK519" i="11"/>
  <c r="BL45" i="9"/>
  <c r="AJ826" i="11"/>
  <c r="AJ827" i="11" s="1"/>
  <c r="AI827" i="11"/>
  <c r="AI1002" i="11" s="1"/>
  <c r="BT1100" i="11"/>
  <c r="BT1102" i="11"/>
  <c r="BT1098" i="11"/>
  <c r="BT1096" i="11"/>
  <c r="BT1099" i="11"/>
  <c r="BT1101" i="11"/>
  <c r="BT1097" i="11"/>
  <c r="BS1101" i="11"/>
  <c r="BS1098" i="11"/>
  <c r="BS1100" i="11"/>
  <c r="BS1097" i="11"/>
  <c r="BS1099" i="11"/>
  <c r="BS1096" i="11"/>
  <c r="BS1102" i="11"/>
  <c r="BE633" i="11"/>
  <c r="BE630" i="11"/>
  <c r="BE636" i="11"/>
  <c r="BH99" i="11"/>
  <c r="BH158" i="11"/>
  <c r="BH573" i="11"/>
  <c r="BJ587" i="11"/>
  <c r="BJ584" i="11"/>
  <c r="BK551" i="11"/>
  <c r="BK555" i="11" s="1"/>
  <c r="BM764" i="9"/>
  <c r="BM367" i="9" s="1"/>
  <c r="BM240" i="11"/>
  <c r="BQ764" i="9"/>
  <c r="BQ240" i="11"/>
  <c r="BR1098" i="11"/>
  <c r="BR1101" i="11"/>
  <c r="BR1099" i="11"/>
  <c r="BR1096" i="11"/>
  <c r="BR1102" i="11"/>
  <c r="BR1097" i="11"/>
  <c r="BR1100" i="11"/>
  <c r="BF584" i="11"/>
  <c r="BF587" i="11"/>
  <c r="BG551" i="11"/>
  <c r="BG555" i="11" s="1"/>
  <c r="BF632" i="11"/>
  <c r="BF635" i="11"/>
  <c r="BF121" i="11"/>
  <c r="BF247" i="11"/>
  <c r="BF629" i="11"/>
  <c r="AX560" i="11"/>
  <c r="AX233" i="11"/>
  <c r="AX563" i="11"/>
  <c r="AX557" i="11"/>
  <c r="BH170" i="11"/>
  <c r="BH125" i="11"/>
  <c r="BH645" i="11"/>
  <c r="BF233" i="11"/>
  <c r="BF560" i="11"/>
  <c r="BF563" i="11"/>
  <c r="BF557" i="11"/>
  <c r="BB587" i="11"/>
  <c r="BB584" i="11"/>
  <c r="BC551" i="11"/>
  <c r="BC555" i="11" s="1"/>
  <c r="BO764" i="9"/>
  <c r="BO45" i="9" s="1"/>
  <c r="BO240" i="11"/>
  <c r="BB247" i="11"/>
  <c r="BB635" i="11"/>
  <c r="BB632" i="11"/>
  <c r="BB121" i="11"/>
  <c r="BB629" i="11"/>
  <c r="BA564" i="11"/>
  <c r="BA558" i="11"/>
  <c r="BA561" i="11"/>
  <c r="BH515" i="11"/>
  <c r="BH34" i="11"/>
  <c r="BH518" i="11"/>
  <c r="BH229" i="11"/>
  <c r="BH512" i="11"/>
  <c r="BL163" i="11"/>
  <c r="BV1097" i="11"/>
  <c r="BV1102" i="11"/>
  <c r="BV1096" i="11"/>
  <c r="BV1100" i="11"/>
  <c r="BV1099" i="11"/>
  <c r="BV1101" i="11"/>
  <c r="BV1098" i="11"/>
  <c r="BP764" i="9"/>
  <c r="BP367" i="9" s="1"/>
  <c r="BP240" i="11"/>
  <c r="AS564" i="11"/>
  <c r="AS561" i="11"/>
  <c r="AS558" i="11"/>
  <c r="BL306" i="9"/>
  <c r="V279" i="11"/>
  <c r="V3" i="11"/>
  <c r="W4" i="11"/>
  <c r="BD630" i="11"/>
  <c r="BD636" i="11"/>
  <c r="BG658" i="11"/>
  <c r="BG655" i="11"/>
  <c r="BG653" i="11"/>
  <c r="BG652" i="11"/>
  <c r="BM752" i="9"/>
  <c r="BM40" i="9" s="1"/>
  <c r="BM228" i="11"/>
  <c r="BM33" i="11" s="1"/>
  <c r="BN563" i="11"/>
  <c r="BN233" i="11"/>
  <c r="BN557" i="11"/>
  <c r="BL40" i="9"/>
  <c r="T926" i="11"/>
  <c r="S925" i="11"/>
  <c r="S926" i="11"/>
  <c r="Q926" i="11"/>
  <c r="T925" i="11"/>
  <c r="R926" i="11"/>
  <c r="R925" i="11"/>
  <c r="Q925" i="11"/>
  <c r="Q928" i="11"/>
  <c r="Q927" i="11"/>
  <c r="R927" i="11"/>
  <c r="R928" i="11"/>
  <c r="S927" i="11"/>
  <c r="S928" i="11"/>
  <c r="BG623" i="11"/>
  <c r="BG627" i="11" s="1"/>
  <c r="BF659" i="11"/>
  <c r="BF656" i="11"/>
  <c r="BC513" i="11"/>
  <c r="BC516" i="11"/>
  <c r="BC519" i="11"/>
  <c r="BJ233" i="11"/>
  <c r="BJ560" i="11"/>
  <c r="BJ563" i="11"/>
  <c r="BJ557" i="11"/>
  <c r="BI563" i="11"/>
  <c r="BI233" i="11"/>
  <c r="BI557" i="11"/>
  <c r="BE564" i="11"/>
  <c r="BE558" i="11"/>
  <c r="BE561" i="11"/>
  <c r="BP752" i="9"/>
  <c r="BP306" i="9" s="1"/>
  <c r="BP228" i="11"/>
  <c r="BP33" i="11" s="1"/>
  <c r="BQ752" i="9"/>
  <c r="BQ40" i="9" s="1"/>
  <c r="BQ228" i="11"/>
  <c r="BQ33" i="11" s="1"/>
  <c r="BO752" i="9"/>
  <c r="BO324" i="9" s="1"/>
  <c r="BO228" i="11"/>
  <c r="BO33" i="11" s="1"/>
  <c r="AX632" i="11"/>
  <c r="AX635" i="11"/>
  <c r="AX121" i="11"/>
  <c r="AX247" i="11"/>
  <c r="AX629" i="11"/>
  <c r="S189" i="9"/>
  <c r="S187" i="9"/>
  <c r="T184" i="9"/>
  <c r="T269" i="9"/>
  <c r="T228" i="9"/>
  <c r="U228" i="9" s="1"/>
  <c r="T227" i="9"/>
  <c r="T236" i="9"/>
  <c r="U225" i="9"/>
  <c r="T226" i="9"/>
  <c r="O129" i="9"/>
  <c r="P130" i="9"/>
  <c r="P129" i="9" s="1"/>
  <c r="P124" i="9" s="1"/>
  <c r="W432" i="9"/>
  <c r="X402" i="9"/>
  <c r="AB408" i="9"/>
  <c r="W419" i="9"/>
  <c r="W420" i="9" s="1"/>
  <c r="S1164" i="9"/>
  <c r="S7" i="9"/>
  <c r="BK1059" i="9"/>
  <c r="BJ1065" i="9"/>
  <c r="T133" i="9"/>
  <c r="T131" i="9"/>
  <c r="BU1236" i="9"/>
  <c r="BU626" i="9" s="1"/>
  <c r="BU1240" i="9"/>
  <c r="BU1241" i="9"/>
  <c r="BU1238" i="9"/>
  <c r="BU1239" i="9"/>
  <c r="BU1242" i="9"/>
  <c r="BU1237" i="9"/>
  <c r="W406" i="9"/>
  <c r="T77" i="9"/>
  <c r="T75" i="9"/>
  <c r="T74" i="9" s="1"/>
  <c r="BB1065" i="9"/>
  <c r="BC1059" i="9"/>
  <c r="BC1060" i="9" s="1"/>
  <c r="AJ408" i="9"/>
  <c r="AE417" i="9"/>
  <c r="AJ402" i="9"/>
  <c r="AF402" i="9"/>
  <c r="AE432" i="9"/>
  <c r="AE419" i="9"/>
  <c r="AE420" i="9" s="1"/>
  <c r="W257" i="9"/>
  <c r="V260" i="9"/>
  <c r="V258" i="9"/>
  <c r="AB402" i="9"/>
  <c r="AF408" i="9"/>
  <c r="AA432" i="9"/>
  <c r="AA419" i="9"/>
  <c r="AA420" i="9" s="1"/>
  <c r="BP1083" i="9"/>
  <c r="BO1086" i="9"/>
  <c r="W251" i="9"/>
  <c r="W250" i="9"/>
  <c r="W270" i="9"/>
  <c r="W249" i="9"/>
  <c r="X245" i="9"/>
  <c r="X248" i="9" s="1"/>
  <c r="W259" i="9"/>
  <c r="AX1065" i="9"/>
  <c r="BS1242" i="9"/>
  <c r="BS1237" i="9"/>
  <c r="BS1239" i="9"/>
  <c r="BS1236" i="9"/>
  <c r="BS626" i="9" s="1"/>
  <c r="BS1238" i="9"/>
  <c r="BS1240" i="9"/>
  <c r="BS1241" i="9"/>
  <c r="L192" i="9"/>
  <c r="T188" i="9"/>
  <c r="T268" i="9"/>
  <c r="T272" i="9" s="1"/>
  <c r="T172" i="9"/>
  <c r="U172" i="9" s="1"/>
  <c r="T171" i="9"/>
  <c r="Y174" i="9"/>
  <c r="U169" i="9"/>
  <c r="T170" i="9"/>
  <c r="O432" i="9"/>
  <c r="T408" i="9"/>
  <c r="O419" i="9"/>
  <c r="O420" i="9" s="1"/>
  <c r="X408" i="9"/>
  <c r="S432" i="9"/>
  <c r="T402" i="9"/>
  <c r="S419" i="9"/>
  <c r="S420" i="9" s="1"/>
  <c r="R9" i="9"/>
  <c r="R8" i="9"/>
  <c r="Y1000" i="9"/>
  <c r="X1001" i="9"/>
  <c r="X1172" i="9" s="1"/>
  <c r="Z110" i="9"/>
  <c r="V110" i="9"/>
  <c r="V113" i="9" s="1"/>
  <c r="Z118" i="9"/>
  <c r="U115" i="9"/>
  <c r="U267" i="9"/>
  <c r="U132" i="9"/>
  <c r="BR1241" i="9"/>
  <c r="BR1242" i="9"/>
  <c r="BR1236" i="9"/>
  <c r="BR626" i="9" s="1"/>
  <c r="BR1240" i="9"/>
  <c r="BR1237" i="9"/>
  <c r="BR1239" i="9"/>
  <c r="BR1238" i="9"/>
  <c r="N186" i="9"/>
  <c r="M178" i="9"/>
  <c r="U266" i="9"/>
  <c r="U76" i="9"/>
  <c r="U59" i="9"/>
  <c r="Z54" i="9"/>
  <c r="Z62" i="9"/>
  <c r="V54" i="9"/>
  <c r="V57" i="9" s="1"/>
  <c r="S235" i="9"/>
  <c r="S237" i="9"/>
  <c r="T234" i="9"/>
  <c r="BG1059" i="9"/>
  <c r="BG1060" i="9" s="1"/>
  <c r="BF1065" i="9"/>
  <c r="O406" i="9"/>
  <c r="N69" i="9"/>
  <c r="N82" i="9" s="1"/>
  <c r="N68" i="9"/>
  <c r="N136" i="9"/>
  <c r="BT1239" i="9"/>
  <c r="BT1236" i="9"/>
  <c r="BT626" i="9" s="1"/>
  <c r="BT1242" i="9"/>
  <c r="BT1237" i="9"/>
  <c r="BT1240" i="9"/>
  <c r="BT1241" i="9"/>
  <c r="BT1238" i="9"/>
  <c r="BV1238" i="9"/>
  <c r="BV1237" i="9"/>
  <c r="BV1241" i="9"/>
  <c r="BV1239" i="9"/>
  <c r="BV1242" i="9"/>
  <c r="BV1236" i="9"/>
  <c r="BV626" i="9" s="1"/>
  <c r="BV1240" i="9"/>
  <c r="BM163" i="11" l="1"/>
  <c r="BQ306" i="9"/>
  <c r="BQ163" i="11"/>
  <c r="BQ31" i="9"/>
  <c r="BQ631" i="9"/>
  <c r="BM306" i="9"/>
  <c r="BM31" i="9"/>
  <c r="BQ324" i="9"/>
  <c r="BP163" i="11"/>
  <c r="BO367" i="9"/>
  <c r="BO306" i="9"/>
  <c r="BM324" i="9"/>
  <c r="BO31" i="9"/>
  <c r="BQ367" i="9"/>
  <c r="BO40" i="9"/>
  <c r="BP45" i="9"/>
  <c r="BO631" i="9"/>
  <c r="BN31" i="9"/>
  <c r="BN631" i="9"/>
  <c r="BS764" i="9"/>
  <c r="BS367" i="9" s="1"/>
  <c r="BS240" i="11"/>
  <c r="BM631" i="9"/>
  <c r="BF633" i="11"/>
  <c r="BF630" i="11"/>
  <c r="BF636" i="11"/>
  <c r="BP324" i="9"/>
  <c r="BJ636" i="11"/>
  <c r="BJ630" i="11"/>
  <c r="BJ633" i="11"/>
  <c r="BI558" i="11"/>
  <c r="BI564" i="11"/>
  <c r="AX633" i="11"/>
  <c r="AX630" i="11"/>
  <c r="AX636" i="11"/>
  <c r="BB561" i="11"/>
  <c r="BB564" i="11"/>
  <c r="BB558" i="11"/>
  <c r="BI636" i="11"/>
  <c r="BI630" i="11"/>
  <c r="BP40" i="9"/>
  <c r="AX558" i="11"/>
  <c r="AX564" i="11"/>
  <c r="AX561" i="11"/>
  <c r="BR764" i="9"/>
  <c r="BR367" i="9" s="1"/>
  <c r="BR240" i="11"/>
  <c r="BV764" i="9"/>
  <c r="BV45" i="9" s="1"/>
  <c r="BV240" i="11"/>
  <c r="BK632" i="11"/>
  <c r="BK121" i="11"/>
  <c r="BK247" i="11"/>
  <c r="BK635" i="11"/>
  <c r="BH513" i="11"/>
  <c r="BH519" i="11"/>
  <c r="BH516" i="11"/>
  <c r="BP631" i="9"/>
  <c r="BV752" i="9"/>
  <c r="BV306" i="9" s="1"/>
  <c r="BV228" i="11"/>
  <c r="BV33" i="11" s="1"/>
  <c r="BN367" i="9"/>
  <c r="BS752" i="9"/>
  <c r="BS324" i="9" s="1"/>
  <c r="BS228" i="11"/>
  <c r="BS33" i="11" s="1"/>
  <c r="BN558" i="11"/>
  <c r="BN564" i="11"/>
  <c r="AK826" i="11"/>
  <c r="AJ1002" i="11"/>
  <c r="BN45" i="9"/>
  <c r="BO163" i="11"/>
  <c r="BM45" i="9"/>
  <c r="BU752" i="9"/>
  <c r="BU306" i="9" s="1"/>
  <c r="BU228" i="11"/>
  <c r="BU33" i="11" s="1"/>
  <c r="BG233" i="11"/>
  <c r="BG563" i="11"/>
  <c r="BG560" i="11"/>
  <c r="BG557" i="11"/>
  <c r="BG656" i="11"/>
  <c r="BG659" i="11"/>
  <c r="BH623" i="11"/>
  <c r="BH627" i="11" s="1"/>
  <c r="BJ561" i="11"/>
  <c r="BJ558" i="11"/>
  <c r="BJ564" i="11"/>
  <c r="BR752" i="9"/>
  <c r="BR31" i="9" s="1"/>
  <c r="BR228" i="11"/>
  <c r="BR33" i="11" s="1"/>
  <c r="BB630" i="11"/>
  <c r="BB636" i="11"/>
  <c r="BB633" i="11"/>
  <c r="BC233" i="11"/>
  <c r="BC560" i="11"/>
  <c r="BC563" i="11"/>
  <c r="BC557" i="11"/>
  <c r="BT752" i="9"/>
  <c r="BT40" i="9" s="1"/>
  <c r="BT228" i="11"/>
  <c r="BT33" i="11" s="1"/>
  <c r="BK233" i="11"/>
  <c r="BK560" i="11"/>
  <c r="BK563" i="11"/>
  <c r="BK557" i="11"/>
  <c r="BN324" i="9"/>
  <c r="BG635" i="11"/>
  <c r="BG121" i="11"/>
  <c r="BG632" i="11"/>
  <c r="BG247" i="11"/>
  <c r="BG629" i="11"/>
  <c r="W3" i="11"/>
  <c r="W279" i="11"/>
  <c r="X4" i="11"/>
  <c r="BU764" i="9"/>
  <c r="BU367" i="9" s="1"/>
  <c r="BU240" i="11"/>
  <c r="BP31" i="9"/>
  <c r="BT764" i="9"/>
  <c r="BT45" i="9" s="1"/>
  <c r="BT240" i="11"/>
  <c r="BQ45" i="9"/>
  <c r="BF558" i="11"/>
  <c r="BF561" i="11"/>
  <c r="BF564" i="11"/>
  <c r="BC632" i="11"/>
  <c r="BC247" i="11"/>
  <c r="BC121" i="11"/>
  <c r="BC635" i="11"/>
  <c r="BC629" i="11"/>
  <c r="BN40" i="9"/>
  <c r="BG584" i="11"/>
  <c r="BG587" i="11"/>
  <c r="BH551" i="11"/>
  <c r="BH555" i="11" s="1"/>
  <c r="BN163" i="11"/>
  <c r="Z222" i="9"/>
  <c r="U227" i="9"/>
  <c r="U236" i="9"/>
  <c r="U269" i="9"/>
  <c r="V222" i="9"/>
  <c r="V225" i="9" s="1"/>
  <c r="Z174" i="9"/>
  <c r="U268" i="9"/>
  <c r="U272" i="9" s="1"/>
  <c r="V166" i="9"/>
  <c r="V169" i="9" s="1"/>
  <c r="U188" i="9"/>
  <c r="U171" i="9"/>
  <c r="Z166" i="9"/>
  <c r="W110" i="9"/>
  <c r="W113" i="9" s="1"/>
  <c r="V267" i="9"/>
  <c r="V132" i="9"/>
  <c r="AA118" i="9"/>
  <c r="V114" i="9"/>
  <c r="V115" i="9"/>
  <c r="V116" i="9"/>
  <c r="U75" i="9"/>
  <c r="V72" i="9"/>
  <c r="Z72" i="9"/>
  <c r="AF405" i="9"/>
  <c r="AF406" i="9"/>
  <c r="AJ405" i="9"/>
  <c r="T187" i="9"/>
  <c r="T189" i="9"/>
  <c r="AJ415" i="9"/>
  <c r="AE416" i="9"/>
  <c r="P123" i="9"/>
  <c r="Z128" i="9"/>
  <c r="V128" i="9"/>
  <c r="U131" i="9"/>
  <c r="T235" i="9"/>
  <c r="T237" i="9"/>
  <c r="U237" i="9" s="1"/>
  <c r="X257" i="9"/>
  <c r="W260" i="9"/>
  <c r="W258" i="9"/>
  <c r="X251" i="9"/>
  <c r="X270" i="9"/>
  <c r="X250" i="9"/>
  <c r="Y245" i="9"/>
  <c r="Y248" i="9" s="1"/>
  <c r="X249" i="9"/>
  <c r="X259" i="9"/>
  <c r="N185" i="9"/>
  <c r="U133" i="9"/>
  <c r="S8" i="9"/>
  <c r="S9" i="9"/>
  <c r="AB405" i="9"/>
  <c r="T1164" i="9"/>
  <c r="T7" i="9"/>
  <c r="U77" i="9"/>
  <c r="Z1000" i="9"/>
  <c r="Z1001" i="9" s="1"/>
  <c r="Y1001" i="9"/>
  <c r="Y1172" i="9" s="1"/>
  <c r="N83" i="9"/>
  <c r="N79" i="9"/>
  <c r="N65" i="9" s="1"/>
  <c r="O74" i="9" s="1"/>
  <c r="T405" i="9"/>
  <c r="T406" i="9"/>
  <c r="BC1065" i="9"/>
  <c r="O125" i="9"/>
  <c r="O124" i="9"/>
  <c r="V76" i="9"/>
  <c r="V59" i="9"/>
  <c r="V60" i="9"/>
  <c r="V266" i="9"/>
  <c r="AA62" i="9"/>
  <c r="V58" i="9"/>
  <c r="W54" i="9"/>
  <c r="W57" i="9" s="1"/>
  <c r="BH1059" i="9"/>
  <c r="BH1060" i="9" s="1"/>
  <c r="BG1065" i="9"/>
  <c r="BP1084" i="9"/>
  <c r="BP1097" i="9"/>
  <c r="X405" i="9"/>
  <c r="X406" i="9" s="1"/>
  <c r="BR631" i="9" l="1"/>
  <c r="BR45" i="9"/>
  <c r="BR306" i="9"/>
  <c r="BV367" i="9"/>
  <c r="BR324" i="9"/>
  <c r="BR40" i="9"/>
  <c r="BT31" i="9"/>
  <c r="BU324" i="9"/>
  <c r="BT306" i="9"/>
  <c r="BU45" i="9"/>
  <c r="BU31" i="9"/>
  <c r="BR163" i="11"/>
  <c r="BT631" i="9"/>
  <c r="BS45" i="9"/>
  <c r="BT367" i="9"/>
  <c r="BT324" i="9"/>
  <c r="BU40" i="9"/>
  <c r="BV324" i="9"/>
  <c r="BV40" i="9"/>
  <c r="BU631" i="9"/>
  <c r="BC630" i="11"/>
  <c r="BC633" i="11"/>
  <c r="BC636" i="11"/>
  <c r="BS631" i="9"/>
  <c r="BS306" i="9"/>
  <c r="BV631" i="9"/>
  <c r="BS31" i="9"/>
  <c r="BT163" i="11"/>
  <c r="BC561" i="11"/>
  <c r="BC564" i="11"/>
  <c r="BC558" i="11"/>
  <c r="BK564" i="11"/>
  <c r="BK561" i="11"/>
  <c r="BK558" i="11"/>
  <c r="BS40" i="9"/>
  <c r="BV163" i="11"/>
  <c r="BV31" i="9"/>
  <c r="BU163" i="11"/>
  <c r="BH563" i="11"/>
  <c r="BH560" i="11"/>
  <c r="BH233" i="11"/>
  <c r="BH557" i="11"/>
  <c r="X279" i="11"/>
  <c r="X3" i="11"/>
  <c r="Y4" i="11"/>
  <c r="AL826" i="11"/>
  <c r="AK827" i="11"/>
  <c r="AK1002" i="11" s="1"/>
  <c r="BH247" i="11"/>
  <c r="BH121" i="11"/>
  <c r="BH635" i="11"/>
  <c r="BH632" i="11"/>
  <c r="BH629" i="11"/>
  <c r="BG558" i="11"/>
  <c r="BG564" i="11"/>
  <c r="BG561" i="11"/>
  <c r="BS163" i="11"/>
  <c r="BG633" i="11"/>
  <c r="BG636" i="11"/>
  <c r="BG630" i="11"/>
  <c r="N66" i="9"/>
  <c r="U154" i="9"/>
  <c r="U163" i="9"/>
  <c r="W267" i="9"/>
  <c r="W132" i="9"/>
  <c r="AB118" i="9"/>
  <c r="W114" i="9"/>
  <c r="W115" i="9"/>
  <c r="X110" i="9"/>
  <c r="X113" i="9" s="1"/>
  <c r="W116" i="9"/>
  <c r="Y257" i="9"/>
  <c r="X258" i="9"/>
  <c r="X260" i="9"/>
  <c r="AJ417" i="9"/>
  <c r="AO402" i="9"/>
  <c r="AO408" i="9"/>
  <c r="AJ432" i="9"/>
  <c r="AK402" i="9"/>
  <c r="AJ419" i="9"/>
  <c r="AJ420" i="9" s="1"/>
  <c r="Z184" i="9"/>
  <c r="V184" i="9"/>
  <c r="U187" i="9"/>
  <c r="Y249" i="9"/>
  <c r="Z248" i="9"/>
  <c r="Y250" i="9"/>
  <c r="Y251" i="9"/>
  <c r="Z251" i="9" s="1"/>
  <c r="Y270" i="9"/>
  <c r="Y259" i="9"/>
  <c r="AJ406" i="9"/>
  <c r="V170" i="9"/>
  <c r="V172" i="9"/>
  <c r="V268" i="9"/>
  <c r="V188" i="9"/>
  <c r="V171" i="9"/>
  <c r="W166" i="9"/>
  <c r="W169" i="9" s="1"/>
  <c r="AA174" i="9"/>
  <c r="T8" i="9"/>
  <c r="T9" i="9"/>
  <c r="BH1065" i="9"/>
  <c r="T432" i="9"/>
  <c r="Y408" i="9"/>
  <c r="T419" i="9"/>
  <c r="T420" i="9" s="1"/>
  <c r="V227" i="9"/>
  <c r="V228" i="9"/>
  <c r="W222" i="9"/>
  <c r="W225" i="9" s="1"/>
  <c r="V236" i="9"/>
  <c r="V269" i="9"/>
  <c r="V272" i="9" s="1"/>
  <c r="V226" i="9"/>
  <c r="U98" i="9"/>
  <c r="U107" i="9"/>
  <c r="U189" i="9"/>
  <c r="BP766" i="9"/>
  <c r="BP1117" i="9"/>
  <c r="N181" i="9"/>
  <c r="N194" i="9" s="1"/>
  <c r="N180" i="9"/>
  <c r="U1164" i="9"/>
  <c r="U7" i="9"/>
  <c r="U9" i="9" s="1"/>
  <c r="AG408" i="9"/>
  <c r="AC402" i="9"/>
  <c r="AB432" i="9"/>
  <c r="AB419" i="9"/>
  <c r="AB420" i="9" s="1"/>
  <c r="AK408" i="9"/>
  <c r="AG402" i="9"/>
  <c r="AF432" i="9"/>
  <c r="AF419" i="9"/>
  <c r="AF420" i="9" s="1"/>
  <c r="O73" i="9"/>
  <c r="P74" i="9"/>
  <c r="P73" i="9" s="1"/>
  <c r="P68" i="9" s="1"/>
  <c r="N80" i="9"/>
  <c r="Y402" i="9"/>
  <c r="AC408" i="9"/>
  <c r="X432" i="9"/>
  <c r="X419" i="9"/>
  <c r="X420" i="9" s="1"/>
  <c r="P125" i="9"/>
  <c r="P138" i="9" s="1"/>
  <c r="P135" i="9" s="1"/>
  <c r="O138" i="9"/>
  <c r="V133" i="9"/>
  <c r="V131" i="9"/>
  <c r="V130" i="9" s="1"/>
  <c r="W128" i="9"/>
  <c r="W60" i="9"/>
  <c r="AB62" i="9"/>
  <c r="W59" i="9"/>
  <c r="W266" i="9"/>
  <c r="W76" i="9"/>
  <c r="W58" i="9"/>
  <c r="X54" i="9"/>
  <c r="X57" i="9" s="1"/>
  <c r="AB406" i="9"/>
  <c r="U235" i="9"/>
  <c r="Z234" i="9"/>
  <c r="V234" i="9"/>
  <c r="V75" i="9"/>
  <c r="W72" i="9"/>
  <c r="V77" i="9"/>
  <c r="AA1000" i="9"/>
  <c r="Z1172" i="9"/>
  <c r="BH636" i="11" l="1"/>
  <c r="BH630" i="11"/>
  <c r="BH633" i="11"/>
  <c r="AM826" i="11"/>
  <c r="AL827" i="11"/>
  <c r="AL1002" i="11" s="1"/>
  <c r="Y279" i="11"/>
  <c r="Y3" i="11"/>
  <c r="Z4" i="11"/>
  <c r="BH561" i="11"/>
  <c r="BH564" i="11"/>
  <c r="BH558" i="11"/>
  <c r="AK405" i="9"/>
  <c r="W188" i="9"/>
  <c r="W172" i="9"/>
  <c r="W170" i="9"/>
  <c r="W171" i="9"/>
  <c r="X166" i="9"/>
  <c r="X169" i="9" s="1"/>
  <c r="AB174" i="9"/>
  <c r="W268" i="9"/>
  <c r="P67" i="9"/>
  <c r="Q69" i="9"/>
  <c r="Q82" i="9" s="1"/>
  <c r="O69" i="9"/>
  <c r="O68" i="9"/>
  <c r="X72" i="9"/>
  <c r="W75" i="9"/>
  <c r="W77" i="9"/>
  <c r="U219" i="9"/>
  <c r="U210" i="9"/>
  <c r="AO405" i="9"/>
  <c r="AO406" i="9" s="1"/>
  <c r="AB1000" i="9"/>
  <c r="AA1001" i="9"/>
  <c r="AA1172" i="9" s="1"/>
  <c r="W184" i="9"/>
  <c r="V187" i="9"/>
  <c r="V189" i="9"/>
  <c r="AJ416" i="9"/>
  <c r="AO415" i="9"/>
  <c r="AG405" i="9"/>
  <c r="V237" i="9"/>
  <c r="V235" i="9"/>
  <c r="W234" i="9"/>
  <c r="Y258" i="9"/>
  <c r="Y260" i="9"/>
  <c r="Z260" i="9" s="1"/>
  <c r="X267" i="9"/>
  <c r="X115" i="9"/>
  <c r="X116" i="9"/>
  <c r="AC118" i="9"/>
  <c r="X114" i="9"/>
  <c r="X132" i="9"/>
  <c r="Y110" i="9"/>
  <c r="Y113" i="9" s="1"/>
  <c r="O139" i="9"/>
  <c r="O135" i="9"/>
  <c r="O121" i="9" s="1"/>
  <c r="W228" i="9"/>
  <c r="X222" i="9"/>
  <c r="X225" i="9" s="1"/>
  <c r="W269" i="9"/>
  <c r="W227" i="9"/>
  <c r="W226" i="9"/>
  <c r="W236" i="9"/>
  <c r="AA245" i="9"/>
  <c r="AA248" i="9" s="1"/>
  <c r="AE245" i="9"/>
  <c r="Z250" i="9"/>
  <c r="Z270" i="9"/>
  <c r="Z259" i="9"/>
  <c r="AC405" i="9"/>
  <c r="AC406" i="9" s="1"/>
  <c r="X59" i="9"/>
  <c r="X266" i="9"/>
  <c r="Y54" i="9"/>
  <c r="Y57" i="9" s="1"/>
  <c r="AC62" i="9"/>
  <c r="X58" i="9"/>
  <c r="X60" i="9"/>
  <c r="X76" i="9"/>
  <c r="N195" i="9"/>
  <c r="N191" i="9"/>
  <c r="N177" i="9" s="1"/>
  <c r="O186" i="9" s="1"/>
  <c r="BP1009" i="9"/>
  <c r="BP1100" i="9"/>
  <c r="V7" i="9"/>
  <c r="V1164" i="9"/>
  <c r="X128" i="9"/>
  <c r="W131" i="9"/>
  <c r="W133" i="9"/>
  <c r="Y405" i="9"/>
  <c r="Y406" i="9"/>
  <c r="BP1087" i="9"/>
  <c r="Z279" i="11" l="1"/>
  <c r="AA4" i="11"/>
  <c r="Z3" i="11"/>
  <c r="Y927" i="11"/>
  <c r="Y928" i="11"/>
  <c r="AN826" i="11"/>
  <c r="AM827" i="11"/>
  <c r="AM1002" i="11" s="1"/>
  <c r="W272" i="9"/>
  <c r="N178" i="9"/>
  <c r="W1164" i="9"/>
  <c r="W7" i="9"/>
  <c r="BQ1083" i="9"/>
  <c r="BP1086" i="9"/>
  <c r="O82" i="9"/>
  <c r="P69" i="9"/>
  <c r="P82" i="9" s="1"/>
  <c r="P79" i="9" s="1"/>
  <c r="O136" i="9"/>
  <c r="P136" i="9" s="1"/>
  <c r="P139" i="9"/>
  <c r="AD118" i="9"/>
  <c r="Y114" i="9"/>
  <c r="Z113" i="9"/>
  <c r="Y116" i="9"/>
  <c r="Y132" i="9"/>
  <c r="Y267" i="9"/>
  <c r="Y115" i="9"/>
  <c r="W189" i="9"/>
  <c r="X184" i="9"/>
  <c r="W187" i="9"/>
  <c r="N192" i="9"/>
  <c r="AH402" i="9"/>
  <c r="AL408" i="9"/>
  <c r="AG432" i="9"/>
  <c r="AG419" i="9"/>
  <c r="AG420" i="9" s="1"/>
  <c r="Y72" i="9"/>
  <c r="X77" i="9"/>
  <c r="X75" i="9"/>
  <c r="X227" i="9"/>
  <c r="Y222" i="9"/>
  <c r="Y225" i="9" s="1"/>
  <c r="X269" i="9"/>
  <c r="X228" i="9"/>
  <c r="X226" i="9"/>
  <c r="X236" i="9"/>
  <c r="Y266" i="9"/>
  <c r="Y59" i="9"/>
  <c r="Z57" i="9"/>
  <c r="Y60" i="9"/>
  <c r="Z60" i="9" s="1"/>
  <c r="AD62" i="9"/>
  <c r="Y76" i="9"/>
  <c r="Y58" i="9"/>
  <c r="Y432" i="9"/>
  <c r="AD408" i="9"/>
  <c r="Y419" i="9"/>
  <c r="Y420" i="9" s="1"/>
  <c r="Q83" i="9"/>
  <c r="Q79" i="9"/>
  <c r="Q65" i="9" s="1"/>
  <c r="AC432" i="9"/>
  <c r="AD402" i="9"/>
  <c r="AH408" i="9"/>
  <c r="AC419" i="9"/>
  <c r="AC420" i="9" s="1"/>
  <c r="AC1000" i="9"/>
  <c r="AB1001" i="9"/>
  <c r="AB1172" i="9" s="1"/>
  <c r="V9" i="9"/>
  <c r="V8" i="9"/>
  <c r="X268" i="9"/>
  <c r="X272" i="9" s="1"/>
  <c r="X188" i="9"/>
  <c r="AC174" i="9"/>
  <c r="X172" i="9"/>
  <c r="X170" i="9"/>
  <c r="Y166" i="9"/>
  <c r="Y169" i="9" s="1"/>
  <c r="X171" i="9"/>
  <c r="AA250" i="9"/>
  <c r="AA249" i="9"/>
  <c r="AB245" i="9"/>
  <c r="AB248" i="9" s="1"/>
  <c r="AA251" i="9"/>
  <c r="AA270" i="9"/>
  <c r="AA259" i="9"/>
  <c r="AP408" i="9"/>
  <c r="AK432" i="9"/>
  <c r="AL402" i="9"/>
  <c r="AK419" i="9"/>
  <c r="AK420" i="9" s="1"/>
  <c r="P121" i="9"/>
  <c r="O122" i="9"/>
  <c r="X131" i="9"/>
  <c r="X133" i="9"/>
  <c r="Y128" i="9"/>
  <c r="Z116" i="9"/>
  <c r="AE257" i="9"/>
  <c r="Z258" i="9"/>
  <c r="AA257" i="9"/>
  <c r="AT408" i="9"/>
  <c r="AP402" i="9"/>
  <c r="AO432" i="9"/>
  <c r="AO417" i="9"/>
  <c r="AT402" i="9"/>
  <c r="AO419" i="9"/>
  <c r="AO420" i="9" s="1"/>
  <c r="O185" i="9"/>
  <c r="P186" i="9"/>
  <c r="P185" i="9" s="1"/>
  <c r="P180" i="9" s="1"/>
  <c r="W237" i="9"/>
  <c r="W235" i="9"/>
  <c r="X234" i="9"/>
  <c r="AG406" i="9"/>
  <c r="AK406" i="9"/>
  <c r="AO826" i="11" l="1"/>
  <c r="AO827" i="11" s="1"/>
  <c r="AN827" i="11"/>
  <c r="AN1002" i="11" s="1"/>
  <c r="W925" i="11"/>
  <c r="Y926" i="11"/>
  <c r="X926" i="11"/>
  <c r="Y740" i="11"/>
  <c r="V926" i="11"/>
  <c r="X740" i="11"/>
  <c r="Y925" i="11"/>
  <c r="X925" i="11"/>
  <c r="V925" i="11"/>
  <c r="W926" i="11"/>
  <c r="V928" i="11"/>
  <c r="V927" i="11"/>
  <c r="W927" i="11"/>
  <c r="W928" i="11"/>
  <c r="X928" i="11"/>
  <c r="X927" i="11"/>
  <c r="AA279" i="11"/>
  <c r="AA3" i="11"/>
  <c r="AB4" i="11"/>
  <c r="X1164" i="9"/>
  <c r="X7" i="9"/>
  <c r="AO416" i="9"/>
  <c r="AT415" i="9"/>
  <c r="AD1000" i="9"/>
  <c r="AC1001" i="9"/>
  <c r="AC1172" i="9" s="1"/>
  <c r="X235" i="9"/>
  <c r="Y234" i="9"/>
  <c r="X237" i="9"/>
  <c r="AP405" i="9"/>
  <c r="AD405" i="9"/>
  <c r="AD406" i="9"/>
  <c r="Y131" i="9"/>
  <c r="Y133" i="9"/>
  <c r="AA258" i="9"/>
  <c r="AA260" i="9"/>
  <c r="AB257" i="9"/>
  <c r="Z225" i="9"/>
  <c r="Y269" i="9"/>
  <c r="Y272" i="9" s="1"/>
  <c r="Y226" i="9"/>
  <c r="Y228" i="9"/>
  <c r="Z228" i="9" s="1"/>
  <c r="Y227" i="9"/>
  <c r="Y236" i="9"/>
  <c r="AE118" i="9"/>
  <c r="AA110" i="9"/>
  <c r="AA113" i="9" s="1"/>
  <c r="AE110" i="9"/>
  <c r="Z132" i="9"/>
  <c r="Z267" i="9"/>
  <c r="Z115" i="9"/>
  <c r="AE54" i="9"/>
  <c r="AA54" i="9"/>
  <c r="AA57" i="9" s="1"/>
  <c r="Z76" i="9"/>
  <c r="Z266" i="9"/>
  <c r="Z59" i="9"/>
  <c r="AE62" i="9"/>
  <c r="AL405" i="9"/>
  <c r="R74" i="9"/>
  <c r="Q66" i="9"/>
  <c r="AB270" i="9"/>
  <c r="AB249" i="9"/>
  <c r="AB250" i="9"/>
  <c r="AC245" i="9"/>
  <c r="AC248" i="9" s="1"/>
  <c r="AB251" i="9"/>
  <c r="AB259" i="9"/>
  <c r="Y171" i="9"/>
  <c r="Y188" i="9"/>
  <c r="Y170" i="9"/>
  <c r="Z169" i="9"/>
  <c r="AD174" i="9"/>
  <c r="Y172" i="9"/>
  <c r="Z172" i="9" s="1"/>
  <c r="Y268" i="9"/>
  <c r="O83" i="9"/>
  <c r="O79" i="9"/>
  <c r="O65" i="9" s="1"/>
  <c r="BQ1084" i="9"/>
  <c r="BQ1097" i="9" s="1"/>
  <c r="P179" i="9"/>
  <c r="Y77" i="9"/>
  <c r="Z77" i="9" s="1"/>
  <c r="Y75" i="9"/>
  <c r="AH405" i="9"/>
  <c r="AH406" i="9" s="1"/>
  <c r="AT405" i="9"/>
  <c r="AT406" i="9" s="1"/>
  <c r="Q80" i="9"/>
  <c r="O180" i="9"/>
  <c r="O181" i="9"/>
  <c r="R181" i="9"/>
  <c r="R194" i="9" s="1"/>
  <c r="Q181" i="9"/>
  <c r="Q194" i="9" s="1"/>
  <c r="Q130" i="9"/>
  <c r="P122" i="9"/>
  <c r="Y184" i="9"/>
  <c r="X189" i="9"/>
  <c r="X187" i="9"/>
  <c r="W9" i="9"/>
  <c r="W8" i="9"/>
  <c r="AB279" i="11" l="1"/>
  <c r="AC4" i="11"/>
  <c r="AB3" i="11"/>
  <c r="AP826" i="11"/>
  <c r="AO1002" i="11"/>
  <c r="AB258" i="9"/>
  <c r="AB260" i="9"/>
  <c r="AC257" i="9"/>
  <c r="AP432" i="9"/>
  <c r="AU408" i="9"/>
  <c r="AQ402" i="9"/>
  <c r="AP419" i="9"/>
  <c r="AP420" i="9" s="1"/>
  <c r="Z98" i="9"/>
  <c r="Z107" i="9"/>
  <c r="AY408" i="9"/>
  <c r="AY402" i="9"/>
  <c r="AU402" i="9"/>
  <c r="AT417" i="9"/>
  <c r="AT432" i="9"/>
  <c r="AT419" i="9"/>
  <c r="AT420" i="9" s="1"/>
  <c r="AM408" i="9"/>
  <c r="AI402" i="9"/>
  <c r="AH432" i="9"/>
  <c r="AH419" i="9"/>
  <c r="AH420" i="9" s="1"/>
  <c r="AE128" i="9"/>
  <c r="AA128" i="9"/>
  <c r="Z131" i="9"/>
  <c r="AB110" i="9"/>
  <c r="AB113" i="9" s="1"/>
  <c r="AA114" i="9"/>
  <c r="AA116" i="9"/>
  <c r="AA267" i="9"/>
  <c r="AF118" i="9"/>
  <c r="AA132" i="9"/>
  <c r="AA115" i="9"/>
  <c r="BQ766" i="9"/>
  <c r="BQ1117" i="9"/>
  <c r="R73" i="9"/>
  <c r="AM402" i="9"/>
  <c r="AQ408" i="9"/>
  <c r="AL432" i="9"/>
  <c r="AL419" i="9"/>
  <c r="AL420" i="9" s="1"/>
  <c r="AC249" i="9"/>
  <c r="AD245" i="9"/>
  <c r="AD248" i="9" s="1"/>
  <c r="AC250" i="9"/>
  <c r="AC251" i="9"/>
  <c r="AC270" i="9"/>
  <c r="AC259" i="9"/>
  <c r="Q129" i="9"/>
  <c r="Y7" i="9"/>
  <c r="Y1164" i="9"/>
  <c r="Q195" i="9"/>
  <c r="Q191" i="9"/>
  <c r="Q177" i="9" s="1"/>
  <c r="Q178" i="9" s="1"/>
  <c r="R195" i="9"/>
  <c r="R192" i="9" s="1"/>
  <c r="R191" i="9"/>
  <c r="R177" i="9" s="1"/>
  <c r="AE174" i="9"/>
  <c r="AE166" i="9"/>
  <c r="AA166" i="9"/>
  <c r="AA169" i="9" s="1"/>
  <c r="Z268" i="9"/>
  <c r="Z272" i="9" s="1"/>
  <c r="Z188" i="9"/>
  <c r="Z171" i="9"/>
  <c r="AA222" i="9"/>
  <c r="AA225" i="9" s="1"/>
  <c r="Z269" i="9"/>
  <c r="Z227" i="9"/>
  <c r="AE222" i="9"/>
  <c r="Z236" i="9"/>
  <c r="Z133" i="9"/>
  <c r="AD419" i="9"/>
  <c r="AD420" i="9" s="1"/>
  <c r="AI408" i="9"/>
  <c r="AD432" i="9"/>
  <c r="AP406" i="9"/>
  <c r="P65" i="9"/>
  <c r="P66" i="9" s="1"/>
  <c r="O66" i="9"/>
  <c r="Y237" i="9"/>
  <c r="Z237" i="9" s="1"/>
  <c r="Y235" i="9"/>
  <c r="O80" i="9"/>
  <c r="P80" i="9" s="1"/>
  <c r="P83" i="9"/>
  <c r="AE1000" i="9"/>
  <c r="AE1001" i="9" s="1"/>
  <c r="AD1001" i="9"/>
  <c r="AD1172" i="9" s="1"/>
  <c r="AL406" i="9"/>
  <c r="P181" i="9"/>
  <c r="P194" i="9" s="1"/>
  <c r="P191" i="9" s="1"/>
  <c r="O194" i="9"/>
  <c r="Y187" i="9"/>
  <c r="Y189" i="9"/>
  <c r="AA72" i="9"/>
  <c r="AE72" i="9"/>
  <c r="Z75" i="9"/>
  <c r="X9" i="9"/>
  <c r="X8" i="9"/>
  <c r="AA59" i="9"/>
  <c r="AB54" i="9"/>
  <c r="AB57" i="9" s="1"/>
  <c r="AA76" i="9"/>
  <c r="AF62" i="9"/>
  <c r="AA58" i="9"/>
  <c r="AA266" i="9"/>
  <c r="AA60" i="9"/>
  <c r="AQ826" i="11" l="1"/>
  <c r="AP827" i="11"/>
  <c r="AP1002" i="11" s="1"/>
  <c r="AD4" i="11"/>
  <c r="AC279" i="11"/>
  <c r="AC3" i="11"/>
  <c r="AY415" i="9"/>
  <c r="AT416" i="9"/>
  <c r="Y8" i="9"/>
  <c r="Y9" i="9"/>
  <c r="Q125" i="9"/>
  <c r="Q138" i="9" s="1"/>
  <c r="Q124" i="9"/>
  <c r="AB128" i="9"/>
  <c r="AA131" i="9"/>
  <c r="AA133" i="9"/>
  <c r="AE234" i="9"/>
  <c r="Z235" i="9"/>
  <c r="AA234" i="9"/>
  <c r="AI405" i="9"/>
  <c r="AI406" i="9"/>
  <c r="BQ1087" i="9"/>
  <c r="Z163" i="9"/>
  <c r="Z154" i="9"/>
  <c r="Z189" i="9"/>
  <c r="AY405" i="9"/>
  <c r="AY406" i="9" s="1"/>
  <c r="AA269" i="9"/>
  <c r="AA226" i="9"/>
  <c r="AA227" i="9"/>
  <c r="AA228" i="9"/>
  <c r="AB222" i="9"/>
  <c r="AB225" i="9" s="1"/>
  <c r="AA236" i="9"/>
  <c r="S186" i="9"/>
  <c r="R178" i="9"/>
  <c r="BQ1100" i="9"/>
  <c r="BQ1009" i="9"/>
  <c r="Z1164" i="9"/>
  <c r="Z7" i="9"/>
  <c r="Z9" i="9" s="1"/>
  <c r="O195" i="9"/>
  <c r="O191" i="9"/>
  <c r="O177" i="9" s="1"/>
  <c r="AC260" i="9"/>
  <c r="AC258" i="9"/>
  <c r="AD257" i="9"/>
  <c r="AG118" i="9"/>
  <c r="AB116" i="9"/>
  <c r="AB267" i="9"/>
  <c r="AC110" i="9"/>
  <c r="AC113" i="9" s="1"/>
  <c r="AB132" i="9"/>
  <c r="AB114" i="9"/>
  <c r="AB115" i="9"/>
  <c r="AF1000" i="9"/>
  <c r="AE1172" i="9"/>
  <c r="AD250" i="9"/>
  <c r="AD249" i="9"/>
  <c r="AD251" i="9"/>
  <c r="AE251" i="9" s="1"/>
  <c r="AE248" i="9"/>
  <c r="AD270" i="9"/>
  <c r="AD259" i="9"/>
  <c r="AB266" i="9"/>
  <c r="AC54" i="9"/>
  <c r="AC57" i="9" s="1"/>
  <c r="AB76" i="9"/>
  <c r="AG62" i="9"/>
  <c r="AB58" i="9"/>
  <c r="AB60" i="9"/>
  <c r="AB59" i="9"/>
  <c r="R69" i="9"/>
  <c r="R82" i="9" s="1"/>
  <c r="R68" i="9"/>
  <c r="Q192" i="9"/>
  <c r="AU405" i="9"/>
  <c r="Z187" i="9"/>
  <c r="AE184" i="9"/>
  <c r="AA184" i="9"/>
  <c r="AQ405" i="9"/>
  <c r="AA77" i="9"/>
  <c r="AB72" i="9"/>
  <c r="AA75" i="9"/>
  <c r="AA170" i="9"/>
  <c r="AF174" i="9"/>
  <c r="AB166" i="9"/>
  <c r="AB169" i="9" s="1"/>
  <c r="AA172" i="9"/>
  <c r="AA268" i="9"/>
  <c r="AA272" i="9" s="1"/>
  <c r="AA188" i="9"/>
  <c r="AA171" i="9"/>
  <c r="AM405" i="9"/>
  <c r="AM406" i="9"/>
  <c r="AE4" i="11" l="1"/>
  <c r="AD3" i="11"/>
  <c r="AD279" i="11"/>
  <c r="AR826" i="11"/>
  <c r="AQ827" i="11"/>
  <c r="AQ1002" i="11" s="1"/>
  <c r="AZ408" i="9"/>
  <c r="AU432" i="9"/>
  <c r="AV402" i="9"/>
  <c r="AU419" i="9"/>
  <c r="AU420" i="9" s="1"/>
  <c r="AU406" i="9"/>
  <c r="AA187" i="9"/>
  <c r="AA189" i="9"/>
  <c r="AB184" i="9"/>
  <c r="S185" i="9"/>
  <c r="AB234" i="9"/>
  <c r="AA235" i="9"/>
  <c r="AA237" i="9"/>
  <c r="AN402" i="9"/>
  <c r="AR408" i="9"/>
  <c r="AM432" i="9"/>
  <c r="AM419" i="9"/>
  <c r="AM420" i="9" s="1"/>
  <c r="AI432" i="9"/>
  <c r="AN408" i="9"/>
  <c r="AI419" i="9"/>
  <c r="AI420" i="9" s="1"/>
  <c r="AG1000" i="9"/>
  <c r="AF1001" i="9"/>
  <c r="AF1172" i="9" s="1"/>
  <c r="AE250" i="9"/>
  <c r="AF245" i="9"/>
  <c r="AF248" i="9" s="1"/>
  <c r="AE270" i="9"/>
  <c r="AE259" i="9"/>
  <c r="AJ245" i="9"/>
  <c r="AB188" i="9"/>
  <c r="AB170" i="9"/>
  <c r="AC166" i="9"/>
  <c r="AC169" i="9" s="1"/>
  <c r="AG174" i="9"/>
  <c r="AB268" i="9"/>
  <c r="AB272" i="9" s="1"/>
  <c r="AB172" i="9"/>
  <c r="AB171" i="9"/>
  <c r="AB133" i="9"/>
  <c r="AB131" i="9"/>
  <c r="AC128" i="9"/>
  <c r="AC115" i="9"/>
  <c r="AC267" i="9"/>
  <c r="AC116" i="9"/>
  <c r="AD110" i="9"/>
  <c r="AD113" i="9" s="1"/>
  <c r="AC132" i="9"/>
  <c r="AH118" i="9"/>
  <c r="AC114" i="9"/>
  <c r="Q139" i="9"/>
  <c r="Q135" i="9"/>
  <c r="Q121" i="9" s="1"/>
  <c r="R130" i="9" s="1"/>
  <c r="AD54" i="9"/>
  <c r="AD57" i="9" s="1"/>
  <c r="AC76" i="9"/>
  <c r="AH62" i="9"/>
  <c r="AC58" i="9"/>
  <c r="AC60" i="9"/>
  <c r="AC59" i="9"/>
  <c r="AC266" i="9"/>
  <c r="Z210" i="9"/>
  <c r="Z219" i="9"/>
  <c r="AA1164" i="9"/>
  <c r="AA7" i="9"/>
  <c r="BR1083" i="9"/>
  <c r="BQ1086" i="9"/>
  <c r="R66" i="9"/>
  <c r="AB226" i="9"/>
  <c r="AB269" i="9"/>
  <c r="AB227" i="9"/>
  <c r="AB228" i="9"/>
  <c r="AC222" i="9"/>
  <c r="AC225" i="9" s="1"/>
  <c r="AB236" i="9"/>
  <c r="R83" i="9"/>
  <c r="R79" i="9"/>
  <c r="R65" i="9" s="1"/>
  <c r="S74" i="9" s="1"/>
  <c r="AB77" i="9"/>
  <c r="AC72" i="9"/>
  <c r="AB75" i="9"/>
  <c r="AY432" i="9"/>
  <c r="BD402" i="9"/>
  <c r="AZ402" i="9"/>
  <c r="AY417" i="9"/>
  <c r="BD408" i="9"/>
  <c r="AY419" i="9"/>
  <c r="AY420" i="9" s="1"/>
  <c r="AV408" i="9"/>
  <c r="AR402" i="9"/>
  <c r="AQ432" i="9"/>
  <c r="AQ419" i="9"/>
  <c r="AQ420" i="9" s="1"/>
  <c r="AQ406" i="9"/>
  <c r="P177" i="9"/>
  <c r="P178" i="9" s="1"/>
  <c r="O178" i="9"/>
  <c r="AD260" i="9"/>
  <c r="AE260" i="9" s="1"/>
  <c r="AD258" i="9"/>
  <c r="O192" i="9"/>
  <c r="P192" i="9" s="1"/>
  <c r="P195" i="9"/>
  <c r="AS826" i="11" l="1"/>
  <c r="AR827" i="11"/>
  <c r="AR1002" i="11" s="1"/>
  <c r="AE279" i="11"/>
  <c r="AF4" i="11"/>
  <c r="AE3" i="11"/>
  <c r="AB1164" i="9"/>
  <c r="AB7" i="9"/>
  <c r="AC77" i="9"/>
  <c r="AD72" i="9"/>
  <c r="AC75" i="9"/>
  <c r="Q136" i="9"/>
  <c r="AF249" i="9"/>
  <c r="AF251" i="9"/>
  <c r="AG245" i="9"/>
  <c r="AG248" i="9" s="1"/>
  <c r="AF270" i="9"/>
  <c r="AF250" i="9"/>
  <c r="AF259" i="9"/>
  <c r="AH174" i="9"/>
  <c r="AC172" i="9"/>
  <c r="AD166" i="9"/>
  <c r="AD169" i="9" s="1"/>
  <c r="AC268" i="9"/>
  <c r="AC170" i="9"/>
  <c r="AC171" i="9"/>
  <c r="AC188" i="9"/>
  <c r="AD76" i="9"/>
  <c r="AD58" i="9"/>
  <c r="AD59" i="9"/>
  <c r="AI62" i="9"/>
  <c r="AE57" i="9"/>
  <c r="AD60" i="9"/>
  <c r="AE60" i="9" s="1"/>
  <c r="AD266" i="9"/>
  <c r="AZ405" i="9"/>
  <c r="AZ406" i="9" s="1"/>
  <c r="BR1084" i="9"/>
  <c r="BR1097" i="9"/>
  <c r="AA9" i="9"/>
  <c r="AA8" i="9"/>
  <c r="AC226" i="9"/>
  <c r="AD222" i="9"/>
  <c r="AD225" i="9" s="1"/>
  <c r="AC227" i="9"/>
  <c r="AC269" i="9"/>
  <c r="AC228" i="9"/>
  <c r="AC236" i="9"/>
  <c r="AB187" i="9"/>
  <c r="AB189" i="9"/>
  <c r="AC184" i="9"/>
  <c r="S180" i="9"/>
  <c r="S181" i="9"/>
  <c r="S194" i="9" s="1"/>
  <c r="AC131" i="9"/>
  <c r="AD128" i="9"/>
  <c r="AC133" i="9"/>
  <c r="AD115" i="9"/>
  <c r="AE113" i="9"/>
  <c r="AD267" i="9"/>
  <c r="AD116" i="9"/>
  <c r="AE116" i="9" s="1"/>
  <c r="AD132" i="9"/>
  <c r="AI118" i="9"/>
  <c r="AD114" i="9"/>
  <c r="AH1000" i="9"/>
  <c r="AG1001" i="9"/>
  <c r="AG1172" i="9" s="1"/>
  <c r="AV405" i="9"/>
  <c r="Q122" i="9"/>
  <c r="AC272" i="9"/>
  <c r="R80" i="9"/>
  <c r="AR405" i="9"/>
  <c r="AR406" i="9"/>
  <c r="AB235" i="9"/>
  <c r="AC234" i="9"/>
  <c r="AB237" i="9"/>
  <c r="R129" i="9"/>
  <c r="AY416" i="9"/>
  <c r="BD415" i="9"/>
  <c r="AJ257" i="9"/>
  <c r="AE258" i="9"/>
  <c r="AF257" i="9"/>
  <c r="BD405" i="9"/>
  <c r="BD406" i="9"/>
  <c r="S73" i="9"/>
  <c r="U74" i="9"/>
  <c r="U73" i="9" s="1"/>
  <c r="U68" i="9" s="1"/>
  <c r="AN405" i="9"/>
  <c r="AB926" i="11" l="1"/>
  <c r="AD926" i="11"/>
  <c r="AB925" i="11"/>
  <c r="AA926" i="11"/>
  <c r="AC925" i="11"/>
  <c r="AA925" i="11"/>
  <c r="AD925" i="11"/>
  <c r="AC740" i="11"/>
  <c r="AB740" i="11"/>
  <c r="AA740" i="11"/>
  <c r="AD740" i="11"/>
  <c r="AC926" i="11"/>
  <c r="AA928" i="11"/>
  <c r="AA927" i="11"/>
  <c r="AB927" i="11"/>
  <c r="AB928" i="11"/>
  <c r="AC927" i="11"/>
  <c r="AC928" i="11"/>
  <c r="AF279" i="11"/>
  <c r="AF3" i="11"/>
  <c r="AG4" i="11"/>
  <c r="AD928" i="11"/>
  <c r="AD927" i="11"/>
  <c r="AT826" i="11"/>
  <c r="AT827" i="11" s="1"/>
  <c r="AS827" i="11"/>
  <c r="AS1002" i="11" s="1"/>
  <c r="AE169" i="9"/>
  <c r="AI174" i="9"/>
  <c r="AD268" i="9"/>
  <c r="AD172" i="9"/>
  <c r="AE172" i="9" s="1"/>
  <c r="AD171" i="9"/>
  <c r="AD170" i="9"/>
  <c r="AD188" i="9"/>
  <c r="AS408" i="9"/>
  <c r="AN419" i="9"/>
  <c r="AN420" i="9" s="1"/>
  <c r="AN432" i="9"/>
  <c r="AN406" i="9"/>
  <c r="AC1164" i="9"/>
  <c r="AC7" i="9"/>
  <c r="AG257" i="9"/>
  <c r="AF260" i="9"/>
  <c r="AF258" i="9"/>
  <c r="AG250" i="9"/>
  <c r="AG249" i="9"/>
  <c r="AG251" i="9"/>
  <c r="AH245" i="9"/>
  <c r="AH248" i="9" s="1"/>
  <c r="AG259" i="9"/>
  <c r="AG270" i="9"/>
  <c r="S195" i="9"/>
  <c r="S191" i="9"/>
  <c r="S177" i="9" s="1"/>
  <c r="T186" i="9" s="1"/>
  <c r="BR766" i="9"/>
  <c r="BS1084" i="9"/>
  <c r="BR1117" i="9"/>
  <c r="U67" i="9"/>
  <c r="BA408" i="9"/>
  <c r="AV432" i="9"/>
  <c r="AW402" i="9"/>
  <c r="AV419" i="9"/>
  <c r="AV420" i="9" s="1"/>
  <c r="AJ62" i="9"/>
  <c r="AF54" i="9"/>
  <c r="AF57" i="9" s="1"/>
  <c r="AE59" i="9"/>
  <c r="AJ54" i="9"/>
  <c r="AE266" i="9"/>
  <c r="AE76" i="9"/>
  <c r="AI1000" i="9"/>
  <c r="AH1001" i="9"/>
  <c r="AH1172" i="9" s="1"/>
  <c r="AE132" i="9"/>
  <c r="AF110" i="9"/>
  <c r="AF113" i="9" s="1"/>
  <c r="AE115" i="9"/>
  <c r="AE267" i="9"/>
  <c r="AJ118" i="9"/>
  <c r="AJ110" i="9"/>
  <c r="AS402" i="9"/>
  <c r="AR432" i="9"/>
  <c r="AW408" i="9"/>
  <c r="AR419" i="9"/>
  <c r="AR420" i="9" s="1"/>
  <c r="AZ432" i="9"/>
  <c r="BA402" i="9"/>
  <c r="BE408" i="9"/>
  <c r="AZ419" i="9"/>
  <c r="AZ420" i="9" s="1"/>
  <c r="T69" i="9"/>
  <c r="S68" i="9"/>
  <c r="S69" i="9"/>
  <c r="S82" i="9" s="1"/>
  <c r="AD272" i="9"/>
  <c r="BD432" i="9"/>
  <c r="BI402" i="9"/>
  <c r="BE402" i="9"/>
  <c r="BD417" i="9"/>
  <c r="BI408" i="9"/>
  <c r="BD419" i="9"/>
  <c r="BD420" i="9" s="1"/>
  <c r="AV406" i="9"/>
  <c r="AC237" i="9"/>
  <c r="AD234" i="9"/>
  <c r="AC235" i="9"/>
  <c r="AD77" i="9"/>
  <c r="AD75" i="9"/>
  <c r="AC189" i="9"/>
  <c r="AC187" i="9"/>
  <c r="AD184" i="9"/>
  <c r="AB9" i="9"/>
  <c r="AB8" i="9"/>
  <c r="R125" i="9"/>
  <c r="R138" i="9" s="1"/>
  <c r="R124" i="9"/>
  <c r="AD133" i="9"/>
  <c r="AD131" i="9"/>
  <c r="AD228" i="9"/>
  <c r="AE228" i="9" s="1"/>
  <c r="AD226" i="9"/>
  <c r="AD236" i="9"/>
  <c r="AE225" i="9"/>
  <c r="AD269" i="9"/>
  <c r="AD227" i="9"/>
  <c r="AU826" i="11" l="1"/>
  <c r="AT1002" i="11"/>
  <c r="AG3" i="11"/>
  <c r="AH4" i="11"/>
  <c r="AG279" i="11"/>
  <c r="S178" i="9"/>
  <c r="AS405" i="9"/>
  <c r="AS406" i="9" s="1"/>
  <c r="BE405" i="9"/>
  <c r="BI405" i="9"/>
  <c r="BI406" i="9" s="1"/>
  <c r="AE131" i="9"/>
  <c r="AJ128" i="9"/>
  <c r="AF128" i="9"/>
  <c r="BS1095" i="9"/>
  <c r="BS1097" i="9"/>
  <c r="AF116" i="9"/>
  <c r="AK118" i="9"/>
  <c r="AF114" i="9"/>
  <c r="AG110" i="9"/>
  <c r="AG113" i="9" s="1"/>
  <c r="AF115" i="9"/>
  <c r="AF132" i="9"/>
  <c r="AF267" i="9"/>
  <c r="BR1100" i="9"/>
  <c r="BR1009" i="9"/>
  <c r="BS1009" i="9" s="1"/>
  <c r="BS766" i="9"/>
  <c r="AD237" i="9"/>
  <c r="AE237" i="9" s="1"/>
  <c r="AD235" i="9"/>
  <c r="BI415" i="9"/>
  <c r="BD416" i="9"/>
  <c r="BR1087" i="9"/>
  <c r="BR1086" i="9" s="1"/>
  <c r="BS1117" i="9"/>
  <c r="S83" i="9"/>
  <c r="S79" i="9"/>
  <c r="S65" i="9" s="1"/>
  <c r="S66" i="9" s="1"/>
  <c r="AJ1000" i="9"/>
  <c r="AJ1001" i="9" s="1"/>
  <c r="AI1001" i="9"/>
  <c r="AI1172" i="9" s="1"/>
  <c r="AD187" i="9"/>
  <c r="AD189" i="9"/>
  <c r="S192" i="9"/>
  <c r="AE189" i="9"/>
  <c r="AH257" i="9"/>
  <c r="AG260" i="9"/>
  <c r="AG258" i="9"/>
  <c r="AI245" i="9"/>
  <c r="AI248" i="9" s="1"/>
  <c r="AH270" i="9"/>
  <c r="AH251" i="9"/>
  <c r="AH259" i="9"/>
  <c r="AH249" i="9"/>
  <c r="AH250" i="9"/>
  <c r="AE77" i="9"/>
  <c r="AF76" i="9"/>
  <c r="AF58" i="9"/>
  <c r="AG54" i="9"/>
  <c r="AG57" i="9" s="1"/>
  <c r="AF59" i="9"/>
  <c r="AF60" i="9"/>
  <c r="AF266" i="9"/>
  <c r="AK62" i="9"/>
  <c r="AJ166" i="9"/>
  <c r="AE268" i="9"/>
  <c r="AE188" i="9"/>
  <c r="AE171" i="9"/>
  <c r="AJ174" i="9"/>
  <c r="AF166" i="9"/>
  <c r="AF169" i="9" s="1"/>
  <c r="AC8" i="9"/>
  <c r="AC9" i="9"/>
  <c r="R139" i="9"/>
  <c r="R135" i="9"/>
  <c r="R121" i="9" s="1"/>
  <c r="S130" i="9" s="1"/>
  <c r="AD1164" i="9"/>
  <c r="AD7" i="9"/>
  <c r="T185" i="9"/>
  <c r="U186" i="9"/>
  <c r="U185" i="9" s="1"/>
  <c r="U180" i="9" s="1"/>
  <c r="AJ72" i="9"/>
  <c r="AE75" i="9"/>
  <c r="AF72" i="9"/>
  <c r="U69" i="9"/>
  <c r="U82" i="9" s="1"/>
  <c r="U79" i="9" s="1"/>
  <c r="T82" i="9"/>
  <c r="BA405" i="9"/>
  <c r="BA406" i="9"/>
  <c r="AF222" i="9"/>
  <c r="AF225" i="9" s="1"/>
  <c r="AE269" i="9"/>
  <c r="AE227" i="9"/>
  <c r="AJ222" i="9"/>
  <c r="AE236" i="9"/>
  <c r="AW405" i="9"/>
  <c r="AW406" i="9" s="1"/>
  <c r="AE133" i="9"/>
  <c r="AI4" i="11" l="1"/>
  <c r="AH279" i="11"/>
  <c r="AH3" i="11"/>
  <c r="AV826" i="11"/>
  <c r="AU827" i="11"/>
  <c r="AU1002" i="11" s="1"/>
  <c r="AE272" i="9"/>
  <c r="U179" i="9"/>
  <c r="AE1164" i="9"/>
  <c r="AE7" i="9"/>
  <c r="AE9" i="9" s="1"/>
  <c r="AF77" i="9"/>
  <c r="AF75" i="9"/>
  <c r="AG72" i="9"/>
  <c r="S129" i="9"/>
  <c r="R136" i="9"/>
  <c r="R122" i="9"/>
  <c r="AF269" i="9"/>
  <c r="AF226" i="9"/>
  <c r="AF228" i="9"/>
  <c r="AF236" i="9"/>
  <c r="AF227" i="9"/>
  <c r="AG222" i="9"/>
  <c r="AG225" i="9" s="1"/>
  <c r="T180" i="9"/>
  <c r="T181" i="9"/>
  <c r="AD9" i="9"/>
  <c r="AD8" i="9"/>
  <c r="AI257" i="9"/>
  <c r="AH260" i="9"/>
  <c r="AH258" i="9"/>
  <c r="BS1087" i="9"/>
  <c r="AH110" i="9"/>
  <c r="AH113" i="9" s="1"/>
  <c r="AG115" i="9"/>
  <c r="AG132" i="9"/>
  <c r="AL118" i="9"/>
  <c r="AG114" i="9"/>
  <c r="AG116" i="9"/>
  <c r="AG267" i="9"/>
  <c r="AW432" i="9"/>
  <c r="BB408" i="9"/>
  <c r="AX402" i="9"/>
  <c r="AW419" i="9"/>
  <c r="AW420" i="9" s="1"/>
  <c r="AK1000" i="9"/>
  <c r="AJ1172" i="9"/>
  <c r="S80" i="9"/>
  <c r="AF268" i="9"/>
  <c r="AF272" i="9" s="1"/>
  <c r="AF188" i="9"/>
  <c r="AK174" i="9"/>
  <c r="AF171" i="9"/>
  <c r="AG166" i="9"/>
  <c r="AG169" i="9" s="1"/>
  <c r="AF170" i="9"/>
  <c r="AF172" i="9"/>
  <c r="T83" i="9"/>
  <c r="T80" i="9" s="1"/>
  <c r="T79" i="9"/>
  <c r="T65" i="9" s="1"/>
  <c r="BI417" i="9"/>
  <c r="BI416" i="9" s="1"/>
  <c r="BJ402" i="9"/>
  <c r="BN402" i="9"/>
  <c r="BI432" i="9"/>
  <c r="BI419" i="9"/>
  <c r="BI420" i="9" s="1"/>
  <c r="BF402" i="9"/>
  <c r="BE432" i="9"/>
  <c r="BJ408" i="9"/>
  <c r="BE419" i="9"/>
  <c r="BE420" i="9" s="1"/>
  <c r="AX408" i="9"/>
  <c r="AS432" i="9"/>
  <c r="AS419" i="9"/>
  <c r="AS420" i="9" s="1"/>
  <c r="AE154" i="9"/>
  <c r="AE163" i="9"/>
  <c r="AE107" i="9"/>
  <c r="AE98" i="9"/>
  <c r="AJ234" i="9"/>
  <c r="AE235" i="9"/>
  <c r="AF234" i="9"/>
  <c r="AI249" i="9"/>
  <c r="AI251" i="9"/>
  <c r="AJ251" i="9" s="1"/>
  <c r="AI259" i="9"/>
  <c r="AI270" i="9"/>
  <c r="AJ248" i="9"/>
  <c r="AI250" i="9"/>
  <c r="BF408" i="9"/>
  <c r="BB402" i="9"/>
  <c r="BA432" i="9"/>
  <c r="BA419" i="9"/>
  <c r="BA420" i="9" s="1"/>
  <c r="AF184" i="9"/>
  <c r="AJ184" i="9"/>
  <c r="AE187" i="9"/>
  <c r="BS1100" i="9"/>
  <c r="BE406" i="9"/>
  <c r="AE210" i="9"/>
  <c r="AE219" i="9"/>
  <c r="AG128" i="9"/>
  <c r="AF133" i="9"/>
  <c r="AF131" i="9"/>
  <c r="AG76" i="9"/>
  <c r="AG58" i="9"/>
  <c r="AG59" i="9"/>
  <c r="AH54" i="9"/>
  <c r="AH57" i="9" s="1"/>
  <c r="AG60" i="9"/>
  <c r="AG266" i="9"/>
  <c r="AL62" i="9"/>
  <c r="AW826" i="11" l="1"/>
  <c r="AW827" i="11" s="1"/>
  <c r="AW1002" i="11" s="1"/>
  <c r="AV827" i="11"/>
  <c r="AV1002" i="11" s="1"/>
  <c r="AJ4" i="11"/>
  <c r="AI279" i="11"/>
  <c r="AI3" i="11"/>
  <c r="AF1164" i="9"/>
  <c r="AF7" i="9"/>
  <c r="AG226" i="9"/>
  <c r="AG228" i="9"/>
  <c r="AG227" i="9"/>
  <c r="AG236" i="9"/>
  <c r="AG269" i="9"/>
  <c r="AH222" i="9"/>
  <c r="AH225" i="9" s="1"/>
  <c r="BN405" i="9"/>
  <c r="BN406" i="9" s="1"/>
  <c r="AH128" i="9"/>
  <c r="AG133" i="9"/>
  <c r="AG131" i="9"/>
  <c r="AH132" i="9"/>
  <c r="AH116" i="9"/>
  <c r="AH115" i="9"/>
  <c r="AH114" i="9"/>
  <c r="AM118" i="9"/>
  <c r="AH267" i="9"/>
  <c r="AI110" i="9"/>
  <c r="AI113" i="9" s="1"/>
  <c r="U80" i="9"/>
  <c r="AF237" i="9"/>
  <c r="AF235" i="9"/>
  <c r="AG234" i="9"/>
  <c r="AG171" i="9"/>
  <c r="AG172" i="9"/>
  <c r="AG268" i="9"/>
  <c r="AG188" i="9"/>
  <c r="AL174" i="9"/>
  <c r="AG170" i="9"/>
  <c r="AH166" i="9"/>
  <c r="AH169" i="9" s="1"/>
  <c r="AG272" i="9"/>
  <c r="AG184" i="9"/>
  <c r="AF187" i="9"/>
  <c r="AF186" i="9" s="1"/>
  <c r="AF189" i="9"/>
  <c r="S125" i="9"/>
  <c r="S138" i="9" s="1"/>
  <c r="S124" i="9"/>
  <c r="AF98" i="9"/>
  <c r="AF107" i="9"/>
  <c r="AG75" i="9"/>
  <c r="AH72" i="9"/>
  <c r="AG77" i="9"/>
  <c r="BB405" i="9"/>
  <c r="BB406" i="9"/>
  <c r="AX405" i="9"/>
  <c r="AX406" i="9" s="1"/>
  <c r="AI258" i="9"/>
  <c r="AI260" i="9"/>
  <c r="AJ260" i="9" s="1"/>
  <c r="BJ405" i="9"/>
  <c r="BJ406" i="9"/>
  <c r="U65" i="9"/>
  <c r="T66" i="9"/>
  <c r="BT1083" i="9"/>
  <c r="BS1086" i="9"/>
  <c r="AM62" i="9"/>
  <c r="AH58" i="9"/>
  <c r="AH60" i="9"/>
  <c r="AH266" i="9"/>
  <c r="AH59" i="9"/>
  <c r="AI54" i="9"/>
  <c r="AI57" i="9" s="1"/>
  <c r="AH76" i="9"/>
  <c r="U83" i="9"/>
  <c r="AL1000" i="9"/>
  <c r="AK1001" i="9"/>
  <c r="AK1172" i="9" s="1"/>
  <c r="AF154" i="9"/>
  <c r="AF163" i="9"/>
  <c r="AJ259" i="9"/>
  <c r="AJ250" i="9"/>
  <c r="AK245" i="9"/>
  <c r="AK248" i="9" s="1"/>
  <c r="AJ270" i="9"/>
  <c r="AO245" i="9"/>
  <c r="BF405" i="9"/>
  <c r="U181" i="9"/>
  <c r="U194" i="9" s="1"/>
  <c r="U191" i="9" s="1"/>
  <c r="T194" i="9"/>
  <c r="AI927" i="11" l="1"/>
  <c r="AK4" i="11"/>
  <c r="AJ3" i="11"/>
  <c r="AJ279" i="11"/>
  <c r="AH188" i="9"/>
  <c r="AH268" i="9"/>
  <c r="AM174" i="9"/>
  <c r="AH171" i="9"/>
  <c r="AH170" i="9"/>
  <c r="AH172" i="9"/>
  <c r="AI166" i="9"/>
  <c r="AI169" i="9" s="1"/>
  <c r="AI72" i="9"/>
  <c r="AH75" i="9"/>
  <c r="AH74" i="9" s="1"/>
  <c r="AH77" i="9"/>
  <c r="AI59" i="9"/>
  <c r="AI60" i="9"/>
  <c r="AJ60" i="9" s="1"/>
  <c r="AI58" i="9"/>
  <c r="AI266" i="9"/>
  <c r="AN62" i="9"/>
  <c r="AI76" i="9"/>
  <c r="AJ57" i="9"/>
  <c r="AG98" i="9"/>
  <c r="AG107" i="9"/>
  <c r="T195" i="9"/>
  <c r="T191" i="9"/>
  <c r="T177" i="9" s="1"/>
  <c r="BS402" i="9"/>
  <c r="BO402" i="9"/>
  <c r="AJ258" i="9"/>
  <c r="AK257" i="9"/>
  <c r="AO257" i="9"/>
  <c r="AG1164" i="9"/>
  <c r="AG7" i="9"/>
  <c r="AM1000" i="9"/>
  <c r="AL1001" i="9"/>
  <c r="AL1172" i="9" s="1"/>
  <c r="AG154" i="9"/>
  <c r="AG163" i="9"/>
  <c r="BC402" i="9"/>
  <c r="BG408" i="9"/>
  <c r="BB432" i="9"/>
  <c r="BB419" i="9"/>
  <c r="BB420" i="9" s="1"/>
  <c r="AH227" i="9"/>
  <c r="AH228" i="9"/>
  <c r="AH236" i="9"/>
  <c r="AH226" i="9"/>
  <c r="AI222" i="9"/>
  <c r="AI225" i="9" s="1"/>
  <c r="AH269" i="9"/>
  <c r="AH272" i="9" s="1"/>
  <c r="AK251" i="9"/>
  <c r="AK259" i="9"/>
  <c r="AK250" i="9"/>
  <c r="AL245" i="9"/>
  <c r="AL248" i="9" s="1"/>
  <c r="AK270" i="9"/>
  <c r="AK249" i="9"/>
  <c r="AI132" i="9"/>
  <c r="AI114" i="9"/>
  <c r="AI115" i="9"/>
  <c r="AI267" i="9"/>
  <c r="AI116" i="9"/>
  <c r="AJ116" i="9" s="1"/>
  <c r="AN118" i="9"/>
  <c r="AJ113" i="9"/>
  <c r="S139" i="9"/>
  <c r="S135" i="9"/>
  <c r="S121" i="9" s="1"/>
  <c r="T130" i="9" s="1"/>
  <c r="V74" i="9"/>
  <c r="U66" i="9"/>
  <c r="AF219" i="9"/>
  <c r="AF210" i="9"/>
  <c r="AF9" i="9"/>
  <c r="AF8" i="9"/>
  <c r="AI128" i="9"/>
  <c r="AH131" i="9"/>
  <c r="AH133" i="9"/>
  <c r="BC408" i="9"/>
  <c r="AX432" i="9"/>
  <c r="AX419" i="9"/>
  <c r="AX420" i="9" s="1"/>
  <c r="AG187" i="9"/>
  <c r="AH184" i="9"/>
  <c r="AG189" i="9"/>
  <c r="BF432" i="9"/>
  <c r="BG402" i="9"/>
  <c r="BF419" i="9"/>
  <c r="BF420" i="9" s="1"/>
  <c r="BF406" i="9"/>
  <c r="AG235" i="9"/>
  <c r="AG237" i="9"/>
  <c r="AH234" i="9"/>
  <c r="BT1084" i="9"/>
  <c r="BT1097" i="9" s="1"/>
  <c r="BK402" i="9"/>
  <c r="BJ419" i="9"/>
  <c r="BJ420" i="9" s="1"/>
  <c r="BJ432" i="9"/>
  <c r="AG925" i="11" l="1"/>
  <c r="AH926" i="11"/>
  <c r="AI926" i="11"/>
  <c r="AF925" i="11"/>
  <c r="AG926" i="11"/>
  <c r="AH740" i="11"/>
  <c r="AF740" i="11"/>
  <c r="AI925" i="11"/>
  <c r="AI740" i="11"/>
  <c r="AG740" i="11"/>
  <c r="AF926" i="11"/>
  <c r="AH925" i="11"/>
  <c r="AF927" i="11"/>
  <c r="AF928" i="11"/>
  <c r="AG927" i="11"/>
  <c r="AG928" i="11"/>
  <c r="AH928" i="11"/>
  <c r="AH927" i="11"/>
  <c r="AK3" i="11"/>
  <c r="AL4" i="11"/>
  <c r="AK279" i="11"/>
  <c r="AI928" i="11"/>
  <c r="S122" i="9"/>
  <c r="AH7" i="9"/>
  <c r="AH1164" i="9"/>
  <c r="AI131" i="9"/>
  <c r="AI133" i="9"/>
  <c r="AI75" i="9"/>
  <c r="AI77" i="9"/>
  <c r="AL249" i="9"/>
  <c r="AL251" i="9"/>
  <c r="AL250" i="9"/>
  <c r="AM245" i="9"/>
  <c r="AM248" i="9" s="1"/>
  <c r="AL270" i="9"/>
  <c r="AL259" i="9"/>
  <c r="AN1000" i="9"/>
  <c r="AM1001" i="9"/>
  <c r="AM1172" i="9" s="1"/>
  <c r="AG9" i="9"/>
  <c r="AG8" i="9"/>
  <c r="AH98" i="9"/>
  <c r="AH107" i="9"/>
  <c r="BG405" i="9"/>
  <c r="BG406" i="9" s="1"/>
  <c r="BO405" i="9"/>
  <c r="BP402" i="9" s="1"/>
  <c r="BO406" i="9"/>
  <c r="AG219" i="9"/>
  <c r="AG210" i="9"/>
  <c r="BS405" i="9"/>
  <c r="BT402" i="9" s="1"/>
  <c r="BS406" i="9"/>
  <c r="AH163" i="9"/>
  <c r="AH154" i="9"/>
  <c r="BT766" i="9"/>
  <c r="BT1117" i="9"/>
  <c r="AK260" i="9"/>
  <c r="AL257" i="9"/>
  <c r="AK258" i="9"/>
  <c r="AI226" i="9"/>
  <c r="AI227" i="9"/>
  <c r="AI228" i="9"/>
  <c r="AJ228" i="9" s="1"/>
  <c r="AJ225" i="9"/>
  <c r="AI269" i="9"/>
  <c r="AI236" i="9"/>
  <c r="AI171" i="9"/>
  <c r="AI188" i="9"/>
  <c r="AI268" i="9"/>
  <c r="AI272" i="9" s="1"/>
  <c r="AN174" i="9"/>
  <c r="AJ169" i="9"/>
  <c r="AI170" i="9"/>
  <c r="AI172" i="9"/>
  <c r="AJ172" i="9" s="1"/>
  <c r="V73" i="9"/>
  <c r="AI234" i="9"/>
  <c r="AH235" i="9"/>
  <c r="AH237" i="9"/>
  <c r="T129" i="9"/>
  <c r="U130" i="9"/>
  <c r="U129" i="9" s="1"/>
  <c r="U124" i="9" s="1"/>
  <c r="U123" i="9"/>
  <c r="S136" i="9"/>
  <c r="AJ267" i="9"/>
  <c r="AJ115" i="9"/>
  <c r="AJ132" i="9"/>
  <c r="AO110" i="9"/>
  <c r="AO118" i="9"/>
  <c r="AK110" i="9"/>
  <c r="AK113" i="9" s="1"/>
  <c r="U177" i="9"/>
  <c r="T178" i="9"/>
  <c r="T192" i="9"/>
  <c r="U192" i="9" s="1"/>
  <c r="U195" i="9"/>
  <c r="AI184" i="9"/>
  <c r="AH187" i="9"/>
  <c r="AH186" i="9" s="1"/>
  <c r="AH189" i="9"/>
  <c r="BC405" i="9"/>
  <c r="BC406" i="9"/>
  <c r="BK405" i="9"/>
  <c r="BL402" i="9" s="1"/>
  <c r="BK406" i="9"/>
  <c r="AJ266" i="9"/>
  <c r="AO54" i="9"/>
  <c r="AJ59" i="9"/>
  <c r="AK54" i="9"/>
  <c r="AK57" i="9" s="1"/>
  <c r="AO62" i="9"/>
  <c r="AJ76" i="9"/>
  <c r="AL3" i="11" l="1"/>
  <c r="AM4" i="11"/>
  <c r="AL279" i="11"/>
  <c r="AI1164" i="9"/>
  <c r="AI7" i="9"/>
  <c r="AI98" i="9"/>
  <c r="AI107" i="9"/>
  <c r="AI163" i="9"/>
  <c r="AI154" i="9"/>
  <c r="AJ133" i="9"/>
  <c r="V68" i="9"/>
  <c r="V69" i="9"/>
  <c r="V82" i="9" s="1"/>
  <c r="AH9" i="9"/>
  <c r="AH8" i="9"/>
  <c r="AO72" i="9"/>
  <c r="AK72" i="9"/>
  <c r="AJ75" i="9"/>
  <c r="AI187" i="9"/>
  <c r="AI189" i="9"/>
  <c r="AJ189" i="9" s="1"/>
  <c r="AK128" i="9"/>
  <c r="AJ131" i="9"/>
  <c r="AO128" i="9"/>
  <c r="BL405" i="9"/>
  <c r="BM402" i="9" s="1"/>
  <c r="BH402" i="9"/>
  <c r="BG432" i="9"/>
  <c r="BG419" i="9"/>
  <c r="BG420" i="9" s="1"/>
  <c r="T124" i="9"/>
  <c r="T125" i="9"/>
  <c r="V125" i="9"/>
  <c r="V138" i="9" s="1"/>
  <c r="BH408" i="9"/>
  <c r="BC432" i="9"/>
  <c r="BC419" i="9"/>
  <c r="BC420" i="9" s="1"/>
  <c r="AH210" i="9"/>
  <c r="AH219" i="9"/>
  <c r="BT1087" i="9"/>
  <c r="AM270" i="9"/>
  <c r="AM259" i="9"/>
  <c r="AM250" i="9"/>
  <c r="AN245" i="9"/>
  <c r="AN248" i="9" s="1"/>
  <c r="AM251" i="9"/>
  <c r="AM249" i="9"/>
  <c r="V186" i="9"/>
  <c r="U178" i="9"/>
  <c r="AK166" i="9"/>
  <c r="AK169" i="9" s="1"/>
  <c r="AJ268" i="9"/>
  <c r="AJ188" i="9"/>
  <c r="AO174" i="9"/>
  <c r="AJ171" i="9"/>
  <c r="AO166" i="9"/>
  <c r="AK114" i="9"/>
  <c r="AK116" i="9"/>
  <c r="AK115" i="9"/>
  <c r="AK267" i="9"/>
  <c r="AK132" i="9"/>
  <c r="AP118" i="9"/>
  <c r="AL110" i="9"/>
  <c r="AL113" i="9" s="1"/>
  <c r="BT405" i="9"/>
  <c r="BU402" i="9" s="1"/>
  <c r="BT406" i="9"/>
  <c r="AK60" i="9"/>
  <c r="AK58" i="9"/>
  <c r="AK76" i="9"/>
  <c r="AP62" i="9"/>
  <c r="AL54" i="9"/>
  <c r="AL57" i="9" s="1"/>
  <c r="AK59" i="9"/>
  <c r="AK266" i="9"/>
  <c r="AI237" i="9"/>
  <c r="AJ237" i="9" s="1"/>
  <c r="AI235" i="9"/>
  <c r="BP405" i="9"/>
  <c r="BQ402" i="9" s="1"/>
  <c r="AO222" i="9"/>
  <c r="AK222" i="9"/>
  <c r="AK225" i="9" s="1"/>
  <c r="AJ227" i="9"/>
  <c r="AJ269" i="9"/>
  <c r="AJ272" i="9" s="1"/>
  <c r="AJ236" i="9"/>
  <c r="BT1100" i="9"/>
  <c r="BT1009" i="9"/>
  <c r="AO1000" i="9"/>
  <c r="AO1001" i="9" s="1"/>
  <c r="AN1001" i="9"/>
  <c r="AN1172" i="9" s="1"/>
  <c r="AL260" i="9"/>
  <c r="AL258" i="9"/>
  <c r="AM257" i="9"/>
  <c r="AJ77" i="9"/>
  <c r="AM279" i="11" l="1"/>
  <c r="AM3" i="11"/>
  <c r="AN4" i="11"/>
  <c r="BL406" i="9"/>
  <c r="AJ1164" i="9"/>
  <c r="AJ7" i="9"/>
  <c r="AJ9" i="9" s="1"/>
  <c r="AM54" i="9"/>
  <c r="AM57" i="9" s="1"/>
  <c r="AL76" i="9"/>
  <c r="AL60" i="9"/>
  <c r="AL58" i="9"/>
  <c r="AQ62" i="9"/>
  <c r="AL59" i="9"/>
  <c r="AL266" i="9"/>
  <c r="T138" i="9"/>
  <c r="U125" i="9"/>
  <c r="U138" i="9" s="1"/>
  <c r="U135" i="9" s="1"/>
  <c r="AK77" i="9"/>
  <c r="AL72" i="9"/>
  <c r="AK75" i="9"/>
  <c r="AK74" i="9" s="1"/>
  <c r="V83" i="9"/>
  <c r="V79" i="9"/>
  <c r="V65" i="9" s="1"/>
  <c r="W74" i="9" s="1"/>
  <c r="BM405" i="9"/>
  <c r="BM406" i="9" s="1"/>
  <c r="AL222" i="9"/>
  <c r="AL225" i="9" s="1"/>
  <c r="AK236" i="9"/>
  <c r="AK269" i="9"/>
  <c r="AK227" i="9"/>
  <c r="AK226" i="9"/>
  <c r="AK228" i="9"/>
  <c r="BU405" i="9"/>
  <c r="BV402" i="9" s="1"/>
  <c r="BU406" i="9"/>
  <c r="AK133" i="9"/>
  <c r="AK131" i="9"/>
  <c r="AL128" i="9"/>
  <c r="BT1086" i="9"/>
  <c r="BU1083" i="9"/>
  <c r="AK184" i="9"/>
  <c r="AO184" i="9"/>
  <c r="AJ187" i="9"/>
  <c r="V139" i="9"/>
  <c r="V135" i="9"/>
  <c r="V121" i="9" s="1"/>
  <c r="V185" i="9"/>
  <c r="AP1000" i="9"/>
  <c r="AO1172" i="9"/>
  <c r="BH405" i="9"/>
  <c r="BH406" i="9" s="1"/>
  <c r="AL267" i="9"/>
  <c r="AL114" i="9"/>
  <c r="AL116" i="9"/>
  <c r="AL115" i="9"/>
  <c r="AL132" i="9"/>
  <c r="AQ118" i="9"/>
  <c r="AM110" i="9"/>
  <c r="AM113" i="9" s="1"/>
  <c r="AJ210" i="9"/>
  <c r="AJ219" i="9"/>
  <c r="BQ405" i="9"/>
  <c r="BR402" i="9" s="1"/>
  <c r="BQ406" i="9"/>
  <c r="BP406" i="9"/>
  <c r="AI9" i="9"/>
  <c r="AI8" i="9"/>
  <c r="AN270" i="9"/>
  <c r="AO248" i="9"/>
  <c r="AN259" i="9"/>
  <c r="AN250" i="9"/>
  <c r="AN249" i="9"/>
  <c r="AN251" i="9"/>
  <c r="AO251" i="9" s="1"/>
  <c r="AM258" i="9"/>
  <c r="AM260" i="9"/>
  <c r="AN257" i="9"/>
  <c r="AJ154" i="9"/>
  <c r="AJ163" i="9"/>
  <c r="AO234" i="9"/>
  <c r="AK234" i="9"/>
  <c r="AJ235" i="9"/>
  <c r="AI210" i="9"/>
  <c r="AI219" i="9"/>
  <c r="AJ98" i="9"/>
  <c r="AJ107" i="9"/>
  <c r="AL166" i="9"/>
  <c r="AL169" i="9" s="1"/>
  <c r="AP174" i="9"/>
  <c r="AK268" i="9"/>
  <c r="AK272" i="9" s="1"/>
  <c r="AK188" i="9"/>
  <c r="AK172" i="9"/>
  <c r="AK170" i="9"/>
  <c r="AK171" i="9"/>
  <c r="AN279" i="11" l="1"/>
  <c r="AO4" i="11"/>
  <c r="AN3" i="11"/>
  <c r="AK1164" i="9"/>
  <c r="AK7" i="9"/>
  <c r="BU1084" i="9"/>
  <c r="BU1097" i="9"/>
  <c r="AK189" i="9"/>
  <c r="AL184" i="9"/>
  <c r="AK187" i="9"/>
  <c r="AK98" i="9"/>
  <c r="AK107" i="9"/>
  <c r="AQ174" i="9"/>
  <c r="AL188" i="9"/>
  <c r="AL172" i="9"/>
  <c r="AL170" i="9"/>
  <c r="AL268" i="9"/>
  <c r="AL272" i="9" s="1"/>
  <c r="AL171" i="9"/>
  <c r="AM166" i="9"/>
  <c r="AM169" i="9" s="1"/>
  <c r="AO250" i="9"/>
  <c r="AO270" i="9"/>
  <c r="AT245" i="9"/>
  <c r="AP245" i="9"/>
  <c r="AP248" i="9" s="1"/>
  <c r="AO259" i="9"/>
  <c r="AK154" i="9"/>
  <c r="AK163" i="9"/>
  <c r="W130" i="9"/>
  <c r="V122" i="9"/>
  <c r="BV405" i="9"/>
  <c r="BV406" i="9" s="1"/>
  <c r="AM60" i="9"/>
  <c r="AM58" i="9"/>
  <c r="AR62" i="9"/>
  <c r="AM76" i="9"/>
  <c r="AN54" i="9"/>
  <c r="AN57" i="9" s="1"/>
  <c r="AM59" i="9"/>
  <c r="AM266" i="9"/>
  <c r="BR405" i="9"/>
  <c r="BR406" i="9"/>
  <c r="V136" i="9"/>
  <c r="AK237" i="9"/>
  <c r="AL234" i="9"/>
  <c r="AK235" i="9"/>
  <c r="V80" i="9"/>
  <c r="T139" i="9"/>
  <c r="T135" i="9"/>
  <c r="T121" i="9" s="1"/>
  <c r="V181" i="9"/>
  <c r="V194" i="9" s="1"/>
  <c r="V180" i="9"/>
  <c r="AL236" i="9"/>
  <c r="AL269" i="9"/>
  <c r="AL227" i="9"/>
  <c r="AM222" i="9"/>
  <c r="AM225" i="9" s="1"/>
  <c r="AL226" i="9"/>
  <c r="AL228" i="9"/>
  <c r="AM132" i="9"/>
  <c r="AN110" i="9"/>
  <c r="AN113" i="9" s="1"/>
  <c r="AM115" i="9"/>
  <c r="AM114" i="9"/>
  <c r="AM116" i="9"/>
  <c r="AM267" i="9"/>
  <c r="AR118" i="9"/>
  <c r="W73" i="9"/>
  <c r="V66" i="9"/>
  <c r="AL133" i="9"/>
  <c r="AL131" i="9"/>
  <c r="AL130" i="9" s="1"/>
  <c r="AM128" i="9"/>
  <c r="AN258" i="9"/>
  <c r="AN260" i="9"/>
  <c r="AO260" i="9" s="1"/>
  <c r="BH432" i="9"/>
  <c r="BH419" i="9"/>
  <c r="BH420" i="9" s="1"/>
  <c r="AQ1000" i="9"/>
  <c r="AP1001" i="9"/>
  <c r="AP1172" i="9" s="1"/>
  <c r="AM72" i="9"/>
  <c r="AL77" i="9"/>
  <c r="AL75" i="9"/>
  <c r="AO279" i="11" l="1"/>
  <c r="AP4" i="11"/>
  <c r="AO3" i="11"/>
  <c r="AL1164" i="9"/>
  <c r="AL7" i="9"/>
  <c r="AL154" i="9"/>
  <c r="AL163" i="9"/>
  <c r="U121" i="9"/>
  <c r="U122" i="9" s="1"/>
  <c r="T122" i="9"/>
  <c r="W129" i="9"/>
  <c r="AL98" i="9"/>
  <c r="AL107" i="9"/>
  <c r="AK219" i="9"/>
  <c r="AK210" i="9"/>
  <c r="AM226" i="9"/>
  <c r="AN222" i="9"/>
  <c r="AN225" i="9" s="1"/>
  <c r="AM269" i="9"/>
  <c r="AM227" i="9"/>
  <c r="AM228" i="9"/>
  <c r="AM236" i="9"/>
  <c r="AS62" i="9"/>
  <c r="AN76" i="9"/>
  <c r="AO57" i="9"/>
  <c r="AN60" i="9"/>
  <c r="AO60" i="9" s="1"/>
  <c r="AN58" i="9"/>
  <c r="AN59" i="9"/>
  <c r="AN266" i="9"/>
  <c r="AM77" i="9"/>
  <c r="AN72" i="9"/>
  <c r="AM75" i="9"/>
  <c r="AM74" i="9" s="1"/>
  <c r="AM234" i="9"/>
  <c r="AL237" i="9"/>
  <c r="AL235" i="9"/>
  <c r="AM184" i="9"/>
  <c r="AL189" i="9"/>
  <c r="AL187" i="9"/>
  <c r="AL186" i="9" s="1"/>
  <c r="W68" i="9"/>
  <c r="W69" i="9"/>
  <c r="W82" i="9" s="1"/>
  <c r="BU766" i="9"/>
  <c r="BU1117" i="9"/>
  <c r="AS118" i="9"/>
  <c r="AN114" i="9"/>
  <c r="AN116" i="9"/>
  <c r="AO116" i="9" s="1"/>
  <c r="AN115" i="9"/>
  <c r="AN267" i="9"/>
  <c r="AN132" i="9"/>
  <c r="AO113" i="9"/>
  <c r="AM131" i="9"/>
  <c r="AM133" i="9"/>
  <c r="AN128" i="9"/>
  <c r="AK8" i="9"/>
  <c r="AK9" i="9"/>
  <c r="V195" i="9"/>
  <c r="V191" i="9"/>
  <c r="V177" i="9" s="1"/>
  <c r="W186" i="9" s="1"/>
  <c r="T136" i="9"/>
  <c r="U136" i="9" s="1"/>
  <c r="U139" i="9"/>
  <c r="AO258" i="9"/>
  <c r="AT257" i="9"/>
  <c r="AP257" i="9"/>
  <c r="AR1000" i="9"/>
  <c r="AQ1001" i="9"/>
  <c r="AQ1172" i="9" s="1"/>
  <c r="AQ245" i="9"/>
  <c r="AQ248" i="9" s="1"/>
  <c r="AP259" i="9"/>
  <c r="AP250" i="9"/>
  <c r="AP249" i="9"/>
  <c r="AP270" i="9"/>
  <c r="AP251" i="9"/>
  <c r="AN166" i="9"/>
  <c r="AN169" i="9" s="1"/>
  <c r="AM172" i="9"/>
  <c r="AM171" i="9"/>
  <c r="AM170" i="9"/>
  <c r="AM268" i="9"/>
  <c r="AR174" i="9"/>
  <c r="AM188" i="9"/>
  <c r="AM925" i="11" l="1"/>
  <c r="AN926" i="11"/>
  <c r="AK926" i="11"/>
  <c r="AN925" i="11"/>
  <c r="AN740" i="11"/>
  <c r="AK925" i="11"/>
  <c r="AL925" i="11"/>
  <c r="AL926" i="11"/>
  <c r="AM740" i="11"/>
  <c r="AL740" i="11"/>
  <c r="AM926" i="11"/>
  <c r="AK740" i="11"/>
  <c r="AK928" i="11"/>
  <c r="AK927" i="11"/>
  <c r="AL927" i="11"/>
  <c r="AL928" i="11"/>
  <c r="AM928" i="11"/>
  <c r="AM927" i="11"/>
  <c r="AP279" i="11"/>
  <c r="AQ4" i="11"/>
  <c r="AP3" i="11"/>
  <c r="AN927" i="11"/>
  <c r="AN928" i="11"/>
  <c r="AM272" i="9"/>
  <c r="AM1164" i="9"/>
  <c r="AM7" i="9"/>
  <c r="AS1000" i="9"/>
  <c r="AR1001" i="9"/>
  <c r="AR1172" i="9" s="1"/>
  <c r="AM189" i="9"/>
  <c r="AN184" i="9"/>
  <c r="AM187" i="9"/>
  <c r="AM186" i="9" s="1"/>
  <c r="W83" i="9"/>
  <c r="W79" i="9"/>
  <c r="W65" i="9" s="1"/>
  <c r="X74" i="9" s="1"/>
  <c r="W66" i="9"/>
  <c r="AM98" i="9"/>
  <c r="AM107" i="9"/>
  <c r="V192" i="9"/>
  <c r="AN188" i="9"/>
  <c r="AO169" i="9"/>
  <c r="AN172" i="9"/>
  <c r="AO172" i="9" s="1"/>
  <c r="AN171" i="9"/>
  <c r="AS174" i="9"/>
  <c r="AN268" i="9"/>
  <c r="AN170" i="9"/>
  <c r="AL219" i="9"/>
  <c r="AL210" i="9"/>
  <c r="AN269" i="9"/>
  <c r="AN228" i="9"/>
  <c r="AO228" i="9" s="1"/>
  <c r="AN227" i="9"/>
  <c r="AN226" i="9"/>
  <c r="AN236" i="9"/>
  <c r="AO225" i="9"/>
  <c r="AL8" i="9"/>
  <c r="AL9" i="9"/>
  <c r="BU1087" i="9"/>
  <c r="BU1100" i="9"/>
  <c r="BU1009" i="9"/>
  <c r="AN75" i="9"/>
  <c r="AN74" i="9" s="1"/>
  <c r="AN77" i="9"/>
  <c r="AO77" i="9" s="1"/>
  <c r="V178" i="9"/>
  <c r="AM154" i="9"/>
  <c r="AM163" i="9"/>
  <c r="AP258" i="9"/>
  <c r="AQ257" i="9"/>
  <c r="AP260" i="9"/>
  <c r="AO267" i="9"/>
  <c r="AO132" i="9"/>
  <c r="AT118" i="9"/>
  <c r="AP110" i="9"/>
  <c r="AP113" i="9" s="1"/>
  <c r="AO115" i="9"/>
  <c r="AT110" i="9"/>
  <c r="AQ251" i="9"/>
  <c r="AR245" i="9"/>
  <c r="AR248" i="9" s="1"/>
  <c r="AQ259" i="9"/>
  <c r="AQ250" i="9"/>
  <c r="AQ249" i="9"/>
  <c r="AQ270" i="9"/>
  <c r="AN133" i="9"/>
  <c r="AN131" i="9"/>
  <c r="W124" i="9"/>
  <c r="W125" i="9"/>
  <c r="W138" i="9" s="1"/>
  <c r="AP54" i="9"/>
  <c r="AP57" i="9" s="1"/>
  <c r="AT62" i="9"/>
  <c r="AO76" i="9"/>
  <c r="AO266" i="9"/>
  <c r="AO59" i="9"/>
  <c r="AT54" i="9"/>
  <c r="W185" i="9"/>
  <c r="AM235" i="9"/>
  <c r="AN234" i="9"/>
  <c r="AM237" i="9"/>
  <c r="AQ279" i="11" l="1"/>
  <c r="AQ3" i="11"/>
  <c r="AR4" i="11"/>
  <c r="AN272" i="9"/>
  <c r="AN7" i="9" s="1"/>
  <c r="AP76" i="9"/>
  <c r="AU62" i="9"/>
  <c r="AP266" i="9"/>
  <c r="AQ54" i="9"/>
  <c r="AQ57" i="9" s="1"/>
  <c r="AP59" i="9"/>
  <c r="AP60" i="9"/>
  <c r="AP58" i="9"/>
  <c r="AN154" i="9"/>
  <c r="AN163" i="9"/>
  <c r="AO133" i="9"/>
  <c r="AQ258" i="9"/>
  <c r="AR257" i="9"/>
  <c r="AQ260" i="9"/>
  <c r="AO131" i="9"/>
  <c r="AT128" i="9"/>
  <c r="AP128" i="9"/>
  <c r="AN107" i="9"/>
  <c r="AN98" i="9"/>
  <c r="AM219" i="9"/>
  <c r="AM210" i="9"/>
  <c r="AR270" i="9"/>
  <c r="AS245" i="9"/>
  <c r="AS248" i="9" s="1"/>
  <c r="AR249" i="9"/>
  <c r="AR250" i="9"/>
  <c r="AR251" i="9"/>
  <c r="AR259" i="9"/>
  <c r="AT1000" i="9"/>
  <c r="AT1001" i="9" s="1"/>
  <c r="AS1001" i="9"/>
  <c r="AS1172" i="9" s="1"/>
  <c r="BV1083" i="9"/>
  <c r="BU1086" i="9"/>
  <c r="AT174" i="9"/>
  <c r="AO171" i="9"/>
  <c r="AP166" i="9"/>
  <c r="AP169" i="9" s="1"/>
  <c r="AO268" i="9"/>
  <c r="AO272" i="9" s="1"/>
  <c r="AO188" i="9"/>
  <c r="AT166" i="9"/>
  <c r="AM8" i="9"/>
  <c r="AM9" i="9"/>
  <c r="AO107" i="9"/>
  <c r="AO98" i="9"/>
  <c r="AO75" i="9"/>
  <c r="AP72" i="9"/>
  <c r="AT72" i="9"/>
  <c r="W139" i="9"/>
  <c r="W135" i="9"/>
  <c r="W121" i="9" s="1"/>
  <c r="X130" i="9" s="1"/>
  <c r="W80" i="9"/>
  <c r="AN187" i="9"/>
  <c r="AN189" i="9"/>
  <c r="AO189" i="9" s="1"/>
  <c r="AT222" i="9"/>
  <c r="AO269" i="9"/>
  <c r="AP222" i="9"/>
  <c r="AP225" i="9" s="1"/>
  <c r="AO227" i="9"/>
  <c r="AO236" i="9"/>
  <c r="AN235" i="9"/>
  <c r="AN237" i="9"/>
  <c r="AO237" i="9" s="1"/>
  <c r="X73" i="9"/>
  <c r="W180" i="9"/>
  <c r="W181" i="9"/>
  <c r="W194" i="9" s="1"/>
  <c r="AP114" i="9"/>
  <c r="AU118" i="9"/>
  <c r="AQ110" i="9"/>
  <c r="AQ113" i="9" s="1"/>
  <c r="AP132" i="9"/>
  <c r="AP116" i="9"/>
  <c r="AP115" i="9"/>
  <c r="AP267" i="9"/>
  <c r="AR279" i="11" l="1"/>
  <c r="AR3" i="11"/>
  <c r="AS4" i="11"/>
  <c r="AN1164" i="9"/>
  <c r="AO7" i="9"/>
  <c r="AO9" i="9" s="1"/>
  <c r="AO1164" i="9"/>
  <c r="BV1084" i="9"/>
  <c r="BV1097" i="9" s="1"/>
  <c r="AU1000" i="9"/>
  <c r="AT1172" i="9"/>
  <c r="AT248" i="9"/>
  <c r="AS250" i="9"/>
  <c r="AS251" i="9"/>
  <c r="AT251" i="9" s="1"/>
  <c r="AS270" i="9"/>
  <c r="AS249" i="9"/>
  <c r="AS259" i="9"/>
  <c r="AO210" i="9"/>
  <c r="AO219" i="9"/>
  <c r="X129" i="9"/>
  <c r="AP171" i="9"/>
  <c r="AQ166" i="9"/>
  <c r="AQ169" i="9" s="1"/>
  <c r="AP172" i="9"/>
  <c r="AP268" i="9"/>
  <c r="AP272" i="9" s="1"/>
  <c r="AP170" i="9"/>
  <c r="AP188" i="9"/>
  <c r="AU174" i="9"/>
  <c r="AP133" i="9"/>
  <c r="AP131" i="9"/>
  <c r="AQ128" i="9"/>
  <c r="W136" i="9"/>
  <c r="AO154" i="9"/>
  <c r="AO163" i="9"/>
  <c r="AV118" i="9"/>
  <c r="AQ116" i="9"/>
  <c r="AQ132" i="9"/>
  <c r="AQ114" i="9"/>
  <c r="AQ115" i="9"/>
  <c r="AQ267" i="9"/>
  <c r="AR110" i="9"/>
  <c r="AR113" i="9" s="1"/>
  <c r="W195" i="9"/>
  <c r="W191" i="9"/>
  <c r="W177" i="9" s="1"/>
  <c r="X186" i="9" s="1"/>
  <c r="AS257" i="9"/>
  <c r="AR258" i="9"/>
  <c r="AR260" i="9"/>
  <c r="X68" i="9"/>
  <c r="X69" i="9"/>
  <c r="X82" i="9" s="1"/>
  <c r="W122" i="9"/>
  <c r="AP234" i="9"/>
  <c r="AO235" i="9"/>
  <c r="AT234" i="9"/>
  <c r="AP227" i="9"/>
  <c r="AP228" i="9"/>
  <c r="AP269" i="9"/>
  <c r="AQ222" i="9"/>
  <c r="AQ225" i="9" s="1"/>
  <c r="AP226" i="9"/>
  <c r="AP236" i="9"/>
  <c r="AQ60" i="9"/>
  <c r="AV62" i="9"/>
  <c r="AQ266" i="9"/>
  <c r="AR54" i="9"/>
  <c r="AR57" i="9" s="1"/>
  <c r="AQ59" i="9"/>
  <c r="AQ76" i="9"/>
  <c r="AQ58" i="9"/>
  <c r="AT184" i="9"/>
  <c r="AP184" i="9"/>
  <c r="AO187" i="9"/>
  <c r="AN219" i="9"/>
  <c r="AN210" i="9"/>
  <c r="AP75" i="9"/>
  <c r="AP74" i="9" s="1"/>
  <c r="AQ72" i="9"/>
  <c r="AP77" i="9"/>
  <c r="AN8" i="9"/>
  <c r="AN9" i="9"/>
  <c r="AS279" i="11" l="1"/>
  <c r="AS3" i="11"/>
  <c r="AT4" i="11"/>
  <c r="W178" i="9"/>
  <c r="AP7" i="9"/>
  <c r="AP1164" i="9"/>
  <c r="X124" i="9"/>
  <c r="X125" i="9"/>
  <c r="X138" i="9" s="1"/>
  <c r="X83" i="9"/>
  <c r="X79" i="9"/>
  <c r="X65" i="9" s="1"/>
  <c r="Y74" i="9" s="1"/>
  <c r="X66" i="9"/>
  <c r="AS258" i="9"/>
  <c r="AS260" i="9"/>
  <c r="AT260" i="9" s="1"/>
  <c r="W192" i="9"/>
  <c r="AQ269" i="9"/>
  <c r="AQ228" i="9"/>
  <c r="AQ227" i="9"/>
  <c r="AR222" i="9"/>
  <c r="AR225" i="9" s="1"/>
  <c r="AQ226" i="9"/>
  <c r="AQ236" i="9"/>
  <c r="AR267" i="9"/>
  <c r="AR115" i="9"/>
  <c r="AR116" i="9"/>
  <c r="AS110" i="9"/>
  <c r="AS113" i="9" s="1"/>
  <c r="AW118" i="9"/>
  <c r="AR132" i="9"/>
  <c r="AR114" i="9"/>
  <c r="AU245" i="9"/>
  <c r="AU248" i="9" s="1"/>
  <c r="AT250" i="9"/>
  <c r="AT270" i="9"/>
  <c r="AY245" i="9"/>
  <c r="AT259" i="9"/>
  <c r="AR128" i="9"/>
  <c r="AQ131" i="9"/>
  <c r="AQ133" i="9"/>
  <c r="AP98" i="9"/>
  <c r="AP107" i="9"/>
  <c r="AV1000" i="9"/>
  <c r="AU1001" i="9"/>
  <c r="AU1172" i="9" s="1"/>
  <c r="AQ170" i="9"/>
  <c r="AQ268" i="9"/>
  <c r="AQ171" i="9"/>
  <c r="AR166" i="9"/>
  <c r="AR169" i="9" s="1"/>
  <c r="AQ172" i="9"/>
  <c r="AQ188" i="9"/>
  <c r="AV174" i="9"/>
  <c r="X185" i="9"/>
  <c r="AP154" i="9"/>
  <c r="AP163" i="9"/>
  <c r="AQ75" i="9"/>
  <c r="AQ74" i="9" s="1"/>
  <c r="AQ79" i="9"/>
  <c r="AR72" i="9"/>
  <c r="AQ77" i="9"/>
  <c r="AR59" i="9"/>
  <c r="AW62" i="9"/>
  <c r="AS54" i="9"/>
  <c r="AS57" i="9" s="1"/>
  <c r="AR266" i="9"/>
  <c r="AR76" i="9"/>
  <c r="AR60" i="9"/>
  <c r="AR58" i="9"/>
  <c r="AP189" i="9"/>
  <c r="AP187" i="9"/>
  <c r="AQ184" i="9"/>
  <c r="AQ234" i="9"/>
  <c r="AP237" i="9"/>
  <c r="AP235" i="9"/>
  <c r="BV766" i="9"/>
  <c r="BV1117" i="9"/>
  <c r="AT279" i="11" l="1"/>
  <c r="AT3" i="11"/>
  <c r="AU4" i="11"/>
  <c r="AS927" i="11"/>
  <c r="AS928" i="11"/>
  <c r="AQ272" i="9"/>
  <c r="AQ1164" i="9" s="1"/>
  <c r="AQ187" i="9"/>
  <c r="AQ186" i="9" s="1"/>
  <c r="AQ189" i="9"/>
  <c r="AR184" i="9"/>
  <c r="AR268" i="9"/>
  <c r="AR171" i="9"/>
  <c r="AS166" i="9"/>
  <c r="AS169" i="9" s="1"/>
  <c r="AR172" i="9"/>
  <c r="AR170" i="9"/>
  <c r="AW174" i="9"/>
  <c r="AR188" i="9"/>
  <c r="AQ154" i="9"/>
  <c r="AQ163" i="9"/>
  <c r="X181" i="9"/>
  <c r="X194" i="9" s="1"/>
  <c r="X180" i="9"/>
  <c r="AR133" i="9"/>
  <c r="AR131" i="9"/>
  <c r="AS128" i="9"/>
  <c r="AQ80" i="9"/>
  <c r="AQ107" i="9"/>
  <c r="AQ98" i="9"/>
  <c r="BV1100" i="9"/>
  <c r="BV1009" i="9"/>
  <c r="AR228" i="9"/>
  <c r="AR227" i="9"/>
  <c r="AR226" i="9"/>
  <c r="AS222" i="9"/>
  <c r="AS225" i="9" s="1"/>
  <c r="AR236" i="9"/>
  <c r="AR269" i="9"/>
  <c r="AU257" i="9"/>
  <c r="AY257" i="9"/>
  <c r="AT258" i="9"/>
  <c r="AR75" i="9"/>
  <c r="AS72" i="9"/>
  <c r="AR77" i="9"/>
  <c r="AR272" i="9"/>
  <c r="AS58" i="9"/>
  <c r="AS60" i="9"/>
  <c r="AT60" i="9" s="1"/>
  <c r="AT57" i="9"/>
  <c r="AX62" i="9"/>
  <c r="AS76" i="9"/>
  <c r="AS266" i="9"/>
  <c r="AS59" i="9"/>
  <c r="Y73" i="9"/>
  <c r="Z74" i="9"/>
  <c r="Z73" i="9" s="1"/>
  <c r="Z68" i="9" s="1"/>
  <c r="X139" i="9"/>
  <c r="X135" i="9"/>
  <c r="X121" i="9" s="1"/>
  <c r="Y130" i="9" s="1"/>
  <c r="AW1000" i="9"/>
  <c r="AV1001" i="9"/>
  <c r="AV1172" i="9" s="1"/>
  <c r="BV1087" i="9"/>
  <c r="BV1086" i="9" s="1"/>
  <c r="AP8" i="9"/>
  <c r="AP9" i="9"/>
  <c r="AQ235" i="9"/>
  <c r="AR234" i="9"/>
  <c r="AQ237" i="9"/>
  <c r="AP210" i="9"/>
  <c r="AP219" i="9"/>
  <c r="AU251" i="9"/>
  <c r="AU270" i="9"/>
  <c r="AU249" i="9"/>
  <c r="AU250" i="9"/>
  <c r="AV245" i="9"/>
  <c r="AV248" i="9" s="1"/>
  <c r="AU259" i="9"/>
  <c r="AT113" i="9"/>
  <c r="AS132" i="9"/>
  <c r="AX118" i="9"/>
  <c r="AS116" i="9"/>
  <c r="AT116" i="9" s="1"/>
  <c r="AS267" i="9"/>
  <c r="AS115" i="9"/>
  <c r="AS114" i="9"/>
  <c r="X80" i="9"/>
  <c r="AQ65" i="9"/>
  <c r="AQ92" i="9"/>
  <c r="AQ93" i="9" s="1"/>
  <c r="AQ95" i="9" s="1"/>
  <c r="AQ100" i="9" s="1"/>
  <c r="AU279" i="11" l="1"/>
  <c r="AU3" i="11"/>
  <c r="AV4" i="11"/>
  <c r="AP740" i="11"/>
  <c r="AR740" i="11"/>
  <c r="AR926" i="11"/>
  <c r="AQ925" i="11"/>
  <c r="AQ740" i="11"/>
  <c r="AR925" i="11"/>
  <c r="AP926" i="11"/>
  <c r="AP925" i="11"/>
  <c r="AS926" i="11"/>
  <c r="AS740" i="11"/>
  <c r="AQ926" i="11"/>
  <c r="AS925" i="11"/>
  <c r="AP928" i="11"/>
  <c r="AP927" i="11"/>
  <c r="AQ927" i="11"/>
  <c r="AQ928" i="11"/>
  <c r="AR927" i="11"/>
  <c r="AR928" i="11"/>
  <c r="AQ7" i="9"/>
  <c r="Z67" i="9"/>
  <c r="X122" i="9"/>
  <c r="AS75" i="9"/>
  <c r="AS74" i="9" s="1"/>
  <c r="AS77" i="9"/>
  <c r="AY54" i="9"/>
  <c r="AT59" i="9"/>
  <c r="AY62" i="9"/>
  <c r="AT266" i="9"/>
  <c r="AT76" i="9"/>
  <c r="AU54" i="9"/>
  <c r="AU57" i="9" s="1"/>
  <c r="AR1164" i="9"/>
  <c r="AR7" i="9"/>
  <c r="AR107" i="9"/>
  <c r="AR98" i="9"/>
  <c r="AT77" i="9"/>
  <c r="AX1000" i="9"/>
  <c r="AW1001" i="9"/>
  <c r="AW1172" i="9" s="1"/>
  <c r="AR74" i="9"/>
  <c r="AR73" i="9" s="1"/>
  <c r="AQ66" i="9"/>
  <c r="AS171" i="9"/>
  <c r="AS268" i="9"/>
  <c r="AS170" i="9"/>
  <c r="AS172" i="9"/>
  <c r="AT172" i="9" s="1"/>
  <c r="AS188" i="9"/>
  <c r="AX174" i="9"/>
  <c r="AT169" i="9"/>
  <c r="AV270" i="9"/>
  <c r="AV249" i="9"/>
  <c r="AV250" i="9"/>
  <c r="AW245" i="9"/>
  <c r="AW248" i="9" s="1"/>
  <c r="AV251" i="9"/>
  <c r="AV259" i="9"/>
  <c r="Y129" i="9"/>
  <c r="Z130" i="9"/>
  <c r="Z129" i="9" s="1"/>
  <c r="Z124" i="9" s="1"/>
  <c r="X136" i="9"/>
  <c r="AR235" i="9"/>
  <c r="AS234" i="9"/>
  <c r="AR237" i="9"/>
  <c r="AQ9" i="9"/>
  <c r="AQ8" i="9"/>
  <c r="Y68" i="9"/>
  <c r="Y69" i="9"/>
  <c r="AS184" i="9"/>
  <c r="AR189" i="9"/>
  <c r="AR187" i="9"/>
  <c r="AS133" i="9"/>
  <c r="AS131" i="9"/>
  <c r="AS130" i="9" s="1"/>
  <c r="AT132" i="9"/>
  <c r="AY110" i="9"/>
  <c r="AT267" i="9"/>
  <c r="AT115" i="9"/>
  <c r="AU110" i="9"/>
  <c r="AU113" i="9" s="1"/>
  <c r="AY118" i="9"/>
  <c r="AR163" i="9"/>
  <c r="AR154" i="9"/>
  <c r="AS227" i="9"/>
  <c r="AT225" i="9"/>
  <c r="AS226" i="9"/>
  <c r="AS228" i="9"/>
  <c r="AT228" i="9" s="1"/>
  <c r="AS269" i="9"/>
  <c r="AS272" i="9" s="1"/>
  <c r="AS236" i="9"/>
  <c r="AQ105" i="9"/>
  <c r="AQ101" i="9"/>
  <c r="AQ210" i="9"/>
  <c r="AQ219" i="9"/>
  <c r="AV257" i="9"/>
  <c r="AU258" i="9"/>
  <c r="AU260" i="9"/>
  <c r="X195" i="9"/>
  <c r="X191" i="9"/>
  <c r="X177" i="9" s="1"/>
  <c r="Y186" i="9" s="1"/>
  <c r="AV279" i="11" l="1"/>
  <c r="AV3" i="11"/>
  <c r="AW4" i="11"/>
  <c r="X178" i="9"/>
  <c r="AS1164" i="9"/>
  <c r="AS7" i="9"/>
  <c r="AV258" i="9"/>
  <c r="AV260" i="9"/>
  <c r="AW257" i="9"/>
  <c r="AT227" i="9"/>
  <c r="AU222" i="9"/>
  <c r="AU225" i="9" s="1"/>
  <c r="AT269" i="9"/>
  <c r="AY222" i="9"/>
  <c r="AT236" i="9"/>
  <c r="Y185" i="9"/>
  <c r="Z186" i="9"/>
  <c r="Z185" i="9" s="1"/>
  <c r="Z180" i="9" s="1"/>
  <c r="Z179" i="9"/>
  <c r="X192" i="9"/>
  <c r="AV110" i="9"/>
  <c r="AV113" i="9" s="1"/>
  <c r="AU267" i="9"/>
  <c r="AU116" i="9"/>
  <c r="AU132" i="9"/>
  <c r="AU115" i="9"/>
  <c r="AZ118" i="9"/>
  <c r="AU114" i="9"/>
  <c r="AW250" i="9"/>
  <c r="AW270" i="9"/>
  <c r="AW249" i="9"/>
  <c r="AX245" i="9"/>
  <c r="AX248" i="9" s="1"/>
  <c r="AW251" i="9"/>
  <c r="AW259" i="9"/>
  <c r="AS237" i="9"/>
  <c r="AT237" i="9" s="1"/>
  <c r="AS235" i="9"/>
  <c r="AU59" i="9"/>
  <c r="AU266" i="9"/>
  <c r="AU76" i="9"/>
  <c r="AZ62" i="9"/>
  <c r="AU60" i="9"/>
  <c r="AV54" i="9"/>
  <c r="AV57" i="9" s="1"/>
  <c r="AU58" i="9"/>
  <c r="AS107" i="9"/>
  <c r="AS98" i="9"/>
  <c r="AT74" i="9"/>
  <c r="AT67" i="9" s="1"/>
  <c r="AR69" i="9"/>
  <c r="AR82" i="9" s="1"/>
  <c r="AR68" i="9"/>
  <c r="AS69" i="9"/>
  <c r="AS163" i="9"/>
  <c r="AS154" i="9"/>
  <c r="AT133" i="9"/>
  <c r="AR8" i="9"/>
  <c r="AR9" i="9"/>
  <c r="Z69" i="9"/>
  <c r="Z82" i="9" s="1"/>
  <c r="Z79" i="9" s="1"/>
  <c r="Y82" i="9"/>
  <c r="AS189" i="9"/>
  <c r="AT189" i="9" s="1"/>
  <c r="AS187" i="9"/>
  <c r="AS186" i="9" s="1"/>
  <c r="Z123" i="9"/>
  <c r="AY1000" i="9"/>
  <c r="AY1001" i="9" s="1"/>
  <c r="AX1001" i="9"/>
  <c r="AX1172" i="9" s="1"/>
  <c r="AQ87" i="9"/>
  <c r="AQ86" i="9" s="1"/>
  <c r="AQ97" i="9"/>
  <c r="AQ96" i="9" s="1"/>
  <c r="AQ106" i="9"/>
  <c r="AT107" i="9"/>
  <c r="AT98" i="9"/>
  <c r="AR210" i="9"/>
  <c r="AR219" i="9"/>
  <c r="AT188" i="9"/>
  <c r="AY174" i="9"/>
  <c r="AY166" i="9"/>
  <c r="AT171" i="9"/>
  <c r="AU166" i="9"/>
  <c r="AU169" i="9" s="1"/>
  <c r="AT268" i="9"/>
  <c r="AT272" i="9" s="1"/>
  <c r="AU72" i="9"/>
  <c r="AY72" i="9"/>
  <c r="AT75" i="9"/>
  <c r="AY128" i="9"/>
  <c r="AU128" i="9"/>
  <c r="AT131" i="9"/>
  <c r="Y124" i="9"/>
  <c r="Y125" i="9"/>
  <c r="AX4" i="11" l="1"/>
  <c r="AW279" i="11"/>
  <c r="AW3" i="11"/>
  <c r="AT1164" i="9"/>
  <c r="AT7" i="9"/>
  <c r="AT9" i="9" s="1"/>
  <c r="AT219" i="9"/>
  <c r="AT210" i="9"/>
  <c r="AV72" i="9"/>
  <c r="AU75" i="9"/>
  <c r="AU77" i="9"/>
  <c r="Y181" i="9"/>
  <c r="Y180" i="9"/>
  <c r="AS82" i="9"/>
  <c r="AT69" i="9"/>
  <c r="AT82" i="9" s="1"/>
  <c r="AT79" i="9" s="1"/>
  <c r="Y138" i="9"/>
  <c r="Z125" i="9"/>
  <c r="Z138" i="9" s="1"/>
  <c r="Z135" i="9" s="1"/>
  <c r="AY234" i="9"/>
  <c r="AT235" i="9"/>
  <c r="AU234" i="9"/>
  <c r="AR83" i="9"/>
  <c r="AR80" i="9" s="1"/>
  <c r="AR79" i="9"/>
  <c r="AU228" i="9"/>
  <c r="AU226" i="9"/>
  <c r="AV222" i="9"/>
  <c r="AV225" i="9" s="1"/>
  <c r="AU269" i="9"/>
  <c r="AU227" i="9"/>
  <c r="AU236" i="9"/>
  <c r="AT73" i="9"/>
  <c r="AT68" i="9" s="1"/>
  <c r="AU188" i="9"/>
  <c r="AU172" i="9"/>
  <c r="AU170" i="9"/>
  <c r="AU171" i="9"/>
  <c r="AV166" i="9"/>
  <c r="AV169" i="9" s="1"/>
  <c r="AZ174" i="9"/>
  <c r="AU268" i="9"/>
  <c r="AU272" i="9" s="1"/>
  <c r="AS219" i="9"/>
  <c r="AS210" i="9"/>
  <c r="Y83" i="9"/>
  <c r="Y79" i="9"/>
  <c r="Y65" i="9" s="1"/>
  <c r="BA118" i="9"/>
  <c r="AV116" i="9"/>
  <c r="AV114" i="9"/>
  <c r="AV267" i="9"/>
  <c r="AV115" i="9"/>
  <c r="AW110" i="9"/>
  <c r="AW113" i="9" s="1"/>
  <c r="AV132" i="9"/>
  <c r="AW260" i="9"/>
  <c r="AW258" i="9"/>
  <c r="AX257" i="9"/>
  <c r="AZ1000" i="9"/>
  <c r="AY1172" i="9"/>
  <c r="AU131" i="9"/>
  <c r="AU130" i="9" s="1"/>
  <c r="AV128" i="9"/>
  <c r="AU133" i="9"/>
  <c r="AS8" i="9"/>
  <c r="AS9" i="9"/>
  <c r="AY184" i="9"/>
  <c r="AT187" i="9"/>
  <c r="AU184" i="9"/>
  <c r="AT154" i="9"/>
  <c r="AT163" i="9"/>
  <c r="AX249" i="9"/>
  <c r="AX251" i="9"/>
  <c r="AY251" i="9" s="1"/>
  <c r="AX270" i="9"/>
  <c r="AY248" i="9"/>
  <c r="AX259" i="9"/>
  <c r="AX250" i="9"/>
  <c r="AV266" i="9"/>
  <c r="AW54" i="9"/>
  <c r="AW57" i="9" s="1"/>
  <c r="AV59" i="9"/>
  <c r="AV76" i="9"/>
  <c r="AV60" i="9"/>
  <c r="AV58" i="9"/>
  <c r="BA62" i="9"/>
  <c r="AY4" i="11" l="1"/>
  <c r="AX279" i="11"/>
  <c r="AX3" i="11"/>
  <c r="AU1164" i="9"/>
  <c r="AU7" i="9"/>
  <c r="AV228" i="9"/>
  <c r="AV226" i="9"/>
  <c r="AV269" i="9"/>
  <c r="AV227" i="9"/>
  <c r="AW222" i="9"/>
  <c r="AW225" i="9" s="1"/>
  <c r="AV236" i="9"/>
  <c r="AU189" i="9"/>
  <c r="AV184" i="9"/>
  <c r="AU187" i="9"/>
  <c r="AU186" i="9" s="1"/>
  <c r="AU235" i="9"/>
  <c r="AV234" i="9"/>
  <c r="AU237" i="9"/>
  <c r="AW72" i="9"/>
  <c r="AV75" i="9"/>
  <c r="AV77" i="9"/>
  <c r="AU154" i="9"/>
  <c r="AU163" i="9"/>
  <c r="Z65" i="9"/>
  <c r="Y66" i="9"/>
  <c r="Y139" i="9"/>
  <c r="Y135" i="9"/>
  <c r="Y121" i="9" s="1"/>
  <c r="AY260" i="9"/>
  <c r="AS83" i="9"/>
  <c r="AS80" i="9" s="1"/>
  <c r="AS79" i="9"/>
  <c r="Y194" i="9"/>
  <c r="Z181" i="9"/>
  <c r="Z194" i="9" s="1"/>
  <c r="Z191" i="9" s="1"/>
  <c r="BB118" i="9"/>
  <c r="AX110" i="9"/>
  <c r="AX113" i="9" s="1"/>
  <c r="AW116" i="9"/>
  <c r="AW114" i="9"/>
  <c r="AW267" i="9"/>
  <c r="AW132" i="9"/>
  <c r="AW115" i="9"/>
  <c r="AR65" i="9"/>
  <c r="AR66" i="9" s="1"/>
  <c r="AR92" i="9"/>
  <c r="AR93" i="9" s="1"/>
  <c r="AR95" i="9" s="1"/>
  <c r="AR100" i="9" s="1"/>
  <c r="Y80" i="9"/>
  <c r="Z80" i="9" s="1"/>
  <c r="Z83" i="9"/>
  <c r="AV272" i="9"/>
  <c r="AX260" i="9"/>
  <c r="AX258" i="9"/>
  <c r="AY270" i="9"/>
  <c r="BD245" i="9"/>
  <c r="AZ245" i="9"/>
  <c r="AZ248" i="9" s="1"/>
  <c r="AY250" i="9"/>
  <c r="AY259" i="9"/>
  <c r="BA1000" i="9"/>
  <c r="AZ1001" i="9"/>
  <c r="AZ1172" i="9" s="1"/>
  <c r="AV188" i="9"/>
  <c r="AW166" i="9"/>
  <c r="AW169" i="9" s="1"/>
  <c r="AV172" i="9"/>
  <c r="AV170" i="9"/>
  <c r="AV171" i="9"/>
  <c r="BA174" i="9"/>
  <c r="AV268" i="9"/>
  <c r="AV133" i="9"/>
  <c r="AV131" i="9"/>
  <c r="AW128" i="9"/>
  <c r="AU107" i="9"/>
  <c r="AU98" i="9"/>
  <c r="AW266" i="9"/>
  <c r="AW60" i="9"/>
  <c r="AW58" i="9"/>
  <c r="AW76" i="9"/>
  <c r="AW59" i="9"/>
  <c r="BB62" i="9"/>
  <c r="AX54" i="9"/>
  <c r="AX57" i="9" s="1"/>
  <c r="AZ4" i="11" l="1"/>
  <c r="AY279" i="11"/>
  <c r="AY3" i="11"/>
  <c r="Y136" i="9"/>
  <c r="Z136" i="9" s="1"/>
  <c r="Z139" i="9"/>
  <c r="AV1164" i="9"/>
  <c r="AV7" i="9"/>
  <c r="AW269" i="9"/>
  <c r="AW227" i="9"/>
  <c r="AW226" i="9"/>
  <c r="AW228" i="9"/>
  <c r="AX222" i="9"/>
  <c r="AX225" i="9" s="1"/>
  <c r="AW236" i="9"/>
  <c r="AX72" i="9"/>
  <c r="AW75" i="9"/>
  <c r="AW74" i="9" s="1"/>
  <c r="AW77" i="9"/>
  <c r="AY60" i="9"/>
  <c r="AU210" i="9"/>
  <c r="AU219" i="9"/>
  <c r="AR101" i="9"/>
  <c r="AR105" i="9"/>
  <c r="AX76" i="9"/>
  <c r="AY57" i="9"/>
  <c r="AX266" i="9"/>
  <c r="AX60" i="9"/>
  <c r="AX58" i="9"/>
  <c r="AX59" i="9"/>
  <c r="BC62" i="9"/>
  <c r="AV107" i="9"/>
  <c r="AV98" i="9"/>
  <c r="BB1000" i="9"/>
  <c r="BA1001" i="9"/>
  <c r="BA1172" i="9" s="1"/>
  <c r="Y195" i="9"/>
  <c r="Y191" i="9"/>
  <c r="Y177" i="9" s="1"/>
  <c r="Z121" i="9"/>
  <c r="Y122" i="9"/>
  <c r="AV235" i="9"/>
  <c r="AW234" i="9"/>
  <c r="AV237" i="9"/>
  <c r="BB174" i="9"/>
  <c r="AW170" i="9"/>
  <c r="AW188" i="9"/>
  <c r="AW172" i="9"/>
  <c r="AW171" i="9"/>
  <c r="AX166" i="9"/>
  <c r="AX169" i="9" s="1"/>
  <c r="AW268" i="9"/>
  <c r="AU8" i="9"/>
  <c r="AU9" i="9"/>
  <c r="AY258" i="9"/>
  <c r="BD257" i="9"/>
  <c r="AZ257" i="9"/>
  <c r="AW272" i="9"/>
  <c r="AS92" i="9"/>
  <c r="AS93" i="9" s="1"/>
  <c r="AS95" i="9" s="1"/>
  <c r="AS100" i="9" s="1"/>
  <c r="AS65" i="9"/>
  <c r="BA245" i="9"/>
  <c r="BA248" i="9" s="1"/>
  <c r="AZ270" i="9"/>
  <c r="AZ251" i="9"/>
  <c r="AZ250" i="9"/>
  <c r="AZ249" i="9"/>
  <c r="AZ259" i="9"/>
  <c r="AV154" i="9"/>
  <c r="AV163" i="9"/>
  <c r="AA74" i="9"/>
  <c r="Z66" i="9"/>
  <c r="AX128" i="9"/>
  <c r="AW131" i="9"/>
  <c r="AW133" i="9"/>
  <c r="AV187" i="9"/>
  <c r="AV189" i="9"/>
  <c r="AW184" i="9"/>
  <c r="BC118" i="9"/>
  <c r="AX116" i="9"/>
  <c r="AY116" i="9" s="1"/>
  <c r="AX114" i="9"/>
  <c r="AX115" i="9"/>
  <c r="AX267" i="9"/>
  <c r="AY113" i="9"/>
  <c r="AX132" i="9"/>
  <c r="AW920" i="11" l="1"/>
  <c r="AX740" i="11"/>
  <c r="AW740" i="11"/>
  <c r="AV740" i="11"/>
  <c r="AU920" i="11"/>
  <c r="AU740" i="11"/>
  <c r="AV920" i="11"/>
  <c r="AZ279" i="11"/>
  <c r="BA4" i="11"/>
  <c r="AZ3" i="11"/>
  <c r="AT65" i="9"/>
  <c r="AS66" i="9"/>
  <c r="AW154" i="9"/>
  <c r="AW163" i="9"/>
  <c r="AX234" i="9"/>
  <c r="AW237" i="9"/>
  <c r="AW235" i="9"/>
  <c r="AA130" i="9"/>
  <c r="Z122" i="9"/>
  <c r="AW1164" i="9"/>
  <c r="AW7" i="9"/>
  <c r="Y192" i="9"/>
  <c r="Z192" i="9" s="1"/>
  <c r="Z195" i="9"/>
  <c r="AW107" i="9"/>
  <c r="AW98" i="9"/>
  <c r="AX133" i="9"/>
  <c r="AY133" i="9" s="1"/>
  <c r="AX131" i="9"/>
  <c r="AX228" i="9"/>
  <c r="AY228" i="9" s="1"/>
  <c r="AX236" i="9"/>
  <c r="AY225" i="9"/>
  <c r="AX227" i="9"/>
  <c r="AX226" i="9"/>
  <c r="AX269" i="9"/>
  <c r="AY132" i="9"/>
  <c r="BD110" i="9"/>
  <c r="AZ110" i="9"/>
  <c r="AZ113" i="9" s="1"/>
  <c r="AY115" i="9"/>
  <c r="AY267" i="9"/>
  <c r="BD118" i="9"/>
  <c r="AY169" i="9"/>
  <c r="AX170" i="9"/>
  <c r="AX171" i="9"/>
  <c r="AX268" i="9"/>
  <c r="AX272" i="9" s="1"/>
  <c r="BC174" i="9"/>
  <c r="AX172" i="9"/>
  <c r="AY172" i="9" s="1"/>
  <c r="AX188" i="9"/>
  <c r="BD62" i="9"/>
  <c r="AY266" i="9"/>
  <c r="BD54" i="9"/>
  <c r="AY76" i="9"/>
  <c r="AY59" i="9"/>
  <c r="AZ54" i="9"/>
  <c r="AZ57" i="9" s="1"/>
  <c r="AS105" i="9"/>
  <c r="AS101" i="9"/>
  <c r="BC1000" i="9"/>
  <c r="BB1001" i="9"/>
  <c r="BB1172" i="9" s="1"/>
  <c r="AA73" i="9"/>
  <c r="AW189" i="9"/>
  <c r="AW187" i="9"/>
  <c r="AW186" i="9" s="1"/>
  <c r="AX184" i="9"/>
  <c r="AV8" i="9"/>
  <c r="AV9" i="9"/>
  <c r="AX77" i="9"/>
  <c r="AY77" i="9" s="1"/>
  <c r="AX75" i="9"/>
  <c r="AV219" i="9"/>
  <c r="AV210" i="9"/>
  <c r="AR97" i="9"/>
  <c r="AR96" i="9" s="1"/>
  <c r="AR87" i="9"/>
  <c r="AR86" i="9" s="1"/>
  <c r="AR106" i="9"/>
  <c r="Z177" i="9"/>
  <c r="Y178" i="9"/>
  <c r="AZ260" i="9"/>
  <c r="AZ258" i="9"/>
  <c r="BA257" i="9"/>
  <c r="BA250" i="9"/>
  <c r="BB245" i="9"/>
  <c r="BB248" i="9" s="1"/>
  <c r="BA259" i="9"/>
  <c r="BA270" i="9"/>
  <c r="BA251" i="9"/>
  <c r="BA249" i="9"/>
  <c r="BA279" i="11" l="1"/>
  <c r="BB4" i="11"/>
  <c r="BA3" i="11"/>
  <c r="AV922" i="11"/>
  <c r="AV130" i="11"/>
  <c r="AV914" i="11"/>
  <c r="AV928" i="11"/>
  <c r="AU130" i="11"/>
  <c r="AU922" i="11"/>
  <c r="AU928" i="11"/>
  <c r="AU914" i="11"/>
  <c r="AW922" i="11"/>
  <c r="AW130" i="11"/>
  <c r="AX130" i="11" s="1"/>
  <c r="AX920" i="11" s="1"/>
  <c r="AW928" i="11"/>
  <c r="AW914" i="11"/>
  <c r="AX1164" i="9"/>
  <c r="AX7" i="9"/>
  <c r="AA186" i="9"/>
  <c r="Z178" i="9"/>
  <c r="AS87" i="9"/>
  <c r="AS86" i="9" s="1"/>
  <c r="AS97" i="9"/>
  <c r="AS96" i="9" s="1"/>
  <c r="AS106" i="9"/>
  <c r="AA129" i="9"/>
  <c r="AY154" i="9"/>
  <c r="AY163" i="9"/>
  <c r="BA260" i="9"/>
  <c r="BA258" i="9"/>
  <c r="BB257" i="9"/>
  <c r="AZ116" i="9"/>
  <c r="BE118" i="9"/>
  <c r="AZ115" i="9"/>
  <c r="AZ267" i="9"/>
  <c r="BA110" i="9"/>
  <c r="BA113" i="9" s="1"/>
  <c r="AZ114" i="9"/>
  <c r="AZ132" i="9"/>
  <c r="AX98" i="9"/>
  <c r="AX107" i="9"/>
  <c r="AZ222" i="9"/>
  <c r="AZ225" i="9" s="1"/>
  <c r="BD222" i="9"/>
  <c r="AY227" i="9"/>
  <c r="AY269" i="9"/>
  <c r="AY236" i="9"/>
  <c r="AX237" i="9"/>
  <c r="AY237" i="9" s="1"/>
  <c r="AX235" i="9"/>
  <c r="BC245" i="9"/>
  <c r="BC248" i="9" s="1"/>
  <c r="BB250" i="9"/>
  <c r="BB270" i="9"/>
  <c r="BB251" i="9"/>
  <c r="BB249" i="9"/>
  <c r="BB259" i="9"/>
  <c r="AA69" i="9"/>
  <c r="AA82" i="9" s="1"/>
  <c r="AA68" i="9"/>
  <c r="AZ166" i="9"/>
  <c r="AZ169" i="9" s="1"/>
  <c r="AY268" i="9"/>
  <c r="AY272" i="9" s="1"/>
  <c r="BD174" i="9"/>
  <c r="AY188" i="9"/>
  <c r="BD166" i="9"/>
  <c r="AY171" i="9"/>
  <c r="BD1000" i="9"/>
  <c r="BD1001" i="9" s="1"/>
  <c r="BC1001" i="9"/>
  <c r="BC1172" i="9" s="1"/>
  <c r="AZ266" i="9"/>
  <c r="AZ58" i="9"/>
  <c r="AZ59" i="9"/>
  <c r="AZ76" i="9"/>
  <c r="BA54" i="9"/>
  <c r="BA57" i="9" s="1"/>
  <c r="AZ60" i="9"/>
  <c r="BE62" i="9"/>
  <c r="AX189" i="9"/>
  <c r="AY189" i="9" s="1"/>
  <c r="AX187" i="9"/>
  <c r="AX154" i="9"/>
  <c r="AX163" i="9"/>
  <c r="AY98" i="9"/>
  <c r="AY107" i="9"/>
  <c r="AW8" i="9"/>
  <c r="AW9" i="9"/>
  <c r="AY131" i="9"/>
  <c r="BD128" i="9"/>
  <c r="AZ128" i="9"/>
  <c r="BD72" i="9"/>
  <c r="AY75" i="9"/>
  <c r="AZ72" i="9"/>
  <c r="AW210" i="9"/>
  <c r="AW219" i="9"/>
  <c r="AU74" i="9"/>
  <c r="AT66" i="9"/>
  <c r="AW129" i="11" l="1"/>
  <c r="AW925" i="11"/>
  <c r="AW927" i="11"/>
  <c r="AW916" i="11"/>
  <c r="AX926" i="11"/>
  <c r="AX928" i="11"/>
  <c r="AX922" i="11"/>
  <c r="AU925" i="11"/>
  <c r="AU129" i="11"/>
  <c r="AU131" i="11" s="1"/>
  <c r="AU927" i="11"/>
  <c r="AU916" i="11"/>
  <c r="AV925" i="11"/>
  <c r="AV916" i="11"/>
  <c r="AV129" i="11"/>
  <c r="AV131" i="11" s="1"/>
  <c r="AV927" i="11"/>
  <c r="BC4" i="11"/>
  <c r="BB3" i="11"/>
  <c r="BB279" i="11"/>
  <c r="AY1164" i="9"/>
  <c r="AY7" i="9"/>
  <c r="AY9" i="9" s="1"/>
  <c r="BD234" i="9"/>
  <c r="AZ234" i="9"/>
  <c r="AY235" i="9"/>
  <c r="BE1000" i="9"/>
  <c r="BD1172" i="9"/>
  <c r="BA59" i="9"/>
  <c r="BA76" i="9"/>
  <c r="BA60" i="9"/>
  <c r="BA266" i="9"/>
  <c r="BF62" i="9"/>
  <c r="BA58" i="9"/>
  <c r="BB54" i="9"/>
  <c r="BB57" i="9" s="1"/>
  <c r="AZ77" i="9"/>
  <c r="AZ75" i="9"/>
  <c r="BA72" i="9"/>
  <c r="AZ269" i="9"/>
  <c r="AZ272" i="9" s="1"/>
  <c r="AZ228" i="9"/>
  <c r="AZ226" i="9"/>
  <c r="BA222" i="9"/>
  <c r="BA225" i="9" s="1"/>
  <c r="AZ227" i="9"/>
  <c r="AZ236" i="9"/>
  <c r="AZ268" i="9"/>
  <c r="BE174" i="9"/>
  <c r="AZ188" i="9"/>
  <c r="AZ172" i="9"/>
  <c r="AZ170" i="9"/>
  <c r="BA166" i="9"/>
  <c r="BA169" i="9" s="1"/>
  <c r="AZ171" i="9"/>
  <c r="AU73" i="9"/>
  <c r="AY210" i="9"/>
  <c r="AY219" i="9"/>
  <c r="BA115" i="9"/>
  <c r="BA267" i="9"/>
  <c r="BB110" i="9"/>
  <c r="BB113" i="9" s="1"/>
  <c r="BA132" i="9"/>
  <c r="BA116" i="9"/>
  <c r="BF118" i="9"/>
  <c r="BA114" i="9"/>
  <c r="AA185" i="9"/>
  <c r="AA125" i="9"/>
  <c r="AA138" i="9" s="1"/>
  <c r="AA124" i="9"/>
  <c r="AA83" i="9"/>
  <c r="AA79" i="9"/>
  <c r="AA65" i="9" s="1"/>
  <c r="AB74" i="9" s="1"/>
  <c r="BB260" i="9"/>
  <c r="BB258" i="9"/>
  <c r="BC257" i="9"/>
  <c r="AX8" i="9"/>
  <c r="AX9" i="9"/>
  <c r="BC250" i="9"/>
  <c r="BD248" i="9"/>
  <c r="BC270" i="9"/>
  <c r="BC249" i="9"/>
  <c r="BC251" i="9"/>
  <c r="BD251" i="9" s="1"/>
  <c r="BC259" i="9"/>
  <c r="AY187" i="9"/>
  <c r="BD184" i="9"/>
  <c r="AZ184" i="9"/>
  <c r="AX219" i="9"/>
  <c r="AX210" i="9"/>
  <c r="AZ133" i="9"/>
  <c r="BA128" i="9"/>
  <c r="AZ131" i="9"/>
  <c r="AZ130" i="9" s="1"/>
  <c r="BD4" i="11" l="1"/>
  <c r="BC3" i="11"/>
  <c r="BC279" i="11"/>
  <c r="AX129" i="11"/>
  <c r="AW131" i="11"/>
  <c r="AZ1164" i="9"/>
  <c r="AZ7" i="9"/>
  <c r="BA131" i="9"/>
  <c r="BA133" i="9"/>
  <c r="BB128" i="9"/>
  <c r="AZ154" i="9"/>
  <c r="AZ163" i="9"/>
  <c r="AB73" i="9"/>
  <c r="AA66" i="9"/>
  <c r="BC258" i="9"/>
  <c r="BC260" i="9"/>
  <c r="BD260" i="9" s="1"/>
  <c r="AA181" i="9"/>
  <c r="AA194" i="9" s="1"/>
  <c r="AA180" i="9"/>
  <c r="BB114" i="9"/>
  <c r="BB267" i="9"/>
  <c r="BC110" i="9"/>
  <c r="BC113" i="9" s="1"/>
  <c r="BG118" i="9"/>
  <c r="BB115" i="9"/>
  <c r="BB132" i="9"/>
  <c r="BB116" i="9"/>
  <c r="AA80" i="9"/>
  <c r="BA171" i="9"/>
  <c r="BA170" i="9"/>
  <c r="BA172" i="9"/>
  <c r="BF174" i="9"/>
  <c r="BA268" i="9"/>
  <c r="BA272" i="9" s="1"/>
  <c r="BA188" i="9"/>
  <c r="BB166" i="9"/>
  <c r="BB169" i="9" s="1"/>
  <c r="BA77" i="9"/>
  <c r="BA75" i="9"/>
  <c r="BB72" i="9"/>
  <c r="BF1000" i="9"/>
  <c r="BE1001" i="9"/>
  <c r="BE1172" i="9" s="1"/>
  <c r="BD250" i="9"/>
  <c r="BI245" i="9"/>
  <c r="BD259" i="9"/>
  <c r="BD270" i="9"/>
  <c r="BE245" i="9"/>
  <c r="BE248" i="9" s="1"/>
  <c r="AZ237" i="9"/>
  <c r="BA234" i="9"/>
  <c r="AZ235" i="9"/>
  <c r="AZ98" i="9"/>
  <c r="AZ107" i="9"/>
  <c r="AU68" i="9"/>
  <c r="AU69" i="9"/>
  <c r="AU82" i="9" s="1"/>
  <c r="BC54" i="9"/>
  <c r="BC57" i="9" s="1"/>
  <c r="BB59" i="9"/>
  <c r="BB58" i="9"/>
  <c r="BB266" i="9"/>
  <c r="BG62" i="9"/>
  <c r="BB76" i="9"/>
  <c r="BB60" i="9"/>
  <c r="AA139" i="9"/>
  <c r="AA135" i="9"/>
  <c r="AA121" i="9" s="1"/>
  <c r="AB130" i="9" s="1"/>
  <c r="BA184" i="9"/>
  <c r="AZ187" i="9"/>
  <c r="AZ189" i="9"/>
  <c r="BB222" i="9"/>
  <c r="BB225" i="9" s="1"/>
  <c r="BA228" i="9"/>
  <c r="BA226" i="9"/>
  <c r="BA269" i="9"/>
  <c r="BA227" i="9"/>
  <c r="BA236" i="9"/>
  <c r="AX914" i="11" l="1"/>
  <c r="AX131" i="11"/>
  <c r="BD279" i="11"/>
  <c r="BD3" i="11"/>
  <c r="BE4" i="11"/>
  <c r="AA122" i="9"/>
  <c r="BA7" i="9"/>
  <c r="BA1164" i="9"/>
  <c r="BA187" i="9"/>
  <c r="BB184" i="9"/>
  <c r="BA189" i="9"/>
  <c r="BB227" i="9"/>
  <c r="BB226" i="9"/>
  <c r="BC222" i="9"/>
  <c r="BC225" i="9" s="1"/>
  <c r="BB228" i="9"/>
  <c r="BB269" i="9"/>
  <c r="BB236" i="9"/>
  <c r="AZ219" i="9"/>
  <c r="AZ210" i="9"/>
  <c r="AB69" i="9"/>
  <c r="AB82" i="9" s="1"/>
  <c r="AB68" i="9"/>
  <c r="AB129" i="9"/>
  <c r="AA136" i="9"/>
  <c r="BD116" i="9"/>
  <c r="BC72" i="9"/>
  <c r="BB75" i="9"/>
  <c r="BB77" i="9"/>
  <c r="BB131" i="9"/>
  <c r="BB133" i="9"/>
  <c r="BC128" i="9"/>
  <c r="BA154" i="9"/>
  <c r="BA163" i="9"/>
  <c r="BC59" i="9"/>
  <c r="BC58" i="9"/>
  <c r="BC60" i="9"/>
  <c r="BD60" i="9" s="1"/>
  <c r="BC76" i="9"/>
  <c r="BC266" i="9"/>
  <c r="BD57" i="9"/>
  <c r="BH62" i="9"/>
  <c r="AU83" i="9"/>
  <c r="AU79" i="9"/>
  <c r="BA98" i="9"/>
  <c r="BA107" i="9"/>
  <c r="AA178" i="9"/>
  <c r="BG174" i="9"/>
  <c r="BB188" i="9"/>
  <c r="BB172" i="9"/>
  <c r="BB268" i="9"/>
  <c r="BC166" i="9"/>
  <c r="BC169" i="9" s="1"/>
  <c r="BB171" i="9"/>
  <c r="BB170" i="9"/>
  <c r="BE249" i="9"/>
  <c r="BE250" i="9"/>
  <c r="BE259" i="9"/>
  <c r="BF245" i="9"/>
  <c r="BF248" i="9" s="1"/>
  <c r="BE270" i="9"/>
  <c r="BE251" i="9"/>
  <c r="BD258" i="9"/>
  <c r="BE257" i="9"/>
  <c r="BI257" i="9"/>
  <c r="BG1000" i="9"/>
  <c r="BF1001" i="9"/>
  <c r="BF1172" i="9" s="1"/>
  <c r="BC267" i="9"/>
  <c r="BH118" i="9"/>
  <c r="BD113" i="9"/>
  <c r="BC115" i="9"/>
  <c r="BC132" i="9"/>
  <c r="BC116" i="9"/>
  <c r="BC114" i="9"/>
  <c r="BA237" i="9"/>
  <c r="BA235" i="9"/>
  <c r="BB234" i="9"/>
  <c r="AA195" i="9"/>
  <c r="AA191" i="9"/>
  <c r="AA177" i="9" s="1"/>
  <c r="AB186" i="9" s="1"/>
  <c r="AZ9" i="9"/>
  <c r="AZ8" i="9"/>
  <c r="BE279" i="11" l="1"/>
  <c r="BF4" i="11"/>
  <c r="BE3" i="11"/>
  <c r="AZ740" i="11"/>
  <c r="BA740" i="11"/>
  <c r="BB740" i="11"/>
  <c r="BC740" i="11"/>
  <c r="AZ920" i="11"/>
  <c r="BA920" i="11"/>
  <c r="BB920" i="11"/>
  <c r="AX925" i="11"/>
  <c r="AX927" i="11"/>
  <c r="AX916" i="11"/>
  <c r="BB272" i="9"/>
  <c r="BB1164" i="9" s="1"/>
  <c r="BB7" i="9"/>
  <c r="BB154" i="9"/>
  <c r="BB163" i="9"/>
  <c r="BD133" i="9"/>
  <c r="BB98" i="9"/>
  <c r="BB107" i="9"/>
  <c r="AU92" i="9"/>
  <c r="AU93" i="9" s="1"/>
  <c r="AU95" i="9" s="1"/>
  <c r="AU65" i="9"/>
  <c r="AU80" i="9"/>
  <c r="AA192" i="9"/>
  <c r="BD266" i="9"/>
  <c r="BI62" i="9"/>
  <c r="BD76" i="9"/>
  <c r="BE54" i="9"/>
  <c r="BE57" i="9" s="1"/>
  <c r="BD59" i="9"/>
  <c r="BI54" i="9"/>
  <c r="BE260" i="9"/>
  <c r="BE258" i="9"/>
  <c r="BF257" i="9"/>
  <c r="BA210" i="9"/>
  <c r="BA219" i="9"/>
  <c r="BF249" i="9"/>
  <c r="BF250" i="9"/>
  <c r="BG245" i="9"/>
  <c r="BG248" i="9" s="1"/>
  <c r="BF270" i="9"/>
  <c r="BF251" i="9"/>
  <c r="BF259" i="9"/>
  <c r="BC184" i="9"/>
  <c r="BB187" i="9"/>
  <c r="BB186" i="9" s="1"/>
  <c r="BB189" i="9"/>
  <c r="BH1000" i="9"/>
  <c r="BG1001" i="9"/>
  <c r="BG1172" i="9" s="1"/>
  <c r="BB237" i="9"/>
  <c r="BB235" i="9"/>
  <c r="BC234" i="9"/>
  <c r="AB185" i="9"/>
  <c r="BC77" i="9"/>
  <c r="BC75" i="9"/>
  <c r="AB125" i="9"/>
  <c r="AB138" i="9" s="1"/>
  <c r="AB124" i="9"/>
  <c r="BC131" i="9"/>
  <c r="BC133" i="9"/>
  <c r="BD267" i="9"/>
  <c r="BD115" i="9"/>
  <c r="BD132" i="9"/>
  <c r="BE110" i="9"/>
  <c r="BE113" i="9" s="1"/>
  <c r="BI118" i="9"/>
  <c r="BI110" i="9"/>
  <c r="BD225" i="9"/>
  <c r="BC269" i="9"/>
  <c r="BC228" i="9"/>
  <c r="BD228" i="9" s="1"/>
  <c r="BC226" i="9"/>
  <c r="BC227" i="9"/>
  <c r="BC236" i="9"/>
  <c r="BC268" i="9"/>
  <c r="BC272" i="9" s="1"/>
  <c r="BC170" i="9"/>
  <c r="BH174" i="9"/>
  <c r="BD169" i="9"/>
  <c r="BC188" i="9"/>
  <c r="BC172" i="9"/>
  <c r="BD172" i="9" s="1"/>
  <c r="BC171" i="9"/>
  <c r="AB83" i="9"/>
  <c r="AB79" i="9"/>
  <c r="AB65" i="9" s="1"/>
  <c r="AC74" i="9" s="1"/>
  <c r="BA9" i="9"/>
  <c r="BA8" i="9"/>
  <c r="BB130" i="11" l="1"/>
  <c r="BB914" i="11"/>
  <c r="BB922" i="11"/>
  <c r="BB928" i="11"/>
  <c r="BA130" i="11"/>
  <c r="BA914" i="11"/>
  <c r="BA922" i="11"/>
  <c r="BA928" i="11"/>
  <c r="AZ130" i="11"/>
  <c r="AZ914" i="11"/>
  <c r="AZ928" i="11"/>
  <c r="AZ922" i="11"/>
  <c r="BF279" i="11"/>
  <c r="BG4" i="11"/>
  <c r="BF3" i="11"/>
  <c r="BC1164" i="9"/>
  <c r="BC7" i="9"/>
  <c r="AU100" i="9"/>
  <c r="BE222" i="9"/>
  <c r="BE225" i="9" s="1"/>
  <c r="BD269" i="9"/>
  <c r="BD227" i="9"/>
  <c r="BI222" i="9"/>
  <c r="BD236" i="9"/>
  <c r="BB210" i="9"/>
  <c r="BB219" i="9"/>
  <c r="AB139" i="9"/>
  <c r="AB135" i="9"/>
  <c r="AB121" i="9" s="1"/>
  <c r="AC130" i="9" s="1"/>
  <c r="BG251" i="9"/>
  <c r="BG249" i="9"/>
  <c r="BG259" i="9"/>
  <c r="BG250" i="9"/>
  <c r="BH245" i="9"/>
  <c r="BH248" i="9" s="1"/>
  <c r="BG270" i="9"/>
  <c r="AC73" i="9"/>
  <c r="BD131" i="9"/>
  <c r="BI128" i="9"/>
  <c r="BE128" i="9"/>
  <c r="BC187" i="9"/>
  <c r="BC189" i="9"/>
  <c r="BD189" i="9" s="1"/>
  <c r="AB66" i="9"/>
  <c r="BF54" i="9"/>
  <c r="BF57" i="9" s="1"/>
  <c r="BE59" i="9"/>
  <c r="BE58" i="9"/>
  <c r="BE266" i="9"/>
  <c r="BJ62" i="9"/>
  <c r="BE76" i="9"/>
  <c r="BE60" i="9"/>
  <c r="BE166" i="9"/>
  <c r="BE169" i="9" s="1"/>
  <c r="BI166" i="9"/>
  <c r="BI174" i="9"/>
  <c r="BD188" i="9"/>
  <c r="BD171" i="9"/>
  <c r="BD268" i="9"/>
  <c r="BD272" i="9" s="1"/>
  <c r="BC154" i="9"/>
  <c r="BC163" i="9"/>
  <c r="BE72" i="9"/>
  <c r="BD75" i="9"/>
  <c r="BI72" i="9"/>
  <c r="AB181" i="9"/>
  <c r="AB194" i="9" s="1"/>
  <c r="AB180" i="9"/>
  <c r="BE114" i="9"/>
  <c r="BF110" i="9"/>
  <c r="BF113" i="9" s="1"/>
  <c r="BE115" i="9"/>
  <c r="BJ118" i="9"/>
  <c r="BE132" i="9"/>
  <c r="BE267" i="9"/>
  <c r="BE116" i="9"/>
  <c r="BB9" i="9"/>
  <c r="BB8" i="9"/>
  <c r="BC237" i="9"/>
  <c r="BD237" i="9" s="1"/>
  <c r="BC235" i="9"/>
  <c r="BC107" i="9"/>
  <c r="BC98" i="9"/>
  <c r="AV74" i="9"/>
  <c r="AU66" i="9"/>
  <c r="BD77" i="9"/>
  <c r="BD163" i="9"/>
  <c r="BD154" i="9"/>
  <c r="BI1000" i="9"/>
  <c r="BI1001" i="9" s="1"/>
  <c r="BH1001" i="9"/>
  <c r="BH1172" i="9" s="1"/>
  <c r="AB80" i="9"/>
  <c r="BF258" i="9"/>
  <c r="BG257" i="9"/>
  <c r="BF260" i="9"/>
  <c r="BG279" i="11" l="1"/>
  <c r="BH4" i="11"/>
  <c r="BG3" i="11"/>
  <c r="AZ925" i="11"/>
  <c r="AZ129" i="11"/>
  <c r="AZ131" i="11" s="1"/>
  <c r="AZ916" i="11"/>
  <c r="AZ927" i="11"/>
  <c r="BA925" i="11"/>
  <c r="BA129" i="11"/>
  <c r="BA131" i="11" s="1"/>
  <c r="BA927" i="11"/>
  <c r="BA916" i="11"/>
  <c r="BB925" i="11"/>
  <c r="BB129" i="11"/>
  <c r="BB916" i="11"/>
  <c r="BB927" i="11"/>
  <c r="BC130" i="11"/>
  <c r="BC920" i="11" s="1"/>
  <c r="AB122" i="9"/>
  <c r="BI234" i="9"/>
  <c r="BD235" i="9"/>
  <c r="BE234" i="9"/>
  <c r="BD98" i="9"/>
  <c r="BD107" i="9"/>
  <c r="AC129" i="9"/>
  <c r="BD219" i="9"/>
  <c r="BD210" i="9"/>
  <c r="BD1164" i="9"/>
  <c r="BD7" i="9"/>
  <c r="BD9" i="9" s="1"/>
  <c r="AU101" i="9"/>
  <c r="AU105" i="9"/>
  <c r="BG54" i="9"/>
  <c r="BG57" i="9" s="1"/>
  <c r="BF59" i="9"/>
  <c r="BF76" i="9"/>
  <c r="BK62" i="9"/>
  <c r="BF58" i="9"/>
  <c r="BF266" i="9"/>
  <c r="BF60" i="9"/>
  <c r="BF222" i="9"/>
  <c r="BF225" i="9" s="1"/>
  <c r="BE269" i="9"/>
  <c r="BE226" i="9"/>
  <c r="BE227" i="9"/>
  <c r="BE228" i="9"/>
  <c r="BE236" i="9"/>
  <c r="AC69" i="9"/>
  <c r="AC82" i="9" s="1"/>
  <c r="AC68" i="9"/>
  <c r="BF128" i="9"/>
  <c r="BE131" i="9"/>
  <c r="BE133" i="9"/>
  <c r="BJ1000" i="9"/>
  <c r="BJ1001" i="9" s="1"/>
  <c r="BJ1172" i="9" s="1"/>
  <c r="BI1172" i="9"/>
  <c r="BF72" i="9"/>
  <c r="BE75" i="9"/>
  <c r="BE74" i="9" s="1"/>
  <c r="BE77" i="9"/>
  <c r="BG110" i="9"/>
  <c r="BG113" i="9" s="1"/>
  <c r="BF115" i="9"/>
  <c r="BF132" i="9"/>
  <c r="BF116" i="9"/>
  <c r="BF267" i="9"/>
  <c r="BK118" i="9"/>
  <c r="BF114" i="9"/>
  <c r="BH257" i="9"/>
  <c r="BG258" i="9"/>
  <c r="BG260" i="9"/>
  <c r="AB195" i="9"/>
  <c r="AB191" i="9"/>
  <c r="AB177" i="9" s="1"/>
  <c r="AC186" i="9" s="1"/>
  <c r="AV73" i="9"/>
  <c r="AB136" i="9"/>
  <c r="BC210" i="9"/>
  <c r="BC219" i="9"/>
  <c r="BD187" i="9"/>
  <c r="BI184" i="9"/>
  <c r="BE184" i="9"/>
  <c r="BE171" i="9"/>
  <c r="BE170" i="9"/>
  <c r="BE188" i="9"/>
  <c r="BF166" i="9"/>
  <c r="BF169" i="9" s="1"/>
  <c r="BE172" i="9"/>
  <c r="BE268" i="9"/>
  <c r="BJ174" i="9"/>
  <c r="BH249" i="9"/>
  <c r="BH270" i="9"/>
  <c r="BH251" i="9"/>
  <c r="BI251" i="9" s="1"/>
  <c r="BH259" i="9"/>
  <c r="BH250" i="9"/>
  <c r="BI248" i="9"/>
  <c r="BC9" i="9"/>
  <c r="BC8" i="9"/>
  <c r="BE272" i="9"/>
  <c r="BC926" i="11" l="1"/>
  <c r="BC928" i="11"/>
  <c r="BC922" i="11"/>
  <c r="BC129" i="11"/>
  <c r="BB131" i="11"/>
  <c r="BH3" i="11"/>
  <c r="BI4" i="11"/>
  <c r="BH279" i="11"/>
  <c r="BG128" i="9"/>
  <c r="BF131" i="9"/>
  <c r="BF133" i="9"/>
  <c r="BE107" i="9"/>
  <c r="BE98" i="9"/>
  <c r="BI250" i="9"/>
  <c r="BN245" i="9"/>
  <c r="BN248" i="9" s="1"/>
  <c r="BI259" i="9"/>
  <c r="BI270" i="9"/>
  <c r="BJ245" i="9"/>
  <c r="BJ248" i="9" s="1"/>
  <c r="AC125" i="9"/>
  <c r="AC138" i="9" s="1"/>
  <c r="AC124" i="9"/>
  <c r="AC83" i="9"/>
  <c r="AC79" i="9"/>
  <c r="AC65" i="9" s="1"/>
  <c r="AD74" i="9" s="1"/>
  <c r="BE237" i="9"/>
  <c r="BF234" i="9"/>
  <c r="BE235" i="9"/>
  <c r="AC66" i="9"/>
  <c r="BE1164" i="9"/>
  <c r="BE7" i="9"/>
  <c r="BH260" i="9"/>
  <c r="BI260" i="9" s="1"/>
  <c r="BH258" i="9"/>
  <c r="BE163" i="9"/>
  <c r="BE154" i="9"/>
  <c r="AB178" i="9"/>
  <c r="BE189" i="9"/>
  <c r="BF184" i="9"/>
  <c r="BE187" i="9"/>
  <c r="AU87" i="9"/>
  <c r="AU86" i="9" s="1"/>
  <c r="AU97" i="9"/>
  <c r="AU96" i="9" s="1"/>
  <c r="AU106" i="9"/>
  <c r="AV68" i="9"/>
  <c r="AW69" i="9"/>
  <c r="AW82" i="9" s="1"/>
  <c r="AV69" i="9"/>
  <c r="AV82" i="9" s="1"/>
  <c r="BG59" i="9"/>
  <c r="BG76" i="9"/>
  <c r="BL62" i="9"/>
  <c r="BG58" i="9"/>
  <c r="BH54" i="9"/>
  <c r="BH57" i="9" s="1"/>
  <c r="BG266" i="9"/>
  <c r="BG60" i="9"/>
  <c r="BG132" i="9"/>
  <c r="BH110" i="9"/>
  <c r="BH113" i="9" s="1"/>
  <c r="BG115" i="9"/>
  <c r="BG116" i="9"/>
  <c r="BG267" i="9"/>
  <c r="BL118" i="9"/>
  <c r="BG114" i="9"/>
  <c r="BF226" i="9"/>
  <c r="BF269" i="9"/>
  <c r="BF272" i="9" s="1"/>
  <c r="BF236" i="9"/>
  <c r="BF227" i="9"/>
  <c r="BG222" i="9"/>
  <c r="BG225" i="9" s="1"/>
  <c r="BF228" i="9"/>
  <c r="AC185" i="9"/>
  <c r="AB192" i="9"/>
  <c r="BF75" i="9"/>
  <c r="BF77" i="9"/>
  <c r="BG72" i="9"/>
  <c r="BF188" i="9"/>
  <c r="BF268" i="9"/>
  <c r="BG166" i="9"/>
  <c r="BG169" i="9" s="1"/>
  <c r="BF172" i="9"/>
  <c r="BF171" i="9"/>
  <c r="BK174" i="9"/>
  <c r="BF170" i="9"/>
  <c r="BI3" i="11" l="1"/>
  <c r="BI279" i="11"/>
  <c r="BJ4" i="11"/>
  <c r="BC914" i="11"/>
  <c r="BC131" i="11"/>
  <c r="BF1164" i="9"/>
  <c r="BF7" i="9"/>
  <c r="BH128" i="9"/>
  <c r="BG133" i="9"/>
  <c r="BG131" i="9"/>
  <c r="BG130" i="9" s="1"/>
  <c r="BH76" i="9"/>
  <c r="BH58" i="9"/>
  <c r="BH60" i="9"/>
  <c r="BI60" i="9" s="1"/>
  <c r="BH59" i="9"/>
  <c r="BM62" i="9"/>
  <c r="BI57" i="9"/>
  <c r="BH266" i="9"/>
  <c r="BJ251" i="9"/>
  <c r="BJ249" i="9"/>
  <c r="BJ270" i="9"/>
  <c r="BK245" i="9"/>
  <c r="BK248" i="9" s="1"/>
  <c r="BJ259" i="9"/>
  <c r="BJ250" i="9"/>
  <c r="BJ257" i="9"/>
  <c r="BI258" i="9"/>
  <c r="BN257" i="9"/>
  <c r="AC139" i="9"/>
  <c r="AC135" i="9"/>
  <c r="AC121" i="9" s="1"/>
  <c r="AD130" i="9" s="1"/>
  <c r="BE9" i="9"/>
  <c r="BE8" i="9"/>
  <c r="BF98" i="9"/>
  <c r="BF107" i="9"/>
  <c r="AC181" i="9"/>
  <c r="AC194" i="9" s="1"/>
  <c r="AC180" i="9"/>
  <c r="BG226" i="9"/>
  <c r="BG227" i="9"/>
  <c r="BH222" i="9"/>
  <c r="BH225" i="9" s="1"/>
  <c r="BG269" i="9"/>
  <c r="BG228" i="9"/>
  <c r="BG236" i="9"/>
  <c r="AW83" i="9"/>
  <c r="AW80" i="9" s="1"/>
  <c r="AW79" i="9"/>
  <c r="AC80" i="9"/>
  <c r="BG77" i="9"/>
  <c r="BH72" i="9"/>
  <c r="BG75" i="9"/>
  <c r="BG234" i="9"/>
  <c r="BF237" i="9"/>
  <c r="BF235" i="9"/>
  <c r="BF189" i="9"/>
  <c r="BG184" i="9"/>
  <c r="BF187" i="9"/>
  <c r="BF186" i="9" s="1"/>
  <c r="BM118" i="9"/>
  <c r="BH267" i="9"/>
  <c r="BH115" i="9"/>
  <c r="BH132" i="9"/>
  <c r="BH116" i="9"/>
  <c r="BH114" i="9"/>
  <c r="BI113" i="9"/>
  <c r="BE219" i="9"/>
  <c r="BE210" i="9"/>
  <c r="BO245" i="9"/>
  <c r="BO248" i="9" s="1"/>
  <c r="BN270" i="9"/>
  <c r="BS245" i="9"/>
  <c r="BS248" i="9" s="1"/>
  <c r="BN250" i="9"/>
  <c r="AV83" i="9"/>
  <c r="AV79" i="9"/>
  <c r="BF154" i="9"/>
  <c r="BF163" i="9"/>
  <c r="BH166" i="9"/>
  <c r="BH169" i="9" s="1"/>
  <c r="BG188" i="9"/>
  <c r="BG268" i="9"/>
  <c r="BG272" i="9" s="1"/>
  <c r="BG172" i="9"/>
  <c r="BG171" i="9"/>
  <c r="BL174" i="9"/>
  <c r="BG170" i="9"/>
  <c r="BI116" i="9"/>
  <c r="AD73" i="9"/>
  <c r="AE74" i="9"/>
  <c r="AE73" i="9" s="1"/>
  <c r="AE68" i="9" s="1"/>
  <c r="AE67" i="9"/>
  <c r="BC927" i="11" l="1"/>
  <c r="BC925" i="11"/>
  <c r="BC916" i="11"/>
  <c r="BJ3" i="11"/>
  <c r="BJ279" i="11"/>
  <c r="BK4" i="11"/>
  <c r="BF740" i="11"/>
  <c r="BE740" i="11"/>
  <c r="BH740" i="11"/>
  <c r="BG740" i="11"/>
  <c r="BE920" i="11"/>
  <c r="BF920" i="11"/>
  <c r="BG920" i="11"/>
  <c r="AC122" i="9"/>
  <c r="AV80" i="9"/>
  <c r="BG98" i="9"/>
  <c r="BG107" i="9"/>
  <c r="BH77" i="9"/>
  <c r="BI77" i="9" s="1"/>
  <c r="BH75" i="9"/>
  <c r="BS250" i="9"/>
  <c r="BT245" i="9"/>
  <c r="BT248" i="9" s="1"/>
  <c r="BS270" i="9"/>
  <c r="AD69" i="9"/>
  <c r="AD68" i="9"/>
  <c r="AW65" i="9"/>
  <c r="AW92" i="9"/>
  <c r="AW93" i="9" s="1"/>
  <c r="AW95" i="9" s="1"/>
  <c r="AW100" i="9" s="1"/>
  <c r="BN62" i="9"/>
  <c r="BN54" i="9"/>
  <c r="BN57" i="9" s="1"/>
  <c r="BI76" i="9"/>
  <c r="BJ54" i="9"/>
  <c r="BJ57" i="9" s="1"/>
  <c r="BI59" i="9"/>
  <c r="BI266" i="9"/>
  <c r="BO251" i="9"/>
  <c r="BO250" i="9"/>
  <c r="BP245" i="9"/>
  <c r="BP248" i="9" s="1"/>
  <c r="BO270" i="9"/>
  <c r="BO259" i="9"/>
  <c r="BI115" i="9"/>
  <c r="BI132" i="9"/>
  <c r="BI267" i="9"/>
  <c r="BN118" i="9"/>
  <c r="BJ110" i="9"/>
  <c r="BJ113" i="9" s="1"/>
  <c r="BN110" i="9"/>
  <c r="BN113" i="9" s="1"/>
  <c r="AD129" i="9"/>
  <c r="AE130" i="9"/>
  <c r="AE129" i="9" s="1"/>
  <c r="AE124" i="9" s="1"/>
  <c r="AE123" i="9"/>
  <c r="AC136" i="9"/>
  <c r="BG189" i="9"/>
  <c r="BH184" i="9"/>
  <c r="BG187" i="9"/>
  <c r="BF9" i="9"/>
  <c r="BF8" i="9"/>
  <c r="BG237" i="9"/>
  <c r="BH234" i="9"/>
  <c r="BG235" i="9"/>
  <c r="BK257" i="9"/>
  <c r="BJ260" i="9"/>
  <c r="BJ258" i="9"/>
  <c r="BF219" i="9"/>
  <c r="BF210" i="9"/>
  <c r="BK251" i="9"/>
  <c r="BK270" i="9"/>
  <c r="BK249" i="9"/>
  <c r="BL245" i="9"/>
  <c r="BL248" i="9" s="1"/>
  <c r="BK250" i="9"/>
  <c r="BK259" i="9"/>
  <c r="BH269" i="9"/>
  <c r="BI225" i="9"/>
  <c r="BH228" i="9"/>
  <c r="BI228" i="9" s="1"/>
  <c r="BH226" i="9"/>
  <c r="BH227" i="9"/>
  <c r="BH236" i="9"/>
  <c r="BH272" i="9"/>
  <c r="AC195" i="9"/>
  <c r="AC191" i="9"/>
  <c r="AC177" i="9" s="1"/>
  <c r="AD186" i="9" s="1"/>
  <c r="BG1164" i="9"/>
  <c r="BG7" i="9"/>
  <c r="BH133" i="9"/>
  <c r="BH131" i="9"/>
  <c r="BH130" i="9" s="1"/>
  <c r="BH188" i="9"/>
  <c r="BM174" i="9"/>
  <c r="BH268" i="9"/>
  <c r="BH172" i="9"/>
  <c r="BI172" i="9" s="1"/>
  <c r="BH171" i="9"/>
  <c r="BI169" i="9"/>
  <c r="BH170" i="9"/>
  <c r="BG163" i="9"/>
  <c r="BG154" i="9"/>
  <c r="AV65" i="9"/>
  <c r="AV66" i="9" s="1"/>
  <c r="AV92" i="9"/>
  <c r="AV93" i="9" s="1"/>
  <c r="AV95" i="9" s="1"/>
  <c r="AV100" i="9" s="1"/>
  <c r="BF130" i="11" l="1"/>
  <c r="BF914" i="11"/>
  <c r="BF922" i="11"/>
  <c r="BF928" i="11"/>
  <c r="BE914" i="11"/>
  <c r="BE130" i="11"/>
  <c r="BE922" i="11"/>
  <c r="BE928" i="11"/>
  <c r="BK3" i="11"/>
  <c r="BL4" i="11"/>
  <c r="BK463" i="11"/>
  <c r="BK412" i="11"/>
  <c r="BK378" i="11"/>
  <c r="BK446" i="11"/>
  <c r="BK395" i="11"/>
  <c r="BK429" i="11"/>
  <c r="BG130" i="11"/>
  <c r="BH130" i="11" s="1"/>
  <c r="BH920" i="11" s="1"/>
  <c r="BG914" i="11"/>
  <c r="BG922" i="11"/>
  <c r="BG928" i="11"/>
  <c r="BI107" i="9"/>
  <c r="BI98" i="9"/>
  <c r="AC192" i="9"/>
  <c r="BI131" i="9"/>
  <c r="BJ128" i="9"/>
  <c r="BN128" i="9"/>
  <c r="BH235" i="9"/>
  <c r="BH237" i="9"/>
  <c r="BI237" i="9" s="1"/>
  <c r="BP270" i="9"/>
  <c r="BP251" i="9"/>
  <c r="BP250" i="9"/>
  <c r="BQ245" i="9"/>
  <c r="BQ248" i="9" s="1"/>
  <c r="BP249" i="9"/>
  <c r="BP259" i="9"/>
  <c r="BT270" i="9"/>
  <c r="BT250" i="9"/>
  <c r="BU245" i="9"/>
  <c r="BU248" i="9" s="1"/>
  <c r="BT251" i="9"/>
  <c r="BN222" i="9"/>
  <c r="BN225" i="9" s="1"/>
  <c r="BJ222" i="9"/>
  <c r="BJ225" i="9" s="1"/>
  <c r="BI269" i="9"/>
  <c r="BI227" i="9"/>
  <c r="BI236" i="9"/>
  <c r="BH1164" i="9"/>
  <c r="BH7" i="9"/>
  <c r="BK260" i="9"/>
  <c r="BL257" i="9"/>
  <c r="BK258" i="9"/>
  <c r="BN174" i="9"/>
  <c r="BJ166" i="9"/>
  <c r="BJ169" i="9" s="1"/>
  <c r="BI268" i="9"/>
  <c r="BI272" i="9" s="1"/>
  <c r="BI188" i="9"/>
  <c r="BI171" i="9"/>
  <c r="BN166" i="9"/>
  <c r="BN169" i="9" s="1"/>
  <c r="BJ76" i="9"/>
  <c r="BJ58" i="9"/>
  <c r="BJ60" i="9"/>
  <c r="BK54" i="9"/>
  <c r="BK57" i="9" s="1"/>
  <c r="BJ266" i="9"/>
  <c r="BJ59" i="9"/>
  <c r="BO62" i="9"/>
  <c r="BJ72" i="9"/>
  <c r="BI75" i="9"/>
  <c r="BN72" i="9"/>
  <c r="BH187" i="9"/>
  <c r="BH186" i="9" s="1"/>
  <c r="BH189" i="9"/>
  <c r="BI189" i="9" s="1"/>
  <c r="BO110" i="9"/>
  <c r="BO113" i="9" s="1"/>
  <c r="BS110" i="9"/>
  <c r="BS113" i="9" s="1"/>
  <c r="BN115" i="9"/>
  <c r="BN267" i="9"/>
  <c r="BS118" i="9"/>
  <c r="AD82" i="9"/>
  <c r="AE69" i="9"/>
  <c r="AE82" i="9" s="1"/>
  <c r="AE79" i="9" s="1"/>
  <c r="AV105" i="9"/>
  <c r="AV101" i="9"/>
  <c r="BH107" i="9"/>
  <c r="BH98" i="9"/>
  <c r="BS54" i="9"/>
  <c r="BS57" i="9" s="1"/>
  <c r="BN59" i="9"/>
  <c r="BS62" i="9"/>
  <c r="BN266" i="9"/>
  <c r="BO54" i="9"/>
  <c r="BO57" i="9" s="1"/>
  <c r="AC178" i="9"/>
  <c r="AX74" i="9"/>
  <c r="AW66" i="9"/>
  <c r="BH154" i="9"/>
  <c r="BH163" i="9"/>
  <c r="BG9" i="9"/>
  <c r="BG8" i="9"/>
  <c r="BJ132" i="9"/>
  <c r="BJ116" i="9"/>
  <c r="BJ114" i="9"/>
  <c r="BJ267" i="9"/>
  <c r="BJ115" i="9"/>
  <c r="BO118" i="9"/>
  <c r="BK110" i="9"/>
  <c r="BK113" i="9" s="1"/>
  <c r="BI133" i="9"/>
  <c r="AD185" i="9"/>
  <c r="AE186" i="9"/>
  <c r="AE185" i="9" s="1"/>
  <c r="AE180" i="9" s="1"/>
  <c r="BP257" i="9"/>
  <c r="BG210" i="9"/>
  <c r="BG219" i="9"/>
  <c r="BL270" i="9"/>
  <c r="BL251" i="9"/>
  <c r="BL249" i="9"/>
  <c r="BM245" i="9"/>
  <c r="BM248" i="9" s="1"/>
  <c r="BL250" i="9"/>
  <c r="BL259" i="9"/>
  <c r="AW105" i="9"/>
  <c r="AW101" i="9"/>
  <c r="AD125" i="9"/>
  <c r="AD124" i="9"/>
  <c r="BK426" i="11" l="1"/>
  <c r="BK424" i="11"/>
  <c r="BK413" i="11"/>
  <c r="BK475" i="11" s="1"/>
  <c r="BK415" i="11"/>
  <c r="BK417" i="11" s="1"/>
  <c r="BK421" i="11" s="1"/>
  <c r="BK422" i="11" s="1"/>
  <c r="BK414" i="11"/>
  <c r="BK425" i="11"/>
  <c r="BG916" i="11"/>
  <c r="BG927" i="11"/>
  <c r="BG925" i="11"/>
  <c r="BG129" i="11"/>
  <c r="BK432" i="11"/>
  <c r="BK434" i="11" s="1"/>
  <c r="BK438" i="11" s="1"/>
  <c r="BK439" i="11" s="1"/>
  <c r="BK442" i="11"/>
  <c r="BK441" i="11"/>
  <c r="BK430" i="11"/>
  <c r="BK476" i="11" s="1"/>
  <c r="BK443" i="11"/>
  <c r="BK390" i="11"/>
  <c r="BK382" i="11"/>
  <c r="BK385" i="11" s="1"/>
  <c r="BK381" i="11"/>
  <c r="BK383" i="11" s="1"/>
  <c r="BK392" i="11"/>
  <c r="BK391" i="11"/>
  <c r="BK379" i="11"/>
  <c r="BK473" i="11" s="1"/>
  <c r="BK464" i="11"/>
  <c r="BK478" i="11" s="1"/>
  <c r="BK470" i="11"/>
  <c r="BK466" i="11"/>
  <c r="BK468" i="11" s="1"/>
  <c r="BK465" i="11"/>
  <c r="BH926" i="11"/>
  <c r="BH928" i="11"/>
  <c r="BH922" i="11"/>
  <c r="BK458" i="11"/>
  <c r="BK447" i="11"/>
  <c r="BK477" i="11" s="1"/>
  <c r="BK459" i="11"/>
  <c r="BK448" i="11"/>
  <c r="BK449" i="11"/>
  <c r="BK460" i="11"/>
  <c r="BK450" i="11"/>
  <c r="BK453" i="11" s="1"/>
  <c r="BE925" i="11"/>
  <c r="BE916" i="11"/>
  <c r="BE129" i="11"/>
  <c r="BE131" i="11" s="1"/>
  <c r="BE927" i="11"/>
  <c r="BK398" i="11"/>
  <c r="BK400" i="11" s="1"/>
  <c r="BK404" i="11" s="1"/>
  <c r="BK405" i="11" s="1"/>
  <c r="BK409" i="11"/>
  <c r="BK399" i="11"/>
  <c r="BK402" i="11" s="1"/>
  <c r="BK408" i="11"/>
  <c r="BK396" i="11"/>
  <c r="BK474" i="11" s="1"/>
  <c r="BK407" i="11"/>
  <c r="BL3" i="11"/>
  <c r="BM4" i="11"/>
  <c r="BL412" i="11"/>
  <c r="BL395" i="11"/>
  <c r="BL378" i="11"/>
  <c r="BL429" i="11"/>
  <c r="BL446" i="11"/>
  <c r="BL463" i="11"/>
  <c r="BF916" i="11"/>
  <c r="BF925" i="11"/>
  <c r="BF129" i="11"/>
  <c r="BF131" i="11" s="1"/>
  <c r="BF927" i="11"/>
  <c r="AE179" i="9"/>
  <c r="BI219" i="9"/>
  <c r="BI210" i="9"/>
  <c r="BU250" i="9"/>
  <c r="BU270" i="9"/>
  <c r="BV245" i="9"/>
  <c r="BV248" i="9" s="1"/>
  <c r="BU251" i="9"/>
  <c r="AE125" i="9"/>
  <c r="AE138" i="9" s="1"/>
  <c r="AE135" i="9" s="1"/>
  <c r="AD138" i="9"/>
  <c r="AD180" i="9"/>
  <c r="AF181" i="9"/>
  <c r="AF194" i="9" s="1"/>
  <c r="AD181" i="9"/>
  <c r="BO59" i="9"/>
  <c r="BO60" i="9"/>
  <c r="BP54" i="9"/>
  <c r="BP57" i="9" s="1"/>
  <c r="BO266" i="9"/>
  <c r="BQ250" i="9"/>
  <c r="BQ251" i="9"/>
  <c r="BR245" i="9"/>
  <c r="BR248" i="9" s="1"/>
  <c r="BQ249" i="9"/>
  <c r="BQ270" i="9"/>
  <c r="BQ259" i="9"/>
  <c r="AW97" i="9"/>
  <c r="AW96" i="9" s="1"/>
  <c r="AW106" i="9"/>
  <c r="AW87" i="9"/>
  <c r="AW86" i="9" s="1"/>
  <c r="BI154" i="9"/>
  <c r="BI163" i="9"/>
  <c r="BK116" i="9"/>
  <c r="BK114" i="9"/>
  <c r="BK267" i="9"/>
  <c r="BK115" i="9"/>
  <c r="BP118" i="9"/>
  <c r="BL110" i="9"/>
  <c r="BL113" i="9" s="1"/>
  <c r="BT54" i="9"/>
  <c r="BT57" i="9" s="1"/>
  <c r="BT62" i="9"/>
  <c r="BS59" i="9"/>
  <c r="BS266" i="9"/>
  <c r="BI1164" i="9"/>
  <c r="BI7" i="9"/>
  <c r="BI9" i="9" s="1"/>
  <c r="BJ184" i="9"/>
  <c r="BI187" i="9"/>
  <c r="BN184" i="9"/>
  <c r="BM257" i="9"/>
  <c r="BL260" i="9"/>
  <c r="BL258" i="9"/>
  <c r="BH9" i="9"/>
  <c r="BH8" i="9"/>
  <c r="AX73" i="9"/>
  <c r="AY74" i="9"/>
  <c r="AY73" i="9" s="1"/>
  <c r="AY68" i="9" s="1"/>
  <c r="AY67" i="9"/>
  <c r="BP110" i="9"/>
  <c r="BP113" i="9" s="1"/>
  <c r="BO115" i="9"/>
  <c r="BO116" i="9"/>
  <c r="BO267" i="9"/>
  <c r="BH210" i="9"/>
  <c r="BH219" i="9"/>
  <c r="BJ133" i="9"/>
  <c r="BK128" i="9"/>
  <c r="BJ131" i="9"/>
  <c r="BK60" i="9"/>
  <c r="BP62" i="9"/>
  <c r="BK58" i="9"/>
  <c r="BL54" i="9"/>
  <c r="BL57" i="9" s="1"/>
  <c r="BK266" i="9"/>
  <c r="BK59" i="9"/>
  <c r="AD83" i="9"/>
  <c r="AD79" i="9"/>
  <c r="AD65" i="9" s="1"/>
  <c r="BJ75" i="9"/>
  <c r="BK72" i="9"/>
  <c r="BJ77" i="9"/>
  <c r="BJ227" i="9"/>
  <c r="BJ228" i="9"/>
  <c r="BK222" i="9"/>
  <c r="BK225" i="9" s="1"/>
  <c r="BJ236" i="9"/>
  <c r="BJ226" i="9"/>
  <c r="BJ269" i="9"/>
  <c r="BJ272" i="9" s="1"/>
  <c r="BT118" i="9"/>
  <c r="BS267" i="9"/>
  <c r="BT110" i="9"/>
  <c r="BT113" i="9" s="1"/>
  <c r="BS115" i="9"/>
  <c r="BO174" i="9"/>
  <c r="BK166" i="9"/>
  <c r="BK169" i="9" s="1"/>
  <c r="BJ171" i="9"/>
  <c r="BJ170" i="9"/>
  <c r="BJ188" i="9"/>
  <c r="BJ172" i="9"/>
  <c r="BJ268" i="9"/>
  <c r="BP258" i="9"/>
  <c r="BQ257" i="9"/>
  <c r="BP260" i="9"/>
  <c r="BM249" i="9"/>
  <c r="BM251" i="9"/>
  <c r="BN251" i="9" s="1"/>
  <c r="BM270" i="9"/>
  <c r="BM250" i="9"/>
  <c r="BM259" i="9"/>
  <c r="BO249" i="9"/>
  <c r="AV87" i="9"/>
  <c r="AV86" i="9" s="1"/>
  <c r="AV97" i="9"/>
  <c r="AV96" i="9" s="1"/>
  <c r="AV106" i="9"/>
  <c r="BN234" i="9"/>
  <c r="BJ234" i="9"/>
  <c r="BI235" i="9"/>
  <c r="BN171" i="9"/>
  <c r="BS166" i="9"/>
  <c r="BS169" i="9" s="1"/>
  <c r="BO166" i="9"/>
  <c r="BO169" i="9" s="1"/>
  <c r="BN268" i="9"/>
  <c r="BN272" i="9" s="1"/>
  <c r="BS174" i="9"/>
  <c r="BN269" i="9"/>
  <c r="BN227" i="9"/>
  <c r="BO222" i="9"/>
  <c r="BO225" i="9" s="1"/>
  <c r="BS222" i="9"/>
  <c r="BS225" i="9" s="1"/>
  <c r="BL398" i="11" l="1"/>
  <c r="BL400" i="11" s="1"/>
  <c r="BL404" i="11" s="1"/>
  <c r="BL405" i="11" s="1"/>
  <c r="BL396" i="11"/>
  <c r="BL474" i="11" s="1"/>
  <c r="BL399" i="11"/>
  <c r="BL402" i="11" s="1"/>
  <c r="BL397" i="11"/>
  <c r="BL409" i="11"/>
  <c r="BL407" i="11"/>
  <c r="BL408" i="11"/>
  <c r="BM3" i="11"/>
  <c r="BN4" i="11"/>
  <c r="BM446" i="11"/>
  <c r="BM412" i="11"/>
  <c r="BM463" i="11"/>
  <c r="BM429" i="11"/>
  <c r="BM378" i="11"/>
  <c r="BM395" i="11"/>
  <c r="BK433" i="11"/>
  <c r="BK436" i="11" s="1"/>
  <c r="BL426" i="11"/>
  <c r="BL413" i="11"/>
  <c r="BL475" i="11" s="1"/>
  <c r="BL415" i="11"/>
  <c r="BL417" i="11" s="1"/>
  <c r="BL421" i="11" s="1"/>
  <c r="BL422" i="11" s="1"/>
  <c r="BL424" i="11"/>
  <c r="BL416" i="11"/>
  <c r="BL419" i="11" s="1"/>
  <c r="BL414" i="11"/>
  <c r="BL425" i="11"/>
  <c r="BK431" i="11"/>
  <c r="BK397" i="11"/>
  <c r="BG131" i="11"/>
  <c r="BH129" i="11"/>
  <c r="BK467" i="11"/>
  <c r="BK451" i="11"/>
  <c r="BK455" i="11" s="1"/>
  <c r="BK456" i="11" s="1"/>
  <c r="BL390" i="11"/>
  <c r="BL381" i="11"/>
  <c r="BL383" i="11" s="1"/>
  <c r="BL391" i="11"/>
  <c r="BL392" i="11"/>
  <c r="BL379" i="11"/>
  <c r="BL473" i="11" s="1"/>
  <c r="BK479" i="11"/>
  <c r="BK224" i="11" s="1"/>
  <c r="BK290" i="11"/>
  <c r="BK287" i="11"/>
  <c r="BK380" i="11"/>
  <c r="BK416" i="11"/>
  <c r="BK419" i="11" s="1"/>
  <c r="BL464" i="11"/>
  <c r="BL478" i="11" s="1"/>
  <c r="BL470" i="11"/>
  <c r="BL466" i="11"/>
  <c r="BL468" i="11" s="1"/>
  <c r="BK873" i="11"/>
  <c r="BL458" i="11"/>
  <c r="BL449" i="11"/>
  <c r="BL447" i="11"/>
  <c r="BL477" i="11" s="1"/>
  <c r="BL460" i="11"/>
  <c r="BL459" i="11"/>
  <c r="BK875" i="11"/>
  <c r="BL432" i="11"/>
  <c r="BL434" i="11" s="1"/>
  <c r="BL438" i="11" s="1"/>
  <c r="BL439" i="11" s="1"/>
  <c r="BL443" i="11"/>
  <c r="BL442" i="11"/>
  <c r="BL430" i="11"/>
  <c r="BL476" i="11" s="1"/>
  <c r="BL441" i="11"/>
  <c r="BK387" i="11"/>
  <c r="BJ1164" i="9"/>
  <c r="BJ7" i="9"/>
  <c r="AD80" i="9"/>
  <c r="AE80" i="9" s="1"/>
  <c r="AE83" i="9"/>
  <c r="BT116" i="9"/>
  <c r="BU110" i="9"/>
  <c r="BU113" i="9" s="1"/>
  <c r="BU118" i="9"/>
  <c r="BT267" i="9"/>
  <c r="BT115" i="9"/>
  <c r="AE181" i="9"/>
  <c r="AE194" i="9" s="1"/>
  <c r="AE191" i="9" s="1"/>
  <c r="AD194" i="9"/>
  <c r="AF195" i="9"/>
  <c r="AF191" i="9"/>
  <c r="AF177" i="9" s="1"/>
  <c r="AX69" i="9"/>
  <c r="AX68" i="9"/>
  <c r="BP266" i="9"/>
  <c r="BP60" i="9"/>
  <c r="BP58" i="9"/>
  <c r="BQ54" i="9"/>
  <c r="BQ57" i="9" s="1"/>
  <c r="BP59" i="9"/>
  <c r="BN7" i="9"/>
  <c r="BN9" i="9" s="1"/>
  <c r="BN1164" i="9"/>
  <c r="BL267" i="9"/>
  <c r="BL115" i="9"/>
  <c r="BL116" i="9"/>
  <c r="BL114" i="9"/>
  <c r="BM110" i="9"/>
  <c r="BM113" i="9" s="1"/>
  <c r="BQ118" i="9"/>
  <c r="BN259" i="9"/>
  <c r="BM260" i="9"/>
  <c r="BM258" i="9"/>
  <c r="AD139" i="9"/>
  <c r="AD135" i="9"/>
  <c r="AD121" i="9" s="1"/>
  <c r="BK184" i="9"/>
  <c r="BJ187" i="9"/>
  <c r="BJ186" i="9" s="1"/>
  <c r="BJ189" i="9"/>
  <c r="BK172" i="9"/>
  <c r="BL166" i="9"/>
  <c r="BL169" i="9" s="1"/>
  <c r="BK268" i="9"/>
  <c r="BK272" i="9" s="1"/>
  <c r="BK171" i="9"/>
  <c r="BK170" i="9"/>
  <c r="BP174" i="9"/>
  <c r="BM54" i="9"/>
  <c r="BM57" i="9" s="1"/>
  <c r="BL60" i="9"/>
  <c r="BL266" i="9"/>
  <c r="BL58" i="9"/>
  <c r="BQ62" i="9"/>
  <c r="BL59" i="9"/>
  <c r="BJ154" i="9"/>
  <c r="BJ163" i="9"/>
  <c r="BO268" i="9"/>
  <c r="BP166" i="9"/>
  <c r="BP169" i="9" s="1"/>
  <c r="BO171" i="9"/>
  <c r="BO172" i="9"/>
  <c r="BJ107" i="9"/>
  <c r="BJ98" i="9"/>
  <c r="BT174" i="9"/>
  <c r="BS171" i="9"/>
  <c r="BS268" i="9"/>
  <c r="BS272" i="9" s="1"/>
  <c r="BT166" i="9"/>
  <c r="BT169" i="9" s="1"/>
  <c r="BP114" i="9"/>
  <c r="BP115" i="9"/>
  <c r="BP267" i="9"/>
  <c r="BQ110" i="9"/>
  <c r="BQ113" i="9" s="1"/>
  <c r="BP116" i="9"/>
  <c r="BT266" i="9"/>
  <c r="BU62" i="9"/>
  <c r="BU54" i="9"/>
  <c r="BU57" i="9" s="1"/>
  <c r="BT60" i="9"/>
  <c r="BT59" i="9"/>
  <c r="BS269" i="9"/>
  <c r="BS227" i="9"/>
  <c r="BT222" i="9"/>
  <c r="BT225" i="9" s="1"/>
  <c r="BO228" i="9"/>
  <c r="BO227" i="9"/>
  <c r="BO269" i="9"/>
  <c r="BP222" i="9"/>
  <c r="BP225" i="9" s="1"/>
  <c r="BO236" i="9"/>
  <c r="BN260" i="9"/>
  <c r="BJ235" i="9"/>
  <c r="BK234" i="9"/>
  <c r="BJ237" i="9"/>
  <c r="BK228" i="9"/>
  <c r="BK226" i="9"/>
  <c r="BL222" i="9"/>
  <c r="BL225" i="9" s="1"/>
  <c r="BK269" i="9"/>
  <c r="BK227" i="9"/>
  <c r="BK236" i="9"/>
  <c r="BV270" i="9"/>
  <c r="BV251" i="9"/>
  <c r="BV250" i="9"/>
  <c r="BQ260" i="9"/>
  <c r="BR257" i="9"/>
  <c r="BQ258" i="9"/>
  <c r="AE65" i="9"/>
  <c r="AD66" i="9"/>
  <c r="BR251" i="9"/>
  <c r="BS251" i="9" s="1"/>
  <c r="BR249" i="9"/>
  <c r="BR250" i="9"/>
  <c r="BR270" i="9"/>
  <c r="BR259" i="9"/>
  <c r="BH914" i="11" l="1"/>
  <c r="BH131" i="11"/>
  <c r="BM415" i="11"/>
  <c r="BM426" i="11"/>
  <c r="BN426" i="11" s="1"/>
  <c r="BM424" i="11"/>
  <c r="BN424" i="11" s="1"/>
  <c r="BM416" i="11"/>
  <c r="BM419" i="11" s="1"/>
  <c r="BM425" i="11"/>
  <c r="BN425" i="11" s="1"/>
  <c r="BM413" i="11"/>
  <c r="BM414" i="11" s="1"/>
  <c r="BN412" i="11"/>
  <c r="BL465" i="11"/>
  <c r="BL451" i="11"/>
  <c r="BL455" i="11" s="1"/>
  <c r="BL456" i="11" s="1"/>
  <c r="BM449" i="11"/>
  <c r="BN446" i="11"/>
  <c r="BM460" i="11"/>
  <c r="BN460" i="11" s="1"/>
  <c r="BM458" i="11"/>
  <c r="BN458" i="11" s="1"/>
  <c r="BM447" i="11"/>
  <c r="BM459" i="11"/>
  <c r="BN459" i="11" s="1"/>
  <c r="BK292" i="11"/>
  <c r="BL287" i="11"/>
  <c r="BL274" i="11" s="1"/>
  <c r="BL706" i="11" s="1"/>
  <c r="BL880" i="11" s="1"/>
  <c r="BK360" i="11"/>
  <c r="BK274" i="11"/>
  <c r="BK293" i="11"/>
  <c r="BK285" i="11"/>
  <c r="BK842" i="11"/>
  <c r="BO4" i="11"/>
  <c r="BN3" i="11"/>
  <c r="BM398" i="11"/>
  <c r="BM396" i="11"/>
  <c r="BM397" i="11" s="1"/>
  <c r="BM409" i="11"/>
  <c r="BN409" i="11" s="1"/>
  <c r="BM408" i="11"/>
  <c r="BN408" i="11" s="1"/>
  <c r="BM407" i="11"/>
  <c r="BN407" i="11" s="1"/>
  <c r="BN395" i="11"/>
  <c r="BL450" i="11"/>
  <c r="BL453" i="11" s="1"/>
  <c r="BL479" i="11"/>
  <c r="BL224" i="11" s="1"/>
  <c r="BL842" i="11" s="1"/>
  <c r="BK388" i="11"/>
  <c r="BK489" i="11" s="1"/>
  <c r="BK482" i="11"/>
  <c r="BL875" i="11"/>
  <c r="BK494" i="11"/>
  <c r="BL873" i="11"/>
  <c r="BK481" i="11"/>
  <c r="BN391" i="11"/>
  <c r="BL387" i="11"/>
  <c r="BK963" i="11"/>
  <c r="BK972" i="11"/>
  <c r="BM464" i="11"/>
  <c r="BM467" i="11"/>
  <c r="BN463" i="11"/>
  <c r="BM466" i="11"/>
  <c r="BM470" i="11"/>
  <c r="BN470" i="11" s="1"/>
  <c r="BK709" i="11"/>
  <c r="BK982" i="11"/>
  <c r="BL382" i="11"/>
  <c r="BL385" i="11" s="1"/>
  <c r="BM390" i="11"/>
  <c r="BM391" i="11"/>
  <c r="BM381" i="11"/>
  <c r="BN378" i="11"/>
  <c r="BM392" i="11"/>
  <c r="BM379" i="11"/>
  <c r="BL290" i="11"/>
  <c r="BL448" i="11"/>
  <c r="BL380" i="11"/>
  <c r="BL433" i="11"/>
  <c r="BL436" i="11" s="1"/>
  <c r="BM443" i="11"/>
  <c r="BN443" i="11" s="1"/>
  <c r="BM432" i="11"/>
  <c r="BM442" i="11"/>
  <c r="BN442" i="11" s="1"/>
  <c r="BN429" i="11"/>
  <c r="BM433" i="11"/>
  <c r="BM436" i="11" s="1"/>
  <c r="BM430" i="11"/>
  <c r="BM441" i="11"/>
  <c r="BN441" i="11" s="1"/>
  <c r="BL431" i="11"/>
  <c r="BL467" i="11"/>
  <c r="BO272" i="9"/>
  <c r="BO1164" i="9"/>
  <c r="BO7" i="9"/>
  <c r="BS1164" i="9"/>
  <c r="BS7" i="9"/>
  <c r="BS9" i="9" s="1"/>
  <c r="BK1164" i="9"/>
  <c r="BK7" i="9"/>
  <c r="BN116" i="9"/>
  <c r="AF74" i="9"/>
  <c r="AE66" i="9"/>
  <c r="BP227" i="9"/>
  <c r="BP269" i="9"/>
  <c r="BQ222" i="9"/>
  <c r="BQ225" i="9" s="1"/>
  <c r="BP226" i="9"/>
  <c r="BP228" i="9"/>
  <c r="BP236" i="9"/>
  <c r="AF192" i="9"/>
  <c r="BS257" i="9"/>
  <c r="BO257" i="9"/>
  <c r="BN258" i="9"/>
  <c r="BN253" i="9"/>
  <c r="BT269" i="9"/>
  <c r="BT228" i="9"/>
  <c r="BT227" i="9"/>
  <c r="BU222" i="9"/>
  <c r="BU225" i="9" s="1"/>
  <c r="AD195" i="9"/>
  <c r="AD191" i="9"/>
  <c r="AD177" i="9" s="1"/>
  <c r="BM116" i="9"/>
  <c r="BM114" i="9"/>
  <c r="BM115" i="9"/>
  <c r="BM267" i="9"/>
  <c r="BR118" i="9"/>
  <c r="BO114" i="9"/>
  <c r="BP234" i="9"/>
  <c r="AG186" i="9"/>
  <c r="AF178" i="9"/>
  <c r="AX82" i="9"/>
  <c r="AY69" i="9"/>
  <c r="AY82" i="9" s="1"/>
  <c r="AY79" i="9" s="1"/>
  <c r="BM266" i="9"/>
  <c r="BM60" i="9"/>
  <c r="BN60" i="9" s="1"/>
  <c r="BR62" i="9"/>
  <c r="BM59" i="9"/>
  <c r="BM58" i="9"/>
  <c r="BO58" i="9"/>
  <c r="BL268" i="9"/>
  <c r="BL172" i="9"/>
  <c r="BL171" i="9"/>
  <c r="BQ174" i="9"/>
  <c r="BL170" i="9"/>
  <c r="BM166" i="9"/>
  <c r="BM169" i="9" s="1"/>
  <c r="BQ267" i="9"/>
  <c r="BQ114" i="9"/>
  <c r="BQ115" i="9"/>
  <c r="BR110" i="9"/>
  <c r="BR113" i="9" s="1"/>
  <c r="BQ116" i="9"/>
  <c r="AD136" i="9"/>
  <c r="AE136" i="9" s="1"/>
  <c r="AE139" i="9"/>
  <c r="BU266" i="9"/>
  <c r="BV62" i="9"/>
  <c r="BV54" i="9"/>
  <c r="BV57" i="9" s="1"/>
  <c r="BU59" i="9"/>
  <c r="BU60" i="9"/>
  <c r="BL226" i="9"/>
  <c r="BL227" i="9"/>
  <c r="BM222" i="9"/>
  <c r="BM225" i="9" s="1"/>
  <c r="BL269" i="9"/>
  <c r="BL228" i="9"/>
  <c r="BL236" i="9"/>
  <c r="BJ219" i="9"/>
  <c r="BJ210" i="9"/>
  <c r="BQ60" i="9"/>
  <c r="BQ58" i="9"/>
  <c r="BR54" i="9"/>
  <c r="BR57" i="9" s="1"/>
  <c r="BQ266" i="9"/>
  <c r="BQ59" i="9"/>
  <c r="BJ8" i="9"/>
  <c r="BJ9" i="9"/>
  <c r="AE121" i="9"/>
  <c r="AD122" i="9"/>
  <c r="BT268" i="9"/>
  <c r="BT272" i="9" s="1"/>
  <c r="BU174" i="9"/>
  <c r="BT172" i="9"/>
  <c r="BT171" i="9"/>
  <c r="BU166" i="9"/>
  <c r="BU169" i="9" s="1"/>
  <c r="BK235" i="9"/>
  <c r="BL234" i="9"/>
  <c r="BK237" i="9"/>
  <c r="BV110" i="9"/>
  <c r="BV113" i="9" s="1"/>
  <c r="BV118" i="9"/>
  <c r="BU267" i="9"/>
  <c r="BU116" i="9"/>
  <c r="BU115" i="9"/>
  <c r="BS259" i="9"/>
  <c r="BR258" i="9"/>
  <c r="BR260" i="9"/>
  <c r="BP170" i="9"/>
  <c r="BQ166" i="9"/>
  <c r="BQ169" i="9" s="1"/>
  <c r="BP268" i="9"/>
  <c r="BP272" i="9" s="1"/>
  <c r="BP171" i="9"/>
  <c r="BP172" i="9"/>
  <c r="BJ740" i="11" l="1"/>
  <c r="BJ920" i="11"/>
  <c r="BK914" i="11"/>
  <c r="BK737" i="11"/>
  <c r="BK920" i="11"/>
  <c r="BL709" i="11"/>
  <c r="BL711" i="11" s="1"/>
  <c r="BL884" i="11"/>
  <c r="BK484" i="11"/>
  <c r="BK486" i="11" s="1"/>
  <c r="BM478" i="11"/>
  <c r="BN478" i="11" s="1"/>
  <c r="BN464" i="11"/>
  <c r="BK1014" i="11"/>
  <c r="BK729" i="11"/>
  <c r="BK966" i="11"/>
  <c r="BK967" i="11" s="1"/>
  <c r="BM875" i="11"/>
  <c r="BN875" i="11" s="1"/>
  <c r="BN711" i="11" s="1"/>
  <c r="BN392" i="11"/>
  <c r="BM475" i="11"/>
  <c r="BN475" i="11" s="1"/>
  <c r="BN413" i="11"/>
  <c r="BN414" i="11" s="1"/>
  <c r="BM290" i="11"/>
  <c r="BN390" i="11"/>
  <c r="BN291" i="11" s="1"/>
  <c r="BL481" i="11"/>
  <c r="BP4" i="11"/>
  <c r="BO3" i="11"/>
  <c r="BO463" i="11"/>
  <c r="BO429" i="11"/>
  <c r="BO378" i="11"/>
  <c r="BO412" i="11"/>
  <c r="BO395" i="11"/>
  <c r="BO446" i="11"/>
  <c r="BN430" i="11"/>
  <c r="BM476" i="11"/>
  <c r="BN476" i="11" s="1"/>
  <c r="BK706" i="11"/>
  <c r="BN448" i="11"/>
  <c r="BN450" i="11"/>
  <c r="BN453" i="11" s="1"/>
  <c r="BM431" i="11"/>
  <c r="BL982" i="11"/>
  <c r="BL388" i="11"/>
  <c r="BL489" i="11" s="1"/>
  <c r="BL482" i="11"/>
  <c r="BN381" i="11"/>
  <c r="BN415" i="11"/>
  <c r="BN417" i="11" s="1"/>
  <c r="BN421" i="11" s="1"/>
  <c r="BN422" i="11" s="1"/>
  <c r="BM417" i="11"/>
  <c r="BM421" i="11" s="1"/>
  <c r="BM422" i="11" s="1"/>
  <c r="BN449" i="11"/>
  <c r="BN382" i="11"/>
  <c r="BN385" i="11" s="1"/>
  <c r="BN431" i="11"/>
  <c r="BK711" i="11"/>
  <c r="BL360" i="11"/>
  <c r="BL293" i="11"/>
  <c r="BM287" i="11"/>
  <c r="BM274" i="11" s="1"/>
  <c r="BM706" i="11" s="1"/>
  <c r="BM880" i="11" s="1"/>
  <c r="BL292" i="11"/>
  <c r="BL285" i="11"/>
  <c r="BN398" i="11"/>
  <c r="BN400" i="11" s="1"/>
  <c r="BN404" i="11" s="1"/>
  <c r="BN405" i="11" s="1"/>
  <c r="BM400" i="11"/>
  <c r="BM404" i="11" s="1"/>
  <c r="BM405" i="11" s="1"/>
  <c r="BM873" i="11"/>
  <c r="BM382" i="11"/>
  <c r="BM385" i="11" s="1"/>
  <c r="BN873" i="11"/>
  <c r="BH927" i="11"/>
  <c r="BH925" i="11"/>
  <c r="BH916" i="11"/>
  <c r="BK974" i="11"/>
  <c r="BL972" i="11"/>
  <c r="BN432" i="11"/>
  <c r="BN434" i="11" s="1"/>
  <c r="BN438" i="11" s="1"/>
  <c r="BN439" i="11" s="1"/>
  <c r="BM434" i="11"/>
  <c r="BM438" i="11" s="1"/>
  <c r="BM439" i="11" s="1"/>
  <c r="BM465" i="11"/>
  <c r="BM450" i="11"/>
  <c r="BM453" i="11" s="1"/>
  <c r="BN416" i="11"/>
  <c r="BN419" i="11" s="1"/>
  <c r="BM473" i="11"/>
  <c r="BN379" i="11"/>
  <c r="BN380" i="11" s="1"/>
  <c r="BM380" i="11"/>
  <c r="BL494" i="11"/>
  <c r="BN466" i="11"/>
  <c r="BN468" i="11" s="1"/>
  <c r="BM468" i="11"/>
  <c r="BM399" i="11"/>
  <c r="BM402" i="11" s="1"/>
  <c r="BM477" i="11"/>
  <c r="BN477" i="11" s="1"/>
  <c r="BN447" i="11"/>
  <c r="BN396" i="11"/>
  <c r="BM474" i="11"/>
  <c r="BN474" i="11" s="1"/>
  <c r="BL963" i="11"/>
  <c r="BN467" i="11"/>
  <c r="BN465" i="11"/>
  <c r="BN399" i="11"/>
  <c r="BN402" i="11" s="1"/>
  <c r="BN397" i="11"/>
  <c r="BM448" i="11"/>
  <c r="BL272" i="9"/>
  <c r="BT1164" i="9"/>
  <c r="BT7" i="9"/>
  <c r="BT9" i="9" s="1"/>
  <c r="BP1164" i="9"/>
  <c r="BP7" i="9"/>
  <c r="BL1164" i="9"/>
  <c r="BL7" i="9"/>
  <c r="BN228" i="9"/>
  <c r="BP235" i="9"/>
  <c r="BQ234" i="9"/>
  <c r="BP237" i="9"/>
  <c r="BQ171" i="9"/>
  <c r="BR166" i="9"/>
  <c r="BR169" i="9" s="1"/>
  <c r="BQ268" i="9"/>
  <c r="BQ172" i="9"/>
  <c r="BQ170" i="9"/>
  <c r="AF130" i="9"/>
  <c r="AE122" i="9"/>
  <c r="BQ227" i="9"/>
  <c r="BQ226" i="9"/>
  <c r="BR222" i="9"/>
  <c r="BR225" i="9" s="1"/>
  <c r="BQ269" i="9"/>
  <c r="BQ228" i="9"/>
  <c r="BQ236" i="9"/>
  <c r="BM269" i="9"/>
  <c r="BM227" i="9"/>
  <c r="BM228" i="9"/>
  <c r="BM226" i="9"/>
  <c r="BM236" i="9"/>
  <c r="BO226" i="9"/>
  <c r="BV266" i="9"/>
  <c r="BV59" i="9"/>
  <c r="BV60" i="9"/>
  <c r="BS258" i="9"/>
  <c r="BT257" i="9"/>
  <c r="BS253" i="9"/>
  <c r="BQ272" i="9"/>
  <c r="BN172" i="9"/>
  <c r="BR58" i="9"/>
  <c r="BR59" i="9"/>
  <c r="BR60" i="9"/>
  <c r="BS60" i="9" s="1"/>
  <c r="BR266" i="9"/>
  <c r="BV222" i="9"/>
  <c r="BV225" i="9" s="1"/>
  <c r="BU228" i="9"/>
  <c r="BU227" i="9"/>
  <c r="BU269" i="9"/>
  <c r="BM234" i="9"/>
  <c r="BL235" i="9"/>
  <c r="BL237" i="9"/>
  <c r="AE177" i="9"/>
  <c r="AE178" i="9" s="1"/>
  <c r="AD178" i="9"/>
  <c r="AD192" i="9"/>
  <c r="AE192" i="9" s="1"/>
  <c r="AE195" i="9"/>
  <c r="BU272" i="9"/>
  <c r="BK9" i="9"/>
  <c r="BK8" i="9"/>
  <c r="BV116" i="9"/>
  <c r="BV267" i="9"/>
  <c r="BV115" i="9"/>
  <c r="BN255" i="9"/>
  <c r="BN444" i="9"/>
  <c r="BO9" i="9"/>
  <c r="BV174" i="9"/>
  <c r="BU171" i="9"/>
  <c r="BU172" i="9"/>
  <c r="BV166" i="9"/>
  <c r="BV169" i="9" s="1"/>
  <c r="BU268" i="9"/>
  <c r="AF73" i="9"/>
  <c r="AX83" i="9"/>
  <c r="AX79" i="9"/>
  <c r="BR267" i="9"/>
  <c r="BR114" i="9"/>
  <c r="BR115" i="9"/>
  <c r="BR116" i="9"/>
  <c r="BS116" i="9" s="1"/>
  <c r="AG185" i="9"/>
  <c r="BM171" i="9"/>
  <c r="BM268" i="9"/>
  <c r="BM272" i="9" s="1"/>
  <c r="BR174" i="9"/>
  <c r="BM170" i="9"/>
  <c r="BM172" i="9"/>
  <c r="BO170" i="9"/>
  <c r="BO260" i="9"/>
  <c r="BS260" i="9" s="1"/>
  <c r="BO258" i="9"/>
  <c r="BL484" i="11" l="1"/>
  <c r="BL486" i="11" s="1"/>
  <c r="BM479" i="11"/>
  <c r="BM224" i="11" s="1"/>
  <c r="BN473" i="11"/>
  <c r="BN479" i="11" s="1"/>
  <c r="BN274" i="11"/>
  <c r="BM972" i="11"/>
  <c r="BL974" i="11"/>
  <c r="BN433" i="11"/>
  <c r="BN436" i="11" s="1"/>
  <c r="BO449" i="11"/>
  <c r="BO459" i="11"/>
  <c r="BO460" i="11"/>
  <c r="BO450" i="11"/>
  <c r="BO453" i="11" s="1"/>
  <c r="BO458" i="11"/>
  <c r="BO447" i="11"/>
  <c r="BO477" i="11" s="1"/>
  <c r="BL964" i="11"/>
  <c r="BL729" i="11" s="1"/>
  <c r="BK731" i="11"/>
  <c r="BK730" i="11"/>
  <c r="BK977" i="11"/>
  <c r="BK978" i="11" s="1"/>
  <c r="BO408" i="11"/>
  <c r="BO407" i="11"/>
  <c r="BO396" i="11"/>
  <c r="BO474" i="11" s="1"/>
  <c r="BO409" i="11"/>
  <c r="BO398" i="11"/>
  <c r="BO400" i="11" s="1"/>
  <c r="BO404" i="11" s="1"/>
  <c r="BO405" i="11" s="1"/>
  <c r="BO397" i="11"/>
  <c r="BO424" i="11"/>
  <c r="BO425" i="11"/>
  <c r="BO415" i="11"/>
  <c r="BO417" i="11" s="1"/>
  <c r="BO421" i="11" s="1"/>
  <c r="BO422" i="11" s="1"/>
  <c r="BO413" i="11"/>
  <c r="BO475" i="11" s="1"/>
  <c r="BO426" i="11"/>
  <c r="BM451" i="11"/>
  <c r="BM455" i="11" s="1"/>
  <c r="BM456" i="11" s="1"/>
  <c r="BO392" i="11"/>
  <c r="BO390" i="11"/>
  <c r="BO391" i="11"/>
  <c r="BO379" i="11"/>
  <c r="BO473" i="11" s="1"/>
  <c r="BO381" i="11"/>
  <c r="BN451" i="11"/>
  <c r="BN455" i="11" s="1"/>
  <c r="BN456" i="11" s="1"/>
  <c r="BO442" i="11"/>
  <c r="BO441" i="11"/>
  <c r="BO443" i="11"/>
  <c r="BO432" i="11"/>
  <c r="BO430" i="11"/>
  <c r="BO476" i="11" s="1"/>
  <c r="BO431" i="11"/>
  <c r="BO433" i="11"/>
  <c r="BO436" i="11" s="1"/>
  <c r="BK947" i="11"/>
  <c r="BK928" i="11"/>
  <c r="BO466" i="11"/>
  <c r="BO468" i="11" s="1"/>
  <c r="BO470" i="11"/>
  <c r="BO464" i="11"/>
  <c r="BO478" i="11" s="1"/>
  <c r="BK880" i="11"/>
  <c r="BN1013" i="11"/>
  <c r="BM709" i="11"/>
  <c r="BM884" i="11"/>
  <c r="BM383" i="11"/>
  <c r="BQ4" i="11"/>
  <c r="BP3" i="11"/>
  <c r="BP429" i="11"/>
  <c r="BP463" i="11"/>
  <c r="BP446" i="11"/>
  <c r="BP378" i="11"/>
  <c r="BP412" i="11"/>
  <c r="BP395" i="11"/>
  <c r="BK930" i="11"/>
  <c r="BK946" i="11"/>
  <c r="BK927" i="11"/>
  <c r="BM293" i="11"/>
  <c r="BM292" i="11"/>
  <c r="BN287" i="11"/>
  <c r="BM360" i="11"/>
  <c r="BN360" i="11" s="1"/>
  <c r="BM285" i="11"/>
  <c r="BN383" i="11"/>
  <c r="BJ130" i="11"/>
  <c r="BJ914" i="11"/>
  <c r="BJ928" i="11"/>
  <c r="BJ922" i="11"/>
  <c r="BM982" i="11"/>
  <c r="BL1014" i="11"/>
  <c r="BM963" i="11"/>
  <c r="AX80" i="9"/>
  <c r="AY80" i="9" s="1"/>
  <c r="AY83" i="9"/>
  <c r="BR171" i="9"/>
  <c r="BR172" i="9"/>
  <c r="BS172" i="9" s="1"/>
  <c r="BR170" i="9"/>
  <c r="BR268" i="9"/>
  <c r="BR272" i="9" s="1"/>
  <c r="BQ1164" i="9"/>
  <c r="BQ7" i="9"/>
  <c r="BU7" i="9"/>
  <c r="BU9" i="9" s="1"/>
  <c r="BU1164" i="9"/>
  <c r="AX92" i="9"/>
  <c r="AX93" i="9" s="1"/>
  <c r="AX95" i="9" s="1"/>
  <c r="AX65" i="9"/>
  <c r="BN237" i="9"/>
  <c r="BS444" i="9"/>
  <c r="BS255" i="9"/>
  <c r="BT253" i="9"/>
  <c r="BL8" i="9"/>
  <c r="BL9" i="9"/>
  <c r="BV172" i="9"/>
  <c r="BV171" i="9"/>
  <c r="BV268" i="9"/>
  <c r="BM237" i="9"/>
  <c r="BM235" i="9"/>
  <c r="BN236" i="9"/>
  <c r="BP8" i="9"/>
  <c r="BP9" i="9"/>
  <c r="BV227" i="9"/>
  <c r="BV228" i="9"/>
  <c r="BV269" i="9"/>
  <c r="BS228" i="9"/>
  <c r="BM1164" i="9"/>
  <c r="BM7" i="9"/>
  <c r="AF129" i="9"/>
  <c r="AF69" i="9"/>
  <c r="AF82" i="9" s="1"/>
  <c r="AF68" i="9"/>
  <c r="AG180" i="9"/>
  <c r="AG181" i="9"/>
  <c r="AG194" i="9" s="1"/>
  <c r="AH181" i="9"/>
  <c r="AH194" i="9" s="1"/>
  <c r="BQ235" i="9"/>
  <c r="BR234" i="9"/>
  <c r="BQ237" i="9"/>
  <c r="BR228" i="9"/>
  <c r="BR226" i="9"/>
  <c r="BR269" i="9"/>
  <c r="BR227" i="9"/>
  <c r="BR236" i="9"/>
  <c r="BK995" i="11" l="1"/>
  <c r="BK491" i="11"/>
  <c r="BK735" i="11"/>
  <c r="BP424" i="11"/>
  <c r="BP415" i="11"/>
  <c r="BP417" i="11" s="1"/>
  <c r="BP421" i="11" s="1"/>
  <c r="BP422" i="11" s="1"/>
  <c r="BP426" i="11"/>
  <c r="BP425" i="11"/>
  <c r="BP413" i="11"/>
  <c r="BP475" i="11" s="1"/>
  <c r="BL966" i="11"/>
  <c r="BL967" i="11" s="1"/>
  <c r="BL978" i="11" s="1"/>
  <c r="BP449" i="11"/>
  <c r="BP460" i="11"/>
  <c r="BP450" i="11"/>
  <c r="BP453" i="11" s="1"/>
  <c r="BP458" i="11"/>
  <c r="BP459" i="11"/>
  <c r="BP447" i="11"/>
  <c r="BP477" i="11" s="1"/>
  <c r="BP470" i="11"/>
  <c r="BP466" i="11"/>
  <c r="BP464" i="11"/>
  <c r="BP478" i="11" s="1"/>
  <c r="BP467" i="11"/>
  <c r="BP465" i="11"/>
  <c r="BK949" i="11"/>
  <c r="BK923" i="11"/>
  <c r="BO414" i="11"/>
  <c r="BO479" i="11"/>
  <c r="BO224" i="11" s="1"/>
  <c r="BN982" i="11"/>
  <c r="BP441" i="11"/>
  <c r="BP430" i="11"/>
  <c r="BP476" i="11" s="1"/>
  <c r="BP442" i="11"/>
  <c r="BP432" i="11"/>
  <c r="BP443" i="11"/>
  <c r="BO873" i="11"/>
  <c r="BK917" i="11"/>
  <c r="BO416" i="11"/>
  <c r="BO419" i="11" s="1"/>
  <c r="BR4" i="11"/>
  <c r="BQ3" i="11"/>
  <c r="BQ412" i="11"/>
  <c r="BQ463" i="11"/>
  <c r="BQ378" i="11"/>
  <c r="BQ429" i="11"/>
  <c r="BQ446" i="11"/>
  <c r="BQ395" i="11"/>
  <c r="BO451" i="11"/>
  <c r="BO455" i="11" s="1"/>
  <c r="BO456" i="11" s="1"/>
  <c r="BK242" i="11"/>
  <c r="BK114" i="11"/>
  <c r="BJ925" i="11"/>
  <c r="BJ129" i="11"/>
  <c r="BJ131" i="11" s="1"/>
  <c r="BJ927" i="11"/>
  <c r="BJ916" i="11"/>
  <c r="BM494" i="11"/>
  <c r="BM481" i="11"/>
  <c r="BM387" i="11"/>
  <c r="BO434" i="11"/>
  <c r="BO438" i="11" s="1"/>
  <c r="BO439" i="11" s="1"/>
  <c r="BN293" i="11"/>
  <c r="BO287" i="11"/>
  <c r="BO274" i="11" s="1"/>
  <c r="BO290" i="11"/>
  <c r="BL731" i="11"/>
  <c r="BM964" i="11"/>
  <c r="BL730" i="11"/>
  <c r="BL977" i="11"/>
  <c r="BO875" i="11"/>
  <c r="BO465" i="11"/>
  <c r="BP408" i="11"/>
  <c r="BP409" i="11"/>
  <c r="BP398" i="11"/>
  <c r="BP400" i="11" s="1"/>
  <c r="BP404" i="11" s="1"/>
  <c r="BP405" i="11" s="1"/>
  <c r="BP396" i="11"/>
  <c r="BP474" i="11" s="1"/>
  <c r="BP407" i="11"/>
  <c r="BM1014" i="11"/>
  <c r="BN963" i="11"/>
  <c r="BO467" i="11"/>
  <c r="BP392" i="11"/>
  <c r="BP390" i="11"/>
  <c r="BP379" i="11"/>
  <c r="BP473" i="11" s="1"/>
  <c r="BP381" i="11"/>
  <c r="BP382" i="11" s="1"/>
  <c r="BP385" i="11" s="1"/>
  <c r="BO448" i="11"/>
  <c r="BM711" i="11"/>
  <c r="BN709" i="11"/>
  <c r="BM974" i="11"/>
  <c r="BN972" i="11"/>
  <c r="BO380" i="11"/>
  <c r="BO963" i="11" s="1"/>
  <c r="BN494" i="11"/>
  <c r="BN481" i="11"/>
  <c r="BN387" i="11"/>
  <c r="BO399" i="11"/>
  <c r="BO402" i="11" s="1"/>
  <c r="BN285" i="11"/>
  <c r="BN880" i="11"/>
  <c r="BK884" i="11"/>
  <c r="BN361" i="11"/>
  <c r="BO382" i="11"/>
  <c r="BO385" i="11" s="1"/>
  <c r="BP391" i="11" s="1"/>
  <c r="BM842" i="11"/>
  <c r="BN842" i="11" s="1"/>
  <c r="BN224" i="11"/>
  <c r="AX100" i="9"/>
  <c r="BV272" i="9"/>
  <c r="BV1164" i="9"/>
  <c r="BV7" i="9"/>
  <c r="BV9" i="9" s="1"/>
  <c r="BR1164" i="9"/>
  <c r="BR7" i="9"/>
  <c r="AF125" i="9"/>
  <c r="AF138" i="9" s="1"/>
  <c r="AF124" i="9"/>
  <c r="AF66" i="9"/>
  <c r="AX105" i="9"/>
  <c r="AX101" i="9"/>
  <c r="AY100" i="9"/>
  <c r="BS234" i="9"/>
  <c r="BN235" i="9"/>
  <c r="BN230" i="9"/>
  <c r="BO234" i="9"/>
  <c r="BU253" i="9"/>
  <c r="BT259" i="9"/>
  <c r="BT444" i="9"/>
  <c r="BQ8" i="9"/>
  <c r="BQ9" i="9"/>
  <c r="AF83" i="9"/>
  <c r="AF79" i="9"/>
  <c r="AF65" i="9" s="1"/>
  <c r="AG74" i="9" s="1"/>
  <c r="BM8" i="9"/>
  <c r="BM9" i="9"/>
  <c r="BO8" i="9"/>
  <c r="AY65" i="9"/>
  <c r="AX66" i="9"/>
  <c r="BR235" i="9"/>
  <c r="BS236" i="9"/>
  <c r="BR237" i="9"/>
  <c r="AH195" i="9"/>
  <c r="AH192" i="9" s="1"/>
  <c r="AH191" i="9"/>
  <c r="AH177" i="9" s="1"/>
  <c r="AG195" i="9"/>
  <c r="AG191" i="9"/>
  <c r="AG177" i="9" s="1"/>
  <c r="AG178" i="9" s="1"/>
  <c r="BP873" i="11" l="1"/>
  <c r="BM484" i="11"/>
  <c r="BM486" i="11" s="1"/>
  <c r="BP434" i="11"/>
  <c r="BP438" i="11" s="1"/>
  <c r="BP439" i="11" s="1"/>
  <c r="BQ459" i="11"/>
  <c r="BQ449" i="11"/>
  <c r="BQ447" i="11"/>
  <c r="BQ477" i="11" s="1"/>
  <c r="BQ458" i="11"/>
  <c r="BQ460" i="11"/>
  <c r="BP399" i="11"/>
  <c r="BP402" i="11" s="1"/>
  <c r="BO706" i="11"/>
  <c r="BP397" i="11"/>
  <c r="BP431" i="11"/>
  <c r="BP451" i="11"/>
  <c r="BP455" i="11" s="1"/>
  <c r="BP456" i="11" s="1"/>
  <c r="BP414" i="11"/>
  <c r="BK922" i="11"/>
  <c r="BL919" i="11"/>
  <c r="BO842" i="11"/>
  <c r="BQ464" i="11"/>
  <c r="BQ478" i="11" s="1"/>
  <c r="BQ466" i="11"/>
  <c r="BQ465" i="11"/>
  <c r="BQ467" i="11"/>
  <c r="BQ470" i="11"/>
  <c r="BO982" i="11"/>
  <c r="BK916" i="11"/>
  <c r="BL913" i="11"/>
  <c r="BP416" i="11"/>
  <c r="BP419" i="11" s="1"/>
  <c r="BO293" i="11"/>
  <c r="BO292" i="11"/>
  <c r="BP287" i="11"/>
  <c r="BO360" i="11"/>
  <c r="BP274" i="11"/>
  <c r="BP706" i="11" s="1"/>
  <c r="BP880" i="11" s="1"/>
  <c r="BO285" i="11"/>
  <c r="BO972" i="11"/>
  <c r="BN974" i="11"/>
  <c r="BP479" i="11"/>
  <c r="BP224" i="11" s="1"/>
  <c r="BP842" i="11" s="1"/>
  <c r="BP380" i="11"/>
  <c r="BL995" i="11"/>
  <c r="BL491" i="11"/>
  <c r="BK119" i="11"/>
  <c r="BQ424" i="11"/>
  <c r="BQ426" i="11"/>
  <c r="BQ413" i="11"/>
  <c r="BQ475" i="11" s="1"/>
  <c r="BQ425" i="11"/>
  <c r="BQ414" i="11"/>
  <c r="BQ415" i="11"/>
  <c r="BQ417" i="11" s="1"/>
  <c r="BQ421" i="11" s="1"/>
  <c r="BQ422" i="11" s="1"/>
  <c r="BP875" i="11"/>
  <c r="BK837" i="11"/>
  <c r="BK165" i="11"/>
  <c r="BK152" i="11"/>
  <c r="BK153" i="11" s="1"/>
  <c r="BK244" i="11"/>
  <c r="BL735" i="11"/>
  <c r="BQ409" i="11"/>
  <c r="BQ396" i="11"/>
  <c r="BQ474" i="11" s="1"/>
  <c r="BQ398" i="11"/>
  <c r="BQ400" i="11" s="1"/>
  <c r="BQ404" i="11" s="1"/>
  <c r="BQ405" i="11" s="1"/>
  <c r="BQ399" i="11"/>
  <c r="BQ402" i="11" s="1"/>
  <c r="BQ408" i="11"/>
  <c r="BQ407" i="11"/>
  <c r="BQ397" i="11"/>
  <c r="BQ441" i="11"/>
  <c r="BQ443" i="11"/>
  <c r="BQ442" i="11"/>
  <c r="BQ430" i="11"/>
  <c r="BQ476" i="11" s="1"/>
  <c r="BQ432" i="11"/>
  <c r="BQ431" i="11"/>
  <c r="BQ433" i="11"/>
  <c r="BQ436" i="11" s="1"/>
  <c r="BQ381" i="11"/>
  <c r="BQ391" i="11"/>
  <c r="BQ873" i="11" s="1"/>
  <c r="BQ390" i="11"/>
  <c r="BQ379" i="11"/>
  <c r="BQ473" i="11" s="1"/>
  <c r="BQ392" i="11"/>
  <c r="BM730" i="11"/>
  <c r="BM731" i="11"/>
  <c r="BM735" i="11" s="1"/>
  <c r="BM977" i="11"/>
  <c r="BM388" i="11"/>
  <c r="BM489" i="11" s="1"/>
  <c r="BM482" i="11"/>
  <c r="BN1012" i="11"/>
  <c r="BO383" i="11"/>
  <c r="BO709" i="11"/>
  <c r="BK739" i="11"/>
  <c r="BP448" i="11"/>
  <c r="BP383" i="11"/>
  <c r="BN706" i="11"/>
  <c r="BN884" i="11"/>
  <c r="BN964" i="11"/>
  <c r="BN729" i="11" s="1"/>
  <c r="BM729" i="11"/>
  <c r="BM966" i="11"/>
  <c r="BM967" i="11" s="1"/>
  <c r="BP468" i="11"/>
  <c r="BS4" i="11"/>
  <c r="BR3" i="11"/>
  <c r="BR429" i="11"/>
  <c r="BR412" i="11"/>
  <c r="BR463" i="11"/>
  <c r="BR395" i="11"/>
  <c r="BR378" i="11"/>
  <c r="BR446" i="11"/>
  <c r="BP290" i="11"/>
  <c r="BN482" i="11"/>
  <c r="BN388" i="11"/>
  <c r="BN489" i="11" s="1"/>
  <c r="BN1014" i="11"/>
  <c r="BN966" i="11"/>
  <c r="BN967" i="11" s="1"/>
  <c r="BN484" i="11"/>
  <c r="BN486" i="11" s="1"/>
  <c r="BP433" i="11"/>
  <c r="BP436" i="11" s="1"/>
  <c r="BT258" i="9"/>
  <c r="BT260" i="9"/>
  <c r="BU257" i="9"/>
  <c r="BN443" i="9"/>
  <c r="BN232" i="9"/>
  <c r="BO237" i="9"/>
  <c r="BS237" i="9" s="1"/>
  <c r="BO235" i="9"/>
  <c r="AG192" i="9"/>
  <c r="BS235" i="9"/>
  <c r="BT234" i="9"/>
  <c r="BS230" i="9"/>
  <c r="AX106" i="9"/>
  <c r="AX97" i="9"/>
  <c r="AX96" i="9" s="1"/>
  <c r="AX87" i="9"/>
  <c r="AX86" i="9" s="1"/>
  <c r="AZ74" i="9"/>
  <c r="AY66" i="9"/>
  <c r="AF139" i="9"/>
  <c r="AF135" i="9"/>
  <c r="AF121" i="9" s="1"/>
  <c r="AG130" i="9" s="1"/>
  <c r="BR8" i="9"/>
  <c r="BR9" i="9"/>
  <c r="AY105" i="9"/>
  <c r="AY95" i="9"/>
  <c r="AY93" i="9" s="1"/>
  <c r="AY92" i="9" s="1"/>
  <c r="AY101" i="9"/>
  <c r="AG73" i="9"/>
  <c r="BU444" i="9"/>
  <c r="BV253" i="9"/>
  <c r="BU259" i="9"/>
  <c r="AI186" i="9"/>
  <c r="AH178" i="9"/>
  <c r="AF80" i="9"/>
  <c r="BN735" i="11" l="1"/>
  <c r="BN736" i="11" s="1"/>
  <c r="BS442" i="11"/>
  <c r="BQ380" i="11"/>
  <c r="BQ383" i="11"/>
  <c r="BQ287" i="11"/>
  <c r="BQ274" i="11" s="1"/>
  <c r="BQ706" i="11" s="1"/>
  <c r="BQ880" i="11" s="1"/>
  <c r="BP292" i="11"/>
  <c r="BP360" i="11"/>
  <c r="BP293" i="11"/>
  <c r="BP285" i="11"/>
  <c r="BS378" i="11"/>
  <c r="BR379" i="11"/>
  <c r="BR390" i="11"/>
  <c r="BR392" i="11"/>
  <c r="BR381" i="11"/>
  <c r="BR380" i="11"/>
  <c r="BO711" i="11"/>
  <c r="BK167" i="11"/>
  <c r="BL914" i="11"/>
  <c r="BL927" i="11" s="1"/>
  <c r="BO974" i="11"/>
  <c r="BP972" i="11"/>
  <c r="BO1014" i="11"/>
  <c r="BQ416" i="11"/>
  <c r="BQ419" i="11" s="1"/>
  <c r="BO880" i="11"/>
  <c r="BR413" i="11"/>
  <c r="BR414" i="11"/>
  <c r="BR424" i="11"/>
  <c r="BS424" i="11" s="1"/>
  <c r="BR415" i="11"/>
  <c r="BR416" i="11"/>
  <c r="BR419" i="11" s="1"/>
  <c r="BR425" i="11"/>
  <c r="BS425" i="11" s="1"/>
  <c r="BR426" i="11"/>
  <c r="BS426" i="11" s="1"/>
  <c r="BS412" i="11"/>
  <c r="BP884" i="11"/>
  <c r="BP709" i="11"/>
  <c r="BP711" i="11" s="1"/>
  <c r="BS408" i="11"/>
  <c r="BP982" i="11"/>
  <c r="BQ434" i="11"/>
  <c r="BQ438" i="11" s="1"/>
  <c r="BQ439" i="11" s="1"/>
  <c r="BO481" i="11"/>
  <c r="BO494" i="11"/>
  <c r="BO387" i="11"/>
  <c r="BS429" i="11"/>
  <c r="BR443" i="11"/>
  <c r="BS443" i="11" s="1"/>
  <c r="BR430" i="11"/>
  <c r="BR442" i="11"/>
  <c r="BR441" i="11"/>
  <c r="BS441" i="11" s="1"/>
  <c r="BR432" i="11"/>
  <c r="BR431" i="11"/>
  <c r="BR433" i="11"/>
  <c r="BR436" i="11" s="1"/>
  <c r="BT4" i="11"/>
  <c r="BS3" i="11"/>
  <c r="BP494" i="11"/>
  <c r="BP481" i="11"/>
  <c r="BP387" i="11"/>
  <c r="BR459" i="11"/>
  <c r="BS459" i="11" s="1"/>
  <c r="BR449" i="11"/>
  <c r="BR447" i="11"/>
  <c r="BS446" i="11"/>
  <c r="BR458" i="11"/>
  <c r="BS458" i="11" s="1"/>
  <c r="BR460" i="11"/>
  <c r="BS460" i="11" s="1"/>
  <c r="BR448" i="11"/>
  <c r="BR408" i="11"/>
  <c r="BR407" i="11"/>
  <c r="BS407" i="11" s="1"/>
  <c r="BS395" i="11"/>
  <c r="BR398" i="11"/>
  <c r="BR399" i="11"/>
  <c r="BR402" i="11" s="1"/>
  <c r="BR396" i="11"/>
  <c r="BR397" i="11" s="1"/>
  <c r="BR409" i="11"/>
  <c r="BS409" i="11" s="1"/>
  <c r="BR466" i="11"/>
  <c r="BR465" i="11"/>
  <c r="BS463" i="11"/>
  <c r="BR470" i="11"/>
  <c r="BS470" i="11" s="1"/>
  <c r="BR464" i="11"/>
  <c r="BM995" i="11"/>
  <c r="BM491" i="11"/>
  <c r="BQ479" i="11"/>
  <c r="BQ224" i="11" s="1"/>
  <c r="BQ842" i="11" s="1"/>
  <c r="BQ290" i="11"/>
  <c r="BS390" i="11"/>
  <c r="BS291" i="11" s="1"/>
  <c r="BL920" i="11"/>
  <c r="BL928" i="11"/>
  <c r="BK740" i="11"/>
  <c r="BK249" i="11"/>
  <c r="BK123" i="11"/>
  <c r="BK126" i="11" s="1"/>
  <c r="BK245" i="11"/>
  <c r="BK998" i="11" s="1"/>
  <c r="BK122" i="11"/>
  <c r="BM978" i="11"/>
  <c r="BQ448" i="11"/>
  <c r="BO964" i="11"/>
  <c r="BN731" i="11"/>
  <c r="BN730" i="11"/>
  <c r="BN977" i="11"/>
  <c r="BN978" i="11"/>
  <c r="BQ382" i="11"/>
  <c r="BQ385" i="11" s="1"/>
  <c r="BR391" i="11" s="1"/>
  <c r="BQ468" i="11"/>
  <c r="BQ450" i="11"/>
  <c r="BQ453" i="11" s="1"/>
  <c r="BQ875" i="11"/>
  <c r="BQ709" i="11" s="1"/>
  <c r="BQ711" i="11" s="1"/>
  <c r="BS392" i="11"/>
  <c r="BP963" i="11"/>
  <c r="AF136" i="9"/>
  <c r="BU260" i="9"/>
  <c r="BU258" i="9"/>
  <c r="BV257" i="9"/>
  <c r="AF122" i="9"/>
  <c r="AY106" i="9"/>
  <c r="AY87" i="9"/>
  <c r="AY86" i="9" s="1"/>
  <c r="AY97" i="9"/>
  <c r="AY96" i="9" s="1"/>
  <c r="AG129" i="9"/>
  <c r="AZ73" i="9"/>
  <c r="BS443" i="9"/>
  <c r="BS232" i="9"/>
  <c r="BT230" i="9"/>
  <c r="BV444" i="9"/>
  <c r="BV259" i="9"/>
  <c r="AG69" i="9"/>
  <c r="AG82" i="9" s="1"/>
  <c r="AG68" i="9"/>
  <c r="AH69" i="9"/>
  <c r="AH82" i="9" s="1"/>
  <c r="AI185" i="9"/>
  <c r="AJ186" i="9"/>
  <c r="AJ185" i="9" s="1"/>
  <c r="AJ180" i="9" s="1"/>
  <c r="BR873" i="11" l="1"/>
  <c r="BS391" i="11"/>
  <c r="BS467" i="11"/>
  <c r="BP388" i="11"/>
  <c r="BP489" i="11" s="1"/>
  <c r="BP482" i="11"/>
  <c r="BQ884" i="11"/>
  <c r="BS397" i="11"/>
  <c r="BS875" i="11"/>
  <c r="BP974" i="11"/>
  <c r="BQ972" i="11"/>
  <c r="BR434" i="11"/>
  <c r="BR438" i="11" s="1"/>
  <c r="BR439" i="11" s="1"/>
  <c r="BS432" i="11"/>
  <c r="BS414" i="11"/>
  <c r="BS416" i="11"/>
  <c r="BS419" i="11" s="1"/>
  <c r="BR468" i="11"/>
  <c r="BS466" i="11"/>
  <c r="BR287" i="11"/>
  <c r="BR274" i="11"/>
  <c r="BQ360" i="11"/>
  <c r="BQ292" i="11"/>
  <c r="BQ293" i="11"/>
  <c r="BQ285" i="11"/>
  <c r="BU4" i="11"/>
  <c r="BT3" i="11"/>
  <c r="BT378" i="11"/>
  <c r="BT463" i="11"/>
  <c r="BT446" i="11"/>
  <c r="BT395" i="11"/>
  <c r="BT412" i="11"/>
  <c r="BT429" i="11"/>
  <c r="BL947" i="11"/>
  <c r="BP1014" i="11"/>
  <c r="BP966" i="11"/>
  <c r="BP967" i="11" s="1"/>
  <c r="BK251" i="11"/>
  <c r="BL930" i="11"/>
  <c r="BL946" i="11"/>
  <c r="BR476" i="11"/>
  <c r="BS476" i="11" s="1"/>
  <c r="BS430" i="11"/>
  <c r="BS381" i="11"/>
  <c r="BR383" i="11"/>
  <c r="BK742" i="11"/>
  <c r="BK628" i="11"/>
  <c r="BK168" i="11"/>
  <c r="BK644" i="11" s="1"/>
  <c r="BK645" i="11" s="1"/>
  <c r="BF502" i="11"/>
  <c r="BQ387" i="11"/>
  <c r="BN995" i="11"/>
  <c r="BN491" i="11"/>
  <c r="BQ451" i="11"/>
  <c r="BQ455" i="11" s="1"/>
  <c r="BQ456" i="11" s="1"/>
  <c r="BS415" i="11"/>
  <c r="BS417" i="11" s="1"/>
  <c r="BS421" i="11" s="1"/>
  <c r="BS422" i="11" s="1"/>
  <c r="BR417" i="11"/>
  <c r="BR421" i="11" s="1"/>
  <c r="BR422" i="11" s="1"/>
  <c r="BR382" i="11"/>
  <c r="BR385" i="11" s="1"/>
  <c r="BO884" i="11"/>
  <c r="BS398" i="11"/>
  <c r="BS399" i="11" s="1"/>
  <c r="BS402" i="11" s="1"/>
  <c r="BR400" i="11"/>
  <c r="BR404" i="11" s="1"/>
  <c r="BR405" i="11" s="1"/>
  <c r="BO729" i="11"/>
  <c r="BO966" i="11"/>
  <c r="BO967" i="11" s="1"/>
  <c r="BO978" i="11" s="1"/>
  <c r="BS450" i="11"/>
  <c r="BS453" i="11" s="1"/>
  <c r="BS448" i="11"/>
  <c r="BS431" i="11"/>
  <c r="BR875" i="11"/>
  <c r="BQ982" i="11"/>
  <c r="BS447" i="11"/>
  <c r="BR477" i="11"/>
  <c r="BS477" i="11" s="1"/>
  <c r="BO388" i="11"/>
  <c r="BO489" i="11" s="1"/>
  <c r="BO482" i="11"/>
  <c r="BO484" i="11" s="1"/>
  <c r="BO486" i="11" s="1"/>
  <c r="BR290" i="11"/>
  <c r="BP484" i="11"/>
  <c r="BP486" i="11" s="1"/>
  <c r="BP964" i="11"/>
  <c r="BP729" i="11" s="1"/>
  <c r="BO730" i="11"/>
  <c r="BO731" i="11"/>
  <c r="BO735" i="11" s="1"/>
  <c r="BO977" i="11"/>
  <c r="BQ963" i="11"/>
  <c r="BS449" i="11"/>
  <c r="BR451" i="11"/>
  <c r="BR455" i="11" s="1"/>
  <c r="BR456" i="11" s="1"/>
  <c r="BS413" i="11"/>
  <c r="BR475" i="11"/>
  <c r="BS475" i="11" s="1"/>
  <c r="BR467" i="11"/>
  <c r="BS396" i="11"/>
  <c r="BR474" i="11"/>
  <c r="BS474" i="11" s="1"/>
  <c r="BR478" i="11"/>
  <c r="BS478" i="11" s="1"/>
  <c r="BS464" i="11"/>
  <c r="BS465" i="11" s="1"/>
  <c r="BR450" i="11"/>
  <c r="BR453" i="11" s="1"/>
  <c r="BR473" i="11"/>
  <c r="BS379" i="11"/>
  <c r="BS380" i="11" s="1"/>
  <c r="BV260" i="9"/>
  <c r="BV258" i="9"/>
  <c r="BT443" i="9"/>
  <c r="BT236" i="9"/>
  <c r="BU230" i="9"/>
  <c r="AG124" i="9"/>
  <c r="AG125" i="9"/>
  <c r="AG138" i="9" s="1"/>
  <c r="AH83" i="9"/>
  <c r="AH80" i="9" s="1"/>
  <c r="AH79" i="9"/>
  <c r="AH65" i="9" s="1"/>
  <c r="AG83" i="9"/>
  <c r="AG79" i="9"/>
  <c r="AG65" i="9" s="1"/>
  <c r="AZ69" i="9"/>
  <c r="AZ82" i="9" s="1"/>
  <c r="AZ68" i="9"/>
  <c r="AJ179" i="9"/>
  <c r="AI180" i="9"/>
  <c r="AI181" i="9"/>
  <c r="AG66" i="9"/>
  <c r="BQ1014" i="11" l="1"/>
  <c r="BQ966" i="11"/>
  <c r="BQ967" i="11" s="1"/>
  <c r="BP978" i="11"/>
  <c r="BT426" i="11"/>
  <c r="BT415" i="11"/>
  <c r="BT416" i="11" s="1"/>
  <c r="BT419" i="11" s="1"/>
  <c r="BT413" i="11"/>
  <c r="BT475" i="11" s="1"/>
  <c r="BT425" i="11"/>
  <c r="BT424" i="11"/>
  <c r="BT390" i="11"/>
  <c r="BT392" i="11"/>
  <c r="BT381" i="11"/>
  <c r="BT379" i="11"/>
  <c r="BT473" i="11" s="1"/>
  <c r="BU3" i="11"/>
  <c r="BV4" i="11"/>
  <c r="BU412" i="11"/>
  <c r="BU378" i="11"/>
  <c r="BU463" i="11"/>
  <c r="BU395" i="11"/>
  <c r="BU446" i="11"/>
  <c r="BU429" i="11"/>
  <c r="BT432" i="11"/>
  <c r="BT442" i="11"/>
  <c r="BT430" i="11"/>
  <c r="BT476" i="11" s="1"/>
  <c r="BT441" i="11"/>
  <c r="BT433" i="11"/>
  <c r="BT436" i="11" s="1"/>
  <c r="BT443" i="11"/>
  <c r="BT459" i="11"/>
  <c r="BT460" i="11"/>
  <c r="BT449" i="11"/>
  <c r="BT458" i="11"/>
  <c r="BT447" i="11"/>
  <c r="BT477" i="11" s="1"/>
  <c r="BR479" i="11"/>
  <c r="BR224" i="11" s="1"/>
  <c r="BS473" i="11"/>
  <c r="BS479" i="11" s="1"/>
  <c r="BQ484" i="11"/>
  <c r="BQ486" i="11" s="1"/>
  <c r="BL949" i="11"/>
  <c r="BL923" i="11"/>
  <c r="BK629" i="11"/>
  <c r="BK634" i="11"/>
  <c r="BK637" i="11"/>
  <c r="BS400" i="11"/>
  <c r="BS404" i="11" s="1"/>
  <c r="BS405" i="11" s="1"/>
  <c r="BO995" i="11"/>
  <c r="BO491" i="11"/>
  <c r="BT409" i="11"/>
  <c r="BT398" i="11"/>
  <c r="BT408" i="11"/>
  <c r="BT396" i="11"/>
  <c r="BT474" i="11" s="1"/>
  <c r="BT407" i="11"/>
  <c r="BT470" i="11"/>
  <c r="BT464" i="11"/>
  <c r="BT478" i="11" s="1"/>
  <c r="BT465" i="11"/>
  <c r="BT466" i="11"/>
  <c r="BT467" i="11" s="1"/>
  <c r="BS434" i="11"/>
  <c r="BS438" i="11" s="1"/>
  <c r="BS439" i="11" s="1"/>
  <c r="BS451" i="11"/>
  <c r="BS455" i="11" s="1"/>
  <c r="BS456" i="11" s="1"/>
  <c r="BQ974" i="11"/>
  <c r="BR972" i="11"/>
  <c r="BP730" i="11"/>
  <c r="BP731" i="11"/>
  <c r="BP735" i="11" s="1"/>
  <c r="BQ964" i="11"/>
  <c r="BQ729" i="11" s="1"/>
  <c r="BP977" i="11"/>
  <c r="BR481" i="11"/>
  <c r="BR494" i="11"/>
  <c r="BR387" i="11"/>
  <c r="BL917" i="11"/>
  <c r="BQ482" i="11"/>
  <c r="BQ388" i="11"/>
  <c r="BQ489" i="11" s="1"/>
  <c r="BL242" i="11"/>
  <c r="BL114" i="11"/>
  <c r="BR982" i="11"/>
  <c r="BQ494" i="11"/>
  <c r="BR963" i="11"/>
  <c r="BR706" i="11"/>
  <c r="BS274" i="11"/>
  <c r="BS382" i="11"/>
  <c r="BS385" i="11" s="1"/>
  <c r="BT391" i="11" s="1"/>
  <c r="BT873" i="11" s="1"/>
  <c r="BQ481" i="11"/>
  <c r="BK254" i="11"/>
  <c r="BK253" i="11"/>
  <c r="BR292" i="11"/>
  <c r="BS287" i="11"/>
  <c r="BR293" i="11"/>
  <c r="BR360" i="11"/>
  <c r="BS360" i="11" s="1"/>
  <c r="BR285" i="11"/>
  <c r="BS433" i="11"/>
  <c r="BS436" i="11" s="1"/>
  <c r="BS468" i="11"/>
  <c r="BR709" i="11"/>
  <c r="BS873" i="11"/>
  <c r="AZ83" i="9"/>
  <c r="AZ79" i="9"/>
  <c r="AG80" i="9"/>
  <c r="AI74" i="9"/>
  <c r="AH66" i="9"/>
  <c r="BU234" i="9"/>
  <c r="BT235" i="9"/>
  <c r="BT237" i="9"/>
  <c r="AJ181" i="9"/>
  <c r="AJ194" i="9" s="1"/>
  <c r="AJ191" i="9" s="1"/>
  <c r="AI194" i="9"/>
  <c r="AG139" i="9"/>
  <c r="AG135" i="9"/>
  <c r="AG121" i="9" s="1"/>
  <c r="AH130" i="9" s="1"/>
  <c r="BU443" i="9"/>
  <c r="BV230" i="9"/>
  <c r="BU236" i="9"/>
  <c r="BS361" i="11" l="1"/>
  <c r="BT291" i="11"/>
  <c r="BT434" i="11"/>
  <c r="BT438" i="11" s="1"/>
  <c r="BT439" i="11" s="1"/>
  <c r="BR1014" i="11"/>
  <c r="BS963" i="11"/>
  <c r="BR966" i="11"/>
  <c r="BR967" i="11" s="1"/>
  <c r="BK636" i="11"/>
  <c r="BK633" i="11"/>
  <c r="BK630" i="11"/>
  <c r="BS982" i="11"/>
  <c r="BU407" i="11"/>
  <c r="BU398" i="11"/>
  <c r="BU399" i="11"/>
  <c r="BU402" i="11" s="1"/>
  <c r="BU397" i="11"/>
  <c r="BU409" i="11"/>
  <c r="BU396" i="11"/>
  <c r="BU474" i="11" s="1"/>
  <c r="BR842" i="11"/>
  <c r="BS842" i="11" s="1"/>
  <c r="BS224" i="11"/>
  <c r="BU391" i="11"/>
  <c r="BU381" i="11"/>
  <c r="BU382" i="11"/>
  <c r="BU385" i="11" s="1"/>
  <c r="BU390" i="11"/>
  <c r="BU379" i="11"/>
  <c r="BU473" i="11" s="1"/>
  <c r="BU392" i="11"/>
  <c r="BU380" i="11"/>
  <c r="BU449" i="11"/>
  <c r="BU447" i="11"/>
  <c r="BU477" i="11" s="1"/>
  <c r="BU460" i="11"/>
  <c r="BU450" i="11"/>
  <c r="BU453" i="11" s="1"/>
  <c r="BU459" i="11"/>
  <c r="BU458" i="11"/>
  <c r="BU448" i="11"/>
  <c r="BU413" i="11"/>
  <c r="BU475" i="11" s="1"/>
  <c r="BU426" i="11"/>
  <c r="BU425" i="11"/>
  <c r="BU415" i="11"/>
  <c r="BU424" i="11"/>
  <c r="BT414" i="11"/>
  <c r="BQ731" i="11"/>
  <c r="BQ730" i="11"/>
  <c r="BR964" i="11"/>
  <c r="BQ977" i="11"/>
  <c r="BM919" i="11"/>
  <c r="BL922" i="11"/>
  <c r="BV3" i="11"/>
  <c r="BV429" i="11"/>
  <c r="BV378" i="11"/>
  <c r="BV395" i="11"/>
  <c r="BV412" i="11"/>
  <c r="BV463" i="11"/>
  <c r="BV446" i="11"/>
  <c r="BT383" i="11"/>
  <c r="BS972" i="11"/>
  <c r="BR974" i="11"/>
  <c r="BS383" i="11"/>
  <c r="BT875" i="11"/>
  <c r="BT709" i="11" s="1"/>
  <c r="BT711" i="11" s="1"/>
  <c r="BT450" i="11"/>
  <c r="BT453" i="11" s="1"/>
  <c r="BK262" i="11"/>
  <c r="BT397" i="11"/>
  <c r="BT448" i="11"/>
  <c r="BQ978" i="11"/>
  <c r="BR880" i="11"/>
  <c r="BS1013" i="11"/>
  <c r="BU430" i="11"/>
  <c r="BU476" i="11" s="1"/>
  <c r="BU432" i="11"/>
  <c r="BU441" i="11"/>
  <c r="BU433" i="11"/>
  <c r="BU436" i="11" s="1"/>
  <c r="BU443" i="11"/>
  <c r="BU442" i="11"/>
  <c r="BT417" i="11"/>
  <c r="BT421" i="11" s="1"/>
  <c r="BT422" i="11" s="1"/>
  <c r="BM913" i="11"/>
  <c r="BL916" i="11"/>
  <c r="BT479" i="11"/>
  <c r="BT224" i="11" s="1"/>
  <c r="BT842" i="11" s="1"/>
  <c r="BL119" i="11"/>
  <c r="BK255" i="11"/>
  <c r="BS711" i="11"/>
  <c r="BT380" i="11"/>
  <c r="BP995" i="11"/>
  <c r="BP491" i="11"/>
  <c r="BQ735" i="11"/>
  <c r="BT468" i="11"/>
  <c r="BR711" i="11"/>
  <c r="BS709" i="11"/>
  <c r="BL165" i="11"/>
  <c r="BL837" i="11"/>
  <c r="BL152" i="11"/>
  <c r="BL153" i="11" s="1"/>
  <c r="BL244" i="11"/>
  <c r="BU470" i="11"/>
  <c r="BU466" i="11"/>
  <c r="BU464" i="11"/>
  <c r="BU478" i="11" s="1"/>
  <c r="BU467" i="11"/>
  <c r="BS285" i="11"/>
  <c r="BT287" i="11"/>
  <c r="BT274" i="11" s="1"/>
  <c r="BT706" i="11" s="1"/>
  <c r="BT880" i="11" s="1"/>
  <c r="BS293" i="11"/>
  <c r="BR482" i="11"/>
  <c r="BR484" i="11" s="1"/>
  <c r="BR486" i="11" s="1"/>
  <c r="BR388" i="11"/>
  <c r="BR489" i="11" s="1"/>
  <c r="BK840" i="11"/>
  <c r="BT399" i="11"/>
  <c r="BT402" i="11" s="1"/>
  <c r="BU408" i="11" s="1"/>
  <c r="BT431" i="11"/>
  <c r="BT382" i="11"/>
  <c r="BT385" i="11" s="1"/>
  <c r="BV236" i="9"/>
  <c r="BV443" i="9"/>
  <c r="AG136" i="9"/>
  <c r="AI73" i="9"/>
  <c r="AJ74" i="9"/>
  <c r="AJ73" i="9" s="1"/>
  <c r="AJ68" i="9" s="1"/>
  <c r="BU235" i="9"/>
  <c r="BV234" i="9"/>
  <c r="BU237" i="9"/>
  <c r="AG122" i="9"/>
  <c r="AZ92" i="9"/>
  <c r="AZ93" i="9" s="1"/>
  <c r="AZ95" i="9" s="1"/>
  <c r="AZ65" i="9"/>
  <c r="AH129" i="9"/>
  <c r="AI195" i="9"/>
  <c r="AI191" i="9"/>
  <c r="AI177" i="9" s="1"/>
  <c r="AZ80" i="9"/>
  <c r="BV447" i="11" l="1"/>
  <c r="BV477" i="11" s="1"/>
  <c r="BV460" i="11"/>
  <c r="BV449" i="11"/>
  <c r="BV459" i="11"/>
  <c r="BV458" i="11"/>
  <c r="BV448" i="11"/>
  <c r="BV450" i="11"/>
  <c r="BV453" i="11" s="1"/>
  <c r="BV466" i="11"/>
  <c r="BV464" i="11"/>
  <c r="BV478" i="11" s="1"/>
  <c r="BV470" i="11"/>
  <c r="BV467" i="11"/>
  <c r="BU434" i="11"/>
  <c r="BU438" i="11" s="1"/>
  <c r="BU439" i="11" s="1"/>
  <c r="BR978" i="11"/>
  <c r="BT982" i="11"/>
  <c r="BS964" i="11"/>
  <c r="BS729" i="11" s="1"/>
  <c r="BR729" i="11"/>
  <c r="BU479" i="11"/>
  <c r="BU224" i="11" s="1"/>
  <c r="BU842" i="11" s="1"/>
  <c r="BS1014" i="11"/>
  <c r="BV443" i="11"/>
  <c r="BV432" i="11"/>
  <c r="BV441" i="11"/>
  <c r="BV430" i="11"/>
  <c r="BV476" i="11" s="1"/>
  <c r="BV442" i="11"/>
  <c r="BU291" i="11"/>
  <c r="BU400" i="11"/>
  <c r="BU404" i="11" s="1"/>
  <c r="BU405" i="11" s="1"/>
  <c r="BT360" i="11"/>
  <c r="BU287" i="11"/>
  <c r="BU274" i="11" s="1"/>
  <c r="BU706" i="11" s="1"/>
  <c r="BU880" i="11" s="1"/>
  <c r="BT293" i="11"/>
  <c r="BT285" i="11"/>
  <c r="BQ995" i="11"/>
  <c r="BQ491" i="11"/>
  <c r="BV408" i="11"/>
  <c r="BV398" i="11"/>
  <c r="BV409" i="11"/>
  <c r="BV407" i="11"/>
  <c r="BV396" i="11"/>
  <c r="BV474" i="11" s="1"/>
  <c r="BV397" i="11"/>
  <c r="BT963" i="11"/>
  <c r="BT400" i="11"/>
  <c r="BT404" i="11" s="1"/>
  <c r="BT405" i="11" s="1"/>
  <c r="BU383" i="11"/>
  <c r="BT494" i="11"/>
  <c r="BT481" i="11"/>
  <c r="BT387" i="11"/>
  <c r="BK953" i="11"/>
  <c r="BV379" i="11"/>
  <c r="BV473" i="11" s="1"/>
  <c r="BV391" i="11"/>
  <c r="BV381" i="11"/>
  <c r="BV380" i="11"/>
  <c r="BV390" i="11"/>
  <c r="BV392" i="11"/>
  <c r="BS880" i="11"/>
  <c r="BR884" i="11"/>
  <c r="BM920" i="11"/>
  <c r="BM928" i="11" s="1"/>
  <c r="BS481" i="11"/>
  <c r="BS494" i="11"/>
  <c r="BS387" i="11"/>
  <c r="BU873" i="11"/>
  <c r="BT884" i="11"/>
  <c r="BU451" i="11"/>
  <c r="BU455" i="11" s="1"/>
  <c r="BU456" i="11" s="1"/>
  <c r="BU875" i="11"/>
  <c r="BL123" i="11"/>
  <c r="BL126" i="11" s="1"/>
  <c r="BL245" i="11"/>
  <c r="BL122" i="11"/>
  <c r="BM914" i="11"/>
  <c r="BU468" i="11"/>
  <c r="BL167" i="11"/>
  <c r="BU414" i="11"/>
  <c r="BU963" i="11" s="1"/>
  <c r="BK259" i="11"/>
  <c r="BJ1000" i="11"/>
  <c r="BR730" i="11"/>
  <c r="BR731" i="11"/>
  <c r="BR977" i="11"/>
  <c r="BV415" i="11"/>
  <c r="BV413" i="11"/>
  <c r="BV475" i="11" s="1"/>
  <c r="BV426" i="11"/>
  <c r="BV414" i="11"/>
  <c r="BV425" i="11"/>
  <c r="BV424" i="11"/>
  <c r="BU465" i="11"/>
  <c r="BT451" i="11"/>
  <c r="BT455" i="11" s="1"/>
  <c r="BT456" i="11" s="1"/>
  <c r="BU431" i="11"/>
  <c r="BS974" i="11"/>
  <c r="BT972" i="11"/>
  <c r="BU416" i="11"/>
  <c r="BU419" i="11" s="1"/>
  <c r="AZ100" i="9"/>
  <c r="AZ105" i="9" s="1"/>
  <c r="AZ101" i="9"/>
  <c r="AJ177" i="9"/>
  <c r="AI178" i="9"/>
  <c r="AH124" i="9"/>
  <c r="AH125" i="9"/>
  <c r="AH138" i="9" s="1"/>
  <c r="AJ67" i="9"/>
  <c r="AI68" i="9"/>
  <c r="AI69" i="9"/>
  <c r="AK69" i="9"/>
  <c r="AK82" i="9" s="1"/>
  <c r="AI192" i="9"/>
  <c r="AJ192" i="9" s="1"/>
  <c r="AJ195" i="9"/>
  <c r="BA74" i="9"/>
  <c r="AZ66" i="9"/>
  <c r="BV237" i="9"/>
  <c r="BV235" i="9"/>
  <c r="BV873" i="11" l="1"/>
  <c r="BK954" i="11"/>
  <c r="BT482" i="11"/>
  <c r="BT484" i="11" s="1"/>
  <c r="BT486" i="11" s="1"/>
  <c r="BT388" i="11"/>
  <c r="BT489" i="11" s="1"/>
  <c r="BL628" i="11"/>
  <c r="BL168" i="11"/>
  <c r="BL644" i="11" s="1"/>
  <c r="BL645" i="11" s="1"/>
  <c r="BG502" i="11"/>
  <c r="BV468" i="11"/>
  <c r="BT1014" i="11"/>
  <c r="BT966" i="11"/>
  <c r="BT967" i="11" s="1"/>
  <c r="BV465" i="11"/>
  <c r="BR995" i="11"/>
  <c r="BR491" i="11"/>
  <c r="BU387" i="11"/>
  <c r="BT964" i="11"/>
  <c r="BT729" i="11" s="1"/>
  <c r="BS730" i="11"/>
  <c r="BS731" i="11"/>
  <c r="BS977" i="11"/>
  <c r="BK836" i="11"/>
  <c r="BK261" i="11"/>
  <c r="BK269" i="11"/>
  <c r="BV434" i="11"/>
  <c r="BV438" i="11" s="1"/>
  <c r="BV439" i="11" s="1"/>
  <c r="BU709" i="11"/>
  <c r="BU711" i="11" s="1"/>
  <c r="BU884" i="11"/>
  <c r="BS482" i="11"/>
  <c r="BS484" i="11" s="1"/>
  <c r="BS486" i="11" s="1"/>
  <c r="BS388" i="11"/>
  <c r="BS489" i="11" s="1"/>
  <c r="BT974" i="11"/>
  <c r="BU972" i="11"/>
  <c r="BS1012" i="11"/>
  <c r="BV433" i="11"/>
  <c r="BV436" i="11" s="1"/>
  <c r="BU360" i="11"/>
  <c r="BU293" i="11"/>
  <c r="BV287" i="11"/>
  <c r="BV274" i="11" s="1"/>
  <c r="BV706" i="11" s="1"/>
  <c r="BV880" i="11" s="1"/>
  <c r="BU285" i="11"/>
  <c r="BS706" i="11"/>
  <c r="BS884" i="11"/>
  <c r="BV400" i="11"/>
  <c r="BV404" i="11" s="1"/>
  <c r="BV405" i="11" s="1"/>
  <c r="BV451" i="11"/>
  <c r="BV455" i="11" s="1"/>
  <c r="BV456" i="11" s="1"/>
  <c r="BV383" i="11"/>
  <c r="BU982" i="11"/>
  <c r="BU417" i="11"/>
  <c r="BU421" i="11" s="1"/>
  <c r="BU422" i="11" s="1"/>
  <c r="BV875" i="11"/>
  <c r="BV431" i="11"/>
  <c r="BV963" i="11" s="1"/>
  <c r="BN920" i="11"/>
  <c r="BM947" i="11"/>
  <c r="BV416" i="11"/>
  <c r="BV419" i="11" s="1"/>
  <c r="BM930" i="11"/>
  <c r="BN914" i="11"/>
  <c r="BM946" i="11"/>
  <c r="BV291" i="11"/>
  <c r="BV399" i="11"/>
  <c r="BV402" i="11" s="1"/>
  <c r="BS966" i="11"/>
  <c r="BS967" i="11" s="1"/>
  <c r="BV479" i="11"/>
  <c r="BV224" i="11" s="1"/>
  <c r="BV842" i="11" s="1"/>
  <c r="BL998" i="11"/>
  <c r="BM927" i="11"/>
  <c r="BV382" i="11"/>
  <c r="BV385" i="11" s="1"/>
  <c r="BR735" i="11"/>
  <c r="BA73" i="9"/>
  <c r="AK186" i="9"/>
  <c r="AJ178" i="9"/>
  <c r="AZ97" i="9"/>
  <c r="AZ96" i="9" s="1"/>
  <c r="AZ106" i="9"/>
  <c r="AZ87" i="9"/>
  <c r="AZ86" i="9" s="1"/>
  <c r="AI82" i="9"/>
  <c r="AJ69" i="9"/>
  <c r="AJ82" i="9" s="1"/>
  <c r="AJ79" i="9" s="1"/>
  <c r="AH139" i="9"/>
  <c r="AH135" i="9"/>
  <c r="AH121" i="9" s="1"/>
  <c r="AI130" i="9" s="1"/>
  <c r="AK83" i="9"/>
  <c r="AK79" i="9"/>
  <c r="BN926" i="11" l="1"/>
  <c r="BN928" i="11"/>
  <c r="BK264" i="11"/>
  <c r="BU964" i="11"/>
  <c r="BT731" i="11"/>
  <c r="BT730" i="11"/>
  <c r="BT977" i="11"/>
  <c r="BU482" i="11"/>
  <c r="BU388" i="11"/>
  <c r="BU489" i="11" s="1"/>
  <c r="BU494" i="11"/>
  <c r="BS978" i="11"/>
  <c r="BM917" i="11"/>
  <c r="BM916" i="11" s="1"/>
  <c r="BN946" i="11"/>
  <c r="BU481" i="11"/>
  <c r="BU484" i="11" s="1"/>
  <c r="BU486" i="11" s="1"/>
  <c r="BV982" i="11"/>
  <c r="BV387" i="11"/>
  <c r="BN925" i="11"/>
  <c r="BN927" i="11"/>
  <c r="BV360" i="11"/>
  <c r="BV293" i="11"/>
  <c r="BV285" i="11"/>
  <c r="BV884" i="11"/>
  <c r="BV709" i="11"/>
  <c r="BV711" i="11" s="1"/>
  <c r="BT978" i="11"/>
  <c r="BS735" i="11"/>
  <c r="BS736" i="11" s="1"/>
  <c r="BK845" i="11"/>
  <c r="BK983" i="11"/>
  <c r="BS995" i="11"/>
  <c r="BS491" i="11"/>
  <c r="BM114" i="11"/>
  <c r="BM242" i="11"/>
  <c r="BN930" i="11"/>
  <c r="BL629" i="11"/>
  <c r="BL637" i="11"/>
  <c r="BL634" i="11"/>
  <c r="BM949" i="11"/>
  <c r="BN949" i="11" s="1"/>
  <c r="BM923" i="11"/>
  <c r="BM922" i="11" s="1"/>
  <c r="BN947" i="11"/>
  <c r="BV972" i="11"/>
  <c r="BV974" i="11" s="1"/>
  <c r="BU974" i="11"/>
  <c r="BV417" i="11"/>
  <c r="BV421" i="11" s="1"/>
  <c r="BV422" i="11" s="1"/>
  <c r="BU1014" i="11"/>
  <c r="AK92" i="9"/>
  <c r="AK93" i="9" s="1"/>
  <c r="AK95" i="9" s="1"/>
  <c r="AK100" i="9" s="1"/>
  <c r="AK65" i="9"/>
  <c r="AK80" i="9"/>
  <c r="AI83" i="9"/>
  <c r="AI79" i="9"/>
  <c r="AI65" i="9" s="1"/>
  <c r="AH122" i="9"/>
  <c r="AH136" i="9"/>
  <c r="AK185" i="9"/>
  <c r="AI129" i="9"/>
  <c r="AJ130" i="9"/>
  <c r="AJ129" i="9" s="1"/>
  <c r="AJ124" i="9" s="1"/>
  <c r="AJ123" i="9"/>
  <c r="BA68" i="9"/>
  <c r="BA69" i="9"/>
  <c r="BA82" i="9" s="1"/>
  <c r="BK853" i="11" l="1"/>
  <c r="BK696" i="11"/>
  <c r="BV964" i="11"/>
  <c r="BU730" i="11"/>
  <c r="BU731" i="11"/>
  <c r="BU977" i="11"/>
  <c r="BN917" i="11"/>
  <c r="BV731" i="11"/>
  <c r="BV730" i="11"/>
  <c r="BV977" i="11"/>
  <c r="BU729" i="11"/>
  <c r="BU966" i="11"/>
  <c r="BU967" i="11" s="1"/>
  <c r="BU978" i="11" s="1"/>
  <c r="BM165" i="11"/>
  <c r="BM837" i="11"/>
  <c r="BN837" i="11" s="1"/>
  <c r="BM152" i="11"/>
  <c r="BM153" i="11" s="1"/>
  <c r="BM244" i="11"/>
  <c r="BN242" i="11"/>
  <c r="BV481" i="11"/>
  <c r="BN923" i="11"/>
  <c r="BU735" i="11"/>
  <c r="BT995" i="11"/>
  <c r="BT491" i="11"/>
  <c r="BK276" i="11"/>
  <c r="BK275" i="11"/>
  <c r="BV482" i="11"/>
  <c r="BV484" i="11" s="1"/>
  <c r="BV486" i="11" s="1"/>
  <c r="BV388" i="11"/>
  <c r="BV489" i="11" s="1"/>
  <c r="BM119" i="11"/>
  <c r="BN114" i="11"/>
  <c r="BN119" i="11" s="1"/>
  <c r="BV1014" i="11"/>
  <c r="BK985" i="11"/>
  <c r="BK987" i="11" s="1"/>
  <c r="BL630" i="11"/>
  <c r="BL636" i="11"/>
  <c r="BL633" i="11"/>
  <c r="BV494" i="11"/>
  <c r="BT735" i="11"/>
  <c r="BA83" i="9"/>
  <c r="BA79" i="9"/>
  <c r="AI80" i="9"/>
  <c r="AJ80" i="9" s="1"/>
  <c r="AJ83" i="9"/>
  <c r="AI124" i="9"/>
  <c r="AI125" i="9"/>
  <c r="AK180" i="9"/>
  <c r="AK181" i="9"/>
  <c r="AK194" i="9" s="1"/>
  <c r="AM181" i="9"/>
  <c r="AM194" i="9" s="1"/>
  <c r="AL181" i="9"/>
  <c r="AL194" i="9" s="1"/>
  <c r="AJ65" i="9"/>
  <c r="AJ66" i="9" s="1"/>
  <c r="AI66" i="9"/>
  <c r="AL74" i="9"/>
  <c r="AK66" i="9"/>
  <c r="AK105" i="9"/>
  <c r="AK101" i="9"/>
  <c r="BN123" i="11" l="1"/>
  <c r="BN126" i="11" s="1"/>
  <c r="BN122" i="11"/>
  <c r="BV995" i="11"/>
  <c r="BV491" i="11"/>
  <c r="BM123" i="11"/>
  <c r="BM126" i="11" s="1"/>
  <c r="BM245" i="11"/>
  <c r="BM122" i="11"/>
  <c r="BK270" i="11"/>
  <c r="BK748" i="11"/>
  <c r="BS919" i="11"/>
  <c r="BO919" i="11"/>
  <c r="BN922" i="11"/>
  <c r="BV729" i="11"/>
  <c r="BV966" i="11"/>
  <c r="BV967" i="11" s="1"/>
  <c r="BV978" i="11" s="1"/>
  <c r="BS913" i="11"/>
  <c r="BO913" i="11"/>
  <c r="BN916" i="11"/>
  <c r="BN165" i="11"/>
  <c r="BN152" i="11"/>
  <c r="BN153" i="11" s="1"/>
  <c r="BN244" i="11"/>
  <c r="BN167" i="11" s="1"/>
  <c r="BK699" i="11"/>
  <c r="BK718" i="11"/>
  <c r="BK719" i="11" s="1"/>
  <c r="BK720" i="11" s="1"/>
  <c r="BK721" i="11" s="1"/>
  <c r="BK271" i="11"/>
  <c r="BM167" i="11"/>
  <c r="BK219" i="11"/>
  <c r="BK222" i="11" s="1"/>
  <c r="BK698" i="11"/>
  <c r="BK887" i="11"/>
  <c r="BU995" i="11"/>
  <c r="BV735" i="11"/>
  <c r="BU491" i="11"/>
  <c r="AK195" i="9"/>
  <c r="AK191" i="9"/>
  <c r="AL195" i="9"/>
  <c r="AL192" i="9" s="1"/>
  <c r="AL191" i="9"/>
  <c r="AJ125" i="9"/>
  <c r="AJ138" i="9" s="1"/>
  <c r="AJ135" i="9" s="1"/>
  <c r="AI138" i="9"/>
  <c r="BA92" i="9"/>
  <c r="BA93" i="9" s="1"/>
  <c r="BA95" i="9" s="1"/>
  <c r="BA65" i="9"/>
  <c r="AO74" i="9"/>
  <c r="AO73" i="9" s="1"/>
  <c r="AO68" i="9" s="1"/>
  <c r="AO67" i="9"/>
  <c r="AL73" i="9"/>
  <c r="BA80" i="9"/>
  <c r="AM195" i="9"/>
  <c r="AM192" i="9" s="1"/>
  <c r="AM191" i="9"/>
  <c r="AK87" i="9"/>
  <c r="AK86" i="9" s="1"/>
  <c r="AK106" i="9"/>
  <c r="AK97" i="9"/>
  <c r="AK96" i="9" s="1"/>
  <c r="BK936" i="11" l="1"/>
  <c r="BJ999" i="11"/>
  <c r="BK890" i="11"/>
  <c r="BK700" i="11"/>
  <c r="BK697" i="11"/>
  <c r="BK722" i="11"/>
  <c r="BK723" i="11" s="1"/>
  <c r="BK724" i="11" s="1"/>
  <c r="BK725" i="11" s="1"/>
  <c r="BM628" i="11"/>
  <c r="BM168" i="11"/>
  <c r="BM644" i="11" s="1"/>
  <c r="BM645" i="11" s="1"/>
  <c r="BN245" i="11"/>
  <c r="BH502" i="11"/>
  <c r="BM998" i="11"/>
  <c r="BO920" i="11"/>
  <c r="BO914" i="11"/>
  <c r="BO927" i="11"/>
  <c r="AL69" i="9"/>
  <c r="AL82" i="9" s="1"/>
  <c r="AL68" i="9"/>
  <c r="AM69" i="9"/>
  <c r="AM82" i="9" s="1"/>
  <c r="AN69" i="9"/>
  <c r="AP69" i="9"/>
  <c r="AP82" i="9" s="1"/>
  <c r="AM177" i="9"/>
  <c r="AM204" i="9"/>
  <c r="AM205" i="9" s="1"/>
  <c r="AM207" i="9" s="1"/>
  <c r="AM212" i="9" s="1"/>
  <c r="BA100" i="9"/>
  <c r="AI139" i="9"/>
  <c r="AI135" i="9"/>
  <c r="AI121" i="9" s="1"/>
  <c r="AL177" i="9"/>
  <c r="AL178" i="9" s="1"/>
  <c r="AL204" i="9"/>
  <c r="AL205" i="9" s="1"/>
  <c r="AL207" i="9" s="1"/>
  <c r="AL212" i="9" s="1"/>
  <c r="BB74" i="9"/>
  <c r="BA66" i="9"/>
  <c r="AK177" i="9"/>
  <c r="AK178" i="9" s="1"/>
  <c r="AK204" i="9"/>
  <c r="AK205" i="9" s="1"/>
  <c r="AK207" i="9" s="1"/>
  <c r="AK212" i="9" s="1"/>
  <c r="AK192" i="9"/>
  <c r="BM629" i="11" l="1"/>
  <c r="BM637" i="11"/>
  <c r="BM634" i="11"/>
  <c r="BO930" i="11"/>
  <c r="BO946" i="11"/>
  <c r="BL889" i="11"/>
  <c r="BK897" i="11"/>
  <c r="BO947" i="11"/>
  <c r="BK943" i="11"/>
  <c r="BK955" i="11" s="1"/>
  <c r="BK728" i="11"/>
  <c r="BO928" i="11"/>
  <c r="BN628" i="11"/>
  <c r="BN168" i="11"/>
  <c r="BN644" i="11" s="1"/>
  <c r="BN645" i="11" s="1"/>
  <c r="BI502" i="11"/>
  <c r="BN998" i="11"/>
  <c r="AK217" i="9"/>
  <c r="AK213" i="9"/>
  <c r="BB73" i="9"/>
  <c r="AI136" i="9"/>
  <c r="AJ136" i="9" s="1"/>
  <c r="AJ139" i="9"/>
  <c r="AM217" i="9"/>
  <c r="AM213" i="9"/>
  <c r="AN186" i="9"/>
  <c r="AM178" i="9"/>
  <c r="AO69" i="9"/>
  <c r="AO82" i="9" s="1"/>
  <c r="AO79" i="9" s="1"/>
  <c r="AN82" i="9"/>
  <c r="AM83" i="9"/>
  <c r="AM80" i="9" s="1"/>
  <c r="AM79" i="9"/>
  <c r="AL217" i="9"/>
  <c r="AL213" i="9"/>
  <c r="AJ121" i="9"/>
  <c r="AI122" i="9"/>
  <c r="BA101" i="9"/>
  <c r="BA105" i="9"/>
  <c r="AP83" i="9"/>
  <c r="AP79" i="9"/>
  <c r="AL83" i="9"/>
  <c r="AL79" i="9"/>
  <c r="BM674" i="11" l="1"/>
  <c r="BL674" i="11"/>
  <c r="BK674" i="11"/>
  <c r="BN674" i="11"/>
  <c r="BJ674" i="11"/>
  <c r="BN637" i="11"/>
  <c r="BN629" i="11"/>
  <c r="BK989" i="11"/>
  <c r="BJ1001" i="11"/>
  <c r="BO923" i="11"/>
  <c r="BO949" i="11"/>
  <c r="BO917" i="11"/>
  <c r="BL737" i="11"/>
  <c r="BK994" i="11"/>
  <c r="BK488" i="11"/>
  <c r="BK490" i="11" s="1"/>
  <c r="BK493" i="11" s="1"/>
  <c r="BK495" i="11" s="1"/>
  <c r="BK499" i="11" s="1"/>
  <c r="BK733" i="11"/>
  <c r="BK749" i="11" s="1"/>
  <c r="BO114" i="11"/>
  <c r="BO242" i="11"/>
  <c r="BM630" i="11"/>
  <c r="BM636" i="11"/>
  <c r="BM633" i="11"/>
  <c r="AL218" i="9"/>
  <c r="AL209" i="9"/>
  <c r="AL208" i="9" s="1"/>
  <c r="AL199" i="9"/>
  <c r="AL198" i="9" s="1"/>
  <c r="AM92" i="9"/>
  <c r="AM93" i="9" s="1"/>
  <c r="AM95" i="9" s="1"/>
  <c r="AM100" i="9" s="1"/>
  <c r="AM65" i="9"/>
  <c r="AM66" i="9" s="1"/>
  <c r="AN83" i="9"/>
  <c r="AN80" i="9" s="1"/>
  <c r="AN79" i="9"/>
  <c r="AK130" i="9"/>
  <c r="AJ122" i="9"/>
  <c r="AN185" i="9"/>
  <c r="AO186" i="9"/>
  <c r="AO185" i="9" s="1"/>
  <c r="AO180" i="9" s="1"/>
  <c r="AL80" i="9"/>
  <c r="AO80" i="9" s="1"/>
  <c r="AO83" i="9"/>
  <c r="AP65" i="9"/>
  <c r="AP66" i="9" s="1"/>
  <c r="AP92" i="9"/>
  <c r="AP93" i="9" s="1"/>
  <c r="AP95" i="9" s="1"/>
  <c r="AP100" i="9" s="1"/>
  <c r="AT83" i="9"/>
  <c r="AP80" i="9"/>
  <c r="AT80" i="9" s="1"/>
  <c r="BB69" i="9"/>
  <c r="BB82" i="9" s="1"/>
  <c r="BB68" i="9"/>
  <c r="AK209" i="9"/>
  <c r="AK208" i="9" s="1"/>
  <c r="AK218" i="9"/>
  <c r="AK199" i="9"/>
  <c r="AK198" i="9" s="1"/>
  <c r="AM199" i="9"/>
  <c r="AM198" i="9" s="1"/>
  <c r="AM209" i="9"/>
  <c r="AM208" i="9" s="1"/>
  <c r="AM218" i="9"/>
  <c r="AL92" i="9"/>
  <c r="AL93" i="9" s="1"/>
  <c r="AL95" i="9" s="1"/>
  <c r="AL65" i="9"/>
  <c r="AL66" i="9" s="1"/>
  <c r="BA87" i="9"/>
  <c r="BA86" i="9" s="1"/>
  <c r="BA97" i="9"/>
  <c r="BA96" i="9" s="1"/>
  <c r="BA106" i="9"/>
  <c r="BO922" i="11" l="1"/>
  <c r="BP919" i="11"/>
  <c r="BN630" i="11"/>
  <c r="BN636" i="11"/>
  <c r="BL739" i="11"/>
  <c r="BO916" i="11"/>
  <c r="BP913" i="11"/>
  <c r="BO119" i="11"/>
  <c r="BO837" i="11"/>
  <c r="BO165" i="11"/>
  <c r="BO152" i="11"/>
  <c r="BO153" i="11" s="1"/>
  <c r="BO244" i="11"/>
  <c r="BO167" i="11" s="1"/>
  <c r="AP105" i="9"/>
  <c r="AT100" i="9"/>
  <c r="AP101" i="9"/>
  <c r="BB83" i="9"/>
  <c r="BB79" i="9"/>
  <c r="AL100" i="9"/>
  <c r="AM105" i="9"/>
  <c r="AM101" i="9"/>
  <c r="AO179" i="9"/>
  <c r="AN181" i="9"/>
  <c r="AN180" i="9"/>
  <c r="AK129" i="9"/>
  <c r="AN65" i="9"/>
  <c r="AN92" i="9"/>
  <c r="AN93" i="9" s="1"/>
  <c r="AN95" i="9" s="1"/>
  <c r="AN100" i="9" s="1"/>
  <c r="BP914" i="11" l="1"/>
  <c r="BL740" i="11"/>
  <c r="BL249" i="11"/>
  <c r="BL742" i="11"/>
  <c r="BP920" i="11"/>
  <c r="BP928" i="11"/>
  <c r="BO245" i="11"/>
  <c r="BO123" i="11"/>
  <c r="BO126" i="11" s="1"/>
  <c r="BO122" i="11"/>
  <c r="AN105" i="9"/>
  <c r="AN101" i="9"/>
  <c r="AO65" i="9"/>
  <c r="AO66" i="9" s="1"/>
  <c r="AN66" i="9"/>
  <c r="AK125" i="9"/>
  <c r="AK138" i="9" s="1"/>
  <c r="AK124" i="9"/>
  <c r="AL125" i="9"/>
  <c r="AL138" i="9" s="1"/>
  <c r="AL101" i="9"/>
  <c r="AL105" i="9"/>
  <c r="AO100" i="9"/>
  <c r="BB92" i="9"/>
  <c r="BB93" i="9" s="1"/>
  <c r="BB95" i="9" s="1"/>
  <c r="BB100" i="9" s="1"/>
  <c r="BB65" i="9"/>
  <c r="BB80" i="9"/>
  <c r="AP106" i="9"/>
  <c r="AP97" i="9"/>
  <c r="AP96" i="9" s="1"/>
  <c r="AP87" i="9"/>
  <c r="AP86" i="9" s="1"/>
  <c r="AO181" i="9"/>
  <c r="AO194" i="9" s="1"/>
  <c r="AO191" i="9" s="1"/>
  <c r="AN194" i="9"/>
  <c r="AM106" i="9"/>
  <c r="AM87" i="9"/>
  <c r="AM86" i="9" s="1"/>
  <c r="AM97" i="9"/>
  <c r="AM96" i="9" s="1"/>
  <c r="AT105" i="9"/>
  <c r="AT101" i="9"/>
  <c r="AT95" i="9"/>
  <c r="AT93" i="9" s="1"/>
  <c r="AT92" i="9" s="1"/>
  <c r="BO628" i="11" l="1"/>
  <c r="BO168" i="11"/>
  <c r="BO644" i="11" s="1"/>
  <c r="BO645" i="11" s="1"/>
  <c r="BJ502" i="11"/>
  <c r="BP930" i="11"/>
  <c r="BP946" i="11"/>
  <c r="BP947" i="11"/>
  <c r="BL251" i="11"/>
  <c r="BP927" i="11"/>
  <c r="BO998" i="11"/>
  <c r="BB105" i="9"/>
  <c r="BB101" i="9"/>
  <c r="AL139" i="9"/>
  <c r="AL136" i="9" s="1"/>
  <c r="AL135" i="9"/>
  <c r="AK139" i="9"/>
  <c r="AK135" i="9"/>
  <c r="AN195" i="9"/>
  <c r="AN191" i="9"/>
  <c r="BC74" i="9"/>
  <c r="BB66" i="9"/>
  <c r="AO105" i="9"/>
  <c r="AO95" i="9"/>
  <c r="AO93" i="9" s="1"/>
  <c r="AO92" i="9" s="1"/>
  <c r="AO101" i="9"/>
  <c r="AL97" i="9"/>
  <c r="AL96" i="9" s="1"/>
  <c r="AL106" i="9"/>
  <c r="AL87" i="9"/>
  <c r="AL86" i="9" s="1"/>
  <c r="AT87" i="9"/>
  <c r="AT86" i="9" s="1"/>
  <c r="AT97" i="9"/>
  <c r="AT96" i="9" s="1"/>
  <c r="AT106" i="9"/>
  <c r="AN106" i="9"/>
  <c r="AN87" i="9"/>
  <c r="AN86" i="9" s="1"/>
  <c r="AN97" i="9"/>
  <c r="AN96" i="9" s="1"/>
  <c r="BL253" i="11" l="1"/>
  <c r="BL254" i="11"/>
  <c r="BP949" i="11"/>
  <c r="BP923" i="11"/>
  <c r="BP917" i="11"/>
  <c r="BP114" i="11"/>
  <c r="BP242" i="11"/>
  <c r="BO637" i="11"/>
  <c r="BO629" i="11"/>
  <c r="BO634" i="11"/>
  <c r="AN192" i="9"/>
  <c r="AO192" i="9" s="1"/>
  <c r="AO195" i="9"/>
  <c r="AO97" i="9"/>
  <c r="AO96" i="9" s="1"/>
  <c r="AO87" i="9"/>
  <c r="AO86" i="9" s="1"/>
  <c r="AO106" i="9"/>
  <c r="BC73" i="9"/>
  <c r="BD74" i="9"/>
  <c r="BD73" i="9" s="1"/>
  <c r="BD68" i="9" s="1"/>
  <c r="AN177" i="9"/>
  <c r="AN204" i="9"/>
  <c r="AN205" i="9" s="1"/>
  <c r="AN207" i="9" s="1"/>
  <c r="AN212" i="9" s="1"/>
  <c r="AK136" i="9"/>
  <c r="AL148" i="9"/>
  <c r="AL149" i="9" s="1"/>
  <c r="AL151" i="9" s="1"/>
  <c r="AL156" i="9" s="1"/>
  <c r="AL121" i="9"/>
  <c r="BB106" i="9"/>
  <c r="BB97" i="9"/>
  <c r="BB96" i="9" s="1"/>
  <c r="BB87" i="9"/>
  <c r="BB86" i="9" s="1"/>
  <c r="AK148" i="9"/>
  <c r="AK149" i="9" s="1"/>
  <c r="AK151" i="9" s="1"/>
  <c r="AK156" i="9" s="1"/>
  <c r="AK121" i="9"/>
  <c r="AK122" i="9" s="1"/>
  <c r="BP837" i="11" l="1"/>
  <c r="BP165" i="11"/>
  <c r="BP152" i="11"/>
  <c r="BP153" i="11" s="1"/>
  <c r="BP244" i="11"/>
  <c r="BP167" i="11" s="1"/>
  <c r="BL840" i="11"/>
  <c r="BO630" i="11"/>
  <c r="BO636" i="11"/>
  <c r="BO633" i="11"/>
  <c r="BP119" i="11"/>
  <c r="BP916" i="11"/>
  <c r="BQ913" i="11"/>
  <c r="BL262" i="11"/>
  <c r="BQ919" i="11"/>
  <c r="BP922" i="11"/>
  <c r="BL255" i="11"/>
  <c r="BL259" i="11" s="1"/>
  <c r="AL161" i="9"/>
  <c r="AL157" i="9"/>
  <c r="AO177" i="9"/>
  <c r="AN178" i="9"/>
  <c r="BE69" i="9"/>
  <c r="BE82" i="9" s="1"/>
  <c r="BC69" i="9"/>
  <c r="BC68" i="9"/>
  <c r="AM130" i="9"/>
  <c r="AL122" i="9"/>
  <c r="AK161" i="9"/>
  <c r="AK157" i="9"/>
  <c r="AN217" i="9"/>
  <c r="AN213" i="9"/>
  <c r="AO212" i="9"/>
  <c r="BD67" i="9"/>
  <c r="BQ920" i="11" l="1"/>
  <c r="BQ914" i="11"/>
  <c r="BQ927" i="11"/>
  <c r="BP123" i="11"/>
  <c r="BP126" i="11" s="1"/>
  <c r="BP245" i="11"/>
  <c r="BP122" i="11"/>
  <c r="BL836" i="11"/>
  <c r="BL269" i="11"/>
  <c r="BL261" i="11"/>
  <c r="BL953" i="11"/>
  <c r="AM129" i="9"/>
  <c r="BE83" i="9"/>
  <c r="BE79" i="9"/>
  <c r="AL153" i="9"/>
  <c r="AL152" i="9" s="1"/>
  <c r="AL162" i="9"/>
  <c r="AL143" i="9"/>
  <c r="AL142" i="9" s="1"/>
  <c r="AO217" i="9"/>
  <c r="AO213" i="9"/>
  <c r="AO207" i="9"/>
  <c r="AO205" i="9" s="1"/>
  <c r="AO204" i="9" s="1"/>
  <c r="AN218" i="9"/>
  <c r="AN199" i="9"/>
  <c r="AN198" i="9" s="1"/>
  <c r="AN209" i="9"/>
  <c r="AN208" i="9" s="1"/>
  <c r="AK153" i="9"/>
  <c r="AK152" i="9" s="1"/>
  <c r="AK162" i="9"/>
  <c r="AK143" i="9"/>
  <c r="AK142" i="9" s="1"/>
  <c r="BC82" i="9"/>
  <c r="BD69" i="9"/>
  <c r="BD82" i="9" s="1"/>
  <c r="BD79" i="9" s="1"/>
  <c r="AP186" i="9"/>
  <c r="AO178" i="9"/>
  <c r="BL845" i="11" l="1"/>
  <c r="BL983" i="11"/>
  <c r="BL264" i="11"/>
  <c r="BQ930" i="11"/>
  <c r="BQ946" i="11"/>
  <c r="BQ947" i="11"/>
  <c r="BL954" i="11"/>
  <c r="BP628" i="11"/>
  <c r="BP168" i="11"/>
  <c r="BP644" i="11" s="1"/>
  <c r="BP645" i="11" s="1"/>
  <c r="BP998" i="11"/>
  <c r="BQ928" i="11"/>
  <c r="BC83" i="9"/>
  <c r="BC79" i="9"/>
  <c r="AO218" i="9"/>
  <c r="AO199" i="9"/>
  <c r="AO198" i="9" s="1"/>
  <c r="AO209" i="9"/>
  <c r="AO208" i="9" s="1"/>
  <c r="BE65" i="9"/>
  <c r="BE92" i="9"/>
  <c r="BE93" i="9" s="1"/>
  <c r="BE95" i="9" s="1"/>
  <c r="BE80" i="9"/>
  <c r="AP185" i="9"/>
  <c r="AM125" i="9"/>
  <c r="AM138" i="9" s="1"/>
  <c r="AM124" i="9"/>
  <c r="BQ917" i="11" l="1"/>
  <c r="BP634" i="11"/>
  <c r="BP637" i="11"/>
  <c r="BP629" i="11"/>
  <c r="BQ923" i="11"/>
  <c r="BQ949" i="11"/>
  <c r="BL985" i="11"/>
  <c r="BL987" i="11" s="1"/>
  <c r="BQ114" i="11"/>
  <c r="BQ242" i="11"/>
  <c r="BL276" i="11"/>
  <c r="BL271" i="11" s="1"/>
  <c r="BL275" i="11"/>
  <c r="BL853" i="11"/>
  <c r="BL696" i="11"/>
  <c r="BE100" i="9"/>
  <c r="AM139" i="9"/>
  <c r="AM135" i="9"/>
  <c r="AP180" i="9"/>
  <c r="AP181" i="9"/>
  <c r="AP194" i="9" s="1"/>
  <c r="AQ181" i="9"/>
  <c r="AQ194" i="9" s="1"/>
  <c r="BE105" i="9"/>
  <c r="BE101" i="9"/>
  <c r="BF74" i="9"/>
  <c r="BE66" i="9"/>
  <c r="BC65" i="9"/>
  <c r="BC92" i="9"/>
  <c r="BC93" i="9" s="1"/>
  <c r="BC95" i="9" s="1"/>
  <c r="BC80" i="9"/>
  <c r="BD80" i="9" s="1"/>
  <c r="BD83" i="9"/>
  <c r="BL698" i="11" l="1"/>
  <c r="BL219" i="11"/>
  <c r="BL222" i="11" s="1"/>
  <c r="BL887" i="11"/>
  <c r="BL270" i="11"/>
  <c r="BQ119" i="11"/>
  <c r="BL748" i="11"/>
  <c r="BL699" i="11"/>
  <c r="BL718" i="11"/>
  <c r="BL719" i="11" s="1"/>
  <c r="BL720" i="11" s="1"/>
  <c r="BL721" i="11" s="1"/>
  <c r="BQ837" i="11"/>
  <c r="BQ165" i="11"/>
  <c r="BQ152" i="11"/>
  <c r="BQ153" i="11" s="1"/>
  <c r="BQ244" i="11"/>
  <c r="BQ167" i="11" s="1"/>
  <c r="BR919" i="11"/>
  <c r="BQ922" i="11"/>
  <c r="BR913" i="11"/>
  <c r="BQ916" i="11"/>
  <c r="BP630" i="11"/>
  <c r="BP636" i="11"/>
  <c r="BP633" i="11"/>
  <c r="BC100" i="9"/>
  <c r="BD65" i="9"/>
  <c r="BD66" i="9" s="1"/>
  <c r="BC66" i="9"/>
  <c r="BC105" i="9"/>
  <c r="BC101" i="9"/>
  <c r="BD100" i="9"/>
  <c r="BF73" i="9"/>
  <c r="AQ195" i="9"/>
  <c r="AQ192" i="9" s="1"/>
  <c r="AQ191" i="9"/>
  <c r="AM121" i="9"/>
  <c r="AM148" i="9"/>
  <c r="AM149" i="9" s="1"/>
  <c r="AM151" i="9" s="1"/>
  <c r="AP195" i="9"/>
  <c r="AP191" i="9"/>
  <c r="BE87" i="9"/>
  <c r="BE86" i="9" s="1"/>
  <c r="BE97" i="9"/>
  <c r="BE96" i="9" s="1"/>
  <c r="BE106" i="9"/>
  <c r="AM136" i="9"/>
  <c r="BR920" i="11" l="1"/>
  <c r="BR928" i="11" s="1"/>
  <c r="BQ123" i="11"/>
  <c r="BQ126" i="11" s="1"/>
  <c r="BQ245" i="11"/>
  <c r="BQ122" i="11"/>
  <c r="BL936" i="11"/>
  <c r="BL890" i="11"/>
  <c r="BL697" i="11"/>
  <c r="BL700" i="11"/>
  <c r="BL722" i="11"/>
  <c r="BL723" i="11" s="1"/>
  <c r="BL724" i="11" s="1"/>
  <c r="BL725" i="11" s="1"/>
  <c r="BR914" i="11"/>
  <c r="BR927" i="11" s="1"/>
  <c r="AP177" i="9"/>
  <c r="AP178" i="9" s="1"/>
  <c r="AP204" i="9"/>
  <c r="AP205" i="9" s="1"/>
  <c r="AP207" i="9" s="1"/>
  <c r="AM156" i="9"/>
  <c r="AQ204" i="9"/>
  <c r="AQ205" i="9" s="1"/>
  <c r="AQ207" i="9" s="1"/>
  <c r="AQ212" i="9" s="1"/>
  <c r="AQ177" i="9"/>
  <c r="AN130" i="9"/>
  <c r="AM122" i="9"/>
  <c r="AP192" i="9"/>
  <c r="BF69" i="9"/>
  <c r="BF82" i="9" s="1"/>
  <c r="BF68" i="9"/>
  <c r="BD95" i="9"/>
  <c r="BD93" i="9" s="1"/>
  <c r="BD92" i="9" s="1"/>
  <c r="BD105" i="9"/>
  <c r="BD101" i="9"/>
  <c r="BC106" i="9"/>
  <c r="BC97" i="9"/>
  <c r="BC96" i="9" s="1"/>
  <c r="BC87" i="9"/>
  <c r="BC86" i="9" s="1"/>
  <c r="BQ628" i="11" l="1"/>
  <c r="BQ168" i="11"/>
  <c r="BQ644" i="11" s="1"/>
  <c r="BQ645" i="11" s="1"/>
  <c r="BL728" i="11"/>
  <c r="BL943" i="11"/>
  <c r="BL955" i="11" s="1"/>
  <c r="BL989" i="11" s="1"/>
  <c r="BQ998" i="11"/>
  <c r="BR930" i="11"/>
  <c r="BS914" i="11"/>
  <c r="BR946" i="11"/>
  <c r="BL897" i="11"/>
  <c r="BM889" i="11"/>
  <c r="BS920" i="11"/>
  <c r="BR947" i="11"/>
  <c r="BF83" i="9"/>
  <c r="BF79" i="9"/>
  <c r="AQ213" i="9"/>
  <c r="AQ217" i="9"/>
  <c r="AM161" i="9"/>
  <c r="AM157" i="9"/>
  <c r="AR186" i="9"/>
  <c r="AQ178" i="9"/>
  <c r="BD106" i="9"/>
  <c r="BD87" i="9"/>
  <c r="BD86" i="9" s="1"/>
  <c r="BD97" i="9"/>
  <c r="BD96" i="9" s="1"/>
  <c r="AN129" i="9"/>
  <c r="AO130" i="9"/>
  <c r="AO129" i="9" s="1"/>
  <c r="AO124" i="9" s="1"/>
  <c r="AP212" i="9"/>
  <c r="BR114" i="11" l="1"/>
  <c r="BR242" i="11"/>
  <c r="BS930" i="11"/>
  <c r="BS926" i="11"/>
  <c r="BS928" i="11"/>
  <c r="BS946" i="11"/>
  <c r="BR917" i="11"/>
  <c r="BR916" i="11" s="1"/>
  <c r="BR923" i="11"/>
  <c r="BR922" i="11" s="1"/>
  <c r="BS947" i="11"/>
  <c r="BR949" i="11"/>
  <c r="BS949" i="11" s="1"/>
  <c r="BS925" i="11"/>
  <c r="BS927" i="11"/>
  <c r="BM737" i="11"/>
  <c r="BL994" i="11"/>
  <c r="BL488" i="11"/>
  <c r="BL490" i="11" s="1"/>
  <c r="BL493" i="11" s="1"/>
  <c r="BL495" i="11" s="1"/>
  <c r="BL499" i="11" s="1"/>
  <c r="BL733" i="11"/>
  <c r="BL749" i="11" s="1"/>
  <c r="BQ634" i="11"/>
  <c r="BQ637" i="11"/>
  <c r="BQ629" i="11"/>
  <c r="AN124" i="9"/>
  <c r="AN125" i="9"/>
  <c r="AO123" i="9"/>
  <c r="AQ199" i="9"/>
  <c r="AQ198" i="9" s="1"/>
  <c r="AQ218" i="9"/>
  <c r="AQ209" i="9"/>
  <c r="AQ208" i="9" s="1"/>
  <c r="AP217" i="9"/>
  <c r="AP213" i="9"/>
  <c r="AR185" i="9"/>
  <c r="AT186" i="9"/>
  <c r="AT185" i="9" s="1"/>
  <c r="AT180" i="9" s="1"/>
  <c r="AM162" i="9"/>
  <c r="AM143" i="9"/>
  <c r="AM142" i="9" s="1"/>
  <c r="AM153" i="9"/>
  <c r="AM152" i="9" s="1"/>
  <c r="BF65" i="9"/>
  <c r="BF92" i="9"/>
  <c r="BF93" i="9" s="1"/>
  <c r="BF95" i="9" s="1"/>
  <c r="BF100" i="9" s="1"/>
  <c r="BF80" i="9"/>
  <c r="BM739" i="11" l="1"/>
  <c r="BN737" i="11"/>
  <c r="BS923" i="11"/>
  <c r="BR837" i="11"/>
  <c r="BS837" i="11" s="1"/>
  <c r="BR165" i="11"/>
  <c r="BR152" i="11"/>
  <c r="BR153" i="11" s="1"/>
  <c r="BR244" i="11"/>
  <c r="BR167" i="11" s="1"/>
  <c r="BS242" i="11"/>
  <c r="BS917" i="11"/>
  <c r="BR119" i="11"/>
  <c r="BS114" i="11"/>
  <c r="BS119" i="11" s="1"/>
  <c r="BQ630" i="11"/>
  <c r="BQ636" i="11"/>
  <c r="BQ633" i="11"/>
  <c r="BF105" i="9"/>
  <c r="BF101" i="9"/>
  <c r="AT179" i="9"/>
  <c r="AR180" i="9"/>
  <c r="AR181" i="9"/>
  <c r="AR194" i="9" s="1"/>
  <c r="AU181" i="9"/>
  <c r="AU194" i="9" s="1"/>
  <c r="AS181" i="9"/>
  <c r="BG74" i="9"/>
  <c r="BF66" i="9"/>
  <c r="AP209" i="9"/>
  <c r="AP208" i="9" s="1"/>
  <c r="AP199" i="9"/>
  <c r="AP198" i="9" s="1"/>
  <c r="AP218" i="9"/>
  <c r="AN138" i="9"/>
  <c r="AO125" i="9"/>
  <c r="AO138" i="9" s="1"/>
  <c r="AO135" i="9" s="1"/>
  <c r="BS165" i="11" l="1"/>
  <c r="BS152" i="11"/>
  <c r="BS153" i="11" s="1"/>
  <c r="BS244" i="11"/>
  <c r="BS167" i="11" s="1"/>
  <c r="BT913" i="11"/>
  <c r="BS916" i="11"/>
  <c r="BT919" i="11"/>
  <c r="BS922" i="11"/>
  <c r="BR245" i="11"/>
  <c r="BR123" i="11"/>
  <c r="BR126" i="11" s="1"/>
  <c r="BR122" i="11"/>
  <c r="BS123" i="11"/>
  <c r="BS126" i="11" s="1"/>
  <c r="BS122" i="11"/>
  <c r="BM740" i="11"/>
  <c r="BM249" i="11"/>
  <c r="BM742" i="11"/>
  <c r="BN739" i="11"/>
  <c r="BG73" i="9"/>
  <c r="AU195" i="9"/>
  <c r="AU191" i="9"/>
  <c r="AN139" i="9"/>
  <c r="AN135" i="9"/>
  <c r="AS194" i="9"/>
  <c r="AT181" i="9"/>
  <c r="AT194" i="9" s="1"/>
  <c r="AT191" i="9" s="1"/>
  <c r="AR195" i="9"/>
  <c r="AR191" i="9"/>
  <c r="BF97" i="9"/>
  <c r="BF96" i="9" s="1"/>
  <c r="BF87" i="9"/>
  <c r="BF86" i="9" s="1"/>
  <c r="BF106" i="9"/>
  <c r="BR628" i="11" l="1"/>
  <c r="BR168" i="11"/>
  <c r="BR644" i="11" s="1"/>
  <c r="BR645" i="11" s="1"/>
  <c r="BS245" i="11"/>
  <c r="BN740" i="11"/>
  <c r="BN742" i="11"/>
  <c r="BR998" i="11"/>
  <c r="BT920" i="11"/>
  <c r="BT947" i="11" s="1"/>
  <c r="BM251" i="11"/>
  <c r="BN249" i="11"/>
  <c r="BN251" i="11" s="1"/>
  <c r="BT914" i="11"/>
  <c r="BT927" i="11"/>
  <c r="AR204" i="9"/>
  <c r="AR205" i="9" s="1"/>
  <c r="AR207" i="9" s="1"/>
  <c r="AR177" i="9"/>
  <c r="AR178" i="9" s="1"/>
  <c r="AN121" i="9"/>
  <c r="AN148" i="9"/>
  <c r="AN149" i="9" s="1"/>
  <c r="AN151" i="9" s="1"/>
  <c r="AN156" i="9" s="1"/>
  <c r="AN136" i="9"/>
  <c r="AO136" i="9" s="1"/>
  <c r="AO139" i="9"/>
  <c r="AR192" i="9"/>
  <c r="AS195" i="9"/>
  <c r="AS192" i="9" s="1"/>
  <c r="AS191" i="9"/>
  <c r="AU204" i="9"/>
  <c r="AU205" i="9" s="1"/>
  <c r="AU207" i="9" s="1"/>
  <c r="AU177" i="9"/>
  <c r="AU192" i="9"/>
  <c r="BG69" i="9"/>
  <c r="BG82" i="9" s="1"/>
  <c r="BG68" i="9"/>
  <c r="BT928" i="11" l="1"/>
  <c r="BT949" i="11"/>
  <c r="BT923" i="11"/>
  <c r="BT930" i="11"/>
  <c r="BT946" i="11"/>
  <c r="BS628" i="11"/>
  <c r="BS168" i="11"/>
  <c r="BS644" i="11" s="1"/>
  <c r="BS645" i="11" s="1"/>
  <c r="BS998" i="11"/>
  <c r="BR634" i="11"/>
  <c r="BR637" i="11"/>
  <c r="BR629" i="11"/>
  <c r="BM254" i="11"/>
  <c r="BM253" i="11"/>
  <c r="AU212" i="9"/>
  <c r="AS204" i="9"/>
  <c r="AS205" i="9" s="1"/>
  <c r="AS207" i="9" s="1"/>
  <c r="AS212" i="9" s="1"/>
  <c r="AS177" i="9"/>
  <c r="AV186" i="9"/>
  <c r="AU178" i="9"/>
  <c r="AN161" i="9"/>
  <c r="AN157" i="9"/>
  <c r="AO156" i="9"/>
  <c r="AO121" i="9"/>
  <c r="AN122" i="9"/>
  <c r="BG83" i="9"/>
  <c r="BG79" i="9"/>
  <c r="AU217" i="9"/>
  <c r="AU213" i="9"/>
  <c r="AT195" i="9"/>
  <c r="AT192" i="9"/>
  <c r="AR212" i="9"/>
  <c r="BM255" i="11" l="1"/>
  <c r="BM259" i="11" s="1"/>
  <c r="BM269" i="11" s="1"/>
  <c r="BM840" i="11"/>
  <c r="BN254" i="11"/>
  <c r="BN267" i="11" s="1"/>
  <c r="BU919" i="11"/>
  <c r="BT922" i="11"/>
  <c r="BR630" i="11"/>
  <c r="BR636" i="11"/>
  <c r="BR633" i="11"/>
  <c r="BO674" i="11"/>
  <c r="BS674" i="11"/>
  <c r="BP674" i="11"/>
  <c r="BQ674" i="11"/>
  <c r="BS637" i="11"/>
  <c r="BS629" i="11"/>
  <c r="BR674" i="11"/>
  <c r="BT114" i="11"/>
  <c r="BT119" i="11" s="1"/>
  <c r="BT242" i="11"/>
  <c r="BM262" i="11"/>
  <c r="BN262" i="11" s="1"/>
  <c r="BN253" i="11"/>
  <c r="BT917" i="11"/>
  <c r="BG92" i="9"/>
  <c r="BG93" i="9" s="1"/>
  <c r="BG95" i="9" s="1"/>
  <c r="BG65" i="9"/>
  <c r="BG80" i="9"/>
  <c r="AP130" i="9"/>
  <c r="AO122" i="9"/>
  <c r="AN153" i="9"/>
  <c r="AN152" i="9" s="1"/>
  <c r="AN162" i="9"/>
  <c r="AN143" i="9"/>
  <c r="AN142" i="9" s="1"/>
  <c r="AT177" i="9"/>
  <c r="AT178" i="9" s="1"/>
  <c r="AS178" i="9"/>
  <c r="AR217" i="9"/>
  <c r="AR213" i="9"/>
  <c r="AT212" i="9"/>
  <c r="AO151" i="9"/>
  <c r="AO149" i="9" s="1"/>
  <c r="AO148" i="9" s="1"/>
  <c r="AO161" i="9"/>
  <c r="AO157" i="9"/>
  <c r="AV185" i="9"/>
  <c r="AU209" i="9"/>
  <c r="AU208" i="9" s="1"/>
  <c r="AU218" i="9"/>
  <c r="AU199" i="9"/>
  <c r="AU198" i="9" s="1"/>
  <c r="AS217" i="9"/>
  <c r="AS213" i="9"/>
  <c r="BM261" i="11" l="1"/>
  <c r="BM264" i="11" s="1"/>
  <c r="BM836" i="11"/>
  <c r="BN836" i="11" s="1"/>
  <c r="BT837" i="11"/>
  <c r="BT165" i="11"/>
  <c r="BT152" i="11"/>
  <c r="BT153" i="11" s="1"/>
  <c r="BT244" i="11"/>
  <c r="BT167" i="11" s="1"/>
  <c r="BT245" i="11"/>
  <c r="BT998" i="11" s="1"/>
  <c r="BT123" i="11"/>
  <c r="BT126" i="11" s="1"/>
  <c r="BT122" i="11"/>
  <c r="BU920" i="11"/>
  <c r="BU947" i="11" s="1"/>
  <c r="BS630" i="11"/>
  <c r="BS636" i="11"/>
  <c r="BU913" i="11"/>
  <c r="BT916" i="11"/>
  <c r="BN266" i="11"/>
  <c r="BN255" i="11"/>
  <c r="BN840" i="11"/>
  <c r="BM953" i="11"/>
  <c r="AT217" i="9"/>
  <c r="AT207" i="9"/>
  <c r="AT205" i="9" s="1"/>
  <c r="AT204" i="9" s="1"/>
  <c r="AT213" i="9"/>
  <c r="AO153" i="9"/>
  <c r="AO152" i="9" s="1"/>
  <c r="AO143" i="9"/>
  <c r="AO142" i="9" s="1"/>
  <c r="AO162" i="9"/>
  <c r="AR218" i="9"/>
  <c r="AR199" i="9"/>
  <c r="AR198" i="9" s="1"/>
  <c r="AR209" i="9"/>
  <c r="AR208" i="9" s="1"/>
  <c r="AP129" i="9"/>
  <c r="BH74" i="9"/>
  <c r="BG66" i="9"/>
  <c r="AV181" i="9"/>
  <c r="AV194" i="9" s="1"/>
  <c r="AV180" i="9"/>
  <c r="AW181" i="9"/>
  <c r="AW194" i="9" s="1"/>
  <c r="AS218" i="9"/>
  <c r="AS209" i="9"/>
  <c r="AS208" i="9" s="1"/>
  <c r="AS199" i="9"/>
  <c r="AS198" i="9" s="1"/>
  <c r="BG100" i="9"/>
  <c r="BM983" i="11" l="1"/>
  <c r="BN983" i="11" s="1"/>
  <c r="BM845" i="11"/>
  <c r="BM853" i="11" s="1"/>
  <c r="BN845" i="11"/>
  <c r="BN696" i="11" s="1"/>
  <c r="BM276" i="11"/>
  <c r="BM271" i="11" s="1"/>
  <c r="BM275" i="11"/>
  <c r="BU928" i="11"/>
  <c r="BN1007" i="11"/>
  <c r="BN259" i="11"/>
  <c r="BU914" i="11"/>
  <c r="BU923" i="11"/>
  <c r="BU949" i="11"/>
  <c r="BT628" i="11"/>
  <c r="BT168" i="11"/>
  <c r="BT644" i="11" s="1"/>
  <c r="BN953" i="11"/>
  <c r="BM954" i="11"/>
  <c r="BH73" i="9"/>
  <c r="BI74" i="9"/>
  <c r="BI73" i="9" s="1"/>
  <c r="BI68" i="9" s="1"/>
  <c r="AV195" i="9"/>
  <c r="AV191" i="9"/>
  <c r="AP124" i="9"/>
  <c r="AP125" i="9"/>
  <c r="AP138" i="9" s="1"/>
  <c r="BG105" i="9"/>
  <c r="BG101" i="9"/>
  <c r="AW195" i="9"/>
  <c r="AW192" i="9" s="1"/>
  <c r="AW191" i="9"/>
  <c r="AT218" i="9"/>
  <c r="AT209" i="9"/>
  <c r="AT208" i="9" s="1"/>
  <c r="AT199" i="9"/>
  <c r="AT198" i="9" s="1"/>
  <c r="BM985" i="11" l="1"/>
  <c r="BM987" i="11" s="1"/>
  <c r="BM696" i="11"/>
  <c r="BM718" i="11" s="1"/>
  <c r="BM719" i="11" s="1"/>
  <c r="BM720" i="11" s="1"/>
  <c r="BM721" i="11" s="1"/>
  <c r="BN853" i="11"/>
  <c r="BN698" i="11" s="1"/>
  <c r="BU930" i="11"/>
  <c r="BU946" i="11"/>
  <c r="BN985" i="11"/>
  <c r="BN987" i="11" s="1"/>
  <c r="BU927" i="11"/>
  <c r="BN718" i="11"/>
  <c r="BN719" i="11" s="1"/>
  <c r="BN720" i="11" s="1"/>
  <c r="BN721" i="11" s="1"/>
  <c r="BN261" i="11"/>
  <c r="BN269" i="11"/>
  <c r="BM698" i="11"/>
  <c r="BM219" i="11"/>
  <c r="BM222" i="11" s="1"/>
  <c r="BM887" i="11"/>
  <c r="BN954" i="11"/>
  <c r="BN275" i="11"/>
  <c r="BN699" i="11" s="1"/>
  <c r="BM270" i="11"/>
  <c r="BU922" i="11"/>
  <c r="BV919" i="11"/>
  <c r="BT674" i="11"/>
  <c r="BT637" i="11"/>
  <c r="BT629" i="11"/>
  <c r="BT630" i="11" s="1"/>
  <c r="BM748" i="11"/>
  <c r="BN276" i="11"/>
  <c r="BN748" i="11" s="1"/>
  <c r="BG97" i="9"/>
  <c r="BG96" i="9" s="1"/>
  <c r="BG87" i="9"/>
  <c r="BG86" i="9" s="1"/>
  <c r="BG106" i="9"/>
  <c r="BH69" i="9"/>
  <c r="BH68" i="9"/>
  <c r="AW204" i="9"/>
  <c r="AW205" i="9" s="1"/>
  <c r="AW207" i="9" s="1"/>
  <c r="AW212" i="9" s="1"/>
  <c r="AW177" i="9"/>
  <c r="AP139" i="9"/>
  <c r="AP135" i="9"/>
  <c r="AV204" i="9"/>
  <c r="AV205" i="9" s="1"/>
  <c r="AV207" i="9" s="1"/>
  <c r="AV177" i="9"/>
  <c r="AV178" i="9" s="1"/>
  <c r="AV192" i="9"/>
  <c r="BI67" i="9"/>
  <c r="BM699" i="11" l="1"/>
  <c r="BN887" i="11"/>
  <c r="BN890" i="11" s="1"/>
  <c r="BS889" i="11" s="1"/>
  <c r="BN219" i="11"/>
  <c r="BN222" i="11" s="1"/>
  <c r="BN264" i="11"/>
  <c r="BN271" i="11" s="1"/>
  <c r="BN751" i="11" s="1"/>
  <c r="BN270" i="11"/>
  <c r="BM700" i="11"/>
  <c r="BM697" i="11"/>
  <c r="BM722" i="11"/>
  <c r="BM723" i="11" s="1"/>
  <c r="BM724" i="11" s="1"/>
  <c r="BM725" i="11" s="1"/>
  <c r="BN722" i="11"/>
  <c r="BN700" i="11"/>
  <c r="BN754" i="11" s="1"/>
  <c r="BN697" i="11"/>
  <c r="BM936" i="11"/>
  <c r="BM890" i="11"/>
  <c r="BV920" i="11"/>
  <c r="BV947" i="11" s="1"/>
  <c r="BU917" i="11"/>
  <c r="BU242" i="11"/>
  <c r="BU114" i="11"/>
  <c r="BU119" i="11" s="1"/>
  <c r="AV212" i="9"/>
  <c r="AP136" i="9"/>
  <c r="BH82" i="9"/>
  <c r="BI69" i="9"/>
  <c r="BI82" i="9" s="1"/>
  <c r="BI79" i="9" s="1"/>
  <c r="AW213" i="9"/>
  <c r="AW217" i="9"/>
  <c r="AV213" i="9"/>
  <c r="AV217" i="9"/>
  <c r="AP121" i="9"/>
  <c r="AP148" i="9"/>
  <c r="AP149" i="9" s="1"/>
  <c r="AP151" i="9" s="1"/>
  <c r="AP156" i="9" s="1"/>
  <c r="AX186" i="9"/>
  <c r="AW178" i="9"/>
  <c r="BO889" i="11" l="1"/>
  <c r="BU245" i="11"/>
  <c r="BU123" i="11"/>
  <c r="BU126" i="11" s="1"/>
  <c r="BU122" i="11"/>
  <c r="BM943" i="11"/>
  <c r="BM955" i="11" s="1"/>
  <c r="BM989" i="11" s="1"/>
  <c r="BN936" i="11"/>
  <c r="BM728" i="11"/>
  <c r="BN755" i="11"/>
  <c r="BN723" i="11"/>
  <c r="BN724" i="11" s="1"/>
  <c r="BN725" i="11" s="1"/>
  <c r="BU916" i="11"/>
  <c r="BV913" i="11"/>
  <c r="BV949" i="11"/>
  <c r="BV923" i="11"/>
  <c r="BV922" i="11" s="1"/>
  <c r="BM897" i="11"/>
  <c r="BU837" i="11"/>
  <c r="BU165" i="11"/>
  <c r="BU152" i="11"/>
  <c r="BU153" i="11" s="1"/>
  <c r="BU244" i="11"/>
  <c r="BU167" i="11" s="1"/>
  <c r="BV928" i="11"/>
  <c r="AX185" i="9"/>
  <c r="AY186" i="9"/>
  <c r="AY185" i="9" s="1"/>
  <c r="AY180" i="9" s="1"/>
  <c r="AV218" i="9"/>
  <c r="AV209" i="9"/>
  <c r="AV208" i="9" s="1"/>
  <c r="AV199" i="9"/>
  <c r="AV198" i="9" s="1"/>
  <c r="AW209" i="9"/>
  <c r="AW208" i="9" s="1"/>
  <c r="AW218" i="9"/>
  <c r="AW199" i="9"/>
  <c r="AW198" i="9" s="1"/>
  <c r="AP161" i="9"/>
  <c r="AP157" i="9"/>
  <c r="AQ130" i="9"/>
  <c r="AP122" i="9"/>
  <c r="BH83" i="9"/>
  <c r="BH79" i="9"/>
  <c r="BM994" i="11" l="1"/>
  <c r="BM488" i="11"/>
  <c r="BM490" i="11" s="1"/>
  <c r="BM493" i="11" s="1"/>
  <c r="BM495" i="11" s="1"/>
  <c r="BM499" i="11" s="1"/>
  <c r="BM733" i="11"/>
  <c r="BM749" i="11" s="1"/>
  <c r="BN738" i="11"/>
  <c r="BN728" i="11"/>
  <c r="BN943" i="11"/>
  <c r="BN955" i="11" s="1"/>
  <c r="BN989" i="11" s="1"/>
  <c r="BN897" i="11"/>
  <c r="BV914" i="11"/>
  <c r="BU628" i="11"/>
  <c r="BU168" i="11"/>
  <c r="BU644" i="11" s="1"/>
  <c r="BU998" i="11"/>
  <c r="BH92" i="9"/>
  <c r="BH93" i="9" s="1"/>
  <c r="BH95" i="9" s="1"/>
  <c r="BH65" i="9"/>
  <c r="AP143" i="9"/>
  <c r="AP142" i="9" s="1"/>
  <c r="AP162" i="9"/>
  <c r="AP153" i="9"/>
  <c r="AP152" i="9" s="1"/>
  <c r="BH80" i="9"/>
  <c r="BI80" i="9" s="1"/>
  <c r="BI83" i="9"/>
  <c r="AQ129" i="9"/>
  <c r="AY179" i="9"/>
  <c r="AX180" i="9"/>
  <c r="AX181" i="9"/>
  <c r="BV930" i="11" l="1"/>
  <c r="BV946" i="11"/>
  <c r="BU674" i="11"/>
  <c r="BU629" i="11"/>
  <c r="BU630" i="11" s="1"/>
  <c r="BU637" i="11"/>
  <c r="BV927" i="11"/>
  <c r="BN994" i="11"/>
  <c r="BO737" i="11"/>
  <c r="BN488" i="11"/>
  <c r="BN490" i="11" s="1"/>
  <c r="BN493" i="11" s="1"/>
  <c r="BN495" i="11" s="1"/>
  <c r="BN499" i="11" s="1"/>
  <c r="BN733" i="11"/>
  <c r="AX194" i="9"/>
  <c r="AY181" i="9"/>
  <c r="AY194" i="9" s="1"/>
  <c r="AY191" i="9" s="1"/>
  <c r="AQ124" i="9"/>
  <c r="AQ125" i="9"/>
  <c r="AQ138" i="9" s="1"/>
  <c r="BI65" i="9"/>
  <c r="BH66" i="9"/>
  <c r="BH100" i="9"/>
  <c r="BN501" i="11" l="1"/>
  <c r="BN502" i="11"/>
  <c r="BN743" i="11"/>
  <c r="BN749" i="11"/>
  <c r="BN744" i="11"/>
  <c r="BO739" i="11"/>
  <c r="BV917" i="11"/>
  <c r="BV916" i="11" s="1"/>
  <c r="BV114" i="11"/>
  <c r="BV119" i="11" s="1"/>
  <c r="BV242" i="11"/>
  <c r="AQ139" i="9"/>
  <c r="AQ135" i="9"/>
  <c r="BH105" i="9"/>
  <c r="BH101" i="9"/>
  <c r="BI100" i="9"/>
  <c r="BJ74" i="9"/>
  <c r="BI66" i="9"/>
  <c r="AX195" i="9"/>
  <c r="AX191" i="9"/>
  <c r="BO740" i="11" l="1"/>
  <c r="BO249" i="11"/>
  <c r="BO742" i="11"/>
  <c r="BV837" i="11"/>
  <c r="BV165" i="11"/>
  <c r="BV152" i="11"/>
  <c r="BV153" i="11" s="1"/>
  <c r="BV244" i="11"/>
  <c r="BN752" i="11"/>
  <c r="BN753" i="11"/>
  <c r="BN756" i="11"/>
  <c r="BV123" i="11"/>
  <c r="BV126" i="11" s="1"/>
  <c r="BV245" i="11"/>
  <c r="BV998" i="11" s="1"/>
  <c r="BV122" i="11"/>
  <c r="AX204" i="9"/>
  <c r="AX205" i="9" s="1"/>
  <c r="AX207" i="9" s="1"/>
  <c r="AX177" i="9"/>
  <c r="BJ73" i="9"/>
  <c r="AX192" i="9"/>
  <c r="AY192" i="9" s="1"/>
  <c r="AY195" i="9"/>
  <c r="BI105" i="9"/>
  <c r="BI95" i="9"/>
  <c r="BI93" i="9" s="1"/>
  <c r="BI92" i="9" s="1"/>
  <c r="BI101" i="9"/>
  <c r="BH87" i="9"/>
  <c r="BH86" i="9" s="1"/>
  <c r="BH97" i="9"/>
  <c r="BH96" i="9" s="1"/>
  <c r="BH106" i="9"/>
  <c r="AQ148" i="9"/>
  <c r="AQ149" i="9" s="1"/>
  <c r="AQ151" i="9" s="1"/>
  <c r="AQ156" i="9" s="1"/>
  <c r="AQ121" i="9"/>
  <c r="AQ136" i="9"/>
  <c r="BV168" i="11" l="1"/>
  <c r="BV644" i="11" s="1"/>
  <c r="BV628" i="11"/>
  <c r="BV167" i="11"/>
  <c r="A245" i="11"/>
  <c r="A246" i="11" s="1"/>
  <c r="BO251" i="11"/>
  <c r="BI87" i="9"/>
  <c r="BI86" i="9" s="1"/>
  <c r="BI97" i="9"/>
  <c r="BI96" i="9" s="1"/>
  <c r="BI106" i="9"/>
  <c r="AQ161" i="9"/>
  <c r="AQ157" i="9"/>
  <c r="AR130" i="9"/>
  <c r="AQ122" i="9"/>
  <c r="AY177" i="9"/>
  <c r="AX178" i="9"/>
  <c r="BK69" i="9"/>
  <c r="BK82" i="9" s="1"/>
  <c r="BK83" i="9" s="1"/>
  <c r="BJ69" i="9"/>
  <c r="BJ82" i="9" s="1"/>
  <c r="BJ68" i="9"/>
  <c r="BN73" i="9"/>
  <c r="BM69" i="9"/>
  <c r="BL69" i="9"/>
  <c r="BL82" i="9" s="1"/>
  <c r="BL83" i="9" s="1"/>
  <c r="AX212" i="9"/>
  <c r="BV629" i="11" l="1"/>
  <c r="BV630" i="11" s="1"/>
  <c r="BV637" i="11"/>
  <c r="BV674" i="11"/>
  <c r="A1098" i="11"/>
  <c r="BO254" i="11"/>
  <c r="BO253" i="11"/>
  <c r="BM82" i="9"/>
  <c r="BM83" i="9" s="1"/>
  <c r="BN69" i="9"/>
  <c r="BN82" i="9" s="1"/>
  <c r="BJ83" i="9"/>
  <c r="BJ79" i="9"/>
  <c r="AZ186" i="9"/>
  <c r="AY178" i="9"/>
  <c r="AX217" i="9"/>
  <c r="AX213" i="9"/>
  <c r="AY212" i="9"/>
  <c r="BN68" i="9"/>
  <c r="AR129" i="9"/>
  <c r="AT130" i="9"/>
  <c r="AT129" i="9" s="1"/>
  <c r="AT124" i="9" s="1"/>
  <c r="AQ162" i="9"/>
  <c r="AQ143" i="9"/>
  <c r="AQ142" i="9" s="1"/>
  <c r="AQ153" i="9"/>
  <c r="AQ152" i="9" s="1"/>
  <c r="BO255" i="11" l="1"/>
  <c r="BO259" i="11" s="1"/>
  <c r="BO836" i="11" s="1"/>
  <c r="BO262" i="11"/>
  <c r="BO840" i="11"/>
  <c r="AT123" i="9"/>
  <c r="AY207" i="9"/>
  <c r="AY205" i="9" s="1"/>
  <c r="AY204" i="9" s="1"/>
  <c r="AY213" i="9"/>
  <c r="AY217" i="9"/>
  <c r="AZ185" i="9"/>
  <c r="BN83" i="9"/>
  <c r="BJ80" i="9"/>
  <c r="AR125" i="9"/>
  <c r="AR138" i="9" s="1"/>
  <c r="AR124" i="9"/>
  <c r="AS125" i="9"/>
  <c r="AU125" i="9"/>
  <c r="AU138" i="9" s="1"/>
  <c r="AX209" i="9"/>
  <c r="AX208" i="9" s="1"/>
  <c r="AX199" i="9"/>
  <c r="AX198" i="9" s="1"/>
  <c r="AX218" i="9"/>
  <c r="BJ65" i="9"/>
  <c r="BJ92" i="9"/>
  <c r="BJ93" i="9" s="1"/>
  <c r="BJ95" i="9" s="1"/>
  <c r="BJ100" i="9" s="1"/>
  <c r="BO261" i="11" l="1"/>
  <c r="BO264" i="11" s="1"/>
  <c r="BO269" i="11"/>
  <c r="BO953" i="11"/>
  <c r="BO845" i="11"/>
  <c r="BO983" i="11"/>
  <c r="BK74" i="9"/>
  <c r="BJ66" i="9"/>
  <c r="AR139" i="9"/>
  <c r="AR135" i="9"/>
  <c r="AU139" i="9"/>
  <c r="AU135" i="9"/>
  <c r="AZ180" i="9"/>
  <c r="AZ181" i="9"/>
  <c r="AZ194" i="9" s="1"/>
  <c r="BJ105" i="9"/>
  <c r="BJ101" i="9"/>
  <c r="AS138" i="9"/>
  <c r="AT125" i="9"/>
  <c r="AT138" i="9" s="1"/>
  <c r="AT135" i="9" s="1"/>
  <c r="AY199" i="9"/>
  <c r="AY198" i="9" s="1"/>
  <c r="AY209" i="9"/>
  <c r="AY208" i="9" s="1"/>
  <c r="AY218" i="9"/>
  <c r="BO985" i="11" l="1"/>
  <c r="BO987" i="11" s="1"/>
  <c r="BO696" i="11"/>
  <c r="BO853" i="11"/>
  <c r="BO954" i="11"/>
  <c r="BO275" i="11"/>
  <c r="BO276" i="11"/>
  <c r="BO271" i="11" s="1"/>
  <c r="AS139" i="9"/>
  <c r="AS136" i="9" s="1"/>
  <c r="AS135" i="9"/>
  <c r="BJ106" i="9"/>
  <c r="BJ97" i="9"/>
  <c r="BJ96" i="9" s="1"/>
  <c r="BJ87" i="9"/>
  <c r="BJ86" i="9" s="1"/>
  <c r="AU136" i="9"/>
  <c r="AZ195" i="9"/>
  <c r="AZ191" i="9"/>
  <c r="AU148" i="9"/>
  <c r="AU149" i="9" s="1"/>
  <c r="AU151" i="9" s="1"/>
  <c r="AU156" i="9" s="1"/>
  <c r="AU121" i="9"/>
  <c r="AR148" i="9"/>
  <c r="AR149" i="9" s="1"/>
  <c r="AR151" i="9" s="1"/>
  <c r="AR121" i="9"/>
  <c r="AR122" i="9" s="1"/>
  <c r="AR136" i="9"/>
  <c r="AT136" i="9" s="1"/>
  <c r="AT139" i="9"/>
  <c r="BK75" i="9"/>
  <c r="BK76" i="9" s="1"/>
  <c r="BK79" i="9"/>
  <c r="BO748" i="11" l="1"/>
  <c r="BO270" i="11"/>
  <c r="BO698" i="11"/>
  <c r="BO219" i="11"/>
  <c r="BO222" i="11" s="1"/>
  <c r="BO887" i="11"/>
  <c r="BO718" i="11"/>
  <c r="BO719" i="11" s="1"/>
  <c r="BO720" i="11" s="1"/>
  <c r="BO721" i="11" s="1"/>
  <c r="BO699" i="11"/>
  <c r="AR156" i="9"/>
  <c r="AR161" i="9"/>
  <c r="AR157" i="9"/>
  <c r="AV130" i="9"/>
  <c r="AU122" i="9"/>
  <c r="AZ192" i="9"/>
  <c r="AS148" i="9"/>
  <c r="AS149" i="9" s="1"/>
  <c r="AS151" i="9" s="1"/>
  <c r="AS156" i="9" s="1"/>
  <c r="AT156" i="9" s="1"/>
  <c r="AS121" i="9"/>
  <c r="BK70" i="9"/>
  <c r="BK440" i="9" s="1"/>
  <c r="BL72" i="9"/>
  <c r="BK77" i="9"/>
  <c r="AU161" i="9"/>
  <c r="AU157" i="9"/>
  <c r="AZ204" i="9"/>
  <c r="AZ205" i="9" s="1"/>
  <c r="AZ207" i="9" s="1"/>
  <c r="AZ212" i="9" s="1"/>
  <c r="AZ177" i="9"/>
  <c r="BK92" i="9"/>
  <c r="BK93" i="9" s="1"/>
  <c r="BK95" i="9" s="1"/>
  <c r="BK65" i="9"/>
  <c r="BL74" i="9" s="1"/>
  <c r="BL79" i="9" s="1"/>
  <c r="BO722" i="11" l="1"/>
  <c r="BO723" i="11" s="1"/>
  <c r="BO724" i="11" s="1"/>
  <c r="BO725" i="11" s="1"/>
  <c r="BO700" i="11"/>
  <c r="BO697" i="11"/>
  <c r="BO890" i="11"/>
  <c r="BO936" i="11"/>
  <c r="AT151" i="9"/>
  <c r="AT149" i="9" s="1"/>
  <c r="AT148" i="9" s="1"/>
  <c r="AT157" i="9"/>
  <c r="BL65" i="9"/>
  <c r="BM74" i="9" s="1"/>
  <c r="BM75" i="9" s="1"/>
  <c r="BL92" i="9"/>
  <c r="BL93" i="9" s="1"/>
  <c r="BL95" i="9" s="1"/>
  <c r="BK80" i="9"/>
  <c r="BK100" i="9" s="1"/>
  <c r="AT121" i="9"/>
  <c r="AT122" i="9" s="1"/>
  <c r="AS122" i="9"/>
  <c r="BA186" i="9"/>
  <c r="AZ178" i="9"/>
  <c r="AU153" i="9"/>
  <c r="AU152" i="9" s="1"/>
  <c r="AU162" i="9"/>
  <c r="AU143" i="9"/>
  <c r="AU142" i="9" s="1"/>
  <c r="AS161" i="9"/>
  <c r="AS157" i="9"/>
  <c r="BL75" i="9"/>
  <c r="BL76" i="9" s="1"/>
  <c r="AR143" i="9"/>
  <c r="AR142" i="9" s="1"/>
  <c r="AR162" i="9"/>
  <c r="AR153" i="9"/>
  <c r="AR152" i="9" s="1"/>
  <c r="AZ213" i="9"/>
  <c r="AZ217" i="9"/>
  <c r="AV129" i="9"/>
  <c r="BK97" i="9"/>
  <c r="BK101" i="9" s="1"/>
  <c r="BP889" i="11" l="1"/>
  <c r="BO897" i="11"/>
  <c r="BO943" i="11"/>
  <c r="BO955" i="11" s="1"/>
  <c r="BO989" i="11" s="1"/>
  <c r="BO728" i="11"/>
  <c r="BL70" i="9"/>
  <c r="BL440" i="9" s="1"/>
  <c r="BL77" i="9"/>
  <c r="BM72" i="9"/>
  <c r="BM76" i="9" s="1"/>
  <c r="AS143" i="9"/>
  <c r="AS142" i="9" s="1"/>
  <c r="AS162" i="9"/>
  <c r="AS153" i="9"/>
  <c r="AS152" i="9" s="1"/>
  <c r="BK87" i="9"/>
  <c r="BK106" i="9"/>
  <c r="AV124" i="9"/>
  <c r="AV125" i="9"/>
  <c r="AV138" i="9" s="1"/>
  <c r="BA185" i="9"/>
  <c r="BK105" i="9"/>
  <c r="BK102" i="9"/>
  <c r="BL97" i="9"/>
  <c r="BL101" i="9" s="1"/>
  <c r="AZ199" i="9"/>
  <c r="AZ198" i="9" s="1"/>
  <c r="AZ209" i="9"/>
  <c r="AZ208" i="9" s="1"/>
  <c r="AZ218" i="9"/>
  <c r="BM79" i="9"/>
  <c r="AT153" i="9"/>
  <c r="AT152" i="9" s="1"/>
  <c r="AT162" i="9"/>
  <c r="AT143" i="9"/>
  <c r="AT142" i="9" s="1"/>
  <c r="BN74" i="9"/>
  <c r="BN75" i="9" s="1"/>
  <c r="BN76" i="9" s="1"/>
  <c r="AT161" i="9"/>
  <c r="BO994" i="11" l="1"/>
  <c r="BP737" i="11"/>
  <c r="BO488" i="11"/>
  <c r="BO490" i="11" s="1"/>
  <c r="BO493" i="11" s="1"/>
  <c r="BO495" i="11" s="1"/>
  <c r="BO499" i="11" s="1"/>
  <c r="BO733" i="11"/>
  <c r="BO749" i="11" s="1"/>
  <c r="BL87" i="9"/>
  <c r="BL106" i="9"/>
  <c r="BN70" i="9"/>
  <c r="BN440" i="9" s="1"/>
  <c r="BO72" i="9"/>
  <c r="BN79" i="9"/>
  <c r="BS72" i="9"/>
  <c r="BB181" i="9"/>
  <c r="BB194" i="9" s="1"/>
  <c r="BA181" i="9"/>
  <c r="BA194" i="9" s="1"/>
  <c r="BA180" i="9"/>
  <c r="BM65" i="9"/>
  <c r="BN65" i="9" s="1"/>
  <c r="BM92" i="9"/>
  <c r="BM93" i="9" s="1"/>
  <c r="BM95" i="9" s="1"/>
  <c r="BK284" i="9"/>
  <c r="BK107" i="9"/>
  <c r="BK103" i="9"/>
  <c r="BK98" i="9"/>
  <c r="BK89" i="9"/>
  <c r="BK88" i="9" s="1"/>
  <c r="BK86" i="9" s="1"/>
  <c r="AV139" i="9"/>
  <c r="AV135" i="9"/>
  <c r="BN67" i="9"/>
  <c r="BM77" i="9"/>
  <c r="BM80" i="9" s="1"/>
  <c r="BM70" i="9"/>
  <c r="BM440" i="9" s="1"/>
  <c r="BL80" i="9"/>
  <c r="BP739" i="11" l="1"/>
  <c r="BN77" i="9"/>
  <c r="BA195" i="9"/>
  <c r="BA191" i="9"/>
  <c r="BB195" i="9"/>
  <c r="BB192" i="9" s="1"/>
  <c r="BB191" i="9"/>
  <c r="BL100" i="9"/>
  <c r="BN80" i="9"/>
  <c r="BK11" i="9"/>
  <c r="BK13" i="9" s="1"/>
  <c r="BO74" i="9"/>
  <c r="BO79" i="9" s="1"/>
  <c r="BN66" i="9"/>
  <c r="AV121" i="9"/>
  <c r="AV148" i="9"/>
  <c r="AV149" i="9" s="1"/>
  <c r="AV151" i="9" s="1"/>
  <c r="AV156" i="9" s="1"/>
  <c r="BM100" i="9"/>
  <c r="BM97" i="9"/>
  <c r="BM101" i="9" s="1"/>
  <c r="AV136" i="9"/>
  <c r="BP740" i="11" l="1"/>
  <c r="BP249" i="11"/>
  <c r="BP742" i="11"/>
  <c r="BO92" i="9"/>
  <c r="BO93" i="9" s="1"/>
  <c r="BO95" i="9" s="1"/>
  <c r="BO65" i="9"/>
  <c r="BP74" i="9" s="1"/>
  <c r="BP75" i="9" s="1"/>
  <c r="BM102" i="9"/>
  <c r="BM105" i="9"/>
  <c r="BM87" i="9"/>
  <c r="BM106" i="9"/>
  <c r="BN101" i="9"/>
  <c r="AV161" i="9"/>
  <c r="AV157" i="9"/>
  <c r="BL102" i="9"/>
  <c r="BL105" i="9"/>
  <c r="BN100" i="9"/>
  <c r="BB204" i="9"/>
  <c r="BB205" i="9" s="1"/>
  <c r="BB207" i="9" s="1"/>
  <c r="BB212" i="9" s="1"/>
  <c r="BB177" i="9"/>
  <c r="BA204" i="9"/>
  <c r="BA205" i="9" s="1"/>
  <c r="BA207" i="9" s="1"/>
  <c r="BA212" i="9" s="1"/>
  <c r="BA177" i="9"/>
  <c r="BA178" i="9" s="1"/>
  <c r="BO75" i="9"/>
  <c r="BO76" i="9" s="1"/>
  <c r="AW130" i="9"/>
  <c r="AV122" i="9"/>
  <c r="BA192" i="9"/>
  <c r="BP251" i="11" l="1"/>
  <c r="BP79" i="9"/>
  <c r="BN95" i="9"/>
  <c r="BN93" i="9" s="1"/>
  <c r="BN92" i="9" s="1"/>
  <c r="BN105" i="9"/>
  <c r="BN102" i="9"/>
  <c r="BB217" i="9"/>
  <c r="BB213" i="9"/>
  <c r="BL284" i="9"/>
  <c r="BL103" i="9"/>
  <c r="BL89" i="9"/>
  <c r="BL88" i="9" s="1"/>
  <c r="BL86" i="9" s="1"/>
  <c r="BL107" i="9"/>
  <c r="BL98" i="9"/>
  <c r="BS85" i="9"/>
  <c r="BS274" i="9" s="1"/>
  <c r="BS12" i="9" s="1"/>
  <c r="BN87" i="9"/>
  <c r="BN97" i="9"/>
  <c r="BN96" i="9" s="1"/>
  <c r="BN106" i="9"/>
  <c r="BM284" i="9"/>
  <c r="BM103" i="9"/>
  <c r="BM89" i="9"/>
  <c r="BM88" i="9" s="1"/>
  <c r="BM86" i="9" s="1"/>
  <c r="BM107" i="9"/>
  <c r="BM98" i="9"/>
  <c r="BC186" i="9"/>
  <c r="BB178" i="9"/>
  <c r="AV153" i="9"/>
  <c r="AV152" i="9" s="1"/>
  <c r="AV143" i="9"/>
  <c r="AV142" i="9" s="1"/>
  <c r="AV162" i="9"/>
  <c r="AW129" i="9"/>
  <c r="BO97" i="9"/>
  <c r="BA213" i="9"/>
  <c r="BA217" i="9"/>
  <c r="BO77" i="9"/>
  <c r="BP72" i="9"/>
  <c r="BP76" i="9" s="1"/>
  <c r="BO70" i="9"/>
  <c r="BP65" i="9"/>
  <c r="BQ74" i="9" s="1"/>
  <c r="BP92" i="9"/>
  <c r="BP93" i="9" s="1"/>
  <c r="BP95" i="9" s="1"/>
  <c r="BP254" i="11" l="1"/>
  <c r="BP253" i="11"/>
  <c r="BQ75" i="9"/>
  <c r="BO440" i="9"/>
  <c r="BO83" i="9"/>
  <c r="BO80" i="9" s="1"/>
  <c r="BN284" i="9"/>
  <c r="BM11" i="9"/>
  <c r="BM13" i="9" s="1"/>
  <c r="BA199" i="9"/>
  <c r="BA198" i="9" s="1"/>
  <c r="BA209" i="9"/>
  <c r="BA208" i="9" s="1"/>
  <c r="BA218" i="9"/>
  <c r="BP97" i="9"/>
  <c r="BQ79" i="9"/>
  <c r="BP70" i="9"/>
  <c r="BP77" i="9"/>
  <c r="BQ72" i="9"/>
  <c r="BQ76" i="9" s="1"/>
  <c r="AW124" i="9"/>
  <c r="AW125" i="9"/>
  <c r="AW138" i="9" s="1"/>
  <c r="BB209" i="9"/>
  <c r="BB208" i="9" s="1"/>
  <c r="BB218" i="9"/>
  <c r="BB199" i="9"/>
  <c r="BB198" i="9" s="1"/>
  <c r="BN103" i="9"/>
  <c r="BN98" i="9"/>
  <c r="BN89" i="9"/>
  <c r="BN88" i="9" s="1"/>
  <c r="BN86" i="9" s="1"/>
  <c r="BN107" i="9"/>
  <c r="BL11" i="9"/>
  <c r="BL13" i="9" s="1"/>
  <c r="BC185" i="9"/>
  <c r="BD186" i="9"/>
  <c r="BD185" i="9" s="1"/>
  <c r="BD180" i="9" s="1"/>
  <c r="BP262" i="11" l="1"/>
  <c r="BP255" i="11"/>
  <c r="BP259" i="11" s="1"/>
  <c r="BP840" i="11"/>
  <c r="BO101" i="9"/>
  <c r="BD179" i="9"/>
  <c r="BC180" i="9"/>
  <c r="BC181" i="9"/>
  <c r="BQ92" i="9"/>
  <c r="BQ93" i="9" s="1"/>
  <c r="BQ95" i="9" s="1"/>
  <c r="BQ65" i="9"/>
  <c r="BR74" i="9" s="1"/>
  <c r="BO100" i="9"/>
  <c r="BQ70" i="9"/>
  <c r="BR72" i="9"/>
  <c r="BQ77" i="9"/>
  <c r="BP440" i="9"/>
  <c r="BP83" i="9"/>
  <c r="BP80" i="9" s="1"/>
  <c r="BP100" i="9" s="1"/>
  <c r="BO106" i="9"/>
  <c r="BO87" i="9"/>
  <c r="BN11" i="9"/>
  <c r="BN13" i="9" s="1"/>
  <c r="AW139" i="9"/>
  <c r="AW135" i="9"/>
  <c r="BP836" i="11" l="1"/>
  <c r="BP261" i="11"/>
  <c r="BP269" i="11"/>
  <c r="BP953" i="11"/>
  <c r="BP101" i="9"/>
  <c r="BP87" i="9" s="1"/>
  <c r="BO102" i="9"/>
  <c r="BO105" i="9"/>
  <c r="AW148" i="9"/>
  <c r="AW149" i="9" s="1"/>
  <c r="AW151" i="9" s="1"/>
  <c r="AW121" i="9"/>
  <c r="BR75" i="9"/>
  <c r="BR76" i="9" s="1"/>
  <c r="BS74" i="9"/>
  <c r="BS75" i="9" s="1"/>
  <c r="BS76" i="9" s="1"/>
  <c r="BR79" i="9"/>
  <c r="BP105" i="9"/>
  <c r="BP102" i="9"/>
  <c r="BQ440" i="9"/>
  <c r="BQ83" i="9"/>
  <c r="AW136" i="9"/>
  <c r="BQ97" i="9"/>
  <c r="BD181" i="9"/>
  <c r="BD194" i="9" s="1"/>
  <c r="BD191" i="9" s="1"/>
  <c r="BC194" i="9"/>
  <c r="BP954" i="11" l="1"/>
  <c r="BP264" i="11"/>
  <c r="BP845" i="11"/>
  <c r="BP983" i="11"/>
  <c r="BP106" i="9"/>
  <c r="BR70" i="9"/>
  <c r="BR77" i="9"/>
  <c r="BP284" i="9"/>
  <c r="BP89" i="9"/>
  <c r="BP88" i="9" s="1"/>
  <c r="BP86" i="9" s="1"/>
  <c r="BP98" i="9"/>
  <c r="BP103" i="9"/>
  <c r="BP107" i="9"/>
  <c r="BR65" i="9"/>
  <c r="BS65" i="9" s="1"/>
  <c r="BR92" i="9"/>
  <c r="BR93" i="9" s="1"/>
  <c r="BR95" i="9" s="1"/>
  <c r="BQ101" i="9"/>
  <c r="BO284" i="9"/>
  <c r="BO89" i="9"/>
  <c r="BO88" i="9" s="1"/>
  <c r="BO86" i="9" s="1"/>
  <c r="BO103" i="9"/>
  <c r="BO98" i="9"/>
  <c r="BO107" i="9"/>
  <c r="BQ80" i="9"/>
  <c r="BS70" i="9"/>
  <c r="BS440" i="9" s="1"/>
  <c r="BS79" i="9"/>
  <c r="BT72" i="9"/>
  <c r="BS67" i="9"/>
  <c r="AX130" i="9"/>
  <c r="AW122" i="9"/>
  <c r="BC195" i="9"/>
  <c r="BC191" i="9"/>
  <c r="AW156" i="9"/>
  <c r="BP985" i="11" l="1"/>
  <c r="BP987" i="11" s="1"/>
  <c r="BP696" i="11"/>
  <c r="BP853" i="11"/>
  <c r="BP275" i="11"/>
  <c r="BP276" i="11"/>
  <c r="BP271" i="11" s="1"/>
  <c r="BQ87" i="9"/>
  <c r="BQ106" i="9"/>
  <c r="BQ100" i="9"/>
  <c r="BO11" i="9"/>
  <c r="BO13" i="9" s="1"/>
  <c r="BT74" i="9"/>
  <c r="BT75" i="9" s="1"/>
  <c r="BS66" i="9"/>
  <c r="AX129" i="9"/>
  <c r="AY130" i="9"/>
  <c r="AY129" i="9" s="1"/>
  <c r="AY124" i="9" s="1"/>
  <c r="AY123" i="9"/>
  <c r="BT76" i="9"/>
  <c r="BS77" i="9"/>
  <c r="AW161" i="9"/>
  <c r="AW157" i="9"/>
  <c r="BC192" i="9"/>
  <c r="BD192" i="9" s="1"/>
  <c r="BD195" i="9"/>
  <c r="BR440" i="9"/>
  <c r="BR83" i="9"/>
  <c r="BS83" i="9" s="1"/>
  <c r="BR97" i="9"/>
  <c r="BC177" i="9"/>
  <c r="BC204" i="9"/>
  <c r="BC205" i="9" s="1"/>
  <c r="BC207" i="9" s="1"/>
  <c r="BP11" i="9"/>
  <c r="BP13" i="9" s="1"/>
  <c r="BP698" i="11" l="1"/>
  <c r="BP219" i="11"/>
  <c r="BP222" i="11" s="1"/>
  <c r="BP887" i="11"/>
  <c r="BP748" i="11"/>
  <c r="BP718" i="11"/>
  <c r="BP719" i="11" s="1"/>
  <c r="BP720" i="11" s="1"/>
  <c r="BP721" i="11" s="1"/>
  <c r="BP699" i="11"/>
  <c r="BP270" i="11"/>
  <c r="BR80" i="9"/>
  <c r="BS80" i="9" s="1"/>
  <c r="BU72" i="9"/>
  <c r="BT77" i="9"/>
  <c r="BT70" i="9"/>
  <c r="AX124" i="9"/>
  <c r="AX125" i="9"/>
  <c r="AZ125" i="9"/>
  <c r="AZ138" i="9" s="1"/>
  <c r="AW143" i="9"/>
  <c r="AW142" i="9" s="1"/>
  <c r="AW153" i="9"/>
  <c r="AW152" i="9" s="1"/>
  <c r="AW162" i="9"/>
  <c r="BC212" i="9"/>
  <c r="BQ105" i="9"/>
  <c r="BQ102" i="9"/>
  <c r="BT79" i="9"/>
  <c r="BD177" i="9"/>
  <c r="BC178" i="9"/>
  <c r="BR101" i="9"/>
  <c r="BP936" i="11" l="1"/>
  <c r="BP890" i="11"/>
  <c r="BP722" i="11"/>
  <c r="BP723" i="11" s="1"/>
  <c r="BP724" i="11" s="1"/>
  <c r="BP725" i="11" s="1"/>
  <c r="BP697" i="11"/>
  <c r="BP700" i="11"/>
  <c r="BR100" i="9"/>
  <c r="BR105" i="9" s="1"/>
  <c r="BE186" i="9"/>
  <c r="BD178" i="9"/>
  <c r="BS100" i="9"/>
  <c r="BC217" i="9"/>
  <c r="BC213" i="9"/>
  <c r="BD212" i="9"/>
  <c r="AZ139" i="9"/>
  <c r="AZ135" i="9"/>
  <c r="BR106" i="9"/>
  <c r="BR87" i="9"/>
  <c r="BS101" i="9"/>
  <c r="BT65" i="9"/>
  <c r="BU74" i="9" s="1"/>
  <c r="BU75" i="9" s="1"/>
  <c r="BU76" i="9" s="1"/>
  <c r="BT92" i="9"/>
  <c r="BQ89" i="9"/>
  <c r="BQ88" i="9" s="1"/>
  <c r="BQ86" i="9" s="1"/>
  <c r="BQ98" i="9"/>
  <c r="BQ284" i="9"/>
  <c r="BQ107" i="9"/>
  <c r="BQ103" i="9"/>
  <c r="AX138" i="9"/>
  <c r="AY125" i="9"/>
  <c r="AY138" i="9" s="1"/>
  <c r="AY135" i="9" s="1"/>
  <c r="BT440" i="9"/>
  <c r="BT83" i="9"/>
  <c r="BT80" i="9" s="1"/>
  <c r="BP897" i="11" l="1"/>
  <c r="BQ889" i="11"/>
  <c r="BP728" i="11"/>
  <c r="BP943" i="11"/>
  <c r="BP955" i="11" s="1"/>
  <c r="BP989" i="11" s="1"/>
  <c r="BR102" i="9"/>
  <c r="BU79" i="9"/>
  <c r="BV72" i="9"/>
  <c r="BU77" i="9"/>
  <c r="BU70" i="9"/>
  <c r="BS87" i="9"/>
  <c r="BS97" i="9"/>
  <c r="BS106" i="9"/>
  <c r="AZ136" i="9"/>
  <c r="BU65" i="9"/>
  <c r="BV74" i="9" s="1"/>
  <c r="BV75" i="9" s="1"/>
  <c r="BU92" i="9"/>
  <c r="BV79" i="9"/>
  <c r="BS102" i="9"/>
  <c r="BS105" i="9"/>
  <c r="BS95" i="9"/>
  <c r="BS93" i="9" s="1"/>
  <c r="BS92" i="9" s="1"/>
  <c r="BE185" i="9"/>
  <c r="BQ11" i="9"/>
  <c r="BQ13" i="9" s="1"/>
  <c r="AZ121" i="9"/>
  <c r="AZ148" i="9"/>
  <c r="AZ149" i="9" s="1"/>
  <c r="AZ151" i="9" s="1"/>
  <c r="BD207" i="9"/>
  <c r="BD205" i="9" s="1"/>
  <c r="BD204" i="9" s="1"/>
  <c r="BD217" i="9"/>
  <c r="BD213" i="9"/>
  <c r="BC209" i="9"/>
  <c r="BC208" i="9" s="1"/>
  <c r="BC218" i="9"/>
  <c r="BC199" i="9"/>
  <c r="BC198" i="9" s="1"/>
  <c r="AX139" i="9"/>
  <c r="AX135" i="9"/>
  <c r="BR89" i="9"/>
  <c r="BR88" i="9" s="1"/>
  <c r="BR86" i="9" s="1"/>
  <c r="BR284" i="9"/>
  <c r="BR98" i="9"/>
  <c r="BR107" i="9"/>
  <c r="BR103" i="9"/>
  <c r="BP994" i="11" l="1"/>
  <c r="BQ737" i="11"/>
  <c r="BP488" i="11"/>
  <c r="BP490" i="11" s="1"/>
  <c r="BP493" i="11" s="1"/>
  <c r="BP495" i="11" s="1"/>
  <c r="BP499" i="11" s="1"/>
  <c r="BP733" i="11"/>
  <c r="BP749" i="11" s="1"/>
  <c r="AX148" i="9"/>
  <c r="AX149" i="9" s="1"/>
  <c r="AX151" i="9" s="1"/>
  <c r="AX121" i="9"/>
  <c r="BE180" i="9"/>
  <c r="BE181" i="9"/>
  <c r="BE194" i="9" s="1"/>
  <c r="BF181" i="9"/>
  <c r="BF194" i="9" s="1"/>
  <c r="BS107" i="9"/>
  <c r="BS89" i="9"/>
  <c r="BS88" i="9" s="1"/>
  <c r="BS86" i="9" s="1"/>
  <c r="BS98" i="9"/>
  <c r="BT93" i="9" s="1"/>
  <c r="BT95" i="9" s="1"/>
  <c r="BS103" i="9"/>
  <c r="AX136" i="9"/>
  <c r="AY136" i="9" s="1"/>
  <c r="AY139" i="9"/>
  <c r="AZ156" i="9"/>
  <c r="BR11" i="9"/>
  <c r="BR13" i="9" s="1"/>
  <c r="BS284" i="9"/>
  <c r="BS96" i="9"/>
  <c r="BA130" i="9"/>
  <c r="AZ122" i="9"/>
  <c r="BV92" i="9"/>
  <c r="BV65" i="9"/>
  <c r="BD218" i="9"/>
  <c r="BD199" i="9"/>
  <c r="BD198" i="9" s="1"/>
  <c r="BD209" i="9"/>
  <c r="BD208" i="9" s="1"/>
  <c r="BU440" i="9"/>
  <c r="BU83" i="9"/>
  <c r="BU80" i="9" s="1"/>
  <c r="BV76" i="9"/>
  <c r="BQ739" i="11" l="1"/>
  <c r="BA129" i="9"/>
  <c r="AZ161" i="9"/>
  <c r="AZ157" i="9"/>
  <c r="BT97" i="9"/>
  <c r="BT101" i="9" s="1"/>
  <c r="BT100" i="9"/>
  <c r="BE195" i="9"/>
  <c r="BE191" i="9"/>
  <c r="AY121" i="9"/>
  <c r="AY122" i="9" s="1"/>
  <c r="AX122" i="9"/>
  <c r="BS11" i="9"/>
  <c r="BS13" i="9" s="1"/>
  <c r="BV77" i="9"/>
  <c r="BV70" i="9"/>
  <c r="BF195" i="9"/>
  <c r="BF192" i="9" s="1"/>
  <c r="BF191" i="9"/>
  <c r="AX156" i="9"/>
  <c r="BQ740" i="11" l="1"/>
  <c r="BQ249" i="11"/>
  <c r="BQ742" i="11"/>
  <c r="AZ153" i="9"/>
  <c r="AZ152" i="9" s="1"/>
  <c r="AZ162" i="9"/>
  <c r="AZ143" i="9"/>
  <c r="AZ142" i="9" s="1"/>
  <c r="BE192" i="9"/>
  <c r="BT105" i="9"/>
  <c r="BT102" i="9"/>
  <c r="BV440" i="9"/>
  <c r="BV83" i="9"/>
  <c r="BV80" i="9" s="1"/>
  <c r="BE204" i="9"/>
  <c r="BE205" i="9" s="1"/>
  <c r="BE207" i="9" s="1"/>
  <c r="BE212" i="9" s="1"/>
  <c r="BE177" i="9"/>
  <c r="BE178" i="9" s="1"/>
  <c r="BT87" i="9"/>
  <c r="BT106" i="9"/>
  <c r="AX161" i="9"/>
  <c r="AX157" i="9"/>
  <c r="AY156" i="9"/>
  <c r="BA124" i="9"/>
  <c r="BA125" i="9"/>
  <c r="BA138" i="9" s="1"/>
  <c r="BF204" i="9"/>
  <c r="BF205" i="9" s="1"/>
  <c r="BF207" i="9" s="1"/>
  <c r="BF212" i="9" s="1"/>
  <c r="BF177" i="9"/>
  <c r="BQ251" i="11" l="1"/>
  <c r="BA139" i="9"/>
  <c r="BA135" i="9"/>
  <c r="BF217" i="9"/>
  <c r="BF213" i="9"/>
  <c r="AX162" i="9"/>
  <c r="AX143" i="9"/>
  <c r="AX142" i="9" s="1"/>
  <c r="AX153" i="9"/>
  <c r="AX152" i="9" s="1"/>
  <c r="AY151" i="9"/>
  <c r="AY149" i="9" s="1"/>
  <c r="AY148" i="9" s="1"/>
  <c r="AY157" i="9"/>
  <c r="AY161" i="9"/>
  <c r="BE217" i="9"/>
  <c r="BE213" i="9"/>
  <c r="BT107" i="9"/>
  <c r="BT103" i="9"/>
  <c r="BT98" i="9"/>
  <c r="BU93" i="9" s="1"/>
  <c r="BU95" i="9" s="1"/>
  <c r="BT89" i="9"/>
  <c r="BT88" i="9" s="1"/>
  <c r="BT86" i="9" s="1"/>
  <c r="BT284" i="9"/>
  <c r="BG186" i="9"/>
  <c r="BF178" i="9"/>
  <c r="BQ254" i="11" l="1"/>
  <c r="BQ253" i="11"/>
  <c r="BG185" i="9"/>
  <c r="BI186" i="9"/>
  <c r="BI185" i="9" s="1"/>
  <c r="BI180" i="9" s="1"/>
  <c r="BU97" i="9"/>
  <c r="BU101" i="9" s="1"/>
  <c r="BU100" i="9"/>
  <c r="BA136" i="9"/>
  <c r="BT11" i="9"/>
  <c r="BT13" i="9" s="1"/>
  <c r="BE218" i="9"/>
  <c r="BE199" i="9"/>
  <c r="BE198" i="9" s="1"/>
  <c r="BE209" i="9"/>
  <c r="BE208" i="9" s="1"/>
  <c r="AY162" i="9"/>
  <c r="AY153" i="9"/>
  <c r="AY152" i="9" s="1"/>
  <c r="AY143" i="9"/>
  <c r="AY142" i="9" s="1"/>
  <c r="BF209" i="9"/>
  <c r="BF208" i="9" s="1"/>
  <c r="BF218" i="9"/>
  <c r="BF199" i="9"/>
  <c r="BF198" i="9" s="1"/>
  <c r="BA121" i="9"/>
  <c r="BA148" i="9"/>
  <c r="BA149" i="9" s="1"/>
  <c r="BA151" i="9" s="1"/>
  <c r="BQ840" i="11" l="1"/>
  <c r="BQ262" i="11"/>
  <c r="BQ255" i="11"/>
  <c r="BQ259" i="11" s="1"/>
  <c r="BI179" i="9"/>
  <c r="BU87" i="9"/>
  <c r="BU106" i="9"/>
  <c r="BA156" i="9"/>
  <c r="BU102" i="9"/>
  <c r="BU105" i="9"/>
  <c r="BB130" i="9"/>
  <c r="BA122" i="9"/>
  <c r="BG180" i="9"/>
  <c r="BH181" i="9"/>
  <c r="BG181" i="9"/>
  <c r="BG194" i="9" s="1"/>
  <c r="BJ181" i="9"/>
  <c r="BJ194" i="9" s="1"/>
  <c r="BQ261" i="11" l="1"/>
  <c r="BQ269" i="11"/>
  <c r="BQ836" i="11"/>
  <c r="BQ953" i="11"/>
  <c r="BJ195" i="9"/>
  <c r="BJ191" i="9"/>
  <c r="BG195" i="9"/>
  <c r="BG191" i="9"/>
  <c r="BH194" i="9"/>
  <c r="BI181" i="9"/>
  <c r="BI194" i="9" s="1"/>
  <c r="BI191" i="9" s="1"/>
  <c r="BB129" i="9"/>
  <c r="BU284" i="9"/>
  <c r="BU98" i="9"/>
  <c r="BV93" i="9" s="1"/>
  <c r="BV95" i="9" s="1"/>
  <c r="BU103" i="9"/>
  <c r="BU89" i="9"/>
  <c r="BU88" i="9" s="1"/>
  <c r="BU86" i="9" s="1"/>
  <c r="BU107" i="9"/>
  <c r="BA157" i="9"/>
  <c r="BA161" i="9"/>
  <c r="BQ845" i="11" l="1"/>
  <c r="BQ983" i="11"/>
  <c r="BQ954" i="11"/>
  <c r="BQ264" i="11"/>
  <c r="BG204" i="9"/>
  <c r="BG205" i="9" s="1"/>
  <c r="BG207" i="9" s="1"/>
  <c r="BG177" i="9"/>
  <c r="BG178" i="9" s="1"/>
  <c r="BA153" i="9"/>
  <c r="BA152" i="9" s="1"/>
  <c r="BA162" i="9"/>
  <c r="BA143" i="9"/>
  <c r="BA142" i="9" s="1"/>
  <c r="BV97" i="9"/>
  <c r="BV101" i="9" s="1"/>
  <c r="BV100" i="9"/>
  <c r="BU11" i="9"/>
  <c r="BU13" i="9" s="1"/>
  <c r="BB124" i="9"/>
  <c r="BB125" i="9"/>
  <c r="BB138" i="9" s="1"/>
  <c r="BH195" i="9"/>
  <c r="BH192" i="9" s="1"/>
  <c r="BH191" i="9"/>
  <c r="BG192" i="9"/>
  <c r="BJ177" i="9"/>
  <c r="BJ204" i="9"/>
  <c r="BJ205" i="9" s="1"/>
  <c r="BJ207" i="9" s="1"/>
  <c r="BJ212" i="9" s="1"/>
  <c r="BJ192" i="9"/>
  <c r="BQ985" i="11" l="1"/>
  <c r="BQ987" i="11" s="1"/>
  <c r="BQ275" i="11"/>
  <c r="BQ276" i="11"/>
  <c r="BQ271" i="11" s="1"/>
  <c r="BQ853" i="11"/>
  <c r="BQ696" i="11"/>
  <c r="BI192" i="9"/>
  <c r="BK186" i="9"/>
  <c r="BJ178" i="9"/>
  <c r="BI195" i="9"/>
  <c r="BH177" i="9"/>
  <c r="BH204" i="9"/>
  <c r="BH205" i="9" s="1"/>
  <c r="BH207" i="9" s="1"/>
  <c r="BH212" i="9" s="1"/>
  <c r="BV87" i="9"/>
  <c r="BV106" i="9"/>
  <c r="BJ217" i="9"/>
  <c r="BJ213" i="9"/>
  <c r="BB139" i="9"/>
  <c r="BB135" i="9"/>
  <c r="BV102" i="9"/>
  <c r="BV105" i="9"/>
  <c r="BG212" i="9"/>
  <c r="BQ718" i="11" l="1"/>
  <c r="BQ719" i="11" s="1"/>
  <c r="BQ720" i="11" s="1"/>
  <c r="BQ721" i="11" s="1"/>
  <c r="BQ699" i="11"/>
  <c r="BQ270" i="11"/>
  <c r="BQ698" i="11"/>
  <c r="BQ219" i="11"/>
  <c r="BQ222" i="11" s="1"/>
  <c r="BQ887" i="11"/>
  <c r="BQ748" i="11"/>
  <c r="BG217" i="9"/>
  <c r="BG213" i="9"/>
  <c r="BI212" i="9"/>
  <c r="BB136" i="9"/>
  <c r="BI177" i="9"/>
  <c r="BI178" i="9" s="1"/>
  <c r="BH178" i="9"/>
  <c r="BV107" i="9"/>
  <c r="BV103" i="9"/>
  <c r="BV98" i="9"/>
  <c r="BV89" i="9"/>
  <c r="BV88" i="9" s="1"/>
  <c r="BV86" i="9" s="1"/>
  <c r="BV284" i="9"/>
  <c r="BJ209" i="9"/>
  <c r="BJ208" i="9" s="1"/>
  <c r="BJ199" i="9"/>
  <c r="BJ198" i="9" s="1"/>
  <c r="BJ218" i="9"/>
  <c r="BH217" i="9"/>
  <c r="BH213" i="9"/>
  <c r="BB148" i="9"/>
  <c r="BB149" i="9" s="1"/>
  <c r="BB151" i="9" s="1"/>
  <c r="BB156" i="9" s="1"/>
  <c r="BB121" i="9"/>
  <c r="BK191" i="9"/>
  <c r="BQ936" i="11" l="1"/>
  <c r="BQ890" i="11"/>
  <c r="BQ700" i="11"/>
  <c r="BQ697" i="11"/>
  <c r="BQ722" i="11"/>
  <c r="BQ723" i="11" s="1"/>
  <c r="BQ724" i="11" s="1"/>
  <c r="BQ725" i="11" s="1"/>
  <c r="BC130" i="9"/>
  <c r="BB122" i="9"/>
  <c r="BH218" i="9"/>
  <c r="BH199" i="9"/>
  <c r="BH198" i="9" s="1"/>
  <c r="BH209" i="9"/>
  <c r="BH208" i="9" s="1"/>
  <c r="BV11" i="9"/>
  <c r="BV13" i="9" s="1"/>
  <c r="BG218" i="9"/>
  <c r="BG199" i="9"/>
  <c r="BG198" i="9" s="1"/>
  <c r="BG209" i="9"/>
  <c r="BG208" i="9" s="1"/>
  <c r="BB157" i="9"/>
  <c r="BB161" i="9"/>
  <c r="BK177" i="9"/>
  <c r="BK204" i="9"/>
  <c r="BK205" i="9" s="1"/>
  <c r="BK207" i="9" s="1"/>
  <c r="BI217" i="9"/>
  <c r="BI207" i="9"/>
  <c r="BI205" i="9" s="1"/>
  <c r="BI204" i="9" s="1"/>
  <c r="BI213" i="9"/>
  <c r="BQ897" i="11" l="1"/>
  <c r="BR889" i="11"/>
  <c r="BQ943" i="11"/>
  <c r="BQ955" i="11" s="1"/>
  <c r="BQ989" i="11" s="1"/>
  <c r="BQ728" i="11"/>
  <c r="BK180" i="9"/>
  <c r="BK185" i="9" s="1"/>
  <c r="BL186" i="9"/>
  <c r="BK209" i="9"/>
  <c r="BB143" i="9"/>
  <c r="BB142" i="9" s="1"/>
  <c r="BB153" i="9"/>
  <c r="BB152" i="9" s="1"/>
  <c r="BB162" i="9"/>
  <c r="BI209" i="9"/>
  <c r="BI208" i="9" s="1"/>
  <c r="BI199" i="9"/>
  <c r="BI198" i="9" s="1"/>
  <c r="BI218" i="9"/>
  <c r="BC129" i="9"/>
  <c r="BD130" i="9"/>
  <c r="BD129" i="9" s="1"/>
  <c r="BD124" i="9" s="1"/>
  <c r="BQ994" i="11" l="1"/>
  <c r="BR737" i="11"/>
  <c r="BQ488" i="11"/>
  <c r="BQ490" i="11" s="1"/>
  <c r="BQ493" i="11" s="1"/>
  <c r="BQ495" i="11" s="1"/>
  <c r="BQ499" i="11" s="1"/>
  <c r="BQ733" i="11"/>
  <c r="BQ749" i="11" s="1"/>
  <c r="BC125" i="9"/>
  <c r="BC124" i="9"/>
  <c r="BD123" i="9"/>
  <c r="BL191" i="9"/>
  <c r="BK187" i="9"/>
  <c r="BK188" i="9" s="1"/>
  <c r="BK181" i="9"/>
  <c r="BK194" i="9" s="1"/>
  <c r="BK195" i="9" s="1"/>
  <c r="BK213" i="9" s="1"/>
  <c r="BR739" i="11" l="1"/>
  <c r="BS737" i="11"/>
  <c r="BK199" i="9"/>
  <c r="BK218" i="9"/>
  <c r="BL184" i="9"/>
  <c r="BK189" i="9"/>
  <c r="BK182" i="9"/>
  <c r="BK442" i="9" s="1"/>
  <c r="BL204" i="9"/>
  <c r="BL205" i="9" s="1"/>
  <c r="BL207" i="9" s="1"/>
  <c r="BL177" i="9"/>
  <c r="BC138" i="9"/>
  <c r="BD125" i="9"/>
  <c r="BD138" i="9" s="1"/>
  <c r="BD135" i="9" s="1"/>
  <c r="BR740" i="11" l="1"/>
  <c r="BR249" i="11"/>
  <c r="BR742" i="11"/>
  <c r="BS739" i="11"/>
  <c r="BM186" i="9"/>
  <c r="BL180" i="9"/>
  <c r="BL185" i="9" s="1"/>
  <c r="BC139" i="9"/>
  <c r="BC135" i="9"/>
  <c r="BL209" i="9"/>
  <c r="BK192" i="9"/>
  <c r="BS740" i="11" l="1"/>
  <c r="BS742" i="11"/>
  <c r="BR251" i="11"/>
  <c r="BS249" i="11"/>
  <c r="BS251" i="11" s="1"/>
  <c r="BK212" i="9"/>
  <c r="BC148" i="9"/>
  <c r="BC149" i="9" s="1"/>
  <c r="BC151" i="9" s="1"/>
  <c r="BC121" i="9"/>
  <c r="BC136" i="9"/>
  <c r="BD136" i="9" s="1"/>
  <c r="BD139" i="9"/>
  <c r="BL187" i="9"/>
  <c r="BL188" i="9" s="1"/>
  <c r="BL181" i="9"/>
  <c r="BL194" i="9" s="1"/>
  <c r="BL195" i="9" s="1"/>
  <c r="BN186" i="9"/>
  <c r="BN179" i="9" s="1"/>
  <c r="BM191" i="9"/>
  <c r="BR254" i="11" l="1"/>
  <c r="BR253" i="11"/>
  <c r="BM177" i="9"/>
  <c r="BM204" i="9"/>
  <c r="BM205" i="9" s="1"/>
  <c r="BM207" i="9" s="1"/>
  <c r="BL182" i="9"/>
  <c r="BL442" i="9" s="1"/>
  <c r="BM184" i="9"/>
  <c r="BL189" i="9"/>
  <c r="BD121" i="9"/>
  <c r="BC122" i="9"/>
  <c r="BC156" i="9"/>
  <c r="BK214" i="9"/>
  <c r="BK217" i="9"/>
  <c r="BL213" i="9"/>
  <c r="BR262" i="11" l="1"/>
  <c r="BS262" i="11" s="1"/>
  <c r="BS253" i="11"/>
  <c r="BR255" i="11"/>
  <c r="BR259" i="11" s="1"/>
  <c r="BR840" i="11"/>
  <c r="BS254" i="11"/>
  <c r="BS267" i="11" s="1"/>
  <c r="BK210" i="9"/>
  <c r="BK215" i="9"/>
  <c r="BK219" i="9"/>
  <c r="BK201" i="9"/>
  <c r="BK200" i="9" s="1"/>
  <c r="BK198" i="9" s="1"/>
  <c r="BK286" i="9"/>
  <c r="BL192" i="9"/>
  <c r="BL199" i="9"/>
  <c r="BL218" i="9"/>
  <c r="BC161" i="9"/>
  <c r="BC157" i="9"/>
  <c r="BD156" i="9"/>
  <c r="BE130" i="9"/>
  <c r="BD122" i="9"/>
  <c r="BM209" i="9"/>
  <c r="BN177" i="9"/>
  <c r="BO186" i="9" s="1"/>
  <c r="BM180" i="9"/>
  <c r="BM185" i="9" s="1"/>
  <c r="BS840" i="11" l="1"/>
  <c r="BR953" i="11"/>
  <c r="BR836" i="11"/>
  <c r="BR269" i="11"/>
  <c r="BR261" i="11"/>
  <c r="BS266" i="11"/>
  <c r="BS255" i="11"/>
  <c r="BD161" i="9"/>
  <c r="BD157" i="9"/>
  <c r="BD151" i="9"/>
  <c r="BD149" i="9" s="1"/>
  <c r="BD148" i="9" s="1"/>
  <c r="BC162" i="9"/>
  <c r="BC143" i="9"/>
  <c r="BC142" i="9" s="1"/>
  <c r="BC153" i="9"/>
  <c r="BC152" i="9" s="1"/>
  <c r="BK19" i="9"/>
  <c r="BK21" i="9" s="1"/>
  <c r="BE129" i="9"/>
  <c r="BL212" i="9"/>
  <c r="BM181" i="9"/>
  <c r="BM187" i="9"/>
  <c r="BM188" i="9" s="1"/>
  <c r="BN185" i="9"/>
  <c r="BS259" i="11" l="1"/>
  <c r="BS1007" i="11"/>
  <c r="BR845" i="11"/>
  <c r="BS836" i="11"/>
  <c r="BS845" i="11" s="1"/>
  <c r="BR983" i="11"/>
  <c r="BS953" i="11"/>
  <c r="BR954" i="11"/>
  <c r="BR264" i="11"/>
  <c r="BL214" i="9"/>
  <c r="BL217" i="9"/>
  <c r="BN181" i="9"/>
  <c r="BN194" i="9" s="1"/>
  <c r="BM194" i="9"/>
  <c r="BM195" i="9" s="1"/>
  <c r="BM189" i="9"/>
  <c r="BM182" i="9"/>
  <c r="BM442" i="9" s="1"/>
  <c r="BE124" i="9"/>
  <c r="BE125" i="9"/>
  <c r="BE138" i="9" s="1"/>
  <c r="BN180" i="9"/>
  <c r="BN178" i="9" s="1"/>
  <c r="BN187" i="9"/>
  <c r="BN188" i="9" s="1"/>
  <c r="BD162" i="9"/>
  <c r="BD153" i="9"/>
  <c r="BD152" i="9" s="1"/>
  <c r="BD143" i="9"/>
  <c r="BD142" i="9" s="1"/>
  <c r="BS983" i="11" l="1"/>
  <c r="BR985" i="11"/>
  <c r="BR987" i="11" s="1"/>
  <c r="BS853" i="11"/>
  <c r="BS696" i="11"/>
  <c r="BR853" i="11"/>
  <c r="BR696" i="11"/>
  <c r="BS954" i="11"/>
  <c r="BR275" i="11"/>
  <c r="BR276" i="11"/>
  <c r="BR271" i="11" s="1"/>
  <c r="BS261" i="11"/>
  <c r="BS269" i="11"/>
  <c r="BE139" i="9"/>
  <c r="BE135" i="9"/>
  <c r="BS184" i="9"/>
  <c r="BN182" i="9"/>
  <c r="BN442" i="9" s="1"/>
  <c r="BO184" i="9"/>
  <c r="BN191" i="9"/>
  <c r="BO191" i="9" s="1"/>
  <c r="BM192" i="9"/>
  <c r="BN189" i="9"/>
  <c r="BN195" i="9"/>
  <c r="BM213" i="9"/>
  <c r="BL215" i="9"/>
  <c r="BL219" i="9"/>
  <c r="BL210" i="9"/>
  <c r="BL201" i="9"/>
  <c r="BL200" i="9" s="1"/>
  <c r="BL198" i="9" s="1"/>
  <c r="BL286" i="9"/>
  <c r="BS264" i="11" l="1"/>
  <c r="BR748" i="11"/>
  <c r="BS276" i="11"/>
  <c r="BS748" i="11" s="1"/>
  <c r="BR718" i="11"/>
  <c r="BR719" i="11" s="1"/>
  <c r="BR720" i="11" s="1"/>
  <c r="BR721" i="11" s="1"/>
  <c r="BR699" i="11"/>
  <c r="BS718" i="11"/>
  <c r="BS719" i="11" s="1"/>
  <c r="BS720" i="11" s="1"/>
  <c r="BS721" i="11" s="1"/>
  <c r="BS698" i="11"/>
  <c r="BS219" i="11"/>
  <c r="BS222" i="11" s="1"/>
  <c r="BS887" i="11"/>
  <c r="BS890" i="11" s="1"/>
  <c r="BS275" i="11"/>
  <c r="BS270" i="11" s="1"/>
  <c r="BR270" i="11"/>
  <c r="BR698" i="11"/>
  <c r="BR219" i="11"/>
  <c r="BR222" i="11" s="1"/>
  <c r="BR887" i="11"/>
  <c r="BS985" i="11"/>
  <c r="BS987" i="11" s="1"/>
  <c r="BM212" i="9"/>
  <c r="BN192" i="9"/>
  <c r="BL19" i="9"/>
  <c r="BL21" i="9" s="1"/>
  <c r="BM218" i="9"/>
  <c r="BM199" i="9"/>
  <c r="BN213" i="9"/>
  <c r="BO204" i="9"/>
  <c r="BO205" i="9" s="1"/>
  <c r="BO207" i="9" s="1"/>
  <c r="BO177" i="9"/>
  <c r="BE121" i="9"/>
  <c r="BE148" i="9"/>
  <c r="BE149" i="9" s="1"/>
  <c r="BE151" i="9" s="1"/>
  <c r="BE156" i="9" s="1"/>
  <c r="BE136" i="9"/>
  <c r="BR697" i="11" l="1"/>
  <c r="BR722" i="11"/>
  <c r="BR723" i="11" s="1"/>
  <c r="BR724" i="11" s="1"/>
  <c r="BR725" i="11" s="1"/>
  <c r="BR700" i="11"/>
  <c r="BS722" i="11"/>
  <c r="BS700" i="11"/>
  <c r="BS754" i="11" s="1"/>
  <c r="BS697" i="11"/>
  <c r="BR936" i="11"/>
  <c r="BR890" i="11"/>
  <c r="BS699" i="11"/>
  <c r="BS271" i="11"/>
  <c r="BS751" i="11" s="1"/>
  <c r="BT889" i="11"/>
  <c r="BE161" i="9"/>
  <c r="BE157" i="9"/>
  <c r="BO209" i="9"/>
  <c r="BF130" i="9"/>
  <c r="BE122" i="9"/>
  <c r="BP186" i="9"/>
  <c r="BO180" i="9"/>
  <c r="BO185" i="9" s="1"/>
  <c r="BN218" i="9"/>
  <c r="BN209" i="9"/>
  <c r="BN199" i="9"/>
  <c r="BM217" i="9"/>
  <c r="BM214" i="9"/>
  <c r="BN212" i="9"/>
  <c r="BR897" i="11" l="1"/>
  <c r="BS723" i="11"/>
  <c r="BS724" i="11" s="1"/>
  <c r="BS725" i="11" s="1"/>
  <c r="BS755" i="11"/>
  <c r="BS936" i="11"/>
  <c r="BR943" i="11"/>
  <c r="BR955" i="11" s="1"/>
  <c r="BR989" i="11" s="1"/>
  <c r="BR728" i="11"/>
  <c r="BM219" i="9"/>
  <c r="BM201" i="9"/>
  <c r="BM200" i="9" s="1"/>
  <c r="BM198" i="9" s="1"/>
  <c r="BM210" i="9"/>
  <c r="BM286" i="9"/>
  <c r="BM215" i="9"/>
  <c r="BO181" i="9"/>
  <c r="BO194" i="9" s="1"/>
  <c r="BO195" i="9" s="1"/>
  <c r="BO187" i="9"/>
  <c r="BO188" i="9" s="1"/>
  <c r="BF129" i="9"/>
  <c r="BI130" i="9"/>
  <c r="BI129" i="9" s="1"/>
  <c r="BI124" i="9" s="1"/>
  <c r="BN217" i="9"/>
  <c r="BN207" i="9"/>
  <c r="BN205" i="9" s="1"/>
  <c r="BN204" i="9" s="1"/>
  <c r="BN214" i="9"/>
  <c r="BP191" i="9"/>
  <c r="BO213" i="9"/>
  <c r="BE143" i="9"/>
  <c r="BE142" i="9" s="1"/>
  <c r="BE162" i="9"/>
  <c r="BE153" i="9"/>
  <c r="BE152" i="9" s="1"/>
  <c r="BS943" i="11" l="1"/>
  <c r="BS955" i="11" s="1"/>
  <c r="BS989" i="11" s="1"/>
  <c r="BS728" i="11"/>
  <c r="BS897" i="11"/>
  <c r="BR994" i="11"/>
  <c r="BR488" i="11"/>
  <c r="BR490" i="11" s="1"/>
  <c r="BR493" i="11" s="1"/>
  <c r="BR495" i="11" s="1"/>
  <c r="BR499" i="11" s="1"/>
  <c r="BR733" i="11"/>
  <c r="BR749" i="11" s="1"/>
  <c r="BS738" i="11"/>
  <c r="BI123" i="9"/>
  <c r="BP177" i="9"/>
  <c r="BP204" i="9"/>
  <c r="BP205" i="9" s="1"/>
  <c r="BP207" i="9" s="1"/>
  <c r="BN201" i="9"/>
  <c r="BN200" i="9" s="1"/>
  <c r="BN198" i="9" s="1"/>
  <c r="BN210" i="9"/>
  <c r="BN219" i="9"/>
  <c r="BN215" i="9"/>
  <c r="BN208" i="9"/>
  <c r="BF124" i="9"/>
  <c r="BF125" i="9"/>
  <c r="BF138" i="9" s="1"/>
  <c r="BG125" i="9"/>
  <c r="BG138" i="9" s="1"/>
  <c r="BH125" i="9"/>
  <c r="BP184" i="9"/>
  <c r="BO189" i="9"/>
  <c r="BO182" i="9"/>
  <c r="BO442" i="9" s="1"/>
  <c r="BS197" i="9"/>
  <c r="BS276" i="9" s="1"/>
  <c r="BS20" i="9" s="1"/>
  <c r="BO218" i="9"/>
  <c r="BO199" i="9"/>
  <c r="BM19" i="9"/>
  <c r="BM21" i="9" s="1"/>
  <c r="BN286" i="9"/>
  <c r="BS994" i="11" l="1"/>
  <c r="BS488" i="11"/>
  <c r="BS490" i="11" s="1"/>
  <c r="BS493" i="11" s="1"/>
  <c r="BS495" i="11" s="1"/>
  <c r="BS499" i="11" s="1"/>
  <c r="BT737" i="11"/>
  <c r="BT739" i="11" s="1"/>
  <c r="BS733" i="11"/>
  <c r="BF139" i="9"/>
  <c r="BF135" i="9"/>
  <c r="BI125" i="9"/>
  <c r="BI138" i="9" s="1"/>
  <c r="BI135" i="9" s="1"/>
  <c r="BH138" i="9"/>
  <c r="BN19" i="9"/>
  <c r="BN21" i="9" s="1"/>
  <c r="BO192" i="9"/>
  <c r="BG139" i="9"/>
  <c r="BG136" i="9" s="1"/>
  <c r="BG135" i="9"/>
  <c r="BP209" i="9"/>
  <c r="BQ186" i="9"/>
  <c r="BP180" i="9"/>
  <c r="BP185" i="9" s="1"/>
  <c r="BS502" i="11" l="1"/>
  <c r="BS501" i="11"/>
  <c r="BS749" i="11"/>
  <c r="BS744" i="11"/>
  <c r="BS743" i="11"/>
  <c r="BT740" i="11"/>
  <c r="BT249" i="11"/>
  <c r="BT251" i="11" s="1"/>
  <c r="BT742" i="11"/>
  <c r="BP181" i="9"/>
  <c r="BP194" i="9" s="1"/>
  <c r="BP195" i="9" s="1"/>
  <c r="BP213" i="9" s="1"/>
  <c r="BP187" i="9"/>
  <c r="BP188" i="9" s="1"/>
  <c r="BO212" i="9"/>
  <c r="BH139" i="9"/>
  <c r="BH136" i="9" s="1"/>
  <c r="BH135" i="9"/>
  <c r="BQ191" i="9"/>
  <c r="BG121" i="9"/>
  <c r="BG122" i="9" s="1"/>
  <c r="BG148" i="9"/>
  <c r="BG149" i="9" s="1"/>
  <c r="BG151" i="9" s="1"/>
  <c r="BG156" i="9" s="1"/>
  <c r="BF121" i="9"/>
  <c r="BF122" i="9" s="1"/>
  <c r="BF148" i="9"/>
  <c r="BF149" i="9" s="1"/>
  <c r="BF151" i="9" s="1"/>
  <c r="BF156" i="9" s="1"/>
  <c r="BF136" i="9"/>
  <c r="BI136" i="9" s="1"/>
  <c r="BI139" i="9"/>
  <c r="BT253" i="11" l="1"/>
  <c r="BT254" i="11"/>
  <c r="BT840" i="11" s="1"/>
  <c r="BT953" i="11" s="1"/>
  <c r="BS752" i="11"/>
  <c r="BS753" i="11"/>
  <c r="BS756" i="11"/>
  <c r="BG161" i="9"/>
  <c r="BG157" i="9"/>
  <c r="BF161" i="9"/>
  <c r="BF157" i="9"/>
  <c r="BH148" i="9"/>
  <c r="BH149" i="9" s="1"/>
  <c r="BH151" i="9" s="1"/>
  <c r="BH156" i="9" s="1"/>
  <c r="BH121" i="9"/>
  <c r="BP182" i="9"/>
  <c r="BP442" i="9" s="1"/>
  <c r="BP189" i="9"/>
  <c r="BQ184" i="9"/>
  <c r="BQ177" i="9"/>
  <c r="BQ204" i="9"/>
  <c r="BQ205" i="9" s="1"/>
  <c r="BQ207" i="9" s="1"/>
  <c r="BO217" i="9"/>
  <c r="BO214" i="9"/>
  <c r="BP218" i="9"/>
  <c r="BP199" i="9"/>
  <c r="BT255" i="11" l="1"/>
  <c r="BT259" i="11" s="1"/>
  <c r="BT836" i="11" s="1"/>
  <c r="BT954" i="11"/>
  <c r="BT262" i="11"/>
  <c r="BR186" i="9"/>
  <c r="BQ180" i="9"/>
  <c r="BQ185" i="9" s="1"/>
  <c r="BP192" i="9"/>
  <c r="BI121" i="9"/>
  <c r="BH122" i="9"/>
  <c r="BO201" i="9"/>
  <c r="BO200" i="9" s="1"/>
  <c r="BO198" i="9" s="1"/>
  <c r="BO219" i="9"/>
  <c r="BO210" i="9"/>
  <c r="BO215" i="9"/>
  <c r="BO286" i="9"/>
  <c r="BH161" i="9"/>
  <c r="BH157" i="9"/>
  <c r="BQ209" i="9"/>
  <c r="BI156" i="9"/>
  <c r="BF143" i="9"/>
  <c r="BF142" i="9" s="1"/>
  <c r="BF162" i="9"/>
  <c r="BF153" i="9"/>
  <c r="BF152" i="9" s="1"/>
  <c r="BG162" i="9"/>
  <c r="BG143" i="9"/>
  <c r="BG142" i="9" s="1"/>
  <c r="BG153" i="9"/>
  <c r="BG152" i="9" s="1"/>
  <c r="BT261" i="11" l="1"/>
  <c r="BT264" i="11" s="1"/>
  <c r="BT269" i="11"/>
  <c r="BT845" i="11"/>
  <c r="BT983" i="11"/>
  <c r="BI161" i="9"/>
  <c r="BI151" i="9"/>
  <c r="BI149" i="9" s="1"/>
  <c r="BI148" i="9" s="1"/>
  <c r="BI157" i="9"/>
  <c r="BH143" i="9"/>
  <c r="BH142" i="9" s="1"/>
  <c r="BH162" i="9"/>
  <c r="BH153" i="9"/>
  <c r="BH152" i="9" s="1"/>
  <c r="BO19" i="9"/>
  <c r="BO21" i="9" s="1"/>
  <c r="BJ130" i="9"/>
  <c r="BI122" i="9"/>
  <c r="BP212" i="9"/>
  <c r="BQ181" i="9"/>
  <c r="BQ194" i="9" s="1"/>
  <c r="BQ195" i="9" s="1"/>
  <c r="BQ187" i="9"/>
  <c r="BQ188" i="9" s="1"/>
  <c r="BS186" i="9"/>
  <c r="BS179" i="9" s="1"/>
  <c r="BR191" i="9"/>
  <c r="BT275" i="11" l="1"/>
  <c r="BT270" i="11" s="1"/>
  <c r="BT276" i="11"/>
  <c r="BT748" i="11" s="1"/>
  <c r="BT985" i="11"/>
  <c r="BT987" i="11" s="1"/>
  <c r="BT853" i="11"/>
  <c r="BT696" i="11"/>
  <c r="BJ129" i="9"/>
  <c r="BR204" i="9"/>
  <c r="BR205" i="9" s="1"/>
  <c r="BR207" i="9" s="1"/>
  <c r="BR177" i="9"/>
  <c r="BQ189" i="9"/>
  <c r="BR184" i="9"/>
  <c r="BQ182" i="9"/>
  <c r="BQ442" i="9" s="1"/>
  <c r="BP217" i="9"/>
  <c r="BP214" i="9"/>
  <c r="BQ213" i="9"/>
  <c r="BI153" i="9"/>
  <c r="BI152" i="9" s="1"/>
  <c r="BI143" i="9"/>
  <c r="BI142" i="9" s="1"/>
  <c r="BI162" i="9"/>
  <c r="BT699" i="11" l="1"/>
  <c r="BT718" i="11"/>
  <c r="BT719" i="11" s="1"/>
  <c r="BT720" i="11" s="1"/>
  <c r="BT721" i="11" s="1"/>
  <c r="BT698" i="11"/>
  <c r="BT219" i="11"/>
  <c r="BT222" i="11" s="1"/>
  <c r="BT887" i="11"/>
  <c r="BT271" i="11"/>
  <c r="BT751" i="11" s="1"/>
  <c r="BQ192" i="9"/>
  <c r="BQ218" i="9"/>
  <c r="BQ199" i="9"/>
  <c r="BS177" i="9"/>
  <c r="BT186" i="9" s="1"/>
  <c r="BR180" i="9"/>
  <c r="BR185" i="9" s="1"/>
  <c r="BP201" i="9"/>
  <c r="BP200" i="9" s="1"/>
  <c r="BP198" i="9" s="1"/>
  <c r="BP210" i="9"/>
  <c r="BP286" i="9"/>
  <c r="BP215" i="9"/>
  <c r="BP219" i="9"/>
  <c r="BR209" i="9"/>
  <c r="BJ125" i="9"/>
  <c r="BJ138" i="9" s="1"/>
  <c r="BJ124" i="9"/>
  <c r="BT722" i="11" l="1"/>
  <c r="BT697" i="11"/>
  <c r="BT700" i="11"/>
  <c r="BT754" i="11" s="1"/>
  <c r="BT890" i="11"/>
  <c r="BT936" i="11"/>
  <c r="BR181" i="9"/>
  <c r="BR187" i="9"/>
  <c r="BR188" i="9" s="1"/>
  <c r="BS185" i="9"/>
  <c r="BJ139" i="9"/>
  <c r="BJ135" i="9"/>
  <c r="BP19" i="9"/>
  <c r="BP21" i="9" s="1"/>
  <c r="BQ212" i="9"/>
  <c r="BT943" i="11" l="1"/>
  <c r="BT955" i="11" s="1"/>
  <c r="BT989" i="11" s="1"/>
  <c r="BT728" i="11"/>
  <c r="BT897" i="11"/>
  <c r="BU889" i="11"/>
  <c r="BT755" i="11"/>
  <c r="BT723" i="11"/>
  <c r="BT724" i="11" s="1"/>
  <c r="BT725" i="11" s="1"/>
  <c r="BJ148" i="9"/>
  <c r="BJ149" i="9" s="1"/>
  <c r="BJ151" i="9" s="1"/>
  <c r="BJ121" i="9"/>
  <c r="BS181" i="9"/>
  <c r="BS194" i="9" s="1"/>
  <c r="BR194" i="9"/>
  <c r="BR195" i="9" s="1"/>
  <c r="BJ136" i="9"/>
  <c r="BQ217" i="9"/>
  <c r="BQ214" i="9"/>
  <c r="BS187" i="9"/>
  <c r="BS188" i="9" s="1"/>
  <c r="BS180" i="9"/>
  <c r="BS178" i="9" s="1"/>
  <c r="BR189" i="9"/>
  <c r="BR182" i="9"/>
  <c r="BR442" i="9" s="1"/>
  <c r="BT994" i="11" l="1"/>
  <c r="BU737" i="11"/>
  <c r="BU739" i="11" s="1"/>
  <c r="BT488" i="11"/>
  <c r="BT490" i="11" s="1"/>
  <c r="BT493" i="11" s="1"/>
  <c r="BT495" i="11" s="1"/>
  <c r="BT499" i="11" s="1"/>
  <c r="BT733" i="11"/>
  <c r="BT184" i="9"/>
  <c r="BS182" i="9"/>
  <c r="BS442" i="9" s="1"/>
  <c r="BS191" i="9"/>
  <c r="BT191" i="9" s="1"/>
  <c r="BK130" i="9"/>
  <c r="BJ122" i="9"/>
  <c r="BR192" i="9"/>
  <c r="BS189" i="9"/>
  <c r="BQ286" i="9"/>
  <c r="BQ219" i="9"/>
  <c r="BQ201" i="9"/>
  <c r="BQ200" i="9" s="1"/>
  <c r="BQ198" i="9" s="1"/>
  <c r="BQ210" i="9"/>
  <c r="BQ215" i="9"/>
  <c r="BS195" i="9"/>
  <c r="BR213" i="9"/>
  <c r="BJ156" i="9"/>
  <c r="BT744" i="11" l="1"/>
  <c r="BT749" i="11"/>
  <c r="BT743" i="11"/>
  <c r="BU740" i="11"/>
  <c r="BU249" i="11"/>
  <c r="BU251" i="11" s="1"/>
  <c r="BU742" i="11"/>
  <c r="BT502" i="11"/>
  <c r="BT501" i="11"/>
  <c r="BT204" i="9"/>
  <c r="BT177" i="9"/>
  <c r="BJ161" i="9"/>
  <c r="BJ157" i="9"/>
  <c r="BR218" i="9"/>
  <c r="BR199" i="9"/>
  <c r="BS213" i="9"/>
  <c r="BQ19" i="9"/>
  <c r="BQ21" i="9" s="1"/>
  <c r="BR212" i="9"/>
  <c r="BS192" i="9"/>
  <c r="BK135" i="9"/>
  <c r="BT753" i="11" l="1"/>
  <c r="BT752" i="11"/>
  <c r="BT756" i="11"/>
  <c r="BU254" i="11"/>
  <c r="BU840" i="11" s="1"/>
  <c r="BU953" i="11" s="1"/>
  <c r="BU253" i="11"/>
  <c r="BU255" i="11" s="1"/>
  <c r="BU259" i="11" s="1"/>
  <c r="BK148" i="9"/>
  <c r="BK149" i="9" s="1"/>
  <c r="BK151" i="9" s="1"/>
  <c r="BK121" i="9"/>
  <c r="BU186" i="9"/>
  <c r="BT180" i="9"/>
  <c r="BT185" i="9" s="1"/>
  <c r="BR217" i="9"/>
  <c r="BR214" i="9"/>
  <c r="BS212" i="9"/>
  <c r="BS199" i="9"/>
  <c r="BS209" i="9"/>
  <c r="BS218" i="9"/>
  <c r="BJ143" i="9"/>
  <c r="BJ142" i="9" s="1"/>
  <c r="BJ162" i="9"/>
  <c r="BJ153" i="9"/>
  <c r="BJ152" i="9" s="1"/>
  <c r="BU262" i="11" l="1"/>
  <c r="BU836" i="11"/>
  <c r="BU261" i="11"/>
  <c r="BU269" i="11"/>
  <c r="BU954" i="11"/>
  <c r="BS214" i="9"/>
  <c r="BS217" i="9"/>
  <c r="BS207" i="9"/>
  <c r="BS205" i="9" s="1"/>
  <c r="BS204" i="9" s="1"/>
  <c r="BS208" i="9"/>
  <c r="BR201" i="9"/>
  <c r="BR200" i="9" s="1"/>
  <c r="BR198" i="9" s="1"/>
  <c r="BR286" i="9"/>
  <c r="BR215" i="9"/>
  <c r="BR219" i="9"/>
  <c r="BR210" i="9"/>
  <c r="BK124" i="9"/>
  <c r="BK129" i="9" s="1"/>
  <c r="BL130" i="9"/>
  <c r="BT187" i="9"/>
  <c r="BT188" i="9" s="1"/>
  <c r="BT181" i="9"/>
  <c r="BT194" i="9" s="1"/>
  <c r="BT195" i="9" s="1"/>
  <c r="BU191" i="9"/>
  <c r="BK153" i="9"/>
  <c r="BU264" i="11" l="1"/>
  <c r="BU845" i="11"/>
  <c r="BU983" i="11"/>
  <c r="BL135" i="9"/>
  <c r="BS286" i="9"/>
  <c r="BR19" i="9"/>
  <c r="BR21" i="9" s="1"/>
  <c r="BK131" i="9"/>
  <c r="BK132" i="9" s="1"/>
  <c r="BK125" i="9"/>
  <c r="BK138" i="9" s="1"/>
  <c r="BK139" i="9" s="1"/>
  <c r="BU204" i="9"/>
  <c r="BU177" i="9"/>
  <c r="BU184" i="9"/>
  <c r="BT182" i="9"/>
  <c r="BT442" i="9" s="1"/>
  <c r="BT189" i="9"/>
  <c r="BT192" i="9" s="1"/>
  <c r="BS210" i="9"/>
  <c r="BT205" i="9" s="1"/>
  <c r="BT207" i="9" s="1"/>
  <c r="BS219" i="9"/>
  <c r="BS201" i="9"/>
  <c r="BS200" i="9" s="1"/>
  <c r="BS198" i="9" s="1"/>
  <c r="BS215" i="9"/>
  <c r="BU853" i="11" l="1"/>
  <c r="BU696" i="11"/>
  <c r="BU275" i="11"/>
  <c r="BU270" i="11" s="1"/>
  <c r="BU276" i="11"/>
  <c r="BU748" i="11" s="1"/>
  <c r="BU985" i="11"/>
  <c r="BU987" i="11" s="1"/>
  <c r="BT212" i="9"/>
  <c r="BT209" i="9"/>
  <c r="BT213" i="9" s="1"/>
  <c r="BV186" i="9"/>
  <c r="BU180" i="9"/>
  <c r="BU185" i="9" s="1"/>
  <c r="BL128" i="9"/>
  <c r="BK133" i="9"/>
  <c r="BK126" i="9"/>
  <c r="BK441" i="9" s="1"/>
  <c r="BK425" i="9"/>
  <c r="BS19" i="9"/>
  <c r="BS21" i="9" s="1"/>
  <c r="BL148" i="9"/>
  <c r="BL149" i="9" s="1"/>
  <c r="BL151" i="9" s="1"/>
  <c r="BL121" i="9"/>
  <c r="BK157" i="9"/>
  <c r="BU718" i="11" l="1"/>
  <c r="BU719" i="11" s="1"/>
  <c r="BU720" i="11" s="1"/>
  <c r="BU721" i="11" s="1"/>
  <c r="BU699" i="11"/>
  <c r="BU271" i="11"/>
  <c r="BU751" i="11" s="1"/>
  <c r="BU698" i="11"/>
  <c r="BU219" i="11"/>
  <c r="BU222" i="11" s="1"/>
  <c r="BU887" i="11"/>
  <c r="BL153" i="9"/>
  <c r="BL124" i="9"/>
  <c r="BL129" i="9" s="1"/>
  <c r="BM130" i="9"/>
  <c r="BK446" i="9"/>
  <c r="BK426" i="9"/>
  <c r="BL423" i="9"/>
  <c r="BK424" i="9"/>
  <c r="BK136" i="9"/>
  <c r="BT199" i="9"/>
  <c r="BT218" i="9"/>
  <c r="BK143" i="9"/>
  <c r="BK162" i="9"/>
  <c r="BU187" i="9"/>
  <c r="BU188" i="9" s="1"/>
  <c r="BU181" i="9"/>
  <c r="BU194" i="9" s="1"/>
  <c r="BU195" i="9" s="1"/>
  <c r="BV191" i="9"/>
  <c r="BT217" i="9"/>
  <c r="BT214" i="9"/>
  <c r="BU697" i="11" l="1"/>
  <c r="BU722" i="11"/>
  <c r="BU700" i="11"/>
  <c r="BU754" i="11" s="1"/>
  <c r="BU936" i="11"/>
  <c r="BU890" i="11"/>
  <c r="BV204" i="9"/>
  <c r="BV177" i="9"/>
  <c r="BV180" i="9" s="1"/>
  <c r="BV185" i="9" s="1"/>
  <c r="BL131" i="9"/>
  <c r="BL132" i="9" s="1"/>
  <c r="BL125" i="9"/>
  <c r="BL138" i="9" s="1"/>
  <c r="BL139" i="9" s="1"/>
  <c r="BV184" i="9"/>
  <c r="BU182" i="9"/>
  <c r="BU442" i="9" s="1"/>
  <c r="BU189" i="9"/>
  <c r="BU192" i="9" s="1"/>
  <c r="BK156" i="9"/>
  <c r="BL157" i="9"/>
  <c r="BN130" i="9"/>
  <c r="BN123" i="9"/>
  <c r="BM135" i="9"/>
  <c r="BT215" i="9"/>
  <c r="BT286" i="9"/>
  <c r="BT219" i="9"/>
  <c r="BT201" i="9"/>
  <c r="BT200" i="9" s="1"/>
  <c r="BT198" i="9" s="1"/>
  <c r="BT210" i="9"/>
  <c r="BU205" i="9" s="1"/>
  <c r="BU207" i="9" s="1"/>
  <c r="BU755" i="11" l="1"/>
  <c r="BU723" i="11"/>
  <c r="BU724" i="11" s="1"/>
  <c r="BU725" i="11" s="1"/>
  <c r="BU897" i="11"/>
  <c r="BV889" i="11"/>
  <c r="BU943" i="11"/>
  <c r="BU955" i="11" s="1"/>
  <c r="BU989" i="11" s="1"/>
  <c r="BU728" i="11"/>
  <c r="BL143" i="9"/>
  <c r="BL162" i="9"/>
  <c r="BT19" i="9"/>
  <c r="BT21" i="9" s="1"/>
  <c r="BU212" i="9"/>
  <c r="BU209" i="9"/>
  <c r="BU213" i="9" s="1"/>
  <c r="BL133" i="9"/>
  <c r="BM128" i="9"/>
  <c r="BL126" i="9"/>
  <c r="BL441" i="9" s="1"/>
  <c r="BL425" i="9"/>
  <c r="BV187" i="9"/>
  <c r="BV188" i="9" s="1"/>
  <c r="BV181" i="9"/>
  <c r="BV194" i="9" s="1"/>
  <c r="BV195" i="9" s="1"/>
  <c r="BM148" i="9"/>
  <c r="BM149" i="9" s="1"/>
  <c r="BM151" i="9" s="1"/>
  <c r="BM121" i="9"/>
  <c r="BK158" i="9"/>
  <c r="BK161" i="9"/>
  <c r="BU994" i="11" l="1"/>
  <c r="BV737" i="11"/>
  <c r="BV739" i="11" s="1"/>
  <c r="BU488" i="11"/>
  <c r="BU490" i="11" s="1"/>
  <c r="BU493" i="11" s="1"/>
  <c r="BU495" i="11" s="1"/>
  <c r="BU499" i="11" s="1"/>
  <c r="BU733" i="11"/>
  <c r="BV182" i="9"/>
  <c r="BV442" i="9" s="1"/>
  <c r="BV189" i="9"/>
  <c r="BV192" i="9" s="1"/>
  <c r="BK163" i="9"/>
  <c r="BK154" i="9"/>
  <c r="BK285" i="9"/>
  <c r="BK145" i="9"/>
  <c r="BK144" i="9" s="1"/>
  <c r="BK142" i="9" s="1"/>
  <c r="BK159" i="9"/>
  <c r="BL446" i="9"/>
  <c r="BL424" i="9"/>
  <c r="BM423" i="9"/>
  <c r="BL426" i="9"/>
  <c r="BM124" i="9"/>
  <c r="BM129" i="9" s="1"/>
  <c r="BN121" i="9"/>
  <c r="BO130" i="9" s="1"/>
  <c r="BL136" i="9"/>
  <c r="BU199" i="9"/>
  <c r="BU218" i="9"/>
  <c r="BM153" i="9"/>
  <c r="BU214" i="9"/>
  <c r="BU217" i="9"/>
  <c r="BU744" i="11" l="1"/>
  <c r="BU743" i="11"/>
  <c r="BU749" i="11"/>
  <c r="BU502" i="11"/>
  <c r="BU501" i="11"/>
  <c r="BV740" i="11"/>
  <c r="BV249" i="11"/>
  <c r="BV251" i="11" s="1"/>
  <c r="BV742" i="11"/>
  <c r="BL156" i="9"/>
  <c r="BM131" i="9"/>
  <c r="BM132" i="9" s="1"/>
  <c r="BM125" i="9"/>
  <c r="BN129" i="9"/>
  <c r="BK15" i="9"/>
  <c r="BK17" i="9" s="1"/>
  <c r="BP280" i="9"/>
  <c r="BP33" i="9" s="1"/>
  <c r="BK291" i="9"/>
  <c r="BU286" i="9"/>
  <c r="BU219" i="9"/>
  <c r="BU201" i="9"/>
  <c r="BU200" i="9" s="1"/>
  <c r="BU198" i="9" s="1"/>
  <c r="BU210" i="9"/>
  <c r="BV205" i="9" s="1"/>
  <c r="BV207" i="9" s="1"/>
  <c r="BU215" i="9"/>
  <c r="BV254" i="11" l="1"/>
  <c r="BV840" i="11" s="1"/>
  <c r="BV953" i="11" s="1"/>
  <c r="BV954" i="11" s="1"/>
  <c r="BV253" i="11"/>
  <c r="BU753" i="11"/>
  <c r="BU752" i="11"/>
  <c r="BU756" i="11"/>
  <c r="BN124" i="9"/>
  <c r="BN122" i="9" s="1"/>
  <c r="BN131" i="9"/>
  <c r="BN132" i="9" s="1"/>
  <c r="BM133" i="9"/>
  <c r="BM126" i="9"/>
  <c r="BM441" i="9" s="1"/>
  <c r="BM425" i="9"/>
  <c r="BK749" i="9"/>
  <c r="BK298" i="9"/>
  <c r="BK299" i="9"/>
  <c r="BK293" i="9"/>
  <c r="BK295" i="9"/>
  <c r="BK294" i="9"/>
  <c r="BV209" i="9"/>
  <c r="BV213" i="9" s="1"/>
  <c r="BV212" i="9"/>
  <c r="BU19" i="9"/>
  <c r="BU21" i="9" s="1"/>
  <c r="BN125" i="9"/>
  <c r="BN138" i="9" s="1"/>
  <c r="BM138" i="9"/>
  <c r="BM139" i="9" s="1"/>
  <c r="BL161" i="9"/>
  <c r="BL158" i="9"/>
  <c r="BV262" i="11" l="1"/>
  <c r="BV255" i="11"/>
  <c r="BV259" i="11" s="1"/>
  <c r="BL163" i="9"/>
  <c r="BL154" i="9"/>
  <c r="BL159" i="9"/>
  <c r="BL145" i="9"/>
  <c r="BL144" i="9" s="1"/>
  <c r="BL142" i="9" s="1"/>
  <c r="BL285" i="9"/>
  <c r="BK300" i="9"/>
  <c r="BM136" i="9"/>
  <c r="BN133" i="9"/>
  <c r="BN139" i="9"/>
  <c r="BM157" i="9"/>
  <c r="BV214" i="9"/>
  <c r="BV217" i="9"/>
  <c r="BM424" i="9"/>
  <c r="BM446" i="9"/>
  <c r="BM426" i="9"/>
  <c r="BN426" i="9" s="1"/>
  <c r="BO128" i="9"/>
  <c r="BN126" i="9"/>
  <c r="BN441" i="9" s="1"/>
  <c r="BN135" i="9"/>
  <c r="BO135" i="9" s="1"/>
  <c r="BS128" i="9"/>
  <c r="BN425" i="9"/>
  <c r="BV199" i="9"/>
  <c r="BV218" i="9"/>
  <c r="BK1109" i="9"/>
  <c r="BK1128" i="9"/>
  <c r="BK1026" i="9" s="1"/>
  <c r="BK1127" i="9"/>
  <c r="BK1025" i="9" s="1"/>
  <c r="BK1126" i="9"/>
  <c r="BK1111" i="9"/>
  <c r="BK751" i="9"/>
  <c r="BK1108" i="9"/>
  <c r="BK890" i="9"/>
  <c r="BK767" i="9" s="1"/>
  <c r="BK303" i="9"/>
  <c r="BK305" i="9" s="1"/>
  <c r="BK30" i="9"/>
  <c r="BK633" i="9"/>
  <c r="BV836" i="11" l="1"/>
  <c r="BV269" i="11"/>
  <c r="BV261" i="11"/>
  <c r="BV210" i="9"/>
  <c r="BV215" i="9"/>
  <c r="BV201" i="9"/>
  <c r="BV200" i="9" s="1"/>
  <c r="BV198" i="9" s="1"/>
  <c r="BV286" i="9"/>
  <c r="BV219" i="9"/>
  <c r="BM162" i="9"/>
  <c r="BM143" i="9"/>
  <c r="BN157" i="9"/>
  <c r="BL15" i="9"/>
  <c r="BL17" i="9" s="1"/>
  <c r="BL291" i="9"/>
  <c r="BL294" i="9" s="1"/>
  <c r="BQ280" i="9"/>
  <c r="BQ33" i="9" s="1"/>
  <c r="BK34" i="9"/>
  <c r="BK419" i="9"/>
  <c r="BK420" i="9" s="1"/>
  <c r="BM156" i="9"/>
  <c r="BN136" i="9"/>
  <c r="BK1021" i="9"/>
  <c r="BK629" i="9"/>
  <c r="BO121" i="9"/>
  <c r="BO148" i="9"/>
  <c r="BO149" i="9" s="1"/>
  <c r="BO151" i="9" s="1"/>
  <c r="BK634" i="9"/>
  <c r="BK1017" i="9"/>
  <c r="BK1023" i="9"/>
  <c r="BK307" i="9"/>
  <c r="BK308" i="9"/>
  <c r="BK328" i="9"/>
  <c r="BK330" i="9" s="1"/>
  <c r="BK327" i="9" s="1"/>
  <c r="BK346" i="9"/>
  <c r="BK1020" i="9"/>
  <c r="BK1134" i="9"/>
  <c r="BK1143" i="9" s="1"/>
  <c r="BK1024" i="9"/>
  <c r="BS423" i="9"/>
  <c r="BO423" i="9"/>
  <c r="BN424" i="9"/>
  <c r="BN446" i="9"/>
  <c r="BV264" i="11" l="1"/>
  <c r="BV845" i="11"/>
  <c r="BV983" i="11"/>
  <c r="BV985" i="11" s="1"/>
  <c r="BV987" i="11" s="1"/>
  <c r="BK41" i="9"/>
  <c r="BK42" i="9" s="1"/>
  <c r="BK323" i="9"/>
  <c r="BK1148" i="9"/>
  <c r="BV19" i="9"/>
  <c r="BV21" i="9" s="1"/>
  <c r="BO124" i="9"/>
  <c r="BO129" i="9" s="1"/>
  <c r="BP130" i="9"/>
  <c r="BO153" i="9"/>
  <c r="BK347" i="9"/>
  <c r="BK334" i="9"/>
  <c r="BK348" i="9"/>
  <c r="BM158" i="9"/>
  <c r="BM161" i="9"/>
  <c r="BN156" i="9"/>
  <c r="BL749" i="9"/>
  <c r="BL298" i="9"/>
  <c r="BL299" i="9"/>
  <c r="BL293" i="9"/>
  <c r="BL295" i="9"/>
  <c r="BN162" i="9"/>
  <c r="BN143" i="9"/>
  <c r="BN153" i="9"/>
  <c r="BV696" i="11" l="1"/>
  <c r="BV853" i="11"/>
  <c r="BV275" i="11"/>
  <c r="BV270" i="11" s="1"/>
  <c r="BV276" i="11"/>
  <c r="BV748" i="11" s="1"/>
  <c r="BM159" i="9"/>
  <c r="BM154" i="9"/>
  <c r="BM145" i="9"/>
  <c r="BM144" i="9" s="1"/>
  <c r="BM142" i="9" s="1"/>
  <c r="BM163" i="9"/>
  <c r="BM285" i="9"/>
  <c r="BP135" i="9"/>
  <c r="BK758" i="9"/>
  <c r="BL300" i="9"/>
  <c r="BK325" i="9"/>
  <c r="BK316" i="9"/>
  <c r="BK352" i="9" s="1"/>
  <c r="BK39" i="9"/>
  <c r="BK756" i="9"/>
  <c r="BK326" i="9"/>
  <c r="BL890" i="9"/>
  <c r="BL767" i="9" s="1"/>
  <c r="BL1111" i="9"/>
  <c r="BL1109" i="9"/>
  <c r="BL303" i="9"/>
  <c r="BL305" i="9" s="1"/>
  <c r="BL1128" i="9"/>
  <c r="BL1026" i="9" s="1"/>
  <c r="BL30" i="9"/>
  <c r="BL1108" i="9"/>
  <c r="BL1127" i="9"/>
  <c r="BL1025" i="9" s="1"/>
  <c r="BL751" i="9"/>
  <c r="BL1126" i="9"/>
  <c r="BL633" i="9"/>
  <c r="BO125" i="9"/>
  <c r="BO138" i="9" s="1"/>
  <c r="BO139" i="9" s="1"/>
  <c r="BO131" i="9"/>
  <c r="BO132" i="9" s="1"/>
  <c r="BN161" i="9"/>
  <c r="BN151" i="9"/>
  <c r="BN149" i="9" s="1"/>
  <c r="BN148" i="9" s="1"/>
  <c r="BN158" i="9"/>
  <c r="BS141" i="9" s="1"/>
  <c r="BS275" i="9" s="1"/>
  <c r="BS16" i="9" s="1"/>
  <c r="BV271" i="11" l="1"/>
  <c r="BV751" i="11" s="1"/>
  <c r="BV698" i="11"/>
  <c r="BV219" i="11"/>
  <c r="BV222" i="11" s="1"/>
  <c r="BV887" i="11"/>
  <c r="BV718" i="11"/>
  <c r="BV719" i="11" s="1"/>
  <c r="BV720" i="11" s="1"/>
  <c r="BV721" i="11" s="1"/>
  <c r="BV699" i="11"/>
  <c r="BK379" i="9"/>
  <c r="BK366" i="9"/>
  <c r="BN152" i="9"/>
  <c r="BK625" i="9"/>
  <c r="BK754" i="9"/>
  <c r="BP121" i="9"/>
  <c r="BP148" i="9"/>
  <c r="BP149" i="9" s="1"/>
  <c r="BP151" i="9" s="1"/>
  <c r="BL308" i="9"/>
  <c r="BL307" i="9"/>
  <c r="BL328" i="9"/>
  <c r="BL330" i="9" s="1"/>
  <c r="BL327" i="9" s="1"/>
  <c r="BL346" i="9"/>
  <c r="BL1023" i="9"/>
  <c r="BO126" i="9"/>
  <c r="BO441" i="9" s="1"/>
  <c r="BO133" i="9"/>
  <c r="BP128" i="9"/>
  <c r="BO425" i="9"/>
  <c r="BL1134" i="9"/>
  <c r="BL1143" i="9" s="1"/>
  <c r="BL1024" i="9"/>
  <c r="BK621" i="9"/>
  <c r="BK760" i="9"/>
  <c r="BK628" i="9" s="1"/>
  <c r="BL1021" i="9"/>
  <c r="BL629" i="9"/>
  <c r="BL1020" i="9"/>
  <c r="BL34" i="9"/>
  <c r="BL419" i="9"/>
  <c r="BL420" i="9" s="1"/>
  <c r="BO157" i="9"/>
  <c r="BM15" i="9"/>
  <c r="BM17" i="9" s="1"/>
  <c r="BN285" i="9"/>
  <c r="BM291" i="9"/>
  <c r="BM294" i="9" s="1"/>
  <c r="BR280" i="9"/>
  <c r="BR33" i="9" s="1"/>
  <c r="BL1017" i="9"/>
  <c r="BL634" i="9"/>
  <c r="BN163" i="9"/>
  <c r="BN154" i="9"/>
  <c r="BN145" i="9"/>
  <c r="BN144" i="9" s="1"/>
  <c r="BN142" i="9" s="1"/>
  <c r="BN159" i="9"/>
  <c r="BV936" i="11" l="1"/>
  <c r="BV890" i="11"/>
  <c r="BV697" i="11"/>
  <c r="BV722" i="11"/>
  <c r="BV700" i="11"/>
  <c r="BV754" i="11" s="1"/>
  <c r="BL323" i="9"/>
  <c r="BL41" i="9"/>
  <c r="BL42" i="9" s="1"/>
  <c r="BL348" i="9"/>
  <c r="BL347" i="9"/>
  <c r="BL334" i="9"/>
  <c r="BK624" i="9"/>
  <c r="BK315" i="9"/>
  <c r="BK314" i="9" s="1"/>
  <c r="BK618" i="9"/>
  <c r="BK619" i="9" s="1"/>
  <c r="BK762" i="9"/>
  <c r="BP153" i="9"/>
  <c r="BO143" i="9"/>
  <c r="BO162" i="9"/>
  <c r="BK763" i="9"/>
  <c r="BL1148" i="9"/>
  <c r="BM749" i="9"/>
  <c r="BM298" i="9"/>
  <c r="BM299" i="9"/>
  <c r="BM293" i="9"/>
  <c r="BM295" i="9"/>
  <c r="BO424" i="9"/>
  <c r="BP423" i="9"/>
  <c r="BO426" i="9"/>
  <c r="BO446" i="9"/>
  <c r="BK381" i="9"/>
  <c r="BK44" i="9"/>
  <c r="BK370" i="9"/>
  <c r="BK368" i="9"/>
  <c r="BK369" i="9"/>
  <c r="BQ130" i="9"/>
  <c r="BP124" i="9"/>
  <c r="BP129" i="9" s="1"/>
  <c r="BN15" i="9"/>
  <c r="BN17" i="9" s="1"/>
  <c r="BS280" i="9"/>
  <c r="BS33" i="9" s="1"/>
  <c r="BN291" i="9"/>
  <c r="BO136" i="9"/>
  <c r="BV897" i="11" l="1"/>
  <c r="BV755" i="11"/>
  <c r="BV723" i="11"/>
  <c r="BV724" i="11" s="1"/>
  <c r="BV725" i="11" s="1"/>
  <c r="BV943" i="11"/>
  <c r="BV955" i="11" s="1"/>
  <c r="BV989" i="11" s="1"/>
  <c r="BV728" i="11"/>
  <c r="BK769" i="9"/>
  <c r="BK779" i="9"/>
  <c r="BK630" i="9"/>
  <c r="BN298" i="9"/>
  <c r="BN299" i="9"/>
  <c r="BN293" i="9"/>
  <c r="BN295" i="9"/>
  <c r="BP125" i="9"/>
  <c r="BP138" i="9" s="1"/>
  <c r="BP139" i="9" s="1"/>
  <c r="BP131" i="9"/>
  <c r="BP132" i="9" s="1"/>
  <c r="BM1127" i="9"/>
  <c r="BM1128" i="9"/>
  <c r="BM1108" i="9"/>
  <c r="BM751" i="9"/>
  <c r="BM1111" i="9"/>
  <c r="BM1109" i="9"/>
  <c r="BM303" i="9"/>
  <c r="BM305" i="9" s="1"/>
  <c r="BM1126" i="9"/>
  <c r="BM890" i="9"/>
  <c r="BM767" i="9" s="1"/>
  <c r="BM30" i="9"/>
  <c r="BM633" i="9"/>
  <c r="BN749" i="9"/>
  <c r="BK371" i="9"/>
  <c r="BK46" i="9"/>
  <c r="BK47" i="9" s="1"/>
  <c r="BK768" i="9"/>
  <c r="BK778" i="9"/>
  <c r="BK622" i="9"/>
  <c r="BK1166" i="9"/>
  <c r="BO156" i="9"/>
  <c r="BM300" i="9"/>
  <c r="BQ135" i="9"/>
  <c r="BK384" i="9"/>
  <c r="BK385" i="9" s="1"/>
  <c r="BK382" i="9"/>
  <c r="BK383" i="9"/>
  <c r="BL758" i="9"/>
  <c r="BN294" i="9"/>
  <c r="BL756" i="9"/>
  <c r="BL325" i="9"/>
  <c r="BL316" i="9"/>
  <c r="BL352" i="9" s="1"/>
  <c r="BL39" i="9"/>
  <c r="BL326" i="9"/>
  <c r="BV994" i="11" l="1"/>
  <c r="BV488" i="11"/>
  <c r="BV490" i="11" s="1"/>
  <c r="BV493" i="11" s="1"/>
  <c r="BV495" i="11" s="1"/>
  <c r="BV499" i="11" s="1"/>
  <c r="BV733" i="11"/>
  <c r="BQ121" i="9"/>
  <c r="BQ148" i="9"/>
  <c r="BQ149" i="9" s="1"/>
  <c r="BQ151" i="9" s="1"/>
  <c r="BN1111" i="9"/>
  <c r="BM1023" i="9"/>
  <c r="BN1023" i="9" s="1"/>
  <c r="BM308" i="9"/>
  <c r="BM307" i="9"/>
  <c r="BM328" i="9"/>
  <c r="BM330" i="9" s="1"/>
  <c r="BM327" i="9" s="1"/>
  <c r="BM346" i="9"/>
  <c r="BO158" i="9"/>
  <c r="BO161" i="9"/>
  <c r="BL625" i="9"/>
  <c r="BL754" i="9"/>
  <c r="BL760" i="9"/>
  <c r="BL628" i="9" s="1"/>
  <c r="BL621" i="9"/>
  <c r="BN1108" i="9"/>
  <c r="BM1020" i="9"/>
  <c r="BN1020" i="9" s="1"/>
  <c r="BP157" i="9"/>
  <c r="BN1126" i="9"/>
  <c r="BM1024" i="9"/>
  <c r="BN1024" i="9" s="1"/>
  <c r="BM1134" i="9"/>
  <c r="BM1143" i="9" s="1"/>
  <c r="BN1109" i="9"/>
  <c r="BM1021" i="9"/>
  <c r="BN1021" i="9" s="1"/>
  <c r="BM629" i="9"/>
  <c r="BL366" i="9"/>
  <c r="BP133" i="9"/>
  <c r="BP126" i="9"/>
  <c r="BP441" i="9" s="1"/>
  <c r="BQ128" i="9"/>
  <c r="BP425" i="9"/>
  <c r="BK635" i="9"/>
  <c r="BN300" i="9"/>
  <c r="BN751" i="9"/>
  <c r="BN629" i="9" s="1"/>
  <c r="BN303" i="9"/>
  <c r="BN30" i="9"/>
  <c r="BN633" i="9"/>
  <c r="BM34" i="9"/>
  <c r="BM419" i="9"/>
  <c r="BM420" i="9" s="1"/>
  <c r="BK785" i="9"/>
  <c r="BK787" i="9" s="1"/>
  <c r="BK784" i="9"/>
  <c r="BN1128" i="9"/>
  <c r="BN1072" i="9" s="1"/>
  <c r="BN1079" i="9" s="1"/>
  <c r="BM1026" i="9"/>
  <c r="BN1026" i="9" s="1"/>
  <c r="BM1025" i="9"/>
  <c r="BN1025" i="9" s="1"/>
  <c r="BN1127" i="9"/>
  <c r="BN1071" i="9" s="1"/>
  <c r="BN1078" i="9" s="1"/>
  <c r="BK782" i="9"/>
  <c r="BK1167" i="9"/>
  <c r="BM1017" i="9"/>
  <c r="BM634" i="9"/>
  <c r="BN767" i="9"/>
  <c r="BN634" i="9" s="1"/>
  <c r="BK919" i="9"/>
  <c r="BK636" i="9"/>
  <c r="BV744" i="11" l="1"/>
  <c r="BV743" i="11"/>
  <c r="BV749" i="11"/>
  <c r="BM323" i="9"/>
  <c r="BM41" i="9"/>
  <c r="BM42" i="9" s="1"/>
  <c r="BN1068" i="9"/>
  <c r="BN1075" i="9" s="1"/>
  <c r="BN1017" i="9"/>
  <c r="BN890" i="9" s="1"/>
  <c r="BN891" i="9" s="1"/>
  <c r="BM1148" i="9"/>
  <c r="BP446" i="9"/>
  <c r="BQ423" i="9"/>
  <c r="BP426" i="9"/>
  <c r="BP424" i="9"/>
  <c r="BL315" i="9"/>
  <c r="BL314" i="9" s="1"/>
  <c r="BL618" i="9"/>
  <c r="BL619" i="9" s="1"/>
  <c r="BL624" i="9"/>
  <c r="BL762" i="9"/>
  <c r="BP136" i="9"/>
  <c r="BL44" i="9"/>
  <c r="BL370" i="9"/>
  <c r="BL368" i="9"/>
  <c r="BL369" i="9"/>
  <c r="BM334" i="9"/>
  <c r="BM347" i="9"/>
  <c r="BM348" i="9"/>
  <c r="BN1069" i="9"/>
  <c r="BN1076" i="9" s="1"/>
  <c r="BK1014" i="9"/>
  <c r="BL763" i="9"/>
  <c r="BO285" i="9"/>
  <c r="BO159" i="9"/>
  <c r="BO154" i="9"/>
  <c r="BO145" i="9"/>
  <c r="BO144" i="9" s="1"/>
  <c r="BO142" i="9" s="1"/>
  <c r="BO163" i="9"/>
  <c r="BK783" i="9"/>
  <c r="BN305" i="9"/>
  <c r="BP143" i="9"/>
  <c r="BP162" i="9"/>
  <c r="BQ153" i="9"/>
  <c r="BK796" i="9"/>
  <c r="BN419" i="9"/>
  <c r="BN420" i="9" s="1"/>
  <c r="BN34" i="9"/>
  <c r="BN1070" i="9"/>
  <c r="BN1077" i="9" s="1"/>
  <c r="BN1134" i="9"/>
  <c r="BN1143" i="9" s="1"/>
  <c r="BN1073" i="9"/>
  <c r="BN1080" i="9" s="1"/>
  <c r="BR130" i="9"/>
  <c r="BQ124" i="9"/>
  <c r="BQ129" i="9" s="1"/>
  <c r="BV753" i="11" l="1"/>
  <c r="BV752" i="11"/>
  <c r="BV756" i="11"/>
  <c r="BK781" i="9"/>
  <c r="BK786" i="9"/>
  <c r="BK795" i="9" s="1"/>
  <c r="BP156" i="9"/>
  <c r="BQ125" i="9"/>
  <c r="BQ138" i="9" s="1"/>
  <c r="BQ139" i="9" s="1"/>
  <c r="BQ131" i="9"/>
  <c r="BQ132" i="9" s="1"/>
  <c r="BL769" i="9"/>
  <c r="BL630" i="9"/>
  <c r="BQ157" i="9"/>
  <c r="BN307" i="9"/>
  <c r="BN308" i="9"/>
  <c r="BN328" i="9"/>
  <c r="BS130" i="9"/>
  <c r="BS123" i="9"/>
  <c r="BR135" i="9"/>
  <c r="BO15" i="9"/>
  <c r="BO17" i="9" s="1"/>
  <c r="BO291" i="9"/>
  <c r="BO294" i="9" s="1"/>
  <c r="BK1119" i="9"/>
  <c r="BN1148" i="9"/>
  <c r="BM758" i="9"/>
  <c r="BN334" i="9"/>
  <c r="BN346" i="9" s="1"/>
  <c r="BL768" i="9"/>
  <c r="BL622" i="9"/>
  <c r="BL1166" i="9"/>
  <c r="BM325" i="9"/>
  <c r="BM39" i="9"/>
  <c r="BM316" i="9"/>
  <c r="BM352" i="9" s="1"/>
  <c r="BM756" i="9"/>
  <c r="BM326" i="9"/>
  <c r="BL371" i="9"/>
  <c r="BL46" i="9"/>
  <c r="BL47" i="9" s="1"/>
  <c r="BR121" i="9" l="1"/>
  <c r="BR148" i="9"/>
  <c r="BR149" i="9" s="1"/>
  <c r="BR151" i="9" s="1"/>
  <c r="BM625" i="9"/>
  <c r="BM754" i="9"/>
  <c r="BM366" i="9"/>
  <c r="BQ133" i="9"/>
  <c r="BQ126" i="9"/>
  <c r="BQ441" i="9" s="1"/>
  <c r="BR128" i="9"/>
  <c r="BQ425" i="9"/>
  <c r="BK1122" i="9"/>
  <c r="BP158" i="9"/>
  <c r="BP161" i="9"/>
  <c r="BQ143" i="9"/>
  <c r="BQ162" i="9"/>
  <c r="BN349" i="9"/>
  <c r="BN350" i="9" s="1"/>
  <c r="BN347" i="9"/>
  <c r="BN348" i="9"/>
  <c r="BM760" i="9"/>
  <c r="BM628" i="9" s="1"/>
  <c r="BM621" i="9"/>
  <c r="BN758" i="9"/>
  <c r="BO749" i="9"/>
  <c r="BO298" i="9"/>
  <c r="BO299" i="9"/>
  <c r="BO293" i="9"/>
  <c r="BO295" i="9"/>
  <c r="BK797" i="9"/>
  <c r="BK802" i="9" s="1"/>
  <c r="BK809" i="9"/>
  <c r="BK801" i="9"/>
  <c r="BK1008" i="9"/>
  <c r="BJ1170" i="9"/>
  <c r="BL635" i="9"/>
  <c r="BL636" i="9"/>
  <c r="BK806" i="9"/>
  <c r="BP163" i="9" l="1"/>
  <c r="BP145" i="9"/>
  <c r="BP144" i="9" s="1"/>
  <c r="BP142" i="9" s="1"/>
  <c r="BP285" i="9"/>
  <c r="BP159" i="9"/>
  <c r="BP154" i="9"/>
  <c r="BK816" i="9"/>
  <c r="BK811" i="9" s="1"/>
  <c r="BK49" i="9" s="1"/>
  <c r="BQ426" i="9"/>
  <c r="BQ446" i="9"/>
  <c r="BR423" i="9"/>
  <c r="BQ424" i="9"/>
  <c r="BN760" i="9"/>
  <c r="BN628" i="9" s="1"/>
  <c r="BN621" i="9"/>
  <c r="BM618" i="9"/>
  <c r="BM619" i="9" s="1"/>
  <c r="BM315" i="9"/>
  <c r="BM314" i="9" s="1"/>
  <c r="BM624" i="9"/>
  <c r="BM762" i="9"/>
  <c r="BN754" i="9"/>
  <c r="BO300" i="9"/>
  <c r="BM763" i="9"/>
  <c r="BK1019" i="9"/>
  <c r="BK1149" i="9"/>
  <c r="BQ136" i="9"/>
  <c r="BM368" i="9"/>
  <c r="BM370" i="9"/>
  <c r="BM44" i="9"/>
  <c r="BM369" i="9"/>
  <c r="BO1128" i="9"/>
  <c r="BO1026" i="9" s="1"/>
  <c r="BO1109" i="9"/>
  <c r="BO1108" i="9"/>
  <c r="BO1111" i="9"/>
  <c r="BO890" i="9"/>
  <c r="BO767" i="9" s="1"/>
  <c r="BO751" i="9"/>
  <c r="BO1126" i="9"/>
  <c r="BO1127" i="9"/>
  <c r="BO1025" i="9" s="1"/>
  <c r="BO30" i="9"/>
  <c r="BO303" i="9"/>
  <c r="BO305" i="9" s="1"/>
  <c r="BO633" i="9"/>
  <c r="BR153" i="9"/>
  <c r="BK815" i="9"/>
  <c r="BK810" i="9" s="1"/>
  <c r="BS121" i="9"/>
  <c r="BT130" i="9" s="1"/>
  <c r="BR124" i="9"/>
  <c r="BR129" i="9" s="1"/>
  <c r="BO1024" i="9" l="1"/>
  <c r="BO1134" i="9"/>
  <c r="BO1143" i="9" s="1"/>
  <c r="BO629" i="9"/>
  <c r="BN624" i="9"/>
  <c r="BN618" i="9"/>
  <c r="BN619" i="9" s="1"/>
  <c r="BN315" i="9"/>
  <c r="BN762" i="9"/>
  <c r="BO1021" i="9"/>
  <c r="BO1017" i="9"/>
  <c r="BO634" i="9"/>
  <c r="BM768" i="9"/>
  <c r="BM635" i="9" s="1"/>
  <c r="BM622" i="9"/>
  <c r="BM1166" i="9"/>
  <c r="BO1020" i="9"/>
  <c r="BM371" i="9"/>
  <c r="BM46" i="9"/>
  <c r="BM47" i="9" s="1"/>
  <c r="BK1030" i="9"/>
  <c r="BK873" i="9"/>
  <c r="BP15" i="9"/>
  <c r="BP17" i="9" s="1"/>
  <c r="BP291" i="9"/>
  <c r="BQ156" i="9"/>
  <c r="BO419" i="9"/>
  <c r="BO420" i="9" s="1"/>
  <c r="BO34" i="9"/>
  <c r="BO1023" i="9"/>
  <c r="BR131" i="9"/>
  <c r="BR132" i="9" s="1"/>
  <c r="BR125" i="9"/>
  <c r="BS129" i="9"/>
  <c r="BK51" i="9"/>
  <c r="BK1152" i="9"/>
  <c r="BK1154" i="9" s="1"/>
  <c r="BO308" i="9"/>
  <c r="BO307" i="9"/>
  <c r="BO346" i="9"/>
  <c r="BO328" i="9"/>
  <c r="BO330" i="9" s="1"/>
  <c r="BO327" i="9" s="1"/>
  <c r="BM769" i="9"/>
  <c r="BM630" i="9"/>
  <c r="BQ161" i="9" l="1"/>
  <c r="BQ158" i="9"/>
  <c r="BO1148" i="9"/>
  <c r="BN622" i="9"/>
  <c r="BN768" i="9"/>
  <c r="BN635" i="9" s="1"/>
  <c r="BS131" i="9"/>
  <c r="BS132" i="9" s="1"/>
  <c r="BS124" i="9"/>
  <c r="BS122" i="9" s="1"/>
  <c r="BM636" i="9"/>
  <c r="BP749" i="9"/>
  <c r="BP298" i="9"/>
  <c r="BP299" i="9"/>
  <c r="BP293" i="9"/>
  <c r="BP295" i="9"/>
  <c r="BN314" i="9"/>
  <c r="BN316" i="9"/>
  <c r="BO323" i="9"/>
  <c r="BO41" i="9"/>
  <c r="BO42" i="9" s="1"/>
  <c r="BO347" i="9"/>
  <c r="BO348" i="9"/>
  <c r="BO334" i="9"/>
  <c r="BP294" i="9"/>
  <c r="BK875" i="9"/>
  <c r="BK1057" i="9"/>
  <c r="BS125" i="9"/>
  <c r="BS138" i="9" s="1"/>
  <c r="BR138" i="9"/>
  <c r="BR139" i="9" s="1"/>
  <c r="BR133" i="9"/>
  <c r="BR126" i="9"/>
  <c r="BR441" i="9" s="1"/>
  <c r="BR425" i="9"/>
  <c r="BK876" i="9"/>
  <c r="BK893" i="9"/>
  <c r="BK894" i="9" s="1"/>
  <c r="BK895" i="9" s="1"/>
  <c r="BK896" i="9" s="1"/>
  <c r="BP300" i="9" l="1"/>
  <c r="BS139" i="9"/>
  <c r="BR157" i="9"/>
  <c r="BS135" i="9"/>
  <c r="BT135" i="9" s="1"/>
  <c r="BS126" i="9"/>
  <c r="BS441" i="9" s="1"/>
  <c r="BT128" i="9"/>
  <c r="BS425" i="9"/>
  <c r="BR446" i="9"/>
  <c r="BR426" i="9"/>
  <c r="BS426" i="9" s="1"/>
  <c r="BR424" i="9"/>
  <c r="BR136" i="9"/>
  <c r="BS133" i="9"/>
  <c r="BO758" i="9"/>
  <c r="BO39" i="9"/>
  <c r="BO756" i="9"/>
  <c r="BO316" i="9"/>
  <c r="BO352" i="9" s="1"/>
  <c r="BO325" i="9"/>
  <c r="BO326" i="9"/>
  <c r="BP1126" i="9"/>
  <c r="BP1128" i="9"/>
  <c r="BP1026" i="9" s="1"/>
  <c r="BP1109" i="9"/>
  <c r="BP1111" i="9"/>
  <c r="BP1127" i="9"/>
  <c r="BP1025" i="9" s="1"/>
  <c r="BP751" i="9"/>
  <c r="BP1108" i="9"/>
  <c r="BP890" i="9"/>
  <c r="BP767" i="9" s="1"/>
  <c r="BP303" i="9"/>
  <c r="BP305" i="9" s="1"/>
  <c r="BP30" i="9"/>
  <c r="BP633" i="9"/>
  <c r="BQ145" i="9"/>
  <c r="BQ144" i="9" s="1"/>
  <c r="BQ142" i="9" s="1"/>
  <c r="BQ285" i="9"/>
  <c r="BQ154" i="9"/>
  <c r="BQ163" i="9"/>
  <c r="BQ159" i="9"/>
  <c r="BK1106" i="9"/>
  <c r="BJ1168" i="9"/>
  <c r="BK1060" i="9"/>
  <c r="BK877" i="9"/>
  <c r="BK897" i="9"/>
  <c r="BK898" i="9" s="1"/>
  <c r="BK899" i="9" s="1"/>
  <c r="BK900" i="9" s="1"/>
  <c r="BK874" i="9"/>
  <c r="BN323" i="9"/>
  <c r="BN352" i="9"/>
  <c r="BK903" i="9" l="1"/>
  <c r="BK1114" i="9"/>
  <c r="BK1123" i="9" s="1"/>
  <c r="BO366" i="9"/>
  <c r="BO625" i="9"/>
  <c r="BO754" i="9"/>
  <c r="BQ15" i="9"/>
  <c r="BQ17" i="9" s="1"/>
  <c r="BQ291" i="9"/>
  <c r="BQ294" i="9" s="1"/>
  <c r="BO760" i="9"/>
  <c r="BO628" i="9" s="1"/>
  <c r="BO621" i="9"/>
  <c r="BL1059" i="9"/>
  <c r="BK1065" i="9"/>
  <c r="BS424" i="9"/>
  <c r="BT423" i="9"/>
  <c r="BS446" i="9"/>
  <c r="BP419" i="9"/>
  <c r="BP420" i="9" s="1"/>
  <c r="BP34" i="9"/>
  <c r="BP1020" i="9"/>
  <c r="BT148" i="9"/>
  <c r="BT121" i="9"/>
  <c r="BP1017" i="9"/>
  <c r="BP634" i="9"/>
  <c r="BN325" i="9"/>
  <c r="BN327" i="9"/>
  <c r="BN39" i="9"/>
  <c r="BN756" i="9"/>
  <c r="BN326" i="9"/>
  <c r="BP629" i="9"/>
  <c r="BP1023" i="9"/>
  <c r="BR143" i="9"/>
  <c r="BR162" i="9"/>
  <c r="BS157" i="9"/>
  <c r="BP1024" i="9"/>
  <c r="BP1134" i="9"/>
  <c r="BP1143" i="9" s="1"/>
  <c r="BR156" i="9"/>
  <c r="BS136" i="9"/>
  <c r="BP307" i="9"/>
  <c r="BP308" i="9"/>
  <c r="BP346" i="9"/>
  <c r="BP328" i="9"/>
  <c r="BP330" i="9" s="1"/>
  <c r="BP327" i="9" s="1"/>
  <c r="BN366" i="9"/>
  <c r="BP1021" i="9"/>
  <c r="BO763" i="9" l="1"/>
  <c r="BR161" i="9"/>
  <c r="BR158" i="9"/>
  <c r="BS156" i="9"/>
  <c r="BS162" i="9"/>
  <c r="BS153" i="9"/>
  <c r="BS143" i="9"/>
  <c r="BO44" i="9"/>
  <c r="BO368" i="9"/>
  <c r="BO370" i="9"/>
  <c r="BO369" i="9"/>
  <c r="BU130" i="9"/>
  <c r="BT124" i="9"/>
  <c r="BT129" i="9" s="1"/>
  <c r="BN625" i="9"/>
  <c r="BN763" i="9"/>
  <c r="BN41" i="9"/>
  <c r="BN42" i="9" s="1"/>
  <c r="BN330" i="9"/>
  <c r="BN329" i="9" s="1"/>
  <c r="BO624" i="9"/>
  <c r="BO618" i="9"/>
  <c r="BO619" i="9" s="1"/>
  <c r="BO315" i="9"/>
  <c r="BO314" i="9" s="1"/>
  <c r="BO762" i="9"/>
  <c r="BK1156" i="9"/>
  <c r="BJ1171" i="9"/>
  <c r="BN370" i="9"/>
  <c r="BN44" i="9"/>
  <c r="BN368" i="9"/>
  <c r="BN369" i="9"/>
  <c r="BP41" i="9"/>
  <c r="BP42" i="9" s="1"/>
  <c r="BP323" i="9"/>
  <c r="BQ749" i="9"/>
  <c r="BQ298" i="9"/>
  <c r="BQ299" i="9"/>
  <c r="BQ293" i="9"/>
  <c r="BQ295" i="9"/>
  <c r="BL914" i="9"/>
  <c r="BK1161" i="9"/>
  <c r="BK908" i="9"/>
  <c r="BK926" i="9" s="1"/>
  <c r="BP347" i="9"/>
  <c r="BP334" i="9"/>
  <c r="BP348" i="9"/>
  <c r="BP1148" i="9"/>
  <c r="BQ300" i="9" l="1"/>
  <c r="BP316" i="9"/>
  <c r="BP352" i="9" s="1"/>
  <c r="BP39" i="9"/>
  <c r="BP756" i="9"/>
  <c r="BP325" i="9"/>
  <c r="BP326" i="9"/>
  <c r="BP758" i="9"/>
  <c r="BQ1108" i="9"/>
  <c r="BQ1127" i="9"/>
  <c r="BQ1025" i="9" s="1"/>
  <c r="BQ1111" i="9"/>
  <c r="BQ1109" i="9"/>
  <c r="BQ30" i="9"/>
  <c r="BQ1128" i="9"/>
  <c r="BQ1026" i="9" s="1"/>
  <c r="BQ751" i="9"/>
  <c r="BQ890" i="9"/>
  <c r="BQ767" i="9" s="1"/>
  <c r="BQ1126" i="9"/>
  <c r="BQ303" i="9"/>
  <c r="BQ305" i="9" s="1"/>
  <c r="BQ633" i="9"/>
  <c r="BO371" i="9"/>
  <c r="BO46" i="9"/>
  <c r="BO47" i="9" s="1"/>
  <c r="BS158" i="9"/>
  <c r="BS161" i="9"/>
  <c r="BS151" i="9"/>
  <c r="BS149" i="9" s="1"/>
  <c r="BS148" i="9" s="1"/>
  <c r="BN769" i="9"/>
  <c r="BN630" i="9"/>
  <c r="BR154" i="9"/>
  <c r="BR145" i="9"/>
  <c r="BR144" i="9" s="1"/>
  <c r="BR142" i="9" s="1"/>
  <c r="BR285" i="9"/>
  <c r="BR163" i="9"/>
  <c r="BR159" i="9"/>
  <c r="BN371" i="9"/>
  <c r="BN46" i="9"/>
  <c r="BN47" i="9" s="1"/>
  <c r="BL916" i="9"/>
  <c r="BT131" i="9"/>
  <c r="BT132" i="9" s="1"/>
  <c r="BT125" i="9"/>
  <c r="BT138" i="9" s="1"/>
  <c r="BT139" i="9" s="1"/>
  <c r="BU135" i="9"/>
  <c r="BO769" i="9"/>
  <c r="BO630" i="9"/>
  <c r="BO622" i="9"/>
  <c r="BO768" i="9"/>
  <c r="BO635" i="9" s="1"/>
  <c r="BO1166" i="9"/>
  <c r="BN1166" i="9"/>
  <c r="BQ1134" i="9" l="1"/>
  <c r="BQ1143" i="9" s="1"/>
  <c r="BQ1024" i="9"/>
  <c r="BQ34" i="9"/>
  <c r="BQ419" i="9"/>
  <c r="BQ420" i="9" s="1"/>
  <c r="BQ634" i="9"/>
  <c r="BQ1017" i="9"/>
  <c r="BP760" i="9"/>
  <c r="BP628" i="9" s="1"/>
  <c r="BP621" i="9"/>
  <c r="BS159" i="9"/>
  <c r="BS154" i="9"/>
  <c r="BT149" i="9" s="1"/>
  <c r="BT151" i="9" s="1"/>
  <c r="BS163" i="9"/>
  <c r="BS145" i="9"/>
  <c r="BS144" i="9" s="1"/>
  <c r="BS142" i="9" s="1"/>
  <c r="BU128" i="9"/>
  <c r="BT126" i="9"/>
  <c r="BT441" i="9" s="1"/>
  <c r="BT133" i="9"/>
  <c r="BT136" i="9" s="1"/>
  <c r="BT425" i="9"/>
  <c r="BS285" i="9"/>
  <c r="BR15" i="9"/>
  <c r="BR17" i="9" s="1"/>
  <c r="BR291" i="9"/>
  <c r="BQ1021" i="9"/>
  <c r="BQ1023" i="9"/>
  <c r="BQ1020" i="9"/>
  <c r="BN636" i="9"/>
  <c r="BS152" i="9"/>
  <c r="BP625" i="9"/>
  <c r="BP754" i="9"/>
  <c r="BO636" i="9"/>
  <c r="BU148" i="9"/>
  <c r="BU121" i="9"/>
  <c r="BQ307" i="9"/>
  <c r="BQ308" i="9"/>
  <c r="BQ346" i="9"/>
  <c r="BQ328" i="9"/>
  <c r="BQ330" i="9" s="1"/>
  <c r="BQ327" i="9" s="1"/>
  <c r="BL376" i="9"/>
  <c r="BL917" i="9"/>
  <c r="BL772" i="9"/>
  <c r="BL919" i="9"/>
  <c r="BQ629" i="9"/>
  <c r="BP366" i="9"/>
  <c r="BP763" i="9" l="1"/>
  <c r="BP630" i="9" s="1"/>
  <c r="BP618" i="9"/>
  <c r="BP619" i="9" s="1"/>
  <c r="BP624" i="9"/>
  <c r="BP315" i="9"/>
  <c r="BP314" i="9" s="1"/>
  <c r="BP762" i="9"/>
  <c r="BL774" i="9"/>
  <c r="BL779" i="9" s="1"/>
  <c r="BL778" i="9"/>
  <c r="BQ334" i="9"/>
  <c r="BQ347" i="9"/>
  <c r="BQ348" i="9"/>
  <c r="BR749" i="9"/>
  <c r="BR298" i="9"/>
  <c r="BR299" i="9"/>
  <c r="BR293" i="9"/>
  <c r="BR295" i="9"/>
  <c r="BU423" i="9"/>
  <c r="BT426" i="9"/>
  <c r="BT424" i="9"/>
  <c r="BT446" i="9"/>
  <c r="BP368" i="9"/>
  <c r="BP44" i="9"/>
  <c r="BP370" i="9"/>
  <c r="BP369" i="9"/>
  <c r="BQ41" i="9"/>
  <c r="BQ42" i="9" s="1"/>
  <c r="BQ323" i="9"/>
  <c r="BR294" i="9"/>
  <c r="BT156" i="9"/>
  <c r="BT153" i="9"/>
  <c r="BT157" i="9" s="1"/>
  <c r="BL378" i="9"/>
  <c r="BL381" i="9" s="1"/>
  <c r="BL379" i="9"/>
  <c r="BQ1148" i="9"/>
  <c r="BV130" i="9"/>
  <c r="BU124" i="9"/>
  <c r="BU129" i="9" s="1"/>
  <c r="BS15" i="9"/>
  <c r="BS17" i="9" s="1"/>
  <c r="BS291" i="9"/>
  <c r="BT280" i="9"/>
  <c r="BT33" i="9" s="1"/>
  <c r="BL1167" i="9" l="1"/>
  <c r="BP769" i="9"/>
  <c r="BP636" i="9" s="1"/>
  <c r="BL384" i="9"/>
  <c r="BL385" i="9" s="1"/>
  <c r="BL382" i="9"/>
  <c r="BL383" i="9"/>
  <c r="BT158" i="9"/>
  <c r="BT161" i="9"/>
  <c r="BP46" i="9"/>
  <c r="BP47" i="9" s="1"/>
  <c r="BP371" i="9"/>
  <c r="BS298" i="9"/>
  <c r="BS299" i="9"/>
  <c r="BS293" i="9"/>
  <c r="BS295" i="9"/>
  <c r="BT143" i="9"/>
  <c r="BT162" i="9"/>
  <c r="BQ758" i="9"/>
  <c r="BU125" i="9"/>
  <c r="BU138" i="9" s="1"/>
  <c r="BU139" i="9" s="1"/>
  <c r="BU131" i="9"/>
  <c r="BU132" i="9" s="1"/>
  <c r="BV135" i="9"/>
  <c r="BP768" i="9"/>
  <c r="BP635" i="9" s="1"/>
  <c r="BP622" i="9"/>
  <c r="BP1166" i="9"/>
  <c r="BS294" i="9"/>
  <c r="BR1127" i="9"/>
  <c r="BR1108" i="9"/>
  <c r="BR1111" i="9"/>
  <c r="BR1109" i="9"/>
  <c r="BR1126" i="9"/>
  <c r="BR303" i="9"/>
  <c r="BR305" i="9" s="1"/>
  <c r="BR1128" i="9"/>
  <c r="BR890" i="9"/>
  <c r="BR767" i="9" s="1"/>
  <c r="BR751" i="9"/>
  <c r="BR30" i="9"/>
  <c r="BR633" i="9"/>
  <c r="BS749" i="9"/>
  <c r="BQ316" i="9"/>
  <c r="BQ352" i="9" s="1"/>
  <c r="BQ756" i="9"/>
  <c r="BQ39" i="9"/>
  <c r="BQ325" i="9"/>
  <c r="BQ326" i="9"/>
  <c r="BL782" i="9"/>
  <c r="BL784" i="9"/>
  <c r="BL785" i="9"/>
  <c r="BR300" i="9"/>
  <c r="BL783" i="9" l="1"/>
  <c r="BL781" i="9" s="1"/>
  <c r="BL806" i="9" s="1"/>
  <c r="BQ760" i="9"/>
  <c r="BQ628" i="9" s="1"/>
  <c r="BQ621" i="9"/>
  <c r="BS300" i="9"/>
  <c r="BT285" i="9"/>
  <c r="BT159" i="9"/>
  <c r="BT145" i="9"/>
  <c r="BT144" i="9" s="1"/>
  <c r="BT142" i="9" s="1"/>
  <c r="BT163" i="9"/>
  <c r="BT154" i="9"/>
  <c r="BU149" i="9" s="1"/>
  <c r="BU151" i="9" s="1"/>
  <c r="BR1017" i="9"/>
  <c r="BR634" i="9"/>
  <c r="BS767" i="9"/>
  <c r="BS634" i="9" s="1"/>
  <c r="BL787" i="9"/>
  <c r="BR1134" i="9"/>
  <c r="BR1143" i="9" s="1"/>
  <c r="BS1126" i="9"/>
  <c r="BR1024" i="9"/>
  <c r="BS1024" i="9" s="1"/>
  <c r="BR1026" i="9"/>
  <c r="BS1026" i="9" s="1"/>
  <c r="BS1128" i="9"/>
  <c r="BS1072" i="9" s="1"/>
  <c r="BR307" i="9"/>
  <c r="BR308" i="9"/>
  <c r="BR346" i="9"/>
  <c r="BR328" i="9"/>
  <c r="BR330" i="9" s="1"/>
  <c r="BR327" i="9" s="1"/>
  <c r="BL1014" i="9"/>
  <c r="BV128" i="9"/>
  <c r="BU126" i="9"/>
  <c r="BU441" i="9" s="1"/>
  <c r="BU133" i="9"/>
  <c r="BU136" i="9" s="1"/>
  <c r="BU425" i="9"/>
  <c r="BR629" i="9"/>
  <c r="BS1109" i="9"/>
  <c r="BR1021" i="9"/>
  <c r="BS1021" i="9" s="1"/>
  <c r="BS1108" i="9"/>
  <c r="BR1020" i="9"/>
  <c r="BS1020" i="9" s="1"/>
  <c r="BQ366" i="9"/>
  <c r="BV148" i="9"/>
  <c r="BV121" i="9"/>
  <c r="BV124" i="9" s="1"/>
  <c r="BV129" i="9" s="1"/>
  <c r="BS751" i="9"/>
  <c r="BS629" i="9" s="1"/>
  <c r="BS303" i="9"/>
  <c r="BS30" i="9"/>
  <c r="BS633" i="9"/>
  <c r="BR34" i="9"/>
  <c r="BR419" i="9"/>
  <c r="BR420" i="9" s="1"/>
  <c r="BL796" i="9"/>
  <c r="BS1111" i="9"/>
  <c r="BR1023" i="9"/>
  <c r="BS1023" i="9" s="1"/>
  <c r="BS1127" i="9"/>
  <c r="BS1071" i="9" s="1"/>
  <c r="BR1025" i="9"/>
  <c r="BS1025" i="9" s="1"/>
  <c r="BQ763" i="9"/>
  <c r="BQ625" i="9"/>
  <c r="BQ754" i="9"/>
  <c r="BL786" i="9" l="1"/>
  <c r="BL795" i="9" s="1"/>
  <c r="BL801" i="9" s="1"/>
  <c r="BV131" i="9"/>
  <c r="BV132" i="9" s="1"/>
  <c r="BV125" i="9"/>
  <c r="BV138" i="9" s="1"/>
  <c r="BV139" i="9" s="1"/>
  <c r="BQ769" i="9"/>
  <c r="BQ630" i="9"/>
  <c r="BS1068" i="9"/>
  <c r="BS1069" i="9"/>
  <c r="BT15" i="9"/>
  <c r="BT17" i="9" s="1"/>
  <c r="BU280" i="9"/>
  <c r="BU33" i="9" s="1"/>
  <c r="BT291" i="9"/>
  <c r="BS1079" i="9"/>
  <c r="BT1072" i="9"/>
  <c r="BU1072" i="9" s="1"/>
  <c r="BV1072" i="9" s="1"/>
  <c r="BS1070" i="9"/>
  <c r="BS1134" i="9"/>
  <c r="BS1143" i="9" s="1"/>
  <c r="BU153" i="9"/>
  <c r="BU157" i="9" s="1"/>
  <c r="BU156" i="9"/>
  <c r="BQ44" i="9"/>
  <c r="BQ368" i="9"/>
  <c r="BQ370" i="9"/>
  <c r="BQ369" i="9"/>
  <c r="BS1017" i="9"/>
  <c r="BS890" i="9" s="1"/>
  <c r="BS891" i="9" s="1"/>
  <c r="BR1148" i="9"/>
  <c r="BS419" i="9"/>
  <c r="BS420" i="9" s="1"/>
  <c r="BS34" i="9"/>
  <c r="BL1119" i="9"/>
  <c r="BS1073" i="9"/>
  <c r="BU424" i="9"/>
  <c r="BU426" i="9"/>
  <c r="BU446" i="9"/>
  <c r="BV423" i="9"/>
  <c r="BS305" i="9"/>
  <c r="BR323" i="9"/>
  <c r="BR41" i="9"/>
  <c r="BR42" i="9" s="1"/>
  <c r="BQ315" i="9"/>
  <c r="BQ314" i="9" s="1"/>
  <c r="BQ624" i="9"/>
  <c r="BQ618" i="9"/>
  <c r="BQ619" i="9" s="1"/>
  <c r="BQ762" i="9"/>
  <c r="BS1078" i="9"/>
  <c r="BT1071" i="9"/>
  <c r="BU1071" i="9" s="1"/>
  <c r="BV1071" i="9" s="1"/>
  <c r="BR347" i="9"/>
  <c r="BR348" i="9"/>
  <c r="BR334" i="9"/>
  <c r="BL809" i="9" l="1"/>
  <c r="BL1008" i="9"/>
  <c r="BL1019" i="9" s="1"/>
  <c r="BL797" i="9"/>
  <c r="BL802" i="9" s="1"/>
  <c r="BL816" i="9" s="1"/>
  <c r="BL811" i="9" s="1"/>
  <c r="BL49" i="9" s="1"/>
  <c r="BV133" i="9"/>
  <c r="BV136" i="9" s="1"/>
  <c r="BV126" i="9"/>
  <c r="BV441" i="9" s="1"/>
  <c r="BV425" i="9"/>
  <c r="BU162" i="9"/>
  <c r="BU143" i="9"/>
  <c r="BT1069" i="9"/>
  <c r="BU1069" i="9" s="1"/>
  <c r="BV1069" i="9" s="1"/>
  <c r="BS1076" i="9"/>
  <c r="BR316" i="9"/>
  <c r="BR352" i="9" s="1"/>
  <c r="BR756" i="9"/>
  <c r="BR39" i="9"/>
  <c r="BR325" i="9"/>
  <c r="BR326" i="9"/>
  <c r="BS307" i="9"/>
  <c r="BS308" i="9"/>
  <c r="BS328" i="9"/>
  <c r="BT749" i="9"/>
  <c r="BT298" i="9"/>
  <c r="BT299" i="9"/>
  <c r="BT293" i="9"/>
  <c r="BT295" i="9"/>
  <c r="BT294" i="9"/>
  <c r="BS1148" i="9"/>
  <c r="BS1075" i="9"/>
  <c r="BT1068" i="9"/>
  <c r="BU1068" i="9" s="1"/>
  <c r="BV1068" i="9" s="1"/>
  <c r="BQ768" i="9"/>
  <c r="BQ635" i="9" s="1"/>
  <c r="BQ622" i="9"/>
  <c r="BQ1166" i="9"/>
  <c r="BU161" i="9"/>
  <c r="BU158" i="9"/>
  <c r="BL1122" i="9"/>
  <c r="BQ371" i="9"/>
  <c r="BQ46" i="9"/>
  <c r="BQ47" i="9" s="1"/>
  <c r="BQ636" i="9"/>
  <c r="BS1077" i="9"/>
  <c r="BT1070" i="9"/>
  <c r="BU1070" i="9" s="1"/>
  <c r="BV1070" i="9" s="1"/>
  <c r="BR758" i="9"/>
  <c r="BS334" i="9"/>
  <c r="BS346" i="9" s="1"/>
  <c r="BS1080" i="9"/>
  <c r="BT1073" i="9"/>
  <c r="BU1073" i="9" s="1"/>
  <c r="BV1073" i="9" s="1"/>
  <c r="BL815" i="9"/>
  <c r="BL810" i="9" s="1"/>
  <c r="BL1149" i="9" l="1"/>
  <c r="BL1152" i="9" s="1"/>
  <c r="BL1154" i="9" s="1"/>
  <c r="BL51" i="9"/>
  <c r="BS347" i="9"/>
  <c r="BS348" i="9"/>
  <c r="BS349" i="9"/>
  <c r="BR366" i="9"/>
  <c r="BL873" i="9"/>
  <c r="BL1030" i="9"/>
  <c r="BV426" i="9"/>
  <c r="BV446" i="9"/>
  <c r="BV424" i="9"/>
  <c r="BT300" i="9"/>
  <c r="BU145" i="9"/>
  <c r="BU144" i="9" s="1"/>
  <c r="BU142" i="9" s="1"/>
  <c r="BU285" i="9"/>
  <c r="BU163" i="9"/>
  <c r="BU154" i="9"/>
  <c r="BV149" i="9" s="1"/>
  <c r="BV151" i="9" s="1"/>
  <c r="BU159" i="9"/>
  <c r="BT1126" i="9"/>
  <c r="BT1109" i="9"/>
  <c r="BT1108" i="9"/>
  <c r="BT1128" i="9"/>
  <c r="BT1026" i="9" s="1"/>
  <c r="BT890" i="9"/>
  <c r="BT767" i="9" s="1"/>
  <c r="BT1111" i="9"/>
  <c r="BT751" i="9"/>
  <c r="BT1127" i="9"/>
  <c r="BT1025" i="9" s="1"/>
  <c r="BT303" i="9"/>
  <c r="BT305" i="9" s="1"/>
  <c r="BT30" i="9"/>
  <c r="BT633" i="9"/>
  <c r="BR625" i="9"/>
  <c r="BR754" i="9"/>
  <c r="BR621" i="9"/>
  <c r="BR760" i="9"/>
  <c r="BR628" i="9" s="1"/>
  <c r="BS758" i="9"/>
  <c r="BR763" i="9" l="1"/>
  <c r="BR630" i="9" s="1"/>
  <c r="BR624" i="9"/>
  <c r="BR315" i="9"/>
  <c r="BR314" i="9" s="1"/>
  <c r="BR618" i="9"/>
  <c r="BR619" i="9" s="1"/>
  <c r="BR762" i="9"/>
  <c r="BS754" i="9"/>
  <c r="BT419" i="9"/>
  <c r="BT420" i="9" s="1"/>
  <c r="BT34" i="9"/>
  <c r="BT629" i="9"/>
  <c r="BT349" i="9"/>
  <c r="BS350" i="9"/>
  <c r="BL876" i="9"/>
  <c r="BL893" i="9"/>
  <c r="BL894" i="9" s="1"/>
  <c r="BL895" i="9" s="1"/>
  <c r="BL896" i="9" s="1"/>
  <c r="BU15" i="9"/>
  <c r="BU17" i="9" s="1"/>
  <c r="BU291" i="9"/>
  <c r="BV280" i="9"/>
  <c r="BV33" i="9" s="1"/>
  <c r="BT1017" i="9"/>
  <c r="BT1148" i="9" s="1"/>
  <c r="BT634" i="9"/>
  <c r="BT1134" i="9"/>
  <c r="BT1143" i="9" s="1"/>
  <c r="BT1024" i="9"/>
  <c r="BL875" i="9"/>
  <c r="BL1057" i="9"/>
  <c r="BR368" i="9"/>
  <c r="BR44" i="9"/>
  <c r="BR370" i="9"/>
  <c r="BR369" i="9"/>
  <c r="BT1021" i="9"/>
  <c r="BS760" i="9"/>
  <c r="BS628" i="9" s="1"/>
  <c r="BS621" i="9"/>
  <c r="BT308" i="9"/>
  <c r="BT307" i="9"/>
  <c r="BT328" i="9"/>
  <c r="BT330" i="9" s="1"/>
  <c r="BT1023" i="9"/>
  <c r="BT1020" i="9"/>
  <c r="BV156" i="9"/>
  <c r="BV153" i="9"/>
  <c r="BV157" i="9" s="1"/>
  <c r="BR769" i="9" l="1"/>
  <c r="BU749" i="9"/>
  <c r="BU298" i="9"/>
  <c r="BU299" i="9"/>
  <c r="BU293" i="9"/>
  <c r="BU295" i="9"/>
  <c r="BV143" i="9"/>
  <c r="BV162" i="9"/>
  <c r="BS624" i="9"/>
  <c r="BS618" i="9"/>
  <c r="BS619" i="9" s="1"/>
  <c r="BS315" i="9"/>
  <c r="BS762" i="9"/>
  <c r="BU294" i="9"/>
  <c r="BR371" i="9"/>
  <c r="BR46" i="9"/>
  <c r="BR47" i="9" s="1"/>
  <c r="BR636" i="9"/>
  <c r="BV158" i="9"/>
  <c r="BV161" i="9"/>
  <c r="BU349" i="9"/>
  <c r="BT346" i="9"/>
  <c r="BL1106" i="9"/>
  <c r="BL1060" i="9"/>
  <c r="BL874" i="9"/>
  <c r="BL877" i="9"/>
  <c r="BL897" i="9"/>
  <c r="BL898" i="9" s="1"/>
  <c r="BL899" i="9" s="1"/>
  <c r="BL900" i="9" s="1"/>
  <c r="BR768" i="9"/>
  <c r="BR635" i="9" s="1"/>
  <c r="BR622" i="9"/>
  <c r="BR1166" i="9"/>
  <c r="BV349" i="9" l="1"/>
  <c r="BS314" i="9"/>
  <c r="BS316" i="9"/>
  <c r="BU300" i="9"/>
  <c r="BV285" i="9"/>
  <c r="BV154" i="9"/>
  <c r="BV163" i="9"/>
  <c r="BV159" i="9"/>
  <c r="BV145" i="9"/>
  <c r="BV144" i="9" s="1"/>
  <c r="BV142" i="9" s="1"/>
  <c r="BS768" i="9"/>
  <c r="BS635" i="9" s="1"/>
  <c r="BS622" i="9"/>
  <c r="BL1065" i="9"/>
  <c r="BM1059" i="9"/>
  <c r="BT347" i="9"/>
  <c r="BT348" i="9"/>
  <c r="BT334" i="9"/>
  <c r="BT758" i="9" s="1"/>
  <c r="BL903" i="9"/>
  <c r="BL1114" i="9"/>
  <c r="BL1123" i="9" s="1"/>
  <c r="BL1156" i="9" s="1"/>
  <c r="BU1126" i="9"/>
  <c r="BU1111" i="9"/>
  <c r="BU1128" i="9"/>
  <c r="BU1026" i="9" s="1"/>
  <c r="BU1109" i="9"/>
  <c r="BU751" i="9"/>
  <c r="BU1108" i="9"/>
  <c r="BU1127" i="9"/>
  <c r="BU1025" i="9" s="1"/>
  <c r="BU890" i="9"/>
  <c r="BU767" i="9" s="1"/>
  <c r="BU303" i="9"/>
  <c r="BU305" i="9" s="1"/>
  <c r="BU346" i="9" s="1"/>
  <c r="BU30" i="9"/>
  <c r="BU633" i="9"/>
  <c r="BU348" i="9" l="1"/>
  <c r="BU347" i="9"/>
  <c r="BU334" i="9"/>
  <c r="BU758" i="9" s="1"/>
  <c r="BU1017" i="9"/>
  <c r="BU1148" i="9" s="1"/>
  <c r="BU634" i="9"/>
  <c r="BU1021" i="9"/>
  <c r="BU1020" i="9"/>
  <c r="BS352" i="9"/>
  <c r="BS323" i="9"/>
  <c r="BU419" i="9"/>
  <c r="BU420" i="9" s="1"/>
  <c r="BU34" i="9"/>
  <c r="BU629" i="9"/>
  <c r="BV15" i="9"/>
  <c r="BV17" i="9" s="1"/>
  <c r="BV291" i="9"/>
  <c r="BU1023" i="9"/>
  <c r="BU1134" i="9"/>
  <c r="BU1143" i="9" s="1"/>
  <c r="BU1024" i="9"/>
  <c r="BL1161" i="9"/>
  <c r="BM914" i="9"/>
  <c r="BL908" i="9"/>
  <c r="BL926" i="9" s="1"/>
  <c r="BT760" i="9"/>
  <c r="BT628" i="9" s="1"/>
  <c r="BT621" i="9"/>
  <c r="BU308" i="9"/>
  <c r="BU307" i="9"/>
  <c r="BU328" i="9"/>
  <c r="BU330" i="9" s="1"/>
  <c r="BV749" i="9" l="1"/>
  <c r="BV298" i="9"/>
  <c r="BV299" i="9"/>
  <c r="BV293" i="9"/>
  <c r="BV295" i="9"/>
  <c r="BM916" i="9"/>
  <c r="BN914" i="9"/>
  <c r="BS756" i="9"/>
  <c r="BS39" i="9"/>
  <c r="BS327" i="9"/>
  <c r="BS325" i="9"/>
  <c r="BS326" i="9"/>
  <c r="BU760" i="9"/>
  <c r="BU628" i="9" s="1"/>
  <c r="BU621" i="9"/>
  <c r="BV294" i="9"/>
  <c r="BS366" i="9"/>
  <c r="BM917" i="9" l="1"/>
  <c r="BM376" i="9"/>
  <c r="BM772" i="9"/>
  <c r="BM919" i="9"/>
  <c r="BN916" i="9"/>
  <c r="BS625" i="9"/>
  <c r="BS763" i="9"/>
  <c r="BS41" i="9"/>
  <c r="BS42" i="9" s="1"/>
  <c r="BS330" i="9"/>
  <c r="BS329" i="9" s="1"/>
  <c r="BT327" i="9"/>
  <c r="BV300" i="9"/>
  <c r="BS368" i="9"/>
  <c r="BS44" i="9"/>
  <c r="BS370" i="9"/>
  <c r="BS369" i="9"/>
  <c r="BV1111" i="9"/>
  <c r="BV1023" i="9" s="1"/>
  <c r="BV1127" i="9"/>
  <c r="BV1025" i="9" s="1"/>
  <c r="BV1126" i="9"/>
  <c r="BV890" i="9"/>
  <c r="BV767" i="9" s="1"/>
  <c r="BV1109" i="9"/>
  <c r="BV1021" i="9" s="1"/>
  <c r="BV751" i="9"/>
  <c r="BV1108" i="9"/>
  <c r="BV1020" i="9" s="1"/>
  <c r="BV1128" i="9"/>
  <c r="BV1026" i="9" s="1"/>
  <c r="BV30" i="9"/>
  <c r="BV303" i="9"/>
  <c r="BV305" i="9" s="1"/>
  <c r="BV633" i="9"/>
  <c r="BU327" i="9" l="1"/>
  <c r="BT323" i="9"/>
  <c r="BT41" i="9"/>
  <c r="BT42" i="9" s="1"/>
  <c r="BV419" i="9"/>
  <c r="BV420" i="9" s="1"/>
  <c r="BV34" i="9"/>
  <c r="BV629" i="9"/>
  <c r="BS371" i="9"/>
  <c r="BS46" i="9"/>
  <c r="BS47" i="9" s="1"/>
  <c r="BM774" i="9"/>
  <c r="BM779" i="9" s="1"/>
  <c r="BM778" i="9"/>
  <c r="BN772" i="9"/>
  <c r="BV307" i="9"/>
  <c r="BV308" i="9"/>
  <c r="BV328" i="9"/>
  <c r="BV330" i="9" s="1"/>
  <c r="BV346" i="9"/>
  <c r="BN917" i="9"/>
  <c r="BN376" i="9"/>
  <c r="BN919" i="9"/>
  <c r="BM378" i="9"/>
  <c r="BM381" i="9" s="1"/>
  <c r="BM379" i="9"/>
  <c r="BV1017" i="9"/>
  <c r="BV1148" i="9" s="1"/>
  <c r="BV634" i="9"/>
  <c r="BS630" i="9"/>
  <c r="BS769" i="9"/>
  <c r="BS1166" i="9"/>
  <c r="BV1134" i="9"/>
  <c r="BV1143" i="9" s="1"/>
  <c r="BV1024" i="9"/>
  <c r="BN774" i="9" l="1"/>
  <c r="BN779" i="9" s="1"/>
  <c r="BN778" i="9"/>
  <c r="BS636" i="9"/>
  <c r="BV348" i="9"/>
  <c r="BV347" i="9"/>
  <c r="BV334" i="9"/>
  <c r="BV758" i="9" s="1"/>
  <c r="BM782" i="9"/>
  <c r="BM384" i="9"/>
  <c r="BM385" i="9" s="1"/>
  <c r="BM382" i="9"/>
  <c r="BM383" i="9"/>
  <c r="BM784" i="9"/>
  <c r="BM785" i="9"/>
  <c r="BU326" i="9"/>
  <c r="BT756" i="9"/>
  <c r="BT39" i="9"/>
  <c r="BT316" i="9"/>
  <c r="BT352" i="9" s="1"/>
  <c r="BT325" i="9"/>
  <c r="BT326" i="9"/>
  <c r="BN378" i="9"/>
  <c r="BN381" i="9" s="1"/>
  <c r="BN379" i="9"/>
  <c r="BM1167" i="9"/>
  <c r="BU323" i="9"/>
  <c r="BU41" i="9"/>
  <c r="BU42" i="9" s="1"/>
  <c r="BV327" i="9"/>
  <c r="BM783" i="9" l="1"/>
  <c r="BM786" i="9" s="1"/>
  <c r="BM795" i="9" s="1"/>
  <c r="BN1167" i="9"/>
  <c r="BM796" i="9"/>
  <c r="BN784" i="9"/>
  <c r="BM1014" i="9"/>
  <c r="BN782" i="9"/>
  <c r="BN807" i="9" s="1"/>
  <c r="BN382" i="9"/>
  <c r="BN384" i="9"/>
  <c r="BN385" i="9" s="1"/>
  <c r="BN383" i="9"/>
  <c r="BV41" i="9"/>
  <c r="BV42" i="9" s="1"/>
  <c r="BV323" i="9"/>
  <c r="BU756" i="9"/>
  <c r="BV326" i="9"/>
  <c r="BU325" i="9"/>
  <c r="BU39" i="9"/>
  <c r="BU316" i="9"/>
  <c r="BU352" i="9" s="1"/>
  <c r="BT763" i="9"/>
  <c r="BT625" i="9"/>
  <c r="BT754" i="9"/>
  <c r="BT366" i="9"/>
  <c r="BM787" i="9"/>
  <c r="BV760" i="9"/>
  <c r="BV628" i="9" s="1"/>
  <c r="BV621" i="9"/>
  <c r="BM781" i="9" l="1"/>
  <c r="BT769" i="9"/>
  <c r="BT630" i="9"/>
  <c r="BU625" i="9"/>
  <c r="BU763" i="9"/>
  <c r="BU754" i="9"/>
  <c r="BU366" i="9"/>
  <c r="BU369" i="9" s="1"/>
  <c r="BV325" i="9"/>
  <c r="BV756" i="9"/>
  <c r="BV316" i="9"/>
  <c r="BV352" i="9" s="1"/>
  <c r="BV39" i="9"/>
  <c r="BT44" i="9"/>
  <c r="BT368" i="9"/>
  <c r="BT370" i="9"/>
  <c r="BT369" i="9"/>
  <c r="BM801" i="9"/>
  <c r="BM1008" i="9"/>
  <c r="BM809" i="9"/>
  <c r="BM797" i="9"/>
  <c r="BM802" i="9" s="1"/>
  <c r="BN1014" i="9"/>
  <c r="BM1119" i="9"/>
  <c r="BN805" i="9"/>
  <c r="BN796" i="9"/>
  <c r="BT618" i="9"/>
  <c r="BT619" i="9" s="1"/>
  <c r="BT624" i="9"/>
  <c r="BT315" i="9"/>
  <c r="BT314" i="9" s="1"/>
  <c r="BT762" i="9"/>
  <c r="BM806" i="9" l="1"/>
  <c r="BN781" i="9"/>
  <c r="BT636" i="9"/>
  <c r="BV366" i="9"/>
  <c r="BV369" i="9" s="1"/>
  <c r="BV625" i="9"/>
  <c r="BV763" i="9"/>
  <c r="BV754" i="9"/>
  <c r="BU618" i="9"/>
  <c r="BU619" i="9" s="1"/>
  <c r="BU624" i="9"/>
  <c r="BU315" i="9"/>
  <c r="BU314" i="9" s="1"/>
  <c r="BU762" i="9"/>
  <c r="BN1119" i="9"/>
  <c r="BM1122" i="9"/>
  <c r="BM1019" i="9"/>
  <c r="BN1008" i="9"/>
  <c r="BM1149" i="9"/>
  <c r="BT46" i="9"/>
  <c r="BT47" i="9" s="1"/>
  <c r="BT371" i="9"/>
  <c r="BT768" i="9"/>
  <c r="BT622" i="9"/>
  <c r="A763" i="9"/>
  <c r="A1033" i="11" s="1"/>
  <c r="BT1166" i="9"/>
  <c r="BM815" i="9"/>
  <c r="BM810" i="9" s="1"/>
  <c r="BU370" i="9"/>
  <c r="BU44" i="9"/>
  <c r="BU368" i="9"/>
  <c r="BU630" i="9"/>
  <c r="BU769" i="9"/>
  <c r="BM816" i="9"/>
  <c r="BM811" i="9" s="1"/>
  <c r="BM49" i="9" s="1"/>
  <c r="BN1019" i="9" l="1"/>
  <c r="BN1010" i="11" s="1"/>
  <c r="BN1009" i="11"/>
  <c r="BN806" i="9"/>
  <c r="BN783" i="9"/>
  <c r="BM51" i="9"/>
  <c r="BT635" i="9"/>
  <c r="A769" i="9"/>
  <c r="A1032" i="11" s="1"/>
  <c r="BU768" i="9"/>
  <c r="BU635" i="9" s="1"/>
  <c r="BU622" i="9"/>
  <c r="BU1166" i="9"/>
  <c r="BM873" i="9"/>
  <c r="BM1030" i="9"/>
  <c r="BN1179" i="9"/>
  <c r="BN1122" i="9"/>
  <c r="BV370" i="9"/>
  <c r="BV368" i="9"/>
  <c r="BV44" i="9"/>
  <c r="BU636" i="9"/>
  <c r="BU46" i="9"/>
  <c r="BU47" i="9" s="1"/>
  <c r="BU371" i="9"/>
  <c r="BN1149" i="9"/>
  <c r="BM1152" i="9"/>
  <c r="BM1154" i="9" s="1"/>
  <c r="BV624" i="9"/>
  <c r="BV618" i="9"/>
  <c r="BV619" i="9" s="1"/>
  <c r="BV315" i="9"/>
  <c r="BV314" i="9" s="1"/>
  <c r="BV762" i="9"/>
  <c r="BV630" i="9"/>
  <c r="BV769" i="9"/>
  <c r="BN1030" i="9" l="1"/>
  <c r="BN1057" i="9" s="1"/>
  <c r="BN1060" i="9" s="1"/>
  <c r="BN873" i="9"/>
  <c r="BN893" i="9" s="1"/>
  <c r="BN894" i="9" s="1"/>
  <c r="BN895" i="9" s="1"/>
  <c r="BN896" i="9" s="1"/>
  <c r="BN785" i="9"/>
  <c r="BN786" i="9"/>
  <c r="BV371" i="9"/>
  <c r="BV46" i="9"/>
  <c r="BV47" i="9" s="1"/>
  <c r="BM875" i="9"/>
  <c r="BM1057" i="9"/>
  <c r="BN1180" i="9"/>
  <c r="BN1152" i="9"/>
  <c r="BN1154" i="9" s="1"/>
  <c r="BV636" i="9"/>
  <c r="BV768" i="9"/>
  <c r="BV635" i="9" s="1"/>
  <c r="BV622" i="9"/>
  <c r="BV1166" i="9"/>
  <c r="BM893" i="9"/>
  <c r="BM894" i="9" s="1"/>
  <c r="BM895" i="9" s="1"/>
  <c r="BM896" i="9" s="1"/>
  <c r="BM876" i="9"/>
  <c r="A1202" i="9"/>
  <c r="A770" i="9"/>
  <c r="BN875" i="9" l="1"/>
  <c r="BN897" i="9" s="1"/>
  <c r="BN1177" i="9"/>
  <c r="BN795" i="9"/>
  <c r="BN804" i="9"/>
  <c r="BN787" i="9"/>
  <c r="BM1106" i="9"/>
  <c r="BM1060" i="9"/>
  <c r="BM877" i="9"/>
  <c r="BM897" i="9"/>
  <c r="BM898" i="9" s="1"/>
  <c r="BM899" i="9" s="1"/>
  <c r="BM900" i="9" s="1"/>
  <c r="BM874" i="9"/>
  <c r="BO1059" i="9"/>
  <c r="BS1059" i="9"/>
  <c r="A1239" i="9"/>
  <c r="BP770" i="9"/>
  <c r="BP637" i="9" s="1"/>
  <c r="BO770" i="9"/>
  <c r="BO637" i="9" s="1"/>
  <c r="BV770" i="9"/>
  <c r="BV637" i="9" s="1"/>
  <c r="BU770" i="9"/>
  <c r="BU637" i="9" s="1"/>
  <c r="BR770" i="9" l="1"/>
  <c r="BR637" i="9" s="1"/>
  <c r="BN157" i="11"/>
  <c r="BN98" i="11" s="1"/>
  <c r="BS157" i="11"/>
  <c r="BS98" i="11" s="1"/>
  <c r="BO157" i="11"/>
  <c r="BO98" i="11" s="1"/>
  <c r="BK157" i="11"/>
  <c r="BK98" i="11" s="1"/>
  <c r="BT157" i="11"/>
  <c r="BT98" i="11" s="1"/>
  <c r="BL157" i="11"/>
  <c r="BL98" i="11" s="1"/>
  <c r="BP157" i="11"/>
  <c r="BP98" i="11" s="1"/>
  <c r="BQ157" i="11"/>
  <c r="BQ98" i="11" s="1"/>
  <c r="BM157" i="11"/>
  <c r="BM98" i="11" s="1"/>
  <c r="BU157" i="11"/>
  <c r="BU98" i="11" s="1"/>
  <c r="BK701" i="11"/>
  <c r="BV157" i="11"/>
  <c r="BV98" i="11" s="1"/>
  <c r="BK703" i="11"/>
  <c r="BK272" i="11"/>
  <c r="BR157" i="11"/>
  <c r="BR98" i="11" s="1"/>
  <c r="BL703" i="11"/>
  <c r="BL272" i="11"/>
  <c r="BL701" i="11"/>
  <c r="BN703" i="11"/>
  <c r="BM701" i="11"/>
  <c r="BN701" i="11"/>
  <c r="BP272" i="11"/>
  <c r="BO701" i="11"/>
  <c r="BO703" i="11"/>
  <c r="BP701" i="11"/>
  <c r="BM703" i="11"/>
  <c r="BQ272" i="11"/>
  <c r="BP703" i="11"/>
  <c r="BO272" i="11"/>
  <c r="BN272" i="11"/>
  <c r="BQ703" i="11"/>
  <c r="BQ701" i="11"/>
  <c r="BM272" i="11"/>
  <c r="BV703" i="11"/>
  <c r="BR703" i="11"/>
  <c r="BS701" i="11"/>
  <c r="BV701" i="11"/>
  <c r="BR272" i="11"/>
  <c r="BS272" i="11"/>
  <c r="BU703" i="11"/>
  <c r="BR701" i="11"/>
  <c r="BS703" i="11"/>
  <c r="BU272" i="11"/>
  <c r="BT701" i="11"/>
  <c r="BT272" i="11"/>
  <c r="BT703" i="11"/>
  <c r="BV272" i="11"/>
  <c r="BU701" i="11"/>
  <c r="BO246" i="11"/>
  <c r="BT246" i="11"/>
  <c r="BN246" i="11"/>
  <c r="BS246" i="11"/>
  <c r="BM246" i="11"/>
  <c r="BP246" i="11"/>
  <c r="BL246" i="11"/>
  <c r="BK246" i="11"/>
  <c r="BR246" i="11"/>
  <c r="BV246" i="11"/>
  <c r="BU246" i="11"/>
  <c r="BQ246" i="11"/>
  <c r="BN874" i="9"/>
  <c r="BS770" i="9"/>
  <c r="BS637" i="9" s="1"/>
  <c r="BN801" i="9"/>
  <c r="BN815" i="9" s="1"/>
  <c r="BN876" i="9" s="1"/>
  <c r="BN809" i="9"/>
  <c r="BN797" i="9"/>
  <c r="BN802" i="9" s="1"/>
  <c r="BN1008" i="11" s="1"/>
  <c r="BT770" i="9"/>
  <c r="BT637" i="9" s="1"/>
  <c r="BM1065" i="9"/>
  <c r="BK812" i="9"/>
  <c r="BK50" i="9" s="1"/>
  <c r="BK878" i="9"/>
  <c r="BK880" i="9"/>
  <c r="BL880" i="9"/>
  <c r="BL812" i="9"/>
  <c r="BL50" i="9" s="1"/>
  <c r="BL878" i="9"/>
  <c r="BP878" i="9"/>
  <c r="BN878" i="9"/>
  <c r="BQ878" i="9"/>
  <c r="BT880" i="9"/>
  <c r="BO880" i="9"/>
  <c r="BO812" i="9"/>
  <c r="BO50" i="9" s="1"/>
  <c r="BR878" i="9"/>
  <c r="BT878" i="9"/>
  <c r="BP880" i="9"/>
  <c r="BV880" i="9"/>
  <c r="BM878" i="9"/>
  <c r="BQ880" i="9"/>
  <c r="BO878" i="9"/>
  <c r="BT812" i="9"/>
  <c r="BT50" i="9" s="1"/>
  <c r="BM812" i="9"/>
  <c r="BM50" i="9" s="1"/>
  <c r="BR812" i="9"/>
  <c r="BR50" i="9" s="1"/>
  <c r="BQ812" i="9"/>
  <c r="BQ50" i="9" s="1"/>
  <c r="BN880" i="9"/>
  <c r="BU880" i="9"/>
  <c r="BP812" i="9"/>
  <c r="BP50" i="9" s="1"/>
  <c r="BM880" i="9"/>
  <c r="BU812" i="9"/>
  <c r="BU50" i="9" s="1"/>
  <c r="BS878" i="9"/>
  <c r="BN812" i="9"/>
  <c r="BN50" i="9" s="1"/>
  <c r="BV878" i="9"/>
  <c r="BS880" i="9"/>
  <c r="BV812" i="9"/>
  <c r="BV50" i="9" s="1"/>
  <c r="BU878" i="9"/>
  <c r="BR880" i="9"/>
  <c r="BS812" i="9"/>
  <c r="BS50" i="9" s="1"/>
  <c r="BN770" i="9"/>
  <c r="BN637" i="9" s="1"/>
  <c r="BM903" i="9"/>
  <c r="BM1114" i="9"/>
  <c r="BM1123" i="9" s="1"/>
  <c r="BM1156" i="9" s="1"/>
  <c r="BN1106" i="9"/>
  <c r="BN898" i="9"/>
  <c r="BN899" i="9" s="1"/>
  <c r="BN900" i="9" s="1"/>
  <c r="BN931" i="9"/>
  <c r="BK770" i="9"/>
  <c r="BK637" i="9" s="1"/>
  <c r="BL770" i="9"/>
  <c r="BL637" i="9" s="1"/>
  <c r="BQ770" i="9"/>
  <c r="BQ637" i="9" s="1"/>
  <c r="BM770" i="9"/>
  <c r="BM637" i="9" s="1"/>
  <c r="BO169" i="11" l="1"/>
  <c r="BO124" i="11" s="1"/>
  <c r="BO120" i="11"/>
  <c r="BV169" i="11"/>
  <c r="BV124" i="11" s="1"/>
  <c r="BV120" i="11"/>
  <c r="BK120" i="11"/>
  <c r="BK169" i="11"/>
  <c r="BK124" i="11" s="1"/>
  <c r="BP120" i="11"/>
  <c r="BP169" i="11"/>
  <c r="BP124" i="11" s="1"/>
  <c r="BL120" i="11"/>
  <c r="BL169" i="11"/>
  <c r="BL124" i="11" s="1"/>
  <c r="BM120" i="11"/>
  <c r="BM169" i="11"/>
  <c r="BM124" i="11" s="1"/>
  <c r="BU169" i="11"/>
  <c r="BU124" i="11" s="1"/>
  <c r="BU120" i="11"/>
  <c r="BT169" i="11"/>
  <c r="BT124" i="11" s="1"/>
  <c r="BT120" i="11"/>
  <c r="BS120" i="11"/>
  <c r="BS169" i="11"/>
  <c r="BS124" i="11" s="1"/>
  <c r="BR120" i="11"/>
  <c r="BR169" i="11"/>
  <c r="BR124" i="11" s="1"/>
  <c r="BN120" i="11"/>
  <c r="BN169" i="11"/>
  <c r="BN124" i="11" s="1"/>
  <c r="BQ120" i="11"/>
  <c r="BQ169" i="11"/>
  <c r="BQ124" i="11" s="1"/>
  <c r="BN810" i="9"/>
  <c r="BN877" i="9"/>
  <c r="BN930" i="9" s="1"/>
  <c r="BN1178" i="9"/>
  <c r="BN816" i="9"/>
  <c r="BN811" i="9" s="1"/>
  <c r="BM1161" i="9"/>
  <c r="BM908" i="9"/>
  <c r="BM926" i="9" s="1"/>
  <c r="BN915" i="9"/>
  <c r="BN1114" i="9"/>
  <c r="BN1123" i="9" s="1"/>
  <c r="BN1156" i="9" s="1"/>
  <c r="BN903" i="9"/>
  <c r="BN1065" i="9"/>
  <c r="BN49" i="9" l="1"/>
  <c r="BN51" i="9" s="1"/>
  <c r="BN928" i="9"/>
  <c r="BN1161" i="9"/>
  <c r="BO914" i="9"/>
  <c r="BN908" i="9"/>
  <c r="BN926" i="9" l="1"/>
  <c r="BN920" i="9"/>
  <c r="BN921" i="9"/>
  <c r="BO916" i="9"/>
  <c r="BO917" i="9" l="1"/>
  <c r="BO772" i="9"/>
  <c r="BO376" i="9"/>
  <c r="BO919" i="9"/>
  <c r="BN929" i="9"/>
  <c r="BN932" i="9"/>
  <c r="BO774" i="9" l="1"/>
  <c r="BO779" i="9" s="1"/>
  <c r="BO778" i="9"/>
  <c r="BO378" i="9"/>
  <c r="BO381" i="9" s="1"/>
  <c r="BO379" i="9"/>
  <c r="BO1167" i="9" l="1"/>
  <c r="BO384" i="9"/>
  <c r="BO385" i="9" s="1"/>
  <c r="BO382" i="9"/>
  <c r="BO383" i="9"/>
  <c r="BO782" i="9"/>
  <c r="BO785" i="9"/>
  <c r="BO787" i="9" s="1"/>
  <c r="BO784" i="9"/>
  <c r="BO796" i="9" l="1"/>
  <c r="BO783" i="9"/>
  <c r="BO1014" i="9"/>
  <c r="BO781" i="9" l="1"/>
  <c r="BO786" i="9"/>
  <c r="BO795" i="9" s="1"/>
  <c r="BO1119" i="9"/>
  <c r="BO1122" i="9" l="1"/>
  <c r="BO1008" i="9"/>
  <c r="BO809" i="9"/>
  <c r="BO797" i="9"/>
  <c r="BO802" i="9" s="1"/>
  <c r="BO801" i="9"/>
  <c r="BO806" i="9"/>
  <c r="BO816" i="9" l="1"/>
  <c r="BO811" i="9" s="1"/>
  <c r="BO49" i="9" s="1"/>
  <c r="BO51" i="9" s="1"/>
  <c r="BO1019" i="9"/>
  <c r="BO1149" i="9"/>
  <c r="BO815" i="9"/>
  <c r="BO810" i="9" s="1"/>
  <c r="BO1152" i="9" l="1"/>
  <c r="BO1154" i="9" s="1"/>
  <c r="BO1030" i="9"/>
  <c r="BO873" i="9"/>
  <c r="BO893" i="9" l="1"/>
  <c r="BO894" i="9" s="1"/>
  <c r="BO895" i="9" s="1"/>
  <c r="BO896" i="9" s="1"/>
  <c r="BO876" i="9"/>
  <c r="BO875" i="9"/>
  <c r="BO1057" i="9"/>
  <c r="BO1060" i="9" l="1"/>
  <c r="BO1106" i="9"/>
  <c r="BO874" i="9"/>
  <c r="BO877" i="9"/>
  <c r="BO897" i="9"/>
  <c r="BO898" i="9" s="1"/>
  <c r="BO899" i="9" s="1"/>
  <c r="BO900" i="9" s="1"/>
  <c r="BO1114" i="9" l="1"/>
  <c r="BO1123" i="9" s="1"/>
  <c r="BO1156" i="9" s="1"/>
  <c r="BO903" i="9"/>
  <c r="BP1059" i="9"/>
  <c r="BO1065" i="9"/>
  <c r="BP914" i="9" l="1"/>
  <c r="BO1161" i="9"/>
  <c r="BO908" i="9"/>
  <c r="BO926" i="9" s="1"/>
  <c r="BP916" i="9" l="1"/>
  <c r="BP772" i="9" l="1"/>
  <c r="BP917" i="9"/>
  <c r="BP376" i="9"/>
  <c r="BP919" i="9"/>
  <c r="BP378" i="9" l="1"/>
  <c r="BP381" i="9" s="1"/>
  <c r="BP379" i="9"/>
  <c r="BP774" i="9"/>
  <c r="BP779" i="9" s="1"/>
  <c r="BP778" i="9"/>
  <c r="BP1167" i="9" l="1"/>
  <c r="BP784" i="9"/>
  <c r="BP785" i="9"/>
  <c r="BP782" i="9"/>
  <c r="BP382" i="9"/>
  <c r="BP384" i="9"/>
  <c r="BP385" i="9" s="1"/>
  <c r="BP383" i="9"/>
  <c r="BP796" i="9" l="1"/>
  <c r="BP1014" i="9"/>
  <c r="BP783" i="9"/>
  <c r="BP787" i="9"/>
  <c r="BP781" i="9" l="1"/>
  <c r="BP786" i="9"/>
  <c r="BP795" i="9" s="1"/>
  <c r="BP1119" i="9"/>
  <c r="BP1122" i="9" l="1"/>
  <c r="BP1008" i="9"/>
  <c r="BP809" i="9"/>
  <c r="BP797" i="9"/>
  <c r="BP802" i="9" s="1"/>
  <c r="BP801" i="9"/>
  <c r="BP806" i="9"/>
  <c r="BP815" i="9" l="1"/>
  <c r="BP810" i="9" s="1"/>
  <c r="BP816" i="9"/>
  <c r="BP811" i="9" s="1"/>
  <c r="BP49" i="9" s="1"/>
  <c r="BP51" i="9" s="1"/>
  <c r="BP1019" i="9"/>
  <c r="BP1149" i="9"/>
  <c r="BP1152" i="9" l="1"/>
  <c r="BP1154" i="9" s="1"/>
  <c r="BP873" i="9"/>
  <c r="BP1030" i="9"/>
  <c r="BP875" i="9" l="1"/>
  <c r="BP1057" i="9"/>
  <c r="BP893" i="9"/>
  <c r="BP894" i="9" s="1"/>
  <c r="BP895" i="9" s="1"/>
  <c r="BP896" i="9" s="1"/>
  <c r="BP876" i="9"/>
  <c r="BP1106" i="9" l="1"/>
  <c r="BP1060" i="9"/>
  <c r="BP877" i="9"/>
  <c r="BP874" i="9"/>
  <c r="BP897" i="9"/>
  <c r="BP898" i="9" s="1"/>
  <c r="BP899" i="9" s="1"/>
  <c r="BP900" i="9" s="1"/>
  <c r="BP1065" i="9" l="1"/>
  <c r="BQ1059" i="9"/>
  <c r="BP1114" i="9"/>
  <c r="BP1123" i="9" s="1"/>
  <c r="BP1156" i="9" s="1"/>
  <c r="BP903" i="9"/>
  <c r="BQ914" i="9" l="1"/>
  <c r="BP1161" i="9"/>
  <c r="BP908" i="9"/>
  <c r="BP926" i="9" s="1"/>
  <c r="BQ916" i="9" l="1"/>
  <c r="BQ772" i="9" l="1"/>
  <c r="BQ917" i="9"/>
  <c r="BQ376" i="9"/>
  <c r="BQ919" i="9"/>
  <c r="BQ378" i="9" l="1"/>
  <c r="BQ381" i="9" s="1"/>
  <c r="BQ379" i="9"/>
  <c r="BQ774" i="9"/>
  <c r="BQ779" i="9" s="1"/>
  <c r="BQ778" i="9"/>
  <c r="BQ782" i="9" l="1"/>
  <c r="BQ1167" i="9"/>
  <c r="BQ785" i="9"/>
  <c r="BQ784" i="9"/>
  <c r="BQ384" i="9"/>
  <c r="BQ385" i="9" s="1"/>
  <c r="BQ382" i="9"/>
  <c r="BQ383" i="9"/>
  <c r="BQ796" i="9" l="1"/>
  <c r="BQ783" i="9"/>
  <c r="BQ787" i="9"/>
  <c r="BQ1014" i="9"/>
  <c r="BQ1119" i="9" l="1"/>
  <c r="BQ781" i="9"/>
  <c r="BQ786" i="9"/>
  <c r="BQ795" i="9" s="1"/>
  <c r="BQ1122" i="9" l="1"/>
  <c r="BQ1008" i="9"/>
  <c r="BQ809" i="9"/>
  <c r="BQ801" i="9"/>
  <c r="BQ797" i="9"/>
  <c r="BQ802" i="9" s="1"/>
  <c r="BQ806" i="9"/>
  <c r="BQ816" i="9" l="1"/>
  <c r="BQ811" i="9" s="1"/>
  <c r="BQ49" i="9" s="1"/>
  <c r="BQ51" i="9" s="1"/>
  <c r="BQ815" i="9"/>
  <c r="BQ810" i="9" s="1"/>
  <c r="BQ1019" i="9"/>
  <c r="BQ1149" i="9"/>
  <c r="BQ1152" i="9" l="1"/>
  <c r="BQ1154" i="9" s="1"/>
  <c r="BQ1030" i="9"/>
  <c r="BQ873" i="9"/>
  <c r="BQ893" i="9" l="1"/>
  <c r="BQ894" i="9" s="1"/>
  <c r="BQ895" i="9" s="1"/>
  <c r="BQ896" i="9" s="1"/>
  <c r="BQ876" i="9"/>
  <c r="BQ875" i="9"/>
  <c r="BQ1057" i="9"/>
  <c r="BQ1106" i="9" l="1"/>
  <c r="BQ1060" i="9"/>
  <c r="BQ897" i="9"/>
  <c r="BQ898" i="9" s="1"/>
  <c r="BQ899" i="9" s="1"/>
  <c r="BQ900" i="9" s="1"/>
  <c r="BQ874" i="9"/>
  <c r="BQ877" i="9"/>
  <c r="BQ1065" i="9" l="1"/>
  <c r="BR1059" i="9"/>
  <c r="BQ1114" i="9"/>
  <c r="BQ1123" i="9" s="1"/>
  <c r="BQ1156" i="9" s="1"/>
  <c r="BQ903" i="9"/>
  <c r="BQ1161" i="9" l="1"/>
  <c r="BR914" i="9"/>
  <c r="BQ908" i="9"/>
  <c r="BQ926" i="9" s="1"/>
  <c r="BR916" i="9" l="1"/>
  <c r="BS914" i="9"/>
  <c r="BR772" i="9" l="1"/>
  <c r="BR917" i="9"/>
  <c r="BR376" i="9"/>
  <c r="BR919" i="9"/>
  <c r="BS916" i="9"/>
  <c r="BR378" i="9" l="1"/>
  <c r="BR381" i="9" s="1"/>
  <c r="BR379" i="9"/>
  <c r="BR774" i="9"/>
  <c r="BR779" i="9" s="1"/>
  <c r="BR778" i="9"/>
  <c r="BS772" i="9"/>
  <c r="BS376" i="9"/>
  <c r="BS917" i="9"/>
  <c r="BS919" i="9"/>
  <c r="BR785" i="9" l="1"/>
  <c r="BR787" i="9" s="1"/>
  <c r="BR784" i="9"/>
  <c r="BS774" i="9"/>
  <c r="BS779" i="9" s="1"/>
  <c r="BS778" i="9"/>
  <c r="BR1167" i="9"/>
  <c r="BS378" i="9"/>
  <c r="BS381" i="9" s="1"/>
  <c r="BS379" i="9"/>
  <c r="BR782" i="9"/>
  <c r="BR382" i="9"/>
  <c r="BR384" i="9"/>
  <c r="BR385" i="9" s="1"/>
  <c r="BR383" i="9"/>
  <c r="BS1167" i="9" l="1"/>
  <c r="BR796" i="9"/>
  <c r="BS784" i="9"/>
  <c r="BR1014" i="9"/>
  <c r="BS782" i="9"/>
  <c r="BS807" i="9" s="1"/>
  <c r="BS382" i="9"/>
  <c r="BS384" i="9"/>
  <c r="BS385" i="9" s="1"/>
  <c r="BS383" i="9"/>
  <c r="BR783" i="9"/>
  <c r="BS1014" i="9" l="1"/>
  <c r="BR1119" i="9"/>
  <c r="BR781" i="9"/>
  <c r="BR786" i="9"/>
  <c r="BR795" i="9" s="1"/>
  <c r="BS805" i="9"/>
  <c r="BS796" i="9"/>
  <c r="BR806" i="9" l="1"/>
  <c r="BS781" i="9"/>
  <c r="BS1119" i="9"/>
  <c r="BR1122" i="9"/>
  <c r="BR1008" i="9"/>
  <c r="BR801" i="9"/>
  <c r="BR809" i="9"/>
  <c r="BR797" i="9"/>
  <c r="BR802" i="9" s="1"/>
  <c r="BS1122" i="9" l="1"/>
  <c r="BS806" i="9"/>
  <c r="BS783" i="9"/>
  <c r="BR816" i="9"/>
  <c r="BR811" i="9" s="1"/>
  <c r="BR49" i="9" s="1"/>
  <c r="BR51" i="9" s="1"/>
  <c r="BR815" i="9"/>
  <c r="BR810" i="9" s="1"/>
  <c r="BR1019" i="9"/>
  <c r="BS1008" i="9"/>
  <c r="BR1149" i="9"/>
  <c r="BS1019" i="9" l="1"/>
  <c r="BS1010" i="11" s="1"/>
  <c r="BS1009" i="11"/>
  <c r="BS1149" i="9"/>
  <c r="BR1152" i="9"/>
  <c r="BR1154" i="9" s="1"/>
  <c r="BR873" i="9"/>
  <c r="BR1030" i="9"/>
  <c r="BS1179" i="9"/>
  <c r="BS785" i="9"/>
  <c r="BS786" i="9"/>
  <c r="BS873" i="9" l="1"/>
  <c r="BS893" i="9" s="1"/>
  <c r="BS894" i="9" s="1"/>
  <c r="BS895" i="9" s="1"/>
  <c r="BS896" i="9" s="1"/>
  <c r="BS1030" i="9"/>
  <c r="BS804" i="9"/>
  <c r="BS787" i="9"/>
  <c r="BS1177" i="9"/>
  <c r="BS795" i="9"/>
  <c r="BR893" i="9"/>
  <c r="BR894" i="9" s="1"/>
  <c r="BR895" i="9" s="1"/>
  <c r="BR896" i="9" s="1"/>
  <c r="BR876" i="9"/>
  <c r="BR875" i="9"/>
  <c r="BR1057" i="9"/>
  <c r="BS1180" i="9"/>
  <c r="BS1152" i="9"/>
  <c r="BS1154" i="9" s="1"/>
  <c r="BS875" i="9"/>
  <c r="BS1057" i="9"/>
  <c r="BS1060" i="9" s="1"/>
  <c r="BS897" i="9" l="1"/>
  <c r="BS874" i="9"/>
  <c r="BT1059" i="9"/>
  <c r="BR1106" i="9"/>
  <c r="BR1060" i="9"/>
  <c r="BS809" i="9"/>
  <c r="BS801" i="9"/>
  <c r="BS797" i="9"/>
  <c r="BS802" i="9" s="1"/>
  <c r="BS1008" i="11" s="1"/>
  <c r="BR897" i="9"/>
  <c r="BR898" i="9" s="1"/>
  <c r="BR899" i="9" s="1"/>
  <c r="BR900" i="9" s="1"/>
  <c r="BR877" i="9"/>
  <c r="BR874" i="9"/>
  <c r="BR1114" i="9" l="1"/>
  <c r="BR1123" i="9" s="1"/>
  <c r="BR1156" i="9" s="1"/>
  <c r="BS1106" i="9"/>
  <c r="BR903" i="9"/>
  <c r="BS816" i="9"/>
  <c r="BS811" i="9" s="1"/>
  <c r="BS1178" i="9"/>
  <c r="BS815" i="9"/>
  <c r="BS810" i="9" s="1"/>
  <c r="BR1065" i="9"/>
  <c r="BS931" i="9"/>
  <c r="BS898" i="9"/>
  <c r="BS899" i="9" s="1"/>
  <c r="BS900" i="9" s="1"/>
  <c r="BS49" i="9" l="1"/>
  <c r="BS928" i="9"/>
  <c r="BR1161" i="9"/>
  <c r="BR908" i="9"/>
  <c r="BR926" i="9" s="1"/>
  <c r="BS915" i="9"/>
  <c r="BS1114" i="9"/>
  <c r="BS1123" i="9" s="1"/>
  <c r="BS1156" i="9" s="1"/>
  <c r="BS903" i="9"/>
  <c r="BS1065" i="9"/>
  <c r="BS876" i="9"/>
  <c r="BS877" i="9"/>
  <c r="BS930" i="9" s="1"/>
  <c r="BS1161" i="9" l="1"/>
  <c r="BT914" i="9"/>
  <c r="BT916" i="9" s="1"/>
  <c r="BS908" i="9"/>
  <c r="BS51" i="9"/>
  <c r="BS926" i="9" l="1"/>
  <c r="BS920" i="9"/>
  <c r="BS921" i="9"/>
  <c r="BT917" i="9"/>
  <c r="BT376" i="9"/>
  <c r="BT772" i="9"/>
  <c r="BT919" i="9"/>
  <c r="BT378" i="9" l="1"/>
  <c r="BT381" i="9" s="1"/>
  <c r="BT379" i="9"/>
  <c r="BT774" i="9"/>
  <c r="BT779" i="9" s="1"/>
  <c r="BT778" i="9"/>
  <c r="BS929" i="9"/>
  <c r="BS932" i="9"/>
  <c r="BT785" i="9" l="1"/>
  <c r="BT787" i="9" s="1"/>
  <c r="BT784" i="9"/>
  <c r="BT796" i="9" s="1"/>
  <c r="BT782" i="9"/>
  <c r="BT1014" i="9" s="1"/>
  <c r="BT1119" i="9" s="1"/>
  <c r="BT1167" i="9"/>
  <c r="BT384" i="9"/>
  <c r="BT385" i="9" s="1"/>
  <c r="BT382" i="9"/>
  <c r="BT383" i="9"/>
  <c r="BT1122" i="9" l="1"/>
  <c r="BT783" i="9"/>
  <c r="BT781" i="9" l="1"/>
  <c r="BT806" i="9" s="1"/>
  <c r="BT786" i="9"/>
  <c r="BT795" i="9" s="1"/>
  <c r="BT809" i="9" l="1"/>
  <c r="BT1008" i="9"/>
  <c r="BT797" i="9"/>
  <c r="BT802" i="9" s="1"/>
  <c r="BT801" i="9"/>
  <c r="BT816" i="9" l="1"/>
  <c r="BT811" i="9" s="1"/>
  <c r="BT1019" i="9"/>
  <c r="BT1149" i="9"/>
  <c r="BT815" i="9"/>
  <c r="BT810" i="9" s="1"/>
  <c r="BT49" i="9" l="1"/>
  <c r="BT928" i="9"/>
  <c r="BT1030" i="9"/>
  <c r="BT873" i="9"/>
  <c r="BT1152" i="9"/>
  <c r="BT1154" i="9" s="1"/>
  <c r="BT893" i="9" l="1"/>
  <c r="BT894" i="9" s="1"/>
  <c r="BT895" i="9" s="1"/>
  <c r="BT896" i="9" s="1"/>
  <c r="BT876" i="9"/>
  <c r="BT875" i="9"/>
  <c r="BT1057" i="9"/>
  <c r="BT51" i="9"/>
  <c r="BT1060" i="9" l="1"/>
  <c r="BT1106" i="9"/>
  <c r="BT874" i="9"/>
  <c r="BT877" i="9"/>
  <c r="BT930" i="9" s="1"/>
  <c r="BT897" i="9"/>
  <c r="BT898" i="9" l="1"/>
  <c r="BT899" i="9" s="1"/>
  <c r="BT900" i="9" s="1"/>
  <c r="BT931" i="9"/>
  <c r="BT1114" i="9"/>
  <c r="BT1123" i="9" s="1"/>
  <c r="BT1156" i="9" s="1"/>
  <c r="BT903" i="9"/>
  <c r="BT1065" i="9"/>
  <c r="BU1059" i="9"/>
  <c r="BU914" i="9" l="1"/>
  <c r="BU916" i="9" s="1"/>
  <c r="BT1161" i="9"/>
  <c r="BT908" i="9"/>
  <c r="BU772" i="9" l="1"/>
  <c r="BU917" i="9"/>
  <c r="BU376" i="9"/>
  <c r="BU919" i="9"/>
  <c r="BT926" i="9"/>
  <c r="BT920" i="9"/>
  <c r="BT921" i="9"/>
  <c r="BT929" i="9" l="1"/>
  <c r="BT932" i="9"/>
  <c r="BU378" i="9"/>
  <c r="BU381" i="9" s="1"/>
  <c r="BU379" i="9"/>
  <c r="BU774" i="9"/>
  <c r="BU779" i="9" s="1"/>
  <c r="BU778" i="9"/>
  <c r="BU782" i="9" l="1"/>
  <c r="BU1014" i="9" s="1"/>
  <c r="BU1119" i="9" s="1"/>
  <c r="BU1167" i="9"/>
  <c r="BU785" i="9"/>
  <c r="BU784" i="9"/>
  <c r="BU796" i="9" s="1"/>
  <c r="BU382" i="9"/>
  <c r="BU384" i="9"/>
  <c r="BU385" i="9" s="1"/>
  <c r="BU383" i="9"/>
  <c r="BU783" i="9" l="1"/>
  <c r="BU781" i="9" s="1"/>
  <c r="BU806" i="9" s="1"/>
  <c r="BU1122" i="9"/>
  <c r="BU787" i="9"/>
  <c r="BU786" i="9" l="1"/>
  <c r="BU795" i="9" s="1"/>
  <c r="BU797" i="9" s="1"/>
  <c r="BU802" i="9" s="1"/>
  <c r="BU809" i="9" l="1"/>
  <c r="BU1008" i="9"/>
  <c r="BU1019" i="9" s="1"/>
  <c r="BU801" i="9"/>
  <c r="BU815" i="9" s="1"/>
  <c r="BU810" i="9" s="1"/>
  <c r="BU816" i="9"/>
  <c r="BU811" i="9" s="1"/>
  <c r="BU1149" i="9" l="1"/>
  <c r="BU1152" i="9" s="1"/>
  <c r="BU1154" i="9" s="1"/>
  <c r="BU49" i="9"/>
  <c r="BU928" i="9"/>
  <c r="BU873" i="9"/>
  <c r="BU1030" i="9"/>
  <c r="BU875" i="9" l="1"/>
  <c r="BU1057" i="9"/>
  <c r="BU876" i="9"/>
  <c r="BU893" i="9"/>
  <c r="BU894" i="9" s="1"/>
  <c r="BU895" i="9" s="1"/>
  <c r="BU896" i="9" s="1"/>
  <c r="BU51" i="9"/>
  <c r="BU1106" i="9" l="1"/>
  <c r="BU1060" i="9"/>
  <c r="BU877" i="9"/>
  <c r="BU930" i="9" s="1"/>
  <c r="BU874" i="9"/>
  <c r="BU897" i="9"/>
  <c r="BU898" i="9" l="1"/>
  <c r="BU899" i="9" s="1"/>
  <c r="BU900" i="9" s="1"/>
  <c r="BU931" i="9"/>
  <c r="BV1059" i="9"/>
  <c r="BU1065" i="9"/>
  <c r="BU1114" i="9"/>
  <c r="BU1123" i="9" s="1"/>
  <c r="BU1156" i="9" s="1"/>
  <c r="BU903" i="9"/>
  <c r="BU1161" i="9" l="1"/>
  <c r="BV914" i="9"/>
  <c r="BV916" i="9" s="1"/>
  <c r="BU908" i="9"/>
  <c r="BU920" i="9" l="1"/>
  <c r="BU921" i="9"/>
  <c r="BU926" i="9"/>
  <c r="BV917" i="9"/>
  <c r="BV772" i="9"/>
  <c r="BV376" i="9"/>
  <c r="BV919" i="9"/>
  <c r="BV378" i="9" l="1"/>
  <c r="BV381" i="9" s="1"/>
  <c r="BV379" i="9"/>
  <c r="BV774" i="9"/>
  <c r="BV779" i="9" s="1"/>
  <c r="BV778" i="9"/>
  <c r="BU929" i="9"/>
  <c r="BU932" i="9"/>
  <c r="BV782" i="9" l="1"/>
  <c r="BV1014" i="9" s="1"/>
  <c r="BV1119" i="9" s="1"/>
  <c r="BV1122" i="9" s="1"/>
  <c r="BV1167" i="9"/>
  <c r="BV784" i="9"/>
  <c r="BV796" i="9" s="1"/>
  <c r="BV785" i="9"/>
  <c r="BV384" i="9"/>
  <c r="BV385" i="9" s="1"/>
  <c r="BV382" i="9"/>
  <c r="BV383" i="9"/>
  <c r="BV783" i="9" l="1"/>
  <c r="BV787" i="9"/>
  <c r="BV781" i="9" l="1"/>
  <c r="BV806" i="9" s="1"/>
  <c r="BV786" i="9"/>
  <c r="BV795" i="9" s="1"/>
  <c r="BV797" i="9" l="1"/>
  <c r="BV802" i="9" s="1"/>
  <c r="BV809" i="9"/>
  <c r="BV801" i="9"/>
  <c r="BV1008" i="9"/>
  <c r="BV815" i="9" l="1"/>
  <c r="BV810" i="9" s="1"/>
  <c r="BV1019" i="9"/>
  <c r="BV1149" i="9"/>
  <c r="BV1152" i="9" s="1"/>
  <c r="BV1154" i="9" s="1"/>
  <c r="BV816" i="9"/>
  <c r="BV811" i="9" s="1"/>
  <c r="BV49" i="9" l="1"/>
  <c r="BV51" i="9" s="1"/>
  <c r="BV928" i="9"/>
  <c r="BV1030" i="9"/>
  <c r="BV873" i="9"/>
  <c r="BV876" i="9" l="1"/>
  <c r="BV893" i="9"/>
  <c r="BV894" i="9" s="1"/>
  <c r="BV895" i="9" s="1"/>
  <c r="BV896" i="9" s="1"/>
  <c r="BV875" i="9"/>
  <c r="BV1057" i="9"/>
  <c r="BV1106" i="9" l="1"/>
  <c r="BV1060" i="9"/>
  <c r="BV877" i="9"/>
  <c r="BV930" i="9" s="1"/>
  <c r="BV897" i="9"/>
  <c r="BV874" i="9"/>
  <c r="BV1065" i="9" l="1"/>
  <c r="BV931" i="9"/>
  <c r="BV898" i="9"/>
  <c r="BV899" i="9" s="1"/>
  <c r="BV900" i="9" s="1"/>
  <c r="BV1114" i="9"/>
  <c r="BV1123" i="9" s="1"/>
  <c r="BV1156" i="9" s="1"/>
  <c r="BV903" i="9"/>
  <c r="BV1161" i="9" l="1"/>
  <c r="BV908" i="9"/>
  <c r="BV920" i="9" l="1"/>
  <c r="BV921" i="9"/>
  <c r="BV926" i="9"/>
  <c r="BV929" i="9" l="1"/>
  <c r="BV9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 Medford</author>
  </authors>
  <commentList>
    <comment ref="D47" authorId="0" shapeId="0" xr:uid="{79F49F6A-35AC-44F6-8FCB-978F527D1D7D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Assumes minimal general expenses </t>
        </r>
      </text>
    </comment>
    <comment ref="F47" authorId="0" shapeId="0" xr:uid="{FD8BFDBA-D535-44C2-8A64-27C0E7D28CDA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Assumes minimal general expenses </t>
        </r>
      </text>
    </comment>
    <comment ref="H47" authorId="0" shapeId="0" xr:uid="{4A3969FA-BCD3-4072-893B-ADA1BF3E0F7B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Assumes minimal general expenses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 Medford</author>
  </authors>
  <commentList>
    <comment ref="G8" authorId="0" shapeId="0" xr:uid="{43C7DEFF-83DC-4CC9-B234-22D5B65B0382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40 hours per week - 49 weeks total (52 weeks - 3 weeks for vacation)</t>
        </r>
      </text>
    </comment>
    <comment ref="H68" authorId="0" shapeId="0" xr:uid="{69A5BE2C-042B-403D-84F5-130C1EE31828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Each person is able to work 1960 hours in a year`</t>
        </r>
      </text>
    </comment>
    <comment ref="H81" authorId="0" shapeId="0" xr:uid="{79FC66F5-1455-4F95-941F-C67FD2C0E523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Each person is able to work 1960 hours in a year`</t>
        </r>
      </text>
    </comment>
    <comment ref="H91" authorId="0" shapeId="0" xr:uid="{94F15187-46BF-4A4A-8197-4E9A927D3DB9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Each person is able to work 1960 hours in a year`</t>
        </r>
      </text>
    </comment>
    <comment ref="H104" authorId="0" shapeId="0" xr:uid="{BD007DE3-3D6C-4B2F-986C-BE64AF3999D7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Each person is able to work 1960 hours in a year`</t>
        </r>
      </text>
    </comment>
  </commentList>
</comments>
</file>

<file path=xl/sharedStrings.xml><?xml version="1.0" encoding="utf-8"?>
<sst xmlns="http://schemas.openxmlformats.org/spreadsheetml/2006/main" count="6113" uniqueCount="2730">
  <si>
    <t>SG&amp;A</t>
  </si>
  <si>
    <t>CONFIDENTIAL</t>
  </si>
  <si>
    <t>mock analysis</t>
  </si>
  <si>
    <t>Total</t>
  </si>
  <si>
    <t>resort a</t>
  </si>
  <si>
    <t>resort b</t>
  </si>
  <si>
    <t>resort c</t>
  </si>
  <si>
    <t>resort d</t>
  </si>
  <si>
    <t>resort e</t>
  </si>
  <si>
    <t>resort f</t>
  </si>
  <si>
    <t>resort g</t>
  </si>
  <si>
    <t>resort h</t>
  </si>
  <si>
    <t>resort i</t>
  </si>
  <si>
    <t>TOTAL</t>
  </si>
  <si>
    <t>Design</t>
  </si>
  <si>
    <t>Consulting</t>
  </si>
  <si>
    <t>Logistics</t>
  </si>
  <si>
    <t>Total Revenue</t>
  </si>
  <si>
    <t>Yr1</t>
  </si>
  <si>
    <t>Yr2</t>
  </si>
  <si>
    <t>Yr3</t>
  </si>
  <si>
    <t>REVENUE</t>
  </si>
  <si>
    <t>FY1</t>
  </si>
  <si>
    <t>FY2</t>
  </si>
  <si>
    <t>FY3</t>
  </si>
  <si>
    <t>Total Fees</t>
  </si>
  <si>
    <t xml:space="preserve">Fees </t>
  </si>
  <si>
    <t>STOWED product</t>
  </si>
  <si>
    <t>as % of STOWED product budget</t>
  </si>
  <si>
    <t>Revenue Streams</t>
  </si>
  <si>
    <t>Green = to fill out</t>
  </si>
  <si>
    <t xml:space="preserve">4. Compute COGS using a 60% margin. </t>
  </si>
  <si>
    <t>Fees</t>
  </si>
  <si>
    <t>Gross profit $</t>
  </si>
  <si>
    <t>Gross profit %</t>
  </si>
  <si>
    <t xml:space="preserve">5. Compute gross profit $ and %. </t>
  </si>
  <si>
    <t xml:space="preserve">6. Add SG&amp;A categories + estimates. </t>
  </si>
  <si>
    <t>Net Operating Profit $</t>
  </si>
  <si>
    <t>Net Operating Profit %</t>
  </si>
  <si>
    <t xml:space="preserve">7. Compute net operating profit $ and %. </t>
  </si>
  <si>
    <r>
      <t>STOWED COGS</t>
    </r>
    <r>
      <rPr>
        <b/>
        <sz val="11"/>
        <color theme="9"/>
        <rFont val="Calibri Light"/>
        <family val="2"/>
      </rPr>
      <t xml:space="preserve"> (use 60% margin)</t>
    </r>
  </si>
  <si>
    <t>P&amp;L</t>
  </si>
  <si>
    <t>Employee</t>
  </si>
  <si>
    <t>Team</t>
  </si>
  <si>
    <t>Salary</t>
  </si>
  <si>
    <t>A</t>
  </si>
  <si>
    <t>B</t>
  </si>
  <si>
    <t>C</t>
  </si>
  <si>
    <t>D</t>
  </si>
  <si>
    <t>E</t>
  </si>
  <si>
    <t>F</t>
  </si>
  <si>
    <t>G</t>
  </si>
  <si>
    <t>Product Development</t>
  </si>
  <si>
    <t>H</t>
  </si>
  <si>
    <t>I</t>
  </si>
  <si>
    <t>J</t>
  </si>
  <si>
    <t>K</t>
  </si>
  <si>
    <t>L</t>
  </si>
  <si>
    <t xml:space="preserve">3. Compute ROI per team. </t>
  </si>
  <si>
    <t xml:space="preserve">4. Provide a hypothesis for current allocation of team members and salaries vs. ROI. </t>
  </si>
  <si>
    <t xml:space="preserve">5. Provide a suggestion for reallocation of team members and salaries vs. ROI. </t>
  </si>
  <si>
    <t>% of resort revenue per year</t>
  </si>
  <si>
    <t xml:space="preserve">2. Compute annual and total fees per team. </t>
  </si>
  <si>
    <t xml:space="preserve">2. Compute total fees and revenue per resort. </t>
  </si>
  <si>
    <t xml:space="preserve">1. Compute annual and total salaries per team (assume all W2 employees with full benefits). </t>
  </si>
  <si>
    <t>1. Compute each fee as a % of STOWED product revenue.</t>
  </si>
  <si>
    <t>Revenue</t>
  </si>
  <si>
    <t>3. Compute FY1, 2, and 3 revenue using table in rows 29-32.</t>
  </si>
  <si>
    <t>Annual Salary</t>
  </si>
  <si>
    <t>ROI</t>
  </si>
  <si>
    <t>Are Fees paid on the same schedule as Revenue?</t>
  </si>
  <si>
    <t>Hypothesis</t>
  </si>
  <si>
    <t>Reallocation of Team Members</t>
  </si>
  <si>
    <t>Is COGS based on total revenue or just STOWED product?</t>
  </si>
  <si>
    <t>Design and Consulting have the lowest ROI (31% and 59%). Despite consulting having the highest fees (7% of total budget), timing of consulting + payout of salary is not optimized for the 3 year period</t>
  </si>
  <si>
    <t>Average Salary</t>
  </si>
  <si>
    <t>Questions</t>
  </si>
  <si>
    <t xml:space="preserve">Alternatively, Design has a lower fee based, but is paid the second highest in total salaries at $550k driving the lower ROI. </t>
  </si>
  <si>
    <t>In General, timing of recognized revenue and fixed salaries cause ROI to fluctuate and as a result drives lumpier operating margins. This is specificallly seen in FY2 with consulting and design being the two largest drivers.</t>
  </si>
  <si>
    <t>To alleviate and smooth out this issue, some of the staff should be a on variable basis based on total number of hours required to complete the project.</t>
  </si>
  <si>
    <t>See below for adjusted salaries with part of pay being allocated based on hour time</t>
  </si>
  <si>
    <t>Avg Fee per Hour</t>
  </si>
  <si>
    <t>Total Hours to Complete Project</t>
  </si>
  <si>
    <t>Total Hours worked</t>
  </si>
  <si>
    <t>Hours Required</t>
  </si>
  <si>
    <t>Fees Generated</t>
  </si>
  <si>
    <t>Fixed / Variable?</t>
  </si>
  <si>
    <t>Assumed hours worked if completed within a year</t>
  </si>
  <si>
    <t>Total personel Required</t>
  </si>
  <si>
    <t>Group</t>
  </si>
  <si>
    <t xml:space="preserve">Note - further diligence required to determine </t>
  </si>
  <si>
    <t>Salary per Hour</t>
  </si>
  <si>
    <t>Average Hour per year</t>
  </si>
  <si>
    <t>People Required</t>
  </si>
  <si>
    <t>Reallocated Team Members</t>
  </si>
  <si>
    <t>Hourly salary</t>
  </si>
  <si>
    <t>Increase in hours for extra weighting</t>
  </si>
  <si>
    <t>Hours</t>
  </si>
  <si>
    <t>New ROI</t>
  </si>
  <si>
    <t>RH</t>
  </si>
  <si>
    <t>RH US</t>
  </si>
  <si>
    <t>Restated</t>
  </si>
  <si>
    <t>USD</t>
  </si>
  <si>
    <t>Bloomberg</t>
  </si>
  <si>
    <t>OFF</t>
  </si>
  <si>
    <t>FY2009</t>
  </si>
  <si>
    <t>FY2010</t>
  </si>
  <si>
    <t>FY2011</t>
  </si>
  <si>
    <t>FY2012</t>
  </si>
  <si>
    <t>Q1-2013</t>
  </si>
  <si>
    <t>Q2-2013</t>
  </si>
  <si>
    <t>Q3-2013</t>
  </si>
  <si>
    <t>Q4-2013</t>
  </si>
  <si>
    <t>FY2013</t>
  </si>
  <si>
    <t>Q1-2014</t>
  </si>
  <si>
    <t>Q2-2014</t>
  </si>
  <si>
    <t>Q3-2014</t>
  </si>
  <si>
    <t>Q4-2014</t>
  </si>
  <si>
    <t>FY2014</t>
  </si>
  <si>
    <t>Q1-2015</t>
  </si>
  <si>
    <t>Q2-2015</t>
  </si>
  <si>
    <t>Q3-2015</t>
  </si>
  <si>
    <t>Q4-2015</t>
  </si>
  <si>
    <t>FY2015</t>
  </si>
  <si>
    <t>Q1-2016</t>
  </si>
  <si>
    <t>Q2-2016</t>
  </si>
  <si>
    <t>Q3-2016</t>
  </si>
  <si>
    <t>Q4-2016</t>
  </si>
  <si>
    <t>FY2016</t>
  </si>
  <si>
    <t>Q1-2017</t>
  </si>
  <si>
    <t>Q2-2017</t>
  </si>
  <si>
    <t>Q3-2017</t>
  </si>
  <si>
    <t>Q4-2017</t>
  </si>
  <si>
    <t>FY2017</t>
  </si>
  <si>
    <t>Q1-2018</t>
  </si>
  <si>
    <t>Q2-2018</t>
  </si>
  <si>
    <t>Q3-2018</t>
  </si>
  <si>
    <t>Q4-2018</t>
  </si>
  <si>
    <t>FY2018</t>
  </si>
  <si>
    <t>Q1-2019</t>
  </si>
  <si>
    <t>Q2-2019</t>
  </si>
  <si>
    <t>Q3-2019</t>
  </si>
  <si>
    <t>Q4-2019</t>
  </si>
  <si>
    <t>FY2019</t>
  </si>
  <si>
    <t>Q1-2020</t>
  </si>
  <si>
    <t>Q2-2020</t>
  </si>
  <si>
    <t>Q3-2020</t>
  </si>
  <si>
    <t>Q4-2020</t>
  </si>
  <si>
    <t>FY2020</t>
  </si>
  <si>
    <t>Q1-2021</t>
  </si>
  <si>
    <t>Q2-2021</t>
  </si>
  <si>
    <t>Q3-2021</t>
  </si>
  <si>
    <t>Q4-2021</t>
  </si>
  <si>
    <t>FY2021</t>
  </si>
  <si>
    <t>Q1-2022</t>
  </si>
  <si>
    <t>Q2-2022</t>
  </si>
  <si>
    <t>Q3-2022</t>
  </si>
  <si>
    <t>Q4-2022</t>
  </si>
  <si>
    <t>FY2022</t>
  </si>
  <si>
    <t>Q1-2023</t>
  </si>
  <si>
    <t>Q2-2023</t>
  </si>
  <si>
    <t>Q3-2023</t>
  </si>
  <si>
    <t>Q4-2023</t>
  </si>
  <si>
    <t>FY2023</t>
  </si>
  <si>
    <t>Q1-2024</t>
  </si>
  <si>
    <t>Q2-2024</t>
  </si>
  <si>
    <t>Q3-2024</t>
  </si>
  <si>
    <t>Q4-2024</t>
  </si>
  <si>
    <t>FY2024</t>
  </si>
  <si>
    <t>Q1-2025</t>
  </si>
  <si>
    <t>Q2-2025</t>
  </si>
  <si>
    <t>Q3-2025</t>
  </si>
  <si>
    <t>Q4-2025</t>
  </si>
  <si>
    <t>FY2025</t>
  </si>
  <si>
    <t>FY2026</t>
  </si>
  <si>
    <t>FY2027</t>
  </si>
  <si>
    <t>FY2028</t>
  </si>
  <si>
    <t>Consolidated Summary</t>
  </si>
  <si>
    <t>Total Retail Locations - EoP, # of stores</t>
  </si>
  <si>
    <t>Q/Q Total retail locations - EoP growth, %</t>
  </si>
  <si>
    <t>Y/Y Total retail locations - EoP growth, %</t>
  </si>
  <si>
    <t>RH Segment revenue, mm</t>
  </si>
  <si>
    <t>Y/Y RH core demand growth, %</t>
  </si>
  <si>
    <t>Y/Y RH Segment revenue growth, %</t>
  </si>
  <si>
    <t>Waterworks revenue, mm</t>
  </si>
  <si>
    <t>Y/Y Waterworks revenue growth, %</t>
  </si>
  <si>
    <t>NMF</t>
  </si>
  <si>
    <t>Total Revenue, mm</t>
  </si>
  <si>
    <t>Consensus Estimates - Net Revenue</t>
  </si>
  <si>
    <t>N/A</t>
  </si>
  <si>
    <t>Y/Y Total company demand growth, %</t>
  </si>
  <si>
    <t>Y/Y Total revenue growth, %</t>
  </si>
  <si>
    <t>Adjusted Gross Profit, mm</t>
  </si>
  <si>
    <t>Consensus Estimates - Adjusted Gross Profit</t>
  </si>
  <si>
    <t>Adjusted gross margin, %</t>
  </si>
  <si>
    <t>Consensus Estimates - Adjusted Gross Margin, %</t>
  </si>
  <si>
    <t>Y/Y Adjusted gross margin improvement, bps</t>
  </si>
  <si>
    <t>Adjusted Operating Income, mm</t>
  </si>
  <si>
    <t>Consensus Estimates - Adjusted EBIT</t>
  </si>
  <si>
    <t>Adjusted operating margin, %</t>
  </si>
  <si>
    <t>Consensus Estimates - Adjusted EBIT Margin, %</t>
  </si>
  <si>
    <t>Y/Y Adjusted operating margin improvement, bps</t>
  </si>
  <si>
    <t>Adjusted Diluted EPS, $/share</t>
  </si>
  <si>
    <t>Consensus Estimates - Adjusted Earnings Per Share - WAD</t>
  </si>
  <si>
    <t>Y/Y Adjusted diluted EPS growth, %</t>
  </si>
  <si>
    <t>Segmented Results - RH Segment</t>
  </si>
  <si>
    <t>Segmented Results - RH Segment Revenue Forecasting (FS)</t>
  </si>
  <si>
    <t>Design Galleries - BoP, # of stores</t>
  </si>
  <si>
    <t>England Design Galleries opened, # of stores</t>
  </si>
  <si>
    <t>Munich Design Galleries opened, # of stores</t>
  </si>
  <si>
    <t>Düsseldorf Design Galleries opened, # of stores</t>
  </si>
  <si>
    <t>Indianapolis Design Galleries opened, # of stores</t>
  </si>
  <si>
    <t>San Francisco Design Galleries opened, # of stores</t>
  </si>
  <si>
    <t>Dallas Design Galleries opened, # of stores</t>
  </si>
  <si>
    <t>Oak Brook Design Galleries opened, # of stores</t>
  </si>
  <si>
    <t>Jacksonville Design Galleries opened, # of stores</t>
  </si>
  <si>
    <t>Marin Design Galleries opened, # of stores</t>
  </si>
  <si>
    <t>Charlotte Design Galleries opened, # of stores</t>
  </si>
  <si>
    <t>Minneapolis Design Galleries opened, # of stores</t>
  </si>
  <si>
    <t>Columbus Design Galleries opened, # of stores</t>
  </si>
  <si>
    <t>Portland Design Galleries opened, # of stores</t>
  </si>
  <si>
    <t>Nashville Design Galleries opened, # of stores</t>
  </si>
  <si>
    <t>New York Design Galleries opened, # of stores</t>
  </si>
  <si>
    <t>Yountville Design Galleries opened, # of stores</t>
  </si>
  <si>
    <t>Toronto (Yorkdale) Design Galleries opened, # of stores</t>
  </si>
  <si>
    <t>West Palm Design Galleries opened, # of stores</t>
  </si>
  <si>
    <t>Leawood Design Galleries opened, # of stores</t>
  </si>
  <si>
    <t>Austin Design Galleries opened, # of stores</t>
  </si>
  <si>
    <t>Las Vegas Design Galleries opened, # of stores</t>
  </si>
  <si>
    <t>Seattle Design Galleries opened, # of stores</t>
  </si>
  <si>
    <t>Chicago Design Galleries opened, # of stores</t>
  </si>
  <si>
    <t>Denver Design Galleries opened, # of stores</t>
  </si>
  <si>
    <t>Tampa Design Galleries opened, # of stores</t>
  </si>
  <si>
    <t>Greenwich Design Galleries opened, # of stores</t>
  </si>
  <si>
    <t>Los Angeles Design Galleries opened, # of stores</t>
  </si>
  <si>
    <t>Atlanta Design Galleries opened, # of stores</t>
  </si>
  <si>
    <t>Design Galleries opened, # of stores</t>
  </si>
  <si>
    <t>Indianapolis Design Galleries closed, # of stores</t>
  </si>
  <si>
    <t>Los Angeles Design Galleries closed, # of stores</t>
  </si>
  <si>
    <t>Design Galleries closed, # of stores</t>
  </si>
  <si>
    <t>Design Galleries - EoP, # of stores</t>
  </si>
  <si>
    <t>Design Galleries - Average, # of stores</t>
  </si>
  <si>
    <t>Design Galleries Leased Selling Square Footage - BoP, 000s sq ft</t>
  </si>
  <si>
    <t>England Design Galleries leased selling square footage opened, 000s sq ft</t>
  </si>
  <si>
    <t>Munich Design Galleries leased selling square footage opened, 000s sq ft</t>
  </si>
  <si>
    <t>Düsseldorf Design Galleries leased selling square footage opened, 000s sq ft</t>
  </si>
  <si>
    <t>Indianapolis Design Galleries leased selling square footage opened, 000s sq ft</t>
  </si>
  <si>
    <t>San Francisco Design Galleries leased selling square footage opened, 000s sq ft</t>
  </si>
  <si>
    <t>Dallas Design Galleries leased selling square footage opened, 000s sq ft</t>
  </si>
  <si>
    <t>Oak Brook Design Galleries leased selling square footage opened, 000s sq ft</t>
  </si>
  <si>
    <t>Jacksonville Design Galleries leased selling square footage opened, 000s sq ft</t>
  </si>
  <si>
    <t>Marin Design Galleries leased selling square footage opened, 000s sq ft</t>
  </si>
  <si>
    <t>Charlotte Design Galleries leased selling square footage opened, 000s sq ft</t>
  </si>
  <si>
    <t>Minneapolis Design Galleries leased selling square footage opened, 000s sq ft</t>
  </si>
  <si>
    <t>Columbus Design Galleries leased selling square footage opened, 000s sq ft</t>
  </si>
  <si>
    <t>Portland Design Galleries leased selling square footage opened, 000s sq ft</t>
  </si>
  <si>
    <t>Nashville Design Galleries leased selling square footage opened, 000s sq ft</t>
  </si>
  <si>
    <t>New York Design Galleries leased selling square footage opened, 000s sq ft</t>
  </si>
  <si>
    <t>Yountville Design Galleries leased selling square footage opened, 000s sq ft</t>
  </si>
  <si>
    <t>Toronto (Yorkdale) Design Galleries leased selling square footage opened, 000s sq ft</t>
  </si>
  <si>
    <t>West Palm Design Galleries leased selling square footage opened, 000s sq ft</t>
  </si>
  <si>
    <t>Leawood Design Galleries leased selling square footage opened, 000s sq ft</t>
  </si>
  <si>
    <t>Austin Design Galleries leased selling square footage opened, 000s sq ft</t>
  </si>
  <si>
    <t>Las Vegas Design Galleries leased selling square footage opened, 000s sq ft</t>
  </si>
  <si>
    <t>Seattle Design Galleries leased selling square footage opened, 000s sq ft</t>
  </si>
  <si>
    <t>Chicago Design Galleries leased selling square footage opened, 000s sq ft</t>
  </si>
  <si>
    <t>Denver Design Galleries leased selling square footage opened, 000s sq ft</t>
  </si>
  <si>
    <t>Tampa Design Galleries leased selling square footage opened, 000s sq ft</t>
  </si>
  <si>
    <t>Greenwich Design Galleries leased selling square footage opened, 000s sq ft</t>
  </si>
  <si>
    <t>Los Angeles Design Galleries leased selling square footage opened, 000s sq ft</t>
  </si>
  <si>
    <t>Atlanta Design Galleries leased selling square footage opened, 000s sq ft</t>
  </si>
  <si>
    <t>Design Galleries leased selling square footage opened, 000s sq ft</t>
  </si>
  <si>
    <t>Indianapolis Design Galleries leased selling square footage closed, 000s sq ft</t>
  </si>
  <si>
    <t>Los Angeles Design Galleries leased selling square footage closed, 000s sq ft</t>
  </si>
  <si>
    <t>Design Galleries leased selling square footage closed, 000s sq ft</t>
  </si>
  <si>
    <t>Design Galleries leased selling square footage relocated, 000s sq ft</t>
  </si>
  <si>
    <t>Design Galleries leased selling square footage net change, 000s sq ft</t>
  </si>
  <si>
    <t>Design Galleries Leased Selling Square Footage - EoP, 000s sq ft</t>
  </si>
  <si>
    <t>Design Galleries leased selling square footage per opened store, sq ft/store</t>
  </si>
  <si>
    <t>n/a</t>
  </si>
  <si>
    <t>Design Galleries opened store size as % of average, %</t>
  </si>
  <si>
    <t>Design Galleries leased selling square footage per closed store, sq ft/store</t>
  </si>
  <si>
    <t>Design Galleries closed store size as % of average, %</t>
  </si>
  <si>
    <t>Design Galleries Leased Selling Square Footage per Store, sq ft/store</t>
  </si>
  <si>
    <t>Legacy Galleries - BoP, # of stores</t>
  </si>
  <si>
    <t>Indianapolis temporary Legacy Galleries opened, # of stores</t>
  </si>
  <si>
    <t>Raleigh Legacy Galleries opened, # of stores</t>
  </si>
  <si>
    <t>Pittsburgh Legacy Galleries opened, # of stores</t>
  </si>
  <si>
    <t>Tampa temporary Legacy Galleries opened, # of stores</t>
  </si>
  <si>
    <t>San Diego temporary Legacy Galleries opened, # of stores</t>
  </si>
  <si>
    <t>Legacy Galleries opened, # of stores</t>
  </si>
  <si>
    <t>Indianapolis temporary Legacy Galleries closed, # of stores</t>
  </si>
  <si>
    <t>San Francisco Legacy Galleries closed, # of stores</t>
  </si>
  <si>
    <t>Dallas Legacy Galleries closed, # of stores</t>
  </si>
  <si>
    <t>Oak Brook Legacy Galleries closed, # of stores</t>
  </si>
  <si>
    <t>Charlotte Legacy Galleries closed, # of stores</t>
  </si>
  <si>
    <t>Corte Madera Legacy Galleries closed, # of stores</t>
  </si>
  <si>
    <t>Westport Legacy Galleries closed, # of stores</t>
  </si>
  <si>
    <t>Minneapolis Legacy Galleries closed, # of stores</t>
  </si>
  <si>
    <t>Columbus Legacy Galleries closed, # of stores</t>
  </si>
  <si>
    <t>Durham Legacy Galleries closed, # of stores</t>
  </si>
  <si>
    <t>Portland Legacy Galleries closed, # of stores</t>
  </si>
  <si>
    <t>Nashville Legacy Galleries closed, # of stores</t>
  </si>
  <si>
    <t>Washington DC Legacy Galleries closed, # of stores</t>
  </si>
  <si>
    <t>New York Legacy Galleries closed, # of stores</t>
  </si>
  <si>
    <t>Toronto (Bay View) Legacy Galleries closed, # of stores</t>
  </si>
  <si>
    <t>Toronto (Yonge Street) Legacy Galleries closed, # of stores</t>
  </si>
  <si>
    <t>West Palm Legacy Galleries closed, # of stores</t>
  </si>
  <si>
    <t>Kansas City Legacy Galleries closed, # of stores</t>
  </si>
  <si>
    <t>Austin Legacy Galleries closed, # of stores</t>
  </si>
  <si>
    <t>Seattle Legacy Galleries closed, # of stores</t>
  </si>
  <si>
    <t>Pittsburgh Legacy Galleries closed, # of stores</t>
  </si>
  <si>
    <t>Tampa Legacy Galleries closed, # of stores</t>
  </si>
  <si>
    <t>Tampa temporary Legacy Galleries closed, # of stores</t>
  </si>
  <si>
    <t>Chicago (Deer Park) Legacy Galleries closed, # of stores</t>
  </si>
  <si>
    <t>Chicago (Lincoln Park) Legacy Galleries closed, # of stores</t>
  </si>
  <si>
    <t>Denver Legacy Galleries closed, # of stores</t>
  </si>
  <si>
    <t>San Diego Legacy Galleries closed, # of stores</t>
  </si>
  <si>
    <t>Berkeley Legacy Galleries closed, # of stores</t>
  </si>
  <si>
    <t>West Nyack Legacy Galleries closed, # of stores</t>
  </si>
  <si>
    <t>Greenwich Legacy Galleries closed, # of stores</t>
  </si>
  <si>
    <t>Atlanta Legacy Galleries closed, # of stores</t>
  </si>
  <si>
    <t>Providence Legacy Galleries closed, # of stores</t>
  </si>
  <si>
    <t>Legacy Galleries closed, # of stores</t>
  </si>
  <si>
    <t>Legacy Galleries - EoP, # of stores</t>
  </si>
  <si>
    <t>Legacy Galleries - Average, # of stores</t>
  </si>
  <si>
    <t>Legacy Galleries Leased Selling Square Footage - BoP, 000s sq ft</t>
  </si>
  <si>
    <t>Indianapolis Legacy Galleries leased selling square footage opened, 000s sq ft</t>
  </si>
  <si>
    <t>Raleigh Legacy Galleries leased selling square footage opened, 000s sq ft</t>
  </si>
  <si>
    <t>Pittsburgh Legacy Galleries leased selling square footage opened, 000s sq ft</t>
  </si>
  <si>
    <t>Tampa temporary Legacy Galleries leased selling square footage opened, 000s sq ft</t>
  </si>
  <si>
    <t>San Diego temporary Legacy Galleries leased selling square footage opened, 000s sq ft</t>
  </si>
  <si>
    <t>Legacy Galleries leased selling square footage opened, 000s sq ft</t>
  </si>
  <si>
    <t>Indianapolis Legacy Galleries leased selling square footage closed, 000s sq ft</t>
  </si>
  <si>
    <t>San Francisco Legacy Galleries leased selling square footage closed, 000s sq ft</t>
  </si>
  <si>
    <t>Dallas Legacy Galleries leased selling square footage closed, 000s sq ft</t>
  </si>
  <si>
    <t>Oak Brook Legacy Galleries leased selling square footage closed, 000s sq ft</t>
  </si>
  <si>
    <t>Charlotte Legacy Galleries leased selling square footage closed, 000s sq ft</t>
  </si>
  <si>
    <t>Corte Madera Legacy Galleries leased selling square footage closed, 000s sq ft</t>
  </si>
  <si>
    <t>Westport Legacy Galleries leased selling square footage closed, 000s sq ft</t>
  </si>
  <si>
    <t>Minneapolis Legacy Galleries leased selling square footage closed, 000s sq ft</t>
  </si>
  <si>
    <t>Columbus Legacy Galleries leased selling square footage closed, 000s sq ft</t>
  </si>
  <si>
    <t>Durham Legacy Galleries leased selling square footage closed, 000s sq ft</t>
  </si>
  <si>
    <t>Portland Legacy Galleries leased selling square footage closed, 000s sq ft</t>
  </si>
  <si>
    <t>Nashville Legacy Galleries leased selling square footage closed, 000s sq ft</t>
  </si>
  <si>
    <t>Washington DC Legacy Galleries leased selling square footage closed, 000s sq ft</t>
  </si>
  <si>
    <t>New York Legacy Galleries leased selling square footage closed, 000s sq ft</t>
  </si>
  <si>
    <t>Toronto (Bay View) Legacy Galleries leased selling square footage closed, 000s sq ft</t>
  </si>
  <si>
    <t>Toronto (Yonge Street) Legacy Galleries leased selling square footage closed, 000s sq ft</t>
  </si>
  <si>
    <t>West Palm Legacy Galleries leased selling square footage closed, 000s sq ft</t>
  </si>
  <si>
    <t>Kansas City Legacy Galleries leased selling square footage closed, 000s sq ft</t>
  </si>
  <si>
    <t>Austin Legacy Galleries leased selling square footage closed, 000s sq ft</t>
  </si>
  <si>
    <t>Seattle Legacy Galleries leased selling square footage closed, 000s sq ft</t>
  </si>
  <si>
    <t>Pittsburgh Legacy Galleries leased selling square footage closed, 000s sq ft</t>
  </si>
  <si>
    <t>Tampa Legacy Galleries leased selling square footage closed, 000s sq ft</t>
  </si>
  <si>
    <t>Tampa temporary Legacy Galleries leased selling square footage closed, 000s sq ft</t>
  </si>
  <si>
    <t>Chicago (Deer Park) Legacy Galleries leased selling square footage closed, 000s sq ft</t>
  </si>
  <si>
    <t>Chicago (Lincoln Park) Legacy Galleries leased selling square footage closed, 000s sq ft</t>
  </si>
  <si>
    <t>Denver Legacy Galleries leased selling square footage closed, 000s sq ft</t>
  </si>
  <si>
    <t>San Diego Legacy Galleries leased selling square footage closed, 000s sq ft</t>
  </si>
  <si>
    <t>Berkeley Legacy Galleries leased selling square footage closed, 000s sq ft</t>
  </si>
  <si>
    <t>West Nyack Legacy Galleries leased selling square footage closed, 000s sq ft</t>
  </si>
  <si>
    <t>Greenwich Legacy Galleries leased selling square footage closed, 000s sq ft</t>
  </si>
  <si>
    <t>Atlanta Legacy Galleries leased selling square footage closed, 000s sq ft</t>
  </si>
  <si>
    <t>Providence Legacy Galleries leased selling square footage closed, 000s sq ft</t>
  </si>
  <si>
    <t>Legacy Galleries leased selling square footage closed, 000s sq ft</t>
  </si>
  <si>
    <t>Detroit Legacy Galleries leased selling square footage relocated, 000s sq ft</t>
  </si>
  <si>
    <t>Short Hills Legacy Galleries leased selling square footage relocated, 000s sq ft</t>
  </si>
  <si>
    <t>Troy Legacy Galleries leased selling square footage relocated, 000s sq ft</t>
  </si>
  <si>
    <t>Tysons Legacy Galleries leased selling square footage relocated, 000s sq ft</t>
  </si>
  <si>
    <t>St. Louis Legacy Galleries leased selling square footage relocated, 000s sq ft</t>
  </si>
  <si>
    <t>San Diego Legacy Galleries leased selling square footage relocated, 000s sq ft</t>
  </si>
  <si>
    <t>Dallas Legacy Galleries leased selling square footage relocated, 000s sq ft</t>
  </si>
  <si>
    <t>San Antonio Legacy Galleries leased selling square footage relocated, 000s sq ft</t>
  </si>
  <si>
    <t>New York Legacy Galleries leased selling square footage relocated, 000s sq ft</t>
  </si>
  <si>
    <t>Legacy Galleries leased selling square footage relocated, 000s sq ft</t>
  </si>
  <si>
    <t>Legacy Galleries leased selling square footage net change, 000s sq ft</t>
  </si>
  <si>
    <t>Legacy Galleries Leased Selling Square Footage - EoP, 000s sq ft</t>
  </si>
  <si>
    <t>Legacy Galleries leased selling square footage per opened store, sq ft/store</t>
  </si>
  <si>
    <t>Legacy Galleries opened store size as % of average, %</t>
  </si>
  <si>
    <t>Legacy Galleries leased selling square footage per closed store, sq ft/store</t>
  </si>
  <si>
    <t>Legacy Galleries closed store size as % of average, %</t>
  </si>
  <si>
    <t>Legacy Galleries Leased Selling Square Footage per Store, sq ft/store</t>
  </si>
  <si>
    <t>Modern Galleries - BoP, # of stores</t>
  </si>
  <si>
    <t>Dallas Modern Galleries opened, # of stores</t>
  </si>
  <si>
    <t>Los Angeles Modern Galleries opened, # of stores</t>
  </si>
  <si>
    <t>Modern Galleries opened, # of stores</t>
  </si>
  <si>
    <t>Dallas Modern Galleries closed, # of stores</t>
  </si>
  <si>
    <t>Modern Galleries closed, # of stores</t>
  </si>
  <si>
    <t>Modern Galleries - EoP, # of stores</t>
  </si>
  <si>
    <t>Modern Galleries - Average, # of stores</t>
  </si>
  <si>
    <t>Modern Galleries Leased Selling Square Footage - BoP, 000s sq ft</t>
  </si>
  <si>
    <t>Dallas Modern Galleries leased selling square footage opened, 000s sq ft</t>
  </si>
  <si>
    <t>Los Angeles Modern Galleries leased selling square footage opened, 000s sq ft</t>
  </si>
  <si>
    <t>Modern Galleries leased selling square footage opened, 000s sq ft</t>
  </si>
  <si>
    <t>Dallas Modern Galleries leased selling square footage closed, 000s sq ft</t>
  </si>
  <si>
    <t>Modern Galleries leased selling square footage closed, 000s sq ft</t>
  </si>
  <si>
    <t>Dallas Modern Galleries leased selling square footage relocated, 000s sq ft</t>
  </si>
  <si>
    <t>Modern Galleries leased selling square footage relocated, 000s sq ft</t>
  </si>
  <si>
    <t>Modern Galleries leased selling square footage net change, 000s sq ft</t>
  </si>
  <si>
    <t>Modern Galleries Leased Selling Square Footage - EoP, 000s sq ft</t>
  </si>
  <si>
    <t>Modern Galleries leased selling square footage per opened store, sq ft/store</t>
  </si>
  <si>
    <t>Modern Galleries opened store size as % of average, %</t>
  </si>
  <si>
    <t>Modern Galleries leased selling square footage per closed store, sq ft/store</t>
  </si>
  <si>
    <t>Modern Galleries closed store size as % of average, %</t>
  </si>
  <si>
    <t>Modern Galleries Leased Selling Square Footage per Store, sq ft/store</t>
  </si>
  <si>
    <t>Baby &amp; Child and TEEN Galleries - BoP, # of stores</t>
  </si>
  <si>
    <t>Dallas Baby &amp; Child and TEEN Galleries opened, # of stores</t>
  </si>
  <si>
    <t>Portland Baby &amp; Child and TEEN Galleries opened, # of stores</t>
  </si>
  <si>
    <t>West Palm Beach Baby &amp; Child and TEEN Galleries opened, # of stores</t>
  </si>
  <si>
    <t>Greenwich Baby &amp; Child and TEEN Galleries opened, # of stores</t>
  </si>
  <si>
    <t>Baby &amp; Child and TEEN Galleries opened, # of stores</t>
  </si>
  <si>
    <t>Santa Monica Baby &amp; Child and TEEN Galleries closed, # of stores</t>
  </si>
  <si>
    <t>Dallas Baby &amp; Child and TEEN Galleries closed, # of stores</t>
  </si>
  <si>
    <t>Portland Baby &amp; Child and TEEN Galleries closed, # of stores</t>
  </si>
  <si>
    <t>West Palm Baby &amp; Child and TEEN Galleries closed, # of stores</t>
  </si>
  <si>
    <t>Baby &amp; Child and TEEN Galleries closed, # of stores</t>
  </si>
  <si>
    <t>Baby &amp; Child and TEEN Galleries - EoP, # of stores</t>
  </si>
  <si>
    <t>Baby &amp; Child and TEEN Galleries - Average, # of stores</t>
  </si>
  <si>
    <t>Baby &amp; Child and TEEN Galleries Leased Selling Square Footage - BoP, 000s sq ft</t>
  </si>
  <si>
    <t>Dallas Baby &amp; Child and TEEN Galleries leased selling square footage opened, 000s sq ft</t>
  </si>
  <si>
    <t>Portland Baby &amp; Child and TEEN Galleries leased selling square footage opened, 000s sq ft</t>
  </si>
  <si>
    <t>West Palm Beach Baby &amp; Child and TEEN Galleries leased selling square footage opened, 000s sq ft</t>
  </si>
  <si>
    <t>Greenwich Baby &amp; Child and TEEN Galleries leased selling square footage opened, 000s sq ft</t>
  </si>
  <si>
    <t>Baby &amp; Child and TEEN Galleries leased selling square footage opened, 000s sq ft</t>
  </si>
  <si>
    <t>Santa Monica Baby &amp; Child and TEEN Galleries leased selling square footage closed, 000s sq ft</t>
  </si>
  <si>
    <t>Dallas Baby &amp; Child and TEEN Galleries leased selling square footage closed, 000s sq ft</t>
  </si>
  <si>
    <t>Portland Baby &amp; Child and TEEN Galleries leased selling square footage closed, 000s sq ft</t>
  </si>
  <si>
    <t>West Palm Beach Baby &amp; Child and TEEN Galleries leased selling square footage closed, 000s sq ft</t>
  </si>
  <si>
    <t>Baby &amp; Child and TEEN Galleries leased selling square footage closed, 000s sq ft</t>
  </si>
  <si>
    <t>Baby &amp; Child and TEEN Galleries leased selling square footage relocated, 000s sq ft</t>
  </si>
  <si>
    <t>Baby &amp; Child and TEEN Galleries leased selling square footage net change, 000s sq ft</t>
  </si>
  <si>
    <t>Baby &amp; Child and TEEN Galleries Leased Selling Square Footage - EoP, 000s sq ft</t>
  </si>
  <si>
    <t>Baby &amp; Child and TEEN Galleries leased selling square footage per opened store, sq ft/store</t>
  </si>
  <si>
    <t>Baby &amp; Child and TEEN Galleries opened store size as % of average, %</t>
  </si>
  <si>
    <t>Baby &amp; Child and TEEN Galleries leased selling square footage per closed store, sq ft/store</t>
  </si>
  <si>
    <t>Baby &amp; Child and TEEN Galleries closed store size as % of average, %</t>
  </si>
  <si>
    <t>Baby &amp; Chile and TEEN Galleries Leased Selling Square Footage per Store, sq ft/store</t>
  </si>
  <si>
    <t>RH Galleries - BoP, # of stores</t>
  </si>
  <si>
    <t>RH Galleries opened, # of stores</t>
  </si>
  <si>
    <t>RH Galleries closed, # of stores</t>
  </si>
  <si>
    <t>RH Galleries - EoP, # of stores</t>
  </si>
  <si>
    <t>Q/Q RH Galleries - EoP growth, %</t>
  </si>
  <si>
    <t>Y/Y RH Galleries - EoP growth, %</t>
  </si>
  <si>
    <t>RH Galleries - Average, # of stores</t>
  </si>
  <si>
    <t>RH Galleries Leased Store Selling Square Footage - BoP, 000s sq ft</t>
  </si>
  <si>
    <t>RH Galleries leased selling square footage opened, 000s sq ft</t>
  </si>
  <si>
    <t>RH Galleries leased selling square footage closed, 000s sq ft</t>
  </si>
  <si>
    <t>RH Galleries leased selling square footage relocated, 000s sq ft</t>
  </si>
  <si>
    <t>RH Galleries Leased Store Selling Square Footage - EoP, 000s sq ft</t>
  </si>
  <si>
    <t>Q/Q RH Galleries leased store selling square footage growth, %</t>
  </si>
  <si>
    <t>Y/Y RH Galleries leased store selling square footage growth, %</t>
  </si>
  <si>
    <t>RH Galleries Leased Store Selling Square Footage - Average, 000s sq ft</t>
  </si>
  <si>
    <t>RH revenue (excl. outlets) per leased store selling square foot, $/sq ft</t>
  </si>
  <si>
    <t>Y/Y RH revenue (excl. outlets) per leased store selling square foot growth, %</t>
  </si>
  <si>
    <t>RH Segment revenue (excl. outlets), mm</t>
  </si>
  <si>
    <t>Y/Y RH Segment revenue (excl. outlets) growth, %</t>
  </si>
  <si>
    <t>RH Outlets - BoP, # of stores</t>
  </si>
  <si>
    <t>RH Outlets net change, # of stores</t>
  </si>
  <si>
    <t>RH Outlets - EoP, # of stores</t>
  </si>
  <si>
    <t>Q/Q RH Outlets - EoP growth, %</t>
  </si>
  <si>
    <t>Y/Y RH Outlets - EoP growth, %</t>
  </si>
  <si>
    <t>RH Outlets - Average, # of stores</t>
  </si>
  <si>
    <t>RH outlet revenue per store, k$/store</t>
  </si>
  <si>
    <t>Y/Y RH outlet revenue per store growth, %</t>
  </si>
  <si>
    <t>RH Outlet Revenue, mm</t>
  </si>
  <si>
    <t>Y/Y RH outlet revenue growth, %</t>
  </si>
  <si>
    <t>Segmented Results - RH Segment Operating Expense Forecasting (FS)</t>
  </si>
  <si>
    <t>RH Segment outlet revenue, mm</t>
  </si>
  <si>
    <t>RH Segment Revenue, mm</t>
  </si>
  <si>
    <t>RH Segment revenue recall accrual, mm</t>
  </si>
  <si>
    <t>RH Segment Adjusted Revenue, mm</t>
  </si>
  <si>
    <t>Y/Y RH Segment adjusted revenue change, mm</t>
  </si>
  <si>
    <t>Y/Y RH Segment adjusted revenue growth, %</t>
  </si>
  <si>
    <t>RH Segment Gross Profit, mm</t>
  </si>
  <si>
    <t>RH Segment gross profit other, mm</t>
  </si>
  <si>
    <t>RH Segment gross profit asset impairments and change in useful lives, mm</t>
  </si>
  <si>
    <t>RH Segment gross profit legal claim, mm</t>
  </si>
  <si>
    <t>RH Segment gross profit recall accrual, mm</t>
  </si>
  <si>
    <t>RH Segment gross profit distribution center closures, mm</t>
  </si>
  <si>
    <t>RH Segment gross profit anti-dumping exposure, mm</t>
  </si>
  <si>
    <t>RH Segment gross profit impact of inventory step-up, mm</t>
  </si>
  <si>
    <t>RH Segment Adjusted Gross Profit, mm</t>
  </si>
  <si>
    <t>Y/Y RH Segment adjusted gross profit change, mm</t>
  </si>
  <si>
    <t>Y/Y RH Segment adjusted gross profit growth, %</t>
  </si>
  <si>
    <t>RH Segment adjusted gross margin, %</t>
  </si>
  <si>
    <t>Y/Y RH Segment adjusted gross margin improvement, bps</t>
  </si>
  <si>
    <t>RH Segment SG&amp;A, mm</t>
  </si>
  <si>
    <t>RH Segment SG&amp;A other, mm</t>
  </si>
  <si>
    <t>RH Segment SG&amp;A non-cash compensation, mm</t>
  </si>
  <si>
    <t>RH Segment SG&amp;A management and pre-IPO board fees, mm</t>
  </si>
  <si>
    <t>RH Segment SG&amp;A employer payroll taxes on option exercise, mm</t>
  </si>
  <si>
    <t>RH Segment SG&amp;A professional fees, mm</t>
  </si>
  <si>
    <t>RH Segment SG&amp;A non-cash compensation for consolidated VIEs, mm</t>
  </si>
  <si>
    <t>RH Segment SG&amp;A compensation settlements, mm</t>
  </si>
  <si>
    <t>RH Segment SG&amp;A follow-on offering costs, mm</t>
  </si>
  <si>
    <t>RH Segment SG&amp;A initial public offering costs, mm</t>
  </si>
  <si>
    <t>RH Segment SG&amp;A special committee investigation and remediation, mm</t>
  </si>
  <si>
    <t>RH Segment SG&amp;A terminated operations, mm</t>
  </si>
  <si>
    <t>RH Segment SG&amp;A severance and other transaction costs, mm</t>
  </si>
  <si>
    <t>RH Segment SG&amp;A reorganization related costs, mm</t>
  </si>
  <si>
    <t>RH Segment SG&amp;A asset held for sale (loss) gain, mm</t>
  </si>
  <si>
    <t>RH Segment SG&amp;A asset impairments and change in useful lives, mm</t>
  </si>
  <si>
    <t>RH Segment SG&amp;A aircraft impairment, mm</t>
  </si>
  <si>
    <t>RH Segment SG&amp;A acquisition related costs, mm</t>
  </si>
  <si>
    <t>RH Segment SG&amp;A loss on sale leaseback transaction, mm</t>
  </si>
  <si>
    <t>RH Segment SG&amp;A lease losses, mm</t>
  </si>
  <si>
    <t>RH Segment SG&amp;A distribution center closures, mm</t>
  </si>
  <si>
    <t>RH Segment SG&amp;A recall accrual, mm</t>
  </si>
  <si>
    <t>RH Segment SG&amp;A gain on sale of building and land, mm</t>
  </si>
  <si>
    <t>RH Segment SG&amp;A legal settlement, mm</t>
  </si>
  <si>
    <t>RH Segment Adjusted SG&amp;A, mm</t>
  </si>
  <si>
    <t>Y/Y RH Segment adjusted SG&amp;A change, mm</t>
  </si>
  <si>
    <t>Y/Y RH Segment adjusted SG&amp;A growth, %</t>
  </si>
  <si>
    <t>RH Segment adjusted SG&amp;A margin, %</t>
  </si>
  <si>
    <t>Y/Y RH Segment adjusted SG&amp;A margin improvement, bps</t>
  </si>
  <si>
    <t>RH Segment EBIT, mm</t>
  </si>
  <si>
    <t>RH Segment other, mm</t>
  </si>
  <si>
    <t>RH Segment non-cash compensation, mm</t>
  </si>
  <si>
    <t>RH Segment management and pre-IPO board fees, mm</t>
  </si>
  <si>
    <t>RH Segment employer payroll taxes on option exercise, mm</t>
  </si>
  <si>
    <t>RH Segment professional fees, mm</t>
  </si>
  <si>
    <t>RH Segment non-cash compensation for consolidated VIEs, mm</t>
  </si>
  <si>
    <t>RH Segment compensation settlements, mm</t>
  </si>
  <si>
    <t>RH Segment follow-on offering fees, mm</t>
  </si>
  <si>
    <t>RH Segment initial public offering costs, mm</t>
  </si>
  <si>
    <t>RH Segment special committee investigation and remediation, mm</t>
  </si>
  <si>
    <t>RH Segment terminated operations, mm</t>
  </si>
  <si>
    <t>RH Segment severance and other transaction costs, mm</t>
  </si>
  <si>
    <t>RH Segment reorganization related costs, mm</t>
  </si>
  <si>
    <t>RH Segment asset held for sale loss (gain), mm</t>
  </si>
  <si>
    <t>RH Segment asset impairments and change in useful lives, mm</t>
  </si>
  <si>
    <t>RH Segment aircraft impairment, mm</t>
  </si>
  <si>
    <t>RH Segment acquisition related costs, mm</t>
  </si>
  <si>
    <t>RH Segment loss on sale leaseback transaction, mm</t>
  </si>
  <si>
    <t>RH Segment lease losses, mm</t>
  </si>
  <si>
    <t>RH Segment distribution center closures, mm</t>
  </si>
  <si>
    <t>RH Segment recall accrual, mm</t>
  </si>
  <si>
    <t>RH Segment gain on sale of building and land, mm</t>
  </si>
  <si>
    <t>RH Segment legal settlement, mm</t>
  </si>
  <si>
    <t>RH Segment anti-dumping exposure, mm</t>
  </si>
  <si>
    <t>RH Segment impact of inventory step-up, mm</t>
  </si>
  <si>
    <t>RH Segment Adjusted EBIT, mm</t>
  </si>
  <si>
    <t>Y/Y RH Segment adjusted EBIT change, mm</t>
  </si>
  <si>
    <t>Y/Y RH Segment adjusted EBIT growth, %</t>
  </si>
  <si>
    <t>RH Segment adjusted EBIT margin, %</t>
  </si>
  <si>
    <t>Y/Y RH Segment adjusted EBIT margin improvement, bps</t>
  </si>
  <si>
    <t>Segmented Results - Waterworks</t>
  </si>
  <si>
    <t>Segmented Results - Waterworks Revenue Forecasting (FS)</t>
  </si>
  <si>
    <t>Waterworks Showrooms - BoP, # of stores</t>
  </si>
  <si>
    <t>Waterworks Scottsdale showrooms opened, # of stores</t>
  </si>
  <si>
    <t>Waterworks Boston showrooms opened, # of stores</t>
  </si>
  <si>
    <t>Waterworks San Francisco showrooms opened, # of stores</t>
  </si>
  <si>
    <t>Waterworks showrooms opened, # of stores</t>
  </si>
  <si>
    <t>Waterworks showrooms acquired, # of stores</t>
  </si>
  <si>
    <t>Waterworks New York showrooms closed, # of stores</t>
  </si>
  <si>
    <t>Waterworks Scottsdale showrooms closed, # of stores</t>
  </si>
  <si>
    <t>Waterworks Boston showrooms closed, # of stores</t>
  </si>
  <si>
    <t>Waterworks San Francisco showrooms closed, # of stores</t>
  </si>
  <si>
    <t>Waterworks showrooms closed, # of stores</t>
  </si>
  <si>
    <t>Waterworks Showrooms - EoP, # of stores</t>
  </si>
  <si>
    <t>Q/Q Waterworks showrooms - EoP growth, %</t>
  </si>
  <si>
    <t>Y/Y Waterworks showrooms - EoP growth, %</t>
  </si>
  <si>
    <t>Waterworks Showrooms - Average, # of stores</t>
  </si>
  <si>
    <t>Waterworks Leased Selling Square Footage - BoP, 000s sq ft</t>
  </si>
  <si>
    <t>Waterworks Scottsdale showrooms leased selling square footage opened, 000s sq ft</t>
  </si>
  <si>
    <t>Waterworks Boston showrooms leased selling square footage opened, 000s sq ft</t>
  </si>
  <si>
    <t>Waterworks San Francisco showrooms leased selling square footage opened, 000s sq ft</t>
  </si>
  <si>
    <t>Waterworks leased selling square footage opened, 000s sq ft</t>
  </si>
  <si>
    <t>Waterworks leased selling square footage acquired, 000s sq ft</t>
  </si>
  <si>
    <t>Waterworks New York leased selling square footage closed, 000s sq ft</t>
  </si>
  <si>
    <t>Waterworks Scottsdale leased selling square footage closed, 000s sq ft</t>
  </si>
  <si>
    <t>Waterworks Boston leased selling square footage closed, 000s sq ft</t>
  </si>
  <si>
    <t>Waterworks San Francisco leased selling square footage closed, 000s sq ft</t>
  </si>
  <si>
    <t>Waterworks leased selling square footage closed, 000s sq ft</t>
  </si>
  <si>
    <t>Waterworks Atlanta leased selling square footage relocated, 000s sq ft</t>
  </si>
  <si>
    <t>Waterworks leased selling square footage relocated, 000s sq ft</t>
  </si>
  <si>
    <t>Waterworks Leased Selling Square Footage net change, 000s sq ft</t>
  </si>
  <si>
    <t>Waterworks Leased Selling Square Footage - EoP, 000s sq ft</t>
  </si>
  <si>
    <t>Q/Q Waterworks leased store selling square footage growth, %</t>
  </si>
  <si>
    <t>Y/Y Waterworks leased store selling square footage growth, %</t>
  </si>
  <si>
    <t>Waterworks Leased Selling Square Footage - Average, 000s sq ft</t>
  </si>
  <si>
    <t>Waterworks leased selling square footage per opened store, sq ft/store</t>
  </si>
  <si>
    <t>Waterworks opened store size as % of average, %</t>
  </si>
  <si>
    <t>Waterworks leased selling square footage per acquired store, sq ft/store</t>
  </si>
  <si>
    <t>Waterworks leased selling square footage per closed store, sq ft/store</t>
  </si>
  <si>
    <t>Waterworks closed store size as % of average, %</t>
  </si>
  <si>
    <t>Waterworks Leased Selling Square Footage per Store, sq ft/store</t>
  </si>
  <si>
    <t>Waterworks revenue per leased selling square foot, $/sq ft</t>
  </si>
  <si>
    <t>Y/Y Waterworks revenue per leased selling square foot growth, %</t>
  </si>
  <si>
    <t>Waterworks Revenue, mm</t>
  </si>
  <si>
    <t>Segmented Results - Waterworks Operating Expense Forecasting (FS)</t>
  </si>
  <si>
    <t>Waterworks revenue recall accrual, mm</t>
  </si>
  <si>
    <t>Waterworks Adjusted Revenue, mm</t>
  </si>
  <si>
    <t>Y/Y Waterworks adjusted revenue change, mm</t>
  </si>
  <si>
    <t>Y/Y Waterworks adjusted revenue growth, %</t>
  </si>
  <si>
    <t>Waterworks Gross Profit, mm</t>
  </si>
  <si>
    <t>Waterworks gross profit other, mm</t>
  </si>
  <si>
    <t>Waterworks gross profit asset impairments and change in useful lives, mm</t>
  </si>
  <si>
    <t>Waterworks gross profit legal claim, mm</t>
  </si>
  <si>
    <t>Waterworks gross profit recall accrual, mm</t>
  </si>
  <si>
    <t>Waterworks gross profit distribution center closures, mm</t>
  </si>
  <si>
    <t>Waterworks gross profit anti-dumping exposure, mm</t>
  </si>
  <si>
    <t>Waterworks gross profit impact of inventory step-up, mm</t>
  </si>
  <si>
    <t>Waterworks Adjusted Gross Profit, mm</t>
  </si>
  <si>
    <t>Y/Y Waterworks adjusted gross profit change, mm</t>
  </si>
  <si>
    <t>Y/Y Waterworks adjusted gross profit growth, %</t>
  </si>
  <si>
    <t>Waterworks adjusted gross margin, %</t>
  </si>
  <si>
    <t>Y/Y Waterworks adjusted gross margin improvement, bps</t>
  </si>
  <si>
    <t>Waterworks SG&amp;A, mm</t>
  </si>
  <si>
    <t>Waterworks SG&amp;A other, mm</t>
  </si>
  <si>
    <t>Waterworks SG&amp;A non-cash compensation, mm</t>
  </si>
  <si>
    <t>Waterworks SG&amp;A management and pre-IPO board fees, mm</t>
  </si>
  <si>
    <t>Waterworks SG&amp;A employer payroll taxes on option exercise, mm</t>
  </si>
  <si>
    <t>Waterworks SG&amp;A professional fees, mm</t>
  </si>
  <si>
    <t>Waterworks SG&amp;A non-cash compensation for consolidated VIEs, mm</t>
  </si>
  <si>
    <t>Waterworks SG&amp;A compensation settlements, mm</t>
  </si>
  <si>
    <t>Waterworks SG&amp;A follow-on offering costs, mm</t>
  </si>
  <si>
    <t>Waterworks SG&amp;A initial public offering costs, mm</t>
  </si>
  <si>
    <t>Waterworks SG&amp;A special committee investigation and remediation, mm</t>
  </si>
  <si>
    <t>Waterworks SG&amp;A terminated operations, mm</t>
  </si>
  <si>
    <t>Waterworks SG&amp;A severance and other transaction costs, mm</t>
  </si>
  <si>
    <t>Waterworks SG&amp;A reorganization related costs, mm</t>
  </si>
  <si>
    <t>Waterworks SG&amp;A asset held for sale (loss) gain, mm</t>
  </si>
  <si>
    <t>Waterworks SG&amp;A asset impairments and change in useful lives, mm</t>
  </si>
  <si>
    <t>Waterworks SG&amp;A aircraft impairment, mm</t>
  </si>
  <si>
    <t>Waterworks SG&amp;A acquisition related costs, mm</t>
  </si>
  <si>
    <t>Waterworks SG&amp;A loss on sale leaseback transaction, mm</t>
  </si>
  <si>
    <t>Waterworks SG&amp;A lease losses, mm</t>
  </si>
  <si>
    <t>Waterworks SG&amp;A distribution center closures, mm</t>
  </si>
  <si>
    <t>Waterworks SG&amp;A recall accrual, mm</t>
  </si>
  <si>
    <t>Waterworks SG&amp;A gain on sale of building and land, mm</t>
  </si>
  <si>
    <t>Waterworks SG&amp;A legal settlement, mm</t>
  </si>
  <si>
    <t>Waterworks Adjusted SG&amp;A, mm</t>
  </si>
  <si>
    <t>Y/Y Waterworks adjusted SG&amp;A change, mm</t>
  </si>
  <si>
    <t>Y/Y Waterworks adjusted SG&amp;A growth, %</t>
  </si>
  <si>
    <t>Waterworks adjusted SG&amp;A margin, %</t>
  </si>
  <si>
    <t>Y/Y Waterworks adjusted SG&amp;A margin improvement, bps</t>
  </si>
  <si>
    <t>Waterworks EBIT, mm</t>
  </si>
  <si>
    <t>Waterworks other, mm</t>
  </si>
  <si>
    <t>Waterworks non-cash compensation, mm</t>
  </si>
  <si>
    <t>Waterworks management and pre-IPO board fees, mm</t>
  </si>
  <si>
    <t>Waterworks employer payroll taxes on option exercise, mm</t>
  </si>
  <si>
    <t>Waterworks professional fees, mm</t>
  </si>
  <si>
    <t>Waterworks non-cash compensation for consolidated VIEs, mm</t>
  </si>
  <si>
    <t>Waterworks compensation settlements, mm</t>
  </si>
  <si>
    <t>Waterworks follow-on offering fees, mm</t>
  </si>
  <si>
    <t>Waterworks initial public offering costs, mm</t>
  </si>
  <si>
    <t>Waterworks special committee investigation and remediation, mm</t>
  </si>
  <si>
    <t>Waterworks terminated operations, mm</t>
  </si>
  <si>
    <t>Waterworks severance and other transaction costs, mm</t>
  </si>
  <si>
    <t>Waterworks reorganization related costs, mm</t>
  </si>
  <si>
    <t>Waterworks asset held for sale loss (gain), mm</t>
  </si>
  <si>
    <t>Waterworks asset impairments and change in useful lives, mm</t>
  </si>
  <si>
    <t>Waterworks aircraft impairment, mm</t>
  </si>
  <si>
    <t>Waterworks acquisition related costs, mm</t>
  </si>
  <si>
    <t>Waterworks loss on sale leaseback transaction, mm</t>
  </si>
  <si>
    <t>Waterworks lease losses, mm</t>
  </si>
  <si>
    <t>Waterworks distribution center closures, mm</t>
  </si>
  <si>
    <t>Waterworks recall accrual, mm</t>
  </si>
  <si>
    <t>Waterworks gain on sale of building and land, mm</t>
  </si>
  <si>
    <t>Waterworks legal settlement, mm</t>
  </si>
  <si>
    <t>Waterworks anti-dumping exposure, mm</t>
  </si>
  <si>
    <t>Waterworks impact of inventory step-up, mm</t>
  </si>
  <si>
    <t>Waterworks Adjusted EBIT, mm</t>
  </si>
  <si>
    <t>Y/Y Waterworks adjusted EBIT change, mm</t>
  </si>
  <si>
    <t>Y/Y Waterworks adjusted EBIT growth, %</t>
  </si>
  <si>
    <t>Waterworks adjusted EBIT margin, %</t>
  </si>
  <si>
    <t>Y/Y Waterworks adjusted EBIT margin improvement, bps</t>
  </si>
  <si>
    <t>Segment Summary (FS)</t>
  </si>
  <si>
    <t>Waterworks showrooms - EoP, # of stores</t>
  </si>
  <si>
    <t>RH outlets - EoP, # of stores</t>
  </si>
  <si>
    <t>Total Retail and Outlet locations - EoP, # of stores</t>
  </si>
  <si>
    <t>RH Segment revenue mix, %</t>
  </si>
  <si>
    <t>Waterworks revenue mix, %</t>
  </si>
  <si>
    <t>Total Revenue Mix, %</t>
  </si>
  <si>
    <t>RH Segment gross profit, mm</t>
  </si>
  <si>
    <t>Waterworks gross profit, mm</t>
  </si>
  <si>
    <t>Total Gross Profit, mm</t>
  </si>
  <si>
    <t>Total SG&amp;A, mm</t>
  </si>
  <si>
    <t>RH Segment operating income, mm</t>
  </si>
  <si>
    <t>Waterworks operating income, mm</t>
  </si>
  <si>
    <t>Total Operating Income, mm</t>
  </si>
  <si>
    <t>RH Segment operating income mix, %</t>
  </si>
  <si>
    <t>Waterworks operating income mix, %</t>
  </si>
  <si>
    <t>Total Operating Income Mix, %</t>
  </si>
  <si>
    <t>RH Segment operating margin, %</t>
  </si>
  <si>
    <t>Waterworks operating margin, %</t>
  </si>
  <si>
    <t>Total Operating Margin, %</t>
  </si>
  <si>
    <t>RH Segment adjusted operating income, mm</t>
  </si>
  <si>
    <t>Waterworks adjusted operating income, mm</t>
  </si>
  <si>
    <t>Total Adjusted Operating Income, mm</t>
  </si>
  <si>
    <t>RH Segment adjusted operating income mix, %</t>
  </si>
  <si>
    <t>Waterworks adjusted operating income mix, %</t>
  </si>
  <si>
    <t>Total Adjusted Operating Income Mix, %</t>
  </si>
  <si>
    <t>RH Segment adjusted operating margin, %</t>
  </si>
  <si>
    <t>Waterworks adjusted operating margin, %</t>
  </si>
  <si>
    <t>Total Adjusted Operating Margin, %</t>
  </si>
  <si>
    <t>Operating Expense Forecasting</t>
  </si>
  <si>
    <t>Net Revenue, mm</t>
  </si>
  <si>
    <t>Revenue recall accrual, mm</t>
  </si>
  <si>
    <t>Adjusted Net Revenue, mm</t>
  </si>
  <si>
    <t>Y/Y Adjusted net revenue change, mm</t>
  </si>
  <si>
    <t>Y/Y Adjusted net revenue growth, %</t>
  </si>
  <si>
    <t>Gross Profit, mm</t>
  </si>
  <si>
    <t>Gross profit other, mm</t>
  </si>
  <si>
    <t>Gross profit asset impairments and change in useful lives, mm</t>
  </si>
  <si>
    <t>Gross profit legal claim, mm</t>
  </si>
  <si>
    <t>Gross profit recall accrual, mm</t>
  </si>
  <si>
    <t>Gross profit distribution center closures, mm</t>
  </si>
  <si>
    <t>Gross profit anti-dumping exposure, mm</t>
  </si>
  <si>
    <t>Gross profit impact of inventory step-up, mm</t>
  </si>
  <si>
    <t>Y/Y Adjusted gross profit change, mm</t>
  </si>
  <si>
    <t>Y/Y Adjusted gross profit growth, %</t>
  </si>
  <si>
    <t>Advertising expenses, mm</t>
  </si>
  <si>
    <t>Other SG&amp;A expenses, mm</t>
  </si>
  <si>
    <t>SG&amp;A Expenses, mm</t>
  </si>
  <si>
    <t>SG&amp;A other, mm</t>
  </si>
  <si>
    <t>SG&amp;A non-cash compensation, mm</t>
  </si>
  <si>
    <t>SG&amp;A management and pre-IPO board fees, mm</t>
  </si>
  <si>
    <t>SG&amp;A employer payroll taxes on option exercise, mm</t>
  </si>
  <si>
    <t>SG&amp;A professional fees, mm</t>
  </si>
  <si>
    <t>SG&amp;A non-cash compensation for consolidated VIEs, mm</t>
  </si>
  <si>
    <t>SG&amp;A compensation settlements, mm</t>
  </si>
  <si>
    <t>SG&amp;A follow-on offering costs, mm</t>
  </si>
  <si>
    <t>SG&amp;A initial public offering costs, mm</t>
  </si>
  <si>
    <t>SG&amp;A special committee investigation and remediation, mm</t>
  </si>
  <si>
    <t>SG&amp;A terminated operations, mm</t>
  </si>
  <si>
    <t>SG&amp;A severance and other transaction costs, mm</t>
  </si>
  <si>
    <t>SG&amp;A reorganization related costs, mm</t>
  </si>
  <si>
    <t>SG&amp;A asset held for sale (loss) gain, mm</t>
  </si>
  <si>
    <t>SG&amp;A asset impairments and change in useful lives, mm</t>
  </si>
  <si>
    <t>SG&amp;A aircraft impairment, mm</t>
  </si>
  <si>
    <t>SG&amp;A acquisition related costs, mm</t>
  </si>
  <si>
    <t>SG&amp;A loss on sale leaseback transaction, mm</t>
  </si>
  <si>
    <t>SG&amp;A lease losses, mm</t>
  </si>
  <si>
    <t>SG&amp;A distribution center closures, mm</t>
  </si>
  <si>
    <t>SG&amp;A recall accrual, mm</t>
  </si>
  <si>
    <t>SG&amp;A gain on sale of building and land, mm</t>
  </si>
  <si>
    <t>SG&amp;A legal settlement, mm</t>
  </si>
  <si>
    <t>Adjusted SG&amp;A Expenses, mm</t>
  </si>
  <si>
    <t>Y/Y Adjusted SG&amp;A change, mm</t>
  </si>
  <si>
    <t>Y/Y Adjusted SG&amp;A growth, %</t>
  </si>
  <si>
    <t>Adjusted SG&amp;A margin, %</t>
  </si>
  <si>
    <t>Y/Y Adjusted SG&amp;A margin improvement, bps</t>
  </si>
  <si>
    <t>EBIT, mm</t>
  </si>
  <si>
    <t>Other, mm</t>
  </si>
  <si>
    <t>Non-cash compensation, mm</t>
  </si>
  <si>
    <t>Management and pre-IPO board fees, mm</t>
  </si>
  <si>
    <t>Employer payroll taxes on option exercise, mm</t>
  </si>
  <si>
    <t>Professional fees, mm</t>
  </si>
  <si>
    <t>Non-cash compensation for consolidated VIEs, mm</t>
  </si>
  <si>
    <t>Compensation settlements, mm</t>
  </si>
  <si>
    <t>Follow-on offering fees, mm</t>
  </si>
  <si>
    <t>Initial public offering costs, mm</t>
  </si>
  <si>
    <t>Special committee investigation and remediation, mm</t>
  </si>
  <si>
    <t>Terminated operations, mm</t>
  </si>
  <si>
    <t>Severance and other transaction costs, mm</t>
  </si>
  <si>
    <t>Reorganization related costs, mm</t>
  </si>
  <si>
    <t>Asset held for sale loss (gain), mm</t>
  </si>
  <si>
    <t>Asset impairments and change in useful lives, mm</t>
  </si>
  <si>
    <t>Aircraft impairment, mm</t>
  </si>
  <si>
    <t>Acquisition related costs, mm</t>
  </si>
  <si>
    <t>Loss on sale leaseback transaction, mm</t>
  </si>
  <si>
    <t>Lease losses, mm</t>
  </si>
  <si>
    <t>Distribution center closures, mm</t>
  </si>
  <si>
    <t>Recall accrual, mm</t>
  </si>
  <si>
    <t>Gain on sale of building and land, mm</t>
  </si>
  <si>
    <t>Legal settlement, mm</t>
  </si>
  <si>
    <t>Anti-dumping exposure, mm</t>
  </si>
  <si>
    <t>Impact of inventory step-up, mm</t>
  </si>
  <si>
    <t>Adjusted EBIT, mm</t>
  </si>
  <si>
    <t>Y/Y Adjusted EBIT change, mm</t>
  </si>
  <si>
    <t>Y/Y Adjusted EBIT growth, %</t>
  </si>
  <si>
    <t>Adjusted EBIT margin, %</t>
  </si>
  <si>
    <t>Y/Y Adjusted EBIT margin improvement, bps</t>
  </si>
  <si>
    <t>EBIT Unassigned Adjustments, mm</t>
  </si>
  <si>
    <t>Other Expense Forecasting</t>
  </si>
  <si>
    <t>Interest expense, mm</t>
  </si>
  <si>
    <t>Interest income, mm</t>
  </si>
  <si>
    <t>Net Interest expense, mm</t>
  </si>
  <si>
    <t>Net Interest expense adjustments, mm</t>
  </si>
  <si>
    <t>Adjusted net interest expense, mm</t>
  </si>
  <si>
    <t>Other (income) expense - net, mm</t>
  </si>
  <si>
    <t>Gain on derivative instruments - net, mm</t>
  </si>
  <si>
    <t>Adjusted other (income) expense - net, mm</t>
  </si>
  <si>
    <t>Goodwill impairment, mm</t>
  </si>
  <si>
    <t>Loss on extinguishment of debt, mm</t>
  </si>
  <si>
    <t>EBT, mm</t>
  </si>
  <si>
    <t>Other EBT adjustments, mm</t>
  </si>
  <si>
    <t>Adjusted EBT, mm</t>
  </si>
  <si>
    <t>Y/Y Adjusted EBT change, mm</t>
  </si>
  <si>
    <t>Y/Y Adjusted EBT growth, %</t>
  </si>
  <si>
    <t>Adjusted EBT margin, %</t>
  </si>
  <si>
    <t>Y/Y Adjusted EBT margin improvement, bps</t>
  </si>
  <si>
    <t>Operating Stats - Depreciation and Amortization Breakdown (FS)</t>
  </si>
  <si>
    <t>D&amp;A of PPE, mm</t>
  </si>
  <si>
    <t>Amortization of Intangibles, mm</t>
  </si>
  <si>
    <t>Amortization of leased assets and other, mm</t>
  </si>
  <si>
    <t>Total D&amp;A, mm</t>
  </si>
  <si>
    <t>Key Metrics - Revenue Breakdown by Product Category (FS)</t>
  </si>
  <si>
    <t>Furniture net revenue, mm</t>
  </si>
  <si>
    <t>Y/Y Furniture net revenue growth, %</t>
  </si>
  <si>
    <t>Non-furniture net revenue, mm</t>
  </si>
  <si>
    <t>Y/Y Non-furniture net revenue growth, %</t>
  </si>
  <si>
    <t>Furniture net revenue mix, %</t>
  </si>
  <si>
    <t>Non-furniture revenue mix, %</t>
  </si>
  <si>
    <t>Supplemental Data</t>
  </si>
  <si>
    <t>Key Metrics - Retail Locations (FS)</t>
  </si>
  <si>
    <t>Total Retail Locations - BoP, # of stores</t>
  </si>
  <si>
    <t>Total retail locations opened, # of stores</t>
  </si>
  <si>
    <t>Total retail locations acquired, # of stores</t>
  </si>
  <si>
    <t>Total retail locations closed, # of stores</t>
  </si>
  <si>
    <t>Total Retail Locations - Average, # of stores</t>
  </si>
  <si>
    <t>Total Retail Leased Selling Square Footage - BoP, 000s sq ft</t>
  </si>
  <si>
    <t>Baby &amp; Child Galleries leased selling square footage net change, 000s sq ft</t>
  </si>
  <si>
    <t>Waterworks Showrooms leased selling square footage net change, 000s sq ft</t>
  </si>
  <si>
    <t>Total Retail leased selling square footage net change, 000s sq ft</t>
  </si>
  <si>
    <t>Total Retail Leased Selling Square Footage - EoP, 000s sq ft</t>
  </si>
  <si>
    <t>Total Retail Leased Selling Square Footage - EoP, mm sq ft</t>
  </si>
  <si>
    <t>Weighted Average Leased Selling Square Footage, 000s sq ft</t>
  </si>
  <si>
    <t>Total Retail Leased Square Footage - BoP, 000s sq ft</t>
  </si>
  <si>
    <t>Total Retail leased square footage net change, 000s sq ft</t>
  </si>
  <si>
    <t>Total Retail Leased Square Footage - EoP, 000s sq ft</t>
  </si>
  <si>
    <t>Q/Q Total Retail leased square footage growth, %</t>
  </si>
  <si>
    <t>Y/Y Total Retail leased square footage growth, %</t>
  </si>
  <si>
    <t>Weighted-Average Retail Leased Square Footage, 000s sq ft</t>
  </si>
  <si>
    <t>Total Retail Gross Leased Square Footage - BoP, 000s sq ft</t>
  </si>
  <si>
    <t>Total Retail gross leased square footage net change, 000s sq ft</t>
  </si>
  <si>
    <t>Total Retail Gross Leased Square Footage, 000s sq ft</t>
  </si>
  <si>
    <t>Design galleries average leased selling square footage per location, sq ft/store</t>
  </si>
  <si>
    <t>Legacy galleries average leased selling square footage per location, sq ft/store</t>
  </si>
  <si>
    <t>Modern galleries average leased selling square footage per location, sq ft/store</t>
  </si>
  <si>
    <t>Baby &amp; Child and Teen galleries average leased selling square footage per location, sq ft/store</t>
  </si>
  <si>
    <t>Waterworks Showrooms leased selling square footage per location, sq ft/store</t>
  </si>
  <si>
    <t>Total Retail Leased Selling Square Footage per Location, sq ft/store</t>
  </si>
  <si>
    <t>Total Retail Leased Square Footage per Location, sq ft/store</t>
  </si>
  <si>
    <t>Total Retail Gross Leased Square Footage per Location, sq ft/store</t>
  </si>
  <si>
    <t>Total Retail Sales per Leased Selling Square Foot, $/sq ft</t>
  </si>
  <si>
    <t>Key Metrics - Geographical Retail Location Breakdown (MD&amp;A)</t>
  </si>
  <si>
    <t>Alabama, # of stores</t>
  </si>
  <si>
    <t>Arizona, # of stores</t>
  </si>
  <si>
    <t>California, # of stores</t>
  </si>
  <si>
    <t>Colorado, # of stores</t>
  </si>
  <si>
    <t>Connecticut, # of stores</t>
  </si>
  <si>
    <t>Florida, # of stores</t>
  </si>
  <si>
    <t>Georgia, # of stores</t>
  </si>
  <si>
    <t>Illinois, # of stores</t>
  </si>
  <si>
    <t>Indiana, # of stores</t>
  </si>
  <si>
    <t>Kansas, # of stores</t>
  </si>
  <si>
    <t>Louisiana, # of stores</t>
  </si>
  <si>
    <t>Maryland, # of stores</t>
  </si>
  <si>
    <t>Massachusetts, # of stores</t>
  </si>
  <si>
    <t>Michigan, # of stores</t>
  </si>
  <si>
    <t>Minnesota, # of stores</t>
  </si>
  <si>
    <t>Missouri, # of stores</t>
  </si>
  <si>
    <t>Nevada, # of stores</t>
  </si>
  <si>
    <t>New Jersey, # of stores</t>
  </si>
  <si>
    <t>New York, # of stores</t>
  </si>
  <si>
    <t>North California, # of stores</t>
  </si>
  <si>
    <t>Ohio, # of stores</t>
  </si>
  <si>
    <t>Oklahoma, # of stores</t>
  </si>
  <si>
    <t>Oregon, # of stores</t>
  </si>
  <si>
    <t>Pennsylvania, # of stores</t>
  </si>
  <si>
    <t>Rhode Island, # of stores</t>
  </si>
  <si>
    <t>Tennessee, # of stores</t>
  </si>
  <si>
    <t>Texas, # of stores</t>
  </si>
  <si>
    <t>Utah, # of stores</t>
  </si>
  <si>
    <t>Virginia, # of stores</t>
  </si>
  <si>
    <t>Washington, # of stores</t>
  </si>
  <si>
    <t>Wisconsin, # of stores</t>
  </si>
  <si>
    <t>District of Columbia, # of stores</t>
  </si>
  <si>
    <t>U.S. Retail locations, # of stores</t>
  </si>
  <si>
    <t>Alberta, # of stores</t>
  </si>
  <si>
    <t>British Columbia, # of stores</t>
  </si>
  <si>
    <t>Ontario, # of stores</t>
  </si>
  <si>
    <t>Canadian Retail locations, # of stores</t>
  </si>
  <si>
    <t>London, U.K., # of stores</t>
  </si>
  <si>
    <t>Germany, # of stores</t>
  </si>
  <si>
    <t>International Retail locations, # of stores</t>
  </si>
  <si>
    <t>Total Retail Locations, # of stores</t>
  </si>
  <si>
    <t>Key Metrics - RH Outlets (FS)</t>
  </si>
  <si>
    <t>RH Outlets Gross Leased Square Footage - BoP, 000s sq ft</t>
  </si>
  <si>
    <t>RH Outlets gross leased square footage net change, 000s sq ft</t>
  </si>
  <si>
    <t>RH Outlets Gross Leased Square Footage - EoP, 000s sq ft</t>
  </si>
  <si>
    <t>RH Outlets Gross Leased Square Footage per Location, sq ft/store</t>
  </si>
  <si>
    <t>Key Metrics - RH Guesthouses (FS)</t>
  </si>
  <si>
    <t>RH Guesthouses - BoP, # of stores</t>
  </si>
  <si>
    <t>RH Guesthouses opened, # of stores</t>
  </si>
  <si>
    <t>RH Guesthouses closed, # of stores</t>
  </si>
  <si>
    <t>RH Guesthouses - EoP, # of stores</t>
  </si>
  <si>
    <t>RH Guesthouses - Average, # of stores</t>
  </si>
  <si>
    <t>RH Guesthouse Leased Selling Square Footage - BoP, 000s sq ft</t>
  </si>
  <si>
    <t>RH Guesthouse leased selling square footage net change, 000s sq ft</t>
  </si>
  <si>
    <t>RH Guesthouse Leased Selling Square Footage - EoP, 000s sq ft</t>
  </si>
  <si>
    <t>RH Guesthouse Leased Square Footage - BoP, 000s sq ft</t>
  </si>
  <si>
    <t>RH Guesthouse leased square footage net change, 000s sq ft</t>
  </si>
  <si>
    <t>RH Guesthouse Leased Square Footage - EoP, 000s sq ft</t>
  </si>
  <si>
    <t>RH Guesthouse Gross Leased Selling Square Footage - BoP, 000s sq ft</t>
  </si>
  <si>
    <t>RH Guesthouse gross leased selling square footage net change, 000s sq ft</t>
  </si>
  <si>
    <t>RH Guesthouse Gross Leased Selling Square Footage - EoP, 000s sq ft</t>
  </si>
  <si>
    <t>RH Guesthouse Leased Selling Square Footage per Store, sq ft/store</t>
  </si>
  <si>
    <t>RH Guesthouse Leased Square Footage per Store, sq ft/store</t>
  </si>
  <si>
    <t>RH Guesthouse Gross Leased Selling Square Footage per Store, sq ft/store</t>
  </si>
  <si>
    <t>Key Metrics - Other Facilities Leased Square Footage (FS)</t>
  </si>
  <si>
    <t>RH fulfillment center - Patterson, California square footage, 000s sq ft</t>
  </si>
  <si>
    <t>RH fulfillment center - Baltimore (North East), Maryland square footage, 000s sq ft</t>
  </si>
  <si>
    <t>RH fulfillment center - Mira Loma, California square footage, 000s sq ft</t>
  </si>
  <si>
    <t>RH fulfillment center - Grand Prairie, Texas square footage, 000s sq ft</t>
  </si>
  <si>
    <t>RH fulfillment center - Chino, California square footage, 000s sq ft</t>
  </si>
  <si>
    <t>RH fulfillment center - Baltimore (Essex), Maryland square footage, 000s sq ft</t>
  </si>
  <si>
    <t>RH fulfillment center - Ft. Worth, Texas square footage, 000s sq ft</t>
  </si>
  <si>
    <t>RH fulfillment center - Ontario, Canada square footage, 000s sq ft</t>
  </si>
  <si>
    <t>RH fulfillment center - West Jefferson, Ohio square footage, 000s sq ft</t>
  </si>
  <si>
    <t>Total RH Fulfillment Centers Square Footage, 000s sq ft</t>
  </si>
  <si>
    <t>Home delivery centers - Tracy, California, # of locations</t>
  </si>
  <si>
    <t>Home delivery centers - Dedham, Massachusetts, # of locations</t>
  </si>
  <si>
    <t>Home delivery centers - Avenel, New Jersey, # of locations</t>
  </si>
  <si>
    <t>Home delivery centers - Atlanta, Georgia, # of locations</t>
  </si>
  <si>
    <t>Home delivery centers - Pompano Beach, Florida, # of locations</t>
  </si>
  <si>
    <t>Home delivery centers - Houston, Texas, # of locations</t>
  </si>
  <si>
    <t>Home delivery centers - Carmel, New York, # of locations</t>
  </si>
  <si>
    <t>Total Home Delivery Centers, # of locations</t>
  </si>
  <si>
    <t>Home delivery centers - Tracy, California square footage, 000s sq ft</t>
  </si>
  <si>
    <t>Home delivery centers - Dedham, Massachusetts square footage, 000s sq ft</t>
  </si>
  <si>
    <t>Home delivery centers - Avenel, New Jersey square footage, 000s sq ft</t>
  </si>
  <si>
    <t>Home delivery centers - Atlanta, Georgia square footage, 000s sq ft</t>
  </si>
  <si>
    <t>Home delivery centers - Pompano Beach, Florida square footage, 000s sq ft</t>
  </si>
  <si>
    <t>Home delivery centers - Houston, Texas square footage, 000s sq ft</t>
  </si>
  <si>
    <t>Home delivery centers - Carmel, New York square footage, 000s sq ft</t>
  </si>
  <si>
    <t>Total Home Delivery Centers Square Footage, 000s sq ft</t>
  </si>
  <si>
    <t>Waterworks Fulfillment Center - Brookfield, Connecticut square footage, 000s sq ft</t>
  </si>
  <si>
    <t>Customer Service Center - Grand Prairie, Texas, 000s sq ft</t>
  </si>
  <si>
    <t>Corporate facilities - Corte Madera, California square footage, 000s sq ft</t>
  </si>
  <si>
    <t>Corporate facilities - Pinole, California square footage, 000s sq ft</t>
  </si>
  <si>
    <t>Corporate facilities - Richmond, California square footage, 000s sq ft</t>
  </si>
  <si>
    <t>Corporate facilities - Danbury, Connecticut square footage, 000s sq ft</t>
  </si>
  <si>
    <t>Corporate facilities - San Rafael, California square footage, 000s sq ft</t>
  </si>
  <si>
    <t>Corporate facilities - Pleasanton, California square footage, 000s sq ft</t>
  </si>
  <si>
    <t>Other Corporate facilities square footage, 000s sq ft</t>
  </si>
  <si>
    <t>Total Corporate Facilities Square Footage, 000s sq ft</t>
  </si>
  <si>
    <t>Key Metrics - Owned Properties (FS)</t>
  </si>
  <si>
    <t>Wholly-owned properties, # of locations</t>
  </si>
  <si>
    <t>Owned properties through consolidated variable interest entities, # of locations</t>
  </si>
  <si>
    <t>Total Owned Properties, # of locations</t>
  </si>
  <si>
    <t>Owned current and future RH locations, # of locations</t>
  </si>
  <si>
    <t>Other properties, # of locations</t>
  </si>
  <si>
    <t>Key Metrics - Membership Data (10-K)</t>
  </si>
  <si>
    <t>RH Members, 000s members</t>
  </si>
  <si>
    <t>Sales by members as % of total core RH sales, %</t>
  </si>
  <si>
    <t>Key Metrics - Geographical Breakdown of Product Sourcing (MD&amp;A)</t>
  </si>
  <si>
    <t>Product sourcing from Asia, %</t>
  </si>
  <si>
    <t>Product sourcing from United States, %</t>
  </si>
  <si>
    <t>Product sourcing from Other International, %</t>
  </si>
  <si>
    <t>Total Products Sourced, %</t>
  </si>
  <si>
    <t>Key Metrics - Employees (FS)</t>
  </si>
  <si>
    <t>Retail and Outlet associates, # of employees</t>
  </si>
  <si>
    <t>Hospitality associates, # of employees</t>
  </si>
  <si>
    <t>Other associates, # of employees</t>
  </si>
  <si>
    <t>Total Associates, # of employees</t>
  </si>
  <si>
    <t>Part-time associates, # of employees</t>
  </si>
  <si>
    <t>Full-time associates, # of employees</t>
  </si>
  <si>
    <t>Segmented Results - Depreciation and Amortization Breakdown (FS)</t>
  </si>
  <si>
    <t>RH Segment D&amp;A, mm</t>
  </si>
  <si>
    <t>Waterworks D&amp;A, mm</t>
  </si>
  <si>
    <t>Segmented Results - Asset Breakdowns (FS)</t>
  </si>
  <si>
    <t>RH Segment goodwill, mm</t>
  </si>
  <si>
    <t>Waterworks goodwill, mm</t>
  </si>
  <si>
    <t>Real Estate goodwill, mm</t>
  </si>
  <si>
    <t>Total Goodwill, mm</t>
  </si>
  <si>
    <t>RH Segment tradenames, trademarks and other intangible assets, mm</t>
  </si>
  <si>
    <t>Waterworks tradenames, trademarks and other intangible assets, mm</t>
  </si>
  <si>
    <t>Real Estate tradenames, trademarks and other intangible assets, mm</t>
  </si>
  <si>
    <t>Total Tradenames, Trademarks and Other Intangible Assets, mm</t>
  </si>
  <si>
    <t>RH Segment equity method investments, mm</t>
  </si>
  <si>
    <t>Waterworks equity method investments, mm</t>
  </si>
  <si>
    <t>Real Estate equity method investments, mm</t>
  </si>
  <si>
    <t>Total Equity Method Investments, mm</t>
  </si>
  <si>
    <t>RH Segment assets, mm</t>
  </si>
  <si>
    <t>Waterworks assets, mm</t>
  </si>
  <si>
    <t>Real Estate assets, mm</t>
  </si>
  <si>
    <t>Total Assets, mm</t>
  </si>
  <si>
    <t>Key Metrics - Lease Cost and Rent Expense (FS)</t>
  </si>
  <si>
    <t>Amortization of leased assets, mm</t>
  </si>
  <si>
    <t>Interest on lease liabilities, mm</t>
  </si>
  <si>
    <t>Finance lease costs (calculated), mm</t>
  </si>
  <si>
    <t>Operating lease cost, mm</t>
  </si>
  <si>
    <t>Variable lease costs, mm</t>
  </si>
  <si>
    <t>Sublease income, mm</t>
  </si>
  <si>
    <t>Total operating lease costs (calculated), mm</t>
  </si>
  <si>
    <t>Total Lease Costs - Net, mm</t>
  </si>
  <si>
    <t>Minimum rent under operating leases, mm</t>
  </si>
  <si>
    <t>Contingent rent under operating leases, mm</t>
  </si>
  <si>
    <t>Total operating leases, mm</t>
  </si>
  <si>
    <t>Minimum rent under build-to-suit lease transactions, mm</t>
  </si>
  <si>
    <t>Contingent rent under build-to-suit lease transactions, mm</t>
  </si>
  <si>
    <t>-</t>
  </si>
  <si>
    <t>Total build-to-suit lease transactions, mm</t>
  </si>
  <si>
    <t>Total Rent Expense, mm</t>
  </si>
  <si>
    <t>Operating Stats - Stores Analysis (FS) (Historical)</t>
  </si>
  <si>
    <t>Sales from Comp Stores (Calculated), mm</t>
  </si>
  <si>
    <t>Sales forgone from Closure (Calculated), mm</t>
  </si>
  <si>
    <t>FX adjustments (Calculated), mm</t>
  </si>
  <si>
    <t>Sales from 53rd week Impact (Calculated), mm</t>
  </si>
  <si>
    <t>Sales from New Stores (Calculated), mm</t>
  </si>
  <si>
    <t>Brand Revenue, mm</t>
  </si>
  <si>
    <t>Y/Y Comparable Brand revenue growth, %</t>
  </si>
  <si>
    <t>Y/Y Brand revenue growth, %</t>
  </si>
  <si>
    <t>Comp Stores, # of stores</t>
  </si>
  <si>
    <t>New Stores, # of stores</t>
  </si>
  <si>
    <t>Sales Per Comp Store (Calculated), k$/store</t>
  </si>
  <si>
    <t>Sales Per New Store (Calculated), k$/store</t>
  </si>
  <si>
    <t>New Store Efficiency, %</t>
  </si>
  <si>
    <t>Retail Sales per Leased Selling Square Foot, $/sq ft</t>
  </si>
  <si>
    <t>Y/Y Sales per leased selling square foot growth, %</t>
  </si>
  <si>
    <t>Segmented Results - Revenue Breakdown by Channel (FS) (Historical)</t>
  </si>
  <si>
    <t>Retail Revenue, mm</t>
  </si>
  <si>
    <t>Y/Y Retail revenue growth, %</t>
  </si>
  <si>
    <t>Outlet Revenue, mm</t>
  </si>
  <si>
    <t>Y/Y Outlet revenue growth, %</t>
  </si>
  <si>
    <t>Stores Revenue, mm</t>
  </si>
  <si>
    <t>Y/Y Stores revenue growth, %</t>
  </si>
  <si>
    <t>Direct Revenue, mm</t>
  </si>
  <si>
    <t>Y/Y Direct revenue growth, %</t>
  </si>
  <si>
    <t>Retail revenue mix, %</t>
  </si>
  <si>
    <t>Outlet revenue mix, %</t>
  </si>
  <si>
    <t>Stores revenue mix, %</t>
  </si>
  <si>
    <t>Direct revenue mix, %</t>
  </si>
  <si>
    <t>Margin Analysis</t>
  </si>
  <si>
    <t>COGS Margin (Excluding D&amp;A), %</t>
  </si>
  <si>
    <t>Gross Margin (Excluding D&amp;A), %</t>
  </si>
  <si>
    <t>COGS Margin, %</t>
  </si>
  <si>
    <t>Gross Margin, %</t>
  </si>
  <si>
    <t>SG&amp;A Margin, %</t>
  </si>
  <si>
    <t>EBIT Margin, %</t>
  </si>
  <si>
    <t>Adjusted COGS Margin, %</t>
  </si>
  <si>
    <t>Adjusted Gross Margin, %</t>
  </si>
  <si>
    <t>Adjusted SG&amp;A Margin, %</t>
  </si>
  <si>
    <t>Adjusted Other EBIT Adjustments Margin, %</t>
  </si>
  <si>
    <t>Adjusted EBIT Margin, %</t>
  </si>
  <si>
    <t>Add back: D&amp;A Margin, %</t>
  </si>
  <si>
    <t>Add back: Amortization of Intangibles Margin, %</t>
  </si>
  <si>
    <t>Add back: SBC Margin, %</t>
  </si>
  <si>
    <t>EBITDA Margin, %</t>
  </si>
  <si>
    <t>Adjusted EBITDA Margin, %</t>
  </si>
  <si>
    <t>Consensus Estimates - Adjusted EBITDA Margin, %</t>
  </si>
  <si>
    <t>Income Statement - As Reported</t>
  </si>
  <si>
    <t>Net Revenue</t>
  </si>
  <si>
    <t>Cost of goods sold</t>
  </si>
  <si>
    <t>Gross Profit</t>
  </si>
  <si>
    <t>Selling, general and administrative expenses</t>
  </si>
  <si>
    <t>Income from operations</t>
  </si>
  <si>
    <t>Amortization of convertible senior notes debt discount</t>
  </si>
  <si>
    <t>Build-to-suit lease transactions</t>
  </si>
  <si>
    <t>Finance lease interest expense</t>
  </si>
  <si>
    <t>Promissory notes</t>
  </si>
  <si>
    <t>Amortization of debt issuance costs and deferred financing fees</t>
  </si>
  <si>
    <t>Other interest expense</t>
  </si>
  <si>
    <t>Asset based credit facility</t>
  </si>
  <si>
    <t>Term loans</t>
  </si>
  <si>
    <t>Capitalized interest for capital projects</t>
  </si>
  <si>
    <t>Interest income</t>
  </si>
  <si>
    <t>Interest expense, net</t>
  </si>
  <si>
    <t>Goodwill impairment</t>
  </si>
  <si>
    <t>Loss on extinguishment of debt</t>
  </si>
  <si>
    <t>Other expense - net</t>
  </si>
  <si>
    <t>Income (loss) before income taxes</t>
  </si>
  <si>
    <t>Total tax</t>
  </si>
  <si>
    <t>Net income before equity method investments</t>
  </si>
  <si>
    <t>Share of equity method investments losses</t>
  </si>
  <si>
    <t>Net income</t>
  </si>
  <si>
    <t>IS Check</t>
  </si>
  <si>
    <t>Adjusted Numbers - As Reported</t>
  </si>
  <si>
    <t>Reported Net Revenue</t>
  </si>
  <si>
    <t>Recall accrual</t>
  </si>
  <si>
    <t>Adjusted Net Revenue</t>
  </si>
  <si>
    <t>Cost of Goods Sold</t>
  </si>
  <si>
    <t>Asset impairments and change in useful lives</t>
  </si>
  <si>
    <t>Legal claim</t>
  </si>
  <si>
    <t>Distribution center closures</t>
  </si>
  <si>
    <t>Anti-dumping exposure</t>
  </si>
  <si>
    <t>Impact of inventory step-up</t>
  </si>
  <si>
    <t>Adjusted Cost of Goods Sold</t>
  </si>
  <si>
    <t>Adjusted Gross Profit</t>
  </si>
  <si>
    <t>Selling, General and Administrative Expenses</t>
  </si>
  <si>
    <t>Non-cash compensation</t>
  </si>
  <si>
    <t>Management and pre-IPO board fees</t>
  </si>
  <si>
    <t>Employer payroll taxes on option exercise</t>
  </si>
  <si>
    <t>Professional fees</t>
  </si>
  <si>
    <t>Non-cash compensation for consolidated VIEs</t>
  </si>
  <si>
    <t>Compensation settlements</t>
  </si>
  <si>
    <t>Follow-on offering costs</t>
  </si>
  <si>
    <t>Initial public offering costs</t>
  </si>
  <si>
    <t>Special committee investigation and remediation</t>
  </si>
  <si>
    <t>Terminated operations</t>
  </si>
  <si>
    <t>Severance and other transaction costs</t>
  </si>
  <si>
    <t>Reorganization related costs</t>
  </si>
  <si>
    <t>Asset held for sale (loss) gain</t>
  </si>
  <si>
    <t>Aircraft impairment</t>
  </si>
  <si>
    <t>Acquisition related costs</t>
  </si>
  <si>
    <t>Loss on sale leaseback transaction</t>
  </si>
  <si>
    <t>Lease losses</t>
  </si>
  <si>
    <t>Gain on sale of building and land</t>
  </si>
  <si>
    <t>Legal settlement</t>
  </si>
  <si>
    <t>Adjusted Selling, General and Administrative Expenses</t>
  </si>
  <si>
    <t>Operating Income</t>
  </si>
  <si>
    <t>Follow-on offering fees</t>
  </si>
  <si>
    <t>Asset held for sale loss (gain)</t>
  </si>
  <si>
    <t>Adjusted Operating Income</t>
  </si>
  <si>
    <t>Net Income</t>
  </si>
  <si>
    <t>Revenue recall accrual</t>
  </si>
  <si>
    <t>COGS adjustments</t>
  </si>
  <si>
    <t>SG&amp;A adjustments</t>
  </si>
  <si>
    <t>Interest expense amortization of debt discount</t>
  </si>
  <si>
    <t>Goodwill and tradename impairment</t>
  </si>
  <si>
    <t>Gain on derivative instruments - net</t>
  </si>
  <si>
    <t>Other expense adjustments</t>
  </si>
  <si>
    <t>Impact of income tax items</t>
  </si>
  <si>
    <t>Adjusted Net Income</t>
  </si>
  <si>
    <t>Net Income (Historical)</t>
  </si>
  <si>
    <t>Management and board fees (Historical)</t>
  </si>
  <si>
    <t>Initial public offering costs (Historical)</t>
  </si>
  <si>
    <t>Asset impairments and lease losses (Historical)</t>
  </si>
  <si>
    <t>Amortization of inventory fair-value adjustment (Historical)</t>
  </si>
  <si>
    <t>Terminated operations (Historical)</t>
  </si>
  <si>
    <t>Severance and other transaction costs (Historical)</t>
  </si>
  <si>
    <t>Impact of income tax items (Historical)</t>
  </si>
  <si>
    <t>Adjusted Net Income (Historical)</t>
  </si>
  <si>
    <t>Depreciation and amortization</t>
  </si>
  <si>
    <t>Income tax expense</t>
  </si>
  <si>
    <t>EBITDA</t>
  </si>
  <si>
    <t>Non-cash and other one-time compensation</t>
  </si>
  <si>
    <t>Management and board fees</t>
  </si>
  <si>
    <t>Post-acquisition related legal costs</t>
  </si>
  <si>
    <t>Professional fee</t>
  </si>
  <si>
    <t>Asset held for sale gain</t>
  </si>
  <si>
    <t>Asset impairments</t>
  </si>
  <si>
    <t>Amortization of inventory fair value adjustment</t>
  </si>
  <si>
    <t>Severance and other related costs</t>
  </si>
  <si>
    <t>Impairment of long-lived assets</t>
  </si>
  <si>
    <t>Lease termination costs</t>
  </si>
  <si>
    <t>Special committee investigation</t>
  </si>
  <si>
    <t>IPO costs</t>
  </si>
  <si>
    <t>Capitalized cloud computing amortization</t>
  </si>
  <si>
    <t>Other adjustments</t>
  </si>
  <si>
    <t>Adjusted EBITDA</t>
  </si>
  <si>
    <t>Capital Expenditures</t>
  </si>
  <si>
    <t>Landlord assets under construction - net of tenant allowances</t>
  </si>
  <si>
    <t>Adjusted Capital Expenditures</t>
  </si>
  <si>
    <t>Revised Income Statement</t>
  </si>
  <si>
    <t>Net Revenue Adjustments</t>
  </si>
  <si>
    <t>COGS</t>
  </si>
  <si>
    <t>COGS Adjustments</t>
  </si>
  <si>
    <t>SG&amp;A Adjustments</t>
  </si>
  <si>
    <t>Adjusted SG&amp;A</t>
  </si>
  <si>
    <t>Other EBIT adjustments</t>
  </si>
  <si>
    <t>EBIT</t>
  </si>
  <si>
    <t>Adjusted EBIT</t>
  </si>
  <si>
    <t>Add back: D&amp;A</t>
  </si>
  <si>
    <t>Add back: Amortization of Intangibles</t>
  </si>
  <si>
    <t>Add back: SBC</t>
  </si>
  <si>
    <t>Add back: Other EBITDA Adjustments</t>
  </si>
  <si>
    <t>Consensus Estimates - Adjusted EBITDA</t>
  </si>
  <si>
    <t>Net interest expense</t>
  </si>
  <si>
    <t>Net interest expense adjustments</t>
  </si>
  <si>
    <t>Adjusted net interest expense</t>
  </si>
  <si>
    <t>Other items</t>
  </si>
  <si>
    <t>Other items adjustments</t>
  </si>
  <si>
    <t>Adjusted other items</t>
  </si>
  <si>
    <t>One-time item</t>
  </si>
  <si>
    <t>Other EBT adjustments</t>
  </si>
  <si>
    <t>EBT</t>
  </si>
  <si>
    <t>Adjusted EBT</t>
  </si>
  <si>
    <t>Current tax</t>
  </si>
  <si>
    <t>Deferred tax</t>
  </si>
  <si>
    <t>Tax impact on adjustments</t>
  </si>
  <si>
    <t>Adjusted tax</t>
  </si>
  <si>
    <t>Income from equity method investments</t>
  </si>
  <si>
    <t>Net Income from Continued Operation</t>
  </si>
  <si>
    <t>Adjusted Net Income from Continued Operation</t>
  </si>
  <si>
    <t>Discontinued Operations</t>
  </si>
  <si>
    <t>Discontinued Operations Adjustments</t>
  </si>
  <si>
    <t>Adjusted Discontinued Operations</t>
  </si>
  <si>
    <t>Net Income to NCI</t>
  </si>
  <si>
    <t>Net Income to NCI Adjustments</t>
  </si>
  <si>
    <t>Adjusted Net Income to NCI</t>
  </si>
  <si>
    <t>Earnings to Preferred and Other Securities</t>
  </si>
  <si>
    <t>GAAP Net Income to Common Shareholders - Basic</t>
  </si>
  <si>
    <t>Non-GAAP Adjustments</t>
  </si>
  <si>
    <t>Adjusted Net Income to Common Shareholders - Basic</t>
  </si>
  <si>
    <t>Earnings Attributable to Dilutive Securities</t>
  </si>
  <si>
    <t>Non-GAAP Adjustments for Earnings Attributable to Dilutive Securities</t>
  </si>
  <si>
    <t>Non-GAAP Earnings Attributable to Dilutive Securities</t>
  </si>
  <si>
    <t>GAAP Net Income to Common Shareholders - Diluted</t>
  </si>
  <si>
    <t>Adjusted Net Income to Common Shareholders - Diluted</t>
  </si>
  <si>
    <t>Adjusted Tax Rate</t>
  </si>
  <si>
    <t>Marginal Tax Rate on Adjustments</t>
  </si>
  <si>
    <t>Current tax rate</t>
  </si>
  <si>
    <t>Deferred tax rate</t>
  </si>
  <si>
    <t>Earnings Per Share - WAB</t>
  </si>
  <si>
    <t>Earnings Per Share - WAD</t>
  </si>
  <si>
    <t>Adjusted Earnings Per Share - WAD</t>
  </si>
  <si>
    <t>Shares Outstanding - WAB</t>
  </si>
  <si>
    <t>Shares Outstanding - WAD</t>
  </si>
  <si>
    <t>Adjusted Shares Outstanding - WAD</t>
  </si>
  <si>
    <t>Share Count Analysis</t>
  </si>
  <si>
    <t>Last Working Day, date</t>
  </si>
  <si>
    <t>End of Period Stock Price, $/share</t>
  </si>
  <si>
    <t>EoP Common stock outstanding, mm shares</t>
  </si>
  <si>
    <t>Q/Q basic share expansion from dilutive securities, %</t>
  </si>
  <si>
    <t>Y/Y basic share expansion from dilutive securities, %</t>
  </si>
  <si>
    <t>Q/Q basic share expansion from share issuance (buyback), %</t>
  </si>
  <si>
    <t>Y/Y basic share expansion from share issuance (buyback), %</t>
  </si>
  <si>
    <t>Q/Q basic share expansion - EoP, %</t>
  </si>
  <si>
    <t>Y/Y basic share expansion - EoP, %</t>
  </si>
  <si>
    <t>Dilutive shares, mm shares</t>
  </si>
  <si>
    <t>Diluted share count to basic share count ratio, x</t>
  </si>
  <si>
    <t>EoP Total diluted common stock outstanding, mm shares</t>
  </si>
  <si>
    <t>BoP Total Stock Options Outstanding, mm options</t>
  </si>
  <si>
    <t>Granted Stock Options, mm options</t>
  </si>
  <si>
    <t>Exercised Stock Options, mm options</t>
  </si>
  <si>
    <t>Forfeited Stock Options, mm options</t>
  </si>
  <si>
    <t>Canceled Stock Options, mm options</t>
  </si>
  <si>
    <t>Forfeited and Canceled Stock Options, mm options</t>
  </si>
  <si>
    <t>Retired Stock Options, mm options</t>
  </si>
  <si>
    <t>EoP Total Stock Options Outstanding, mm options</t>
  </si>
  <si>
    <t>BoP Weighted Average Exercise Price, $/share</t>
  </si>
  <si>
    <t>Granted Average Exercise Price, $/share</t>
  </si>
  <si>
    <t>Exercised Average Exercise Price, $/share</t>
  </si>
  <si>
    <t>Forfeited Average Exercise Price, $/share</t>
  </si>
  <si>
    <t>Canceled Average Exercise Price, $/share</t>
  </si>
  <si>
    <t>Forfeited and Canceled Average Exercise Price, $/share</t>
  </si>
  <si>
    <t>Retired Average exercise Price. $/share</t>
  </si>
  <si>
    <t>EoP Weighted Average Exercise Price, $/share</t>
  </si>
  <si>
    <t>Dilutive Shares from Exercised Options (Treasury Method), mm shares</t>
  </si>
  <si>
    <t>EoP Total Stock Options Exercisable, mm options</t>
  </si>
  <si>
    <t>EoP Weighted Average Exercisable Option Exercise Price, $/share</t>
  </si>
  <si>
    <t>EoP Unvested RSUs, mm shares</t>
  </si>
  <si>
    <t>EoP Unvested RSU Price, $/share</t>
  </si>
  <si>
    <t>EoP ESPP Obligations, mm shares</t>
  </si>
  <si>
    <t>EoP Others, mm shares</t>
  </si>
  <si>
    <t>Potentially Dilutive Securities, mm shares</t>
  </si>
  <si>
    <t>Canalyst EoP Fully Diluted Shares Outstanding, mm shares</t>
  </si>
  <si>
    <t>Cover page common stock outstanding, mm shares</t>
  </si>
  <si>
    <t>Date of cover page share count, date</t>
  </si>
  <si>
    <t>Canalyst Cover Page Fully Diluted Shares Outstanding, mm shares</t>
  </si>
  <si>
    <t>Number of shares repurchased as part of publicly announced plans or programs - month1, 000 shares</t>
  </si>
  <si>
    <t>Number of shares repurchased as part of publicly announced plans or programs - month2, 000 shares</t>
  </si>
  <si>
    <t>Number of shares repurchased as part of publicly announced plans or programs - month3, 000 shares</t>
  </si>
  <si>
    <t>Total Number of shares repurchased as part of publicly announced plans or programs, 000 shares</t>
  </si>
  <si>
    <t>Average price of shares repurchased as part of publicly announced plans or programs - month1, $/share</t>
  </si>
  <si>
    <t>Average price of shares repurchased as part of publicly announced plans or programs - month2, $/share</t>
  </si>
  <si>
    <t>Average price of shares repurchased as part of publicly announced plans or programs - month3, $/share</t>
  </si>
  <si>
    <t>Average price of shares repurchased as part of publicly announced plans or programs (calculated), $/share</t>
  </si>
  <si>
    <t>Purchase dollar value as part of publicly announced plans or programs (calculated) - month1, mm</t>
  </si>
  <si>
    <t>Purchase dollar value as part of publicly announced plans or programs (calculated) - month2, mm</t>
  </si>
  <si>
    <t>Purchase dollar value as part of publicly announced plans or programs (calculated) - month3, mm</t>
  </si>
  <si>
    <t>Total Purchase dollar value as part of publicly announced plans or programs (calculated), mm</t>
  </si>
  <si>
    <t>Dollar value of shares that may yet be purchased under the plans or programs - month1, mm</t>
  </si>
  <si>
    <t>Dollar value of shares that may yet be purchased under the plans or programs - month2, mm</t>
  </si>
  <si>
    <t>Dollar value of shares that may yet be purchased under the plans or programs - month3, mm</t>
  </si>
  <si>
    <t>Dollar value of shares that may yet be purchased under the plans or programs, mm</t>
  </si>
  <si>
    <t>Addition of repurchases authorized, mm</t>
  </si>
  <si>
    <t>Number of shares purchased - month1, 000 shares</t>
  </si>
  <si>
    <t>Number of shares purchased - month2, 000 shares</t>
  </si>
  <si>
    <t>Number of shares purchased - month3, 000 shares</t>
  </si>
  <si>
    <t>Total number of shares purchased, 000 shares</t>
  </si>
  <si>
    <t>Average price paid per share - month1, $/share</t>
  </si>
  <si>
    <t>Average price paid per share - month2, $/share</t>
  </si>
  <si>
    <t>Average price paid per share - month3, $/share</t>
  </si>
  <si>
    <t>Average price paid per share (calculated), $/share</t>
  </si>
  <si>
    <t>Purchase dollar value (calculated) - month1, mm</t>
  </si>
  <si>
    <t>Purchase dollar value (calculated) - month2, mm</t>
  </si>
  <si>
    <t>Purchase dollar value (calculated) - month3, mm</t>
  </si>
  <si>
    <t>Total purchase dollar value (calculated), mm</t>
  </si>
  <si>
    <t>Cash Flow Summary</t>
  </si>
  <si>
    <t>Operating Cash Flow before WC</t>
  </si>
  <si>
    <t>Change in Working Capital</t>
  </si>
  <si>
    <t>Operating Cash Flow after WC</t>
  </si>
  <si>
    <t>Cash Flow Per Diluted Share before WC</t>
  </si>
  <si>
    <t>Cash Flow Per Diluted Share</t>
  </si>
  <si>
    <t>Consensus Estimates - Cash Flow Per Diluted Share</t>
  </si>
  <si>
    <t>Capex</t>
  </si>
  <si>
    <t>Consensus Estimates - Capex</t>
  </si>
  <si>
    <t>Acquisitions</t>
  </si>
  <si>
    <t>Divestiture</t>
  </si>
  <si>
    <t>Dividend Paid</t>
  </si>
  <si>
    <t>Dividend Per Share</t>
  </si>
  <si>
    <t>Net Debt Issuance (Repayment)</t>
  </si>
  <si>
    <t>Net Share Issuance (Buybacks)</t>
  </si>
  <si>
    <t>Estimated Share Price for Issuance/Buybacks, USD</t>
  </si>
  <si>
    <t>SBC expense</t>
  </si>
  <si>
    <t>SBC expense as % of revenue</t>
  </si>
  <si>
    <t>FCF (before WC), Pre Div</t>
  </si>
  <si>
    <t>FCF (before WC), Post Div, Pre A/D</t>
  </si>
  <si>
    <t>FCF (before WC), Post Div, Post A/D</t>
  </si>
  <si>
    <t>FCF (before WC), Post Div, Debt, Buyback, A/D</t>
  </si>
  <si>
    <t>FCF, Pre Div</t>
  </si>
  <si>
    <t>FCF, Post Div, Pre A/D</t>
  </si>
  <si>
    <t>FCF, Post Div, Post A/D</t>
  </si>
  <si>
    <t>FCF, Post Div, Debt, Buyback, A/D</t>
  </si>
  <si>
    <t>Balance Sheet Summary</t>
  </si>
  <si>
    <t>Cash</t>
  </si>
  <si>
    <t>ST Debt</t>
  </si>
  <si>
    <t>LT Debt</t>
  </si>
  <si>
    <t>Debt</t>
  </si>
  <si>
    <t>Operating Lease Liabilities</t>
  </si>
  <si>
    <t>Net Debt</t>
  </si>
  <si>
    <t>Other Interest Expense</t>
  </si>
  <si>
    <t>Interest Expense from Debt Outstanding</t>
  </si>
  <si>
    <t>Interest Expense Adjustments</t>
  </si>
  <si>
    <t>Adjusted Interest Expense</t>
  </si>
  <si>
    <t>Effective Interest Rate on Debt</t>
  </si>
  <si>
    <t>Interest Income</t>
  </si>
  <si>
    <t>Effective Interest Rate on Cash</t>
  </si>
  <si>
    <t>Net Interest Expense (Income)</t>
  </si>
  <si>
    <t>Effective Net Interest Rate on Debt</t>
  </si>
  <si>
    <t>EBITDA / Net Interest Expense</t>
  </si>
  <si>
    <t>Net Debt / EBITDA</t>
  </si>
  <si>
    <t>Net Debt / Cash Flow</t>
  </si>
  <si>
    <t>Valuation</t>
  </si>
  <si>
    <t>Stock Price (Reporting Cur.) - EoP, USD</t>
  </si>
  <si>
    <t>EoP</t>
  </si>
  <si>
    <t>Market Cap - EoP</t>
  </si>
  <si>
    <t>Enterprise Value - EoP</t>
  </si>
  <si>
    <t>P/E - EoP</t>
  </si>
  <si>
    <t>EV/EBITDA - EoP</t>
  </si>
  <si>
    <t>P/CF - EoP</t>
  </si>
  <si>
    <t>FCF Yield % to EoP Market Cap</t>
  </si>
  <si>
    <t>FCF Yield % to EoP Enterprise Value</t>
  </si>
  <si>
    <t>Stock High, USD</t>
  </si>
  <si>
    <t>Stock Low, USD</t>
  </si>
  <si>
    <t>Stock Average, USD</t>
  </si>
  <si>
    <t>Stock EoP, USD</t>
  </si>
  <si>
    <t>Average FX Rate, USD/USD</t>
  </si>
  <si>
    <t>EoP FX Rate, USD/USD</t>
  </si>
  <si>
    <t>Stock Price (Trading Cur.) - EoP, USD</t>
  </si>
  <si>
    <t>Enterprise Value Components</t>
  </si>
  <si>
    <t>Noncontrolling Interest</t>
  </si>
  <si>
    <t>Preferred Shares</t>
  </si>
  <si>
    <t>Other EV Components</t>
  </si>
  <si>
    <t>Cumulative Cash Flow Statement</t>
  </si>
  <si>
    <t>CFO</t>
  </si>
  <si>
    <t>Depreciation and Amortization</t>
  </si>
  <si>
    <t>Lease impairment adjustment</t>
  </si>
  <si>
    <t>Non-cash amortization of operating lease right-of-use asset</t>
  </si>
  <si>
    <t>Impairment of property and equipment</t>
  </si>
  <si>
    <t>Amortization of purchase premium and accretion of purchases discount - net</t>
  </si>
  <si>
    <t>Loss on disposal of property and equipment</t>
  </si>
  <si>
    <t>Product recalls</t>
  </si>
  <si>
    <t>Amortization of debt discount</t>
  </si>
  <si>
    <t>Accretion of debt discount upon settlement of debt</t>
  </si>
  <si>
    <t>Excess tax benefit from exercise of stock options</t>
  </si>
  <si>
    <t>Stock-based compensation expense</t>
  </si>
  <si>
    <t>Non-cash compensation for consolidated variable interest entities</t>
  </si>
  <si>
    <t>Net non-cash charges resulting from inventory step-up</t>
  </si>
  <si>
    <t>Non-cash compensation-executive loan</t>
  </si>
  <si>
    <t>Non-cash loss on extinguishment of debt</t>
  </si>
  <si>
    <t>Gain on derivative instruments, net</t>
  </si>
  <si>
    <t>Release of valuation allowance</t>
  </si>
  <si>
    <t>Deferred income taxes</t>
  </si>
  <si>
    <t>Amortization of deferred financing fees and debt issuance costs</t>
  </si>
  <si>
    <t>Other non-cash interest expense</t>
  </si>
  <si>
    <t>Other non-cash items</t>
  </si>
  <si>
    <t>CFO before WC</t>
  </si>
  <si>
    <t>Accounts receivable</t>
  </si>
  <si>
    <t>Merchandise inventories</t>
  </si>
  <si>
    <t>Prepaid expense and other current assets</t>
  </si>
  <si>
    <t>Landlord assets under construction</t>
  </si>
  <si>
    <t>Other assets</t>
  </si>
  <si>
    <t>Accounts payable and accrued expenses</t>
  </si>
  <si>
    <t>Deferred revenue and customer deposits</t>
  </si>
  <si>
    <t>Other current liabilities</t>
  </si>
  <si>
    <t>Current and non-current operating lease liability</t>
  </si>
  <si>
    <t>Deferred rent and lease incentives</t>
  </si>
  <si>
    <t>Other long-term obligations</t>
  </si>
  <si>
    <t>Net CFO</t>
  </si>
  <si>
    <t>CFI</t>
  </si>
  <si>
    <t>Capital expenditures</t>
  </si>
  <si>
    <t>Proceeds from sale of assets</t>
  </si>
  <si>
    <t>Acquisition of buildings and land</t>
  </si>
  <si>
    <t>Acquisition of business</t>
  </si>
  <si>
    <t>Construction related deposits</t>
  </si>
  <si>
    <t>Purchase of trademarks and domain names</t>
  </si>
  <si>
    <t>Equity method investments</t>
  </si>
  <si>
    <t>Purchase of investments</t>
  </si>
  <si>
    <t>Maturities of investments</t>
  </si>
  <si>
    <t>Sales of investments</t>
  </si>
  <si>
    <t>Net CFI</t>
  </si>
  <si>
    <t>CFF</t>
  </si>
  <si>
    <t>Gross borrowings under revolving line of credit</t>
  </si>
  <si>
    <t>Gross repayments under revolving line of credit</t>
  </si>
  <si>
    <t>Borrowings under asset based credit facility</t>
  </si>
  <si>
    <t>Repayments under asset based credit facility</t>
  </si>
  <si>
    <t>Borrowings under term loans</t>
  </si>
  <si>
    <t>Repayment of term loan</t>
  </si>
  <si>
    <t>Borrowings under real estate loans</t>
  </si>
  <si>
    <t>Repayments under real estate loans</t>
  </si>
  <si>
    <t>Borrowings under promissory and equipment security notes</t>
  </si>
  <si>
    <t>Repayments under promissory and equipment security notes</t>
  </si>
  <si>
    <t>Debt extinguishment costs</t>
  </si>
  <si>
    <t>Debt issuance costs</t>
  </si>
  <si>
    <t>Principal payments under finance leases</t>
  </si>
  <si>
    <t>Revolving line of credit deferred financing fees</t>
  </si>
  <si>
    <t>Proceeds from issuance of convertible senior notes</t>
  </si>
  <si>
    <t>Repayments of convertible senior notes</t>
  </si>
  <si>
    <t>Repayment under convertible senior notes repurchase obligation</t>
  </si>
  <si>
    <t>Proceeds from issuance of warrants</t>
  </si>
  <si>
    <t>Payments for termination of common stock warrants</t>
  </si>
  <si>
    <t>Purchase of convertible note hedges</t>
  </si>
  <si>
    <t>Proceeds from termination of convertible senior note hedges</t>
  </si>
  <si>
    <t>Repurchase of common shares</t>
  </si>
  <si>
    <t>Payments on build-to-suit lease transaction</t>
  </si>
  <si>
    <t>Debt issuance costs related to convertible senior notes</t>
  </si>
  <si>
    <t>Payments on capital leases and other long-term obligations</t>
  </si>
  <si>
    <t>Borrowings under build-to-suit lease transactions</t>
  </si>
  <si>
    <t>Proceeds from exercise of stock options</t>
  </si>
  <si>
    <t>Tax withholdings related to issuance of stock-based awards</t>
  </si>
  <si>
    <t>Payments under promissory notes related to share repurchases</t>
  </si>
  <si>
    <t>Capitalized initial public offering costs</t>
  </si>
  <si>
    <t>Capitalization of Restoration Hardware Holdings, Inc.</t>
  </si>
  <si>
    <t>Net equity related transactions</t>
  </si>
  <si>
    <t>Other financing activities</t>
  </si>
  <si>
    <t>Dividends paid</t>
  </si>
  <si>
    <t>Proceeds from issuance of common stock-net of issuance costs</t>
  </si>
  <si>
    <t>Net CFF</t>
  </si>
  <si>
    <t>FX</t>
  </si>
  <si>
    <t>Net Change in Cash Balance</t>
  </si>
  <si>
    <t>Beginning Cash Balance</t>
  </si>
  <si>
    <t>Ending Cash Balance</t>
  </si>
  <si>
    <t>Cash paid for interest</t>
  </si>
  <si>
    <t>Cash paid for taxes</t>
  </si>
  <si>
    <t>Cash Flow Statement</t>
  </si>
  <si>
    <t>CF Check</t>
  </si>
  <si>
    <t>Working Capital Forecasting</t>
  </si>
  <si>
    <t>LTM Revenue, mm</t>
  </si>
  <si>
    <t>LTM COGS, mm</t>
  </si>
  <si>
    <t>Prepaid Expense and Other Current Assets, mm</t>
  </si>
  <si>
    <t>Accrued Expenses, mm</t>
  </si>
  <si>
    <t>Deferred Revenue and Customer Deposits, mm</t>
  </si>
  <si>
    <t>Ending Accounts Receivable, mm</t>
  </si>
  <si>
    <t>Ending Inventories, mm</t>
  </si>
  <si>
    <t>Ending Accounts Payable, mm</t>
  </si>
  <si>
    <t>Days of Sales Outstanding, days</t>
  </si>
  <si>
    <t>Days of Inventories on hand, days</t>
  </si>
  <si>
    <t>Days of Payables, days</t>
  </si>
  <si>
    <t>Cash Conversion Cycle, days</t>
  </si>
  <si>
    <t>Prepaid expense and other current assets, % of LTM Sales</t>
  </si>
  <si>
    <t>Accrued expenses, % of LTM Sales</t>
  </si>
  <si>
    <t>Deferred revenue and customer deposits, % of LTM Sales</t>
  </si>
  <si>
    <t>D&amp;A Forecasting</t>
  </si>
  <si>
    <t>PP&amp;E BoP, mm</t>
  </si>
  <si>
    <t>Depreciation of fixed assets, mm</t>
  </si>
  <si>
    <t>Capex of PP&amp;E, mm</t>
  </si>
  <si>
    <t>Other net additions to PP&amp;E, mm</t>
  </si>
  <si>
    <t>PP&amp;E EoP, mm</t>
  </si>
  <si>
    <t>Intangibles BoP, mm</t>
  </si>
  <si>
    <t>Amortization of intangibles, mm</t>
  </si>
  <si>
    <t>Capex of intangibles, mm</t>
  </si>
  <si>
    <t>Other net additions to intangibles, mm</t>
  </si>
  <si>
    <t>Intangibles EoP, mm</t>
  </si>
  <si>
    <t>Depreciation as percentage of PP&amp;E BoP, %</t>
  </si>
  <si>
    <t>Amortization as percentage of Intangibles BoP, %</t>
  </si>
  <si>
    <t>Implied life of fixed assets, yr</t>
  </si>
  <si>
    <t>Implied life of intangibles, yr</t>
  </si>
  <si>
    <t>Total Capex, mm</t>
  </si>
  <si>
    <t>Percentage of capex allocated to intangible assets, %</t>
  </si>
  <si>
    <t>Balance Sheet</t>
  </si>
  <si>
    <t>Current Assets</t>
  </si>
  <si>
    <t>Cash and cash equivalents</t>
  </si>
  <si>
    <t>Short-term investments</t>
  </si>
  <si>
    <t>Accounts receivable—net</t>
  </si>
  <si>
    <t>Inventories</t>
  </si>
  <si>
    <t>Assets held for sale</t>
  </si>
  <si>
    <t>Current deferred tax assets</t>
  </si>
  <si>
    <t>Restricted cash</t>
  </si>
  <si>
    <t>Total Current Assets</t>
  </si>
  <si>
    <t>Non-Current Assets</t>
  </si>
  <si>
    <t>Long-term investments</t>
  </si>
  <si>
    <t>PPE</t>
  </si>
  <si>
    <t>Goodwill</t>
  </si>
  <si>
    <t>Operating lease right-of-use-assets</t>
  </si>
  <si>
    <t>Trademarks and other intangible assets</t>
  </si>
  <si>
    <t>Other intangible assets-net</t>
  </si>
  <si>
    <t>Non-current deferred tax assets</t>
  </si>
  <si>
    <t>Other non-current assets</t>
  </si>
  <si>
    <t>Total Non-Current Assets</t>
  </si>
  <si>
    <t>Total Assets</t>
  </si>
  <si>
    <t>Current Liabilities</t>
  </si>
  <si>
    <t>Accounts payable</t>
  </si>
  <si>
    <t>Accrued compensation</t>
  </si>
  <si>
    <t>Accrued sales and use tax</t>
  </si>
  <si>
    <t>Accrued occupancy</t>
  </si>
  <si>
    <t>Accrued freight and duty</t>
  </si>
  <si>
    <t>Accrued legal reserves</t>
  </si>
  <si>
    <t>Accrued legal settlements</t>
  </si>
  <si>
    <t>Accrued professional fees</t>
  </si>
  <si>
    <t>Accrued catalog costs</t>
  </si>
  <si>
    <t>Accrued interest</t>
  </si>
  <si>
    <t>Excise tax payable on share repurchases</t>
  </si>
  <si>
    <t>Other accrued expenses</t>
  </si>
  <si>
    <t>Accrued expenses</t>
  </si>
  <si>
    <t>Deferred consideration for asset purchase</t>
  </si>
  <si>
    <t>Convertible senior notes due 2019-net</t>
  </si>
  <si>
    <t>Convertible senior notes due 2020-net</t>
  </si>
  <si>
    <t>Convertible senior notes due 2023-net</t>
  </si>
  <si>
    <t>Convertible senior notes due 2024-net</t>
  </si>
  <si>
    <t>Convertible senior notes repurchase obligation</t>
  </si>
  <si>
    <t>Operating lease liabilities</t>
  </si>
  <si>
    <t>Federal and state tax payable</t>
  </si>
  <si>
    <t>Current deferred tax liabilities</t>
  </si>
  <si>
    <t>Unredeemed gift card and merchandise credit liability</t>
  </si>
  <si>
    <t>Current portion of term loans</t>
  </si>
  <si>
    <t>Allowance for sales returns</t>
  </si>
  <si>
    <t>Finance lease liabilities</t>
  </si>
  <si>
    <t>Current portion of equipment promissory notes</t>
  </si>
  <si>
    <t>Federal, state and foreign tax payable</t>
  </si>
  <si>
    <t>Product recall reserve</t>
  </si>
  <si>
    <t>Promissory notes on asset under construction</t>
  </si>
  <si>
    <t>Provision for legal settlement</t>
  </si>
  <si>
    <t>Total other current liabilities</t>
  </si>
  <si>
    <t>Total Current Liabilities</t>
  </si>
  <si>
    <t>Non-Current Liabilities</t>
  </si>
  <si>
    <t>Convertible senior notes due-net</t>
  </si>
  <si>
    <t>FILO term loan-net</t>
  </si>
  <si>
    <t>Second lien term loan-net</t>
  </si>
  <si>
    <t>Convertible senior notes due 2023—net</t>
  </si>
  <si>
    <t>Convertible senior notes due 2024—net</t>
  </si>
  <si>
    <t>Financing obligations under build-to-suit lease transactions</t>
  </si>
  <si>
    <t>Revolving line of credit</t>
  </si>
  <si>
    <t>Real estate loans</t>
  </si>
  <si>
    <t>Term loan B-2—net</t>
  </si>
  <si>
    <t>Term loan</t>
  </si>
  <si>
    <t>Total long-term debt</t>
  </si>
  <si>
    <t>Non-current operating lease</t>
  </si>
  <si>
    <t>Non-current deferred tax liabilities</t>
  </si>
  <si>
    <t>Other non-current obligations</t>
  </si>
  <si>
    <t>Mezzanine equity-convertible senior notes</t>
  </si>
  <si>
    <t>Total Non-Current liabilities</t>
  </si>
  <si>
    <t>Total Liabilities</t>
  </si>
  <si>
    <t>Shareholders' Equity</t>
  </si>
  <si>
    <t>Common Share Capital</t>
  </si>
  <si>
    <t>Additional paid-in capital</t>
  </si>
  <si>
    <t>Accumulated other comprehensive loss</t>
  </si>
  <si>
    <t>Retained earnings</t>
  </si>
  <si>
    <t>Treasury stock</t>
  </si>
  <si>
    <t>Total SE</t>
  </si>
  <si>
    <t>NCI</t>
  </si>
  <si>
    <t>Total Liabilities &amp; SE</t>
  </si>
  <si>
    <t>BS Check</t>
  </si>
  <si>
    <t>Model Checks</t>
  </si>
  <si>
    <t>Net Income on Revised IS = NI on CF statement</t>
  </si>
  <si>
    <t>Net Income on Reported IS = NI on Revised</t>
  </si>
  <si>
    <t>Cash is Positive</t>
  </si>
  <si>
    <t>Debt is Positive</t>
  </si>
  <si>
    <t>Segmented Revenue = Revenue</t>
  </si>
  <si>
    <t>Segmented EBIT = EBIT</t>
  </si>
  <si>
    <t>EBIT = EBIT on RIS</t>
  </si>
  <si>
    <t>Adjusted EBITDA = Adjusted EBITDA on RIS</t>
  </si>
  <si>
    <t>Adjusted EBIT = Adjusted EBIT on RIS</t>
  </si>
  <si>
    <t>Adjusted EBIT on OEF = Adjusted EBIT on RIS</t>
  </si>
  <si>
    <t>Adjusted EBT on OEF = Adjusted EBT on RIS</t>
  </si>
  <si>
    <t>Cash Flow is not Repeated</t>
  </si>
  <si>
    <t>SSS is not Repeated</t>
  </si>
  <si>
    <t>Income Statement is not Repeated</t>
  </si>
  <si>
    <t>Balance Sheet is not Repeated</t>
  </si>
  <si>
    <t>Ending CF = Ending Cumulative CF</t>
  </si>
  <si>
    <t>Capex is Updated</t>
  </si>
  <si>
    <t>Margin is Updated</t>
  </si>
  <si>
    <t>Adjusted Numbers FY = Sum of Qs</t>
  </si>
  <si>
    <t>*Cash Flow Summary Signs are Correct</t>
  </si>
  <si>
    <t>*RIS NI FY = Sum of Qs</t>
  </si>
  <si>
    <t>*RIS Adjusted NI FY = Sum of Qs</t>
  </si>
  <si>
    <t>*CFO Before WC subtotal FY = Sum of Qs</t>
  </si>
  <si>
    <t>*CFO subtotal FY = Sum of Qs</t>
  </si>
  <si>
    <t>*CFI subtotal FY = Sum of Qs</t>
  </si>
  <si>
    <t>*CFF subtotal FY = Sum of Qs</t>
  </si>
  <si>
    <t>*CF Summary FY = Sum of Qs</t>
  </si>
  <si>
    <t>Other Tables</t>
  </si>
  <si>
    <t>Ticker Symbol</t>
  </si>
  <si>
    <t>RH_US</t>
  </si>
  <si>
    <t>NYSE:RH</t>
  </si>
  <si>
    <t>RH-US</t>
  </si>
  <si>
    <t>RH.N</t>
  </si>
  <si>
    <t>Valuation Toggle Table</t>
  </si>
  <si>
    <t>High</t>
  </si>
  <si>
    <t>Low</t>
  </si>
  <si>
    <t>Avg</t>
  </si>
  <si>
    <t>Key Outputs</t>
  </si>
  <si>
    <t>KPI Data</t>
  </si>
  <si>
    <t>MO_RIS_REV</t>
  </si>
  <si>
    <t>MO_RIS_NI_NONGAAP_Diluted</t>
  </si>
  <si>
    <t>MO_RIS_EPS_WAD_Adj</t>
  </si>
  <si>
    <t>MO_RIS_EBITDA_Adj</t>
  </si>
  <si>
    <t>MO_MA_EBITDA_Adj</t>
  </si>
  <si>
    <t>MO_KPI_Stores</t>
  </si>
  <si>
    <t>Quarterly Guidance Table</t>
  </si>
  <si>
    <t>Reporting Date</t>
  </si>
  <si>
    <t>Applicable Period</t>
  </si>
  <si>
    <t>Annual Guidance Table</t>
  </si>
  <si>
    <t>Is Latest</t>
  </si>
  <si>
    <t/>
  </si>
  <si>
    <t>Consensus Estimate Table</t>
  </si>
  <si>
    <t>FY or FQ</t>
  </si>
  <si>
    <t>FQ</t>
  </si>
  <si>
    <t>FY</t>
  </si>
  <si>
    <t>Period</t>
  </si>
  <si>
    <t>Stock Price Table</t>
  </si>
  <si>
    <t>Fiscal Period Start Date</t>
  </si>
  <si>
    <t>Is Historical Period</t>
  </si>
  <si>
    <t>Stock High: Real-Time Off Source</t>
  </si>
  <si>
    <t>Real-Time Off Source</t>
  </si>
  <si>
    <t>Capital IQ</t>
  </si>
  <si>
    <t>FactSet</t>
  </si>
  <si>
    <t>Refinitiv</t>
  </si>
  <si>
    <t>Stock Low: Real-Time Off Source</t>
  </si>
  <si>
    <t>Stock Average: Real-Time Off Source</t>
  </si>
  <si>
    <t>FX Average: Real-Time Off Source</t>
  </si>
  <si>
    <t>Last Working Day In Period</t>
  </si>
  <si>
    <t>Stock Price EoP</t>
  </si>
  <si>
    <t>FX EoP</t>
  </si>
  <si>
    <t>General Table</t>
  </si>
  <si>
    <t>Last Price</t>
  </si>
  <si>
    <t>Last Price Date</t>
  </si>
  <si>
    <t>Real-Time Stock Price</t>
  </si>
  <si>
    <t>Last Price Formula</t>
  </si>
  <si>
    <t>Apply Trade Currency Scaling</t>
  </si>
  <si>
    <t>Trade Currency</t>
  </si>
  <si>
    <t>Trade Currency Hardcoded</t>
  </si>
  <si>
    <t>Model Sheet Currency Hardcoded</t>
  </si>
  <si>
    <t>Most Recent FX</t>
  </si>
  <si>
    <t>Most Recent FX Hardcoded</t>
  </si>
  <si>
    <t>MRFP Column Number</t>
  </si>
  <si>
    <t>Most Recent Fiscal Period (MRFP)</t>
  </si>
  <si>
    <t>Current Fiscal Year</t>
  </si>
  <si>
    <t>First Forecast Fiscal Year</t>
  </si>
  <si>
    <t>KPI Count</t>
  </si>
  <si>
    <t>Data Source Index</t>
  </si>
  <si>
    <t>Canalyst</t>
  </si>
  <si>
    <t>Williams Sonoma Inc.</t>
  </si>
  <si>
    <t>WSM US</t>
  </si>
  <si>
    <t>Total Company Operated Stores - EoP, # of stores</t>
  </si>
  <si>
    <t>Q/Q Total company operated store growth, %</t>
  </si>
  <si>
    <t>Y/Y Total company operated store growth, %</t>
  </si>
  <si>
    <t>Pottery Barn Revenue, mm</t>
  </si>
  <si>
    <t>Y/Y Pottery Barn comparable brand revenue growth, %</t>
  </si>
  <si>
    <t>Y/Y Pottery Barn revenue growth, %</t>
  </si>
  <si>
    <t>West Elm Revenue, mm</t>
  </si>
  <si>
    <t>Y/Y West Elm comparable brand revenue growth, %</t>
  </si>
  <si>
    <t>Y/Y West Elm revenue growth, %</t>
  </si>
  <si>
    <t>Williams Sonoma Revenue, mm</t>
  </si>
  <si>
    <t>Y/Y Williams Sonoma comparable brand revenue growth, %</t>
  </si>
  <si>
    <t>Y/Y Williams Sonoma revenue growth, %</t>
  </si>
  <si>
    <t>Pottery Barn Kids and Teen Revenue, mm</t>
  </si>
  <si>
    <t>Y/Y Pottery Barn Kids and Teen comparable brand revenue growth, %</t>
  </si>
  <si>
    <t>Y/Y Pottery Barn Kids and Teen revenue growth, %</t>
  </si>
  <si>
    <t>Other Revenue, mm</t>
  </si>
  <si>
    <t>Y/Y Other revenue growth, %</t>
  </si>
  <si>
    <t>Y/Y Comparable demand growth, %</t>
  </si>
  <si>
    <t>Y/Y Comparable brand revenue growth, %</t>
  </si>
  <si>
    <t>E-Commerce net revenue as % of total net revenue, %</t>
  </si>
  <si>
    <t>Y/Y E-Commerce net revenue growth, %</t>
  </si>
  <si>
    <t>Adjusted Earnings Per Share - WAD, $/share</t>
  </si>
  <si>
    <t>Y/Y Adjusted EPS - WAD growth, %</t>
  </si>
  <si>
    <t>Segmented Results - Pottery Barn (FS)</t>
  </si>
  <si>
    <t>Pottery Barn Stores - BoP, # of Stores</t>
  </si>
  <si>
    <t>Pottery Barn stores opened, # of stores</t>
  </si>
  <si>
    <t>Pottery Barn stores closed, # of stores</t>
  </si>
  <si>
    <t>Pottery Barn Stores - EoP, # of Stores</t>
  </si>
  <si>
    <t>Q/Q Pottery Barn stores - EoP growth, %</t>
  </si>
  <si>
    <t>Y/Y Pottery Barn stores - EoP growth, %</t>
  </si>
  <si>
    <t>Pottery Barn Stores - Average, # of stores</t>
  </si>
  <si>
    <t>Pottery Barn comp stores, # of stores</t>
  </si>
  <si>
    <t>Pottery Barn new stores, # of stores</t>
  </si>
  <si>
    <t>Pottery Barn leased square footage per comp store (calculated), sq ft/store</t>
  </si>
  <si>
    <t>Pottery Barn opened store size as a % of comp store (calculated), %</t>
  </si>
  <si>
    <t>Pottery Barn closed store size as a % of prior comp store (estimated), %</t>
  </si>
  <si>
    <t>Pottery Barn leased square footage per opened store (calculated), sq ft/store</t>
  </si>
  <si>
    <t>Pottery Barn leased square footage per new store (calculated), sq ft/store</t>
  </si>
  <si>
    <t>Pottery Barn Leased Square Footage Per Store, sq ft</t>
  </si>
  <si>
    <t>Pottery Barn Leased Square Footage (Calculated) - BoP, 000s sq ft</t>
  </si>
  <si>
    <t>Pottery Barn opened store leased square footage (calculated), 000s sq ft</t>
  </si>
  <si>
    <t>Pottery Barn closed store leased square footage (calculated), 000s sq ft</t>
  </si>
  <si>
    <t>Pottery Barn net leased square footage addition (calculated), 000s sq ft</t>
  </si>
  <si>
    <t>Pottery Barn Leased Square Footage (Calculated) - EoP, 000s sq ft</t>
  </si>
  <si>
    <t>Pottery Barn Leased Square Footage (Calculated) - Average, 000s sq ft</t>
  </si>
  <si>
    <t>Pottery Barn comp store leased square footage - EoP (calculated), 000s sq ft</t>
  </si>
  <si>
    <t>Pottery Barn comp store leased square footage - average (calculated), 000s sq ft</t>
  </si>
  <si>
    <t>Pottery Barn new store leased square footage - EoP (calculated), 000s sq ft</t>
  </si>
  <si>
    <t>Pottery Barn new store leased square footage - average (calculated), 000s sq ft</t>
  </si>
  <si>
    <t>Y/Y Pottery Barn Comparable Brand Sales Growth, %</t>
  </si>
  <si>
    <t>Y/Y Pottery Barn impact of store base change, %</t>
  </si>
  <si>
    <t>Y/Y Pottery Barn new store sales growth, %</t>
  </si>
  <si>
    <t>Y/Y Pottery Barn Non-Comparable Store Sales Growth, %</t>
  </si>
  <si>
    <t>Y/Y Pottery Barn Revenue Growth, %</t>
  </si>
  <si>
    <t>Pottery Barn closed store productivity (estimated), %</t>
  </si>
  <si>
    <t>Pottery Barn closed and other impact on comp base (calculated), %</t>
  </si>
  <si>
    <t>Pottery Barn prior year sales per comp store leased sq ft (calculated), $/sq ft</t>
  </si>
  <si>
    <t>Pottery Barn sales per comp store leased sq ft (calculated), $/sq ft</t>
  </si>
  <si>
    <t>Pottery Barn new store productivity (calculated), %</t>
  </si>
  <si>
    <t>Pottery Barn sales per new store leased sq ft (calculated), $/sq ft</t>
  </si>
  <si>
    <t>Pottery Barn Sales per Leased Square Foot (Calculated), $/sq ft</t>
  </si>
  <si>
    <t>Pottery Barn comp store sales (calculated), mm</t>
  </si>
  <si>
    <t>Pottery Barn new store sales (calculated), mm</t>
  </si>
  <si>
    <t>Pottery Barn sales per comp store (calculated), k$/store</t>
  </si>
  <si>
    <t>Pottery Barn sales per new store (calculated), k$/store</t>
  </si>
  <si>
    <t>Pottery Barn Sales per Store (Calculated), k$/store</t>
  </si>
  <si>
    <t>Segmented Results - West Elm (FS)</t>
  </si>
  <si>
    <t>West Elm Stores - BoP, # of Stores</t>
  </si>
  <si>
    <t>West Elm stores opened, # of stores</t>
  </si>
  <si>
    <t>West Elm stores closed, # of stores</t>
  </si>
  <si>
    <t>West Elm Stores - EoP, # of Stores</t>
  </si>
  <si>
    <t>Q/Q West Elm stores - EoP growth, %</t>
  </si>
  <si>
    <t>Y/Y West Elm stores - EoP growth, %</t>
  </si>
  <si>
    <t>West Elm Stores - Average, # of stores</t>
  </si>
  <si>
    <t>West Elm comp stores, # of stores</t>
  </si>
  <si>
    <t>West Elm new stores, # of stores</t>
  </si>
  <si>
    <t>West Elm leased square footage per comp store (calculated), sq ft/store</t>
  </si>
  <si>
    <t>West Elm opened store size as a % of comp store (calculated), %</t>
  </si>
  <si>
    <t>West Elm closed store size as a % of prior comp store (estimated), %</t>
  </si>
  <si>
    <t>West Elm leased square footage per opened store (calculated), sq ft/store</t>
  </si>
  <si>
    <t>West Elm leased square footage per new store (calculated), sq ft/store</t>
  </si>
  <si>
    <t>West Elm Leased Square Footage Per Store, sq ft</t>
  </si>
  <si>
    <t>West Elm Leased Square Footage (Calculated) - BoP, 000s sq ft</t>
  </si>
  <si>
    <t>West Elm opened store leased square footage (calculated), 000s sq ft</t>
  </si>
  <si>
    <t>West Elm closed store leased square footage (calculated), 000s sq ft</t>
  </si>
  <si>
    <t>West Elm net leased square footage addition (calculated), 000s sq ft</t>
  </si>
  <si>
    <t>West Elm Leased Square Footage (Calculated) - EoP, 000s sq ft</t>
  </si>
  <si>
    <t>West Elm Leased Square Footage (Calculated) - Average, 000s sq ft</t>
  </si>
  <si>
    <t>West Elm comp store leased square footage - EoP (calculated), 000s sq ft</t>
  </si>
  <si>
    <t>West Elm comp store leased square footage - average (calculated), 000s sq ft</t>
  </si>
  <si>
    <t>West Elm new store leased square footage - EoP (calculated), 000s sq ft</t>
  </si>
  <si>
    <t>West Elm new store leased square footage - average (calculated), 000s sq ft</t>
  </si>
  <si>
    <t>Y/Y West Elm Comparable Brand Sales Growth, %</t>
  </si>
  <si>
    <t>Y/Y West Elm impact of store base change, %</t>
  </si>
  <si>
    <t>Y/Y West Elm new store sales growth, %</t>
  </si>
  <si>
    <t>Y/Y West Elm Non-Comparable Store Sales Growth, %</t>
  </si>
  <si>
    <t>Y/Y West Elm Revenue Growth, %</t>
  </si>
  <si>
    <t>West Elm closed store productivity (estimated), %</t>
  </si>
  <si>
    <t>West Elm closed and other impact on comp base (calculated), %</t>
  </si>
  <si>
    <t>West Elm prior year sales per comp store leased sq ft (calculated), $/sq ft</t>
  </si>
  <si>
    <t>West Elm sales per comp store leased sq ft (calculated), $/sq ft</t>
  </si>
  <si>
    <t>West Elm new store productivity (calculated), %</t>
  </si>
  <si>
    <t>West Elm sales per new store leased sq ft (calculated), $/sq ft</t>
  </si>
  <si>
    <t>West Elm Sales per Leased Square Foot (Calculated), $/sq ft</t>
  </si>
  <si>
    <t>West Elm comp store sales (calculated), mm</t>
  </si>
  <si>
    <t>West Elm new store sales (calculated), mm</t>
  </si>
  <si>
    <t>West Elm sales per comp store (calculated), k$/store</t>
  </si>
  <si>
    <t>West Elm sales per new store (calculated), k$/store</t>
  </si>
  <si>
    <t>West Elm Sales per Store (Calculated), k$/store</t>
  </si>
  <si>
    <t>Segmented Results - Williams Sonoma (FS)</t>
  </si>
  <si>
    <t>William Sonoma Stores - BoP, # of Stores</t>
  </si>
  <si>
    <t>William Sonoma stores opened, # of stores</t>
  </si>
  <si>
    <t>William Sonoma stores closed, # of stores</t>
  </si>
  <si>
    <t>William Sonoma Stores - EoP, # of Stores</t>
  </si>
  <si>
    <t>Q/Q William Sonoma stores - EoP growth, %</t>
  </si>
  <si>
    <t>Y/Y William Sonoma stores - EoP growth, %</t>
  </si>
  <si>
    <t>William Sonoma Stores - Average, # of stores</t>
  </si>
  <si>
    <t>Williams Sonoma comp Stores, # of stores</t>
  </si>
  <si>
    <t>Williams Sonoma new Stores, # of stores</t>
  </si>
  <si>
    <t>William Sonoma leased square footage per comp store (calculated), sq ft/store</t>
  </si>
  <si>
    <t>William Sonoma opened store size as a % of comp store (calculated), %</t>
  </si>
  <si>
    <t>William Sonoma closed store size as a % of prior comp store (estimated), %</t>
  </si>
  <si>
    <t>William Sonoma leased square footage per opened store (calculated), sq ft/store</t>
  </si>
  <si>
    <t>William Sonoma leased square footage per new store (calculated), sq ft/store</t>
  </si>
  <si>
    <t>William Sonoma Leased Square Footage Per Store, sq ft</t>
  </si>
  <si>
    <t>Williams Sonoma Leased Square Footage (Calculated) - BoP, 000s sq ft</t>
  </si>
  <si>
    <t>Williams Sonoma opened store leased square footage (calculated), 000s sq ft</t>
  </si>
  <si>
    <t>Williams Sonoma closed store leased square footage (calculated), 000s sq ft</t>
  </si>
  <si>
    <t>Williams Sonoma net leased square footage addition (calculated), 000s sq ft</t>
  </si>
  <si>
    <t>Williams Sonoma Leased Square Footage (Calculated) - EoP, 000s sq ft</t>
  </si>
  <si>
    <t>Williams Sonoma Leased Square Footage (Calculated) - Average, 000s sq ft</t>
  </si>
  <si>
    <t>Williams Sonoma comp store leased square footage - EoP (calculated), 000s sq ft</t>
  </si>
  <si>
    <t>Williams Sonoma comp store leased square footage - average (calculated), 000s sq ft</t>
  </si>
  <si>
    <t>Williams Sonoma new store leased square footage - EoP (calculated), 000s sq ft</t>
  </si>
  <si>
    <t>Williams Sonoma new store leased square footage - average (calculated), 000s sq ft</t>
  </si>
  <si>
    <t>Y/Y Williams Sonoma Comparable Brand Sales Growth, %</t>
  </si>
  <si>
    <t>Y/Y Williams Sonoma impact of store base change, %</t>
  </si>
  <si>
    <t>Y/Y Williams Sonoma new store sales growth, %</t>
  </si>
  <si>
    <t>Y/Y Williams Sonoma Non-Comparable Store Sales Growth, %</t>
  </si>
  <si>
    <t>Y/Y Williams Sonoma Revenue Growth, %</t>
  </si>
  <si>
    <t>Williams Sonoma closed store productivity (estimated), %</t>
  </si>
  <si>
    <t>Williams Sonoma closed and other impact on comp base (calculated), %</t>
  </si>
  <si>
    <t>Williams Sonoma prior year sales per comp store leased sq ft (calculated), $/sq ft</t>
  </si>
  <si>
    <t>Williams Sonoma sales per comp store leased sq ft (calculated), $/sq ft</t>
  </si>
  <si>
    <t>Williams Sonoma new store productivity (calculated), %</t>
  </si>
  <si>
    <t>Williams Sonoma sales per new store leased sq ft (calculated), $/sq ft</t>
  </si>
  <si>
    <t>Williams Sonoma Sales per Leased Square Foot (Calculated), $/sq ft</t>
  </si>
  <si>
    <t>Williams Sonoma comp store sales (calculated), mm</t>
  </si>
  <si>
    <t>Williams Sonoma new store sales (calculated), mm</t>
  </si>
  <si>
    <t>Williams Sonoma sales per comp store (calculated), k$/store</t>
  </si>
  <si>
    <t>Williams Sonoma sales per new store (calculated), k$/store</t>
  </si>
  <si>
    <t>Williams Sonoma Sales per Store (Calculated), k$/store</t>
  </si>
  <si>
    <t>Segmented Results - Pottery Barn Kids and Teen (FS)</t>
  </si>
  <si>
    <t>Pottery Barn Kids Stores - BoP, # of Stores</t>
  </si>
  <si>
    <t>Pottery Barn Kids stores opened, # of stores</t>
  </si>
  <si>
    <t>Pottery Barn Kids stores closed, # of stores</t>
  </si>
  <si>
    <t>Pottery Barn Kids Stores - EoP, # of Stores</t>
  </si>
  <si>
    <t>Q/Q Pottery Barn Kids stores - EoP growth, %</t>
  </si>
  <si>
    <t>Y/Y Pottery Barn Kids stores - EoP growth, %</t>
  </si>
  <si>
    <t>Pottery Barn Kids Stores - Average, # of stores</t>
  </si>
  <si>
    <t>Pottery Barn Kids Leased Square Footage per Store, sq ft/store</t>
  </si>
  <si>
    <t>Q/Q Pottery Barn Kids leased square footage per store growth, %</t>
  </si>
  <si>
    <t>Y/Y Pottery Barn Kids leased square footage per store growth, %</t>
  </si>
  <si>
    <t>Pottery Barn Kids Leased Square Footage - BoP, 000s sq ft</t>
  </si>
  <si>
    <t>Pottery Barn Kids net leased square footage addition, 000s sq ft</t>
  </si>
  <si>
    <t>Pottery Barn Kids Leased Square Footage - EoP, 000s sq ft</t>
  </si>
  <si>
    <t>Pottery Barn Kids Leased Square Footage - Average, 000s sq ft</t>
  </si>
  <si>
    <t>Y/Y Pottery Barn Kids and Teen non-comparable revenue growth, %</t>
  </si>
  <si>
    <t>Segmented Results - Other (FS)</t>
  </si>
  <si>
    <t>Rejuvenation Stores - BoP, # of Stores</t>
  </si>
  <si>
    <t>Rejuvenation stores opened, # of stores</t>
  </si>
  <si>
    <t>Rejuvenation stores closed, # of stores</t>
  </si>
  <si>
    <t>Rejuvenation Stores - EoP, # of Stores</t>
  </si>
  <si>
    <t>Q/Q Rejuvenation stores - EoP growth, %</t>
  </si>
  <si>
    <t>Y/Y Rejuvenation stores - EoP growth, %</t>
  </si>
  <si>
    <t>Rejuvenation Stores - Average, # of stores</t>
  </si>
  <si>
    <t>Rejuvenation Leased Square Footage per Store, sq ft/store</t>
  </si>
  <si>
    <t>Q/Q Rejuvenation leased square footage per store growth, %</t>
  </si>
  <si>
    <t>Y/Y Rejuvenation leased square footage per store growth, %</t>
  </si>
  <si>
    <t>Rejuvenation Leased Square Footage - BoP, 000s sq ft</t>
  </si>
  <si>
    <t>Rejuvenation net leased square footage addition, 000s sq ft</t>
  </si>
  <si>
    <t>Rejuvenation Leased Square Footage - EoP, 000s sq ft</t>
  </si>
  <si>
    <t>Rejuvenation Leased Square Footage - Average, 000s sq ft</t>
  </si>
  <si>
    <t>Segment Summary</t>
  </si>
  <si>
    <t>Pottery Barn stores - EoP, # of stores</t>
  </si>
  <si>
    <t>West Elm stores - EoP, # of stores</t>
  </si>
  <si>
    <t>William Sonoma stores - EoP, # of stores</t>
  </si>
  <si>
    <t>Pottery Barn Kids stores - EoP, # of stores</t>
  </si>
  <si>
    <t>Rejuvenation stores - EoP, # of stores</t>
  </si>
  <si>
    <t>Outlets, WSM Home, and Other stores - EoP, # of stores</t>
  </si>
  <si>
    <t>Y/Y Pottery Barn Kids comparable brand revenue growth, %</t>
  </si>
  <si>
    <t>Y/Y PBTeen comparable brand revenue growth, %</t>
  </si>
  <si>
    <t>Y/Y Total Comparable Brand Revenue Growth, %</t>
  </si>
  <si>
    <t>Y/Y Total Comparable Store Sales Growth, %</t>
  </si>
  <si>
    <t>Y/Y Total Comparable Demand Growth, %</t>
  </si>
  <si>
    <t>Pottery Barn revenue, mm</t>
  </si>
  <si>
    <t>West Elm revenue, mm</t>
  </si>
  <si>
    <t>Williams Sonoma revenue, mm</t>
  </si>
  <si>
    <t>Pottery Barn Kids revenue, mm</t>
  </si>
  <si>
    <t>Pbteen revenue, mm</t>
  </si>
  <si>
    <t>Pottery Barn Kids and Teen revenue, mm</t>
  </si>
  <si>
    <t>Other revenue, mm</t>
  </si>
  <si>
    <t>Pottery Barn revenue mix, %</t>
  </si>
  <si>
    <t>West Elm revenue mix, %</t>
  </si>
  <si>
    <t>Williams Sonoma revenue mix, %</t>
  </si>
  <si>
    <t>Pottery Barn Kids revenue mix, %</t>
  </si>
  <si>
    <t>Pbteen revenue mix, %</t>
  </si>
  <si>
    <t>Pottery Barn Kids and Teen revenue mix, %</t>
  </si>
  <si>
    <t>Other revenue mix, %</t>
  </si>
  <si>
    <t>Net revenue acquisition of Outward, mm</t>
  </si>
  <si>
    <t>Occupancy expense, mm</t>
  </si>
  <si>
    <t>Q/Q Occupancy expense growth, %</t>
  </si>
  <si>
    <t>Y/Y Occupancy expense growth, %</t>
  </si>
  <si>
    <t>Other COGS, mm</t>
  </si>
  <si>
    <t>COGS, mm</t>
  </si>
  <si>
    <t>Gross Profit other, mm</t>
  </si>
  <si>
    <t>Gross Profit acquisition of Outward, mm</t>
  </si>
  <si>
    <t>Gross Profit exit costs, mm</t>
  </si>
  <si>
    <t>Gross Profit employment-related expense, mm</t>
  </si>
  <si>
    <t>Gross Profit impairment and early termination charges, mm</t>
  </si>
  <si>
    <t>Gross Profit inventory write-off, mm</t>
  </si>
  <si>
    <t>Y/Y Adjusted gross margin occupancy impact, bps</t>
  </si>
  <si>
    <t>Y/Y Adjusted gross margin other impacts, bps</t>
  </si>
  <si>
    <t>SG&amp;A impact of unusual business events, mm</t>
  </si>
  <si>
    <t>SG&amp;A acquisition of Outward, mm</t>
  </si>
  <si>
    <t>SG&amp;A exit costs, mm</t>
  </si>
  <si>
    <t>SG&amp;A reduction-in-force Initiatives, mm</t>
  </si>
  <si>
    <t>SG&amp;A severance-related expenses, mm</t>
  </si>
  <si>
    <t>SG&amp;A employment-related expense, mm</t>
  </si>
  <si>
    <t>SG&amp;A impact of employee separation charges, mm</t>
  </si>
  <si>
    <t>SG&amp;A impairment and early termination charges, mm</t>
  </si>
  <si>
    <t>SG&amp;A tax legislation, mm</t>
  </si>
  <si>
    <t>SG&amp;A asset impairment, mm</t>
  </si>
  <si>
    <t>Impact of unusual business events, mm</t>
  </si>
  <si>
    <t>Acquisition of Outward, mm</t>
  </si>
  <si>
    <t>Exit costs, mm</t>
  </si>
  <si>
    <t>Reduction-in-force Initiatives, mm</t>
  </si>
  <si>
    <t>Severance-related expenses, mm</t>
  </si>
  <si>
    <t>Employment-related expense, mm</t>
  </si>
  <si>
    <t>Impact of employee separation charges, mm</t>
  </si>
  <si>
    <t>Impairment and early termination charges, mm</t>
  </si>
  <si>
    <t>Inventory write-off, mm</t>
  </si>
  <si>
    <t>Tax legislation, mm</t>
  </si>
  <si>
    <t>Asset impairment, mm</t>
  </si>
  <si>
    <t>Key Metrics - E-commerce &amp; Retail Revenue Breakdown (FS)</t>
  </si>
  <si>
    <t>E-Commerce net revenues (formerly direct-to-customer), mm</t>
  </si>
  <si>
    <t>Y/Y E-Commerce comparable revenue growth, %</t>
  </si>
  <si>
    <t>Retail net revenues, mm</t>
  </si>
  <si>
    <t>Y/Y Retail comparable revenue growth, %</t>
  </si>
  <si>
    <t>Y/Y Retail net revenue growth, %</t>
  </si>
  <si>
    <t>Total Net Revenues, mm</t>
  </si>
  <si>
    <t>Y/Y Total net revenue growth, %</t>
  </si>
  <si>
    <t>E-Commerce net revenues (formerly direct-to-customer) mix, %</t>
  </si>
  <si>
    <t>Retail net revenues mix, %</t>
  </si>
  <si>
    <t>Total Net Revenues Mix, %</t>
  </si>
  <si>
    <t>Key Metrics - Total Store Count (MD&amp;A)</t>
  </si>
  <si>
    <t>Total Company Operated Stores - BoP, # of stores</t>
  </si>
  <si>
    <t>Total company operated stores opened, # of stores</t>
  </si>
  <si>
    <t>Total company operated stores closed, # of stores</t>
  </si>
  <si>
    <t>Average Company Operated Stores, # of stores</t>
  </si>
  <si>
    <t>Comp stores, # of stores</t>
  </si>
  <si>
    <t>New stores, # of stores</t>
  </si>
  <si>
    <t>Total Franchised Stores - BoP, # of stores</t>
  </si>
  <si>
    <t>Total net franchised store addition, # of stores</t>
  </si>
  <si>
    <t>Total Franchised Stores - EoP, # of stores</t>
  </si>
  <si>
    <t>Total System-Wide Stores - BoP, # of stores</t>
  </si>
  <si>
    <t>Total net system-wide store addition, # of stores</t>
  </si>
  <si>
    <t>Total System-Wide Stores - EoP, # of stores</t>
  </si>
  <si>
    <t>Sales per Company Operated Store, k$/store</t>
  </si>
  <si>
    <t>Y/Y Sales per Company Operated Store Growth, %</t>
  </si>
  <si>
    <t>Key Metrics - Company Operated Store Square Footage (MD&amp;A)</t>
  </si>
  <si>
    <t>Total Store Leased Square Footage - BoP, 000s sq ft</t>
  </si>
  <si>
    <t>Net store leased square footage addition, 000s sq ft</t>
  </si>
  <si>
    <t>Total Store Leased Square Footage - EoP, 000s sq ft</t>
  </si>
  <si>
    <t>Total Store Leased Square Footage - Average, 000s sq ft</t>
  </si>
  <si>
    <t>Store Selling Square Footage - BoP, 000s sq ft</t>
  </si>
  <si>
    <t>Store selling square footage net addition, 000s sq ft</t>
  </si>
  <si>
    <t>Store Selling Square Footage - EoP, 000s sq ft</t>
  </si>
  <si>
    <t>Store Selling Square Footage - EoP, mm sq ft</t>
  </si>
  <si>
    <t>Store Selling Square Footage per Store (Calculated) - EoP, sqft/store</t>
  </si>
  <si>
    <t>Store selling square footage as % of total square footage, %</t>
  </si>
  <si>
    <t>Retail Revenue per Selling Square Foot, $/sq ft</t>
  </si>
  <si>
    <t>Y/Y Retail revenue per selling square foot growth, %</t>
  </si>
  <si>
    <t>Segmented Results - Averaged Leased Square Footage per Store (FS)</t>
  </si>
  <si>
    <t>Pottery Barn average leased square footage per store, sq ft/store</t>
  </si>
  <si>
    <t>West Elm average leased square footage per store, sq ft/store</t>
  </si>
  <si>
    <t>Williams Sonoma average leased square footage per store, sq ft/store</t>
  </si>
  <si>
    <t>Pottery Barn Kids average leased square footage per store, sq ft/store</t>
  </si>
  <si>
    <t>Rejuvenation average leased square footage per store, sq ft/store</t>
  </si>
  <si>
    <t>Outlets, WSM Home, and Other average leased square footage per store, sq ft/store</t>
  </si>
  <si>
    <t>Total Average Leased Square Footage per Store, sq ft/store</t>
  </si>
  <si>
    <t>Segmented Results - Geographical Breakdown (FS)</t>
  </si>
  <si>
    <t>U.S. Company Operated Stores - BoP, # of Stores</t>
  </si>
  <si>
    <t>U.S. net new company operated stores, # of Stores</t>
  </si>
  <si>
    <t>U.S. Company Operated Stores - EoP, # of Stores</t>
  </si>
  <si>
    <t>Canada Company Operated Stores - BoP, # of Stores</t>
  </si>
  <si>
    <t>Canada net new company operated stores, # of Stores</t>
  </si>
  <si>
    <t>Canada Company Operated Stores - EoP, # of Stores</t>
  </si>
  <si>
    <t>Australia Company Operated Stores - BoP, # of Stores</t>
  </si>
  <si>
    <t>Australia net new company operated stores, # of Stores</t>
  </si>
  <si>
    <t>Australia Company Operated Stores - EoP, # of Stores</t>
  </si>
  <si>
    <t>UK Company Operated Stores - BoP, # of Stores</t>
  </si>
  <si>
    <t>UK net new company operated stores, # of Stores</t>
  </si>
  <si>
    <t>UK Company Operated Stores - EoP, # of Stores</t>
  </si>
  <si>
    <t>International Company Operated Stores - BoP, # of Stores</t>
  </si>
  <si>
    <t>International net new company operated stores, # of Stores</t>
  </si>
  <si>
    <t>International Company Operated Stores - EoP, # of Stores</t>
  </si>
  <si>
    <t>U.S. revenue, mm</t>
  </si>
  <si>
    <t>Y/Y U.S. revenue growth, %</t>
  </si>
  <si>
    <t>International revenue, mm</t>
  </si>
  <si>
    <t>Y/Y International revenue growth, %</t>
  </si>
  <si>
    <t>U.S. revenue mix, %</t>
  </si>
  <si>
    <t>International revenue mix, %</t>
  </si>
  <si>
    <t>U.S. long-lived assets, mm</t>
  </si>
  <si>
    <t>International long-lived assets, mm</t>
  </si>
  <si>
    <t>Total Long-lived Assets, mm</t>
  </si>
  <si>
    <t>U.S. long-lived assets mix, %</t>
  </si>
  <si>
    <t>International long-lived assets mix, %</t>
  </si>
  <si>
    <t>Total Long-lived Assets Mix, %</t>
  </si>
  <si>
    <t>Key Metrics - B2B Breakdown (Transcript)</t>
  </si>
  <si>
    <t>Business-to-business revenue, mm</t>
  </si>
  <si>
    <t>Y/Y Business-to-business revenue growth, %</t>
  </si>
  <si>
    <t>Y/Y Business-to-business contribution to total comp growth, %</t>
  </si>
  <si>
    <t>Business-to-business demand, mm</t>
  </si>
  <si>
    <t>Y/Y Business-to-business demand growth, %</t>
  </si>
  <si>
    <t>Y/Y Contract business demand growth, %</t>
  </si>
  <si>
    <t>Key Metrics - Employees (10-K)</t>
  </si>
  <si>
    <t>Full-time employees, # of employees</t>
  </si>
  <si>
    <t>Non full-time employees, # of employees</t>
  </si>
  <si>
    <t>Total Employees, # of employees</t>
  </si>
  <si>
    <t>Key Metrics - Supplier Purchases (10-K)</t>
  </si>
  <si>
    <t>Share of purchases from the largest supplier, %</t>
  </si>
  <si>
    <t>Share of merchandise purchases from foreign vendors, %</t>
  </si>
  <si>
    <t>Key Metrics - Other Properties (FS)</t>
  </si>
  <si>
    <t>New Jersey distribution &amp; manufacturing leased facilities occupied sqft, 000s sq ft</t>
  </si>
  <si>
    <t>Mississippi distribution &amp; manufacturing leased facilities occupied sqft, 000s sq ft</t>
  </si>
  <si>
    <t>California distribution &amp; manufacturing leased facilities occupied sqft, 000s sq ft</t>
  </si>
  <si>
    <t>Georgia distribution &amp; manufacturing leased facilities occupied sqft, 000s sq ft</t>
  </si>
  <si>
    <t>Arizona distribution &amp; manufacturing leased facilities occupied sqft, 000s sq ft</t>
  </si>
  <si>
    <t>Texas distribution &amp; manufacturing leased facilities occupied sqft, 000s sq ft</t>
  </si>
  <si>
    <t>Tennessee distribution &amp; manufacturing leased facilities occupied sqft, 000s sq ft</t>
  </si>
  <si>
    <t>North Carolina distribution &amp; manufacturing leased facilities occupied sqft, 000s sq ft</t>
  </si>
  <si>
    <t>Ohio distribution &amp; manufacturing leased facilities occupied sqft, 000s sq ft</t>
  </si>
  <si>
    <t>Massachusetts distribution &amp; manufacturing leased facilities occupied sqft, 000s sq ft</t>
  </si>
  <si>
    <t>Florida distribution &amp; manufacturing leased facilities occupied sqft, 000s sq ft</t>
  </si>
  <si>
    <t>Oregon distribution &amp; manufacturing leased facilities occupied sqft, 000s sq ft</t>
  </si>
  <si>
    <t>Colorado distribution &amp; manufacturing leased facilities occupied sqft, 000s sq ft</t>
  </si>
  <si>
    <t>Australia distribution &amp; manufacturing leased facilities occupied sqft, 000s sq ft</t>
  </si>
  <si>
    <t>Other distribution &amp; manufacturing leased facilities occupied sqft, 000s sq ft</t>
  </si>
  <si>
    <t>Total Distribution &amp; Manufacturing Leased Facilities Occupied Sqft, 000s sq ft</t>
  </si>
  <si>
    <t>Brisbane corporate leased facilities occupied sqft, 000s sq ft</t>
  </si>
  <si>
    <t>San Francisco corporate leased facilities occupied sqft, 000s sq ft</t>
  </si>
  <si>
    <t>Rocklin corporate leased facilities occupied sqft, 000s sq ft</t>
  </si>
  <si>
    <t>California corporate leased facilities occupied sqft, 000s sq ft</t>
  </si>
  <si>
    <t>New York corporate leased facilities occupied sqft, 000s sq ft</t>
  </si>
  <si>
    <t>Oregon corporate leased facilities occupied sqft, 000s sq ft</t>
  </si>
  <si>
    <t>Other corporate leased facilities occupied sqft, 000s sq ft</t>
  </si>
  <si>
    <t>Total Corporate Leased Facilities Occupied Sqft, 000s sq ft</t>
  </si>
  <si>
    <t>Nevada leased customer care centers occupied sqft, 000s sq ft</t>
  </si>
  <si>
    <t>Oklahoma leased customer care centers occupied sqft, 000s sq ft</t>
  </si>
  <si>
    <t>California leased customer care centers occupied sqft, 000s sq ft</t>
  </si>
  <si>
    <t>Texas leased customer care centers occupied sqft, 000s sq ft</t>
  </si>
  <si>
    <t>Oregon leased customer care centers occupied sqft, 000s sq ft</t>
  </si>
  <si>
    <t>Other leased customer care centers occupied sqft, 000s sq ft</t>
  </si>
  <si>
    <t>Total Leased Customer Care Centers Occupied Sqft, 000s sq ft</t>
  </si>
  <si>
    <t>San Francisco owned square footage, 000s sq ft</t>
  </si>
  <si>
    <t>Rocklin owned square footage, 000s sq ft</t>
  </si>
  <si>
    <t>Tennessee owned square footage, 000s sq ft</t>
  </si>
  <si>
    <t>Other owned square footage, 000s sq ft</t>
  </si>
  <si>
    <t>Owned Square Footage, 000s sq ft</t>
  </si>
  <si>
    <t>Operating lease costs, mm</t>
  </si>
  <si>
    <t>Total Lease Costs, mm</t>
  </si>
  <si>
    <t>Rent expense, mm</t>
  </si>
  <si>
    <t>Contingent rent expense, mm</t>
  </si>
  <si>
    <t>Rent expense before deferred lease incentive income, mm</t>
  </si>
  <si>
    <t>Deferred lease incentive income, mm</t>
  </si>
  <si>
    <t>Sublease rental income, mm</t>
  </si>
  <si>
    <t>Segmented Results - E-commerce &amp; Retail (Historical)</t>
  </si>
  <si>
    <t>Segmented Results - Non-GAAP Metrics (FS) (Historical)</t>
  </si>
  <si>
    <t>E-Commerce Net Revenues (formerly direct-to-customer), mm</t>
  </si>
  <si>
    <t>E-Commerce Outward-related revenue adjustment, mm</t>
  </si>
  <si>
    <t>Non-GAAP E-Commerce Net Revenues, mm</t>
  </si>
  <si>
    <t>E-Commerce Operating Income, mm</t>
  </si>
  <si>
    <t>E-Commerce Outward-related adjustments, mm</t>
  </si>
  <si>
    <t>E-Commerce employment related expense, mm</t>
  </si>
  <si>
    <t>E-Commerce tax legislation, mm</t>
  </si>
  <si>
    <t>E-Commerce impairment and early termination charges, mm</t>
  </si>
  <si>
    <t>Non-GAAP E-Commerce Operating Income, mm</t>
  </si>
  <si>
    <t>Retail Operating Income, mm</t>
  </si>
  <si>
    <t>Retail unusual business events, mm</t>
  </si>
  <si>
    <t>Retail Outward-related adjustments, mm</t>
  </si>
  <si>
    <t>Retail employment related expense, mm</t>
  </si>
  <si>
    <t>Retail tax legislation, mm</t>
  </si>
  <si>
    <t>Retail impairment and early termination charges, mm</t>
  </si>
  <si>
    <t>Non-GAAP Retail Operating Income, mm</t>
  </si>
  <si>
    <t>Unallocated Operating Income, mm</t>
  </si>
  <si>
    <t>Unallocated unusual business events, mm</t>
  </si>
  <si>
    <t>Unallocated Outward-related adjustments, mm</t>
  </si>
  <si>
    <t>Unallocated severance-related expenses, mm</t>
  </si>
  <si>
    <t>Unallocated employment related expense, mm</t>
  </si>
  <si>
    <t>Unallocated impact of employee separation charges, mm</t>
  </si>
  <si>
    <t>Unallocated tax legislation, mm</t>
  </si>
  <si>
    <t>Unallocated impairment and early termination charges, mm</t>
  </si>
  <si>
    <t>Non-GAAP Unallocated Operating Income, mm</t>
  </si>
  <si>
    <t>Segmented Results - D&amp;A Breakdown (FS) (Historical)</t>
  </si>
  <si>
    <t>E-Commerce depreciation and amortization expense, mm</t>
  </si>
  <si>
    <t>Retail depreciation and amortization expense, mm</t>
  </si>
  <si>
    <t>Unallocated depreciation and amortization expense, mm</t>
  </si>
  <si>
    <t>Depreciation and Amortization Expense, mm</t>
  </si>
  <si>
    <t>Segmented Results - Capex Breakdown (FS) (Historical)</t>
  </si>
  <si>
    <t>E-Commerce capital expenditures, mm</t>
  </si>
  <si>
    <t>Retail capital expenditures, mm</t>
  </si>
  <si>
    <t>Unallocated capital expenditures, mm</t>
  </si>
  <si>
    <t>Total Capital Expenditures, mm</t>
  </si>
  <si>
    <t>Segmented Results - Asset Breakdown (FS) (Historical)</t>
  </si>
  <si>
    <t>E-Commerce assets, mm</t>
  </si>
  <si>
    <t>Retail assets, mm</t>
  </si>
  <si>
    <t>Unallocated assets, mm</t>
  </si>
  <si>
    <t>Key Metrics - Outlets, WSM Home, and Other Store Data (Historical)</t>
  </si>
  <si>
    <t>Outlets, WSM Home, and Other Stores - BoP, # of Stores</t>
  </si>
  <si>
    <t>Outlets, WSM Home, and Other stores opened, # of stores</t>
  </si>
  <si>
    <t>Outlets, WSM Home, and Other stores closed, # of stores</t>
  </si>
  <si>
    <t>Outlets, WSM Home, and Other Stores - EoP, # of Stores</t>
  </si>
  <si>
    <t>Y/Y Outlets, WSM Home, and Other stores - EoP growth, %</t>
  </si>
  <si>
    <t>Outlets, WSM Home, and Other Stores - Average, # of stores</t>
  </si>
  <si>
    <t>Outlets, WSM Home, and Other Leased Square Footage per Store, sq ft</t>
  </si>
  <si>
    <t>Net Revenues</t>
  </si>
  <si>
    <t>Interest (income) expense, net</t>
  </si>
  <si>
    <t>Earnings before Income Taxes</t>
  </si>
  <si>
    <t>Income taxes</t>
  </si>
  <si>
    <t>Net Earnings</t>
  </si>
  <si>
    <t>Acquisition of Outward</t>
  </si>
  <si>
    <t>Non-GAAP Net Revenues</t>
  </si>
  <si>
    <t>Occupancy costs</t>
  </si>
  <si>
    <t>Exit costs</t>
  </si>
  <si>
    <t>Non-GAAP Occupancy costs</t>
  </si>
  <si>
    <t>Employment-related expense</t>
  </si>
  <si>
    <t>Impairment and early termination charges</t>
  </si>
  <si>
    <t>Inventory write-off</t>
  </si>
  <si>
    <t>Non-GAAP Gross Profit</t>
  </si>
  <si>
    <t>Impact of unusual business events</t>
  </si>
  <si>
    <t>Reduction-in-force Initiatives</t>
  </si>
  <si>
    <t>Severance-related expenses</t>
  </si>
  <si>
    <t>Tax legislation</t>
  </si>
  <si>
    <t>Asset impairment</t>
  </si>
  <si>
    <t>Non-GAAP Selling, General and Administrative Expenses</t>
  </si>
  <si>
    <t>Impact of employee separation charges</t>
  </si>
  <si>
    <t>Non-GAAP Operating Income</t>
  </si>
  <si>
    <t>GAAP Income Taxes</t>
  </si>
  <si>
    <t>One-time favorable tax adjustment</t>
  </si>
  <si>
    <t>Deferred tax liability adjustment</t>
  </si>
  <si>
    <t>Impact of equity accounting rules</t>
  </si>
  <si>
    <t>Non-GAAP Income taxes</t>
  </si>
  <si>
    <t>Severance Charges</t>
  </si>
  <si>
    <t>Impact of accelerated vesting charge (CEO retirement)</t>
  </si>
  <si>
    <t>Tax Reform</t>
  </si>
  <si>
    <t>Impact of exiting excess distribution capacity</t>
  </si>
  <si>
    <t>Tax impact from adoption of accounting rules</t>
  </si>
  <si>
    <t>GAAP Diluted EPS</t>
  </si>
  <si>
    <t>Non-GAAP Diluted EPS</t>
  </si>
  <si>
    <t>Preferred stock dividends</t>
  </si>
  <si>
    <t>Common stock outstanding - EoP, mm shares</t>
  </si>
  <si>
    <t>Total diluted common stock outstanding - EoP, mm shares</t>
  </si>
  <si>
    <t>Total number of shares repurchased as part of publicly announced plans or programs, 000 shares</t>
  </si>
  <si>
    <t>Total purchase dollar value as part of publicly announced plans or programs (calculated), mm</t>
  </si>
  <si>
    <t>SBC Expense</t>
  </si>
  <si>
    <t>SBC expense as % of revenue, %</t>
  </si>
  <si>
    <t>Interest Expense</t>
  </si>
  <si>
    <t>Net earnings</t>
  </si>
  <si>
    <t>Loss on sale/disposal of assets</t>
  </si>
  <si>
    <t>Impairment of assets</t>
  </si>
  <si>
    <t>Amortization of deferred lease incentives</t>
  </si>
  <si>
    <t>Non-cash lease expense</t>
  </si>
  <si>
    <t>Tax benefit related to stock-based awards</t>
  </si>
  <si>
    <t>Excess tax benefit related to stock-based awards</t>
  </si>
  <si>
    <t>Other</t>
  </si>
  <si>
    <t>Prepaid catalog expenses</t>
  </si>
  <si>
    <t>Prepaid expenses and other assets</t>
  </si>
  <si>
    <t>Accrued salaries, benefits and other current and long-term liabilities</t>
  </si>
  <si>
    <t>Customer deposits</t>
  </si>
  <si>
    <t>Income taxes payable</t>
  </si>
  <si>
    <t>Purchases of property and equipment</t>
  </si>
  <si>
    <t>Restricted cash receipts</t>
  </si>
  <si>
    <t>Acquisition of businesses, net of cash received</t>
  </si>
  <si>
    <t>Proceeds from insurance reimbursements</t>
  </si>
  <si>
    <t>Borrowings under revolving line of credit</t>
  </si>
  <si>
    <t>Repayments of borrowings under revolving line of credit</t>
  </si>
  <si>
    <t>Proceeds from issuance of long-term debt</t>
  </si>
  <si>
    <t>Repurchase of common stock</t>
  </si>
  <si>
    <t>Repayment of long-term debt</t>
  </si>
  <si>
    <t>Payment of dividends</t>
  </si>
  <si>
    <t>Tax withholdings related to stock-based awards</t>
  </si>
  <si>
    <t>Proceeds related to stock-based awards</t>
  </si>
  <si>
    <t>Repayments of long-term obligations</t>
  </si>
  <si>
    <t>Cash paid during the year for interest</t>
  </si>
  <si>
    <t>Cash paid during the year for income taxes, net of refunds</t>
  </si>
  <si>
    <t>Accounts receivable, net, % of LTM Sales</t>
  </si>
  <si>
    <t>Merchandise inventories, net, % of LTM Sales</t>
  </si>
  <si>
    <t>Accounts payable, % of LTM Sales</t>
  </si>
  <si>
    <t>Accrued salaries, benefits and other, % of LTM Sales</t>
  </si>
  <si>
    <t>Customer deposits, % of LTM Sales</t>
  </si>
  <si>
    <t>Prepaid expenses, % of LTM Sales</t>
  </si>
  <si>
    <t>Accounts receivable, net, Y/Y Change, %</t>
  </si>
  <si>
    <t>Merchandise inventories, net, Y/Y Change, %</t>
  </si>
  <si>
    <t>Accounts payable, Y/Y Change, %</t>
  </si>
  <si>
    <t>Accrued salaries, benefits and other, Y/Y Change, %</t>
  </si>
  <si>
    <t>Customer deposits, Y/Y Change, %</t>
  </si>
  <si>
    <t>Prepaid expenses, Y/Y Change, %</t>
  </si>
  <si>
    <t>Accounts receivable, net</t>
  </si>
  <si>
    <t>Merchandise inventories, net</t>
  </si>
  <si>
    <t>Prepaid expenses</t>
  </si>
  <si>
    <t>Deferred income taxes, net</t>
  </si>
  <si>
    <t>Property and equipment, net</t>
  </si>
  <si>
    <t>Operating lease right-of-use assets</t>
  </si>
  <si>
    <t>Non-current deferred income taxes, net</t>
  </si>
  <si>
    <t>Other assets, net</t>
  </si>
  <si>
    <t>Accrued salaries, benefits and other</t>
  </si>
  <si>
    <t>Current operating lease liabilities</t>
  </si>
  <si>
    <t>Current portion of long-term debt</t>
  </si>
  <si>
    <t>Other liabilities</t>
  </si>
  <si>
    <t>Long-term debt</t>
  </si>
  <si>
    <t>Long-term operating lease liabilities</t>
  </si>
  <si>
    <t>Preferred stock</t>
  </si>
  <si>
    <t>Common stock</t>
  </si>
  <si>
    <t>Treasury stock, at cost</t>
  </si>
  <si>
    <t>Store Count = Store Count by Segments</t>
  </si>
  <si>
    <t>EBIT on RIS = EBIT on IS</t>
  </si>
  <si>
    <t>EBIT on RIS = EBIT on OEF</t>
  </si>
  <si>
    <t>EBT on RIS = EBT on OEF</t>
  </si>
  <si>
    <t>WSM_US</t>
  </si>
  <si>
    <t>NYSE:WSM</t>
  </si>
  <si>
    <t>WSM-US</t>
  </si>
  <si>
    <t>WSM.N</t>
  </si>
  <si>
    <t>MO_KPI_SSSG</t>
  </si>
  <si>
    <t>MO_KPI_Sqft</t>
  </si>
  <si>
    <t>MO_KPI_Sqft_Average</t>
  </si>
  <si>
    <t>MO_KPI_Sales_PerSqft</t>
  </si>
  <si>
    <t>MO_KPI_OnlineSalesPerc</t>
  </si>
  <si>
    <t>Tegus</t>
  </si>
  <si>
    <t>Gross Margin</t>
  </si>
  <si>
    <t>Operating margin</t>
  </si>
  <si>
    <t>WSM</t>
  </si>
  <si>
    <t>Selling</t>
  </si>
  <si>
    <t>General</t>
  </si>
  <si>
    <t>Administrative</t>
  </si>
  <si>
    <t>General as a % of revenue</t>
  </si>
  <si>
    <t>Wayfair</t>
  </si>
  <si>
    <t>Wayfair Inc.</t>
  </si>
  <si>
    <t>W US</t>
  </si>
  <si>
    <t>c</t>
  </si>
  <si>
    <t>Revenue Build (PR/FS)</t>
  </si>
  <si>
    <t>LTM Active Customers - BoP, 000s customers</t>
  </si>
  <si>
    <t>Net addition of active customers, 000s customers</t>
  </si>
  <si>
    <t>LTM Active Customers - EoP, 000s customers</t>
  </si>
  <si>
    <t>Q/Q LTM active customers - EoP growth, %</t>
  </si>
  <si>
    <t>Y/Y LTM active customers - EoP growth, %</t>
  </si>
  <si>
    <t>Order Frequency from LTM customers, # of orders/customer</t>
  </si>
  <si>
    <t>Y/Y Growth in order frequency, %</t>
  </si>
  <si>
    <t>LTM Orders Per Customer, # of orders/customer</t>
  </si>
  <si>
    <t>Y/Y Growth in LTM orders per customer, %</t>
  </si>
  <si>
    <t>Orders from repeat customers, 000s orders</t>
  </si>
  <si>
    <t>Repeat customers orders as % of total orders, %</t>
  </si>
  <si>
    <t>Orders from new customers, 000s orders</t>
  </si>
  <si>
    <t>Orders Delivered, 000s orders</t>
  </si>
  <si>
    <t>Q/Q Change in orders delivered, %</t>
  </si>
  <si>
    <t>Y/Y Change in orders delivered, %</t>
  </si>
  <si>
    <t>Share of orders placed via a mobile device, %</t>
  </si>
  <si>
    <t>Average Order Value, $/order</t>
  </si>
  <si>
    <t>Y/Y Growth in average order value, %</t>
  </si>
  <si>
    <t>Total Direct Retail Revenue, mm</t>
  </si>
  <si>
    <t>Y/Y Direct Retail revenue growth, %</t>
  </si>
  <si>
    <t>Consensus Estimates - Net Revenue, mm</t>
  </si>
  <si>
    <t>Guidance - Total Revenue, mm</t>
  </si>
  <si>
    <t>Q/Q Total revenue growth, %</t>
  </si>
  <si>
    <t>LTM Direct Retail Revenue Per Active Buyer, $/customer</t>
  </si>
  <si>
    <t>Y/Y Growth in LTM Direct Retail revenue per active buyer, %</t>
  </si>
  <si>
    <t>Segmented Results - Geographic Breakdown (FS/PR)</t>
  </si>
  <si>
    <t>United States revenue, mm</t>
  </si>
  <si>
    <t>Y/Y United States revenue growth, %</t>
  </si>
  <si>
    <t>Y/Y International constant currency revenue growth, %</t>
  </si>
  <si>
    <t>United States revenue mix, %</t>
  </si>
  <si>
    <t>United States adjusted EBITDA, mm</t>
  </si>
  <si>
    <t>International adjusted EBITDA, mm</t>
  </si>
  <si>
    <t>Adjusted EBITDA, mm</t>
  </si>
  <si>
    <t>United States adjusted EBITDA mix, %</t>
  </si>
  <si>
    <t>International adjusted EBITDA mix, %</t>
  </si>
  <si>
    <t>Adjusted EBITDA Mix, %</t>
  </si>
  <si>
    <t>United States adjusted EBITDA margin, %</t>
  </si>
  <si>
    <t>International adjusted EBITDA margin, %</t>
  </si>
  <si>
    <t>Operating Stats - SG&amp;A Breakdown (FS)</t>
  </si>
  <si>
    <t>Customer Service &amp; Merchant Fees, mm</t>
  </si>
  <si>
    <t>Customer service &amp; merchant fees expense margin, %</t>
  </si>
  <si>
    <t>Y/Y Customer service &amp; merchant fees expense margin improvement, bps</t>
  </si>
  <si>
    <t>Advertising, mm</t>
  </si>
  <si>
    <t>Advertising expense margin, %</t>
  </si>
  <si>
    <t>Y/Y Advertising expense margin improvement, bps</t>
  </si>
  <si>
    <t>Merchandising, Marketing &amp; Sales, mm</t>
  </si>
  <si>
    <t>Merchandising, marketing &amp; sales expense margin, %</t>
  </si>
  <si>
    <t>Y/Y Merchandising, marketing and sales expense margin improvement, bps</t>
  </si>
  <si>
    <t>Selling, Operations, Technology &amp; G&amp;A, mm</t>
  </si>
  <si>
    <t>Selling, operations, technology &amp; G&amp;A expense margin, %</t>
  </si>
  <si>
    <t>Y/Y Selling, operations, technology &amp; G&amp;A expense margin improvement, bps</t>
  </si>
  <si>
    <t>Y/Y SG&amp;A growth, %</t>
  </si>
  <si>
    <t>Total SG&amp;A Margin, %</t>
  </si>
  <si>
    <t>Y/Y SG&amp;A margin improvement, bps</t>
  </si>
  <si>
    <t>Shipping and Fulfillment costs, mm</t>
  </si>
  <si>
    <t>Product costs, mm</t>
  </si>
  <si>
    <t>Y/Y Gross profit growth, %</t>
  </si>
  <si>
    <t>Gross margin, %</t>
  </si>
  <si>
    <t>Consensus Estimates - Gross Margin, %</t>
  </si>
  <si>
    <t>Guidance - Gross Margin, %</t>
  </si>
  <si>
    <t>Y/Y Gross margin improvement, bps</t>
  </si>
  <si>
    <t>SG&amp;A, mm</t>
  </si>
  <si>
    <t>SG&amp;A margin, %</t>
  </si>
  <si>
    <t>Amortization of acquired intangible assets, mm</t>
  </si>
  <si>
    <t>One-time operating items, mm</t>
  </si>
  <si>
    <t>Y/Y EBIT growth, %</t>
  </si>
  <si>
    <t>EBIT margin, %</t>
  </si>
  <si>
    <t>Y/Y EBIT margin improvement, bps</t>
  </si>
  <si>
    <t>D&amp;A, mm</t>
  </si>
  <si>
    <t>SBC, mm</t>
  </si>
  <si>
    <t>SBC related taxes, mm</t>
  </si>
  <si>
    <t>Restructuring charges, mm</t>
  </si>
  <si>
    <t>Consensus Estimates - Adjusted EBITDA, mm</t>
  </si>
  <si>
    <t>Guidance - Adjusted EBITDA, mm</t>
  </si>
  <si>
    <t>Y/Y Adjusted EBITDA growth, %</t>
  </si>
  <si>
    <t>Guidance - Adjusted EBITDA Margin, %</t>
  </si>
  <si>
    <t>Y/Y Adjusted EBITDA Margin improvement, bps</t>
  </si>
  <si>
    <t>Key Metrics - Additional Cost Breakdowns (FS/PR)</t>
  </si>
  <si>
    <t>PPE depreciation expense, mm</t>
  </si>
  <si>
    <t>Intangibles amortization expense, mm</t>
  </si>
  <si>
    <t>Rounding discrepancy, mm</t>
  </si>
  <si>
    <t>Cost of goods sold SBC and related taxes, mm</t>
  </si>
  <si>
    <t>Customer service and merchant fees SBC and related taxes, mm</t>
  </si>
  <si>
    <t>Operations, technology and G&amp;A SBC and related taxes, mm</t>
  </si>
  <si>
    <t>Merchandising, marketing and sales SBC and related taxes, mm</t>
  </si>
  <si>
    <t>Total Equity Based Compensation and Related Taxes, mm</t>
  </si>
  <si>
    <t>SBC included in cost of goods sold, mm</t>
  </si>
  <si>
    <t>SBC included in customer service and merchant fees, mm</t>
  </si>
  <si>
    <t>SBC included in selling, operations, technology, general and administrative, mm</t>
  </si>
  <si>
    <t>Total SBC, mm</t>
  </si>
  <si>
    <t>Operating Lease Expense, mm</t>
  </si>
  <si>
    <t>Key Metrics - Employee Count (10-K)</t>
  </si>
  <si>
    <t>Sales and service employees in US and Europe, # of employees</t>
  </si>
  <si>
    <t>Full-time equivalent employees, # of employees</t>
  </si>
  <si>
    <t>Adjusted EBIT Margin (No Adjustments), %</t>
  </si>
  <si>
    <t>Customer service and merchant fees</t>
  </si>
  <si>
    <t>Advertising</t>
  </si>
  <si>
    <t>Merchandising, marketing and sales</t>
  </si>
  <si>
    <t>Selling, operations, technology, general and administrative</t>
  </si>
  <si>
    <t>Amortization of acquired intangible assets</t>
  </si>
  <si>
    <t>Restructuring charges</t>
  </si>
  <si>
    <t>Customer service center impairment and other charges</t>
  </si>
  <si>
    <t>Total Operating Expenses</t>
  </si>
  <si>
    <t>Loss from Operations</t>
  </si>
  <si>
    <t>Interest income, net</t>
  </si>
  <si>
    <t>Other income (expense), net</t>
  </si>
  <si>
    <t>Gain on debt extinguishment</t>
  </si>
  <si>
    <t>Loss before Income Taxes</t>
  </si>
  <si>
    <t>Provision for income taxes</t>
  </si>
  <si>
    <t>Net Loss</t>
  </si>
  <si>
    <t>Accretion of convertible redeemable preferred units</t>
  </si>
  <si>
    <t>Interest expense associated with convertible debt</t>
  </si>
  <si>
    <t>Net Loss Attributable to Common Stockholders</t>
  </si>
  <si>
    <t>GAAP Net Loss</t>
  </si>
  <si>
    <t>Equity based compensation and related taxes</t>
  </si>
  <si>
    <t>Interest expense</t>
  </si>
  <si>
    <t>Other income</t>
  </si>
  <si>
    <t>Interest expense associated with convertible debt instruments</t>
  </si>
  <si>
    <t>Equity-based compensation and related taxes</t>
  </si>
  <si>
    <t>Non-GAAP Net Loss</t>
  </si>
  <si>
    <t>Net cash from operating activities</t>
  </si>
  <si>
    <t>Purchase of property and equipment</t>
  </si>
  <si>
    <t>Site and software development costs</t>
  </si>
  <si>
    <t>Free Cash Flow</t>
  </si>
  <si>
    <t>Total amortization of debt discount and issuance cost</t>
  </si>
  <si>
    <t>Guidance - Net Revenue</t>
  </si>
  <si>
    <t>Guidance - Gross Profit</t>
  </si>
  <si>
    <t>One-time operating items</t>
  </si>
  <si>
    <t>Guidance - Adjusted EBITDA</t>
  </si>
  <si>
    <t>Net Income to Common Shareholders</t>
  </si>
  <si>
    <t>Adjustments for Convertible Securities</t>
  </si>
  <si>
    <t>Diluted Net Income to Common Shareholders</t>
  </si>
  <si>
    <t>Non-GAAP Adjustments for Dilutive Securities</t>
  </si>
  <si>
    <t>Potentially Dilutive Securities</t>
  </si>
  <si>
    <t>Class B to Class A conversion ratio, x</t>
  </si>
  <si>
    <t>EoP Class A Common Stock, mm shares</t>
  </si>
  <si>
    <t>EoP Class B Common Stock, mm shares</t>
  </si>
  <si>
    <t>EoP Total Shares Outstanding, mm shares</t>
  </si>
  <si>
    <t>Restricted stock, mm shares</t>
  </si>
  <si>
    <t>EoP Total Shares Outstanding excl. restricted stock, mm shares</t>
  </si>
  <si>
    <t>Q/Q Basic Share Expansion from dilutive securities, %</t>
  </si>
  <si>
    <t>Y/Y Basic Share Expansion from dilutive securities, %</t>
  </si>
  <si>
    <t>Q/Q Basic Share Expansion from share issuance (buyback), %</t>
  </si>
  <si>
    <t>Y/Y Basic Share Expansion from share issuance (buyback), %</t>
  </si>
  <si>
    <t>Q/Q Basic Share Expansion Growth, %</t>
  </si>
  <si>
    <t>Y/Y Basic Share Expansion Growth, %</t>
  </si>
  <si>
    <t>Cover page Class A Share Count, mm shares</t>
  </si>
  <si>
    <t>Cover page Class B Share Count, mm shares</t>
  </si>
  <si>
    <t>Cover Page Share Count, mm shares</t>
  </si>
  <si>
    <t>Cumulative BoP Total Stock Options Outstanding, mm options</t>
  </si>
  <si>
    <t>Cumulative Granted Stock Options, mm options</t>
  </si>
  <si>
    <t>Cumulative Exercised Stock Options, mm options</t>
  </si>
  <si>
    <t>Cumulative Forfeited and Canceled Stock Options, mm options</t>
  </si>
  <si>
    <t>Cumulative Total Stock Options Outstanding, mm options</t>
  </si>
  <si>
    <t>Cumulative BoP Weighted Average Exercise Price, $/share</t>
  </si>
  <si>
    <t>Cumulative Granted Average Exercise Price, $/share</t>
  </si>
  <si>
    <t>Cumulative Exercised Average Exercise Price, $/share</t>
  </si>
  <si>
    <t>Cumulative Forfeited and Canceled Average Exercise Price, $/share</t>
  </si>
  <si>
    <t>Cumulative EoP Weighted Average Exercise Price, $/share</t>
  </si>
  <si>
    <t>BoP Total Stock Options Outstanding excl. granted &amp; acquisition, mm of options</t>
  </si>
  <si>
    <t>EoP Total Stock Options Outstanding excl. granted &amp; acquisition, mm of options</t>
  </si>
  <si>
    <t>BoP Weighted Average Exercise Price Per Share excl. granted and acquisition, $/share</t>
  </si>
  <si>
    <t>EoP Weighted Average Exercise Price Per Share excl. granted and acquisition, $/share</t>
  </si>
  <si>
    <t>Weighted Average Exercise Price, $/share</t>
  </si>
  <si>
    <t>EoP Total Stock Warrants Outstanding, mm warrants</t>
  </si>
  <si>
    <t>Dilutive Shares from Exercised Warrants (Treasury Method), mm shares</t>
  </si>
  <si>
    <t>Cumulative BoP Unvested RSUs, mm shares</t>
  </si>
  <si>
    <t>Cumulative Granted RSUs, mm shares</t>
  </si>
  <si>
    <t>Cumulative Vested RSUs, mm shares</t>
  </si>
  <si>
    <t>Cumulative Forfeited/Canceled RSUs, mm shares</t>
  </si>
  <si>
    <t>Cumulative EoP Unvested RSUs, mm shares</t>
  </si>
  <si>
    <t>BoP Unvested RSUs, mm shares</t>
  </si>
  <si>
    <t>Granted RSUs, mm shares</t>
  </si>
  <si>
    <t>Vested RSUs, mm shares</t>
  </si>
  <si>
    <t>Forfeited/Canceled RSUs, mm shares</t>
  </si>
  <si>
    <t>EoP Unvested PSUs, mm shares</t>
  </si>
  <si>
    <t>EoP Unvested PSOs, mm shares</t>
  </si>
  <si>
    <t>Others, mm shares</t>
  </si>
  <si>
    <t>ESPP Obligations, mm shares</t>
  </si>
  <si>
    <t>Treasury Method Diluted Shares from SBC, mm shares</t>
  </si>
  <si>
    <t>Diluted Shares from SBC plus Basic Shares to Basic Share Count Ratio, x</t>
  </si>
  <si>
    <t>2022 Notes Maturity Date, date</t>
  </si>
  <si>
    <t>2022 Notes Outstanding Principal EoP</t>
  </si>
  <si>
    <t>2022 Notes Outstanding Unamortized Debt Discount</t>
  </si>
  <si>
    <t>2022 Notes Outstanding Unamortized Debt Issuance Costs</t>
  </si>
  <si>
    <t>2022 Notes Outstanding Book Value</t>
  </si>
  <si>
    <t>Initial Conversion Price 2022, $/share</t>
  </si>
  <si>
    <t>Shares Issuable Upon Conversion, mm shares</t>
  </si>
  <si>
    <t>Dilutive Shares from Convertible Notes 2022, mm shares</t>
  </si>
  <si>
    <t>Shares Covered 2022, mm shares</t>
  </si>
  <si>
    <t>Initial Cap Price 2022, $/share</t>
  </si>
  <si>
    <t>Dilutive Offset from Capped Call 2022, mm shares</t>
  </si>
  <si>
    <t>Cash Paid for Exercising Call Options, mm</t>
  </si>
  <si>
    <t>2024 Notes Maturity Date, date</t>
  </si>
  <si>
    <t>2024 Notes Outstanding Principal EoP</t>
  </si>
  <si>
    <t>2024 Notes Outstanding Unamortized Debt Discount</t>
  </si>
  <si>
    <t>2024 Notes Outstanding Book Value</t>
  </si>
  <si>
    <t>Initial Conversion Price 2024, $/share</t>
  </si>
  <si>
    <t>Dilutive Shares from Convertible Notes 2024, mm shares</t>
  </si>
  <si>
    <t>Shares Covered 2024, mm shares</t>
  </si>
  <si>
    <t>Initial Cap Price 2024, $/share</t>
  </si>
  <si>
    <t>Dilutive Offset from Capped Call 2024, mm shares</t>
  </si>
  <si>
    <t>2024 Notes Net Share Increase from Note Conversion and Capped Call Exercise, mm shares</t>
  </si>
  <si>
    <t>2024 Notes Cash Payment on Capped Call Exercise</t>
  </si>
  <si>
    <t>2024 Notes Cash Payment on Note Principal Repayment</t>
  </si>
  <si>
    <t>2025 Notes Maturity Date, date</t>
  </si>
  <si>
    <t>2025 Notes Outstanding Principal EoP</t>
  </si>
  <si>
    <t>2025 Notes Outstanding Unamortized Debt Discount</t>
  </si>
  <si>
    <t>2025 Notes Outstanding Book Value</t>
  </si>
  <si>
    <t>Initial Conversion Price 2025, $/share</t>
  </si>
  <si>
    <t>Dilutive Shares from Convertible Notes 2025, mm shares</t>
  </si>
  <si>
    <t>Shares Covered 2025, mm shares</t>
  </si>
  <si>
    <t>Initial Cap Price 2025, $/share</t>
  </si>
  <si>
    <t>Dilutive Offset from Capped Call 2025, mm shares</t>
  </si>
  <si>
    <t>2025 Notes Net Share Increase from Note Conversion and Capped Call Exercise, mm shares</t>
  </si>
  <si>
    <t>2025 Notes Cash Payment on Capped Call Exercise</t>
  </si>
  <si>
    <t>2025 Notes Cash Payment on Note Principal Repayment</t>
  </si>
  <si>
    <t>2026 Notes Maturity Date, date</t>
  </si>
  <si>
    <t>2026 Notes Outstanding Principal EoP</t>
  </si>
  <si>
    <t>2026 Notes Outstanding Unamortized Debt Discount</t>
  </si>
  <si>
    <t>2026 Notes Outstanding Book Value</t>
  </si>
  <si>
    <t>Initial Conversion Price 2026, $/share</t>
  </si>
  <si>
    <t>Dilutive Shares from Convertible Notes 2026, mm shares</t>
  </si>
  <si>
    <t>Shares Covered 2026, mm shares</t>
  </si>
  <si>
    <t>Initial Cap Price 2026, $/share</t>
  </si>
  <si>
    <t>Dilutive Offset from Capped Call 2026, mm shares</t>
  </si>
  <si>
    <t>2026 Notes Net Share Increase from Note Conversion and Capped Call Exercise, mm shares</t>
  </si>
  <si>
    <t>2026 Notes Cash Payment on Capped Call Exercise</t>
  </si>
  <si>
    <t>2026 Notes Cash Payment on Note Principal Repayment</t>
  </si>
  <si>
    <t>2027 Notes Maturity Date, date</t>
  </si>
  <si>
    <t>2027 Notes Outstanding Principal EoP</t>
  </si>
  <si>
    <t>2027 Notes Outstanding Unamortized Debt Discount</t>
  </si>
  <si>
    <t>2027 Notes Outstanding Book Value</t>
  </si>
  <si>
    <t>Initial Conversion Price 2027, $/share</t>
  </si>
  <si>
    <t>Dilutive Shares from Convertible Notes 2027, mm shares</t>
  </si>
  <si>
    <t>Shares Covered 2027, mm shares</t>
  </si>
  <si>
    <t>Initial Cap Price 2027, $/share</t>
  </si>
  <si>
    <t>Dilutive Offset from Capped Call 2027, mm shares</t>
  </si>
  <si>
    <t>2027 Notes Net Share Increase from Note Conversion and Capped Call Exercise, mm shares</t>
  </si>
  <si>
    <t>2027 Notes Cash Payment on Capped Call Exercise</t>
  </si>
  <si>
    <t>2027 Notes Cash Payment on Note Principal Repayment</t>
  </si>
  <si>
    <t>2028 Notes Maturity Date, date</t>
  </si>
  <si>
    <t>2028 Notes Outstanding Principal EoP</t>
  </si>
  <si>
    <t>2028 Notes Outstanding Unamortized Debt Discount</t>
  </si>
  <si>
    <t>2028 Notes Outstanding Book Value</t>
  </si>
  <si>
    <t>Initial Conversion Price 2028, $/share</t>
  </si>
  <si>
    <t>Dilutive Shares from Convertible Notes 2028, mm shares</t>
  </si>
  <si>
    <t>Shares Covered 2028, mm shares</t>
  </si>
  <si>
    <t>Initial Cap Price 2028, $/share</t>
  </si>
  <si>
    <t>Dilutive Offset from Capped Call 2028, mm shares</t>
  </si>
  <si>
    <t>2028 Notes Net Share Increase from Note Conversion and Capped Call Exercise, mm shares</t>
  </si>
  <si>
    <t>2028 Notes Cash Payment on Capped Call Exercise</t>
  </si>
  <si>
    <t>2028 Notes Cash Payment on Note Principal Repayment</t>
  </si>
  <si>
    <t>2025 Accreting Notes Maturity Date, date</t>
  </si>
  <si>
    <t>2025 Accreting Notes Outstanding Principal EoP</t>
  </si>
  <si>
    <t>2025 Accreting Notes Outstanding Unamortized Debt Discount</t>
  </si>
  <si>
    <t>2025 Accreting Notes Outstanding Book Value</t>
  </si>
  <si>
    <t>Initial Conversion Price 2025 Accreting, $/share</t>
  </si>
  <si>
    <t>Dilutive Shares from Convertible Notes 2025 Accreting, mm shares</t>
  </si>
  <si>
    <t>2025 Accreting Notes Cash Payment on Note Principal Repayment</t>
  </si>
  <si>
    <t>2022 Note Amortization of Debt Discount Cost</t>
  </si>
  <si>
    <t>2024 Note Amortization of Debt Discount Cost</t>
  </si>
  <si>
    <t>2025 Note Amortization of Debt Discount Cost</t>
  </si>
  <si>
    <t>2026 Note Amortization of Debt Discount Cost</t>
  </si>
  <si>
    <t>2027 Note Amortization of Debt Discount Cost</t>
  </si>
  <si>
    <t>2028 Note Amortization of Debt Discount Cost</t>
  </si>
  <si>
    <t>2025 Accreting Note Amortization of Debt Discount Cost</t>
  </si>
  <si>
    <t>Total Amortization of Discount and Issuance Cost on Convertible Notes</t>
  </si>
  <si>
    <t>Total Dilutive Shares from Convertible Notes, mm shares</t>
  </si>
  <si>
    <t>Total Dilutive Offset from Capped Calls, mm shares</t>
  </si>
  <si>
    <t>Canalyst Fully Diluted Shares Outstanding, mm shares</t>
  </si>
  <si>
    <t>Canalyst Fully Diluted Market Cap</t>
  </si>
  <si>
    <t>Capped Call Impact</t>
  </si>
  <si>
    <t>Adjusted Cash</t>
  </si>
  <si>
    <t>Convertible Debt Conversion Impact</t>
  </si>
  <si>
    <t>Adjusted Debt</t>
  </si>
  <si>
    <t>Fully Diluted EV</t>
  </si>
  <si>
    <t>EV/NTM Sales - Fully Diluted, x</t>
  </si>
  <si>
    <t>EV/NTM EBITDA - Fully Diluted, x</t>
  </si>
  <si>
    <t>Guidance Analysis Section</t>
  </si>
  <si>
    <t>Revenue - Guidance Analysis</t>
  </si>
  <si>
    <t>Revenue guidance - initial midpoint, mm</t>
  </si>
  <si>
    <t>Revenue guidance - update 1 midpoint, mm</t>
  </si>
  <si>
    <t>Revenue guidance - update 2 midpoint, mm</t>
  </si>
  <si>
    <t>Revenue guidance - update 3 midpoint, mm</t>
  </si>
  <si>
    <t>Revenue guidance - most recent midpoint, mm</t>
  </si>
  <si>
    <t>Revenue - reported/model estimate, mm</t>
  </si>
  <si>
    <t>Revenue beat/(miss) vs. most recent guidance - midpoint, mm</t>
  </si>
  <si>
    <t>Relative revenue beat/(miss) vs. most recent guidance - midpoint, %</t>
  </si>
  <si>
    <t>Q/Q guided revenue growth, %</t>
  </si>
  <si>
    <t>Q/Q beat/(miss) revenue growth, %</t>
  </si>
  <si>
    <t>Q/Q revenue growth, %</t>
  </si>
  <si>
    <t>Y/Y guided revenue growth, %</t>
  </si>
  <si>
    <t>Y/Y beat/(miss) revenue growth, %</t>
  </si>
  <si>
    <t>Y/Y revenue growth, %</t>
  </si>
  <si>
    <t>Forward guidance - report date, date</t>
  </si>
  <si>
    <t>Forward quarterly guidance - applicable period, period</t>
  </si>
  <si>
    <t>Forward quarterly revenue guidance - low, mm</t>
  </si>
  <si>
    <t>Forward quarterly revenue guidance - high, mm</t>
  </si>
  <si>
    <t>Forward quarterly revenue guidance - midpoint, mm</t>
  </si>
  <si>
    <t>Forward quarterly revenue guidance variance, mm</t>
  </si>
  <si>
    <t>Forward quarterly revenue guidance variance (+/-), %</t>
  </si>
  <si>
    <t>Forward quarterly guided Q/Q revenue growth - low, %</t>
  </si>
  <si>
    <t>Forward quarterly guided Q/Q revenue growth - high, %</t>
  </si>
  <si>
    <t>Forward quarterly guided Q/Q revenue growth - midpoint, %</t>
  </si>
  <si>
    <t>Forward quarterly guided Y/Y revenue growth - low, %</t>
  </si>
  <si>
    <t>Forward quarterly guided Y/Y revenue growth - high, %</t>
  </si>
  <si>
    <t>Forward quarterly guided Y/Y revenue growth - midpoint, %</t>
  </si>
  <si>
    <t>Y/Y Implied annual guidance revenue growth, %</t>
  </si>
  <si>
    <t>Y/Y annual guidance beat/(miss) revenue growth, %</t>
  </si>
  <si>
    <t>Y/Y annual revenue growth, %</t>
  </si>
  <si>
    <t>Forward annual guidance - applicable period, period</t>
  </si>
  <si>
    <t>Forward annual revenue guidance - low, mm</t>
  </si>
  <si>
    <t>Forward annual revenue guidance - high, mm</t>
  </si>
  <si>
    <t>Forward annual revenue guidance - midpoint, mm</t>
  </si>
  <si>
    <t>Forward annual revenue guidance variance, mm</t>
  </si>
  <si>
    <t>Forward annual revenue guidance variance (+/-), %</t>
  </si>
  <si>
    <t>Forward annual guided Y/Y revenue growth - low, %</t>
  </si>
  <si>
    <t>Forward annual guided Y/Y revenue growth - high, %</t>
  </si>
  <si>
    <t>Forward annual guided Y/Y revenue growth - midpoint, %</t>
  </si>
  <si>
    <t>Gross Profit - Guidance Analysis</t>
  </si>
  <si>
    <t>Gross Profit guidance - initial midpoint, mm</t>
  </si>
  <si>
    <t>Gross Profit guidance - update 1 midpoint, mm</t>
  </si>
  <si>
    <t>Gross Profit guidance - update 2 midpoint, mm</t>
  </si>
  <si>
    <t>Gross Profit guidance - update 3 midpoint, mm</t>
  </si>
  <si>
    <t>Gross Profit guidance - most recent midpoint, mm</t>
  </si>
  <si>
    <t>Gross Profit - reported/model estimate, mm</t>
  </si>
  <si>
    <t>Gross Profit beat/(miss) vs. most recent guidance - midpoint, mm</t>
  </si>
  <si>
    <t>Relative gross profit beat/(miss) vs. most recent guidance - midpoint, %</t>
  </si>
  <si>
    <t>Q/Q guided gross profit growth, %</t>
  </si>
  <si>
    <t>Q/Q beat/(miss) gross profit growth, %</t>
  </si>
  <si>
    <t>Q/Q gross profit growth, %</t>
  </si>
  <si>
    <t>Y/Y guided gross profit growth, %</t>
  </si>
  <si>
    <t>Y/Y beat/(miss) gross profit growth, %</t>
  </si>
  <si>
    <t>Y/Y gross profit growth, %</t>
  </si>
  <si>
    <t>Gross Profit Margin guidance - initial midpoint, %</t>
  </si>
  <si>
    <t>Gross Profit Margin guidance - update 1 midpoint, %</t>
  </si>
  <si>
    <t>Gross Profit Margin guidance - update 2 midpoint, %</t>
  </si>
  <si>
    <t>Gross Profit Margin guidance - update 3 midpoint, %</t>
  </si>
  <si>
    <t>Gross Profit Margin guidance - most recent midpoint, %</t>
  </si>
  <si>
    <t>Gross Profit Margin - reported/model estimate, %</t>
  </si>
  <si>
    <t>Relative gross profit margin beat/(miss) vs. most recent guidance - midpoint, bps</t>
  </si>
  <si>
    <t>Forward quarterly gross profit guidance - low, mm</t>
  </si>
  <si>
    <t>Forward quarterly gross profit guidance - high, mm</t>
  </si>
  <si>
    <t>Forward quarterly gross profit guidance - midpoint, mm</t>
  </si>
  <si>
    <t>Forward quarterly gross profit guidance variance, mm</t>
  </si>
  <si>
    <t>Forward quarterly gross profit guidance variance (+/-), %</t>
  </si>
  <si>
    <t>Forward quarterly guided Q/Q gross profit growth - low, %</t>
  </si>
  <si>
    <t>Forward quarterly guided Q/Q gross profit growth - high, %</t>
  </si>
  <si>
    <t>Forward quarterly guided Q/Q gross profit growth - midpoint, %</t>
  </si>
  <si>
    <t>Forward quarterly guided Y/Y gross profit growth - low, %</t>
  </si>
  <si>
    <t>Forward quarterly guided Y/Y gross profit growth - high, %</t>
  </si>
  <si>
    <t>Forward quarterly guided Y/Y gross profit growth - midpoint, %</t>
  </si>
  <si>
    <t>Forward quarterly gross profit margin guidance - low, %</t>
  </si>
  <si>
    <t>Forward quarterly gross profit margin guidance - high, %</t>
  </si>
  <si>
    <t>Forward quarterly gross profit margin guidance - midpoint, %</t>
  </si>
  <si>
    <t>Forward quarterly gross profit margin guidance variance (+/-), bps</t>
  </si>
  <si>
    <t>Forward quarterly guided Q/Q gross profit margin improvement - low, bps</t>
  </si>
  <si>
    <t>Forward quarterly guided Q/Q gross profit margin improvement - high, bps</t>
  </si>
  <si>
    <t>Forward quarterly guided Q/Q gross profit margin improvement - midpoint, bps</t>
  </si>
  <si>
    <t>Forward quarterly guided Y/Y gross profit margin improvement - low, bps</t>
  </si>
  <si>
    <t>Forward quarterly guided Y/Y gross profit margin improvement - high, bps</t>
  </si>
  <si>
    <t>Forward quarterly guided Y/Y gross profit margin improvement - midpoint, bps</t>
  </si>
  <si>
    <t>Y/Y Implied annual guidance gross profit growth, %</t>
  </si>
  <si>
    <t>Y/Y annual guidance beat/(miss) gross profit growth, %</t>
  </si>
  <si>
    <t>Y/Y annual gross profit growth, %</t>
  </si>
  <si>
    <t>Forward annual gross profit guidance - low, mm</t>
  </si>
  <si>
    <t>Forward annual gross profit guidance - high, mm</t>
  </si>
  <si>
    <t>Forward annual gross profit guidance - midpoint, mm</t>
  </si>
  <si>
    <t>Forward annual gross profit guidance variance, mm</t>
  </si>
  <si>
    <t>Forward annual gross profit guidance variance (+/-), %</t>
  </si>
  <si>
    <t>Forward annual guided Y/Y gross profit growth - low, %</t>
  </si>
  <si>
    <t>Forward annual guided Y/Y gross profit growth - high, %</t>
  </si>
  <si>
    <t>Forward annual guided Y/Y gross profit growth - midpoint, %</t>
  </si>
  <si>
    <t>Forward annual gross profit margin guidance - low, %</t>
  </si>
  <si>
    <t>Forward annual gross profit margin guidance - high, %</t>
  </si>
  <si>
    <t>Forward annual gross profit margin guidance - midpoint, %</t>
  </si>
  <si>
    <t>Forward annual gross profit margin guidance variance (+/-), bps</t>
  </si>
  <si>
    <t>Forward annual guided Y/Y gross profit margin improvement - low, bps</t>
  </si>
  <si>
    <t>Forward annual guided Y/Y gross profit margin improvement - high, bps</t>
  </si>
  <si>
    <t>Forward annual guided Y/Y gross profit margin improvement - midpoint, bps</t>
  </si>
  <si>
    <t>Adjusted EBITDA - Guidance Analysis</t>
  </si>
  <si>
    <t>Adjusted EBITDA guidance - initial midpoint, mm</t>
  </si>
  <si>
    <t>Adjusted EBITDA guidance - update 1 midpoint, mm</t>
  </si>
  <si>
    <t>Adjusted EBITDA guidance - update 2 midpoint, mm</t>
  </si>
  <si>
    <t>Adjusted EBITDA guidance - update 3 midpoint, mm</t>
  </si>
  <si>
    <t>Adjusted EBITDA guidance - most recent midpoint, mm</t>
  </si>
  <si>
    <t>Adjusted EBITDA - reported/model estimate, mm</t>
  </si>
  <si>
    <t>Adjusted EBITDA beat/(miss) vs. most recent guidance - midpoint, mm</t>
  </si>
  <si>
    <t>Relative adjusted EBITDA beat/(miss) vs. most recent guidance - midpoint, %</t>
  </si>
  <si>
    <t>Q/Q guided adjusted EBITDA growth, %</t>
  </si>
  <si>
    <t>Q/Q beat/(miss) adjusted EBITDA growth, %</t>
  </si>
  <si>
    <t>Q/Q adjusted EBITDA growth, %</t>
  </si>
  <si>
    <t>Y/Y guided adjusted EBITDA growth, %</t>
  </si>
  <si>
    <t>Y/Y beat/(miss) adjusted EBITDA growth, %</t>
  </si>
  <si>
    <t>Y/Y adjusted EBITDA growth, %</t>
  </si>
  <si>
    <t>Adjusted EBITDA Margin guidance - initial midpoint, %</t>
  </si>
  <si>
    <t>Adjusted EBITDA Margin guidance - update 1 midpoint, %</t>
  </si>
  <si>
    <t>Adjusted EBITDA Margin guidance - update 2 midpoint, %</t>
  </si>
  <si>
    <t>Adjusted EBITDA Margin guidance - update 3 midpoint, %</t>
  </si>
  <si>
    <t>Adjusted EBITDA Margin guidance - most recent midpoint, %</t>
  </si>
  <si>
    <t>Adjusted EBITDA Margin - reported/model estimate, %</t>
  </si>
  <si>
    <t>Relative adjusted EBITDA margin beat/(miss) vs. most recent guidance - midpoint, bps</t>
  </si>
  <si>
    <t>Forward quarterly adjusted EBITDA guidance - low, mm</t>
  </si>
  <si>
    <t>Forward quarterly adjusted EBITDA guidance - high, mm</t>
  </si>
  <si>
    <t>Forward quarterly adjusted EBITDA guidance - midpoint, mm</t>
  </si>
  <si>
    <t>Forward quarterly adjusted EBITDA guidance variance, mm</t>
  </si>
  <si>
    <t>Forward quarterly adjusted EBITDA guidance variance (+/-), %</t>
  </si>
  <si>
    <t>Forward quarterly guided Q/Q adjusted EBITDA growth - low, %</t>
  </si>
  <si>
    <t>Forward quarterly guided Q/Q adjusted EBITDA growth - high, %</t>
  </si>
  <si>
    <t>Forward quarterly guided Q/Q adjusted EBITDA growth - midpoint, %</t>
  </si>
  <si>
    <t>Forward quarterly guided Y/Y adjusted EBITDA growth - low, %</t>
  </si>
  <si>
    <t>Forward quarterly guided Y/Y adjusted EBITDA growth - high, %</t>
  </si>
  <si>
    <t>Forward quarterly guided Y/Y adjusted EBITDA growth - midpoint, %</t>
  </si>
  <si>
    <t>Forward quarterly adjusted EBITDA margin guidance - low, %</t>
  </si>
  <si>
    <t>Forward quarterly adjusted EBITDA margin guidance - high, %</t>
  </si>
  <si>
    <t>Forward quarterly adjusted EBITDA margin guidance - midpoint, %</t>
  </si>
  <si>
    <t>Forward quarterly adjusted EBITDA margin guidance variance (+/-), bps</t>
  </si>
  <si>
    <t>Forward quarterly guided Q/Q adjusted EBITDA margin improvement - low, bps</t>
  </si>
  <si>
    <t>Forward quarterly guided Q/Q adjusted EBITDA margin improvement - high, bps</t>
  </si>
  <si>
    <t>Forward quarterly guided Q/Q adjusted EBITDA margin improvement - midpoint, bps</t>
  </si>
  <si>
    <t>Forward quarterly guided Y/Y adjusted EBITDA margin improvement - low, bps</t>
  </si>
  <si>
    <t>Forward quarterly guided Y/Y adjusted EBITDA margin improvement - high, bps</t>
  </si>
  <si>
    <t>Forward quarterly guided Y/Y adjusted EBITDA margin improvement - midpoint, bps</t>
  </si>
  <si>
    <t>Y/Y Implied annual guidance adjusted EBITDA growth, %</t>
  </si>
  <si>
    <t>Y/Y annual guidance beat/(miss) adjusted EBITDA growth, %</t>
  </si>
  <si>
    <t>Y/Y annual adjusted EBITDA growth, %</t>
  </si>
  <si>
    <t>Forward annual adjusted EBITDA guidance - low, mm</t>
  </si>
  <si>
    <t>Forward annual adjusted EBITDA guidance - high, mm</t>
  </si>
  <si>
    <t>Forward annual adjusted EBITDA guidance - midpoint, mm</t>
  </si>
  <si>
    <t>Forward annual adjusted EBITDA guidance variance, mm</t>
  </si>
  <si>
    <t>Forward annual adjusted EBITDA guidance variance (+/-), %</t>
  </si>
  <si>
    <t>Forward annual guided Y/Y adjusted EBITDA growth - low, %</t>
  </si>
  <si>
    <t>Forward annual guided Y/Y adjusted EBITDA growth - high, %</t>
  </si>
  <si>
    <t>Forward annual guided Y/Y adjusted EBITDA growth - midpoint, %</t>
  </si>
  <si>
    <t>Forward annual adjusted EBITDA margin guidance - low, %</t>
  </si>
  <si>
    <t>Forward annual adjusted EBITDA margin guidance - high, %</t>
  </si>
  <si>
    <t>Forward annual adjusted EBITDA margin guidance - midpoint, %</t>
  </si>
  <si>
    <t>Forward annual adjusted EBITDA margin guidance variance (+/-), bps</t>
  </si>
  <si>
    <t>Forward annual guided Y/Y adjusted EBITDA margin improvement - low, bps</t>
  </si>
  <si>
    <t>Forward annual guided Y/Y adjusted EBITDA margin improvement - high, bps</t>
  </si>
  <si>
    <t>Forward annual guided Y/Y adjusted EBITDA margin improvement - midpoint, bps</t>
  </si>
  <si>
    <t>Convertible Notes Issuance (Repayment)</t>
  </si>
  <si>
    <t>Non-Convertible Notes Issuance (Repayment)</t>
  </si>
  <si>
    <t>SBC expense, mm</t>
  </si>
  <si>
    <t>SBC expense as a % of revenue, %</t>
  </si>
  <si>
    <t>EV/Sales</t>
  </si>
  <si>
    <t>Net loss</t>
  </si>
  <si>
    <t>Equity based compensation</t>
  </si>
  <si>
    <t>Gain on sale of a business</t>
  </si>
  <si>
    <t>Deferred taxes</t>
  </si>
  <si>
    <t>Loss on impairment</t>
  </si>
  <si>
    <t>Amortization of discount and issuance costs on convertible notes</t>
  </si>
  <si>
    <t>Other non-cash adjustments</t>
  </si>
  <si>
    <t>Prepaid expenses and other current assets</t>
  </si>
  <si>
    <t>Due to related party</t>
  </si>
  <si>
    <t>Deferred revenue and other liabilities</t>
  </si>
  <si>
    <t>Purchase of short-term and long-term investments</t>
  </si>
  <si>
    <t>Sale and maturities of short-term investments</t>
  </si>
  <si>
    <t>Cash received from the sale of a business (net of cash sold)</t>
  </si>
  <si>
    <t>Cash paid for acquisition</t>
  </si>
  <si>
    <t>Other investing activities, net</t>
  </si>
  <si>
    <t>Taxes paid related to net share settlement of equity awards</t>
  </si>
  <si>
    <t>Net proceeds from issuance of series A preferred units</t>
  </si>
  <si>
    <t>Net proceeds from exercise of stock options</t>
  </si>
  <si>
    <t>Deferred financing costs</t>
  </si>
  <si>
    <t>Proceeds from issuance of convertible notes, net of issuance costs</t>
  </si>
  <si>
    <t>Proceeds from borrowings</t>
  </si>
  <si>
    <t>Repayment of borrowings</t>
  </si>
  <si>
    <t>Premiums paid for capped call confirmations</t>
  </si>
  <si>
    <t>Payment of principal upon maturity of convertible debt</t>
  </si>
  <si>
    <t>Payments to extinguish convertible debt</t>
  </si>
  <si>
    <t>Net proceeds from issuance of Series B convertible redeemable preferred units</t>
  </si>
  <si>
    <t>Repurchase of common units</t>
  </si>
  <si>
    <t>Dividends paid to Series A convertible redeemable preferred holders</t>
  </si>
  <si>
    <t>Repurchase of employee equity</t>
  </si>
  <si>
    <t>Common dividend paid</t>
  </si>
  <si>
    <t>Proceeds from initial public offering, net of fees</t>
  </si>
  <si>
    <t>Cash paid for interest on long-term debt</t>
  </si>
  <si>
    <t>Cash paid for interest on finance lease obligations</t>
  </si>
  <si>
    <t>Total cash paid for interest</t>
  </si>
  <si>
    <t>Income tax payments</t>
  </si>
  <si>
    <t>Accounts receivable, % of LTM Sales</t>
  </si>
  <si>
    <t>Inventories, % of LTM Sales</t>
  </si>
  <si>
    <t>Prepaid expenses and other current assets, % of LTM Sales</t>
  </si>
  <si>
    <t>Deferred revenue, % of LTM Sales</t>
  </si>
  <si>
    <t>Accounts receivable, Y/Y Change, %</t>
  </si>
  <si>
    <t>Inventories, Y/Y Change, %</t>
  </si>
  <si>
    <t>Prepaid expenses and other current assets, Y/Y Change, %</t>
  </si>
  <si>
    <t>Deferred revenue, Y/Y Change, %</t>
  </si>
  <si>
    <t>Prepaid expenses and other current assets, net</t>
  </si>
  <si>
    <t>Intangible assets, net</t>
  </si>
  <si>
    <t>Goodwill and intangible assets, net</t>
  </si>
  <si>
    <t>Other noncurrent assets</t>
  </si>
  <si>
    <t>Deferred revenue</t>
  </si>
  <si>
    <t>Operating lease liabilities, current</t>
  </si>
  <si>
    <t>Current portion of convertible notes</t>
  </si>
  <si>
    <t>Current portion of other debt</t>
  </si>
  <si>
    <t>Other current liabilities, excluding debt</t>
  </si>
  <si>
    <t>Non-current portion of convertible notes</t>
  </si>
  <si>
    <t>Non-current portion of other debt</t>
  </si>
  <si>
    <t>Lease financing obligation</t>
  </si>
  <si>
    <t>Convertible redeemable preferred units</t>
  </si>
  <si>
    <t>Accumulated deficit</t>
  </si>
  <si>
    <t>Segmented SG&amp;A = SG&amp;A on RIS</t>
  </si>
  <si>
    <t>Adjusted EBITDA in OPEX forecasting = Adjusted EBITDA on RIS</t>
  </si>
  <si>
    <t>Convertible notes on BS = Convertible notes BV in PDS</t>
  </si>
  <si>
    <t>W_US</t>
  </si>
  <si>
    <t>NYSE:W</t>
  </si>
  <si>
    <t>W-US</t>
  </si>
  <si>
    <t>W.N</t>
  </si>
  <si>
    <t>MO_OS_EmployeeCount</t>
  </si>
  <si>
    <t>MO_KPI_NMV_LTM</t>
  </si>
  <si>
    <t>MO_KPI_REV_Marketplace_LTM</t>
  </si>
  <si>
    <t>MO_KPI_REV_Direct_LTM</t>
  </si>
  <si>
    <t>MO_KPI_CAGR_3Y</t>
  </si>
  <si>
    <t>MO_KPI_CAGR_5Y</t>
  </si>
  <si>
    <t>MO_KPI_SiteTraffic_Growth</t>
  </si>
  <si>
    <t>MO_KPI_ActiveBuyers</t>
  </si>
  <si>
    <t>MO_KPI_NMV</t>
  </si>
  <si>
    <t>MO_KPI_Orders_Growth</t>
  </si>
  <si>
    <t>MO_KPI_AOV</t>
  </si>
  <si>
    <t>MO_KPI_AOV_Growth</t>
  </si>
  <si>
    <t>MO_KPI_CAC_Implied</t>
  </si>
  <si>
    <t>MO_KPI_CAC</t>
  </si>
  <si>
    <t>MO_MA_GM</t>
  </si>
  <si>
    <t>MO_MA_SGA</t>
  </si>
  <si>
    <t>MO_MA_EBIT</t>
  </si>
  <si>
    <t>Low - Y/Y Total revenue growth, %</t>
  </si>
  <si>
    <t>MO_GA_TotalRevenue</t>
  </si>
  <si>
    <t>High - Y/Y Total revenue growth, %</t>
  </si>
  <si>
    <t>Mid - Y/Y Total revenue growth, %</t>
  </si>
  <si>
    <t>Low - Gross Margin, %</t>
  </si>
  <si>
    <t>High - Gross Margin, %</t>
  </si>
  <si>
    <t>Mid - Gross Margin, %</t>
  </si>
  <si>
    <t>Low - Adjusted EBITDA Margin, %</t>
  </si>
  <si>
    <t>High - Adjusted EBITDA Margin, %</t>
  </si>
  <si>
    <t>Mid - Adjusted EBITDA Margin,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</si>
</sst>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$]#,##0;\([$$]#,##0\);&quot;–&quot;;@"/>
    <numFmt numFmtId="166" formatCode="_(&quot;$&quot;* #,##0_);_(&quot;$&quot;* \(#,##0\);_(&quot;$&quot;* &quot;-&quot;??_);_(@_)"/>
    <numFmt numFmtId="167" formatCode="_(#,##0.0%_);\(#,##0.0%\);_(&quot;–&quot;_)_%;_(@_)_%"/>
    <numFmt numFmtId="168" formatCode="#,##0;\(#,##0\);&quot;–&quot;;@"/>
    <numFmt numFmtId="169" formatCode="0.0\x;\(0.0\x\);&quot;–&quot;"/>
    <numFmt numFmtId="170" formatCode="_(* #,##0.0_);_(* \(#,##0.0\);_(* &quot;-&quot;??_);_(@_)"/>
    <numFmt numFmtId="171" formatCode="_(* #,##0.0_);_(* \(#,##0.0\);_(* &quot;-&quot;??_);_(&quot;Ticker :   &quot;@_)"/>
    <numFmt numFmtId="172" formatCode="_(* #,##0.0_);_(* \(#,##0.0\);_(* &quot;-&quot;??_);@"/>
    <numFmt numFmtId="173" formatCode=";;;"/>
    <numFmt numFmtId="174" formatCode="_(* #,##0.0_);_(* \(#,##0.0\);_(* &quot; - &quot;??_);_(&quot;Last Price (&quot;@&quot;) &quot;_)"/>
    <numFmt numFmtId="175" formatCode="_(&quot;$&quot;* 0.00_);_(&quot;$&quot;* \(0.00\);_(&quot;$&quot;* &quot;-&quot;??_);_(@_)"/>
    <numFmt numFmtId="176" formatCode="_(* #,##0.0_);_(* \(#,##0.0\);_(* &quot;-&quot;??_);_(&quot;Real-Time Stock Price :   &quot;@_)"/>
    <numFmt numFmtId="177" formatCode="_(* #,##0.0_);_(* \(#,##0.0\);_(* &quot;-&quot;??_);_(&quot;Model Sheet Currency :   &quot;@_)"/>
    <numFmt numFmtId="178" formatCode="_(* 0.0%_);_(* \-0.0%_);_(* &quot;-&quot;??_);_(@_)"/>
    <numFmt numFmtId="179" formatCode="_(&quot;$&quot;* #,##0.00_);_(&quot;$&quot;* \(#,##0.00\);_(&quot;$&quot;* &quot; - &quot;??_);_(@_)"/>
    <numFmt numFmtId="180" formatCode="_(* 0%_);_(* \-0%_);_(* &quot;-&quot;??_);_(@_)"/>
    <numFmt numFmtId="181" formatCode="m/dd/yy;@"/>
    <numFmt numFmtId="182" formatCode="_(* 0.000\ \x_);\ _(* &quot;n/a&quot;_);_(* &quot;-&quot;??_);_(@_)"/>
    <numFmt numFmtId="183" formatCode="m\-d\-yy"/>
    <numFmt numFmtId="184" formatCode="_(&quot;$&quot;* 0.00_);_(&quot;$&quot;* \(0.00\);_(&quot;$&quot;* &quot; - &quot;??_);_(@_)"/>
    <numFmt numFmtId="185" formatCode="_(&quot;$&quot;* 0.00_);_(&quot;$&quot;* \(0.00\);_(&quot;$&quot;* \&quot;\ \-\ \&quot;??_);_(@_)"/>
    <numFmt numFmtId="186" formatCode="_(&quot;$&quot;* 0.000_);_(&quot;$&quot;* \(0.000\);_(&quot;$&quot;* &quot;-&quot;??_);_(@_)"/>
    <numFmt numFmtId="187" formatCode="_(* 0.0\ \x_);\ _(* &quot;n/a&quot;_);_(* &quot;-&quot;??_);_(@_)"/>
    <numFmt numFmtId="188" formatCode="0.0%"/>
    <numFmt numFmtId="189" formatCode="_(\$* 0.00_);_(\$* \(0.00\);_(\$* &quot;-&quot;??_);_(@\ * \ &quot;Toggle  &gt;&gt;&gt;&quot;_)"/>
    <numFmt numFmtId="190" formatCode="_(\$* 0.00_);_(\$* \(0.00\);_(\$* &quot; - &quot;??_);_(@_)"/>
    <numFmt numFmtId="191" formatCode="_(* #,##0.000_);_(* \(#,##0.000\);_(* &quot;-&quot;??_);_(@_)"/>
    <numFmt numFmtId="192" formatCode="_(* #,##0.0_);_(* \(#,##0.0\);_(* &quot;-&quot;??_);_(&quot;Canalyst Ticker &gt;&gt; &quot;@_)"/>
    <numFmt numFmtId="193" formatCode="_(* #,##0.0_);_(* \(#,##0.0\);_(* &quot;-&quot;??_);_(&quot;Bloomberg &gt;&gt; &quot;@_)"/>
    <numFmt numFmtId="194" formatCode="_(* #,##0.0_);_(* \(#,##0.0\);_(* &quot;-&quot;??_);_(&quot;Capital IQ &gt;&gt; &quot;@_)"/>
    <numFmt numFmtId="195" formatCode="_(* #,##0.0_);_(* \(#,##0.0\);_(* &quot;-&quot;??_);_(&quot;FactSet &gt;&gt; &quot;@_)"/>
    <numFmt numFmtId="196" formatCode="_(* #,##0.0_);_(* \(#,##0.0\);_(* &quot; -&quot;??_);_(&quot;Refinitiv &gt;&gt; &quot;@_)"/>
    <numFmt numFmtId="197" formatCode="m/d/yy"/>
    <numFmt numFmtId="198" formatCode="_(&quot;$&quot;* #,##0.000_);_(&quot;$&quot;* \(#,##0.000\);_(&quot;$&quot;* &quot;-&quot;??_);_(@_)"/>
    <numFmt numFmtId="199" formatCode="yyyy\-mm\-dd"/>
    <numFmt numFmtId="200" formatCode="_(* 0.00\ \x_);\ _(* &quot;n/a&quot;_);_(* &quot;-&quot;??_);_(@_)"/>
    <numFmt numFmtId="201" formatCode="_(* #,##0.0_);_(* \(#,##0.0\);_(* &quot;-&quot;??_);_(&quot;Tegus Ticker &gt;&gt; &quot;@_)"/>
    <numFmt numFmtId="203" formatCode="_(&quot;$&quot;* 0_);_(&quot;$&quot;* \(0\);_(&quot;$&quot;* &quot;-&quot;??_);_(@_)"/>
    <numFmt numFmtId="204" formatCode="_(* 0.00%_);_(* \-0.00%_);_(* &quot;-&quot;??_);_(@_)"/>
    <numFmt numFmtId="205" formatCode="m/d/yy;@"/>
    <numFmt numFmtId="206" formatCode="_(&quot;$&quot;* 0.00_);_(&quot;$&quot;* \(0.00\);_(&quot;$&quot;* &quot;-&quot;??_);_(@\ * \ &quot;Toggle  &gt;&gt;&gt;&quot;_)"/>
  </numFmts>
  <fonts count="7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 Light"/>
      <family val="2"/>
    </font>
    <font>
      <sz val="12"/>
      <color theme="1"/>
      <name val="Calibri Light"/>
      <family val="2"/>
    </font>
    <font>
      <u/>
      <sz val="10"/>
      <color rgb="FF000000"/>
      <name val="Calibri Light"/>
      <family val="2"/>
    </font>
    <font>
      <b/>
      <sz val="10"/>
      <color rgb="FFFF0000"/>
      <name val="Calibri Light"/>
      <family val="2"/>
    </font>
    <font>
      <b/>
      <sz val="10"/>
      <color rgb="FF000000"/>
      <name val="Calibri Light"/>
      <family val="2"/>
    </font>
    <font>
      <b/>
      <sz val="10"/>
      <color theme="9"/>
      <name val="Calibri Light"/>
      <family val="2"/>
    </font>
    <font>
      <b/>
      <sz val="15"/>
      <color theme="4"/>
      <name val="Calibri Light"/>
      <family val="2"/>
    </font>
    <font>
      <b/>
      <sz val="14"/>
      <color theme="1"/>
      <name val="Calibri Light"/>
      <family val="2"/>
    </font>
    <font>
      <b/>
      <sz val="11"/>
      <color theme="1"/>
      <name val="Calibri Light"/>
      <family val="2"/>
    </font>
    <font>
      <b/>
      <sz val="10"/>
      <color theme="7"/>
      <name val="Calibri Light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  <font>
      <sz val="10"/>
      <color theme="1"/>
      <name val="Calibri Light"/>
      <family val="2"/>
    </font>
    <font>
      <b/>
      <sz val="11"/>
      <color theme="4"/>
      <name val="Calibri Light"/>
      <family val="2"/>
    </font>
    <font>
      <b/>
      <sz val="11"/>
      <color theme="7"/>
      <name val="Calibri Light"/>
      <family val="2"/>
    </font>
    <font>
      <b/>
      <u/>
      <sz val="10"/>
      <color rgb="FF000000"/>
      <name val="Calibri Light"/>
      <family val="2"/>
    </font>
    <font>
      <sz val="11"/>
      <name val="Calibri Light"/>
      <family val="2"/>
    </font>
    <font>
      <b/>
      <sz val="11"/>
      <color theme="9"/>
      <name val="Calibri Light"/>
      <family val="2"/>
    </font>
    <font>
      <b/>
      <u/>
      <sz val="11"/>
      <color rgb="FF000000"/>
      <name val="Calibri Light"/>
      <family val="2"/>
    </font>
    <font>
      <b/>
      <sz val="11"/>
      <color rgb="FF0000FF"/>
      <name val="Calibri Light"/>
      <family val="2"/>
    </font>
    <font>
      <sz val="11"/>
      <color rgb="FF0000FF"/>
      <name val="Calibri Light"/>
      <family val="2"/>
    </font>
    <font>
      <sz val="10"/>
      <color rgb="FF000000"/>
      <name val="Calibri Light"/>
      <family val="2"/>
    </font>
    <font>
      <b/>
      <u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FFFFFF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ptos Display"/>
      <family val="2"/>
      <scheme val="maj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u/>
      <sz val="26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000000"/>
      <name val="Aptos Narrow"/>
      <family val="2"/>
      <scheme val="minor"/>
    </font>
    <font>
      <i/>
      <sz val="11"/>
      <name val="Calibri"/>
      <family val="2"/>
    </font>
    <font>
      <i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FC"/>
      <name val="Calibri"/>
      <family val="2"/>
    </font>
    <font>
      <sz val="11"/>
      <color rgb="FF0000FC"/>
      <name val="Aptos Narrow"/>
      <family val="2"/>
      <scheme val="minor"/>
    </font>
    <font>
      <b/>
      <sz val="11"/>
      <color rgb="FFFFFFFF"/>
      <name val="Calibri"/>
      <family val="2"/>
    </font>
    <font>
      <i/>
      <sz val="11"/>
      <color rgb="FF000000"/>
      <name val="Aptos Narrow"/>
      <family val="2"/>
      <scheme val="minor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i/>
      <sz val="11"/>
      <color rgb="FF0000FC"/>
      <name val="Calibri"/>
      <family val="2"/>
    </font>
    <font>
      <b/>
      <i/>
      <sz val="11"/>
      <color rgb="FFFFFFFF"/>
      <name val="Calibri"/>
      <family val="2"/>
    </font>
    <font>
      <b/>
      <sz val="11"/>
      <name val="Aptos Narrow"/>
      <family val="2"/>
      <scheme val="minor"/>
    </font>
    <font>
      <sz val="11"/>
      <color rgb="FF0000FC"/>
      <name val="Calibri"/>
      <family val="2"/>
    </font>
    <font>
      <b/>
      <sz val="11"/>
      <color rgb="FF0000FC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i/>
      <sz val="11"/>
      <color rgb="FF0000FC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11"/>
      <color rgb="FF000000"/>
      <name val="Calibri"/>
      <family val="2"/>
    </font>
    <font>
      <b/>
      <i/>
      <sz val="1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u/>
      <sz val="22"/>
      <color theme="10"/>
      <name val="Aptos Narrow"/>
      <family val="2"/>
      <scheme val="minor"/>
    </font>
    <font>
      <sz val="11"/>
      <color theme="0"/>
      <name val="Calibri"/>
      <family val="2"/>
    </font>
    <font>
      <b/>
      <i/>
      <sz val="11"/>
      <color rgb="FF0000FC"/>
      <name val="Calibri"/>
      <family val="2"/>
    </font>
    <font>
      <b/>
      <i/>
      <sz val="11"/>
      <color rgb="FF000000"/>
      <name val="Aptos Narrow"/>
      <family val="2"/>
      <scheme val="minor"/>
    </font>
    <font>
      <sz val="12"/>
      <color rgb="FF0000FF"/>
      <name val="Calibri Light"/>
      <family val="2"/>
    </font>
    <font>
      <u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auto="1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5" borderId="11" applyNumberFormat="0" applyFont="0" applyAlignment="0" applyProtection="0"/>
    <xf numFmtId="0" fontId="36" fillId="8" borderId="0" applyNumberFormat="0" applyBorder="0" applyAlignment="0" applyProtection="0"/>
    <xf numFmtId="0" fontId="38" fillId="0" borderId="0"/>
    <xf numFmtId="44" fontId="47" fillId="0" borderId="0"/>
    <xf numFmtId="0" fontId="1" fillId="0" borderId="0"/>
  </cellStyleXfs>
  <cellXfs count="160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 applyAlignment="1">
      <alignment horizontal="left"/>
    </xf>
    <xf numFmtId="9" fontId="4" fillId="0" borderId="0" xfId="3" applyFont="1"/>
    <xf numFmtId="164" fontId="11" fillId="3" borderId="0" xfId="0" applyNumberFormat="1" applyFont="1" applyFill="1" applyAlignment="1">
      <alignment horizontal="left"/>
    </xf>
    <xf numFmtId="0" fontId="12" fillId="0" borderId="0" xfId="0" applyFont="1"/>
    <xf numFmtId="0" fontId="13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4" xfId="0" applyFont="1" applyFill="1" applyBorder="1"/>
    <xf numFmtId="6" fontId="4" fillId="0" borderId="0" xfId="0" applyNumberFormat="1" applyFont="1"/>
    <xf numFmtId="0" fontId="13" fillId="2" borderId="4" xfId="0" applyFont="1" applyFill="1" applyBorder="1" applyAlignment="1">
      <alignment horizontal="left"/>
    </xf>
    <xf numFmtId="44" fontId="14" fillId="0" borderId="4" xfId="2" applyFont="1" applyFill="1" applyBorder="1"/>
    <xf numFmtId="44" fontId="14" fillId="0" borderId="0" xfId="2" applyFont="1" applyFill="1" applyBorder="1"/>
    <xf numFmtId="0" fontId="4" fillId="0" borderId="6" xfId="0" applyFont="1" applyBorder="1"/>
    <xf numFmtId="0" fontId="13" fillId="2" borderId="4" xfId="0" applyFont="1" applyFill="1" applyBorder="1" applyAlignment="1">
      <alignment horizontal="left" indent="1"/>
    </xf>
    <xf numFmtId="0" fontId="11" fillId="2" borderId="4" xfId="0" applyFont="1" applyFill="1" applyBorder="1" applyAlignment="1">
      <alignment horizontal="left" indent="1"/>
    </xf>
    <xf numFmtId="164" fontId="16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/>
    <xf numFmtId="164" fontId="16" fillId="0" borderId="0" xfId="0" applyNumberFormat="1" applyFont="1" applyAlignment="1">
      <alignment horizontal="center" vertical="center"/>
    </xf>
    <xf numFmtId="0" fontId="13" fillId="2" borderId="7" xfId="0" applyFont="1" applyFill="1" applyBorder="1"/>
    <xf numFmtId="0" fontId="16" fillId="0" borderId="0" xfId="0" applyFont="1"/>
    <xf numFmtId="0" fontId="13" fillId="0" borderId="0" xfId="0" applyFont="1"/>
    <xf numFmtId="164" fontId="13" fillId="0" borderId="0" xfId="0" applyNumberFormat="1" applyFont="1"/>
    <xf numFmtId="164" fontId="17" fillId="0" borderId="0" xfId="0" applyNumberFormat="1" applyFont="1"/>
    <xf numFmtId="164" fontId="18" fillId="0" borderId="0" xfId="0" applyNumberFormat="1" applyFont="1"/>
    <xf numFmtId="0" fontId="14" fillId="0" borderId="0" xfId="0" applyFont="1"/>
    <xf numFmtId="0" fontId="19" fillId="0" borderId="0" xfId="0" applyFont="1"/>
    <xf numFmtId="0" fontId="13" fillId="2" borderId="0" xfId="0" applyFont="1" applyFill="1"/>
    <xf numFmtId="43" fontId="4" fillId="0" borderId="0" xfId="0" applyNumberFormat="1" applyFont="1"/>
    <xf numFmtId="9" fontId="4" fillId="0" borderId="0" xfId="3" applyFont="1" applyAlignment="1">
      <alignment horizontal="center"/>
    </xf>
    <xf numFmtId="9" fontId="4" fillId="4" borderId="0" xfId="3" applyFont="1" applyFill="1" applyAlignment="1">
      <alignment horizontal="center"/>
    </xf>
    <xf numFmtId="0" fontId="4" fillId="4" borderId="0" xfId="0" applyFont="1" applyFill="1"/>
    <xf numFmtId="0" fontId="14" fillId="2" borderId="0" xfId="0" applyFont="1" applyFill="1"/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horizontal="left" indent="1"/>
    </xf>
    <xf numFmtId="164" fontId="14" fillId="3" borderId="0" xfId="1" applyNumberFormat="1" applyFont="1" applyFill="1" applyBorder="1"/>
    <xf numFmtId="0" fontId="4" fillId="3" borderId="0" xfId="0" applyFont="1" applyFill="1"/>
    <xf numFmtId="164" fontId="4" fillId="0" borderId="0" xfId="0" applyNumberFormat="1" applyFont="1"/>
    <xf numFmtId="0" fontId="5" fillId="3" borderId="0" xfId="0" applyFont="1" applyFill="1"/>
    <xf numFmtId="164" fontId="13" fillId="3" borderId="0" xfId="1" applyNumberFormat="1" applyFont="1" applyFill="1" applyBorder="1"/>
    <xf numFmtId="0" fontId="7" fillId="3" borderId="0" xfId="0" applyFont="1" applyFill="1"/>
    <xf numFmtId="0" fontId="20" fillId="0" borderId="0" xfId="0" applyFont="1"/>
    <xf numFmtId="9" fontId="20" fillId="3" borderId="0" xfId="3" applyFont="1" applyFill="1"/>
    <xf numFmtId="164" fontId="13" fillId="3" borderId="0" xfId="0" applyNumberFormat="1" applyFont="1" applyFill="1"/>
    <xf numFmtId="164" fontId="4" fillId="3" borderId="0" xfId="0" applyNumberFormat="1" applyFont="1" applyFill="1"/>
    <xf numFmtId="0" fontId="22" fillId="0" borderId="0" xfId="0" applyFont="1"/>
    <xf numFmtId="0" fontId="11" fillId="0" borderId="0" xfId="0" applyFont="1"/>
    <xf numFmtId="0" fontId="13" fillId="0" borderId="3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left" indent="1"/>
    </xf>
    <xf numFmtId="165" fontId="14" fillId="3" borderId="4" xfId="2" applyNumberFormat="1" applyFont="1" applyFill="1" applyBorder="1"/>
    <xf numFmtId="165" fontId="14" fillId="3" borderId="0" xfId="2" applyNumberFormat="1" applyFont="1" applyFill="1" applyBorder="1"/>
    <xf numFmtId="165" fontId="14" fillId="3" borderId="10" xfId="2" applyNumberFormat="1" applyFont="1" applyFill="1" applyBorder="1"/>
    <xf numFmtId="165" fontId="13" fillId="3" borderId="4" xfId="2" applyNumberFormat="1" applyFont="1" applyFill="1" applyBorder="1"/>
    <xf numFmtId="165" fontId="13" fillId="3" borderId="0" xfId="2" applyNumberFormat="1" applyFont="1" applyFill="1" applyBorder="1"/>
    <xf numFmtId="165" fontId="13" fillId="3" borderId="10" xfId="2" applyNumberFormat="1" applyFont="1" applyFill="1" applyBorder="1"/>
    <xf numFmtId="165" fontId="14" fillId="3" borderId="7" xfId="2" applyNumberFormat="1" applyFont="1" applyFill="1" applyBorder="1"/>
    <xf numFmtId="165" fontId="14" fillId="3" borderId="8" xfId="2" applyNumberFormat="1" applyFont="1" applyFill="1" applyBorder="1"/>
    <xf numFmtId="165" fontId="14" fillId="3" borderId="9" xfId="2" applyNumberFormat="1" applyFont="1" applyFill="1" applyBorder="1"/>
    <xf numFmtId="165" fontId="11" fillId="3" borderId="10" xfId="2" applyNumberFormat="1" applyFont="1" applyFill="1" applyBorder="1"/>
    <xf numFmtId="166" fontId="15" fillId="3" borderId="9" xfId="2" applyNumberFormat="1" applyFont="1" applyFill="1" applyBorder="1"/>
    <xf numFmtId="165" fontId="14" fillId="0" borderId="3" xfId="2" applyNumberFormat="1" applyFont="1" applyFill="1" applyBorder="1"/>
    <xf numFmtId="9" fontId="23" fillId="2" borderId="4" xfId="0" applyNumberFormat="1" applyFont="1" applyFill="1" applyBorder="1" applyAlignment="1">
      <alignment horizontal="left" indent="1"/>
    </xf>
    <xf numFmtId="165" fontId="24" fillId="0" borderId="5" xfId="2" applyNumberFormat="1" applyFont="1" applyFill="1" applyBorder="1"/>
    <xf numFmtId="165" fontId="24" fillId="0" borderId="2" xfId="2" applyNumberFormat="1" applyFont="1" applyFill="1" applyBorder="1"/>
    <xf numFmtId="165" fontId="24" fillId="0" borderId="2" xfId="2" applyNumberFormat="1" applyFont="1" applyBorder="1"/>
    <xf numFmtId="9" fontId="24" fillId="0" borderId="0" xfId="3" applyFont="1" applyFill="1"/>
    <xf numFmtId="164" fontId="20" fillId="3" borderId="8" xfId="1" applyNumberFormat="1" applyFont="1" applyFill="1" applyBorder="1"/>
    <xf numFmtId="164" fontId="14" fillId="3" borderId="8" xfId="1" applyNumberFormat="1" applyFont="1" applyFill="1" applyBorder="1"/>
    <xf numFmtId="167" fontId="4" fillId="3" borderId="0" xfId="0" applyNumberFormat="1" applyFont="1" applyFill="1"/>
    <xf numFmtId="0" fontId="25" fillId="3" borderId="0" xfId="0" applyFont="1" applyFill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65" fontId="28" fillId="0" borderId="0" xfId="2" applyNumberFormat="1" applyFont="1"/>
    <xf numFmtId="165" fontId="28" fillId="0" borderId="0" xfId="0" applyNumberFormat="1" applyFont="1"/>
    <xf numFmtId="44" fontId="28" fillId="0" borderId="0" xfId="0" applyNumberFormat="1" applyFont="1"/>
    <xf numFmtId="0" fontId="30" fillId="4" borderId="0" xfId="0" applyFont="1" applyFill="1" applyAlignment="1">
      <alignment horizontal="center" vertical="center"/>
    </xf>
    <xf numFmtId="0" fontId="28" fillId="4" borderId="0" xfId="0" applyFont="1" applyFill="1"/>
    <xf numFmtId="0" fontId="30" fillId="0" borderId="0" xfId="0" applyFont="1" applyAlignment="1">
      <alignment horizontal="center" vertical="center"/>
    </xf>
    <xf numFmtId="0" fontId="28" fillId="0" borderId="8" xfId="0" applyFont="1" applyBorder="1"/>
    <xf numFmtId="0" fontId="29" fillId="0" borderId="8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8" xfId="0" applyFont="1" applyBorder="1"/>
    <xf numFmtId="168" fontId="28" fillId="0" borderId="0" xfId="0" applyNumberFormat="1" applyFont="1"/>
    <xf numFmtId="169" fontId="28" fillId="0" borderId="0" xfId="0" applyNumberFormat="1" applyFont="1"/>
    <xf numFmtId="0" fontId="30" fillId="4" borderId="0" xfId="0" applyFont="1" applyFill="1"/>
    <xf numFmtId="167" fontId="28" fillId="0" borderId="0" xfId="0" applyNumberFormat="1" applyFont="1"/>
    <xf numFmtId="0" fontId="31" fillId="0" borderId="0" xfId="0" applyFont="1"/>
    <xf numFmtId="168" fontId="28" fillId="0" borderId="8" xfId="0" applyNumberFormat="1" applyFont="1" applyBorder="1"/>
    <xf numFmtId="168" fontId="29" fillId="0" borderId="0" xfId="0" applyNumberFormat="1" applyFont="1"/>
    <xf numFmtId="165" fontId="28" fillId="0" borderId="8" xfId="0" applyNumberFormat="1" applyFont="1" applyBorder="1"/>
    <xf numFmtId="0" fontId="32" fillId="0" borderId="0" xfId="0" applyFont="1"/>
    <xf numFmtId="0" fontId="28" fillId="0" borderId="0" xfId="0" applyFont="1" applyAlignment="1">
      <alignment horizontal="right"/>
    </xf>
    <xf numFmtId="165" fontId="28" fillId="0" borderId="0" xfId="0" applyNumberFormat="1" applyFont="1" applyAlignment="1">
      <alignment horizontal="right"/>
    </xf>
    <xf numFmtId="0" fontId="29" fillId="0" borderId="8" xfId="0" applyFont="1" applyBorder="1" applyAlignment="1">
      <alignment horizontal="centerContinuous"/>
    </xf>
    <xf numFmtId="0" fontId="29" fillId="0" borderId="0" xfId="0" applyFont="1" applyAlignment="1">
      <alignment horizontal="right" wrapText="1"/>
    </xf>
    <xf numFmtId="0" fontId="29" fillId="0" borderId="8" xfId="0" applyFont="1" applyBorder="1" applyAlignment="1">
      <alignment horizontal="right" wrapText="1"/>
    </xf>
    <xf numFmtId="169" fontId="29" fillId="0" borderId="0" xfId="0" applyNumberFormat="1" applyFont="1"/>
    <xf numFmtId="0" fontId="28" fillId="0" borderId="0" xfId="0" applyFont="1" applyAlignment="1">
      <alignment horizontal="left" indent="1"/>
    </xf>
    <xf numFmtId="44" fontId="29" fillId="0" borderId="0" xfId="0" applyNumberFormat="1" applyFont="1" applyAlignment="1">
      <alignment horizontal="left"/>
    </xf>
    <xf numFmtId="0" fontId="35" fillId="6" borderId="0" xfId="0" applyFont="1" applyFill="1"/>
    <xf numFmtId="0" fontId="28" fillId="6" borderId="0" xfId="0" applyFont="1" applyFill="1"/>
    <xf numFmtId="0" fontId="28" fillId="0" borderId="8" xfId="0" applyFont="1" applyBorder="1" applyAlignment="1">
      <alignment horizontal="centerContinuous"/>
    </xf>
    <xf numFmtId="165" fontId="29" fillId="0" borderId="0" xfId="0" applyNumberFormat="1" applyFont="1"/>
    <xf numFmtId="9" fontId="28" fillId="5" borderId="11" xfId="4" applyNumberFormat="1" applyFont="1"/>
    <xf numFmtId="0" fontId="29" fillId="7" borderId="0" xfId="0" applyFont="1" applyFill="1"/>
    <xf numFmtId="165" fontId="29" fillId="7" borderId="0" xfId="0" applyNumberFormat="1" applyFont="1" applyFill="1"/>
    <xf numFmtId="167" fontId="29" fillId="0" borderId="0" xfId="0" applyNumberFormat="1" applyFont="1"/>
    <xf numFmtId="0" fontId="39" fillId="9" borderId="0" xfId="6" applyFont="1" applyFill="1"/>
    <xf numFmtId="170" fontId="40" fillId="9" borderId="0" xfId="0" applyNumberFormat="1" applyFont="1" applyFill="1"/>
    <xf numFmtId="170" fontId="41" fillId="9" borderId="0" xfId="0" applyNumberFormat="1" applyFont="1" applyFill="1"/>
    <xf numFmtId="14" fontId="40" fillId="9" borderId="0" xfId="0" applyNumberFormat="1" applyFont="1" applyFill="1"/>
    <xf numFmtId="14" fontId="40" fillId="9" borderId="12" xfId="0" applyNumberFormat="1" applyFont="1" applyFill="1" applyBorder="1"/>
    <xf numFmtId="170" fontId="0" fillId="9" borderId="0" xfId="0" applyNumberFormat="1" applyFill="1"/>
    <xf numFmtId="170" fontId="0" fillId="0" borderId="0" xfId="0" applyNumberFormat="1"/>
    <xf numFmtId="171" fontId="1" fillId="9" borderId="0" xfId="0" applyNumberFormat="1" applyFont="1" applyFill="1" applyAlignment="1">
      <alignment horizontal="left"/>
    </xf>
    <xf numFmtId="172" fontId="42" fillId="9" borderId="0" xfId="0" applyNumberFormat="1" applyFont="1" applyFill="1" applyAlignment="1">
      <alignment horizontal="center"/>
    </xf>
    <xf numFmtId="173" fontId="0" fillId="9" borderId="0" xfId="0" applyNumberFormat="1" applyFill="1"/>
    <xf numFmtId="0" fontId="40" fillId="9" borderId="0" xfId="0" applyFont="1" applyFill="1"/>
    <xf numFmtId="16" fontId="43" fillId="9" borderId="0" xfId="0" applyNumberFormat="1" applyFont="1" applyFill="1"/>
    <xf numFmtId="0" fontId="43" fillId="9" borderId="0" xfId="0" applyFont="1" applyFill="1"/>
    <xf numFmtId="16" fontId="40" fillId="9" borderId="0" xfId="0" applyNumberFormat="1" applyFont="1" applyFill="1"/>
    <xf numFmtId="0" fontId="44" fillId="9" borderId="0" xfId="0" applyFont="1" applyFill="1"/>
    <xf numFmtId="16" fontId="44" fillId="9" borderId="0" xfId="0" applyNumberFormat="1" applyFont="1" applyFill="1"/>
    <xf numFmtId="0" fontId="44" fillId="9" borderId="12" xfId="0" applyFont="1" applyFill="1" applyBorder="1"/>
    <xf numFmtId="0" fontId="45" fillId="9" borderId="0" xfId="0" applyFont="1" applyFill="1"/>
    <xf numFmtId="0" fontId="45" fillId="0" borderId="0" xfId="0" applyFont="1"/>
    <xf numFmtId="174" fontId="46" fillId="9" borderId="0" xfId="0" applyNumberFormat="1" applyFont="1" applyFill="1" applyAlignment="1">
      <alignment horizontal="left"/>
    </xf>
    <xf numFmtId="175" fontId="46" fillId="9" borderId="0" xfId="7" applyNumberFormat="1" applyFont="1" applyFill="1" applyAlignment="1">
      <alignment horizontal="center"/>
    </xf>
    <xf numFmtId="1" fontId="48" fillId="10" borderId="0" xfId="0" applyNumberFormat="1" applyFont="1" applyFill="1" applyAlignment="1">
      <alignment horizontal="center"/>
    </xf>
    <xf numFmtId="1" fontId="48" fillId="9" borderId="0" xfId="0" applyNumberFormat="1" applyFont="1" applyFill="1" applyAlignment="1">
      <alignment horizontal="center"/>
    </xf>
    <xf numFmtId="1" fontId="48" fillId="10" borderId="12" xfId="0" applyNumberFormat="1" applyFont="1" applyFill="1" applyBorder="1" applyAlignment="1">
      <alignment horizontal="center"/>
    </xf>
    <xf numFmtId="1" fontId="49" fillId="9" borderId="0" xfId="0" applyNumberFormat="1" applyFont="1" applyFill="1" applyAlignment="1">
      <alignment horizontal="center"/>
    </xf>
    <xf numFmtId="1" fontId="49" fillId="10" borderId="0" xfId="0" applyNumberFormat="1" applyFont="1" applyFill="1" applyAlignment="1">
      <alignment horizontal="center"/>
    </xf>
    <xf numFmtId="170" fontId="45" fillId="9" borderId="0" xfId="0" applyNumberFormat="1" applyFont="1" applyFill="1" applyAlignment="1">
      <alignment horizontal="center"/>
    </xf>
    <xf numFmtId="170" fontId="45" fillId="0" borderId="0" xfId="0" applyNumberFormat="1" applyFont="1" applyAlignment="1">
      <alignment horizontal="center"/>
    </xf>
    <xf numFmtId="176" fontId="37" fillId="9" borderId="0" xfId="0" applyNumberFormat="1" applyFont="1" applyFill="1"/>
    <xf numFmtId="0" fontId="45" fillId="9" borderId="0" xfId="0" applyFont="1" applyFill="1" applyAlignment="1">
      <alignment horizontal="center"/>
    </xf>
    <xf numFmtId="17" fontId="50" fillId="10" borderId="0" xfId="0" applyNumberFormat="1" applyFont="1" applyFill="1" applyAlignment="1">
      <alignment horizontal="center"/>
    </xf>
    <xf numFmtId="17" fontId="50" fillId="9" borderId="0" xfId="0" applyNumberFormat="1" applyFont="1" applyFill="1" applyAlignment="1">
      <alignment horizontal="center"/>
    </xf>
    <xf numFmtId="17" fontId="42" fillId="9" borderId="0" xfId="0" applyNumberFormat="1" applyFont="1" applyFill="1" applyAlignment="1">
      <alignment horizontal="center"/>
    </xf>
    <xf numFmtId="17" fontId="50" fillId="10" borderId="12" xfId="0" applyNumberFormat="1" applyFont="1" applyFill="1" applyBorder="1" applyAlignment="1">
      <alignment horizontal="center"/>
    </xf>
    <xf numFmtId="17" fontId="42" fillId="10" borderId="0" xfId="0" applyNumberFormat="1" applyFont="1" applyFill="1" applyAlignment="1">
      <alignment horizontal="center"/>
    </xf>
    <xf numFmtId="0" fontId="0" fillId="9" borderId="0" xfId="0" applyFill="1"/>
    <xf numFmtId="177" fontId="37" fillId="9" borderId="0" xfId="0" applyNumberFormat="1" applyFont="1" applyFill="1"/>
    <xf numFmtId="0" fontId="46" fillId="9" borderId="0" xfId="7" applyNumberFormat="1" applyFont="1" applyFill="1" applyAlignment="1">
      <alignment horizontal="center"/>
    </xf>
    <xf numFmtId="0" fontId="49" fillId="10" borderId="0" xfId="0" applyFont="1" applyFill="1" applyAlignment="1">
      <alignment horizontal="center"/>
    </xf>
    <xf numFmtId="0" fontId="46" fillId="10" borderId="0" xfId="0" applyFont="1" applyFill="1" applyAlignment="1">
      <alignment horizontal="center"/>
    </xf>
    <xf numFmtId="0" fontId="46" fillId="9" borderId="0" xfId="0" applyFont="1" applyFill="1" applyAlignment="1">
      <alignment horizontal="center"/>
    </xf>
    <xf numFmtId="0" fontId="46" fillId="10" borderId="12" xfId="0" applyFont="1" applyFill="1" applyBorder="1" applyAlignment="1">
      <alignment horizontal="center"/>
    </xf>
    <xf numFmtId="178" fontId="51" fillId="11" borderId="0" xfId="0" applyNumberFormat="1" applyFont="1" applyFill="1"/>
    <xf numFmtId="178" fontId="51" fillId="11" borderId="12" xfId="0" applyNumberFormat="1" applyFont="1" applyFill="1" applyBorder="1"/>
    <xf numFmtId="178" fontId="45" fillId="9" borderId="0" xfId="0" applyNumberFormat="1" applyFont="1" applyFill="1"/>
    <xf numFmtId="178" fontId="45" fillId="0" borderId="0" xfId="0" applyNumberFormat="1" applyFont="1"/>
    <xf numFmtId="164" fontId="48" fillId="9" borderId="0" xfId="0" applyNumberFormat="1" applyFont="1" applyFill="1" applyAlignment="1">
      <alignment horizontal="left"/>
    </xf>
    <xf numFmtId="164" fontId="46" fillId="9" borderId="0" xfId="2" applyNumberFormat="1" applyFont="1" applyFill="1"/>
    <xf numFmtId="164" fontId="48" fillId="10" borderId="0" xfId="0" applyNumberFormat="1" applyFont="1" applyFill="1" applyAlignment="1">
      <alignment horizontal="right"/>
    </xf>
    <xf numFmtId="164" fontId="48" fillId="9" borderId="0" xfId="0" applyNumberFormat="1" applyFont="1" applyFill="1" applyAlignment="1">
      <alignment horizontal="right"/>
    </xf>
    <xf numFmtId="164" fontId="48" fillId="10" borderId="12" xfId="0" applyNumberFormat="1" applyFont="1" applyFill="1" applyBorder="1" applyAlignment="1">
      <alignment horizontal="right"/>
    </xf>
    <xf numFmtId="164" fontId="45" fillId="9" borderId="0" xfId="0" applyNumberFormat="1" applyFont="1" applyFill="1"/>
    <xf numFmtId="164" fontId="45" fillId="0" borderId="0" xfId="0" applyNumberFormat="1" applyFont="1"/>
    <xf numFmtId="178" fontId="44" fillId="9" borderId="0" xfId="0" applyNumberFormat="1" applyFont="1" applyFill="1" applyAlignment="1">
      <alignment horizontal="left" indent="1"/>
    </xf>
    <xf numFmtId="178" fontId="52" fillId="9" borderId="0" xfId="2" applyNumberFormat="1" applyFont="1" applyFill="1"/>
    <xf numFmtId="178" fontId="44" fillId="10" borderId="0" xfId="0" applyNumberFormat="1" applyFont="1" applyFill="1" applyAlignment="1">
      <alignment horizontal="right"/>
    </xf>
    <xf numFmtId="178" fontId="53" fillId="9" borderId="0" xfId="0" applyNumberFormat="1" applyFont="1" applyFill="1" applyAlignment="1">
      <alignment horizontal="right"/>
    </xf>
    <xf numFmtId="178" fontId="44" fillId="10" borderId="12" xfId="0" applyNumberFormat="1" applyFont="1" applyFill="1" applyBorder="1" applyAlignment="1">
      <alignment horizontal="right"/>
    </xf>
    <xf numFmtId="178" fontId="44" fillId="9" borderId="0" xfId="0" applyNumberFormat="1" applyFont="1" applyFill="1" applyAlignment="1">
      <alignment horizontal="right"/>
    </xf>
    <xf numFmtId="178" fontId="43" fillId="9" borderId="0" xfId="0" applyNumberFormat="1" applyFont="1" applyFill="1"/>
    <xf numFmtId="178" fontId="43" fillId="0" borderId="0" xfId="0" applyNumberFormat="1" applyFont="1"/>
    <xf numFmtId="178" fontId="48" fillId="9" borderId="0" xfId="0" applyNumberFormat="1" applyFont="1" applyFill="1" applyAlignment="1">
      <alignment horizontal="left"/>
    </xf>
    <xf numFmtId="178" fontId="46" fillId="9" borderId="0" xfId="2" applyNumberFormat="1" applyFont="1" applyFill="1"/>
    <xf numFmtId="178" fontId="48" fillId="10" borderId="0" xfId="0" applyNumberFormat="1" applyFont="1" applyFill="1" applyAlignment="1">
      <alignment horizontal="right"/>
    </xf>
    <xf numFmtId="178" fontId="54" fillId="9" borderId="0" xfId="0" applyNumberFormat="1" applyFont="1" applyFill="1" applyAlignment="1">
      <alignment horizontal="right"/>
    </xf>
    <xf numFmtId="178" fontId="48" fillId="10" borderId="12" xfId="0" applyNumberFormat="1" applyFont="1" applyFill="1" applyBorder="1" applyAlignment="1">
      <alignment horizontal="right"/>
    </xf>
    <xf numFmtId="178" fontId="48" fillId="9" borderId="0" xfId="0" applyNumberFormat="1" applyFont="1" applyFill="1" applyAlignment="1">
      <alignment horizontal="right"/>
    </xf>
    <xf numFmtId="170" fontId="40" fillId="9" borderId="0" xfId="0" applyNumberFormat="1" applyFont="1" applyFill="1" applyAlignment="1">
      <alignment horizontal="left" indent="1"/>
    </xf>
    <xf numFmtId="170" fontId="42" fillId="9" borderId="0" xfId="2" applyNumberFormat="1" applyFont="1" applyFill="1"/>
    <xf numFmtId="170" fontId="40" fillId="10" borderId="0" xfId="0" applyNumberFormat="1" applyFont="1" applyFill="1" applyAlignment="1">
      <alignment horizontal="right"/>
    </xf>
    <xf numFmtId="170" fontId="40" fillId="9" borderId="0" xfId="0" applyNumberFormat="1" applyFont="1" applyFill="1" applyAlignment="1">
      <alignment horizontal="right"/>
    </xf>
    <xf numFmtId="170" fontId="40" fillId="10" borderId="12" xfId="0" applyNumberFormat="1" applyFont="1" applyFill="1" applyBorder="1" applyAlignment="1">
      <alignment horizontal="right"/>
    </xf>
    <xf numFmtId="178" fontId="44" fillId="9" borderId="0" xfId="0" applyNumberFormat="1" applyFont="1" applyFill="1" applyAlignment="1">
      <alignment horizontal="left" indent="2"/>
    </xf>
    <xf numFmtId="178" fontId="55" fillId="9" borderId="0" xfId="0" applyNumberFormat="1" applyFont="1" applyFill="1" applyAlignment="1">
      <alignment horizontal="right"/>
    </xf>
    <xf numFmtId="178" fontId="55" fillId="10" borderId="0" xfId="0" applyNumberFormat="1" applyFont="1" applyFill="1" applyAlignment="1">
      <alignment horizontal="right"/>
    </xf>
    <xf numFmtId="170" fontId="48" fillId="9" borderId="2" xfId="0" applyNumberFormat="1" applyFont="1" applyFill="1" applyBorder="1" applyAlignment="1">
      <alignment horizontal="left"/>
    </xf>
    <xf numFmtId="170" fontId="46" fillId="9" borderId="2" xfId="2" applyNumberFormat="1" applyFont="1" applyFill="1" applyBorder="1"/>
    <xf numFmtId="170" fontId="48" fillId="10" borderId="2" xfId="0" applyNumberFormat="1" applyFont="1" applyFill="1" applyBorder="1" applyAlignment="1">
      <alignment horizontal="right"/>
    </xf>
    <xf numFmtId="170" fontId="48" fillId="9" borderId="2" xfId="0" applyNumberFormat="1" applyFont="1" applyFill="1" applyBorder="1" applyAlignment="1">
      <alignment horizontal="right"/>
    </xf>
    <xf numFmtId="170" fontId="48" fillId="10" borderId="13" xfId="0" applyNumberFormat="1" applyFont="1" applyFill="1" applyBorder="1" applyAlignment="1">
      <alignment horizontal="right"/>
    </xf>
    <xf numFmtId="170" fontId="45" fillId="9" borderId="0" xfId="0" applyNumberFormat="1" applyFont="1" applyFill="1"/>
    <xf numFmtId="170" fontId="45" fillId="0" borderId="0" xfId="0" applyNumberFormat="1" applyFont="1"/>
    <xf numFmtId="170" fontId="44" fillId="9" borderId="0" xfId="0" applyNumberFormat="1" applyFont="1" applyFill="1" applyAlignment="1">
      <alignment horizontal="left" indent="1"/>
    </xf>
    <xf numFmtId="170" fontId="52" fillId="9" borderId="0" xfId="2" applyNumberFormat="1" applyFont="1" applyFill="1"/>
    <xf numFmtId="170" fontId="44" fillId="10" borderId="0" xfId="0" applyNumberFormat="1" applyFont="1" applyFill="1" applyAlignment="1">
      <alignment horizontal="right"/>
    </xf>
    <xf numFmtId="170" fontId="44" fillId="9" borderId="0" xfId="0" applyNumberFormat="1" applyFont="1" applyFill="1" applyAlignment="1">
      <alignment horizontal="right"/>
    </xf>
    <xf numFmtId="170" fontId="44" fillId="10" borderId="12" xfId="0" applyNumberFormat="1" applyFont="1" applyFill="1" applyBorder="1" applyAlignment="1">
      <alignment horizontal="right"/>
    </xf>
    <xf numFmtId="170" fontId="43" fillId="9" borderId="0" xfId="0" applyNumberFormat="1" applyFont="1" applyFill="1"/>
    <xf numFmtId="170" fontId="43" fillId="0" borderId="0" xfId="0" applyNumberFormat="1" applyFont="1"/>
    <xf numFmtId="170" fontId="48" fillId="9" borderId="0" xfId="0" applyNumberFormat="1" applyFont="1" applyFill="1" applyAlignment="1">
      <alignment horizontal="left"/>
    </xf>
    <xf numFmtId="170" fontId="46" fillId="9" borderId="0" xfId="2" applyNumberFormat="1" applyFont="1" applyFill="1"/>
    <xf numFmtId="170" fontId="48" fillId="10" borderId="0" xfId="0" applyNumberFormat="1" applyFont="1" applyFill="1" applyAlignment="1">
      <alignment horizontal="right"/>
    </xf>
    <xf numFmtId="170" fontId="48" fillId="9" borderId="0" xfId="0" applyNumberFormat="1" applyFont="1" applyFill="1" applyAlignment="1">
      <alignment horizontal="right"/>
    </xf>
    <xf numFmtId="170" fontId="48" fillId="10" borderId="12" xfId="0" applyNumberFormat="1" applyFont="1" applyFill="1" applyBorder="1" applyAlignment="1">
      <alignment horizontal="right"/>
    </xf>
    <xf numFmtId="178" fontId="40" fillId="9" borderId="0" xfId="0" applyNumberFormat="1" applyFont="1" applyFill="1" applyAlignment="1">
      <alignment horizontal="left"/>
    </xf>
    <xf numFmtId="178" fontId="42" fillId="9" borderId="0" xfId="2" applyNumberFormat="1" applyFont="1" applyFill="1"/>
    <xf numFmtId="178" fontId="40" fillId="10" borderId="0" xfId="0" applyNumberFormat="1" applyFont="1" applyFill="1" applyAlignment="1">
      <alignment horizontal="right"/>
    </xf>
    <xf numFmtId="178" fontId="40" fillId="9" borderId="0" xfId="0" applyNumberFormat="1" applyFont="1" applyFill="1" applyAlignment="1">
      <alignment horizontal="right"/>
    </xf>
    <xf numFmtId="178" fontId="40" fillId="10" borderId="12" xfId="0" applyNumberFormat="1" applyFont="1" applyFill="1" applyBorder="1" applyAlignment="1">
      <alignment horizontal="right"/>
    </xf>
    <xf numFmtId="178" fontId="0" fillId="9" borderId="0" xfId="0" applyNumberFormat="1" applyFill="1"/>
    <xf numFmtId="178" fontId="0" fillId="0" borderId="0" xfId="0" applyNumberFormat="1"/>
    <xf numFmtId="164" fontId="40" fillId="9" borderId="0" xfId="0" applyNumberFormat="1" applyFont="1" applyFill="1" applyAlignment="1">
      <alignment horizontal="left" indent="1"/>
    </xf>
    <xf numFmtId="164" fontId="42" fillId="9" borderId="0" xfId="2" applyNumberFormat="1" applyFont="1" applyFill="1"/>
    <xf numFmtId="164" fontId="40" fillId="10" borderId="0" xfId="0" applyNumberFormat="1" applyFont="1" applyFill="1" applyAlignment="1">
      <alignment horizontal="right"/>
    </xf>
    <xf numFmtId="164" fontId="40" fillId="9" borderId="0" xfId="0" applyNumberFormat="1" applyFont="1" applyFill="1" applyAlignment="1">
      <alignment horizontal="right"/>
    </xf>
    <xf numFmtId="164" fontId="40" fillId="10" borderId="12" xfId="0" applyNumberFormat="1" applyFont="1" applyFill="1" applyBorder="1" applyAlignment="1">
      <alignment horizontal="right"/>
    </xf>
    <xf numFmtId="164" fontId="0" fillId="9" borderId="0" xfId="0" applyNumberFormat="1" applyFill="1"/>
    <xf numFmtId="164" fontId="0" fillId="0" borderId="0" xfId="0" applyNumberFormat="1"/>
    <xf numFmtId="179" fontId="48" fillId="9" borderId="0" xfId="0" applyNumberFormat="1" applyFont="1" applyFill="1" applyAlignment="1">
      <alignment horizontal="left"/>
    </xf>
    <xf numFmtId="179" fontId="46" fillId="9" borderId="0" xfId="2" applyNumberFormat="1" applyFont="1" applyFill="1"/>
    <xf numFmtId="179" fontId="48" fillId="10" borderId="0" xfId="0" applyNumberFormat="1" applyFont="1" applyFill="1" applyAlignment="1">
      <alignment horizontal="right"/>
    </xf>
    <xf numFmtId="179" fontId="48" fillId="9" borderId="0" xfId="0" applyNumberFormat="1" applyFont="1" applyFill="1" applyAlignment="1">
      <alignment horizontal="right"/>
    </xf>
    <xf numFmtId="179" fontId="48" fillId="10" borderId="12" xfId="0" applyNumberFormat="1" applyFont="1" applyFill="1" applyBorder="1" applyAlignment="1">
      <alignment horizontal="right"/>
    </xf>
    <xf numFmtId="179" fontId="45" fillId="9" borderId="0" xfId="0" applyNumberFormat="1" applyFont="1" applyFill="1"/>
    <xf numFmtId="179" fontId="45" fillId="0" borderId="0" xfId="0" applyNumberFormat="1" applyFont="1"/>
    <xf numFmtId="179" fontId="44" fillId="9" borderId="0" xfId="0" applyNumberFormat="1" applyFont="1" applyFill="1" applyAlignment="1">
      <alignment horizontal="left" indent="1"/>
    </xf>
    <xf numFmtId="179" fontId="52" fillId="9" borderId="0" xfId="2" applyNumberFormat="1" applyFont="1" applyFill="1"/>
    <xf numFmtId="179" fontId="44" fillId="10" borderId="0" xfId="0" applyNumberFormat="1" applyFont="1" applyFill="1" applyAlignment="1">
      <alignment horizontal="right"/>
    </xf>
    <xf numFmtId="179" fontId="44" fillId="9" borderId="0" xfId="0" applyNumberFormat="1" applyFont="1" applyFill="1" applyAlignment="1">
      <alignment horizontal="right"/>
    </xf>
    <xf numFmtId="179" fontId="44" fillId="10" borderId="12" xfId="0" applyNumberFormat="1" applyFont="1" applyFill="1" applyBorder="1" applyAlignment="1">
      <alignment horizontal="right"/>
    </xf>
    <xf numFmtId="179" fontId="43" fillId="9" borderId="0" xfId="0" applyNumberFormat="1" applyFont="1" applyFill="1"/>
    <xf numFmtId="179" fontId="43" fillId="0" borderId="0" xfId="0" applyNumberFormat="1" applyFont="1"/>
    <xf numFmtId="170" fontId="51" fillId="11" borderId="0" xfId="0" applyNumberFormat="1" applyFont="1" applyFill="1"/>
    <xf numFmtId="170" fontId="56" fillId="11" borderId="0" xfId="0" applyNumberFormat="1" applyFont="1" applyFill="1"/>
    <xf numFmtId="170" fontId="51" fillId="11" borderId="12" xfId="0" applyNumberFormat="1" applyFont="1" applyFill="1" applyBorder="1"/>
    <xf numFmtId="164" fontId="37" fillId="9" borderId="0" xfId="0" applyNumberFormat="1" applyFont="1" applyFill="1" applyAlignment="1">
      <alignment horizontal="left"/>
    </xf>
    <xf numFmtId="170" fontId="46" fillId="9" borderId="0" xfId="0" applyNumberFormat="1" applyFont="1" applyFill="1"/>
    <xf numFmtId="164" fontId="46" fillId="10" borderId="0" xfId="1" applyNumberFormat="1" applyFont="1" applyFill="1"/>
    <xf numFmtId="164" fontId="46" fillId="9" borderId="0" xfId="1" applyNumberFormat="1" applyFont="1" applyFill="1"/>
    <xf numFmtId="164" fontId="57" fillId="10" borderId="0" xfId="1" applyNumberFormat="1" applyFont="1" applyFill="1"/>
    <xf numFmtId="164" fontId="48" fillId="9" borderId="0" xfId="0" applyNumberFormat="1" applyFont="1" applyFill="1"/>
    <xf numFmtId="164" fontId="46" fillId="9" borderId="0" xfId="1" applyNumberFormat="1" applyFont="1" applyFill="1" applyAlignment="1">
      <alignment horizontal="left" indent="1"/>
    </xf>
    <xf numFmtId="164" fontId="46" fillId="10" borderId="12" xfId="1" applyNumberFormat="1" applyFont="1" applyFill="1" applyBorder="1"/>
    <xf numFmtId="164" fontId="1" fillId="9" borderId="0" xfId="0" applyNumberFormat="1" applyFont="1" applyFill="1" applyAlignment="1">
      <alignment horizontal="left" indent="2"/>
    </xf>
    <xf numFmtId="170" fontId="42" fillId="9" borderId="0" xfId="0" applyNumberFormat="1" applyFont="1" applyFill="1"/>
    <xf numFmtId="164" fontId="42" fillId="10" borderId="0" xfId="1" applyNumberFormat="1" applyFont="1" applyFill="1"/>
    <xf numFmtId="164" fontId="42" fillId="9" borderId="0" xfId="1" applyNumberFormat="1" applyFont="1" applyFill="1"/>
    <xf numFmtId="164" fontId="41" fillId="9" borderId="0" xfId="0" applyNumberFormat="1" applyFont="1" applyFill="1"/>
    <xf numFmtId="164" fontId="42" fillId="9" borderId="0" xfId="1" applyNumberFormat="1" applyFont="1" applyFill="1" applyAlignment="1">
      <alignment horizontal="left" indent="1"/>
    </xf>
    <xf numFmtId="164" fontId="58" fillId="9" borderId="0" xfId="0" applyNumberFormat="1" applyFont="1" applyFill="1"/>
    <xf numFmtId="164" fontId="50" fillId="10" borderId="12" xfId="1" applyNumberFormat="1" applyFont="1" applyFill="1" applyBorder="1"/>
    <xf numFmtId="164" fontId="42" fillId="9" borderId="0" xfId="0" applyNumberFormat="1" applyFont="1" applyFill="1"/>
    <xf numFmtId="164" fontId="50" fillId="10" borderId="0" xfId="1" applyNumberFormat="1" applyFont="1" applyFill="1"/>
    <xf numFmtId="164" fontId="42" fillId="10" borderId="12" xfId="1" applyNumberFormat="1" applyFont="1" applyFill="1" applyBorder="1"/>
    <xf numFmtId="164" fontId="42" fillId="9" borderId="0" xfId="0" applyNumberFormat="1" applyFont="1" applyFill="1" applyAlignment="1">
      <alignment horizontal="left" indent="2"/>
    </xf>
    <xf numFmtId="164" fontId="50" fillId="9" borderId="0" xfId="1" applyNumberFormat="1" applyFont="1" applyFill="1" applyAlignment="1">
      <alignment horizontal="left" indent="1"/>
    </xf>
    <xf numFmtId="164" fontId="50" fillId="9" borderId="0" xfId="1" applyNumberFormat="1" applyFont="1" applyFill="1"/>
    <xf numFmtId="164" fontId="42" fillId="9" borderId="8" xfId="0" applyNumberFormat="1" applyFont="1" applyFill="1" applyBorder="1" applyAlignment="1">
      <alignment horizontal="left" indent="2"/>
    </xf>
    <xf numFmtId="164" fontId="42" fillId="9" borderId="8" xfId="0" applyNumberFormat="1" applyFont="1" applyFill="1" applyBorder="1"/>
    <xf numFmtId="164" fontId="42" fillId="10" borderId="8" xfId="1" applyNumberFormat="1" applyFont="1" applyFill="1" applyBorder="1"/>
    <xf numFmtId="164" fontId="42" fillId="9" borderId="8" xfId="1" applyNumberFormat="1" applyFont="1" applyFill="1" applyBorder="1"/>
    <xf numFmtId="164" fontId="50" fillId="10" borderId="8" xfId="1" applyNumberFormat="1" applyFont="1" applyFill="1" applyBorder="1"/>
    <xf numFmtId="164" fontId="41" fillId="9" borderId="8" xfId="0" applyNumberFormat="1" applyFont="1" applyFill="1" applyBorder="1"/>
    <xf numFmtId="164" fontId="42" fillId="9" borderId="8" xfId="1" applyNumberFormat="1" applyFont="1" applyFill="1" applyBorder="1" applyAlignment="1">
      <alignment horizontal="left" indent="1"/>
    </xf>
    <xf numFmtId="164" fontId="42" fillId="10" borderId="14" xfId="1" applyNumberFormat="1" applyFont="1" applyFill="1" applyBorder="1"/>
    <xf numFmtId="164" fontId="40" fillId="9" borderId="0" xfId="0" applyNumberFormat="1" applyFont="1" applyFill="1" applyAlignment="1">
      <alignment horizontal="left" indent="2"/>
    </xf>
    <xf numFmtId="164" fontId="40" fillId="9" borderId="8" xfId="0" applyNumberFormat="1" applyFont="1" applyFill="1" applyBorder="1" applyAlignment="1">
      <alignment horizontal="left" indent="2"/>
    </xf>
    <xf numFmtId="170" fontId="42" fillId="9" borderId="8" xfId="0" applyNumberFormat="1" applyFont="1" applyFill="1" applyBorder="1"/>
    <xf numFmtId="164" fontId="50" fillId="9" borderId="8" xfId="1" applyNumberFormat="1" applyFont="1" applyFill="1" applyBorder="1"/>
    <xf numFmtId="164" fontId="37" fillId="9" borderId="2" xfId="0" applyNumberFormat="1" applyFont="1" applyFill="1" applyBorder="1" applyAlignment="1">
      <alignment horizontal="left"/>
    </xf>
    <xf numFmtId="170" fontId="46" fillId="9" borderId="2" xfId="0" applyNumberFormat="1" applyFont="1" applyFill="1" applyBorder="1"/>
    <xf numFmtId="164" fontId="46" fillId="10" borderId="2" xfId="1" applyNumberFormat="1" applyFont="1" applyFill="1" applyBorder="1"/>
    <xf numFmtId="164" fontId="59" fillId="10" borderId="2" xfId="1" applyNumberFormat="1" applyFont="1" applyFill="1" applyBorder="1"/>
    <xf numFmtId="164" fontId="59" fillId="9" borderId="2" xfId="1" applyNumberFormat="1" applyFont="1" applyFill="1" applyBorder="1"/>
    <xf numFmtId="164" fontId="57" fillId="9" borderId="2" xfId="1" applyNumberFormat="1" applyFont="1" applyFill="1" applyBorder="1"/>
    <xf numFmtId="164" fontId="57" fillId="10" borderId="2" xfId="1" applyNumberFormat="1" applyFont="1" applyFill="1" applyBorder="1"/>
    <xf numFmtId="164" fontId="46" fillId="9" borderId="2" xfId="1" applyNumberFormat="1" applyFont="1" applyFill="1" applyBorder="1"/>
    <xf numFmtId="164" fontId="45" fillId="9" borderId="2" xfId="0" applyNumberFormat="1" applyFont="1" applyFill="1" applyBorder="1"/>
    <xf numFmtId="164" fontId="57" fillId="9" borderId="2" xfId="1" applyNumberFormat="1" applyFont="1" applyFill="1" applyBorder="1" applyAlignment="1">
      <alignment horizontal="left" indent="1"/>
    </xf>
    <xf numFmtId="164" fontId="57" fillId="10" borderId="13" xfId="1" applyNumberFormat="1" applyFont="1" applyFill="1" applyBorder="1"/>
    <xf numFmtId="164" fontId="48" fillId="9" borderId="2" xfId="0" applyNumberFormat="1" applyFont="1" applyFill="1" applyBorder="1"/>
    <xf numFmtId="164" fontId="57" fillId="9" borderId="0" xfId="1" applyNumberFormat="1" applyFont="1" applyFill="1"/>
    <xf numFmtId="164" fontId="57" fillId="9" borderId="0" xfId="1" applyNumberFormat="1" applyFont="1" applyFill="1" applyAlignment="1">
      <alignment horizontal="left" indent="1"/>
    </xf>
    <xf numFmtId="164" fontId="57" fillId="10" borderId="12" xfId="1" applyNumberFormat="1" applyFont="1" applyFill="1" applyBorder="1"/>
    <xf numFmtId="164" fontId="46" fillId="9" borderId="0" xfId="0" applyNumberFormat="1" applyFont="1" applyFill="1" applyAlignment="1">
      <alignment horizontal="left"/>
    </xf>
    <xf numFmtId="170" fontId="46" fillId="9" borderId="0" xfId="0" applyNumberFormat="1" applyFont="1" applyFill="1" applyAlignment="1">
      <alignment horizontal="left"/>
    </xf>
    <xf numFmtId="170" fontId="46" fillId="10" borderId="0" xfId="1" applyNumberFormat="1" applyFont="1" applyFill="1"/>
    <xf numFmtId="170" fontId="46" fillId="9" borderId="0" xfId="1" applyNumberFormat="1" applyFont="1" applyFill="1"/>
    <xf numFmtId="170" fontId="48" fillId="9" borderId="0" xfId="0" applyNumberFormat="1" applyFont="1" applyFill="1"/>
    <xf numFmtId="170" fontId="46" fillId="9" borderId="0" xfId="1" applyNumberFormat="1" applyFont="1" applyFill="1" applyAlignment="1">
      <alignment horizontal="left" indent="1"/>
    </xf>
    <xf numFmtId="170" fontId="46" fillId="10" borderId="12" xfId="1" applyNumberFormat="1" applyFont="1" applyFill="1" applyBorder="1"/>
    <xf numFmtId="170" fontId="42" fillId="9" borderId="0" xfId="0" applyNumberFormat="1" applyFont="1" applyFill="1" applyAlignment="1">
      <alignment horizontal="left" indent="3"/>
    </xf>
    <xf numFmtId="170" fontId="42" fillId="10" borderId="0" xfId="1" applyNumberFormat="1" applyFont="1" applyFill="1"/>
    <xf numFmtId="170" fontId="42" fillId="9" borderId="0" xfId="1" applyNumberFormat="1" applyFont="1" applyFill="1"/>
    <xf numFmtId="170" fontId="42" fillId="9" borderId="0" xfId="1" applyNumberFormat="1" applyFont="1" applyFill="1" applyAlignment="1">
      <alignment horizontal="left" indent="1"/>
    </xf>
    <xf numFmtId="170" fontId="58" fillId="9" borderId="0" xfId="0" applyNumberFormat="1" applyFont="1" applyFill="1"/>
    <xf numFmtId="170" fontId="50" fillId="10" borderId="12" xfId="1" applyNumberFormat="1" applyFont="1" applyFill="1" applyBorder="1"/>
    <xf numFmtId="170" fontId="42" fillId="10" borderId="12" xfId="1" applyNumberFormat="1" applyFont="1" applyFill="1" applyBorder="1"/>
    <xf numFmtId="170" fontId="50" fillId="10" borderId="0" xfId="1" applyNumberFormat="1" applyFont="1" applyFill="1"/>
    <xf numFmtId="170" fontId="50" fillId="9" borderId="0" xfId="1" applyNumberFormat="1" applyFont="1" applyFill="1" applyAlignment="1">
      <alignment horizontal="left" indent="1"/>
    </xf>
    <xf numFmtId="170" fontId="50" fillId="9" borderId="0" xfId="1" applyNumberFormat="1" applyFont="1" applyFill="1"/>
    <xf numFmtId="170" fontId="42" fillId="9" borderId="8" xfId="0" applyNumberFormat="1" applyFont="1" applyFill="1" applyBorder="1" applyAlignment="1">
      <alignment horizontal="left" indent="3"/>
    </xf>
    <xf numFmtId="170" fontId="42" fillId="10" borderId="8" xfId="1" applyNumberFormat="1" applyFont="1" applyFill="1" applyBorder="1"/>
    <xf numFmtId="170" fontId="42" fillId="9" borderId="8" xfId="1" applyNumberFormat="1" applyFont="1" applyFill="1" applyBorder="1"/>
    <xf numFmtId="170" fontId="50" fillId="10" borderId="8" xfId="1" applyNumberFormat="1" applyFont="1" applyFill="1" applyBorder="1"/>
    <xf numFmtId="170" fontId="41" fillId="9" borderId="8" xfId="0" applyNumberFormat="1" applyFont="1" applyFill="1" applyBorder="1"/>
    <xf numFmtId="170" fontId="42" fillId="9" borderId="8" xfId="1" applyNumberFormat="1" applyFont="1" applyFill="1" applyBorder="1" applyAlignment="1">
      <alignment horizontal="left" indent="1"/>
    </xf>
    <xf numFmtId="170" fontId="42" fillId="10" borderId="14" xfId="1" applyNumberFormat="1" applyFont="1" applyFill="1" applyBorder="1"/>
    <xf numFmtId="170" fontId="42" fillId="9" borderId="0" xfId="0" applyNumberFormat="1" applyFont="1" applyFill="1" applyAlignment="1">
      <alignment horizontal="left" indent="2"/>
    </xf>
    <xf numFmtId="170" fontId="50" fillId="9" borderId="8" xfId="1" applyNumberFormat="1" applyFont="1" applyFill="1" applyBorder="1"/>
    <xf numFmtId="170" fontId="42" fillId="9" borderId="2" xfId="0" applyNumberFormat="1" applyFont="1" applyFill="1" applyBorder="1" applyAlignment="1">
      <alignment horizontal="left" indent="1"/>
    </xf>
    <xf numFmtId="170" fontId="42" fillId="9" borderId="2" xfId="0" applyNumberFormat="1" applyFont="1" applyFill="1" applyBorder="1"/>
    <xf numFmtId="170" fontId="42" fillId="10" borderId="2" xfId="1" applyNumberFormat="1" applyFont="1" applyFill="1" applyBorder="1"/>
    <xf numFmtId="170" fontId="42" fillId="9" borderId="2" xfId="1" applyNumberFormat="1" applyFont="1" applyFill="1" applyBorder="1"/>
    <xf numFmtId="170" fontId="40" fillId="9" borderId="2" xfId="0" applyNumberFormat="1" applyFont="1" applyFill="1" applyBorder="1"/>
    <xf numFmtId="170" fontId="42" fillId="9" borderId="2" xfId="1" applyNumberFormat="1" applyFont="1" applyFill="1" applyBorder="1" applyAlignment="1">
      <alignment horizontal="left" indent="1"/>
    </xf>
    <xf numFmtId="170" fontId="42" fillId="10" borderId="13" xfId="1" applyNumberFormat="1" applyFont="1" applyFill="1" applyBorder="1"/>
    <xf numFmtId="170" fontId="46" fillId="9" borderId="2" xfId="0" applyNumberFormat="1" applyFont="1" applyFill="1" applyBorder="1" applyAlignment="1">
      <alignment horizontal="left"/>
    </xf>
    <xf numFmtId="170" fontId="46" fillId="10" borderId="2" xfId="1" applyNumberFormat="1" applyFont="1" applyFill="1" applyBorder="1"/>
    <xf numFmtId="170" fontId="46" fillId="9" borderId="2" xfId="1" applyNumberFormat="1" applyFont="1" applyFill="1" applyBorder="1"/>
    <xf numFmtId="170" fontId="48" fillId="9" borderId="2" xfId="0" applyNumberFormat="1" applyFont="1" applyFill="1" applyBorder="1"/>
    <xf numFmtId="170" fontId="46" fillId="9" borderId="2" xfId="1" applyNumberFormat="1" applyFont="1" applyFill="1" applyBorder="1" applyAlignment="1">
      <alignment horizontal="left" indent="1"/>
    </xf>
    <xf numFmtId="170" fontId="46" fillId="10" borderId="13" xfId="1" applyNumberFormat="1" applyFont="1" applyFill="1" applyBorder="1"/>
    <xf numFmtId="164" fontId="42" fillId="9" borderId="0" xfId="0" applyNumberFormat="1" applyFont="1" applyFill="1" applyAlignment="1">
      <alignment horizontal="left" indent="1"/>
    </xf>
    <xf numFmtId="164" fontId="42" fillId="10" borderId="0" xfId="1" applyNumberFormat="1" applyFont="1" applyFill="1" applyAlignment="1">
      <alignment horizontal="right"/>
    </xf>
    <xf numFmtId="164" fontId="42" fillId="9" borderId="0" xfId="1" applyNumberFormat="1" applyFont="1" applyFill="1" applyAlignment="1">
      <alignment horizontal="right"/>
    </xf>
    <xf numFmtId="164" fontId="42" fillId="9" borderId="0" xfId="1" applyNumberFormat="1" applyFont="1" applyFill="1" applyAlignment="1">
      <alignment horizontal="right" indent="1"/>
    </xf>
    <xf numFmtId="164" fontId="42" fillId="10" borderId="12" xfId="1" applyNumberFormat="1" applyFont="1" applyFill="1" applyBorder="1" applyAlignment="1">
      <alignment horizontal="right"/>
    </xf>
    <xf numFmtId="178" fontId="42" fillId="9" borderId="0" xfId="0" applyNumberFormat="1" applyFont="1" applyFill="1" applyAlignment="1">
      <alignment horizontal="left" indent="2"/>
    </xf>
    <xf numFmtId="178" fontId="42" fillId="9" borderId="0" xfId="0" applyNumberFormat="1" applyFont="1" applyFill="1"/>
    <xf numFmtId="178" fontId="42" fillId="10" borderId="0" xfId="1" applyNumberFormat="1" applyFont="1" applyFill="1" applyAlignment="1">
      <alignment horizontal="right"/>
    </xf>
    <xf numFmtId="178" fontId="42" fillId="9" borderId="0" xfId="1" applyNumberFormat="1" applyFont="1" applyFill="1" applyAlignment="1">
      <alignment horizontal="right"/>
    </xf>
    <xf numFmtId="178" fontId="42" fillId="9" borderId="0" xfId="1" applyNumberFormat="1" applyFont="1" applyFill="1" applyAlignment="1">
      <alignment horizontal="right" indent="1"/>
    </xf>
    <xf numFmtId="178" fontId="42" fillId="10" borderId="12" xfId="1" applyNumberFormat="1" applyFont="1" applyFill="1" applyBorder="1" applyAlignment="1">
      <alignment horizontal="right"/>
    </xf>
    <xf numFmtId="178" fontId="58" fillId="9" borderId="0" xfId="0" applyNumberFormat="1" applyFont="1" applyFill="1" applyAlignment="1">
      <alignment horizontal="right"/>
    </xf>
    <xf numFmtId="178" fontId="50" fillId="10" borderId="0" xfId="1" applyNumberFormat="1" applyFont="1" applyFill="1" applyAlignment="1">
      <alignment horizontal="right"/>
    </xf>
    <xf numFmtId="164" fontId="46" fillId="9" borderId="2" xfId="0" applyNumberFormat="1" applyFont="1" applyFill="1" applyBorder="1" applyAlignment="1">
      <alignment horizontal="left"/>
    </xf>
    <xf numFmtId="164" fontId="46" fillId="10" borderId="2" xfId="1" applyNumberFormat="1" applyFont="1" applyFill="1" applyBorder="1" applyAlignment="1">
      <alignment horizontal="right"/>
    </xf>
    <xf numFmtId="164" fontId="46" fillId="9" borderId="2" xfId="1" applyNumberFormat="1" applyFont="1" applyFill="1" applyBorder="1" applyAlignment="1">
      <alignment horizontal="right"/>
    </xf>
    <xf numFmtId="164" fontId="48" fillId="9" borderId="2" xfId="0" applyNumberFormat="1" applyFont="1" applyFill="1" applyBorder="1" applyAlignment="1">
      <alignment horizontal="right"/>
    </xf>
    <xf numFmtId="164" fontId="46" fillId="9" borderId="2" xfId="1" applyNumberFormat="1" applyFont="1" applyFill="1" applyBorder="1" applyAlignment="1">
      <alignment horizontal="right" indent="1"/>
    </xf>
    <xf numFmtId="164" fontId="46" fillId="10" borderId="13" xfId="1" applyNumberFormat="1" applyFont="1" applyFill="1" applyBorder="1" applyAlignment="1">
      <alignment horizontal="right"/>
    </xf>
    <xf numFmtId="164" fontId="0" fillId="9" borderId="0" xfId="0" applyNumberFormat="1" applyFill="1" applyAlignment="1">
      <alignment horizontal="left" indent="2"/>
    </xf>
    <xf numFmtId="164" fontId="60" fillId="9" borderId="0" xfId="1" applyNumberFormat="1" applyFont="1" applyFill="1"/>
    <xf numFmtId="164" fontId="0" fillId="9" borderId="8" xfId="0" applyNumberFormat="1" applyFill="1" applyBorder="1" applyAlignment="1">
      <alignment horizontal="left" indent="2"/>
    </xf>
    <xf numFmtId="164" fontId="60" fillId="9" borderId="8" xfId="1" applyNumberFormat="1" applyFont="1" applyFill="1" applyBorder="1"/>
    <xf numFmtId="164" fontId="0" fillId="9" borderId="8" xfId="0" applyNumberFormat="1" applyFill="1" applyBorder="1"/>
    <xf numFmtId="170" fontId="42" fillId="9" borderId="0" xfId="0" applyNumberFormat="1" applyFont="1" applyFill="1" applyAlignment="1">
      <alignment horizontal="left" indent="1"/>
    </xf>
    <xf numFmtId="170" fontId="42" fillId="9" borderId="8" xfId="0" applyNumberFormat="1" applyFont="1" applyFill="1" applyBorder="1" applyAlignment="1">
      <alignment horizontal="left" indent="2"/>
    </xf>
    <xf numFmtId="164" fontId="58" fillId="9" borderId="8" xfId="0" applyNumberFormat="1" applyFont="1" applyFill="1" applyBorder="1"/>
    <xf numFmtId="170" fontId="58" fillId="9" borderId="8" xfId="0" applyNumberFormat="1" applyFont="1" applyFill="1" applyBorder="1"/>
    <xf numFmtId="170" fontId="42" fillId="9" borderId="0" xfId="0" applyNumberFormat="1" applyFont="1" applyFill="1" applyAlignment="1">
      <alignment horizontal="left"/>
    </xf>
    <xf numFmtId="164" fontId="46" fillId="9" borderId="2" xfId="0" applyNumberFormat="1" applyFont="1" applyFill="1" applyBorder="1"/>
    <xf numFmtId="164" fontId="48" fillId="9" borderId="2" xfId="0" applyNumberFormat="1" applyFont="1" applyFill="1" applyBorder="1" applyAlignment="1">
      <alignment horizontal="left"/>
    </xf>
    <xf numFmtId="164" fontId="46" fillId="9" borderId="2" xfId="2" applyNumberFormat="1" applyFont="1" applyFill="1" applyBorder="1"/>
    <xf numFmtId="164" fontId="48" fillId="10" borderId="2" xfId="0" applyNumberFormat="1" applyFont="1" applyFill="1" applyBorder="1" applyAlignment="1">
      <alignment horizontal="right"/>
    </xf>
    <xf numFmtId="164" fontId="48" fillId="10" borderId="13" xfId="0" applyNumberFormat="1" applyFont="1" applyFill="1" applyBorder="1" applyAlignment="1">
      <alignment horizontal="right"/>
    </xf>
    <xf numFmtId="166" fontId="40" fillId="9" borderId="0" xfId="0" applyNumberFormat="1" applyFont="1" applyFill="1" applyAlignment="1">
      <alignment horizontal="left" indent="1"/>
    </xf>
    <xf numFmtId="166" fontId="42" fillId="9" borderId="0" xfId="2" applyNumberFormat="1" applyFont="1" applyFill="1"/>
    <xf numFmtId="166" fontId="40" fillId="10" borderId="0" xfId="0" applyNumberFormat="1" applyFont="1" applyFill="1" applyAlignment="1">
      <alignment horizontal="right"/>
    </xf>
    <xf numFmtId="166" fontId="40" fillId="9" borderId="0" xfId="0" applyNumberFormat="1" applyFont="1" applyFill="1" applyAlignment="1">
      <alignment horizontal="right"/>
    </xf>
    <xf numFmtId="166" fontId="40" fillId="10" borderId="12" xfId="0" applyNumberFormat="1" applyFont="1" applyFill="1" applyBorder="1" applyAlignment="1">
      <alignment horizontal="right"/>
    </xf>
    <xf numFmtId="166" fontId="0" fillId="9" borderId="0" xfId="0" applyNumberFormat="1" applyFill="1"/>
    <xf numFmtId="166" fontId="0" fillId="0" borderId="0" xfId="0" applyNumberFormat="1"/>
    <xf numFmtId="164" fontId="49" fillId="9" borderId="2" xfId="0" applyNumberFormat="1" applyFont="1" applyFill="1" applyBorder="1"/>
    <xf numFmtId="164" fontId="59" fillId="9" borderId="2" xfId="1" applyNumberFormat="1" applyFont="1" applyFill="1" applyBorder="1" applyAlignment="1">
      <alignment horizontal="left" indent="1"/>
    </xf>
    <xf numFmtId="178" fontId="61" fillId="9" borderId="0" xfId="0" applyNumberFormat="1" applyFont="1" applyFill="1" applyAlignment="1">
      <alignment horizontal="left" indent="1"/>
    </xf>
    <xf numFmtId="178" fontId="52" fillId="9" borderId="0" xfId="0" applyNumberFormat="1" applyFont="1" applyFill="1"/>
    <xf numFmtId="178" fontId="52" fillId="10" borderId="0" xfId="1" applyNumberFormat="1" applyFont="1" applyFill="1"/>
    <xf numFmtId="178" fontId="62" fillId="9" borderId="0" xfId="1" applyNumberFormat="1" applyFont="1" applyFill="1"/>
    <xf numFmtId="178" fontId="62" fillId="9" borderId="0" xfId="1" applyNumberFormat="1" applyFont="1" applyFill="1" applyAlignment="1">
      <alignment horizontal="left" indent="1"/>
    </xf>
    <xf numFmtId="178" fontId="44" fillId="9" borderId="0" xfId="0" applyNumberFormat="1" applyFont="1" applyFill="1"/>
    <xf numFmtId="178" fontId="52" fillId="10" borderId="12" xfId="1" applyNumberFormat="1" applyFont="1" applyFill="1" applyBorder="1"/>
    <xf numFmtId="178" fontId="62" fillId="10" borderId="0" xfId="1" applyNumberFormat="1" applyFont="1" applyFill="1"/>
    <xf numFmtId="178" fontId="63" fillId="9" borderId="0" xfId="1" applyNumberFormat="1" applyFont="1" applyFill="1"/>
    <xf numFmtId="178" fontId="62" fillId="10" borderId="12" xfId="1" applyNumberFormat="1" applyFont="1" applyFill="1" applyBorder="1"/>
    <xf numFmtId="166" fontId="42" fillId="9" borderId="0" xfId="0" applyNumberFormat="1" applyFont="1" applyFill="1" applyAlignment="1">
      <alignment horizontal="left" indent="1"/>
    </xf>
    <xf numFmtId="166" fontId="42" fillId="9" borderId="0" xfId="0" applyNumberFormat="1" applyFont="1" applyFill="1"/>
    <xf numFmtId="166" fontId="42" fillId="10" borderId="0" xfId="1" applyNumberFormat="1" applyFont="1" applyFill="1"/>
    <xf numFmtId="166" fontId="42" fillId="9" borderId="0" xfId="1" applyNumberFormat="1" applyFont="1" applyFill="1"/>
    <xf numFmtId="166" fontId="42" fillId="10" borderId="12" xfId="1" applyNumberFormat="1" applyFont="1" applyFill="1" applyBorder="1"/>
    <xf numFmtId="166" fontId="1" fillId="0" borderId="0" xfId="0" applyNumberFormat="1" applyFont="1"/>
    <xf numFmtId="178" fontId="52" fillId="9" borderId="0" xfId="0" applyNumberFormat="1" applyFont="1" applyFill="1" applyAlignment="1">
      <alignment horizontal="left" indent="2"/>
    </xf>
    <xf numFmtId="178" fontId="64" fillId="9" borderId="0" xfId="1" applyNumberFormat="1" applyFont="1" applyFill="1"/>
    <xf numFmtId="178" fontId="64" fillId="10" borderId="0" xfId="1" applyNumberFormat="1" applyFont="1" applyFill="1"/>
    <xf numFmtId="178" fontId="61" fillId="0" borderId="0" xfId="0" applyNumberFormat="1" applyFont="1"/>
    <xf numFmtId="170" fontId="58" fillId="10" borderId="0" xfId="0" applyNumberFormat="1" applyFont="1" applyFill="1" applyAlignment="1">
      <alignment horizontal="right"/>
    </xf>
    <xf numFmtId="170" fontId="58" fillId="9" borderId="0" xfId="0" applyNumberFormat="1" applyFont="1" applyFill="1" applyAlignment="1">
      <alignment horizontal="right"/>
    </xf>
    <xf numFmtId="170" fontId="58" fillId="10" borderId="12" xfId="0" applyNumberFormat="1" applyFont="1" applyFill="1" applyBorder="1" applyAlignment="1">
      <alignment horizontal="right"/>
    </xf>
    <xf numFmtId="170" fontId="37" fillId="9" borderId="0" xfId="0" applyNumberFormat="1" applyFont="1" applyFill="1" applyAlignment="1">
      <alignment horizontal="left"/>
    </xf>
    <xf numFmtId="170" fontId="48" fillId="10" borderId="0" xfId="0" applyNumberFormat="1" applyFont="1" applyFill="1"/>
    <xf numFmtId="170" fontId="57" fillId="9" borderId="0" xfId="1" applyNumberFormat="1" applyFont="1" applyFill="1"/>
    <xf numFmtId="170" fontId="48" fillId="10" borderId="12" xfId="0" applyNumberFormat="1" applyFont="1" applyFill="1" applyBorder="1"/>
    <xf numFmtId="39" fontId="45" fillId="9" borderId="0" xfId="0" applyNumberFormat="1" applyFont="1" applyFill="1"/>
    <xf numFmtId="170" fontId="40" fillId="10" borderId="0" xfId="0" applyNumberFormat="1" applyFont="1" applyFill="1"/>
    <xf numFmtId="170" fontId="40" fillId="10" borderId="12" xfId="0" applyNumberFormat="1" applyFont="1" applyFill="1" applyBorder="1"/>
    <xf numFmtId="170" fontId="58" fillId="10" borderId="0" xfId="0" applyNumberFormat="1" applyFont="1" applyFill="1"/>
    <xf numFmtId="39" fontId="0" fillId="9" borderId="0" xfId="0" applyNumberFormat="1" applyFill="1"/>
    <xf numFmtId="170" fontId="42" fillId="9" borderId="8" xfId="0" applyNumberFormat="1" applyFont="1" applyFill="1" applyBorder="1" applyAlignment="1">
      <alignment horizontal="left" indent="1"/>
    </xf>
    <xf numFmtId="170" fontId="40" fillId="10" borderId="8" xfId="0" applyNumberFormat="1" applyFont="1" applyFill="1" applyBorder="1"/>
    <xf numFmtId="170" fontId="40" fillId="10" borderId="14" xfId="0" applyNumberFormat="1" applyFont="1" applyFill="1" applyBorder="1"/>
    <xf numFmtId="170" fontId="58" fillId="10" borderId="8" xfId="0" applyNumberFormat="1" applyFont="1" applyFill="1" applyBorder="1"/>
    <xf numFmtId="170" fontId="61" fillId="9" borderId="0" xfId="0" applyNumberFormat="1" applyFont="1" applyFill="1" applyAlignment="1">
      <alignment horizontal="left" indent="1"/>
    </xf>
    <xf numFmtId="170" fontId="52" fillId="9" borderId="0" xfId="0" applyNumberFormat="1" applyFont="1" applyFill="1"/>
    <xf numFmtId="170" fontId="52" fillId="10" borderId="0" xfId="1" applyNumberFormat="1" applyFont="1" applyFill="1"/>
    <xf numFmtId="170" fontId="52" fillId="9" borderId="0" xfId="1" applyNumberFormat="1" applyFont="1" applyFill="1"/>
    <xf numFmtId="170" fontId="44" fillId="9" borderId="0" xfId="0" applyNumberFormat="1" applyFont="1" applyFill="1"/>
    <xf numFmtId="170" fontId="44" fillId="10" borderId="0" xfId="0" applyNumberFormat="1" applyFont="1" applyFill="1"/>
    <xf numFmtId="170" fontId="62" fillId="9" borderId="0" xfId="1" applyNumberFormat="1" applyFont="1" applyFill="1"/>
    <xf numFmtId="170" fontId="44" fillId="10" borderId="12" xfId="0" applyNumberFormat="1" applyFont="1" applyFill="1" applyBorder="1"/>
    <xf numFmtId="178" fontId="44" fillId="10" borderId="0" xfId="0" applyNumberFormat="1" applyFont="1" applyFill="1"/>
    <xf numFmtId="178" fontId="44" fillId="10" borderId="12" xfId="0" applyNumberFormat="1" applyFont="1" applyFill="1" applyBorder="1"/>
    <xf numFmtId="178" fontId="42" fillId="9" borderId="0" xfId="0" applyNumberFormat="1" applyFont="1" applyFill="1" applyAlignment="1">
      <alignment horizontal="left"/>
    </xf>
    <xf numFmtId="178" fontId="42" fillId="10" borderId="0" xfId="1" applyNumberFormat="1" applyFont="1" applyFill="1"/>
    <xf numFmtId="178" fontId="42" fillId="9" borderId="0" xfId="1" applyNumberFormat="1" applyFont="1" applyFill="1"/>
    <xf numFmtId="178" fontId="40" fillId="9" borderId="0" xfId="0" applyNumberFormat="1" applyFont="1" applyFill="1"/>
    <xf numFmtId="178" fontId="40" fillId="10" borderId="0" xfId="0" applyNumberFormat="1" applyFont="1" applyFill="1"/>
    <xf numFmtId="178" fontId="40" fillId="10" borderId="12" xfId="0" applyNumberFormat="1" applyFont="1" applyFill="1" applyBorder="1"/>
    <xf numFmtId="164" fontId="40" fillId="10" borderId="0" xfId="0" applyNumberFormat="1" applyFont="1" applyFill="1"/>
    <xf numFmtId="164" fontId="40" fillId="10" borderId="12" xfId="0" applyNumberFormat="1" applyFont="1" applyFill="1" applyBorder="1"/>
    <xf numFmtId="164" fontId="58" fillId="10" borderId="0" xfId="0" applyNumberFormat="1" applyFont="1" applyFill="1"/>
    <xf numFmtId="170" fontId="1" fillId="9" borderId="0" xfId="0" applyNumberFormat="1" applyFont="1" applyFill="1" applyAlignment="1">
      <alignment horizontal="left" indent="1"/>
    </xf>
    <xf numFmtId="170" fontId="60" fillId="9" borderId="0" xfId="1" applyNumberFormat="1" applyFont="1" applyFill="1"/>
    <xf numFmtId="170" fontId="1" fillId="9" borderId="8" xfId="0" applyNumberFormat="1" applyFont="1" applyFill="1" applyBorder="1" applyAlignment="1">
      <alignment horizontal="left" indent="1"/>
    </xf>
    <xf numFmtId="170" fontId="0" fillId="9" borderId="8" xfId="0" applyNumberFormat="1" applyFill="1" applyBorder="1"/>
    <xf numFmtId="170" fontId="60" fillId="9" borderId="8" xfId="1" applyNumberFormat="1" applyFont="1" applyFill="1" applyBorder="1"/>
    <xf numFmtId="178" fontId="1" fillId="9" borderId="0" xfId="0" applyNumberFormat="1" applyFont="1" applyFill="1" applyAlignment="1">
      <alignment horizontal="left"/>
    </xf>
    <xf numFmtId="178" fontId="60" fillId="9" borderId="0" xfId="1" applyNumberFormat="1" applyFont="1" applyFill="1"/>
    <xf numFmtId="164" fontId="1" fillId="9" borderId="0" xfId="0" applyNumberFormat="1" applyFont="1" applyFill="1" applyAlignment="1">
      <alignment horizontal="left" indent="1"/>
    </xf>
    <xf numFmtId="164" fontId="46" fillId="9" borderId="2" xfId="1" applyNumberFormat="1" applyFont="1" applyFill="1" applyBorder="1" applyAlignment="1">
      <alignment horizontal="left" indent="1"/>
    </xf>
    <xf numFmtId="164" fontId="46" fillId="10" borderId="13" xfId="1" applyNumberFormat="1" applyFont="1" applyFill="1" applyBorder="1"/>
    <xf numFmtId="178" fontId="52" fillId="9" borderId="0" xfId="0" applyNumberFormat="1" applyFont="1" applyFill="1" applyAlignment="1">
      <alignment horizontal="left" indent="1"/>
    </xf>
    <xf numFmtId="178" fontId="52" fillId="9" borderId="0" xfId="1" applyNumberFormat="1" applyFont="1" applyFill="1" applyAlignment="1">
      <alignment horizontal="left" indent="1"/>
    </xf>
    <xf numFmtId="170" fontId="50" fillId="10" borderId="14" xfId="1" applyNumberFormat="1" applyFont="1" applyFill="1" applyBorder="1"/>
    <xf numFmtId="178" fontId="42" fillId="9" borderId="0" xfId="1" applyNumberFormat="1" applyFont="1" applyFill="1" applyAlignment="1">
      <alignment horizontal="left" indent="1"/>
    </xf>
    <xf numFmtId="178" fontId="42" fillId="10" borderId="12" xfId="1" applyNumberFormat="1" applyFont="1" applyFill="1" applyBorder="1"/>
    <xf numFmtId="178" fontId="58" fillId="9" borderId="0" xfId="0" applyNumberFormat="1" applyFont="1" applyFill="1"/>
    <xf numFmtId="178" fontId="50" fillId="10" borderId="0" xfId="1" applyNumberFormat="1" applyFont="1" applyFill="1"/>
    <xf numFmtId="170" fontId="40" fillId="9" borderId="8" xfId="0" applyNumberFormat="1" applyFont="1" applyFill="1" applyBorder="1" applyAlignment="1">
      <alignment horizontal="left" indent="1"/>
    </xf>
    <xf numFmtId="170" fontId="52" fillId="10" borderId="0" xfId="1" applyNumberFormat="1" applyFont="1" applyFill="1" applyAlignment="1">
      <alignment horizontal="right"/>
    </xf>
    <xf numFmtId="170" fontId="52" fillId="9" borderId="0" xfId="1" applyNumberFormat="1" applyFont="1" applyFill="1" applyAlignment="1">
      <alignment horizontal="right"/>
    </xf>
    <xf numFmtId="170" fontId="64" fillId="9" borderId="0" xfId="1" applyNumberFormat="1" applyFont="1" applyFill="1" applyAlignment="1">
      <alignment horizontal="right"/>
    </xf>
    <xf numFmtId="170" fontId="64" fillId="10" borderId="0" xfId="1" applyNumberFormat="1" applyFont="1" applyFill="1" applyAlignment="1">
      <alignment horizontal="right"/>
    </xf>
    <xf numFmtId="170" fontId="52" fillId="10" borderId="12" xfId="1" applyNumberFormat="1" applyFont="1" applyFill="1" applyBorder="1" applyAlignment="1">
      <alignment horizontal="right"/>
    </xf>
    <xf numFmtId="178" fontId="52" fillId="10" borderId="0" xfId="1" applyNumberFormat="1" applyFont="1" applyFill="1" applyAlignment="1">
      <alignment horizontal="right"/>
    </xf>
    <xf numFmtId="178" fontId="52" fillId="9" borderId="0" xfId="1" applyNumberFormat="1" applyFont="1" applyFill="1" applyAlignment="1">
      <alignment horizontal="right"/>
    </xf>
    <xf numFmtId="178" fontId="64" fillId="9" borderId="0" xfId="1" applyNumberFormat="1" applyFont="1" applyFill="1" applyAlignment="1">
      <alignment horizontal="right"/>
    </xf>
    <xf numFmtId="178" fontId="64" fillId="10" borderId="0" xfId="1" applyNumberFormat="1" applyFont="1" applyFill="1" applyAlignment="1">
      <alignment horizontal="right"/>
    </xf>
    <xf numFmtId="178" fontId="52" fillId="10" borderId="12" xfId="1" applyNumberFormat="1" applyFont="1" applyFill="1" applyBorder="1" applyAlignment="1">
      <alignment horizontal="right"/>
    </xf>
    <xf numFmtId="170" fontId="52" fillId="9" borderId="0" xfId="1" applyNumberFormat="1" applyFont="1" applyFill="1" applyAlignment="1">
      <alignment horizontal="left" indent="1"/>
    </xf>
    <xf numFmtId="170" fontId="55" fillId="9" borderId="0" xfId="0" applyNumberFormat="1" applyFont="1" applyFill="1" applyAlignment="1">
      <alignment horizontal="right"/>
    </xf>
    <xf numFmtId="170" fontId="55" fillId="10" borderId="0" xfId="0" applyNumberFormat="1" applyFont="1" applyFill="1" applyAlignment="1">
      <alignment horizontal="right"/>
    </xf>
    <xf numFmtId="170" fontId="43" fillId="9" borderId="0" xfId="0" applyNumberFormat="1" applyFont="1" applyFill="1" applyAlignment="1">
      <alignment horizontal="right"/>
    </xf>
    <xf numFmtId="170" fontId="62" fillId="9" borderId="0" xfId="1" applyNumberFormat="1" applyFont="1" applyFill="1" applyAlignment="1">
      <alignment horizontal="right"/>
    </xf>
    <xf numFmtId="178" fontId="43" fillId="9" borderId="0" xfId="0" applyNumberFormat="1" applyFont="1" applyFill="1" applyAlignment="1">
      <alignment horizontal="right"/>
    </xf>
    <xf numFmtId="178" fontId="62" fillId="9" borderId="0" xfId="1" applyNumberFormat="1" applyFont="1" applyFill="1" applyAlignment="1">
      <alignment horizontal="right"/>
    </xf>
    <xf numFmtId="170" fontId="45" fillId="9" borderId="0" xfId="0" applyNumberFormat="1" applyFont="1" applyFill="1" applyAlignment="1">
      <alignment horizontal="left"/>
    </xf>
    <xf numFmtId="170" fontId="0" fillId="9" borderId="0" xfId="0" applyNumberFormat="1" applyFill="1" applyAlignment="1">
      <alignment horizontal="left" indent="1"/>
    </xf>
    <xf numFmtId="170" fontId="37" fillId="9" borderId="2" xfId="0" applyNumberFormat="1" applyFont="1" applyFill="1" applyBorder="1" applyAlignment="1">
      <alignment horizontal="left"/>
    </xf>
    <xf numFmtId="164" fontId="42" fillId="9" borderId="0" xfId="0" applyNumberFormat="1" applyFont="1" applyFill="1" applyAlignment="1">
      <alignment horizontal="left" indent="3"/>
    </xf>
    <xf numFmtId="164" fontId="42" fillId="9" borderId="8" xfId="0" applyNumberFormat="1" applyFont="1" applyFill="1" applyBorder="1" applyAlignment="1">
      <alignment horizontal="left" indent="3"/>
    </xf>
    <xf numFmtId="164" fontId="46" fillId="9" borderId="2" xfId="0" applyNumberFormat="1" applyFont="1" applyFill="1" applyBorder="1" applyAlignment="1">
      <alignment horizontal="left" indent="1"/>
    </xf>
    <xf numFmtId="178" fontId="46" fillId="9" borderId="0" xfId="0" applyNumberFormat="1" applyFont="1" applyFill="1" applyAlignment="1">
      <alignment horizontal="left"/>
    </xf>
    <xf numFmtId="178" fontId="46" fillId="9" borderId="0" xfId="0" applyNumberFormat="1" applyFont="1" applyFill="1"/>
    <xf numFmtId="178" fontId="46" fillId="10" borderId="0" xfId="1" applyNumberFormat="1" applyFont="1" applyFill="1"/>
    <xf numFmtId="178" fontId="46" fillId="9" borderId="0" xfId="1" applyNumberFormat="1" applyFont="1" applyFill="1"/>
    <xf numFmtId="178" fontId="48" fillId="9" borderId="0" xfId="0" applyNumberFormat="1" applyFont="1" applyFill="1"/>
    <xf numFmtId="178" fontId="46" fillId="10" borderId="12" xfId="1" applyNumberFormat="1" applyFont="1" applyFill="1" applyBorder="1"/>
    <xf numFmtId="178" fontId="42" fillId="9" borderId="0" xfId="0" applyNumberFormat="1" applyFont="1" applyFill="1" applyAlignment="1">
      <alignment horizontal="left" indent="1"/>
    </xf>
    <xf numFmtId="178" fontId="46" fillId="9" borderId="2" xfId="0" applyNumberFormat="1" applyFont="1" applyFill="1" applyBorder="1" applyAlignment="1">
      <alignment horizontal="left"/>
    </xf>
    <xf numFmtId="178" fontId="46" fillId="9" borderId="2" xfId="0" applyNumberFormat="1" applyFont="1" applyFill="1" applyBorder="1"/>
    <xf numFmtId="178" fontId="46" fillId="10" borderId="2" xfId="1" applyNumberFormat="1" applyFont="1" applyFill="1" applyBorder="1"/>
    <xf numFmtId="178" fontId="46" fillId="9" borderId="2" xfId="1" applyNumberFormat="1" applyFont="1" applyFill="1" applyBorder="1"/>
    <xf numFmtId="178" fontId="48" fillId="9" borderId="2" xfId="0" applyNumberFormat="1" applyFont="1" applyFill="1" applyBorder="1"/>
    <xf numFmtId="178" fontId="46" fillId="10" borderId="13" xfId="1" applyNumberFormat="1" applyFont="1" applyFill="1" applyBorder="1"/>
    <xf numFmtId="170" fontId="51" fillId="11" borderId="0" xfId="0" applyNumberFormat="1" applyFont="1" applyFill="1" applyAlignment="1">
      <alignment horizontal="left"/>
    </xf>
    <xf numFmtId="170" fontId="65" fillId="11" borderId="0" xfId="1" applyNumberFormat="1" applyFont="1" applyFill="1"/>
    <xf numFmtId="170" fontId="65" fillId="11" borderId="12" xfId="1" applyNumberFormat="1" applyFont="1" applyFill="1" applyBorder="1"/>
    <xf numFmtId="170" fontId="48" fillId="9" borderId="0" xfId="0" applyNumberFormat="1" applyFont="1" applyFill="1" applyAlignment="1">
      <alignment horizontal="left" indent="4"/>
    </xf>
    <xf numFmtId="170" fontId="40" fillId="9" borderId="8" xfId="0" applyNumberFormat="1" applyFont="1" applyFill="1" applyBorder="1" applyAlignment="1">
      <alignment horizontal="left" indent="4"/>
    </xf>
    <xf numFmtId="164" fontId="40" fillId="9" borderId="0" xfId="0" applyNumberFormat="1" applyFont="1" applyFill="1"/>
    <xf numFmtId="170" fontId="52" fillId="10" borderId="12" xfId="1" applyNumberFormat="1" applyFont="1" applyFill="1" applyBorder="1"/>
    <xf numFmtId="170" fontId="40" fillId="9" borderId="0" xfId="0" applyNumberFormat="1" applyFont="1" applyFill="1" applyAlignment="1">
      <alignment horizontal="left" indent="4"/>
    </xf>
    <xf numFmtId="170" fontId="44" fillId="9" borderId="0" xfId="0" applyNumberFormat="1" applyFont="1" applyFill="1" applyAlignment="1">
      <alignment horizontal="left" indent="4"/>
    </xf>
    <xf numFmtId="178" fontId="44" fillId="9" borderId="0" xfId="0" applyNumberFormat="1" applyFont="1" applyFill="1" applyAlignment="1">
      <alignment horizontal="left" indent="4"/>
    </xf>
    <xf numFmtId="178" fontId="52" fillId="9" borderId="0" xfId="1" applyNumberFormat="1" applyFont="1" applyFill="1"/>
    <xf numFmtId="178" fontId="40" fillId="9" borderId="0" xfId="0" applyNumberFormat="1" applyFont="1" applyFill="1" applyAlignment="1">
      <alignment horizontal="left" indent="4"/>
    </xf>
    <xf numFmtId="164" fontId="40" fillId="9" borderId="0" xfId="0" applyNumberFormat="1" applyFont="1" applyFill="1" applyAlignment="1">
      <alignment horizontal="left" indent="4"/>
    </xf>
    <xf numFmtId="170" fontId="48" fillId="9" borderId="2" xfId="0" applyNumberFormat="1" applyFont="1" applyFill="1" applyBorder="1" applyAlignment="1">
      <alignment horizontal="left" indent="4"/>
    </xf>
    <xf numFmtId="170" fontId="40" fillId="9" borderId="0" xfId="0" applyNumberFormat="1" applyFont="1" applyFill="1" applyAlignment="1">
      <alignment horizontal="left" indent="2"/>
    </xf>
    <xf numFmtId="170" fontId="40" fillId="9" borderId="8" xfId="0" applyNumberFormat="1" applyFont="1" applyFill="1" applyBorder="1" applyAlignment="1">
      <alignment horizontal="left" indent="2"/>
    </xf>
    <xf numFmtId="170" fontId="42" fillId="10" borderId="0" xfId="1" applyNumberFormat="1" applyFont="1" applyFill="1" applyAlignment="1">
      <alignment horizontal="right"/>
    </xf>
    <xf numFmtId="170" fontId="42" fillId="9" borderId="0" xfId="1" applyNumberFormat="1" applyFont="1" applyFill="1" applyAlignment="1">
      <alignment horizontal="right"/>
    </xf>
    <xf numFmtId="170" fontId="42" fillId="10" borderId="12" xfId="1" applyNumberFormat="1" applyFont="1" applyFill="1" applyBorder="1" applyAlignment="1">
      <alignment horizontal="right"/>
    </xf>
    <xf numFmtId="170" fontId="42" fillId="10" borderId="8" xfId="1" applyNumberFormat="1" applyFont="1" applyFill="1" applyBorder="1" applyAlignment="1">
      <alignment horizontal="right"/>
    </xf>
    <xf numFmtId="170" fontId="42" fillId="9" borderId="8" xfId="1" applyNumberFormat="1" applyFont="1" applyFill="1" applyBorder="1" applyAlignment="1">
      <alignment horizontal="right"/>
    </xf>
    <xf numFmtId="170" fontId="42" fillId="10" borderId="14" xfId="1" applyNumberFormat="1" applyFont="1" applyFill="1" applyBorder="1" applyAlignment="1">
      <alignment horizontal="right"/>
    </xf>
    <xf numFmtId="170" fontId="40" fillId="9" borderId="2" xfId="0" applyNumberFormat="1" applyFont="1" applyFill="1" applyBorder="1" applyAlignment="1">
      <alignment horizontal="left" indent="1"/>
    </xf>
    <xf numFmtId="170" fontId="40" fillId="9" borderId="2" xfId="0" applyNumberFormat="1" applyFont="1" applyFill="1" applyBorder="1" applyAlignment="1">
      <alignment horizontal="left" indent="4"/>
    </xf>
    <xf numFmtId="170" fontId="42" fillId="10" borderId="2" xfId="1" applyNumberFormat="1" applyFont="1" applyFill="1" applyBorder="1" applyAlignment="1">
      <alignment horizontal="right"/>
    </xf>
    <xf numFmtId="170" fontId="42" fillId="9" borderId="2" xfId="1" applyNumberFormat="1" applyFont="1" applyFill="1" applyBorder="1" applyAlignment="1">
      <alignment horizontal="right"/>
    </xf>
    <xf numFmtId="170" fontId="42" fillId="10" borderId="13" xfId="1" applyNumberFormat="1" applyFont="1" applyFill="1" applyBorder="1" applyAlignment="1">
      <alignment horizontal="right"/>
    </xf>
    <xf numFmtId="170" fontId="50" fillId="9" borderId="0" xfId="1" applyNumberFormat="1" applyFont="1" applyFill="1" applyAlignment="1">
      <alignment horizontal="right"/>
    </xf>
    <xf numFmtId="170" fontId="50" fillId="10" borderId="0" xfId="1" applyNumberFormat="1" applyFont="1" applyFill="1" applyAlignment="1">
      <alignment horizontal="right"/>
    </xf>
    <xf numFmtId="170" fontId="65" fillId="11" borderId="0" xfId="0" applyNumberFormat="1" applyFont="1" applyFill="1"/>
    <xf numFmtId="170" fontId="65" fillId="11" borderId="12" xfId="0" applyNumberFormat="1" applyFont="1" applyFill="1" applyBorder="1"/>
    <xf numFmtId="170" fontId="40" fillId="9" borderId="0" xfId="0" applyNumberFormat="1" applyFont="1" applyFill="1" applyAlignment="1">
      <alignment horizontal="left" indent="3"/>
    </xf>
    <xf numFmtId="170" fontId="58" fillId="10" borderId="12" xfId="0" applyNumberFormat="1" applyFont="1" applyFill="1" applyBorder="1"/>
    <xf numFmtId="170" fontId="58" fillId="10" borderId="14" xfId="0" applyNumberFormat="1" applyFont="1" applyFill="1" applyBorder="1"/>
    <xf numFmtId="170" fontId="45" fillId="9" borderId="2" xfId="0" applyNumberFormat="1" applyFont="1" applyFill="1" applyBorder="1" applyAlignment="1">
      <alignment horizontal="left"/>
    </xf>
    <xf numFmtId="170" fontId="48" fillId="9" borderId="2" xfId="0" applyNumberFormat="1" applyFont="1" applyFill="1" applyBorder="1" applyAlignment="1">
      <alignment horizontal="left" indent="3"/>
    </xf>
    <xf numFmtId="170" fontId="48" fillId="10" borderId="2" xfId="0" applyNumberFormat="1" applyFont="1" applyFill="1" applyBorder="1"/>
    <xf numFmtId="170" fontId="45" fillId="10" borderId="2" xfId="0" applyNumberFormat="1" applyFont="1" applyFill="1" applyBorder="1"/>
    <xf numFmtId="170" fontId="45" fillId="9" borderId="2" xfId="0" applyNumberFormat="1" applyFont="1" applyFill="1" applyBorder="1"/>
    <xf numFmtId="170" fontId="45" fillId="10" borderId="13" xfId="0" applyNumberFormat="1" applyFont="1" applyFill="1" applyBorder="1"/>
    <xf numFmtId="170" fontId="48" fillId="9" borderId="0" xfId="0" applyNumberFormat="1" applyFont="1" applyFill="1" applyAlignment="1">
      <alignment horizontal="left" indent="3"/>
    </xf>
    <xf numFmtId="178" fontId="43" fillId="9" borderId="0" xfId="0" applyNumberFormat="1" applyFont="1" applyFill="1" applyAlignment="1">
      <alignment horizontal="left" indent="2"/>
    </xf>
    <xf numFmtId="170" fontId="57" fillId="9" borderId="2" xfId="1" applyNumberFormat="1" applyFont="1" applyFill="1" applyBorder="1"/>
    <xf numFmtId="170" fontId="48" fillId="10" borderId="13" xfId="0" applyNumberFormat="1" applyFont="1" applyFill="1" applyBorder="1"/>
    <xf numFmtId="178" fontId="40" fillId="9" borderId="0" xfId="0" applyNumberFormat="1" applyFont="1" applyFill="1" applyAlignment="1">
      <alignment horizontal="left" indent="1"/>
    </xf>
    <xf numFmtId="178" fontId="48" fillId="9" borderId="2" xfId="0" applyNumberFormat="1" applyFont="1" applyFill="1" applyBorder="1" applyAlignment="1">
      <alignment horizontal="left"/>
    </xf>
    <xf numFmtId="178" fontId="46" fillId="9" borderId="2" xfId="2" applyNumberFormat="1" applyFont="1" applyFill="1" applyBorder="1"/>
    <xf numFmtId="178" fontId="48" fillId="10" borderId="2" xfId="0" applyNumberFormat="1" applyFont="1" applyFill="1" applyBorder="1" applyAlignment="1">
      <alignment horizontal="right"/>
    </xf>
    <xf numFmtId="178" fontId="48" fillId="9" borderId="2" xfId="0" applyNumberFormat="1" applyFont="1" applyFill="1" applyBorder="1" applyAlignment="1">
      <alignment horizontal="right"/>
    </xf>
    <xf numFmtId="178" fontId="48" fillId="10" borderId="13" xfId="0" applyNumberFormat="1" applyFont="1" applyFill="1" applyBorder="1" applyAlignment="1">
      <alignment horizontal="right"/>
    </xf>
    <xf numFmtId="164" fontId="59" fillId="10" borderId="0" xfId="1" applyNumberFormat="1" applyFont="1" applyFill="1"/>
    <xf numFmtId="164" fontId="0" fillId="9" borderId="0" xfId="0" applyNumberFormat="1" applyFill="1" applyAlignment="1">
      <alignment horizontal="left" indent="1"/>
    </xf>
    <xf numFmtId="164" fontId="60" fillId="10" borderId="0" xfId="1" applyNumberFormat="1" applyFont="1" applyFill="1"/>
    <xf numFmtId="164" fontId="60" fillId="9" borderId="0" xfId="1" applyNumberFormat="1" applyFont="1" applyFill="1" applyAlignment="1">
      <alignment horizontal="left" indent="1"/>
    </xf>
    <xf numFmtId="164" fontId="60" fillId="10" borderId="12" xfId="1" applyNumberFormat="1" applyFont="1" applyFill="1" applyBorder="1"/>
    <xf numFmtId="164" fontId="57" fillId="9" borderId="2" xfId="0" applyNumberFormat="1" applyFont="1" applyFill="1" applyBorder="1" applyAlignment="1">
      <alignment horizontal="left"/>
    </xf>
    <xf numFmtId="164" fontId="45" fillId="9" borderId="0" xfId="0" applyNumberFormat="1" applyFont="1" applyFill="1" applyAlignment="1">
      <alignment horizontal="right"/>
    </xf>
    <xf numFmtId="164" fontId="45" fillId="10" borderId="0" xfId="0" applyNumberFormat="1" applyFont="1" applyFill="1" applyAlignment="1">
      <alignment horizontal="right"/>
    </xf>
    <xf numFmtId="164" fontId="45" fillId="10" borderId="12" xfId="0" applyNumberFormat="1" applyFont="1" applyFill="1" applyBorder="1" applyAlignment="1">
      <alignment horizontal="right"/>
    </xf>
    <xf numFmtId="170" fontId="0" fillId="9" borderId="0" xfId="0" applyNumberFormat="1" applyFill="1" applyAlignment="1">
      <alignment horizontal="left" indent="2"/>
    </xf>
    <xf numFmtId="170" fontId="0" fillId="9" borderId="0" xfId="0" applyNumberFormat="1" applyFill="1" applyAlignment="1">
      <alignment horizontal="right"/>
    </xf>
    <xf numFmtId="170" fontId="0" fillId="10" borderId="0" xfId="0" applyNumberFormat="1" applyFill="1" applyAlignment="1">
      <alignment horizontal="right"/>
    </xf>
    <xf numFmtId="170" fontId="0" fillId="9" borderId="15" xfId="0" applyNumberFormat="1" applyFill="1" applyBorder="1" applyAlignment="1">
      <alignment horizontal="left" indent="1"/>
    </xf>
    <xf numFmtId="170" fontId="42" fillId="9" borderId="15" xfId="2" applyNumberFormat="1" applyFont="1" applyFill="1" applyBorder="1"/>
    <xf numFmtId="170" fontId="40" fillId="10" borderId="15" xfId="0" applyNumberFormat="1" applyFont="1" applyFill="1" applyBorder="1" applyAlignment="1">
      <alignment horizontal="right"/>
    </xf>
    <xf numFmtId="170" fontId="40" fillId="9" borderId="15" xfId="0" applyNumberFormat="1" applyFont="1" applyFill="1" applyBorder="1" applyAlignment="1">
      <alignment horizontal="right"/>
    </xf>
    <xf numFmtId="170" fontId="0" fillId="9" borderId="15" xfId="0" applyNumberFormat="1" applyFill="1" applyBorder="1" applyAlignment="1">
      <alignment horizontal="right"/>
    </xf>
    <xf numFmtId="170" fontId="0" fillId="10" borderId="15" xfId="0" applyNumberFormat="1" applyFill="1" applyBorder="1" applyAlignment="1">
      <alignment horizontal="right"/>
    </xf>
    <xf numFmtId="170" fontId="40" fillId="10" borderId="16" xfId="0" applyNumberFormat="1" applyFont="1" applyFill="1" applyBorder="1" applyAlignment="1">
      <alignment horizontal="right"/>
    </xf>
    <xf numFmtId="164" fontId="49" fillId="10" borderId="2" xfId="0" applyNumberFormat="1" applyFont="1" applyFill="1" applyBorder="1" applyAlignment="1">
      <alignment horizontal="right"/>
    </xf>
    <xf numFmtId="164" fontId="49" fillId="9" borderId="2" xfId="0" applyNumberFormat="1" applyFont="1" applyFill="1" applyBorder="1" applyAlignment="1">
      <alignment horizontal="right"/>
    </xf>
    <xf numFmtId="164" fontId="45" fillId="9" borderId="2" xfId="0" applyNumberFormat="1" applyFont="1" applyFill="1" applyBorder="1" applyAlignment="1">
      <alignment horizontal="right"/>
    </xf>
    <xf numFmtId="164" fontId="49" fillId="10" borderId="13" xfId="0" applyNumberFormat="1" applyFont="1" applyFill="1" applyBorder="1" applyAlignment="1">
      <alignment horizontal="right"/>
    </xf>
    <xf numFmtId="170" fontId="45" fillId="10" borderId="0" xfId="0" applyNumberFormat="1" applyFont="1" applyFill="1" applyAlignment="1">
      <alignment horizontal="right"/>
    </xf>
    <xf numFmtId="170" fontId="45" fillId="9" borderId="0" xfId="0" applyNumberFormat="1" applyFont="1" applyFill="1" applyAlignment="1">
      <alignment horizontal="right"/>
    </xf>
    <xf numFmtId="170" fontId="45" fillId="10" borderId="12" xfId="0" applyNumberFormat="1" applyFont="1" applyFill="1" applyBorder="1" applyAlignment="1">
      <alignment horizontal="right"/>
    </xf>
    <xf numFmtId="164" fontId="45" fillId="9" borderId="0" xfId="0" applyNumberFormat="1" applyFont="1" applyFill="1" applyAlignment="1">
      <alignment horizontal="left"/>
    </xf>
    <xf numFmtId="164" fontId="59" fillId="9" borderId="0" xfId="1" applyNumberFormat="1" applyFont="1" applyFill="1"/>
    <xf numFmtId="164" fontId="59" fillId="10" borderId="12" xfId="1" applyNumberFormat="1" applyFont="1" applyFill="1" applyBorder="1"/>
    <xf numFmtId="164" fontId="46" fillId="9" borderId="0" xfId="0" applyNumberFormat="1" applyFont="1" applyFill="1"/>
    <xf numFmtId="164" fontId="45" fillId="9" borderId="2" xfId="0" applyNumberFormat="1" applyFont="1" applyFill="1" applyBorder="1" applyAlignment="1">
      <alignment horizontal="left"/>
    </xf>
    <xf numFmtId="164" fontId="59" fillId="10" borderId="13" xfId="1" applyNumberFormat="1" applyFont="1" applyFill="1" applyBorder="1"/>
    <xf numFmtId="178" fontId="43" fillId="9" borderId="0" xfId="0" applyNumberFormat="1" applyFont="1" applyFill="1" applyAlignment="1">
      <alignment horizontal="left" indent="1"/>
    </xf>
    <xf numFmtId="166" fontId="46" fillId="9" borderId="0" xfId="0" applyNumberFormat="1" applyFont="1" applyFill="1" applyAlignment="1">
      <alignment horizontal="left"/>
    </xf>
    <xf numFmtId="166" fontId="46" fillId="9" borderId="0" xfId="0" applyNumberFormat="1" applyFont="1" applyFill="1"/>
    <xf numFmtId="166" fontId="46" fillId="10" borderId="0" xfId="1" applyNumberFormat="1" applyFont="1" applyFill="1"/>
    <xf numFmtId="166" fontId="46" fillId="9" borderId="0" xfId="1" applyNumberFormat="1" applyFont="1" applyFill="1"/>
    <xf numFmtId="166" fontId="48" fillId="9" borderId="0" xfId="0" applyNumberFormat="1" applyFont="1" applyFill="1"/>
    <xf numFmtId="166" fontId="46" fillId="9" borderId="0" xfId="1" applyNumberFormat="1" applyFont="1" applyFill="1" applyAlignment="1">
      <alignment horizontal="left" indent="1"/>
    </xf>
    <xf numFmtId="166" fontId="46" fillId="10" borderId="12" xfId="1" applyNumberFormat="1" applyFont="1" applyFill="1" applyBorder="1"/>
    <xf numFmtId="166" fontId="45" fillId="9" borderId="0" xfId="0" applyNumberFormat="1" applyFont="1" applyFill="1"/>
    <xf numFmtId="166" fontId="45" fillId="0" borderId="0" xfId="0" applyNumberFormat="1" applyFont="1"/>
    <xf numFmtId="164" fontId="58" fillId="10" borderId="0" xfId="0" applyNumberFormat="1" applyFont="1" applyFill="1" applyAlignment="1">
      <alignment horizontal="right"/>
    </xf>
    <xf numFmtId="164" fontId="42" fillId="9" borderId="8" xfId="2" applyNumberFormat="1" applyFont="1" applyFill="1" applyBorder="1"/>
    <xf numFmtId="164" fontId="40" fillId="10" borderId="8" xfId="0" applyNumberFormat="1" applyFont="1" applyFill="1" applyBorder="1" applyAlignment="1">
      <alignment horizontal="right"/>
    </xf>
    <xf numFmtId="164" fontId="58" fillId="10" borderId="8" xfId="0" applyNumberFormat="1" applyFont="1" applyFill="1" applyBorder="1" applyAlignment="1">
      <alignment horizontal="right"/>
    </xf>
    <xf numFmtId="164" fontId="40" fillId="9" borderId="8" xfId="0" applyNumberFormat="1" applyFont="1" applyFill="1" applyBorder="1" applyAlignment="1">
      <alignment horizontal="right"/>
    </xf>
    <xf numFmtId="164" fontId="50" fillId="10" borderId="14" xfId="1" applyNumberFormat="1" applyFont="1" applyFill="1" applyBorder="1"/>
    <xf numFmtId="164" fontId="0" fillId="10" borderId="0" xfId="0" applyNumberFormat="1" applyFill="1" applyAlignment="1">
      <alignment horizontal="right"/>
    </xf>
    <xf numFmtId="164" fontId="58" fillId="9" borderId="0" xfId="0" applyNumberFormat="1" applyFont="1" applyFill="1" applyAlignment="1">
      <alignment horizontal="right"/>
    </xf>
    <xf numFmtId="164" fontId="58" fillId="10" borderId="12" xfId="0" applyNumberFormat="1" applyFont="1" applyFill="1" applyBorder="1" applyAlignment="1">
      <alignment horizontal="right"/>
    </xf>
    <xf numFmtId="164" fontId="59" fillId="9" borderId="0" xfId="1" applyNumberFormat="1" applyFont="1" applyFill="1" applyAlignment="1">
      <alignment horizontal="left" indent="1"/>
    </xf>
    <xf numFmtId="164" fontId="40" fillId="9" borderId="8" xfId="0" applyNumberFormat="1" applyFont="1" applyFill="1" applyBorder="1" applyAlignment="1">
      <alignment horizontal="left" indent="1"/>
    </xf>
    <xf numFmtId="164" fontId="40" fillId="10" borderId="14" xfId="0" applyNumberFormat="1" applyFont="1" applyFill="1" applyBorder="1" applyAlignment="1">
      <alignment horizontal="right"/>
    </xf>
    <xf numFmtId="164" fontId="49" fillId="10" borderId="0" xfId="0" applyNumberFormat="1" applyFont="1" applyFill="1" applyAlignment="1">
      <alignment horizontal="right"/>
    </xf>
    <xf numFmtId="164" fontId="49" fillId="10" borderId="12" xfId="0" applyNumberFormat="1" applyFont="1" applyFill="1" applyBorder="1" applyAlignment="1">
      <alignment horizontal="right"/>
    </xf>
    <xf numFmtId="164" fontId="40" fillId="9" borderId="0" xfId="0" applyNumberFormat="1" applyFont="1" applyFill="1" applyAlignment="1">
      <alignment horizontal="left"/>
    </xf>
    <xf numFmtId="170" fontId="57" fillId="0" borderId="0" xfId="0" applyNumberFormat="1" applyFont="1"/>
    <xf numFmtId="164" fontId="0" fillId="9" borderId="0" xfId="0" applyNumberFormat="1" applyFill="1" applyAlignment="1">
      <alignment horizontal="left"/>
    </xf>
    <xf numFmtId="180" fontId="0" fillId="9" borderId="0" xfId="0" applyNumberFormat="1" applyFill="1" applyAlignment="1">
      <alignment horizontal="left"/>
    </xf>
    <xf numFmtId="180" fontId="40" fillId="9" borderId="0" xfId="0" applyNumberFormat="1" applyFont="1" applyFill="1"/>
    <xf numFmtId="180" fontId="42" fillId="10" borderId="0" xfId="1" applyNumberFormat="1" applyFont="1" applyFill="1"/>
    <xf numFmtId="180" fontId="42" fillId="9" borderId="0" xfId="1" applyNumberFormat="1" applyFont="1" applyFill="1"/>
    <xf numFmtId="180" fontId="50" fillId="10" borderId="0" xfId="1" applyNumberFormat="1" applyFont="1" applyFill="1"/>
    <xf numFmtId="180" fontId="50" fillId="10" borderId="12" xfId="1" applyNumberFormat="1" applyFont="1" applyFill="1" applyBorder="1"/>
    <xf numFmtId="180" fontId="0" fillId="9" borderId="0" xfId="0" applyNumberFormat="1" applyFill="1"/>
    <xf numFmtId="180" fontId="0" fillId="0" borderId="0" xfId="0" applyNumberFormat="1"/>
    <xf numFmtId="178" fontId="0" fillId="9" borderId="0" xfId="0" applyNumberFormat="1" applyFill="1" applyAlignment="1">
      <alignment horizontal="left" indent="1"/>
    </xf>
    <xf numFmtId="178" fontId="40" fillId="10" borderId="0" xfId="3" applyNumberFormat="1" applyFont="1" applyFill="1" applyBorder="1" applyAlignment="1">
      <alignment horizontal="right"/>
    </xf>
    <xf numFmtId="178" fontId="58" fillId="10" borderId="0" xfId="3" applyNumberFormat="1" applyFont="1" applyFill="1" applyBorder="1" applyAlignment="1">
      <alignment horizontal="right"/>
    </xf>
    <xf numFmtId="178" fontId="40" fillId="9" borderId="0" xfId="3" applyNumberFormat="1" applyFont="1" applyFill="1" applyBorder="1" applyAlignment="1">
      <alignment horizontal="right"/>
    </xf>
    <xf numFmtId="178" fontId="58" fillId="10" borderId="12" xfId="3" applyNumberFormat="1" applyFont="1" applyFill="1" applyBorder="1" applyAlignment="1">
      <alignment horizontal="right"/>
    </xf>
    <xf numFmtId="178" fontId="0" fillId="10" borderId="0" xfId="3" applyNumberFormat="1" applyFont="1" applyFill="1" applyBorder="1" applyAlignment="1">
      <alignment horizontal="right"/>
    </xf>
    <xf numFmtId="178" fontId="40" fillId="10" borderId="12" xfId="3" applyNumberFormat="1" applyFont="1" applyFill="1" applyBorder="1" applyAlignment="1">
      <alignment horizontal="right"/>
    </xf>
    <xf numFmtId="178" fontId="45" fillId="9" borderId="2" xfId="0" applyNumberFormat="1" applyFont="1" applyFill="1" applyBorder="1" applyAlignment="1">
      <alignment horizontal="left"/>
    </xf>
    <xf numFmtId="178" fontId="48" fillId="10" borderId="2" xfId="3" applyNumberFormat="1" applyFont="1" applyFill="1" applyBorder="1" applyAlignment="1">
      <alignment horizontal="right"/>
    </xf>
    <xf numFmtId="178" fontId="49" fillId="10" borderId="2" xfId="3" applyNumberFormat="1" applyFont="1" applyFill="1" applyBorder="1" applyAlignment="1">
      <alignment horizontal="right"/>
    </xf>
    <xf numFmtId="178" fontId="48" fillId="9" borderId="2" xfId="3" applyNumberFormat="1" applyFont="1" applyFill="1" applyBorder="1" applyAlignment="1">
      <alignment horizontal="right"/>
    </xf>
    <xf numFmtId="178" fontId="49" fillId="10" borderId="13" xfId="3" applyNumberFormat="1" applyFont="1" applyFill="1" applyBorder="1" applyAlignment="1">
      <alignment horizontal="right"/>
    </xf>
    <xf numFmtId="170" fontId="42" fillId="9" borderId="2" xfId="2" applyNumberFormat="1" applyFont="1" applyFill="1" applyBorder="1"/>
    <xf numFmtId="170" fontId="40" fillId="10" borderId="2" xfId="0" applyNumberFormat="1" applyFont="1" applyFill="1" applyBorder="1" applyAlignment="1">
      <alignment horizontal="right"/>
    </xf>
    <xf numFmtId="170" fontId="40" fillId="9" borderId="2" xfId="0" applyNumberFormat="1" applyFont="1" applyFill="1" applyBorder="1" applyAlignment="1">
      <alignment horizontal="right"/>
    </xf>
    <xf numFmtId="170" fontId="40" fillId="10" borderId="13" xfId="0" applyNumberFormat="1" applyFont="1" applyFill="1" applyBorder="1" applyAlignment="1">
      <alignment horizontal="right"/>
    </xf>
    <xf numFmtId="170" fontId="40" fillId="9" borderId="15" xfId="0" applyNumberFormat="1" applyFont="1" applyFill="1" applyBorder="1" applyAlignment="1">
      <alignment horizontal="left" indent="1"/>
    </xf>
    <xf numFmtId="166" fontId="57" fillId="9" borderId="0" xfId="1" applyNumberFormat="1" applyFont="1" applyFill="1"/>
    <xf numFmtId="178" fontId="50" fillId="9" borderId="0" xfId="1" applyNumberFormat="1" applyFont="1" applyFill="1"/>
    <xf numFmtId="166" fontId="59" fillId="10" borderId="0" xfId="1" applyNumberFormat="1" applyFont="1" applyFill="1"/>
    <xf numFmtId="166" fontId="59" fillId="9" borderId="0" xfId="1" applyNumberFormat="1" applyFont="1" applyFill="1"/>
    <xf numFmtId="166" fontId="37" fillId="0" borderId="0" xfId="0" applyNumberFormat="1" applyFont="1"/>
    <xf numFmtId="170" fontId="37" fillId="0" borderId="0" xfId="0" applyNumberFormat="1" applyFont="1"/>
    <xf numFmtId="170" fontId="60" fillId="10" borderId="0" xfId="1" applyNumberFormat="1" applyFont="1" applyFill="1"/>
    <xf numFmtId="178" fontId="43" fillId="9" borderId="0" xfId="0" applyNumberFormat="1" applyFont="1" applyFill="1" applyAlignment="1">
      <alignment horizontal="left" indent="3"/>
    </xf>
    <xf numFmtId="178" fontId="44" fillId="9" borderId="8" xfId="0" applyNumberFormat="1" applyFont="1" applyFill="1" applyBorder="1" applyAlignment="1">
      <alignment horizontal="left" indent="3"/>
    </xf>
    <xf numFmtId="178" fontId="52" fillId="9" borderId="8" xfId="2" applyNumberFormat="1" applyFont="1" applyFill="1" applyBorder="1"/>
    <xf numFmtId="178" fontId="44" fillId="10" borderId="8" xfId="0" applyNumberFormat="1" applyFont="1" applyFill="1" applyBorder="1" applyAlignment="1">
      <alignment horizontal="right"/>
    </xf>
    <xf numFmtId="178" fontId="44" fillId="9" borderId="8" xfId="0" applyNumberFormat="1" applyFont="1" applyFill="1" applyBorder="1" applyAlignment="1">
      <alignment horizontal="right"/>
    </xf>
    <xf numFmtId="178" fontId="44" fillId="10" borderId="14" xfId="0" applyNumberFormat="1" applyFont="1" applyFill="1" applyBorder="1" applyAlignment="1">
      <alignment horizontal="right"/>
    </xf>
    <xf numFmtId="170" fontId="37" fillId="9" borderId="2" xfId="0" applyNumberFormat="1" applyFont="1" applyFill="1" applyBorder="1" applyAlignment="1">
      <alignment horizontal="left" indent="1"/>
    </xf>
    <xf numFmtId="170" fontId="59" fillId="10" borderId="2" xfId="1" applyNumberFormat="1" applyFont="1" applyFill="1" applyBorder="1"/>
    <xf numFmtId="170" fontId="59" fillId="9" borderId="2" xfId="1" applyNumberFormat="1" applyFont="1" applyFill="1" applyBorder="1"/>
    <xf numFmtId="170" fontId="49" fillId="10" borderId="2" xfId="0" applyNumberFormat="1" applyFont="1" applyFill="1" applyBorder="1"/>
    <xf numFmtId="170" fontId="49" fillId="9" borderId="2" xfId="0" applyNumberFormat="1" applyFont="1" applyFill="1" applyBorder="1"/>
    <xf numFmtId="178" fontId="61" fillId="9" borderId="0" xfId="0" applyNumberFormat="1" applyFont="1" applyFill="1" applyAlignment="1">
      <alignment horizontal="left" indent="2"/>
    </xf>
    <xf numFmtId="170" fontId="45" fillId="9" borderId="0" xfId="0" applyNumberFormat="1" applyFont="1" applyFill="1" applyAlignment="1">
      <alignment horizontal="left" indent="1"/>
    </xf>
    <xf numFmtId="170" fontId="59" fillId="10" borderId="0" xfId="1" applyNumberFormat="1" applyFont="1" applyFill="1"/>
    <xf numFmtId="170" fontId="59" fillId="9" borderId="0" xfId="1" applyNumberFormat="1" applyFont="1" applyFill="1"/>
    <xf numFmtId="170" fontId="49" fillId="9" borderId="0" xfId="0" applyNumberFormat="1" applyFont="1" applyFill="1"/>
    <xf numFmtId="170" fontId="57" fillId="10" borderId="2" xfId="1" applyNumberFormat="1" applyFont="1" applyFill="1" applyBorder="1"/>
    <xf numFmtId="178" fontId="40" fillId="9" borderId="0" xfId="0" applyNumberFormat="1" applyFont="1" applyFill="1" applyAlignment="1">
      <alignment horizontal="left" indent="2"/>
    </xf>
    <xf numFmtId="178" fontId="40" fillId="9" borderId="2" xfId="0" applyNumberFormat="1" applyFont="1" applyFill="1" applyBorder="1" applyAlignment="1">
      <alignment horizontal="left" indent="1"/>
    </xf>
    <xf numFmtId="178" fontId="40" fillId="9" borderId="2" xfId="0" applyNumberFormat="1" applyFont="1" applyFill="1" applyBorder="1"/>
    <xf numFmtId="178" fontId="42" fillId="10" borderId="2" xfId="1" applyNumberFormat="1" applyFont="1" applyFill="1" applyBorder="1"/>
    <xf numFmtId="178" fontId="42" fillId="9" borderId="2" xfId="1" applyNumberFormat="1" applyFont="1" applyFill="1" applyBorder="1"/>
    <xf numFmtId="178" fontId="42" fillId="10" borderId="13" xfId="1" applyNumberFormat="1" applyFont="1" applyFill="1" applyBorder="1"/>
    <xf numFmtId="178" fontId="40" fillId="9" borderId="2" xfId="0" applyNumberFormat="1" applyFont="1" applyFill="1" applyBorder="1" applyAlignment="1">
      <alignment horizontal="left" indent="2"/>
    </xf>
    <xf numFmtId="178" fontId="42" fillId="9" borderId="2" xfId="2" applyNumberFormat="1" applyFont="1" applyFill="1" applyBorder="1"/>
    <xf numFmtId="178" fontId="40" fillId="10" borderId="2" xfId="0" applyNumberFormat="1" applyFont="1" applyFill="1" applyBorder="1" applyAlignment="1">
      <alignment horizontal="right"/>
    </xf>
    <xf numFmtId="178" fontId="40" fillId="9" borderId="2" xfId="0" applyNumberFormat="1" applyFont="1" applyFill="1" applyBorder="1" applyAlignment="1">
      <alignment horizontal="right"/>
    </xf>
    <xf numFmtId="178" fontId="40" fillId="10" borderId="13" xfId="0" applyNumberFormat="1" applyFont="1" applyFill="1" applyBorder="1" applyAlignment="1">
      <alignment horizontal="right"/>
    </xf>
    <xf numFmtId="178" fontId="48" fillId="0" borderId="0" xfId="0" applyNumberFormat="1" applyFont="1"/>
    <xf numFmtId="178" fontId="40" fillId="9" borderId="8" xfId="0" applyNumberFormat="1" applyFont="1" applyFill="1" applyBorder="1" applyAlignment="1">
      <alignment horizontal="left" indent="2"/>
    </xf>
    <xf numFmtId="178" fontId="42" fillId="9" borderId="8" xfId="2" applyNumberFormat="1" applyFont="1" applyFill="1" applyBorder="1"/>
    <xf numFmtId="178" fontId="40" fillId="10" borderId="8" xfId="0" applyNumberFormat="1" applyFont="1" applyFill="1" applyBorder="1" applyAlignment="1">
      <alignment horizontal="right"/>
    </xf>
    <xf numFmtId="178" fontId="40" fillId="9" borderId="8" xfId="0" applyNumberFormat="1" applyFont="1" applyFill="1" applyBorder="1" applyAlignment="1">
      <alignment horizontal="right"/>
    </xf>
    <xf numFmtId="178" fontId="40" fillId="10" borderId="14" xfId="0" applyNumberFormat="1" applyFont="1" applyFill="1" applyBorder="1" applyAlignment="1">
      <alignment horizontal="right"/>
    </xf>
    <xf numFmtId="178" fontId="48" fillId="9" borderId="0" xfId="0" applyNumberFormat="1" applyFont="1" applyFill="1" applyAlignment="1">
      <alignment horizontal="left" indent="1"/>
    </xf>
    <xf numFmtId="178" fontId="42" fillId="9" borderId="8" xfId="2" applyNumberFormat="1" applyFont="1" applyFill="1" applyBorder="1" applyAlignment="1">
      <alignment horizontal="left"/>
    </xf>
    <xf numFmtId="178" fontId="46" fillId="9" borderId="0" xfId="2" applyNumberFormat="1" applyFont="1" applyFill="1" applyAlignment="1">
      <alignment horizontal="left"/>
    </xf>
    <xf numFmtId="178" fontId="44" fillId="9" borderId="0" xfId="0" applyNumberFormat="1" applyFont="1" applyFill="1" applyAlignment="1">
      <alignment horizontal="left" indent="3"/>
    </xf>
    <xf numFmtId="178" fontId="44" fillId="10" borderId="0" xfId="0" applyNumberFormat="1" applyFont="1" applyFill="1" applyAlignment="1">
      <alignment horizontal="center"/>
    </xf>
    <xf numFmtId="178" fontId="44" fillId="0" borderId="0" xfId="0" applyNumberFormat="1" applyFont="1"/>
    <xf numFmtId="178" fontId="42" fillId="9" borderId="0" xfId="2" applyNumberFormat="1" applyFont="1" applyFill="1" applyAlignment="1">
      <alignment horizontal="left"/>
    </xf>
    <xf numFmtId="178" fontId="40" fillId="9" borderId="8" xfId="0" applyNumberFormat="1" applyFont="1" applyFill="1" applyBorder="1" applyAlignment="1">
      <alignment horizontal="left" indent="1"/>
    </xf>
    <xf numFmtId="178" fontId="46" fillId="9" borderId="2" xfId="2" applyNumberFormat="1" applyFont="1" applyFill="1" applyBorder="1" applyAlignment="1">
      <alignment horizontal="left"/>
    </xf>
    <xf numFmtId="178" fontId="52" fillId="9" borderId="0" xfId="2" applyNumberFormat="1" applyFont="1" applyFill="1" applyAlignment="1">
      <alignment horizontal="left" indent="1"/>
    </xf>
    <xf numFmtId="178" fontId="44" fillId="10" borderId="0" xfId="0" applyNumberFormat="1" applyFont="1" applyFill="1" applyAlignment="1">
      <alignment horizontal="left" indent="1"/>
    </xf>
    <xf numFmtId="178" fontId="44" fillId="10" borderId="12" xfId="0" applyNumberFormat="1" applyFont="1" applyFill="1" applyBorder="1" applyAlignment="1">
      <alignment horizontal="left" indent="1"/>
    </xf>
    <xf numFmtId="178" fontId="43" fillId="0" borderId="0" xfId="0" applyNumberFormat="1" applyFont="1" applyAlignment="1">
      <alignment horizontal="left" indent="1"/>
    </xf>
    <xf numFmtId="170" fontId="37" fillId="9" borderId="0" xfId="0" applyNumberFormat="1" applyFont="1" applyFill="1"/>
    <xf numFmtId="170" fontId="49" fillId="10" borderId="0" xfId="0" applyNumberFormat="1" applyFont="1" applyFill="1"/>
    <xf numFmtId="170" fontId="45" fillId="10" borderId="0" xfId="0" applyNumberFormat="1" applyFont="1" applyFill="1"/>
    <xf numFmtId="170" fontId="49" fillId="10" borderId="12" xfId="0" applyNumberFormat="1" applyFont="1" applyFill="1" applyBorder="1"/>
    <xf numFmtId="170" fontId="0" fillId="10" borderId="0" xfId="0" applyNumberFormat="1" applyFill="1"/>
    <xf numFmtId="170" fontId="37" fillId="9" borderId="2" xfId="0" applyNumberFormat="1" applyFont="1" applyFill="1" applyBorder="1"/>
    <xf numFmtId="170" fontId="0" fillId="9" borderId="8" xfId="0" applyNumberFormat="1" applyFill="1" applyBorder="1" applyAlignment="1">
      <alignment horizontal="left" indent="2"/>
    </xf>
    <xf numFmtId="170" fontId="40" fillId="9" borderId="8" xfId="0" applyNumberFormat="1" applyFont="1" applyFill="1" applyBorder="1" applyAlignment="1">
      <alignment horizontal="left" indent="3"/>
    </xf>
    <xf numFmtId="170" fontId="37" fillId="9" borderId="15" xfId="0" applyNumberFormat="1" applyFont="1" applyFill="1" applyBorder="1"/>
    <xf numFmtId="170" fontId="48" fillId="9" borderId="15" xfId="0" applyNumberFormat="1" applyFont="1" applyFill="1" applyBorder="1" applyAlignment="1">
      <alignment horizontal="left" indent="3"/>
    </xf>
    <xf numFmtId="170" fontId="48" fillId="10" borderId="15" xfId="0" applyNumberFormat="1" applyFont="1" applyFill="1" applyBorder="1"/>
    <xf numFmtId="170" fontId="45" fillId="10" borderId="15" xfId="0" applyNumberFormat="1" applyFont="1" applyFill="1" applyBorder="1"/>
    <xf numFmtId="170" fontId="45" fillId="9" borderId="15" xfId="0" applyNumberFormat="1" applyFont="1" applyFill="1" applyBorder="1"/>
    <xf numFmtId="170" fontId="48" fillId="9" borderId="15" xfId="0" applyNumberFormat="1" applyFont="1" applyFill="1" applyBorder="1"/>
    <xf numFmtId="170" fontId="48" fillId="10" borderId="16" xfId="0" applyNumberFormat="1" applyFont="1" applyFill="1" applyBorder="1"/>
    <xf numFmtId="170" fontId="42" fillId="8" borderId="0" xfId="5" applyNumberFormat="1" applyFont="1"/>
    <xf numFmtId="170" fontId="42" fillId="8" borderId="0" xfId="5" applyNumberFormat="1" applyFont="1" applyAlignment="1">
      <alignment horizontal="right"/>
    </xf>
    <xf numFmtId="170" fontId="42" fillId="8" borderId="12" xfId="5" applyNumberFormat="1" applyFont="1" applyBorder="1" applyAlignment="1">
      <alignment horizontal="right"/>
    </xf>
    <xf numFmtId="170" fontId="46" fillId="10" borderId="0" xfId="0" applyNumberFormat="1" applyFont="1" applyFill="1" applyAlignment="1">
      <alignment horizontal="right"/>
    </xf>
    <xf numFmtId="170" fontId="46" fillId="9" borderId="0" xfId="0" applyNumberFormat="1" applyFont="1" applyFill="1" applyAlignment="1">
      <alignment horizontal="right"/>
    </xf>
    <xf numFmtId="170" fontId="57" fillId="9" borderId="0" xfId="0" applyNumberFormat="1" applyFont="1" applyFill="1" applyAlignment="1">
      <alignment horizontal="right"/>
    </xf>
    <xf numFmtId="170" fontId="46" fillId="10" borderId="12" xfId="0" applyNumberFormat="1" applyFont="1" applyFill="1" applyBorder="1" applyAlignment="1">
      <alignment horizontal="right"/>
    </xf>
    <xf numFmtId="170" fontId="42" fillId="10" borderId="0" xfId="0" applyNumberFormat="1" applyFont="1" applyFill="1" applyAlignment="1">
      <alignment horizontal="right"/>
    </xf>
    <xf numFmtId="170" fontId="42" fillId="9" borderId="0" xfId="0" applyNumberFormat="1" applyFont="1" applyFill="1" applyAlignment="1">
      <alignment horizontal="right"/>
    </xf>
    <xf numFmtId="170" fontId="50" fillId="9" borderId="0" xfId="0" applyNumberFormat="1" applyFont="1" applyFill="1" applyAlignment="1">
      <alignment horizontal="right"/>
    </xf>
    <xf numFmtId="170" fontId="50" fillId="10" borderId="0" xfId="0" applyNumberFormat="1" applyFont="1" applyFill="1" applyAlignment="1">
      <alignment horizontal="right"/>
    </xf>
    <xf numFmtId="170" fontId="42" fillId="10" borderId="12" xfId="0" applyNumberFormat="1" applyFont="1" applyFill="1" applyBorder="1" applyAlignment="1">
      <alignment horizontal="right"/>
    </xf>
    <xf numFmtId="170" fontId="1" fillId="0" borderId="0" xfId="0" applyNumberFormat="1" applyFont="1"/>
    <xf numFmtId="170" fontId="46" fillId="10" borderId="2" xfId="0" applyNumberFormat="1" applyFont="1" applyFill="1" applyBorder="1" applyAlignment="1">
      <alignment horizontal="right"/>
    </xf>
    <xf numFmtId="170" fontId="46" fillId="9" borderId="2" xfId="0" applyNumberFormat="1" applyFont="1" applyFill="1" applyBorder="1" applyAlignment="1">
      <alignment horizontal="right"/>
    </xf>
    <xf numFmtId="170" fontId="57" fillId="9" borderId="2" xfId="0" applyNumberFormat="1" applyFont="1" applyFill="1" applyBorder="1" applyAlignment="1">
      <alignment horizontal="right"/>
    </xf>
    <xf numFmtId="170" fontId="46" fillId="10" borderId="13" xfId="0" applyNumberFormat="1" applyFont="1" applyFill="1" applyBorder="1" applyAlignment="1">
      <alignment horizontal="right"/>
    </xf>
    <xf numFmtId="170" fontId="50" fillId="10" borderId="12" xfId="0" applyNumberFormat="1" applyFont="1" applyFill="1" applyBorder="1" applyAlignment="1">
      <alignment horizontal="right"/>
    </xf>
    <xf numFmtId="170" fontId="60" fillId="9" borderId="0" xfId="0" applyNumberFormat="1" applyFont="1" applyFill="1" applyAlignment="1">
      <alignment horizontal="right"/>
    </xf>
    <xf numFmtId="170" fontId="1" fillId="9" borderId="0" xfId="0" applyNumberFormat="1" applyFont="1" applyFill="1" applyAlignment="1">
      <alignment horizontal="left" indent="2"/>
    </xf>
    <xf numFmtId="170" fontId="1" fillId="9" borderId="8" xfId="0" applyNumberFormat="1" applyFont="1" applyFill="1" applyBorder="1" applyAlignment="1">
      <alignment horizontal="left" indent="2"/>
    </xf>
    <xf numFmtId="170" fontId="42" fillId="10" borderId="8" xfId="0" applyNumberFormat="1" applyFont="1" applyFill="1" applyBorder="1" applyAlignment="1">
      <alignment horizontal="right"/>
    </xf>
    <xf numFmtId="170" fontId="42" fillId="9" borderId="8" xfId="0" applyNumberFormat="1" applyFont="1" applyFill="1" applyBorder="1" applyAlignment="1">
      <alignment horizontal="right"/>
    </xf>
    <xf numFmtId="170" fontId="50" fillId="9" borderId="8" xfId="0" applyNumberFormat="1" applyFont="1" applyFill="1" applyBorder="1" applyAlignment="1">
      <alignment horizontal="right"/>
    </xf>
    <xf numFmtId="170" fontId="50" fillId="10" borderId="8" xfId="0" applyNumberFormat="1" applyFont="1" applyFill="1" applyBorder="1" applyAlignment="1">
      <alignment horizontal="right"/>
    </xf>
    <xf numFmtId="170" fontId="42" fillId="10" borderId="14" xfId="0" applyNumberFormat="1" applyFont="1" applyFill="1" applyBorder="1" applyAlignment="1">
      <alignment horizontal="right"/>
    </xf>
    <xf numFmtId="170" fontId="0" fillId="10" borderId="12" xfId="0" applyNumberFormat="1" applyFill="1" applyBorder="1" applyAlignment="1">
      <alignment horizontal="right"/>
    </xf>
    <xf numFmtId="170" fontId="59" fillId="10" borderId="2" xfId="0" applyNumberFormat="1" applyFont="1" applyFill="1" applyBorder="1" applyAlignment="1">
      <alignment horizontal="right"/>
    </xf>
    <xf numFmtId="170" fontId="58" fillId="10" borderId="0" xfId="1" applyNumberFormat="1" applyFont="1" applyFill="1"/>
    <xf numFmtId="170" fontId="58" fillId="9" borderId="0" xfId="1" applyNumberFormat="1" applyFont="1" applyFill="1"/>
    <xf numFmtId="170" fontId="40" fillId="9" borderId="0" xfId="1" applyNumberFormat="1" applyFont="1" applyFill="1"/>
    <xf numFmtId="170" fontId="40" fillId="10" borderId="0" xfId="1" applyNumberFormat="1" applyFont="1" applyFill="1"/>
    <xf numFmtId="170" fontId="58" fillId="10" borderId="12" xfId="1" applyNumberFormat="1" applyFont="1" applyFill="1" applyBorder="1"/>
    <xf numFmtId="170" fontId="40" fillId="10" borderId="12" xfId="1" applyNumberFormat="1" applyFont="1" applyFill="1" applyBorder="1"/>
    <xf numFmtId="170" fontId="52" fillId="9" borderId="0" xfId="0" applyNumberFormat="1" applyFont="1" applyFill="1" applyAlignment="1">
      <alignment horizontal="left" indent="1"/>
    </xf>
    <xf numFmtId="170" fontId="44" fillId="9" borderId="0" xfId="0" applyNumberFormat="1" applyFont="1" applyFill="1" applyAlignment="1">
      <alignment horizontal="left" indent="3"/>
    </xf>
    <xf numFmtId="170" fontId="44" fillId="10" borderId="0" xfId="0" applyNumberFormat="1" applyFont="1" applyFill="1" applyAlignment="1">
      <alignment horizontal="center"/>
    </xf>
    <xf numFmtId="170" fontId="44" fillId="0" borderId="0" xfId="0" applyNumberFormat="1" applyFont="1"/>
    <xf numFmtId="170" fontId="40" fillId="9" borderId="8" xfId="0" applyNumberFormat="1" applyFont="1" applyFill="1" applyBorder="1"/>
    <xf numFmtId="170" fontId="42" fillId="10" borderId="0" xfId="0" applyNumberFormat="1" applyFont="1" applyFill="1"/>
    <xf numFmtId="170" fontId="40" fillId="9" borderId="15" xfId="0" applyNumberFormat="1" applyFont="1" applyFill="1" applyBorder="1" applyAlignment="1">
      <alignment horizontal="left" indent="3"/>
    </xf>
    <xf numFmtId="170" fontId="40" fillId="10" borderId="15" xfId="0" applyNumberFormat="1" applyFont="1" applyFill="1" applyBorder="1"/>
    <xf numFmtId="170" fontId="40" fillId="9" borderId="15" xfId="0" applyNumberFormat="1" applyFont="1" applyFill="1" applyBorder="1"/>
    <xf numFmtId="170" fontId="40" fillId="10" borderId="16" xfId="0" applyNumberFormat="1" applyFont="1" applyFill="1" applyBorder="1"/>
    <xf numFmtId="178" fontId="48" fillId="9" borderId="0" xfId="0" applyNumberFormat="1" applyFont="1" applyFill="1" applyAlignment="1">
      <alignment horizontal="left" indent="3"/>
    </xf>
    <xf numFmtId="178" fontId="48" fillId="10" borderId="0" xfId="0" applyNumberFormat="1" applyFont="1" applyFill="1"/>
    <xf numFmtId="178" fontId="48" fillId="10" borderId="12" xfId="0" applyNumberFormat="1" applyFont="1" applyFill="1" applyBorder="1"/>
    <xf numFmtId="178" fontId="49" fillId="9" borderId="0" xfId="0" applyNumberFormat="1" applyFont="1" applyFill="1"/>
    <xf numFmtId="178" fontId="49" fillId="10" borderId="0" xfId="0" applyNumberFormat="1" applyFont="1" applyFill="1"/>
    <xf numFmtId="178" fontId="40" fillId="9" borderId="0" xfId="0" applyNumberFormat="1" applyFont="1" applyFill="1" applyAlignment="1">
      <alignment horizontal="left" indent="3"/>
    </xf>
    <xf numFmtId="178" fontId="58" fillId="10" borderId="0" xfId="0" applyNumberFormat="1" applyFont="1" applyFill="1"/>
    <xf numFmtId="175" fontId="46" fillId="9" borderId="0" xfId="2" applyNumberFormat="1" applyFont="1" applyFill="1"/>
    <xf numFmtId="175" fontId="48" fillId="9" borderId="0" xfId="0" applyNumberFormat="1" applyFont="1" applyFill="1" applyAlignment="1">
      <alignment horizontal="left" indent="3"/>
    </xf>
    <xf numFmtId="175" fontId="48" fillId="10" borderId="0" xfId="0" applyNumberFormat="1" applyFont="1" applyFill="1"/>
    <xf numFmtId="175" fontId="48" fillId="9" borderId="0" xfId="0" applyNumberFormat="1" applyFont="1" applyFill="1"/>
    <xf numFmtId="175" fontId="48" fillId="10" borderId="12" xfId="0" applyNumberFormat="1" applyFont="1" applyFill="1" applyBorder="1"/>
    <xf numFmtId="175" fontId="45" fillId="0" borderId="0" xfId="0" applyNumberFormat="1" applyFont="1"/>
    <xf numFmtId="175" fontId="45" fillId="9" borderId="0" xfId="0" applyNumberFormat="1" applyFont="1" applyFill="1"/>
    <xf numFmtId="175" fontId="52" fillId="9" borderId="0" xfId="0" applyNumberFormat="1" applyFont="1" applyFill="1" applyAlignment="1">
      <alignment horizontal="left" indent="1"/>
    </xf>
    <xf numFmtId="175" fontId="44" fillId="9" borderId="0" xfId="0" applyNumberFormat="1" applyFont="1" applyFill="1" applyAlignment="1">
      <alignment horizontal="left" indent="3"/>
    </xf>
    <xf numFmtId="175" fontId="44" fillId="10" borderId="0" xfId="0" applyNumberFormat="1" applyFont="1" applyFill="1"/>
    <xf numFmtId="175" fontId="44" fillId="9" borderId="0" xfId="0" applyNumberFormat="1" applyFont="1" applyFill="1"/>
    <xf numFmtId="175" fontId="52" fillId="9" borderId="0" xfId="0" applyNumberFormat="1" applyFont="1" applyFill="1"/>
    <xf numFmtId="175" fontId="44" fillId="10" borderId="0" xfId="0" applyNumberFormat="1" applyFont="1" applyFill="1" applyAlignment="1">
      <alignment horizontal="right"/>
    </xf>
    <xf numFmtId="175" fontId="44" fillId="10" borderId="12" xfId="0" applyNumberFormat="1" applyFont="1" applyFill="1" applyBorder="1" applyAlignment="1">
      <alignment horizontal="right"/>
    </xf>
    <xf numFmtId="175" fontId="44" fillId="0" borderId="0" xfId="0" applyNumberFormat="1" applyFont="1"/>
    <xf numFmtId="170" fontId="40" fillId="0" borderId="0" xfId="0" applyNumberFormat="1" applyFont="1"/>
    <xf numFmtId="170" fontId="40" fillId="9" borderId="0" xfId="0" applyNumberFormat="1" applyFont="1" applyFill="1" applyAlignment="1">
      <alignment horizontal="left"/>
    </xf>
    <xf numFmtId="164" fontId="51" fillId="11" borderId="0" xfId="0" applyNumberFormat="1" applyFont="1" applyFill="1" applyAlignment="1">
      <alignment horizontal="left"/>
    </xf>
    <xf numFmtId="164" fontId="51" fillId="11" borderId="0" xfId="0" applyNumberFormat="1" applyFont="1" applyFill="1" applyAlignment="1">
      <alignment horizontal="left" indent="3"/>
    </xf>
    <xf numFmtId="164" fontId="51" fillId="11" borderId="0" xfId="0" applyNumberFormat="1" applyFont="1" applyFill="1"/>
    <xf numFmtId="164" fontId="51" fillId="11" borderId="12" xfId="0" applyNumberFormat="1" applyFont="1" applyFill="1" applyBorder="1"/>
    <xf numFmtId="164" fontId="40" fillId="9" borderId="0" xfId="0" applyNumberFormat="1" applyFont="1" applyFill="1" applyAlignment="1">
      <alignment horizontal="left" indent="3"/>
    </xf>
    <xf numFmtId="181" fontId="40" fillId="10" borderId="0" xfId="0" applyNumberFormat="1" applyFont="1" applyFill="1"/>
    <xf numFmtId="181" fontId="40" fillId="9" borderId="0" xfId="0" applyNumberFormat="1" applyFont="1" applyFill="1"/>
    <xf numFmtId="181" fontId="40" fillId="10" borderId="12" xfId="0" applyNumberFormat="1" applyFont="1" applyFill="1" applyBorder="1"/>
    <xf numFmtId="164" fontId="48" fillId="9" borderId="0" xfId="0" applyNumberFormat="1" applyFont="1" applyFill="1" applyAlignment="1">
      <alignment horizontal="left" indent="3"/>
    </xf>
    <xf numFmtId="179" fontId="48" fillId="10" borderId="0" xfId="0" applyNumberFormat="1" applyFont="1" applyFill="1"/>
    <xf numFmtId="179" fontId="48" fillId="9" borderId="0" xfId="0" applyNumberFormat="1" applyFont="1" applyFill="1"/>
    <xf numFmtId="179" fontId="48" fillId="10" borderId="12" xfId="0" applyNumberFormat="1" applyFont="1" applyFill="1" applyBorder="1"/>
    <xf numFmtId="164" fontId="44" fillId="9" borderId="0" xfId="0" applyNumberFormat="1" applyFont="1" applyFill="1" applyAlignment="1">
      <alignment horizontal="left" indent="1"/>
    </xf>
    <xf numFmtId="178" fontId="55" fillId="9" borderId="0" xfId="0" applyNumberFormat="1" applyFont="1" applyFill="1"/>
    <xf numFmtId="178" fontId="55" fillId="10" borderId="0" xfId="0" applyNumberFormat="1" applyFont="1" applyFill="1"/>
    <xf numFmtId="164" fontId="44" fillId="9" borderId="8" xfId="0" applyNumberFormat="1" applyFont="1" applyFill="1" applyBorder="1" applyAlignment="1">
      <alignment horizontal="left" indent="1"/>
    </xf>
    <xf numFmtId="170" fontId="44" fillId="9" borderId="8" xfId="0" applyNumberFormat="1" applyFont="1" applyFill="1" applyBorder="1" applyAlignment="1">
      <alignment horizontal="left" indent="3"/>
    </xf>
    <xf numFmtId="178" fontId="44" fillId="10" borderId="8" xfId="0" applyNumberFormat="1" applyFont="1" applyFill="1" applyBorder="1"/>
    <xf numFmtId="178" fontId="44" fillId="9" borderId="8" xfId="0" applyNumberFormat="1" applyFont="1" applyFill="1" applyBorder="1"/>
    <xf numFmtId="178" fontId="44" fillId="10" borderId="14" xfId="0" applyNumberFormat="1" applyFont="1" applyFill="1" applyBorder="1"/>
    <xf numFmtId="164" fontId="44" fillId="9" borderId="0" xfId="0" applyNumberFormat="1" applyFont="1" applyFill="1" applyAlignment="1">
      <alignment horizontal="left"/>
    </xf>
    <xf numFmtId="182" fontId="44" fillId="10" borderId="0" xfId="0" applyNumberFormat="1" applyFont="1" applyFill="1"/>
    <xf numFmtId="182" fontId="44" fillId="9" borderId="0" xfId="0" applyNumberFormat="1" applyFont="1" applyFill="1"/>
    <xf numFmtId="182" fontId="44" fillId="10" borderId="12" xfId="0" applyNumberFormat="1" applyFont="1" applyFill="1" applyBorder="1"/>
    <xf numFmtId="182" fontId="55" fillId="9" borderId="0" xfId="0" applyNumberFormat="1" applyFont="1" applyFill="1"/>
    <xf numFmtId="182" fontId="55" fillId="10" borderId="0" xfId="0" applyNumberFormat="1" applyFont="1" applyFill="1"/>
    <xf numFmtId="183" fontId="40" fillId="10" borderId="0" xfId="0" applyNumberFormat="1" applyFont="1" applyFill="1"/>
    <xf numFmtId="183" fontId="40" fillId="9" borderId="0" xfId="0" applyNumberFormat="1" applyFont="1" applyFill="1"/>
    <xf numFmtId="183" fontId="40" fillId="10" borderId="12" xfId="0" applyNumberFormat="1" applyFont="1" applyFill="1" applyBorder="1"/>
    <xf numFmtId="184" fontId="40" fillId="9" borderId="0" xfId="0" applyNumberFormat="1" applyFont="1" applyFill="1" applyAlignment="1">
      <alignment horizontal="left"/>
    </xf>
    <xf numFmtId="184" fontId="40" fillId="9" borderId="0" xfId="0" applyNumberFormat="1" applyFont="1" applyFill="1" applyAlignment="1">
      <alignment horizontal="left" indent="3"/>
    </xf>
    <xf numFmtId="184" fontId="40" fillId="10" borderId="0" xfId="0" applyNumberFormat="1" applyFont="1" applyFill="1"/>
    <xf numFmtId="184" fontId="40" fillId="9" borderId="0" xfId="0" applyNumberFormat="1" applyFont="1" applyFill="1"/>
    <xf numFmtId="184" fontId="40" fillId="10" borderId="12" xfId="0" applyNumberFormat="1" applyFont="1" applyFill="1" applyBorder="1"/>
    <xf numFmtId="184" fontId="0" fillId="9" borderId="0" xfId="0" applyNumberFormat="1" applyFill="1"/>
    <xf numFmtId="185" fontId="40" fillId="9" borderId="0" xfId="0" applyNumberFormat="1" applyFont="1" applyFill="1" applyAlignment="1">
      <alignment horizontal="left" indent="1"/>
    </xf>
    <xf numFmtId="185" fontId="40" fillId="9" borderId="0" xfId="0" applyNumberFormat="1" applyFont="1" applyFill="1" applyAlignment="1">
      <alignment horizontal="left" indent="3"/>
    </xf>
    <xf numFmtId="185" fontId="40" fillId="10" borderId="0" xfId="0" applyNumberFormat="1" applyFont="1" applyFill="1"/>
    <xf numFmtId="185" fontId="40" fillId="9" borderId="0" xfId="0" applyNumberFormat="1" applyFont="1" applyFill="1"/>
    <xf numFmtId="185" fontId="58" fillId="10" borderId="0" xfId="0" applyNumberFormat="1" applyFont="1" applyFill="1"/>
    <xf numFmtId="185" fontId="40" fillId="10" borderId="12" xfId="0" applyNumberFormat="1" applyFont="1" applyFill="1" applyBorder="1"/>
    <xf numFmtId="185" fontId="0" fillId="0" borderId="0" xfId="0" applyNumberFormat="1"/>
    <xf numFmtId="185" fontId="40" fillId="9" borderId="0" xfId="0" applyNumberFormat="1" applyFont="1" applyFill="1" applyAlignment="1">
      <alignment horizontal="left" indent="2"/>
    </xf>
    <xf numFmtId="185" fontId="58" fillId="10" borderId="12" xfId="0" applyNumberFormat="1" applyFont="1" applyFill="1" applyBorder="1"/>
    <xf numFmtId="185" fontId="40" fillId="9" borderId="8" xfId="0" applyNumberFormat="1" applyFont="1" applyFill="1" applyBorder="1" applyAlignment="1">
      <alignment horizontal="left" indent="3"/>
    </xf>
    <xf numFmtId="185" fontId="40" fillId="10" borderId="8" xfId="0" applyNumberFormat="1" applyFont="1" applyFill="1" applyBorder="1"/>
    <xf numFmtId="185" fontId="40" fillId="9" borderId="8" xfId="0" applyNumberFormat="1" applyFont="1" applyFill="1" applyBorder="1"/>
    <xf numFmtId="185" fontId="58" fillId="10" borderId="8" xfId="0" applyNumberFormat="1" applyFont="1" applyFill="1" applyBorder="1"/>
    <xf numFmtId="185" fontId="58" fillId="10" borderId="14" xfId="0" applyNumberFormat="1" applyFont="1" applyFill="1" applyBorder="1"/>
    <xf numFmtId="185" fontId="40" fillId="9" borderId="8" xfId="0" applyNumberFormat="1" applyFont="1" applyFill="1" applyBorder="1" applyAlignment="1">
      <alignment horizontal="left" indent="2"/>
    </xf>
    <xf numFmtId="185" fontId="40" fillId="10" borderId="14" xfId="0" applyNumberFormat="1" applyFont="1" applyFill="1" applyBorder="1"/>
    <xf numFmtId="185" fontId="58" fillId="9" borderId="0" xfId="0" applyNumberFormat="1" applyFont="1" applyFill="1"/>
    <xf numFmtId="170" fontId="48" fillId="9" borderId="17" xfId="0" applyNumberFormat="1" applyFont="1" applyFill="1" applyBorder="1" applyAlignment="1">
      <alignment horizontal="left"/>
    </xf>
    <xf numFmtId="184" fontId="48" fillId="9" borderId="17" xfId="0" applyNumberFormat="1" applyFont="1" applyFill="1" applyBorder="1" applyAlignment="1">
      <alignment horizontal="left" indent="3"/>
    </xf>
    <xf numFmtId="170" fontId="48" fillId="10" borderId="17" xfId="0" applyNumberFormat="1" applyFont="1" applyFill="1" applyBorder="1"/>
    <xf numFmtId="170" fontId="48" fillId="9" borderId="17" xfId="0" applyNumberFormat="1" applyFont="1" applyFill="1" applyBorder="1"/>
    <xf numFmtId="170" fontId="48" fillId="10" borderId="18" xfId="0" applyNumberFormat="1" applyFont="1" applyFill="1" applyBorder="1"/>
    <xf numFmtId="185" fontId="48" fillId="9" borderId="0" xfId="0" applyNumberFormat="1" applyFont="1" applyFill="1" applyAlignment="1">
      <alignment horizontal="left"/>
    </xf>
    <xf numFmtId="184" fontId="48" fillId="9" borderId="0" xfId="0" applyNumberFormat="1" applyFont="1" applyFill="1" applyAlignment="1">
      <alignment horizontal="left" indent="3"/>
    </xf>
    <xf numFmtId="185" fontId="48" fillId="10" borderId="0" xfId="0" applyNumberFormat="1" applyFont="1" applyFill="1"/>
    <xf numFmtId="185" fontId="49" fillId="10" borderId="0" xfId="0" applyNumberFormat="1" applyFont="1" applyFill="1"/>
    <xf numFmtId="185" fontId="48" fillId="9" borderId="0" xfId="0" applyNumberFormat="1" applyFont="1" applyFill="1"/>
    <xf numFmtId="185" fontId="49" fillId="9" borderId="0" xfId="0" applyNumberFormat="1" applyFont="1" applyFill="1"/>
    <xf numFmtId="185" fontId="49" fillId="10" borderId="12" xfId="0" applyNumberFormat="1" applyFont="1" applyFill="1" applyBorder="1"/>
    <xf numFmtId="185" fontId="40" fillId="9" borderId="0" xfId="0" applyNumberFormat="1" applyFont="1" applyFill="1" applyAlignment="1">
      <alignment horizontal="left"/>
    </xf>
    <xf numFmtId="183" fontId="58" fillId="10" borderId="0" xfId="0" applyNumberFormat="1" applyFont="1" applyFill="1"/>
    <xf numFmtId="183" fontId="58" fillId="9" borderId="0" xfId="0" applyNumberFormat="1" applyFont="1" applyFill="1"/>
    <xf numFmtId="183" fontId="58" fillId="10" borderId="12" xfId="0" applyNumberFormat="1" applyFont="1" applyFill="1" applyBorder="1"/>
    <xf numFmtId="179" fontId="40" fillId="9" borderId="0" xfId="0" applyNumberFormat="1" applyFont="1" applyFill="1" applyAlignment="1">
      <alignment horizontal="left" indent="1"/>
    </xf>
    <xf numFmtId="179" fontId="40" fillId="9" borderId="0" xfId="0" applyNumberFormat="1" applyFont="1" applyFill="1" applyAlignment="1">
      <alignment horizontal="left" indent="3"/>
    </xf>
    <xf numFmtId="179" fontId="40" fillId="10" borderId="0" xfId="0" applyNumberFormat="1" applyFont="1" applyFill="1"/>
    <xf numFmtId="179" fontId="40" fillId="9" borderId="0" xfId="0" applyNumberFormat="1" applyFont="1" applyFill="1"/>
    <xf numFmtId="179" fontId="58" fillId="9" borderId="0" xfId="0" applyNumberFormat="1" applyFont="1" applyFill="1"/>
    <xf numFmtId="179" fontId="40" fillId="10" borderId="12" xfId="0" applyNumberFormat="1" applyFont="1" applyFill="1" applyBorder="1"/>
    <xf numFmtId="179" fontId="0" fillId="9" borderId="0" xfId="0" applyNumberFormat="1" applyFill="1"/>
    <xf numFmtId="179" fontId="0" fillId="0" borderId="0" xfId="0" applyNumberFormat="1"/>
    <xf numFmtId="179" fontId="40" fillId="9" borderId="8" xfId="0" applyNumberFormat="1" applyFont="1" applyFill="1" applyBorder="1" applyAlignment="1">
      <alignment horizontal="left" indent="1"/>
    </xf>
    <xf numFmtId="179" fontId="40" fillId="9" borderId="8" xfId="0" applyNumberFormat="1" applyFont="1" applyFill="1" applyBorder="1" applyAlignment="1">
      <alignment horizontal="left" indent="3"/>
    </xf>
    <xf numFmtId="179" fontId="40" fillId="10" borderId="8" xfId="0" applyNumberFormat="1" applyFont="1" applyFill="1" applyBorder="1"/>
    <xf numFmtId="179" fontId="40" fillId="9" borderId="8" xfId="0" applyNumberFormat="1" applyFont="1" applyFill="1" applyBorder="1"/>
    <xf numFmtId="179" fontId="58" fillId="9" borderId="8" xfId="0" applyNumberFormat="1" applyFont="1" applyFill="1" applyBorder="1"/>
    <xf numFmtId="179" fontId="40" fillId="10" borderId="14" xfId="0" applyNumberFormat="1" applyFont="1" applyFill="1" applyBorder="1"/>
    <xf numFmtId="179" fontId="48" fillId="9" borderId="0" xfId="0" applyNumberFormat="1" applyFont="1" applyFill="1" applyAlignment="1">
      <alignment horizontal="left" indent="3"/>
    </xf>
    <xf numFmtId="179" fontId="49" fillId="9" borderId="0" xfId="0" applyNumberFormat="1" applyFont="1" applyFill="1"/>
    <xf numFmtId="164" fontId="40" fillId="9" borderId="8" xfId="0" applyNumberFormat="1" applyFont="1" applyFill="1" applyBorder="1" applyAlignment="1">
      <alignment horizontal="left" indent="3"/>
    </xf>
    <xf numFmtId="164" fontId="40" fillId="10" borderId="8" xfId="0" applyNumberFormat="1" applyFont="1" applyFill="1" applyBorder="1"/>
    <xf numFmtId="164" fontId="40" fillId="10" borderId="14" xfId="0" applyNumberFormat="1" applyFont="1" applyFill="1" applyBorder="1"/>
    <xf numFmtId="164" fontId="48" fillId="10" borderId="0" xfId="0" applyNumberFormat="1" applyFont="1" applyFill="1"/>
    <xf numFmtId="164" fontId="48" fillId="10" borderId="12" xfId="0" applyNumberFormat="1" applyFont="1" applyFill="1" applyBorder="1"/>
    <xf numFmtId="170" fontId="0" fillId="10" borderId="12" xfId="0" applyNumberFormat="1" applyFill="1" applyBorder="1"/>
    <xf numFmtId="175" fontId="46" fillId="9" borderId="0" xfId="0" applyNumberFormat="1" applyFont="1" applyFill="1" applyAlignment="1">
      <alignment horizontal="left"/>
    </xf>
    <xf numFmtId="175" fontId="48" fillId="10" borderId="0" xfId="2" applyNumberFormat="1" applyFont="1" applyFill="1" applyAlignment="1">
      <alignment horizontal="right" indent="1"/>
    </xf>
    <xf numFmtId="175" fontId="48" fillId="10" borderId="0" xfId="2" applyNumberFormat="1" applyFont="1" applyFill="1"/>
    <xf numFmtId="175" fontId="48" fillId="9" borderId="0" xfId="2" applyNumberFormat="1" applyFont="1" applyFill="1"/>
    <xf numFmtId="175" fontId="48" fillId="10" borderId="12" xfId="2" applyNumberFormat="1" applyFont="1" applyFill="1" applyBorder="1"/>
    <xf numFmtId="175" fontId="52" fillId="9" borderId="0" xfId="2" applyNumberFormat="1" applyFont="1" applyFill="1"/>
    <xf numFmtId="170" fontId="45" fillId="10" borderId="12" xfId="0" applyNumberFormat="1" applyFont="1" applyFill="1" applyBorder="1"/>
    <xf numFmtId="186" fontId="1" fillId="9" borderId="0" xfId="2" applyNumberFormat="1" applyFont="1" applyFill="1"/>
    <xf numFmtId="186" fontId="40" fillId="9" borderId="0" xfId="0" applyNumberFormat="1" applyFont="1" applyFill="1" applyAlignment="1">
      <alignment horizontal="left" indent="3"/>
    </xf>
    <xf numFmtId="186" fontId="58" fillId="10" borderId="0" xfId="0" applyNumberFormat="1" applyFont="1" applyFill="1"/>
    <xf numFmtId="186" fontId="58" fillId="9" borderId="0" xfId="0" applyNumberFormat="1" applyFont="1" applyFill="1"/>
    <xf numFmtId="186" fontId="0" fillId="10" borderId="0" xfId="0" applyNumberFormat="1" applyFill="1"/>
    <xf numFmtId="186" fontId="0" fillId="10" borderId="12" xfId="0" applyNumberFormat="1" applyFill="1" applyBorder="1"/>
    <xf numFmtId="186" fontId="40" fillId="10" borderId="0" xfId="0" applyNumberFormat="1" applyFont="1" applyFill="1"/>
    <xf numFmtId="186" fontId="0" fillId="9" borderId="0" xfId="0" applyNumberFormat="1" applyFill="1"/>
    <xf numFmtId="186" fontId="0" fillId="0" borderId="0" xfId="0" applyNumberFormat="1"/>
    <xf numFmtId="186" fontId="42" fillId="9" borderId="0" xfId="2" applyNumberFormat="1" applyFont="1" applyFill="1"/>
    <xf numFmtId="186" fontId="40" fillId="9" borderId="0" xfId="0" applyNumberFormat="1" applyFont="1" applyFill="1"/>
    <xf numFmtId="186" fontId="40" fillId="10" borderId="12" xfId="0" applyNumberFormat="1" applyFont="1" applyFill="1" applyBorder="1"/>
    <xf numFmtId="186" fontId="37" fillId="9" borderId="0" xfId="2" applyNumberFormat="1" applyFont="1" applyFill="1"/>
    <xf numFmtId="186" fontId="48" fillId="9" borderId="0" xfId="0" applyNumberFormat="1" applyFont="1" applyFill="1" applyAlignment="1">
      <alignment horizontal="left" indent="3"/>
    </xf>
    <xf numFmtId="184" fontId="48" fillId="10" borderId="0" xfId="0" applyNumberFormat="1" applyFont="1" applyFill="1"/>
    <xf numFmtId="184" fontId="48" fillId="9" borderId="0" xfId="0" applyNumberFormat="1" applyFont="1" applyFill="1"/>
    <xf numFmtId="184" fontId="48" fillId="10" borderId="12" xfId="0" applyNumberFormat="1" applyFont="1" applyFill="1" applyBorder="1"/>
    <xf numFmtId="184" fontId="49" fillId="9" borderId="0" xfId="0" applyNumberFormat="1" applyFont="1" applyFill="1"/>
    <xf numFmtId="184" fontId="49" fillId="10" borderId="0" xfId="0" applyNumberFormat="1" applyFont="1" applyFill="1"/>
    <xf numFmtId="170" fontId="40" fillId="9" borderId="19" xfId="0" applyNumberFormat="1" applyFont="1" applyFill="1" applyBorder="1" applyAlignment="1">
      <alignment horizontal="left" indent="1"/>
    </xf>
    <xf numFmtId="170" fontId="40" fillId="9" borderId="19" xfId="0" applyNumberFormat="1" applyFont="1" applyFill="1" applyBorder="1" applyAlignment="1">
      <alignment horizontal="left" indent="3"/>
    </xf>
    <xf numFmtId="170" fontId="40" fillId="10" borderId="19" xfId="0" applyNumberFormat="1" applyFont="1" applyFill="1" applyBorder="1"/>
    <xf numFmtId="170" fontId="40" fillId="9" borderId="19" xfId="0" applyNumberFormat="1" applyFont="1" applyFill="1" applyBorder="1"/>
    <xf numFmtId="170" fontId="40" fillId="10" borderId="20" xfId="0" applyNumberFormat="1" applyFont="1" applyFill="1" applyBorder="1"/>
    <xf numFmtId="170" fontId="40" fillId="10" borderId="8" xfId="0" applyNumberFormat="1" applyFont="1" applyFill="1" applyBorder="1" applyAlignment="1">
      <alignment horizontal="right"/>
    </xf>
    <xf numFmtId="170" fontId="40" fillId="9" borderId="8" xfId="0" applyNumberFormat="1" applyFont="1" applyFill="1" applyBorder="1" applyAlignment="1">
      <alignment horizontal="right"/>
    </xf>
    <xf numFmtId="170" fontId="40" fillId="10" borderId="14" xfId="0" applyNumberFormat="1" applyFont="1" applyFill="1" applyBorder="1" applyAlignment="1">
      <alignment horizontal="right"/>
    </xf>
    <xf numFmtId="170" fontId="58" fillId="9" borderId="8" xfId="0" applyNumberFormat="1" applyFont="1" applyFill="1" applyBorder="1" applyAlignment="1">
      <alignment horizontal="right"/>
    </xf>
    <xf numFmtId="170" fontId="58" fillId="10" borderId="8" xfId="0" applyNumberFormat="1" applyFont="1" applyFill="1" applyBorder="1" applyAlignment="1">
      <alignment horizontal="right"/>
    </xf>
    <xf numFmtId="170" fontId="40" fillId="9" borderId="2" xfId="0" applyNumberFormat="1" applyFont="1" applyFill="1" applyBorder="1" applyAlignment="1">
      <alignment horizontal="left"/>
    </xf>
    <xf numFmtId="170" fontId="40" fillId="9" borderId="2" xfId="0" applyNumberFormat="1" applyFont="1" applyFill="1" applyBorder="1" applyAlignment="1">
      <alignment horizontal="left" indent="3"/>
    </xf>
    <xf numFmtId="178" fontId="49" fillId="9" borderId="0" xfId="0" applyNumberFormat="1" applyFont="1" applyFill="1" applyAlignment="1">
      <alignment horizontal="right"/>
    </xf>
    <xf numFmtId="178" fontId="49" fillId="10" borderId="0" xfId="0" applyNumberFormat="1" applyFont="1" applyFill="1" applyAlignment="1">
      <alignment horizontal="right"/>
    </xf>
    <xf numFmtId="187" fontId="48" fillId="10" borderId="0" xfId="0" applyNumberFormat="1" applyFont="1" applyFill="1" applyAlignment="1">
      <alignment horizontal="right"/>
    </xf>
    <xf numFmtId="187" fontId="48" fillId="9" borderId="0" xfId="0" applyNumberFormat="1" applyFont="1" applyFill="1" applyAlignment="1">
      <alignment horizontal="right"/>
    </xf>
    <xf numFmtId="187" fontId="48" fillId="10" borderId="12" xfId="0" applyNumberFormat="1" applyFont="1" applyFill="1" applyBorder="1" applyAlignment="1">
      <alignment horizontal="right"/>
    </xf>
    <xf numFmtId="187" fontId="46" fillId="9" borderId="0" xfId="0" applyNumberFormat="1" applyFont="1" applyFill="1"/>
    <xf numFmtId="187" fontId="48" fillId="9" borderId="0" xfId="0" applyNumberFormat="1" applyFont="1" applyFill="1" applyAlignment="1">
      <alignment horizontal="left" indent="3"/>
    </xf>
    <xf numFmtId="187" fontId="48" fillId="9" borderId="0" xfId="0" applyNumberFormat="1" applyFont="1" applyFill="1"/>
    <xf numFmtId="187" fontId="45" fillId="9" borderId="0" xfId="0" applyNumberFormat="1" applyFont="1" applyFill="1"/>
    <xf numFmtId="187" fontId="45" fillId="0" borderId="0" xfId="0" applyNumberFormat="1" applyFont="1"/>
    <xf numFmtId="0" fontId="40" fillId="9" borderId="0" xfId="0" applyFont="1" applyFill="1" applyAlignment="1">
      <alignment horizontal="left" indent="3"/>
    </xf>
    <xf numFmtId="188" fontId="40" fillId="10" borderId="0" xfId="0" applyNumberFormat="1" applyFont="1" applyFill="1"/>
    <xf numFmtId="188" fontId="40" fillId="9" borderId="0" xfId="0" applyNumberFormat="1" applyFont="1" applyFill="1"/>
    <xf numFmtId="188" fontId="40" fillId="10" borderId="12" xfId="0" applyNumberFormat="1" applyFont="1" applyFill="1" applyBorder="1"/>
    <xf numFmtId="189" fontId="45" fillId="9" borderId="0" xfId="0" applyNumberFormat="1" applyFont="1" applyFill="1" applyAlignment="1">
      <alignment horizontal="left"/>
    </xf>
    <xf numFmtId="184" fontId="49" fillId="9" borderId="0" xfId="0" applyNumberFormat="1" applyFont="1" applyFill="1" applyAlignment="1">
      <alignment horizontal="left"/>
    </xf>
    <xf numFmtId="184" fontId="48" fillId="10" borderId="0" xfId="0" applyNumberFormat="1" applyFont="1" applyFill="1" applyAlignment="1">
      <alignment horizontal="right"/>
    </xf>
    <xf numFmtId="184" fontId="45" fillId="10" borderId="0" xfId="0" applyNumberFormat="1" applyFont="1" applyFill="1" applyAlignment="1">
      <alignment horizontal="right"/>
    </xf>
    <xf numFmtId="184" fontId="45" fillId="9" borderId="0" xfId="0" applyNumberFormat="1" applyFont="1" applyFill="1" applyAlignment="1">
      <alignment horizontal="right"/>
    </xf>
    <xf numFmtId="184" fontId="48" fillId="9" borderId="0" xfId="0" applyNumberFormat="1" applyFont="1" applyFill="1" applyAlignment="1">
      <alignment horizontal="right"/>
    </xf>
    <xf numFmtId="184" fontId="45" fillId="9" borderId="0" xfId="0" applyNumberFormat="1" applyFont="1" applyFill="1"/>
    <xf numFmtId="184" fontId="45" fillId="0" borderId="0" xfId="0" applyNumberFormat="1" applyFont="1"/>
    <xf numFmtId="187" fontId="42" fillId="9" borderId="0" xfId="0" applyNumberFormat="1" applyFont="1" applyFill="1"/>
    <xf numFmtId="187" fontId="40" fillId="9" borderId="0" xfId="0" applyNumberFormat="1" applyFont="1" applyFill="1" applyAlignment="1">
      <alignment horizontal="left" indent="3"/>
    </xf>
    <xf numFmtId="187" fontId="40" fillId="10" borderId="0" xfId="0" applyNumberFormat="1" applyFont="1" applyFill="1" applyAlignment="1">
      <alignment horizontal="right"/>
    </xf>
    <xf numFmtId="187" fontId="40" fillId="9" borderId="0" xfId="0" applyNumberFormat="1" applyFont="1" applyFill="1" applyAlignment="1">
      <alignment horizontal="right"/>
    </xf>
    <xf numFmtId="187" fontId="40" fillId="9" borderId="0" xfId="0" applyNumberFormat="1" applyFont="1" applyFill="1"/>
    <xf numFmtId="187" fontId="40" fillId="10" borderId="12" xfId="0" applyNumberFormat="1" applyFont="1" applyFill="1" applyBorder="1" applyAlignment="1">
      <alignment horizontal="right"/>
    </xf>
    <xf numFmtId="187" fontId="0" fillId="9" borderId="0" xfId="0" applyNumberFormat="1" applyFill="1"/>
    <xf numFmtId="187" fontId="0" fillId="0" borderId="0" xfId="0" applyNumberFormat="1"/>
    <xf numFmtId="187" fontId="1" fillId="9" borderId="0" xfId="0" applyNumberFormat="1" applyFont="1" applyFill="1"/>
    <xf numFmtId="187" fontId="0" fillId="10" borderId="0" xfId="0" applyNumberFormat="1" applyFill="1" applyAlignment="1">
      <alignment horizontal="right"/>
    </xf>
    <xf numFmtId="178" fontId="0" fillId="9" borderId="0" xfId="0" applyNumberFormat="1" applyFill="1" applyAlignment="1">
      <alignment horizontal="left"/>
    </xf>
    <xf numFmtId="178" fontId="0" fillId="10" borderId="0" xfId="0" applyNumberFormat="1" applyFill="1" applyAlignment="1">
      <alignment horizontal="right"/>
    </xf>
    <xf numFmtId="184" fontId="0" fillId="9" borderId="0" xfId="0" applyNumberFormat="1" applyFill="1" applyAlignment="1">
      <alignment horizontal="left" indent="1"/>
    </xf>
    <xf numFmtId="184" fontId="42" fillId="9" borderId="0" xfId="2" applyNumberFormat="1" applyFont="1" applyFill="1"/>
    <xf numFmtId="184" fontId="40" fillId="10" borderId="0" xfId="0" applyNumberFormat="1" applyFont="1" applyFill="1" applyAlignment="1">
      <alignment horizontal="right"/>
    </xf>
    <xf numFmtId="184" fontId="0" fillId="10" borderId="0" xfId="0" applyNumberFormat="1" applyFill="1" applyAlignment="1">
      <alignment horizontal="right"/>
    </xf>
    <xf numFmtId="184" fontId="0" fillId="9" borderId="0" xfId="0" applyNumberFormat="1" applyFill="1" applyAlignment="1">
      <alignment horizontal="right"/>
    </xf>
    <xf numFmtId="184" fontId="40" fillId="9" borderId="0" xfId="0" applyNumberFormat="1" applyFont="1" applyFill="1" applyAlignment="1">
      <alignment horizontal="right"/>
    </xf>
    <xf numFmtId="184" fontId="0" fillId="0" borderId="0" xfId="0" applyNumberFormat="1"/>
    <xf numFmtId="190" fontId="40" fillId="10" borderId="0" xfId="0" applyNumberFormat="1" applyFont="1" applyFill="1" applyAlignment="1">
      <alignment horizontal="right"/>
    </xf>
    <xf numFmtId="190" fontId="0" fillId="10" borderId="0" xfId="0" applyNumberFormat="1" applyFill="1" applyAlignment="1">
      <alignment horizontal="right"/>
    </xf>
    <xf numFmtId="190" fontId="0" fillId="9" borderId="0" xfId="0" applyNumberFormat="1" applyFill="1" applyAlignment="1">
      <alignment horizontal="right"/>
    </xf>
    <xf numFmtId="190" fontId="40" fillId="9" borderId="0" xfId="0" applyNumberFormat="1" applyFont="1" applyFill="1" applyAlignment="1">
      <alignment horizontal="right"/>
    </xf>
    <xf numFmtId="190" fontId="40" fillId="10" borderId="0" xfId="0" applyNumberFormat="1" applyFont="1" applyFill="1"/>
    <xf numFmtId="190" fontId="40" fillId="10" borderId="12" xfId="0" applyNumberFormat="1" applyFont="1" applyFill="1" applyBorder="1"/>
    <xf numFmtId="191" fontId="0" fillId="9" borderId="0" xfId="0" applyNumberFormat="1" applyFill="1" applyAlignment="1">
      <alignment horizontal="left" indent="1"/>
    </xf>
    <xf numFmtId="191" fontId="42" fillId="9" borderId="0" xfId="2" applyNumberFormat="1" applyFont="1" applyFill="1"/>
    <xf numFmtId="191" fontId="40" fillId="10" borderId="0" xfId="0" applyNumberFormat="1" applyFont="1" applyFill="1" applyAlignment="1">
      <alignment horizontal="right"/>
    </xf>
    <xf numFmtId="191" fontId="0" fillId="10" borderId="0" xfId="0" applyNumberFormat="1" applyFill="1" applyAlignment="1">
      <alignment horizontal="right"/>
    </xf>
    <xf numFmtId="191" fontId="0" fillId="9" borderId="0" xfId="0" applyNumberFormat="1" applyFill="1" applyAlignment="1">
      <alignment horizontal="right"/>
    </xf>
    <xf numFmtId="191" fontId="40" fillId="9" borderId="0" xfId="0" applyNumberFormat="1" applyFont="1" applyFill="1" applyAlignment="1">
      <alignment horizontal="right"/>
    </xf>
    <xf numFmtId="191" fontId="40" fillId="10" borderId="0" xfId="0" applyNumberFormat="1" applyFont="1" applyFill="1"/>
    <xf numFmtId="191" fontId="40" fillId="10" borderId="12" xfId="0" applyNumberFormat="1" applyFont="1" applyFill="1" applyBorder="1"/>
    <xf numFmtId="191" fontId="0" fillId="9" borderId="0" xfId="0" applyNumberFormat="1" applyFill="1"/>
    <xf numFmtId="191" fontId="0" fillId="0" borderId="0" xfId="0" applyNumberFormat="1"/>
    <xf numFmtId="170" fontId="50" fillId="9" borderId="0" xfId="0" applyNumberFormat="1" applyFont="1" applyFill="1"/>
    <xf numFmtId="170" fontId="60" fillId="9" borderId="0" xfId="0" applyNumberFormat="1" applyFont="1" applyFill="1"/>
    <xf numFmtId="170" fontId="50" fillId="10" borderId="0" xfId="0" applyNumberFormat="1" applyFont="1" applyFill="1"/>
    <xf numFmtId="170" fontId="50" fillId="10" borderId="12" xfId="0" applyNumberFormat="1" applyFont="1" applyFill="1" applyBorder="1"/>
    <xf numFmtId="170" fontId="42" fillId="10" borderId="12" xfId="0" applyNumberFormat="1" applyFont="1" applyFill="1" applyBorder="1"/>
    <xf numFmtId="170" fontId="2" fillId="9" borderId="0" xfId="1" applyNumberFormat="1" applyFill="1"/>
    <xf numFmtId="170" fontId="0" fillId="9" borderId="0" xfId="0" applyNumberFormat="1" applyFill="1" applyAlignment="1">
      <alignment horizontal="left"/>
    </xf>
    <xf numFmtId="191" fontId="0" fillId="9" borderId="0" xfId="0" applyNumberFormat="1" applyFill="1" applyAlignment="1">
      <alignment horizontal="left"/>
    </xf>
    <xf numFmtId="170" fontId="51" fillId="11" borderId="0" xfId="0" applyNumberFormat="1" applyFont="1" applyFill="1" applyAlignment="1">
      <alignment horizontal="left" indent="3"/>
    </xf>
    <xf numFmtId="164" fontId="44" fillId="9" borderId="0" xfId="0" applyNumberFormat="1" applyFont="1" applyFill="1" applyAlignment="1">
      <alignment horizontal="left" indent="3"/>
    </xf>
    <xf numFmtId="164" fontId="44" fillId="10" borderId="0" xfId="0" applyNumberFormat="1" applyFont="1" applyFill="1"/>
    <xf numFmtId="164" fontId="53" fillId="9" borderId="0" xfId="0" applyNumberFormat="1" applyFont="1" applyFill="1"/>
    <xf numFmtId="164" fontId="44" fillId="10" borderId="12" xfId="0" applyNumberFormat="1" applyFont="1" applyFill="1" applyBorder="1"/>
    <xf numFmtId="164" fontId="55" fillId="9" borderId="0" xfId="0" applyNumberFormat="1" applyFont="1" applyFill="1"/>
    <xf numFmtId="164" fontId="55" fillId="10" borderId="0" xfId="0" applyNumberFormat="1" applyFont="1" applyFill="1"/>
    <xf numFmtId="164" fontId="43" fillId="9" borderId="0" xfId="0" applyNumberFormat="1" applyFont="1" applyFill="1"/>
    <xf numFmtId="164" fontId="43" fillId="0" borderId="0" xfId="0" applyNumberFormat="1" applyFont="1"/>
    <xf numFmtId="164" fontId="66" fillId="9" borderId="2" xfId="0" applyNumberFormat="1" applyFont="1" applyFill="1" applyBorder="1" applyAlignment="1">
      <alignment horizontal="left"/>
    </xf>
    <xf numFmtId="164" fontId="66" fillId="9" borderId="2" xfId="0" applyNumberFormat="1" applyFont="1" applyFill="1" applyBorder="1" applyAlignment="1">
      <alignment horizontal="left" indent="3"/>
    </xf>
    <xf numFmtId="164" fontId="66" fillId="10" borderId="2" xfId="0" applyNumberFormat="1" applyFont="1" applyFill="1" applyBorder="1"/>
    <xf numFmtId="164" fontId="66" fillId="9" borderId="2" xfId="0" applyNumberFormat="1" applyFont="1" applyFill="1" applyBorder="1"/>
    <xf numFmtId="164" fontId="66" fillId="10" borderId="13" xfId="0" applyNumberFormat="1" applyFont="1" applyFill="1" applyBorder="1"/>
    <xf numFmtId="164" fontId="67" fillId="9" borderId="0" xfId="0" applyNumberFormat="1" applyFont="1" applyFill="1"/>
    <xf numFmtId="164" fontId="67" fillId="0" borderId="0" xfId="0" applyNumberFormat="1" applyFont="1"/>
    <xf numFmtId="178" fontId="44" fillId="9" borderId="0" xfId="0" applyNumberFormat="1" applyFont="1" applyFill="1" applyAlignment="1">
      <alignment horizontal="left"/>
    </xf>
    <xf numFmtId="178" fontId="51" fillId="11" borderId="0" xfId="0" applyNumberFormat="1" applyFont="1" applyFill="1" applyAlignment="1">
      <alignment horizontal="left"/>
    </xf>
    <xf numFmtId="178" fontId="51" fillId="11" borderId="0" xfId="0" applyNumberFormat="1" applyFont="1" applyFill="1" applyAlignment="1">
      <alignment horizontal="left" indent="3"/>
    </xf>
    <xf numFmtId="170" fontId="51" fillId="11" borderId="0" xfId="0" applyNumberFormat="1" applyFont="1" applyFill="1" applyAlignment="1">
      <alignment horizontal="right"/>
    </xf>
    <xf numFmtId="170" fontId="51" fillId="11" borderId="12" xfId="0" applyNumberFormat="1" applyFont="1" applyFill="1" applyBorder="1" applyAlignment="1">
      <alignment horizontal="right"/>
    </xf>
    <xf numFmtId="170" fontId="48" fillId="9" borderId="17" xfId="0" applyNumberFormat="1" applyFont="1" applyFill="1" applyBorder="1" applyAlignment="1">
      <alignment horizontal="left" indent="3"/>
    </xf>
    <xf numFmtId="170" fontId="48" fillId="10" borderId="17" xfId="0" applyNumberFormat="1" applyFont="1" applyFill="1" applyBorder="1" applyAlignment="1">
      <alignment horizontal="right"/>
    </xf>
    <xf numFmtId="170" fontId="48" fillId="9" borderId="17" xfId="0" applyNumberFormat="1" applyFont="1" applyFill="1" applyBorder="1" applyAlignment="1">
      <alignment horizontal="right"/>
    </xf>
    <xf numFmtId="170" fontId="48" fillId="10" borderId="18" xfId="0" applyNumberFormat="1" applyFont="1" applyFill="1" applyBorder="1" applyAlignment="1">
      <alignment horizontal="right"/>
    </xf>
    <xf numFmtId="170" fontId="40" fillId="9" borderId="12" xfId="0" applyNumberFormat="1" applyFont="1" applyFill="1" applyBorder="1"/>
    <xf numFmtId="170" fontId="42" fillId="9" borderId="19" xfId="8" applyNumberFormat="1" applyFont="1" applyFill="1" applyBorder="1" applyAlignment="1">
      <alignment horizontal="left" indent="1"/>
    </xf>
    <xf numFmtId="170" fontId="42" fillId="9" borderId="0" xfId="8" applyNumberFormat="1" applyFont="1" applyFill="1"/>
    <xf numFmtId="164" fontId="46" fillId="9" borderId="3" xfId="8" applyNumberFormat="1" applyFont="1" applyFill="1" applyBorder="1"/>
    <xf numFmtId="164" fontId="48" fillId="9" borderId="21" xfId="0" applyNumberFormat="1" applyFont="1" applyFill="1" applyBorder="1"/>
    <xf numFmtId="164" fontId="46" fillId="9" borderId="0" xfId="8" applyNumberFormat="1" applyFont="1" applyFill="1"/>
    <xf numFmtId="164" fontId="48" fillId="9" borderId="12" xfId="0" applyNumberFormat="1" applyFont="1" applyFill="1" applyBorder="1"/>
    <xf numFmtId="192" fontId="42" fillId="9" borderId="6" xfId="8" applyNumberFormat="1" applyFont="1" applyFill="1" applyBorder="1" applyAlignment="1">
      <alignment horizontal="left" indent="1"/>
    </xf>
    <xf numFmtId="164" fontId="40" fillId="9" borderId="21" xfId="0" applyNumberFormat="1" applyFont="1" applyFill="1" applyBorder="1"/>
    <xf numFmtId="164" fontId="42" fillId="9" borderId="0" xfId="8" applyNumberFormat="1" applyFont="1" applyFill="1"/>
    <xf numFmtId="164" fontId="40" fillId="9" borderId="12" xfId="0" applyNumberFormat="1" applyFont="1" applyFill="1" applyBorder="1"/>
    <xf numFmtId="193" fontId="42" fillId="9" borderId="6" xfId="8" applyNumberFormat="1" applyFont="1" applyFill="1" applyBorder="1" applyAlignment="1">
      <alignment horizontal="left" indent="1"/>
    </xf>
    <xf numFmtId="194" fontId="42" fillId="9" borderId="6" xfId="8" applyNumberFormat="1" applyFont="1" applyFill="1" applyBorder="1" applyAlignment="1">
      <alignment horizontal="left" indent="1"/>
    </xf>
    <xf numFmtId="195" fontId="42" fillId="9" borderId="6" xfId="8" applyNumberFormat="1" applyFont="1" applyFill="1" applyBorder="1" applyAlignment="1">
      <alignment horizontal="left" indent="1"/>
    </xf>
    <xf numFmtId="196" fontId="42" fillId="9" borderId="22" xfId="8" applyNumberFormat="1" applyFont="1" applyFill="1" applyBorder="1" applyAlignment="1">
      <alignment horizontal="left" indent="1"/>
    </xf>
    <xf numFmtId="164" fontId="42" fillId="9" borderId="23" xfId="8" applyNumberFormat="1" applyFont="1" applyFill="1" applyBorder="1" applyAlignment="1">
      <alignment horizontal="left" indent="1"/>
    </xf>
    <xf numFmtId="164" fontId="40" fillId="9" borderId="19" xfId="0" applyNumberFormat="1" applyFont="1" applyFill="1" applyBorder="1"/>
    <xf numFmtId="0" fontId="46" fillId="9" borderId="5" xfId="8" applyFont="1" applyFill="1" applyBorder="1"/>
    <xf numFmtId="0" fontId="48" fillId="9" borderId="24" xfId="0" applyFont="1" applyFill="1" applyBorder="1"/>
    <xf numFmtId="0" fontId="48" fillId="9" borderId="0" xfId="0" applyFont="1" applyFill="1"/>
    <xf numFmtId="0" fontId="48" fillId="9" borderId="12" xfId="0" applyFont="1" applyFill="1" applyBorder="1"/>
    <xf numFmtId="164" fontId="42" fillId="9" borderId="4" xfId="8" applyNumberFormat="1" applyFont="1" applyFill="1" applyBorder="1" applyAlignment="1">
      <alignment horizontal="left" indent="1"/>
    </xf>
    <xf numFmtId="164" fontId="50" fillId="9" borderId="10" xfId="8" applyNumberFormat="1" applyFont="1" applyFill="1" applyBorder="1"/>
    <xf numFmtId="164" fontId="42" fillId="9" borderId="7" xfId="8" applyNumberFormat="1" applyFont="1" applyFill="1" applyBorder="1" applyAlignment="1">
      <alignment horizontal="left" indent="1"/>
    </xf>
    <xf numFmtId="164" fontId="50" fillId="9" borderId="9" xfId="8" applyNumberFormat="1" applyFont="1" applyFill="1" applyBorder="1"/>
    <xf numFmtId="164" fontId="42" fillId="9" borderId="0" xfId="8" applyNumberFormat="1" applyFont="1" applyFill="1" applyAlignment="1">
      <alignment horizontal="left" indent="1"/>
    </xf>
    <xf numFmtId="164" fontId="37" fillId="9" borderId="24" xfId="8" applyNumberFormat="1" applyFont="1" applyFill="1" applyBorder="1" applyAlignment="1">
      <alignment horizontal="left"/>
    </xf>
    <xf numFmtId="164" fontId="1" fillId="9" borderId="10" xfId="8" applyNumberFormat="1" applyFill="1" applyBorder="1" applyAlignment="1">
      <alignment horizontal="left" indent="1"/>
    </xf>
    <xf numFmtId="164" fontId="42" fillId="9" borderId="9" xfId="8" applyNumberFormat="1" applyFont="1" applyFill="1" applyBorder="1" applyAlignment="1">
      <alignment horizontal="left" indent="1"/>
    </xf>
    <xf numFmtId="164" fontId="46" fillId="9" borderId="24" xfId="8" applyNumberFormat="1" applyFont="1" applyFill="1" applyBorder="1" applyAlignment="1">
      <alignment horizontal="left"/>
    </xf>
    <xf numFmtId="164" fontId="42" fillId="9" borderId="10" xfId="8" applyNumberFormat="1" applyFont="1" applyFill="1" applyBorder="1" applyAlignment="1">
      <alignment horizontal="left" indent="1"/>
    </xf>
    <xf numFmtId="164" fontId="42" fillId="9" borderId="19" xfId="8" applyNumberFormat="1" applyFont="1" applyFill="1" applyBorder="1" applyAlignment="1">
      <alignment horizontal="left" indent="1"/>
    </xf>
    <xf numFmtId="164" fontId="42" fillId="9" borderId="19" xfId="8" applyNumberFormat="1" applyFont="1" applyFill="1" applyBorder="1"/>
    <xf numFmtId="164" fontId="40" fillId="9" borderId="20" xfId="0" applyNumberFormat="1" applyFont="1" applyFill="1" applyBorder="1"/>
    <xf numFmtId="164" fontId="46" fillId="9" borderId="2" xfId="8" applyNumberFormat="1" applyFont="1" applyFill="1" applyBorder="1" applyAlignment="1">
      <alignment horizontal="left"/>
    </xf>
    <xf numFmtId="164" fontId="40" fillId="9" borderId="2" xfId="0" applyNumberFormat="1" applyFont="1" applyFill="1" applyBorder="1"/>
    <xf numFmtId="164" fontId="42" fillId="9" borderId="2" xfId="8" applyNumberFormat="1" applyFont="1" applyFill="1" applyBorder="1"/>
    <xf numFmtId="164" fontId="40" fillId="9" borderId="13" xfId="0" applyNumberFormat="1" applyFont="1" applyFill="1" applyBorder="1"/>
    <xf numFmtId="164" fontId="40" fillId="9" borderId="24" xfId="0" applyNumberFormat="1" applyFont="1" applyFill="1" applyBorder="1"/>
    <xf numFmtId="164" fontId="46" fillId="9" borderId="0" xfId="8" applyNumberFormat="1" applyFont="1" applyFill="1" applyAlignment="1">
      <alignment horizontal="left"/>
    </xf>
    <xf numFmtId="197" fontId="46" fillId="9" borderId="0" xfId="8" applyNumberFormat="1" applyFont="1" applyFill="1" applyAlignment="1">
      <alignment horizontal="right"/>
    </xf>
    <xf numFmtId="197" fontId="48" fillId="9" borderId="0" xfId="0" applyNumberFormat="1" applyFont="1" applyFill="1" applyAlignment="1">
      <alignment horizontal="right"/>
    </xf>
    <xf numFmtId="197" fontId="49" fillId="9" borderId="0" xfId="0" applyNumberFormat="1" applyFont="1" applyFill="1" applyAlignment="1">
      <alignment horizontal="right"/>
    </xf>
    <xf numFmtId="197" fontId="49" fillId="9" borderId="12" xfId="0" applyNumberFormat="1" applyFont="1" applyFill="1" applyBorder="1" applyAlignment="1">
      <alignment horizontal="right"/>
    </xf>
    <xf numFmtId="197" fontId="48" fillId="9" borderId="10" xfId="0" applyNumberFormat="1" applyFont="1" applyFill="1" applyBorder="1" applyAlignment="1">
      <alignment horizontal="right"/>
    </xf>
    <xf numFmtId="0" fontId="46" fillId="9" borderId="0" xfId="8" applyFont="1" applyFill="1" applyAlignment="1">
      <alignment horizontal="right"/>
    </xf>
    <xf numFmtId="0" fontId="48" fillId="9" borderId="0" xfId="0" applyFont="1" applyFill="1" applyAlignment="1">
      <alignment horizontal="right"/>
    </xf>
    <xf numFmtId="0" fontId="48" fillId="9" borderId="12" xfId="0" applyFont="1" applyFill="1" applyBorder="1" applyAlignment="1">
      <alignment horizontal="right"/>
    </xf>
    <xf numFmtId="0" fontId="48" fillId="9" borderId="10" xfId="0" applyFont="1" applyFill="1" applyBorder="1" applyAlignment="1">
      <alignment horizontal="right"/>
    </xf>
    <xf numFmtId="164" fontId="46" fillId="9" borderId="8" xfId="8" applyNumberFormat="1" applyFont="1" applyFill="1" applyBorder="1" applyAlignment="1">
      <alignment horizontal="left"/>
    </xf>
    <xf numFmtId="164" fontId="42" fillId="9" borderId="8" xfId="8" applyNumberFormat="1" applyFont="1" applyFill="1" applyBorder="1"/>
    <xf numFmtId="164" fontId="40" fillId="9" borderId="14" xfId="0" applyNumberFormat="1" applyFont="1" applyFill="1" applyBorder="1"/>
    <xf numFmtId="164" fontId="40" fillId="9" borderId="9" xfId="0" applyNumberFormat="1" applyFont="1" applyFill="1" applyBorder="1"/>
    <xf numFmtId="197" fontId="48" fillId="9" borderId="12" xfId="0" applyNumberFormat="1" applyFont="1" applyFill="1" applyBorder="1" applyAlignment="1">
      <alignment horizontal="right"/>
    </xf>
    <xf numFmtId="170" fontId="48" fillId="9" borderId="5" xfId="0" applyNumberFormat="1" applyFont="1" applyFill="1" applyBorder="1"/>
    <xf numFmtId="170" fontId="48" fillId="9" borderId="13" xfId="0" applyNumberFormat="1" applyFont="1" applyFill="1" applyBorder="1"/>
    <xf numFmtId="170" fontId="48" fillId="9" borderId="24" xfId="0" applyNumberFormat="1" applyFont="1" applyFill="1" applyBorder="1"/>
    <xf numFmtId="170" fontId="45" fillId="9" borderId="21" xfId="0" applyNumberFormat="1" applyFont="1" applyFill="1" applyBorder="1"/>
    <xf numFmtId="170" fontId="48" fillId="9" borderId="4" xfId="0" applyNumberFormat="1" applyFont="1" applyFill="1" applyBorder="1"/>
    <xf numFmtId="170" fontId="48" fillId="9" borderId="12" xfId="0" applyNumberFormat="1" applyFont="1" applyFill="1" applyBorder="1"/>
    <xf numFmtId="170" fontId="48" fillId="9" borderId="10" xfId="0" applyNumberFormat="1" applyFont="1" applyFill="1" applyBorder="1"/>
    <xf numFmtId="178" fontId="42" fillId="9" borderId="4" xfId="8" applyNumberFormat="1" applyFont="1" applyFill="1" applyBorder="1" applyAlignment="1">
      <alignment horizontal="left" indent="1"/>
    </xf>
    <xf numFmtId="178" fontId="42" fillId="9" borderId="0" xfId="8" applyNumberFormat="1" applyFont="1" applyFill="1"/>
    <xf numFmtId="178" fontId="40" fillId="9" borderId="12" xfId="0" applyNumberFormat="1" applyFont="1" applyFill="1" applyBorder="1"/>
    <xf numFmtId="178" fontId="40" fillId="9" borderId="10" xfId="0" applyNumberFormat="1" applyFont="1" applyFill="1" applyBorder="1"/>
    <xf numFmtId="178" fontId="0" fillId="9" borderId="21" xfId="0" applyNumberFormat="1" applyFill="1" applyBorder="1"/>
    <xf numFmtId="170" fontId="42" fillId="9" borderId="4" xfId="8" applyNumberFormat="1" applyFont="1" applyFill="1" applyBorder="1" applyAlignment="1">
      <alignment horizontal="left" indent="1"/>
    </xf>
    <xf numFmtId="170" fontId="40" fillId="9" borderId="10" xfId="0" applyNumberFormat="1" applyFont="1" applyFill="1" applyBorder="1"/>
    <xf numFmtId="170" fontId="0" fillId="9" borderId="21" xfId="0" applyNumberFormat="1" applyFill="1" applyBorder="1"/>
    <xf numFmtId="198" fontId="42" fillId="9" borderId="4" xfId="8" applyNumberFormat="1" applyFont="1" applyFill="1" applyBorder="1" applyAlignment="1">
      <alignment horizontal="left" indent="1"/>
    </xf>
    <xf numFmtId="198" fontId="40" fillId="9" borderId="0" xfId="0" applyNumberFormat="1" applyFont="1" applyFill="1"/>
    <xf numFmtId="198" fontId="42" fillId="9" borderId="0" xfId="2" applyNumberFormat="1" applyFont="1" applyFill="1"/>
    <xf numFmtId="198" fontId="40" fillId="9" borderId="12" xfId="0" applyNumberFormat="1" applyFont="1" applyFill="1" applyBorder="1"/>
    <xf numFmtId="198" fontId="40" fillId="9" borderId="10" xfId="0" applyNumberFormat="1" applyFont="1" applyFill="1" applyBorder="1"/>
    <xf numFmtId="198" fontId="0" fillId="9" borderId="21" xfId="0" applyNumberFormat="1" applyFill="1" applyBorder="1"/>
    <xf numFmtId="198" fontId="0" fillId="0" borderId="0" xfId="0" applyNumberFormat="1"/>
    <xf numFmtId="170" fontId="42" fillId="9" borderId="7" xfId="8" applyNumberFormat="1" applyFont="1" applyFill="1" applyBorder="1" applyAlignment="1">
      <alignment horizontal="left" indent="1"/>
    </xf>
    <xf numFmtId="170" fontId="42" fillId="9" borderId="8" xfId="8" applyNumberFormat="1" applyFont="1" applyFill="1" applyBorder="1"/>
    <xf numFmtId="170" fontId="40" fillId="9" borderId="14" xfId="0" applyNumberFormat="1" applyFont="1" applyFill="1" applyBorder="1"/>
    <xf numFmtId="170" fontId="40" fillId="9" borderId="9" xfId="0" applyNumberFormat="1" applyFont="1" applyFill="1" applyBorder="1"/>
    <xf numFmtId="170" fontId="42" fillId="9" borderId="23" xfId="8" applyNumberFormat="1" applyFont="1" applyFill="1" applyBorder="1" applyAlignment="1">
      <alignment horizontal="left" indent="1"/>
    </xf>
    <xf numFmtId="170" fontId="40" fillId="9" borderId="23" xfId="0" applyNumberFormat="1" applyFont="1" applyFill="1" applyBorder="1"/>
    <xf numFmtId="170" fontId="42" fillId="9" borderId="23" xfId="8" applyNumberFormat="1" applyFont="1" applyFill="1" applyBorder="1"/>
    <xf numFmtId="170" fontId="40" fillId="9" borderId="25" xfId="0" applyNumberFormat="1" applyFont="1" applyFill="1" applyBorder="1"/>
    <xf numFmtId="166" fontId="46" fillId="9" borderId="26" xfId="8" applyNumberFormat="1" applyFont="1" applyFill="1" applyBorder="1" applyAlignment="1">
      <alignment horizontal="left"/>
    </xf>
    <xf numFmtId="170" fontId="40" fillId="9" borderId="17" xfId="0" applyNumberFormat="1" applyFont="1" applyFill="1" applyBorder="1"/>
    <xf numFmtId="170" fontId="42" fillId="9" borderId="17" xfId="8" applyNumberFormat="1" applyFont="1" applyFill="1" applyBorder="1"/>
    <xf numFmtId="170" fontId="40" fillId="9" borderId="18" xfId="0" applyNumberFormat="1" applyFont="1" applyFill="1" applyBorder="1"/>
    <xf numFmtId="170" fontId="40" fillId="9" borderId="27" xfId="0" applyNumberFormat="1" applyFont="1" applyFill="1" applyBorder="1"/>
    <xf numFmtId="166" fontId="42" fillId="9" borderId="21" xfId="8" applyNumberFormat="1" applyFont="1" applyFill="1" applyBorder="1" applyAlignment="1">
      <alignment horizontal="left"/>
    </xf>
    <xf numFmtId="17" fontId="42" fillId="9" borderId="0" xfId="8" applyNumberFormat="1" applyFont="1" applyFill="1"/>
    <xf numFmtId="17" fontId="40" fillId="9" borderId="0" xfId="0" applyNumberFormat="1" applyFont="1" applyFill="1"/>
    <xf numFmtId="17" fontId="40" fillId="9" borderId="12" xfId="0" applyNumberFormat="1" applyFont="1" applyFill="1" applyBorder="1"/>
    <xf numFmtId="17" fontId="40" fillId="9" borderId="28" xfId="0" applyNumberFormat="1" applyFont="1" applyFill="1" applyBorder="1"/>
    <xf numFmtId="184" fontId="42" fillId="9" borderId="21" xfId="8" applyNumberFormat="1" applyFont="1" applyFill="1" applyBorder="1" applyAlignment="1">
      <alignment horizontal="left" indent="1"/>
    </xf>
    <xf numFmtId="184" fontId="42" fillId="9" borderId="0" xfId="8" applyNumberFormat="1" applyFont="1" applyFill="1"/>
    <xf numFmtId="184" fontId="40" fillId="9" borderId="12" xfId="0" applyNumberFormat="1" applyFont="1" applyFill="1" applyBorder="1"/>
    <xf numFmtId="184" fontId="40" fillId="9" borderId="28" xfId="0" applyNumberFormat="1" applyFont="1" applyFill="1" applyBorder="1"/>
    <xf numFmtId="184" fontId="0" fillId="9" borderId="21" xfId="0" applyNumberFormat="1" applyFill="1" applyBorder="1"/>
    <xf numFmtId="184" fontId="42" fillId="9" borderId="21" xfId="8" applyNumberFormat="1" applyFont="1" applyFill="1" applyBorder="1" applyAlignment="1">
      <alignment horizontal="left" indent="2"/>
    </xf>
    <xf numFmtId="184" fontId="58" fillId="9" borderId="0" xfId="0" applyNumberFormat="1" applyFont="1" applyFill="1"/>
    <xf numFmtId="184" fontId="58" fillId="9" borderId="12" xfId="0" applyNumberFormat="1" applyFont="1" applyFill="1" applyBorder="1"/>
    <xf numFmtId="170" fontId="42" fillId="9" borderId="21" xfId="8" applyNumberFormat="1" applyFont="1" applyFill="1" applyBorder="1" applyAlignment="1">
      <alignment horizontal="left" indent="1"/>
    </xf>
    <xf numFmtId="170" fontId="40" fillId="9" borderId="28" xfId="0" applyNumberFormat="1" applyFont="1" applyFill="1" applyBorder="1"/>
    <xf numFmtId="191" fontId="42" fillId="9" borderId="21" xfId="8" applyNumberFormat="1" applyFont="1" applyFill="1" applyBorder="1" applyAlignment="1">
      <alignment horizontal="left" indent="1"/>
    </xf>
    <xf numFmtId="191" fontId="40" fillId="9" borderId="0" xfId="0" applyNumberFormat="1" applyFont="1" applyFill="1"/>
    <xf numFmtId="191" fontId="42" fillId="9" borderId="0" xfId="8" applyNumberFormat="1" applyFont="1" applyFill="1"/>
    <xf numFmtId="191" fontId="40" fillId="9" borderId="12" xfId="0" applyNumberFormat="1" applyFont="1" applyFill="1" applyBorder="1"/>
    <xf numFmtId="191" fontId="40" fillId="9" borderId="28" xfId="0" applyNumberFormat="1" applyFont="1" applyFill="1" applyBorder="1"/>
    <xf numFmtId="191" fontId="0" fillId="9" borderId="21" xfId="0" applyNumberFormat="1" applyFill="1" applyBorder="1"/>
    <xf numFmtId="191" fontId="42" fillId="9" borderId="21" xfId="8" applyNumberFormat="1" applyFont="1" applyFill="1" applyBorder="1" applyAlignment="1">
      <alignment horizontal="left" indent="2"/>
    </xf>
    <xf numFmtId="191" fontId="50" fillId="9" borderId="0" xfId="8" applyNumberFormat="1" applyFont="1" applyFill="1"/>
    <xf numFmtId="191" fontId="58" fillId="9" borderId="0" xfId="0" applyNumberFormat="1" applyFont="1" applyFill="1"/>
    <xf numFmtId="191" fontId="58" fillId="9" borderId="12" xfId="0" applyNumberFormat="1" applyFont="1" applyFill="1" applyBorder="1"/>
    <xf numFmtId="190" fontId="50" fillId="9" borderId="0" xfId="8" applyNumberFormat="1" applyFont="1" applyFill="1"/>
    <xf numFmtId="190" fontId="58" fillId="9" borderId="0" xfId="0" applyNumberFormat="1" applyFont="1" applyFill="1"/>
    <xf numFmtId="190" fontId="58" fillId="9" borderId="12" xfId="0" applyNumberFormat="1" applyFont="1" applyFill="1" applyBorder="1"/>
    <xf numFmtId="190" fontId="40" fillId="9" borderId="0" xfId="0" applyNumberFormat="1" applyFont="1" applyFill="1"/>
    <xf numFmtId="190" fontId="40" fillId="9" borderId="28" xfId="0" applyNumberFormat="1" applyFont="1" applyFill="1" applyBorder="1"/>
    <xf numFmtId="170" fontId="42" fillId="9" borderId="29" xfId="8" applyNumberFormat="1" applyFont="1" applyFill="1" applyBorder="1" applyAlignment="1">
      <alignment horizontal="left" indent="1"/>
    </xf>
    <xf numFmtId="191" fontId="42" fillId="9" borderId="8" xfId="8" applyNumberFormat="1" applyFont="1" applyFill="1" applyBorder="1"/>
    <xf numFmtId="191" fontId="40" fillId="9" borderId="8" xfId="0" applyNumberFormat="1" applyFont="1" applyFill="1" applyBorder="1"/>
    <xf numFmtId="191" fontId="40" fillId="9" borderId="14" xfId="0" applyNumberFormat="1" applyFont="1" applyFill="1" applyBorder="1"/>
    <xf numFmtId="191" fontId="40" fillId="9" borderId="30" xfId="0" applyNumberFormat="1" applyFont="1" applyFill="1" applyBorder="1"/>
    <xf numFmtId="170" fontId="45" fillId="9" borderId="17" xfId="0" applyNumberFormat="1" applyFont="1" applyFill="1" applyBorder="1"/>
    <xf numFmtId="199" fontId="40" fillId="9" borderId="0" xfId="0" applyNumberFormat="1" applyFont="1" applyFill="1"/>
    <xf numFmtId="0" fontId="40" fillId="9" borderId="12" xfId="0" applyFont="1" applyFill="1" applyBorder="1"/>
    <xf numFmtId="164" fontId="0" fillId="9" borderId="19" xfId="0" applyNumberFormat="1" applyFill="1" applyBorder="1" applyAlignment="1">
      <alignment horizontal="left" indent="1"/>
    </xf>
    <xf numFmtId="164" fontId="0" fillId="9" borderId="19" xfId="0" applyNumberFormat="1" applyFill="1" applyBorder="1"/>
    <xf numFmtId="0" fontId="40" fillId="9" borderId="17" xfId="0" applyFont="1" applyFill="1" applyBorder="1"/>
    <xf numFmtId="0" fontId="68" fillId="11" borderId="0" xfId="0" applyFont="1" applyFill="1"/>
    <xf numFmtId="0" fontId="69" fillId="9" borderId="0" xfId="0" applyFont="1" applyFill="1"/>
    <xf numFmtId="0" fontId="69" fillId="0" borderId="0" xfId="0" applyFont="1"/>
    <xf numFmtId="172" fontId="70" fillId="9" borderId="0" xfId="6" applyNumberFormat="1" applyFont="1" applyFill="1" applyAlignment="1">
      <alignment horizontal="left"/>
    </xf>
    <xf numFmtId="14" fontId="71" fillId="9" borderId="0" xfId="0" applyNumberFormat="1" applyFont="1" applyFill="1"/>
    <xf numFmtId="1" fontId="48" fillId="9" borderId="12" xfId="0" applyNumberFormat="1" applyFont="1" applyFill="1" applyBorder="1" applyAlignment="1">
      <alignment horizontal="center"/>
    </xf>
    <xf numFmtId="17" fontId="58" fillId="10" borderId="0" xfId="0" applyNumberFormat="1" applyFont="1" applyFill="1" applyAlignment="1">
      <alignment horizontal="center"/>
    </xf>
    <xf numFmtId="17" fontId="50" fillId="9" borderId="12" xfId="0" applyNumberFormat="1" applyFont="1" applyFill="1" applyBorder="1" applyAlignment="1">
      <alignment horizontal="center"/>
    </xf>
    <xf numFmtId="0" fontId="46" fillId="9" borderId="12" xfId="0" applyFont="1" applyFill="1" applyBorder="1" applyAlignment="1">
      <alignment horizontal="center"/>
    </xf>
    <xf numFmtId="164" fontId="48" fillId="9" borderId="12" xfId="0" applyNumberFormat="1" applyFont="1" applyFill="1" applyBorder="1" applyAlignment="1">
      <alignment horizontal="right"/>
    </xf>
    <xf numFmtId="178" fontId="44" fillId="9" borderId="12" xfId="0" applyNumberFormat="1" applyFont="1" applyFill="1" applyBorder="1" applyAlignment="1">
      <alignment horizontal="right"/>
    </xf>
    <xf numFmtId="178" fontId="48" fillId="9" borderId="12" xfId="0" applyNumberFormat="1" applyFont="1" applyFill="1" applyBorder="1" applyAlignment="1">
      <alignment horizontal="right"/>
    </xf>
    <xf numFmtId="170" fontId="48" fillId="9" borderId="0" xfId="0" applyNumberFormat="1" applyFont="1" applyFill="1" applyAlignment="1">
      <alignment horizontal="left" indent="1"/>
    </xf>
    <xf numFmtId="170" fontId="48" fillId="9" borderId="12" xfId="0" applyNumberFormat="1" applyFont="1" applyFill="1" applyBorder="1" applyAlignment="1">
      <alignment horizontal="right"/>
    </xf>
    <xf numFmtId="170" fontId="48" fillId="9" borderId="13" xfId="0" applyNumberFormat="1" applyFont="1" applyFill="1" applyBorder="1" applyAlignment="1">
      <alignment horizontal="right"/>
    </xf>
    <xf numFmtId="170" fontId="44" fillId="9" borderId="12" xfId="0" applyNumberFormat="1" applyFont="1" applyFill="1" applyBorder="1" applyAlignment="1">
      <alignment horizontal="right"/>
    </xf>
    <xf numFmtId="178" fontId="40" fillId="9" borderId="12" xfId="0" applyNumberFormat="1" applyFont="1" applyFill="1" applyBorder="1" applyAlignment="1">
      <alignment horizontal="right"/>
    </xf>
    <xf numFmtId="164" fontId="40" fillId="9" borderId="12" xfId="0" applyNumberFormat="1" applyFont="1" applyFill="1" applyBorder="1" applyAlignment="1">
      <alignment horizontal="right"/>
    </xf>
    <xf numFmtId="179" fontId="48" fillId="9" borderId="12" xfId="0" applyNumberFormat="1" applyFont="1" applyFill="1" applyBorder="1" applyAlignment="1">
      <alignment horizontal="right"/>
    </xf>
    <xf numFmtId="179" fontId="44" fillId="9" borderId="12" xfId="0" applyNumberFormat="1" applyFont="1" applyFill="1" applyBorder="1" applyAlignment="1">
      <alignment horizontal="right"/>
    </xf>
    <xf numFmtId="164" fontId="48" fillId="9" borderId="0" xfId="0" applyNumberFormat="1" applyFont="1" applyFill="1" applyAlignment="1">
      <alignment horizontal="left" indent="4"/>
    </xf>
    <xf numFmtId="164" fontId="49" fillId="10" borderId="0" xfId="0" applyNumberFormat="1" applyFont="1" applyFill="1"/>
    <xf numFmtId="164" fontId="45" fillId="10" borderId="0" xfId="0" applyNumberFormat="1" applyFont="1" applyFill="1"/>
    <xf numFmtId="164" fontId="45" fillId="9" borderId="12" xfId="0" applyNumberFormat="1" applyFont="1" applyFill="1" applyBorder="1"/>
    <xf numFmtId="164" fontId="0" fillId="10" borderId="0" xfId="0" applyNumberFormat="1" applyFill="1"/>
    <xf numFmtId="164" fontId="58" fillId="9" borderId="12" xfId="0" applyNumberFormat="1" applyFont="1" applyFill="1" applyBorder="1"/>
    <xf numFmtId="164" fontId="48" fillId="9" borderId="2" xfId="0" applyNumberFormat="1" applyFont="1" applyFill="1" applyBorder="1" applyAlignment="1">
      <alignment horizontal="left" indent="4"/>
    </xf>
    <xf numFmtId="164" fontId="48" fillId="10" borderId="2" xfId="0" applyNumberFormat="1" applyFont="1" applyFill="1" applyBorder="1"/>
    <xf numFmtId="164" fontId="48" fillId="9" borderId="13" xfId="0" applyNumberFormat="1" applyFont="1" applyFill="1" applyBorder="1"/>
    <xf numFmtId="178" fontId="44" fillId="9" borderId="12" xfId="0" applyNumberFormat="1" applyFont="1" applyFill="1" applyBorder="1"/>
    <xf numFmtId="178" fontId="55" fillId="9" borderId="12" xfId="0" applyNumberFormat="1" applyFont="1" applyFill="1" applyBorder="1" applyAlignment="1">
      <alignment horizontal="right"/>
    </xf>
    <xf numFmtId="164" fontId="48" fillId="9" borderId="13" xfId="0" applyNumberFormat="1" applyFont="1" applyFill="1" applyBorder="1" applyAlignment="1">
      <alignment horizontal="right"/>
    </xf>
    <xf numFmtId="164" fontId="40" fillId="9" borderId="2" xfId="0" applyNumberFormat="1" applyFont="1" applyFill="1" applyBorder="1" applyAlignment="1">
      <alignment horizontal="left" indent="1"/>
    </xf>
    <xf numFmtId="164" fontId="40" fillId="9" borderId="2" xfId="0" applyNumberFormat="1" applyFont="1" applyFill="1" applyBorder="1" applyAlignment="1">
      <alignment horizontal="left" indent="4"/>
    </xf>
    <xf numFmtId="164" fontId="40" fillId="10" borderId="2" xfId="0" applyNumberFormat="1" applyFont="1" applyFill="1" applyBorder="1"/>
    <xf numFmtId="178" fontId="66" fillId="9" borderId="0" xfId="0" applyNumberFormat="1" applyFont="1" applyFill="1" applyAlignment="1">
      <alignment horizontal="left" indent="1"/>
    </xf>
    <xf numFmtId="178" fontId="66" fillId="9" borderId="0" xfId="0" applyNumberFormat="1" applyFont="1" applyFill="1" applyAlignment="1">
      <alignment horizontal="left" indent="4"/>
    </xf>
    <xf numFmtId="178" fontId="66" fillId="10" borderId="0" xfId="0" applyNumberFormat="1" applyFont="1" applyFill="1"/>
    <xf numFmtId="178" fontId="66" fillId="9" borderId="0" xfId="0" applyNumberFormat="1" applyFont="1" applyFill="1"/>
    <xf numFmtId="178" fontId="66" fillId="9" borderId="12" xfId="0" applyNumberFormat="1" applyFont="1" applyFill="1" applyBorder="1"/>
    <xf numFmtId="178" fontId="72" fillId="9" borderId="0" xfId="0" applyNumberFormat="1" applyFont="1" applyFill="1"/>
    <xf numFmtId="178" fontId="72" fillId="10" borderId="0" xfId="0" applyNumberFormat="1" applyFont="1" applyFill="1"/>
    <xf numFmtId="178" fontId="67" fillId="9" borderId="0" xfId="0" applyNumberFormat="1" applyFont="1" applyFill="1"/>
    <xf numFmtId="178" fontId="67" fillId="0" borderId="0" xfId="0" applyNumberFormat="1" applyFont="1"/>
    <xf numFmtId="178" fontId="66" fillId="9" borderId="2" xfId="0" applyNumberFormat="1" applyFont="1" applyFill="1" applyBorder="1" applyAlignment="1">
      <alignment horizontal="left" indent="1"/>
    </xf>
    <xf numFmtId="178" fontId="66" fillId="9" borderId="2" xfId="0" applyNumberFormat="1" applyFont="1" applyFill="1" applyBorder="1" applyAlignment="1">
      <alignment horizontal="left" indent="4"/>
    </xf>
    <xf numFmtId="178" fontId="66" fillId="10" borderId="2" xfId="0" applyNumberFormat="1" applyFont="1" applyFill="1" applyBorder="1"/>
    <xf numFmtId="178" fontId="66" fillId="9" borderId="2" xfId="0" applyNumberFormat="1" applyFont="1" applyFill="1" applyBorder="1"/>
    <xf numFmtId="178" fontId="66" fillId="9" borderId="13" xfId="0" applyNumberFormat="1" applyFont="1" applyFill="1" applyBorder="1"/>
    <xf numFmtId="178" fontId="66" fillId="9" borderId="2" xfId="0" applyNumberFormat="1" applyFont="1" applyFill="1" applyBorder="1" applyAlignment="1">
      <alignment horizontal="left"/>
    </xf>
    <xf numFmtId="178" fontId="58" fillId="9" borderId="12" xfId="0" applyNumberFormat="1" applyFont="1" applyFill="1" applyBorder="1"/>
    <xf numFmtId="166" fontId="40" fillId="9" borderId="0" xfId="0" applyNumberFormat="1" applyFont="1" applyFill="1" applyAlignment="1">
      <alignment horizontal="left" indent="4"/>
    </xf>
    <xf numFmtId="166" fontId="40" fillId="10" borderId="0" xfId="0" applyNumberFormat="1" applyFont="1" applyFill="1"/>
    <xf numFmtId="166" fontId="40" fillId="9" borderId="0" xfId="0" applyNumberFormat="1" applyFont="1" applyFill="1"/>
    <xf numFmtId="166" fontId="40" fillId="9" borderId="12" xfId="0" applyNumberFormat="1" applyFont="1" applyFill="1" applyBorder="1"/>
    <xf numFmtId="166" fontId="40" fillId="9" borderId="12" xfId="0" applyNumberFormat="1" applyFont="1" applyFill="1" applyBorder="1" applyAlignment="1">
      <alignment horizontal="right"/>
    </xf>
    <xf numFmtId="166" fontId="48" fillId="9" borderId="2" xfId="0" applyNumberFormat="1" applyFont="1" applyFill="1" applyBorder="1" applyAlignment="1">
      <alignment horizontal="left"/>
    </xf>
    <xf numFmtId="166" fontId="48" fillId="9" borderId="2" xfId="0" applyNumberFormat="1" applyFont="1" applyFill="1" applyBorder="1" applyAlignment="1">
      <alignment horizontal="left" indent="4"/>
    </xf>
    <xf numFmtId="166" fontId="48" fillId="10" borderId="2" xfId="0" applyNumberFormat="1" applyFont="1" applyFill="1" applyBorder="1"/>
    <xf numFmtId="166" fontId="48" fillId="9" borderId="2" xfId="0" applyNumberFormat="1" applyFont="1" applyFill="1" applyBorder="1"/>
    <xf numFmtId="166" fontId="48" fillId="9" borderId="13" xfId="0" applyNumberFormat="1" applyFont="1" applyFill="1" applyBorder="1"/>
    <xf numFmtId="166" fontId="48" fillId="10" borderId="2" xfId="0" applyNumberFormat="1" applyFont="1" applyFill="1" applyBorder="1" applyAlignment="1">
      <alignment horizontal="right"/>
    </xf>
    <xf numFmtId="166" fontId="48" fillId="9" borderId="2" xfId="0" applyNumberFormat="1" applyFont="1" applyFill="1" applyBorder="1" applyAlignment="1">
      <alignment horizontal="right"/>
    </xf>
    <xf numFmtId="166" fontId="48" fillId="9" borderId="13" xfId="0" applyNumberFormat="1" applyFont="1" applyFill="1" applyBorder="1" applyAlignment="1">
      <alignment horizontal="right"/>
    </xf>
    <xf numFmtId="164" fontId="45" fillId="10" borderId="2" xfId="0" applyNumberFormat="1" applyFont="1" applyFill="1" applyBorder="1"/>
    <xf numFmtId="164" fontId="45" fillId="9" borderId="13" xfId="0" applyNumberFormat="1" applyFont="1" applyFill="1" applyBorder="1"/>
    <xf numFmtId="178" fontId="43" fillId="9" borderId="12" xfId="0" applyNumberFormat="1" applyFont="1" applyFill="1" applyBorder="1"/>
    <xf numFmtId="178" fontId="43" fillId="10" borderId="0" xfId="0" applyNumberFormat="1" applyFont="1" applyFill="1"/>
    <xf numFmtId="164" fontId="0" fillId="9" borderId="12" xfId="0" applyNumberFormat="1" applyFill="1" applyBorder="1"/>
    <xf numFmtId="164" fontId="40" fillId="9" borderId="15" xfId="0" applyNumberFormat="1" applyFont="1" applyFill="1" applyBorder="1" applyAlignment="1">
      <alignment horizontal="left" indent="1"/>
    </xf>
    <xf numFmtId="164" fontId="40" fillId="9" borderId="15" xfId="0" applyNumberFormat="1" applyFont="1" applyFill="1" applyBorder="1" applyAlignment="1">
      <alignment horizontal="left" indent="4"/>
    </xf>
    <xf numFmtId="164" fontId="40" fillId="10" borderId="15" xfId="0" applyNumberFormat="1" applyFont="1" applyFill="1" applyBorder="1"/>
    <xf numFmtId="164" fontId="40" fillId="9" borderId="15" xfId="0" applyNumberFormat="1" applyFont="1" applyFill="1" applyBorder="1"/>
    <xf numFmtId="164" fontId="40" fillId="9" borderId="16" xfId="0" applyNumberFormat="1" applyFont="1" applyFill="1" applyBorder="1"/>
    <xf numFmtId="178" fontId="66" fillId="9" borderId="15" xfId="0" applyNumberFormat="1" applyFont="1" applyFill="1" applyBorder="1" applyAlignment="1">
      <alignment horizontal="left" indent="1"/>
    </xf>
    <xf numFmtId="178" fontId="66" fillId="9" borderId="15" xfId="0" applyNumberFormat="1" applyFont="1" applyFill="1" applyBorder="1" applyAlignment="1">
      <alignment horizontal="left" indent="4"/>
    </xf>
    <xf numFmtId="178" fontId="66" fillId="10" borderId="15" xfId="0" applyNumberFormat="1" applyFont="1" applyFill="1" applyBorder="1"/>
    <xf numFmtId="178" fontId="66" fillId="9" borderId="15" xfId="0" applyNumberFormat="1" applyFont="1" applyFill="1" applyBorder="1"/>
    <xf numFmtId="178" fontId="66" fillId="9" borderId="16" xfId="0" applyNumberFormat="1" applyFont="1" applyFill="1" applyBorder="1"/>
    <xf numFmtId="164" fontId="44" fillId="9" borderId="0" xfId="0" applyNumberFormat="1" applyFont="1" applyFill="1" applyAlignment="1">
      <alignment horizontal="left" indent="4"/>
    </xf>
    <xf numFmtId="178" fontId="44" fillId="9" borderId="2" xfId="0" applyNumberFormat="1" applyFont="1" applyFill="1" applyBorder="1" applyAlignment="1">
      <alignment horizontal="left" indent="1"/>
    </xf>
    <xf numFmtId="178" fontId="44" fillId="9" borderId="2" xfId="0" applyNumberFormat="1" applyFont="1" applyFill="1" applyBorder="1" applyAlignment="1">
      <alignment horizontal="left" indent="4"/>
    </xf>
    <xf numFmtId="178" fontId="44" fillId="10" borderId="2" xfId="0" applyNumberFormat="1" applyFont="1" applyFill="1" applyBorder="1"/>
    <xf numFmtId="178" fontId="44" fillId="9" borderId="2" xfId="0" applyNumberFormat="1" applyFont="1" applyFill="1" applyBorder="1"/>
    <xf numFmtId="178" fontId="43" fillId="9" borderId="2" xfId="0" applyNumberFormat="1" applyFont="1" applyFill="1" applyBorder="1"/>
    <xf numFmtId="178" fontId="43" fillId="10" borderId="2" xfId="0" applyNumberFormat="1" applyFont="1" applyFill="1" applyBorder="1"/>
    <xf numFmtId="178" fontId="44" fillId="9" borderId="13" xfId="0" applyNumberFormat="1" applyFont="1" applyFill="1" applyBorder="1"/>
    <xf numFmtId="178" fontId="44" fillId="9" borderId="8" xfId="0" applyNumberFormat="1" applyFont="1" applyFill="1" applyBorder="1" applyAlignment="1">
      <alignment horizontal="left" indent="2"/>
    </xf>
    <xf numFmtId="178" fontId="55" fillId="10" borderId="8" xfId="0" applyNumberFormat="1" applyFont="1" applyFill="1" applyBorder="1" applyAlignment="1">
      <alignment horizontal="right"/>
    </xf>
    <xf numFmtId="178" fontId="55" fillId="9" borderId="8" xfId="0" applyNumberFormat="1" applyFont="1" applyFill="1" applyBorder="1" applyAlignment="1">
      <alignment horizontal="right"/>
    </xf>
    <xf numFmtId="178" fontId="44" fillId="9" borderId="14" xfId="0" applyNumberFormat="1" applyFont="1" applyFill="1" applyBorder="1" applyAlignment="1">
      <alignment horizontal="right"/>
    </xf>
    <xf numFmtId="178" fontId="44" fillId="9" borderId="8" xfId="0" applyNumberFormat="1" applyFont="1" applyFill="1" applyBorder="1" applyAlignment="1">
      <alignment horizontal="left" indent="1"/>
    </xf>
    <xf numFmtId="178" fontId="55" fillId="9" borderId="14" xfId="0" applyNumberFormat="1" applyFont="1" applyFill="1" applyBorder="1" applyAlignment="1">
      <alignment horizontal="right"/>
    </xf>
    <xf numFmtId="178" fontId="73" fillId="9" borderId="2" xfId="2" applyNumberFormat="1" applyFont="1" applyFill="1" applyBorder="1"/>
    <xf numFmtId="178" fontId="72" fillId="10" borderId="2" xfId="0" applyNumberFormat="1" applyFont="1" applyFill="1" applyBorder="1" applyAlignment="1">
      <alignment horizontal="right"/>
    </xf>
    <xf numFmtId="178" fontId="72" fillId="9" borderId="2" xfId="0" applyNumberFormat="1" applyFont="1" applyFill="1" applyBorder="1" applyAlignment="1">
      <alignment horizontal="right"/>
    </xf>
    <xf numFmtId="178" fontId="72" fillId="9" borderId="13" xfId="0" applyNumberFormat="1" applyFont="1" applyFill="1" applyBorder="1" applyAlignment="1">
      <alignment horizontal="right"/>
    </xf>
    <xf numFmtId="178" fontId="66" fillId="9" borderId="2" xfId="0" applyNumberFormat="1" applyFont="1" applyFill="1" applyBorder="1" applyAlignment="1">
      <alignment horizontal="right"/>
    </xf>
    <xf numFmtId="178" fontId="66" fillId="10" borderId="2" xfId="0" applyNumberFormat="1" applyFont="1" applyFill="1" applyBorder="1" applyAlignment="1">
      <alignment horizontal="right"/>
    </xf>
    <xf numFmtId="178" fontId="66" fillId="9" borderId="0" xfId="0" applyNumberFormat="1" applyFont="1" applyFill="1" applyAlignment="1">
      <alignment horizontal="left"/>
    </xf>
    <xf numFmtId="178" fontId="73" fillId="9" borderId="0" xfId="2" applyNumberFormat="1" applyFont="1" applyFill="1"/>
    <xf numFmtId="178" fontId="72" fillId="10" borderId="0" xfId="0" applyNumberFormat="1" applyFont="1" applyFill="1" applyAlignment="1">
      <alignment horizontal="right"/>
    </xf>
    <xf numFmtId="178" fontId="66" fillId="9" borderId="0" xfId="0" applyNumberFormat="1" applyFont="1" applyFill="1" applyAlignment="1">
      <alignment horizontal="right"/>
    </xf>
    <xf numFmtId="178" fontId="66" fillId="10" borderId="0" xfId="0" applyNumberFormat="1" applyFont="1" applyFill="1" applyAlignment="1">
      <alignment horizontal="right"/>
    </xf>
    <xf numFmtId="178" fontId="66" fillId="9" borderId="12" xfId="0" applyNumberFormat="1" applyFont="1" applyFill="1" applyBorder="1" applyAlignment="1">
      <alignment horizontal="right"/>
    </xf>
    <xf numFmtId="178" fontId="72" fillId="9" borderId="0" xfId="0" applyNumberFormat="1" applyFont="1" applyFill="1" applyAlignment="1">
      <alignment horizontal="right"/>
    </xf>
    <xf numFmtId="170" fontId="58" fillId="9" borderId="12" xfId="0" applyNumberFormat="1" applyFont="1" applyFill="1" applyBorder="1"/>
    <xf numFmtId="170" fontId="58" fillId="9" borderId="14" xfId="0" applyNumberFormat="1" applyFont="1" applyFill="1" applyBorder="1"/>
    <xf numFmtId="178" fontId="40" fillId="9" borderId="8" xfId="0" applyNumberFormat="1" applyFont="1" applyFill="1" applyBorder="1" applyAlignment="1">
      <alignment horizontal="left" indent="4"/>
    </xf>
    <xf numFmtId="178" fontId="40" fillId="10" borderId="8" xfId="0" applyNumberFormat="1" applyFont="1" applyFill="1" applyBorder="1"/>
    <xf numFmtId="178" fontId="40" fillId="9" borderId="8" xfId="0" applyNumberFormat="1" applyFont="1" applyFill="1" applyBorder="1"/>
    <xf numFmtId="178" fontId="40" fillId="9" borderId="14" xfId="0" applyNumberFormat="1" applyFont="1" applyFill="1" applyBorder="1"/>
    <xf numFmtId="178" fontId="48" fillId="9" borderId="2" xfId="0" applyNumberFormat="1" applyFont="1" applyFill="1" applyBorder="1" applyAlignment="1">
      <alignment horizontal="left" indent="4"/>
    </xf>
    <xf numFmtId="178" fontId="48" fillId="10" borderId="2" xfId="0" applyNumberFormat="1" applyFont="1" applyFill="1" applyBorder="1"/>
    <xf numFmtId="178" fontId="48" fillId="9" borderId="13" xfId="0" applyNumberFormat="1" applyFont="1" applyFill="1" applyBorder="1"/>
    <xf numFmtId="170" fontId="44" fillId="9" borderId="12" xfId="0" applyNumberFormat="1" applyFont="1" applyFill="1" applyBorder="1"/>
    <xf numFmtId="170" fontId="48" fillId="9" borderId="15" xfId="0" applyNumberFormat="1" applyFont="1" applyFill="1" applyBorder="1" applyAlignment="1">
      <alignment horizontal="left"/>
    </xf>
    <xf numFmtId="170" fontId="48" fillId="9" borderId="15" xfId="0" applyNumberFormat="1" applyFont="1" applyFill="1" applyBorder="1" applyAlignment="1">
      <alignment horizontal="left" indent="4"/>
    </xf>
    <xf numFmtId="170" fontId="48" fillId="9" borderId="16" xfId="0" applyNumberFormat="1" applyFont="1" applyFill="1" applyBorder="1"/>
    <xf numFmtId="164" fontId="40" fillId="9" borderId="8" xfId="0" applyNumberFormat="1" applyFont="1" applyFill="1" applyBorder="1" applyAlignment="1">
      <alignment horizontal="left" indent="4"/>
    </xf>
    <xf numFmtId="164" fontId="40" fillId="9" borderId="8" xfId="0" applyNumberFormat="1" applyFont="1" applyFill="1" applyBorder="1"/>
    <xf numFmtId="164" fontId="58" fillId="10" borderId="8" xfId="0" applyNumberFormat="1" applyFont="1" applyFill="1" applyBorder="1"/>
    <xf numFmtId="170" fontId="40" fillId="9" borderId="12" xfId="0" applyNumberFormat="1" applyFont="1" applyFill="1" applyBorder="1" applyAlignment="1">
      <alignment horizontal="right"/>
    </xf>
    <xf numFmtId="170" fontId="40" fillId="9" borderId="14" xfId="0" applyNumberFormat="1" applyFont="1" applyFill="1" applyBorder="1" applyAlignment="1">
      <alignment horizontal="right"/>
    </xf>
    <xf numFmtId="170" fontId="40" fillId="9" borderId="13" xfId="0" applyNumberFormat="1" applyFont="1" applyFill="1" applyBorder="1" applyAlignment="1">
      <alignment horizontal="right"/>
    </xf>
    <xf numFmtId="178" fontId="43" fillId="10" borderId="0" xfId="0" applyNumberFormat="1" applyFont="1" applyFill="1" applyAlignment="1">
      <alignment horizontal="right"/>
    </xf>
    <xf numFmtId="178" fontId="0" fillId="10" borderId="0" xfId="0" applyNumberFormat="1" applyFill="1"/>
    <xf numFmtId="178" fontId="45" fillId="10" borderId="2" xfId="0" applyNumberFormat="1" applyFont="1" applyFill="1" applyBorder="1"/>
    <xf numFmtId="178" fontId="45" fillId="9" borderId="2" xfId="0" applyNumberFormat="1" applyFont="1" applyFill="1" applyBorder="1"/>
    <xf numFmtId="178" fontId="49" fillId="10" borderId="2" xfId="0" applyNumberFormat="1" applyFont="1" applyFill="1" applyBorder="1"/>
    <xf numFmtId="178" fontId="49" fillId="9" borderId="2" xfId="0" applyNumberFormat="1" applyFont="1" applyFill="1" applyBorder="1"/>
    <xf numFmtId="164" fontId="48" fillId="9" borderId="2" xfId="0" applyNumberFormat="1" applyFont="1" applyFill="1" applyBorder="1" applyAlignment="1">
      <alignment horizontal="left" indent="3"/>
    </xf>
    <xf numFmtId="164" fontId="48" fillId="9" borderId="0" xfId="0" applyNumberFormat="1" applyFont="1" applyFill="1" applyAlignment="1">
      <alignment horizontal="left" indent="1"/>
    </xf>
    <xf numFmtId="164" fontId="49" fillId="10" borderId="2" xfId="0" applyNumberFormat="1" applyFont="1" applyFill="1" applyBorder="1"/>
    <xf numFmtId="166" fontId="45" fillId="9" borderId="0" xfId="0" applyNumberFormat="1" applyFont="1" applyFill="1" applyAlignment="1">
      <alignment horizontal="left"/>
    </xf>
    <xf numFmtId="166" fontId="48" fillId="9" borderId="0" xfId="0" applyNumberFormat="1" applyFont="1" applyFill="1" applyAlignment="1">
      <alignment horizontal="left" indent="4"/>
    </xf>
    <xf numFmtId="166" fontId="45" fillId="10" borderId="0" xfId="0" applyNumberFormat="1" applyFont="1" applyFill="1"/>
    <xf numFmtId="166" fontId="48" fillId="10" borderId="0" xfId="0" applyNumberFormat="1" applyFont="1" applyFill="1"/>
    <xf numFmtId="166" fontId="48" fillId="9" borderId="12" xfId="0" applyNumberFormat="1" applyFont="1" applyFill="1" applyBorder="1"/>
    <xf numFmtId="164" fontId="49" fillId="9" borderId="13" xfId="0" applyNumberFormat="1" applyFont="1" applyFill="1" applyBorder="1"/>
    <xf numFmtId="178" fontId="0" fillId="9" borderId="0" xfId="0" applyNumberFormat="1" applyFill="1" applyAlignment="1">
      <alignment horizontal="right"/>
    </xf>
    <xf numFmtId="175" fontId="37" fillId="9" borderId="0" xfId="2" applyNumberFormat="1" applyFont="1" applyFill="1"/>
    <xf numFmtId="175" fontId="45" fillId="10" borderId="0" xfId="0" applyNumberFormat="1" applyFont="1" applyFill="1"/>
    <xf numFmtId="175" fontId="48" fillId="9" borderId="12" xfId="0" applyNumberFormat="1" applyFont="1" applyFill="1" applyBorder="1"/>
    <xf numFmtId="178" fontId="61" fillId="9" borderId="0" xfId="2" applyNumberFormat="1" applyFont="1" applyFill="1" applyAlignment="1">
      <alignment horizontal="left" indent="1"/>
    </xf>
    <xf numFmtId="178" fontId="48" fillId="9" borderId="12" xfId="0" applyNumberFormat="1" applyFont="1" applyFill="1" applyBorder="1"/>
    <xf numFmtId="164" fontId="45" fillId="9" borderId="0" xfId="0" applyNumberFormat="1" applyFont="1" applyFill="1" applyAlignment="1">
      <alignment horizontal="left" indent="1"/>
    </xf>
    <xf numFmtId="164" fontId="45" fillId="9" borderId="2" xfId="0" applyNumberFormat="1" applyFont="1" applyFill="1" applyBorder="1" applyAlignment="1">
      <alignment horizontal="left" indent="1"/>
    </xf>
    <xf numFmtId="178" fontId="55" fillId="9" borderId="12" xfId="0" applyNumberFormat="1" applyFont="1" applyFill="1" applyBorder="1"/>
    <xf numFmtId="170" fontId="40" fillId="10" borderId="2" xfId="0" applyNumberFormat="1" applyFont="1" applyFill="1" applyBorder="1"/>
    <xf numFmtId="170" fontId="40" fillId="9" borderId="13" xfId="0" applyNumberFormat="1" applyFont="1" applyFill="1" applyBorder="1"/>
    <xf numFmtId="178" fontId="40" fillId="10" borderId="8" xfId="0" applyNumberFormat="1" applyFont="1" applyFill="1" applyBorder="1" applyAlignment="1">
      <alignment horizontal="center"/>
    </xf>
    <xf numFmtId="178" fontId="40" fillId="9" borderId="8" xfId="0" applyNumberFormat="1" applyFont="1" applyFill="1" applyBorder="1" applyAlignment="1">
      <alignment horizontal="center"/>
    </xf>
    <xf numFmtId="178" fontId="40" fillId="9" borderId="14" xfId="0" applyNumberFormat="1" applyFont="1" applyFill="1" applyBorder="1" applyAlignment="1">
      <alignment horizontal="center"/>
    </xf>
    <xf numFmtId="178" fontId="48" fillId="10" borderId="0" xfId="0" applyNumberFormat="1" applyFont="1" applyFill="1" applyAlignment="1">
      <alignment horizontal="center"/>
    </xf>
    <xf numFmtId="178" fontId="48" fillId="9" borderId="0" xfId="0" applyNumberFormat="1" applyFont="1" applyFill="1" applyAlignment="1">
      <alignment horizontal="center"/>
    </xf>
    <xf numFmtId="178" fontId="48" fillId="9" borderId="12" xfId="0" applyNumberFormat="1" applyFont="1" applyFill="1" applyBorder="1" applyAlignment="1">
      <alignment horizontal="center"/>
    </xf>
    <xf numFmtId="178" fontId="40" fillId="9" borderId="14" xfId="0" applyNumberFormat="1" applyFont="1" applyFill="1" applyBorder="1" applyAlignment="1">
      <alignment horizontal="right"/>
    </xf>
    <xf numFmtId="178" fontId="52" fillId="9" borderId="0" xfId="2" applyNumberFormat="1" applyFont="1" applyFill="1" applyAlignment="1">
      <alignment horizontal="left"/>
    </xf>
    <xf numFmtId="178" fontId="48" fillId="9" borderId="13" xfId="0" applyNumberFormat="1" applyFont="1" applyFill="1" applyBorder="1" applyAlignment="1">
      <alignment horizontal="right"/>
    </xf>
    <xf numFmtId="178" fontId="44" fillId="9" borderId="0" xfId="0" applyNumberFormat="1" applyFont="1" applyFill="1" applyAlignment="1">
      <alignment horizontal="center"/>
    </xf>
    <xf numFmtId="178" fontId="44" fillId="9" borderId="12" xfId="0" applyNumberFormat="1" applyFont="1" applyFill="1" applyBorder="1" applyAlignment="1">
      <alignment horizontal="center"/>
    </xf>
    <xf numFmtId="178" fontId="40" fillId="10" borderId="0" xfId="0" applyNumberFormat="1" applyFont="1" applyFill="1" applyAlignment="1">
      <alignment horizontal="center"/>
    </xf>
    <xf numFmtId="178" fontId="40" fillId="9" borderId="0" xfId="0" applyNumberFormat="1" applyFont="1" applyFill="1" applyAlignment="1">
      <alignment horizontal="center"/>
    </xf>
    <xf numFmtId="178" fontId="40" fillId="9" borderId="12" xfId="0" applyNumberFormat="1" applyFont="1" applyFill="1" applyBorder="1" applyAlignment="1">
      <alignment horizontal="center"/>
    </xf>
    <xf numFmtId="178" fontId="48" fillId="10" borderId="2" xfId="0" applyNumberFormat="1" applyFont="1" applyFill="1" applyBorder="1" applyAlignment="1">
      <alignment horizontal="center"/>
    </xf>
    <xf numFmtId="178" fontId="48" fillId="9" borderId="2" xfId="0" applyNumberFormat="1" applyFont="1" applyFill="1" applyBorder="1" applyAlignment="1">
      <alignment horizontal="center"/>
    </xf>
    <xf numFmtId="178" fontId="48" fillId="9" borderId="13" xfId="0" applyNumberFormat="1" applyFont="1" applyFill="1" applyBorder="1" applyAlignment="1">
      <alignment horizontal="center"/>
    </xf>
    <xf numFmtId="170" fontId="49" fillId="9" borderId="12" xfId="0" applyNumberFormat="1" applyFont="1" applyFill="1" applyBorder="1"/>
    <xf numFmtId="170" fontId="45" fillId="9" borderId="13" xfId="0" applyNumberFormat="1" applyFont="1" applyFill="1" applyBorder="1"/>
    <xf numFmtId="170" fontId="45" fillId="9" borderId="15" xfId="0" applyNumberFormat="1" applyFont="1" applyFill="1" applyBorder="1" applyAlignment="1">
      <alignment horizontal="left"/>
    </xf>
    <xf numFmtId="170" fontId="45" fillId="9" borderId="16" xfId="0" applyNumberFormat="1" applyFont="1" applyFill="1" applyBorder="1"/>
    <xf numFmtId="170" fontId="45" fillId="9" borderId="12" xfId="0" applyNumberFormat="1" applyFont="1" applyFill="1" applyBorder="1"/>
    <xf numFmtId="170" fontId="0" fillId="9" borderId="12" xfId="0" applyNumberFormat="1" applyFill="1" applyBorder="1"/>
    <xf numFmtId="175" fontId="1" fillId="9" borderId="0" xfId="2" applyNumberFormat="1" applyFont="1" applyFill="1" applyAlignment="1">
      <alignment horizontal="left" indent="1"/>
    </xf>
    <xf numFmtId="175" fontId="45" fillId="9" borderId="12" xfId="0" applyNumberFormat="1" applyFont="1" applyFill="1" applyBorder="1"/>
    <xf numFmtId="175" fontId="40" fillId="9" borderId="0" xfId="0" applyNumberFormat="1" applyFont="1" applyFill="1" applyAlignment="1">
      <alignment horizontal="left" indent="3"/>
    </xf>
    <xf numFmtId="175" fontId="58" fillId="10" borderId="0" xfId="0" applyNumberFormat="1" applyFont="1" applyFill="1"/>
    <xf numFmtId="175" fontId="40" fillId="10" borderId="0" xfId="0" applyNumberFormat="1" applyFont="1" applyFill="1"/>
    <xf numFmtId="175" fontId="40" fillId="9" borderId="0" xfId="0" applyNumberFormat="1" applyFont="1" applyFill="1"/>
    <xf numFmtId="175" fontId="58" fillId="9" borderId="0" xfId="0" applyNumberFormat="1" applyFont="1" applyFill="1"/>
    <xf numFmtId="175" fontId="40" fillId="9" borderId="12" xfId="0" applyNumberFormat="1" applyFont="1" applyFill="1" applyBorder="1"/>
    <xf numFmtId="175" fontId="0" fillId="9" borderId="0" xfId="0" applyNumberFormat="1" applyFill="1"/>
    <xf numFmtId="175" fontId="0" fillId="0" borderId="0" xfId="0" applyNumberFormat="1"/>
    <xf numFmtId="175" fontId="37" fillId="9" borderId="2" xfId="2" applyNumberFormat="1" applyFont="1" applyFill="1" applyBorder="1"/>
    <xf numFmtId="175" fontId="48" fillId="9" borderId="2" xfId="0" applyNumberFormat="1" applyFont="1" applyFill="1" applyBorder="1" applyAlignment="1">
      <alignment horizontal="left" indent="3"/>
    </xf>
    <xf numFmtId="175" fontId="45" fillId="10" borderId="2" xfId="0" applyNumberFormat="1" applyFont="1" applyFill="1" applyBorder="1"/>
    <xf numFmtId="175" fontId="45" fillId="9" borderId="2" xfId="0" applyNumberFormat="1" applyFont="1" applyFill="1" applyBorder="1"/>
    <xf numFmtId="175" fontId="45" fillId="9" borderId="13" xfId="0" applyNumberFormat="1" applyFont="1" applyFill="1" applyBorder="1"/>
    <xf numFmtId="175" fontId="48" fillId="9" borderId="2" xfId="0" applyNumberFormat="1" applyFont="1" applyFill="1" applyBorder="1"/>
    <xf numFmtId="175" fontId="48" fillId="10" borderId="2" xfId="0" applyNumberFormat="1" applyFont="1" applyFill="1" applyBorder="1"/>
    <xf numFmtId="170" fontId="0" fillId="9" borderId="8" xfId="0" applyNumberFormat="1" applyFill="1" applyBorder="1" applyAlignment="1">
      <alignment horizontal="left" indent="1"/>
    </xf>
    <xf numFmtId="170" fontId="0" fillId="10" borderId="8" xfId="0" applyNumberFormat="1" applyFill="1" applyBorder="1"/>
    <xf numFmtId="170" fontId="0" fillId="9" borderId="14" xfId="0" applyNumberFormat="1" applyFill="1" applyBorder="1"/>
    <xf numFmtId="170" fontId="43" fillId="9" borderId="0" xfId="0" applyNumberFormat="1" applyFont="1" applyFill="1" applyAlignment="1">
      <alignment horizontal="left" indent="1"/>
    </xf>
    <xf numFmtId="175" fontId="44" fillId="9" borderId="12" xfId="0" applyNumberFormat="1" applyFont="1" applyFill="1" applyBorder="1"/>
    <xf numFmtId="175" fontId="52" fillId="10" borderId="0" xfId="0" applyNumberFormat="1" applyFont="1" applyFill="1"/>
    <xf numFmtId="175" fontId="43" fillId="9" borderId="0" xfId="0" applyNumberFormat="1" applyFont="1" applyFill="1"/>
    <xf numFmtId="175" fontId="43" fillId="0" borderId="0" xfId="0" applyNumberFormat="1" applyFont="1"/>
    <xf numFmtId="170" fontId="42" fillId="10" borderId="8" xfId="0" applyNumberFormat="1" applyFont="1" applyFill="1" applyBorder="1"/>
    <xf numFmtId="170" fontId="46" fillId="10" borderId="2" xfId="0" applyNumberFormat="1" applyFont="1" applyFill="1" applyBorder="1"/>
    <xf numFmtId="170" fontId="46" fillId="10" borderId="0" xfId="0" applyNumberFormat="1" applyFont="1" applyFill="1"/>
    <xf numFmtId="170" fontId="42" fillId="9" borderId="15" xfId="0" applyNumberFormat="1" applyFont="1" applyFill="1" applyBorder="1" applyAlignment="1">
      <alignment horizontal="left" indent="1"/>
    </xf>
    <xf numFmtId="170" fontId="40" fillId="9" borderId="16" xfId="0" applyNumberFormat="1" applyFont="1" applyFill="1" applyBorder="1"/>
    <xf numFmtId="179" fontId="48" fillId="9" borderId="12" xfId="0" applyNumberFormat="1" applyFont="1" applyFill="1" applyBorder="1"/>
    <xf numFmtId="179" fontId="37" fillId="9" borderId="0" xfId="2" applyNumberFormat="1" applyFont="1" applyFill="1"/>
    <xf numFmtId="179" fontId="45" fillId="10" borderId="0" xfId="0" applyNumberFormat="1" applyFont="1" applyFill="1"/>
    <xf numFmtId="179" fontId="45" fillId="9" borderId="12" xfId="0" applyNumberFormat="1" applyFont="1" applyFill="1" applyBorder="1"/>
    <xf numFmtId="179" fontId="52" fillId="9" borderId="0" xfId="0" applyNumberFormat="1" applyFont="1" applyFill="1" applyAlignment="1">
      <alignment horizontal="left" indent="1"/>
    </xf>
    <xf numFmtId="179" fontId="44" fillId="9" borderId="0" xfId="0" applyNumberFormat="1" applyFont="1" applyFill="1" applyAlignment="1">
      <alignment horizontal="left" indent="3"/>
    </xf>
    <xf numFmtId="179" fontId="44" fillId="10" borderId="0" xfId="0" applyNumberFormat="1" applyFont="1" applyFill="1"/>
    <xf numFmtId="179" fontId="44" fillId="9" borderId="0" xfId="0" applyNumberFormat="1" applyFont="1" applyFill="1"/>
    <xf numFmtId="179" fontId="44" fillId="9" borderId="12" xfId="0" applyNumberFormat="1" applyFont="1" applyFill="1" applyBorder="1"/>
    <xf numFmtId="178" fontId="44" fillId="9" borderId="14" xfId="0" applyNumberFormat="1" applyFont="1" applyFill="1" applyBorder="1"/>
    <xf numFmtId="183" fontId="58" fillId="9" borderId="12" xfId="0" applyNumberFormat="1" applyFont="1" applyFill="1" applyBorder="1"/>
    <xf numFmtId="183" fontId="40" fillId="9" borderId="12" xfId="0" applyNumberFormat="1" applyFont="1" applyFill="1" applyBorder="1"/>
    <xf numFmtId="200" fontId="44" fillId="10" borderId="0" xfId="0" applyNumberFormat="1" applyFont="1" applyFill="1"/>
    <xf numFmtId="200" fontId="44" fillId="9" borderId="0" xfId="0" applyNumberFormat="1" applyFont="1" applyFill="1"/>
    <xf numFmtId="200" fontId="44" fillId="9" borderId="12" xfId="0" applyNumberFormat="1" applyFont="1" applyFill="1" applyBorder="1"/>
    <xf numFmtId="200" fontId="55" fillId="9" borderId="0" xfId="0" applyNumberFormat="1" applyFont="1" applyFill="1"/>
    <xf numFmtId="200" fontId="55" fillId="10" borderId="0" xfId="0" applyNumberFormat="1" applyFont="1" applyFill="1"/>
    <xf numFmtId="179" fontId="40" fillId="9" borderId="12" xfId="0" applyNumberFormat="1" applyFont="1" applyFill="1" applyBorder="1"/>
    <xf numFmtId="179" fontId="58" fillId="9" borderId="12" xfId="0" applyNumberFormat="1" applyFont="1" applyFill="1" applyBorder="1"/>
    <xf numFmtId="179" fontId="58" fillId="9" borderId="14" xfId="0" applyNumberFormat="1" applyFont="1" applyFill="1" applyBorder="1"/>
    <xf numFmtId="175" fontId="48" fillId="9" borderId="12" xfId="2" applyNumberFormat="1" applyFont="1" applyFill="1" applyBorder="1"/>
    <xf numFmtId="175" fontId="44" fillId="9" borderId="0" xfId="0" applyNumberFormat="1" applyFont="1" applyFill="1" applyAlignment="1">
      <alignment horizontal="right"/>
    </xf>
    <xf numFmtId="175" fontId="52" fillId="10" borderId="0" xfId="2" applyNumberFormat="1" applyFont="1" applyFill="1" applyAlignment="1">
      <alignment horizontal="right"/>
    </xf>
    <xf numFmtId="170" fontId="52" fillId="10" borderId="0" xfId="0" applyNumberFormat="1" applyFont="1" applyFill="1" applyAlignment="1">
      <alignment horizontal="right"/>
    </xf>
    <xf numFmtId="186" fontId="58" fillId="9" borderId="12" xfId="0" applyNumberFormat="1" applyFont="1" applyFill="1" applyBorder="1"/>
    <xf numFmtId="186" fontId="40" fillId="9" borderId="12" xfId="0" applyNumberFormat="1" applyFont="1" applyFill="1" applyBorder="1"/>
    <xf numFmtId="184" fontId="48" fillId="9" borderId="12" xfId="0" applyNumberFormat="1" applyFont="1" applyFill="1" applyBorder="1"/>
    <xf numFmtId="186" fontId="46" fillId="9" borderId="0" xfId="2" applyNumberFormat="1" applyFont="1" applyFill="1"/>
    <xf numFmtId="170" fontId="0" fillId="9" borderId="19" xfId="0" applyNumberFormat="1" applyFill="1" applyBorder="1" applyAlignment="1">
      <alignment horizontal="left" indent="1"/>
    </xf>
    <xf numFmtId="170" fontId="0" fillId="10" borderId="19" xfId="0" applyNumberFormat="1" applyFill="1" applyBorder="1"/>
    <xf numFmtId="170" fontId="0" fillId="9" borderId="19" xfId="0" applyNumberFormat="1" applyFill="1" applyBorder="1"/>
    <xf numFmtId="170" fontId="0" fillId="9" borderId="20" xfId="0" applyNumberFormat="1" applyFill="1" applyBorder="1"/>
    <xf numFmtId="187" fontId="49" fillId="10" borderId="0" xfId="0" applyNumberFormat="1" applyFont="1" applyFill="1" applyAlignment="1">
      <alignment horizontal="right"/>
    </xf>
    <xf numFmtId="187" fontId="49" fillId="9" borderId="0" xfId="0" applyNumberFormat="1" applyFont="1" applyFill="1" applyAlignment="1">
      <alignment horizontal="right"/>
    </xf>
    <xf numFmtId="187" fontId="48" fillId="9" borderId="12" xfId="0" applyNumberFormat="1" applyFont="1" applyFill="1" applyBorder="1" applyAlignment="1">
      <alignment horizontal="right"/>
    </xf>
    <xf numFmtId="187" fontId="37" fillId="9" borderId="0" xfId="0" applyNumberFormat="1" applyFont="1" applyFill="1"/>
    <xf numFmtId="187" fontId="45" fillId="10" borderId="0" xfId="0" applyNumberFormat="1" applyFont="1" applyFill="1" applyAlignment="1">
      <alignment horizontal="right"/>
    </xf>
    <xf numFmtId="0" fontId="40" fillId="10" borderId="0" xfId="0" applyFont="1" applyFill="1"/>
    <xf numFmtId="184" fontId="45" fillId="9" borderId="12" xfId="0" applyNumberFormat="1" applyFont="1" applyFill="1" applyBorder="1" applyAlignment="1">
      <alignment horizontal="right"/>
    </xf>
    <xf numFmtId="187" fontId="40" fillId="9" borderId="12" xfId="0" applyNumberFormat="1" applyFont="1" applyFill="1" applyBorder="1" applyAlignment="1">
      <alignment horizontal="right"/>
    </xf>
    <xf numFmtId="184" fontId="0" fillId="9" borderId="12" xfId="0" applyNumberFormat="1" applyFill="1" applyBorder="1" applyAlignment="1">
      <alignment horizontal="right"/>
    </xf>
    <xf numFmtId="190" fontId="0" fillId="9" borderId="12" xfId="0" applyNumberFormat="1" applyFill="1" applyBorder="1" applyAlignment="1">
      <alignment horizontal="right"/>
    </xf>
    <xf numFmtId="191" fontId="0" fillId="9" borderId="12" xfId="0" applyNumberFormat="1" applyFill="1" applyBorder="1" applyAlignment="1">
      <alignment horizontal="right"/>
    </xf>
    <xf numFmtId="178" fontId="45" fillId="9" borderId="0" xfId="0" applyNumberFormat="1" applyFont="1" applyFill="1" applyAlignment="1">
      <alignment horizontal="left" indent="1"/>
    </xf>
    <xf numFmtId="178" fontId="45" fillId="10" borderId="0" xfId="0" applyNumberFormat="1" applyFont="1" applyFill="1"/>
    <xf numFmtId="178" fontId="45" fillId="9" borderId="12" xfId="0" applyNumberFormat="1" applyFont="1" applyFill="1" applyBorder="1"/>
    <xf numFmtId="178" fontId="67" fillId="9" borderId="0" xfId="0" applyNumberFormat="1" applyFont="1" applyFill="1" applyAlignment="1">
      <alignment horizontal="left" indent="1"/>
    </xf>
    <xf numFmtId="178" fontId="66" fillId="9" borderId="0" xfId="0" applyNumberFormat="1" applyFont="1" applyFill="1" applyAlignment="1">
      <alignment horizontal="left" indent="3"/>
    </xf>
    <xf numFmtId="178" fontId="67" fillId="10" borderId="0" xfId="0" applyNumberFormat="1" applyFont="1" applyFill="1"/>
    <xf numFmtId="178" fontId="67" fillId="9" borderId="12" xfId="0" applyNumberFormat="1" applyFont="1" applyFill="1" applyBorder="1"/>
    <xf numFmtId="170" fontId="45" fillId="9" borderId="12" xfId="0" applyNumberFormat="1" applyFont="1" applyFill="1" applyBorder="1" applyAlignment="1">
      <alignment horizontal="right"/>
    </xf>
    <xf numFmtId="170" fontId="0" fillId="9" borderId="12" xfId="0" applyNumberFormat="1" applyFill="1" applyBorder="1" applyAlignment="1">
      <alignment horizontal="right"/>
    </xf>
    <xf numFmtId="170" fontId="45" fillId="9" borderId="17" xfId="0" applyNumberFormat="1" applyFont="1" applyFill="1" applyBorder="1" applyAlignment="1">
      <alignment horizontal="left"/>
    </xf>
    <xf numFmtId="170" fontId="45" fillId="10" borderId="17" xfId="0" applyNumberFormat="1" applyFont="1" applyFill="1" applyBorder="1" applyAlignment="1">
      <alignment horizontal="right"/>
    </xf>
    <xf numFmtId="170" fontId="45" fillId="9" borderId="17" xfId="0" applyNumberFormat="1" applyFont="1" applyFill="1" applyBorder="1" applyAlignment="1">
      <alignment horizontal="right"/>
    </xf>
    <xf numFmtId="170" fontId="45" fillId="9" borderId="18" xfId="0" applyNumberFormat="1" applyFont="1" applyFill="1" applyBorder="1" applyAlignment="1">
      <alignment horizontal="right"/>
    </xf>
    <xf numFmtId="170" fontId="48" fillId="9" borderId="18" xfId="0" applyNumberFormat="1" applyFont="1" applyFill="1" applyBorder="1" applyAlignment="1">
      <alignment horizontal="right"/>
    </xf>
    <xf numFmtId="178" fontId="43" fillId="9" borderId="0" xfId="0" applyNumberFormat="1" applyFont="1" applyFill="1" applyAlignment="1">
      <alignment horizontal="left"/>
    </xf>
    <xf numFmtId="178" fontId="43" fillId="9" borderId="12" xfId="0" applyNumberFormat="1" applyFont="1" applyFill="1" applyBorder="1" applyAlignment="1">
      <alignment horizontal="right"/>
    </xf>
    <xf numFmtId="164" fontId="45" fillId="9" borderId="12" xfId="0" applyNumberFormat="1" applyFont="1" applyFill="1" applyBorder="1" applyAlignment="1">
      <alignment horizontal="right"/>
    </xf>
    <xf numFmtId="201" fontId="42" fillId="9" borderId="6" xfId="8" applyNumberFormat="1" applyFont="1" applyFill="1" applyBorder="1" applyAlignment="1">
      <alignment horizontal="left" indent="1"/>
    </xf>
    <xf numFmtId="164" fontId="42" fillId="9" borderId="17" xfId="8" applyNumberFormat="1" applyFont="1" applyFill="1" applyBorder="1" applyAlignment="1">
      <alignment horizontal="left" indent="1"/>
    </xf>
    <xf numFmtId="164" fontId="40" fillId="9" borderId="17" xfId="0" applyNumberFormat="1" applyFont="1" applyFill="1" applyBorder="1"/>
    <xf numFmtId="184" fontId="50" fillId="9" borderId="0" xfId="8" applyNumberFormat="1" applyFont="1" applyFill="1"/>
    <xf numFmtId="167" fontId="48" fillId="10" borderId="0" xfId="0" applyNumberFormat="1" applyFont="1" applyFill="1"/>
    <xf numFmtId="167" fontId="0" fillId="0" borderId="0" xfId="0" applyNumberFormat="1"/>
    <xf numFmtId="0" fontId="0" fillId="0" borderId="8" xfId="0" applyBorder="1" applyAlignment="1">
      <alignment horizontal="right"/>
    </xf>
    <xf numFmtId="168" fontId="4" fillId="3" borderId="8" xfId="0" applyNumberFormat="1" applyFont="1" applyFill="1" applyBorder="1"/>
    <xf numFmtId="0" fontId="4" fillId="3" borderId="8" xfId="0" applyFont="1" applyFill="1" applyBorder="1"/>
    <xf numFmtId="9" fontId="74" fillId="0" borderId="0" xfId="0" applyNumberFormat="1" applyFont="1"/>
    <xf numFmtId="164" fontId="74" fillId="3" borderId="0" xfId="0" applyNumberFormat="1" applyFont="1" applyFill="1"/>
    <xf numFmtId="174" fontId="37" fillId="9" borderId="0" xfId="0" applyNumberFormat="1" applyFont="1" applyFill="1" applyAlignment="1">
      <alignment horizontal="left"/>
    </xf>
    <xf numFmtId="175" fontId="57" fillId="9" borderId="0" xfId="7" applyNumberFormat="1" applyFont="1" applyFill="1" applyAlignment="1">
      <alignment horizontal="center"/>
    </xf>
    <xf numFmtId="1" fontId="45" fillId="10" borderId="0" xfId="0" applyNumberFormat="1" applyFont="1" applyFill="1" applyAlignment="1">
      <alignment horizontal="center"/>
    </xf>
    <xf numFmtId="1" fontId="45" fillId="9" borderId="0" xfId="0" applyNumberFormat="1" applyFont="1" applyFill="1" applyAlignment="1">
      <alignment horizontal="center"/>
    </xf>
    <xf numFmtId="1" fontId="45" fillId="9" borderId="12" xfId="0" applyNumberFormat="1" applyFont="1" applyFill="1" applyBorder="1" applyAlignment="1">
      <alignment horizontal="center"/>
    </xf>
    <xf numFmtId="17" fontId="60" fillId="9" borderId="0" xfId="0" applyNumberFormat="1" applyFont="1" applyFill="1" applyAlignment="1">
      <alignment horizontal="center"/>
    </xf>
    <xf numFmtId="17" fontId="60" fillId="10" borderId="0" xfId="0" applyNumberFormat="1" applyFont="1" applyFill="1" applyAlignment="1">
      <alignment horizontal="center"/>
    </xf>
    <xf numFmtId="17" fontId="60" fillId="9" borderId="12" xfId="0" applyNumberFormat="1" applyFont="1" applyFill="1" applyBorder="1" applyAlignment="1">
      <alignment horizontal="center"/>
    </xf>
    <xf numFmtId="0" fontId="57" fillId="9" borderId="0" xfId="0" applyFont="1" applyFill="1" applyAlignment="1">
      <alignment horizontal="center"/>
    </xf>
    <xf numFmtId="0" fontId="57" fillId="10" borderId="0" xfId="0" applyFont="1" applyFill="1" applyAlignment="1">
      <alignment horizontal="center"/>
    </xf>
    <xf numFmtId="0" fontId="57" fillId="9" borderId="12" xfId="0" applyFont="1" applyFill="1" applyBorder="1" applyAlignment="1">
      <alignment horizontal="center"/>
    </xf>
    <xf numFmtId="178" fontId="48" fillId="9" borderId="0" xfId="0" applyNumberFormat="1" applyFont="1" applyFill="1" applyAlignment="1">
      <alignment horizontal="left" indent="4"/>
    </xf>
    <xf numFmtId="187" fontId="45" fillId="9" borderId="0" xfId="0" applyNumberFormat="1" applyFont="1" applyFill="1" applyAlignment="1">
      <alignment horizontal="left" indent="1"/>
    </xf>
    <xf numFmtId="187" fontId="48" fillId="9" borderId="0" xfId="0" applyNumberFormat="1" applyFont="1" applyFill="1" applyAlignment="1">
      <alignment horizontal="left" indent="4"/>
    </xf>
    <xf numFmtId="187" fontId="48" fillId="10" borderId="0" xfId="0" applyNumberFormat="1" applyFont="1" applyFill="1"/>
    <xf numFmtId="187" fontId="45" fillId="10" borderId="0" xfId="0" applyNumberFormat="1" applyFont="1" applyFill="1"/>
    <xf numFmtId="187" fontId="45" fillId="10" borderId="0" xfId="0" applyNumberFormat="1" applyFont="1" applyFill="1" applyAlignment="1">
      <alignment horizontal="left"/>
    </xf>
    <xf numFmtId="187" fontId="45" fillId="9" borderId="12" xfId="0" applyNumberFormat="1" applyFont="1" applyFill="1" applyBorder="1"/>
    <xf numFmtId="178" fontId="44" fillId="10" borderId="0" xfId="0" applyNumberFormat="1" applyFont="1" applyFill="1" applyAlignment="1">
      <alignment horizontal="left"/>
    </xf>
    <xf numFmtId="43" fontId="48" fillId="9" borderId="0" xfId="0" applyNumberFormat="1" applyFont="1" applyFill="1" applyAlignment="1">
      <alignment horizontal="left"/>
    </xf>
    <xf numFmtId="43" fontId="48" fillId="9" borderId="0" xfId="0" applyNumberFormat="1" applyFont="1" applyFill="1" applyAlignment="1">
      <alignment horizontal="left" indent="4"/>
    </xf>
    <xf numFmtId="43" fontId="48" fillId="10" borderId="0" xfId="0" applyNumberFormat="1" applyFont="1" applyFill="1"/>
    <xf numFmtId="43" fontId="48" fillId="9" borderId="0" xfId="0" applyNumberFormat="1" applyFont="1" applyFill="1"/>
    <xf numFmtId="43" fontId="48" fillId="10" borderId="0" xfId="0" applyNumberFormat="1" applyFont="1" applyFill="1" applyAlignment="1">
      <alignment horizontal="left"/>
    </xf>
    <xf numFmtId="43" fontId="48" fillId="9" borderId="12" xfId="0" applyNumberFormat="1" applyFont="1" applyFill="1" applyBorder="1"/>
    <xf numFmtId="43" fontId="45" fillId="9" borderId="0" xfId="0" applyNumberFormat="1" applyFont="1" applyFill="1"/>
    <xf numFmtId="43" fontId="0" fillId="0" borderId="0" xfId="0" applyNumberFormat="1"/>
    <xf numFmtId="164" fontId="42" fillId="9" borderId="0" xfId="7" applyNumberFormat="1" applyFont="1" applyFill="1"/>
    <xf numFmtId="164" fontId="58" fillId="9" borderId="12" xfId="0" applyNumberFormat="1" applyFont="1" applyFill="1" applyBorder="1" applyAlignment="1">
      <alignment horizontal="right"/>
    </xf>
    <xf numFmtId="164" fontId="42" fillId="9" borderId="8" xfId="7" applyNumberFormat="1" applyFont="1" applyFill="1" applyBorder="1"/>
    <xf numFmtId="164" fontId="58" fillId="9" borderId="8" xfId="0" applyNumberFormat="1" applyFont="1" applyFill="1" applyBorder="1" applyAlignment="1">
      <alignment horizontal="right"/>
    </xf>
    <xf numFmtId="164" fontId="0" fillId="10" borderId="8" xfId="0" applyNumberFormat="1" applyFill="1" applyBorder="1" applyAlignment="1">
      <alignment horizontal="right"/>
    </xf>
    <xf numFmtId="164" fontId="0" fillId="9" borderId="8" xfId="0" applyNumberFormat="1" applyFill="1" applyBorder="1" applyAlignment="1">
      <alignment horizontal="right"/>
    </xf>
    <xf numFmtId="164" fontId="0" fillId="9" borderId="14" xfId="0" applyNumberFormat="1" applyFill="1" applyBorder="1" applyAlignment="1">
      <alignment horizontal="right"/>
    </xf>
    <xf numFmtId="164" fontId="49" fillId="9" borderId="0" xfId="0" applyNumberFormat="1" applyFont="1" applyFill="1"/>
    <xf numFmtId="164" fontId="49" fillId="9" borderId="12" xfId="0" applyNumberFormat="1" applyFont="1" applyFill="1" applyBorder="1"/>
    <xf numFmtId="178" fontId="52" fillId="9" borderId="0" xfId="7" applyNumberFormat="1" applyFont="1" applyFill="1"/>
    <xf numFmtId="0" fontId="43" fillId="0" borderId="0" xfId="0" applyFont="1"/>
    <xf numFmtId="178" fontId="42" fillId="9" borderId="0" xfId="7" applyNumberFormat="1" applyFont="1" applyFill="1"/>
    <xf numFmtId="178" fontId="58" fillId="10" borderId="0" xfId="0" applyNumberFormat="1" applyFont="1" applyFill="1" applyAlignment="1">
      <alignment horizontal="right"/>
    </xf>
    <xf numFmtId="178" fontId="58" fillId="9" borderId="12" xfId="0" applyNumberFormat="1" applyFont="1" applyFill="1" applyBorder="1" applyAlignment="1">
      <alignment horizontal="right"/>
    </xf>
    <xf numFmtId="203" fontId="45" fillId="9" borderId="0" xfId="0" applyNumberFormat="1" applyFont="1" applyFill="1" applyAlignment="1">
      <alignment horizontal="left" indent="1"/>
    </xf>
    <xf numFmtId="203" fontId="48" fillId="9" borderId="0" xfId="0" applyNumberFormat="1" applyFont="1" applyFill="1" applyAlignment="1">
      <alignment horizontal="left" indent="4"/>
    </xf>
    <xf numFmtId="203" fontId="48" fillId="10" borderId="0" xfId="0" applyNumberFormat="1" applyFont="1" applyFill="1"/>
    <xf numFmtId="203" fontId="45" fillId="10" borderId="0" xfId="0" applyNumberFormat="1" applyFont="1" applyFill="1"/>
    <xf numFmtId="203" fontId="45" fillId="9" borderId="0" xfId="0" applyNumberFormat="1" applyFont="1" applyFill="1"/>
    <xf numFmtId="203" fontId="49" fillId="9" borderId="0" xfId="0" applyNumberFormat="1" applyFont="1" applyFill="1"/>
    <xf numFmtId="203" fontId="45" fillId="9" borderId="12" xfId="0" applyNumberFormat="1" applyFont="1" applyFill="1" applyBorder="1"/>
    <xf numFmtId="203" fontId="48" fillId="9" borderId="0" xfId="0" applyNumberFormat="1" applyFont="1" applyFill="1"/>
    <xf numFmtId="166" fontId="45" fillId="9" borderId="12" xfId="0" applyNumberFormat="1" applyFont="1" applyFill="1" applyBorder="1"/>
    <xf numFmtId="166" fontId="48" fillId="9" borderId="0" xfId="0" applyNumberFormat="1" applyFont="1" applyFill="1" applyAlignment="1">
      <alignment horizontal="left"/>
    </xf>
    <xf numFmtId="166" fontId="46" fillId="9" borderId="0" xfId="7" applyNumberFormat="1" applyFont="1" applyFill="1"/>
    <xf numFmtId="166" fontId="48" fillId="10" borderId="0" xfId="0" applyNumberFormat="1" applyFont="1" applyFill="1" applyAlignment="1">
      <alignment horizontal="right"/>
    </xf>
    <xf numFmtId="166" fontId="48" fillId="9" borderId="0" xfId="0" applyNumberFormat="1" applyFont="1" applyFill="1" applyAlignment="1">
      <alignment horizontal="right"/>
    </xf>
    <xf numFmtId="166" fontId="48" fillId="9" borderId="12" xfId="0" applyNumberFormat="1" applyFont="1" applyFill="1" applyBorder="1" applyAlignment="1">
      <alignment horizontal="right"/>
    </xf>
    <xf numFmtId="178" fontId="43" fillId="9" borderId="8" xfId="0" applyNumberFormat="1" applyFont="1" applyFill="1" applyBorder="1" applyAlignment="1">
      <alignment horizontal="left" indent="2"/>
    </xf>
    <xf numFmtId="178" fontId="44" fillId="9" borderId="8" xfId="0" applyNumberFormat="1" applyFont="1" applyFill="1" applyBorder="1" applyAlignment="1">
      <alignment horizontal="left" indent="4"/>
    </xf>
    <xf numFmtId="178" fontId="43" fillId="9" borderId="8" xfId="0" applyNumberFormat="1" applyFont="1" applyFill="1" applyBorder="1"/>
    <xf numFmtId="178" fontId="43" fillId="10" borderId="8" xfId="0" applyNumberFormat="1" applyFont="1" applyFill="1" applyBorder="1"/>
    <xf numFmtId="178" fontId="43" fillId="9" borderId="14" xfId="0" applyNumberFormat="1" applyFont="1" applyFill="1" applyBorder="1"/>
    <xf numFmtId="178" fontId="0" fillId="9" borderId="12" xfId="0" applyNumberFormat="1" applyFill="1" applyBorder="1"/>
    <xf numFmtId="178" fontId="0" fillId="9" borderId="8" xfId="0" applyNumberFormat="1" applyFill="1" applyBorder="1" applyAlignment="1">
      <alignment horizontal="left" indent="1"/>
    </xf>
    <xf numFmtId="178" fontId="0" fillId="10" borderId="8" xfId="0" applyNumberFormat="1" applyFill="1" applyBorder="1"/>
    <xf numFmtId="178" fontId="0" fillId="9" borderId="8" xfId="0" applyNumberFormat="1" applyFill="1" applyBorder="1"/>
    <xf numFmtId="178" fontId="0" fillId="9" borderId="14" xfId="0" applyNumberFormat="1" applyFill="1" applyBorder="1"/>
    <xf numFmtId="178" fontId="45" fillId="9" borderId="0" xfId="0" applyNumberFormat="1" applyFont="1" applyFill="1" applyAlignment="1">
      <alignment horizontal="left"/>
    </xf>
    <xf numFmtId="170" fontId="40" fillId="9" borderId="0" xfId="0" applyNumberFormat="1" applyFont="1" applyFill="1" applyAlignment="1">
      <alignment horizontal="left" indent="5"/>
    </xf>
    <xf numFmtId="170" fontId="40" fillId="10" borderId="0" xfId="0" applyNumberFormat="1" applyFont="1" applyFill="1" applyAlignment="1">
      <alignment horizontal="left" indent="1"/>
    </xf>
    <xf numFmtId="170" fontId="58" fillId="9" borderId="0" xfId="0" applyNumberFormat="1" applyFont="1" applyFill="1" applyAlignment="1">
      <alignment horizontal="left" indent="1"/>
    </xf>
    <xf numFmtId="170" fontId="58" fillId="10" borderId="0" xfId="0" applyNumberFormat="1" applyFont="1" applyFill="1" applyAlignment="1">
      <alignment horizontal="left" indent="1"/>
    </xf>
    <xf numFmtId="170" fontId="58" fillId="9" borderId="12" xfId="0" applyNumberFormat="1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170" fontId="58" fillId="9" borderId="8" xfId="0" applyNumberFormat="1" applyFont="1" applyFill="1" applyBorder="1" applyAlignment="1">
      <alignment horizontal="left" indent="1"/>
    </xf>
    <xf numFmtId="170" fontId="58" fillId="10" borderId="8" xfId="0" applyNumberFormat="1" applyFont="1" applyFill="1" applyBorder="1" applyAlignment="1">
      <alignment horizontal="left" indent="1"/>
    </xf>
    <xf numFmtId="178" fontId="45" fillId="9" borderId="13" xfId="0" applyNumberFormat="1" applyFont="1" applyFill="1" applyBorder="1"/>
    <xf numFmtId="204" fontId="44" fillId="9" borderId="0" xfId="0" applyNumberFormat="1" applyFont="1" applyFill="1" applyAlignment="1">
      <alignment horizontal="left" indent="1"/>
    </xf>
    <xf numFmtId="204" fontId="44" fillId="9" borderId="0" xfId="0" applyNumberFormat="1" applyFont="1" applyFill="1" applyAlignment="1">
      <alignment horizontal="left" indent="4"/>
    </xf>
    <xf numFmtId="204" fontId="44" fillId="10" borderId="0" xfId="0" applyNumberFormat="1" applyFont="1" applyFill="1"/>
    <xf numFmtId="204" fontId="44" fillId="9" borderId="0" xfId="0" applyNumberFormat="1" applyFont="1" applyFill="1"/>
    <xf numFmtId="204" fontId="44" fillId="9" borderId="12" xfId="0" applyNumberFormat="1" applyFont="1" applyFill="1" applyBorder="1"/>
    <xf numFmtId="178" fontId="42" fillId="9" borderId="2" xfId="7" applyNumberFormat="1" applyFont="1" applyFill="1" applyBorder="1"/>
    <xf numFmtId="178" fontId="40" fillId="9" borderId="13" xfId="0" applyNumberFormat="1" applyFont="1" applyFill="1" applyBorder="1" applyAlignment="1">
      <alignment horizontal="right"/>
    </xf>
    <xf numFmtId="178" fontId="48" fillId="9" borderId="8" xfId="0" applyNumberFormat="1" applyFont="1" applyFill="1" applyBorder="1" applyAlignment="1">
      <alignment horizontal="left" indent="2"/>
    </xf>
    <xf numFmtId="178" fontId="46" fillId="9" borderId="8" xfId="7" applyNumberFormat="1" applyFont="1" applyFill="1" applyBorder="1"/>
    <xf numFmtId="178" fontId="48" fillId="10" borderId="8" xfId="0" applyNumberFormat="1" applyFont="1" applyFill="1" applyBorder="1" applyAlignment="1">
      <alignment horizontal="right"/>
    </xf>
    <xf numFmtId="178" fontId="48" fillId="9" borderId="8" xfId="0" applyNumberFormat="1" applyFont="1" applyFill="1" applyBorder="1" applyAlignment="1">
      <alignment horizontal="right"/>
    </xf>
    <xf numFmtId="178" fontId="48" fillId="9" borderId="14" xfId="0" applyNumberFormat="1" applyFont="1" applyFill="1" applyBorder="1" applyAlignment="1">
      <alignment horizontal="right"/>
    </xf>
    <xf numFmtId="178" fontId="46" fillId="9" borderId="0" xfId="7" applyNumberFormat="1" applyFont="1" applyFill="1"/>
    <xf numFmtId="178" fontId="46" fillId="9" borderId="2" xfId="7" applyNumberFormat="1" applyFont="1" applyFill="1" applyBorder="1"/>
    <xf numFmtId="178" fontId="45" fillId="10" borderId="0" xfId="0" applyNumberFormat="1" applyFont="1" applyFill="1" applyAlignment="1">
      <alignment horizontal="right"/>
    </xf>
    <xf numFmtId="178" fontId="45" fillId="9" borderId="0" xfId="0" applyNumberFormat="1" applyFont="1" applyFill="1" applyAlignment="1">
      <alignment horizontal="right"/>
    </xf>
    <xf numFmtId="178" fontId="45" fillId="9" borderId="12" xfId="0" applyNumberFormat="1" applyFont="1" applyFill="1" applyBorder="1" applyAlignment="1">
      <alignment horizontal="right"/>
    </xf>
    <xf numFmtId="178" fontId="0" fillId="9" borderId="12" xfId="0" applyNumberFormat="1" applyFill="1" applyBorder="1" applyAlignment="1">
      <alignment horizontal="right"/>
    </xf>
    <xf numFmtId="178" fontId="45" fillId="10" borderId="2" xfId="0" applyNumberFormat="1" applyFont="1" applyFill="1" applyBorder="1" applyAlignment="1">
      <alignment horizontal="right"/>
    </xf>
    <xf numFmtId="178" fontId="45" fillId="9" borderId="2" xfId="0" applyNumberFormat="1" applyFont="1" applyFill="1" applyBorder="1" applyAlignment="1">
      <alignment horizontal="right"/>
    </xf>
    <xf numFmtId="178" fontId="45" fillId="9" borderId="13" xfId="0" applyNumberFormat="1" applyFont="1" applyFill="1" applyBorder="1" applyAlignment="1">
      <alignment horizontal="right"/>
    </xf>
    <xf numFmtId="204" fontId="45" fillId="9" borderId="0" xfId="0" applyNumberFormat="1" applyFont="1" applyFill="1" applyAlignment="1">
      <alignment horizontal="left"/>
    </xf>
    <xf numFmtId="204" fontId="43" fillId="9" borderId="0" xfId="0" applyNumberFormat="1" applyFont="1" applyFill="1" applyAlignment="1">
      <alignment horizontal="left" indent="1"/>
    </xf>
    <xf numFmtId="204" fontId="52" fillId="9" borderId="0" xfId="7" applyNumberFormat="1" applyFont="1" applyFill="1" applyAlignment="1">
      <alignment horizontal="left" indent="1"/>
    </xf>
    <xf numFmtId="204" fontId="44" fillId="10" borderId="0" xfId="0" applyNumberFormat="1" applyFont="1" applyFill="1" applyAlignment="1">
      <alignment horizontal="left" indent="1"/>
    </xf>
    <xf numFmtId="204" fontId="44" fillId="9" borderId="12" xfId="0" applyNumberFormat="1" applyFont="1" applyFill="1" applyBorder="1" applyAlignment="1">
      <alignment horizontal="left" indent="1"/>
    </xf>
    <xf numFmtId="178" fontId="52" fillId="9" borderId="0" xfId="7" applyNumberFormat="1" applyFont="1" applyFill="1" applyAlignment="1">
      <alignment horizontal="left" indent="1"/>
    </xf>
    <xf numFmtId="178" fontId="44" fillId="9" borderId="12" xfId="0" applyNumberFormat="1" applyFont="1" applyFill="1" applyBorder="1" applyAlignment="1">
      <alignment horizontal="left" indent="1"/>
    </xf>
    <xf numFmtId="170" fontId="0" fillId="10" borderId="15" xfId="0" applyNumberFormat="1" applyFill="1" applyBorder="1"/>
    <xf numFmtId="170" fontId="0" fillId="9" borderId="15" xfId="0" applyNumberFormat="1" applyFill="1" applyBorder="1"/>
    <xf numFmtId="170" fontId="0" fillId="9" borderId="16" xfId="0" applyNumberFormat="1" applyFill="1" applyBorder="1"/>
    <xf numFmtId="170" fontId="58" fillId="9" borderId="15" xfId="0" applyNumberFormat="1" applyFont="1" applyFill="1" applyBorder="1"/>
    <xf numFmtId="170" fontId="58" fillId="10" borderId="15" xfId="0" applyNumberFormat="1" applyFont="1" applyFill="1" applyBorder="1"/>
    <xf numFmtId="170" fontId="0" fillId="9" borderId="2" xfId="0" applyNumberFormat="1" applyFill="1" applyBorder="1"/>
    <xf numFmtId="170" fontId="0" fillId="10" borderId="2" xfId="0" applyNumberFormat="1" applyFill="1" applyBorder="1"/>
    <xf numFmtId="170" fontId="52" fillId="9" borderId="2" xfId="0" applyNumberFormat="1" applyFont="1" applyFill="1" applyBorder="1" applyAlignment="1">
      <alignment horizontal="left" indent="1"/>
    </xf>
    <xf numFmtId="170" fontId="44" fillId="9" borderId="2" xfId="0" applyNumberFormat="1" applyFont="1" applyFill="1" applyBorder="1" applyAlignment="1">
      <alignment horizontal="left" indent="3"/>
    </xf>
    <xf numFmtId="170" fontId="44" fillId="10" borderId="2" xfId="0" applyNumberFormat="1" applyFont="1" applyFill="1" applyBorder="1"/>
    <xf numFmtId="170" fontId="44" fillId="9" borderId="2" xfId="0" applyNumberFormat="1" applyFont="1" applyFill="1" applyBorder="1"/>
    <xf numFmtId="170" fontId="44" fillId="9" borderId="13" xfId="0" applyNumberFormat="1" applyFont="1" applyFill="1" applyBorder="1"/>
    <xf numFmtId="175" fontId="37" fillId="9" borderId="0" xfId="7" applyNumberFormat="1" applyFont="1" applyFill="1"/>
    <xf numFmtId="184" fontId="48" fillId="9" borderId="12" xfId="0" applyNumberFormat="1" applyFont="1" applyFill="1" applyBorder="1" applyAlignment="1">
      <alignment horizontal="right"/>
    </xf>
    <xf numFmtId="187" fontId="44" fillId="10" borderId="0" xfId="0" applyNumberFormat="1" applyFont="1" applyFill="1"/>
    <xf numFmtId="187" fontId="44" fillId="9" borderId="0" xfId="0" applyNumberFormat="1" applyFont="1" applyFill="1"/>
    <xf numFmtId="187" fontId="55" fillId="9" borderId="0" xfId="0" applyNumberFormat="1" applyFont="1" applyFill="1"/>
    <xf numFmtId="187" fontId="55" fillId="10" borderId="0" xfId="0" applyNumberFormat="1" applyFont="1" applyFill="1"/>
    <xf numFmtId="187" fontId="55" fillId="9" borderId="12" xfId="0" applyNumberFormat="1" applyFont="1" applyFill="1" applyBorder="1"/>
    <xf numFmtId="170" fontId="40" fillId="9" borderId="17" xfId="0" applyNumberFormat="1" applyFont="1" applyFill="1" applyBorder="1" applyAlignment="1">
      <alignment horizontal="left"/>
    </xf>
    <xf numFmtId="170" fontId="40" fillId="9" borderId="17" xfId="0" applyNumberFormat="1" applyFont="1" applyFill="1" applyBorder="1" applyAlignment="1">
      <alignment horizontal="left" indent="3"/>
    </xf>
    <xf numFmtId="170" fontId="40" fillId="10" borderId="17" xfId="0" applyNumberFormat="1" applyFont="1" applyFill="1" applyBorder="1"/>
    <xf numFmtId="170" fontId="44" fillId="9" borderId="2" xfId="0" applyNumberFormat="1" applyFont="1" applyFill="1" applyBorder="1" applyAlignment="1">
      <alignment horizontal="left"/>
    </xf>
    <xf numFmtId="170" fontId="44" fillId="9" borderId="0" xfId="0" applyNumberFormat="1" applyFont="1" applyFill="1" applyAlignment="1">
      <alignment horizontal="left"/>
    </xf>
    <xf numFmtId="170" fontId="40" fillId="9" borderId="19" xfId="0" applyNumberFormat="1" applyFont="1" applyFill="1" applyBorder="1" applyAlignment="1">
      <alignment horizontal="left" indent="2"/>
    </xf>
    <xf numFmtId="170" fontId="40" fillId="9" borderId="20" xfId="0" applyNumberFormat="1" applyFont="1" applyFill="1" applyBorder="1"/>
    <xf numFmtId="170" fontId="40" fillId="9" borderId="17" xfId="0" applyNumberFormat="1" applyFont="1" applyFill="1" applyBorder="1" applyAlignment="1">
      <alignment horizontal="left" indent="1"/>
    </xf>
    <xf numFmtId="184" fontId="40" fillId="10" borderId="19" xfId="0" applyNumberFormat="1" applyFont="1" applyFill="1" applyBorder="1"/>
    <xf numFmtId="184" fontId="40" fillId="9" borderId="19" xfId="0" applyNumberFormat="1" applyFont="1" applyFill="1" applyBorder="1"/>
    <xf numFmtId="184" fontId="40" fillId="9" borderId="20" xfId="0" applyNumberFormat="1" applyFont="1" applyFill="1" applyBorder="1"/>
    <xf numFmtId="184" fontId="40" fillId="10" borderId="17" xfId="0" applyNumberFormat="1" applyFont="1" applyFill="1" applyBorder="1"/>
    <xf numFmtId="184" fontId="40" fillId="9" borderId="17" xfId="0" applyNumberFormat="1" applyFont="1" applyFill="1" applyBorder="1"/>
    <xf numFmtId="184" fontId="40" fillId="9" borderId="18" xfId="0" applyNumberFormat="1" applyFont="1" applyFill="1" applyBorder="1"/>
    <xf numFmtId="170" fontId="58" fillId="9" borderId="19" xfId="0" applyNumberFormat="1" applyFont="1" applyFill="1" applyBorder="1"/>
    <xf numFmtId="170" fontId="58" fillId="10" borderId="19" xfId="0" applyNumberFormat="1" applyFont="1" applyFill="1" applyBorder="1"/>
    <xf numFmtId="170" fontId="58" fillId="9" borderId="20" xfId="0" applyNumberFormat="1" applyFont="1" applyFill="1" applyBorder="1"/>
    <xf numFmtId="170" fontId="58" fillId="10" borderId="17" xfId="0" applyNumberFormat="1" applyFont="1" applyFill="1" applyBorder="1"/>
    <xf numFmtId="170" fontId="40" fillId="9" borderId="17" xfId="0" applyNumberFormat="1" applyFont="1" applyFill="1" applyBorder="1" applyAlignment="1">
      <alignment horizontal="left" indent="2"/>
    </xf>
    <xf numFmtId="184" fontId="58" fillId="10" borderId="0" xfId="0" applyNumberFormat="1" applyFont="1" applyFill="1"/>
    <xf numFmtId="184" fontId="58" fillId="10" borderId="19" xfId="0" applyNumberFormat="1" applyFont="1" applyFill="1" applyBorder="1"/>
    <xf numFmtId="184" fontId="58" fillId="9" borderId="19" xfId="0" applyNumberFormat="1" applyFont="1" applyFill="1" applyBorder="1"/>
    <xf numFmtId="184" fontId="58" fillId="9" borderId="20" xfId="0" applyNumberFormat="1" applyFont="1" applyFill="1" applyBorder="1"/>
    <xf numFmtId="170" fontId="48" fillId="9" borderId="18" xfId="0" applyNumberFormat="1" applyFont="1" applyFill="1" applyBorder="1"/>
    <xf numFmtId="170" fontId="40" fillId="9" borderId="8" xfId="0" applyNumberFormat="1" applyFont="1" applyFill="1" applyBorder="1" applyAlignment="1">
      <alignment horizontal="left"/>
    </xf>
    <xf numFmtId="170" fontId="66" fillId="9" borderId="0" xfId="0" applyNumberFormat="1" applyFont="1" applyFill="1" applyAlignment="1">
      <alignment horizontal="left" indent="3"/>
    </xf>
    <xf numFmtId="0" fontId="40" fillId="9" borderId="0" xfId="0" applyFont="1" applyFill="1" applyAlignment="1">
      <alignment horizontal="left"/>
    </xf>
    <xf numFmtId="170" fontId="66" fillId="9" borderId="2" xfId="0" applyNumberFormat="1" applyFont="1" applyFill="1" applyBorder="1" applyAlignment="1">
      <alignment horizontal="left" indent="3"/>
    </xf>
    <xf numFmtId="205" fontId="40" fillId="10" borderId="0" xfId="0" applyNumberFormat="1" applyFont="1" applyFill="1" applyAlignment="1">
      <alignment horizontal="center"/>
    </xf>
    <xf numFmtId="205" fontId="40" fillId="9" borderId="0" xfId="0" applyNumberFormat="1" applyFont="1" applyFill="1" applyAlignment="1">
      <alignment horizontal="center"/>
    </xf>
    <xf numFmtId="205" fontId="40" fillId="9" borderId="12" xfId="0" applyNumberFormat="1" applyFont="1" applyFill="1" applyBorder="1" applyAlignment="1">
      <alignment horizontal="center"/>
    </xf>
    <xf numFmtId="164" fontId="75" fillId="9" borderId="0" xfId="0" applyNumberFormat="1" applyFont="1" applyFill="1" applyAlignment="1">
      <alignment horizontal="left"/>
    </xf>
    <xf numFmtId="170" fontId="75" fillId="9" borderId="0" xfId="0" applyNumberFormat="1" applyFont="1" applyFill="1" applyAlignment="1">
      <alignment horizontal="left" indent="3"/>
    </xf>
    <xf numFmtId="164" fontId="75" fillId="10" borderId="0" xfId="0" applyNumberFormat="1" applyFont="1" applyFill="1" applyAlignment="1">
      <alignment horizontal="right"/>
    </xf>
    <xf numFmtId="164" fontId="75" fillId="9" borderId="0" xfId="0" applyNumberFormat="1" applyFont="1" applyFill="1" applyAlignment="1">
      <alignment horizontal="right"/>
    </xf>
    <xf numFmtId="164" fontId="75" fillId="9" borderId="12" xfId="0" applyNumberFormat="1" applyFont="1" applyFill="1" applyBorder="1" applyAlignment="1">
      <alignment horizontal="right"/>
    </xf>
    <xf numFmtId="178" fontId="40" fillId="9" borderId="8" xfId="0" applyNumberFormat="1" applyFont="1" applyFill="1" applyBorder="1" applyAlignment="1">
      <alignment horizontal="left"/>
    </xf>
    <xf numFmtId="164" fontId="66" fillId="9" borderId="2" xfId="0" applyNumberFormat="1" applyFont="1" applyFill="1" applyBorder="1" applyAlignment="1">
      <alignment horizontal="left" indent="1"/>
    </xf>
    <xf numFmtId="164" fontId="66" fillId="9" borderId="13" xfId="0" applyNumberFormat="1" applyFont="1" applyFill="1" applyBorder="1"/>
    <xf numFmtId="164" fontId="44" fillId="9" borderId="0" xfId="0" applyNumberFormat="1" applyFont="1" applyFill="1" applyAlignment="1">
      <alignment horizontal="left" indent="2"/>
    </xf>
    <xf numFmtId="164" fontId="44" fillId="9" borderId="0" xfId="0" applyNumberFormat="1" applyFont="1" applyFill="1"/>
    <xf numFmtId="164" fontId="44" fillId="9" borderId="12" xfId="0" applyNumberFormat="1" applyFont="1" applyFill="1" applyBorder="1"/>
    <xf numFmtId="164" fontId="44" fillId="9" borderId="8" xfId="0" applyNumberFormat="1" applyFont="1" applyFill="1" applyBorder="1" applyAlignment="1">
      <alignment horizontal="left" indent="2"/>
    </xf>
    <xf numFmtId="164" fontId="44" fillId="10" borderId="8" xfId="0" applyNumberFormat="1" applyFont="1" applyFill="1" applyBorder="1"/>
    <xf numFmtId="164" fontId="44" fillId="9" borderId="8" xfId="0" applyNumberFormat="1" applyFont="1" applyFill="1" applyBorder="1"/>
    <xf numFmtId="164" fontId="44" fillId="9" borderId="14" xfId="0" applyNumberFormat="1" applyFont="1" applyFill="1" applyBorder="1"/>
    <xf numFmtId="175" fontId="48" fillId="10" borderId="0" xfId="7" applyNumberFormat="1" applyFont="1" applyFill="1" applyAlignment="1">
      <alignment horizontal="right" indent="1"/>
    </xf>
    <xf numFmtId="175" fontId="48" fillId="10" borderId="0" xfId="7" applyNumberFormat="1" applyFont="1" applyFill="1"/>
    <xf numFmtId="175" fontId="48" fillId="9" borderId="0" xfId="7" applyNumberFormat="1" applyFont="1" applyFill="1"/>
    <xf numFmtId="175" fontId="48" fillId="9" borderId="12" xfId="7" applyNumberFormat="1" applyFont="1" applyFill="1" applyBorder="1"/>
    <xf numFmtId="175" fontId="52" fillId="9" borderId="0" xfId="7" applyNumberFormat="1" applyFont="1" applyFill="1"/>
    <xf numFmtId="175" fontId="52" fillId="10" borderId="0" xfId="7" applyNumberFormat="1" applyFont="1" applyFill="1" applyAlignment="1">
      <alignment horizontal="right"/>
    </xf>
    <xf numFmtId="186" fontId="1" fillId="9" borderId="0" xfId="7" applyNumberFormat="1" applyFont="1" applyFill="1"/>
    <xf numFmtId="186" fontId="42" fillId="9" borderId="0" xfId="7" applyNumberFormat="1" applyFont="1" applyFill="1"/>
    <xf numFmtId="186" fontId="42" fillId="9" borderId="0" xfId="7" applyNumberFormat="1" applyFont="1" applyFill="1" applyAlignment="1">
      <alignment horizontal="left" indent="1"/>
    </xf>
    <xf numFmtId="186" fontId="42" fillId="9" borderId="19" xfId="7" applyNumberFormat="1" applyFont="1" applyFill="1" applyBorder="1" applyAlignment="1">
      <alignment horizontal="left" indent="1"/>
    </xf>
    <xf numFmtId="186" fontId="40" fillId="9" borderId="19" xfId="0" applyNumberFormat="1" applyFont="1" applyFill="1" applyBorder="1" applyAlignment="1">
      <alignment horizontal="left" indent="3"/>
    </xf>
    <xf numFmtId="170" fontId="40" fillId="10" borderId="19" xfId="0" applyNumberFormat="1" applyFont="1" applyFill="1" applyBorder="1" applyAlignment="1">
      <alignment horizontal="right"/>
    </xf>
    <xf numFmtId="170" fontId="40" fillId="9" borderId="19" xfId="0" applyNumberFormat="1" applyFont="1" applyFill="1" applyBorder="1" applyAlignment="1">
      <alignment horizontal="right"/>
    </xf>
    <xf numFmtId="170" fontId="40" fillId="9" borderId="20" xfId="0" applyNumberFormat="1" applyFont="1" applyFill="1" applyBorder="1" applyAlignment="1">
      <alignment horizontal="right"/>
    </xf>
    <xf numFmtId="170" fontId="58" fillId="9" borderId="19" xfId="0" applyNumberFormat="1" applyFont="1" applyFill="1" applyBorder="1" applyAlignment="1">
      <alignment horizontal="right"/>
    </xf>
    <xf numFmtId="170" fontId="58" fillId="10" borderId="19" xfId="0" applyNumberFormat="1" applyFont="1" applyFill="1" applyBorder="1" applyAlignment="1">
      <alignment horizontal="right"/>
    </xf>
    <xf numFmtId="186" fontId="37" fillId="9" borderId="0" xfId="7" applyNumberFormat="1" applyFont="1" applyFill="1"/>
    <xf numFmtId="186" fontId="46" fillId="9" borderId="0" xfId="7" applyNumberFormat="1" applyFont="1" applyFill="1"/>
    <xf numFmtId="170" fontId="42" fillId="9" borderId="0" xfId="7" applyNumberFormat="1" applyFont="1" applyFill="1"/>
    <xf numFmtId="187" fontId="48" fillId="9" borderId="12" xfId="0" applyNumberFormat="1" applyFont="1" applyFill="1" applyBorder="1"/>
    <xf numFmtId="206" fontId="45" fillId="9" borderId="0" xfId="0" applyNumberFormat="1" applyFont="1" applyFill="1" applyAlignment="1">
      <alignment horizontal="left"/>
    </xf>
    <xf numFmtId="175" fontId="48" fillId="10" borderId="0" xfId="0" applyNumberFormat="1" applyFont="1" applyFill="1" applyAlignment="1">
      <alignment horizontal="right"/>
    </xf>
    <xf numFmtId="175" fontId="48" fillId="9" borderId="0" xfId="0" applyNumberFormat="1" applyFont="1" applyFill="1" applyAlignment="1">
      <alignment horizontal="right"/>
    </xf>
    <xf numFmtId="175" fontId="45" fillId="9" borderId="0" xfId="0" applyNumberFormat="1" applyFont="1" applyFill="1" applyAlignment="1">
      <alignment horizontal="right"/>
    </xf>
    <xf numFmtId="175" fontId="45" fillId="10" borderId="0" xfId="0" applyNumberFormat="1" applyFont="1" applyFill="1" applyAlignment="1">
      <alignment horizontal="right"/>
    </xf>
    <xf numFmtId="175" fontId="45" fillId="9" borderId="12" xfId="0" applyNumberFormat="1" applyFont="1" applyFill="1" applyBorder="1" applyAlignment="1">
      <alignment horizontal="right"/>
    </xf>
    <xf numFmtId="187" fontId="40" fillId="9" borderId="12" xfId="0" applyNumberFormat="1" applyFont="1" applyFill="1" applyBorder="1"/>
    <xf numFmtId="184" fontId="42" fillId="9" borderId="0" xfId="7" applyNumberFormat="1" applyFont="1" applyFill="1"/>
    <xf numFmtId="184" fontId="0" fillId="10" borderId="0" xfId="0" applyNumberFormat="1" applyFill="1"/>
    <xf numFmtId="190" fontId="0" fillId="10" borderId="0" xfId="0" applyNumberFormat="1" applyFill="1"/>
    <xf numFmtId="191" fontId="42" fillId="9" borderId="0" xfId="7" applyNumberFormat="1" applyFont="1" applyFill="1"/>
    <xf numFmtId="191" fontId="0" fillId="10" borderId="0" xfId="0" applyNumberFormat="1" applyFill="1"/>
    <xf numFmtId="191" fontId="45" fillId="9" borderId="2" xfId="0" applyNumberFormat="1" applyFont="1" applyFill="1" applyBorder="1" applyAlignment="1">
      <alignment horizontal="left"/>
    </xf>
    <xf numFmtId="191" fontId="45" fillId="9" borderId="0" xfId="0" applyNumberFormat="1" applyFont="1" applyFill="1" applyAlignment="1">
      <alignment horizontal="left"/>
    </xf>
    <xf numFmtId="170" fontId="0" fillId="9" borderId="2" xfId="0" applyNumberFormat="1" applyFill="1" applyBorder="1" applyAlignment="1">
      <alignment horizontal="left" indent="1"/>
    </xf>
    <xf numFmtId="170" fontId="58" fillId="9" borderId="2" xfId="0" applyNumberFormat="1" applyFont="1" applyFill="1" applyBorder="1"/>
    <xf numFmtId="170" fontId="58" fillId="10" borderId="2" xfId="0" applyNumberFormat="1" applyFont="1" applyFill="1" applyBorder="1"/>
    <xf numFmtId="170" fontId="58" fillId="9" borderId="13" xfId="0" applyNumberFormat="1" applyFont="1" applyFill="1" applyBorder="1"/>
    <xf numFmtId="170" fontId="46" fillId="9" borderId="3" xfId="8" applyNumberFormat="1" applyFont="1" applyFill="1" applyBorder="1"/>
    <xf numFmtId="170" fontId="46" fillId="9" borderId="5" xfId="8" applyNumberFormat="1" applyFont="1" applyFill="1" applyBorder="1"/>
    <xf numFmtId="170" fontId="42" fillId="9" borderId="17" xfId="8" applyNumberFormat="1" applyFont="1" applyFill="1" applyBorder="1" applyAlignment="1">
      <alignment horizontal="left" indent="1"/>
    </xf>
    <xf numFmtId="170" fontId="37" fillId="9" borderId="24" xfId="8" applyNumberFormat="1" applyFont="1" applyFill="1" applyBorder="1" applyAlignment="1">
      <alignment horizontal="left"/>
    </xf>
    <xf numFmtId="170" fontId="1" fillId="9" borderId="10" xfId="8" applyNumberFormat="1" applyFill="1" applyBorder="1" applyAlignment="1">
      <alignment horizontal="left" indent="1"/>
    </xf>
    <xf numFmtId="170" fontId="42" fillId="9" borderId="9" xfId="8" applyNumberFormat="1" applyFont="1" applyFill="1" applyBorder="1" applyAlignment="1">
      <alignment horizontal="left" indent="1"/>
    </xf>
    <xf numFmtId="170" fontId="42" fillId="9" borderId="0" xfId="8" applyNumberFormat="1" applyFont="1" applyFill="1" applyAlignment="1">
      <alignment horizontal="left" indent="1"/>
    </xf>
    <xf numFmtId="170" fontId="46" fillId="9" borderId="24" xfId="8" applyNumberFormat="1" applyFont="1" applyFill="1" applyBorder="1" applyAlignment="1">
      <alignment horizontal="left"/>
    </xf>
    <xf numFmtId="170" fontId="42" fillId="9" borderId="10" xfId="8" applyNumberFormat="1" applyFont="1" applyFill="1" applyBorder="1" applyAlignment="1">
      <alignment horizontal="left" indent="1"/>
    </xf>
    <xf numFmtId="170" fontId="46" fillId="9" borderId="2" xfId="8" applyNumberFormat="1" applyFont="1" applyFill="1" applyBorder="1" applyAlignment="1">
      <alignment horizontal="left"/>
    </xf>
    <xf numFmtId="170" fontId="46" fillId="9" borderId="0" xfId="8" applyNumberFormat="1" applyFont="1" applyFill="1" applyAlignment="1">
      <alignment horizontal="left"/>
    </xf>
    <xf numFmtId="178" fontId="42" fillId="9" borderId="0" xfId="8" applyNumberFormat="1" applyFont="1" applyFill="1" applyAlignment="1">
      <alignment horizontal="left"/>
    </xf>
    <xf numFmtId="178" fontId="42" fillId="9" borderId="0" xfId="8" applyNumberFormat="1" applyFont="1" applyFill="1" applyAlignment="1">
      <alignment horizontal="right"/>
    </xf>
    <xf numFmtId="178" fontId="40" fillId="9" borderId="10" xfId="0" applyNumberFormat="1" applyFont="1" applyFill="1" applyBorder="1" applyAlignment="1">
      <alignment horizontal="right"/>
    </xf>
    <xf numFmtId="170" fontId="46" fillId="9" borderId="8" xfId="8" applyNumberFormat="1" applyFont="1" applyFill="1" applyBorder="1" applyAlignment="1">
      <alignment horizontal="left"/>
    </xf>
    <xf numFmtId="198" fontId="42" fillId="9" borderId="0" xfId="7" applyNumberFormat="1" applyFont="1" applyFill="1"/>
    <xf numFmtId="0" fontId="40" fillId="9" borderId="23" xfId="0" applyFont="1" applyFill="1" applyBorder="1"/>
    <xf numFmtId="0" fontId="40" fillId="9" borderId="18" xfId="0" applyFont="1" applyFill="1" applyBorder="1"/>
  </cellXfs>
  <cellStyles count="9">
    <cellStyle name="Comma" xfId="1" builtinId="3"/>
    <cellStyle name="Currency" xfId="2" builtinId="4"/>
    <cellStyle name="Currency 2 2" xfId="7" xr:uid="{672B0610-9868-4A0C-B506-50A56F4C7EE1}"/>
    <cellStyle name="Good" xfId="5" builtinId="26"/>
    <cellStyle name="Hyperlink" xfId="6" xr:uid="{EE099D54-0358-45D6-99F1-F1A7CCD75FBB}"/>
    <cellStyle name="Normal" xfId="0" builtinId="0"/>
    <cellStyle name="Normal 2" xfId="8" xr:uid="{C5335A3B-DA90-4C34-8BD9-E3FC05C29C92}"/>
    <cellStyle name="Note" xfId="4" builtinId="10"/>
    <cellStyle name="Percent" xfId="3" builtinId="5"/>
  </cellStyles>
  <dxfs count="2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38342</xdr:colOff>
      <xdr:row>1</xdr:row>
      <xdr:rowOff>2515</xdr:rowOff>
    </xdr:from>
    <xdr:to>
      <xdr:col>1</xdr:col>
      <xdr:colOff>1938484</xdr:colOff>
      <xdr:row>5</xdr:row>
      <xdr:rowOff>32366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DF859-1816-1D46-BE23-BF0A2A95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44" y="208754"/>
          <a:ext cx="1893794" cy="8468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iMedford\Downloads\Williams%20Sonoma%20WSM%20US.xlsx" TargetMode="External"/><Relationship Id="rId1" Type="http://schemas.openxmlformats.org/officeDocument/2006/relationships/externalLinkPath" Target="/Users/MarciMedford/Downloads/Williams%20Sonoma%20WSM%20U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iMedford\Downloads\Wayfair%20W%20US.xlsx" TargetMode="External"/><Relationship Id="rId1" Type="http://schemas.openxmlformats.org/officeDocument/2006/relationships/externalLinkPath" Target="/Users/MarciMedford/Downloads/Wayfair%20W%20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Model"/>
      <sheetName val="Guidance"/>
      <sheetName val="Summary Page"/>
      <sheetName val="Update Log"/>
    </sheetNames>
    <sheetDataSet>
      <sheetData sheetId="0">
        <row r="15">
          <cell r="H15" t="str">
            <v>Bloomberg</v>
          </cell>
        </row>
        <row r="18">
          <cell r="H18" t="str">
            <v>OFF</v>
          </cell>
        </row>
        <row r="20">
          <cell r="F20">
            <v>45450</v>
          </cell>
          <cell r="H20">
            <v>292.52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Model"/>
      <sheetName val="Guidance"/>
      <sheetName val="Supplemental Data"/>
      <sheetName val="Summary Page"/>
      <sheetName val="Update Log"/>
    </sheetNames>
    <sheetDataSet>
      <sheetData sheetId="0" refreshError="1"/>
      <sheetData sheetId="1" refreshError="1"/>
      <sheetData sheetId="2">
        <row r="2">
          <cell r="F2" t="str">
            <v>Q1-2024</v>
          </cell>
        </row>
        <row r="4">
          <cell r="I4" t="str">
            <v>Guidance</v>
          </cell>
          <cell r="S4" t="str">
            <v>Update Log</v>
          </cell>
        </row>
        <row r="5">
          <cell r="E5" t="str">
            <v>Item Name</v>
          </cell>
          <cell r="F5" t="str">
            <v>Fiscal Period</v>
          </cell>
          <cell r="I5" t="str">
            <v>Low</v>
          </cell>
          <cell r="J5" t="str">
            <v>High</v>
          </cell>
          <cell r="K5" t="str">
            <v>Mid</v>
          </cell>
          <cell r="S5" t="str">
            <v>Date</v>
          </cell>
        </row>
        <row r="6">
          <cell r="E6" t="str">
            <v>MO_GA_TotalRevenue</v>
          </cell>
          <cell r="F6" t="str">
            <v>Q2-2024</v>
          </cell>
          <cell r="I6">
            <v>0</v>
          </cell>
          <cell r="J6">
            <v>0.03</v>
          </cell>
          <cell r="K6">
            <v>1.4999999999999999E-2</v>
          </cell>
          <cell r="S6">
            <v>45414</v>
          </cell>
        </row>
        <row r="7">
          <cell r="E7" t="str">
            <v>MO_MA_GM</v>
          </cell>
          <cell r="F7" t="str">
            <v>Q2-2024</v>
          </cell>
          <cell r="I7">
            <v>0.3</v>
          </cell>
          <cell r="J7">
            <v>0.31</v>
          </cell>
          <cell r="K7">
            <v>0.30499999999999999</v>
          </cell>
          <cell r="S7">
            <v>45414</v>
          </cell>
        </row>
        <row r="8">
          <cell r="E8" t="str">
            <v>z_XCE9DO0153_MO_OS_Customerserviceandmerchantfeesasaoftotalrevenue</v>
          </cell>
          <cell r="F8" t="str">
            <v>Q2-2024</v>
          </cell>
          <cell r="I8">
            <v>0.04</v>
          </cell>
          <cell r="J8">
            <v>0.04</v>
          </cell>
          <cell r="K8">
            <v>0.04</v>
          </cell>
          <cell r="S8">
            <v>45414</v>
          </cell>
        </row>
        <row r="9">
          <cell r="E9" t="str">
            <v>z_XCE9DO0153_MO_OS_Advertisingasaoftotalrevenue</v>
          </cell>
          <cell r="F9" t="str">
            <v>Q2-2024</v>
          </cell>
          <cell r="I9">
            <v>0.115</v>
          </cell>
          <cell r="J9">
            <v>0.125</v>
          </cell>
          <cell r="K9">
            <v>0.12</v>
          </cell>
          <cell r="S9">
            <v>45414</v>
          </cell>
        </row>
        <row r="10">
          <cell r="F10" t="str">
            <v>Q2-2024</v>
          </cell>
          <cell r="I10">
            <v>410</v>
          </cell>
          <cell r="J10">
            <v>420</v>
          </cell>
          <cell r="K10">
            <v>415</v>
          </cell>
          <cell r="S10">
            <v>45414</v>
          </cell>
        </row>
        <row r="11">
          <cell r="E11" t="str">
            <v>MO_MA_EBITDA_Adj</v>
          </cell>
          <cell r="F11" t="str">
            <v>Q2-2024</v>
          </cell>
          <cell r="I11">
            <v>0.04</v>
          </cell>
          <cell r="J11">
            <v>0.06</v>
          </cell>
          <cell r="K11">
            <v>0.05</v>
          </cell>
          <cell r="S11">
            <v>45414</v>
          </cell>
        </row>
        <row r="12">
          <cell r="E12" t="str">
            <v>MO_RIS_SBC</v>
          </cell>
          <cell r="F12" t="str">
            <v>Q2-2024</v>
          </cell>
          <cell r="I12">
            <v>100</v>
          </cell>
          <cell r="J12">
            <v>120</v>
          </cell>
          <cell r="K12">
            <v>110</v>
          </cell>
          <cell r="S12">
            <v>45414</v>
          </cell>
        </row>
        <row r="13">
          <cell r="E13" t="str">
            <v>MO_RIS_DA</v>
          </cell>
          <cell r="F13" t="str">
            <v>Q2-2024</v>
          </cell>
          <cell r="I13">
            <v>103</v>
          </cell>
          <cell r="J13">
            <v>108</v>
          </cell>
          <cell r="K13">
            <v>105.5</v>
          </cell>
          <cell r="S13">
            <v>45414</v>
          </cell>
        </row>
        <row r="14">
          <cell r="E14" t="str">
            <v>MO_RIS_IE</v>
          </cell>
          <cell r="F14" t="str">
            <v>Q2-2024</v>
          </cell>
          <cell r="I14">
            <v>4</v>
          </cell>
          <cell r="J14">
            <v>4</v>
          </cell>
          <cell r="K14">
            <v>4</v>
          </cell>
          <cell r="S14">
            <v>45414</v>
          </cell>
        </row>
        <row r="15">
          <cell r="E15" t="str">
            <v>MO_RIS_ShareCount_WAB</v>
          </cell>
          <cell r="F15" t="str">
            <v>Q2-2024</v>
          </cell>
          <cell r="I15">
            <v>122</v>
          </cell>
          <cell r="J15">
            <v>122</v>
          </cell>
          <cell r="K15">
            <v>122</v>
          </cell>
          <cell r="S15">
            <v>45414</v>
          </cell>
        </row>
        <row r="16">
          <cell r="E16" t="str">
            <v>MO_CFSum_Capex</v>
          </cell>
          <cell r="F16" t="str">
            <v>Q2-2024</v>
          </cell>
          <cell r="I16">
            <v>-100</v>
          </cell>
          <cell r="J16">
            <v>-90</v>
          </cell>
          <cell r="K16">
            <v>-95</v>
          </cell>
          <cell r="S16">
            <v>45414</v>
          </cell>
        </row>
        <row r="18">
          <cell r="E18" t="str">
            <v>z_XCE9DO0153_MO_OS_YYAdjustedEBITDAgrowth</v>
          </cell>
          <cell r="F18" t="str">
            <v>FY2024</v>
          </cell>
          <cell r="I18">
            <v>0.5</v>
          </cell>
          <cell r="J18">
            <v>0.6</v>
          </cell>
          <cell r="K18">
            <v>0.55000000000000004</v>
          </cell>
          <cell r="S18">
            <v>45344</v>
          </cell>
        </row>
        <row r="20">
          <cell r="E20" t="str">
            <v>z_XCE9DO0153_MO_OS_Customerserviceandmerchantfeesasaoftotalrevenue</v>
          </cell>
          <cell r="F20" t="str">
            <v>Q2-2024</v>
          </cell>
          <cell r="I20">
            <v>0.04</v>
          </cell>
          <cell r="J20">
            <v>0.04</v>
          </cell>
          <cell r="K20">
            <v>0.04</v>
          </cell>
          <cell r="S20">
            <v>45344</v>
          </cell>
        </row>
        <row r="22">
          <cell r="E22" t="str">
            <v>MO_GA_TotalRevenue</v>
          </cell>
          <cell r="F22" t="str">
            <v>Q1-2024</v>
          </cell>
          <cell r="I22">
            <v>-7.4999999999999997E-2</v>
          </cell>
          <cell r="J22">
            <v>-2.5000000000000001E-2</v>
          </cell>
          <cell r="K22">
            <v>-0.05</v>
          </cell>
          <cell r="S22">
            <v>45344</v>
          </cell>
        </row>
        <row r="23">
          <cell r="E23" t="str">
            <v>MO_MA_GM</v>
          </cell>
          <cell r="F23" t="str">
            <v>Q1-2024</v>
          </cell>
          <cell r="I23">
            <v>0.3</v>
          </cell>
          <cell r="J23">
            <v>0.31</v>
          </cell>
          <cell r="K23">
            <v>0.30499999999999999</v>
          </cell>
          <cell r="S23">
            <v>45344</v>
          </cell>
        </row>
        <row r="24">
          <cell r="E24" t="str">
            <v>z_XCE9DO0153_MO_OS_Customerserviceandmerchantfeesasaoftotalrevenue</v>
          </cell>
          <cell r="F24" t="str">
            <v>Q1-2024</v>
          </cell>
          <cell r="I24">
            <v>0.04</v>
          </cell>
          <cell r="J24">
            <v>4.4999999999999998E-2</v>
          </cell>
          <cell r="K24">
            <v>4.2499999999999996E-2</v>
          </cell>
          <cell r="S24">
            <v>45344</v>
          </cell>
        </row>
        <row r="25">
          <cell r="E25" t="str">
            <v>z_XCE9DO0153_MO_OS_Advertisingasaoftotalrevenue</v>
          </cell>
          <cell r="F25" t="str">
            <v>Q1-2024</v>
          </cell>
          <cell r="I25">
            <v>0.115</v>
          </cell>
          <cell r="J25">
            <v>0.125</v>
          </cell>
          <cell r="K25">
            <v>0.12</v>
          </cell>
          <cell r="S25">
            <v>45344</v>
          </cell>
        </row>
        <row r="26">
          <cell r="F26" t="str">
            <v>Q1-2024</v>
          </cell>
          <cell r="I26">
            <v>410</v>
          </cell>
          <cell r="J26">
            <v>420</v>
          </cell>
          <cell r="K26">
            <v>415</v>
          </cell>
          <cell r="S26">
            <v>45344</v>
          </cell>
        </row>
        <row r="27">
          <cell r="E27" t="str">
            <v>MO_MA_EBITDA_Adj</v>
          </cell>
          <cell r="F27" t="str">
            <v>Q1-2024</v>
          </cell>
          <cell r="I27">
            <v>0</v>
          </cell>
          <cell r="J27">
            <v>0.03</v>
          </cell>
          <cell r="K27">
            <v>1.4999999999999999E-2</v>
          </cell>
          <cell r="S27">
            <v>45344</v>
          </cell>
        </row>
        <row r="28">
          <cell r="E28" t="str">
            <v>MO_RIS_SBC</v>
          </cell>
          <cell r="F28" t="str">
            <v>Q1-2024</v>
          </cell>
          <cell r="I28">
            <v>110</v>
          </cell>
          <cell r="J28">
            <v>130</v>
          </cell>
          <cell r="K28">
            <v>120</v>
          </cell>
          <cell r="S28">
            <v>45344</v>
          </cell>
        </row>
        <row r="29">
          <cell r="E29" t="str">
            <v>MO_RIS_DA</v>
          </cell>
          <cell r="F29" t="str">
            <v>Q1-2024</v>
          </cell>
          <cell r="I29">
            <v>103</v>
          </cell>
          <cell r="J29">
            <v>108</v>
          </cell>
          <cell r="K29">
            <v>105.5</v>
          </cell>
          <cell r="S29">
            <v>45344</v>
          </cell>
        </row>
        <row r="30">
          <cell r="E30" t="str">
            <v>MO_RIS_IE</v>
          </cell>
          <cell r="F30" t="str">
            <v>Q1-2024</v>
          </cell>
          <cell r="I30">
            <v>5</v>
          </cell>
          <cell r="J30">
            <v>5</v>
          </cell>
          <cell r="K30">
            <v>5</v>
          </cell>
          <cell r="S30">
            <v>45344</v>
          </cell>
        </row>
        <row r="31">
          <cell r="E31" t="str">
            <v>MO_RIS_ShareCount_WAB</v>
          </cell>
          <cell r="F31" t="str">
            <v>Q1-2024</v>
          </cell>
          <cell r="I31">
            <v>120</v>
          </cell>
          <cell r="J31">
            <v>120</v>
          </cell>
          <cell r="K31">
            <v>120</v>
          </cell>
          <cell r="S31">
            <v>45344</v>
          </cell>
        </row>
        <row r="32">
          <cell r="E32" t="str">
            <v>MO_CFSum_Capex</v>
          </cell>
          <cell r="F32" t="str">
            <v>Q1-2024</v>
          </cell>
          <cell r="I32">
            <v>-90</v>
          </cell>
          <cell r="J32">
            <v>-80</v>
          </cell>
          <cell r="K32">
            <v>-85</v>
          </cell>
          <cell r="S32">
            <v>45344</v>
          </cell>
        </row>
        <row r="34">
          <cell r="E34" t="str">
            <v>MO_GA_TotalRevenue</v>
          </cell>
          <cell r="F34" t="str">
            <v>Q4-2023</v>
          </cell>
          <cell r="I34">
            <v>0</v>
          </cell>
          <cell r="J34">
            <v>0.03</v>
          </cell>
          <cell r="K34">
            <v>1.4999999999999999E-2</v>
          </cell>
          <cell r="S34">
            <v>45231</v>
          </cell>
        </row>
        <row r="35">
          <cell r="E35" t="str">
            <v>MO_MA_GM</v>
          </cell>
          <cell r="F35" t="str">
            <v>Q4-2023</v>
          </cell>
          <cell r="I35">
            <v>0.3</v>
          </cell>
          <cell r="J35">
            <v>0.31</v>
          </cell>
          <cell r="K35">
            <v>0.30499999999999999</v>
          </cell>
          <cell r="S35">
            <v>45231</v>
          </cell>
        </row>
        <row r="36">
          <cell r="E36" t="str">
            <v>z_XCE9DO0153_MO_OS_Customerserviceandmerchantfeesasaoftotalrevenue</v>
          </cell>
          <cell r="F36" t="str">
            <v>Q4-2023</v>
          </cell>
          <cell r="I36">
            <v>0.04</v>
          </cell>
          <cell r="J36">
            <v>0.05</v>
          </cell>
          <cell r="K36">
            <v>4.4999999999999998E-2</v>
          </cell>
          <cell r="S36">
            <v>45231</v>
          </cell>
        </row>
        <row r="37">
          <cell r="E37" t="str">
            <v>z_XCE9DO0153_MO_OS_Advertisingasaoftotalrevenue</v>
          </cell>
          <cell r="F37" t="str">
            <v>Q4-2023</v>
          </cell>
          <cell r="I37">
            <v>0.115</v>
          </cell>
          <cell r="J37">
            <v>0.125</v>
          </cell>
          <cell r="K37">
            <v>0.12</v>
          </cell>
          <cell r="S37">
            <v>45231</v>
          </cell>
        </row>
        <row r="38">
          <cell r="F38" t="str">
            <v>Q4-2023</v>
          </cell>
          <cell r="I38">
            <v>455</v>
          </cell>
          <cell r="J38">
            <v>465</v>
          </cell>
          <cell r="K38">
            <v>460</v>
          </cell>
          <cell r="S38">
            <v>45231</v>
          </cell>
        </row>
        <row r="39">
          <cell r="E39" t="str">
            <v>MO_MA_EBITDA_Adj</v>
          </cell>
          <cell r="F39" t="str">
            <v>Q4-2023</v>
          </cell>
          <cell r="I39">
            <v>0</v>
          </cell>
          <cell r="J39">
            <v>0.05</v>
          </cell>
          <cell r="K39">
            <v>2.5000000000000001E-2</v>
          </cell>
          <cell r="S39">
            <v>45231</v>
          </cell>
        </row>
        <row r="40">
          <cell r="E40" t="str">
            <v>MO_RIS_SBC</v>
          </cell>
          <cell r="F40" t="str">
            <v>Q4-2023</v>
          </cell>
          <cell r="I40">
            <v>140</v>
          </cell>
          <cell r="J40">
            <v>160</v>
          </cell>
          <cell r="K40">
            <v>150</v>
          </cell>
          <cell r="S40">
            <v>45231</v>
          </cell>
        </row>
        <row r="41">
          <cell r="E41" t="str">
            <v>MO_RIS_DA</v>
          </cell>
          <cell r="F41" t="str">
            <v>Q4-2023</v>
          </cell>
          <cell r="I41">
            <v>103</v>
          </cell>
          <cell r="J41">
            <v>108</v>
          </cell>
          <cell r="K41">
            <v>105.5</v>
          </cell>
          <cell r="S41">
            <v>45231</v>
          </cell>
        </row>
        <row r="42">
          <cell r="E42" t="str">
            <v>MO_RIS_IE</v>
          </cell>
          <cell r="F42" t="str">
            <v>Q4-2023</v>
          </cell>
          <cell r="I42">
            <v>4</v>
          </cell>
          <cell r="J42">
            <v>5</v>
          </cell>
          <cell r="K42">
            <v>4.5</v>
          </cell>
          <cell r="S42">
            <v>45231</v>
          </cell>
        </row>
        <row r="43">
          <cell r="E43" t="str">
            <v>MO_RIS_ShareCount_WAB</v>
          </cell>
          <cell r="F43" t="str">
            <v>Q4-2023</v>
          </cell>
          <cell r="I43">
            <v>118</v>
          </cell>
          <cell r="J43">
            <v>118</v>
          </cell>
          <cell r="K43">
            <v>118</v>
          </cell>
          <cell r="S43">
            <v>45231</v>
          </cell>
        </row>
        <row r="44">
          <cell r="E44" t="str">
            <v>MO_CFSum_Capex</v>
          </cell>
          <cell r="F44" t="str">
            <v>Q4-2023</v>
          </cell>
          <cell r="I44">
            <v>-110</v>
          </cell>
          <cell r="J44">
            <v>-100</v>
          </cell>
          <cell r="K44">
            <v>-105</v>
          </cell>
          <cell r="S44">
            <v>45231</v>
          </cell>
        </row>
        <row r="46">
          <cell r="E46" t="str">
            <v>MO_GA_TotalRevenue</v>
          </cell>
          <cell r="F46" t="str">
            <v>Q3-2023</v>
          </cell>
          <cell r="I46">
            <v>0.04</v>
          </cell>
          <cell r="J46">
            <v>0.06</v>
          </cell>
          <cell r="K46">
            <v>0.05</v>
          </cell>
          <cell r="S46">
            <v>45141</v>
          </cell>
        </row>
        <row r="47">
          <cell r="E47" t="str">
            <v>MO_MA_GM</v>
          </cell>
          <cell r="F47" t="str">
            <v>Q3-2023</v>
          </cell>
          <cell r="I47">
            <v>0.29499999999999998</v>
          </cell>
          <cell r="J47">
            <v>0.30499999999999999</v>
          </cell>
          <cell r="K47">
            <v>0.3</v>
          </cell>
          <cell r="S47">
            <v>45141</v>
          </cell>
        </row>
        <row r="48">
          <cell r="E48" t="str">
            <v>z_XCE9DO0153_MO_OS_Customerserviceandmerchantfeesasaoftotalrevenue</v>
          </cell>
          <cell r="F48" t="str">
            <v>Q3-2023</v>
          </cell>
          <cell r="I48">
            <v>0.04</v>
          </cell>
          <cell r="J48">
            <v>0.05</v>
          </cell>
          <cell r="K48">
            <v>4.4999999999999998E-2</v>
          </cell>
          <cell r="S48">
            <v>45141</v>
          </cell>
        </row>
        <row r="49">
          <cell r="E49" t="str">
            <v>z_XCE9DO0153_MO_OS_Advertisingasaoftotalrevenue</v>
          </cell>
          <cell r="F49" t="str">
            <v>Q3-2023</v>
          </cell>
          <cell r="I49">
            <v>0.115</v>
          </cell>
          <cell r="J49">
            <v>0.125</v>
          </cell>
          <cell r="K49">
            <v>0.12</v>
          </cell>
          <cell r="S49">
            <v>45141</v>
          </cell>
        </row>
        <row r="50">
          <cell r="F50" t="str">
            <v>Q3-2023</v>
          </cell>
          <cell r="I50">
            <v>460</v>
          </cell>
          <cell r="J50">
            <v>470</v>
          </cell>
          <cell r="K50">
            <v>465</v>
          </cell>
          <cell r="S50">
            <v>45141</v>
          </cell>
        </row>
        <row r="51">
          <cell r="E51" t="str">
            <v>MO_MA_EBITDA_Adj</v>
          </cell>
          <cell r="F51" t="str">
            <v>Q3-2023</v>
          </cell>
          <cell r="I51">
            <v>0.02</v>
          </cell>
          <cell r="J51">
            <v>0.04</v>
          </cell>
          <cell r="K51">
            <v>0.03</v>
          </cell>
          <cell r="S51">
            <v>45141</v>
          </cell>
        </row>
        <row r="52">
          <cell r="E52" t="str">
            <v>MO_RIS_SBC</v>
          </cell>
          <cell r="F52" t="str">
            <v>Q3-2023</v>
          </cell>
          <cell r="I52">
            <v>150</v>
          </cell>
          <cell r="J52">
            <v>170</v>
          </cell>
          <cell r="K52">
            <v>160</v>
          </cell>
          <cell r="S52">
            <v>45141</v>
          </cell>
        </row>
        <row r="53">
          <cell r="E53" t="str">
            <v>MO_RIS_DA</v>
          </cell>
          <cell r="F53" t="str">
            <v>Q3-2023</v>
          </cell>
          <cell r="I53">
            <v>102</v>
          </cell>
          <cell r="J53">
            <v>107</v>
          </cell>
          <cell r="K53">
            <v>104.5</v>
          </cell>
          <cell r="S53">
            <v>45141</v>
          </cell>
        </row>
        <row r="54">
          <cell r="E54" t="str">
            <v>MO_RIS_IE</v>
          </cell>
          <cell r="F54" t="str">
            <v>Q3-2023</v>
          </cell>
          <cell r="I54">
            <v>5</v>
          </cell>
          <cell r="J54">
            <v>6</v>
          </cell>
          <cell r="K54">
            <v>5.5</v>
          </cell>
          <cell r="S54">
            <v>45141</v>
          </cell>
        </row>
        <row r="55">
          <cell r="E55" t="str">
            <v>MO_RIS_ShareCount_WAB</v>
          </cell>
          <cell r="F55" t="str">
            <v>Q3-2023</v>
          </cell>
          <cell r="I55">
            <v>116</v>
          </cell>
          <cell r="J55">
            <v>116</v>
          </cell>
          <cell r="K55">
            <v>116</v>
          </cell>
          <cell r="S55">
            <v>45141</v>
          </cell>
        </row>
        <row r="56">
          <cell r="E56" t="str">
            <v>MO_CFSum_Capex</v>
          </cell>
          <cell r="F56" t="str">
            <v>Q3-2023</v>
          </cell>
          <cell r="I56">
            <v>-90</v>
          </cell>
          <cell r="J56">
            <v>-80</v>
          </cell>
          <cell r="K56">
            <v>-85</v>
          </cell>
          <cell r="S56">
            <v>45141</v>
          </cell>
        </row>
        <row r="58">
          <cell r="E58" t="str">
            <v>MO_GA_TotalRevenue</v>
          </cell>
          <cell r="F58" t="str">
            <v>Q2-2023</v>
          </cell>
          <cell r="I58">
            <v>0.08</v>
          </cell>
          <cell r="J58">
            <v>0.09</v>
          </cell>
          <cell r="K58">
            <v>8.4999999999999992E-2</v>
          </cell>
          <cell r="S58">
            <v>45050</v>
          </cell>
        </row>
        <row r="59">
          <cell r="E59" t="str">
            <v>MO_MA_GM</v>
          </cell>
          <cell r="F59" t="str">
            <v>Q2-2023</v>
          </cell>
          <cell r="I59">
            <v>0.28999999999999998</v>
          </cell>
          <cell r="J59">
            <v>0.3</v>
          </cell>
          <cell r="K59">
            <v>0.29499999999999998</v>
          </cell>
          <cell r="S59">
            <v>45050</v>
          </cell>
        </row>
        <row r="60">
          <cell r="E60" t="str">
            <v>z_XCE9DO0153_MO_OS_Customerserviceandmerchantfeesasaoftotalrevenue</v>
          </cell>
          <cell r="F60" t="str">
            <v>Q2-2023</v>
          </cell>
          <cell r="I60">
            <v>0.04</v>
          </cell>
          <cell r="J60">
            <v>0.05</v>
          </cell>
          <cell r="K60">
            <v>4.4999999999999998E-2</v>
          </cell>
          <cell r="S60">
            <v>45050</v>
          </cell>
        </row>
        <row r="61">
          <cell r="E61" t="str">
            <v>z_XCE9DO0153_MO_OS_Advertisingasaoftotalrevenue</v>
          </cell>
          <cell r="F61" t="str">
            <v>Q2-2023</v>
          </cell>
          <cell r="I61">
            <v>0.12</v>
          </cell>
          <cell r="J61">
            <v>0.13</v>
          </cell>
          <cell r="K61">
            <v>0.125</v>
          </cell>
          <cell r="S61">
            <v>45050</v>
          </cell>
        </row>
        <row r="62">
          <cell r="F62" t="str">
            <v>Q2-2023</v>
          </cell>
          <cell r="I62">
            <v>460</v>
          </cell>
          <cell r="J62">
            <v>470</v>
          </cell>
          <cell r="K62">
            <v>465</v>
          </cell>
          <cell r="S62">
            <v>45050</v>
          </cell>
        </row>
        <row r="63">
          <cell r="E63" t="str">
            <v>MO_MA_EBITDA_Adj</v>
          </cell>
          <cell r="F63" t="str">
            <v>Q2-2023</v>
          </cell>
          <cell r="I63">
            <v>5.0000000000000001E-3</v>
          </cell>
          <cell r="J63">
            <v>1.4999999999999999E-2</v>
          </cell>
          <cell r="K63">
            <v>0.01</v>
          </cell>
          <cell r="S63">
            <v>45050</v>
          </cell>
        </row>
        <row r="64">
          <cell r="E64" t="str">
            <v>MO_RIS_SBC</v>
          </cell>
          <cell r="F64" t="str">
            <v>Q2-2023</v>
          </cell>
          <cell r="I64">
            <v>170</v>
          </cell>
          <cell r="J64">
            <v>200</v>
          </cell>
          <cell r="K64">
            <v>185</v>
          </cell>
          <cell r="S64">
            <v>45050</v>
          </cell>
        </row>
        <row r="65">
          <cell r="E65" t="str">
            <v>MO_RIS_DA</v>
          </cell>
          <cell r="F65" t="str">
            <v>Q2-2023</v>
          </cell>
          <cell r="I65">
            <v>102</v>
          </cell>
          <cell r="J65">
            <v>107</v>
          </cell>
          <cell r="K65">
            <v>104.5</v>
          </cell>
          <cell r="S65">
            <v>45050</v>
          </cell>
        </row>
        <row r="66">
          <cell r="E66" t="str">
            <v>MO_RIS_IE</v>
          </cell>
          <cell r="F66" t="str">
            <v>Q2-2023</v>
          </cell>
          <cell r="I66">
            <v>5</v>
          </cell>
          <cell r="J66">
            <v>6</v>
          </cell>
          <cell r="K66">
            <v>5.5</v>
          </cell>
          <cell r="S66">
            <v>45050</v>
          </cell>
        </row>
        <row r="67">
          <cell r="E67" t="str">
            <v>MO_RIS_ShareCount_WAB</v>
          </cell>
          <cell r="F67" t="str">
            <v>Q2-2023</v>
          </cell>
          <cell r="I67">
            <v>112</v>
          </cell>
          <cell r="J67">
            <v>112</v>
          </cell>
          <cell r="K67">
            <v>112</v>
          </cell>
          <cell r="S67">
            <v>45050</v>
          </cell>
        </row>
        <row r="68">
          <cell r="E68" t="str">
            <v>MO_CFSum_Capex</v>
          </cell>
          <cell r="F68" t="str">
            <v>Q2-2023</v>
          </cell>
          <cell r="I68">
            <v>-100</v>
          </cell>
          <cell r="J68">
            <v>-90</v>
          </cell>
          <cell r="K68">
            <v>-95</v>
          </cell>
          <cell r="S68">
            <v>45050</v>
          </cell>
        </row>
        <row r="70">
          <cell r="E70" t="str">
            <v>MO_GA_TotalRevenue</v>
          </cell>
          <cell r="F70" t="str">
            <v>Q1-2023</v>
          </cell>
          <cell r="I70">
            <v>-0.09</v>
          </cell>
          <cell r="J70">
            <v>-7.0000000000000007E-2</v>
          </cell>
          <cell r="K70">
            <v>-0.08</v>
          </cell>
          <cell r="S70">
            <v>44980</v>
          </cell>
        </row>
        <row r="71">
          <cell r="E71" t="str">
            <v>MO_MA_GM</v>
          </cell>
          <cell r="F71" t="str">
            <v>Q1-2023</v>
          </cell>
          <cell r="I71">
            <v>0.28000000000000003</v>
          </cell>
          <cell r="J71">
            <v>0.28999999999999998</v>
          </cell>
          <cell r="K71">
            <v>0.28500000000000003</v>
          </cell>
          <cell r="S71">
            <v>44980</v>
          </cell>
        </row>
        <row r="72">
          <cell r="E72" t="str">
            <v>z_XCE9DO0153_MO_OS_Customerserviceandmerchantfeesasaoftotalrevenue</v>
          </cell>
          <cell r="F72" t="str">
            <v>Q1-2023</v>
          </cell>
          <cell r="I72">
            <v>0.05</v>
          </cell>
          <cell r="J72">
            <v>0.05</v>
          </cell>
          <cell r="K72">
            <v>0.05</v>
          </cell>
          <cell r="S72">
            <v>44980</v>
          </cell>
        </row>
        <row r="73">
          <cell r="E73" t="str">
            <v>z_XCE9DO0153_MO_OS_Advertisingasaoftotalrevenue</v>
          </cell>
          <cell r="F73" t="str">
            <v>Q1-2023</v>
          </cell>
          <cell r="I73">
            <v>0.12</v>
          </cell>
          <cell r="J73">
            <v>0.13</v>
          </cell>
          <cell r="K73">
            <v>0.125</v>
          </cell>
          <cell r="S73">
            <v>44980</v>
          </cell>
        </row>
        <row r="74">
          <cell r="F74" t="str">
            <v>Q1-2023</v>
          </cell>
          <cell r="I74">
            <v>475</v>
          </cell>
          <cell r="J74">
            <v>485</v>
          </cell>
          <cell r="K74">
            <v>480</v>
          </cell>
          <cell r="S74">
            <v>44980</v>
          </cell>
        </row>
        <row r="75">
          <cell r="E75" t="str">
            <v>MO_MA_EBITDA_Adj</v>
          </cell>
          <cell r="F75" t="str">
            <v>Q1-2023</v>
          </cell>
          <cell r="I75">
            <v>-0.03</v>
          </cell>
          <cell r="J75">
            <v>-0.01</v>
          </cell>
          <cell r="K75">
            <v>-0.02</v>
          </cell>
          <cell r="S75">
            <v>44980</v>
          </cell>
        </row>
        <row r="76">
          <cell r="E76" t="str">
            <v>MO_RIS_SBC</v>
          </cell>
          <cell r="F76" t="str">
            <v>Q1-2023</v>
          </cell>
          <cell r="I76">
            <v>145</v>
          </cell>
          <cell r="J76">
            <v>155</v>
          </cell>
          <cell r="K76">
            <v>150</v>
          </cell>
          <cell r="S76">
            <v>44980</v>
          </cell>
        </row>
        <row r="77">
          <cell r="E77" t="str">
            <v>MO_RIS_DA</v>
          </cell>
          <cell r="F77" t="str">
            <v>Q1-2023</v>
          </cell>
          <cell r="I77">
            <v>102</v>
          </cell>
          <cell r="J77">
            <v>107</v>
          </cell>
          <cell r="K77">
            <v>104.5</v>
          </cell>
          <cell r="S77">
            <v>44980</v>
          </cell>
        </row>
        <row r="78">
          <cell r="E78" t="str">
            <v>MO_RIS_IE</v>
          </cell>
          <cell r="F78" t="str">
            <v>Q1-2023</v>
          </cell>
          <cell r="I78">
            <v>4</v>
          </cell>
          <cell r="J78">
            <v>4</v>
          </cell>
          <cell r="K78">
            <v>4</v>
          </cell>
          <cell r="S78">
            <v>44980</v>
          </cell>
        </row>
        <row r="79">
          <cell r="E79" t="str">
            <v>MO_RIS_ShareCount_WAB</v>
          </cell>
          <cell r="F79" t="str">
            <v>Q1-2023</v>
          </cell>
          <cell r="I79">
            <v>111</v>
          </cell>
          <cell r="J79">
            <v>111</v>
          </cell>
          <cell r="K79">
            <v>111</v>
          </cell>
          <cell r="S79">
            <v>44980</v>
          </cell>
        </row>
        <row r="80">
          <cell r="E80" t="str">
            <v>MO_CFSum_Capex</v>
          </cell>
          <cell r="F80" t="str">
            <v>Q1-2023</v>
          </cell>
          <cell r="I80">
            <v>-100</v>
          </cell>
          <cell r="J80">
            <v>-90</v>
          </cell>
          <cell r="K80">
            <v>-95</v>
          </cell>
          <cell r="S80">
            <v>44980</v>
          </cell>
        </row>
        <row r="82">
          <cell r="E82" t="str">
            <v>MO_GA_TotalRevenue</v>
          </cell>
          <cell r="F82" t="str">
            <v>Q4-2022</v>
          </cell>
          <cell r="I82">
            <v>-0.09</v>
          </cell>
          <cell r="J82">
            <v>-7.0000000000000007E-2</v>
          </cell>
          <cell r="K82">
            <v>-0.08</v>
          </cell>
          <cell r="S82">
            <v>44868</v>
          </cell>
        </row>
        <row r="83">
          <cell r="E83" t="str">
            <v>MO_MA_GM</v>
          </cell>
          <cell r="F83" t="str">
            <v>Q4-2022</v>
          </cell>
          <cell r="I83">
            <v>0.28000000000000003</v>
          </cell>
          <cell r="J83">
            <v>0.28999999999999998</v>
          </cell>
          <cell r="K83">
            <v>0.28500000000000003</v>
          </cell>
          <cell r="S83">
            <v>44868</v>
          </cell>
        </row>
        <row r="84">
          <cell r="E84" t="str">
            <v>z_XCE9DO0153_MO_OS_Customerserviceandmerchantfeesasaoftotalrevenue</v>
          </cell>
          <cell r="F84" t="str">
            <v>Q4-2022</v>
          </cell>
          <cell r="I84">
            <v>0.05</v>
          </cell>
          <cell r="J84">
            <v>0.05</v>
          </cell>
          <cell r="K84">
            <v>0.05</v>
          </cell>
          <cell r="S84">
            <v>44868</v>
          </cell>
        </row>
        <row r="85">
          <cell r="E85" t="str">
            <v>z_XCE9DO0153_MO_OS_Advertisingasaoftotalrevenue</v>
          </cell>
          <cell r="F85" t="str">
            <v>Q4-2022</v>
          </cell>
          <cell r="I85">
            <v>0.12</v>
          </cell>
          <cell r="J85">
            <v>0.13</v>
          </cell>
          <cell r="K85">
            <v>0.125</v>
          </cell>
          <cell r="S85">
            <v>44868</v>
          </cell>
        </row>
        <row r="86">
          <cell r="F86" t="str">
            <v>Q4-2022</v>
          </cell>
          <cell r="I86">
            <v>495</v>
          </cell>
          <cell r="J86">
            <v>505</v>
          </cell>
          <cell r="K86">
            <v>500</v>
          </cell>
          <cell r="S86">
            <v>44868</v>
          </cell>
        </row>
        <row r="87">
          <cell r="E87" t="str">
            <v>MO_MA_EBITDA_Adj</v>
          </cell>
          <cell r="F87" t="str">
            <v>Q4-2022</v>
          </cell>
          <cell r="I87">
            <v>-0.03</v>
          </cell>
          <cell r="J87">
            <v>-0.01</v>
          </cell>
          <cell r="K87">
            <v>-0.02</v>
          </cell>
          <cell r="S87">
            <v>44868</v>
          </cell>
        </row>
        <row r="88">
          <cell r="E88" t="str">
            <v>MO_RIS_SBC</v>
          </cell>
          <cell r="F88" t="str">
            <v>Q4-2022</v>
          </cell>
          <cell r="I88">
            <v>153</v>
          </cell>
          <cell r="J88">
            <v>160</v>
          </cell>
          <cell r="K88">
            <v>156.5</v>
          </cell>
          <cell r="S88">
            <v>44868</v>
          </cell>
        </row>
        <row r="89">
          <cell r="E89" t="str">
            <v>MO_RIS_DA</v>
          </cell>
          <cell r="F89" t="str">
            <v>Q4-2022</v>
          </cell>
          <cell r="I89">
            <v>93</v>
          </cell>
          <cell r="J89">
            <v>98</v>
          </cell>
          <cell r="K89">
            <v>95.5</v>
          </cell>
          <cell r="S89">
            <v>44868</v>
          </cell>
        </row>
        <row r="90">
          <cell r="E90" t="str">
            <v>MO_RIS_IE</v>
          </cell>
          <cell r="F90" t="str">
            <v>Q4-2022</v>
          </cell>
          <cell r="I90">
            <v>9</v>
          </cell>
          <cell r="J90">
            <v>10</v>
          </cell>
          <cell r="K90">
            <v>9.5</v>
          </cell>
          <cell r="S90">
            <v>44868</v>
          </cell>
        </row>
        <row r="91">
          <cell r="E91" t="str">
            <v>MO_RIS_ShareCount_WAB</v>
          </cell>
          <cell r="F91" t="str">
            <v>Q4-2022</v>
          </cell>
          <cell r="I91">
            <v>108</v>
          </cell>
          <cell r="J91">
            <v>108</v>
          </cell>
          <cell r="K91">
            <v>108</v>
          </cell>
          <cell r="S91">
            <v>44868</v>
          </cell>
        </row>
        <row r="92">
          <cell r="E92" t="str">
            <v>MO_CFSum_Capex</v>
          </cell>
          <cell r="F92" t="str">
            <v>Q4-2022</v>
          </cell>
          <cell r="I92">
            <v>-110</v>
          </cell>
          <cell r="J92">
            <v>-100</v>
          </cell>
          <cell r="K92">
            <v>-105</v>
          </cell>
          <cell r="S92">
            <v>44868</v>
          </cell>
        </row>
        <row r="94">
          <cell r="E94" t="str">
            <v>MO_GA_TotalRevenue</v>
          </cell>
          <cell r="F94" t="str">
            <v>Q3-2022</v>
          </cell>
          <cell r="I94">
            <v>-0.1</v>
          </cell>
          <cell r="J94">
            <v>-0.1</v>
          </cell>
          <cell r="K94">
            <v>-0.1</v>
          </cell>
          <cell r="S94">
            <v>44778</v>
          </cell>
        </row>
        <row r="95">
          <cell r="E95" t="str">
            <v>MO_MA_GM</v>
          </cell>
          <cell r="F95" t="str">
            <v>Q3-2022</v>
          </cell>
          <cell r="I95">
            <v>0.27</v>
          </cell>
          <cell r="J95">
            <v>0.28000000000000003</v>
          </cell>
          <cell r="K95">
            <v>0.27500000000000002</v>
          </cell>
          <cell r="S95">
            <v>44778</v>
          </cell>
        </row>
        <row r="96">
          <cell r="E96" t="str">
            <v>z_XCE9DO0153_MO_OS_Customerserviceandmerchantfeesasaoftotalrevenue</v>
          </cell>
          <cell r="F96" t="str">
            <v>Q3-2022</v>
          </cell>
          <cell r="I96">
            <v>4.4999999999999998E-2</v>
          </cell>
          <cell r="J96">
            <v>0.05</v>
          </cell>
          <cell r="K96">
            <v>4.7500000000000001E-2</v>
          </cell>
          <cell r="S96">
            <v>44778</v>
          </cell>
        </row>
        <row r="97">
          <cell r="E97" t="str">
            <v>z_XCE9DO0153_MO_OS_Advertisingasaoftotalrevenue</v>
          </cell>
          <cell r="F97" t="str">
            <v>Q3-2022</v>
          </cell>
          <cell r="I97">
            <v>0.11</v>
          </cell>
          <cell r="J97">
            <v>0.11</v>
          </cell>
          <cell r="K97">
            <v>0.11</v>
          </cell>
          <cell r="S97">
            <v>44778</v>
          </cell>
        </row>
        <row r="98">
          <cell r="F98" t="str">
            <v>Q3-2022</v>
          </cell>
          <cell r="I98">
            <v>550</v>
          </cell>
          <cell r="J98">
            <v>560</v>
          </cell>
          <cell r="K98">
            <v>555</v>
          </cell>
          <cell r="S98">
            <v>44778</v>
          </cell>
        </row>
        <row r="99">
          <cell r="E99" t="str">
            <v>MO_MA_EBITDA_Adj</v>
          </cell>
          <cell r="F99" t="str">
            <v>Q3-2022</v>
          </cell>
          <cell r="I99">
            <v>-0.05</v>
          </cell>
          <cell r="J99">
            <v>-0.01</v>
          </cell>
          <cell r="K99">
            <v>-3.0000000000000002E-2</v>
          </cell>
          <cell r="S99">
            <v>44778</v>
          </cell>
        </row>
        <row r="100">
          <cell r="E100" t="str">
            <v>MO_RIS_SBC</v>
          </cell>
          <cell r="F100" t="str">
            <v>Q3-2022</v>
          </cell>
          <cell r="I100">
            <v>127</v>
          </cell>
          <cell r="J100">
            <v>132</v>
          </cell>
          <cell r="K100">
            <v>129.5</v>
          </cell>
          <cell r="S100">
            <v>44778</v>
          </cell>
        </row>
        <row r="101">
          <cell r="E101" t="str">
            <v>MO_RIS_DA</v>
          </cell>
          <cell r="F101" t="str">
            <v>Q3-2022</v>
          </cell>
          <cell r="I101">
            <v>91</v>
          </cell>
          <cell r="J101">
            <v>96</v>
          </cell>
          <cell r="K101">
            <v>93.5</v>
          </cell>
          <cell r="S101">
            <v>44778</v>
          </cell>
        </row>
        <row r="102">
          <cell r="E102" t="str">
            <v>MO_RIS_IE</v>
          </cell>
          <cell r="F102" t="str">
            <v>Q3-2022</v>
          </cell>
          <cell r="I102">
            <v>6</v>
          </cell>
          <cell r="J102">
            <v>7</v>
          </cell>
          <cell r="K102">
            <v>6.5</v>
          </cell>
          <cell r="S102">
            <v>44778</v>
          </cell>
        </row>
        <row r="103">
          <cell r="E103" t="str">
            <v>MO_RIS_ShareCount_WAB</v>
          </cell>
          <cell r="F103" t="str">
            <v>Q3-2022</v>
          </cell>
          <cell r="I103">
            <v>106</v>
          </cell>
          <cell r="J103">
            <v>106</v>
          </cell>
          <cell r="K103">
            <v>106</v>
          </cell>
          <cell r="S103">
            <v>44778</v>
          </cell>
        </row>
        <row r="104">
          <cell r="E104" t="str">
            <v>MO_CFSum_Capex</v>
          </cell>
          <cell r="F104" t="str">
            <v>Q3-2022</v>
          </cell>
          <cell r="I104">
            <v>-120</v>
          </cell>
          <cell r="J104">
            <v>-110</v>
          </cell>
          <cell r="K104">
            <v>-115</v>
          </cell>
          <cell r="S104">
            <v>44778</v>
          </cell>
        </row>
        <row r="106">
          <cell r="E106" t="str">
            <v>MO_MA_GM</v>
          </cell>
          <cell r="F106" t="str">
            <v>Q2-2022</v>
          </cell>
          <cell r="I106">
            <v>0.27</v>
          </cell>
          <cell r="J106">
            <v>0.28000000000000003</v>
          </cell>
          <cell r="K106">
            <v>0.27500000000000002</v>
          </cell>
          <cell r="S106">
            <v>44686</v>
          </cell>
        </row>
        <row r="107">
          <cell r="E107" t="str">
            <v>z_XCE9DO0153_MO_OS_Customerserviceandmerchantfeesasaoftotalrevenue</v>
          </cell>
          <cell r="F107" t="str">
            <v>Q2-2022</v>
          </cell>
          <cell r="I107">
            <v>4.4999999999999998E-2</v>
          </cell>
          <cell r="J107">
            <v>0.05</v>
          </cell>
          <cell r="K107">
            <v>4.7500000000000001E-2</v>
          </cell>
          <cell r="S107">
            <v>44686</v>
          </cell>
        </row>
        <row r="108">
          <cell r="E108" t="str">
            <v>z_XCE9DO0153_MO_OS_Advertisingasaoftotalrevenue</v>
          </cell>
          <cell r="F108" t="str">
            <v>Q2-2022</v>
          </cell>
          <cell r="I108">
            <v>0.1</v>
          </cell>
          <cell r="J108">
            <v>0.11</v>
          </cell>
          <cell r="K108">
            <v>0.10500000000000001</v>
          </cell>
          <cell r="S108">
            <v>44686</v>
          </cell>
        </row>
        <row r="109">
          <cell r="F109" t="str">
            <v>Q2-2022</v>
          </cell>
          <cell r="I109">
            <v>555</v>
          </cell>
          <cell r="J109">
            <v>565</v>
          </cell>
          <cell r="K109">
            <v>560</v>
          </cell>
          <cell r="S109">
            <v>44686</v>
          </cell>
        </row>
        <row r="110">
          <cell r="E110" t="str">
            <v>MO_MA_EBITDA_Adj</v>
          </cell>
          <cell r="F110" t="str">
            <v>Q2-2022</v>
          </cell>
          <cell r="I110">
            <v>-3.7999999999999999E-2</v>
          </cell>
          <cell r="J110">
            <v>-3.7999999999999999E-2</v>
          </cell>
          <cell r="K110">
            <v>-3.7999999999999999E-2</v>
          </cell>
          <cell r="S110">
            <v>44686</v>
          </cell>
        </row>
        <row r="111">
          <cell r="E111" t="str">
            <v>z_XCE9DO0153_MO_AN_Totalstockbasedcompensationandrelatedtaxes</v>
          </cell>
          <cell r="F111" t="str">
            <v>Q2-2022</v>
          </cell>
          <cell r="I111">
            <v>136</v>
          </cell>
          <cell r="J111">
            <v>140</v>
          </cell>
          <cell r="K111">
            <v>138</v>
          </cell>
          <cell r="S111">
            <v>44686</v>
          </cell>
        </row>
        <row r="112">
          <cell r="E112" t="str">
            <v>MO_RIS_DA</v>
          </cell>
          <cell r="F112" t="str">
            <v>Q2-2022</v>
          </cell>
          <cell r="I112">
            <v>85</v>
          </cell>
          <cell r="J112">
            <v>90</v>
          </cell>
          <cell r="K112">
            <v>87.5</v>
          </cell>
          <cell r="S112">
            <v>44686</v>
          </cell>
        </row>
        <row r="113">
          <cell r="E113" t="str">
            <v>MO_RIS_IE</v>
          </cell>
          <cell r="F113" t="str">
            <v>Q2-2022</v>
          </cell>
          <cell r="I113">
            <v>9</v>
          </cell>
          <cell r="J113">
            <v>9</v>
          </cell>
          <cell r="K113">
            <v>9</v>
          </cell>
          <cell r="S113">
            <v>44686</v>
          </cell>
        </row>
        <row r="114">
          <cell r="E114" t="str">
            <v>MO_RIS_ShareCount_WAB</v>
          </cell>
          <cell r="F114" t="str">
            <v>Q2-2022</v>
          </cell>
          <cell r="I114">
            <v>105</v>
          </cell>
          <cell r="J114">
            <v>105</v>
          </cell>
          <cell r="K114">
            <v>105</v>
          </cell>
          <cell r="S114">
            <v>44686</v>
          </cell>
        </row>
        <row r="115">
          <cell r="E115" t="str">
            <v>MO_CFSum_Capex</v>
          </cell>
          <cell r="F115" t="str">
            <v>Q2-2022</v>
          </cell>
          <cell r="I115">
            <v>-140</v>
          </cell>
          <cell r="J115">
            <v>-130</v>
          </cell>
          <cell r="K115">
            <v>-135</v>
          </cell>
          <cell r="S115">
            <v>44686</v>
          </cell>
        </row>
        <row r="117">
          <cell r="E117" t="str">
            <v>MO_MA_GM</v>
          </cell>
          <cell r="F117" t="str">
            <v>Q1-2022</v>
          </cell>
          <cell r="I117">
            <v>0.27</v>
          </cell>
          <cell r="J117">
            <v>0.28000000000000003</v>
          </cell>
          <cell r="K117">
            <v>0.27500000000000002</v>
          </cell>
          <cell r="S117">
            <v>44616</v>
          </cell>
        </row>
        <row r="118">
          <cell r="E118" t="str">
            <v>z_XCE9DO0153_MO_OS_Customerserviceandmerchantfeesasaoftotalrevenue</v>
          </cell>
          <cell r="F118" t="str">
            <v>Q1-2022</v>
          </cell>
          <cell r="I118">
            <v>4.4999999999999998E-2</v>
          </cell>
          <cell r="J118">
            <v>4.4999999999999998E-2</v>
          </cell>
          <cell r="K118">
            <v>4.4999999999999998E-2</v>
          </cell>
          <cell r="S118">
            <v>44616</v>
          </cell>
        </row>
        <row r="119">
          <cell r="E119" t="str">
            <v>z_XCE9DO0153_MO_OS_Advertisingasaoftotalrevenue</v>
          </cell>
          <cell r="F119" t="str">
            <v>Q1-2022</v>
          </cell>
          <cell r="I119">
            <v>0.1</v>
          </cell>
          <cell r="J119">
            <v>0.11</v>
          </cell>
          <cell r="K119">
            <v>0.10500000000000001</v>
          </cell>
          <cell r="S119">
            <v>44616</v>
          </cell>
        </row>
        <row r="120">
          <cell r="F120" t="str">
            <v>Q1-2022</v>
          </cell>
          <cell r="I120">
            <v>510</v>
          </cell>
          <cell r="J120">
            <v>520</v>
          </cell>
          <cell r="K120">
            <v>515</v>
          </cell>
          <cell r="S120">
            <v>44616</v>
          </cell>
        </row>
        <row r="121">
          <cell r="E121" t="str">
            <v>MO_MA_EBITDA_Adj</v>
          </cell>
          <cell r="F121" t="str">
            <v>Q1-2022</v>
          </cell>
          <cell r="I121">
            <v>-0.05</v>
          </cell>
          <cell r="J121">
            <v>-0.01</v>
          </cell>
          <cell r="K121">
            <v>-3.0000000000000002E-2</v>
          </cell>
          <cell r="S121">
            <v>44616</v>
          </cell>
        </row>
        <row r="122">
          <cell r="E122" t="str">
            <v>z_XCE9DO0153_MO_AN_Totalstockbasedcompensationandrelatedtaxes</v>
          </cell>
          <cell r="F122" t="str">
            <v>Q1-2022</v>
          </cell>
          <cell r="I122">
            <v>112</v>
          </cell>
          <cell r="J122">
            <v>116</v>
          </cell>
          <cell r="K122">
            <v>114</v>
          </cell>
          <cell r="S122">
            <v>44616</v>
          </cell>
        </row>
        <row r="123">
          <cell r="E123" t="str">
            <v>MO_RIS_DA</v>
          </cell>
          <cell r="F123" t="str">
            <v>Q1-2022</v>
          </cell>
          <cell r="I123">
            <v>82</v>
          </cell>
          <cell r="J123">
            <v>87</v>
          </cell>
          <cell r="K123">
            <v>84.5</v>
          </cell>
          <cell r="S123">
            <v>44616</v>
          </cell>
        </row>
        <row r="124">
          <cell r="E124" t="str">
            <v>MO_RIS_IE</v>
          </cell>
          <cell r="F124" t="str">
            <v>Q1-2022</v>
          </cell>
          <cell r="I124">
            <v>8</v>
          </cell>
          <cell r="J124">
            <v>9</v>
          </cell>
          <cell r="K124">
            <v>8.5</v>
          </cell>
          <cell r="S124">
            <v>44616</v>
          </cell>
        </row>
        <row r="125">
          <cell r="E125" t="str">
            <v>MO_RIS_ShareCount_WAB</v>
          </cell>
          <cell r="F125" t="str">
            <v>Q1-2022</v>
          </cell>
          <cell r="I125">
            <v>106</v>
          </cell>
          <cell r="J125">
            <v>106</v>
          </cell>
          <cell r="K125">
            <v>106</v>
          </cell>
          <cell r="S125">
            <v>44616</v>
          </cell>
        </row>
        <row r="126">
          <cell r="E126" t="str">
            <v>MO_CFSum_Capex</v>
          </cell>
          <cell r="F126" t="str">
            <v>Q1-2022</v>
          </cell>
          <cell r="I126">
            <v>-105</v>
          </cell>
          <cell r="J126">
            <v>-95</v>
          </cell>
          <cell r="K126">
            <v>-100</v>
          </cell>
          <cell r="S126">
            <v>44616</v>
          </cell>
        </row>
        <row r="128">
          <cell r="E128" t="str">
            <v>MO_GA_TotalRevenue</v>
          </cell>
          <cell r="F128" t="str">
            <v>Q4-2021</v>
          </cell>
          <cell r="I128">
            <v>-0.1</v>
          </cell>
          <cell r="J128">
            <v>-0.1</v>
          </cell>
          <cell r="K128">
            <v>-0.1</v>
          </cell>
          <cell r="S128">
            <v>44504</v>
          </cell>
        </row>
        <row r="129">
          <cell r="E129" t="str">
            <v>MO_MA_GM</v>
          </cell>
          <cell r="F129" t="str">
            <v>Q4-2021</v>
          </cell>
          <cell r="I129">
            <v>0.27</v>
          </cell>
          <cell r="J129">
            <v>0.28000000000000003</v>
          </cell>
          <cell r="K129">
            <v>0.27500000000000002</v>
          </cell>
          <cell r="S129">
            <v>44504</v>
          </cell>
        </row>
        <row r="130">
          <cell r="E130" t="str">
            <v>z_XCE9DO0153_MO_OS_Customerserviceandmerchantfeesasaoftotalrevenue</v>
          </cell>
          <cell r="F130" t="str">
            <v>Q4-2021</v>
          </cell>
          <cell r="I130">
            <v>4.4999999999999998E-2</v>
          </cell>
          <cell r="J130">
            <v>4.4999999999999998E-2</v>
          </cell>
          <cell r="K130">
            <v>4.4999999999999998E-2</v>
          </cell>
          <cell r="S130">
            <v>44504</v>
          </cell>
        </row>
        <row r="131">
          <cell r="E131" t="str">
            <v>z_XCE9DO0153_MO_OS_Advertisingasaoftotalrevenue</v>
          </cell>
          <cell r="F131" t="str">
            <v>Q4-2021</v>
          </cell>
          <cell r="I131">
            <v>0.1</v>
          </cell>
          <cell r="J131">
            <v>0.11</v>
          </cell>
          <cell r="K131">
            <v>0.10500000000000001</v>
          </cell>
          <cell r="S131">
            <v>44504</v>
          </cell>
        </row>
        <row r="132">
          <cell r="F132" t="str">
            <v>Q4-2021</v>
          </cell>
          <cell r="I132">
            <v>470</v>
          </cell>
          <cell r="J132">
            <v>480</v>
          </cell>
          <cell r="K132">
            <v>475</v>
          </cell>
          <cell r="S132">
            <v>44504</v>
          </cell>
        </row>
        <row r="133">
          <cell r="E133" t="str">
            <v>z_XCE9DO0153_MO_AN_Totalstockbasedcompensationandrelatedtaxes</v>
          </cell>
          <cell r="F133" t="str">
            <v>Q4-2021</v>
          </cell>
          <cell r="I133">
            <v>111</v>
          </cell>
          <cell r="J133">
            <v>113</v>
          </cell>
          <cell r="K133">
            <v>112</v>
          </cell>
          <cell r="S133">
            <v>44504</v>
          </cell>
        </row>
        <row r="134">
          <cell r="E134" t="str">
            <v>MO_RIS_DA</v>
          </cell>
          <cell r="F134" t="str">
            <v>Q4-2021</v>
          </cell>
          <cell r="I134">
            <v>78</v>
          </cell>
          <cell r="J134">
            <v>83</v>
          </cell>
          <cell r="K134">
            <v>80.5</v>
          </cell>
          <cell r="S134">
            <v>44504</v>
          </cell>
        </row>
        <row r="135">
          <cell r="E135" t="str">
            <v>MO_RIS_IE</v>
          </cell>
          <cell r="F135" t="str">
            <v>Q4-2021</v>
          </cell>
          <cell r="I135">
            <v>8</v>
          </cell>
          <cell r="J135">
            <v>9</v>
          </cell>
          <cell r="K135">
            <v>8.5</v>
          </cell>
          <cell r="S135">
            <v>44504</v>
          </cell>
        </row>
        <row r="136">
          <cell r="E136" t="str">
            <v>MO_RIS_ShareCount_WAB</v>
          </cell>
          <cell r="F136" t="str">
            <v>Q4-2021</v>
          </cell>
          <cell r="I136">
            <v>105</v>
          </cell>
          <cell r="J136">
            <v>105</v>
          </cell>
          <cell r="K136">
            <v>105</v>
          </cell>
          <cell r="S136">
            <v>44504</v>
          </cell>
        </row>
        <row r="137">
          <cell r="E137" t="str">
            <v>MO_CFSum_Capex</v>
          </cell>
          <cell r="F137" t="str">
            <v>Q4-2021</v>
          </cell>
          <cell r="I137">
            <v>-75</v>
          </cell>
          <cell r="J137">
            <v>-65</v>
          </cell>
          <cell r="K137">
            <v>-70</v>
          </cell>
          <cell r="S137">
            <v>44504</v>
          </cell>
        </row>
        <row r="139">
          <cell r="E139" t="str">
            <v>MO_MA_GM</v>
          </cell>
          <cell r="F139" t="str">
            <v>Q3-2021</v>
          </cell>
          <cell r="I139">
            <v>0.27</v>
          </cell>
          <cell r="J139">
            <v>0.28000000000000003</v>
          </cell>
          <cell r="K139">
            <v>0.27500000000000002</v>
          </cell>
          <cell r="S139">
            <v>44413</v>
          </cell>
        </row>
        <row r="140">
          <cell r="E140" t="str">
            <v>z_XCE9DO0153_MO_OS_Customerserviceandmerchantfeesasaoftotalrevenue</v>
          </cell>
          <cell r="F140" t="str">
            <v>Q3-2021</v>
          </cell>
          <cell r="I140">
            <v>3.5000000000000003E-2</v>
          </cell>
          <cell r="J140">
            <v>0.04</v>
          </cell>
          <cell r="K140">
            <v>3.7500000000000006E-2</v>
          </cell>
          <cell r="S140">
            <v>44413</v>
          </cell>
        </row>
        <row r="141">
          <cell r="E141" t="str">
            <v>z_XCE9DO0153_MO_OS_Advertisingasaoftotalrevenue</v>
          </cell>
          <cell r="F141" t="str">
            <v>Q3-2021</v>
          </cell>
          <cell r="I141">
            <v>0.1</v>
          </cell>
          <cell r="J141">
            <v>0.11</v>
          </cell>
          <cell r="K141">
            <v>0.10500000000000001</v>
          </cell>
          <cell r="S141">
            <v>44413</v>
          </cell>
        </row>
        <row r="142">
          <cell r="F142" t="str">
            <v>Q3-2021</v>
          </cell>
          <cell r="I142">
            <v>440</v>
          </cell>
          <cell r="J142">
            <v>440</v>
          </cell>
          <cell r="K142">
            <v>440</v>
          </cell>
          <cell r="S142">
            <v>44413</v>
          </cell>
        </row>
        <row r="143">
          <cell r="E143" t="str">
            <v>z_XCE9DO0153_MO_AN_Totalstockbasedcompensationandrelatedtaxes</v>
          </cell>
          <cell r="F143" t="str">
            <v>Q3-2021</v>
          </cell>
          <cell r="I143">
            <v>89</v>
          </cell>
          <cell r="J143">
            <v>91</v>
          </cell>
          <cell r="K143">
            <v>90</v>
          </cell>
          <cell r="S143">
            <v>44413</v>
          </cell>
        </row>
        <row r="144">
          <cell r="E144" t="str">
            <v>MO_RIS_DA</v>
          </cell>
          <cell r="F144" t="str">
            <v>Q3-2021</v>
          </cell>
          <cell r="I144">
            <v>80</v>
          </cell>
          <cell r="J144">
            <v>85</v>
          </cell>
          <cell r="K144">
            <v>82.5</v>
          </cell>
          <cell r="S144">
            <v>44413</v>
          </cell>
        </row>
        <row r="145">
          <cell r="E145" t="str">
            <v>MO_RIS_IE</v>
          </cell>
          <cell r="F145" t="str">
            <v>Q3-2021</v>
          </cell>
          <cell r="I145">
            <v>8</v>
          </cell>
          <cell r="J145">
            <v>9</v>
          </cell>
          <cell r="K145">
            <v>8.5</v>
          </cell>
          <cell r="S145">
            <v>44413</v>
          </cell>
        </row>
        <row r="146">
          <cell r="E146" t="str">
            <v>MO_RIS_ShareCount_WAB</v>
          </cell>
          <cell r="F146" t="str">
            <v>Q3-2021</v>
          </cell>
          <cell r="I146">
            <v>104</v>
          </cell>
          <cell r="J146">
            <v>104</v>
          </cell>
          <cell r="K146">
            <v>104</v>
          </cell>
          <cell r="S146">
            <v>44413</v>
          </cell>
        </row>
        <row r="147">
          <cell r="E147" t="str">
            <v>MO_CFSum_Capex</v>
          </cell>
          <cell r="F147" t="str">
            <v>Q3-2021</v>
          </cell>
          <cell r="I147">
            <v>-80</v>
          </cell>
          <cell r="J147">
            <v>-70</v>
          </cell>
          <cell r="K147">
            <v>-75</v>
          </cell>
          <cell r="S147">
            <v>44413</v>
          </cell>
        </row>
        <row r="149">
          <cell r="E149" t="str">
            <v>MO_MA_GM</v>
          </cell>
          <cell r="F149" t="str">
            <v>FY2024</v>
          </cell>
          <cell r="I149">
            <v>0.28999999999999998</v>
          </cell>
          <cell r="J149">
            <v>0.28999999999999998</v>
          </cell>
          <cell r="K149">
            <v>0.28999999999999998</v>
          </cell>
          <cell r="S149">
            <v>44413</v>
          </cell>
        </row>
        <row r="150">
          <cell r="E150" t="str">
            <v>MO_MA_EBITDA_Adj</v>
          </cell>
          <cell r="F150" t="str">
            <v>FY2024</v>
          </cell>
          <cell r="I150">
            <v>0.09</v>
          </cell>
          <cell r="J150">
            <v>0.11</v>
          </cell>
          <cell r="K150">
            <v>0.1</v>
          </cell>
          <cell r="S150">
            <v>44413</v>
          </cell>
        </row>
        <row r="151">
          <cell r="E151" t="str">
            <v>z_XCE9DO0153_MO_OS_Customerserviceandmerchantfeesasaoftotalrevenue</v>
          </cell>
          <cell r="F151" t="str">
            <v>FY2024</v>
          </cell>
          <cell r="I151">
            <v>0.04</v>
          </cell>
          <cell r="J151">
            <v>0.04</v>
          </cell>
          <cell r="K151">
            <v>0.04</v>
          </cell>
          <cell r="S151">
            <v>44413</v>
          </cell>
        </row>
        <row r="152">
          <cell r="E152" t="str">
            <v>z_XCE9DO0153_MO_OS_Advertisingasaoftotalrevenue</v>
          </cell>
          <cell r="F152" t="str">
            <v>FY2024</v>
          </cell>
          <cell r="I152">
            <v>0.06</v>
          </cell>
          <cell r="J152">
            <v>0.08</v>
          </cell>
          <cell r="K152">
            <v>7.0000000000000007E-2</v>
          </cell>
          <cell r="S152">
            <v>44413</v>
          </cell>
        </row>
        <row r="153">
          <cell r="E153" t="str">
            <v>z_XCE9DO0153_MO_OS_OperationstechnologyGAasaoftotalrevenue</v>
          </cell>
          <cell r="F153" t="str">
            <v>FY2024</v>
          </cell>
          <cell r="I153">
            <v>0.05</v>
          </cell>
          <cell r="J153">
            <v>7.0000000000000007E-2</v>
          </cell>
          <cell r="K153">
            <v>6.0000000000000005E-2</v>
          </cell>
          <cell r="S153">
            <v>44413</v>
          </cell>
        </row>
        <row r="155">
          <cell r="E155" t="str">
            <v>MO_MA_GM</v>
          </cell>
          <cell r="F155" t="str">
            <v>Q2-2021</v>
          </cell>
          <cell r="I155">
            <v>0.27</v>
          </cell>
          <cell r="J155">
            <v>0.28000000000000003</v>
          </cell>
          <cell r="K155">
            <v>0.27500000000000002</v>
          </cell>
          <cell r="S155">
            <v>44322</v>
          </cell>
        </row>
        <row r="156">
          <cell r="E156" t="str">
            <v>z_XCE9DO0153_MO_OS_Customerserviceandmerchantfeesasaoftotalrevenue</v>
          </cell>
          <cell r="F156" t="str">
            <v>Q2-2021</v>
          </cell>
          <cell r="I156">
            <v>3.5000000000000003E-2</v>
          </cell>
          <cell r="J156">
            <v>0.04</v>
          </cell>
          <cell r="K156">
            <v>3.7500000000000006E-2</v>
          </cell>
          <cell r="S156">
            <v>44322</v>
          </cell>
        </row>
        <row r="157">
          <cell r="E157" t="str">
            <v>z_XCE9DO0153_MO_OS_Advertisingasaoftotalrevenue</v>
          </cell>
          <cell r="F157" t="str">
            <v>Q2-2021</v>
          </cell>
          <cell r="I157">
            <v>0.1</v>
          </cell>
          <cell r="J157">
            <v>0.11</v>
          </cell>
          <cell r="K157">
            <v>0.10500000000000001</v>
          </cell>
          <cell r="S157">
            <v>44322</v>
          </cell>
        </row>
        <row r="158">
          <cell r="F158" t="str">
            <v>Q2-2021</v>
          </cell>
          <cell r="I158">
            <v>390</v>
          </cell>
          <cell r="J158">
            <v>400</v>
          </cell>
          <cell r="K158">
            <v>395</v>
          </cell>
          <cell r="S158">
            <v>44322</v>
          </cell>
        </row>
        <row r="159">
          <cell r="E159" t="str">
            <v>z_XCE9DO0153_MO_AN_Totalstockbasedcompensationandrelatedtaxes</v>
          </cell>
          <cell r="F159" t="str">
            <v>Q2-2021</v>
          </cell>
          <cell r="I159">
            <v>89</v>
          </cell>
          <cell r="J159">
            <v>91</v>
          </cell>
          <cell r="K159">
            <v>90</v>
          </cell>
          <cell r="S159">
            <v>44322</v>
          </cell>
        </row>
        <row r="160">
          <cell r="E160" t="str">
            <v>MO_RIS_DA</v>
          </cell>
          <cell r="F160" t="str">
            <v>Q2-2021</v>
          </cell>
          <cell r="I160">
            <v>75</v>
          </cell>
          <cell r="J160">
            <v>80</v>
          </cell>
          <cell r="K160">
            <v>77.5</v>
          </cell>
          <cell r="S160">
            <v>44322</v>
          </cell>
        </row>
        <row r="161">
          <cell r="E161" t="str">
            <v>MO_CFSum_Capex</v>
          </cell>
          <cell r="F161" t="str">
            <v>Q2-2021</v>
          </cell>
          <cell r="I161">
            <v>-90</v>
          </cell>
          <cell r="J161">
            <v>-80</v>
          </cell>
          <cell r="K161">
            <v>-85</v>
          </cell>
          <cell r="S161">
            <v>44322</v>
          </cell>
        </row>
        <row r="162">
          <cell r="E162" t="str">
            <v>MO_RIS_ShareCount_WAB</v>
          </cell>
          <cell r="F162" t="str">
            <v>Q2-2021</v>
          </cell>
          <cell r="I162">
            <v>104</v>
          </cell>
          <cell r="J162">
            <v>104</v>
          </cell>
          <cell r="K162">
            <v>104</v>
          </cell>
          <cell r="S162">
            <v>44322</v>
          </cell>
        </row>
        <row r="163">
          <cell r="E163" t="str">
            <v>MO_RIS_IE</v>
          </cell>
          <cell r="F163" t="str">
            <v>Q2-2021</v>
          </cell>
          <cell r="I163">
            <v>8</v>
          </cell>
          <cell r="J163">
            <v>9</v>
          </cell>
          <cell r="K163">
            <v>8.5</v>
          </cell>
          <cell r="S163">
            <v>44322</v>
          </cell>
        </row>
        <row r="165">
          <cell r="E165" t="str">
            <v>MO_MA_GM</v>
          </cell>
          <cell r="F165" t="str">
            <v>FY2024</v>
          </cell>
          <cell r="I165">
            <v>0.25</v>
          </cell>
          <cell r="J165">
            <v>0.27</v>
          </cell>
          <cell r="K165">
            <v>0.26</v>
          </cell>
          <cell r="S165">
            <v>44252</v>
          </cell>
        </row>
        <row r="166">
          <cell r="E166" t="str">
            <v>MO_MA_EBITDA_Adj</v>
          </cell>
          <cell r="F166" t="str">
            <v>FY2024</v>
          </cell>
          <cell r="I166">
            <v>0.08</v>
          </cell>
          <cell r="J166">
            <v>0.1</v>
          </cell>
          <cell r="K166">
            <v>0.09</v>
          </cell>
          <cell r="S166">
            <v>44252</v>
          </cell>
        </row>
        <row r="167">
          <cell r="E167" t="str">
            <v>z_XCE9DO0153_MO_OS_Customerserviceandmerchantfeesasaoftotalrevenue</v>
          </cell>
          <cell r="F167" t="str">
            <v>FY2024</v>
          </cell>
          <cell r="I167">
            <v>0.04</v>
          </cell>
          <cell r="J167">
            <v>0.04</v>
          </cell>
          <cell r="K167">
            <v>0.04</v>
          </cell>
          <cell r="S167">
            <v>44252</v>
          </cell>
        </row>
        <row r="168">
          <cell r="E168" t="str">
            <v>z_XCE9DO0153_MO_OS_Advertisingasaoftotalrevenue</v>
          </cell>
          <cell r="F168" t="str">
            <v>FY2024</v>
          </cell>
          <cell r="I168">
            <v>0.06</v>
          </cell>
          <cell r="J168">
            <v>0.08</v>
          </cell>
          <cell r="K168">
            <v>7.0000000000000007E-2</v>
          </cell>
          <cell r="S168">
            <v>44252</v>
          </cell>
        </row>
        <row r="169">
          <cell r="E169" t="str">
            <v>z_XCE9DO0153_MO_OS_OperationstechnologyGAasaoftotalrevenue</v>
          </cell>
          <cell r="F169" t="str">
            <v>FY2024</v>
          </cell>
          <cell r="I169">
            <v>0.05</v>
          </cell>
          <cell r="J169">
            <v>7.0000000000000007E-2</v>
          </cell>
          <cell r="K169">
            <v>6.0000000000000005E-2</v>
          </cell>
          <cell r="S169">
            <v>44252</v>
          </cell>
        </row>
        <row r="171">
          <cell r="E171" t="str">
            <v>MO_MA_GM</v>
          </cell>
          <cell r="F171" t="str">
            <v>Q1-2021</v>
          </cell>
          <cell r="I171">
            <v>0.26</v>
          </cell>
          <cell r="J171">
            <v>0.28000000000000003</v>
          </cell>
          <cell r="K171">
            <v>0.27</v>
          </cell>
          <cell r="S171">
            <v>44252</v>
          </cell>
        </row>
        <row r="172">
          <cell r="E172" t="str">
            <v>z_XCE9DO0153_MO_OS_Customerserviceandmerchantfeesasaoftotalrevenue</v>
          </cell>
          <cell r="F172" t="str">
            <v>Q1-2021</v>
          </cell>
          <cell r="I172">
            <v>0.04</v>
          </cell>
          <cell r="J172">
            <v>0.04</v>
          </cell>
          <cell r="K172">
            <v>0.04</v>
          </cell>
          <cell r="S172">
            <v>44252</v>
          </cell>
        </row>
        <row r="173">
          <cell r="E173" t="str">
            <v>z_XCE9DO0153_MO_OS_Advertisingasaoftotalrevenue</v>
          </cell>
          <cell r="F173" t="str">
            <v>Q1-2021</v>
          </cell>
          <cell r="I173">
            <v>0.1</v>
          </cell>
          <cell r="J173">
            <v>0.11</v>
          </cell>
          <cell r="K173">
            <v>0.10500000000000001</v>
          </cell>
          <cell r="S173">
            <v>44252</v>
          </cell>
        </row>
        <row r="174">
          <cell r="E174" t="str">
            <v>z_XCE9DO0153_MO_AN_Totalstockbasedcompensationandrelatedtaxes</v>
          </cell>
          <cell r="F174" t="str">
            <v>Q1-2021</v>
          </cell>
          <cell r="I174">
            <v>89</v>
          </cell>
          <cell r="J174">
            <v>91</v>
          </cell>
          <cell r="K174">
            <v>90</v>
          </cell>
          <cell r="S174">
            <v>44252</v>
          </cell>
        </row>
        <row r="175">
          <cell r="F175" t="str">
            <v>Q1-2021</v>
          </cell>
          <cell r="I175">
            <v>400</v>
          </cell>
          <cell r="J175">
            <v>400</v>
          </cell>
          <cell r="K175">
            <v>400</v>
          </cell>
          <cell r="S175">
            <v>44252</v>
          </cell>
        </row>
        <row r="176">
          <cell r="E176" t="str">
            <v>MO_RIS_DA</v>
          </cell>
          <cell r="F176" t="str">
            <v>Q1-2021</v>
          </cell>
          <cell r="I176">
            <v>75</v>
          </cell>
          <cell r="J176">
            <v>80</v>
          </cell>
          <cell r="K176">
            <v>77.5</v>
          </cell>
          <cell r="S176">
            <v>44252</v>
          </cell>
        </row>
        <row r="177">
          <cell r="E177" t="str">
            <v>MO_CFSum_Capex</v>
          </cell>
          <cell r="F177" t="str">
            <v>Q1-2021</v>
          </cell>
          <cell r="I177">
            <v>-78</v>
          </cell>
          <cell r="J177">
            <v>-68</v>
          </cell>
          <cell r="K177">
            <v>-73</v>
          </cell>
          <cell r="S177">
            <v>44252</v>
          </cell>
        </row>
        <row r="178">
          <cell r="E178" t="str">
            <v>MO_RIS_ShareCount_WAB</v>
          </cell>
          <cell r="F178" t="str">
            <v>Q1-2021</v>
          </cell>
          <cell r="I178">
            <v>103</v>
          </cell>
          <cell r="J178">
            <v>103</v>
          </cell>
          <cell r="K178">
            <v>103</v>
          </cell>
          <cell r="S178">
            <v>44252</v>
          </cell>
        </row>
        <row r="180">
          <cell r="E180" t="str">
            <v>MO_MA_GM</v>
          </cell>
          <cell r="F180" t="str">
            <v>Q4-2020</v>
          </cell>
          <cell r="I180">
            <v>0.26</v>
          </cell>
          <cell r="J180">
            <v>0.28000000000000003</v>
          </cell>
          <cell r="K180">
            <v>0.27</v>
          </cell>
          <cell r="S180">
            <v>44138</v>
          </cell>
        </row>
        <row r="181">
          <cell r="E181" t="str">
            <v>z_XCE9DO0153_MO_OS_Customerserviceandmerchantfeesasaoftotalrevenue</v>
          </cell>
          <cell r="F181" t="str">
            <v>Q4-2020</v>
          </cell>
          <cell r="I181">
            <v>0.04</v>
          </cell>
          <cell r="J181">
            <v>0.04</v>
          </cell>
          <cell r="K181">
            <v>0.04</v>
          </cell>
          <cell r="S181">
            <v>44138</v>
          </cell>
        </row>
        <row r="182">
          <cell r="E182" t="str">
            <v>z_XCE9DO0153_MO_OS_Advertisingasaoftotalrevenue</v>
          </cell>
          <cell r="F182" t="str">
            <v>Q4-2020</v>
          </cell>
          <cell r="I182">
            <v>0.1</v>
          </cell>
          <cell r="J182">
            <v>0.11</v>
          </cell>
          <cell r="K182">
            <v>0.10500000000000001</v>
          </cell>
          <cell r="S182">
            <v>44138</v>
          </cell>
        </row>
        <row r="183">
          <cell r="F183" t="str">
            <v>Q4-2020</v>
          </cell>
          <cell r="I183">
            <v>400</v>
          </cell>
          <cell r="J183">
            <v>400</v>
          </cell>
          <cell r="K183">
            <v>400</v>
          </cell>
          <cell r="S183">
            <v>44138</v>
          </cell>
        </row>
        <row r="184">
          <cell r="E184" t="str">
            <v>z_XCE9DO0153_MO_AN_Totalstockbasedcompensationandrelatedtaxes</v>
          </cell>
          <cell r="F184" t="str">
            <v>Q4-2020</v>
          </cell>
          <cell r="I184">
            <v>86</v>
          </cell>
          <cell r="J184">
            <v>88</v>
          </cell>
          <cell r="K184">
            <v>87</v>
          </cell>
          <cell r="S184">
            <v>44138</v>
          </cell>
        </row>
        <row r="185">
          <cell r="E185" t="str">
            <v>MO_RIS_DA</v>
          </cell>
          <cell r="F185" t="str">
            <v>Q4-2020</v>
          </cell>
          <cell r="I185">
            <v>73</v>
          </cell>
          <cell r="J185">
            <v>78</v>
          </cell>
          <cell r="K185">
            <v>75.5</v>
          </cell>
          <cell r="S185">
            <v>44138</v>
          </cell>
        </row>
        <row r="186">
          <cell r="E186" t="str">
            <v>MO_RIS_ShareCount_WAB</v>
          </cell>
          <cell r="F186" t="str">
            <v>Q4-2020</v>
          </cell>
          <cell r="I186">
            <v>99</v>
          </cell>
          <cell r="J186">
            <v>99</v>
          </cell>
          <cell r="K186">
            <v>99</v>
          </cell>
          <cell r="S186">
            <v>44138</v>
          </cell>
        </row>
        <row r="187">
          <cell r="E187" t="str">
            <v>MO_CFSum_Capex</v>
          </cell>
          <cell r="F187" t="str">
            <v>Q4-2020</v>
          </cell>
          <cell r="I187">
            <v>-85</v>
          </cell>
          <cell r="J187">
            <v>-75</v>
          </cell>
          <cell r="K187">
            <v>-80</v>
          </cell>
          <cell r="S187">
            <v>44138</v>
          </cell>
        </row>
        <row r="189">
          <cell r="E189" t="str">
            <v>MO_MA_GM</v>
          </cell>
          <cell r="F189" t="str">
            <v>FY2024</v>
          </cell>
          <cell r="I189">
            <v>0.25</v>
          </cell>
          <cell r="J189">
            <v>0.27</v>
          </cell>
          <cell r="K189">
            <v>0.26</v>
          </cell>
          <cell r="S189">
            <v>44048</v>
          </cell>
        </row>
        <row r="190">
          <cell r="E190" t="str">
            <v>MO_MA_EBITDA_Adj</v>
          </cell>
          <cell r="F190" t="str">
            <v>FY2024</v>
          </cell>
          <cell r="I190">
            <v>0.08</v>
          </cell>
          <cell r="J190">
            <v>0.1</v>
          </cell>
          <cell r="K190">
            <v>0.09</v>
          </cell>
          <cell r="S190">
            <v>44048</v>
          </cell>
        </row>
        <row r="191">
          <cell r="E191" t="str">
            <v>z_XCE9DO0153_MO_OS_Customerserviceandmerchantfeesasaoftotalrevenue</v>
          </cell>
          <cell r="F191" t="str">
            <v>FY2024</v>
          </cell>
          <cell r="I191">
            <v>0.04</v>
          </cell>
          <cell r="J191">
            <v>0.04</v>
          </cell>
          <cell r="K191">
            <v>0.04</v>
          </cell>
          <cell r="S191">
            <v>44048</v>
          </cell>
        </row>
        <row r="192">
          <cell r="E192" t="str">
            <v>z_XCE9DO0153_MO_OS_Advertisingasaoftotalrevenue</v>
          </cell>
          <cell r="F192" t="str">
            <v>FY2024</v>
          </cell>
          <cell r="I192">
            <v>0.06</v>
          </cell>
          <cell r="J192">
            <v>0.08</v>
          </cell>
          <cell r="K192">
            <v>7.0000000000000007E-2</v>
          </cell>
          <cell r="S192">
            <v>44048</v>
          </cell>
        </row>
        <row r="193">
          <cell r="E193" t="str">
            <v>z_XCE9DO0153_MO_OS_OperationstechnologyGAasaoftotalrevenue</v>
          </cell>
          <cell r="F193" t="str">
            <v>FY2024</v>
          </cell>
          <cell r="I193">
            <v>0.05</v>
          </cell>
          <cell r="J193">
            <v>7.0000000000000007E-2</v>
          </cell>
          <cell r="K193">
            <v>6.0000000000000005E-2</v>
          </cell>
          <cell r="S193">
            <v>44048</v>
          </cell>
        </row>
        <row r="195">
          <cell r="E195" t="str">
            <v>MO_GA_TotalRevenue</v>
          </cell>
          <cell r="F195" t="str">
            <v>Q3-2020</v>
          </cell>
          <cell r="I195">
            <v>0.2</v>
          </cell>
          <cell r="J195">
            <v>0.7</v>
          </cell>
          <cell r="K195">
            <v>0.44999999999999996</v>
          </cell>
          <cell r="S195">
            <v>44048</v>
          </cell>
        </row>
        <row r="196">
          <cell r="E196" t="str">
            <v>MO_MA_GM</v>
          </cell>
          <cell r="F196" t="str">
            <v>Q3-2020</v>
          </cell>
          <cell r="I196">
            <v>0.26</v>
          </cell>
          <cell r="J196">
            <v>0.27</v>
          </cell>
          <cell r="K196">
            <v>0.26500000000000001</v>
          </cell>
          <cell r="S196">
            <v>44048</v>
          </cell>
        </row>
        <row r="197">
          <cell r="E197" t="str">
            <v>z_XCE9DO0153_MO_OS_Customerserviceandmerchantfeesasaoftotalrevenue</v>
          </cell>
          <cell r="F197" t="str">
            <v>Q3-2020</v>
          </cell>
          <cell r="I197">
            <v>0.04</v>
          </cell>
          <cell r="J197">
            <v>0.04</v>
          </cell>
          <cell r="K197">
            <v>0.04</v>
          </cell>
          <cell r="S197">
            <v>44048</v>
          </cell>
        </row>
        <row r="198">
          <cell r="E198" t="str">
            <v>z_XCE9DO0153_MO_OS_Advertisingasaoftotalrevenue</v>
          </cell>
          <cell r="F198" t="str">
            <v>Q3-2020</v>
          </cell>
          <cell r="I198">
            <v>0.1</v>
          </cell>
          <cell r="J198">
            <v>0.11</v>
          </cell>
          <cell r="K198">
            <v>0.10500000000000001</v>
          </cell>
          <cell r="S198">
            <v>44048</v>
          </cell>
        </row>
        <row r="199">
          <cell r="F199" t="str">
            <v>Q3-2020</v>
          </cell>
          <cell r="I199">
            <v>400</v>
          </cell>
          <cell r="J199">
            <v>400</v>
          </cell>
          <cell r="K199">
            <v>400</v>
          </cell>
          <cell r="S199">
            <v>44048</v>
          </cell>
        </row>
        <row r="200">
          <cell r="E200" t="str">
            <v>z_XCE9DO0153_MO_AN_Totalstockbasedcompensationandrelatedtaxes</v>
          </cell>
          <cell r="F200" t="str">
            <v>Q3-2020</v>
          </cell>
          <cell r="I200">
            <v>78</v>
          </cell>
          <cell r="J200">
            <v>80</v>
          </cell>
          <cell r="K200">
            <v>79</v>
          </cell>
          <cell r="S200">
            <v>44048</v>
          </cell>
        </row>
        <row r="201">
          <cell r="E201" t="str">
            <v>MO_RIS_DA</v>
          </cell>
          <cell r="F201" t="str">
            <v>Q3-2020</v>
          </cell>
          <cell r="I201">
            <v>70</v>
          </cell>
          <cell r="J201">
            <v>75</v>
          </cell>
          <cell r="K201">
            <v>72.5</v>
          </cell>
          <cell r="S201">
            <v>44048</v>
          </cell>
        </row>
        <row r="202">
          <cell r="E202" t="str">
            <v>MO_RIS_ShareCount_WAB</v>
          </cell>
          <cell r="F202" t="str">
            <v>Q3-2020</v>
          </cell>
          <cell r="I202">
            <v>96</v>
          </cell>
          <cell r="J202">
            <v>96</v>
          </cell>
          <cell r="K202">
            <v>96</v>
          </cell>
          <cell r="S202">
            <v>44048</v>
          </cell>
        </row>
        <row r="203">
          <cell r="E203" t="str">
            <v>MO_CFSum_Capex</v>
          </cell>
          <cell r="F203" t="str">
            <v>Q3-2020</v>
          </cell>
          <cell r="I203">
            <v>-105</v>
          </cell>
          <cell r="J203">
            <v>-95</v>
          </cell>
          <cell r="K203">
            <v>-100</v>
          </cell>
          <cell r="S203">
            <v>44048</v>
          </cell>
        </row>
        <row r="205">
          <cell r="E205" t="str">
            <v>MO_MA_GM</v>
          </cell>
          <cell r="F205" t="str">
            <v>FY2024</v>
          </cell>
          <cell r="I205">
            <v>0.25</v>
          </cell>
          <cell r="J205">
            <v>0.27</v>
          </cell>
          <cell r="K205">
            <v>0.26</v>
          </cell>
          <cell r="S205">
            <v>43956</v>
          </cell>
        </row>
        <row r="206">
          <cell r="E206" t="str">
            <v>MO_MA_EBITDA_Adj</v>
          </cell>
          <cell r="F206" t="str">
            <v>FY2024</v>
          </cell>
          <cell r="I206">
            <v>0.08</v>
          </cell>
          <cell r="J206">
            <v>0.1</v>
          </cell>
          <cell r="K206">
            <v>0.09</v>
          </cell>
          <cell r="S206">
            <v>43956</v>
          </cell>
        </row>
        <row r="207">
          <cell r="E207" t="str">
            <v>z_XCE9DO0153_MO_OS_Customerserviceandmerchantfeesasaoftotalrevenue</v>
          </cell>
          <cell r="F207" t="str">
            <v>FY2024</v>
          </cell>
          <cell r="I207">
            <v>0.04</v>
          </cell>
          <cell r="J207">
            <v>0.04</v>
          </cell>
          <cell r="K207">
            <v>0.04</v>
          </cell>
          <cell r="S207">
            <v>43956</v>
          </cell>
        </row>
        <row r="208">
          <cell r="E208" t="str">
            <v>z_XCE9DO0153_MO_OS_Advertisingasaoftotalrevenue</v>
          </cell>
          <cell r="F208" t="str">
            <v>FY2024</v>
          </cell>
          <cell r="I208">
            <v>0.06</v>
          </cell>
          <cell r="J208">
            <v>0.08</v>
          </cell>
          <cell r="K208">
            <v>7.0000000000000007E-2</v>
          </cell>
          <cell r="S208">
            <v>43956</v>
          </cell>
        </row>
        <row r="209">
          <cell r="E209" t="str">
            <v>z_XCE9DO0153_MO_OS_OperationstechnologyGAasaoftotalrevenue</v>
          </cell>
          <cell r="F209" t="str">
            <v>FY2024</v>
          </cell>
          <cell r="I209">
            <v>0.05</v>
          </cell>
          <cell r="J209">
            <v>7.0000000000000007E-2</v>
          </cell>
          <cell r="K209">
            <v>6.0000000000000005E-2</v>
          </cell>
          <cell r="S209">
            <v>43956</v>
          </cell>
        </row>
        <row r="211">
          <cell r="E211" t="str">
            <v>MO_GA_TotalRevenue</v>
          </cell>
          <cell r="F211" t="str">
            <v>Q2-2020</v>
          </cell>
          <cell r="I211">
            <v>0.2</v>
          </cell>
          <cell r="J211">
            <v>0.9</v>
          </cell>
          <cell r="K211">
            <v>0.55000000000000004</v>
          </cell>
          <cell r="S211">
            <v>43956</v>
          </cell>
        </row>
        <row r="212">
          <cell r="E212" t="str">
            <v>MO_MA_GM</v>
          </cell>
          <cell r="F212" t="str">
            <v>Q2-2020</v>
          </cell>
          <cell r="I212">
            <v>0.26</v>
          </cell>
          <cell r="J212">
            <v>0.26</v>
          </cell>
          <cell r="K212">
            <v>0.26</v>
          </cell>
          <cell r="S212">
            <v>43956</v>
          </cell>
        </row>
        <row r="213">
          <cell r="E213" t="str">
            <v>z_XCE9DO0153_MO_OS_Advertisingasaoftotalrevenue</v>
          </cell>
          <cell r="F213" t="str">
            <v>Q2-2020</v>
          </cell>
          <cell r="I213">
            <v>0.105</v>
          </cell>
          <cell r="J213">
            <v>0.105</v>
          </cell>
          <cell r="K213">
            <v>0.105</v>
          </cell>
          <cell r="S213">
            <v>43956</v>
          </cell>
        </row>
        <row r="214">
          <cell r="F214" t="str">
            <v>Q2-2020</v>
          </cell>
          <cell r="I214">
            <v>400</v>
          </cell>
          <cell r="J214">
            <v>400</v>
          </cell>
          <cell r="K214">
            <v>400</v>
          </cell>
          <cell r="S214">
            <v>43956</v>
          </cell>
        </row>
        <row r="215">
          <cell r="E215" t="str">
            <v>z_XCE9DO0153_MO_AN_Totalstockbasedcompensationandrelatedtaxes</v>
          </cell>
          <cell r="F215" t="str">
            <v>Q2-2020</v>
          </cell>
          <cell r="I215">
            <v>70</v>
          </cell>
          <cell r="J215">
            <v>72</v>
          </cell>
          <cell r="K215">
            <v>71</v>
          </cell>
          <cell r="S215">
            <v>43956</v>
          </cell>
        </row>
        <row r="216">
          <cell r="E216" t="str">
            <v>MO_RIS_DA</v>
          </cell>
          <cell r="F216" t="str">
            <v>Q2-2020</v>
          </cell>
          <cell r="I216">
            <v>80</v>
          </cell>
          <cell r="J216">
            <v>80</v>
          </cell>
          <cell r="K216">
            <v>80</v>
          </cell>
          <cell r="S216">
            <v>43956</v>
          </cell>
        </row>
        <row r="217">
          <cell r="E217" t="str">
            <v>MO_RIS_ShareCount_WAB</v>
          </cell>
          <cell r="F217" t="str">
            <v>Q2-2020</v>
          </cell>
          <cell r="I217">
            <v>95</v>
          </cell>
          <cell r="J217">
            <v>95</v>
          </cell>
          <cell r="K217">
            <v>95</v>
          </cell>
          <cell r="S217">
            <v>43956</v>
          </cell>
        </row>
        <row r="218">
          <cell r="E218" t="str">
            <v>MO_CFSum_Capex</v>
          </cell>
          <cell r="F218" t="str">
            <v>Q2-2020</v>
          </cell>
          <cell r="I218">
            <v>-98</v>
          </cell>
          <cell r="J218">
            <v>-98</v>
          </cell>
          <cell r="K218">
            <v>-98</v>
          </cell>
          <cell r="S218">
            <v>43956</v>
          </cell>
        </row>
        <row r="220">
          <cell r="E220" t="str">
            <v>MO_MA_GM</v>
          </cell>
          <cell r="F220" t="str">
            <v>FY2024</v>
          </cell>
          <cell r="I220">
            <v>0.25</v>
          </cell>
          <cell r="J220">
            <v>0.27</v>
          </cell>
          <cell r="K220">
            <v>0.26</v>
          </cell>
          <cell r="S220">
            <v>43889</v>
          </cell>
        </row>
        <row r="221">
          <cell r="E221" t="str">
            <v>MO_MA_EBITDA_Adj</v>
          </cell>
          <cell r="F221" t="str">
            <v>FY2024</v>
          </cell>
          <cell r="I221">
            <v>0.08</v>
          </cell>
          <cell r="J221">
            <v>0.1</v>
          </cell>
          <cell r="K221">
            <v>0.09</v>
          </cell>
          <cell r="S221">
            <v>43889</v>
          </cell>
        </row>
        <row r="222">
          <cell r="E222" t="str">
            <v>z_XCE9DO0153_MO_OS_Customerserviceandmerchantfeesasaoftotalrevenue</v>
          </cell>
          <cell r="F222" t="str">
            <v>FY2024</v>
          </cell>
          <cell r="I222">
            <v>0.04</v>
          </cell>
          <cell r="J222">
            <v>0.04</v>
          </cell>
          <cell r="K222">
            <v>0.04</v>
          </cell>
          <cell r="S222">
            <v>43889</v>
          </cell>
        </row>
        <row r="223">
          <cell r="E223" t="str">
            <v>z_XCE9DO0153_MO_OS_Advertisingasaoftotalrevenue</v>
          </cell>
          <cell r="F223" t="str">
            <v>FY2024</v>
          </cell>
          <cell r="I223">
            <v>0.06</v>
          </cell>
          <cell r="J223">
            <v>0.08</v>
          </cell>
          <cell r="K223">
            <v>7.0000000000000007E-2</v>
          </cell>
          <cell r="S223">
            <v>43889</v>
          </cell>
        </row>
        <row r="224">
          <cell r="E224" t="str">
            <v>z_XCE9DO0153_MO_OS_OperationstechnologyGAasaoftotalrevenue</v>
          </cell>
          <cell r="F224" t="str">
            <v>FY2024</v>
          </cell>
          <cell r="I224">
            <v>0.05</v>
          </cell>
          <cell r="J224">
            <v>7.0000000000000007E-2</v>
          </cell>
          <cell r="K224">
            <v>6.0000000000000005E-2</v>
          </cell>
          <cell r="S224">
            <v>43889</v>
          </cell>
        </row>
        <row r="226">
          <cell r="E226" t="str">
            <v>MO_GA_TotalRevenue</v>
          </cell>
          <cell r="F226" t="str">
            <v>Q1-2020</v>
          </cell>
          <cell r="I226">
            <v>0.15</v>
          </cell>
          <cell r="J226">
            <v>0.17</v>
          </cell>
          <cell r="K226">
            <v>0.16</v>
          </cell>
          <cell r="S226">
            <v>43889</v>
          </cell>
        </row>
        <row r="227">
          <cell r="E227" t="str">
            <v>MO_MA_GM</v>
          </cell>
          <cell r="F227" t="str">
            <v>Q1-2020</v>
          </cell>
          <cell r="I227">
            <v>0.23</v>
          </cell>
          <cell r="J227">
            <v>0.24</v>
          </cell>
          <cell r="K227">
            <v>0.23499999999999999</v>
          </cell>
          <cell r="S227">
            <v>43889</v>
          </cell>
        </row>
        <row r="228">
          <cell r="E228" t="str">
            <v>z_XCE9DO0153_MO_AN_Totalstockbasedcompensationandrelatedtaxes</v>
          </cell>
          <cell r="F228" t="str">
            <v>Q1-2020</v>
          </cell>
          <cell r="I228">
            <v>66</v>
          </cell>
          <cell r="J228">
            <v>68</v>
          </cell>
          <cell r="K228">
            <v>67</v>
          </cell>
          <cell r="S228">
            <v>43889</v>
          </cell>
        </row>
        <row r="229">
          <cell r="E229" t="str">
            <v>MO_RIS_DA</v>
          </cell>
          <cell r="F229" t="str">
            <v>Q1-2020</v>
          </cell>
          <cell r="I229">
            <v>64</v>
          </cell>
          <cell r="J229">
            <v>66</v>
          </cell>
          <cell r="K229">
            <v>65</v>
          </cell>
          <cell r="S229">
            <v>43889</v>
          </cell>
        </row>
        <row r="230">
          <cell r="E230" t="str">
            <v>MO_RIS_ShareCount_WAB</v>
          </cell>
          <cell r="F230" t="str">
            <v>Q1-2020</v>
          </cell>
          <cell r="I230">
            <v>94</v>
          </cell>
          <cell r="J230">
            <v>94</v>
          </cell>
          <cell r="K230">
            <v>94</v>
          </cell>
          <cell r="S230">
            <v>43889</v>
          </cell>
        </row>
        <row r="232">
          <cell r="E232" t="str">
            <v>MO_MA_GM</v>
          </cell>
          <cell r="F232" t="str">
            <v>FY2024</v>
          </cell>
          <cell r="I232">
            <v>0.25</v>
          </cell>
          <cell r="J232">
            <v>0.27</v>
          </cell>
          <cell r="K232">
            <v>0.26</v>
          </cell>
          <cell r="S232">
            <v>43769</v>
          </cell>
        </row>
        <row r="233">
          <cell r="E233" t="str">
            <v>MO_MA_EBITDA_Adj</v>
          </cell>
          <cell r="F233" t="str">
            <v>FY2024</v>
          </cell>
          <cell r="I233">
            <v>0.08</v>
          </cell>
          <cell r="J233">
            <v>0.1</v>
          </cell>
          <cell r="K233">
            <v>0.09</v>
          </cell>
          <cell r="S233">
            <v>43769</v>
          </cell>
        </row>
        <row r="234">
          <cell r="E234" t="str">
            <v>z_XCE9DO0153_MO_OS_Customerserviceandmerchantfeesasaoftotalrevenue</v>
          </cell>
          <cell r="F234" t="str">
            <v>FY2024</v>
          </cell>
          <cell r="I234">
            <v>0.04</v>
          </cell>
          <cell r="J234">
            <v>0.04</v>
          </cell>
          <cell r="K234">
            <v>0.04</v>
          </cell>
          <cell r="S234">
            <v>43769</v>
          </cell>
        </row>
        <row r="235">
          <cell r="E235" t="str">
            <v>z_XCE9DO0153_MO_OS_Advertisingasaoftotalrevenue</v>
          </cell>
          <cell r="F235" t="str">
            <v>FY2024</v>
          </cell>
          <cell r="I235">
            <v>0.06</v>
          </cell>
          <cell r="J235">
            <v>0.08</v>
          </cell>
          <cell r="K235">
            <v>7.0000000000000007E-2</v>
          </cell>
          <cell r="S235">
            <v>43769</v>
          </cell>
        </row>
        <row r="236">
          <cell r="E236" t="str">
            <v>z_XCE9DO0153_MO_OS_OperationstechnologyGAasaoftotalrevenue</v>
          </cell>
          <cell r="F236" t="str">
            <v>FY2024</v>
          </cell>
          <cell r="I236">
            <v>0.05</v>
          </cell>
          <cell r="J236">
            <v>7.0000000000000007E-2</v>
          </cell>
          <cell r="K236">
            <v>6.0000000000000005E-2</v>
          </cell>
          <cell r="S236">
            <v>43769</v>
          </cell>
        </row>
        <row r="237">
          <cell r="E237" t="str">
            <v>z_XCE9DO0153_MO_OS_OperationstechnologyGAasaoftotalrevenue</v>
          </cell>
          <cell r="F237" t="str">
            <v>FY2024</v>
          </cell>
          <cell r="I237">
            <v>0.15</v>
          </cell>
          <cell r="J237">
            <v>0.19</v>
          </cell>
          <cell r="K237">
            <v>0.16999999999999998</v>
          </cell>
          <cell r="S237">
            <v>43769</v>
          </cell>
        </row>
        <row r="239">
          <cell r="E239" t="str">
            <v>MO_MA_GM</v>
          </cell>
          <cell r="F239" t="str">
            <v>FY2024</v>
          </cell>
          <cell r="I239">
            <v>0.25</v>
          </cell>
          <cell r="J239">
            <v>0.27</v>
          </cell>
          <cell r="K239">
            <v>0.26</v>
          </cell>
          <cell r="S239">
            <v>43678</v>
          </cell>
        </row>
        <row r="240">
          <cell r="E240" t="str">
            <v>MO_MA_EBITDA_Adj</v>
          </cell>
          <cell r="F240" t="str">
            <v>FY2024</v>
          </cell>
          <cell r="I240">
            <v>0.08</v>
          </cell>
          <cell r="J240">
            <v>0.1</v>
          </cell>
          <cell r="K240">
            <v>0.09</v>
          </cell>
          <cell r="S240">
            <v>43678</v>
          </cell>
        </row>
        <row r="241">
          <cell r="E241" t="str">
            <v>z_XCE9DO0153_MO_OS_Customerserviceandmerchantfeesasaoftotalrevenue</v>
          </cell>
          <cell r="F241" t="str">
            <v>FY2024</v>
          </cell>
          <cell r="I241">
            <v>0.04</v>
          </cell>
          <cell r="J241">
            <v>0.04</v>
          </cell>
          <cell r="K241">
            <v>0.04</v>
          </cell>
          <cell r="S241">
            <v>43678</v>
          </cell>
        </row>
        <row r="242">
          <cell r="E242" t="str">
            <v>z_XCE9DO0153_MO_OS_Advertisingasaoftotalrevenue</v>
          </cell>
          <cell r="F242" t="str">
            <v>FY2024</v>
          </cell>
          <cell r="I242">
            <v>0.06</v>
          </cell>
          <cell r="J242">
            <v>0.08</v>
          </cell>
          <cell r="K242">
            <v>7.0000000000000007E-2</v>
          </cell>
          <cell r="S242">
            <v>43678</v>
          </cell>
        </row>
        <row r="243">
          <cell r="E243" t="str">
            <v>z_XCE9DO0153_MO_OS_OperationstechnologyGAasaoftotalrevenue</v>
          </cell>
          <cell r="F243" t="str">
            <v>FY2024</v>
          </cell>
          <cell r="I243">
            <v>0.05</v>
          </cell>
          <cell r="J243">
            <v>7.0000000000000007E-2</v>
          </cell>
          <cell r="K243">
            <v>6.0000000000000005E-2</v>
          </cell>
          <cell r="S243">
            <v>43678</v>
          </cell>
        </row>
        <row r="244">
          <cell r="F244" t="str">
            <v>FY2024</v>
          </cell>
          <cell r="I244">
            <v>0.15</v>
          </cell>
          <cell r="J244">
            <v>0.19</v>
          </cell>
          <cell r="K244">
            <v>0.16999999999999998</v>
          </cell>
          <cell r="S244">
            <v>43678</v>
          </cell>
        </row>
        <row r="246">
          <cell r="E246" t="str">
            <v>z_XCE9DO0153_MO_AN_Totalstockbasedcompensationandrelatedtaxes</v>
          </cell>
          <cell r="F246" t="str">
            <v>Q3-2019</v>
          </cell>
          <cell r="I246">
            <v>66</v>
          </cell>
          <cell r="J246">
            <v>68</v>
          </cell>
          <cell r="K246">
            <v>67</v>
          </cell>
          <cell r="S246">
            <v>43678</v>
          </cell>
        </row>
        <row r="247">
          <cell r="E247" t="str">
            <v>MO_RIS_DA</v>
          </cell>
          <cell r="F247" t="str">
            <v>Q3-2019</v>
          </cell>
          <cell r="I247">
            <v>53</v>
          </cell>
          <cell r="J247">
            <v>55</v>
          </cell>
          <cell r="K247">
            <v>54</v>
          </cell>
          <cell r="S247">
            <v>43678</v>
          </cell>
        </row>
        <row r="248">
          <cell r="E248" t="str">
            <v>MO_OS_REV_DTC</v>
          </cell>
          <cell r="F248" t="str">
            <v>Q3-2019</v>
          </cell>
          <cell r="I248">
            <v>2220</v>
          </cell>
          <cell r="J248">
            <v>2270</v>
          </cell>
          <cell r="K248">
            <v>2245</v>
          </cell>
          <cell r="S248">
            <v>43678</v>
          </cell>
        </row>
        <row r="249">
          <cell r="E249" t="str">
            <v>z_XCE9DO0153_MO_OS_Otherrevenue</v>
          </cell>
          <cell r="F249" t="str">
            <v>Q3-2019</v>
          </cell>
          <cell r="I249">
            <v>5</v>
          </cell>
          <cell r="J249">
            <v>10</v>
          </cell>
          <cell r="K249">
            <v>7.5</v>
          </cell>
          <cell r="S249">
            <v>43678</v>
          </cell>
        </row>
        <row r="250">
          <cell r="E250" t="str">
            <v>z_XCE9DO0153_MO_OS_totalrevenue</v>
          </cell>
          <cell r="F250" t="str">
            <v>Q3-2019</v>
          </cell>
          <cell r="I250">
            <v>2230</v>
          </cell>
          <cell r="J250">
            <v>2280</v>
          </cell>
          <cell r="K250">
            <v>2255</v>
          </cell>
          <cell r="S250">
            <v>43678</v>
          </cell>
        </row>
        <row r="251">
          <cell r="E251" t="str">
            <v>MO_MA_EBITDA</v>
          </cell>
          <cell r="F251" t="str">
            <v>Q3-2019</v>
          </cell>
          <cell r="I251">
            <v>-0.06</v>
          </cell>
          <cell r="J251">
            <v>-6.5000000000000002E-2</v>
          </cell>
          <cell r="K251">
            <v>-6.25E-2</v>
          </cell>
          <cell r="S251">
            <v>43678</v>
          </cell>
        </row>
        <row r="252">
          <cell r="E252" t="str">
            <v>MO_RIS_ShareCount_WAD</v>
          </cell>
          <cell r="F252" t="str">
            <v>Q3-2019</v>
          </cell>
          <cell r="I252">
            <v>92.5</v>
          </cell>
          <cell r="J252">
            <v>92.5</v>
          </cell>
          <cell r="K252">
            <v>92.5</v>
          </cell>
          <cell r="S252">
            <v>43678</v>
          </cell>
        </row>
        <row r="254">
          <cell r="E254" t="str">
            <v>z_XCE9DO0153_MO_AN_Totalstockbasedcompensationandrelatedtaxes</v>
          </cell>
          <cell r="F254" t="str">
            <v>Q2-2019</v>
          </cell>
          <cell r="I254">
            <v>54</v>
          </cell>
          <cell r="J254">
            <v>56</v>
          </cell>
          <cell r="K254">
            <v>55</v>
          </cell>
          <cell r="S254">
            <v>43587</v>
          </cell>
        </row>
        <row r="255">
          <cell r="E255" t="str">
            <v>MO_RIS_DA</v>
          </cell>
          <cell r="F255" t="str">
            <v>Q2-2019</v>
          </cell>
          <cell r="I255">
            <v>44</v>
          </cell>
          <cell r="J255">
            <v>46</v>
          </cell>
          <cell r="K255">
            <v>45</v>
          </cell>
          <cell r="S255">
            <v>43587</v>
          </cell>
        </row>
        <row r="256">
          <cell r="E256" t="str">
            <v>MO_OS_REV_DTC</v>
          </cell>
          <cell r="F256" t="str">
            <v>Q2-2019</v>
          </cell>
          <cell r="I256">
            <v>2200</v>
          </cell>
          <cell r="J256">
            <v>2250</v>
          </cell>
          <cell r="K256">
            <v>2225</v>
          </cell>
          <cell r="S256">
            <v>43587</v>
          </cell>
        </row>
        <row r="257">
          <cell r="E257" t="str">
            <v>z_XCE9DO0153_MO_OS_Otherrevenue</v>
          </cell>
          <cell r="F257" t="str">
            <v>Q2-2019</v>
          </cell>
          <cell r="I257">
            <v>10</v>
          </cell>
          <cell r="J257">
            <v>10</v>
          </cell>
          <cell r="K257">
            <v>10</v>
          </cell>
          <cell r="S257">
            <v>43587</v>
          </cell>
        </row>
        <row r="258">
          <cell r="E258" t="str">
            <v>z_XCE9DO0153_MO_OS_totalrevenue</v>
          </cell>
          <cell r="F258" t="str">
            <v>Q2-2019</v>
          </cell>
          <cell r="I258">
            <v>2210</v>
          </cell>
          <cell r="J258">
            <v>2260</v>
          </cell>
          <cell r="K258">
            <v>2235</v>
          </cell>
          <cell r="S258">
            <v>43587</v>
          </cell>
        </row>
        <row r="259">
          <cell r="E259" t="str">
            <v>MO_MA_EBITDA</v>
          </cell>
          <cell r="F259" t="str">
            <v>Q2-2019</v>
          </cell>
          <cell r="I259">
            <v>-3.5999999999999997E-2</v>
          </cell>
          <cell r="J259">
            <v>-3.3000000000000002E-2</v>
          </cell>
          <cell r="K259">
            <v>-3.4500000000000003E-2</v>
          </cell>
          <cell r="S259">
            <v>43587</v>
          </cell>
        </row>
        <row r="260">
          <cell r="E260" t="str">
            <v>MO_RIS_ShareCount_WAD</v>
          </cell>
          <cell r="F260" t="str">
            <v>Q2-2019</v>
          </cell>
          <cell r="I260">
            <v>91.8</v>
          </cell>
          <cell r="J260">
            <v>91.8</v>
          </cell>
          <cell r="K260">
            <v>91.8</v>
          </cell>
          <cell r="S260">
            <v>43587</v>
          </cell>
        </row>
        <row r="262">
          <cell r="E262" t="str">
            <v>MO_MA_GM</v>
          </cell>
          <cell r="F262" t="str">
            <v>Q1-2019</v>
          </cell>
          <cell r="I262">
            <v>0.23</v>
          </cell>
          <cell r="J262">
            <v>0.24</v>
          </cell>
          <cell r="K262">
            <v>0.23499999999999999</v>
          </cell>
          <cell r="S262">
            <v>43518</v>
          </cell>
        </row>
        <row r="263">
          <cell r="E263" t="str">
            <v>MO_OS_REV_DTC</v>
          </cell>
          <cell r="F263" t="str">
            <v>Q1-2019</v>
          </cell>
          <cell r="I263">
            <v>1860</v>
          </cell>
          <cell r="J263">
            <v>1900</v>
          </cell>
          <cell r="K263">
            <v>1880</v>
          </cell>
          <cell r="S263">
            <v>43518</v>
          </cell>
        </row>
        <row r="264">
          <cell r="E264" t="str">
            <v>z_XCE9DO0153_MO_OS_Otherrevenue</v>
          </cell>
          <cell r="F264" t="str">
            <v>Q1-2019</v>
          </cell>
          <cell r="I264">
            <v>10</v>
          </cell>
          <cell r="J264">
            <v>15</v>
          </cell>
          <cell r="K264">
            <v>12.5</v>
          </cell>
          <cell r="S264">
            <v>43518</v>
          </cell>
        </row>
        <row r="265">
          <cell r="E265" t="str">
            <v>z_XCE9DO0153_MO_OS_totalrevenue</v>
          </cell>
          <cell r="F265" t="str">
            <v>Q1-2019</v>
          </cell>
          <cell r="I265">
            <v>1870</v>
          </cell>
          <cell r="J265">
            <v>1915</v>
          </cell>
          <cell r="K265">
            <v>1892.5</v>
          </cell>
          <cell r="S265">
            <v>43518</v>
          </cell>
        </row>
        <row r="266">
          <cell r="E266" t="str">
            <v>MO_MA_EBITDA</v>
          </cell>
          <cell r="F266" t="str">
            <v>Q1-2019</v>
          </cell>
          <cell r="I266">
            <v>-5.1999999999999998E-2</v>
          </cell>
          <cell r="J266">
            <v>-5.5E-2</v>
          </cell>
          <cell r="K266">
            <v>-5.3499999999999999E-2</v>
          </cell>
          <cell r="S266">
            <v>43518</v>
          </cell>
        </row>
        <row r="267">
          <cell r="E267" t="str">
            <v>MO_RIS_ShareCount_WAD</v>
          </cell>
          <cell r="F267" t="str">
            <v>Q1-2019</v>
          </cell>
          <cell r="I267">
            <v>91.1</v>
          </cell>
          <cell r="J267">
            <v>91.1</v>
          </cell>
          <cell r="K267">
            <v>91.1</v>
          </cell>
          <cell r="S267">
            <v>43518</v>
          </cell>
        </row>
        <row r="269">
          <cell r="E269" t="str">
            <v>MO_MA_GM</v>
          </cell>
          <cell r="F269" t="str">
            <v>FY2022</v>
          </cell>
          <cell r="I269">
            <v>0.25</v>
          </cell>
          <cell r="J269">
            <v>0.27</v>
          </cell>
          <cell r="K269">
            <v>0.26</v>
          </cell>
          <cell r="S269">
            <v>43518</v>
          </cell>
        </row>
        <row r="270">
          <cell r="E270" t="str">
            <v>MO_MA_EBITDA_Adj</v>
          </cell>
          <cell r="F270" t="str">
            <v>FY2022</v>
          </cell>
          <cell r="I270">
            <v>0.08</v>
          </cell>
          <cell r="J270">
            <v>0.1</v>
          </cell>
          <cell r="K270">
            <v>0.09</v>
          </cell>
          <cell r="S270">
            <v>43518</v>
          </cell>
        </row>
        <row r="271">
          <cell r="F271" t="str">
            <v>FY2022</v>
          </cell>
          <cell r="I271">
            <v>0.04</v>
          </cell>
          <cell r="J271">
            <v>0.04</v>
          </cell>
          <cell r="K271">
            <v>0.04</v>
          </cell>
          <cell r="S271">
            <v>43518</v>
          </cell>
        </row>
        <row r="272">
          <cell r="F272" t="str">
            <v>FY2022</v>
          </cell>
          <cell r="I272">
            <v>0.06</v>
          </cell>
          <cell r="J272">
            <v>0.08</v>
          </cell>
          <cell r="K272">
            <v>7.0000000000000007E-2</v>
          </cell>
          <cell r="S272">
            <v>43518</v>
          </cell>
        </row>
        <row r="273">
          <cell r="E273" t="str">
            <v>z_XCE9DO0153_MO_OS_OperationstechnologyGAasaoftotalrevenue</v>
          </cell>
          <cell r="F273" t="str">
            <v>FY2022</v>
          </cell>
          <cell r="I273">
            <v>0.05</v>
          </cell>
          <cell r="J273">
            <v>7.0000000000000007E-2</v>
          </cell>
          <cell r="K273">
            <v>6.0000000000000005E-2</v>
          </cell>
          <cell r="S273">
            <v>43518</v>
          </cell>
        </row>
        <row r="274">
          <cell r="F274" t="str">
            <v>FY2022</v>
          </cell>
          <cell r="I274">
            <v>0.15</v>
          </cell>
          <cell r="J274">
            <v>0.19</v>
          </cell>
          <cell r="K274">
            <v>0.16999999999999998</v>
          </cell>
          <cell r="S274">
            <v>43518</v>
          </cell>
        </row>
        <row r="276">
          <cell r="E276" t="str">
            <v>MO_MA_GM</v>
          </cell>
          <cell r="F276" t="str">
            <v>FY2022</v>
          </cell>
          <cell r="I276">
            <v>0.25</v>
          </cell>
          <cell r="J276">
            <v>0.27</v>
          </cell>
          <cell r="K276">
            <v>0.26</v>
          </cell>
          <cell r="S276">
            <v>43405</v>
          </cell>
        </row>
        <row r="277">
          <cell r="E277" t="str">
            <v>MO_MA_EBITDA_Adj</v>
          </cell>
          <cell r="F277" t="str">
            <v>FY2022</v>
          </cell>
          <cell r="I277">
            <v>0.08</v>
          </cell>
          <cell r="J277">
            <v>0.1</v>
          </cell>
          <cell r="K277">
            <v>0.09</v>
          </cell>
          <cell r="S277">
            <v>43405</v>
          </cell>
        </row>
        <row r="278">
          <cell r="F278" t="str">
            <v>FY2022</v>
          </cell>
          <cell r="I278">
            <v>0.04</v>
          </cell>
          <cell r="J278">
            <v>0.04</v>
          </cell>
          <cell r="K278">
            <v>0.04</v>
          </cell>
          <cell r="S278">
            <v>43405</v>
          </cell>
        </row>
        <row r="279">
          <cell r="E279" t="str">
            <v>z_XCE9DO0153_MO_OS_Advertisingasaoftotalrevenue</v>
          </cell>
          <cell r="F279" t="str">
            <v>FY2022</v>
          </cell>
          <cell r="I279">
            <v>0.06</v>
          </cell>
          <cell r="J279">
            <v>0.08</v>
          </cell>
          <cell r="K279">
            <v>7.0000000000000007E-2</v>
          </cell>
          <cell r="S279">
            <v>43405</v>
          </cell>
        </row>
        <row r="280">
          <cell r="E280" t="str">
            <v>z_XCE9DO0153_MO_OS_OperationstechnologyGAasaoftotalrevenue</v>
          </cell>
          <cell r="F280" t="str">
            <v>FY2022</v>
          </cell>
          <cell r="I280">
            <v>0.05</v>
          </cell>
          <cell r="J280">
            <v>7.0000000000000007E-2</v>
          </cell>
          <cell r="K280">
            <v>6.0000000000000005E-2</v>
          </cell>
          <cell r="S280">
            <v>43405</v>
          </cell>
        </row>
        <row r="281">
          <cell r="F281" t="str">
            <v>FY2022</v>
          </cell>
          <cell r="I281">
            <v>0.15</v>
          </cell>
          <cell r="J281">
            <v>0.19</v>
          </cell>
          <cell r="K281">
            <v>0.16999999999999998</v>
          </cell>
          <cell r="S281">
            <v>43405</v>
          </cell>
        </row>
        <row r="283">
          <cell r="E283" t="str">
            <v>MO_MA_GM</v>
          </cell>
          <cell r="F283" t="str">
            <v>FY2022</v>
          </cell>
          <cell r="I283">
            <v>0.25</v>
          </cell>
          <cell r="J283">
            <v>0.27</v>
          </cell>
          <cell r="K283">
            <v>0.26</v>
          </cell>
          <cell r="S283">
            <v>43153</v>
          </cell>
        </row>
        <row r="284">
          <cell r="E284" t="str">
            <v>MO_MA_EBITDA_Adj</v>
          </cell>
          <cell r="F284" t="str">
            <v>FY2022</v>
          </cell>
          <cell r="I284">
            <v>0.08</v>
          </cell>
          <cell r="J284">
            <v>0.1</v>
          </cell>
          <cell r="K284">
            <v>0.09</v>
          </cell>
          <cell r="S284">
            <v>43153</v>
          </cell>
        </row>
        <row r="285">
          <cell r="F285" t="str">
            <v>FY2022</v>
          </cell>
          <cell r="I285">
            <v>0.04</v>
          </cell>
          <cell r="J285">
            <v>0.04</v>
          </cell>
          <cell r="K285">
            <v>0.04</v>
          </cell>
          <cell r="S285">
            <v>43153</v>
          </cell>
        </row>
        <row r="286">
          <cell r="E286" t="str">
            <v>z_XCE9DO0153_MO_OS_Advertisingasaoftotalrevenue</v>
          </cell>
          <cell r="F286" t="str">
            <v>FY2022</v>
          </cell>
          <cell r="I286">
            <v>0.04</v>
          </cell>
          <cell r="J286">
            <v>0.04</v>
          </cell>
          <cell r="K286">
            <v>0.04</v>
          </cell>
          <cell r="S286">
            <v>43153</v>
          </cell>
        </row>
        <row r="287">
          <cell r="E287" t="str">
            <v>z_XCE9DO0153_MO_OS_OperationstechnologyGAasaoftotalrevenue</v>
          </cell>
          <cell r="F287" t="str">
            <v>FY2022</v>
          </cell>
          <cell r="I287">
            <v>0.04</v>
          </cell>
          <cell r="J287">
            <v>0.04</v>
          </cell>
          <cell r="K287">
            <v>0.04</v>
          </cell>
          <cell r="S287">
            <v>43153</v>
          </cell>
        </row>
        <row r="288">
          <cell r="F288" t="str">
            <v>FY2022</v>
          </cell>
          <cell r="I288">
            <v>0.15</v>
          </cell>
          <cell r="J288">
            <v>0.19</v>
          </cell>
          <cell r="K288">
            <v>0.16999999999999998</v>
          </cell>
          <cell r="S288">
            <v>43153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FE4D-3CCC-C349-AE31-C6A3ADC21181}">
  <dimension ref="B1:O54"/>
  <sheetViews>
    <sheetView showGridLines="0" topLeftCell="A26" zoomScale="89" zoomScaleNormal="89" workbookViewId="0">
      <selection activeCell="D48" sqref="D48"/>
    </sheetView>
  </sheetViews>
  <sheetFormatPr defaultColWidth="7.5" defaultRowHeight="15.75" outlineLevelRow="1" x14ac:dyDescent="0.5"/>
  <cols>
    <col min="1" max="1" width="1.5" style="2" customWidth="1"/>
    <col min="2" max="2" width="39.375" style="2" customWidth="1"/>
    <col min="3" max="3" width="15.625" style="2" customWidth="1"/>
    <col min="4" max="6" width="14.25" style="2" bestFit="1" customWidth="1"/>
    <col min="7" max="7" width="14.75" style="2" bestFit="1" customWidth="1"/>
    <col min="8" max="8" width="14.25" style="2" bestFit="1" customWidth="1"/>
    <col min="9" max="9" width="14.75" style="2" bestFit="1" customWidth="1"/>
    <col min="10" max="10" width="14.25" style="2" bestFit="1" customWidth="1"/>
    <col min="11" max="11" width="14.875" style="2" bestFit="1" customWidth="1"/>
    <col min="12" max="12" width="14.25" style="2" bestFit="1" customWidth="1"/>
    <col min="13" max="13" width="15.25" style="2" bestFit="1" customWidth="1"/>
    <col min="14" max="14" width="11.5" style="2" bestFit="1" customWidth="1"/>
    <col min="15" max="15" width="12.25" style="2" bestFit="1" customWidth="1"/>
    <col min="16" max="16384" width="7.5" style="2"/>
  </cols>
  <sheetData>
    <row r="1" spans="2:11" x14ac:dyDescent="0.5">
      <c r="B1" s="1"/>
      <c r="C1" s="1"/>
    </row>
    <row r="2" spans="2:11" x14ac:dyDescent="0.5">
      <c r="B2" s="3"/>
      <c r="C2" s="3"/>
      <c r="F2" s="4"/>
      <c r="G2" s="5"/>
      <c r="H2" s="5"/>
      <c r="I2" s="5"/>
      <c r="J2" s="5"/>
      <c r="K2" s="4"/>
    </row>
    <row r="3" spans="2:11" x14ac:dyDescent="0.5">
      <c r="B3" s="6"/>
      <c r="C3" s="6"/>
      <c r="F3" s="4"/>
      <c r="G3" s="5"/>
      <c r="H3" s="5"/>
      <c r="I3" s="5"/>
      <c r="J3" s="5"/>
      <c r="K3" s="4"/>
    </row>
    <row r="4" spans="2:11" x14ac:dyDescent="0.5">
      <c r="B4" s="6"/>
      <c r="C4" s="6"/>
      <c r="F4" s="4"/>
      <c r="G4" s="5"/>
      <c r="H4" s="5"/>
      <c r="I4" s="5"/>
      <c r="J4" s="5"/>
      <c r="K4" s="4"/>
    </row>
    <row r="5" spans="2:11" x14ac:dyDescent="0.5">
      <c r="B5" s="6"/>
      <c r="C5" s="6"/>
      <c r="F5" s="4"/>
      <c r="G5" s="5"/>
      <c r="H5" s="5"/>
      <c r="I5" s="5"/>
      <c r="J5" s="5"/>
      <c r="K5" s="4"/>
    </row>
    <row r="6" spans="2:11" ht="19.5" x14ac:dyDescent="0.6">
      <c r="B6" s="7" t="s">
        <v>1</v>
      </c>
      <c r="C6" s="7"/>
      <c r="F6" s="4"/>
      <c r="G6" s="5"/>
      <c r="H6" s="5"/>
      <c r="I6" s="5"/>
      <c r="J6" s="5"/>
      <c r="K6" s="4"/>
    </row>
    <row r="7" spans="2:11" ht="18" x14ac:dyDescent="0.55000000000000004">
      <c r="B7" s="8" t="s">
        <v>2</v>
      </c>
      <c r="C7" s="8"/>
      <c r="F7" s="4"/>
      <c r="G7" s="5"/>
      <c r="H7" s="5"/>
      <c r="I7" s="5"/>
      <c r="J7" s="5"/>
      <c r="K7" s="4"/>
    </row>
    <row r="8" spans="2:11" x14ac:dyDescent="0.5">
      <c r="B8" s="9"/>
      <c r="C8" s="9"/>
      <c r="E8" s="10"/>
      <c r="F8" s="10"/>
      <c r="G8" s="10"/>
      <c r="H8" s="10"/>
      <c r="I8" s="10"/>
      <c r="J8" s="10"/>
      <c r="K8" s="10"/>
    </row>
    <row r="9" spans="2:11" x14ac:dyDescent="0.5">
      <c r="B9" s="11" t="s">
        <v>30</v>
      </c>
      <c r="C9" s="9"/>
      <c r="E9" s="10"/>
      <c r="F9" s="10"/>
      <c r="G9" s="10"/>
      <c r="H9" s="10"/>
      <c r="I9" s="10"/>
      <c r="J9" s="10"/>
      <c r="K9" s="10"/>
    </row>
    <row r="10" spans="2:11" x14ac:dyDescent="0.5">
      <c r="B10" s="9" t="s">
        <v>65</v>
      </c>
      <c r="C10" s="9"/>
      <c r="E10" s="10"/>
      <c r="F10" s="10"/>
      <c r="G10" s="10"/>
      <c r="H10" s="10"/>
      <c r="I10" s="10"/>
      <c r="J10" s="10"/>
      <c r="K10" s="10"/>
    </row>
    <row r="11" spans="2:11" x14ac:dyDescent="0.5">
      <c r="B11" s="9" t="s">
        <v>63</v>
      </c>
      <c r="C11" s="9"/>
      <c r="E11" s="10"/>
      <c r="F11" s="10"/>
      <c r="G11" s="10"/>
      <c r="H11" s="10"/>
      <c r="I11" s="10"/>
      <c r="J11" s="10"/>
      <c r="K11" s="10"/>
    </row>
    <row r="12" spans="2:11" x14ac:dyDescent="0.5">
      <c r="B12" s="9" t="s">
        <v>67</v>
      </c>
      <c r="C12" s="9"/>
      <c r="E12" s="10"/>
      <c r="F12" s="10"/>
      <c r="G12" s="10"/>
      <c r="H12" s="10"/>
      <c r="I12" s="10"/>
      <c r="J12" s="10"/>
      <c r="K12" s="10"/>
    </row>
    <row r="13" spans="2:11" x14ac:dyDescent="0.5">
      <c r="B13" s="9" t="s">
        <v>31</v>
      </c>
      <c r="C13" s="9"/>
      <c r="E13" s="10"/>
      <c r="F13" s="10"/>
      <c r="G13" s="10"/>
      <c r="H13" s="10"/>
      <c r="I13" s="10"/>
      <c r="J13" s="10"/>
      <c r="K13" s="10"/>
    </row>
    <row r="14" spans="2:11" x14ac:dyDescent="0.5">
      <c r="B14" s="9" t="s">
        <v>35</v>
      </c>
      <c r="C14" s="9"/>
      <c r="E14" s="10"/>
      <c r="F14" s="10"/>
      <c r="G14" s="10"/>
      <c r="H14" s="10"/>
      <c r="I14" s="10"/>
      <c r="J14" s="10"/>
      <c r="K14" s="10"/>
    </row>
    <row r="15" spans="2:11" x14ac:dyDescent="0.5">
      <c r="B15" s="9" t="s">
        <v>36</v>
      </c>
      <c r="C15" s="9"/>
      <c r="E15" s="10"/>
      <c r="F15" s="10"/>
      <c r="G15" s="10"/>
      <c r="H15" s="10"/>
      <c r="I15" s="10"/>
      <c r="J15" s="10"/>
      <c r="K15" s="10"/>
    </row>
    <row r="16" spans="2:11" x14ac:dyDescent="0.5">
      <c r="B16" s="9" t="s">
        <v>39</v>
      </c>
      <c r="C16" s="9"/>
      <c r="E16" s="10"/>
      <c r="F16" s="10"/>
      <c r="G16" s="10"/>
      <c r="H16" s="10"/>
      <c r="I16" s="10"/>
      <c r="J16" s="10"/>
      <c r="K16" s="10"/>
    </row>
    <row r="17" spans="2:15" x14ac:dyDescent="0.5">
      <c r="B17" s="12"/>
      <c r="C17" s="12"/>
      <c r="E17" s="10"/>
      <c r="F17" s="10"/>
      <c r="G17" s="10"/>
      <c r="H17" s="10"/>
      <c r="I17" s="10"/>
      <c r="J17" s="10"/>
      <c r="K17" s="10"/>
    </row>
    <row r="18" spans="2:15" ht="40.15" customHeight="1" x14ac:dyDescent="0.5">
      <c r="B18" s="13" t="s">
        <v>29</v>
      </c>
      <c r="C18" s="14" t="s">
        <v>28</v>
      </c>
      <c r="D18" s="15" t="s">
        <v>4</v>
      </c>
      <c r="E18" s="15" t="s">
        <v>5</v>
      </c>
      <c r="F18" s="15" t="s">
        <v>6</v>
      </c>
      <c r="G18" s="15" t="s">
        <v>7</v>
      </c>
      <c r="H18" s="15" t="s">
        <v>8</v>
      </c>
      <c r="I18" s="15" t="s">
        <v>9</v>
      </c>
      <c r="J18" s="15" t="s">
        <v>10</v>
      </c>
      <c r="K18" s="15" t="s">
        <v>11</v>
      </c>
      <c r="L18" s="15" t="s">
        <v>12</v>
      </c>
      <c r="M18" s="55" t="s">
        <v>13</v>
      </c>
    </row>
    <row r="19" spans="2:15" x14ac:dyDescent="0.5">
      <c r="B19" s="16" t="s">
        <v>27</v>
      </c>
      <c r="C19" s="16"/>
      <c r="D19" s="70">
        <v>1000000</v>
      </c>
      <c r="E19" s="71">
        <v>2000000</v>
      </c>
      <c r="F19" s="72">
        <v>1000000</v>
      </c>
      <c r="G19" s="72">
        <v>3000000</v>
      </c>
      <c r="H19" s="72">
        <v>2000000</v>
      </c>
      <c r="I19" s="72">
        <v>3000000</v>
      </c>
      <c r="J19" s="72">
        <v>1000000</v>
      </c>
      <c r="K19" s="72">
        <v>2000000</v>
      </c>
      <c r="L19" s="72">
        <v>2000000</v>
      </c>
      <c r="M19" s="68">
        <f>SUM(D19:L19)</f>
        <v>17000000</v>
      </c>
      <c r="N19" s="17"/>
      <c r="O19" s="17"/>
    </row>
    <row r="20" spans="2:15" x14ac:dyDescent="0.5">
      <c r="B20" s="18" t="s">
        <v>26</v>
      </c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1"/>
    </row>
    <row r="21" spans="2:15" x14ac:dyDescent="0.5">
      <c r="B21" s="22" t="s">
        <v>14</v>
      </c>
      <c r="C21" s="69">
        <v>0.03</v>
      </c>
      <c r="D21" s="57">
        <f>D$19*$C21</f>
        <v>30000</v>
      </c>
      <c r="E21" s="58">
        <f t="shared" ref="E21:L24" si="0">E$19*$C21</f>
        <v>60000</v>
      </c>
      <c r="F21" s="58">
        <f t="shared" si="0"/>
        <v>30000</v>
      </c>
      <c r="G21" s="58">
        <f t="shared" si="0"/>
        <v>90000</v>
      </c>
      <c r="H21" s="58">
        <f t="shared" si="0"/>
        <v>60000</v>
      </c>
      <c r="I21" s="58">
        <f t="shared" si="0"/>
        <v>90000</v>
      </c>
      <c r="J21" s="58">
        <f t="shared" si="0"/>
        <v>30000</v>
      </c>
      <c r="K21" s="58">
        <f t="shared" si="0"/>
        <v>60000</v>
      </c>
      <c r="L21" s="59">
        <f t="shared" si="0"/>
        <v>60000</v>
      </c>
      <c r="M21" s="59">
        <f>SUM(D21:L21)</f>
        <v>510000</v>
      </c>
    </row>
    <row r="22" spans="2:15" x14ac:dyDescent="0.5">
      <c r="B22" s="22" t="s">
        <v>52</v>
      </c>
      <c r="C22" s="69">
        <v>0.06</v>
      </c>
      <c r="D22" s="57">
        <f>D$19*$C22</f>
        <v>60000</v>
      </c>
      <c r="E22" s="58">
        <f t="shared" si="0"/>
        <v>120000</v>
      </c>
      <c r="F22" s="58">
        <f t="shared" si="0"/>
        <v>60000</v>
      </c>
      <c r="G22" s="58">
        <f t="shared" si="0"/>
        <v>180000</v>
      </c>
      <c r="H22" s="58">
        <f t="shared" si="0"/>
        <v>120000</v>
      </c>
      <c r="I22" s="58">
        <f t="shared" si="0"/>
        <v>180000</v>
      </c>
      <c r="J22" s="58">
        <f t="shared" si="0"/>
        <v>60000</v>
      </c>
      <c r="K22" s="58">
        <f t="shared" si="0"/>
        <v>120000</v>
      </c>
      <c r="L22" s="59">
        <f t="shared" si="0"/>
        <v>120000</v>
      </c>
      <c r="M22" s="59">
        <f>SUM(D22:L22)</f>
        <v>1020000</v>
      </c>
    </row>
    <row r="23" spans="2:15" x14ac:dyDescent="0.5">
      <c r="B23" s="22" t="s">
        <v>15</v>
      </c>
      <c r="C23" s="69">
        <v>7.0000000000000007E-2</v>
      </c>
      <c r="D23" s="57">
        <f>D$19*$C23</f>
        <v>70000</v>
      </c>
      <c r="E23" s="58">
        <f t="shared" si="0"/>
        <v>140000</v>
      </c>
      <c r="F23" s="58">
        <f t="shared" si="0"/>
        <v>70000</v>
      </c>
      <c r="G23" s="58">
        <f t="shared" si="0"/>
        <v>210000.00000000003</v>
      </c>
      <c r="H23" s="58">
        <f t="shared" si="0"/>
        <v>140000</v>
      </c>
      <c r="I23" s="58">
        <f t="shared" si="0"/>
        <v>210000.00000000003</v>
      </c>
      <c r="J23" s="58">
        <f t="shared" si="0"/>
        <v>70000</v>
      </c>
      <c r="K23" s="58">
        <f t="shared" si="0"/>
        <v>140000</v>
      </c>
      <c r="L23" s="59">
        <f t="shared" si="0"/>
        <v>140000</v>
      </c>
      <c r="M23" s="59">
        <f>SUM(D23:L23)</f>
        <v>1190000</v>
      </c>
    </row>
    <row r="24" spans="2:15" x14ac:dyDescent="0.5">
      <c r="B24" s="23" t="s">
        <v>16</v>
      </c>
      <c r="C24" s="69">
        <v>0.02</v>
      </c>
      <c r="D24" s="57">
        <f>D$19*$C24</f>
        <v>20000</v>
      </c>
      <c r="E24" s="58">
        <f t="shared" si="0"/>
        <v>40000</v>
      </c>
      <c r="F24" s="58">
        <f t="shared" si="0"/>
        <v>20000</v>
      </c>
      <c r="G24" s="58">
        <f t="shared" si="0"/>
        <v>60000</v>
      </c>
      <c r="H24" s="58">
        <f t="shared" si="0"/>
        <v>40000</v>
      </c>
      <c r="I24" s="58">
        <f t="shared" si="0"/>
        <v>60000</v>
      </c>
      <c r="J24" s="58">
        <f t="shared" si="0"/>
        <v>20000</v>
      </c>
      <c r="K24" s="58">
        <f t="shared" si="0"/>
        <v>40000</v>
      </c>
      <c r="L24" s="59">
        <f t="shared" si="0"/>
        <v>40000</v>
      </c>
      <c r="M24" s="59">
        <f>SUM(D24:L24)</f>
        <v>340000</v>
      </c>
      <c r="N24" s="24"/>
    </row>
    <row r="25" spans="2:15" x14ac:dyDescent="0.5">
      <c r="B25" s="25" t="s">
        <v>25</v>
      </c>
      <c r="C25" s="25"/>
      <c r="D25" s="60">
        <f>SUM(D21:D24)</f>
        <v>180000</v>
      </c>
      <c r="E25" s="61">
        <f t="shared" ref="E25:L25" si="1">SUM(E21:E24)</f>
        <v>360000</v>
      </c>
      <c r="F25" s="61">
        <f t="shared" si="1"/>
        <v>180000</v>
      </c>
      <c r="G25" s="61">
        <f t="shared" si="1"/>
        <v>540000</v>
      </c>
      <c r="H25" s="61">
        <f t="shared" si="1"/>
        <v>360000</v>
      </c>
      <c r="I25" s="61">
        <f t="shared" si="1"/>
        <v>540000</v>
      </c>
      <c r="J25" s="61">
        <f t="shared" si="1"/>
        <v>180000</v>
      </c>
      <c r="K25" s="61">
        <f t="shared" si="1"/>
        <v>360000</v>
      </c>
      <c r="L25" s="62">
        <f t="shared" si="1"/>
        <v>360000</v>
      </c>
      <c r="M25" s="66">
        <f>SUM(M21:M24)</f>
        <v>3060000</v>
      </c>
      <c r="N25" s="26"/>
    </row>
    <row r="26" spans="2:15" x14ac:dyDescent="0.5">
      <c r="B26" s="27" t="s">
        <v>17</v>
      </c>
      <c r="C26" s="27"/>
      <c r="D26" s="63">
        <f>D19+D25</f>
        <v>1180000</v>
      </c>
      <c r="E26" s="64">
        <f t="shared" ref="E26:L26" si="2">E19+E25</f>
        <v>2360000</v>
      </c>
      <c r="F26" s="64">
        <f t="shared" si="2"/>
        <v>1180000</v>
      </c>
      <c r="G26" s="64">
        <f t="shared" si="2"/>
        <v>3540000</v>
      </c>
      <c r="H26" s="64">
        <f t="shared" si="2"/>
        <v>2360000</v>
      </c>
      <c r="I26" s="64">
        <f t="shared" si="2"/>
        <v>3540000</v>
      </c>
      <c r="J26" s="64">
        <f t="shared" si="2"/>
        <v>1180000</v>
      </c>
      <c r="K26" s="64">
        <f t="shared" si="2"/>
        <v>2360000</v>
      </c>
      <c r="L26" s="65">
        <f t="shared" si="2"/>
        <v>2360000</v>
      </c>
      <c r="M26" s="67">
        <f>M19+M25</f>
        <v>20060000</v>
      </c>
      <c r="N26" s="28"/>
    </row>
    <row r="27" spans="2:15" x14ac:dyDescent="0.5">
      <c r="B27" s="29"/>
      <c r="C27" s="29"/>
      <c r="D27" s="30"/>
      <c r="E27" s="31"/>
      <c r="F27" s="30"/>
      <c r="H27" s="30"/>
      <c r="I27" s="30"/>
      <c r="J27" s="32"/>
      <c r="K27" s="30"/>
      <c r="L27" s="30"/>
      <c r="M27" s="30"/>
    </row>
    <row r="28" spans="2:15" x14ac:dyDescent="0.5">
      <c r="B28" s="33"/>
      <c r="C28" s="33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2:15" x14ac:dyDescent="0.5">
      <c r="B29" s="53" t="s">
        <v>61</v>
      </c>
      <c r="C29" s="34"/>
      <c r="O29" s="17"/>
    </row>
    <row r="30" spans="2:15" x14ac:dyDescent="0.5">
      <c r="B30" s="35" t="s">
        <v>18</v>
      </c>
      <c r="C30" s="35"/>
      <c r="D30" s="10">
        <v>1</v>
      </c>
      <c r="E30" s="10">
        <v>0.75</v>
      </c>
      <c r="F30" s="10">
        <v>0.6</v>
      </c>
      <c r="G30" s="10">
        <v>0.8</v>
      </c>
      <c r="H30" s="10">
        <v>0</v>
      </c>
      <c r="I30" s="10">
        <v>0</v>
      </c>
      <c r="J30" s="10">
        <v>0.5</v>
      </c>
      <c r="K30" s="10">
        <v>0</v>
      </c>
      <c r="L30" s="10">
        <v>0</v>
      </c>
    </row>
    <row r="31" spans="2:15" x14ac:dyDescent="0.5">
      <c r="B31" s="35" t="s">
        <v>19</v>
      </c>
      <c r="C31" s="35"/>
      <c r="D31" s="10">
        <v>0</v>
      </c>
      <c r="E31" s="10">
        <v>0</v>
      </c>
      <c r="F31" s="10">
        <v>0.3</v>
      </c>
      <c r="G31" s="10">
        <v>0.1</v>
      </c>
      <c r="H31" s="10">
        <v>0.3</v>
      </c>
      <c r="I31" s="10">
        <v>0</v>
      </c>
      <c r="J31" s="10">
        <v>0.25</v>
      </c>
      <c r="K31" s="10">
        <v>0.15</v>
      </c>
      <c r="L31" s="10">
        <v>1</v>
      </c>
    </row>
    <row r="32" spans="2:15" x14ac:dyDescent="0.5">
      <c r="B32" s="35" t="s">
        <v>20</v>
      </c>
      <c r="C32" s="35"/>
      <c r="D32" s="10">
        <f>1-D31-D30</f>
        <v>0</v>
      </c>
      <c r="E32" s="10">
        <f>1-E31-E30</f>
        <v>0.25</v>
      </c>
      <c r="F32" s="10">
        <f>1-F31-F30</f>
        <v>9.9999999999999978E-2</v>
      </c>
      <c r="G32" s="10">
        <v>0.1</v>
      </c>
      <c r="H32" s="10">
        <v>0.7</v>
      </c>
      <c r="I32" s="10">
        <v>1</v>
      </c>
      <c r="J32" s="10">
        <v>0.25</v>
      </c>
      <c r="K32" s="10">
        <v>0.85</v>
      </c>
      <c r="L32" s="10">
        <f>1-L31-L30</f>
        <v>0</v>
      </c>
    </row>
    <row r="33" spans="2:13" x14ac:dyDescent="0.5">
      <c r="D33" s="36"/>
      <c r="E33" s="36"/>
      <c r="F33" s="36"/>
      <c r="G33" s="36"/>
      <c r="H33" s="36"/>
      <c r="I33" s="36"/>
      <c r="J33" s="36"/>
      <c r="K33" s="36"/>
      <c r="L33" s="36"/>
    </row>
    <row r="34" spans="2:13" x14ac:dyDescent="0.5">
      <c r="B34" s="37"/>
      <c r="C34" s="37"/>
      <c r="D34" s="37"/>
    </row>
    <row r="35" spans="2:13" ht="4.5" customHeight="1" x14ac:dyDescent="0.5">
      <c r="B35" s="38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</row>
    <row r="37" spans="2:13" x14ac:dyDescent="0.5">
      <c r="B37" s="35" t="s">
        <v>41</v>
      </c>
      <c r="C37" s="35"/>
      <c r="D37" s="40"/>
      <c r="E37" s="40"/>
      <c r="F37" s="40"/>
      <c r="G37" s="40"/>
      <c r="H37" s="40"/>
      <c r="I37" s="40"/>
      <c r="J37" s="40"/>
    </row>
    <row r="38" spans="2:13" x14ac:dyDescent="0.5">
      <c r="B38" s="35" t="s">
        <v>21</v>
      </c>
      <c r="C38" s="35"/>
      <c r="D38" s="41" t="s">
        <v>22</v>
      </c>
      <c r="E38" s="41"/>
      <c r="F38" s="41" t="s">
        <v>23</v>
      </c>
      <c r="G38" s="41"/>
      <c r="H38" s="41" t="s">
        <v>24</v>
      </c>
      <c r="I38" s="41"/>
      <c r="J38" s="41" t="s">
        <v>3</v>
      </c>
    </row>
    <row r="39" spans="2:13" outlineLevel="1" x14ac:dyDescent="0.5">
      <c r="B39" s="42" t="s">
        <v>27</v>
      </c>
      <c r="C39" s="42"/>
      <c r="D39" s="43">
        <f>SUMPRODUCT($D$19:$L$19,D30:L30)</f>
        <v>6000000</v>
      </c>
      <c r="E39" s="43"/>
      <c r="F39" s="43">
        <f>SUMPRODUCT($D$19:$L$19,D31:L31)</f>
        <v>3750000</v>
      </c>
      <c r="G39" s="44"/>
      <c r="H39" s="43">
        <f>SUMPRODUCT($D$19:$L$19,D32:L32)</f>
        <v>7250000</v>
      </c>
      <c r="I39" s="44"/>
      <c r="J39" s="43">
        <f>SUM(H39,F39,D39)</f>
        <v>17000000</v>
      </c>
      <c r="K39" s="17"/>
      <c r="L39" s="45"/>
    </row>
    <row r="40" spans="2:13" outlineLevel="1" x14ac:dyDescent="0.5">
      <c r="B40" s="42" t="s">
        <v>32</v>
      </c>
      <c r="C40" s="42"/>
      <c r="D40" s="74">
        <f>SUMPRODUCT($D$25:$L$25,D30:L30)</f>
        <v>1080000</v>
      </c>
      <c r="E40" s="43"/>
      <c r="F40" s="74">
        <f>SUMPRODUCT($D$25:$L$25,F30:N30)</f>
        <v>576000</v>
      </c>
      <c r="G40" s="77"/>
      <c r="H40" s="74">
        <f>SUMPRODUCT($D$25:$L$25,H30:P30)</f>
        <v>90000</v>
      </c>
      <c r="I40" s="46"/>
      <c r="J40" s="75">
        <f>SUM(H40,F40,D40)</f>
        <v>1746000</v>
      </c>
      <c r="K40" s="17"/>
      <c r="L40" s="45"/>
    </row>
    <row r="41" spans="2:13" x14ac:dyDescent="0.5">
      <c r="B41" s="29" t="s">
        <v>66</v>
      </c>
      <c r="C41" s="29"/>
      <c r="D41" s="47">
        <f>SUMPRODUCT($D$26:$L$26,D30:L30)</f>
        <v>7080000</v>
      </c>
      <c r="E41" s="44"/>
      <c r="F41" s="47">
        <f>SUMPRODUCT($D$26:$L$26,D31:L31)</f>
        <v>4425000</v>
      </c>
      <c r="G41" s="48"/>
      <c r="H41" s="47">
        <f>SUMPRODUCT($D$26:$L$26,D32:L32)</f>
        <v>8555000</v>
      </c>
      <c r="I41" s="48"/>
      <c r="J41" s="47">
        <f>SUM(H41,F41,D41)</f>
        <v>20060000</v>
      </c>
      <c r="L41" s="45"/>
    </row>
    <row r="42" spans="2:13" x14ac:dyDescent="0.5">
      <c r="B42" s="49" t="s">
        <v>40</v>
      </c>
      <c r="C42" s="73">
        <v>0.6</v>
      </c>
      <c r="D42" s="74">
        <f>-D41*$C$42</f>
        <v>-4248000</v>
      </c>
      <c r="E42" s="50"/>
      <c r="F42" s="74">
        <f>-F41*$C$42</f>
        <v>-2655000</v>
      </c>
      <c r="G42" s="50"/>
      <c r="H42" s="74">
        <f>-H41*$C$42</f>
        <v>-5133000</v>
      </c>
      <c r="I42" s="50"/>
      <c r="J42" s="75">
        <f>SUM(H42,F42,D42)</f>
        <v>-12036000</v>
      </c>
    </row>
    <row r="43" spans="2:13" x14ac:dyDescent="0.5">
      <c r="B43" s="29" t="s">
        <v>33</v>
      </c>
      <c r="C43" s="29"/>
      <c r="D43" s="51">
        <f>SUM(D41:D42)</f>
        <v>2832000</v>
      </c>
      <c r="E43" s="44"/>
      <c r="F43" s="51">
        <f>SUM(F41:F42)</f>
        <v>1770000</v>
      </c>
      <c r="G43" s="44"/>
      <c r="H43" s="51">
        <f>SUM(H41:H42)</f>
        <v>3422000</v>
      </c>
      <c r="I43" s="44"/>
      <c r="J43" s="51">
        <f>SUM(J41:J42)</f>
        <v>8024000</v>
      </c>
    </row>
    <row r="44" spans="2:13" x14ac:dyDescent="0.5">
      <c r="B44" s="54" t="s">
        <v>34</v>
      </c>
      <c r="D44" s="76">
        <f>D43/D41</f>
        <v>0.4</v>
      </c>
      <c r="E44" s="44"/>
      <c r="F44" s="76">
        <f>F43/F41</f>
        <v>0.4</v>
      </c>
      <c r="G44" s="44"/>
      <c r="H44" s="76">
        <f>H43/H41</f>
        <v>0.4</v>
      </c>
      <c r="I44" s="44"/>
      <c r="J44" s="76">
        <f>J43/J41</f>
        <v>0.4</v>
      </c>
    </row>
    <row r="45" spans="2:13" x14ac:dyDescent="0.5">
      <c r="B45" s="54" t="s">
        <v>0</v>
      </c>
      <c r="D45" s="44"/>
      <c r="E45" s="44"/>
      <c r="F45" s="44"/>
      <c r="G45" s="44"/>
      <c r="H45" s="52"/>
      <c r="I45" s="44"/>
      <c r="J45" s="44"/>
    </row>
    <row r="46" spans="2:13" x14ac:dyDescent="0.5">
      <c r="B46" s="56" t="s">
        <v>2183</v>
      </c>
      <c r="D46" s="44"/>
      <c r="E46" s="44"/>
      <c r="F46" s="44"/>
      <c r="G46" s="44"/>
      <c r="H46" s="44"/>
      <c r="I46" s="44"/>
      <c r="J46" s="44"/>
    </row>
    <row r="47" spans="2:13" x14ac:dyDescent="0.5">
      <c r="B47" s="56" t="s">
        <v>2184</v>
      </c>
      <c r="D47" s="1375">
        <v>-200000</v>
      </c>
      <c r="E47" s="44"/>
      <c r="F47" s="1375">
        <v>-200000</v>
      </c>
      <c r="G47" s="44"/>
      <c r="H47" s="1375">
        <v>-200000</v>
      </c>
      <c r="I47" s="44"/>
      <c r="J47" s="52">
        <v>0</v>
      </c>
    </row>
    <row r="48" spans="2:13" x14ac:dyDescent="0.5">
      <c r="B48" s="56" t="s">
        <v>2185</v>
      </c>
      <c r="D48" s="1372">
        <f>'Team Structure'!M110*-1</f>
        <v>-1087647.0588235294</v>
      </c>
      <c r="E48" s="1373"/>
      <c r="F48" s="1372">
        <f>'Team Structure'!N110*-1</f>
        <v>-1070000</v>
      </c>
      <c r="G48" s="1373"/>
      <c r="H48" s="1372">
        <f>'Team Structure'!O110*-1</f>
        <v>-1168382.3529411764</v>
      </c>
      <c r="I48" s="1373"/>
      <c r="J48" s="1372">
        <f>SUM(D48:H48)</f>
        <v>-3326029.411764706</v>
      </c>
    </row>
    <row r="49" spans="2:10" x14ac:dyDescent="0.5">
      <c r="B49" s="54" t="s">
        <v>37</v>
      </c>
      <c r="D49" s="52">
        <f>D43+SUM(D46:D48)</f>
        <v>1544352.9411764706</v>
      </c>
      <c r="E49" s="52"/>
      <c r="F49" s="52">
        <f>F43+SUM(F46:F48)</f>
        <v>500000</v>
      </c>
      <c r="G49" s="52"/>
      <c r="H49" s="52">
        <f>H43+SUM(H46:H48)</f>
        <v>2053617.6470588236</v>
      </c>
      <c r="I49" s="52"/>
      <c r="J49" s="52">
        <f>J43+SUM(J46:J48)</f>
        <v>4697970.5882352944</v>
      </c>
    </row>
    <row r="50" spans="2:10" x14ac:dyDescent="0.5">
      <c r="B50" s="54" t="s">
        <v>38</v>
      </c>
      <c r="D50" s="76">
        <f>D49/D41</f>
        <v>0.21812894649385178</v>
      </c>
      <c r="E50" s="44"/>
      <c r="F50" s="76">
        <f>F49/F41</f>
        <v>0.11299435028248588</v>
      </c>
      <c r="G50" s="44"/>
      <c r="H50" s="76">
        <f>H49/H41</f>
        <v>0.2400488190600612</v>
      </c>
      <c r="I50" s="44"/>
      <c r="J50" s="76">
        <f>J49/J41</f>
        <v>0.23419594158700371</v>
      </c>
    </row>
    <row r="53" spans="2:10" x14ac:dyDescent="0.5">
      <c r="B53" s="2" t="s">
        <v>2186</v>
      </c>
      <c r="D53" s="1374">
        <f>D47/D41*-1</f>
        <v>2.8248587570621469E-2</v>
      </c>
      <c r="F53" s="1374">
        <f>F47/F41*-1</f>
        <v>4.519774011299435E-2</v>
      </c>
      <c r="H53" s="1374">
        <f>H47/H41*-1</f>
        <v>2.3378141437755698E-2</v>
      </c>
    </row>
    <row r="54" spans="2:10" x14ac:dyDescent="0.5">
      <c r="B54" s="2" t="s">
        <v>2183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E40E-7735-4F54-B3A2-7C01C112ADBE}">
  <dimension ref="B2:E7"/>
  <sheetViews>
    <sheetView showGridLines="0" workbookViewId="0">
      <selection activeCell="C5" sqref="C5"/>
    </sheetView>
  </sheetViews>
  <sheetFormatPr defaultRowHeight="15.75" x14ac:dyDescent="0.5"/>
  <cols>
    <col min="2" max="2" width="30.5625" customWidth="1"/>
    <col min="3" max="4" width="10.5625" customWidth="1"/>
  </cols>
  <sheetData>
    <row r="2" spans="2:5" x14ac:dyDescent="0.5">
      <c r="C2" s="1371" t="s">
        <v>99</v>
      </c>
      <c r="D2" s="1371" t="s">
        <v>2182</v>
      </c>
      <c r="E2" s="1371" t="s">
        <v>2187</v>
      </c>
    </row>
    <row r="4" spans="2:5" x14ac:dyDescent="0.5">
      <c r="B4" t="s">
        <v>2180</v>
      </c>
      <c r="C4" s="1370">
        <f>RH!BI23</f>
        <v>0.45855438169293722</v>
      </c>
      <c r="D4" s="1370">
        <f>WSM!BI41</f>
        <v>0.42651147284125257</v>
      </c>
      <c r="E4" s="1370">
        <f>Wayfair!BI97</f>
        <v>0.30550695659418481</v>
      </c>
    </row>
    <row r="5" spans="2:5" x14ac:dyDescent="0.5">
      <c r="B5" t="s">
        <v>0</v>
      </c>
      <c r="C5" s="1370">
        <f>RH!BI638</f>
        <v>0.32855417701343553</v>
      </c>
      <c r="D5" s="1370">
        <f>D4-D7</f>
        <v>0.26257680934104222</v>
      </c>
    </row>
    <row r="7" spans="2:5" x14ac:dyDescent="0.5">
      <c r="B7" t="s">
        <v>2181</v>
      </c>
      <c r="C7" s="1370">
        <f>C4-C5</f>
        <v>0.13000020467950169</v>
      </c>
      <c r="D7" s="1370">
        <f>WSM!BI46</f>
        <v>0.16393466350021035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6B46-B1F8-5D43-8887-A1C981660F3B}">
  <dimension ref="A2:Q123"/>
  <sheetViews>
    <sheetView showGridLines="0" tabSelected="1" zoomScaleNormal="100" workbookViewId="0">
      <selection activeCell="G10" sqref="G10"/>
    </sheetView>
  </sheetViews>
  <sheetFormatPr defaultColWidth="10.875" defaultRowHeight="14.25" x14ac:dyDescent="0.45"/>
  <cols>
    <col min="1" max="2" width="3.625" style="80" customWidth="1"/>
    <col min="3" max="4" width="10.875" style="80"/>
    <col min="5" max="5" width="18.75" style="80" bestFit="1" customWidth="1"/>
    <col min="6" max="11" width="15.625" style="80" customWidth="1"/>
    <col min="12" max="12" width="11.875" style="80" bestFit="1" customWidth="1"/>
    <col min="13" max="15" width="13.5" style="80" bestFit="1" customWidth="1"/>
    <col min="16" max="16" width="15" style="80" bestFit="1" customWidth="1"/>
    <col min="17" max="17" width="11.875" style="80" bestFit="1" customWidth="1"/>
    <col min="18" max="16384" width="10.875" style="80"/>
  </cols>
  <sheetData>
    <row r="2" spans="3:14" x14ac:dyDescent="0.45">
      <c r="C2" s="80" t="s">
        <v>64</v>
      </c>
    </row>
    <row r="3" spans="3:14" x14ac:dyDescent="0.45">
      <c r="C3" s="80" t="s">
        <v>62</v>
      </c>
    </row>
    <row r="4" spans="3:14" x14ac:dyDescent="0.45">
      <c r="C4" s="80" t="s">
        <v>58</v>
      </c>
    </row>
    <row r="5" spans="3:14" x14ac:dyDescent="0.45">
      <c r="C5" s="80" t="s">
        <v>59</v>
      </c>
    </row>
    <row r="6" spans="3:14" x14ac:dyDescent="0.45">
      <c r="C6" s="80" t="s">
        <v>60</v>
      </c>
    </row>
    <row r="8" spans="3:14" ht="57" x14ac:dyDescent="0.45">
      <c r="C8" s="81" t="s">
        <v>42</v>
      </c>
      <c r="D8" s="81"/>
      <c r="E8" s="81" t="s">
        <v>43</v>
      </c>
      <c r="F8" s="81" t="s">
        <v>44</v>
      </c>
      <c r="G8" s="104" t="s">
        <v>87</v>
      </c>
      <c r="H8" s="90" t="s">
        <v>91</v>
      </c>
      <c r="J8" s="91" t="s">
        <v>89</v>
      </c>
      <c r="K8" s="89" t="s">
        <v>75</v>
      </c>
      <c r="L8" s="105" t="s">
        <v>82</v>
      </c>
      <c r="M8" s="105" t="s">
        <v>92</v>
      </c>
      <c r="N8" s="105" t="s">
        <v>88</v>
      </c>
    </row>
    <row r="9" spans="3:14" x14ac:dyDescent="0.45">
      <c r="C9" s="80" t="s">
        <v>45</v>
      </c>
      <c r="E9" s="80" t="s">
        <v>14</v>
      </c>
      <c r="F9" s="82">
        <v>150000</v>
      </c>
      <c r="G9" s="92">
        <f>(40*49)</f>
        <v>1960</v>
      </c>
      <c r="H9" s="83">
        <f>F9/G9</f>
        <v>76.530612244897952</v>
      </c>
      <c r="J9" s="107" t="s">
        <v>14</v>
      </c>
      <c r="K9" s="83">
        <f>AVERAGE(F9:F13)</f>
        <v>110000</v>
      </c>
      <c r="L9" s="92">
        <f>SUMIF($E$9:$E$20,$J9,$G$9:$G$20)</f>
        <v>9800</v>
      </c>
      <c r="M9" s="92">
        <f>L9/3</f>
        <v>3266.6666666666665</v>
      </c>
      <c r="N9" s="93">
        <f>ROUND(M9/G9,0)</f>
        <v>2</v>
      </c>
    </row>
    <row r="10" spans="3:14" x14ac:dyDescent="0.45">
      <c r="C10" s="80" t="s">
        <v>46</v>
      </c>
      <c r="E10" s="80" t="s">
        <v>14</v>
      </c>
      <c r="F10" s="82">
        <v>125000</v>
      </c>
      <c r="G10" s="92">
        <f t="shared" ref="G10:G20" si="0">(40*49)</f>
        <v>1960</v>
      </c>
      <c r="H10" s="83">
        <f t="shared" ref="H10:H20" si="1">F10/G10</f>
        <v>63.775510204081634</v>
      </c>
      <c r="J10" s="107" t="s">
        <v>52</v>
      </c>
      <c r="K10" s="83">
        <f>AVERAGE(F14:F15)</f>
        <v>135000</v>
      </c>
      <c r="L10" s="92">
        <f>SUMIF($E$9:$E$20,$J10,$G$9:$G$20)</f>
        <v>3920</v>
      </c>
      <c r="M10" s="92">
        <f t="shared" ref="M10:M13" si="2">L10/3</f>
        <v>1306.6666666666667</v>
      </c>
      <c r="N10" s="93">
        <f>M10/G14</f>
        <v>0.66666666666666674</v>
      </c>
    </row>
    <row r="11" spans="3:14" x14ac:dyDescent="0.45">
      <c r="C11" s="80" t="s">
        <v>47</v>
      </c>
      <c r="E11" s="80" t="s">
        <v>14</v>
      </c>
      <c r="F11" s="82">
        <v>110000</v>
      </c>
      <c r="G11" s="92">
        <f t="shared" si="0"/>
        <v>1960</v>
      </c>
      <c r="H11" s="83">
        <f t="shared" si="1"/>
        <v>56.122448979591837</v>
      </c>
      <c r="J11" s="107" t="s">
        <v>15</v>
      </c>
      <c r="K11" s="83">
        <f>AVERAGE(F16:F19)</f>
        <v>168750</v>
      </c>
      <c r="L11" s="92">
        <f>SUMIF($E$9:$E$20,$J11,$G$9:$G$20)</f>
        <v>7840</v>
      </c>
      <c r="M11" s="92">
        <f t="shared" si="2"/>
        <v>2613.3333333333335</v>
      </c>
      <c r="N11" s="93">
        <f>M11/G16</f>
        <v>1.3333333333333335</v>
      </c>
    </row>
    <row r="12" spans="3:14" x14ac:dyDescent="0.45">
      <c r="C12" s="80" t="s">
        <v>48</v>
      </c>
      <c r="E12" s="80" t="s">
        <v>14</v>
      </c>
      <c r="F12" s="82">
        <v>90000</v>
      </c>
      <c r="G12" s="92">
        <f t="shared" si="0"/>
        <v>1960</v>
      </c>
      <c r="H12" s="83">
        <f t="shared" si="1"/>
        <v>45.918367346938773</v>
      </c>
      <c r="J12" s="107" t="s">
        <v>16</v>
      </c>
      <c r="K12" s="83">
        <f>AVERAGE(F20)</f>
        <v>125000</v>
      </c>
      <c r="L12" s="92">
        <f>SUMIF($E$9:$E$20,$J12,$G$9:$G$20)</f>
        <v>1960</v>
      </c>
      <c r="M12" s="92">
        <f t="shared" si="2"/>
        <v>653.33333333333337</v>
      </c>
      <c r="N12" s="93">
        <f>M12/G20</f>
        <v>0.33333333333333337</v>
      </c>
    </row>
    <row r="13" spans="3:14" x14ac:dyDescent="0.45">
      <c r="C13" s="80" t="s">
        <v>49</v>
      </c>
      <c r="E13" s="80" t="s">
        <v>14</v>
      </c>
      <c r="F13" s="82">
        <v>75000</v>
      </c>
      <c r="G13" s="92">
        <f t="shared" si="0"/>
        <v>1960</v>
      </c>
      <c r="H13" s="83">
        <f t="shared" si="1"/>
        <v>38.265306122448976</v>
      </c>
      <c r="J13" s="108" t="s">
        <v>3</v>
      </c>
      <c r="K13" s="81"/>
      <c r="L13" s="98">
        <f>SUM(L9:L12)</f>
        <v>23520</v>
      </c>
      <c r="M13" s="98">
        <f t="shared" si="2"/>
        <v>7840</v>
      </c>
      <c r="N13" s="106">
        <f>M13/G13</f>
        <v>4</v>
      </c>
    </row>
    <row r="14" spans="3:14" x14ac:dyDescent="0.45">
      <c r="C14" s="80" t="s">
        <v>50</v>
      </c>
      <c r="E14" s="80" t="s">
        <v>52</v>
      </c>
      <c r="F14" s="82">
        <v>150000</v>
      </c>
      <c r="G14" s="92">
        <f t="shared" si="0"/>
        <v>1960</v>
      </c>
      <c r="H14" s="83">
        <f t="shared" si="1"/>
        <v>76.530612244897952</v>
      </c>
      <c r="I14" s="84"/>
    </row>
    <row r="15" spans="3:14" x14ac:dyDescent="0.45">
      <c r="C15" s="80" t="s">
        <v>51</v>
      </c>
      <c r="E15" s="80" t="s">
        <v>52</v>
      </c>
      <c r="F15" s="82">
        <v>120000</v>
      </c>
      <c r="G15" s="92">
        <f t="shared" si="0"/>
        <v>1960</v>
      </c>
      <c r="H15" s="83">
        <f t="shared" si="1"/>
        <v>61.224489795918366</v>
      </c>
      <c r="I15" s="84"/>
    </row>
    <row r="16" spans="3:14" x14ac:dyDescent="0.45">
      <c r="C16" s="80" t="s">
        <v>53</v>
      </c>
      <c r="E16" s="80" t="s">
        <v>15</v>
      </c>
      <c r="F16" s="82">
        <v>200000</v>
      </c>
      <c r="G16" s="92">
        <f t="shared" si="0"/>
        <v>1960</v>
      </c>
      <c r="H16" s="83">
        <f t="shared" si="1"/>
        <v>102.04081632653062</v>
      </c>
      <c r="I16" s="84"/>
    </row>
    <row r="17" spans="1:14" x14ac:dyDescent="0.45">
      <c r="C17" s="80" t="s">
        <v>54</v>
      </c>
      <c r="E17" s="80" t="s">
        <v>15</v>
      </c>
      <c r="F17" s="82">
        <v>200000</v>
      </c>
      <c r="G17" s="92">
        <f t="shared" si="0"/>
        <v>1960</v>
      </c>
      <c r="H17" s="83">
        <f t="shared" si="1"/>
        <v>102.04081632653062</v>
      </c>
    </row>
    <row r="18" spans="1:14" x14ac:dyDescent="0.45">
      <c r="C18" s="80" t="s">
        <v>55</v>
      </c>
      <c r="E18" s="80" t="s">
        <v>15</v>
      </c>
      <c r="F18" s="82">
        <v>150000</v>
      </c>
      <c r="G18" s="92">
        <f t="shared" si="0"/>
        <v>1960</v>
      </c>
      <c r="H18" s="83">
        <f t="shared" si="1"/>
        <v>76.530612244897952</v>
      </c>
    </row>
    <row r="19" spans="1:14" x14ac:dyDescent="0.45">
      <c r="C19" s="80" t="s">
        <v>56</v>
      </c>
      <c r="E19" s="80" t="s">
        <v>15</v>
      </c>
      <c r="F19" s="82">
        <v>125000</v>
      </c>
      <c r="G19" s="92">
        <f t="shared" si="0"/>
        <v>1960</v>
      </c>
      <c r="H19" s="83">
        <f t="shared" si="1"/>
        <v>63.775510204081634</v>
      </c>
    </row>
    <row r="20" spans="1:14" x14ac:dyDescent="0.45">
      <c r="C20" s="80" t="s">
        <v>57</v>
      </c>
      <c r="E20" s="80" t="s">
        <v>16</v>
      </c>
      <c r="F20" s="82">
        <v>125000</v>
      </c>
      <c r="G20" s="92">
        <f t="shared" si="0"/>
        <v>1960</v>
      </c>
      <c r="H20" s="83">
        <f t="shared" si="1"/>
        <v>63.775510204081634</v>
      </c>
    </row>
    <row r="22" spans="1:14" x14ac:dyDescent="0.45">
      <c r="A22" s="85">
        <v>1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</row>
    <row r="23" spans="1:14" ht="5.0999999999999996" customHeight="1" x14ac:dyDescent="0.45">
      <c r="A23" s="87"/>
    </row>
    <row r="24" spans="1:14" x14ac:dyDescent="0.45">
      <c r="C24" s="88"/>
      <c r="D24" s="88"/>
      <c r="E24" s="88"/>
      <c r="F24" s="89" t="s">
        <v>68</v>
      </c>
      <c r="G24" s="90"/>
      <c r="H24" s="89" t="s">
        <v>22</v>
      </c>
      <c r="I24" s="89" t="s">
        <v>23</v>
      </c>
      <c r="J24" s="89" t="s">
        <v>24</v>
      </c>
      <c r="K24" s="89" t="s">
        <v>3</v>
      </c>
    </row>
    <row r="25" spans="1:14" x14ac:dyDescent="0.45">
      <c r="C25" s="80" t="s">
        <v>14</v>
      </c>
      <c r="F25" s="82">
        <f>SUMIFS($F$9:$F$20,$E$9:$E$20,$C25)</f>
        <v>550000</v>
      </c>
      <c r="G25" s="90"/>
      <c r="H25" s="83">
        <f>$F25</f>
        <v>550000</v>
      </c>
      <c r="I25" s="83">
        <f>$F25</f>
        <v>550000</v>
      </c>
      <c r="J25" s="83">
        <f>$F25</f>
        <v>550000</v>
      </c>
      <c r="K25" s="83">
        <f>SUM(H25:J25)</f>
        <v>1650000</v>
      </c>
    </row>
    <row r="26" spans="1:14" x14ac:dyDescent="0.45">
      <c r="C26" s="80" t="s">
        <v>52</v>
      </c>
      <c r="F26" s="82">
        <f>SUMIFS($F$9:$F$20,$E$9:$E$20,$C26)</f>
        <v>270000</v>
      </c>
      <c r="G26" s="90"/>
      <c r="H26" s="83">
        <f t="shared" ref="H26:J28" si="3">$F26</f>
        <v>270000</v>
      </c>
      <c r="I26" s="83">
        <f t="shared" si="3"/>
        <v>270000</v>
      </c>
      <c r="J26" s="83">
        <f t="shared" si="3"/>
        <v>270000</v>
      </c>
      <c r="K26" s="83">
        <f>SUM(H26:J26)</f>
        <v>810000</v>
      </c>
    </row>
    <row r="27" spans="1:14" x14ac:dyDescent="0.45">
      <c r="C27" s="80" t="s">
        <v>15</v>
      </c>
      <c r="F27" s="82">
        <f>SUMIFS($F$9:$F$20,$E$9:$E$20,$C27)</f>
        <v>675000</v>
      </c>
      <c r="G27" s="90"/>
      <c r="H27" s="83">
        <f t="shared" si="3"/>
        <v>675000</v>
      </c>
      <c r="I27" s="83">
        <f t="shared" si="3"/>
        <v>675000</v>
      </c>
      <c r="J27" s="83">
        <f t="shared" si="3"/>
        <v>675000</v>
      </c>
      <c r="K27" s="83">
        <f>SUM(H27:J27)</f>
        <v>2025000</v>
      </c>
    </row>
    <row r="28" spans="1:14" x14ac:dyDescent="0.45">
      <c r="C28" s="80" t="s">
        <v>16</v>
      </c>
      <c r="F28" s="82">
        <f>SUMIFS($F$9:$F$20,$E$9:$E$20,$C28)</f>
        <v>125000</v>
      </c>
      <c r="G28" s="90"/>
      <c r="H28" s="99">
        <f t="shared" si="3"/>
        <v>125000</v>
      </c>
      <c r="I28" s="99">
        <f t="shared" si="3"/>
        <v>125000</v>
      </c>
      <c r="J28" s="99">
        <f t="shared" si="3"/>
        <v>125000</v>
      </c>
      <c r="K28" s="99">
        <f>SUM(H28:J28)</f>
        <v>375000</v>
      </c>
    </row>
    <row r="29" spans="1:14" x14ac:dyDescent="0.45">
      <c r="C29" s="80" t="s">
        <v>3</v>
      </c>
      <c r="F29" s="82"/>
      <c r="G29" s="90"/>
      <c r="H29" s="83">
        <f>SUM(H25:H28)</f>
        <v>1620000</v>
      </c>
      <c r="I29" s="83">
        <f t="shared" ref="I29:J29" si="4">SUM(I25:I28)</f>
        <v>1620000</v>
      </c>
      <c r="J29" s="83">
        <f t="shared" si="4"/>
        <v>1620000</v>
      </c>
      <c r="K29" s="83">
        <f>SUM(H29:J29)</f>
        <v>4860000</v>
      </c>
    </row>
    <row r="31" spans="1:14" x14ac:dyDescent="0.45">
      <c r="A31" s="85">
        <v>2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</row>
    <row r="32" spans="1:14" x14ac:dyDescent="0.45">
      <c r="A32" s="87"/>
    </row>
    <row r="33" spans="1:17" x14ac:dyDescent="0.45">
      <c r="H33" s="95">
        <f>H39/$K$39</f>
        <v>0.35294117647058826</v>
      </c>
      <c r="I33" s="95">
        <f t="shared" ref="I33:J33" si="5">I39/$K$39</f>
        <v>0.22058823529411764</v>
      </c>
      <c r="J33" s="95">
        <f t="shared" si="5"/>
        <v>0.4264705882352941</v>
      </c>
      <c r="N33" s="103" t="s">
        <v>83</v>
      </c>
      <c r="O33" s="103"/>
      <c r="P33" s="103"/>
      <c r="Q33" s="103"/>
    </row>
    <row r="34" spans="1:17" x14ac:dyDescent="0.45">
      <c r="C34" s="91" t="s">
        <v>85</v>
      </c>
      <c r="D34" s="91"/>
      <c r="E34" s="88"/>
      <c r="F34" s="88"/>
      <c r="G34" s="88"/>
      <c r="H34" s="89" t="s">
        <v>22</v>
      </c>
      <c r="I34" s="89" t="s">
        <v>23</v>
      </c>
      <c r="J34" s="89" t="s">
        <v>24</v>
      </c>
      <c r="K34" s="89" t="s">
        <v>3</v>
      </c>
      <c r="L34" s="91" t="s">
        <v>81</v>
      </c>
      <c r="N34" s="89" t="s">
        <v>22</v>
      </c>
      <c r="O34" s="89" t="str">
        <f>I34</f>
        <v>FY2</v>
      </c>
      <c r="P34" s="89" t="str">
        <f>J34</f>
        <v>FY3</v>
      </c>
      <c r="Q34" s="89" t="s">
        <v>3</v>
      </c>
    </row>
    <row r="35" spans="1:17" x14ac:dyDescent="0.45">
      <c r="C35" s="80" t="s">
        <v>14</v>
      </c>
      <c r="H35" s="92">
        <f>SUMPRODUCT('P&amp;L'!$D21:$L21,'P&amp;L'!$D$30:$L$30)</f>
        <v>180000</v>
      </c>
      <c r="I35" s="92">
        <f>SUMPRODUCT('P&amp;L'!$D21:$L21,'P&amp;L'!$D$31:$L$31)</f>
        <v>112500</v>
      </c>
      <c r="J35" s="92">
        <f>SUMPRODUCT('P&amp;L'!$D21:$L21,'P&amp;L'!$D$32:$L$32)</f>
        <v>217500</v>
      </c>
      <c r="K35" s="92">
        <f>SUM(H35:J35)</f>
        <v>510000</v>
      </c>
      <c r="L35" s="92">
        <f>K35/L9</f>
        <v>52.04081632653061</v>
      </c>
    </row>
    <row r="36" spans="1:17" x14ac:dyDescent="0.45">
      <c r="C36" s="80" t="s">
        <v>52</v>
      </c>
      <c r="H36" s="92">
        <f>SUMPRODUCT('P&amp;L'!$D22:$L22,'P&amp;L'!$D$30:$L$30)</f>
        <v>360000</v>
      </c>
      <c r="I36" s="92">
        <f>SUMPRODUCT('P&amp;L'!$D22:$L22,'P&amp;L'!$D$31:$L$31)</f>
        <v>225000</v>
      </c>
      <c r="J36" s="92">
        <f>SUMPRODUCT('P&amp;L'!$D22:$L22,'P&amp;L'!$D$32:$L$32)</f>
        <v>435000</v>
      </c>
      <c r="K36" s="92">
        <f t="shared" ref="K36:K38" si="6">SUM(H36:J36)</f>
        <v>1020000</v>
      </c>
      <c r="L36" s="92">
        <f>K36/L10</f>
        <v>260.20408163265307</v>
      </c>
    </row>
    <row r="37" spans="1:17" x14ac:dyDescent="0.45">
      <c r="C37" s="80" t="s">
        <v>15</v>
      </c>
      <c r="H37" s="92">
        <f>SUMPRODUCT('P&amp;L'!$D23:$L23,'P&amp;L'!$D$30:$L$30)</f>
        <v>420000</v>
      </c>
      <c r="I37" s="92">
        <f>SUMPRODUCT('P&amp;L'!$D23:$L23,'P&amp;L'!$D$31:$L$31)</f>
        <v>262500</v>
      </c>
      <c r="J37" s="92">
        <f>SUMPRODUCT('P&amp;L'!$D23:$L23,'P&amp;L'!$D$32:$L$32)</f>
        <v>507500</v>
      </c>
      <c r="K37" s="92">
        <f t="shared" si="6"/>
        <v>1190000</v>
      </c>
      <c r="L37" s="92">
        <f>K37/L11</f>
        <v>151.78571428571428</v>
      </c>
    </row>
    <row r="38" spans="1:17" x14ac:dyDescent="0.45">
      <c r="C38" s="80" t="s">
        <v>16</v>
      </c>
      <c r="H38" s="97">
        <f>SUMPRODUCT('P&amp;L'!$D24:$L24,'P&amp;L'!$D$30:$L$30)</f>
        <v>120000</v>
      </c>
      <c r="I38" s="97">
        <f>SUMPRODUCT('P&amp;L'!$D24:$L24,'P&amp;L'!$D$31:$L$31)</f>
        <v>75000</v>
      </c>
      <c r="J38" s="97">
        <f>SUMPRODUCT('P&amp;L'!$D24:$L24,'P&amp;L'!$D$32:$L$32)</f>
        <v>145000</v>
      </c>
      <c r="K38" s="97">
        <f t="shared" si="6"/>
        <v>340000</v>
      </c>
      <c r="L38" s="92">
        <f>K38/L12</f>
        <v>173.46938775510205</v>
      </c>
    </row>
    <row r="39" spans="1:17" x14ac:dyDescent="0.45">
      <c r="C39" s="80" t="s">
        <v>3</v>
      </c>
      <c r="H39" s="98">
        <f>SUM(H35:H38)</f>
        <v>1080000</v>
      </c>
      <c r="I39" s="98">
        <f t="shared" ref="I39:K39" si="7">SUM(I35:I38)</f>
        <v>675000</v>
      </c>
      <c r="J39" s="98">
        <f t="shared" si="7"/>
        <v>1305000</v>
      </c>
      <c r="K39" s="98">
        <f t="shared" si="7"/>
        <v>3060000</v>
      </c>
      <c r="L39" s="92"/>
      <c r="N39" s="92"/>
      <c r="O39" s="92"/>
      <c r="P39" s="92"/>
      <c r="Q39" s="92"/>
    </row>
    <row r="41" spans="1:17" x14ac:dyDescent="0.45">
      <c r="A41" s="85">
        <v>3</v>
      </c>
      <c r="C41" s="94" t="s">
        <v>69</v>
      </c>
      <c r="D41" s="94"/>
      <c r="E41" s="86"/>
      <c r="F41" s="86"/>
      <c r="G41" s="86"/>
      <c r="H41" s="86"/>
      <c r="I41" s="86"/>
      <c r="J41" s="86"/>
      <c r="K41" s="86"/>
      <c r="L41" s="86"/>
      <c r="M41" s="86"/>
      <c r="N41" s="86"/>
    </row>
    <row r="43" spans="1:17" x14ac:dyDescent="0.45">
      <c r="C43" s="91" t="s">
        <v>69</v>
      </c>
      <c r="D43" s="91"/>
      <c r="E43" s="88"/>
      <c r="F43" s="88"/>
      <c r="G43" s="88"/>
      <c r="H43" s="89" t="s">
        <v>22</v>
      </c>
      <c r="I43" s="89" t="s">
        <v>23</v>
      </c>
      <c r="J43" s="89" t="s">
        <v>24</v>
      </c>
      <c r="K43" s="89" t="s">
        <v>3</v>
      </c>
    </row>
    <row r="44" spans="1:17" x14ac:dyDescent="0.45">
      <c r="C44" s="80" t="s">
        <v>14</v>
      </c>
      <c r="H44" s="95">
        <f t="shared" ref="H44:J44" si="8">H35/H25</f>
        <v>0.32727272727272727</v>
      </c>
      <c r="I44" s="95">
        <f t="shared" si="8"/>
        <v>0.20454545454545456</v>
      </c>
      <c r="J44" s="95">
        <f t="shared" si="8"/>
        <v>0.39545454545454545</v>
      </c>
      <c r="K44" s="95">
        <f t="shared" ref="K44" si="9">K35/K25</f>
        <v>0.30909090909090908</v>
      </c>
      <c r="L44" s="96"/>
    </row>
    <row r="45" spans="1:17" x14ac:dyDescent="0.45">
      <c r="C45" s="80" t="s">
        <v>52</v>
      </c>
      <c r="H45" s="95">
        <f t="shared" ref="H45:J45" si="10">H36/H26</f>
        <v>1.3333333333333333</v>
      </c>
      <c r="I45" s="95">
        <f t="shared" si="10"/>
        <v>0.83333333333333337</v>
      </c>
      <c r="J45" s="95">
        <f t="shared" si="10"/>
        <v>1.6111111111111112</v>
      </c>
      <c r="K45" s="95">
        <f t="shared" ref="K45" si="11">K36/K26</f>
        <v>1.2592592592592593</v>
      </c>
    </row>
    <row r="46" spans="1:17" x14ac:dyDescent="0.45">
      <c r="C46" s="80" t="s">
        <v>15</v>
      </c>
      <c r="H46" s="95">
        <f t="shared" ref="H46:J46" si="12">H37/H27</f>
        <v>0.62222222222222223</v>
      </c>
      <c r="I46" s="95">
        <f t="shared" si="12"/>
        <v>0.3888888888888889</v>
      </c>
      <c r="J46" s="95">
        <f t="shared" si="12"/>
        <v>0.75185185185185188</v>
      </c>
      <c r="K46" s="95">
        <f t="shared" ref="K46" si="13">K37/K27</f>
        <v>0.58765432098765435</v>
      </c>
      <c r="L46" s="96"/>
    </row>
    <row r="47" spans="1:17" x14ac:dyDescent="0.45">
      <c r="C47" s="80" t="s">
        <v>16</v>
      </c>
      <c r="H47" s="95">
        <f t="shared" ref="H47:K48" si="14">H38/H28</f>
        <v>0.96</v>
      </c>
      <c r="I47" s="95">
        <f t="shared" si="14"/>
        <v>0.6</v>
      </c>
      <c r="J47" s="95">
        <f t="shared" si="14"/>
        <v>1.1599999999999999</v>
      </c>
      <c r="K47" s="95">
        <f t="shared" si="14"/>
        <v>0.90666666666666662</v>
      </c>
    </row>
    <row r="48" spans="1:17" x14ac:dyDescent="0.45">
      <c r="C48" s="80" t="s">
        <v>3</v>
      </c>
      <c r="H48" s="95">
        <f t="shared" si="14"/>
        <v>0.66666666666666663</v>
      </c>
      <c r="I48" s="95">
        <f t="shared" si="14"/>
        <v>0.41666666666666669</v>
      </c>
      <c r="J48" s="95">
        <f t="shared" si="14"/>
        <v>0.80555555555555558</v>
      </c>
      <c r="K48" s="95">
        <f t="shared" si="14"/>
        <v>0.62962962962962965</v>
      </c>
    </row>
    <row r="50" spans="1:16" x14ac:dyDescent="0.45">
      <c r="A50" s="85">
        <v>4</v>
      </c>
      <c r="C50" s="94" t="s">
        <v>71</v>
      </c>
      <c r="D50" s="94"/>
      <c r="E50" s="86"/>
      <c r="F50" s="86"/>
      <c r="G50" s="86"/>
      <c r="H50" s="86"/>
      <c r="I50" s="86"/>
      <c r="J50" s="86"/>
      <c r="K50" s="86"/>
      <c r="L50" s="86"/>
      <c r="M50" s="86"/>
      <c r="N50" s="86"/>
    </row>
    <row r="52" spans="1:16" x14ac:dyDescent="0.45">
      <c r="C52" s="80" t="s">
        <v>74</v>
      </c>
    </row>
    <row r="53" spans="1:16" x14ac:dyDescent="0.45">
      <c r="C53" s="80" t="s">
        <v>77</v>
      </c>
    </row>
    <row r="54" spans="1:16" x14ac:dyDescent="0.45">
      <c r="C54" s="80" t="s">
        <v>78</v>
      </c>
    </row>
    <row r="55" spans="1:16" x14ac:dyDescent="0.45">
      <c r="C55" s="80" t="s">
        <v>79</v>
      </c>
    </row>
    <row r="56" spans="1:16" x14ac:dyDescent="0.45">
      <c r="C56" s="80" t="s">
        <v>80</v>
      </c>
    </row>
    <row r="57" spans="1:16" x14ac:dyDescent="0.45">
      <c r="C57" s="80" t="s">
        <v>90</v>
      </c>
    </row>
    <row r="60" spans="1:16" x14ac:dyDescent="0.45">
      <c r="A60" s="85">
        <v>5</v>
      </c>
      <c r="C60" s="94" t="s">
        <v>72</v>
      </c>
      <c r="D60" s="94"/>
      <c r="E60" s="86"/>
      <c r="F60" s="86"/>
      <c r="G60" s="86"/>
      <c r="H60" s="86"/>
      <c r="I60" s="86"/>
      <c r="J60" s="86"/>
      <c r="K60" s="86"/>
      <c r="L60" s="86"/>
      <c r="M60" s="86"/>
      <c r="N60" s="86"/>
    </row>
    <row r="62" spans="1:16" x14ac:dyDescent="0.45">
      <c r="H62" s="103" t="s">
        <v>97</v>
      </c>
      <c r="I62" s="111"/>
      <c r="J62" s="111"/>
      <c r="K62" s="111"/>
      <c r="M62" s="103" t="s">
        <v>44</v>
      </c>
      <c r="N62" s="103"/>
      <c r="O62" s="103"/>
      <c r="P62" s="103"/>
    </row>
    <row r="63" spans="1:16" x14ac:dyDescent="0.45">
      <c r="E63" s="101" t="s">
        <v>44</v>
      </c>
      <c r="F63" s="101" t="s">
        <v>95</v>
      </c>
      <c r="G63" s="101" t="s">
        <v>86</v>
      </c>
      <c r="H63" s="89" t="str">
        <f>H43</f>
        <v>FY1</v>
      </c>
      <c r="I63" s="89" t="str">
        <f>I43</f>
        <v>FY2</v>
      </c>
      <c r="J63" s="89" t="str">
        <f>J43</f>
        <v>FY3</v>
      </c>
      <c r="K63" s="89" t="s">
        <v>3</v>
      </c>
      <c r="M63" s="89" t="s">
        <v>22</v>
      </c>
      <c r="N63" s="89" t="s">
        <v>23</v>
      </c>
      <c r="O63" s="89" t="s">
        <v>24</v>
      </c>
      <c r="P63" s="89" t="s">
        <v>3</v>
      </c>
    </row>
    <row r="64" spans="1:16" x14ac:dyDescent="0.45">
      <c r="E64" s="101"/>
      <c r="G64" s="101"/>
      <c r="H64" s="90"/>
      <c r="I64" s="90"/>
      <c r="J64" s="90"/>
      <c r="K64" s="90"/>
    </row>
    <row r="65" spans="3:16" x14ac:dyDescent="0.45">
      <c r="C65" s="109" t="s">
        <v>14</v>
      </c>
      <c r="D65" s="109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</row>
    <row r="66" spans="3:16" x14ac:dyDescent="0.45">
      <c r="C66" s="80" t="s">
        <v>84</v>
      </c>
      <c r="H66" s="92">
        <f>H35/$L35</f>
        <v>3458.8235294117649</v>
      </c>
      <c r="I66" s="92">
        <f>I35/$L35</f>
        <v>2161.7647058823532</v>
      </c>
      <c r="J66" s="92">
        <f>J35/$L35</f>
        <v>4179.4117647058829</v>
      </c>
      <c r="K66" s="92">
        <f>K35/$L35</f>
        <v>9800</v>
      </c>
    </row>
    <row r="67" spans="3:16" x14ac:dyDescent="0.45">
      <c r="C67" s="80" t="s">
        <v>96</v>
      </c>
      <c r="E67" s="113">
        <v>0</v>
      </c>
      <c r="H67" s="92">
        <f>H66*(1+$E$67)</f>
        <v>3458.8235294117649</v>
      </c>
      <c r="I67" s="92">
        <f t="shared" ref="I67:K67" si="15">I66*(1+$E$67)</f>
        <v>2161.7647058823532</v>
      </c>
      <c r="J67" s="92">
        <f t="shared" si="15"/>
        <v>4179.4117647058829</v>
      </c>
      <c r="K67" s="92">
        <f t="shared" si="15"/>
        <v>9800</v>
      </c>
    </row>
    <row r="68" spans="3:16" x14ac:dyDescent="0.45">
      <c r="C68" s="80" t="s">
        <v>93</v>
      </c>
      <c r="H68" s="93">
        <f>H67/(40*49)</f>
        <v>1.7647058823529413</v>
      </c>
      <c r="I68" s="93">
        <f t="shared" ref="I68:K68" si="16">I67/(40*49)</f>
        <v>1.1029411764705883</v>
      </c>
      <c r="J68" s="93">
        <f t="shared" si="16"/>
        <v>2.132352941176471</v>
      </c>
      <c r="K68" s="93">
        <f t="shared" si="16"/>
        <v>5</v>
      </c>
    </row>
    <row r="70" spans="3:16" x14ac:dyDescent="0.45">
      <c r="C70" s="100" t="s">
        <v>94</v>
      </c>
      <c r="D70" s="100"/>
      <c r="E70" s="101"/>
      <c r="G70" s="101"/>
      <c r="H70" s="102"/>
      <c r="I70" s="102"/>
      <c r="J70" s="102"/>
      <c r="K70" s="83"/>
    </row>
    <row r="71" spans="3:16" x14ac:dyDescent="0.45">
      <c r="C71" s="80" t="str">
        <f>C9</f>
        <v>A</v>
      </c>
      <c r="E71" s="83">
        <f>F9</f>
        <v>150000</v>
      </c>
      <c r="F71" s="83">
        <f>H9</f>
        <v>76.530612244897952</v>
      </c>
      <c r="G71" s="80">
        <v>1</v>
      </c>
      <c r="H71" s="92">
        <f>1960*$G$71</f>
        <v>1960</v>
      </c>
      <c r="I71" s="92">
        <f t="shared" ref="I71:J71" si="17">1960*$G$71</f>
        <v>1960</v>
      </c>
      <c r="J71" s="92">
        <f t="shared" si="17"/>
        <v>1960</v>
      </c>
      <c r="K71" s="92"/>
      <c r="L71" s="92"/>
      <c r="M71" s="83">
        <f>H71*$F71</f>
        <v>150000</v>
      </c>
      <c r="N71" s="83">
        <f t="shared" ref="N71:O71" si="18">I71*$F71</f>
        <v>150000</v>
      </c>
      <c r="O71" s="83">
        <f t="shared" si="18"/>
        <v>150000</v>
      </c>
      <c r="P71" s="83">
        <f>SUM(M71:O71)</f>
        <v>450000</v>
      </c>
    </row>
    <row r="72" spans="3:16" x14ac:dyDescent="0.45">
      <c r="C72" s="80" t="str">
        <f>C10</f>
        <v>B</v>
      </c>
      <c r="E72" s="83">
        <f>F10</f>
        <v>125000</v>
      </c>
      <c r="F72" s="83">
        <f t="shared" ref="F72:F75" si="19">H10</f>
        <v>63.775510204081634</v>
      </c>
      <c r="G72" s="80">
        <v>1</v>
      </c>
      <c r="H72" s="92">
        <f t="shared" ref="H72:J72" si="20">1960*$G$72</f>
        <v>1960</v>
      </c>
      <c r="I72" s="92">
        <f t="shared" si="20"/>
        <v>1960</v>
      </c>
      <c r="J72" s="92">
        <f t="shared" si="20"/>
        <v>1960</v>
      </c>
      <c r="K72" s="83"/>
      <c r="L72" s="92"/>
      <c r="M72" s="83">
        <f t="shared" ref="M72:M75" si="21">H72*$F72</f>
        <v>125000</v>
      </c>
      <c r="N72" s="83">
        <f t="shared" ref="N72:N75" si="22">I72*$F72</f>
        <v>125000</v>
      </c>
      <c r="O72" s="83">
        <f t="shared" ref="O72:O75" si="23">J72*$F72</f>
        <v>125000</v>
      </c>
      <c r="P72" s="83">
        <f t="shared" ref="P72:P75" si="24">SUM(M72:O72)</f>
        <v>375000</v>
      </c>
    </row>
    <row r="73" spans="3:16" x14ac:dyDescent="0.45">
      <c r="C73" s="80" t="str">
        <f>C11</f>
        <v>C</v>
      </c>
      <c r="E73" s="83">
        <f>F11</f>
        <v>110000</v>
      </c>
      <c r="F73" s="83">
        <f t="shared" si="19"/>
        <v>56.122448979591837</v>
      </c>
      <c r="G73" s="80">
        <v>0</v>
      </c>
      <c r="H73" s="92">
        <f>IF(H67-SUM(H71:H72)&lt;0,0,MIN(1960,H67-SUM(H71:H72)))</f>
        <v>0</v>
      </c>
      <c r="I73" s="92">
        <f>IF(I67-SUM(I71:I72)&lt;0,0,MIN(1960,I67-SUM(I71:I72)))</f>
        <v>0</v>
      </c>
      <c r="J73" s="92">
        <f>IF(J67-SUM(J71:J72)&lt;0,0,MIN(1960,J67-SUM(J71:J72)))</f>
        <v>259.41176470588289</v>
      </c>
      <c r="L73" s="92"/>
      <c r="M73" s="83">
        <f t="shared" si="21"/>
        <v>0</v>
      </c>
      <c r="N73" s="83">
        <f t="shared" si="22"/>
        <v>0</v>
      </c>
      <c r="O73" s="83">
        <f t="shared" si="23"/>
        <v>14558.823529411795</v>
      </c>
      <c r="P73" s="83">
        <f t="shared" si="24"/>
        <v>14558.823529411795</v>
      </c>
    </row>
    <row r="74" spans="3:16" x14ac:dyDescent="0.45">
      <c r="C74" s="80" t="str">
        <f>C12</f>
        <v>D</v>
      </c>
      <c r="E74" s="83">
        <f>F12</f>
        <v>90000</v>
      </c>
      <c r="F74" s="83">
        <f t="shared" si="19"/>
        <v>45.918367346938773</v>
      </c>
      <c r="G74" s="80">
        <v>0</v>
      </c>
      <c r="H74" s="92">
        <f>IF(H67-SUM(H71:H73)&lt;0,0,MIN(1960,H67-SUM(H71:H73)))</f>
        <v>0</v>
      </c>
      <c r="I74" s="92">
        <f>IF(I67-SUM(I71:I73)&lt;0,0,MIN(1960,I67-SUM(I71:I73)))</f>
        <v>0</v>
      </c>
      <c r="J74" s="92">
        <f>IF(J67-SUM(J71:J73)&lt;0,0,MIN(1960,J67-SUM(J71:J73)))</f>
        <v>0</v>
      </c>
      <c r="L74" s="92"/>
      <c r="M74" s="83">
        <f t="shared" si="21"/>
        <v>0</v>
      </c>
      <c r="N74" s="83">
        <f t="shared" si="22"/>
        <v>0</v>
      </c>
      <c r="O74" s="83">
        <f t="shared" si="23"/>
        <v>0</v>
      </c>
      <c r="P74" s="83">
        <f t="shared" si="24"/>
        <v>0</v>
      </c>
    </row>
    <row r="75" spans="3:16" x14ac:dyDescent="0.45">
      <c r="C75" s="80" t="str">
        <f>C13</f>
        <v>E</v>
      </c>
      <c r="E75" s="83">
        <f>F13</f>
        <v>75000</v>
      </c>
      <c r="F75" s="83">
        <f t="shared" si="19"/>
        <v>38.265306122448976</v>
      </c>
      <c r="G75" s="80">
        <v>0</v>
      </c>
      <c r="H75" s="83">
        <f>IF(H67-SUM(H71:H74)&lt;0,0,MIN(1960,H67-SUM(H71:H74)))</f>
        <v>0</v>
      </c>
      <c r="I75" s="83">
        <f>IF(I67-SUM(I71:I74)&lt;0,0,MIN(1960,I67-SUM(I71:I74)))</f>
        <v>0</v>
      </c>
      <c r="J75" s="83">
        <f>IF(J67-SUM(J71:J74)&lt;0,0,MIN(1960,J67-SUM(J71:J74)))</f>
        <v>0</v>
      </c>
      <c r="L75" s="92"/>
      <c r="M75" s="83">
        <f t="shared" si="21"/>
        <v>0</v>
      </c>
      <c r="N75" s="83">
        <f t="shared" si="22"/>
        <v>0</v>
      </c>
      <c r="O75" s="83">
        <f t="shared" si="23"/>
        <v>0</v>
      </c>
      <c r="P75" s="83">
        <f t="shared" si="24"/>
        <v>0</v>
      </c>
    </row>
    <row r="76" spans="3:16" s="81" customFormat="1" x14ac:dyDescent="0.45">
      <c r="C76" s="81" t="s">
        <v>3</v>
      </c>
      <c r="E76" s="112"/>
      <c r="F76" s="112"/>
      <c r="H76" s="98">
        <f>SUM(H71:H75)</f>
        <v>3920</v>
      </c>
      <c r="I76" s="98">
        <f t="shared" ref="I76:J76" si="25">SUM(I71:I75)</f>
        <v>3920</v>
      </c>
      <c r="J76" s="98">
        <f t="shared" si="25"/>
        <v>4179.4117647058829</v>
      </c>
      <c r="K76" s="98"/>
      <c r="L76" s="98"/>
      <c r="M76" s="98">
        <f>SUM(M71:M75)</f>
        <v>275000</v>
      </c>
      <c r="N76" s="98">
        <f t="shared" ref="N76:P76" si="26">SUM(N71:N75)</f>
        <v>275000</v>
      </c>
      <c r="O76" s="98">
        <f t="shared" si="26"/>
        <v>289558.82352941181</v>
      </c>
      <c r="P76" s="98">
        <f t="shared" si="26"/>
        <v>839558.82352941181</v>
      </c>
    </row>
    <row r="77" spans="3:16" x14ac:dyDescent="0.45">
      <c r="E77" s="83"/>
      <c r="F77" s="83"/>
      <c r="H77" s="83"/>
      <c r="I77" s="83"/>
      <c r="J77" s="83"/>
      <c r="L77" s="92"/>
    </row>
    <row r="78" spans="3:16" x14ac:dyDescent="0.45">
      <c r="C78" s="109" t="s">
        <v>52</v>
      </c>
      <c r="D78" s="109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</row>
    <row r="79" spans="3:16" x14ac:dyDescent="0.45">
      <c r="C79" s="80" t="s">
        <v>84</v>
      </c>
      <c r="E79" s="83"/>
      <c r="H79" s="92">
        <f>H36/$L36</f>
        <v>1383.5294117647059</v>
      </c>
      <c r="I79" s="92">
        <f>I36/$L36</f>
        <v>864.7058823529411</v>
      </c>
      <c r="J79" s="92">
        <f>J36/$L36</f>
        <v>1671.7647058823529</v>
      </c>
      <c r="K79" s="92">
        <f>K36/$L36</f>
        <v>3920</v>
      </c>
      <c r="L79" s="92"/>
      <c r="N79" s="92"/>
      <c r="O79" s="92"/>
      <c r="P79" s="92"/>
    </row>
    <row r="80" spans="3:16" x14ac:dyDescent="0.45">
      <c r="C80" s="80" t="s">
        <v>96</v>
      </c>
      <c r="E80" s="113">
        <f>E67</f>
        <v>0</v>
      </c>
      <c r="H80" s="92">
        <f>H79*(1+$E$80)</f>
        <v>1383.5294117647059</v>
      </c>
      <c r="I80" s="92">
        <f t="shared" ref="I80:K80" si="27">I79*(1+$E$80)</f>
        <v>864.7058823529411</v>
      </c>
      <c r="J80" s="92">
        <f t="shared" si="27"/>
        <v>1671.7647058823529</v>
      </c>
      <c r="K80" s="92">
        <f t="shared" si="27"/>
        <v>3920</v>
      </c>
    </row>
    <row r="81" spans="3:16" x14ac:dyDescent="0.45">
      <c r="C81" s="80" t="s">
        <v>93</v>
      </c>
      <c r="H81" s="93">
        <f>H80/(40*49)</f>
        <v>0.70588235294117641</v>
      </c>
      <c r="I81" s="93">
        <f t="shared" ref="I81" si="28">I80/(40*49)</f>
        <v>0.44117647058823528</v>
      </c>
      <c r="J81" s="93">
        <f t="shared" ref="J81" si="29">J80/(40*49)</f>
        <v>0.8529411764705882</v>
      </c>
      <c r="K81" s="93">
        <f t="shared" ref="K81" si="30">K80/(40*49)</f>
        <v>2</v>
      </c>
    </row>
    <row r="82" spans="3:16" x14ac:dyDescent="0.45">
      <c r="H82" s="92"/>
      <c r="I82" s="92"/>
      <c r="J82" s="92"/>
      <c r="K82" s="92"/>
    </row>
    <row r="83" spans="3:16" x14ac:dyDescent="0.45">
      <c r="C83" s="100" t="s">
        <v>52</v>
      </c>
      <c r="D83" s="100"/>
      <c r="E83" s="83"/>
      <c r="H83" s="83"/>
      <c r="I83" s="83"/>
      <c r="J83" s="83"/>
      <c r="K83" s="83"/>
      <c r="L83" s="92"/>
    </row>
    <row r="84" spans="3:16" x14ac:dyDescent="0.45">
      <c r="C84" s="80" t="str">
        <f>C14</f>
        <v>F</v>
      </c>
      <c r="E84" s="83">
        <f>F14</f>
        <v>150000</v>
      </c>
      <c r="F84" s="83">
        <f>H14</f>
        <v>76.530612244897952</v>
      </c>
      <c r="G84" s="80">
        <v>1</v>
      </c>
      <c r="H84" s="92">
        <f>1960*$G$84</f>
        <v>1960</v>
      </c>
      <c r="I84" s="92">
        <f t="shared" ref="I84:J85" si="31">1960*$G$84</f>
        <v>1960</v>
      </c>
      <c r="J84" s="92">
        <f t="shared" si="31"/>
        <v>1960</v>
      </c>
      <c r="K84" s="92"/>
      <c r="M84" s="83">
        <f>H84*$F84</f>
        <v>150000</v>
      </c>
      <c r="N84" s="83">
        <f t="shared" ref="N84" si="32">I84*$F84</f>
        <v>150000</v>
      </c>
      <c r="O84" s="83">
        <f t="shared" ref="O84" si="33">J84*$F84</f>
        <v>150000</v>
      </c>
      <c r="P84" s="83">
        <f>SUM(M84:O84)</f>
        <v>450000</v>
      </c>
    </row>
    <row r="85" spans="3:16" x14ac:dyDescent="0.45">
      <c r="C85" s="80" t="str">
        <f>C15</f>
        <v>G</v>
      </c>
      <c r="E85" s="83">
        <f>F15</f>
        <v>120000</v>
      </c>
      <c r="F85" s="83">
        <f>H15</f>
        <v>61.224489795918366</v>
      </c>
      <c r="G85" s="80">
        <v>0</v>
      </c>
      <c r="H85" s="92">
        <f>1960*$G$84</f>
        <v>1960</v>
      </c>
      <c r="I85" s="92">
        <f t="shared" si="31"/>
        <v>1960</v>
      </c>
      <c r="J85" s="92">
        <f t="shared" si="31"/>
        <v>1960</v>
      </c>
      <c r="K85" s="83"/>
      <c r="M85" s="83">
        <f>H85*$F85</f>
        <v>120000</v>
      </c>
      <c r="N85" s="83">
        <f t="shared" ref="N85" si="34">I85*$F85</f>
        <v>120000</v>
      </c>
      <c r="O85" s="83">
        <f t="shared" ref="O85" si="35">J85*$F85</f>
        <v>120000</v>
      </c>
      <c r="P85" s="83">
        <f>SUM(M85:O85)</f>
        <v>360000</v>
      </c>
    </row>
    <row r="86" spans="3:16" s="81" customFormat="1" x14ac:dyDescent="0.45">
      <c r="C86" s="81" t="s">
        <v>3</v>
      </c>
      <c r="E86" s="112"/>
      <c r="F86" s="112"/>
      <c r="H86" s="98">
        <f>SUM(H84:H85)</f>
        <v>3920</v>
      </c>
      <c r="I86" s="98">
        <f t="shared" ref="I86:J86" si="36">SUM(I84:I85)</f>
        <v>3920</v>
      </c>
      <c r="J86" s="98">
        <f t="shared" si="36"/>
        <v>3920</v>
      </c>
      <c r="K86" s="98"/>
      <c r="L86" s="98"/>
      <c r="M86" s="98">
        <f t="shared" ref="M86" si="37">SUM(M84:M85)</f>
        <v>270000</v>
      </c>
      <c r="N86" s="98">
        <f t="shared" ref="N86" si="38">SUM(N84:N85)</f>
        <v>270000</v>
      </c>
      <c r="O86" s="98">
        <f t="shared" ref="O86" si="39">SUM(O84:O85)</f>
        <v>270000</v>
      </c>
      <c r="P86" s="98">
        <f t="shared" ref="P86" si="40">SUM(P84:P85)</f>
        <v>810000</v>
      </c>
    </row>
    <row r="87" spans="3:16" x14ac:dyDescent="0.45">
      <c r="E87" s="83"/>
      <c r="H87" s="83"/>
      <c r="I87" s="83"/>
      <c r="J87" s="83"/>
      <c r="K87" s="83"/>
    </row>
    <row r="88" spans="3:16" x14ac:dyDescent="0.45">
      <c r="C88" s="109" t="s">
        <v>15</v>
      </c>
      <c r="D88" s="109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</row>
    <row r="89" spans="3:16" x14ac:dyDescent="0.45">
      <c r="C89" s="80" t="s">
        <v>84</v>
      </c>
      <c r="E89" s="83"/>
      <c r="H89" s="92">
        <f>H37/$L37</f>
        <v>2767.0588235294117</v>
      </c>
      <c r="I89" s="92">
        <f>I37/$L37</f>
        <v>1729.4117647058824</v>
      </c>
      <c r="J89" s="92">
        <f>J37/$L37</f>
        <v>3343.5294117647059</v>
      </c>
      <c r="K89" s="92">
        <f>K37/$L37</f>
        <v>7840</v>
      </c>
      <c r="L89" s="92"/>
      <c r="N89" s="92"/>
      <c r="O89" s="92"/>
      <c r="P89" s="92"/>
    </row>
    <row r="90" spans="3:16" x14ac:dyDescent="0.45">
      <c r="C90" s="80" t="s">
        <v>96</v>
      </c>
      <c r="E90" s="113">
        <v>0.5</v>
      </c>
      <c r="H90" s="92">
        <f>H89*(1+$E$90)</f>
        <v>4150.5882352941171</v>
      </c>
      <c r="I90" s="92">
        <f t="shared" ref="I90:K90" si="41">I89*(1+$E$90)</f>
        <v>2594.1176470588234</v>
      </c>
      <c r="J90" s="92">
        <f t="shared" si="41"/>
        <v>5015.2941176470586</v>
      </c>
      <c r="K90" s="92">
        <f t="shared" si="41"/>
        <v>11760</v>
      </c>
    </row>
    <row r="91" spans="3:16" x14ac:dyDescent="0.45">
      <c r="C91" s="80" t="s">
        <v>93</v>
      </c>
      <c r="H91" s="93">
        <f>H90/(40*49)</f>
        <v>2.117647058823529</v>
      </c>
      <c r="I91" s="93">
        <f t="shared" ref="I91" si="42">I90/(40*49)</f>
        <v>1.3235294117647058</v>
      </c>
      <c r="J91" s="93">
        <f t="shared" ref="J91" si="43">J90/(40*49)</f>
        <v>2.5588235294117645</v>
      </c>
      <c r="K91" s="93">
        <f t="shared" ref="K91" si="44">K90/(40*49)</f>
        <v>6</v>
      </c>
    </row>
    <row r="92" spans="3:16" x14ac:dyDescent="0.45">
      <c r="E92" s="83"/>
      <c r="H92" s="83"/>
      <c r="I92" s="83"/>
      <c r="J92" s="83"/>
      <c r="K92" s="83"/>
    </row>
    <row r="93" spans="3:16" x14ac:dyDescent="0.45">
      <c r="E93" s="83"/>
      <c r="H93" s="83"/>
      <c r="I93" s="83"/>
      <c r="J93" s="83"/>
    </row>
    <row r="94" spans="3:16" x14ac:dyDescent="0.45">
      <c r="C94" s="100" t="s">
        <v>15</v>
      </c>
      <c r="D94" s="100"/>
      <c r="E94" s="83"/>
      <c r="H94" s="83"/>
      <c r="I94" s="83"/>
      <c r="J94" s="83"/>
      <c r="K94" s="83"/>
    </row>
    <row r="95" spans="3:16" x14ac:dyDescent="0.45">
      <c r="C95" s="80" t="str">
        <f>C16</f>
        <v>H</v>
      </c>
      <c r="E95" s="83">
        <f>F16</f>
        <v>200000</v>
      </c>
      <c r="F95" s="83">
        <f>H16</f>
        <v>102.04081632653062</v>
      </c>
      <c r="G95" s="80">
        <v>1</v>
      </c>
      <c r="H95" s="92">
        <f>1960*$G$95</f>
        <v>1960</v>
      </c>
      <c r="I95" s="92">
        <f t="shared" ref="I95:J95" si="45">1960*$G$95</f>
        <v>1960</v>
      </c>
      <c r="J95" s="92">
        <f t="shared" si="45"/>
        <v>1960</v>
      </c>
      <c r="K95" s="83"/>
      <c r="M95" s="83">
        <f>H95*$F95</f>
        <v>200000</v>
      </c>
      <c r="N95" s="83">
        <f t="shared" ref="N95:N96" si="46">I95*$F95</f>
        <v>200000</v>
      </c>
      <c r="O95" s="83">
        <f t="shared" ref="O95:O96" si="47">J95*$F95</f>
        <v>200000</v>
      </c>
      <c r="P95" s="83">
        <f>SUM(M95:O95)</f>
        <v>600000</v>
      </c>
    </row>
    <row r="96" spans="3:16" x14ac:dyDescent="0.45">
      <c r="C96" s="80" t="str">
        <f>C17</f>
        <v>I</v>
      </c>
      <c r="E96" s="83">
        <f>F17</f>
        <v>200000</v>
      </c>
      <c r="F96" s="83">
        <f t="shared" ref="F96:F98" si="48">H17</f>
        <v>102.04081632653062</v>
      </c>
      <c r="G96" s="80">
        <v>1</v>
      </c>
      <c r="H96" s="92">
        <f>1960*$G$96</f>
        <v>1960</v>
      </c>
      <c r="I96" s="92">
        <f t="shared" ref="I96:J96" si="49">1960*$G$96</f>
        <v>1960</v>
      </c>
      <c r="J96" s="92">
        <f t="shared" si="49"/>
        <v>1960</v>
      </c>
      <c r="K96" s="83"/>
      <c r="M96" s="83">
        <f>H96*$F96</f>
        <v>200000</v>
      </c>
      <c r="N96" s="83">
        <f t="shared" si="46"/>
        <v>200000</v>
      </c>
      <c r="O96" s="83">
        <f t="shared" si="47"/>
        <v>200000</v>
      </c>
      <c r="P96" s="83">
        <f>SUM(M96:O96)</f>
        <v>600000</v>
      </c>
    </row>
    <row r="97" spans="3:16" x14ac:dyDescent="0.45">
      <c r="C97" s="80" t="str">
        <f>C18</f>
        <v>J</v>
      </c>
      <c r="E97" s="83">
        <f>F18</f>
        <v>150000</v>
      </c>
      <c r="F97" s="83">
        <f t="shared" si="48"/>
        <v>76.530612244897952</v>
      </c>
      <c r="G97" s="80">
        <v>0</v>
      </c>
      <c r="H97" s="92">
        <f>IF(H90-SUM(H95:H96)&lt;0,0,MIN(1960,H90-SUM(H95:H96)))</f>
        <v>230.58823529411711</v>
      </c>
      <c r="I97" s="92">
        <f t="shared" ref="I97:J97" si="50">IF(I90-SUM(I95:I96)&lt;0,0,MIN(1960,I90-SUM(I95:I96)))</f>
        <v>0</v>
      </c>
      <c r="J97" s="92">
        <f t="shared" si="50"/>
        <v>1095.2941176470586</v>
      </c>
      <c r="M97" s="83">
        <f t="shared" ref="M97:M98" si="51">H97*$F97</f>
        <v>17647.058823529369</v>
      </c>
      <c r="N97" s="83">
        <f t="shared" ref="N97:N98" si="52">I97*$F97</f>
        <v>0</v>
      </c>
      <c r="O97" s="83">
        <f t="shared" ref="O97:O98" si="53">J97*$F97</f>
        <v>83823.529411764684</v>
      </c>
      <c r="P97" s="83">
        <f t="shared" ref="P97:P98" si="54">SUM(M97:O97)</f>
        <v>101470.58823529405</v>
      </c>
    </row>
    <row r="98" spans="3:16" x14ac:dyDescent="0.45">
      <c r="C98" s="80" t="str">
        <f>C19</f>
        <v>K</v>
      </c>
      <c r="E98" s="83">
        <f>F19</f>
        <v>125000</v>
      </c>
      <c r="F98" s="83">
        <f t="shared" si="48"/>
        <v>63.775510204081634</v>
      </c>
      <c r="G98" s="80">
        <v>0</v>
      </c>
      <c r="H98" s="92">
        <f>IF(H90-SUM(H95:H97)&lt;0,0,MIN(1960,H90-SUM(H95:H97)))</f>
        <v>0</v>
      </c>
      <c r="I98" s="92">
        <f t="shared" ref="I98:J98" si="55">IF(I90-SUM(I95:I97)&lt;0,0,MIN(1960,I90-SUM(I95:I97)))</f>
        <v>0</v>
      </c>
      <c r="J98" s="92">
        <f t="shared" si="55"/>
        <v>0</v>
      </c>
      <c r="M98" s="83">
        <f t="shared" si="51"/>
        <v>0</v>
      </c>
      <c r="N98" s="83">
        <f t="shared" si="52"/>
        <v>0</v>
      </c>
      <c r="O98" s="83">
        <f t="shared" si="53"/>
        <v>0</v>
      </c>
      <c r="P98" s="83">
        <f t="shared" si="54"/>
        <v>0</v>
      </c>
    </row>
    <row r="99" spans="3:16" s="81" customFormat="1" x14ac:dyDescent="0.45">
      <c r="C99" s="81" t="s">
        <v>3</v>
      </c>
      <c r="E99" s="112"/>
      <c r="F99" s="112"/>
      <c r="H99" s="98">
        <f>SUM(H95:H98)</f>
        <v>4150.5882352941171</v>
      </c>
      <c r="I99" s="98">
        <f t="shared" ref="I99:J99" si="56">SUM(I95:I98)</f>
        <v>3920</v>
      </c>
      <c r="J99" s="98">
        <f t="shared" si="56"/>
        <v>5015.2941176470586</v>
      </c>
      <c r="K99" s="98"/>
      <c r="L99" s="98"/>
      <c r="M99" s="112">
        <f t="shared" ref="M99" si="57">SUM(M95:M98)</f>
        <v>417647.0588235294</v>
      </c>
      <c r="N99" s="112">
        <f t="shared" ref="N99" si="58">SUM(N95:N98)</f>
        <v>400000</v>
      </c>
      <c r="O99" s="112">
        <f t="shared" ref="O99" si="59">SUM(O95:O98)</f>
        <v>483823.5294117647</v>
      </c>
      <c r="P99" s="112">
        <f t="shared" ref="P99" si="60">SUM(P95:P98)</f>
        <v>1301470.588235294</v>
      </c>
    </row>
    <row r="100" spans="3:16" x14ac:dyDescent="0.45">
      <c r="E100" s="83"/>
    </row>
    <row r="101" spans="3:16" x14ac:dyDescent="0.45">
      <c r="C101" s="109" t="s">
        <v>16</v>
      </c>
      <c r="D101" s="109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</row>
    <row r="102" spans="3:16" x14ac:dyDescent="0.45">
      <c r="C102" s="80" t="s">
        <v>84</v>
      </c>
      <c r="E102" s="83"/>
      <c r="H102" s="92">
        <f>H38/$L38</f>
        <v>691.76470588235293</v>
      </c>
      <c r="I102" s="92">
        <f>I38/$L38</f>
        <v>432.35294117647055</v>
      </c>
      <c r="J102" s="92">
        <f>J38/$L38</f>
        <v>835.88235294117646</v>
      </c>
      <c r="K102" s="92">
        <f>K38/$L38</f>
        <v>1960</v>
      </c>
      <c r="L102" s="92"/>
      <c r="N102" s="92"/>
      <c r="O102" s="92"/>
      <c r="P102" s="92"/>
    </row>
    <row r="103" spans="3:16" x14ac:dyDescent="0.45">
      <c r="C103" s="80" t="s">
        <v>96</v>
      </c>
      <c r="E103" s="113">
        <v>0.5</v>
      </c>
      <c r="H103" s="92">
        <f>H102*(1+$E$103)</f>
        <v>1037.6470588235293</v>
      </c>
      <c r="I103" s="92">
        <f t="shared" ref="I103:K103" si="61">I102*(1+$E$103)</f>
        <v>648.52941176470586</v>
      </c>
      <c r="J103" s="92">
        <f t="shared" si="61"/>
        <v>1253.8235294117646</v>
      </c>
      <c r="K103" s="92">
        <f t="shared" si="61"/>
        <v>2940</v>
      </c>
    </row>
    <row r="104" spans="3:16" x14ac:dyDescent="0.45">
      <c r="C104" s="80" t="s">
        <v>93</v>
      </c>
      <c r="H104" s="93">
        <f>H103/(40*49)</f>
        <v>0.52941176470588225</v>
      </c>
      <c r="I104" s="93">
        <f t="shared" ref="I104" si="62">I103/(40*49)</f>
        <v>0.33088235294117646</v>
      </c>
      <c r="J104" s="93">
        <f t="shared" ref="J104" si="63">J103/(40*49)</f>
        <v>0.63970588235294112</v>
      </c>
      <c r="K104" s="93">
        <f t="shared" ref="K104" si="64">K103/(40*49)</f>
        <v>1.5</v>
      </c>
    </row>
    <row r="105" spans="3:16" x14ac:dyDescent="0.45">
      <c r="E105" s="83"/>
    </row>
    <row r="106" spans="3:16" x14ac:dyDescent="0.45">
      <c r="C106" s="100" t="s">
        <v>16</v>
      </c>
      <c r="D106" s="100"/>
      <c r="E106" s="83"/>
    </row>
    <row r="107" spans="3:16" x14ac:dyDescent="0.45">
      <c r="C107" s="80" t="str">
        <f>C20</f>
        <v>L</v>
      </c>
      <c r="E107" s="83">
        <f>F20</f>
        <v>125000</v>
      </c>
      <c r="F107" s="83">
        <f>H20</f>
        <v>63.775510204081634</v>
      </c>
      <c r="G107" s="80">
        <v>1</v>
      </c>
      <c r="H107" s="92">
        <v>1960</v>
      </c>
      <c r="I107" s="92">
        <v>1960</v>
      </c>
      <c r="J107" s="92">
        <v>1960</v>
      </c>
      <c r="K107" s="83"/>
      <c r="M107" s="83">
        <f>H107*$F107</f>
        <v>125000</v>
      </c>
      <c r="N107" s="83">
        <f t="shared" ref="N107" si="65">I107*$F107</f>
        <v>125000</v>
      </c>
      <c r="O107" s="83">
        <f t="shared" ref="O107" si="66">J107*$F107</f>
        <v>125000</v>
      </c>
      <c r="P107" s="83">
        <f>SUM(M107:O107)</f>
        <v>375000</v>
      </c>
    </row>
    <row r="108" spans="3:16" s="81" customFormat="1" x14ac:dyDescent="0.45">
      <c r="C108" s="81" t="s">
        <v>3</v>
      </c>
      <c r="E108" s="112"/>
      <c r="H108" s="98">
        <f>SUM(H107)</f>
        <v>1960</v>
      </c>
      <c r="I108" s="98">
        <f t="shared" ref="I108:J108" si="67">SUM(I107)</f>
        <v>1960</v>
      </c>
      <c r="J108" s="98">
        <f t="shared" si="67"/>
        <v>1960</v>
      </c>
      <c r="M108" s="112">
        <f t="shared" ref="M108" si="68">SUM(M107)</f>
        <v>125000</v>
      </c>
      <c r="N108" s="112">
        <f t="shared" ref="N108" si="69">SUM(N107)</f>
        <v>125000</v>
      </c>
      <c r="O108" s="112">
        <f t="shared" ref="O108" si="70">SUM(O107)</f>
        <v>125000</v>
      </c>
      <c r="P108" s="112">
        <f t="shared" ref="P108" si="71">SUM(P107)</f>
        <v>375000</v>
      </c>
    </row>
    <row r="109" spans="3:16" x14ac:dyDescent="0.45">
      <c r="E109" s="83"/>
    </row>
    <row r="110" spans="3:16" x14ac:dyDescent="0.45">
      <c r="C110" s="114" t="s">
        <v>3</v>
      </c>
      <c r="D110" s="114"/>
      <c r="E110" s="115"/>
      <c r="F110" s="114"/>
      <c r="G110" s="114"/>
      <c r="H110" s="114"/>
      <c r="I110" s="114"/>
      <c r="J110" s="114"/>
      <c r="K110" s="114"/>
      <c r="L110" s="114"/>
      <c r="M110" s="115">
        <f>M108+M99+M86+M76</f>
        <v>1087647.0588235294</v>
      </c>
      <c r="N110" s="115">
        <f t="shared" ref="N110:P110" si="72">N108+N99+N86+N76</f>
        <v>1070000</v>
      </c>
      <c r="O110" s="115">
        <f t="shared" si="72"/>
        <v>1168382.3529411764</v>
      </c>
      <c r="P110" s="115">
        <f t="shared" si="72"/>
        <v>3326029.4117647056</v>
      </c>
    </row>
    <row r="111" spans="3:16" x14ac:dyDescent="0.45">
      <c r="E111" s="83"/>
    </row>
    <row r="112" spans="3:16" x14ac:dyDescent="0.45">
      <c r="E112" s="83"/>
    </row>
    <row r="113" spans="1:14" x14ac:dyDescent="0.45">
      <c r="A113" s="85">
        <v>6</v>
      </c>
      <c r="C113" s="94" t="s">
        <v>98</v>
      </c>
      <c r="D113" s="94"/>
      <c r="E113" s="86"/>
      <c r="F113" s="86"/>
      <c r="G113" s="86"/>
      <c r="H113" s="86"/>
      <c r="I113" s="86"/>
      <c r="J113" s="86"/>
      <c r="K113" s="86"/>
      <c r="L113" s="86"/>
      <c r="M113" s="86"/>
      <c r="N113" s="86"/>
    </row>
    <row r="114" spans="1:14" x14ac:dyDescent="0.45">
      <c r="E114" s="83"/>
    </row>
    <row r="115" spans="1:14" x14ac:dyDescent="0.45">
      <c r="C115" s="91" t="s">
        <v>69</v>
      </c>
      <c r="D115" s="91"/>
      <c r="E115" s="88"/>
      <c r="F115" s="88"/>
      <c r="G115" s="88"/>
      <c r="H115" s="89" t="s">
        <v>22</v>
      </c>
      <c r="I115" s="89" t="s">
        <v>23</v>
      </c>
      <c r="J115" s="89" t="s">
        <v>24</v>
      </c>
      <c r="K115" s="89" t="s">
        <v>3</v>
      </c>
    </row>
    <row r="116" spans="1:14" x14ac:dyDescent="0.45">
      <c r="C116" s="80" t="s">
        <v>14</v>
      </c>
      <c r="H116" s="95">
        <f>H35/M76</f>
        <v>0.65454545454545454</v>
      </c>
      <c r="I116" s="95">
        <f>I35/N76</f>
        <v>0.40909090909090912</v>
      </c>
      <c r="J116" s="95">
        <f>J35/O76</f>
        <v>0.75114271203656668</v>
      </c>
      <c r="K116" s="95">
        <f>K35/P76</f>
        <v>0.60746190225959007</v>
      </c>
      <c r="L116" s="96"/>
    </row>
    <row r="117" spans="1:14" x14ac:dyDescent="0.45">
      <c r="C117" s="80" t="s">
        <v>52</v>
      </c>
      <c r="H117" s="95">
        <f>H36/M86</f>
        <v>1.3333333333333333</v>
      </c>
      <c r="I117" s="95">
        <f t="shared" ref="I117:K117" si="73">I36/N86</f>
        <v>0.83333333333333337</v>
      </c>
      <c r="J117" s="95">
        <f t="shared" si="73"/>
        <v>1.6111111111111112</v>
      </c>
      <c r="K117" s="95">
        <f t="shared" si="73"/>
        <v>1.2592592592592593</v>
      </c>
    </row>
    <row r="118" spans="1:14" x14ac:dyDescent="0.45">
      <c r="C118" s="80" t="s">
        <v>15</v>
      </c>
      <c r="H118" s="95">
        <f>H37/M99</f>
        <v>1.0056338028169014</v>
      </c>
      <c r="I118" s="95">
        <f t="shared" ref="I118:K118" si="74">I37/N99</f>
        <v>0.65625</v>
      </c>
      <c r="J118" s="95">
        <f t="shared" si="74"/>
        <v>1.048936170212766</v>
      </c>
      <c r="K118" s="95">
        <f t="shared" si="74"/>
        <v>0.9143502824858758</v>
      </c>
      <c r="L118" s="96"/>
    </row>
    <row r="119" spans="1:14" x14ac:dyDescent="0.45">
      <c r="C119" s="80" t="s">
        <v>16</v>
      </c>
      <c r="H119" s="95">
        <f>H38/M108</f>
        <v>0.96</v>
      </c>
      <c r="I119" s="95">
        <f t="shared" ref="I119:K119" si="75">I38/N108</f>
        <v>0.6</v>
      </c>
      <c r="J119" s="95">
        <f t="shared" si="75"/>
        <v>1.1599999999999999</v>
      </c>
      <c r="K119" s="95">
        <f t="shared" si="75"/>
        <v>0.90666666666666662</v>
      </c>
    </row>
    <row r="120" spans="1:14" s="81" customFormat="1" x14ac:dyDescent="0.45">
      <c r="C120" s="81" t="s">
        <v>3</v>
      </c>
      <c r="H120" s="116">
        <f>H39/M110</f>
        <v>0.99296917252568961</v>
      </c>
      <c r="I120" s="116">
        <f t="shared" ref="I120:K120" si="76">I39/N110</f>
        <v>0.63084112149532712</v>
      </c>
      <c r="J120" s="116">
        <f t="shared" si="76"/>
        <v>1.1169288860918818</v>
      </c>
      <c r="K120" s="116">
        <f t="shared" si="76"/>
        <v>0.92001591723040199</v>
      </c>
    </row>
    <row r="121" spans="1:14" x14ac:dyDescent="0.45">
      <c r="E121" s="83"/>
    </row>
    <row r="122" spans="1:14" x14ac:dyDescent="0.45">
      <c r="E122" s="83"/>
    </row>
    <row r="123" spans="1:14" x14ac:dyDescent="0.45">
      <c r="E123" s="8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8587-638D-41F8-BE94-E78BD5A180D9}">
  <dimension ref="B2:B4"/>
  <sheetViews>
    <sheetView showGridLines="0" topLeftCell="A4" workbookViewId="0">
      <selection activeCell="B3" sqref="B3"/>
    </sheetView>
  </sheetViews>
  <sheetFormatPr defaultRowHeight="15.75" x14ac:dyDescent="0.5"/>
  <cols>
    <col min="1" max="1" width="3.625" style="79" customWidth="1"/>
    <col min="2" max="2" width="20.625" style="79" customWidth="1"/>
    <col min="3" max="16384" width="9" style="79"/>
  </cols>
  <sheetData>
    <row r="2" spans="2:2" x14ac:dyDescent="0.5">
      <c r="B2" s="78" t="s">
        <v>76</v>
      </c>
    </row>
    <row r="3" spans="2:2" x14ac:dyDescent="0.5">
      <c r="B3" s="79" t="s">
        <v>70</v>
      </c>
    </row>
    <row r="4" spans="2:2" x14ac:dyDescent="0.5">
      <c r="B4" s="79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C2B2-1DCF-42AC-880E-10A412134941}">
  <sheetPr>
    <tabColor theme="1"/>
  </sheetPr>
  <dimension ref="A1"/>
  <sheetViews>
    <sheetView workbookViewId="0">
      <selection activeCell="F18" sqref="F18"/>
    </sheetView>
  </sheetViews>
  <sheetFormatPr defaultRowHeight="15.75" x14ac:dyDescent="0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C543-E315-4E17-A691-F411D8C2C961}">
  <dimension ref="A1:BW19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9.75" defaultRowHeight="15.75" outlineLevelRow="4" outlineLevelCol="1" x14ac:dyDescent="0.5"/>
  <cols>
    <col min="1" max="1" width="47.4375" customWidth="1"/>
    <col min="2" max="2" width="10.1875" customWidth="1"/>
    <col min="3" max="6" width="9" customWidth="1"/>
    <col min="7" max="10" width="9" hidden="1" customWidth="1" outlineLevel="1"/>
    <col min="11" max="11" width="9" customWidth="1" collapsed="1"/>
    <col min="12" max="15" width="9" hidden="1" customWidth="1" outlineLevel="1"/>
    <col min="16" max="16" width="9" customWidth="1" collapsed="1"/>
    <col min="17" max="20" width="9" hidden="1" customWidth="1" outlineLevel="1"/>
    <col min="21" max="21" width="9" customWidth="1" collapsed="1"/>
    <col min="22" max="22" width="9" hidden="1" customWidth="1" outlineLevel="1"/>
    <col min="23" max="23" width="9" style="1103" hidden="1" customWidth="1" outlineLevel="1"/>
    <col min="24" max="25" width="9" hidden="1" customWidth="1" outlineLevel="1"/>
    <col min="26" max="26" width="9" customWidth="1" collapsed="1"/>
    <col min="27" max="30" width="9" hidden="1" customWidth="1" outlineLevel="1"/>
    <col min="31" max="31" width="9" customWidth="1" collapsed="1"/>
    <col min="32" max="35" width="9" hidden="1" customWidth="1" outlineLevel="1"/>
    <col min="36" max="36" width="9" customWidth="1" collapsed="1"/>
    <col min="37" max="40" width="9" hidden="1" customWidth="1" outlineLevel="1"/>
    <col min="41" max="41" width="9" customWidth="1" collapsed="1"/>
    <col min="42" max="45" width="9" hidden="1" customWidth="1" outlineLevel="1"/>
    <col min="46" max="46" width="9" customWidth="1" collapsed="1"/>
    <col min="47" max="50" width="9" hidden="1" customWidth="1" outlineLevel="1"/>
    <col min="51" max="51" width="9" customWidth="1" collapsed="1"/>
    <col min="52" max="55" width="9" hidden="1" customWidth="1" outlineLevel="1"/>
    <col min="56" max="56" width="9" customWidth="1" collapsed="1"/>
    <col min="57" max="60" width="9" customWidth="1" outlineLevel="1"/>
    <col min="61" max="61" width="9" customWidth="1"/>
    <col min="62" max="65" width="9" customWidth="1" outlineLevel="1"/>
    <col min="66" max="66" width="9" customWidth="1"/>
    <col min="67" max="70" width="9" customWidth="1" outlineLevel="1"/>
    <col min="71" max="75" width="9" customWidth="1"/>
  </cols>
  <sheetData>
    <row r="1" spans="1:75" s="123" customFormat="1" ht="33.75" customHeight="1" x14ac:dyDescent="1.05">
      <c r="A1" s="117" t="s">
        <v>99</v>
      </c>
      <c r="B1" s="118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20"/>
      <c r="AF1" s="119"/>
      <c r="AG1" s="119"/>
      <c r="AH1" s="119"/>
      <c r="AI1" s="119"/>
      <c r="AJ1" s="120"/>
      <c r="AK1" s="119"/>
      <c r="AL1" s="119"/>
      <c r="AM1" s="119"/>
      <c r="AN1" s="119"/>
      <c r="AO1" s="120"/>
      <c r="AP1" s="119"/>
      <c r="AQ1" s="119"/>
      <c r="AR1" s="119"/>
      <c r="AS1" s="119"/>
      <c r="AT1" s="120"/>
      <c r="AU1" s="119"/>
      <c r="AV1" s="119"/>
      <c r="AW1" s="119"/>
      <c r="AX1" s="119"/>
      <c r="AY1" s="120"/>
      <c r="AZ1" s="119"/>
      <c r="BA1" s="119"/>
      <c r="BB1" s="119"/>
      <c r="BC1" s="119"/>
      <c r="BD1" s="120"/>
      <c r="BE1" s="119"/>
      <c r="BF1" s="119"/>
      <c r="BG1" s="119"/>
      <c r="BH1" s="119"/>
      <c r="BI1" s="121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9"/>
      <c r="BU1" s="119"/>
      <c r="BV1" s="118"/>
      <c r="BW1" s="122"/>
    </row>
    <row r="2" spans="1:75" s="135" customFormat="1" x14ac:dyDescent="0.5">
      <c r="A2" s="124" t="s">
        <v>100</v>
      </c>
      <c r="B2" s="125"/>
      <c r="C2" s="126">
        <v>39844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8" t="s">
        <v>101</v>
      </c>
      <c r="AG2" s="129" t="s">
        <v>101</v>
      </c>
      <c r="AH2" s="129" t="s">
        <v>101</v>
      </c>
      <c r="AI2" s="129" t="s">
        <v>101</v>
      </c>
      <c r="AJ2" s="129" t="s">
        <v>101</v>
      </c>
      <c r="AK2" s="130"/>
      <c r="AL2" s="131"/>
      <c r="AM2" s="131"/>
      <c r="AN2" s="131"/>
      <c r="AO2" s="131"/>
      <c r="AP2" s="130"/>
      <c r="AQ2" s="131"/>
      <c r="AR2" s="131"/>
      <c r="AS2" s="131"/>
      <c r="AT2" s="131"/>
      <c r="AU2" s="130"/>
      <c r="AV2" s="131"/>
      <c r="AW2" s="131"/>
      <c r="AX2" s="131"/>
      <c r="AY2" s="131"/>
      <c r="AZ2" s="132" t="s">
        <v>101</v>
      </c>
      <c r="BA2" s="132" t="s">
        <v>101</v>
      </c>
      <c r="BB2" s="132" t="s">
        <v>101</v>
      </c>
      <c r="BC2" s="131"/>
      <c r="BD2" s="131"/>
      <c r="BE2" s="130"/>
      <c r="BF2" s="132"/>
      <c r="BG2" s="132"/>
      <c r="BH2" s="131"/>
      <c r="BI2" s="133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34"/>
    </row>
    <row r="3" spans="1:75" s="144" customFormat="1" ht="14.25" x14ac:dyDescent="0.45">
      <c r="A3" s="136" t="s">
        <v>102</v>
      </c>
      <c r="B3" s="137">
        <v>334.75</v>
      </c>
      <c r="C3" s="138">
        <v>364</v>
      </c>
      <c r="D3" s="138">
        <v>364</v>
      </c>
      <c r="E3" s="138">
        <v>364</v>
      </c>
      <c r="F3" s="138">
        <v>371</v>
      </c>
      <c r="G3" s="139">
        <v>91</v>
      </c>
      <c r="H3" s="139">
        <v>91</v>
      </c>
      <c r="I3" s="139">
        <v>91</v>
      </c>
      <c r="J3" s="139">
        <v>91</v>
      </c>
      <c r="K3" s="138">
        <v>364</v>
      </c>
      <c r="L3" s="139">
        <v>91</v>
      </c>
      <c r="M3" s="139">
        <v>91</v>
      </c>
      <c r="N3" s="139">
        <v>91</v>
      </c>
      <c r="O3" s="139">
        <v>91</v>
      </c>
      <c r="P3" s="138">
        <v>364</v>
      </c>
      <c r="Q3" s="139">
        <v>91</v>
      </c>
      <c r="R3" s="139">
        <v>91</v>
      </c>
      <c r="S3" s="139">
        <v>91</v>
      </c>
      <c r="T3" s="139">
        <v>91</v>
      </c>
      <c r="U3" s="138">
        <v>364</v>
      </c>
      <c r="V3" s="139">
        <v>91</v>
      </c>
      <c r="W3" s="139">
        <v>91</v>
      </c>
      <c r="X3" s="139">
        <v>91</v>
      </c>
      <c r="Y3" s="139">
        <v>91</v>
      </c>
      <c r="Z3" s="138">
        <v>364</v>
      </c>
      <c r="AA3" s="139">
        <v>91</v>
      </c>
      <c r="AB3" s="139">
        <v>91</v>
      </c>
      <c r="AC3" s="139">
        <v>91</v>
      </c>
      <c r="AD3" s="139">
        <v>98</v>
      </c>
      <c r="AE3" s="138">
        <v>371</v>
      </c>
      <c r="AF3" s="139">
        <v>91</v>
      </c>
      <c r="AG3" s="139">
        <v>91</v>
      </c>
      <c r="AH3" s="139">
        <v>91</v>
      </c>
      <c r="AI3" s="139">
        <v>91</v>
      </c>
      <c r="AJ3" s="138">
        <v>364</v>
      </c>
      <c r="AK3" s="139">
        <v>91</v>
      </c>
      <c r="AL3" s="139">
        <v>91</v>
      </c>
      <c r="AM3" s="139">
        <v>91</v>
      </c>
      <c r="AN3" s="139">
        <v>91</v>
      </c>
      <c r="AO3" s="138">
        <v>364</v>
      </c>
      <c r="AP3" s="139">
        <v>91</v>
      </c>
      <c r="AQ3" s="139">
        <v>91</v>
      </c>
      <c r="AR3" s="139">
        <v>91</v>
      </c>
      <c r="AS3" s="139">
        <v>91</v>
      </c>
      <c r="AT3" s="138">
        <v>364</v>
      </c>
      <c r="AU3" s="139">
        <v>91</v>
      </c>
      <c r="AV3" s="139">
        <v>91</v>
      </c>
      <c r="AW3" s="139">
        <v>91</v>
      </c>
      <c r="AX3" s="139">
        <v>91</v>
      </c>
      <c r="AY3" s="138">
        <v>364</v>
      </c>
      <c r="AZ3" s="139">
        <v>91</v>
      </c>
      <c r="BA3" s="139">
        <v>91</v>
      </c>
      <c r="BB3" s="139">
        <v>91</v>
      </c>
      <c r="BC3" s="139">
        <v>91</v>
      </c>
      <c r="BD3" s="138">
        <v>364</v>
      </c>
      <c r="BE3" s="139">
        <v>91</v>
      </c>
      <c r="BF3" s="139">
        <v>91</v>
      </c>
      <c r="BG3" s="139">
        <v>91</v>
      </c>
      <c r="BH3" s="139">
        <v>98</v>
      </c>
      <c r="BI3" s="140">
        <v>371</v>
      </c>
      <c r="BJ3" s="141">
        <v>91</v>
      </c>
      <c r="BK3" s="141">
        <v>91</v>
      </c>
      <c r="BL3" s="141">
        <v>91</v>
      </c>
      <c r="BM3" s="141">
        <v>91</v>
      </c>
      <c r="BN3" s="138">
        <v>364</v>
      </c>
      <c r="BO3" s="141">
        <v>91</v>
      </c>
      <c r="BP3" s="141">
        <v>91</v>
      </c>
      <c r="BQ3" s="141">
        <v>91</v>
      </c>
      <c r="BR3" s="141">
        <v>91</v>
      </c>
      <c r="BS3" s="138">
        <v>364</v>
      </c>
      <c r="BT3" s="142">
        <v>364</v>
      </c>
      <c r="BU3" s="142">
        <v>364</v>
      </c>
      <c r="BV3" s="142">
        <v>371</v>
      </c>
      <c r="BW3" s="143"/>
    </row>
    <row r="4" spans="1:75" x14ac:dyDescent="0.5">
      <c r="A4" s="145" t="s">
        <v>103</v>
      </c>
      <c r="B4" s="146" t="s">
        <v>104</v>
      </c>
      <c r="C4" s="147">
        <v>40208</v>
      </c>
      <c r="D4" s="147">
        <v>40572</v>
      </c>
      <c r="E4" s="147">
        <v>40936</v>
      </c>
      <c r="F4" s="147">
        <v>41307</v>
      </c>
      <c r="G4" s="148">
        <v>41398</v>
      </c>
      <c r="H4" s="148">
        <v>41489</v>
      </c>
      <c r="I4" s="148">
        <v>41580</v>
      </c>
      <c r="J4" s="149">
        <v>41671</v>
      </c>
      <c r="K4" s="147">
        <v>41671</v>
      </c>
      <c r="L4" s="148">
        <v>41762</v>
      </c>
      <c r="M4" s="148">
        <v>41853</v>
      </c>
      <c r="N4" s="148">
        <v>41944</v>
      </c>
      <c r="O4" s="149">
        <v>42035</v>
      </c>
      <c r="P4" s="147">
        <v>42035</v>
      </c>
      <c r="Q4" s="148">
        <v>42126</v>
      </c>
      <c r="R4" s="148">
        <v>42217</v>
      </c>
      <c r="S4" s="148">
        <v>42308</v>
      </c>
      <c r="T4" s="149">
        <v>42399</v>
      </c>
      <c r="U4" s="147">
        <v>42399</v>
      </c>
      <c r="V4" s="148">
        <v>42490</v>
      </c>
      <c r="W4" s="148">
        <v>42581</v>
      </c>
      <c r="X4" s="148">
        <v>42672</v>
      </c>
      <c r="Y4" s="149">
        <v>42763</v>
      </c>
      <c r="Z4" s="147">
        <v>42763</v>
      </c>
      <c r="AA4" s="148">
        <v>42854</v>
      </c>
      <c r="AB4" s="148">
        <v>42945</v>
      </c>
      <c r="AC4" s="148">
        <v>43036</v>
      </c>
      <c r="AD4" s="149">
        <v>43134</v>
      </c>
      <c r="AE4" s="147">
        <v>43134</v>
      </c>
      <c r="AF4" s="148">
        <v>43225</v>
      </c>
      <c r="AG4" s="148">
        <v>43316</v>
      </c>
      <c r="AH4" s="148">
        <v>43407</v>
      </c>
      <c r="AI4" s="149">
        <v>43498</v>
      </c>
      <c r="AJ4" s="147">
        <v>43498</v>
      </c>
      <c r="AK4" s="148">
        <v>43589</v>
      </c>
      <c r="AL4" s="148">
        <v>43680</v>
      </c>
      <c r="AM4" s="148">
        <v>43771</v>
      </c>
      <c r="AN4" s="149">
        <v>43862</v>
      </c>
      <c r="AO4" s="147">
        <v>43862</v>
      </c>
      <c r="AP4" s="148">
        <v>43953</v>
      </c>
      <c r="AQ4" s="148">
        <v>44044</v>
      </c>
      <c r="AR4" s="148">
        <v>44135</v>
      </c>
      <c r="AS4" s="149">
        <v>44226</v>
      </c>
      <c r="AT4" s="147">
        <v>44226</v>
      </c>
      <c r="AU4" s="148">
        <v>44317</v>
      </c>
      <c r="AV4" s="148">
        <v>44408</v>
      </c>
      <c r="AW4" s="148">
        <v>44499</v>
      </c>
      <c r="AX4" s="149">
        <v>44590</v>
      </c>
      <c r="AY4" s="147">
        <v>44590</v>
      </c>
      <c r="AZ4" s="148">
        <v>44681</v>
      </c>
      <c r="BA4" s="148">
        <v>44772</v>
      </c>
      <c r="BB4" s="148">
        <v>44863</v>
      </c>
      <c r="BC4" s="149">
        <v>44954</v>
      </c>
      <c r="BD4" s="147">
        <v>44954</v>
      </c>
      <c r="BE4" s="148">
        <v>45045</v>
      </c>
      <c r="BF4" s="148">
        <v>45136</v>
      </c>
      <c r="BG4" s="148">
        <v>45227</v>
      </c>
      <c r="BH4" s="149">
        <v>45325</v>
      </c>
      <c r="BI4" s="150">
        <v>45325</v>
      </c>
      <c r="BJ4" s="149">
        <v>45416</v>
      </c>
      <c r="BK4" s="149">
        <v>45507</v>
      </c>
      <c r="BL4" s="149">
        <v>45598</v>
      </c>
      <c r="BM4" s="149">
        <v>45689</v>
      </c>
      <c r="BN4" s="151">
        <v>45689</v>
      </c>
      <c r="BO4" s="149">
        <v>45780</v>
      </c>
      <c r="BP4" s="149">
        <v>45871</v>
      </c>
      <c r="BQ4" s="149">
        <v>45962</v>
      </c>
      <c r="BR4" s="149">
        <v>46053</v>
      </c>
      <c r="BS4" s="151">
        <v>46053</v>
      </c>
      <c r="BT4" s="151">
        <v>46417</v>
      </c>
      <c r="BU4" s="151">
        <v>46781</v>
      </c>
      <c r="BV4" s="151">
        <v>47152</v>
      </c>
      <c r="BW4" s="152"/>
    </row>
    <row r="5" spans="1:75" s="135" customFormat="1" ht="14.25" x14ac:dyDescent="0.45">
      <c r="A5" s="153" t="s">
        <v>102</v>
      </c>
      <c r="B5" s="154"/>
      <c r="C5" s="155" t="s">
        <v>105</v>
      </c>
      <c r="D5" s="156" t="s">
        <v>106</v>
      </c>
      <c r="E5" s="156" t="s">
        <v>107</v>
      </c>
      <c r="F5" s="156" t="s">
        <v>108</v>
      </c>
      <c r="G5" s="157" t="s">
        <v>109</v>
      </c>
      <c r="H5" s="157" t="s">
        <v>110</v>
      </c>
      <c r="I5" s="157" t="s">
        <v>111</v>
      </c>
      <c r="J5" s="157" t="s">
        <v>112</v>
      </c>
      <c r="K5" s="156" t="s">
        <v>113</v>
      </c>
      <c r="L5" s="157" t="s">
        <v>114</v>
      </c>
      <c r="M5" s="157" t="s">
        <v>115</v>
      </c>
      <c r="N5" s="157" t="s">
        <v>116</v>
      </c>
      <c r="O5" s="157" t="s">
        <v>117</v>
      </c>
      <c r="P5" s="156" t="s">
        <v>118</v>
      </c>
      <c r="Q5" s="157" t="s">
        <v>119</v>
      </c>
      <c r="R5" s="157" t="s">
        <v>120</v>
      </c>
      <c r="S5" s="157" t="s">
        <v>121</v>
      </c>
      <c r="T5" s="157" t="s">
        <v>122</v>
      </c>
      <c r="U5" s="156" t="s">
        <v>123</v>
      </c>
      <c r="V5" s="157" t="s">
        <v>124</v>
      </c>
      <c r="W5" s="157" t="s">
        <v>125</v>
      </c>
      <c r="X5" s="157" t="s">
        <v>126</v>
      </c>
      <c r="Y5" s="157" t="s">
        <v>127</v>
      </c>
      <c r="Z5" s="156" t="s">
        <v>128</v>
      </c>
      <c r="AA5" s="157" t="s">
        <v>129</v>
      </c>
      <c r="AB5" s="157" t="s">
        <v>130</v>
      </c>
      <c r="AC5" s="157" t="s">
        <v>131</v>
      </c>
      <c r="AD5" s="157" t="s">
        <v>132</v>
      </c>
      <c r="AE5" s="156" t="s">
        <v>133</v>
      </c>
      <c r="AF5" s="157" t="s">
        <v>134</v>
      </c>
      <c r="AG5" s="157" t="s">
        <v>135</v>
      </c>
      <c r="AH5" s="157" t="s">
        <v>136</v>
      </c>
      <c r="AI5" s="157" t="s">
        <v>137</v>
      </c>
      <c r="AJ5" s="156" t="s">
        <v>138</v>
      </c>
      <c r="AK5" s="157" t="s">
        <v>139</v>
      </c>
      <c r="AL5" s="157" t="s">
        <v>140</v>
      </c>
      <c r="AM5" s="157" t="s">
        <v>141</v>
      </c>
      <c r="AN5" s="157" t="s">
        <v>142</v>
      </c>
      <c r="AO5" s="156" t="s">
        <v>143</v>
      </c>
      <c r="AP5" s="157" t="s">
        <v>144</v>
      </c>
      <c r="AQ5" s="157" t="s">
        <v>145</v>
      </c>
      <c r="AR5" s="157" t="s">
        <v>146</v>
      </c>
      <c r="AS5" s="157" t="s">
        <v>147</v>
      </c>
      <c r="AT5" s="156" t="s">
        <v>148</v>
      </c>
      <c r="AU5" s="157" t="s">
        <v>149</v>
      </c>
      <c r="AV5" s="157" t="s">
        <v>150</v>
      </c>
      <c r="AW5" s="157" t="s">
        <v>151</v>
      </c>
      <c r="AX5" s="157" t="s">
        <v>152</v>
      </c>
      <c r="AY5" s="156" t="s">
        <v>153</v>
      </c>
      <c r="AZ5" s="157" t="s">
        <v>154</v>
      </c>
      <c r="BA5" s="157" t="s">
        <v>155</v>
      </c>
      <c r="BB5" s="157" t="s">
        <v>156</v>
      </c>
      <c r="BC5" s="157" t="s">
        <v>157</v>
      </c>
      <c r="BD5" s="156" t="s">
        <v>158</v>
      </c>
      <c r="BE5" s="157" t="s">
        <v>159</v>
      </c>
      <c r="BF5" s="157" t="s">
        <v>160</v>
      </c>
      <c r="BG5" s="157" t="s">
        <v>161</v>
      </c>
      <c r="BH5" s="157" t="s">
        <v>162</v>
      </c>
      <c r="BI5" s="158" t="s">
        <v>163</v>
      </c>
      <c r="BJ5" s="157" t="s">
        <v>164</v>
      </c>
      <c r="BK5" s="157" t="s">
        <v>165</v>
      </c>
      <c r="BL5" s="157" t="s">
        <v>166</v>
      </c>
      <c r="BM5" s="157" t="s">
        <v>167</v>
      </c>
      <c r="BN5" s="156" t="s">
        <v>168</v>
      </c>
      <c r="BO5" s="157" t="s">
        <v>169</v>
      </c>
      <c r="BP5" s="157" t="s">
        <v>170</v>
      </c>
      <c r="BQ5" s="157" t="s">
        <v>171</v>
      </c>
      <c r="BR5" s="157" t="s">
        <v>172</v>
      </c>
      <c r="BS5" s="156" t="s">
        <v>173</v>
      </c>
      <c r="BT5" s="156" t="s">
        <v>174</v>
      </c>
      <c r="BU5" s="156" t="s">
        <v>175</v>
      </c>
      <c r="BV5" s="156" t="s">
        <v>176</v>
      </c>
      <c r="BW5" s="134"/>
    </row>
    <row r="6" spans="1:75" s="162" customFormat="1" ht="14.25" x14ac:dyDescent="0.45">
      <c r="A6" s="159" t="s">
        <v>177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60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61"/>
    </row>
    <row r="7" spans="1:75" s="169" customFormat="1" ht="14.25" x14ac:dyDescent="0.45">
      <c r="A7" s="163" t="s">
        <v>178</v>
      </c>
      <c r="B7" s="164"/>
      <c r="C7" s="165">
        <v>95</v>
      </c>
      <c r="D7" s="165">
        <v>91</v>
      </c>
      <c r="E7" s="165">
        <v>74</v>
      </c>
      <c r="F7" s="165">
        <v>71</v>
      </c>
      <c r="G7" s="166">
        <v>70</v>
      </c>
      <c r="H7" s="166">
        <v>70</v>
      </c>
      <c r="I7" s="166">
        <v>70</v>
      </c>
      <c r="J7" s="166">
        <v>70</v>
      </c>
      <c r="K7" s="165">
        <v>70</v>
      </c>
      <c r="L7" s="166">
        <v>69</v>
      </c>
      <c r="M7" s="166">
        <v>68</v>
      </c>
      <c r="N7" s="166">
        <v>68</v>
      </c>
      <c r="O7" s="166">
        <v>67</v>
      </c>
      <c r="P7" s="165">
        <v>67</v>
      </c>
      <c r="Q7" s="166">
        <v>67</v>
      </c>
      <c r="R7" s="166">
        <v>67</v>
      </c>
      <c r="S7" s="166">
        <v>68</v>
      </c>
      <c r="T7" s="166">
        <v>69</v>
      </c>
      <c r="U7" s="165">
        <v>69</v>
      </c>
      <c r="V7" s="166">
        <v>69</v>
      </c>
      <c r="W7" s="166">
        <v>84</v>
      </c>
      <c r="X7" s="166">
        <v>85</v>
      </c>
      <c r="Y7" s="166">
        <v>85</v>
      </c>
      <c r="Z7" s="165">
        <v>85</v>
      </c>
      <c r="AA7" s="166">
        <v>85</v>
      </c>
      <c r="AB7" s="166">
        <v>85</v>
      </c>
      <c r="AC7" s="166">
        <v>84</v>
      </c>
      <c r="AD7" s="166">
        <v>83</v>
      </c>
      <c r="AE7" s="165">
        <v>83</v>
      </c>
      <c r="AF7" s="166">
        <v>84</v>
      </c>
      <c r="AG7" s="166">
        <v>85</v>
      </c>
      <c r="AH7" s="166">
        <v>86</v>
      </c>
      <c r="AI7" s="166">
        <v>86</v>
      </c>
      <c r="AJ7" s="165">
        <v>86</v>
      </c>
      <c r="AK7" s="166">
        <v>85</v>
      </c>
      <c r="AL7" s="166">
        <v>85</v>
      </c>
      <c r="AM7" s="166">
        <v>85</v>
      </c>
      <c r="AN7" s="166">
        <v>83</v>
      </c>
      <c r="AO7" s="165">
        <v>83</v>
      </c>
      <c r="AP7" s="166">
        <v>84</v>
      </c>
      <c r="AQ7" s="166">
        <v>83</v>
      </c>
      <c r="AR7" s="166">
        <v>82</v>
      </c>
      <c r="AS7" s="166">
        <v>82</v>
      </c>
      <c r="AT7" s="165">
        <v>82</v>
      </c>
      <c r="AU7" s="166">
        <v>82</v>
      </c>
      <c r="AV7" s="166">
        <v>80</v>
      </c>
      <c r="AW7" s="166">
        <v>80</v>
      </c>
      <c r="AX7" s="166">
        <v>81</v>
      </c>
      <c r="AY7" s="165">
        <v>81</v>
      </c>
      <c r="AZ7" s="166">
        <v>81</v>
      </c>
      <c r="BA7" s="166">
        <v>81</v>
      </c>
      <c r="BB7" s="166">
        <v>81</v>
      </c>
      <c r="BC7" s="166">
        <v>81</v>
      </c>
      <c r="BD7" s="165">
        <v>81</v>
      </c>
      <c r="BE7" s="166">
        <v>81</v>
      </c>
      <c r="BF7" s="166">
        <v>82</v>
      </c>
      <c r="BG7" s="166">
        <v>82</v>
      </c>
      <c r="BH7" s="166">
        <v>84</v>
      </c>
      <c r="BI7" s="167">
        <v>84</v>
      </c>
      <c r="BJ7" s="166">
        <v>86</v>
      </c>
      <c r="BK7" s="166">
        <v>88</v>
      </c>
      <c r="BL7" s="166">
        <v>90</v>
      </c>
      <c r="BM7" s="166">
        <v>91</v>
      </c>
      <c r="BN7" s="165">
        <v>91</v>
      </c>
      <c r="BO7" s="166">
        <v>92</v>
      </c>
      <c r="BP7" s="166">
        <v>93</v>
      </c>
      <c r="BQ7" s="166">
        <v>94</v>
      </c>
      <c r="BR7" s="166">
        <v>94</v>
      </c>
      <c r="BS7" s="165">
        <v>94</v>
      </c>
      <c r="BT7" s="165">
        <v>95</v>
      </c>
      <c r="BU7" s="165">
        <v>95</v>
      </c>
      <c r="BV7" s="165">
        <v>95</v>
      </c>
      <c r="BW7" s="168"/>
    </row>
    <row r="8" spans="1:75" s="177" customFormat="1" ht="14.25" x14ac:dyDescent="0.45">
      <c r="A8" s="170" t="s">
        <v>179</v>
      </c>
      <c r="B8" s="171"/>
      <c r="C8" s="172"/>
      <c r="D8" s="172"/>
      <c r="E8" s="172"/>
      <c r="F8" s="172"/>
      <c r="G8" s="173">
        <v>-1.4084507042253502E-2</v>
      </c>
      <c r="H8" s="173">
        <v>0</v>
      </c>
      <c r="I8" s="173">
        <v>0</v>
      </c>
      <c r="J8" s="173">
        <v>0</v>
      </c>
      <c r="K8" s="172"/>
      <c r="L8" s="173">
        <v>-1.4285714285714235E-2</v>
      </c>
      <c r="M8" s="173">
        <v>-1.4492753623188359E-2</v>
      </c>
      <c r="N8" s="173">
        <v>0</v>
      </c>
      <c r="O8" s="173">
        <v>-1.4705882352941124E-2</v>
      </c>
      <c r="P8" s="172"/>
      <c r="Q8" s="173">
        <v>0</v>
      </c>
      <c r="R8" s="173">
        <v>0</v>
      </c>
      <c r="S8" s="173">
        <v>1.4925373134328401E-2</v>
      </c>
      <c r="T8" s="173">
        <v>1.4705882352941124E-2</v>
      </c>
      <c r="U8" s="172"/>
      <c r="V8" s="173">
        <v>0</v>
      </c>
      <c r="W8" s="173">
        <v>0.21739130434782616</v>
      </c>
      <c r="X8" s="173">
        <v>1.1904761904761862E-2</v>
      </c>
      <c r="Y8" s="173">
        <v>0</v>
      </c>
      <c r="Z8" s="172"/>
      <c r="AA8" s="173">
        <v>0</v>
      </c>
      <c r="AB8" s="173">
        <v>0</v>
      </c>
      <c r="AC8" s="173">
        <v>-1.1764705882352899E-2</v>
      </c>
      <c r="AD8" s="173">
        <v>-1.1904761904761862E-2</v>
      </c>
      <c r="AE8" s="172"/>
      <c r="AF8" s="173">
        <v>1.2048192771084265E-2</v>
      </c>
      <c r="AG8" s="173">
        <v>1.1904761904761862E-2</v>
      </c>
      <c r="AH8" s="173">
        <v>1.1764705882352899E-2</v>
      </c>
      <c r="AI8" s="173">
        <v>0</v>
      </c>
      <c r="AJ8" s="172"/>
      <c r="AK8" s="173">
        <v>-1.1627906976744207E-2</v>
      </c>
      <c r="AL8" s="173">
        <v>0</v>
      </c>
      <c r="AM8" s="173">
        <v>0</v>
      </c>
      <c r="AN8" s="173">
        <v>-2.352941176470591E-2</v>
      </c>
      <c r="AO8" s="172"/>
      <c r="AP8" s="173">
        <v>1.2048192771084265E-2</v>
      </c>
      <c r="AQ8" s="173">
        <v>-1.1904761904761862E-2</v>
      </c>
      <c r="AR8" s="173">
        <v>-1.2048192771084376E-2</v>
      </c>
      <c r="AS8" s="173">
        <v>0</v>
      </c>
      <c r="AT8" s="172"/>
      <c r="AU8" s="173">
        <v>0</v>
      </c>
      <c r="AV8" s="173">
        <v>-2.4390243902439046E-2</v>
      </c>
      <c r="AW8" s="173">
        <v>0</v>
      </c>
      <c r="AX8" s="173">
        <v>1.2499999999999956E-2</v>
      </c>
      <c r="AY8" s="172"/>
      <c r="AZ8" s="173">
        <v>0</v>
      </c>
      <c r="BA8" s="173">
        <v>0</v>
      </c>
      <c r="BB8" s="173">
        <v>0</v>
      </c>
      <c r="BC8" s="173">
        <v>0</v>
      </c>
      <c r="BD8" s="172"/>
      <c r="BE8" s="173">
        <v>0</v>
      </c>
      <c r="BF8" s="173">
        <v>1.2345679012345734E-2</v>
      </c>
      <c r="BG8" s="173">
        <v>0</v>
      </c>
      <c r="BH8" s="173">
        <v>2.4390243902439046E-2</v>
      </c>
      <c r="BI8" s="174"/>
      <c r="BJ8" s="175">
        <v>2.3809523809523725E-2</v>
      </c>
      <c r="BK8" s="175">
        <v>2.3255813953488413E-2</v>
      </c>
      <c r="BL8" s="175">
        <v>2.2727272727272707E-2</v>
      </c>
      <c r="BM8" s="175">
        <v>1.1111111111111072E-2</v>
      </c>
      <c r="BN8" s="172"/>
      <c r="BO8" s="175">
        <v>1.098901098901095E-2</v>
      </c>
      <c r="BP8" s="175">
        <v>1.0869565217391353E-2</v>
      </c>
      <c r="BQ8" s="175">
        <v>1.0752688172043001E-2</v>
      </c>
      <c r="BR8" s="175">
        <v>0</v>
      </c>
      <c r="BS8" s="172"/>
      <c r="BT8" s="172"/>
      <c r="BU8" s="172"/>
      <c r="BV8" s="172"/>
      <c r="BW8" s="176"/>
    </row>
    <row r="9" spans="1:75" s="177" customFormat="1" ht="14.25" x14ac:dyDescent="0.45">
      <c r="A9" s="170" t="s">
        <v>180</v>
      </c>
      <c r="B9" s="171"/>
      <c r="C9" s="172"/>
      <c r="D9" s="172">
        <v>-4.2105263157894757E-2</v>
      </c>
      <c r="E9" s="172">
        <v>-0.18681318681318682</v>
      </c>
      <c r="F9" s="172">
        <v>-4.0540540540540571E-2</v>
      </c>
      <c r="G9" s="173"/>
      <c r="H9" s="173"/>
      <c r="I9" s="173"/>
      <c r="J9" s="173"/>
      <c r="K9" s="172">
        <v>-1.4084507042253502E-2</v>
      </c>
      <c r="L9" s="173">
        <v>-1.4285714285714235E-2</v>
      </c>
      <c r="M9" s="173">
        <v>-2.8571428571428581E-2</v>
      </c>
      <c r="N9" s="173">
        <v>-2.8571428571428581E-2</v>
      </c>
      <c r="O9" s="173">
        <v>-4.2857142857142816E-2</v>
      </c>
      <c r="P9" s="172">
        <v>-4.2857142857142816E-2</v>
      </c>
      <c r="Q9" s="173">
        <v>-2.8985507246376829E-2</v>
      </c>
      <c r="R9" s="173">
        <v>-1.4705882352941124E-2</v>
      </c>
      <c r="S9" s="173">
        <v>0</v>
      </c>
      <c r="T9" s="173">
        <v>2.9850746268656803E-2</v>
      </c>
      <c r="U9" s="172">
        <v>2.9850746268656803E-2</v>
      </c>
      <c r="V9" s="173">
        <v>2.9850746268656803E-2</v>
      </c>
      <c r="W9" s="173">
        <v>0.25373134328358216</v>
      </c>
      <c r="X9" s="173">
        <v>0.25</v>
      </c>
      <c r="Y9" s="173">
        <v>0.23188405797101441</v>
      </c>
      <c r="Z9" s="172">
        <v>0.23188405797101441</v>
      </c>
      <c r="AA9" s="173">
        <v>0.23188405797101441</v>
      </c>
      <c r="AB9" s="173">
        <v>1.1904761904761862E-2</v>
      </c>
      <c r="AC9" s="173">
        <v>-1.1764705882352899E-2</v>
      </c>
      <c r="AD9" s="173">
        <v>-2.352941176470591E-2</v>
      </c>
      <c r="AE9" s="172">
        <v>-2.352941176470591E-2</v>
      </c>
      <c r="AF9" s="173">
        <v>-1.1764705882352899E-2</v>
      </c>
      <c r="AG9" s="173">
        <v>0</v>
      </c>
      <c r="AH9" s="173">
        <v>2.3809523809523725E-2</v>
      </c>
      <c r="AI9" s="173">
        <v>3.6144578313253017E-2</v>
      </c>
      <c r="AJ9" s="172">
        <v>3.6144578313253017E-2</v>
      </c>
      <c r="AK9" s="173">
        <v>1.1904761904761862E-2</v>
      </c>
      <c r="AL9" s="173">
        <v>0</v>
      </c>
      <c r="AM9" s="173">
        <v>-1.1627906976744207E-2</v>
      </c>
      <c r="AN9" s="173">
        <v>-3.4883720930232509E-2</v>
      </c>
      <c r="AO9" s="172">
        <v>-3.4883720930232509E-2</v>
      </c>
      <c r="AP9" s="173">
        <v>-1.1764705882352899E-2</v>
      </c>
      <c r="AQ9" s="173">
        <v>-2.352941176470591E-2</v>
      </c>
      <c r="AR9" s="173">
        <v>-3.5294117647058809E-2</v>
      </c>
      <c r="AS9" s="173">
        <v>-1.2048192771084376E-2</v>
      </c>
      <c r="AT9" s="172">
        <v>-1.2048192771084376E-2</v>
      </c>
      <c r="AU9" s="173">
        <v>-2.3809523809523836E-2</v>
      </c>
      <c r="AV9" s="173">
        <v>-3.6144578313253017E-2</v>
      </c>
      <c r="AW9" s="173">
        <v>-2.4390243902439046E-2</v>
      </c>
      <c r="AX9" s="173">
        <v>-1.2195121951219523E-2</v>
      </c>
      <c r="AY9" s="172">
        <v>-1.2195121951219523E-2</v>
      </c>
      <c r="AZ9" s="173">
        <v>-1.2195121951219523E-2</v>
      </c>
      <c r="BA9" s="173">
        <v>1.2499999999999956E-2</v>
      </c>
      <c r="BB9" s="173">
        <v>1.2499999999999956E-2</v>
      </c>
      <c r="BC9" s="173">
        <v>0</v>
      </c>
      <c r="BD9" s="172">
        <v>0</v>
      </c>
      <c r="BE9" s="173">
        <v>0</v>
      </c>
      <c r="BF9" s="173">
        <v>1.2345679012345734E-2</v>
      </c>
      <c r="BG9" s="173">
        <v>1.2345679012345734E-2</v>
      </c>
      <c r="BH9" s="173">
        <v>3.7037037037036979E-2</v>
      </c>
      <c r="BI9" s="174">
        <v>3.7037037037036979E-2</v>
      </c>
      <c r="BJ9" s="175">
        <v>6.1728395061728447E-2</v>
      </c>
      <c r="BK9" s="175">
        <v>7.3170731707317138E-2</v>
      </c>
      <c r="BL9" s="175">
        <v>9.7560975609756184E-2</v>
      </c>
      <c r="BM9" s="175">
        <v>8.3333333333333259E-2</v>
      </c>
      <c r="BN9" s="172">
        <v>8.3333333333333259E-2</v>
      </c>
      <c r="BO9" s="175">
        <v>6.9767441860465018E-2</v>
      </c>
      <c r="BP9" s="175">
        <v>5.6818181818181879E-2</v>
      </c>
      <c r="BQ9" s="175">
        <v>4.4444444444444509E-2</v>
      </c>
      <c r="BR9" s="175">
        <v>3.2967032967033072E-2</v>
      </c>
      <c r="BS9" s="172">
        <v>3.2967032967033072E-2</v>
      </c>
      <c r="BT9" s="172">
        <v>1.0638297872340496E-2</v>
      </c>
      <c r="BU9" s="172">
        <v>0</v>
      </c>
      <c r="BV9" s="172">
        <v>0</v>
      </c>
      <c r="BW9" s="176"/>
    </row>
    <row r="10" spans="1:75" s="162" customFormat="1" ht="14.25" x14ac:dyDescent="0.45">
      <c r="A10" s="178"/>
      <c r="B10" s="179"/>
      <c r="C10" s="180"/>
      <c r="D10" s="180"/>
      <c r="E10" s="180"/>
      <c r="F10" s="180"/>
      <c r="G10" s="181"/>
      <c r="H10" s="181"/>
      <c r="I10" s="181"/>
      <c r="J10" s="181"/>
      <c r="K10" s="180"/>
      <c r="L10" s="181"/>
      <c r="M10" s="181"/>
      <c r="N10" s="181"/>
      <c r="O10" s="181"/>
      <c r="P10" s="180"/>
      <c r="Q10" s="181"/>
      <c r="R10" s="181"/>
      <c r="S10" s="181"/>
      <c r="T10" s="181"/>
      <c r="U10" s="180"/>
      <c r="V10" s="181"/>
      <c r="W10" s="181"/>
      <c r="X10" s="181"/>
      <c r="Y10" s="181"/>
      <c r="Z10" s="180"/>
      <c r="AA10" s="181"/>
      <c r="AB10" s="181"/>
      <c r="AC10" s="181"/>
      <c r="AD10" s="181"/>
      <c r="AE10" s="180"/>
      <c r="AF10" s="181"/>
      <c r="AG10" s="181"/>
      <c r="AH10" s="181"/>
      <c r="AI10" s="181"/>
      <c r="AJ10" s="180"/>
      <c r="AK10" s="181"/>
      <c r="AL10" s="181"/>
      <c r="AM10" s="181"/>
      <c r="AN10" s="181"/>
      <c r="AO10" s="180"/>
      <c r="AP10" s="181"/>
      <c r="AQ10" s="181"/>
      <c r="AR10" s="181"/>
      <c r="AS10" s="181"/>
      <c r="AT10" s="180"/>
      <c r="AU10" s="181"/>
      <c r="AV10" s="181"/>
      <c r="AW10" s="181"/>
      <c r="AX10" s="181"/>
      <c r="AY10" s="180"/>
      <c r="AZ10" s="181"/>
      <c r="BA10" s="181"/>
      <c r="BB10" s="181"/>
      <c r="BC10" s="181"/>
      <c r="BD10" s="180"/>
      <c r="BE10" s="181"/>
      <c r="BF10" s="181"/>
      <c r="BG10" s="181"/>
      <c r="BH10" s="181"/>
      <c r="BI10" s="182"/>
      <c r="BJ10" s="183"/>
      <c r="BK10" s="183"/>
      <c r="BL10" s="183"/>
      <c r="BM10" s="183"/>
      <c r="BN10" s="180"/>
      <c r="BO10" s="183"/>
      <c r="BP10" s="183"/>
      <c r="BQ10" s="183"/>
      <c r="BR10" s="183"/>
      <c r="BS10" s="180"/>
      <c r="BT10" s="180"/>
      <c r="BU10" s="180"/>
      <c r="BV10" s="180"/>
      <c r="BW10" s="161"/>
    </row>
    <row r="11" spans="1:75" s="123" customFormat="1" x14ac:dyDescent="0.5">
      <c r="A11" s="184" t="s">
        <v>181</v>
      </c>
      <c r="B11" s="185"/>
      <c r="C11" s="186">
        <v>625.68499999999995</v>
      </c>
      <c r="D11" s="186">
        <v>772.75199999999995</v>
      </c>
      <c r="E11" s="186">
        <v>958.08400000000006</v>
      </c>
      <c r="F11" s="186">
        <v>1193.046</v>
      </c>
      <c r="G11" s="187">
        <v>301.33699999999999</v>
      </c>
      <c r="H11" s="187">
        <v>382.09800000000001</v>
      </c>
      <c r="I11" s="187">
        <v>395.83199999999999</v>
      </c>
      <c r="J11" s="187">
        <v>471.69400000000002</v>
      </c>
      <c r="K11" s="186">
        <v>1550.9609999999998</v>
      </c>
      <c r="L11" s="187">
        <v>366.25400000000002</v>
      </c>
      <c r="M11" s="187">
        <v>433.76600000000002</v>
      </c>
      <c r="N11" s="187">
        <v>484.67500000000001</v>
      </c>
      <c r="O11" s="187">
        <v>582.72699999999998</v>
      </c>
      <c r="P11" s="186">
        <v>1867.422</v>
      </c>
      <c r="Q11" s="187">
        <v>422.44499999999999</v>
      </c>
      <c r="R11" s="187">
        <v>506.94200000000001</v>
      </c>
      <c r="S11" s="187">
        <v>532.41099999999994</v>
      </c>
      <c r="T11" s="187">
        <v>647.20800000000008</v>
      </c>
      <c r="U11" s="186">
        <v>2109.0059999999999</v>
      </c>
      <c r="V11" s="187">
        <v>455.45600000000002</v>
      </c>
      <c r="W11" s="187">
        <v>522.61800000000005</v>
      </c>
      <c r="X11" s="187">
        <v>521.02700000000004</v>
      </c>
      <c r="Y11" s="187">
        <v>560.94299999999976</v>
      </c>
      <c r="Z11" s="186">
        <v>2060.0439999999999</v>
      </c>
      <c r="AA11" s="187">
        <v>533.52800000000002</v>
      </c>
      <c r="AB11" s="187">
        <v>583.79300000000001</v>
      </c>
      <c r="AC11" s="187">
        <v>563.17399999999998</v>
      </c>
      <c r="AD11" s="187">
        <v>638.83699999999999</v>
      </c>
      <c r="AE11" s="186">
        <v>2319.3319999999999</v>
      </c>
      <c r="AF11" s="187">
        <v>526.00699999999995</v>
      </c>
      <c r="AG11" s="187">
        <v>607.60400000000004</v>
      </c>
      <c r="AH11" s="187">
        <v>604.322</v>
      </c>
      <c r="AI11" s="187">
        <v>637.53900000000021</v>
      </c>
      <c r="AJ11" s="186">
        <v>2375.4720000000002</v>
      </c>
      <c r="AK11" s="187">
        <v>563.70600000000002</v>
      </c>
      <c r="AL11" s="187">
        <v>672.32799999999997</v>
      </c>
      <c r="AM11" s="187">
        <v>645.37800000000004</v>
      </c>
      <c r="AN11" s="187">
        <v>632.88399999999956</v>
      </c>
      <c r="AO11" s="186">
        <v>2514.2959999999998</v>
      </c>
      <c r="AP11" s="187">
        <v>454.95699999999999</v>
      </c>
      <c r="AQ11" s="187">
        <v>681.38699999999994</v>
      </c>
      <c r="AR11" s="187">
        <v>812.78200000000004</v>
      </c>
      <c r="AS11" s="187">
        <v>780.29599999999982</v>
      </c>
      <c r="AT11" s="186">
        <v>2729.422</v>
      </c>
      <c r="AU11" s="187">
        <v>819.82299999999998</v>
      </c>
      <c r="AV11" s="187">
        <v>947.61800000000005</v>
      </c>
      <c r="AW11" s="187">
        <v>964.85900000000004</v>
      </c>
      <c r="AX11" s="187">
        <v>861.54199999999992</v>
      </c>
      <c r="AY11" s="186">
        <v>3593.8420000000001</v>
      </c>
      <c r="AZ11" s="187">
        <v>908.94799999999998</v>
      </c>
      <c r="BA11" s="187">
        <v>940.18200000000002</v>
      </c>
      <c r="BB11" s="187">
        <v>821.26</v>
      </c>
      <c r="BC11" s="187">
        <v>728.24799999999959</v>
      </c>
      <c r="BD11" s="186">
        <v>3398.6379999999999</v>
      </c>
      <c r="BE11" s="187">
        <v>690.51599999999996</v>
      </c>
      <c r="BF11" s="187">
        <v>753.55</v>
      </c>
      <c r="BG11" s="187">
        <v>705.06100000000004</v>
      </c>
      <c r="BH11" s="187">
        <v>686.49000000000024</v>
      </c>
      <c r="BI11" s="188">
        <v>2835.6170000000002</v>
      </c>
      <c r="BJ11" s="187">
        <v>676.85902205323191</v>
      </c>
      <c r="BK11" s="187">
        <v>795.63631854464234</v>
      </c>
      <c r="BL11" s="187">
        <v>809.15841850904303</v>
      </c>
      <c r="BM11" s="187">
        <v>765.73310175970482</v>
      </c>
      <c r="BN11" s="186">
        <v>3047.3868608666221</v>
      </c>
      <c r="BO11" s="187">
        <v>805.83871566395521</v>
      </c>
      <c r="BP11" s="187">
        <v>921.16824790927819</v>
      </c>
      <c r="BQ11" s="187">
        <v>931.43026368160463</v>
      </c>
      <c r="BR11" s="187">
        <v>842.84749011115866</v>
      </c>
      <c r="BS11" s="186">
        <v>3501.2847173659966</v>
      </c>
      <c r="BT11" s="186">
        <v>3708.4598102193422</v>
      </c>
      <c r="BU11" s="186">
        <v>3827.7949713492103</v>
      </c>
      <c r="BV11" s="186">
        <v>3907.1631377355448</v>
      </c>
      <c r="BW11" s="122"/>
    </row>
    <row r="12" spans="1:75" s="177" customFormat="1" ht="14.25" hidden="1" outlineLevel="1" x14ac:dyDescent="0.45">
      <c r="A12" s="189" t="s">
        <v>182</v>
      </c>
      <c r="B12" s="171"/>
      <c r="C12" s="172"/>
      <c r="D12" s="172"/>
      <c r="E12" s="172"/>
      <c r="F12" s="172"/>
      <c r="G12" s="173"/>
      <c r="H12" s="173"/>
      <c r="I12" s="173"/>
      <c r="J12" s="173"/>
      <c r="K12" s="172"/>
      <c r="L12" s="173"/>
      <c r="M12" s="173"/>
      <c r="N12" s="173"/>
      <c r="O12" s="173"/>
      <c r="P12" s="172"/>
      <c r="Q12" s="173"/>
      <c r="R12" s="173"/>
      <c r="S12" s="173"/>
      <c r="T12" s="173"/>
      <c r="U12" s="172"/>
      <c r="V12" s="173"/>
      <c r="W12" s="173"/>
      <c r="X12" s="173"/>
      <c r="Y12" s="173"/>
      <c r="Z12" s="172"/>
      <c r="AA12" s="173"/>
      <c r="AB12" s="173"/>
      <c r="AC12" s="173"/>
      <c r="AD12" s="173"/>
      <c r="AE12" s="172"/>
      <c r="AF12" s="173"/>
      <c r="AG12" s="173"/>
      <c r="AH12" s="173"/>
      <c r="AI12" s="173"/>
      <c r="AJ12" s="172"/>
      <c r="AK12" s="173"/>
      <c r="AL12" s="173"/>
      <c r="AM12" s="173"/>
      <c r="AN12" s="173"/>
      <c r="AO12" s="172"/>
      <c r="AP12" s="190">
        <v>-0.11</v>
      </c>
      <c r="AQ12" s="190">
        <v>0.24</v>
      </c>
      <c r="AR12" s="190">
        <v>0.42</v>
      </c>
      <c r="AS12" s="190">
        <v>0.36</v>
      </c>
      <c r="AT12" s="172"/>
      <c r="AU12" s="190">
        <v>1.0900000000000001</v>
      </c>
      <c r="AV12" s="173"/>
      <c r="AW12" s="173"/>
      <c r="AX12" s="173"/>
      <c r="AY12" s="172"/>
      <c r="AZ12" s="173"/>
      <c r="BA12" s="173"/>
      <c r="BB12" s="173"/>
      <c r="BC12" s="173"/>
      <c r="BD12" s="172"/>
      <c r="BE12" s="173"/>
      <c r="BF12" s="173"/>
      <c r="BG12" s="173"/>
      <c r="BH12" s="173"/>
      <c r="BI12" s="174"/>
      <c r="BJ12" s="175"/>
      <c r="BK12" s="175"/>
      <c r="BL12" s="175"/>
      <c r="BM12" s="175"/>
      <c r="BN12" s="172"/>
      <c r="BO12" s="175"/>
      <c r="BP12" s="175"/>
      <c r="BQ12" s="175"/>
      <c r="BR12" s="175"/>
      <c r="BS12" s="172"/>
      <c r="BT12" s="172"/>
      <c r="BU12" s="172"/>
      <c r="BV12" s="172"/>
      <c r="BW12" s="176"/>
    </row>
    <row r="13" spans="1:75" s="177" customFormat="1" ht="14.25" collapsed="1" x14ac:dyDescent="0.45">
      <c r="A13" s="189" t="s">
        <v>183</v>
      </c>
      <c r="B13" s="171"/>
      <c r="C13" s="172"/>
      <c r="D13" s="172">
        <v>0.23504958565412304</v>
      </c>
      <c r="E13" s="172">
        <v>0.23983373708511935</v>
      </c>
      <c r="F13" s="172">
        <v>0.24524154458272962</v>
      </c>
      <c r="G13" s="173"/>
      <c r="H13" s="173"/>
      <c r="I13" s="173"/>
      <c r="J13" s="173"/>
      <c r="K13" s="172">
        <v>0.30000100582877742</v>
      </c>
      <c r="L13" s="173">
        <v>0.21542990074235835</v>
      </c>
      <c r="M13" s="173">
        <v>0.13522185407931997</v>
      </c>
      <c r="N13" s="173">
        <v>0.22444622971361583</v>
      </c>
      <c r="O13" s="173">
        <v>0.23539201261834997</v>
      </c>
      <c r="P13" s="172">
        <v>0.20404188113047339</v>
      </c>
      <c r="Q13" s="173">
        <v>0.15342085001119443</v>
      </c>
      <c r="R13" s="173">
        <v>0.16869925259241159</v>
      </c>
      <c r="S13" s="173">
        <v>9.8490741218342004E-2</v>
      </c>
      <c r="T13" s="173">
        <v>0.11065387394097081</v>
      </c>
      <c r="U13" s="172">
        <v>0.12936765230354985</v>
      </c>
      <c r="V13" s="173">
        <v>7.8142716803370815E-2</v>
      </c>
      <c r="W13" s="173">
        <v>3.0922669654516843E-2</v>
      </c>
      <c r="X13" s="173">
        <v>-2.1381977457265E-2</v>
      </c>
      <c r="Y13" s="173">
        <v>-0.13328790744243013</v>
      </c>
      <c r="Z13" s="172">
        <v>-2.3215676010404862E-2</v>
      </c>
      <c r="AA13" s="173">
        <v>0.17141502142907328</v>
      </c>
      <c r="AB13" s="173">
        <v>0.11705490434696086</v>
      </c>
      <c r="AC13" s="173">
        <v>8.0892161058831791E-2</v>
      </c>
      <c r="AD13" s="173">
        <v>0.13886259388208821</v>
      </c>
      <c r="AE13" s="172">
        <v>0.12586527278058135</v>
      </c>
      <c r="AF13" s="173">
        <v>-1.4096729693661936E-2</v>
      </c>
      <c r="AG13" s="173">
        <v>4.0786717209696066E-2</v>
      </c>
      <c r="AH13" s="173">
        <v>7.306445254930094E-2</v>
      </c>
      <c r="AI13" s="173">
        <v>-2.0318171928046524E-3</v>
      </c>
      <c r="AJ13" s="172">
        <v>2.4205245303389189E-2</v>
      </c>
      <c r="AK13" s="173">
        <v>7.1670148876345818E-2</v>
      </c>
      <c r="AL13" s="173">
        <v>0.10652332769369521</v>
      </c>
      <c r="AM13" s="173">
        <v>6.7937291708724867E-2</v>
      </c>
      <c r="AN13" s="173">
        <v>-7.3015141034519226E-3</v>
      </c>
      <c r="AO13" s="172">
        <v>5.8440596226770669E-2</v>
      </c>
      <c r="AP13" s="173">
        <v>-0.19291793949328195</v>
      </c>
      <c r="AQ13" s="173">
        <v>1.3474078128532518E-2</v>
      </c>
      <c r="AR13" s="173">
        <v>0.25938907121098032</v>
      </c>
      <c r="AS13" s="173">
        <v>0.23292104082264742</v>
      </c>
      <c r="AT13" s="172">
        <v>8.5561127249934144E-2</v>
      </c>
      <c r="AU13" s="173">
        <v>0.80197908813360375</v>
      </c>
      <c r="AV13" s="173">
        <v>0.39071922417069915</v>
      </c>
      <c r="AW13" s="173">
        <v>0.18710675187196557</v>
      </c>
      <c r="AX13" s="173">
        <v>0.10412202548776373</v>
      </c>
      <c r="AY13" s="172">
        <v>0.31670441580671671</v>
      </c>
      <c r="AZ13" s="173">
        <v>0.10871249037902087</v>
      </c>
      <c r="BA13" s="173">
        <v>-7.8470438510033214E-3</v>
      </c>
      <c r="BB13" s="173">
        <v>-0.14882899988495735</v>
      </c>
      <c r="BC13" s="173">
        <v>-0.15471561456086913</v>
      </c>
      <c r="BD13" s="172">
        <v>-5.4316244286754967E-2</v>
      </c>
      <c r="BE13" s="173">
        <v>-0.24031297720001588</v>
      </c>
      <c r="BF13" s="173">
        <v>-0.19850624666288019</v>
      </c>
      <c r="BG13" s="173">
        <v>-0.14148868811338666</v>
      </c>
      <c r="BH13" s="173">
        <v>-5.7340356581822904E-2</v>
      </c>
      <c r="BI13" s="174">
        <v>-0.16566077352162834</v>
      </c>
      <c r="BJ13" s="175">
        <v>-1.9777931209078559E-2</v>
      </c>
      <c r="BK13" s="175">
        <v>5.5850731264869502E-2</v>
      </c>
      <c r="BL13" s="175">
        <v>0.14764313798244832</v>
      </c>
      <c r="BM13" s="175">
        <v>0.11543227397297051</v>
      </c>
      <c r="BN13" s="172">
        <v>7.4682110054574258E-2</v>
      </c>
      <c r="BO13" s="175">
        <v>0.19055621541317014</v>
      </c>
      <c r="BP13" s="175">
        <v>0.15777551431319226</v>
      </c>
      <c r="BQ13" s="175">
        <v>0.15110989687020737</v>
      </c>
      <c r="BR13" s="175">
        <v>0.10070661458181696</v>
      </c>
      <c r="BS13" s="172">
        <v>0.14894658184956988</v>
      </c>
      <c r="BT13" s="172">
        <v>5.9171164180330527E-2</v>
      </c>
      <c r="BU13" s="172">
        <v>3.2179170662984813E-2</v>
      </c>
      <c r="BV13" s="172">
        <v>2.0734696340948267E-2</v>
      </c>
      <c r="BW13" s="176"/>
    </row>
    <row r="14" spans="1:75" s="123" customFormat="1" x14ac:dyDescent="0.5">
      <c r="A14" s="184" t="s">
        <v>184</v>
      </c>
      <c r="B14" s="185"/>
      <c r="C14" s="186"/>
      <c r="D14" s="186"/>
      <c r="E14" s="186"/>
      <c r="F14" s="186"/>
      <c r="G14" s="187"/>
      <c r="H14" s="187"/>
      <c r="I14" s="187"/>
      <c r="J14" s="187"/>
      <c r="K14" s="186"/>
      <c r="L14" s="187"/>
      <c r="M14" s="187"/>
      <c r="N14" s="187"/>
      <c r="O14" s="187"/>
      <c r="P14" s="186"/>
      <c r="Q14" s="187"/>
      <c r="R14" s="187"/>
      <c r="S14" s="187"/>
      <c r="T14" s="187"/>
      <c r="U14" s="186"/>
      <c r="V14" s="187"/>
      <c r="W14" s="187">
        <v>20.763000000000002</v>
      </c>
      <c r="X14" s="187">
        <v>28.300999999999998</v>
      </c>
      <c r="Y14" s="187">
        <v>25.762999999999998</v>
      </c>
      <c r="Z14" s="186">
        <v>74.826999999999998</v>
      </c>
      <c r="AA14" s="187">
        <v>28.552</v>
      </c>
      <c r="AB14" s="187">
        <v>31.533000000000001</v>
      </c>
      <c r="AC14" s="187">
        <v>29.298999999999999</v>
      </c>
      <c r="AD14" s="187">
        <v>31.457999999999998</v>
      </c>
      <c r="AE14" s="186">
        <v>120.842</v>
      </c>
      <c r="AF14" s="187">
        <v>31.399000000000001</v>
      </c>
      <c r="AG14" s="187">
        <v>33.194000000000003</v>
      </c>
      <c r="AH14" s="187">
        <v>32.235999999999997</v>
      </c>
      <c r="AI14" s="187">
        <v>33.352000000000004</v>
      </c>
      <c r="AJ14" s="186">
        <v>130.18100000000001</v>
      </c>
      <c r="AK14" s="187">
        <v>34.715000000000003</v>
      </c>
      <c r="AL14" s="187">
        <v>34.186</v>
      </c>
      <c r="AM14" s="187">
        <v>32.148000000000003</v>
      </c>
      <c r="AN14" s="187">
        <v>32.091999999999985</v>
      </c>
      <c r="AO14" s="186">
        <v>133.14099999999999</v>
      </c>
      <c r="AP14" s="187">
        <v>27.937999999999999</v>
      </c>
      <c r="AQ14" s="187">
        <v>27.895</v>
      </c>
      <c r="AR14" s="187">
        <v>31.231000000000002</v>
      </c>
      <c r="AS14" s="187">
        <v>32.14</v>
      </c>
      <c r="AT14" s="186">
        <v>119.20399999999999</v>
      </c>
      <c r="AU14" s="187">
        <v>40.969000000000001</v>
      </c>
      <c r="AV14" s="187">
        <v>41.241</v>
      </c>
      <c r="AW14" s="187">
        <v>41.569000000000003</v>
      </c>
      <c r="AX14" s="187">
        <v>41.198999999999998</v>
      </c>
      <c r="AY14" s="186">
        <v>164.97800000000001</v>
      </c>
      <c r="AZ14" s="187">
        <v>48.344000000000001</v>
      </c>
      <c r="BA14" s="187">
        <v>51.438000000000002</v>
      </c>
      <c r="BB14" s="187">
        <v>47.805999999999997</v>
      </c>
      <c r="BC14" s="187">
        <v>44.250999999999976</v>
      </c>
      <c r="BD14" s="186">
        <v>191.839</v>
      </c>
      <c r="BE14" s="187">
        <v>48.646000000000001</v>
      </c>
      <c r="BF14" s="187">
        <v>46.929000000000002</v>
      </c>
      <c r="BG14" s="187">
        <v>46.164000000000001</v>
      </c>
      <c r="BH14" s="187">
        <v>51.769999999999982</v>
      </c>
      <c r="BI14" s="188">
        <v>193.50899999999999</v>
      </c>
      <c r="BJ14" s="187">
        <v>47.447647317073169</v>
      </c>
      <c r="BK14" s="187">
        <v>48.233855121951223</v>
      </c>
      <c r="BL14" s="187">
        <v>48.900061463414637</v>
      </c>
      <c r="BM14" s="187">
        <v>51.412540476190465</v>
      </c>
      <c r="BN14" s="186">
        <v>195.99410437862949</v>
      </c>
      <c r="BO14" s="187">
        <v>48.871076736585366</v>
      </c>
      <c r="BP14" s="187">
        <v>49.680870775609755</v>
      </c>
      <c r="BQ14" s="187">
        <v>51.345064536585369</v>
      </c>
      <c r="BR14" s="187">
        <v>53.983167499999993</v>
      </c>
      <c r="BS14" s="186">
        <v>203.88017954878046</v>
      </c>
      <c r="BT14" s="186">
        <v>209.9965849352439</v>
      </c>
      <c r="BU14" s="186">
        <v>216.29648248330125</v>
      </c>
      <c r="BV14" s="186">
        <v>222.78537695780028</v>
      </c>
      <c r="BW14" s="122"/>
    </row>
    <row r="15" spans="1:75" s="177" customFormat="1" ht="14.25" x14ac:dyDescent="0.45">
      <c r="A15" s="189" t="s">
        <v>185</v>
      </c>
      <c r="B15" s="171"/>
      <c r="C15" s="172"/>
      <c r="D15" s="172"/>
      <c r="E15" s="172"/>
      <c r="F15" s="172"/>
      <c r="G15" s="173"/>
      <c r="H15" s="173"/>
      <c r="I15" s="173"/>
      <c r="J15" s="173"/>
      <c r="K15" s="172"/>
      <c r="L15" s="173"/>
      <c r="M15" s="173"/>
      <c r="N15" s="173"/>
      <c r="O15" s="173"/>
      <c r="P15" s="172"/>
      <c r="Q15" s="173"/>
      <c r="R15" s="173"/>
      <c r="S15" s="173"/>
      <c r="T15" s="173"/>
      <c r="U15" s="172"/>
      <c r="V15" s="173"/>
      <c r="W15" s="173"/>
      <c r="X15" s="173"/>
      <c r="Y15" s="173"/>
      <c r="Z15" s="172"/>
      <c r="AA15" s="173"/>
      <c r="AB15" s="173">
        <v>0.51871116890622737</v>
      </c>
      <c r="AC15" s="173">
        <v>3.526377159817673E-2</v>
      </c>
      <c r="AD15" s="173">
        <v>0.2210534487443232</v>
      </c>
      <c r="AE15" s="191" t="s">
        <v>186</v>
      </c>
      <c r="AF15" s="173">
        <v>9.9712804707200897E-2</v>
      </c>
      <c r="AG15" s="173">
        <v>5.2674975422573267E-2</v>
      </c>
      <c r="AH15" s="173">
        <v>0.10024232908972985</v>
      </c>
      <c r="AI15" s="173">
        <v>6.0207260474283375E-2</v>
      </c>
      <c r="AJ15" s="172">
        <v>7.7282732824680345E-2</v>
      </c>
      <c r="AK15" s="173">
        <v>0.10560845886811698</v>
      </c>
      <c r="AL15" s="173">
        <v>2.9884918961258E-2</v>
      </c>
      <c r="AM15" s="173">
        <v>-2.7298672291845572E-3</v>
      </c>
      <c r="AN15" s="173">
        <v>-3.7778843847446009E-2</v>
      </c>
      <c r="AO15" s="172">
        <v>2.2737573071339057E-2</v>
      </c>
      <c r="AP15" s="173">
        <v>-0.19521820538672052</v>
      </c>
      <c r="AQ15" s="173">
        <v>-0.18402269935061133</v>
      </c>
      <c r="AR15" s="173">
        <v>-2.8524324996889394E-2</v>
      </c>
      <c r="AS15" s="173">
        <v>1.4956998628947726E-3</v>
      </c>
      <c r="AT15" s="172">
        <v>-0.10467849873442436</v>
      </c>
      <c r="AU15" s="173">
        <v>0.46642565681151127</v>
      </c>
      <c r="AV15" s="173">
        <v>0.4784369958773973</v>
      </c>
      <c r="AW15" s="173">
        <v>0.33101725849316388</v>
      </c>
      <c r="AX15" s="173">
        <v>0.28186060983198491</v>
      </c>
      <c r="AY15" s="172">
        <v>0.38399718130264104</v>
      </c>
      <c r="AZ15" s="173">
        <v>0.18001415704557111</v>
      </c>
      <c r="BA15" s="173">
        <v>0.24725394631555986</v>
      </c>
      <c r="BB15" s="173">
        <v>0.15003969304048681</v>
      </c>
      <c r="BC15" s="173">
        <v>7.4079467948250599E-2</v>
      </c>
      <c r="BD15" s="172">
        <v>0.16281564814702554</v>
      </c>
      <c r="BE15" s="173">
        <v>6.2468972364719821E-3</v>
      </c>
      <c r="BF15" s="173">
        <v>-8.7658929196314017E-2</v>
      </c>
      <c r="BG15" s="173">
        <v>-3.4347153077019521E-2</v>
      </c>
      <c r="BH15" s="173">
        <v>0.16991706402115225</v>
      </c>
      <c r="BI15" s="174">
        <v>8.7052163532961302E-3</v>
      </c>
      <c r="BJ15" s="175">
        <v>-2.4634146341463437E-2</v>
      </c>
      <c r="BK15" s="175">
        <v>2.7804878048780513E-2</v>
      </c>
      <c r="BL15" s="175">
        <v>5.9268292682926882E-2</v>
      </c>
      <c r="BM15" s="175">
        <v>-6.904761904761747E-3</v>
      </c>
      <c r="BN15" s="172">
        <v>1.2842319368243871E-2</v>
      </c>
      <c r="BO15" s="175">
        <v>3.0000000000000027E-2</v>
      </c>
      <c r="BP15" s="175">
        <v>2.9999999999999805E-2</v>
      </c>
      <c r="BQ15" s="175">
        <v>5.0000000000000044E-2</v>
      </c>
      <c r="BR15" s="175">
        <v>5.0000000000000044E-2</v>
      </c>
      <c r="BS15" s="172">
        <v>4.0236287694227491E-2</v>
      </c>
      <c r="BT15" s="172">
        <v>3.0000000000000027E-2</v>
      </c>
      <c r="BU15" s="172">
        <v>3.0000000000000027E-2</v>
      </c>
      <c r="BV15" s="172">
        <v>3.0000000000000027E-2</v>
      </c>
      <c r="BW15" s="176"/>
    </row>
    <row r="16" spans="1:75" s="198" customFormat="1" ht="14.25" x14ac:dyDescent="0.45">
      <c r="A16" s="192" t="s">
        <v>187</v>
      </c>
      <c r="B16" s="193"/>
      <c r="C16" s="194">
        <v>625.68499999999995</v>
      </c>
      <c r="D16" s="194">
        <v>772.75199999999995</v>
      </c>
      <c r="E16" s="194">
        <v>958.08400000000006</v>
      </c>
      <c r="F16" s="194">
        <v>1193.046</v>
      </c>
      <c r="G16" s="195">
        <v>301.33699999999999</v>
      </c>
      <c r="H16" s="195">
        <v>382.09800000000001</v>
      </c>
      <c r="I16" s="195">
        <v>395.83199999999999</v>
      </c>
      <c r="J16" s="195">
        <v>471.69400000000002</v>
      </c>
      <c r="K16" s="194">
        <v>1550.9609999999998</v>
      </c>
      <c r="L16" s="195">
        <v>366.25400000000002</v>
      </c>
      <c r="M16" s="195">
        <v>433.76600000000002</v>
      </c>
      <c r="N16" s="195">
        <v>484.67500000000001</v>
      </c>
      <c r="O16" s="195">
        <v>582.72699999999998</v>
      </c>
      <c r="P16" s="194">
        <v>1867.422</v>
      </c>
      <c r="Q16" s="195">
        <v>422.44499999999999</v>
      </c>
      <c r="R16" s="195">
        <v>506.94200000000001</v>
      </c>
      <c r="S16" s="195">
        <v>532.41099999999994</v>
      </c>
      <c r="T16" s="195">
        <v>647.20800000000008</v>
      </c>
      <c r="U16" s="194">
        <v>2109.0059999999999</v>
      </c>
      <c r="V16" s="195">
        <v>455.45600000000002</v>
      </c>
      <c r="W16" s="195">
        <v>543.38100000000009</v>
      </c>
      <c r="X16" s="195">
        <v>549.32800000000009</v>
      </c>
      <c r="Y16" s="195">
        <v>586.70599999999979</v>
      </c>
      <c r="Z16" s="194">
        <v>2134.8710000000001</v>
      </c>
      <c r="AA16" s="195">
        <v>562.08000000000004</v>
      </c>
      <c r="AB16" s="195">
        <v>615.32600000000002</v>
      </c>
      <c r="AC16" s="195">
        <v>592.47299999999996</v>
      </c>
      <c r="AD16" s="195">
        <v>670.29499999999996</v>
      </c>
      <c r="AE16" s="194">
        <v>2440.174</v>
      </c>
      <c r="AF16" s="195">
        <v>557.40599999999995</v>
      </c>
      <c r="AG16" s="195">
        <v>640.798</v>
      </c>
      <c r="AH16" s="195">
        <v>636.55799999999999</v>
      </c>
      <c r="AI16" s="195">
        <v>670.89100000000019</v>
      </c>
      <c r="AJ16" s="194">
        <v>2505.6530000000002</v>
      </c>
      <c r="AK16" s="195">
        <v>598.42100000000005</v>
      </c>
      <c r="AL16" s="195">
        <v>706.51400000000001</v>
      </c>
      <c r="AM16" s="195">
        <v>677.52600000000007</v>
      </c>
      <c r="AN16" s="195">
        <v>664.97599999999954</v>
      </c>
      <c r="AO16" s="194">
        <v>2647.4369999999999</v>
      </c>
      <c r="AP16" s="195">
        <v>482.89499999999998</v>
      </c>
      <c r="AQ16" s="195">
        <v>709.28199999999993</v>
      </c>
      <c r="AR16" s="195">
        <v>844.01300000000003</v>
      </c>
      <c r="AS16" s="195">
        <v>812.43599999999981</v>
      </c>
      <c r="AT16" s="194">
        <v>2848.6260000000002</v>
      </c>
      <c r="AU16" s="195">
        <v>860.79200000000003</v>
      </c>
      <c r="AV16" s="195">
        <v>988.85900000000004</v>
      </c>
      <c r="AW16" s="195">
        <v>1006.428</v>
      </c>
      <c r="AX16" s="195">
        <v>902.74099999999987</v>
      </c>
      <c r="AY16" s="194">
        <v>3758.82</v>
      </c>
      <c r="AZ16" s="195">
        <v>957.29200000000003</v>
      </c>
      <c r="BA16" s="195">
        <v>991.62</v>
      </c>
      <c r="BB16" s="195">
        <v>869.06600000000003</v>
      </c>
      <c r="BC16" s="195">
        <v>772.49899999999957</v>
      </c>
      <c r="BD16" s="194">
        <v>3590.4769999999999</v>
      </c>
      <c r="BE16" s="195">
        <v>739.16199999999992</v>
      </c>
      <c r="BF16" s="195">
        <v>800.47899999999993</v>
      </c>
      <c r="BG16" s="195">
        <v>751.22500000000002</v>
      </c>
      <c r="BH16" s="195">
        <v>738.26000000000022</v>
      </c>
      <c r="BI16" s="196">
        <v>3029.1260000000002</v>
      </c>
      <c r="BJ16" s="195">
        <v>724.30666937030503</v>
      </c>
      <c r="BK16" s="195">
        <v>843.87017366659359</v>
      </c>
      <c r="BL16" s="195">
        <v>858.05847997245769</v>
      </c>
      <c r="BM16" s="195">
        <v>817.14564223589525</v>
      </c>
      <c r="BN16" s="194">
        <v>3243.3809652452514</v>
      </c>
      <c r="BO16" s="195">
        <v>854.70979240054055</v>
      </c>
      <c r="BP16" s="195">
        <v>970.84911868488791</v>
      </c>
      <c r="BQ16" s="195">
        <v>982.77532821819</v>
      </c>
      <c r="BR16" s="195">
        <v>896.8306576111587</v>
      </c>
      <c r="BS16" s="194">
        <v>3705.1648969147773</v>
      </c>
      <c r="BT16" s="194">
        <v>3918.4563951545861</v>
      </c>
      <c r="BU16" s="194">
        <v>4044.0914538325114</v>
      </c>
      <c r="BV16" s="194">
        <v>4129.9485146933448</v>
      </c>
      <c r="BW16" s="197"/>
    </row>
    <row r="17" spans="1:75" s="205" customFormat="1" ht="14.25" x14ac:dyDescent="0.45">
      <c r="A17" s="199" t="s">
        <v>188</v>
      </c>
      <c r="B17" s="200"/>
      <c r="C17" s="201"/>
      <c r="D17" s="201"/>
      <c r="E17" s="201"/>
      <c r="F17" s="201"/>
      <c r="G17" s="202"/>
      <c r="H17" s="202"/>
      <c r="I17" s="202"/>
      <c r="J17" s="202"/>
      <c r="K17" s="201"/>
      <c r="L17" s="202"/>
      <c r="M17" s="202"/>
      <c r="N17" s="202"/>
      <c r="O17" s="202"/>
      <c r="P17" s="201"/>
      <c r="Q17" s="202"/>
      <c r="R17" s="202"/>
      <c r="S17" s="202"/>
      <c r="T17" s="202"/>
      <c r="U17" s="201"/>
      <c r="V17" s="202"/>
      <c r="W17" s="202"/>
      <c r="X17" s="202"/>
      <c r="Y17" s="202"/>
      <c r="Z17" s="201"/>
      <c r="AA17" s="202"/>
      <c r="AB17" s="202"/>
      <c r="AC17" s="202"/>
      <c r="AD17" s="202"/>
      <c r="AE17" s="201"/>
      <c r="AF17" s="202"/>
      <c r="AG17" s="202"/>
      <c r="AH17" s="202"/>
      <c r="AI17" s="202"/>
      <c r="AJ17" s="201"/>
      <c r="AK17" s="202"/>
      <c r="AL17" s="202"/>
      <c r="AM17" s="202"/>
      <c r="AN17" s="202"/>
      <c r="AO17" s="201"/>
      <c r="AP17" s="202"/>
      <c r="AQ17" s="202"/>
      <c r="AR17" s="202"/>
      <c r="AS17" s="202"/>
      <c r="AT17" s="201"/>
      <c r="AU17" s="202"/>
      <c r="AV17" s="202"/>
      <c r="AW17" s="202"/>
      <c r="AX17" s="202"/>
      <c r="AY17" s="201"/>
      <c r="AZ17" s="202"/>
      <c r="BA17" s="202"/>
      <c r="BB17" s="202"/>
      <c r="BC17" s="202"/>
      <c r="BD17" s="201"/>
      <c r="BE17" s="202"/>
      <c r="BF17" s="202"/>
      <c r="BG17" s="202"/>
      <c r="BH17" s="202"/>
      <c r="BI17" s="203"/>
      <c r="BJ17" s="202" t="s">
        <v>189</v>
      </c>
      <c r="BK17" s="202" t="s">
        <v>189</v>
      </c>
      <c r="BL17" s="202" t="s">
        <v>189</v>
      </c>
      <c r="BM17" s="202" t="s">
        <v>189</v>
      </c>
      <c r="BN17" s="201" t="s">
        <v>189</v>
      </c>
      <c r="BO17" s="202" t="s">
        <v>189</v>
      </c>
      <c r="BP17" s="202" t="s">
        <v>189</v>
      </c>
      <c r="BQ17" s="202" t="s">
        <v>189</v>
      </c>
      <c r="BR17" s="202" t="s">
        <v>189</v>
      </c>
      <c r="BS17" s="201" t="s">
        <v>189</v>
      </c>
      <c r="BT17" s="201" t="s">
        <v>189</v>
      </c>
      <c r="BU17" s="201" t="s">
        <v>189</v>
      </c>
      <c r="BV17" s="201" t="s">
        <v>189</v>
      </c>
      <c r="BW17" s="204"/>
    </row>
    <row r="18" spans="1:75" s="177" customFormat="1" ht="14.25" hidden="1" outlineLevel="1" x14ac:dyDescent="0.45">
      <c r="A18" s="170" t="s">
        <v>190</v>
      </c>
      <c r="B18" s="171"/>
      <c r="C18" s="172"/>
      <c r="D18" s="172"/>
      <c r="E18" s="172"/>
      <c r="F18" s="172"/>
      <c r="G18" s="173"/>
      <c r="H18" s="173"/>
      <c r="I18" s="173"/>
      <c r="J18" s="173"/>
      <c r="K18" s="172"/>
      <c r="L18" s="173"/>
      <c r="M18" s="173"/>
      <c r="N18" s="173"/>
      <c r="O18" s="173"/>
      <c r="P18" s="172"/>
      <c r="Q18" s="173"/>
      <c r="R18" s="173"/>
      <c r="S18" s="173"/>
      <c r="T18" s="173"/>
      <c r="U18" s="172"/>
      <c r="V18" s="173"/>
      <c r="W18" s="173"/>
      <c r="X18" s="173"/>
      <c r="Y18" s="173"/>
      <c r="Z18" s="172"/>
      <c r="AA18" s="173"/>
      <c r="AB18" s="173"/>
      <c r="AC18" s="173"/>
      <c r="AD18" s="173"/>
      <c r="AE18" s="172"/>
      <c r="AF18" s="173"/>
      <c r="AG18" s="173"/>
      <c r="AH18" s="173"/>
      <c r="AI18" s="173"/>
      <c r="AJ18" s="172"/>
      <c r="AK18" s="173"/>
      <c r="AL18" s="173"/>
      <c r="AM18" s="173"/>
      <c r="AN18" s="173"/>
      <c r="AO18" s="172"/>
      <c r="AP18" s="190">
        <v>-0.17</v>
      </c>
      <c r="AQ18" s="190">
        <v>0.16</v>
      </c>
      <c r="AR18" s="190">
        <v>0.33</v>
      </c>
      <c r="AS18" s="190">
        <v>0.28999999999999998</v>
      </c>
      <c r="AT18" s="172"/>
      <c r="AU18" s="190">
        <v>1.01</v>
      </c>
      <c r="AV18" s="173"/>
      <c r="AW18" s="173"/>
      <c r="AX18" s="173"/>
      <c r="AY18" s="172"/>
      <c r="AZ18" s="173"/>
      <c r="BA18" s="173"/>
      <c r="BB18" s="173"/>
      <c r="BC18" s="173"/>
      <c r="BD18" s="172"/>
      <c r="BE18" s="173"/>
      <c r="BF18" s="173"/>
      <c r="BG18" s="173"/>
      <c r="BH18" s="173"/>
      <c r="BI18" s="174"/>
      <c r="BJ18" s="175"/>
      <c r="BK18" s="175"/>
      <c r="BL18" s="175"/>
      <c r="BM18" s="175"/>
      <c r="BN18" s="172"/>
      <c r="BO18" s="175"/>
      <c r="BP18" s="175"/>
      <c r="BQ18" s="175"/>
      <c r="BR18" s="175"/>
      <c r="BS18" s="172"/>
      <c r="BT18" s="172"/>
      <c r="BU18" s="172"/>
      <c r="BV18" s="172"/>
      <c r="BW18" s="176"/>
    </row>
    <row r="19" spans="1:75" s="177" customFormat="1" ht="14.25" collapsed="1" x14ac:dyDescent="0.45">
      <c r="A19" s="170" t="s">
        <v>191</v>
      </c>
      <c r="B19" s="171"/>
      <c r="C19" s="172"/>
      <c r="D19" s="172">
        <v>0.23504958565412304</v>
      </c>
      <c r="E19" s="172">
        <v>0.23983373708511935</v>
      </c>
      <c r="F19" s="172">
        <v>0.24524154458272962</v>
      </c>
      <c r="G19" s="173"/>
      <c r="H19" s="173"/>
      <c r="I19" s="173"/>
      <c r="J19" s="173"/>
      <c r="K19" s="172">
        <v>0.30000100582877742</v>
      </c>
      <c r="L19" s="173">
        <v>0.21542990074235835</v>
      </c>
      <c r="M19" s="173">
        <v>0.13522185407931997</v>
      </c>
      <c r="N19" s="173">
        <v>0.22444622971361583</v>
      </c>
      <c r="O19" s="173">
        <v>0.23539201261834997</v>
      </c>
      <c r="P19" s="172">
        <v>0.20404188113047339</v>
      </c>
      <c r="Q19" s="173">
        <v>0.15342085001119443</v>
      </c>
      <c r="R19" s="173">
        <v>0.16869925259241159</v>
      </c>
      <c r="S19" s="173">
        <v>9.8490741218342004E-2</v>
      </c>
      <c r="T19" s="173">
        <v>0.11065387394097081</v>
      </c>
      <c r="U19" s="172">
        <v>0.12936765230354985</v>
      </c>
      <c r="V19" s="173">
        <v>7.8142716803370815E-2</v>
      </c>
      <c r="W19" s="173">
        <v>7.1880017832414822E-2</v>
      </c>
      <c r="X19" s="173">
        <v>3.1774324722817715E-2</v>
      </c>
      <c r="Y19" s="173">
        <v>-9.3481539165152894E-2</v>
      </c>
      <c r="Z19" s="172">
        <v>1.2264071320802428E-2</v>
      </c>
      <c r="AA19" s="173">
        <v>0.23410384318133914</v>
      </c>
      <c r="AB19" s="173">
        <v>0.13240249475046051</v>
      </c>
      <c r="AC19" s="173">
        <v>7.8541417877843189E-2</v>
      </c>
      <c r="AD19" s="173">
        <v>0.14247169792025338</v>
      </c>
      <c r="AE19" s="172">
        <v>0.14300770397836682</v>
      </c>
      <c r="AF19" s="173">
        <v>-8.3155422715629479E-3</v>
      </c>
      <c r="AG19" s="173">
        <v>4.13959429635673E-2</v>
      </c>
      <c r="AH19" s="173">
        <v>7.4408454056134277E-2</v>
      </c>
      <c r="AI19" s="173">
        <v>8.891607426584347E-4</v>
      </c>
      <c r="AJ19" s="172">
        <v>2.6833742183959064E-2</v>
      </c>
      <c r="AK19" s="173">
        <v>7.3581913362970708E-2</v>
      </c>
      <c r="AL19" s="173">
        <v>0.1025533787558639</v>
      </c>
      <c r="AM19" s="173">
        <v>6.435862875024756E-2</v>
      </c>
      <c r="AN19" s="173">
        <v>-8.8166334024463167E-3</v>
      </c>
      <c r="AO19" s="172">
        <v>5.6585648531540356E-2</v>
      </c>
      <c r="AP19" s="173">
        <v>-0.19305138021560087</v>
      </c>
      <c r="AQ19" s="173">
        <v>3.9178275306646082E-3</v>
      </c>
      <c r="AR19" s="173">
        <v>0.24572783922683405</v>
      </c>
      <c r="AS19" s="173">
        <v>0.22175236399509202</v>
      </c>
      <c r="AT19" s="172">
        <v>7.5993876341533539E-2</v>
      </c>
      <c r="AU19" s="173">
        <v>0.78256556808415922</v>
      </c>
      <c r="AV19" s="173">
        <v>0.39416903290933658</v>
      </c>
      <c r="AW19" s="173">
        <v>0.19243187012522323</v>
      </c>
      <c r="AX19" s="173">
        <v>0.11115337085013466</v>
      </c>
      <c r="AY19" s="172">
        <v>0.31952035823586522</v>
      </c>
      <c r="AZ19" s="173">
        <v>0.11210606046524596</v>
      </c>
      <c r="BA19" s="173">
        <v>2.7921068625555989E-3</v>
      </c>
      <c r="BB19" s="173">
        <v>-0.13648467649946139</v>
      </c>
      <c r="BC19" s="173">
        <v>-0.14427393903677832</v>
      </c>
      <c r="BD19" s="172">
        <v>-4.4786129689636689E-2</v>
      </c>
      <c r="BE19" s="173">
        <v>-0.22786150934093263</v>
      </c>
      <c r="BF19" s="173">
        <v>-0.19275629777535752</v>
      </c>
      <c r="BG19" s="173">
        <v>-0.13559499508667927</v>
      </c>
      <c r="BH19" s="173">
        <v>-4.4322387472345404E-2</v>
      </c>
      <c r="BI19" s="174">
        <v>-0.15634440772075675</v>
      </c>
      <c r="BJ19" s="173">
        <v>-2.0097530216237947E-2</v>
      </c>
      <c r="BK19" s="173">
        <v>5.4206510934819763E-2</v>
      </c>
      <c r="BL19" s="173">
        <v>0.14221235977564328</v>
      </c>
      <c r="BM19" s="173">
        <v>0.10685346928710082</v>
      </c>
      <c r="BN19" s="172">
        <v>7.0731612103706265E-2</v>
      </c>
      <c r="BO19" s="173">
        <v>0.18003855071996622</v>
      </c>
      <c r="BP19" s="173">
        <v>0.15047213301374796</v>
      </c>
      <c r="BQ19" s="173">
        <v>0.14534772530857754</v>
      </c>
      <c r="BR19" s="173">
        <v>9.7516294839714579E-2</v>
      </c>
      <c r="BS19" s="172">
        <v>0.14237733297994115</v>
      </c>
      <c r="BT19" s="172">
        <v>5.7565993464261833E-2</v>
      </c>
      <c r="BU19" s="172">
        <v>3.2062385288574635E-2</v>
      </c>
      <c r="BV19" s="172">
        <v>2.1230247100240129E-2</v>
      </c>
      <c r="BW19" s="176"/>
    </row>
    <row r="20" spans="1:75" s="162" customFormat="1" ht="14.25" x14ac:dyDescent="0.45">
      <c r="A20" s="178"/>
      <c r="B20" s="179"/>
      <c r="C20" s="180"/>
      <c r="D20" s="180"/>
      <c r="E20" s="180"/>
      <c r="F20" s="180"/>
      <c r="G20" s="181"/>
      <c r="H20" s="181"/>
      <c r="I20" s="181"/>
      <c r="J20" s="181"/>
      <c r="K20" s="180"/>
      <c r="L20" s="181"/>
      <c r="M20" s="181"/>
      <c r="N20" s="181"/>
      <c r="O20" s="181"/>
      <c r="P20" s="180"/>
      <c r="Q20" s="181"/>
      <c r="R20" s="181"/>
      <c r="S20" s="181"/>
      <c r="T20" s="181"/>
      <c r="U20" s="180"/>
      <c r="V20" s="181"/>
      <c r="W20" s="181"/>
      <c r="X20" s="181"/>
      <c r="Y20" s="181"/>
      <c r="Z20" s="180"/>
      <c r="AA20" s="181"/>
      <c r="AB20" s="181"/>
      <c r="AC20" s="181"/>
      <c r="AD20" s="181"/>
      <c r="AE20" s="180"/>
      <c r="AF20" s="181"/>
      <c r="AG20" s="181"/>
      <c r="AH20" s="181"/>
      <c r="AI20" s="181"/>
      <c r="AJ20" s="180"/>
      <c r="AK20" s="181"/>
      <c r="AL20" s="181"/>
      <c r="AM20" s="181"/>
      <c r="AN20" s="181"/>
      <c r="AO20" s="180"/>
      <c r="AP20" s="181"/>
      <c r="AQ20" s="181"/>
      <c r="AR20" s="181"/>
      <c r="AS20" s="181"/>
      <c r="AT20" s="180"/>
      <c r="AU20" s="181"/>
      <c r="AV20" s="181"/>
      <c r="AW20" s="181"/>
      <c r="AX20" s="181"/>
      <c r="AY20" s="180"/>
      <c r="AZ20" s="181"/>
      <c r="BA20" s="181"/>
      <c r="BB20" s="181"/>
      <c r="BC20" s="181"/>
      <c r="BD20" s="180"/>
      <c r="BE20" s="181"/>
      <c r="BF20" s="181"/>
      <c r="BG20" s="181"/>
      <c r="BH20" s="181"/>
      <c r="BI20" s="182"/>
      <c r="BJ20" s="183"/>
      <c r="BK20" s="183"/>
      <c r="BL20" s="183"/>
      <c r="BM20" s="183"/>
      <c r="BN20" s="180"/>
      <c r="BO20" s="183"/>
      <c r="BP20" s="183"/>
      <c r="BQ20" s="183"/>
      <c r="BR20" s="183"/>
      <c r="BS20" s="180"/>
      <c r="BT20" s="180"/>
      <c r="BU20" s="180"/>
      <c r="BV20" s="180"/>
      <c r="BW20" s="161"/>
    </row>
    <row r="21" spans="1:75" s="198" customFormat="1" ht="14.25" x14ac:dyDescent="0.45">
      <c r="A21" s="206" t="s">
        <v>192</v>
      </c>
      <c r="B21" s="207"/>
      <c r="C21" s="208">
        <v>200.27599999999993</v>
      </c>
      <c r="D21" s="208">
        <v>271.61999999999995</v>
      </c>
      <c r="E21" s="208">
        <v>356.34900000000005</v>
      </c>
      <c r="F21" s="208">
        <v>439.69900000000007</v>
      </c>
      <c r="G21" s="209">
        <v>101.87699999999998</v>
      </c>
      <c r="H21" s="209">
        <v>139.226</v>
      </c>
      <c r="I21" s="209">
        <v>140.79999999999998</v>
      </c>
      <c r="J21" s="209">
        <v>174.97700000000003</v>
      </c>
      <c r="K21" s="208">
        <v>556.87999999999977</v>
      </c>
      <c r="L21" s="209">
        <v>124.34900000000002</v>
      </c>
      <c r="M21" s="209">
        <v>167.90899999999999</v>
      </c>
      <c r="N21" s="209">
        <v>180.37299999999999</v>
      </c>
      <c r="O21" s="209">
        <v>218.14299999999997</v>
      </c>
      <c r="P21" s="208">
        <v>690.77399999999989</v>
      </c>
      <c r="Q21" s="209">
        <v>144.797</v>
      </c>
      <c r="R21" s="209">
        <v>199.10700000000003</v>
      </c>
      <c r="S21" s="209">
        <v>195.55099999999993</v>
      </c>
      <c r="T21" s="209">
        <v>230.45099999999996</v>
      </c>
      <c r="U21" s="208">
        <v>769.90599999999972</v>
      </c>
      <c r="V21" s="209">
        <v>135.20400000000004</v>
      </c>
      <c r="W21" s="209">
        <v>183.24</v>
      </c>
      <c r="X21" s="209">
        <v>177.60499999999996</v>
      </c>
      <c r="Y21" s="209">
        <v>204.46299999999999</v>
      </c>
      <c r="Z21" s="208">
        <v>700.51200000000006</v>
      </c>
      <c r="AA21" s="209">
        <v>171.63600000000002</v>
      </c>
      <c r="AB21" s="209">
        <v>210.86900000000003</v>
      </c>
      <c r="AC21" s="209">
        <v>218.62199999999993</v>
      </c>
      <c r="AD21" s="209">
        <v>257.52400000000023</v>
      </c>
      <c r="AE21" s="208">
        <v>858.65100000000007</v>
      </c>
      <c r="AF21" s="209">
        <v>209.26899999999998</v>
      </c>
      <c r="AG21" s="209">
        <v>267.125</v>
      </c>
      <c r="AH21" s="209">
        <v>255.18500000000003</v>
      </c>
      <c r="AI21" s="209">
        <v>260.25699999999995</v>
      </c>
      <c r="AJ21" s="208">
        <v>991.83599999999979</v>
      </c>
      <c r="AK21" s="209">
        <v>234.15900000000002</v>
      </c>
      <c r="AL21" s="209">
        <v>296.55400000000003</v>
      </c>
      <c r="AM21" s="209">
        <v>282.37099999999992</v>
      </c>
      <c r="AN21" s="209">
        <v>283.07300000000032</v>
      </c>
      <c r="AO21" s="208">
        <v>1096.1570000000002</v>
      </c>
      <c r="AP21" s="209">
        <v>202.00399999999999</v>
      </c>
      <c r="AQ21" s="209">
        <v>337.19900000000001</v>
      </c>
      <c r="AR21" s="209">
        <v>409.11100000000005</v>
      </c>
      <c r="AS21" s="209">
        <v>385.49400000000014</v>
      </c>
      <c r="AT21" s="208">
        <v>1333.808</v>
      </c>
      <c r="AU21" s="209">
        <v>406.97700000000003</v>
      </c>
      <c r="AV21" s="209">
        <v>487.67600000000004</v>
      </c>
      <c r="AW21" s="209">
        <v>505.25400000000002</v>
      </c>
      <c r="AX21" s="209">
        <v>454.30399999999992</v>
      </c>
      <c r="AY21" s="208">
        <v>1854.211</v>
      </c>
      <c r="AZ21" s="209">
        <v>498.58300000000003</v>
      </c>
      <c r="BA21" s="209">
        <v>523.21800000000007</v>
      </c>
      <c r="BB21" s="209">
        <v>431.70400000000001</v>
      </c>
      <c r="BC21" s="209">
        <v>369.40599999999972</v>
      </c>
      <c r="BD21" s="208">
        <v>1822.9109999999998</v>
      </c>
      <c r="BE21" s="209">
        <v>347.54500000000002</v>
      </c>
      <c r="BF21" s="209">
        <v>380.07300000000004</v>
      </c>
      <c r="BG21" s="209">
        <v>340.45000000000005</v>
      </c>
      <c r="BH21" s="209">
        <v>320.95100000000025</v>
      </c>
      <c r="BI21" s="210">
        <v>1389.0190000000002</v>
      </c>
      <c r="BJ21" s="209">
        <v>301.52462165438686</v>
      </c>
      <c r="BK21" s="209">
        <v>384.71654242497556</v>
      </c>
      <c r="BL21" s="209">
        <v>393.57636718345879</v>
      </c>
      <c r="BM21" s="209">
        <v>366.25384314706338</v>
      </c>
      <c r="BN21" s="208">
        <v>1446.0713744098846</v>
      </c>
      <c r="BO21" s="209">
        <v>367.21033859414092</v>
      </c>
      <c r="BP21" s="209">
        <v>446.69644361649313</v>
      </c>
      <c r="BQ21" s="209">
        <v>453.68544441898172</v>
      </c>
      <c r="BR21" s="209">
        <v>406.05242553325394</v>
      </c>
      <c r="BS21" s="208">
        <v>1673.6446521628695</v>
      </c>
      <c r="BT21" s="208">
        <v>1780.7682995152184</v>
      </c>
      <c r="BU21" s="208">
        <v>1849.5216231670681</v>
      </c>
      <c r="BV21" s="208">
        <v>1900.9120194870309</v>
      </c>
      <c r="BW21" s="197"/>
    </row>
    <row r="22" spans="1:75" s="205" customFormat="1" ht="14.25" x14ac:dyDescent="0.45">
      <c r="A22" s="199" t="s">
        <v>193</v>
      </c>
      <c r="B22" s="200"/>
      <c r="C22" s="201"/>
      <c r="D22" s="201"/>
      <c r="E22" s="201"/>
      <c r="F22" s="201"/>
      <c r="G22" s="202"/>
      <c r="H22" s="202"/>
      <c r="I22" s="202"/>
      <c r="J22" s="202"/>
      <c r="K22" s="201"/>
      <c r="L22" s="202"/>
      <c r="M22" s="202"/>
      <c r="N22" s="202"/>
      <c r="O22" s="202"/>
      <c r="P22" s="201"/>
      <c r="Q22" s="202"/>
      <c r="R22" s="202"/>
      <c r="S22" s="202"/>
      <c r="T22" s="202"/>
      <c r="U22" s="201"/>
      <c r="V22" s="202"/>
      <c r="W22" s="202"/>
      <c r="X22" s="202"/>
      <c r="Y22" s="202"/>
      <c r="Z22" s="201"/>
      <c r="AA22" s="202"/>
      <c r="AB22" s="202"/>
      <c r="AC22" s="202"/>
      <c r="AD22" s="202"/>
      <c r="AE22" s="201"/>
      <c r="AF22" s="202"/>
      <c r="AG22" s="202"/>
      <c r="AH22" s="202"/>
      <c r="AI22" s="202"/>
      <c r="AJ22" s="201"/>
      <c r="AK22" s="202"/>
      <c r="AL22" s="202"/>
      <c r="AM22" s="202"/>
      <c r="AN22" s="202"/>
      <c r="AO22" s="201"/>
      <c r="AP22" s="202"/>
      <c r="AQ22" s="202"/>
      <c r="AR22" s="202"/>
      <c r="AS22" s="202"/>
      <c r="AT22" s="201"/>
      <c r="AU22" s="202"/>
      <c r="AV22" s="202"/>
      <c r="AW22" s="202"/>
      <c r="AX22" s="202"/>
      <c r="AY22" s="201"/>
      <c r="AZ22" s="202"/>
      <c r="BA22" s="202"/>
      <c r="BB22" s="202"/>
      <c r="BC22" s="202"/>
      <c r="BD22" s="201"/>
      <c r="BE22" s="202"/>
      <c r="BF22" s="202"/>
      <c r="BG22" s="202"/>
      <c r="BH22" s="202"/>
      <c r="BI22" s="203"/>
      <c r="BJ22" s="202" t="s">
        <v>189</v>
      </c>
      <c r="BK22" s="202" t="s">
        <v>189</v>
      </c>
      <c r="BL22" s="202" t="s">
        <v>189</v>
      </c>
      <c r="BM22" s="202" t="s">
        <v>189</v>
      </c>
      <c r="BN22" s="201" t="s">
        <v>189</v>
      </c>
      <c r="BO22" s="202" t="s">
        <v>189</v>
      </c>
      <c r="BP22" s="202" t="s">
        <v>189</v>
      </c>
      <c r="BQ22" s="202" t="s">
        <v>189</v>
      </c>
      <c r="BR22" s="202" t="s">
        <v>189</v>
      </c>
      <c r="BS22" s="201" t="s">
        <v>189</v>
      </c>
      <c r="BT22" s="201" t="s">
        <v>189</v>
      </c>
      <c r="BU22" s="201" t="s">
        <v>189</v>
      </c>
      <c r="BV22" s="201" t="s">
        <v>189</v>
      </c>
      <c r="BW22" s="204"/>
    </row>
    <row r="23" spans="1:75" s="217" customFormat="1" x14ac:dyDescent="0.5">
      <c r="A23" s="211" t="s">
        <v>194</v>
      </c>
      <c r="B23" s="212"/>
      <c r="C23" s="213">
        <v>0.32009078050456691</v>
      </c>
      <c r="D23" s="213">
        <v>0.3514969873905211</v>
      </c>
      <c r="E23" s="213">
        <v>0.37193920366063937</v>
      </c>
      <c r="F23" s="213">
        <v>0.36855158979620239</v>
      </c>
      <c r="G23" s="214">
        <v>0.33808327553536399</v>
      </c>
      <c r="H23" s="214">
        <v>0.3643724908269606</v>
      </c>
      <c r="I23" s="214">
        <v>0.3557064613270276</v>
      </c>
      <c r="J23" s="214">
        <v>0.37095447472301962</v>
      </c>
      <c r="K23" s="213">
        <v>0.35905480537550577</v>
      </c>
      <c r="L23" s="214">
        <v>0.33951574590311645</v>
      </c>
      <c r="M23" s="214">
        <v>0.38709580741690214</v>
      </c>
      <c r="N23" s="214">
        <v>0.37215247330685508</v>
      </c>
      <c r="O23" s="214">
        <v>0.37434853713660082</v>
      </c>
      <c r="P23" s="213">
        <v>0.369907819443061</v>
      </c>
      <c r="Q23" s="214">
        <v>0.34275941246789521</v>
      </c>
      <c r="R23" s="214">
        <v>0.39276090755944471</v>
      </c>
      <c r="S23" s="214">
        <v>0.36729331287294958</v>
      </c>
      <c r="T23" s="214">
        <v>0.35606945526013267</v>
      </c>
      <c r="U23" s="213">
        <v>0.36505633459553921</v>
      </c>
      <c r="V23" s="214">
        <v>0.29685414178317998</v>
      </c>
      <c r="W23" s="214">
        <v>0.33722194924003601</v>
      </c>
      <c r="X23" s="214">
        <v>0.32331321177875511</v>
      </c>
      <c r="Y23" s="214">
        <v>0.34646113595426214</v>
      </c>
      <c r="Z23" s="213">
        <v>0.32760046242082547</v>
      </c>
      <c r="AA23" s="214">
        <v>0.30535866780529464</v>
      </c>
      <c r="AB23" s="214">
        <v>0.34058426298456407</v>
      </c>
      <c r="AC23" s="214">
        <v>0.36899909362958305</v>
      </c>
      <c r="AD23" s="214">
        <v>0.38454267577935458</v>
      </c>
      <c r="AE23" s="213">
        <v>0.35141920150807432</v>
      </c>
      <c r="AF23" s="214">
        <v>0.375433705414007</v>
      </c>
      <c r="AG23" s="214">
        <v>0.41566106642641187</v>
      </c>
      <c r="AH23" s="214">
        <v>0.39965951768659974</v>
      </c>
      <c r="AI23" s="214">
        <v>0.38738923793915958</v>
      </c>
      <c r="AJ23" s="213">
        <v>0.39509302553471848</v>
      </c>
      <c r="AK23" s="214">
        <v>0.39102489170621574</v>
      </c>
      <c r="AL23" s="214">
        <v>0.41974256702627272</v>
      </c>
      <c r="AM23" s="214">
        <v>0.41726292332745196</v>
      </c>
      <c r="AN23" s="214">
        <v>0.42568904742426833</v>
      </c>
      <c r="AO23" s="213">
        <v>0.41410576166791219</v>
      </c>
      <c r="AP23" s="214">
        <v>0.4183186821151596</v>
      </c>
      <c r="AQ23" s="214">
        <v>0.47513696159439078</v>
      </c>
      <c r="AR23" s="214">
        <v>0.48427308906076516</v>
      </c>
      <c r="AS23" s="214">
        <v>0.47438292342565186</v>
      </c>
      <c r="AT23" s="213">
        <v>0.46800297122911266</v>
      </c>
      <c r="AU23" s="214">
        <v>0.47279365979237725</v>
      </c>
      <c r="AV23" s="214">
        <v>0.4931704115551358</v>
      </c>
      <c r="AW23" s="214">
        <v>0.50202697063277257</v>
      </c>
      <c r="AX23" s="214">
        <v>0.5039194002269447</v>
      </c>
      <c r="AY23" s="213">
        <v>0.49345356901442933</v>
      </c>
      <c r="AZ23" s="214">
        <v>0.52082645629546676</v>
      </c>
      <c r="BA23" s="214">
        <v>0.52763962001573195</v>
      </c>
      <c r="BB23" s="214">
        <v>0.49674478117887477</v>
      </c>
      <c r="BC23" s="214">
        <v>0.47819608827972571</v>
      </c>
      <c r="BD23" s="213">
        <v>0.50770719322251612</v>
      </c>
      <c r="BE23" s="214">
        <v>0.47018786138897833</v>
      </c>
      <c r="BF23" s="214">
        <v>0.47480695933309935</v>
      </c>
      <c r="BG23" s="214">
        <v>0.45319311790741795</v>
      </c>
      <c r="BH23" s="214">
        <v>0.43473979356866166</v>
      </c>
      <c r="BI23" s="215">
        <v>0.45855438169293722</v>
      </c>
      <c r="BJ23" s="214">
        <v>0.416294139492772</v>
      </c>
      <c r="BK23" s="214">
        <v>0.4558954142832094</v>
      </c>
      <c r="BL23" s="214">
        <v>0.45868245156914245</v>
      </c>
      <c r="BM23" s="214">
        <v>0.44821121745801645</v>
      </c>
      <c r="BN23" s="213">
        <v>0.44585307427816717</v>
      </c>
      <c r="BO23" s="214">
        <v>0.42963160345079565</v>
      </c>
      <c r="BP23" s="214">
        <v>0.46010902726222597</v>
      </c>
      <c r="BQ23" s="214">
        <v>0.46163699005502218</v>
      </c>
      <c r="BR23" s="214">
        <v>0.45276376547478286</v>
      </c>
      <c r="BS23" s="213">
        <v>0.45170584811393494</v>
      </c>
      <c r="BT23" s="213">
        <v>0.45445658186148213</v>
      </c>
      <c r="BU23" s="213">
        <v>0.45733921803729494</v>
      </c>
      <c r="BV23" s="213">
        <v>0.46027499198211591</v>
      </c>
      <c r="BW23" s="216"/>
    </row>
    <row r="24" spans="1:75" s="177" customFormat="1" ht="14.25" x14ac:dyDescent="0.45">
      <c r="A24" s="170" t="s">
        <v>195</v>
      </c>
      <c r="B24" s="171"/>
      <c r="C24" s="172"/>
      <c r="D24" s="172"/>
      <c r="E24" s="172"/>
      <c r="F24" s="172"/>
      <c r="G24" s="173"/>
      <c r="H24" s="173"/>
      <c r="I24" s="173"/>
      <c r="J24" s="173"/>
      <c r="K24" s="172"/>
      <c r="L24" s="173"/>
      <c r="M24" s="173"/>
      <c r="N24" s="173"/>
      <c r="O24" s="173"/>
      <c r="P24" s="172"/>
      <c r="Q24" s="173"/>
      <c r="R24" s="173"/>
      <c r="S24" s="173"/>
      <c r="T24" s="173"/>
      <c r="U24" s="172"/>
      <c r="V24" s="173"/>
      <c r="W24" s="173"/>
      <c r="X24" s="173"/>
      <c r="Y24" s="173"/>
      <c r="Z24" s="172"/>
      <c r="AA24" s="173"/>
      <c r="AB24" s="173"/>
      <c r="AC24" s="173"/>
      <c r="AD24" s="173"/>
      <c r="AE24" s="172"/>
      <c r="AF24" s="173"/>
      <c r="AG24" s="173"/>
      <c r="AH24" s="173"/>
      <c r="AI24" s="173"/>
      <c r="AJ24" s="172"/>
      <c r="AK24" s="173"/>
      <c r="AL24" s="173"/>
      <c r="AM24" s="173"/>
      <c r="AN24" s="173"/>
      <c r="AO24" s="172"/>
      <c r="AP24" s="173"/>
      <c r="AQ24" s="173"/>
      <c r="AR24" s="173"/>
      <c r="AS24" s="173"/>
      <c r="AT24" s="172"/>
      <c r="AU24" s="173"/>
      <c r="AV24" s="173"/>
      <c r="AW24" s="173"/>
      <c r="AX24" s="173"/>
      <c r="AY24" s="172"/>
      <c r="AZ24" s="173"/>
      <c r="BA24" s="173"/>
      <c r="BB24" s="173"/>
      <c r="BC24" s="173"/>
      <c r="BD24" s="172"/>
      <c r="BE24" s="173"/>
      <c r="BF24" s="173"/>
      <c r="BG24" s="173"/>
      <c r="BH24" s="173"/>
      <c r="BI24" s="174"/>
      <c r="BJ24" s="175" t="s">
        <v>189</v>
      </c>
      <c r="BK24" s="175" t="s">
        <v>189</v>
      </c>
      <c r="BL24" s="175" t="s">
        <v>189</v>
      </c>
      <c r="BM24" s="175" t="s">
        <v>189</v>
      </c>
      <c r="BN24" s="172" t="s">
        <v>189</v>
      </c>
      <c r="BO24" s="175" t="s">
        <v>189</v>
      </c>
      <c r="BP24" s="175" t="s">
        <v>189</v>
      </c>
      <c r="BQ24" s="175" t="s">
        <v>189</v>
      </c>
      <c r="BR24" s="175" t="s">
        <v>189</v>
      </c>
      <c r="BS24" s="172" t="s">
        <v>189</v>
      </c>
      <c r="BT24" s="172" t="s">
        <v>189</v>
      </c>
      <c r="BU24" s="172" t="s">
        <v>189</v>
      </c>
      <c r="BV24" s="172" t="s">
        <v>189</v>
      </c>
      <c r="BW24" s="176"/>
    </row>
    <row r="25" spans="1:75" s="224" customFormat="1" x14ac:dyDescent="0.5">
      <c r="A25" s="218" t="s">
        <v>196</v>
      </c>
      <c r="B25" s="219"/>
      <c r="C25" s="220"/>
      <c r="D25" s="220">
        <v>314.06206885954191</v>
      </c>
      <c r="E25" s="220">
        <v>204.42216270118274</v>
      </c>
      <c r="F25" s="220">
        <v>-33.876138644369782</v>
      </c>
      <c r="G25" s="221"/>
      <c r="H25" s="221"/>
      <c r="I25" s="221"/>
      <c r="J25" s="221"/>
      <c r="K25" s="220">
        <v>-94.967844206966248</v>
      </c>
      <c r="L25" s="221">
        <v>14.324703677524585</v>
      </c>
      <c r="M25" s="221">
        <v>227.23316589941533</v>
      </c>
      <c r="N25" s="221">
        <v>164.4601197982748</v>
      </c>
      <c r="O25" s="221">
        <v>33.940624135812001</v>
      </c>
      <c r="P25" s="220">
        <v>108.53014067555233</v>
      </c>
      <c r="Q25" s="221">
        <v>32.436665647787578</v>
      </c>
      <c r="R25" s="221">
        <v>56.651001425425676</v>
      </c>
      <c r="S25" s="221">
        <v>-48.59160433905496</v>
      </c>
      <c r="T25" s="221">
        <v>-182.79081876468152</v>
      </c>
      <c r="U25" s="220">
        <v>-48.514848475217917</v>
      </c>
      <c r="V25" s="221">
        <v>-459.05270684715225</v>
      </c>
      <c r="W25" s="221">
        <v>-555.38958319408698</v>
      </c>
      <c r="X25" s="221">
        <v>-439.80101094194481</v>
      </c>
      <c r="Y25" s="221">
        <v>-96.083193058705277</v>
      </c>
      <c r="Z25" s="220">
        <v>-374.55872174713744</v>
      </c>
      <c r="AA25" s="221">
        <v>85.045260221146563</v>
      </c>
      <c r="AB25" s="221">
        <v>33.623137445280562</v>
      </c>
      <c r="AC25" s="221">
        <v>456.85881850827946</v>
      </c>
      <c r="AD25" s="221">
        <v>380.81539825092437</v>
      </c>
      <c r="AE25" s="220">
        <v>238.18739087248852</v>
      </c>
      <c r="AF25" s="221">
        <v>700.75037608712364</v>
      </c>
      <c r="AG25" s="221">
        <v>750.76803441847801</v>
      </c>
      <c r="AH25" s="221">
        <v>306.60424057016689</v>
      </c>
      <c r="AI25" s="221">
        <v>28.465621598049996</v>
      </c>
      <c r="AJ25" s="220">
        <v>436.73824026644161</v>
      </c>
      <c r="AK25" s="221">
        <v>155.91186292208735</v>
      </c>
      <c r="AL25" s="221">
        <v>40.815005998608434</v>
      </c>
      <c r="AM25" s="221">
        <v>176.03405640852222</v>
      </c>
      <c r="AN25" s="221">
        <v>382.9980948510875</v>
      </c>
      <c r="AO25" s="220">
        <v>190.1273613319371</v>
      </c>
      <c r="AP25" s="221">
        <v>272.93790408943863</v>
      </c>
      <c r="AQ25" s="221">
        <v>553.94394568118071</v>
      </c>
      <c r="AR25" s="221">
        <v>670.10165733313204</v>
      </c>
      <c r="AS25" s="221">
        <v>486.93876001383529</v>
      </c>
      <c r="AT25" s="220">
        <v>538.97209561200475</v>
      </c>
      <c r="AU25" s="221">
        <v>544.74977677217646</v>
      </c>
      <c r="AV25" s="221">
        <v>180.33449960745017</v>
      </c>
      <c r="AW25" s="221">
        <v>177.53881572007413</v>
      </c>
      <c r="AX25" s="221">
        <v>295.36476801292844</v>
      </c>
      <c r="AY25" s="220">
        <v>254.50597785316666</v>
      </c>
      <c r="AZ25" s="221">
        <v>480.32796503089503</v>
      </c>
      <c r="BA25" s="221">
        <v>344.69208460596144</v>
      </c>
      <c r="BB25" s="221">
        <v>-52.821894538978007</v>
      </c>
      <c r="BC25" s="221">
        <v>-257.23311947218997</v>
      </c>
      <c r="BD25" s="220">
        <v>142.53624208086791</v>
      </c>
      <c r="BE25" s="221">
        <v>-506.38594906488419</v>
      </c>
      <c r="BF25" s="221">
        <v>-528.32660682632593</v>
      </c>
      <c r="BG25" s="221">
        <v>-435.51663271456817</v>
      </c>
      <c r="BH25" s="221">
        <v>-434.56294711064049</v>
      </c>
      <c r="BI25" s="222">
        <v>-491.52811529578901</v>
      </c>
      <c r="BJ25" s="221">
        <v>-538.93721896206341</v>
      </c>
      <c r="BK25" s="221">
        <v>-189.11545049889955</v>
      </c>
      <c r="BL25" s="221">
        <v>54.893336617244934</v>
      </c>
      <c r="BM25" s="221">
        <v>134.71423889354796</v>
      </c>
      <c r="BN25" s="220">
        <v>-127.01307414770046</v>
      </c>
      <c r="BO25" s="221">
        <v>133.37463958023653</v>
      </c>
      <c r="BP25" s="221">
        <v>42.136129790165676</v>
      </c>
      <c r="BQ25" s="221">
        <v>29.54538485879732</v>
      </c>
      <c r="BR25" s="221">
        <v>45.525480167664114</v>
      </c>
      <c r="BS25" s="220">
        <v>58.527738357677663</v>
      </c>
      <c r="BT25" s="220">
        <v>27.50733747547196</v>
      </c>
      <c r="BU25" s="220">
        <v>28.826361758128026</v>
      </c>
      <c r="BV25" s="220">
        <v>29.357739448209742</v>
      </c>
      <c r="BW25" s="223"/>
    </row>
    <row r="26" spans="1:75" s="162" customFormat="1" ht="14.25" x14ac:dyDescent="0.45">
      <c r="A26" s="178"/>
      <c r="B26" s="179"/>
      <c r="C26" s="180"/>
      <c r="D26" s="180"/>
      <c r="E26" s="180"/>
      <c r="F26" s="180"/>
      <c r="G26" s="181"/>
      <c r="H26" s="181"/>
      <c r="I26" s="181"/>
      <c r="J26" s="181"/>
      <c r="K26" s="180"/>
      <c r="L26" s="181"/>
      <c r="M26" s="181"/>
      <c r="N26" s="181"/>
      <c r="O26" s="181"/>
      <c r="P26" s="180"/>
      <c r="Q26" s="181"/>
      <c r="R26" s="181"/>
      <c r="S26" s="181"/>
      <c r="T26" s="181"/>
      <c r="U26" s="180"/>
      <c r="V26" s="181"/>
      <c r="W26" s="181"/>
      <c r="X26" s="181"/>
      <c r="Y26" s="181"/>
      <c r="Z26" s="180"/>
      <c r="AA26" s="181"/>
      <c r="AB26" s="181"/>
      <c r="AC26" s="181"/>
      <c r="AD26" s="181"/>
      <c r="AE26" s="180"/>
      <c r="AF26" s="181"/>
      <c r="AG26" s="181"/>
      <c r="AH26" s="181"/>
      <c r="AI26" s="181"/>
      <c r="AJ26" s="180"/>
      <c r="AK26" s="181"/>
      <c r="AL26" s="181"/>
      <c r="AM26" s="181"/>
      <c r="AN26" s="181"/>
      <c r="AO26" s="180"/>
      <c r="AP26" s="181"/>
      <c r="AQ26" s="181"/>
      <c r="AR26" s="181"/>
      <c r="AS26" s="181"/>
      <c r="AT26" s="180"/>
      <c r="AU26" s="181"/>
      <c r="AV26" s="181"/>
      <c r="AW26" s="181"/>
      <c r="AX26" s="181"/>
      <c r="AY26" s="180"/>
      <c r="AZ26" s="181"/>
      <c r="BA26" s="181"/>
      <c r="BB26" s="181"/>
      <c r="BC26" s="181"/>
      <c r="BD26" s="180"/>
      <c r="BE26" s="181"/>
      <c r="BF26" s="181"/>
      <c r="BG26" s="181"/>
      <c r="BH26" s="181"/>
      <c r="BI26" s="182"/>
      <c r="BJ26" s="183"/>
      <c r="BK26" s="183"/>
      <c r="BL26" s="183"/>
      <c r="BM26" s="183"/>
      <c r="BN26" s="180"/>
      <c r="BO26" s="183"/>
      <c r="BP26" s="183"/>
      <c r="BQ26" s="183"/>
      <c r="BR26" s="183"/>
      <c r="BS26" s="180"/>
      <c r="BT26" s="180"/>
      <c r="BU26" s="180"/>
      <c r="BV26" s="180"/>
      <c r="BW26" s="161"/>
    </row>
    <row r="27" spans="1:75" s="198" customFormat="1" ht="14.25" x14ac:dyDescent="0.45">
      <c r="A27" s="206" t="s">
        <v>197</v>
      </c>
      <c r="B27" s="207"/>
      <c r="C27" s="208">
        <v>-27.564000000000082</v>
      </c>
      <c r="D27" s="208">
        <v>8.1919999999999362</v>
      </c>
      <c r="E27" s="208">
        <v>49.219000000000072</v>
      </c>
      <c r="F27" s="208">
        <v>68.674000000000078</v>
      </c>
      <c r="G27" s="209">
        <v>4.6009999999999813</v>
      </c>
      <c r="H27" s="209">
        <v>34.18</v>
      </c>
      <c r="I27" s="209">
        <v>23.859999999999985</v>
      </c>
      <c r="J27" s="209">
        <v>58.260000000000034</v>
      </c>
      <c r="K27" s="208">
        <v>120.90099999999977</v>
      </c>
      <c r="L27" s="209">
        <v>13.978000000000019</v>
      </c>
      <c r="M27" s="209">
        <v>48.934999999999988</v>
      </c>
      <c r="N27" s="209">
        <v>36.687999999999988</v>
      </c>
      <c r="O27" s="209">
        <v>73.82499999999996</v>
      </c>
      <c r="P27" s="208">
        <v>173.42599999999987</v>
      </c>
      <c r="Q27" s="209">
        <v>18.597000000000012</v>
      </c>
      <c r="R27" s="209">
        <v>61.897000000000034</v>
      </c>
      <c r="S27" s="209">
        <v>49.951999999999948</v>
      </c>
      <c r="T27" s="209">
        <v>74.160999999999945</v>
      </c>
      <c r="U27" s="208">
        <v>204.6069999999998</v>
      </c>
      <c r="V27" s="209">
        <v>0.71000000000003372</v>
      </c>
      <c r="W27" s="209">
        <v>33.174999999999983</v>
      </c>
      <c r="X27" s="209">
        <v>18.145999999999969</v>
      </c>
      <c r="Y27" s="209">
        <v>50.883000000000024</v>
      </c>
      <c r="Z27" s="208">
        <v>102.91400000000003</v>
      </c>
      <c r="AA27" s="209">
        <v>8.276000000000014</v>
      </c>
      <c r="AB27" s="209">
        <v>39.908000000000044</v>
      </c>
      <c r="AC27" s="209">
        <v>48.00499999999991</v>
      </c>
      <c r="AD27" s="209">
        <v>75.109000000000236</v>
      </c>
      <c r="AE27" s="208">
        <v>171.29800000000006</v>
      </c>
      <c r="AF27" s="209">
        <v>49.157999999999959</v>
      </c>
      <c r="AG27" s="209">
        <v>75.466000000000022</v>
      </c>
      <c r="AH27" s="209">
        <v>61.07500000000001</v>
      </c>
      <c r="AI27" s="209">
        <v>101.48499999999989</v>
      </c>
      <c r="AJ27" s="208">
        <v>287.1839999999998</v>
      </c>
      <c r="AK27" s="209">
        <v>70.494000000000014</v>
      </c>
      <c r="AL27" s="209">
        <v>105.01300000000003</v>
      </c>
      <c r="AM27" s="209">
        <v>87.760999999999953</v>
      </c>
      <c r="AN27" s="209">
        <v>115.82700000000035</v>
      </c>
      <c r="AO27" s="208">
        <v>379.09500000000003</v>
      </c>
      <c r="AP27" s="209">
        <v>48.067000000000007</v>
      </c>
      <c r="AQ27" s="209">
        <v>154.92300000000003</v>
      </c>
      <c r="AR27" s="209">
        <v>225.31100000000009</v>
      </c>
      <c r="AS27" s="209">
        <v>192.24100000000018</v>
      </c>
      <c r="AT27" s="208">
        <v>620.54200000000026</v>
      </c>
      <c r="AU27" s="209">
        <v>194.25200000000004</v>
      </c>
      <c r="AV27" s="209">
        <v>262.65500000000009</v>
      </c>
      <c r="AW27" s="209">
        <v>278.70999999999998</v>
      </c>
      <c r="AX27" s="209">
        <v>227.01099999999985</v>
      </c>
      <c r="AY27" s="208">
        <v>962.62800000000004</v>
      </c>
      <c r="AZ27" s="209">
        <v>236.53000000000003</v>
      </c>
      <c r="BA27" s="209">
        <v>244.73400000000009</v>
      </c>
      <c r="BB27" s="209">
        <v>180.34900000000002</v>
      </c>
      <c r="BC27" s="209">
        <v>128.21299999999971</v>
      </c>
      <c r="BD27" s="208">
        <v>789.82600000000002</v>
      </c>
      <c r="BE27" s="209">
        <v>110.39200000000001</v>
      </c>
      <c r="BF27" s="209">
        <v>161.36400000000003</v>
      </c>
      <c r="BG27" s="209">
        <v>55.163000000000046</v>
      </c>
      <c r="BH27" s="209">
        <v>66.868000000000222</v>
      </c>
      <c r="BI27" s="210">
        <v>393.78700000000021</v>
      </c>
      <c r="BJ27" s="209">
        <v>50.57355055688879</v>
      </c>
      <c r="BK27" s="209">
        <v>149.10355031681883</v>
      </c>
      <c r="BL27" s="209">
        <v>124.48481661928741</v>
      </c>
      <c r="BM27" s="209">
        <v>109.02981374644088</v>
      </c>
      <c r="BN27" s="208">
        <v>433.19173123943597</v>
      </c>
      <c r="BO27" s="209">
        <v>99.686445569457135</v>
      </c>
      <c r="BP27" s="209">
        <v>184.59997162960707</v>
      </c>
      <c r="BQ27" s="209">
        <v>148.30292089551352</v>
      </c>
      <c r="BR27" s="209">
        <v>140.63884404544706</v>
      </c>
      <c r="BS27" s="208">
        <v>573.2281821400245</v>
      </c>
      <c r="BT27" s="208">
        <v>654.25112229760998</v>
      </c>
      <c r="BU27" s="208">
        <v>724.58128314173291</v>
      </c>
      <c r="BV27" s="208">
        <v>790.17581846418784</v>
      </c>
      <c r="BW27" s="197"/>
    </row>
    <row r="28" spans="1:75" s="205" customFormat="1" ht="14.25" x14ac:dyDescent="0.45">
      <c r="A28" s="199" t="s">
        <v>198</v>
      </c>
      <c r="B28" s="200"/>
      <c r="C28" s="201"/>
      <c r="D28" s="201"/>
      <c r="E28" s="201"/>
      <c r="F28" s="201"/>
      <c r="G28" s="202"/>
      <c r="H28" s="202"/>
      <c r="I28" s="202"/>
      <c r="J28" s="202"/>
      <c r="K28" s="201"/>
      <c r="L28" s="202"/>
      <c r="M28" s="202"/>
      <c r="N28" s="202"/>
      <c r="O28" s="202"/>
      <c r="P28" s="201"/>
      <c r="Q28" s="202"/>
      <c r="R28" s="202"/>
      <c r="S28" s="202"/>
      <c r="T28" s="202"/>
      <c r="U28" s="201"/>
      <c r="V28" s="202"/>
      <c r="W28" s="202"/>
      <c r="X28" s="202"/>
      <c r="Y28" s="202"/>
      <c r="Z28" s="201"/>
      <c r="AA28" s="202"/>
      <c r="AB28" s="202"/>
      <c r="AC28" s="202"/>
      <c r="AD28" s="202"/>
      <c r="AE28" s="201"/>
      <c r="AF28" s="202"/>
      <c r="AG28" s="202"/>
      <c r="AH28" s="202"/>
      <c r="AI28" s="202"/>
      <c r="AJ28" s="201"/>
      <c r="AK28" s="202"/>
      <c r="AL28" s="202"/>
      <c r="AM28" s="202"/>
      <c r="AN28" s="202"/>
      <c r="AO28" s="201"/>
      <c r="AP28" s="202"/>
      <c r="AQ28" s="202"/>
      <c r="AR28" s="202"/>
      <c r="AS28" s="202"/>
      <c r="AT28" s="201"/>
      <c r="AU28" s="202"/>
      <c r="AV28" s="202"/>
      <c r="AW28" s="202"/>
      <c r="AX28" s="202"/>
      <c r="AY28" s="201"/>
      <c r="AZ28" s="202"/>
      <c r="BA28" s="202"/>
      <c r="BB28" s="202"/>
      <c r="BC28" s="202"/>
      <c r="BD28" s="201"/>
      <c r="BE28" s="202"/>
      <c r="BF28" s="202"/>
      <c r="BG28" s="202"/>
      <c r="BH28" s="202"/>
      <c r="BI28" s="203"/>
      <c r="BJ28" s="202" t="s">
        <v>189</v>
      </c>
      <c r="BK28" s="202" t="s">
        <v>189</v>
      </c>
      <c r="BL28" s="202" t="s">
        <v>189</v>
      </c>
      <c r="BM28" s="202" t="s">
        <v>189</v>
      </c>
      <c r="BN28" s="201" t="s">
        <v>189</v>
      </c>
      <c r="BO28" s="202" t="s">
        <v>189</v>
      </c>
      <c r="BP28" s="202" t="s">
        <v>189</v>
      </c>
      <c r="BQ28" s="202" t="s">
        <v>189</v>
      </c>
      <c r="BR28" s="202" t="s">
        <v>189</v>
      </c>
      <c r="BS28" s="201" t="s">
        <v>189</v>
      </c>
      <c r="BT28" s="201" t="s">
        <v>189</v>
      </c>
      <c r="BU28" s="201" t="s">
        <v>189</v>
      </c>
      <c r="BV28" s="201" t="s">
        <v>189</v>
      </c>
      <c r="BW28" s="204"/>
    </row>
    <row r="29" spans="1:75" s="217" customFormat="1" x14ac:dyDescent="0.5">
      <c r="A29" s="211" t="s">
        <v>199</v>
      </c>
      <c r="B29" s="212"/>
      <c r="C29" s="213">
        <v>-4.4054116688109969E-2</v>
      </c>
      <c r="D29" s="213">
        <v>1.0601072530384828E-2</v>
      </c>
      <c r="E29" s="213">
        <v>5.1372322259843679E-2</v>
      </c>
      <c r="F29" s="213">
        <v>5.7561904570318394E-2</v>
      </c>
      <c r="G29" s="214">
        <v>1.5268619519010216E-2</v>
      </c>
      <c r="H29" s="214">
        <v>8.9453490989222659E-2</v>
      </c>
      <c r="I29" s="214">
        <v>6.0278097778855642E-2</v>
      </c>
      <c r="J29" s="214">
        <v>0.12351227702705574</v>
      </c>
      <c r="K29" s="213">
        <v>7.795231472615996E-2</v>
      </c>
      <c r="L29" s="214">
        <v>3.8164770896700152E-2</v>
      </c>
      <c r="M29" s="214">
        <v>0.11281428235500243</v>
      </c>
      <c r="N29" s="214">
        <v>7.569608500541597E-2</v>
      </c>
      <c r="O29" s="214">
        <v>0.12668882684344462</v>
      </c>
      <c r="P29" s="213">
        <v>9.2869206853084016E-2</v>
      </c>
      <c r="Q29" s="214">
        <v>4.4022298760785457E-2</v>
      </c>
      <c r="R29" s="214">
        <v>0.12209878053110619</v>
      </c>
      <c r="S29" s="214">
        <v>9.3822253860269517E-2</v>
      </c>
      <c r="T29" s="214">
        <v>0.11458603725541083</v>
      </c>
      <c r="U29" s="213">
        <v>9.7015845379292337E-2</v>
      </c>
      <c r="V29" s="214">
        <v>1.558877257078694E-3</v>
      </c>
      <c r="W29" s="214">
        <v>6.1052926031642592E-2</v>
      </c>
      <c r="X29" s="214">
        <v>3.3033087699880524E-2</v>
      </c>
      <c r="Y29" s="214">
        <v>8.6220890727225608E-2</v>
      </c>
      <c r="Z29" s="213">
        <v>4.812861733928446E-2</v>
      </c>
      <c r="AA29" s="214">
        <v>1.4723882721320832E-2</v>
      </c>
      <c r="AB29" s="214">
        <v>6.4457254348377416E-2</v>
      </c>
      <c r="AC29" s="214">
        <v>8.1024789315293541E-2</v>
      </c>
      <c r="AD29" s="214">
        <v>0.11215504510302578</v>
      </c>
      <c r="AE29" s="213">
        <v>7.0106954257236204E-2</v>
      </c>
      <c r="AF29" s="214">
        <v>8.819065456776562E-2</v>
      </c>
      <c r="AG29" s="214">
        <v>0.11742921118927696</v>
      </c>
      <c r="AH29" s="214">
        <v>9.5652977419162871E-2</v>
      </c>
      <c r="AI29" s="214">
        <v>0.15105913313476899</v>
      </c>
      <c r="AJ29" s="213">
        <v>0.11439834352167348</v>
      </c>
      <c r="AK29" s="214">
        <v>0.11771876680348813</v>
      </c>
      <c r="AL29" s="214">
        <v>0.14863541274482889</v>
      </c>
      <c r="AM29" s="214">
        <v>0.12968545429290013</v>
      </c>
      <c r="AN29" s="214">
        <v>0.17418222612545464</v>
      </c>
      <c r="AO29" s="213">
        <v>0.14321436046067959</v>
      </c>
      <c r="AP29" s="214">
        <v>9.9539237308317569E-2</v>
      </c>
      <c r="AQ29" s="214">
        <v>0.21829733629425893</v>
      </c>
      <c r="AR29" s="214">
        <v>0.26670525595588995</v>
      </c>
      <c r="AS29" s="214">
        <v>0.23656878597921313</v>
      </c>
      <c r="AT29" s="213">
        <v>0.21773411148565322</v>
      </c>
      <c r="AU29" s="214">
        <v>0.22566659541445555</v>
      </c>
      <c r="AV29" s="214">
        <v>0.2656142078901037</v>
      </c>
      <c r="AW29" s="214">
        <v>0.27692989463727158</v>
      </c>
      <c r="AX29" s="214">
        <v>0.25180330123643835</v>
      </c>
      <c r="AY29" s="213">
        <v>0.25618024174876647</v>
      </c>
      <c r="AZ29" s="214">
        <v>0.24708239492234346</v>
      </c>
      <c r="BA29" s="214">
        <v>0.24680220245658629</v>
      </c>
      <c r="BB29" s="214">
        <v>0.2075204875118806</v>
      </c>
      <c r="BC29" s="214">
        <v>0.16597173588574191</v>
      </c>
      <c r="BD29" s="213">
        <v>0.21997801406331249</v>
      </c>
      <c r="BE29" s="214">
        <v>0.14934750433599131</v>
      </c>
      <c r="BF29" s="214">
        <v>0.20158430139953706</v>
      </c>
      <c r="BG29" s="214">
        <v>7.3430729807980363E-2</v>
      </c>
      <c r="BH29" s="214">
        <v>9.0575136130902664E-2</v>
      </c>
      <c r="BI29" s="215">
        <v>0.13000020467950166</v>
      </c>
      <c r="BJ29" s="214">
        <v>6.9823394834754499E-2</v>
      </c>
      <c r="BK29" s="214">
        <v>0.17669015326014884</v>
      </c>
      <c r="BL29" s="214">
        <v>0.14507731060857668</v>
      </c>
      <c r="BM29" s="214">
        <v>0.13342763898013413</v>
      </c>
      <c r="BN29" s="213">
        <v>0.13356177886019002</v>
      </c>
      <c r="BO29" s="214">
        <v>0.1166319216835898</v>
      </c>
      <c r="BP29" s="214">
        <v>0.19014280188013785</v>
      </c>
      <c r="BQ29" s="214">
        <v>0.15090216109148008</v>
      </c>
      <c r="BR29" s="214">
        <v>0.15681761417485376</v>
      </c>
      <c r="BS29" s="213">
        <v>0.15471057242751629</v>
      </c>
      <c r="BT29" s="213">
        <v>0.16696654404694461</v>
      </c>
      <c r="BU29" s="213">
        <v>0.1791703504763871</v>
      </c>
      <c r="BV29" s="213">
        <v>0.19132824916652977</v>
      </c>
      <c r="BW29" s="216"/>
    </row>
    <row r="30" spans="1:75" s="177" customFormat="1" ht="14.25" x14ac:dyDescent="0.45">
      <c r="A30" s="170" t="s">
        <v>200</v>
      </c>
      <c r="B30" s="171"/>
      <c r="C30" s="172"/>
      <c r="D30" s="172"/>
      <c r="E30" s="172"/>
      <c r="F30" s="172"/>
      <c r="G30" s="173"/>
      <c r="H30" s="173"/>
      <c r="I30" s="173"/>
      <c r="J30" s="173"/>
      <c r="K30" s="172"/>
      <c r="L30" s="173"/>
      <c r="M30" s="173"/>
      <c r="N30" s="173"/>
      <c r="O30" s="173"/>
      <c r="P30" s="172"/>
      <c r="Q30" s="173"/>
      <c r="R30" s="173"/>
      <c r="S30" s="173"/>
      <c r="T30" s="173"/>
      <c r="U30" s="172"/>
      <c r="V30" s="173"/>
      <c r="W30" s="173"/>
      <c r="X30" s="173"/>
      <c r="Y30" s="173"/>
      <c r="Z30" s="172"/>
      <c r="AA30" s="173"/>
      <c r="AB30" s="173"/>
      <c r="AC30" s="173"/>
      <c r="AD30" s="173"/>
      <c r="AE30" s="172"/>
      <c r="AF30" s="173"/>
      <c r="AG30" s="173"/>
      <c r="AH30" s="173"/>
      <c r="AI30" s="173"/>
      <c r="AJ30" s="172"/>
      <c r="AK30" s="173"/>
      <c r="AL30" s="173"/>
      <c r="AM30" s="173"/>
      <c r="AN30" s="173"/>
      <c r="AO30" s="172"/>
      <c r="AP30" s="173"/>
      <c r="AQ30" s="173"/>
      <c r="AR30" s="173"/>
      <c r="AS30" s="173"/>
      <c r="AT30" s="172"/>
      <c r="AU30" s="173"/>
      <c r="AV30" s="173"/>
      <c r="AW30" s="173"/>
      <c r="AX30" s="173"/>
      <c r="AY30" s="172"/>
      <c r="AZ30" s="173"/>
      <c r="BA30" s="173"/>
      <c r="BB30" s="173"/>
      <c r="BC30" s="173"/>
      <c r="BD30" s="172"/>
      <c r="BE30" s="173"/>
      <c r="BF30" s="173"/>
      <c r="BG30" s="173"/>
      <c r="BH30" s="173"/>
      <c r="BI30" s="174"/>
      <c r="BJ30" s="175">
        <v>0</v>
      </c>
      <c r="BK30" s="175">
        <v>0</v>
      </c>
      <c r="BL30" s="175">
        <v>0</v>
      </c>
      <c r="BM30" s="175">
        <v>0</v>
      </c>
      <c r="BN30" s="172">
        <v>0</v>
      </c>
      <c r="BO30" s="175">
        <v>0</v>
      </c>
      <c r="BP30" s="175">
        <v>0</v>
      </c>
      <c r="BQ30" s="175">
        <v>0</v>
      </c>
      <c r="BR30" s="175">
        <v>0</v>
      </c>
      <c r="BS30" s="172">
        <v>0</v>
      </c>
      <c r="BT30" s="172">
        <v>0</v>
      </c>
      <c r="BU30" s="172">
        <v>0</v>
      </c>
      <c r="BV30" s="172">
        <v>0</v>
      </c>
      <c r="BW30" s="176"/>
    </row>
    <row r="31" spans="1:75" s="224" customFormat="1" x14ac:dyDescent="0.5">
      <c r="A31" s="218" t="s">
        <v>201</v>
      </c>
      <c r="B31" s="219"/>
      <c r="C31" s="220"/>
      <c r="D31" s="220">
        <v>546.55189218494797</v>
      </c>
      <c r="E31" s="220">
        <v>407.7124972945885</v>
      </c>
      <c r="F31" s="220">
        <v>61.895823104747144</v>
      </c>
      <c r="G31" s="221"/>
      <c r="H31" s="221"/>
      <c r="I31" s="221"/>
      <c r="J31" s="221"/>
      <c r="K31" s="220">
        <v>203.90410155841568</v>
      </c>
      <c r="L31" s="221">
        <v>228.96151377689938</v>
      </c>
      <c r="M31" s="221">
        <v>233.60791365779772</v>
      </c>
      <c r="N31" s="221">
        <v>154.17987226560328</v>
      </c>
      <c r="O31" s="221">
        <v>31.765498163888878</v>
      </c>
      <c r="P31" s="220">
        <v>149.16892126924057</v>
      </c>
      <c r="Q31" s="221">
        <v>58.575278640853043</v>
      </c>
      <c r="R31" s="221">
        <v>92.844981761037587</v>
      </c>
      <c r="S31" s="221">
        <v>181.26168854853546</v>
      </c>
      <c r="T31" s="221">
        <v>-121.02789588033791</v>
      </c>
      <c r="U31" s="220">
        <v>41.466385262083207</v>
      </c>
      <c r="V31" s="221">
        <v>-424.63421503706763</v>
      </c>
      <c r="W31" s="221">
        <v>-610.45854499463599</v>
      </c>
      <c r="X31" s="221">
        <v>-607.89166160388993</v>
      </c>
      <c r="Y31" s="221">
        <v>-283.65146528185227</v>
      </c>
      <c r="Z31" s="220">
        <v>-488.87228040007875</v>
      </c>
      <c r="AA31" s="221">
        <v>131.6500546424214</v>
      </c>
      <c r="AB31" s="221">
        <v>34.043283167348243</v>
      </c>
      <c r="AC31" s="221">
        <v>479.91701615413018</v>
      </c>
      <c r="AD31" s="221">
        <v>259.34154375800171</v>
      </c>
      <c r="AE31" s="220">
        <v>219.78336917951742</v>
      </c>
      <c r="AF31" s="221">
        <v>734.66771846444794</v>
      </c>
      <c r="AG31" s="221">
        <v>529.71956840899543</v>
      </c>
      <c r="AH31" s="221">
        <v>146.28188103869331</v>
      </c>
      <c r="AI31" s="221">
        <v>389.04088031743208</v>
      </c>
      <c r="AJ31" s="220">
        <v>442.91389264437277</v>
      </c>
      <c r="AK31" s="221">
        <v>295.28112235722506</v>
      </c>
      <c r="AL31" s="221">
        <v>312.06201555551928</v>
      </c>
      <c r="AM31" s="221">
        <v>340.32476873737255</v>
      </c>
      <c r="AN31" s="221">
        <v>231.23092990685657</v>
      </c>
      <c r="AO31" s="220">
        <v>288.16016939006107</v>
      </c>
      <c r="AP31" s="221">
        <v>-181.79529495170559</v>
      </c>
      <c r="AQ31" s="221">
        <v>696.61923549430048</v>
      </c>
      <c r="AR31" s="221">
        <v>1370.1980166298983</v>
      </c>
      <c r="AS31" s="221">
        <v>623.8655985375849</v>
      </c>
      <c r="AT31" s="220">
        <v>745.1975102497363</v>
      </c>
      <c r="AU31" s="221">
        <v>1261.2735810613799</v>
      </c>
      <c r="AV31" s="221">
        <v>473.16871595844771</v>
      </c>
      <c r="AW31" s="221">
        <v>102.24638681381626</v>
      </c>
      <c r="AX31" s="221">
        <v>152.34515257225218</v>
      </c>
      <c r="AY31" s="220">
        <v>384.46130263113247</v>
      </c>
      <c r="AZ31" s="221">
        <v>214.15799507887911</v>
      </c>
      <c r="BA31" s="221">
        <v>-188.1200543351741</v>
      </c>
      <c r="BB31" s="221">
        <v>-694.09407125390976</v>
      </c>
      <c r="BC31" s="221">
        <v>-858.3156535069644</v>
      </c>
      <c r="BD31" s="220">
        <v>-362.02227685453977</v>
      </c>
      <c r="BE31" s="221">
        <v>-977.34890586352151</v>
      </c>
      <c r="BF31" s="221">
        <v>-452.17901057049232</v>
      </c>
      <c r="BG31" s="221">
        <v>-1340.8975770390025</v>
      </c>
      <c r="BH31" s="221">
        <v>-753.96599754839247</v>
      </c>
      <c r="BI31" s="222">
        <v>-899.77809383810836</v>
      </c>
      <c r="BJ31" s="221">
        <v>-795.24109501236808</v>
      </c>
      <c r="BK31" s="221">
        <v>-248.94148139388227</v>
      </c>
      <c r="BL31" s="221">
        <v>716.46580800596314</v>
      </c>
      <c r="BM31" s="221">
        <v>428.52502849231462</v>
      </c>
      <c r="BN31" s="220">
        <v>35.615741806883648</v>
      </c>
      <c r="BO31" s="221">
        <v>468.08526848835299</v>
      </c>
      <c r="BP31" s="221">
        <v>134.52648619989017</v>
      </c>
      <c r="BQ31" s="221">
        <v>58.24850482903404</v>
      </c>
      <c r="BR31" s="221">
        <v>233.89975194719636</v>
      </c>
      <c r="BS31" s="220">
        <v>211.48793567326268</v>
      </c>
      <c r="BT31" s="220">
        <v>122.55971619428318</v>
      </c>
      <c r="BU31" s="220">
        <v>122.03806429442493</v>
      </c>
      <c r="BV31" s="220">
        <v>121.57898690142666</v>
      </c>
      <c r="BW31" s="223"/>
    </row>
    <row r="32" spans="1:75" s="162" customFormat="1" ht="14.25" x14ac:dyDescent="0.45">
      <c r="A32" s="178"/>
      <c r="B32" s="179"/>
      <c r="C32" s="180"/>
      <c r="D32" s="180"/>
      <c r="E32" s="180"/>
      <c r="F32" s="180"/>
      <c r="G32" s="181"/>
      <c r="H32" s="181"/>
      <c r="I32" s="181"/>
      <c r="J32" s="181"/>
      <c r="K32" s="180"/>
      <c r="L32" s="181"/>
      <c r="M32" s="181"/>
      <c r="N32" s="181"/>
      <c r="O32" s="181"/>
      <c r="P32" s="180"/>
      <c r="Q32" s="181"/>
      <c r="R32" s="181"/>
      <c r="S32" s="181"/>
      <c r="T32" s="181"/>
      <c r="U32" s="180"/>
      <c r="V32" s="181"/>
      <c r="W32" s="181"/>
      <c r="X32" s="181"/>
      <c r="Y32" s="181"/>
      <c r="Z32" s="180"/>
      <c r="AA32" s="181"/>
      <c r="AB32" s="181"/>
      <c r="AC32" s="181"/>
      <c r="AD32" s="181"/>
      <c r="AE32" s="180"/>
      <c r="AF32" s="181"/>
      <c r="AG32" s="181"/>
      <c r="AH32" s="181"/>
      <c r="AI32" s="181"/>
      <c r="AJ32" s="180"/>
      <c r="AK32" s="181"/>
      <c r="AL32" s="181"/>
      <c r="AM32" s="181"/>
      <c r="AN32" s="181"/>
      <c r="AO32" s="180"/>
      <c r="AP32" s="181"/>
      <c r="AQ32" s="181"/>
      <c r="AR32" s="181"/>
      <c r="AS32" s="181"/>
      <c r="AT32" s="180"/>
      <c r="AU32" s="181"/>
      <c r="AV32" s="181"/>
      <c r="AW32" s="181"/>
      <c r="AX32" s="181"/>
      <c r="AY32" s="180"/>
      <c r="AZ32" s="181"/>
      <c r="BA32" s="181"/>
      <c r="BB32" s="181"/>
      <c r="BC32" s="181"/>
      <c r="BD32" s="180"/>
      <c r="BE32" s="181"/>
      <c r="BF32" s="181"/>
      <c r="BG32" s="181"/>
      <c r="BH32" s="181"/>
      <c r="BI32" s="182"/>
      <c r="BJ32" s="183"/>
      <c r="BK32" s="183"/>
      <c r="BL32" s="183"/>
      <c r="BM32" s="183"/>
      <c r="BN32" s="180"/>
      <c r="BO32" s="183"/>
      <c r="BP32" s="183"/>
      <c r="BQ32" s="183"/>
      <c r="BR32" s="183"/>
      <c r="BS32" s="180"/>
      <c r="BT32" s="180"/>
      <c r="BU32" s="180"/>
      <c r="BV32" s="180"/>
      <c r="BW32" s="161"/>
    </row>
    <row r="33" spans="1:75" s="231" customFormat="1" ht="14.25" x14ac:dyDescent="0.45">
      <c r="A33" s="225" t="s">
        <v>202</v>
      </c>
      <c r="B33" s="226"/>
      <c r="C33" s="227"/>
      <c r="D33" s="227"/>
      <c r="E33" s="227"/>
      <c r="F33" s="227">
        <v>1.0163528340540613</v>
      </c>
      <c r="G33" s="228">
        <v>5.5335274145951387E-2</v>
      </c>
      <c r="H33" s="228">
        <v>0.48635385871278958</v>
      </c>
      <c r="I33" s="228">
        <v>0.31707629398343634</v>
      </c>
      <c r="J33" s="228">
        <v>0.82769170344492715</v>
      </c>
      <c r="K33" s="227">
        <v>1.7097170150009917</v>
      </c>
      <c r="L33" s="228">
        <v>0.17537138500930438</v>
      </c>
      <c r="M33" s="228">
        <v>0.67128538998327081</v>
      </c>
      <c r="N33" s="228">
        <v>0.49010902395151434</v>
      </c>
      <c r="O33" s="228">
        <v>1.0172219698402769</v>
      </c>
      <c r="P33" s="227">
        <v>2.3595994123477038</v>
      </c>
      <c r="Q33" s="228">
        <v>0.23455829707911752</v>
      </c>
      <c r="R33" s="228">
        <v>0.85271462797832831</v>
      </c>
      <c r="S33" s="228">
        <v>0.65394030983935214</v>
      </c>
      <c r="T33" s="228">
        <v>0.9750605505212887</v>
      </c>
      <c r="U33" s="227">
        <v>2.7160753908050022</v>
      </c>
      <c r="V33" s="228">
        <v>-5.0901642775374588E-2</v>
      </c>
      <c r="W33" s="228">
        <v>0.438701196543549</v>
      </c>
      <c r="X33" s="228">
        <v>0.19593685746015047</v>
      </c>
      <c r="Y33" s="228">
        <v>0.6811581053619491</v>
      </c>
      <c r="Z33" s="227">
        <v>1.2654043165805191</v>
      </c>
      <c r="AA33" s="228">
        <v>4.7361200991357419E-2</v>
      </c>
      <c r="AB33" s="228">
        <v>0.64879713189580601</v>
      </c>
      <c r="AC33" s="228">
        <v>1.0377463229453443</v>
      </c>
      <c r="AD33" s="228">
        <v>1.6863050955705445</v>
      </c>
      <c r="AE33" s="227">
        <v>3.0492382237189157</v>
      </c>
      <c r="AF33" s="228">
        <v>1.2122760047986849</v>
      </c>
      <c r="AG33" s="228">
        <v>2.0125686869507722</v>
      </c>
      <c r="AH33" s="228">
        <v>1.5965385459025405</v>
      </c>
      <c r="AI33" s="228">
        <v>2.9168144993041594</v>
      </c>
      <c r="AJ33" s="227">
        <v>7.8040620403032221</v>
      </c>
      <c r="AK33" s="228">
        <v>1.8482250875409953</v>
      </c>
      <c r="AL33" s="228">
        <v>3.199679342228706</v>
      </c>
      <c r="AM33" s="228">
        <v>2.7875310650885039</v>
      </c>
      <c r="AN33" s="228">
        <v>3.7158507892331918</v>
      </c>
      <c r="AO33" s="227">
        <v>11.659360673557998</v>
      </c>
      <c r="AP33" s="228">
        <v>1.2683022227537428</v>
      </c>
      <c r="AQ33" s="228">
        <v>4.9046141401589081</v>
      </c>
      <c r="AR33" s="228">
        <v>6.196590391813543</v>
      </c>
      <c r="AS33" s="228">
        <v>5.0670985769181645</v>
      </c>
      <c r="AT33" s="227">
        <v>17.829649322061272</v>
      </c>
      <c r="AU33" s="228">
        <v>4.8900846477949624</v>
      </c>
      <c r="AV33" s="228">
        <v>8.4843376850356922</v>
      </c>
      <c r="AW33" s="228">
        <v>7.0315687270356406</v>
      </c>
      <c r="AX33" s="228">
        <v>5.6632401374846824</v>
      </c>
      <c r="AY33" s="227">
        <v>26.121080317214499</v>
      </c>
      <c r="AZ33" s="228">
        <v>6.6260853151098358</v>
      </c>
      <c r="BA33" s="228">
        <v>6.1160516542301311</v>
      </c>
      <c r="BB33" s="228">
        <v>4.2551045329660893</v>
      </c>
      <c r="BC33" s="228">
        <v>2.8824523883850115</v>
      </c>
      <c r="BD33" s="227">
        <v>20.062481239002491</v>
      </c>
      <c r="BE33" s="228">
        <v>2.2124080365019583</v>
      </c>
      <c r="BF33" s="228">
        <v>3.9266443675656175</v>
      </c>
      <c r="BG33" s="228">
        <v>-0.42451519455767533</v>
      </c>
      <c r="BH33" s="228">
        <v>0.72285549241030722</v>
      </c>
      <c r="BI33" s="229">
        <v>6.869686295436205</v>
      </c>
      <c r="BJ33" s="228">
        <v>-0.26183576040140066</v>
      </c>
      <c r="BK33" s="228">
        <v>3.5653927938627317</v>
      </c>
      <c r="BL33" s="228">
        <v>2.6272311426737196</v>
      </c>
      <c r="BM33" s="228">
        <v>2.0429248426499047</v>
      </c>
      <c r="BN33" s="227">
        <v>7.9952170729534631</v>
      </c>
      <c r="BO33" s="228">
        <v>1.6813605903669457</v>
      </c>
      <c r="BP33" s="228">
        <v>4.9503245468185328</v>
      </c>
      <c r="BQ33" s="228">
        <v>3.5729358330637928</v>
      </c>
      <c r="BR33" s="228">
        <v>3.2976647457346293</v>
      </c>
      <c r="BS33" s="227">
        <v>13.502459265773657</v>
      </c>
      <c r="BT33" s="227">
        <v>16.779160625310727</v>
      </c>
      <c r="BU33" s="227">
        <v>19.824704634819355</v>
      </c>
      <c r="BV33" s="227">
        <v>22.802822077298114</v>
      </c>
      <c r="BW33" s="230"/>
    </row>
    <row r="34" spans="1:75" s="238" customFormat="1" ht="14.25" x14ac:dyDescent="0.45">
      <c r="A34" s="232" t="s">
        <v>203</v>
      </c>
      <c r="B34" s="233"/>
      <c r="C34" s="234"/>
      <c r="D34" s="234"/>
      <c r="E34" s="234"/>
      <c r="F34" s="234"/>
      <c r="G34" s="235"/>
      <c r="H34" s="235"/>
      <c r="I34" s="235"/>
      <c r="J34" s="235"/>
      <c r="K34" s="234"/>
      <c r="L34" s="235"/>
      <c r="M34" s="235"/>
      <c r="N34" s="235"/>
      <c r="O34" s="235"/>
      <c r="P34" s="234"/>
      <c r="Q34" s="235"/>
      <c r="R34" s="235"/>
      <c r="S34" s="235"/>
      <c r="T34" s="235"/>
      <c r="U34" s="234"/>
      <c r="V34" s="235"/>
      <c r="W34" s="235"/>
      <c r="X34" s="235"/>
      <c r="Y34" s="235"/>
      <c r="Z34" s="234"/>
      <c r="AA34" s="235"/>
      <c r="AB34" s="235"/>
      <c r="AC34" s="235"/>
      <c r="AD34" s="235"/>
      <c r="AE34" s="234"/>
      <c r="AF34" s="235"/>
      <c r="AG34" s="235"/>
      <c r="AH34" s="235"/>
      <c r="AI34" s="235"/>
      <c r="AJ34" s="234"/>
      <c r="AK34" s="235"/>
      <c r="AL34" s="235"/>
      <c r="AM34" s="235"/>
      <c r="AN34" s="235"/>
      <c r="AO34" s="234"/>
      <c r="AP34" s="235"/>
      <c r="AQ34" s="235"/>
      <c r="AR34" s="235"/>
      <c r="AS34" s="235"/>
      <c r="AT34" s="234"/>
      <c r="AU34" s="235"/>
      <c r="AV34" s="235"/>
      <c r="AW34" s="235"/>
      <c r="AX34" s="235"/>
      <c r="AY34" s="234"/>
      <c r="AZ34" s="235"/>
      <c r="BA34" s="235"/>
      <c r="BB34" s="235"/>
      <c r="BC34" s="235"/>
      <c r="BD34" s="234"/>
      <c r="BE34" s="235"/>
      <c r="BF34" s="235"/>
      <c r="BG34" s="235"/>
      <c r="BH34" s="235"/>
      <c r="BI34" s="236"/>
      <c r="BJ34" s="235" t="s">
        <v>189</v>
      </c>
      <c r="BK34" s="235" t="s">
        <v>189</v>
      </c>
      <c r="BL34" s="235" t="s">
        <v>189</v>
      </c>
      <c r="BM34" s="235" t="s">
        <v>189</v>
      </c>
      <c r="BN34" s="234" t="s">
        <v>189</v>
      </c>
      <c r="BO34" s="235" t="s">
        <v>189</v>
      </c>
      <c r="BP34" s="235" t="s">
        <v>189</v>
      </c>
      <c r="BQ34" s="235" t="s">
        <v>189</v>
      </c>
      <c r="BR34" s="235" t="s">
        <v>189</v>
      </c>
      <c r="BS34" s="234" t="s">
        <v>189</v>
      </c>
      <c r="BT34" s="234" t="s">
        <v>189</v>
      </c>
      <c r="BU34" s="234" t="s">
        <v>189</v>
      </c>
      <c r="BV34" s="234" t="s">
        <v>189</v>
      </c>
      <c r="BW34" s="237"/>
    </row>
    <row r="35" spans="1:75" s="177" customFormat="1" ht="14.25" x14ac:dyDescent="0.45">
      <c r="A35" s="170" t="s">
        <v>204</v>
      </c>
      <c r="B35" s="171"/>
      <c r="C35" s="172"/>
      <c r="D35" s="172"/>
      <c r="E35" s="172"/>
      <c r="F35" s="172"/>
      <c r="G35" s="173"/>
      <c r="H35" s="173"/>
      <c r="I35" s="173"/>
      <c r="J35" s="173"/>
      <c r="K35" s="172">
        <v>0.68220814437169097</v>
      </c>
      <c r="L35" s="173">
        <v>2.1692512184316239</v>
      </c>
      <c r="M35" s="173">
        <v>0.38024069914841641</v>
      </c>
      <c r="N35" s="173">
        <v>0.54571323448455922</v>
      </c>
      <c r="O35" s="173">
        <v>0.22898654850170397</v>
      </c>
      <c r="P35" s="172">
        <v>0.38011108952222439</v>
      </c>
      <c r="Q35" s="173">
        <v>0.33749469485385508</v>
      </c>
      <c r="R35" s="173">
        <v>0.27027139380998433</v>
      </c>
      <c r="S35" s="173">
        <v>0.33427518752245078</v>
      </c>
      <c r="T35" s="173">
        <v>-4.1447609832501286E-2</v>
      </c>
      <c r="U35" s="172">
        <v>0.15107478692860821</v>
      </c>
      <c r="V35" s="173">
        <v>-1.2170106255427207</v>
      </c>
      <c r="W35" s="173">
        <v>-0.48552401688751312</v>
      </c>
      <c r="X35" s="173">
        <v>-0.70037501204309516</v>
      </c>
      <c r="Y35" s="173">
        <v>-0.30141968619509107</v>
      </c>
      <c r="Z35" s="172">
        <v>-0.53410559925382883</v>
      </c>
      <c r="AA35" s="173">
        <v>1.9304454317979305</v>
      </c>
      <c r="AB35" s="173">
        <v>0.47890440465530215</v>
      </c>
      <c r="AC35" s="173">
        <v>4.2963303402801616</v>
      </c>
      <c r="AD35" s="173">
        <v>1.4756441746729085</v>
      </c>
      <c r="AE35" s="172">
        <v>1.4096948175100437</v>
      </c>
      <c r="AF35" s="173">
        <v>24.596394927145194</v>
      </c>
      <c r="AG35" s="173">
        <v>2.1019999750461009</v>
      </c>
      <c r="AH35" s="173">
        <v>0.53846707099980406</v>
      </c>
      <c r="AI35" s="173">
        <v>0.72970745742619259</v>
      </c>
      <c r="AJ35" s="172">
        <v>1.5593480954024059</v>
      </c>
      <c r="AK35" s="173">
        <v>0.52459100091477806</v>
      </c>
      <c r="AL35" s="173">
        <v>0.58984851695994345</v>
      </c>
      <c r="AM35" s="173">
        <v>0.74598419326774379</v>
      </c>
      <c r="AN35" s="173">
        <v>0.27394141455332588</v>
      </c>
      <c r="AO35" s="172">
        <v>0.49401178685465452</v>
      </c>
      <c r="AP35" s="173">
        <v>-0.31377285629144958</v>
      </c>
      <c r="AQ35" s="173">
        <v>0.53284551843330852</v>
      </c>
      <c r="AR35" s="173">
        <v>1.2229672951166921</v>
      </c>
      <c r="AS35" s="173">
        <v>0.36364425385439603</v>
      </c>
      <c r="AT35" s="172">
        <v>0.52921329232886083</v>
      </c>
      <c r="AU35" s="173">
        <v>2.8556146634968371</v>
      </c>
      <c r="AV35" s="173">
        <v>0.72986853656153317</v>
      </c>
      <c r="AW35" s="173">
        <v>0.13474802793568652</v>
      </c>
      <c r="AX35" s="173">
        <v>0.11764948944985676</v>
      </c>
      <c r="AY35" s="172">
        <v>0.46503612299844499</v>
      </c>
      <c r="AZ35" s="173">
        <v>0.3550042161535325</v>
      </c>
      <c r="BA35" s="173">
        <v>-0.27913622945284722</v>
      </c>
      <c r="BB35" s="173">
        <v>-0.39485700870622786</v>
      </c>
      <c r="BC35" s="173">
        <v>-0.49102416312770958</v>
      </c>
      <c r="BD35" s="172">
        <v>-0.23194289840375504</v>
      </c>
      <c r="BE35" s="173">
        <v>-0.66610631597862469</v>
      </c>
      <c r="BF35" s="173">
        <v>-0.35797723931095693</v>
      </c>
      <c r="BG35" s="173">
        <v>-1.0997661023997829</v>
      </c>
      <c r="BH35" s="173">
        <v>-0.74922205295633315</v>
      </c>
      <c r="BI35" s="174">
        <v>-0.65758540962115974</v>
      </c>
      <c r="BJ35" s="175">
        <v>-1.1183487657255982</v>
      </c>
      <c r="BK35" s="175">
        <v>-9.2000074334933735E-2</v>
      </c>
      <c r="BL35" s="175">
        <v>7.1887799926953608</v>
      </c>
      <c r="BM35" s="175">
        <v>1.8261870651877121</v>
      </c>
      <c r="BN35" s="172">
        <v>0.16384020013621159</v>
      </c>
      <c r="BO35" s="175">
        <v>7.4214322283151031</v>
      </c>
      <c r="BP35" s="175">
        <v>0.38843735684319136</v>
      </c>
      <c r="BQ35" s="175">
        <v>0.35996250007436892</v>
      </c>
      <c r="BR35" s="175">
        <v>0.6141879901255618</v>
      </c>
      <c r="BS35" s="172">
        <v>0.68881709434135452</v>
      </c>
      <c r="BT35" s="172">
        <v>0.2426744117527484</v>
      </c>
      <c r="BU35" s="172">
        <v>0.18150753053251911</v>
      </c>
      <c r="BV35" s="172">
        <v>0.15022253785552531</v>
      </c>
      <c r="BW35" s="176"/>
    </row>
    <row r="36" spans="1:75" s="162" customFormat="1" ht="14.25" x14ac:dyDescent="0.45">
      <c r="A36" s="178"/>
      <c r="B36" s="179"/>
      <c r="C36" s="180"/>
      <c r="D36" s="180"/>
      <c r="E36" s="180"/>
      <c r="F36" s="180"/>
      <c r="G36" s="181"/>
      <c r="H36" s="181"/>
      <c r="I36" s="181"/>
      <c r="J36" s="181"/>
      <c r="K36" s="180"/>
      <c r="L36" s="181"/>
      <c r="M36" s="181"/>
      <c r="N36" s="181"/>
      <c r="O36" s="181"/>
      <c r="P36" s="180"/>
      <c r="Q36" s="181"/>
      <c r="R36" s="181"/>
      <c r="S36" s="181"/>
      <c r="T36" s="181"/>
      <c r="U36" s="180"/>
      <c r="V36" s="181"/>
      <c r="W36" s="181"/>
      <c r="X36" s="181"/>
      <c r="Y36" s="181"/>
      <c r="Z36" s="180"/>
      <c r="AA36" s="181"/>
      <c r="AB36" s="181"/>
      <c r="AC36" s="181"/>
      <c r="AD36" s="181"/>
      <c r="AE36" s="180"/>
      <c r="AF36" s="181"/>
      <c r="AG36" s="181"/>
      <c r="AH36" s="181"/>
      <c r="AI36" s="181"/>
      <c r="AJ36" s="180"/>
      <c r="AK36" s="181"/>
      <c r="AL36" s="181"/>
      <c r="AM36" s="181"/>
      <c r="AN36" s="181"/>
      <c r="AO36" s="180"/>
      <c r="AP36" s="181"/>
      <c r="AQ36" s="181"/>
      <c r="AR36" s="181"/>
      <c r="AS36" s="181"/>
      <c r="AT36" s="180"/>
      <c r="AU36" s="181"/>
      <c r="AV36" s="181"/>
      <c r="AW36" s="181"/>
      <c r="AX36" s="181"/>
      <c r="AY36" s="180"/>
      <c r="AZ36" s="181"/>
      <c r="BA36" s="181"/>
      <c r="BB36" s="181"/>
      <c r="BC36" s="181"/>
      <c r="BD36" s="180"/>
      <c r="BE36" s="181"/>
      <c r="BF36" s="181"/>
      <c r="BG36" s="181"/>
      <c r="BH36" s="181"/>
      <c r="BI36" s="182"/>
      <c r="BJ36" s="183"/>
      <c r="BK36" s="183"/>
      <c r="BL36" s="183"/>
      <c r="BM36" s="183"/>
      <c r="BN36" s="180"/>
      <c r="BO36" s="183"/>
      <c r="BP36" s="183"/>
      <c r="BQ36" s="183"/>
      <c r="BR36" s="183"/>
      <c r="BS36" s="180"/>
      <c r="BT36" s="180"/>
      <c r="BU36" s="180"/>
      <c r="BV36" s="180"/>
      <c r="BW36" s="161"/>
    </row>
    <row r="37" spans="1:75" s="198" customFormat="1" ht="14.25" x14ac:dyDescent="0.45">
      <c r="A37" s="239" t="s">
        <v>205</v>
      </c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40"/>
      <c r="AG37" s="240"/>
      <c r="AH37" s="240"/>
      <c r="AI37" s="240"/>
      <c r="AJ37" s="240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  <c r="BB37" s="239"/>
      <c r="BC37" s="239"/>
      <c r="BD37" s="239"/>
      <c r="BE37" s="239"/>
      <c r="BF37" s="239"/>
      <c r="BG37" s="239"/>
      <c r="BH37" s="239"/>
      <c r="BI37" s="241"/>
      <c r="BJ37" s="239"/>
      <c r="BK37" s="239"/>
      <c r="BL37" s="239"/>
      <c r="BM37" s="239"/>
      <c r="BN37" s="239"/>
      <c r="BO37" s="239"/>
      <c r="BP37" s="239"/>
      <c r="BQ37" s="239"/>
      <c r="BR37" s="239"/>
      <c r="BS37" s="239"/>
      <c r="BT37" s="239"/>
      <c r="BU37" s="239"/>
      <c r="BV37" s="239"/>
      <c r="BW37" s="197"/>
    </row>
    <row r="38" spans="1:75" s="198" customFormat="1" ht="14.25" hidden="1" outlineLevel="1" x14ac:dyDescent="0.45">
      <c r="A38" s="239" t="s">
        <v>206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40"/>
      <c r="AG38" s="240"/>
      <c r="AH38" s="240"/>
      <c r="AI38" s="240"/>
      <c r="AJ38" s="240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41"/>
      <c r="BJ38" s="239"/>
      <c r="BK38" s="239"/>
      <c r="BL38" s="239"/>
      <c r="BM38" s="239"/>
      <c r="BN38" s="239"/>
      <c r="BO38" s="239"/>
      <c r="BP38" s="239"/>
      <c r="BQ38" s="239"/>
      <c r="BR38" s="239"/>
      <c r="BS38" s="239"/>
      <c r="BT38" s="239"/>
      <c r="BU38" s="239"/>
      <c r="BV38" s="239"/>
      <c r="BW38" s="197"/>
    </row>
    <row r="39" spans="1:75" s="198" customFormat="1" ht="14.25" hidden="1" outlineLevel="3" x14ac:dyDescent="0.45">
      <c r="A39" s="242" t="s">
        <v>207</v>
      </c>
      <c r="B39" s="243"/>
      <c r="C39" s="244"/>
      <c r="D39" s="244"/>
      <c r="E39" s="244"/>
      <c r="F39" s="244"/>
      <c r="G39" s="245">
        <v>3</v>
      </c>
      <c r="H39" s="245">
        <v>5</v>
      </c>
      <c r="I39" s="245">
        <v>5</v>
      </c>
      <c r="J39" s="245">
        <v>5</v>
      </c>
      <c r="K39" s="244">
        <v>3</v>
      </c>
      <c r="L39" s="245">
        <v>5</v>
      </c>
      <c r="M39" s="245">
        <v>5</v>
      </c>
      <c r="N39" s="245">
        <v>6</v>
      </c>
      <c r="O39" s="245">
        <v>6</v>
      </c>
      <c r="P39" s="246">
        <v>5</v>
      </c>
      <c r="Q39" s="245">
        <v>7</v>
      </c>
      <c r="R39" s="245">
        <v>7</v>
      </c>
      <c r="S39" s="245">
        <v>7</v>
      </c>
      <c r="T39" s="245">
        <v>9</v>
      </c>
      <c r="U39" s="246">
        <v>7</v>
      </c>
      <c r="V39" s="245">
        <v>10</v>
      </c>
      <c r="W39" s="245">
        <v>10</v>
      </c>
      <c r="X39" s="245">
        <v>10</v>
      </c>
      <c r="Y39" s="247">
        <v>13</v>
      </c>
      <c r="Z39" s="244">
        <v>10</v>
      </c>
      <c r="AA39" s="247">
        <v>14</v>
      </c>
      <c r="AB39" s="247">
        <v>14</v>
      </c>
      <c r="AC39" s="245">
        <v>14</v>
      </c>
      <c r="AD39" s="247">
        <v>15</v>
      </c>
      <c r="AE39" s="244">
        <v>14</v>
      </c>
      <c r="AF39" s="247">
        <v>16</v>
      </c>
      <c r="AG39" s="247">
        <v>17</v>
      </c>
      <c r="AH39" s="245">
        <v>18</v>
      </c>
      <c r="AI39" s="247">
        <v>20</v>
      </c>
      <c r="AJ39" s="244">
        <v>16</v>
      </c>
      <c r="AK39" s="247">
        <v>20</v>
      </c>
      <c r="AL39" s="247">
        <v>20</v>
      </c>
      <c r="AM39" s="245">
        <v>20</v>
      </c>
      <c r="AN39" s="247">
        <v>21</v>
      </c>
      <c r="AO39" s="244">
        <v>20</v>
      </c>
      <c r="AP39" s="247">
        <v>22</v>
      </c>
      <c r="AQ39" s="247">
        <v>22</v>
      </c>
      <c r="AR39" s="248">
        <v>24</v>
      </c>
      <c r="AS39" s="247">
        <v>24</v>
      </c>
      <c r="AT39" s="244">
        <v>22</v>
      </c>
      <c r="AU39" s="247">
        <v>24</v>
      </c>
      <c r="AV39" s="247">
        <v>24</v>
      </c>
      <c r="AW39" s="248">
        <v>25</v>
      </c>
      <c r="AX39" s="247">
        <v>26</v>
      </c>
      <c r="AY39" s="244">
        <v>24</v>
      </c>
      <c r="AZ39" s="247">
        <v>27</v>
      </c>
      <c r="BA39" s="247">
        <v>27</v>
      </c>
      <c r="BB39" s="248">
        <v>28</v>
      </c>
      <c r="BC39" s="247">
        <v>28</v>
      </c>
      <c r="BD39" s="244">
        <v>27</v>
      </c>
      <c r="BE39" s="247">
        <v>28</v>
      </c>
      <c r="BF39" s="247">
        <v>27</v>
      </c>
      <c r="BG39" s="248">
        <v>28</v>
      </c>
      <c r="BH39" s="247">
        <v>28</v>
      </c>
      <c r="BI39" s="249">
        <v>28</v>
      </c>
      <c r="BJ39" s="247">
        <v>31</v>
      </c>
      <c r="BK39" s="247">
        <v>33</v>
      </c>
      <c r="BL39" s="247">
        <v>35</v>
      </c>
      <c r="BM39" s="247">
        <v>37</v>
      </c>
      <c r="BN39" s="244">
        <v>31</v>
      </c>
      <c r="BO39" s="247">
        <v>38</v>
      </c>
      <c r="BP39" s="247">
        <v>39</v>
      </c>
      <c r="BQ39" s="247">
        <v>40</v>
      </c>
      <c r="BR39" s="247">
        <v>41</v>
      </c>
      <c r="BS39" s="244">
        <v>38</v>
      </c>
      <c r="BT39" s="244">
        <v>41</v>
      </c>
      <c r="BU39" s="244">
        <v>42</v>
      </c>
      <c r="BV39" s="244">
        <v>42</v>
      </c>
      <c r="BW39" s="197"/>
    </row>
    <row r="40" spans="1:75" s="123" customFormat="1" hidden="1" outlineLevel="4" x14ac:dyDescent="0.5">
      <c r="A40" s="250" t="s">
        <v>208</v>
      </c>
      <c r="B40" s="251"/>
      <c r="C40" s="252"/>
      <c r="D40" s="252"/>
      <c r="E40" s="252"/>
      <c r="F40" s="252"/>
      <c r="G40" s="253"/>
      <c r="H40" s="253"/>
      <c r="I40" s="253"/>
      <c r="J40" s="253"/>
      <c r="K40" s="252"/>
      <c r="L40" s="253"/>
      <c r="M40" s="253"/>
      <c r="N40" s="253"/>
      <c r="O40" s="253">
        <v>0</v>
      </c>
      <c r="P40" s="252"/>
      <c r="Q40" s="253"/>
      <c r="R40" s="253"/>
      <c r="S40" s="253"/>
      <c r="T40" s="253">
        <v>0</v>
      </c>
      <c r="U40" s="252"/>
      <c r="V40" s="253"/>
      <c r="W40" s="253"/>
      <c r="X40" s="253"/>
      <c r="Y40" s="254">
        <v>0</v>
      </c>
      <c r="Z40" s="252"/>
      <c r="AA40" s="254"/>
      <c r="AB40" s="254"/>
      <c r="AC40" s="253"/>
      <c r="AD40" s="254">
        <v>0</v>
      </c>
      <c r="AE40" s="252"/>
      <c r="AF40" s="254"/>
      <c r="AG40" s="254"/>
      <c r="AH40" s="253"/>
      <c r="AI40" s="254">
        <v>0</v>
      </c>
      <c r="AJ40" s="252"/>
      <c r="AK40" s="254"/>
      <c r="AL40" s="254"/>
      <c r="AM40" s="253"/>
      <c r="AN40" s="254">
        <v>0</v>
      </c>
      <c r="AO40" s="252"/>
      <c r="AP40" s="254"/>
      <c r="AQ40" s="254"/>
      <c r="AR40" s="255"/>
      <c r="AS40" s="254">
        <v>0</v>
      </c>
      <c r="AT40" s="252"/>
      <c r="AU40" s="254"/>
      <c r="AV40" s="254"/>
      <c r="AW40" s="255"/>
      <c r="AX40" s="254">
        <v>0</v>
      </c>
      <c r="AY40" s="252"/>
      <c r="AZ40" s="254"/>
      <c r="BA40" s="254"/>
      <c r="BB40" s="255"/>
      <c r="BC40" s="254">
        <v>0</v>
      </c>
      <c r="BD40" s="252"/>
      <c r="BE40" s="254"/>
      <c r="BF40" s="256">
        <v>1</v>
      </c>
      <c r="BG40" s="255"/>
      <c r="BH40" s="254">
        <v>0</v>
      </c>
      <c r="BI40" s="257">
        <v>1</v>
      </c>
      <c r="BJ40" s="254"/>
      <c r="BK40" s="254"/>
      <c r="BL40" s="254"/>
      <c r="BM40" s="254"/>
      <c r="BN40" s="252"/>
      <c r="BO40" s="254"/>
      <c r="BP40" s="254"/>
      <c r="BQ40" s="254"/>
      <c r="BR40" s="254"/>
      <c r="BS40" s="252"/>
      <c r="BT40" s="252"/>
      <c r="BU40" s="252"/>
      <c r="BV40" s="252"/>
      <c r="BW40" s="122"/>
    </row>
    <row r="41" spans="1:75" s="123" customFormat="1" hidden="1" outlineLevel="4" x14ac:dyDescent="0.5">
      <c r="A41" s="250" t="s">
        <v>209</v>
      </c>
      <c r="B41" s="251"/>
      <c r="C41" s="252"/>
      <c r="D41" s="252"/>
      <c r="E41" s="252"/>
      <c r="F41" s="252"/>
      <c r="G41" s="253"/>
      <c r="H41" s="253"/>
      <c r="I41" s="253"/>
      <c r="J41" s="253"/>
      <c r="K41" s="252"/>
      <c r="L41" s="253"/>
      <c r="M41" s="253"/>
      <c r="N41" s="253"/>
      <c r="O41" s="253">
        <v>0</v>
      </c>
      <c r="P41" s="252"/>
      <c r="Q41" s="253"/>
      <c r="R41" s="253"/>
      <c r="S41" s="253"/>
      <c r="T41" s="253">
        <v>0</v>
      </c>
      <c r="U41" s="252"/>
      <c r="V41" s="253"/>
      <c r="W41" s="253"/>
      <c r="X41" s="253"/>
      <c r="Y41" s="254">
        <v>0</v>
      </c>
      <c r="Z41" s="252"/>
      <c r="AA41" s="254"/>
      <c r="AB41" s="254"/>
      <c r="AC41" s="253"/>
      <c r="AD41" s="254">
        <v>0</v>
      </c>
      <c r="AE41" s="252"/>
      <c r="AF41" s="254"/>
      <c r="AG41" s="254"/>
      <c r="AH41" s="253"/>
      <c r="AI41" s="254">
        <v>0</v>
      </c>
      <c r="AJ41" s="252"/>
      <c r="AK41" s="254"/>
      <c r="AL41" s="254"/>
      <c r="AM41" s="253"/>
      <c r="AN41" s="254">
        <v>0</v>
      </c>
      <c r="AO41" s="252"/>
      <c r="AP41" s="254"/>
      <c r="AQ41" s="254"/>
      <c r="AR41" s="255"/>
      <c r="AS41" s="254">
        <v>0</v>
      </c>
      <c r="AT41" s="252"/>
      <c r="AU41" s="254"/>
      <c r="AV41" s="254"/>
      <c r="AW41" s="255"/>
      <c r="AX41" s="254">
        <v>0</v>
      </c>
      <c r="AY41" s="252"/>
      <c r="AZ41" s="254"/>
      <c r="BA41" s="254"/>
      <c r="BB41" s="255"/>
      <c r="BC41" s="254">
        <v>0</v>
      </c>
      <c r="BD41" s="252"/>
      <c r="BE41" s="254"/>
      <c r="BF41" s="254"/>
      <c r="BG41" s="255"/>
      <c r="BH41" s="254">
        <v>1</v>
      </c>
      <c r="BI41" s="257">
        <v>1</v>
      </c>
      <c r="BJ41" s="254"/>
      <c r="BK41" s="254"/>
      <c r="BL41" s="254"/>
      <c r="BM41" s="254"/>
      <c r="BN41" s="252"/>
      <c r="BO41" s="254"/>
      <c r="BP41" s="254"/>
      <c r="BQ41" s="254"/>
      <c r="BR41" s="254"/>
      <c r="BS41" s="252"/>
      <c r="BT41" s="252"/>
      <c r="BU41" s="252"/>
      <c r="BV41" s="252"/>
      <c r="BW41" s="122"/>
    </row>
    <row r="42" spans="1:75" s="123" customFormat="1" hidden="1" outlineLevel="4" x14ac:dyDescent="0.5">
      <c r="A42" s="250" t="s">
        <v>210</v>
      </c>
      <c r="B42" s="251"/>
      <c r="C42" s="252"/>
      <c r="D42" s="252"/>
      <c r="E42" s="252"/>
      <c r="F42" s="252"/>
      <c r="G42" s="253"/>
      <c r="H42" s="253"/>
      <c r="I42" s="253"/>
      <c r="J42" s="253"/>
      <c r="K42" s="252"/>
      <c r="L42" s="253"/>
      <c r="M42" s="253"/>
      <c r="N42" s="253"/>
      <c r="O42" s="253">
        <v>0</v>
      </c>
      <c r="P42" s="252"/>
      <c r="Q42" s="253"/>
      <c r="R42" s="253"/>
      <c r="S42" s="253"/>
      <c r="T42" s="253">
        <v>0</v>
      </c>
      <c r="U42" s="252"/>
      <c r="V42" s="253"/>
      <c r="W42" s="253"/>
      <c r="X42" s="253"/>
      <c r="Y42" s="254">
        <v>0</v>
      </c>
      <c r="Z42" s="252"/>
      <c r="AA42" s="254"/>
      <c r="AB42" s="254"/>
      <c r="AC42" s="253"/>
      <c r="AD42" s="254">
        <v>0</v>
      </c>
      <c r="AE42" s="252"/>
      <c r="AF42" s="254"/>
      <c r="AG42" s="254"/>
      <c r="AH42" s="253"/>
      <c r="AI42" s="254">
        <v>0</v>
      </c>
      <c r="AJ42" s="252"/>
      <c r="AK42" s="254"/>
      <c r="AL42" s="254"/>
      <c r="AM42" s="253"/>
      <c r="AN42" s="254">
        <v>0</v>
      </c>
      <c r="AO42" s="252"/>
      <c r="AP42" s="254"/>
      <c r="AQ42" s="254"/>
      <c r="AR42" s="255"/>
      <c r="AS42" s="254">
        <v>0</v>
      </c>
      <c r="AT42" s="252"/>
      <c r="AU42" s="254"/>
      <c r="AV42" s="254"/>
      <c r="AW42" s="255"/>
      <c r="AX42" s="254">
        <v>0</v>
      </c>
      <c r="AY42" s="252"/>
      <c r="AZ42" s="254"/>
      <c r="BA42" s="254"/>
      <c r="BB42" s="255"/>
      <c r="BC42" s="254">
        <v>0</v>
      </c>
      <c r="BD42" s="252"/>
      <c r="BE42" s="254"/>
      <c r="BF42" s="254"/>
      <c r="BG42" s="255"/>
      <c r="BH42" s="254">
        <v>1</v>
      </c>
      <c r="BI42" s="257">
        <v>1</v>
      </c>
      <c r="BJ42" s="254"/>
      <c r="BK42" s="254"/>
      <c r="BL42" s="254"/>
      <c r="BM42" s="254"/>
      <c r="BN42" s="252"/>
      <c r="BO42" s="254"/>
      <c r="BP42" s="254"/>
      <c r="BQ42" s="254"/>
      <c r="BR42" s="254"/>
      <c r="BS42" s="252"/>
      <c r="BT42" s="252"/>
      <c r="BU42" s="252"/>
      <c r="BV42" s="252"/>
      <c r="BW42" s="122"/>
    </row>
    <row r="43" spans="1:75" s="123" customFormat="1" hidden="1" outlineLevel="4" x14ac:dyDescent="0.5">
      <c r="A43" s="250" t="s">
        <v>211</v>
      </c>
      <c r="B43" s="251"/>
      <c r="C43" s="252"/>
      <c r="D43" s="252"/>
      <c r="E43" s="252"/>
      <c r="F43" s="252"/>
      <c r="G43" s="253"/>
      <c r="H43" s="253"/>
      <c r="I43" s="253"/>
      <c r="J43" s="253"/>
      <c r="K43" s="252"/>
      <c r="L43" s="253"/>
      <c r="M43" s="253"/>
      <c r="N43" s="253"/>
      <c r="O43" s="253">
        <v>0</v>
      </c>
      <c r="P43" s="252"/>
      <c r="Q43" s="253"/>
      <c r="R43" s="253"/>
      <c r="S43" s="253"/>
      <c r="T43" s="253">
        <v>0</v>
      </c>
      <c r="U43" s="252"/>
      <c r="V43" s="253"/>
      <c r="W43" s="253"/>
      <c r="X43" s="253"/>
      <c r="Y43" s="254">
        <v>0</v>
      </c>
      <c r="Z43" s="252"/>
      <c r="AA43" s="254"/>
      <c r="AB43" s="254"/>
      <c r="AC43" s="253"/>
      <c r="AD43" s="254">
        <v>0</v>
      </c>
      <c r="AE43" s="252"/>
      <c r="AF43" s="254"/>
      <c r="AG43" s="254"/>
      <c r="AH43" s="253"/>
      <c r="AI43" s="254">
        <v>0</v>
      </c>
      <c r="AJ43" s="252"/>
      <c r="AK43" s="254"/>
      <c r="AL43" s="254"/>
      <c r="AM43" s="253"/>
      <c r="AN43" s="254">
        <v>0</v>
      </c>
      <c r="AO43" s="252"/>
      <c r="AP43" s="254"/>
      <c r="AQ43" s="254"/>
      <c r="AR43" s="255"/>
      <c r="AS43" s="254">
        <v>0</v>
      </c>
      <c r="AT43" s="252"/>
      <c r="AU43" s="254"/>
      <c r="AV43" s="254"/>
      <c r="AW43" s="255"/>
      <c r="AX43" s="254">
        <v>0</v>
      </c>
      <c r="AY43" s="252"/>
      <c r="AZ43" s="254"/>
      <c r="BA43" s="254"/>
      <c r="BB43" s="255"/>
      <c r="BC43" s="254">
        <v>0</v>
      </c>
      <c r="BD43" s="252"/>
      <c r="BE43" s="254"/>
      <c r="BF43" s="254"/>
      <c r="BG43" s="255"/>
      <c r="BH43" s="254">
        <v>1</v>
      </c>
      <c r="BI43" s="257">
        <v>1</v>
      </c>
      <c r="BJ43" s="254"/>
      <c r="BK43" s="254"/>
      <c r="BL43" s="254"/>
      <c r="BM43" s="254"/>
      <c r="BN43" s="252"/>
      <c r="BO43" s="254"/>
      <c r="BP43" s="254"/>
      <c r="BQ43" s="254"/>
      <c r="BR43" s="254"/>
      <c r="BS43" s="252"/>
      <c r="BT43" s="252"/>
      <c r="BU43" s="252"/>
      <c r="BV43" s="252"/>
      <c r="BW43" s="122"/>
    </row>
    <row r="44" spans="1:75" s="224" customFormat="1" hidden="1" outlineLevel="4" x14ac:dyDescent="0.5">
      <c r="A44" s="250" t="s">
        <v>212</v>
      </c>
      <c r="B44" s="258"/>
      <c r="C44" s="252"/>
      <c r="D44" s="252"/>
      <c r="E44" s="252"/>
      <c r="F44" s="252"/>
      <c r="G44" s="253"/>
      <c r="H44" s="253"/>
      <c r="I44" s="253"/>
      <c r="J44" s="253"/>
      <c r="K44" s="252"/>
      <c r="L44" s="253"/>
      <c r="M44" s="253"/>
      <c r="N44" s="253"/>
      <c r="O44" s="253">
        <v>0</v>
      </c>
      <c r="P44" s="252"/>
      <c r="Q44" s="253"/>
      <c r="R44" s="253"/>
      <c r="S44" s="253"/>
      <c r="T44" s="253">
        <v>0</v>
      </c>
      <c r="U44" s="252"/>
      <c r="V44" s="253"/>
      <c r="W44" s="253"/>
      <c r="X44" s="253"/>
      <c r="Y44" s="254">
        <v>0</v>
      </c>
      <c r="Z44" s="252"/>
      <c r="AA44" s="254"/>
      <c r="AB44" s="254"/>
      <c r="AC44" s="253"/>
      <c r="AD44" s="254">
        <v>0</v>
      </c>
      <c r="AE44" s="252"/>
      <c r="AF44" s="254"/>
      <c r="AG44" s="254"/>
      <c r="AH44" s="253"/>
      <c r="AI44" s="254">
        <v>0</v>
      </c>
      <c r="AJ44" s="252"/>
      <c r="AK44" s="254"/>
      <c r="AL44" s="254"/>
      <c r="AM44" s="253"/>
      <c r="AN44" s="254">
        <v>0</v>
      </c>
      <c r="AO44" s="252"/>
      <c r="AP44" s="254"/>
      <c r="AQ44" s="254"/>
      <c r="AR44" s="255"/>
      <c r="AS44" s="254">
        <v>0</v>
      </c>
      <c r="AT44" s="252"/>
      <c r="AU44" s="254"/>
      <c r="AV44" s="254"/>
      <c r="AW44" s="255"/>
      <c r="AX44" s="254">
        <v>0</v>
      </c>
      <c r="AY44" s="252"/>
      <c r="AZ44" s="254"/>
      <c r="BA44" s="256">
        <v>1</v>
      </c>
      <c r="BB44" s="255"/>
      <c r="BC44" s="254">
        <v>0</v>
      </c>
      <c r="BD44" s="259">
        <v>1</v>
      </c>
      <c r="BE44" s="254"/>
      <c r="BF44" s="254"/>
      <c r="BG44" s="255"/>
      <c r="BH44" s="254">
        <v>0</v>
      </c>
      <c r="BI44" s="260"/>
      <c r="BJ44" s="254"/>
      <c r="BK44" s="254"/>
      <c r="BL44" s="254"/>
      <c r="BM44" s="254"/>
      <c r="BN44" s="252"/>
      <c r="BO44" s="254"/>
      <c r="BP44" s="254"/>
      <c r="BQ44" s="254"/>
      <c r="BR44" s="254"/>
      <c r="BS44" s="252"/>
      <c r="BT44" s="252"/>
      <c r="BU44" s="252"/>
      <c r="BV44" s="252"/>
      <c r="BW44" s="223"/>
    </row>
    <row r="45" spans="1:75" s="224" customFormat="1" hidden="1" outlineLevel="4" x14ac:dyDescent="0.5">
      <c r="A45" s="250" t="s">
        <v>213</v>
      </c>
      <c r="B45" s="258"/>
      <c r="C45" s="252"/>
      <c r="D45" s="252"/>
      <c r="E45" s="252"/>
      <c r="F45" s="252"/>
      <c r="G45" s="253"/>
      <c r="H45" s="253"/>
      <c r="I45" s="253"/>
      <c r="J45" s="253"/>
      <c r="K45" s="252"/>
      <c r="L45" s="253"/>
      <c r="M45" s="253"/>
      <c r="N45" s="253"/>
      <c r="O45" s="253">
        <v>0</v>
      </c>
      <c r="P45" s="252"/>
      <c r="Q45" s="253"/>
      <c r="R45" s="253"/>
      <c r="S45" s="253"/>
      <c r="T45" s="253">
        <v>0</v>
      </c>
      <c r="U45" s="252"/>
      <c r="V45" s="253"/>
      <c r="W45" s="253"/>
      <c r="X45" s="253"/>
      <c r="Y45" s="254">
        <v>0</v>
      </c>
      <c r="Z45" s="252"/>
      <c r="AA45" s="254"/>
      <c r="AB45" s="254"/>
      <c r="AC45" s="253"/>
      <c r="AD45" s="254">
        <v>0</v>
      </c>
      <c r="AE45" s="252"/>
      <c r="AF45" s="254"/>
      <c r="AG45" s="254"/>
      <c r="AH45" s="253"/>
      <c r="AI45" s="254">
        <v>0</v>
      </c>
      <c r="AJ45" s="252"/>
      <c r="AK45" s="254"/>
      <c r="AL45" s="254"/>
      <c r="AM45" s="253"/>
      <c r="AN45" s="254">
        <v>0</v>
      </c>
      <c r="AO45" s="252"/>
      <c r="AP45" s="254"/>
      <c r="AQ45" s="254"/>
      <c r="AR45" s="255"/>
      <c r="AS45" s="254">
        <v>0</v>
      </c>
      <c r="AT45" s="252"/>
      <c r="AU45" s="254"/>
      <c r="AV45" s="256">
        <v>1</v>
      </c>
      <c r="AW45" s="255"/>
      <c r="AX45" s="254">
        <v>0</v>
      </c>
      <c r="AY45" s="259">
        <v>1</v>
      </c>
      <c r="AZ45" s="254"/>
      <c r="BA45" s="254"/>
      <c r="BB45" s="255"/>
      <c r="BC45" s="254">
        <v>0</v>
      </c>
      <c r="BD45" s="252"/>
      <c r="BE45" s="254"/>
      <c r="BF45" s="254"/>
      <c r="BG45" s="255"/>
      <c r="BH45" s="254">
        <v>0</v>
      </c>
      <c r="BI45" s="260"/>
      <c r="BJ45" s="254"/>
      <c r="BK45" s="254"/>
      <c r="BL45" s="254"/>
      <c r="BM45" s="254"/>
      <c r="BN45" s="252"/>
      <c r="BO45" s="254"/>
      <c r="BP45" s="254"/>
      <c r="BQ45" s="254"/>
      <c r="BR45" s="254"/>
      <c r="BS45" s="252"/>
      <c r="BT45" s="252"/>
      <c r="BU45" s="252"/>
      <c r="BV45" s="252"/>
      <c r="BW45" s="223"/>
    </row>
    <row r="46" spans="1:75" s="224" customFormat="1" hidden="1" outlineLevel="4" x14ac:dyDescent="0.5">
      <c r="A46" s="261" t="s">
        <v>214</v>
      </c>
      <c r="B46" s="258"/>
      <c r="C46" s="252"/>
      <c r="D46" s="252"/>
      <c r="E46" s="252"/>
      <c r="F46" s="252"/>
      <c r="G46" s="253"/>
      <c r="H46" s="253"/>
      <c r="I46" s="253"/>
      <c r="J46" s="253"/>
      <c r="K46" s="252"/>
      <c r="L46" s="253"/>
      <c r="M46" s="253"/>
      <c r="N46" s="253"/>
      <c r="O46" s="253">
        <v>0</v>
      </c>
      <c r="P46" s="252"/>
      <c r="Q46" s="253"/>
      <c r="R46" s="253"/>
      <c r="S46" s="253"/>
      <c r="T46" s="253">
        <v>0</v>
      </c>
      <c r="U46" s="252"/>
      <c r="V46" s="253"/>
      <c r="W46" s="253"/>
      <c r="X46" s="253"/>
      <c r="Y46" s="254">
        <v>0</v>
      </c>
      <c r="Z46" s="252"/>
      <c r="AA46" s="254"/>
      <c r="AB46" s="254"/>
      <c r="AC46" s="253"/>
      <c r="AD46" s="254">
        <v>0</v>
      </c>
      <c r="AE46" s="252"/>
      <c r="AF46" s="254"/>
      <c r="AG46" s="254"/>
      <c r="AH46" s="253"/>
      <c r="AI46" s="254">
        <v>0</v>
      </c>
      <c r="AJ46" s="252"/>
      <c r="AK46" s="254"/>
      <c r="AL46" s="254"/>
      <c r="AM46" s="253"/>
      <c r="AN46" s="254">
        <v>0</v>
      </c>
      <c r="AO46" s="252"/>
      <c r="AP46" s="254"/>
      <c r="AQ46" s="254"/>
      <c r="AR46" s="255"/>
      <c r="AS46" s="254">
        <v>0</v>
      </c>
      <c r="AT46" s="252"/>
      <c r="AU46" s="254"/>
      <c r="AV46" s="254"/>
      <c r="AW46" s="262">
        <v>1</v>
      </c>
      <c r="AX46" s="254">
        <v>0</v>
      </c>
      <c r="AY46" s="259">
        <v>1</v>
      </c>
      <c r="AZ46" s="254"/>
      <c r="BA46" s="254"/>
      <c r="BB46" s="255"/>
      <c r="BC46" s="254">
        <v>0</v>
      </c>
      <c r="BD46" s="252"/>
      <c r="BE46" s="254"/>
      <c r="BF46" s="254"/>
      <c r="BG46" s="255"/>
      <c r="BH46" s="254">
        <v>0</v>
      </c>
      <c r="BI46" s="260"/>
      <c r="BJ46" s="254"/>
      <c r="BK46" s="254"/>
      <c r="BL46" s="254"/>
      <c r="BM46" s="254"/>
      <c r="BN46" s="252"/>
      <c r="BO46" s="254"/>
      <c r="BP46" s="254"/>
      <c r="BQ46" s="254"/>
      <c r="BR46" s="254"/>
      <c r="BS46" s="252"/>
      <c r="BT46" s="252"/>
      <c r="BU46" s="252"/>
      <c r="BV46" s="252"/>
      <c r="BW46" s="223"/>
    </row>
    <row r="47" spans="1:75" s="224" customFormat="1" hidden="1" outlineLevel="4" x14ac:dyDescent="0.5">
      <c r="A47" s="261" t="s">
        <v>215</v>
      </c>
      <c r="B47" s="258"/>
      <c r="C47" s="252"/>
      <c r="D47" s="252"/>
      <c r="E47" s="252"/>
      <c r="F47" s="252"/>
      <c r="G47" s="253"/>
      <c r="H47" s="253"/>
      <c r="I47" s="253"/>
      <c r="J47" s="253"/>
      <c r="K47" s="252"/>
      <c r="L47" s="253"/>
      <c r="M47" s="253"/>
      <c r="N47" s="253"/>
      <c r="O47" s="253">
        <v>0</v>
      </c>
      <c r="P47" s="252"/>
      <c r="Q47" s="253"/>
      <c r="R47" s="253"/>
      <c r="S47" s="253"/>
      <c r="T47" s="253">
        <v>0</v>
      </c>
      <c r="U47" s="252"/>
      <c r="V47" s="253"/>
      <c r="W47" s="253"/>
      <c r="X47" s="253"/>
      <c r="Y47" s="254">
        <v>0</v>
      </c>
      <c r="Z47" s="252"/>
      <c r="AA47" s="254"/>
      <c r="AB47" s="254"/>
      <c r="AC47" s="253"/>
      <c r="AD47" s="254">
        <v>0</v>
      </c>
      <c r="AE47" s="252"/>
      <c r="AF47" s="254"/>
      <c r="AG47" s="254"/>
      <c r="AH47" s="253"/>
      <c r="AI47" s="254">
        <v>0</v>
      </c>
      <c r="AJ47" s="252"/>
      <c r="AK47" s="254"/>
      <c r="AL47" s="254"/>
      <c r="AM47" s="253"/>
      <c r="AN47" s="254">
        <v>0</v>
      </c>
      <c r="AO47" s="252"/>
      <c r="AP47" s="254"/>
      <c r="AQ47" s="254"/>
      <c r="AR47" s="255"/>
      <c r="AS47" s="254">
        <v>0</v>
      </c>
      <c r="AT47" s="252"/>
      <c r="AU47" s="254"/>
      <c r="AV47" s="254"/>
      <c r="AW47" s="255"/>
      <c r="AX47" s="254">
        <v>1</v>
      </c>
      <c r="AY47" s="259">
        <v>1</v>
      </c>
      <c r="AZ47" s="254"/>
      <c r="BA47" s="254"/>
      <c r="BB47" s="255"/>
      <c r="BC47" s="254">
        <v>0</v>
      </c>
      <c r="BD47" s="252"/>
      <c r="BE47" s="254"/>
      <c r="BF47" s="254"/>
      <c r="BG47" s="255"/>
      <c r="BH47" s="254">
        <v>0</v>
      </c>
      <c r="BI47" s="260"/>
      <c r="BJ47" s="254"/>
      <c r="BK47" s="254"/>
      <c r="BL47" s="254"/>
      <c r="BM47" s="254"/>
      <c r="BN47" s="252"/>
      <c r="BO47" s="254"/>
      <c r="BP47" s="254"/>
      <c r="BQ47" s="254"/>
      <c r="BR47" s="254"/>
      <c r="BS47" s="252"/>
      <c r="BT47" s="252"/>
      <c r="BU47" s="252"/>
      <c r="BV47" s="252"/>
      <c r="BW47" s="223"/>
    </row>
    <row r="48" spans="1:75" s="224" customFormat="1" hidden="1" outlineLevel="4" x14ac:dyDescent="0.5">
      <c r="A48" s="261" t="s">
        <v>216</v>
      </c>
      <c r="B48" s="258"/>
      <c r="C48" s="252"/>
      <c r="D48" s="252"/>
      <c r="E48" s="252"/>
      <c r="F48" s="252"/>
      <c r="G48" s="253"/>
      <c r="H48" s="253"/>
      <c r="I48" s="253"/>
      <c r="J48" s="253"/>
      <c r="K48" s="252"/>
      <c r="L48" s="253"/>
      <c r="M48" s="253"/>
      <c r="N48" s="253"/>
      <c r="O48" s="253">
        <v>0</v>
      </c>
      <c r="P48" s="252"/>
      <c r="Q48" s="253"/>
      <c r="R48" s="253"/>
      <c r="S48" s="253"/>
      <c r="T48" s="253">
        <v>0</v>
      </c>
      <c r="U48" s="252"/>
      <c r="V48" s="253"/>
      <c r="W48" s="253"/>
      <c r="X48" s="253"/>
      <c r="Y48" s="254">
        <v>0</v>
      </c>
      <c r="Z48" s="252"/>
      <c r="AA48" s="254"/>
      <c r="AB48" s="254"/>
      <c r="AC48" s="253"/>
      <c r="AD48" s="254">
        <v>0</v>
      </c>
      <c r="AE48" s="252"/>
      <c r="AF48" s="254"/>
      <c r="AG48" s="254"/>
      <c r="AH48" s="253"/>
      <c r="AI48" s="254">
        <v>0</v>
      </c>
      <c r="AJ48" s="252"/>
      <c r="AK48" s="254"/>
      <c r="AL48" s="254"/>
      <c r="AM48" s="253"/>
      <c r="AN48" s="254">
        <v>0</v>
      </c>
      <c r="AO48" s="252"/>
      <c r="AP48" s="254"/>
      <c r="AQ48" s="256">
        <v>1</v>
      </c>
      <c r="AR48" s="255"/>
      <c r="AS48" s="254">
        <v>0</v>
      </c>
      <c r="AT48" s="259">
        <v>1</v>
      </c>
      <c r="AU48" s="254"/>
      <c r="AV48" s="254"/>
      <c r="AW48" s="255"/>
      <c r="AX48" s="254">
        <v>0</v>
      </c>
      <c r="AY48" s="252"/>
      <c r="AZ48" s="254"/>
      <c r="BA48" s="254"/>
      <c r="BB48" s="255"/>
      <c r="BC48" s="254">
        <v>0</v>
      </c>
      <c r="BD48" s="252"/>
      <c r="BE48" s="254"/>
      <c r="BF48" s="254"/>
      <c r="BG48" s="255"/>
      <c r="BH48" s="254">
        <v>0</v>
      </c>
      <c r="BI48" s="260"/>
      <c r="BJ48" s="254"/>
      <c r="BK48" s="254"/>
      <c r="BL48" s="254"/>
      <c r="BM48" s="254"/>
      <c r="BN48" s="252"/>
      <c r="BO48" s="254"/>
      <c r="BP48" s="254"/>
      <c r="BQ48" s="254"/>
      <c r="BR48" s="254"/>
      <c r="BS48" s="252"/>
      <c r="BT48" s="252"/>
      <c r="BU48" s="252"/>
      <c r="BV48" s="252"/>
      <c r="BW48" s="223"/>
    </row>
    <row r="49" spans="1:75" s="224" customFormat="1" hidden="1" outlineLevel="4" x14ac:dyDescent="0.5">
      <c r="A49" s="261" t="s">
        <v>217</v>
      </c>
      <c r="B49" s="258"/>
      <c r="C49" s="252"/>
      <c r="D49" s="252"/>
      <c r="E49" s="252"/>
      <c r="F49" s="252"/>
      <c r="G49" s="253"/>
      <c r="H49" s="253"/>
      <c r="I49" s="253"/>
      <c r="J49" s="253"/>
      <c r="K49" s="252"/>
      <c r="L49" s="253"/>
      <c r="M49" s="253"/>
      <c r="N49" s="253"/>
      <c r="O49" s="253">
        <v>0</v>
      </c>
      <c r="P49" s="252"/>
      <c r="Q49" s="253"/>
      <c r="R49" s="253"/>
      <c r="S49" s="253"/>
      <c r="T49" s="253">
        <v>0</v>
      </c>
      <c r="U49" s="252"/>
      <c r="V49" s="253"/>
      <c r="W49" s="253"/>
      <c r="X49" s="253"/>
      <c r="Y49" s="254">
        <v>0</v>
      </c>
      <c r="Z49" s="252"/>
      <c r="AA49" s="254"/>
      <c r="AB49" s="254"/>
      <c r="AC49" s="253"/>
      <c r="AD49" s="254">
        <v>0</v>
      </c>
      <c r="AE49" s="252"/>
      <c r="AF49" s="254"/>
      <c r="AG49" s="254"/>
      <c r="AH49" s="253"/>
      <c r="AI49" s="254">
        <v>0</v>
      </c>
      <c r="AJ49" s="252"/>
      <c r="AK49" s="254"/>
      <c r="AL49" s="254"/>
      <c r="AM49" s="253"/>
      <c r="AN49" s="254">
        <v>0</v>
      </c>
      <c r="AO49" s="252"/>
      <c r="AP49" s="254"/>
      <c r="AQ49" s="256">
        <v>1</v>
      </c>
      <c r="AR49" s="255"/>
      <c r="AS49" s="254">
        <v>0</v>
      </c>
      <c r="AT49" s="259">
        <v>1</v>
      </c>
      <c r="AU49" s="254"/>
      <c r="AV49" s="254"/>
      <c r="AW49" s="255"/>
      <c r="AX49" s="254">
        <v>0</v>
      </c>
      <c r="AY49" s="252"/>
      <c r="AZ49" s="254"/>
      <c r="BA49" s="254"/>
      <c r="BB49" s="255"/>
      <c r="BC49" s="254">
        <v>0</v>
      </c>
      <c r="BD49" s="252"/>
      <c r="BE49" s="254"/>
      <c r="BF49" s="254"/>
      <c r="BG49" s="255"/>
      <c r="BH49" s="254">
        <v>0</v>
      </c>
      <c r="BI49" s="260"/>
      <c r="BJ49" s="254"/>
      <c r="BK49" s="254"/>
      <c r="BL49" s="254"/>
      <c r="BM49" s="254"/>
      <c r="BN49" s="252"/>
      <c r="BO49" s="254"/>
      <c r="BP49" s="254"/>
      <c r="BQ49" s="254"/>
      <c r="BR49" s="254"/>
      <c r="BS49" s="252"/>
      <c r="BT49" s="252"/>
      <c r="BU49" s="252"/>
      <c r="BV49" s="252"/>
      <c r="BW49" s="223"/>
    </row>
    <row r="50" spans="1:75" s="224" customFormat="1" hidden="1" outlineLevel="4" x14ac:dyDescent="0.5">
      <c r="A50" s="261" t="s">
        <v>218</v>
      </c>
      <c r="B50" s="258"/>
      <c r="C50" s="252"/>
      <c r="D50" s="252"/>
      <c r="E50" s="252"/>
      <c r="F50" s="252"/>
      <c r="G50" s="253"/>
      <c r="H50" s="253"/>
      <c r="I50" s="253"/>
      <c r="J50" s="253"/>
      <c r="K50" s="252"/>
      <c r="L50" s="253"/>
      <c r="M50" s="253"/>
      <c r="N50" s="253"/>
      <c r="O50" s="253">
        <v>0</v>
      </c>
      <c r="P50" s="252"/>
      <c r="Q50" s="253"/>
      <c r="R50" s="253"/>
      <c r="S50" s="253"/>
      <c r="T50" s="253">
        <v>0</v>
      </c>
      <c r="U50" s="252"/>
      <c r="V50" s="253"/>
      <c r="W50" s="253"/>
      <c r="X50" s="253"/>
      <c r="Y50" s="254">
        <v>0</v>
      </c>
      <c r="Z50" s="252"/>
      <c r="AA50" s="254"/>
      <c r="AB50" s="254"/>
      <c r="AC50" s="253"/>
      <c r="AD50" s="254">
        <v>0</v>
      </c>
      <c r="AE50" s="252"/>
      <c r="AF50" s="254"/>
      <c r="AG50" s="254"/>
      <c r="AH50" s="253"/>
      <c r="AI50" s="254">
        <v>0</v>
      </c>
      <c r="AJ50" s="252"/>
      <c r="AK50" s="254"/>
      <c r="AL50" s="254"/>
      <c r="AM50" s="263">
        <v>1</v>
      </c>
      <c r="AN50" s="254">
        <v>0</v>
      </c>
      <c r="AO50" s="259">
        <v>1</v>
      </c>
      <c r="AP50" s="254"/>
      <c r="AQ50" s="254"/>
      <c r="AR50" s="255"/>
      <c r="AS50" s="254">
        <v>0</v>
      </c>
      <c r="AT50" s="252"/>
      <c r="AU50" s="254"/>
      <c r="AV50" s="254"/>
      <c r="AW50" s="255"/>
      <c r="AX50" s="254">
        <v>0</v>
      </c>
      <c r="AY50" s="252"/>
      <c r="AZ50" s="254"/>
      <c r="BA50" s="254"/>
      <c r="BB50" s="255"/>
      <c r="BC50" s="254">
        <v>0</v>
      </c>
      <c r="BD50" s="252"/>
      <c r="BE50" s="254"/>
      <c r="BF50" s="254"/>
      <c r="BG50" s="255"/>
      <c r="BH50" s="254">
        <v>0</v>
      </c>
      <c r="BI50" s="260"/>
      <c r="BJ50" s="254"/>
      <c r="BK50" s="254"/>
      <c r="BL50" s="254"/>
      <c r="BM50" s="254"/>
      <c r="BN50" s="252"/>
      <c r="BO50" s="254"/>
      <c r="BP50" s="254"/>
      <c r="BQ50" s="254"/>
      <c r="BR50" s="254"/>
      <c r="BS50" s="252"/>
      <c r="BT50" s="252"/>
      <c r="BU50" s="252"/>
      <c r="BV50" s="252"/>
      <c r="BW50" s="223"/>
    </row>
    <row r="51" spans="1:75" s="224" customFormat="1" hidden="1" outlineLevel="4" x14ac:dyDescent="0.5">
      <c r="A51" s="261" t="s">
        <v>219</v>
      </c>
      <c r="B51" s="258"/>
      <c r="C51" s="252"/>
      <c r="D51" s="252"/>
      <c r="E51" s="252"/>
      <c r="F51" s="252"/>
      <c r="G51" s="253"/>
      <c r="H51" s="253"/>
      <c r="I51" s="253"/>
      <c r="J51" s="253"/>
      <c r="K51" s="252"/>
      <c r="L51" s="253"/>
      <c r="M51" s="253"/>
      <c r="N51" s="253"/>
      <c r="O51" s="253">
        <v>0</v>
      </c>
      <c r="P51" s="252"/>
      <c r="Q51" s="253"/>
      <c r="R51" s="253"/>
      <c r="S51" s="253"/>
      <c r="T51" s="253">
        <v>0</v>
      </c>
      <c r="U51" s="252"/>
      <c r="V51" s="253"/>
      <c r="W51" s="253"/>
      <c r="X51" s="253"/>
      <c r="Y51" s="254">
        <v>0</v>
      </c>
      <c r="Z51" s="252"/>
      <c r="AA51" s="254"/>
      <c r="AB51" s="254"/>
      <c r="AC51" s="253"/>
      <c r="AD51" s="254">
        <v>0</v>
      </c>
      <c r="AE51" s="252"/>
      <c r="AF51" s="254"/>
      <c r="AG51" s="254"/>
      <c r="AH51" s="253"/>
      <c r="AI51" s="254">
        <v>0</v>
      </c>
      <c r="AJ51" s="252"/>
      <c r="AK51" s="254"/>
      <c r="AL51" s="254"/>
      <c r="AM51" s="253"/>
      <c r="AN51" s="254">
        <v>1</v>
      </c>
      <c r="AO51" s="259">
        <v>1</v>
      </c>
      <c r="AP51" s="254"/>
      <c r="AQ51" s="254"/>
      <c r="AR51" s="255"/>
      <c r="AS51" s="254">
        <v>0</v>
      </c>
      <c r="AT51" s="252"/>
      <c r="AU51" s="254"/>
      <c r="AV51" s="254"/>
      <c r="AW51" s="255"/>
      <c r="AX51" s="254">
        <v>0</v>
      </c>
      <c r="AY51" s="252"/>
      <c r="AZ51" s="254"/>
      <c r="BA51" s="254"/>
      <c r="BB51" s="255"/>
      <c r="BC51" s="254">
        <v>0</v>
      </c>
      <c r="BD51" s="252"/>
      <c r="BE51" s="254"/>
      <c r="BF51" s="254"/>
      <c r="BG51" s="255"/>
      <c r="BH51" s="254">
        <v>0</v>
      </c>
      <c r="BI51" s="260"/>
      <c r="BJ51" s="254"/>
      <c r="BK51" s="254"/>
      <c r="BL51" s="254"/>
      <c r="BM51" s="254"/>
      <c r="BN51" s="252"/>
      <c r="BO51" s="254"/>
      <c r="BP51" s="254"/>
      <c r="BQ51" s="254"/>
      <c r="BR51" s="254"/>
      <c r="BS51" s="252"/>
      <c r="BT51" s="252"/>
      <c r="BU51" s="252"/>
      <c r="BV51" s="252"/>
      <c r="BW51" s="223"/>
    </row>
    <row r="52" spans="1:75" s="224" customFormat="1" hidden="1" outlineLevel="4" x14ac:dyDescent="0.5">
      <c r="A52" s="261" t="s">
        <v>220</v>
      </c>
      <c r="B52" s="258"/>
      <c r="C52" s="252"/>
      <c r="D52" s="252"/>
      <c r="E52" s="252"/>
      <c r="F52" s="252"/>
      <c r="G52" s="253"/>
      <c r="H52" s="253"/>
      <c r="I52" s="253"/>
      <c r="J52" s="253"/>
      <c r="K52" s="252"/>
      <c r="L52" s="253"/>
      <c r="M52" s="253"/>
      <c r="N52" s="253"/>
      <c r="O52" s="253">
        <v>0</v>
      </c>
      <c r="P52" s="252"/>
      <c r="Q52" s="253"/>
      <c r="R52" s="253"/>
      <c r="S52" s="253"/>
      <c r="T52" s="253">
        <v>0</v>
      </c>
      <c r="U52" s="252"/>
      <c r="V52" s="253"/>
      <c r="W52" s="253"/>
      <c r="X52" s="253"/>
      <c r="Y52" s="254">
        <v>0</v>
      </c>
      <c r="Z52" s="252"/>
      <c r="AA52" s="254"/>
      <c r="AB52" s="254"/>
      <c r="AC52" s="253"/>
      <c r="AD52" s="254">
        <v>0</v>
      </c>
      <c r="AE52" s="252"/>
      <c r="AF52" s="256">
        <v>1</v>
      </c>
      <c r="AG52" s="254"/>
      <c r="AH52" s="253"/>
      <c r="AI52" s="254">
        <v>0</v>
      </c>
      <c r="AJ52" s="259">
        <v>1</v>
      </c>
      <c r="AK52" s="254"/>
      <c r="AL52" s="254"/>
      <c r="AM52" s="253"/>
      <c r="AN52" s="254">
        <v>0</v>
      </c>
      <c r="AO52" s="252"/>
      <c r="AP52" s="254"/>
      <c r="AQ52" s="254"/>
      <c r="AR52" s="255"/>
      <c r="AS52" s="254">
        <v>0</v>
      </c>
      <c r="AT52" s="252"/>
      <c r="AU52" s="254"/>
      <c r="AV52" s="254"/>
      <c r="AW52" s="255"/>
      <c r="AX52" s="254">
        <v>0</v>
      </c>
      <c r="AY52" s="252"/>
      <c r="AZ52" s="254"/>
      <c r="BA52" s="254"/>
      <c r="BB52" s="255"/>
      <c r="BC52" s="254">
        <v>0</v>
      </c>
      <c r="BD52" s="252"/>
      <c r="BE52" s="254"/>
      <c r="BF52" s="254"/>
      <c r="BG52" s="255"/>
      <c r="BH52" s="254">
        <v>0</v>
      </c>
      <c r="BI52" s="260"/>
      <c r="BJ52" s="254"/>
      <c r="BK52" s="254"/>
      <c r="BL52" s="254"/>
      <c r="BM52" s="254"/>
      <c r="BN52" s="252"/>
      <c r="BO52" s="254"/>
      <c r="BP52" s="254"/>
      <c r="BQ52" s="254"/>
      <c r="BR52" s="254"/>
      <c r="BS52" s="252"/>
      <c r="BT52" s="252"/>
      <c r="BU52" s="252"/>
      <c r="BV52" s="252"/>
      <c r="BW52" s="223"/>
    </row>
    <row r="53" spans="1:75" s="224" customFormat="1" hidden="1" outlineLevel="4" x14ac:dyDescent="0.5">
      <c r="A53" s="261" t="s">
        <v>221</v>
      </c>
      <c r="B53" s="258"/>
      <c r="C53" s="252"/>
      <c r="D53" s="252"/>
      <c r="E53" s="252"/>
      <c r="F53" s="252"/>
      <c r="G53" s="253"/>
      <c r="H53" s="253"/>
      <c r="I53" s="253"/>
      <c r="J53" s="253"/>
      <c r="K53" s="252"/>
      <c r="L53" s="253"/>
      <c r="M53" s="253"/>
      <c r="N53" s="253"/>
      <c r="O53" s="253">
        <v>0</v>
      </c>
      <c r="P53" s="252"/>
      <c r="Q53" s="253"/>
      <c r="R53" s="253"/>
      <c r="S53" s="253"/>
      <c r="T53" s="253">
        <v>0</v>
      </c>
      <c r="U53" s="252"/>
      <c r="V53" s="253"/>
      <c r="W53" s="253"/>
      <c r="X53" s="253"/>
      <c r="Y53" s="254">
        <v>0</v>
      </c>
      <c r="Z53" s="252"/>
      <c r="AA53" s="254"/>
      <c r="AB53" s="254"/>
      <c r="AC53" s="253"/>
      <c r="AD53" s="254">
        <v>0</v>
      </c>
      <c r="AE53" s="252"/>
      <c r="AF53" s="254"/>
      <c r="AG53" s="256">
        <v>1</v>
      </c>
      <c r="AH53" s="253"/>
      <c r="AI53" s="254">
        <v>0</v>
      </c>
      <c r="AJ53" s="259">
        <v>1</v>
      </c>
      <c r="AK53" s="254"/>
      <c r="AL53" s="254"/>
      <c r="AM53" s="253"/>
      <c r="AN53" s="254">
        <v>0</v>
      </c>
      <c r="AO53" s="252"/>
      <c r="AP53" s="254"/>
      <c r="AQ53" s="254"/>
      <c r="AR53" s="255"/>
      <c r="AS53" s="254">
        <v>0</v>
      </c>
      <c r="AT53" s="252"/>
      <c r="AU53" s="254"/>
      <c r="AV53" s="254"/>
      <c r="AW53" s="255"/>
      <c r="AX53" s="254">
        <v>0</v>
      </c>
      <c r="AY53" s="252"/>
      <c r="AZ53" s="254"/>
      <c r="BA53" s="254"/>
      <c r="BB53" s="255"/>
      <c r="BC53" s="254">
        <v>0</v>
      </c>
      <c r="BD53" s="252"/>
      <c r="BE53" s="254"/>
      <c r="BF53" s="254"/>
      <c r="BG53" s="255"/>
      <c r="BH53" s="254">
        <v>0</v>
      </c>
      <c r="BI53" s="260"/>
      <c r="BJ53" s="254"/>
      <c r="BK53" s="254"/>
      <c r="BL53" s="254"/>
      <c r="BM53" s="254"/>
      <c r="BN53" s="252"/>
      <c r="BO53" s="254"/>
      <c r="BP53" s="254"/>
      <c r="BQ53" s="254"/>
      <c r="BR53" s="254"/>
      <c r="BS53" s="252"/>
      <c r="BT53" s="252"/>
      <c r="BU53" s="252"/>
      <c r="BV53" s="252"/>
      <c r="BW53" s="223"/>
    </row>
    <row r="54" spans="1:75" s="224" customFormat="1" hidden="1" outlineLevel="4" x14ac:dyDescent="0.5">
      <c r="A54" s="261" t="s">
        <v>222</v>
      </c>
      <c r="B54" s="258"/>
      <c r="C54" s="252"/>
      <c r="D54" s="252"/>
      <c r="E54" s="252"/>
      <c r="F54" s="252"/>
      <c r="G54" s="253"/>
      <c r="H54" s="253"/>
      <c r="I54" s="253"/>
      <c r="J54" s="253"/>
      <c r="K54" s="252"/>
      <c r="L54" s="253"/>
      <c r="M54" s="253"/>
      <c r="N54" s="253"/>
      <c r="O54" s="253">
        <v>0</v>
      </c>
      <c r="P54" s="252"/>
      <c r="Q54" s="253"/>
      <c r="R54" s="253"/>
      <c r="S54" s="253"/>
      <c r="T54" s="253">
        <v>0</v>
      </c>
      <c r="U54" s="252"/>
      <c r="V54" s="253"/>
      <c r="W54" s="253"/>
      <c r="X54" s="253"/>
      <c r="Y54" s="254">
        <v>0</v>
      </c>
      <c r="Z54" s="252"/>
      <c r="AA54" s="254"/>
      <c r="AB54" s="254"/>
      <c r="AC54" s="253"/>
      <c r="AD54" s="254">
        <v>0</v>
      </c>
      <c r="AE54" s="252"/>
      <c r="AF54" s="254"/>
      <c r="AG54" s="254"/>
      <c r="AH54" s="263">
        <v>1</v>
      </c>
      <c r="AI54" s="254">
        <v>0</v>
      </c>
      <c r="AJ54" s="259">
        <v>1</v>
      </c>
      <c r="AK54" s="254"/>
      <c r="AL54" s="254"/>
      <c r="AM54" s="253"/>
      <c r="AN54" s="254">
        <v>0</v>
      </c>
      <c r="AO54" s="252"/>
      <c r="AP54" s="254"/>
      <c r="AQ54" s="254"/>
      <c r="AR54" s="255"/>
      <c r="AS54" s="254">
        <v>0</v>
      </c>
      <c r="AT54" s="252"/>
      <c r="AU54" s="254"/>
      <c r="AV54" s="254"/>
      <c r="AW54" s="255"/>
      <c r="AX54" s="254">
        <v>0</v>
      </c>
      <c r="AY54" s="252"/>
      <c r="AZ54" s="254"/>
      <c r="BA54" s="254"/>
      <c r="BB54" s="255"/>
      <c r="BC54" s="254">
        <v>0</v>
      </c>
      <c r="BD54" s="252"/>
      <c r="BE54" s="254"/>
      <c r="BF54" s="254"/>
      <c r="BG54" s="255"/>
      <c r="BH54" s="254">
        <v>0</v>
      </c>
      <c r="BI54" s="260"/>
      <c r="BJ54" s="254"/>
      <c r="BK54" s="254"/>
      <c r="BL54" s="254"/>
      <c r="BM54" s="254"/>
      <c r="BN54" s="252"/>
      <c r="BO54" s="254"/>
      <c r="BP54" s="254"/>
      <c r="BQ54" s="254"/>
      <c r="BR54" s="254"/>
      <c r="BS54" s="252"/>
      <c r="BT54" s="252"/>
      <c r="BU54" s="252"/>
      <c r="BV54" s="252"/>
      <c r="BW54" s="223"/>
    </row>
    <row r="55" spans="1:75" s="224" customFormat="1" hidden="1" outlineLevel="4" x14ac:dyDescent="0.5">
      <c r="A55" s="261" t="s">
        <v>223</v>
      </c>
      <c r="B55" s="258"/>
      <c r="C55" s="252"/>
      <c r="D55" s="252"/>
      <c r="E55" s="252"/>
      <c r="F55" s="252"/>
      <c r="G55" s="253"/>
      <c r="H55" s="253"/>
      <c r="I55" s="253"/>
      <c r="J55" s="253"/>
      <c r="K55" s="252"/>
      <c r="L55" s="253"/>
      <c r="M55" s="253"/>
      <c r="N55" s="253"/>
      <c r="O55" s="253">
        <v>0</v>
      </c>
      <c r="P55" s="252"/>
      <c r="Q55" s="253"/>
      <c r="R55" s="253"/>
      <c r="S55" s="253"/>
      <c r="T55" s="253">
        <v>0</v>
      </c>
      <c r="U55" s="252"/>
      <c r="V55" s="253"/>
      <c r="W55" s="253"/>
      <c r="X55" s="253"/>
      <c r="Y55" s="254">
        <v>0</v>
      </c>
      <c r="Z55" s="252"/>
      <c r="AA55" s="254"/>
      <c r="AB55" s="254"/>
      <c r="AC55" s="253"/>
      <c r="AD55" s="254">
        <v>0</v>
      </c>
      <c r="AE55" s="252"/>
      <c r="AF55" s="254"/>
      <c r="AG55" s="254"/>
      <c r="AH55" s="263">
        <v>1</v>
      </c>
      <c r="AI55" s="254">
        <v>0</v>
      </c>
      <c r="AJ55" s="259">
        <v>1</v>
      </c>
      <c r="AK55" s="254"/>
      <c r="AL55" s="254"/>
      <c r="AM55" s="253"/>
      <c r="AN55" s="254">
        <v>0</v>
      </c>
      <c r="AO55" s="252"/>
      <c r="AP55" s="254"/>
      <c r="AQ55" s="254"/>
      <c r="AR55" s="255"/>
      <c r="AS55" s="254">
        <v>0</v>
      </c>
      <c r="AT55" s="252"/>
      <c r="AU55" s="254"/>
      <c r="AV55" s="254"/>
      <c r="AW55" s="255"/>
      <c r="AX55" s="254">
        <v>0</v>
      </c>
      <c r="AY55" s="252"/>
      <c r="AZ55" s="254"/>
      <c r="BA55" s="254"/>
      <c r="BB55" s="255"/>
      <c r="BC55" s="254">
        <v>0</v>
      </c>
      <c r="BD55" s="252"/>
      <c r="BE55" s="254"/>
      <c r="BF55" s="254"/>
      <c r="BG55" s="255"/>
      <c r="BH55" s="254">
        <v>0</v>
      </c>
      <c r="BI55" s="260"/>
      <c r="BJ55" s="254"/>
      <c r="BK55" s="254"/>
      <c r="BL55" s="254"/>
      <c r="BM55" s="254"/>
      <c r="BN55" s="252"/>
      <c r="BO55" s="254"/>
      <c r="BP55" s="254"/>
      <c r="BQ55" s="254"/>
      <c r="BR55" s="254"/>
      <c r="BS55" s="252"/>
      <c r="BT55" s="252"/>
      <c r="BU55" s="252"/>
      <c r="BV55" s="252"/>
      <c r="BW55" s="223"/>
    </row>
    <row r="56" spans="1:75" s="224" customFormat="1" hidden="1" outlineLevel="4" x14ac:dyDescent="0.5">
      <c r="A56" s="261" t="s">
        <v>224</v>
      </c>
      <c r="B56" s="258"/>
      <c r="C56" s="252"/>
      <c r="D56" s="252"/>
      <c r="E56" s="252"/>
      <c r="F56" s="252"/>
      <c r="G56" s="253"/>
      <c r="H56" s="253"/>
      <c r="I56" s="253"/>
      <c r="J56" s="253"/>
      <c r="K56" s="252"/>
      <c r="L56" s="253"/>
      <c r="M56" s="253"/>
      <c r="N56" s="253"/>
      <c r="O56" s="253">
        <v>0</v>
      </c>
      <c r="P56" s="252"/>
      <c r="Q56" s="253"/>
      <c r="R56" s="253"/>
      <c r="S56" s="253"/>
      <c r="T56" s="253">
        <v>0</v>
      </c>
      <c r="U56" s="252"/>
      <c r="V56" s="253"/>
      <c r="W56" s="253"/>
      <c r="X56" s="253"/>
      <c r="Y56" s="254">
        <v>0</v>
      </c>
      <c r="Z56" s="252"/>
      <c r="AA56" s="254"/>
      <c r="AB56" s="254"/>
      <c r="AC56" s="263">
        <v>1</v>
      </c>
      <c r="AD56" s="254">
        <v>0</v>
      </c>
      <c r="AE56" s="259">
        <v>1</v>
      </c>
      <c r="AF56" s="254"/>
      <c r="AG56" s="254"/>
      <c r="AH56" s="253"/>
      <c r="AI56" s="254">
        <v>0</v>
      </c>
      <c r="AJ56" s="252"/>
      <c r="AK56" s="254"/>
      <c r="AL56" s="254"/>
      <c r="AM56" s="253"/>
      <c r="AN56" s="254">
        <v>0</v>
      </c>
      <c r="AO56" s="252"/>
      <c r="AP56" s="254"/>
      <c r="AQ56" s="254"/>
      <c r="AR56" s="255"/>
      <c r="AS56" s="254">
        <v>0</v>
      </c>
      <c r="AT56" s="252"/>
      <c r="AU56" s="254"/>
      <c r="AV56" s="254"/>
      <c r="AW56" s="255"/>
      <c r="AX56" s="254">
        <v>0</v>
      </c>
      <c r="AY56" s="252"/>
      <c r="AZ56" s="254"/>
      <c r="BA56" s="254"/>
      <c r="BB56" s="255"/>
      <c r="BC56" s="254">
        <v>0</v>
      </c>
      <c r="BD56" s="252"/>
      <c r="BE56" s="254"/>
      <c r="BF56" s="254"/>
      <c r="BG56" s="255"/>
      <c r="BH56" s="254">
        <v>0</v>
      </c>
      <c r="BI56" s="260"/>
      <c r="BJ56" s="254"/>
      <c r="BK56" s="254"/>
      <c r="BL56" s="254"/>
      <c r="BM56" s="254"/>
      <c r="BN56" s="252"/>
      <c r="BO56" s="254"/>
      <c r="BP56" s="254"/>
      <c r="BQ56" s="254"/>
      <c r="BR56" s="254"/>
      <c r="BS56" s="252"/>
      <c r="BT56" s="252"/>
      <c r="BU56" s="252"/>
      <c r="BV56" s="252"/>
      <c r="BW56" s="223"/>
    </row>
    <row r="57" spans="1:75" s="224" customFormat="1" hidden="1" outlineLevel="4" x14ac:dyDescent="0.5">
      <c r="A57" s="261" t="s">
        <v>225</v>
      </c>
      <c r="B57" s="258"/>
      <c r="C57" s="252"/>
      <c r="D57" s="252"/>
      <c r="E57" s="252"/>
      <c r="F57" s="252"/>
      <c r="G57" s="253"/>
      <c r="H57" s="253"/>
      <c r="I57" s="253"/>
      <c r="J57" s="253"/>
      <c r="K57" s="252"/>
      <c r="L57" s="253"/>
      <c r="M57" s="253"/>
      <c r="N57" s="253"/>
      <c r="O57" s="253">
        <v>0</v>
      </c>
      <c r="P57" s="252"/>
      <c r="Q57" s="253"/>
      <c r="R57" s="253"/>
      <c r="S57" s="253"/>
      <c r="T57" s="253">
        <v>0</v>
      </c>
      <c r="U57" s="252"/>
      <c r="V57" s="253"/>
      <c r="W57" s="253"/>
      <c r="X57" s="253"/>
      <c r="Y57" s="254">
        <v>0</v>
      </c>
      <c r="Z57" s="252"/>
      <c r="AA57" s="254"/>
      <c r="AB57" s="254"/>
      <c r="AC57" s="253"/>
      <c r="AD57" s="254">
        <v>1</v>
      </c>
      <c r="AE57" s="259">
        <v>1</v>
      </c>
      <c r="AF57" s="254"/>
      <c r="AG57" s="254"/>
      <c r="AH57" s="253"/>
      <c r="AI57" s="254">
        <v>0</v>
      </c>
      <c r="AJ57" s="252"/>
      <c r="AK57" s="254"/>
      <c r="AL57" s="254"/>
      <c r="AM57" s="253"/>
      <c r="AN57" s="254">
        <v>0</v>
      </c>
      <c r="AO57" s="252"/>
      <c r="AP57" s="254"/>
      <c r="AQ57" s="254"/>
      <c r="AR57" s="255"/>
      <c r="AS57" s="254">
        <v>0</v>
      </c>
      <c r="AT57" s="252"/>
      <c r="AU57" s="254"/>
      <c r="AV57" s="254"/>
      <c r="AW57" s="255"/>
      <c r="AX57" s="254">
        <v>0</v>
      </c>
      <c r="AY57" s="252"/>
      <c r="AZ57" s="254"/>
      <c r="BA57" s="254"/>
      <c r="BB57" s="255"/>
      <c r="BC57" s="254">
        <v>0</v>
      </c>
      <c r="BD57" s="252"/>
      <c r="BE57" s="254"/>
      <c r="BF57" s="254"/>
      <c r="BG57" s="255"/>
      <c r="BH57" s="254">
        <v>0</v>
      </c>
      <c r="BI57" s="260"/>
      <c r="BJ57" s="254"/>
      <c r="BK57" s="254"/>
      <c r="BL57" s="254"/>
      <c r="BM57" s="254"/>
      <c r="BN57" s="252"/>
      <c r="BO57" s="254"/>
      <c r="BP57" s="254"/>
      <c r="BQ57" s="254"/>
      <c r="BR57" s="254"/>
      <c r="BS57" s="252"/>
      <c r="BT57" s="252"/>
      <c r="BU57" s="252"/>
      <c r="BV57" s="252"/>
      <c r="BW57" s="223"/>
    </row>
    <row r="58" spans="1:75" s="224" customFormat="1" hidden="1" outlineLevel="4" x14ac:dyDescent="0.5">
      <c r="A58" s="261" t="s">
        <v>226</v>
      </c>
      <c r="B58" s="258"/>
      <c r="C58" s="252"/>
      <c r="D58" s="252"/>
      <c r="E58" s="252"/>
      <c r="F58" s="252"/>
      <c r="G58" s="253"/>
      <c r="H58" s="253"/>
      <c r="I58" s="253"/>
      <c r="J58" s="253"/>
      <c r="K58" s="252"/>
      <c r="L58" s="253"/>
      <c r="M58" s="253"/>
      <c r="N58" s="253"/>
      <c r="O58" s="253">
        <v>0</v>
      </c>
      <c r="P58" s="252"/>
      <c r="Q58" s="253"/>
      <c r="R58" s="253"/>
      <c r="S58" s="253"/>
      <c r="T58" s="253">
        <v>0</v>
      </c>
      <c r="U58" s="252"/>
      <c r="V58" s="253"/>
      <c r="W58" s="253"/>
      <c r="X58" s="263">
        <v>1</v>
      </c>
      <c r="Y58" s="254">
        <v>0</v>
      </c>
      <c r="Z58" s="259">
        <v>1</v>
      </c>
      <c r="AA58" s="254"/>
      <c r="AB58" s="254"/>
      <c r="AC58" s="253"/>
      <c r="AD58" s="254">
        <v>0</v>
      </c>
      <c r="AE58" s="252"/>
      <c r="AF58" s="254"/>
      <c r="AG58" s="254"/>
      <c r="AH58" s="253"/>
      <c r="AI58" s="254">
        <v>0</v>
      </c>
      <c r="AJ58" s="252"/>
      <c r="AK58" s="254"/>
      <c r="AL58" s="254"/>
      <c r="AM58" s="253"/>
      <c r="AN58" s="254">
        <v>0</v>
      </c>
      <c r="AO58" s="252"/>
      <c r="AP58" s="254"/>
      <c r="AQ58" s="254"/>
      <c r="AR58" s="255"/>
      <c r="AS58" s="254">
        <v>0</v>
      </c>
      <c r="AT58" s="252"/>
      <c r="AU58" s="254"/>
      <c r="AV58" s="254"/>
      <c r="AW58" s="255"/>
      <c r="AX58" s="254">
        <v>0</v>
      </c>
      <c r="AY58" s="252"/>
      <c r="AZ58" s="254"/>
      <c r="BA58" s="254"/>
      <c r="BB58" s="255"/>
      <c r="BC58" s="254">
        <v>0</v>
      </c>
      <c r="BD58" s="252"/>
      <c r="BE58" s="254"/>
      <c r="BF58" s="254"/>
      <c r="BG58" s="255"/>
      <c r="BH58" s="254">
        <v>0</v>
      </c>
      <c r="BI58" s="260"/>
      <c r="BJ58" s="254"/>
      <c r="BK58" s="254"/>
      <c r="BL58" s="254"/>
      <c r="BM58" s="254"/>
      <c r="BN58" s="252"/>
      <c r="BO58" s="254"/>
      <c r="BP58" s="254"/>
      <c r="BQ58" s="254"/>
      <c r="BR58" s="254"/>
      <c r="BS58" s="252"/>
      <c r="BT58" s="252"/>
      <c r="BU58" s="252"/>
      <c r="BV58" s="252"/>
      <c r="BW58" s="223"/>
    </row>
    <row r="59" spans="1:75" s="224" customFormat="1" hidden="1" outlineLevel="4" x14ac:dyDescent="0.5">
      <c r="A59" s="261" t="s">
        <v>227</v>
      </c>
      <c r="B59" s="258"/>
      <c r="C59" s="252"/>
      <c r="D59" s="252"/>
      <c r="E59" s="252"/>
      <c r="F59" s="252"/>
      <c r="G59" s="253"/>
      <c r="H59" s="253"/>
      <c r="I59" s="253"/>
      <c r="J59" s="253"/>
      <c r="K59" s="252"/>
      <c r="L59" s="253"/>
      <c r="M59" s="253"/>
      <c r="N59" s="253"/>
      <c r="O59" s="253">
        <v>0</v>
      </c>
      <c r="P59" s="252"/>
      <c r="Q59" s="253"/>
      <c r="R59" s="253"/>
      <c r="S59" s="253"/>
      <c r="T59" s="253">
        <v>0</v>
      </c>
      <c r="U59" s="252"/>
      <c r="V59" s="253"/>
      <c r="W59" s="253"/>
      <c r="X59" s="263">
        <v>1</v>
      </c>
      <c r="Y59" s="254">
        <v>0</v>
      </c>
      <c r="Z59" s="259">
        <v>1</v>
      </c>
      <c r="AA59" s="254"/>
      <c r="AB59" s="254"/>
      <c r="AC59" s="253"/>
      <c r="AD59" s="254">
        <v>0</v>
      </c>
      <c r="AE59" s="252"/>
      <c r="AF59" s="254"/>
      <c r="AG59" s="254"/>
      <c r="AH59" s="253"/>
      <c r="AI59" s="254">
        <v>0</v>
      </c>
      <c r="AJ59" s="252"/>
      <c r="AK59" s="254"/>
      <c r="AL59" s="254"/>
      <c r="AM59" s="253"/>
      <c r="AN59" s="254">
        <v>0</v>
      </c>
      <c r="AO59" s="252"/>
      <c r="AP59" s="254"/>
      <c r="AQ59" s="254"/>
      <c r="AR59" s="255"/>
      <c r="AS59" s="254">
        <v>0</v>
      </c>
      <c r="AT59" s="252"/>
      <c r="AU59" s="254"/>
      <c r="AV59" s="254"/>
      <c r="AW59" s="255"/>
      <c r="AX59" s="254">
        <v>0</v>
      </c>
      <c r="AY59" s="252"/>
      <c r="AZ59" s="254"/>
      <c r="BA59" s="254"/>
      <c r="BB59" s="255"/>
      <c r="BC59" s="254">
        <v>0</v>
      </c>
      <c r="BD59" s="252"/>
      <c r="BE59" s="254"/>
      <c r="BF59" s="254"/>
      <c r="BG59" s="255"/>
      <c r="BH59" s="254">
        <v>0</v>
      </c>
      <c r="BI59" s="260"/>
      <c r="BJ59" s="254"/>
      <c r="BK59" s="254"/>
      <c r="BL59" s="254"/>
      <c r="BM59" s="254"/>
      <c r="BN59" s="252"/>
      <c r="BO59" s="254"/>
      <c r="BP59" s="254"/>
      <c r="BQ59" s="254"/>
      <c r="BR59" s="254"/>
      <c r="BS59" s="252"/>
      <c r="BT59" s="252"/>
      <c r="BU59" s="252"/>
      <c r="BV59" s="252"/>
      <c r="BW59" s="223"/>
    </row>
    <row r="60" spans="1:75" s="224" customFormat="1" hidden="1" outlineLevel="4" x14ac:dyDescent="0.5">
      <c r="A60" s="261" t="s">
        <v>228</v>
      </c>
      <c r="B60" s="258"/>
      <c r="C60" s="252"/>
      <c r="D60" s="252"/>
      <c r="E60" s="252"/>
      <c r="F60" s="252"/>
      <c r="G60" s="253"/>
      <c r="H60" s="253"/>
      <c r="I60" s="253"/>
      <c r="J60" s="253"/>
      <c r="K60" s="252"/>
      <c r="L60" s="253"/>
      <c r="M60" s="253"/>
      <c r="N60" s="253"/>
      <c r="O60" s="253">
        <v>0</v>
      </c>
      <c r="P60" s="252"/>
      <c r="Q60" s="253"/>
      <c r="R60" s="253"/>
      <c r="S60" s="253"/>
      <c r="T60" s="253">
        <v>0</v>
      </c>
      <c r="U60" s="252"/>
      <c r="V60" s="253"/>
      <c r="W60" s="253"/>
      <c r="X60" s="263">
        <v>1</v>
      </c>
      <c r="Y60" s="254">
        <v>0</v>
      </c>
      <c r="Z60" s="259">
        <v>1</v>
      </c>
      <c r="AA60" s="254"/>
      <c r="AB60" s="254"/>
      <c r="AC60" s="253"/>
      <c r="AD60" s="254">
        <v>0</v>
      </c>
      <c r="AE60" s="252"/>
      <c r="AF60" s="254"/>
      <c r="AG60" s="254"/>
      <c r="AH60" s="253"/>
      <c r="AI60" s="254">
        <v>0</v>
      </c>
      <c r="AJ60" s="252"/>
      <c r="AK60" s="254"/>
      <c r="AL60" s="254"/>
      <c r="AM60" s="253"/>
      <c r="AN60" s="254">
        <v>0</v>
      </c>
      <c r="AO60" s="252"/>
      <c r="AP60" s="254"/>
      <c r="AQ60" s="254"/>
      <c r="AR60" s="255"/>
      <c r="AS60" s="254">
        <v>0</v>
      </c>
      <c r="AT60" s="252"/>
      <c r="AU60" s="254"/>
      <c r="AV60" s="254"/>
      <c r="AW60" s="255"/>
      <c r="AX60" s="254">
        <v>0</v>
      </c>
      <c r="AY60" s="252"/>
      <c r="AZ60" s="254"/>
      <c r="BA60" s="254"/>
      <c r="BB60" s="255"/>
      <c r="BC60" s="254">
        <v>0</v>
      </c>
      <c r="BD60" s="252"/>
      <c r="BE60" s="254"/>
      <c r="BF60" s="254"/>
      <c r="BG60" s="255"/>
      <c r="BH60" s="254">
        <v>0</v>
      </c>
      <c r="BI60" s="260"/>
      <c r="BJ60" s="254"/>
      <c r="BK60" s="254"/>
      <c r="BL60" s="254"/>
      <c r="BM60" s="254"/>
      <c r="BN60" s="252"/>
      <c r="BO60" s="254"/>
      <c r="BP60" s="254"/>
      <c r="BQ60" s="254"/>
      <c r="BR60" s="254"/>
      <c r="BS60" s="252"/>
      <c r="BT60" s="252"/>
      <c r="BU60" s="252"/>
      <c r="BV60" s="252"/>
      <c r="BW60" s="223"/>
    </row>
    <row r="61" spans="1:75" s="224" customFormat="1" hidden="1" outlineLevel="4" x14ac:dyDescent="0.5">
      <c r="A61" s="261" t="s">
        <v>229</v>
      </c>
      <c r="B61" s="258"/>
      <c r="C61" s="252"/>
      <c r="D61" s="252"/>
      <c r="E61" s="252"/>
      <c r="F61" s="252"/>
      <c r="G61" s="253"/>
      <c r="H61" s="253"/>
      <c r="I61" s="253"/>
      <c r="J61" s="253"/>
      <c r="K61" s="252"/>
      <c r="L61" s="253"/>
      <c r="M61" s="253"/>
      <c r="N61" s="253"/>
      <c r="O61" s="253">
        <v>0</v>
      </c>
      <c r="P61" s="252"/>
      <c r="Q61" s="253"/>
      <c r="R61" s="253"/>
      <c r="S61" s="253"/>
      <c r="T61" s="253">
        <v>0</v>
      </c>
      <c r="U61" s="252"/>
      <c r="V61" s="253"/>
      <c r="W61" s="253"/>
      <c r="X61" s="253"/>
      <c r="Y61" s="254">
        <v>1</v>
      </c>
      <c r="Z61" s="259">
        <v>1</v>
      </c>
      <c r="AA61" s="254"/>
      <c r="AB61" s="254"/>
      <c r="AC61" s="253"/>
      <c r="AD61" s="254">
        <v>0</v>
      </c>
      <c r="AE61" s="252"/>
      <c r="AF61" s="254"/>
      <c r="AG61" s="254"/>
      <c r="AH61" s="253"/>
      <c r="AI61" s="254">
        <v>0</v>
      </c>
      <c r="AJ61" s="252"/>
      <c r="AK61" s="254"/>
      <c r="AL61" s="254"/>
      <c r="AM61" s="253"/>
      <c r="AN61" s="254">
        <v>0</v>
      </c>
      <c r="AO61" s="252"/>
      <c r="AP61" s="254"/>
      <c r="AQ61" s="254"/>
      <c r="AR61" s="255"/>
      <c r="AS61" s="254">
        <v>0</v>
      </c>
      <c r="AT61" s="252"/>
      <c r="AU61" s="254"/>
      <c r="AV61" s="254"/>
      <c r="AW61" s="255"/>
      <c r="AX61" s="254">
        <v>0</v>
      </c>
      <c r="AY61" s="252"/>
      <c r="AZ61" s="254"/>
      <c r="BA61" s="254"/>
      <c r="BB61" s="255"/>
      <c r="BC61" s="254">
        <v>0</v>
      </c>
      <c r="BD61" s="252"/>
      <c r="BE61" s="254"/>
      <c r="BF61" s="254"/>
      <c r="BG61" s="255"/>
      <c r="BH61" s="254">
        <v>0</v>
      </c>
      <c r="BI61" s="260"/>
      <c r="BJ61" s="254"/>
      <c r="BK61" s="254"/>
      <c r="BL61" s="254"/>
      <c r="BM61" s="254"/>
      <c r="BN61" s="252"/>
      <c r="BO61" s="254"/>
      <c r="BP61" s="254"/>
      <c r="BQ61" s="254"/>
      <c r="BR61" s="254"/>
      <c r="BS61" s="252"/>
      <c r="BT61" s="252"/>
      <c r="BU61" s="252"/>
      <c r="BV61" s="252"/>
      <c r="BW61" s="223"/>
    </row>
    <row r="62" spans="1:75" s="224" customFormat="1" hidden="1" outlineLevel="4" x14ac:dyDescent="0.5">
      <c r="A62" s="261" t="s">
        <v>230</v>
      </c>
      <c r="B62" s="258"/>
      <c r="C62" s="252"/>
      <c r="D62" s="252"/>
      <c r="E62" s="252"/>
      <c r="F62" s="252"/>
      <c r="G62" s="253"/>
      <c r="H62" s="253"/>
      <c r="I62" s="253"/>
      <c r="J62" s="253"/>
      <c r="K62" s="252"/>
      <c r="L62" s="253"/>
      <c r="M62" s="253"/>
      <c r="N62" s="253"/>
      <c r="O62" s="253">
        <v>0</v>
      </c>
      <c r="P62" s="252"/>
      <c r="Q62" s="253"/>
      <c r="R62" s="253"/>
      <c r="S62" s="263">
        <v>1</v>
      </c>
      <c r="T62" s="253">
        <v>0</v>
      </c>
      <c r="U62" s="259">
        <v>1</v>
      </c>
      <c r="V62" s="253"/>
      <c r="W62" s="253"/>
      <c r="X62" s="253"/>
      <c r="Y62" s="254">
        <v>0</v>
      </c>
      <c r="Z62" s="252"/>
      <c r="AA62" s="254"/>
      <c r="AB62" s="254"/>
      <c r="AC62" s="253"/>
      <c r="AD62" s="254">
        <v>0</v>
      </c>
      <c r="AE62" s="252"/>
      <c r="AF62" s="254"/>
      <c r="AG62" s="254"/>
      <c r="AH62" s="253"/>
      <c r="AI62" s="254">
        <v>0</v>
      </c>
      <c r="AJ62" s="252"/>
      <c r="AK62" s="254"/>
      <c r="AL62" s="254"/>
      <c r="AM62" s="253"/>
      <c r="AN62" s="254">
        <v>0</v>
      </c>
      <c r="AO62" s="252"/>
      <c r="AP62" s="254"/>
      <c r="AQ62" s="254"/>
      <c r="AR62" s="255"/>
      <c r="AS62" s="254">
        <v>0</v>
      </c>
      <c r="AT62" s="252"/>
      <c r="AU62" s="254"/>
      <c r="AV62" s="254"/>
      <c r="AW62" s="255"/>
      <c r="AX62" s="254">
        <v>0</v>
      </c>
      <c r="AY62" s="252"/>
      <c r="AZ62" s="254"/>
      <c r="BA62" s="254"/>
      <c r="BB62" s="255"/>
      <c r="BC62" s="254">
        <v>0</v>
      </c>
      <c r="BD62" s="252"/>
      <c r="BE62" s="254"/>
      <c r="BF62" s="254"/>
      <c r="BG62" s="255"/>
      <c r="BH62" s="254">
        <v>0</v>
      </c>
      <c r="BI62" s="260"/>
      <c r="BJ62" s="254"/>
      <c r="BK62" s="254"/>
      <c r="BL62" s="254"/>
      <c r="BM62" s="254"/>
      <c r="BN62" s="252"/>
      <c r="BO62" s="254"/>
      <c r="BP62" s="254"/>
      <c r="BQ62" s="254"/>
      <c r="BR62" s="254"/>
      <c r="BS62" s="252"/>
      <c r="BT62" s="252"/>
      <c r="BU62" s="252"/>
      <c r="BV62" s="252"/>
      <c r="BW62" s="223"/>
    </row>
    <row r="63" spans="1:75" s="224" customFormat="1" hidden="1" outlineLevel="4" x14ac:dyDescent="0.5">
      <c r="A63" s="261" t="s">
        <v>231</v>
      </c>
      <c r="B63" s="258"/>
      <c r="C63" s="252"/>
      <c r="D63" s="252"/>
      <c r="E63" s="252"/>
      <c r="F63" s="252"/>
      <c r="G63" s="253"/>
      <c r="H63" s="253"/>
      <c r="I63" s="253"/>
      <c r="J63" s="253"/>
      <c r="K63" s="252"/>
      <c r="L63" s="253"/>
      <c r="M63" s="253"/>
      <c r="N63" s="253"/>
      <c r="O63" s="253">
        <v>0</v>
      </c>
      <c r="P63" s="252"/>
      <c r="Q63" s="253"/>
      <c r="R63" s="253"/>
      <c r="S63" s="263">
        <v>1</v>
      </c>
      <c r="T63" s="253">
        <v>0</v>
      </c>
      <c r="U63" s="259">
        <v>1</v>
      </c>
      <c r="V63" s="253"/>
      <c r="W63" s="253"/>
      <c r="X63" s="253"/>
      <c r="Y63" s="254">
        <v>0</v>
      </c>
      <c r="Z63" s="252"/>
      <c r="AA63" s="254"/>
      <c r="AB63" s="254"/>
      <c r="AC63" s="253"/>
      <c r="AD63" s="254">
        <v>0</v>
      </c>
      <c r="AE63" s="252"/>
      <c r="AF63" s="254"/>
      <c r="AG63" s="254"/>
      <c r="AH63" s="253"/>
      <c r="AI63" s="254">
        <v>0</v>
      </c>
      <c r="AJ63" s="252"/>
      <c r="AK63" s="254"/>
      <c r="AL63" s="254"/>
      <c r="AM63" s="253"/>
      <c r="AN63" s="254">
        <v>0</v>
      </c>
      <c r="AO63" s="252"/>
      <c r="AP63" s="254"/>
      <c r="AQ63" s="254"/>
      <c r="AR63" s="255"/>
      <c r="AS63" s="254">
        <v>0</v>
      </c>
      <c r="AT63" s="252"/>
      <c r="AU63" s="254"/>
      <c r="AV63" s="254"/>
      <c r="AW63" s="255"/>
      <c r="AX63" s="254">
        <v>0</v>
      </c>
      <c r="AY63" s="252"/>
      <c r="AZ63" s="254"/>
      <c r="BA63" s="254"/>
      <c r="BB63" s="255"/>
      <c r="BC63" s="254">
        <v>0</v>
      </c>
      <c r="BD63" s="252"/>
      <c r="BE63" s="254"/>
      <c r="BF63" s="254"/>
      <c r="BG63" s="255"/>
      <c r="BH63" s="254">
        <v>0</v>
      </c>
      <c r="BI63" s="260"/>
      <c r="BJ63" s="254"/>
      <c r="BK63" s="254"/>
      <c r="BL63" s="254"/>
      <c r="BM63" s="254"/>
      <c r="BN63" s="252"/>
      <c r="BO63" s="254"/>
      <c r="BP63" s="254"/>
      <c r="BQ63" s="254"/>
      <c r="BR63" s="254"/>
      <c r="BS63" s="252"/>
      <c r="BT63" s="252"/>
      <c r="BU63" s="252"/>
      <c r="BV63" s="252"/>
      <c r="BW63" s="223"/>
    </row>
    <row r="64" spans="1:75" s="224" customFormat="1" hidden="1" outlineLevel="4" x14ac:dyDescent="0.5">
      <c r="A64" s="261" t="s">
        <v>232</v>
      </c>
      <c r="B64" s="258"/>
      <c r="C64" s="252"/>
      <c r="D64" s="252"/>
      <c r="E64" s="252"/>
      <c r="F64" s="252"/>
      <c r="G64" s="253"/>
      <c r="H64" s="253"/>
      <c r="I64" s="253"/>
      <c r="J64" s="253"/>
      <c r="K64" s="252"/>
      <c r="L64" s="253"/>
      <c r="M64" s="253"/>
      <c r="N64" s="253"/>
      <c r="O64" s="253">
        <v>0</v>
      </c>
      <c r="P64" s="252"/>
      <c r="Q64" s="253"/>
      <c r="R64" s="253"/>
      <c r="S64" s="253"/>
      <c r="T64" s="253">
        <v>1</v>
      </c>
      <c r="U64" s="259">
        <v>1</v>
      </c>
      <c r="V64" s="253"/>
      <c r="W64" s="253"/>
      <c r="X64" s="253"/>
      <c r="Y64" s="254">
        <v>0</v>
      </c>
      <c r="Z64" s="252"/>
      <c r="AA64" s="254"/>
      <c r="AB64" s="254"/>
      <c r="AC64" s="253"/>
      <c r="AD64" s="254">
        <v>0</v>
      </c>
      <c r="AE64" s="252"/>
      <c r="AF64" s="254"/>
      <c r="AG64" s="254"/>
      <c r="AH64" s="253"/>
      <c r="AI64" s="254">
        <v>0</v>
      </c>
      <c r="AJ64" s="252"/>
      <c r="AK64" s="254"/>
      <c r="AL64" s="254"/>
      <c r="AM64" s="253"/>
      <c r="AN64" s="254">
        <v>0</v>
      </c>
      <c r="AO64" s="252"/>
      <c r="AP64" s="254"/>
      <c r="AQ64" s="254"/>
      <c r="AR64" s="255"/>
      <c r="AS64" s="254">
        <v>0</v>
      </c>
      <c r="AT64" s="252"/>
      <c r="AU64" s="254"/>
      <c r="AV64" s="254"/>
      <c r="AW64" s="255"/>
      <c r="AX64" s="254">
        <v>0</v>
      </c>
      <c r="AY64" s="252"/>
      <c r="AZ64" s="254"/>
      <c r="BA64" s="254"/>
      <c r="BB64" s="255"/>
      <c r="BC64" s="254">
        <v>0</v>
      </c>
      <c r="BD64" s="252"/>
      <c r="BE64" s="254"/>
      <c r="BF64" s="254"/>
      <c r="BG64" s="255"/>
      <c r="BH64" s="254">
        <v>0</v>
      </c>
      <c r="BI64" s="260"/>
      <c r="BJ64" s="254"/>
      <c r="BK64" s="254"/>
      <c r="BL64" s="254"/>
      <c r="BM64" s="254"/>
      <c r="BN64" s="252"/>
      <c r="BO64" s="254"/>
      <c r="BP64" s="254"/>
      <c r="BQ64" s="254"/>
      <c r="BR64" s="254"/>
      <c r="BS64" s="252"/>
      <c r="BT64" s="252"/>
      <c r="BU64" s="252"/>
      <c r="BV64" s="252"/>
      <c r="BW64" s="223"/>
    </row>
    <row r="65" spans="1:75" s="224" customFormat="1" hidden="1" outlineLevel="4" x14ac:dyDescent="0.5">
      <c r="A65" s="261" t="s">
        <v>233</v>
      </c>
      <c r="B65" s="258"/>
      <c r="C65" s="252"/>
      <c r="D65" s="252"/>
      <c r="E65" s="252"/>
      <c r="F65" s="252"/>
      <c r="G65" s="253"/>
      <c r="H65" s="253"/>
      <c r="I65" s="253"/>
      <c r="J65" s="253"/>
      <c r="K65" s="252"/>
      <c r="L65" s="253"/>
      <c r="M65" s="263">
        <v>1</v>
      </c>
      <c r="N65" s="253"/>
      <c r="O65" s="253">
        <v>0</v>
      </c>
      <c r="P65" s="259">
        <v>1</v>
      </c>
      <c r="Q65" s="253"/>
      <c r="R65" s="253"/>
      <c r="S65" s="253"/>
      <c r="T65" s="253">
        <v>0</v>
      </c>
      <c r="U65" s="252"/>
      <c r="V65" s="253"/>
      <c r="W65" s="253"/>
      <c r="X65" s="253"/>
      <c r="Y65" s="254">
        <v>0</v>
      </c>
      <c r="Z65" s="252"/>
      <c r="AA65" s="254"/>
      <c r="AB65" s="254"/>
      <c r="AC65" s="253"/>
      <c r="AD65" s="254">
        <v>0</v>
      </c>
      <c r="AE65" s="252"/>
      <c r="AF65" s="254"/>
      <c r="AG65" s="254"/>
      <c r="AH65" s="253"/>
      <c r="AI65" s="254">
        <v>0</v>
      </c>
      <c r="AJ65" s="252"/>
      <c r="AK65" s="254"/>
      <c r="AL65" s="254"/>
      <c r="AM65" s="253"/>
      <c r="AN65" s="254">
        <v>0</v>
      </c>
      <c r="AO65" s="252"/>
      <c r="AP65" s="254"/>
      <c r="AQ65" s="254"/>
      <c r="AR65" s="255"/>
      <c r="AS65" s="254">
        <v>0</v>
      </c>
      <c r="AT65" s="252"/>
      <c r="AU65" s="254"/>
      <c r="AV65" s="254"/>
      <c r="AW65" s="255"/>
      <c r="AX65" s="254">
        <v>0</v>
      </c>
      <c r="AY65" s="252"/>
      <c r="AZ65" s="254"/>
      <c r="BA65" s="254"/>
      <c r="BB65" s="255"/>
      <c r="BC65" s="254">
        <v>0</v>
      </c>
      <c r="BD65" s="252"/>
      <c r="BE65" s="254"/>
      <c r="BF65" s="254"/>
      <c r="BG65" s="255"/>
      <c r="BH65" s="254">
        <v>0</v>
      </c>
      <c r="BI65" s="260"/>
      <c r="BJ65" s="254"/>
      <c r="BK65" s="254"/>
      <c r="BL65" s="254"/>
      <c r="BM65" s="254"/>
      <c r="BN65" s="252"/>
      <c r="BO65" s="254"/>
      <c r="BP65" s="254"/>
      <c r="BQ65" s="254"/>
      <c r="BR65" s="254"/>
      <c r="BS65" s="252"/>
      <c r="BT65" s="252"/>
      <c r="BU65" s="252"/>
      <c r="BV65" s="252"/>
      <c r="BW65" s="223"/>
    </row>
    <row r="66" spans="1:75" s="224" customFormat="1" hidden="1" outlineLevel="4" x14ac:dyDescent="0.5">
      <c r="A66" s="261" t="s">
        <v>234</v>
      </c>
      <c r="B66" s="258"/>
      <c r="C66" s="252"/>
      <c r="D66" s="252"/>
      <c r="E66" s="252"/>
      <c r="F66" s="252"/>
      <c r="G66" s="253"/>
      <c r="H66" s="253"/>
      <c r="I66" s="253"/>
      <c r="J66" s="253"/>
      <c r="K66" s="252"/>
      <c r="L66" s="253"/>
      <c r="M66" s="253"/>
      <c r="N66" s="263">
        <v>1</v>
      </c>
      <c r="O66" s="253">
        <v>0</v>
      </c>
      <c r="P66" s="259">
        <v>1</v>
      </c>
      <c r="Q66" s="253"/>
      <c r="R66" s="253"/>
      <c r="S66" s="253"/>
      <c r="T66" s="253">
        <v>0</v>
      </c>
      <c r="U66" s="252"/>
      <c r="V66" s="253"/>
      <c r="W66" s="253"/>
      <c r="X66" s="253"/>
      <c r="Y66" s="254">
        <v>0</v>
      </c>
      <c r="Z66" s="252"/>
      <c r="AA66" s="254"/>
      <c r="AB66" s="254"/>
      <c r="AC66" s="253"/>
      <c r="AD66" s="254">
        <v>0</v>
      </c>
      <c r="AE66" s="252"/>
      <c r="AF66" s="254"/>
      <c r="AG66" s="254"/>
      <c r="AH66" s="253"/>
      <c r="AI66" s="254">
        <v>0</v>
      </c>
      <c r="AJ66" s="252"/>
      <c r="AK66" s="254"/>
      <c r="AL66" s="254"/>
      <c r="AM66" s="253"/>
      <c r="AN66" s="254">
        <v>0</v>
      </c>
      <c r="AO66" s="252"/>
      <c r="AP66" s="254"/>
      <c r="AQ66" s="254"/>
      <c r="AR66" s="255"/>
      <c r="AS66" s="254">
        <v>0</v>
      </c>
      <c r="AT66" s="252"/>
      <c r="AU66" s="254"/>
      <c r="AV66" s="254"/>
      <c r="AW66" s="255"/>
      <c r="AX66" s="254">
        <v>0</v>
      </c>
      <c r="AY66" s="252"/>
      <c r="AZ66" s="254"/>
      <c r="BA66" s="254"/>
      <c r="BB66" s="255"/>
      <c r="BC66" s="254">
        <v>0</v>
      </c>
      <c r="BD66" s="252"/>
      <c r="BE66" s="254"/>
      <c r="BF66" s="254"/>
      <c r="BG66" s="255"/>
      <c r="BH66" s="254">
        <v>0</v>
      </c>
      <c r="BI66" s="260"/>
      <c r="BJ66" s="254"/>
      <c r="BK66" s="254"/>
      <c r="BL66" s="254"/>
      <c r="BM66" s="254"/>
      <c r="BN66" s="252"/>
      <c r="BO66" s="254"/>
      <c r="BP66" s="254"/>
      <c r="BQ66" s="254"/>
      <c r="BR66" s="254"/>
      <c r="BS66" s="252"/>
      <c r="BT66" s="252"/>
      <c r="BU66" s="252"/>
      <c r="BV66" s="252"/>
      <c r="BW66" s="223"/>
    </row>
    <row r="67" spans="1:75" s="224" customFormat="1" hidden="1" outlineLevel="4" x14ac:dyDescent="0.5">
      <c r="A67" s="264" t="s">
        <v>235</v>
      </c>
      <c r="B67" s="265"/>
      <c r="C67" s="266"/>
      <c r="D67" s="266"/>
      <c r="E67" s="266"/>
      <c r="F67" s="266"/>
      <c r="G67" s="267"/>
      <c r="H67" s="267"/>
      <c r="I67" s="267"/>
      <c r="J67" s="267"/>
      <c r="K67" s="266"/>
      <c r="L67" s="267"/>
      <c r="M67" s="267"/>
      <c r="N67" s="267"/>
      <c r="O67" s="267">
        <v>1</v>
      </c>
      <c r="P67" s="268">
        <v>1</v>
      </c>
      <c r="Q67" s="267"/>
      <c r="R67" s="267"/>
      <c r="S67" s="267"/>
      <c r="T67" s="267">
        <v>0</v>
      </c>
      <c r="U67" s="266"/>
      <c r="V67" s="267"/>
      <c r="W67" s="267"/>
      <c r="X67" s="267"/>
      <c r="Y67" s="269">
        <v>0</v>
      </c>
      <c r="Z67" s="266"/>
      <c r="AA67" s="269"/>
      <c r="AB67" s="269"/>
      <c r="AC67" s="267"/>
      <c r="AD67" s="269">
        <v>0</v>
      </c>
      <c r="AE67" s="266"/>
      <c r="AF67" s="269"/>
      <c r="AG67" s="269"/>
      <c r="AH67" s="267"/>
      <c r="AI67" s="269">
        <v>0</v>
      </c>
      <c r="AJ67" s="266"/>
      <c r="AK67" s="269"/>
      <c r="AL67" s="269"/>
      <c r="AM67" s="267"/>
      <c r="AN67" s="269">
        <v>0</v>
      </c>
      <c r="AO67" s="266"/>
      <c r="AP67" s="269"/>
      <c r="AQ67" s="269"/>
      <c r="AR67" s="270"/>
      <c r="AS67" s="269">
        <v>0</v>
      </c>
      <c r="AT67" s="266"/>
      <c r="AU67" s="269"/>
      <c r="AV67" s="269"/>
      <c r="AW67" s="270"/>
      <c r="AX67" s="269">
        <v>0</v>
      </c>
      <c r="AY67" s="266"/>
      <c r="AZ67" s="269"/>
      <c r="BA67" s="269"/>
      <c r="BB67" s="270"/>
      <c r="BC67" s="269">
        <v>0</v>
      </c>
      <c r="BD67" s="266"/>
      <c r="BE67" s="269"/>
      <c r="BF67" s="269"/>
      <c r="BG67" s="270"/>
      <c r="BH67" s="269">
        <v>0</v>
      </c>
      <c r="BI67" s="271"/>
      <c r="BJ67" s="269"/>
      <c r="BK67" s="269"/>
      <c r="BL67" s="269"/>
      <c r="BM67" s="269"/>
      <c r="BN67" s="266"/>
      <c r="BO67" s="269"/>
      <c r="BP67" s="269"/>
      <c r="BQ67" s="269"/>
      <c r="BR67" s="269"/>
      <c r="BS67" s="266"/>
      <c r="BT67" s="266"/>
      <c r="BU67" s="266"/>
      <c r="BV67" s="266"/>
      <c r="BW67" s="223"/>
    </row>
    <row r="68" spans="1:75" s="123" customFormat="1" hidden="1" outlineLevel="3" collapsed="1" x14ac:dyDescent="0.5">
      <c r="A68" s="218" t="s">
        <v>236</v>
      </c>
      <c r="B68" s="251"/>
      <c r="C68" s="252"/>
      <c r="D68" s="252"/>
      <c r="E68" s="252"/>
      <c r="F68" s="252"/>
      <c r="G68" s="253"/>
      <c r="H68" s="253"/>
      <c r="I68" s="253"/>
      <c r="J68" s="253"/>
      <c r="K68" s="252"/>
      <c r="L68" s="253">
        <v>0</v>
      </c>
      <c r="M68" s="253">
        <v>1</v>
      </c>
      <c r="N68" s="253">
        <v>1</v>
      </c>
      <c r="O68" s="253">
        <v>1</v>
      </c>
      <c r="P68" s="252">
        <v>3</v>
      </c>
      <c r="Q68" s="253">
        <v>0</v>
      </c>
      <c r="R68" s="253">
        <v>0</v>
      </c>
      <c r="S68" s="253">
        <v>2</v>
      </c>
      <c r="T68" s="253">
        <v>1</v>
      </c>
      <c r="U68" s="252">
        <v>3</v>
      </c>
      <c r="V68" s="253">
        <v>0</v>
      </c>
      <c r="W68" s="253">
        <v>0</v>
      </c>
      <c r="X68" s="253">
        <v>3</v>
      </c>
      <c r="Y68" s="254">
        <v>1</v>
      </c>
      <c r="Z68" s="252">
        <v>4</v>
      </c>
      <c r="AA68" s="254">
        <v>0</v>
      </c>
      <c r="AB68" s="254">
        <v>0</v>
      </c>
      <c r="AC68" s="253">
        <v>1</v>
      </c>
      <c r="AD68" s="254">
        <v>1</v>
      </c>
      <c r="AE68" s="252">
        <v>2</v>
      </c>
      <c r="AF68" s="254">
        <v>1</v>
      </c>
      <c r="AG68" s="254">
        <v>1</v>
      </c>
      <c r="AH68" s="253">
        <v>2</v>
      </c>
      <c r="AI68" s="254">
        <v>0</v>
      </c>
      <c r="AJ68" s="252">
        <v>4</v>
      </c>
      <c r="AK68" s="254">
        <v>0</v>
      </c>
      <c r="AL68" s="254">
        <v>0</v>
      </c>
      <c r="AM68" s="253">
        <v>1</v>
      </c>
      <c r="AN68" s="254">
        <v>1</v>
      </c>
      <c r="AO68" s="252">
        <v>2</v>
      </c>
      <c r="AP68" s="254">
        <v>0</v>
      </c>
      <c r="AQ68" s="254">
        <v>2</v>
      </c>
      <c r="AR68" s="255">
        <v>0</v>
      </c>
      <c r="AS68" s="254">
        <v>0</v>
      </c>
      <c r="AT68" s="252">
        <v>2</v>
      </c>
      <c r="AU68" s="254">
        <v>0</v>
      </c>
      <c r="AV68" s="254">
        <v>1</v>
      </c>
      <c r="AW68" s="255">
        <v>1</v>
      </c>
      <c r="AX68" s="254">
        <v>1</v>
      </c>
      <c r="AY68" s="252">
        <v>3</v>
      </c>
      <c r="AZ68" s="254">
        <v>0</v>
      </c>
      <c r="BA68" s="254">
        <v>1</v>
      </c>
      <c r="BB68" s="255">
        <v>0</v>
      </c>
      <c r="BC68" s="254">
        <v>0</v>
      </c>
      <c r="BD68" s="252">
        <v>1</v>
      </c>
      <c r="BE68" s="254">
        <v>0</v>
      </c>
      <c r="BF68" s="254">
        <v>1</v>
      </c>
      <c r="BG68" s="255">
        <v>0</v>
      </c>
      <c r="BH68" s="254">
        <v>3</v>
      </c>
      <c r="BI68" s="260">
        <v>4</v>
      </c>
      <c r="BJ68" s="256">
        <v>2</v>
      </c>
      <c r="BK68" s="256">
        <v>2</v>
      </c>
      <c r="BL68" s="256">
        <v>2</v>
      </c>
      <c r="BM68" s="256">
        <v>1</v>
      </c>
      <c r="BN68" s="252">
        <v>7</v>
      </c>
      <c r="BO68" s="256">
        <v>1</v>
      </c>
      <c r="BP68" s="256">
        <v>1</v>
      </c>
      <c r="BQ68" s="256">
        <v>1</v>
      </c>
      <c r="BR68" s="256">
        <v>0</v>
      </c>
      <c r="BS68" s="252">
        <v>3</v>
      </c>
      <c r="BT68" s="259">
        <v>1</v>
      </c>
      <c r="BU68" s="259">
        <v>0</v>
      </c>
      <c r="BV68" s="259">
        <v>0</v>
      </c>
      <c r="BW68" s="122"/>
    </row>
    <row r="69" spans="1:75" s="123" customFormat="1" hidden="1" outlineLevel="4" x14ac:dyDescent="0.5">
      <c r="A69" s="272" t="s">
        <v>237</v>
      </c>
      <c r="B69" s="251"/>
      <c r="C69" s="252"/>
      <c r="D69" s="252"/>
      <c r="E69" s="252"/>
      <c r="F69" s="252"/>
      <c r="G69" s="253"/>
      <c r="H69" s="253"/>
      <c r="I69" s="253"/>
      <c r="J69" s="253"/>
      <c r="K69" s="252"/>
      <c r="L69" s="253"/>
      <c r="M69" s="253"/>
      <c r="N69" s="253"/>
      <c r="O69" s="253">
        <v>0</v>
      </c>
      <c r="P69" s="252"/>
      <c r="Q69" s="253"/>
      <c r="R69" s="253"/>
      <c r="S69" s="253"/>
      <c r="T69" s="253">
        <v>0</v>
      </c>
      <c r="U69" s="252"/>
      <c r="V69" s="253"/>
      <c r="W69" s="253"/>
      <c r="X69" s="253"/>
      <c r="Y69" s="254">
        <v>0</v>
      </c>
      <c r="Z69" s="252"/>
      <c r="AA69" s="254"/>
      <c r="AB69" s="254"/>
      <c r="AC69" s="253"/>
      <c r="AD69" s="254">
        <v>0</v>
      </c>
      <c r="AE69" s="252"/>
      <c r="AF69" s="254"/>
      <c r="AG69" s="254"/>
      <c r="AH69" s="253"/>
      <c r="AI69" s="254">
        <v>0</v>
      </c>
      <c r="AJ69" s="252"/>
      <c r="AK69" s="254"/>
      <c r="AL69" s="254"/>
      <c r="AM69" s="253"/>
      <c r="AN69" s="254">
        <v>0</v>
      </c>
      <c r="AO69" s="252"/>
      <c r="AP69" s="254"/>
      <c r="AQ69" s="254"/>
      <c r="AR69" s="255"/>
      <c r="AS69" s="254">
        <v>0</v>
      </c>
      <c r="AT69" s="252"/>
      <c r="AU69" s="254"/>
      <c r="AV69" s="254"/>
      <c r="AW69" s="255"/>
      <c r="AX69" s="254">
        <v>0</v>
      </c>
      <c r="AY69" s="252"/>
      <c r="AZ69" s="254"/>
      <c r="BA69" s="254"/>
      <c r="BB69" s="255"/>
      <c r="BC69" s="254">
        <v>0</v>
      </c>
      <c r="BD69" s="252"/>
      <c r="BE69" s="256">
        <v>-1</v>
      </c>
      <c r="BF69" s="254"/>
      <c r="BG69" s="255"/>
      <c r="BH69" s="254">
        <v>0</v>
      </c>
      <c r="BI69" s="257">
        <v>-1</v>
      </c>
      <c r="BJ69" s="254"/>
      <c r="BK69" s="254"/>
      <c r="BL69" s="254"/>
      <c r="BM69" s="254"/>
      <c r="BN69" s="252"/>
      <c r="BO69" s="254"/>
      <c r="BP69" s="254"/>
      <c r="BQ69" s="254"/>
      <c r="BR69" s="254"/>
      <c r="BS69" s="252"/>
      <c r="BT69" s="252"/>
      <c r="BU69" s="252"/>
      <c r="BV69" s="252"/>
      <c r="BW69" s="122"/>
    </row>
    <row r="70" spans="1:75" s="123" customFormat="1" hidden="1" outlineLevel="4" x14ac:dyDescent="0.5">
      <c r="A70" s="273" t="s">
        <v>238</v>
      </c>
      <c r="B70" s="274"/>
      <c r="C70" s="266"/>
      <c r="D70" s="266"/>
      <c r="E70" s="266"/>
      <c r="F70" s="266"/>
      <c r="G70" s="267"/>
      <c r="H70" s="267"/>
      <c r="I70" s="267"/>
      <c r="J70" s="267"/>
      <c r="K70" s="266"/>
      <c r="L70" s="267"/>
      <c r="M70" s="267"/>
      <c r="N70" s="275">
        <v>-1</v>
      </c>
      <c r="O70" s="267">
        <v>0</v>
      </c>
      <c r="P70" s="268">
        <v>-1</v>
      </c>
      <c r="Q70" s="267"/>
      <c r="R70" s="267"/>
      <c r="S70" s="267"/>
      <c r="T70" s="267">
        <v>0</v>
      </c>
      <c r="U70" s="266"/>
      <c r="V70" s="267"/>
      <c r="W70" s="267"/>
      <c r="X70" s="267"/>
      <c r="Y70" s="269">
        <v>0</v>
      </c>
      <c r="Z70" s="266"/>
      <c r="AA70" s="269"/>
      <c r="AB70" s="269"/>
      <c r="AC70" s="267"/>
      <c r="AD70" s="269">
        <v>0</v>
      </c>
      <c r="AE70" s="266"/>
      <c r="AF70" s="269"/>
      <c r="AG70" s="269"/>
      <c r="AH70" s="267"/>
      <c r="AI70" s="269">
        <v>0</v>
      </c>
      <c r="AJ70" s="266"/>
      <c r="AK70" s="269"/>
      <c r="AL70" s="269"/>
      <c r="AM70" s="267"/>
      <c r="AN70" s="269">
        <v>0</v>
      </c>
      <c r="AO70" s="266"/>
      <c r="AP70" s="269"/>
      <c r="AQ70" s="269"/>
      <c r="AR70" s="270"/>
      <c r="AS70" s="269">
        <v>0</v>
      </c>
      <c r="AT70" s="266"/>
      <c r="AU70" s="269"/>
      <c r="AV70" s="269"/>
      <c r="AW70" s="270"/>
      <c r="AX70" s="269">
        <v>0</v>
      </c>
      <c r="AY70" s="266"/>
      <c r="AZ70" s="269"/>
      <c r="BA70" s="269"/>
      <c r="BB70" s="270"/>
      <c r="BC70" s="269">
        <v>0</v>
      </c>
      <c r="BD70" s="266"/>
      <c r="BE70" s="269"/>
      <c r="BF70" s="269"/>
      <c r="BG70" s="270"/>
      <c r="BH70" s="269">
        <v>0</v>
      </c>
      <c r="BI70" s="271"/>
      <c r="BJ70" s="269"/>
      <c r="BK70" s="269"/>
      <c r="BL70" s="269"/>
      <c r="BM70" s="269"/>
      <c r="BN70" s="266"/>
      <c r="BO70" s="269"/>
      <c r="BP70" s="269"/>
      <c r="BQ70" s="269"/>
      <c r="BR70" s="269"/>
      <c r="BS70" s="266"/>
      <c r="BT70" s="266"/>
      <c r="BU70" s="266"/>
      <c r="BV70" s="266"/>
      <c r="BW70" s="122"/>
    </row>
    <row r="71" spans="1:75" s="123" customFormat="1" hidden="1" outlineLevel="3" x14ac:dyDescent="0.5">
      <c r="A71" s="218" t="s">
        <v>239</v>
      </c>
      <c r="B71" s="251"/>
      <c r="C71" s="252"/>
      <c r="D71" s="252"/>
      <c r="E71" s="252"/>
      <c r="F71" s="252"/>
      <c r="G71" s="253"/>
      <c r="H71" s="253"/>
      <c r="I71" s="253"/>
      <c r="J71" s="253"/>
      <c r="K71" s="252"/>
      <c r="L71" s="253">
        <v>0</v>
      </c>
      <c r="M71" s="253">
        <v>0</v>
      </c>
      <c r="N71" s="253">
        <v>-1</v>
      </c>
      <c r="O71" s="253">
        <v>0</v>
      </c>
      <c r="P71" s="252">
        <v>-1</v>
      </c>
      <c r="Q71" s="253">
        <v>0</v>
      </c>
      <c r="R71" s="253">
        <v>0</v>
      </c>
      <c r="S71" s="253">
        <v>0</v>
      </c>
      <c r="T71" s="253">
        <v>0</v>
      </c>
      <c r="U71" s="252">
        <v>0</v>
      </c>
      <c r="V71" s="253">
        <v>0</v>
      </c>
      <c r="W71" s="253">
        <v>0</v>
      </c>
      <c r="X71" s="253">
        <v>0</v>
      </c>
      <c r="Y71" s="254">
        <v>0</v>
      </c>
      <c r="Z71" s="252">
        <v>0</v>
      </c>
      <c r="AA71" s="254">
        <v>0</v>
      </c>
      <c r="AB71" s="254">
        <v>0</v>
      </c>
      <c r="AC71" s="253">
        <v>0</v>
      </c>
      <c r="AD71" s="254">
        <v>0</v>
      </c>
      <c r="AE71" s="252">
        <v>0</v>
      </c>
      <c r="AF71" s="254">
        <v>0</v>
      </c>
      <c r="AG71" s="254">
        <v>0</v>
      </c>
      <c r="AH71" s="253">
        <v>0</v>
      </c>
      <c r="AI71" s="254">
        <v>0</v>
      </c>
      <c r="AJ71" s="252">
        <v>0</v>
      </c>
      <c r="AK71" s="254">
        <v>0</v>
      </c>
      <c r="AL71" s="254">
        <v>0</v>
      </c>
      <c r="AM71" s="253">
        <v>0</v>
      </c>
      <c r="AN71" s="254">
        <v>0</v>
      </c>
      <c r="AO71" s="252">
        <v>0</v>
      </c>
      <c r="AP71" s="254">
        <v>0</v>
      </c>
      <c r="AQ71" s="254">
        <v>0</v>
      </c>
      <c r="AR71" s="255">
        <v>0</v>
      </c>
      <c r="AS71" s="254">
        <v>0</v>
      </c>
      <c r="AT71" s="252">
        <v>0</v>
      </c>
      <c r="AU71" s="254">
        <v>0</v>
      </c>
      <c r="AV71" s="254">
        <v>0</v>
      </c>
      <c r="AW71" s="255">
        <v>0</v>
      </c>
      <c r="AX71" s="254">
        <v>0</v>
      </c>
      <c r="AY71" s="252">
        <v>0</v>
      </c>
      <c r="AZ71" s="254">
        <v>0</v>
      </c>
      <c r="BA71" s="254">
        <v>0</v>
      </c>
      <c r="BB71" s="255">
        <v>0</v>
      </c>
      <c r="BC71" s="254">
        <v>0</v>
      </c>
      <c r="BD71" s="252">
        <v>0</v>
      </c>
      <c r="BE71" s="254">
        <v>-1</v>
      </c>
      <c r="BF71" s="254">
        <v>0</v>
      </c>
      <c r="BG71" s="255">
        <v>0</v>
      </c>
      <c r="BH71" s="254">
        <v>0</v>
      </c>
      <c r="BI71" s="260">
        <v>-1</v>
      </c>
      <c r="BJ71" s="256">
        <v>0</v>
      </c>
      <c r="BK71" s="256">
        <v>0</v>
      </c>
      <c r="BL71" s="256">
        <v>0</v>
      </c>
      <c r="BM71" s="256">
        <v>0</v>
      </c>
      <c r="BN71" s="252">
        <v>0</v>
      </c>
      <c r="BO71" s="256">
        <v>0</v>
      </c>
      <c r="BP71" s="256">
        <v>0</v>
      </c>
      <c r="BQ71" s="256">
        <v>0</v>
      </c>
      <c r="BR71" s="256">
        <v>0</v>
      </c>
      <c r="BS71" s="252">
        <v>0</v>
      </c>
      <c r="BT71" s="259">
        <v>0</v>
      </c>
      <c r="BU71" s="259">
        <v>0</v>
      </c>
      <c r="BV71" s="259">
        <v>0</v>
      </c>
      <c r="BW71" s="122"/>
    </row>
    <row r="72" spans="1:75" s="198" customFormat="1" ht="14.25" hidden="1" outlineLevel="3" x14ac:dyDescent="0.45">
      <c r="A72" s="276" t="s">
        <v>240</v>
      </c>
      <c r="B72" s="277"/>
      <c r="C72" s="278"/>
      <c r="D72" s="278"/>
      <c r="E72" s="278"/>
      <c r="F72" s="279">
        <v>3</v>
      </c>
      <c r="G72" s="280">
        <v>5</v>
      </c>
      <c r="H72" s="280">
        <v>5</v>
      </c>
      <c r="I72" s="280">
        <v>5</v>
      </c>
      <c r="J72" s="281">
        <v>5</v>
      </c>
      <c r="K72" s="279">
        <v>5</v>
      </c>
      <c r="L72" s="281">
        <v>5</v>
      </c>
      <c r="M72" s="281">
        <v>6</v>
      </c>
      <c r="N72" s="281">
        <v>6</v>
      </c>
      <c r="O72" s="281">
        <v>7</v>
      </c>
      <c r="P72" s="282">
        <v>7</v>
      </c>
      <c r="Q72" s="283">
        <v>7</v>
      </c>
      <c r="R72" s="281">
        <v>7</v>
      </c>
      <c r="S72" s="281">
        <v>9</v>
      </c>
      <c r="T72" s="281">
        <v>10</v>
      </c>
      <c r="U72" s="282">
        <v>10</v>
      </c>
      <c r="V72" s="281">
        <v>10</v>
      </c>
      <c r="W72" s="281">
        <v>10</v>
      </c>
      <c r="X72" s="281">
        <v>13</v>
      </c>
      <c r="Y72" s="284">
        <v>14</v>
      </c>
      <c r="Z72" s="282">
        <v>14</v>
      </c>
      <c r="AA72" s="284">
        <v>14</v>
      </c>
      <c r="AB72" s="284">
        <v>14</v>
      </c>
      <c r="AC72" s="281">
        <v>15</v>
      </c>
      <c r="AD72" s="284">
        <v>16</v>
      </c>
      <c r="AE72" s="282">
        <v>16</v>
      </c>
      <c r="AF72" s="284">
        <v>17</v>
      </c>
      <c r="AG72" s="284">
        <v>18</v>
      </c>
      <c r="AH72" s="281">
        <v>20</v>
      </c>
      <c r="AI72" s="284">
        <v>20</v>
      </c>
      <c r="AJ72" s="282">
        <v>20</v>
      </c>
      <c r="AK72" s="284">
        <v>20</v>
      </c>
      <c r="AL72" s="284">
        <v>20</v>
      </c>
      <c r="AM72" s="281">
        <v>21</v>
      </c>
      <c r="AN72" s="284">
        <v>22</v>
      </c>
      <c r="AO72" s="282">
        <v>22</v>
      </c>
      <c r="AP72" s="284">
        <v>22</v>
      </c>
      <c r="AQ72" s="284">
        <v>24</v>
      </c>
      <c r="AR72" s="285">
        <v>24</v>
      </c>
      <c r="AS72" s="284">
        <v>24</v>
      </c>
      <c r="AT72" s="282">
        <v>24</v>
      </c>
      <c r="AU72" s="284">
        <v>24</v>
      </c>
      <c r="AV72" s="284">
        <v>25</v>
      </c>
      <c r="AW72" s="285">
        <v>26</v>
      </c>
      <c r="AX72" s="285">
        <v>27</v>
      </c>
      <c r="AY72" s="282">
        <v>27</v>
      </c>
      <c r="AZ72" s="284">
        <v>27</v>
      </c>
      <c r="BA72" s="284">
        <v>28</v>
      </c>
      <c r="BB72" s="285">
        <v>28</v>
      </c>
      <c r="BC72" s="285">
        <v>28</v>
      </c>
      <c r="BD72" s="282">
        <v>28</v>
      </c>
      <c r="BE72" s="284">
        <v>27</v>
      </c>
      <c r="BF72" s="284">
        <v>28</v>
      </c>
      <c r="BG72" s="285">
        <v>28</v>
      </c>
      <c r="BH72" s="285">
        <v>31</v>
      </c>
      <c r="BI72" s="286">
        <v>31</v>
      </c>
      <c r="BJ72" s="287">
        <v>33</v>
      </c>
      <c r="BK72" s="287">
        <v>35</v>
      </c>
      <c r="BL72" s="287">
        <v>37</v>
      </c>
      <c r="BM72" s="287">
        <v>38</v>
      </c>
      <c r="BN72" s="278">
        <v>38</v>
      </c>
      <c r="BO72" s="287">
        <v>39</v>
      </c>
      <c r="BP72" s="287">
        <v>40</v>
      </c>
      <c r="BQ72" s="287">
        <v>41</v>
      </c>
      <c r="BR72" s="287">
        <v>41</v>
      </c>
      <c r="BS72" s="278">
        <v>41</v>
      </c>
      <c r="BT72" s="278">
        <v>42</v>
      </c>
      <c r="BU72" s="278">
        <v>42</v>
      </c>
      <c r="BV72" s="278">
        <v>42</v>
      </c>
      <c r="BW72" s="197"/>
    </row>
    <row r="73" spans="1:75" s="198" customFormat="1" ht="14.25" hidden="1" outlineLevel="3" x14ac:dyDescent="0.45">
      <c r="A73" s="168" t="s">
        <v>241</v>
      </c>
      <c r="B73" s="243"/>
      <c r="C73" s="244"/>
      <c r="D73" s="244"/>
      <c r="E73" s="244"/>
      <c r="F73" s="244"/>
      <c r="G73" s="288">
        <v>4</v>
      </c>
      <c r="H73" s="288">
        <v>5</v>
      </c>
      <c r="I73" s="288">
        <v>5</v>
      </c>
      <c r="J73" s="288">
        <v>5</v>
      </c>
      <c r="K73" s="246">
        <v>4.75</v>
      </c>
      <c r="L73" s="288">
        <v>5</v>
      </c>
      <c r="M73" s="288">
        <v>5.5</v>
      </c>
      <c r="N73" s="288">
        <v>6</v>
      </c>
      <c r="O73" s="288">
        <v>6.5</v>
      </c>
      <c r="P73" s="246">
        <v>5.75</v>
      </c>
      <c r="Q73" s="245">
        <v>7</v>
      </c>
      <c r="R73" s="288">
        <v>7</v>
      </c>
      <c r="S73" s="288">
        <v>8</v>
      </c>
      <c r="T73" s="288">
        <v>9.5</v>
      </c>
      <c r="U73" s="246">
        <v>7.875</v>
      </c>
      <c r="V73" s="288">
        <v>10</v>
      </c>
      <c r="W73" s="288">
        <v>10</v>
      </c>
      <c r="X73" s="288">
        <v>11.5</v>
      </c>
      <c r="Y73" s="168">
        <v>13.5</v>
      </c>
      <c r="Z73" s="246">
        <v>11.25</v>
      </c>
      <c r="AA73" s="168">
        <v>14</v>
      </c>
      <c r="AB73" s="168">
        <v>14</v>
      </c>
      <c r="AC73" s="288">
        <v>14.5</v>
      </c>
      <c r="AD73" s="168">
        <v>15.5</v>
      </c>
      <c r="AE73" s="246">
        <v>14.518867924528301</v>
      </c>
      <c r="AF73" s="168">
        <v>16.5</v>
      </c>
      <c r="AG73" s="168">
        <v>17.5</v>
      </c>
      <c r="AH73" s="288">
        <v>19</v>
      </c>
      <c r="AI73" s="168">
        <v>20</v>
      </c>
      <c r="AJ73" s="246">
        <v>18.25</v>
      </c>
      <c r="AK73" s="168">
        <v>20</v>
      </c>
      <c r="AL73" s="168">
        <v>20</v>
      </c>
      <c r="AM73" s="288">
        <v>20.5</v>
      </c>
      <c r="AN73" s="168">
        <v>21.5</v>
      </c>
      <c r="AO73" s="246">
        <v>20.5</v>
      </c>
      <c r="AP73" s="168">
        <v>22</v>
      </c>
      <c r="AQ73" s="168">
        <v>23</v>
      </c>
      <c r="AR73" s="289">
        <v>24</v>
      </c>
      <c r="AS73" s="168">
        <v>24</v>
      </c>
      <c r="AT73" s="246">
        <v>23.25</v>
      </c>
      <c r="AU73" s="168">
        <v>24</v>
      </c>
      <c r="AV73" s="168">
        <v>24.5</v>
      </c>
      <c r="AW73" s="289">
        <v>25.5</v>
      </c>
      <c r="AX73" s="168">
        <v>26.5</v>
      </c>
      <c r="AY73" s="246">
        <v>25.125</v>
      </c>
      <c r="AZ73" s="168">
        <v>27</v>
      </c>
      <c r="BA73" s="168">
        <v>27.5</v>
      </c>
      <c r="BB73" s="289">
        <v>28</v>
      </c>
      <c r="BC73" s="168">
        <v>28</v>
      </c>
      <c r="BD73" s="246">
        <v>27.625</v>
      </c>
      <c r="BE73" s="168">
        <v>27.5</v>
      </c>
      <c r="BF73" s="168">
        <v>27.5</v>
      </c>
      <c r="BG73" s="289">
        <v>28</v>
      </c>
      <c r="BH73" s="168">
        <v>29.5</v>
      </c>
      <c r="BI73" s="290">
        <v>28.150943396226417</v>
      </c>
      <c r="BJ73" s="247">
        <v>32</v>
      </c>
      <c r="BK73" s="247">
        <v>34</v>
      </c>
      <c r="BL73" s="247">
        <v>36</v>
      </c>
      <c r="BM73" s="247">
        <v>37.5</v>
      </c>
      <c r="BN73" s="244">
        <v>34.875</v>
      </c>
      <c r="BO73" s="247">
        <v>38.5</v>
      </c>
      <c r="BP73" s="247">
        <v>39.5</v>
      </c>
      <c r="BQ73" s="247">
        <v>40.5</v>
      </c>
      <c r="BR73" s="247">
        <v>41</v>
      </c>
      <c r="BS73" s="244">
        <v>39.875</v>
      </c>
      <c r="BT73" s="244">
        <v>41.5</v>
      </c>
      <c r="BU73" s="244">
        <v>42</v>
      </c>
      <c r="BV73" s="244">
        <v>42</v>
      </c>
      <c r="BW73" s="197"/>
    </row>
    <row r="74" spans="1:75" s="198" customFormat="1" ht="14.25" hidden="1" outlineLevel="3" x14ac:dyDescent="0.45">
      <c r="A74" s="291"/>
      <c r="B74" s="243"/>
      <c r="C74" s="244"/>
      <c r="D74" s="244"/>
      <c r="E74" s="244"/>
      <c r="F74" s="244"/>
      <c r="G74" s="245"/>
      <c r="H74" s="245"/>
      <c r="I74" s="245"/>
      <c r="J74" s="245"/>
      <c r="K74" s="244"/>
      <c r="L74" s="245"/>
      <c r="M74" s="245"/>
      <c r="N74" s="245"/>
      <c r="O74" s="245"/>
      <c r="P74" s="244"/>
      <c r="Q74" s="245"/>
      <c r="R74" s="245"/>
      <c r="S74" s="245"/>
      <c r="T74" s="245"/>
      <c r="U74" s="244"/>
      <c r="V74" s="245"/>
      <c r="W74" s="245"/>
      <c r="X74" s="245"/>
      <c r="Y74" s="247"/>
      <c r="Z74" s="244"/>
      <c r="AA74" s="247"/>
      <c r="AB74" s="247"/>
      <c r="AC74" s="245"/>
      <c r="AD74" s="247"/>
      <c r="AE74" s="244"/>
      <c r="AF74" s="247"/>
      <c r="AG74" s="247"/>
      <c r="AH74" s="245"/>
      <c r="AI74" s="247"/>
      <c r="AJ74" s="244"/>
      <c r="AK74" s="247"/>
      <c r="AL74" s="247"/>
      <c r="AM74" s="245"/>
      <c r="AN74" s="247"/>
      <c r="AO74" s="244"/>
      <c r="AP74" s="247"/>
      <c r="AQ74" s="247"/>
      <c r="AR74" s="248"/>
      <c r="AS74" s="247"/>
      <c r="AT74" s="244"/>
      <c r="AU74" s="247"/>
      <c r="AV74" s="247"/>
      <c r="AW74" s="248"/>
      <c r="AX74" s="247"/>
      <c r="AY74" s="244"/>
      <c r="AZ74" s="247"/>
      <c r="BA74" s="247"/>
      <c r="BB74" s="248"/>
      <c r="BC74" s="247"/>
      <c r="BD74" s="244"/>
      <c r="BE74" s="247"/>
      <c r="BF74" s="247"/>
      <c r="BG74" s="248"/>
      <c r="BH74" s="247"/>
      <c r="BI74" s="249"/>
      <c r="BJ74" s="247"/>
      <c r="BK74" s="247"/>
      <c r="BL74" s="247"/>
      <c r="BM74" s="247"/>
      <c r="BN74" s="244"/>
      <c r="BO74" s="247"/>
      <c r="BP74" s="247"/>
      <c r="BQ74" s="247"/>
      <c r="BR74" s="247"/>
      <c r="BS74" s="244"/>
      <c r="BT74" s="244"/>
      <c r="BU74" s="244"/>
      <c r="BV74" s="244"/>
      <c r="BW74" s="197"/>
    </row>
    <row r="75" spans="1:75" s="198" customFormat="1" ht="14.25" hidden="1" outlineLevel="3" x14ac:dyDescent="0.45">
      <c r="A75" s="292" t="s">
        <v>242</v>
      </c>
      <c r="B75" s="243"/>
      <c r="C75" s="293"/>
      <c r="D75" s="293"/>
      <c r="E75" s="293"/>
      <c r="F75" s="293"/>
      <c r="G75" s="294"/>
      <c r="H75" s="294"/>
      <c r="I75" s="294"/>
      <c r="J75" s="294"/>
      <c r="K75" s="293"/>
      <c r="L75" s="294">
        <v>88.500000000000142</v>
      </c>
      <c r="M75" s="294">
        <v>88.500000000000142</v>
      </c>
      <c r="N75" s="294">
        <v>102.50000000000014</v>
      </c>
      <c r="O75" s="294">
        <v>113.90000000000015</v>
      </c>
      <c r="P75" s="293">
        <v>88.500000000000128</v>
      </c>
      <c r="Q75" s="294">
        <v>160.00000000000014</v>
      </c>
      <c r="R75" s="294">
        <v>160.00000000000014</v>
      </c>
      <c r="S75" s="294">
        <v>160.00000000000014</v>
      </c>
      <c r="T75" s="294">
        <v>251.20000000000013</v>
      </c>
      <c r="U75" s="293">
        <v>160.00000000000014</v>
      </c>
      <c r="V75" s="294">
        <v>287.30000000000013</v>
      </c>
      <c r="W75" s="294">
        <v>287.30000000000013</v>
      </c>
      <c r="X75" s="294">
        <v>287.30000000000013</v>
      </c>
      <c r="Y75" s="295">
        <v>408.00000000000011</v>
      </c>
      <c r="Z75" s="293">
        <v>287.30000000000013</v>
      </c>
      <c r="AA75" s="295">
        <v>443.7000000000001</v>
      </c>
      <c r="AB75" s="295">
        <v>443.7000000000001</v>
      </c>
      <c r="AC75" s="294">
        <v>443.7000000000001</v>
      </c>
      <c r="AD75" s="295">
        <v>487.00000000000011</v>
      </c>
      <c r="AE75" s="293">
        <v>443.7000000000001</v>
      </c>
      <c r="AF75" s="295">
        <v>533.5</v>
      </c>
      <c r="AG75" s="295">
        <v>559.5</v>
      </c>
      <c r="AH75" s="294">
        <v>605.1</v>
      </c>
      <c r="AI75" s="295">
        <v>662.30000000000007</v>
      </c>
      <c r="AJ75" s="293">
        <v>533.50000000000011</v>
      </c>
      <c r="AK75" s="295">
        <v>662.30000000000007</v>
      </c>
      <c r="AL75" s="295">
        <v>662.30000000000007</v>
      </c>
      <c r="AM75" s="294">
        <v>662.30000000000007</v>
      </c>
      <c r="AN75" s="295">
        <v>695.2</v>
      </c>
      <c r="AO75" s="293">
        <v>662.30000000000007</v>
      </c>
      <c r="AP75" s="295">
        <v>728.2</v>
      </c>
      <c r="AQ75" s="295">
        <v>728.2</v>
      </c>
      <c r="AR75" s="296">
        <v>793.5</v>
      </c>
      <c r="AS75" s="295">
        <v>793.5</v>
      </c>
      <c r="AT75" s="293">
        <v>728.2</v>
      </c>
      <c r="AU75" s="295">
        <v>792</v>
      </c>
      <c r="AV75" s="295">
        <v>792</v>
      </c>
      <c r="AW75" s="296">
        <v>830</v>
      </c>
      <c r="AX75" s="295">
        <v>867.7</v>
      </c>
      <c r="AY75" s="293">
        <v>792</v>
      </c>
      <c r="AZ75" s="295">
        <v>904.5</v>
      </c>
      <c r="BA75" s="295">
        <v>904.5</v>
      </c>
      <c r="BB75" s="296">
        <v>946.6</v>
      </c>
      <c r="BC75" s="295">
        <v>946.6</v>
      </c>
      <c r="BD75" s="293">
        <v>904.5</v>
      </c>
      <c r="BE75" s="295">
        <v>946.4</v>
      </c>
      <c r="BF75" s="295">
        <v>933.4</v>
      </c>
      <c r="BG75" s="296">
        <v>968.5</v>
      </c>
      <c r="BH75" s="296">
        <v>968.5</v>
      </c>
      <c r="BI75" s="297">
        <v>946.4</v>
      </c>
      <c r="BJ75" s="295">
        <v>1035.4000000000001</v>
      </c>
      <c r="BK75" s="295">
        <v>1115.5600000000002</v>
      </c>
      <c r="BL75" s="295">
        <v>1196.6916363636365</v>
      </c>
      <c r="BM75" s="295">
        <v>1278.7504914285714</v>
      </c>
      <c r="BN75" s="293">
        <v>1035.4000000000001</v>
      </c>
      <c r="BO75" s="295">
        <v>1320.2234803397685</v>
      </c>
      <c r="BP75" s="295">
        <v>1361.9147481399716</v>
      </c>
      <c r="BQ75" s="295">
        <v>1403.8198173135092</v>
      </c>
      <c r="BR75" s="295">
        <v>1445.9344118329145</v>
      </c>
      <c r="BS75" s="293">
        <v>1320.2234803397685</v>
      </c>
      <c r="BT75" s="293">
        <v>1445.9344118329145</v>
      </c>
      <c r="BU75" s="293">
        <v>1488.2544433987559</v>
      </c>
      <c r="BV75" s="293">
        <v>1488.2544433987559</v>
      </c>
      <c r="BW75" s="197"/>
    </row>
    <row r="76" spans="1:75" s="123" customFormat="1" hidden="1" outlineLevel="4" x14ac:dyDescent="0.5">
      <c r="A76" s="298" t="s">
        <v>243</v>
      </c>
      <c r="B76" s="251"/>
      <c r="C76" s="299"/>
      <c r="D76" s="299"/>
      <c r="E76" s="299"/>
      <c r="F76" s="299"/>
      <c r="G76" s="300"/>
      <c r="H76" s="300"/>
      <c r="I76" s="300"/>
      <c r="J76" s="300"/>
      <c r="K76" s="299"/>
      <c r="L76" s="300"/>
      <c r="M76" s="300"/>
      <c r="N76" s="300"/>
      <c r="O76" s="300">
        <v>0</v>
      </c>
      <c r="P76" s="299"/>
      <c r="Q76" s="300"/>
      <c r="R76" s="300"/>
      <c r="S76" s="300"/>
      <c r="T76" s="300">
        <v>0</v>
      </c>
      <c r="U76" s="299"/>
      <c r="V76" s="300"/>
      <c r="W76" s="300"/>
      <c r="X76" s="300"/>
      <c r="Y76" s="119">
        <v>0</v>
      </c>
      <c r="Z76" s="299"/>
      <c r="AA76" s="119"/>
      <c r="AB76" s="119"/>
      <c r="AC76" s="300"/>
      <c r="AD76" s="119">
        <v>0</v>
      </c>
      <c r="AE76" s="299"/>
      <c r="AF76" s="119"/>
      <c r="AG76" s="119"/>
      <c r="AH76" s="300"/>
      <c r="AI76" s="119">
        <v>0</v>
      </c>
      <c r="AJ76" s="299"/>
      <c r="AK76" s="119"/>
      <c r="AL76" s="119"/>
      <c r="AM76" s="300"/>
      <c r="AN76" s="119">
        <v>0</v>
      </c>
      <c r="AO76" s="299"/>
      <c r="AP76" s="119"/>
      <c r="AQ76" s="119"/>
      <c r="AR76" s="301"/>
      <c r="AS76" s="119">
        <v>0</v>
      </c>
      <c r="AT76" s="299"/>
      <c r="AU76" s="119"/>
      <c r="AV76" s="119"/>
      <c r="AW76" s="301"/>
      <c r="AX76" s="119">
        <v>0</v>
      </c>
      <c r="AY76" s="299"/>
      <c r="AZ76" s="119"/>
      <c r="BA76" s="119"/>
      <c r="BB76" s="301"/>
      <c r="BC76" s="119">
        <v>0</v>
      </c>
      <c r="BD76" s="299"/>
      <c r="BE76" s="119"/>
      <c r="BF76" s="302">
        <v>35.1</v>
      </c>
      <c r="BG76" s="301"/>
      <c r="BH76" s="119">
        <v>0</v>
      </c>
      <c r="BI76" s="303">
        <v>35.1</v>
      </c>
      <c r="BJ76" s="119"/>
      <c r="BK76" s="119"/>
      <c r="BL76" s="119"/>
      <c r="BM76" s="119"/>
      <c r="BN76" s="299"/>
      <c r="BO76" s="119"/>
      <c r="BP76" s="119"/>
      <c r="BQ76" s="119"/>
      <c r="BR76" s="119"/>
      <c r="BS76" s="299"/>
      <c r="BT76" s="299"/>
      <c r="BU76" s="299"/>
      <c r="BV76" s="299"/>
      <c r="BW76" s="122"/>
    </row>
    <row r="77" spans="1:75" s="123" customFormat="1" hidden="1" outlineLevel="4" x14ac:dyDescent="0.5">
      <c r="A77" s="298" t="s">
        <v>244</v>
      </c>
      <c r="B77" s="251"/>
      <c r="C77" s="299"/>
      <c r="D77" s="299"/>
      <c r="E77" s="299"/>
      <c r="F77" s="299"/>
      <c r="G77" s="300"/>
      <c r="H77" s="300"/>
      <c r="I77" s="300"/>
      <c r="J77" s="300"/>
      <c r="K77" s="299"/>
      <c r="L77" s="300"/>
      <c r="M77" s="300"/>
      <c r="N77" s="300"/>
      <c r="O77" s="300"/>
      <c r="P77" s="299"/>
      <c r="Q77" s="300"/>
      <c r="R77" s="300"/>
      <c r="S77" s="300"/>
      <c r="T77" s="300"/>
      <c r="U77" s="299"/>
      <c r="V77" s="300"/>
      <c r="W77" s="300"/>
      <c r="X77" s="300"/>
      <c r="Y77" s="119"/>
      <c r="Z77" s="299"/>
      <c r="AA77" s="119"/>
      <c r="AB77" s="119"/>
      <c r="AC77" s="300"/>
      <c r="AD77" s="119"/>
      <c r="AE77" s="299"/>
      <c r="AF77" s="119"/>
      <c r="AG77" s="119"/>
      <c r="AH77" s="300"/>
      <c r="AI77" s="119"/>
      <c r="AJ77" s="299"/>
      <c r="AK77" s="119"/>
      <c r="AL77" s="119"/>
      <c r="AM77" s="300"/>
      <c r="AN77" s="119"/>
      <c r="AO77" s="299"/>
      <c r="AP77" s="119"/>
      <c r="AQ77" s="119"/>
      <c r="AR77" s="301"/>
      <c r="AS77" s="119"/>
      <c r="AT77" s="299"/>
      <c r="AU77" s="119"/>
      <c r="AV77" s="119"/>
      <c r="AW77" s="301"/>
      <c r="AX77" s="119"/>
      <c r="AY77" s="299"/>
      <c r="AZ77" s="119"/>
      <c r="BA77" s="119"/>
      <c r="BB77" s="301"/>
      <c r="BC77" s="119"/>
      <c r="BD77" s="299"/>
      <c r="BE77" s="119"/>
      <c r="BF77" s="119"/>
      <c r="BG77" s="301"/>
      <c r="BH77" s="119">
        <v>26.4</v>
      </c>
      <c r="BI77" s="303">
        <v>26.4</v>
      </c>
      <c r="BJ77" s="119"/>
      <c r="BK77" s="119"/>
      <c r="BL77" s="119"/>
      <c r="BM77" s="119"/>
      <c r="BN77" s="299"/>
      <c r="BO77" s="119"/>
      <c r="BP77" s="119"/>
      <c r="BQ77" s="119"/>
      <c r="BR77" s="119"/>
      <c r="BS77" s="299"/>
      <c r="BT77" s="299"/>
      <c r="BU77" s="299"/>
      <c r="BV77" s="299"/>
      <c r="BW77" s="122"/>
    </row>
    <row r="78" spans="1:75" s="123" customFormat="1" hidden="1" outlineLevel="4" x14ac:dyDescent="0.5">
      <c r="A78" s="298" t="s">
        <v>245</v>
      </c>
      <c r="B78" s="251"/>
      <c r="C78" s="299"/>
      <c r="D78" s="299"/>
      <c r="E78" s="299"/>
      <c r="F78" s="299"/>
      <c r="G78" s="300"/>
      <c r="H78" s="300"/>
      <c r="I78" s="300"/>
      <c r="J78" s="300"/>
      <c r="K78" s="299"/>
      <c r="L78" s="300"/>
      <c r="M78" s="300"/>
      <c r="N78" s="300"/>
      <c r="O78" s="300"/>
      <c r="P78" s="299"/>
      <c r="Q78" s="300"/>
      <c r="R78" s="300"/>
      <c r="S78" s="300"/>
      <c r="T78" s="300"/>
      <c r="U78" s="299"/>
      <c r="V78" s="300"/>
      <c r="W78" s="300"/>
      <c r="X78" s="300"/>
      <c r="Y78" s="119"/>
      <c r="Z78" s="299"/>
      <c r="AA78" s="119"/>
      <c r="AB78" s="119"/>
      <c r="AC78" s="300"/>
      <c r="AD78" s="119"/>
      <c r="AE78" s="299"/>
      <c r="AF78" s="119"/>
      <c r="AG78" s="119"/>
      <c r="AH78" s="300"/>
      <c r="AI78" s="119"/>
      <c r="AJ78" s="299"/>
      <c r="AK78" s="119"/>
      <c r="AL78" s="119"/>
      <c r="AM78" s="300"/>
      <c r="AN78" s="119"/>
      <c r="AO78" s="299"/>
      <c r="AP78" s="119"/>
      <c r="AQ78" s="119"/>
      <c r="AR78" s="301"/>
      <c r="AS78" s="119"/>
      <c r="AT78" s="299"/>
      <c r="AU78" s="119"/>
      <c r="AV78" s="119"/>
      <c r="AW78" s="301"/>
      <c r="AX78" s="119"/>
      <c r="AY78" s="299"/>
      <c r="AZ78" s="119"/>
      <c r="BA78" s="119"/>
      <c r="BB78" s="301"/>
      <c r="BC78" s="119"/>
      <c r="BD78" s="299"/>
      <c r="BE78" s="119"/>
      <c r="BF78" s="119"/>
      <c r="BG78" s="301"/>
      <c r="BH78" s="119">
        <v>19.600000000000001</v>
      </c>
      <c r="BI78" s="303">
        <v>19.600000000000001</v>
      </c>
      <c r="BJ78" s="119"/>
      <c r="BK78" s="119"/>
      <c r="BL78" s="119"/>
      <c r="BM78" s="119"/>
      <c r="BN78" s="299"/>
      <c r="BO78" s="119"/>
      <c r="BP78" s="119"/>
      <c r="BQ78" s="119"/>
      <c r="BR78" s="119"/>
      <c r="BS78" s="299"/>
      <c r="BT78" s="299"/>
      <c r="BU78" s="299"/>
      <c r="BV78" s="299"/>
      <c r="BW78" s="122"/>
    </row>
    <row r="79" spans="1:75" s="123" customFormat="1" hidden="1" outlineLevel="4" x14ac:dyDescent="0.5">
      <c r="A79" s="298" t="s">
        <v>246</v>
      </c>
      <c r="B79" s="251"/>
      <c r="C79" s="299"/>
      <c r="D79" s="299"/>
      <c r="E79" s="299"/>
      <c r="F79" s="299"/>
      <c r="G79" s="300"/>
      <c r="H79" s="300"/>
      <c r="I79" s="300"/>
      <c r="J79" s="300"/>
      <c r="K79" s="299"/>
      <c r="L79" s="300"/>
      <c r="M79" s="300"/>
      <c r="N79" s="300"/>
      <c r="O79" s="300"/>
      <c r="P79" s="299"/>
      <c r="Q79" s="300"/>
      <c r="R79" s="300"/>
      <c r="S79" s="300"/>
      <c r="T79" s="300"/>
      <c r="U79" s="299"/>
      <c r="V79" s="300"/>
      <c r="W79" s="300"/>
      <c r="X79" s="300"/>
      <c r="Y79" s="119"/>
      <c r="Z79" s="299"/>
      <c r="AA79" s="119"/>
      <c r="AB79" s="119"/>
      <c r="AC79" s="300"/>
      <c r="AD79" s="119"/>
      <c r="AE79" s="299"/>
      <c r="AF79" s="119"/>
      <c r="AG79" s="119"/>
      <c r="AH79" s="300"/>
      <c r="AI79" s="119"/>
      <c r="AJ79" s="299"/>
      <c r="AK79" s="119"/>
      <c r="AL79" s="119"/>
      <c r="AM79" s="300"/>
      <c r="AN79" s="119"/>
      <c r="AO79" s="299"/>
      <c r="AP79" s="119"/>
      <c r="AQ79" s="119"/>
      <c r="AR79" s="301"/>
      <c r="AS79" s="119"/>
      <c r="AT79" s="299"/>
      <c r="AU79" s="119"/>
      <c r="AV79" s="119"/>
      <c r="AW79" s="301"/>
      <c r="AX79" s="119"/>
      <c r="AY79" s="299"/>
      <c r="AZ79" s="119"/>
      <c r="BA79" s="119"/>
      <c r="BB79" s="301"/>
      <c r="BC79" s="119"/>
      <c r="BD79" s="299"/>
      <c r="BE79" s="119"/>
      <c r="BF79" s="119"/>
      <c r="BG79" s="301"/>
      <c r="BH79" s="119">
        <v>20.6</v>
      </c>
      <c r="BI79" s="304">
        <v>20.6</v>
      </c>
      <c r="BJ79" s="119"/>
      <c r="BK79" s="119"/>
      <c r="BL79" s="119"/>
      <c r="BM79" s="119"/>
      <c r="BN79" s="299"/>
      <c r="BO79" s="119"/>
      <c r="BP79" s="119"/>
      <c r="BQ79" s="119"/>
      <c r="BR79" s="119"/>
      <c r="BS79" s="299"/>
      <c r="BT79" s="299"/>
      <c r="BU79" s="299"/>
      <c r="BV79" s="299"/>
      <c r="BW79" s="122"/>
    </row>
    <row r="80" spans="1:75" s="123" customFormat="1" hidden="1" outlineLevel="4" x14ac:dyDescent="0.5">
      <c r="A80" s="298" t="s">
        <v>247</v>
      </c>
      <c r="B80" s="251"/>
      <c r="C80" s="299"/>
      <c r="D80" s="299"/>
      <c r="E80" s="299"/>
      <c r="F80" s="299"/>
      <c r="G80" s="300"/>
      <c r="H80" s="300"/>
      <c r="I80" s="300"/>
      <c r="J80" s="300"/>
      <c r="K80" s="299"/>
      <c r="L80" s="300"/>
      <c r="M80" s="300"/>
      <c r="N80" s="300"/>
      <c r="O80" s="300">
        <v>0</v>
      </c>
      <c r="P80" s="299"/>
      <c r="Q80" s="300"/>
      <c r="R80" s="300"/>
      <c r="S80" s="300"/>
      <c r="T80" s="300">
        <v>0</v>
      </c>
      <c r="U80" s="299"/>
      <c r="V80" s="300"/>
      <c r="W80" s="300"/>
      <c r="X80" s="300"/>
      <c r="Y80" s="119">
        <v>0</v>
      </c>
      <c r="Z80" s="299"/>
      <c r="AA80" s="119"/>
      <c r="AB80" s="119"/>
      <c r="AC80" s="300"/>
      <c r="AD80" s="119">
        <v>0</v>
      </c>
      <c r="AE80" s="299"/>
      <c r="AF80" s="119"/>
      <c r="AG80" s="119"/>
      <c r="AH80" s="300"/>
      <c r="AI80" s="119">
        <v>0</v>
      </c>
      <c r="AJ80" s="299"/>
      <c r="AK80" s="119"/>
      <c r="AL80" s="119"/>
      <c r="AM80" s="300"/>
      <c r="AN80" s="119">
        <v>0</v>
      </c>
      <c r="AO80" s="299"/>
      <c r="AP80" s="119"/>
      <c r="AQ80" s="119"/>
      <c r="AR80" s="301"/>
      <c r="AS80" s="119">
        <v>0</v>
      </c>
      <c r="AT80" s="299"/>
      <c r="AU80" s="119"/>
      <c r="AV80" s="119"/>
      <c r="AW80" s="301"/>
      <c r="AX80" s="119">
        <v>0</v>
      </c>
      <c r="AY80" s="299"/>
      <c r="AZ80" s="119"/>
      <c r="BA80" s="302">
        <v>42.1</v>
      </c>
      <c r="BB80" s="301"/>
      <c r="BC80" s="119">
        <v>0</v>
      </c>
      <c r="BD80" s="305">
        <v>42.1</v>
      </c>
      <c r="BE80" s="119"/>
      <c r="BF80" s="119"/>
      <c r="BG80" s="301"/>
      <c r="BH80" s="119">
        <v>0</v>
      </c>
      <c r="BI80" s="304"/>
      <c r="BJ80" s="119"/>
      <c r="BK80" s="119"/>
      <c r="BL80" s="119"/>
      <c r="BM80" s="119"/>
      <c r="BN80" s="299"/>
      <c r="BO80" s="119"/>
      <c r="BP80" s="119"/>
      <c r="BQ80" s="119"/>
      <c r="BR80" s="119"/>
      <c r="BS80" s="299"/>
      <c r="BT80" s="299"/>
      <c r="BU80" s="299"/>
      <c r="BV80" s="299"/>
      <c r="BW80" s="122"/>
    </row>
    <row r="81" spans="1:75" s="123" customFormat="1" hidden="1" outlineLevel="4" x14ac:dyDescent="0.5">
      <c r="A81" s="298" t="s">
        <v>248</v>
      </c>
      <c r="B81" s="251"/>
      <c r="C81" s="299"/>
      <c r="D81" s="299"/>
      <c r="E81" s="299"/>
      <c r="F81" s="299"/>
      <c r="G81" s="300"/>
      <c r="H81" s="300"/>
      <c r="I81" s="300"/>
      <c r="J81" s="300"/>
      <c r="K81" s="299"/>
      <c r="L81" s="300"/>
      <c r="M81" s="300"/>
      <c r="N81" s="300"/>
      <c r="O81" s="300">
        <v>0</v>
      </c>
      <c r="P81" s="299"/>
      <c r="Q81" s="300"/>
      <c r="R81" s="300"/>
      <c r="S81" s="300"/>
      <c r="T81" s="300">
        <v>0</v>
      </c>
      <c r="U81" s="299"/>
      <c r="V81" s="300"/>
      <c r="W81" s="300"/>
      <c r="X81" s="300"/>
      <c r="Y81" s="119">
        <v>0</v>
      </c>
      <c r="Z81" s="299"/>
      <c r="AA81" s="119"/>
      <c r="AB81" s="119"/>
      <c r="AC81" s="300"/>
      <c r="AD81" s="119">
        <v>0</v>
      </c>
      <c r="AE81" s="299"/>
      <c r="AF81" s="119"/>
      <c r="AG81" s="119"/>
      <c r="AH81" s="300"/>
      <c r="AI81" s="119">
        <v>0</v>
      </c>
      <c r="AJ81" s="299"/>
      <c r="AK81" s="119"/>
      <c r="AL81" s="119"/>
      <c r="AM81" s="300"/>
      <c r="AN81" s="119">
        <v>0</v>
      </c>
      <c r="AO81" s="299"/>
      <c r="AP81" s="119"/>
      <c r="AQ81" s="119"/>
      <c r="AR81" s="301"/>
      <c r="AS81" s="119">
        <v>0</v>
      </c>
      <c r="AT81" s="299"/>
      <c r="AU81" s="119"/>
      <c r="AV81" s="302">
        <v>38</v>
      </c>
      <c r="AW81" s="301"/>
      <c r="AX81" s="119">
        <v>0</v>
      </c>
      <c r="AY81" s="305">
        <v>38</v>
      </c>
      <c r="AZ81" s="119"/>
      <c r="BA81" s="119"/>
      <c r="BB81" s="301"/>
      <c r="BC81" s="119">
        <v>0</v>
      </c>
      <c r="BD81" s="299"/>
      <c r="BE81" s="119"/>
      <c r="BF81" s="119"/>
      <c r="BG81" s="301"/>
      <c r="BH81" s="119">
        <v>0</v>
      </c>
      <c r="BI81" s="304"/>
      <c r="BJ81" s="119"/>
      <c r="BK81" s="119"/>
      <c r="BL81" s="119"/>
      <c r="BM81" s="119"/>
      <c r="BN81" s="299"/>
      <c r="BO81" s="119"/>
      <c r="BP81" s="119"/>
      <c r="BQ81" s="119"/>
      <c r="BR81" s="119"/>
      <c r="BS81" s="299"/>
      <c r="BT81" s="299"/>
      <c r="BU81" s="299"/>
      <c r="BV81" s="299"/>
      <c r="BW81" s="122"/>
    </row>
    <row r="82" spans="1:75" s="123" customFormat="1" hidden="1" outlineLevel="4" x14ac:dyDescent="0.5">
      <c r="A82" s="298" t="s">
        <v>249</v>
      </c>
      <c r="B82" s="251"/>
      <c r="C82" s="299"/>
      <c r="D82" s="299"/>
      <c r="E82" s="299"/>
      <c r="F82" s="299"/>
      <c r="G82" s="300"/>
      <c r="H82" s="300"/>
      <c r="I82" s="300"/>
      <c r="J82" s="300"/>
      <c r="K82" s="299"/>
      <c r="L82" s="300"/>
      <c r="M82" s="300"/>
      <c r="N82" s="300"/>
      <c r="O82" s="300">
        <v>0</v>
      </c>
      <c r="P82" s="299"/>
      <c r="Q82" s="300"/>
      <c r="R82" s="300"/>
      <c r="S82" s="300"/>
      <c r="T82" s="300">
        <v>0</v>
      </c>
      <c r="U82" s="299"/>
      <c r="V82" s="300"/>
      <c r="W82" s="300"/>
      <c r="X82" s="300"/>
      <c r="Y82" s="119">
        <v>0</v>
      </c>
      <c r="Z82" s="299"/>
      <c r="AA82" s="119"/>
      <c r="AB82" s="119"/>
      <c r="AC82" s="300"/>
      <c r="AD82" s="119">
        <v>0</v>
      </c>
      <c r="AE82" s="299"/>
      <c r="AF82" s="119"/>
      <c r="AG82" s="119"/>
      <c r="AH82" s="300"/>
      <c r="AI82" s="119">
        <v>0</v>
      </c>
      <c r="AJ82" s="299"/>
      <c r="AK82" s="119"/>
      <c r="AL82" s="119"/>
      <c r="AM82" s="300"/>
      <c r="AN82" s="119">
        <v>0</v>
      </c>
      <c r="AO82" s="299"/>
      <c r="AP82" s="119"/>
      <c r="AQ82" s="119"/>
      <c r="AR82" s="301"/>
      <c r="AS82" s="119">
        <v>0</v>
      </c>
      <c r="AT82" s="299"/>
      <c r="AU82" s="119"/>
      <c r="AV82" s="119"/>
      <c r="AW82" s="306">
        <v>37.700000000000003</v>
      </c>
      <c r="AX82" s="119">
        <v>0</v>
      </c>
      <c r="AY82" s="305">
        <v>37.700000000000003</v>
      </c>
      <c r="AZ82" s="119"/>
      <c r="BA82" s="119"/>
      <c r="BB82" s="301"/>
      <c r="BC82" s="119">
        <v>0</v>
      </c>
      <c r="BD82" s="299"/>
      <c r="BE82" s="119"/>
      <c r="BF82" s="119"/>
      <c r="BG82" s="301"/>
      <c r="BH82" s="119">
        <v>0</v>
      </c>
      <c r="BI82" s="304"/>
      <c r="BJ82" s="119"/>
      <c r="BK82" s="119"/>
      <c r="BL82" s="119"/>
      <c r="BM82" s="119"/>
      <c r="BN82" s="299"/>
      <c r="BO82" s="119"/>
      <c r="BP82" s="119"/>
      <c r="BQ82" s="119"/>
      <c r="BR82" s="119"/>
      <c r="BS82" s="299"/>
      <c r="BT82" s="299"/>
      <c r="BU82" s="299"/>
      <c r="BV82" s="299"/>
      <c r="BW82" s="122"/>
    </row>
    <row r="83" spans="1:75" s="123" customFormat="1" hidden="1" outlineLevel="4" x14ac:dyDescent="0.5">
      <c r="A83" s="298" t="s">
        <v>250</v>
      </c>
      <c r="B83" s="251"/>
      <c r="C83" s="299"/>
      <c r="D83" s="299"/>
      <c r="E83" s="299"/>
      <c r="F83" s="299"/>
      <c r="G83" s="300"/>
      <c r="H83" s="300"/>
      <c r="I83" s="300"/>
      <c r="J83" s="300"/>
      <c r="K83" s="299"/>
      <c r="L83" s="300"/>
      <c r="M83" s="300"/>
      <c r="N83" s="300"/>
      <c r="O83" s="300">
        <v>0</v>
      </c>
      <c r="P83" s="299"/>
      <c r="Q83" s="300"/>
      <c r="R83" s="300"/>
      <c r="S83" s="300"/>
      <c r="T83" s="300">
        <v>0</v>
      </c>
      <c r="U83" s="299"/>
      <c r="V83" s="300"/>
      <c r="W83" s="300"/>
      <c r="X83" s="300"/>
      <c r="Y83" s="119">
        <v>0</v>
      </c>
      <c r="Z83" s="299"/>
      <c r="AA83" s="119"/>
      <c r="AB83" s="119"/>
      <c r="AC83" s="300"/>
      <c r="AD83" s="119">
        <v>0</v>
      </c>
      <c r="AE83" s="299"/>
      <c r="AF83" s="119"/>
      <c r="AG83" s="119"/>
      <c r="AH83" s="300"/>
      <c r="AI83" s="119">
        <v>0</v>
      </c>
      <c r="AJ83" s="299"/>
      <c r="AK83" s="119"/>
      <c r="AL83" s="119"/>
      <c r="AM83" s="300"/>
      <c r="AN83" s="119">
        <v>0</v>
      </c>
      <c r="AO83" s="299"/>
      <c r="AP83" s="119"/>
      <c r="AQ83" s="119"/>
      <c r="AR83" s="301"/>
      <c r="AS83" s="119">
        <v>0</v>
      </c>
      <c r="AT83" s="299"/>
      <c r="AU83" s="119"/>
      <c r="AV83" s="119"/>
      <c r="AW83" s="301"/>
      <c r="AX83" s="119">
        <v>37.700000000000003</v>
      </c>
      <c r="AY83" s="305">
        <v>37.700000000000003</v>
      </c>
      <c r="AZ83" s="119"/>
      <c r="BA83" s="119"/>
      <c r="BB83" s="301"/>
      <c r="BC83" s="119">
        <v>0</v>
      </c>
      <c r="BD83" s="299"/>
      <c r="BE83" s="119"/>
      <c r="BF83" s="119"/>
      <c r="BG83" s="301"/>
      <c r="BH83" s="119">
        <v>0</v>
      </c>
      <c r="BI83" s="304"/>
      <c r="BJ83" s="119"/>
      <c r="BK83" s="119"/>
      <c r="BL83" s="119"/>
      <c r="BM83" s="119"/>
      <c r="BN83" s="299"/>
      <c r="BO83" s="119"/>
      <c r="BP83" s="119"/>
      <c r="BQ83" s="119"/>
      <c r="BR83" s="119"/>
      <c r="BS83" s="299"/>
      <c r="BT83" s="299"/>
      <c r="BU83" s="299"/>
      <c r="BV83" s="299"/>
      <c r="BW83" s="122"/>
    </row>
    <row r="84" spans="1:75" s="123" customFormat="1" hidden="1" outlineLevel="4" x14ac:dyDescent="0.5">
      <c r="A84" s="298" t="s">
        <v>251</v>
      </c>
      <c r="B84" s="251"/>
      <c r="C84" s="299"/>
      <c r="D84" s="299"/>
      <c r="E84" s="299"/>
      <c r="F84" s="299"/>
      <c r="G84" s="300"/>
      <c r="H84" s="300"/>
      <c r="I84" s="300"/>
      <c r="J84" s="300"/>
      <c r="K84" s="299"/>
      <c r="L84" s="300"/>
      <c r="M84" s="300"/>
      <c r="N84" s="300"/>
      <c r="O84" s="300">
        <v>0</v>
      </c>
      <c r="P84" s="299"/>
      <c r="Q84" s="300"/>
      <c r="R84" s="300"/>
      <c r="S84" s="300"/>
      <c r="T84" s="300">
        <v>0</v>
      </c>
      <c r="U84" s="299"/>
      <c r="V84" s="300"/>
      <c r="W84" s="300"/>
      <c r="X84" s="300"/>
      <c r="Y84" s="119">
        <v>0</v>
      </c>
      <c r="Z84" s="299"/>
      <c r="AA84" s="119"/>
      <c r="AB84" s="119"/>
      <c r="AC84" s="300"/>
      <c r="AD84" s="119">
        <v>0</v>
      </c>
      <c r="AE84" s="299"/>
      <c r="AF84" s="119"/>
      <c r="AG84" s="119"/>
      <c r="AH84" s="300"/>
      <c r="AI84" s="119">
        <v>0</v>
      </c>
      <c r="AJ84" s="299"/>
      <c r="AK84" s="119"/>
      <c r="AL84" s="119"/>
      <c r="AM84" s="300"/>
      <c r="AN84" s="119">
        <v>0</v>
      </c>
      <c r="AO84" s="299"/>
      <c r="AP84" s="119"/>
      <c r="AQ84" s="302">
        <v>32.9</v>
      </c>
      <c r="AR84" s="301"/>
      <c r="AS84" s="119">
        <v>0</v>
      </c>
      <c r="AT84" s="305">
        <v>32.9</v>
      </c>
      <c r="AU84" s="119"/>
      <c r="AV84" s="119"/>
      <c r="AW84" s="301"/>
      <c r="AX84" s="119">
        <v>0</v>
      </c>
      <c r="AY84" s="299"/>
      <c r="AZ84" s="119"/>
      <c r="BA84" s="119"/>
      <c r="BB84" s="301"/>
      <c r="BC84" s="119">
        <v>0</v>
      </c>
      <c r="BD84" s="299"/>
      <c r="BE84" s="119"/>
      <c r="BF84" s="119"/>
      <c r="BG84" s="301"/>
      <c r="BH84" s="119">
        <v>0</v>
      </c>
      <c r="BI84" s="304"/>
      <c r="BJ84" s="119"/>
      <c r="BK84" s="119"/>
      <c r="BL84" s="119"/>
      <c r="BM84" s="119"/>
      <c r="BN84" s="299"/>
      <c r="BO84" s="119"/>
      <c r="BP84" s="119"/>
      <c r="BQ84" s="119"/>
      <c r="BR84" s="119"/>
      <c r="BS84" s="299"/>
      <c r="BT84" s="299"/>
      <c r="BU84" s="299"/>
      <c r="BV84" s="299"/>
      <c r="BW84" s="122"/>
    </row>
    <row r="85" spans="1:75" s="123" customFormat="1" hidden="1" outlineLevel="4" x14ac:dyDescent="0.5">
      <c r="A85" s="298" t="s">
        <v>252</v>
      </c>
      <c r="B85" s="251"/>
      <c r="C85" s="299"/>
      <c r="D85" s="299"/>
      <c r="E85" s="299"/>
      <c r="F85" s="299"/>
      <c r="G85" s="300"/>
      <c r="H85" s="300"/>
      <c r="I85" s="300"/>
      <c r="J85" s="300"/>
      <c r="K85" s="299"/>
      <c r="L85" s="300"/>
      <c r="M85" s="300"/>
      <c r="N85" s="300"/>
      <c r="O85" s="300">
        <v>0</v>
      </c>
      <c r="P85" s="299"/>
      <c r="Q85" s="300"/>
      <c r="R85" s="300"/>
      <c r="S85" s="300"/>
      <c r="T85" s="300">
        <v>0</v>
      </c>
      <c r="U85" s="299"/>
      <c r="V85" s="300"/>
      <c r="W85" s="300"/>
      <c r="X85" s="300"/>
      <c r="Y85" s="119">
        <v>0</v>
      </c>
      <c r="Z85" s="299"/>
      <c r="AA85" s="119"/>
      <c r="AB85" s="119"/>
      <c r="AC85" s="300"/>
      <c r="AD85" s="119">
        <v>0</v>
      </c>
      <c r="AE85" s="299"/>
      <c r="AF85" s="119"/>
      <c r="AG85" s="119"/>
      <c r="AH85" s="300"/>
      <c r="AI85" s="119">
        <v>0</v>
      </c>
      <c r="AJ85" s="299"/>
      <c r="AK85" s="119"/>
      <c r="AL85" s="119"/>
      <c r="AM85" s="300"/>
      <c r="AN85" s="119">
        <v>0</v>
      </c>
      <c r="AO85" s="299"/>
      <c r="AP85" s="119"/>
      <c r="AQ85" s="302">
        <v>32.4</v>
      </c>
      <c r="AR85" s="301"/>
      <c r="AS85" s="119">
        <v>0</v>
      </c>
      <c r="AT85" s="305">
        <v>32.4</v>
      </c>
      <c r="AU85" s="119"/>
      <c r="AV85" s="119"/>
      <c r="AW85" s="301"/>
      <c r="AX85" s="119">
        <v>0</v>
      </c>
      <c r="AY85" s="299"/>
      <c r="AZ85" s="119"/>
      <c r="BA85" s="119"/>
      <c r="BB85" s="301"/>
      <c r="BC85" s="119">
        <v>0</v>
      </c>
      <c r="BD85" s="299"/>
      <c r="BE85" s="119"/>
      <c r="BF85" s="119"/>
      <c r="BG85" s="301"/>
      <c r="BH85" s="119">
        <v>0</v>
      </c>
      <c r="BI85" s="304"/>
      <c r="BJ85" s="119"/>
      <c r="BK85" s="119"/>
      <c r="BL85" s="119"/>
      <c r="BM85" s="119"/>
      <c r="BN85" s="299"/>
      <c r="BO85" s="119"/>
      <c r="BP85" s="119"/>
      <c r="BQ85" s="119"/>
      <c r="BR85" s="119"/>
      <c r="BS85" s="299"/>
      <c r="BT85" s="299"/>
      <c r="BU85" s="299"/>
      <c r="BV85" s="299"/>
      <c r="BW85" s="122"/>
    </row>
    <row r="86" spans="1:75" s="123" customFormat="1" hidden="1" outlineLevel="4" x14ac:dyDescent="0.5">
      <c r="A86" s="298" t="s">
        <v>253</v>
      </c>
      <c r="B86" s="251"/>
      <c r="C86" s="299"/>
      <c r="D86" s="299"/>
      <c r="E86" s="299"/>
      <c r="F86" s="299"/>
      <c r="G86" s="300"/>
      <c r="H86" s="300"/>
      <c r="I86" s="300"/>
      <c r="J86" s="300"/>
      <c r="K86" s="299"/>
      <c r="L86" s="300"/>
      <c r="M86" s="300"/>
      <c r="N86" s="300"/>
      <c r="O86" s="300">
        <v>0</v>
      </c>
      <c r="P86" s="299"/>
      <c r="Q86" s="300"/>
      <c r="R86" s="300"/>
      <c r="S86" s="300"/>
      <c r="T86" s="300">
        <v>0</v>
      </c>
      <c r="U86" s="299"/>
      <c r="V86" s="300"/>
      <c r="W86" s="300"/>
      <c r="X86" s="300"/>
      <c r="Y86" s="119">
        <v>0</v>
      </c>
      <c r="Z86" s="299"/>
      <c r="AA86" s="119"/>
      <c r="AB86" s="119"/>
      <c r="AC86" s="300"/>
      <c r="AD86" s="119">
        <v>0</v>
      </c>
      <c r="AE86" s="299"/>
      <c r="AF86" s="119"/>
      <c r="AG86" s="119"/>
      <c r="AH86" s="300"/>
      <c r="AI86" s="119">
        <v>0</v>
      </c>
      <c r="AJ86" s="299"/>
      <c r="AK86" s="119"/>
      <c r="AL86" s="119"/>
      <c r="AM86" s="307">
        <v>32.9</v>
      </c>
      <c r="AN86" s="119">
        <v>0</v>
      </c>
      <c r="AO86" s="305">
        <v>32.9</v>
      </c>
      <c r="AP86" s="119"/>
      <c r="AQ86" s="119"/>
      <c r="AR86" s="301"/>
      <c r="AS86" s="119">
        <v>0</v>
      </c>
      <c r="AT86" s="299"/>
      <c r="AU86" s="119"/>
      <c r="AV86" s="119"/>
      <c r="AW86" s="301"/>
      <c r="AX86" s="119">
        <v>0</v>
      </c>
      <c r="AY86" s="299"/>
      <c r="AZ86" s="119"/>
      <c r="BA86" s="119"/>
      <c r="BB86" s="301"/>
      <c r="BC86" s="119">
        <v>0</v>
      </c>
      <c r="BD86" s="299"/>
      <c r="BE86" s="119"/>
      <c r="BF86" s="119"/>
      <c r="BG86" s="301"/>
      <c r="BH86" s="119">
        <v>0</v>
      </c>
      <c r="BI86" s="304"/>
      <c r="BJ86" s="119"/>
      <c r="BK86" s="119"/>
      <c r="BL86" s="119"/>
      <c r="BM86" s="119"/>
      <c r="BN86" s="299"/>
      <c r="BO86" s="119"/>
      <c r="BP86" s="119"/>
      <c r="BQ86" s="119"/>
      <c r="BR86" s="119"/>
      <c r="BS86" s="299"/>
      <c r="BT86" s="299"/>
      <c r="BU86" s="299"/>
      <c r="BV86" s="299"/>
      <c r="BW86" s="122"/>
    </row>
    <row r="87" spans="1:75" s="123" customFormat="1" hidden="1" outlineLevel="4" x14ac:dyDescent="0.5">
      <c r="A87" s="298" t="s">
        <v>254</v>
      </c>
      <c r="B87" s="251"/>
      <c r="C87" s="299"/>
      <c r="D87" s="299"/>
      <c r="E87" s="299"/>
      <c r="F87" s="299"/>
      <c r="G87" s="300"/>
      <c r="H87" s="300"/>
      <c r="I87" s="300"/>
      <c r="J87" s="300"/>
      <c r="K87" s="299"/>
      <c r="L87" s="300"/>
      <c r="M87" s="300"/>
      <c r="N87" s="300"/>
      <c r="O87" s="300">
        <v>0</v>
      </c>
      <c r="P87" s="299"/>
      <c r="Q87" s="300"/>
      <c r="R87" s="300"/>
      <c r="S87" s="300"/>
      <c r="T87" s="300">
        <v>0</v>
      </c>
      <c r="U87" s="299"/>
      <c r="V87" s="300"/>
      <c r="W87" s="300"/>
      <c r="X87" s="300"/>
      <c r="Y87" s="119">
        <v>0</v>
      </c>
      <c r="Z87" s="299"/>
      <c r="AA87" s="119"/>
      <c r="AB87" s="119"/>
      <c r="AC87" s="300"/>
      <c r="AD87" s="119">
        <v>0</v>
      </c>
      <c r="AE87" s="299"/>
      <c r="AF87" s="119"/>
      <c r="AG87" s="119"/>
      <c r="AH87" s="300"/>
      <c r="AI87" s="119">
        <v>0</v>
      </c>
      <c r="AJ87" s="299"/>
      <c r="AK87" s="119"/>
      <c r="AL87" s="119"/>
      <c r="AM87" s="300"/>
      <c r="AN87" s="119">
        <v>33</v>
      </c>
      <c r="AO87" s="305">
        <v>33</v>
      </c>
      <c r="AP87" s="119"/>
      <c r="AQ87" s="119"/>
      <c r="AR87" s="301"/>
      <c r="AS87" s="119">
        <v>0</v>
      </c>
      <c r="AT87" s="299"/>
      <c r="AU87" s="119"/>
      <c r="AV87" s="119"/>
      <c r="AW87" s="301"/>
      <c r="AX87" s="119">
        <v>0</v>
      </c>
      <c r="AY87" s="299"/>
      <c r="AZ87" s="119"/>
      <c r="BA87" s="119"/>
      <c r="BB87" s="301"/>
      <c r="BC87" s="119">
        <v>0</v>
      </c>
      <c r="BD87" s="299"/>
      <c r="BE87" s="119"/>
      <c r="BF87" s="119"/>
      <c r="BG87" s="301"/>
      <c r="BH87" s="119">
        <v>0</v>
      </c>
      <c r="BI87" s="304"/>
      <c r="BJ87" s="119"/>
      <c r="BK87" s="119"/>
      <c r="BL87" s="119"/>
      <c r="BM87" s="119"/>
      <c r="BN87" s="299"/>
      <c r="BO87" s="119"/>
      <c r="BP87" s="119"/>
      <c r="BQ87" s="119"/>
      <c r="BR87" s="119"/>
      <c r="BS87" s="299"/>
      <c r="BT87" s="299"/>
      <c r="BU87" s="299"/>
      <c r="BV87" s="299"/>
      <c r="BW87" s="122"/>
    </row>
    <row r="88" spans="1:75" s="123" customFormat="1" hidden="1" outlineLevel="4" x14ac:dyDescent="0.5">
      <c r="A88" s="298" t="s">
        <v>255</v>
      </c>
      <c r="B88" s="251"/>
      <c r="C88" s="299"/>
      <c r="D88" s="299"/>
      <c r="E88" s="299"/>
      <c r="F88" s="299"/>
      <c r="G88" s="300"/>
      <c r="H88" s="300"/>
      <c r="I88" s="300"/>
      <c r="J88" s="300"/>
      <c r="K88" s="299"/>
      <c r="L88" s="300"/>
      <c r="M88" s="300"/>
      <c r="N88" s="300"/>
      <c r="O88" s="300">
        <v>0</v>
      </c>
      <c r="P88" s="299"/>
      <c r="Q88" s="300"/>
      <c r="R88" s="300"/>
      <c r="S88" s="300"/>
      <c r="T88" s="300">
        <v>0</v>
      </c>
      <c r="U88" s="299"/>
      <c r="V88" s="300"/>
      <c r="W88" s="300"/>
      <c r="X88" s="300"/>
      <c r="Y88" s="119">
        <v>0</v>
      </c>
      <c r="Z88" s="299"/>
      <c r="AA88" s="119"/>
      <c r="AB88" s="119"/>
      <c r="AC88" s="300"/>
      <c r="AD88" s="119">
        <v>0</v>
      </c>
      <c r="AE88" s="299"/>
      <c r="AF88" s="302">
        <v>26</v>
      </c>
      <c r="AG88" s="119"/>
      <c r="AH88" s="300"/>
      <c r="AI88" s="119">
        <v>0</v>
      </c>
      <c r="AJ88" s="305">
        <v>26</v>
      </c>
      <c r="AK88" s="119"/>
      <c r="AL88" s="119"/>
      <c r="AM88" s="300"/>
      <c r="AN88" s="119">
        <v>0</v>
      </c>
      <c r="AO88" s="299"/>
      <c r="AP88" s="119"/>
      <c r="AQ88" s="119"/>
      <c r="AR88" s="301"/>
      <c r="AS88" s="119">
        <v>0</v>
      </c>
      <c r="AT88" s="299"/>
      <c r="AU88" s="119"/>
      <c r="AV88" s="119"/>
      <c r="AW88" s="301"/>
      <c r="AX88" s="119">
        <v>0</v>
      </c>
      <c r="AY88" s="299"/>
      <c r="AZ88" s="119"/>
      <c r="BA88" s="119"/>
      <c r="BB88" s="301"/>
      <c r="BC88" s="119">
        <v>0</v>
      </c>
      <c r="BD88" s="299"/>
      <c r="BE88" s="119"/>
      <c r="BF88" s="119"/>
      <c r="BG88" s="301"/>
      <c r="BH88" s="119">
        <v>0</v>
      </c>
      <c r="BI88" s="304"/>
      <c r="BJ88" s="119"/>
      <c r="BK88" s="119"/>
      <c r="BL88" s="119"/>
      <c r="BM88" s="119"/>
      <c r="BN88" s="299"/>
      <c r="BO88" s="119"/>
      <c r="BP88" s="119"/>
      <c r="BQ88" s="119"/>
      <c r="BR88" s="119"/>
      <c r="BS88" s="299"/>
      <c r="BT88" s="299"/>
      <c r="BU88" s="299"/>
      <c r="BV88" s="299"/>
      <c r="BW88" s="122"/>
    </row>
    <row r="89" spans="1:75" s="123" customFormat="1" hidden="1" outlineLevel="4" x14ac:dyDescent="0.5">
      <c r="A89" s="298" t="s">
        <v>256</v>
      </c>
      <c r="B89" s="251"/>
      <c r="C89" s="299"/>
      <c r="D89" s="299"/>
      <c r="E89" s="299"/>
      <c r="F89" s="299"/>
      <c r="G89" s="300"/>
      <c r="H89" s="300"/>
      <c r="I89" s="300"/>
      <c r="J89" s="300"/>
      <c r="K89" s="299"/>
      <c r="L89" s="300"/>
      <c r="M89" s="300"/>
      <c r="N89" s="300"/>
      <c r="O89" s="300">
        <v>0</v>
      </c>
      <c r="P89" s="299"/>
      <c r="Q89" s="300"/>
      <c r="R89" s="300"/>
      <c r="S89" s="300"/>
      <c r="T89" s="300">
        <v>0</v>
      </c>
      <c r="U89" s="299"/>
      <c r="V89" s="300"/>
      <c r="W89" s="300"/>
      <c r="X89" s="300"/>
      <c r="Y89" s="119">
        <v>0</v>
      </c>
      <c r="Z89" s="299"/>
      <c r="AA89" s="119"/>
      <c r="AB89" s="119"/>
      <c r="AC89" s="300"/>
      <c r="AD89" s="119">
        <v>0</v>
      </c>
      <c r="AE89" s="299"/>
      <c r="AF89" s="119"/>
      <c r="AG89" s="302">
        <v>45.6</v>
      </c>
      <c r="AH89" s="300"/>
      <c r="AI89" s="119">
        <v>0</v>
      </c>
      <c r="AJ89" s="305">
        <v>45.6</v>
      </c>
      <c r="AK89" s="119"/>
      <c r="AL89" s="119"/>
      <c r="AM89" s="300"/>
      <c r="AN89" s="119">
        <v>0</v>
      </c>
      <c r="AO89" s="299"/>
      <c r="AP89" s="119"/>
      <c r="AQ89" s="119"/>
      <c r="AR89" s="301"/>
      <c r="AS89" s="119">
        <v>0</v>
      </c>
      <c r="AT89" s="299"/>
      <c r="AU89" s="119"/>
      <c r="AV89" s="119"/>
      <c r="AW89" s="301"/>
      <c r="AX89" s="119">
        <v>0</v>
      </c>
      <c r="AY89" s="299"/>
      <c r="AZ89" s="119"/>
      <c r="BA89" s="119"/>
      <c r="BB89" s="301"/>
      <c r="BC89" s="119">
        <v>0</v>
      </c>
      <c r="BD89" s="299"/>
      <c r="BE89" s="119"/>
      <c r="BF89" s="119"/>
      <c r="BG89" s="301"/>
      <c r="BH89" s="119">
        <v>0</v>
      </c>
      <c r="BI89" s="304"/>
      <c r="BJ89" s="119"/>
      <c r="BK89" s="119"/>
      <c r="BL89" s="119"/>
      <c r="BM89" s="119"/>
      <c r="BN89" s="299"/>
      <c r="BO89" s="119"/>
      <c r="BP89" s="119"/>
      <c r="BQ89" s="119"/>
      <c r="BR89" s="119"/>
      <c r="BS89" s="299"/>
      <c r="BT89" s="299"/>
      <c r="BU89" s="299"/>
      <c r="BV89" s="299"/>
      <c r="BW89" s="122"/>
    </row>
    <row r="90" spans="1:75" s="123" customFormat="1" hidden="1" outlineLevel="4" x14ac:dyDescent="0.5">
      <c r="A90" s="298" t="s">
        <v>257</v>
      </c>
      <c r="B90" s="251"/>
      <c r="C90" s="299"/>
      <c r="D90" s="299"/>
      <c r="E90" s="299"/>
      <c r="F90" s="299"/>
      <c r="G90" s="300"/>
      <c r="H90" s="300"/>
      <c r="I90" s="300"/>
      <c r="J90" s="300"/>
      <c r="K90" s="299"/>
      <c r="L90" s="300"/>
      <c r="M90" s="300"/>
      <c r="N90" s="300"/>
      <c r="O90" s="300">
        <v>0</v>
      </c>
      <c r="P90" s="299"/>
      <c r="Q90" s="300"/>
      <c r="R90" s="300"/>
      <c r="S90" s="300"/>
      <c r="T90" s="300">
        <v>0</v>
      </c>
      <c r="U90" s="299"/>
      <c r="V90" s="300"/>
      <c r="W90" s="300"/>
      <c r="X90" s="300"/>
      <c r="Y90" s="119">
        <v>0</v>
      </c>
      <c r="Z90" s="299"/>
      <c r="AA90" s="119"/>
      <c r="AB90" s="119"/>
      <c r="AC90" s="300"/>
      <c r="AD90" s="119">
        <v>0</v>
      </c>
      <c r="AE90" s="299"/>
      <c r="AF90" s="119"/>
      <c r="AG90" s="119"/>
      <c r="AH90" s="307">
        <v>50.5</v>
      </c>
      <c r="AI90" s="119">
        <v>0</v>
      </c>
      <c r="AJ90" s="305">
        <v>50.5</v>
      </c>
      <c r="AK90" s="119"/>
      <c r="AL90" s="119"/>
      <c r="AM90" s="300"/>
      <c r="AN90" s="119">
        <v>0</v>
      </c>
      <c r="AO90" s="299"/>
      <c r="AP90" s="119"/>
      <c r="AQ90" s="119"/>
      <c r="AR90" s="301"/>
      <c r="AS90" s="119">
        <v>0</v>
      </c>
      <c r="AT90" s="299"/>
      <c r="AU90" s="119"/>
      <c r="AV90" s="119"/>
      <c r="AW90" s="301"/>
      <c r="AX90" s="119">
        <v>0</v>
      </c>
      <c r="AY90" s="299"/>
      <c r="AZ90" s="119"/>
      <c r="BA90" s="119"/>
      <c r="BB90" s="301"/>
      <c r="BC90" s="119">
        <v>0</v>
      </c>
      <c r="BD90" s="299"/>
      <c r="BE90" s="119"/>
      <c r="BF90" s="119"/>
      <c r="BG90" s="301"/>
      <c r="BH90" s="119">
        <v>0</v>
      </c>
      <c r="BI90" s="304"/>
      <c r="BJ90" s="119"/>
      <c r="BK90" s="119"/>
      <c r="BL90" s="119"/>
      <c r="BM90" s="119"/>
      <c r="BN90" s="299"/>
      <c r="BO90" s="119"/>
      <c r="BP90" s="119"/>
      <c r="BQ90" s="119"/>
      <c r="BR90" s="119"/>
      <c r="BS90" s="299"/>
      <c r="BT90" s="299"/>
      <c r="BU90" s="299"/>
      <c r="BV90" s="299"/>
      <c r="BW90" s="122"/>
    </row>
    <row r="91" spans="1:75" s="123" customFormat="1" hidden="1" outlineLevel="4" x14ac:dyDescent="0.5">
      <c r="A91" s="298" t="s">
        <v>258</v>
      </c>
      <c r="B91" s="251"/>
      <c r="C91" s="299"/>
      <c r="D91" s="299"/>
      <c r="E91" s="299"/>
      <c r="F91" s="299"/>
      <c r="G91" s="300"/>
      <c r="H91" s="300"/>
      <c r="I91" s="300"/>
      <c r="J91" s="300"/>
      <c r="K91" s="299"/>
      <c r="L91" s="300"/>
      <c r="M91" s="300"/>
      <c r="N91" s="300"/>
      <c r="O91" s="300">
        <v>0</v>
      </c>
      <c r="P91" s="299"/>
      <c r="Q91" s="300"/>
      <c r="R91" s="300"/>
      <c r="S91" s="300"/>
      <c r="T91" s="300">
        <v>0</v>
      </c>
      <c r="U91" s="299"/>
      <c r="V91" s="300"/>
      <c r="W91" s="300"/>
      <c r="X91" s="300"/>
      <c r="Y91" s="119">
        <v>0</v>
      </c>
      <c r="Z91" s="299"/>
      <c r="AA91" s="119"/>
      <c r="AB91" s="119"/>
      <c r="AC91" s="300"/>
      <c r="AD91" s="119">
        <v>0</v>
      </c>
      <c r="AE91" s="299"/>
      <c r="AF91" s="119"/>
      <c r="AG91" s="119"/>
      <c r="AH91" s="307">
        <v>6.7</v>
      </c>
      <c r="AI91" s="119">
        <v>0</v>
      </c>
      <c r="AJ91" s="305">
        <v>6.7</v>
      </c>
      <c r="AK91" s="119"/>
      <c r="AL91" s="119"/>
      <c r="AM91" s="300"/>
      <c r="AN91" s="119">
        <v>0</v>
      </c>
      <c r="AO91" s="299"/>
      <c r="AP91" s="119"/>
      <c r="AQ91" s="119"/>
      <c r="AR91" s="301"/>
      <c r="AS91" s="119">
        <v>0</v>
      </c>
      <c r="AT91" s="299"/>
      <c r="AU91" s="119"/>
      <c r="AV91" s="119"/>
      <c r="AW91" s="301"/>
      <c r="AX91" s="119">
        <v>0</v>
      </c>
      <c r="AY91" s="299"/>
      <c r="AZ91" s="119"/>
      <c r="BA91" s="119"/>
      <c r="BB91" s="301"/>
      <c r="BC91" s="119">
        <v>0</v>
      </c>
      <c r="BD91" s="299"/>
      <c r="BE91" s="119"/>
      <c r="BF91" s="119"/>
      <c r="BG91" s="301"/>
      <c r="BH91" s="119">
        <v>0</v>
      </c>
      <c r="BI91" s="304"/>
      <c r="BJ91" s="119"/>
      <c r="BK91" s="119"/>
      <c r="BL91" s="119"/>
      <c r="BM91" s="119"/>
      <c r="BN91" s="299"/>
      <c r="BO91" s="119"/>
      <c r="BP91" s="119"/>
      <c r="BQ91" s="119"/>
      <c r="BR91" s="119"/>
      <c r="BS91" s="299"/>
      <c r="BT91" s="299"/>
      <c r="BU91" s="299"/>
      <c r="BV91" s="299"/>
      <c r="BW91" s="122"/>
    </row>
    <row r="92" spans="1:75" s="123" customFormat="1" hidden="1" outlineLevel="4" x14ac:dyDescent="0.5">
      <c r="A92" s="298" t="s">
        <v>259</v>
      </c>
      <c r="B92" s="251"/>
      <c r="C92" s="299"/>
      <c r="D92" s="299"/>
      <c r="E92" s="299"/>
      <c r="F92" s="299"/>
      <c r="G92" s="300"/>
      <c r="H92" s="300"/>
      <c r="I92" s="300"/>
      <c r="J92" s="300"/>
      <c r="K92" s="299"/>
      <c r="L92" s="300"/>
      <c r="M92" s="300"/>
      <c r="N92" s="300"/>
      <c r="O92" s="300">
        <v>0</v>
      </c>
      <c r="P92" s="299"/>
      <c r="Q92" s="300"/>
      <c r="R92" s="300"/>
      <c r="S92" s="300"/>
      <c r="T92" s="300">
        <v>0</v>
      </c>
      <c r="U92" s="299"/>
      <c r="V92" s="300"/>
      <c r="W92" s="300"/>
      <c r="X92" s="300"/>
      <c r="Y92" s="119">
        <v>0</v>
      </c>
      <c r="Z92" s="299"/>
      <c r="AA92" s="119"/>
      <c r="AB92" s="119"/>
      <c r="AC92" s="307">
        <v>43.3</v>
      </c>
      <c r="AD92" s="119">
        <v>0</v>
      </c>
      <c r="AE92" s="305">
        <v>43.3</v>
      </c>
      <c r="AF92" s="119"/>
      <c r="AG92" s="119"/>
      <c r="AH92" s="300"/>
      <c r="AI92" s="119">
        <v>0</v>
      </c>
      <c r="AJ92" s="299"/>
      <c r="AK92" s="119"/>
      <c r="AL92" s="119"/>
      <c r="AM92" s="300"/>
      <c r="AN92" s="119">
        <v>0</v>
      </c>
      <c r="AO92" s="299"/>
      <c r="AP92" s="119"/>
      <c r="AQ92" s="119"/>
      <c r="AR92" s="301"/>
      <c r="AS92" s="119">
        <v>0</v>
      </c>
      <c r="AT92" s="299"/>
      <c r="AU92" s="119"/>
      <c r="AV92" s="119"/>
      <c r="AW92" s="301"/>
      <c r="AX92" s="119">
        <v>0</v>
      </c>
      <c r="AY92" s="299"/>
      <c r="AZ92" s="119"/>
      <c r="BA92" s="119"/>
      <c r="BB92" s="301"/>
      <c r="BC92" s="119">
        <v>0</v>
      </c>
      <c r="BD92" s="299"/>
      <c r="BE92" s="119"/>
      <c r="BF92" s="119"/>
      <c r="BG92" s="301"/>
      <c r="BH92" s="119">
        <v>0</v>
      </c>
      <c r="BI92" s="304"/>
      <c r="BJ92" s="119"/>
      <c r="BK92" s="119"/>
      <c r="BL92" s="119"/>
      <c r="BM92" s="119"/>
      <c r="BN92" s="299"/>
      <c r="BO92" s="119"/>
      <c r="BP92" s="119"/>
      <c r="BQ92" s="119"/>
      <c r="BR92" s="119"/>
      <c r="BS92" s="299"/>
      <c r="BT92" s="299"/>
      <c r="BU92" s="299"/>
      <c r="BV92" s="299"/>
      <c r="BW92" s="122"/>
    </row>
    <row r="93" spans="1:75" s="123" customFormat="1" hidden="1" outlineLevel="4" x14ac:dyDescent="0.5">
      <c r="A93" s="298" t="s">
        <v>260</v>
      </c>
      <c r="B93" s="251"/>
      <c r="C93" s="299"/>
      <c r="D93" s="299"/>
      <c r="E93" s="299"/>
      <c r="F93" s="299"/>
      <c r="G93" s="300"/>
      <c r="H93" s="300"/>
      <c r="I93" s="300"/>
      <c r="J93" s="300"/>
      <c r="K93" s="299"/>
      <c r="L93" s="300"/>
      <c r="M93" s="300"/>
      <c r="N93" s="300"/>
      <c r="O93" s="300">
        <v>0</v>
      </c>
      <c r="P93" s="299"/>
      <c r="Q93" s="300"/>
      <c r="R93" s="300"/>
      <c r="S93" s="300"/>
      <c r="T93" s="300">
        <v>0</v>
      </c>
      <c r="U93" s="299"/>
      <c r="V93" s="300"/>
      <c r="W93" s="300"/>
      <c r="X93" s="300"/>
      <c r="Y93" s="119">
        <v>0</v>
      </c>
      <c r="Z93" s="299"/>
      <c r="AA93" s="119"/>
      <c r="AB93" s="119"/>
      <c r="AC93" s="300"/>
      <c r="AD93" s="119">
        <v>46.5</v>
      </c>
      <c r="AE93" s="305">
        <v>46.5</v>
      </c>
      <c r="AF93" s="119"/>
      <c r="AG93" s="119"/>
      <c r="AH93" s="300"/>
      <c r="AI93" s="119">
        <v>0</v>
      </c>
      <c r="AJ93" s="299"/>
      <c r="AK93" s="119"/>
      <c r="AL93" s="119"/>
      <c r="AM93" s="300"/>
      <c r="AN93" s="119">
        <v>0</v>
      </c>
      <c r="AO93" s="299"/>
      <c r="AP93" s="119"/>
      <c r="AQ93" s="119"/>
      <c r="AR93" s="301"/>
      <c r="AS93" s="119">
        <v>0</v>
      </c>
      <c r="AT93" s="299"/>
      <c r="AU93" s="119"/>
      <c r="AV93" s="119"/>
      <c r="AW93" s="301"/>
      <c r="AX93" s="119">
        <v>0</v>
      </c>
      <c r="AY93" s="299"/>
      <c r="AZ93" s="119"/>
      <c r="BA93" s="119"/>
      <c r="BB93" s="301"/>
      <c r="BC93" s="119">
        <v>0</v>
      </c>
      <c r="BD93" s="299"/>
      <c r="BE93" s="119"/>
      <c r="BF93" s="119"/>
      <c r="BG93" s="301"/>
      <c r="BH93" s="119">
        <v>0</v>
      </c>
      <c r="BI93" s="304"/>
      <c r="BJ93" s="119"/>
      <c r="BK93" s="119"/>
      <c r="BL93" s="119"/>
      <c r="BM93" s="119"/>
      <c r="BN93" s="299"/>
      <c r="BO93" s="119"/>
      <c r="BP93" s="119"/>
      <c r="BQ93" s="119"/>
      <c r="BR93" s="119"/>
      <c r="BS93" s="299"/>
      <c r="BT93" s="299"/>
      <c r="BU93" s="299"/>
      <c r="BV93" s="299"/>
      <c r="BW93" s="122"/>
    </row>
    <row r="94" spans="1:75" s="123" customFormat="1" hidden="1" outlineLevel="4" x14ac:dyDescent="0.5">
      <c r="A94" s="298" t="s">
        <v>261</v>
      </c>
      <c r="B94" s="251"/>
      <c r="C94" s="299"/>
      <c r="D94" s="299"/>
      <c r="E94" s="299"/>
      <c r="F94" s="299"/>
      <c r="G94" s="300"/>
      <c r="H94" s="300"/>
      <c r="I94" s="300"/>
      <c r="J94" s="300"/>
      <c r="K94" s="299"/>
      <c r="L94" s="300"/>
      <c r="M94" s="300"/>
      <c r="N94" s="300"/>
      <c r="O94" s="300">
        <v>0</v>
      </c>
      <c r="P94" s="299"/>
      <c r="Q94" s="300"/>
      <c r="R94" s="300"/>
      <c r="S94" s="300"/>
      <c r="T94" s="300">
        <v>0</v>
      </c>
      <c r="U94" s="299"/>
      <c r="V94" s="300"/>
      <c r="W94" s="300"/>
      <c r="X94" s="307">
        <v>33.5</v>
      </c>
      <c r="Y94" s="119">
        <v>0</v>
      </c>
      <c r="Z94" s="305">
        <v>33.5</v>
      </c>
      <c r="AA94" s="119"/>
      <c r="AB94" s="119"/>
      <c r="AC94" s="300"/>
      <c r="AD94" s="119">
        <v>0</v>
      </c>
      <c r="AE94" s="299"/>
      <c r="AF94" s="119"/>
      <c r="AG94" s="119"/>
      <c r="AH94" s="300"/>
      <c r="AI94" s="119">
        <v>0</v>
      </c>
      <c r="AJ94" s="299"/>
      <c r="AK94" s="119"/>
      <c r="AL94" s="119"/>
      <c r="AM94" s="300"/>
      <c r="AN94" s="119">
        <v>0</v>
      </c>
      <c r="AO94" s="299"/>
      <c r="AP94" s="119"/>
      <c r="AQ94" s="119"/>
      <c r="AR94" s="301"/>
      <c r="AS94" s="119">
        <v>0</v>
      </c>
      <c r="AT94" s="299"/>
      <c r="AU94" s="119"/>
      <c r="AV94" s="119"/>
      <c r="AW94" s="301"/>
      <c r="AX94" s="119">
        <v>0</v>
      </c>
      <c r="AY94" s="299"/>
      <c r="AZ94" s="119"/>
      <c r="BA94" s="119"/>
      <c r="BB94" s="301"/>
      <c r="BC94" s="119">
        <v>0</v>
      </c>
      <c r="BD94" s="299"/>
      <c r="BE94" s="119"/>
      <c r="BF94" s="119"/>
      <c r="BG94" s="301"/>
      <c r="BH94" s="119">
        <v>0</v>
      </c>
      <c r="BI94" s="304"/>
      <c r="BJ94" s="119"/>
      <c r="BK94" s="119"/>
      <c r="BL94" s="119"/>
      <c r="BM94" s="119"/>
      <c r="BN94" s="299"/>
      <c r="BO94" s="119"/>
      <c r="BP94" s="119"/>
      <c r="BQ94" s="119"/>
      <c r="BR94" s="119"/>
      <c r="BS94" s="299"/>
      <c r="BT94" s="299"/>
      <c r="BU94" s="299"/>
      <c r="BV94" s="299"/>
      <c r="BW94" s="122"/>
    </row>
    <row r="95" spans="1:75" s="123" customFormat="1" hidden="1" outlineLevel="4" x14ac:dyDescent="0.5">
      <c r="A95" s="298" t="s">
        <v>262</v>
      </c>
      <c r="B95" s="251"/>
      <c r="C95" s="299"/>
      <c r="D95" s="299"/>
      <c r="E95" s="299"/>
      <c r="F95" s="299"/>
      <c r="G95" s="300"/>
      <c r="H95" s="300"/>
      <c r="I95" s="300"/>
      <c r="J95" s="300"/>
      <c r="K95" s="299"/>
      <c r="L95" s="300"/>
      <c r="M95" s="300"/>
      <c r="N95" s="300"/>
      <c r="O95" s="300">
        <v>0</v>
      </c>
      <c r="P95" s="299"/>
      <c r="Q95" s="300"/>
      <c r="R95" s="300"/>
      <c r="S95" s="300"/>
      <c r="T95" s="300">
        <v>0</v>
      </c>
      <c r="U95" s="299"/>
      <c r="V95" s="300"/>
      <c r="W95" s="300"/>
      <c r="X95" s="307">
        <v>39.6</v>
      </c>
      <c r="Y95" s="119">
        <v>0</v>
      </c>
      <c r="Z95" s="305">
        <v>39.6</v>
      </c>
      <c r="AA95" s="119"/>
      <c r="AB95" s="119"/>
      <c r="AC95" s="300"/>
      <c r="AD95" s="119">
        <v>0</v>
      </c>
      <c r="AE95" s="299"/>
      <c r="AF95" s="119"/>
      <c r="AG95" s="119"/>
      <c r="AH95" s="300"/>
      <c r="AI95" s="119">
        <v>0</v>
      </c>
      <c r="AJ95" s="299"/>
      <c r="AK95" s="119"/>
      <c r="AL95" s="119"/>
      <c r="AM95" s="300"/>
      <c r="AN95" s="119">
        <v>0</v>
      </c>
      <c r="AO95" s="299"/>
      <c r="AP95" s="119"/>
      <c r="AQ95" s="119"/>
      <c r="AR95" s="301"/>
      <c r="AS95" s="119">
        <v>0</v>
      </c>
      <c r="AT95" s="299"/>
      <c r="AU95" s="119"/>
      <c r="AV95" s="119"/>
      <c r="AW95" s="301"/>
      <c r="AX95" s="119">
        <v>0</v>
      </c>
      <c r="AY95" s="299"/>
      <c r="AZ95" s="119"/>
      <c r="BA95" s="119"/>
      <c r="BB95" s="301"/>
      <c r="BC95" s="119">
        <v>0</v>
      </c>
      <c r="BD95" s="299"/>
      <c r="BE95" s="119"/>
      <c r="BF95" s="119"/>
      <c r="BG95" s="301"/>
      <c r="BH95" s="119">
        <v>0</v>
      </c>
      <c r="BI95" s="304"/>
      <c r="BJ95" s="119"/>
      <c r="BK95" s="119"/>
      <c r="BL95" s="119"/>
      <c r="BM95" s="119"/>
      <c r="BN95" s="299"/>
      <c r="BO95" s="119"/>
      <c r="BP95" s="119"/>
      <c r="BQ95" s="119"/>
      <c r="BR95" s="119"/>
      <c r="BS95" s="299"/>
      <c r="BT95" s="299"/>
      <c r="BU95" s="299"/>
      <c r="BV95" s="299"/>
      <c r="BW95" s="122"/>
    </row>
    <row r="96" spans="1:75" s="123" customFormat="1" hidden="1" outlineLevel="4" x14ac:dyDescent="0.5">
      <c r="A96" s="298" t="s">
        <v>263</v>
      </c>
      <c r="B96" s="251"/>
      <c r="C96" s="299"/>
      <c r="D96" s="299"/>
      <c r="E96" s="299"/>
      <c r="F96" s="299"/>
      <c r="G96" s="300"/>
      <c r="H96" s="300"/>
      <c r="I96" s="300"/>
      <c r="J96" s="300"/>
      <c r="K96" s="299"/>
      <c r="L96" s="300"/>
      <c r="M96" s="300"/>
      <c r="N96" s="300"/>
      <c r="O96" s="300">
        <v>0</v>
      </c>
      <c r="P96" s="299"/>
      <c r="Q96" s="300"/>
      <c r="R96" s="300"/>
      <c r="S96" s="300"/>
      <c r="T96" s="300">
        <v>0</v>
      </c>
      <c r="U96" s="299"/>
      <c r="V96" s="300"/>
      <c r="W96" s="300"/>
      <c r="X96" s="307">
        <v>47.6</v>
      </c>
      <c r="Y96" s="119">
        <v>0</v>
      </c>
      <c r="Z96" s="305">
        <v>47.6</v>
      </c>
      <c r="AA96" s="119"/>
      <c r="AB96" s="119"/>
      <c r="AC96" s="300"/>
      <c r="AD96" s="119">
        <v>0</v>
      </c>
      <c r="AE96" s="299"/>
      <c r="AF96" s="119"/>
      <c r="AG96" s="119"/>
      <c r="AH96" s="300"/>
      <c r="AI96" s="119">
        <v>0</v>
      </c>
      <c r="AJ96" s="299"/>
      <c r="AK96" s="119"/>
      <c r="AL96" s="119"/>
      <c r="AM96" s="300"/>
      <c r="AN96" s="119">
        <v>0</v>
      </c>
      <c r="AO96" s="299"/>
      <c r="AP96" s="119"/>
      <c r="AQ96" s="119"/>
      <c r="AR96" s="301"/>
      <c r="AS96" s="119">
        <v>0</v>
      </c>
      <c r="AT96" s="299"/>
      <c r="AU96" s="119"/>
      <c r="AV96" s="119"/>
      <c r="AW96" s="301"/>
      <c r="AX96" s="119">
        <v>0</v>
      </c>
      <c r="AY96" s="299"/>
      <c r="AZ96" s="119"/>
      <c r="BA96" s="119"/>
      <c r="BB96" s="301"/>
      <c r="BC96" s="119">
        <v>0</v>
      </c>
      <c r="BD96" s="299"/>
      <c r="BE96" s="119"/>
      <c r="BF96" s="119"/>
      <c r="BG96" s="301"/>
      <c r="BH96" s="119">
        <v>0</v>
      </c>
      <c r="BI96" s="304"/>
      <c r="BJ96" s="119"/>
      <c r="BK96" s="119"/>
      <c r="BL96" s="119"/>
      <c r="BM96" s="119"/>
      <c r="BN96" s="299"/>
      <c r="BO96" s="119"/>
      <c r="BP96" s="119"/>
      <c r="BQ96" s="119"/>
      <c r="BR96" s="119"/>
      <c r="BS96" s="299"/>
      <c r="BT96" s="299"/>
      <c r="BU96" s="299"/>
      <c r="BV96" s="299"/>
      <c r="BW96" s="122"/>
    </row>
    <row r="97" spans="1:75" s="123" customFormat="1" hidden="1" outlineLevel="4" x14ac:dyDescent="0.5">
      <c r="A97" s="298" t="s">
        <v>264</v>
      </c>
      <c r="B97" s="251"/>
      <c r="C97" s="299"/>
      <c r="D97" s="299"/>
      <c r="E97" s="299"/>
      <c r="F97" s="299"/>
      <c r="G97" s="300"/>
      <c r="H97" s="300"/>
      <c r="I97" s="300"/>
      <c r="J97" s="300"/>
      <c r="K97" s="299"/>
      <c r="L97" s="300"/>
      <c r="M97" s="300"/>
      <c r="N97" s="300"/>
      <c r="O97" s="300">
        <v>0</v>
      </c>
      <c r="P97" s="299"/>
      <c r="Q97" s="300"/>
      <c r="R97" s="300"/>
      <c r="S97" s="300"/>
      <c r="T97" s="300">
        <v>0</v>
      </c>
      <c r="U97" s="299"/>
      <c r="V97" s="300"/>
      <c r="W97" s="300"/>
      <c r="X97" s="300"/>
      <c r="Y97" s="119">
        <v>35.700000000000003</v>
      </c>
      <c r="Z97" s="305">
        <v>35.700000000000003</v>
      </c>
      <c r="AA97" s="119"/>
      <c r="AB97" s="119"/>
      <c r="AC97" s="300"/>
      <c r="AD97" s="119">
        <v>0</v>
      </c>
      <c r="AE97" s="299"/>
      <c r="AF97" s="119"/>
      <c r="AG97" s="119"/>
      <c r="AH97" s="300"/>
      <c r="AI97" s="119">
        <v>0</v>
      </c>
      <c r="AJ97" s="299"/>
      <c r="AK97" s="119"/>
      <c r="AL97" s="119"/>
      <c r="AM97" s="300"/>
      <c r="AN97" s="119">
        <v>0</v>
      </c>
      <c r="AO97" s="299"/>
      <c r="AP97" s="119"/>
      <c r="AQ97" s="119"/>
      <c r="AR97" s="301"/>
      <c r="AS97" s="119">
        <v>0</v>
      </c>
      <c r="AT97" s="299"/>
      <c r="AU97" s="119"/>
      <c r="AV97" s="119"/>
      <c r="AW97" s="301"/>
      <c r="AX97" s="119">
        <v>0</v>
      </c>
      <c r="AY97" s="299"/>
      <c r="AZ97" s="119"/>
      <c r="BA97" s="119"/>
      <c r="BB97" s="301"/>
      <c r="BC97" s="119">
        <v>0</v>
      </c>
      <c r="BD97" s="299"/>
      <c r="BE97" s="119"/>
      <c r="BF97" s="119"/>
      <c r="BG97" s="301"/>
      <c r="BH97" s="119">
        <v>0</v>
      </c>
      <c r="BI97" s="304"/>
      <c r="BJ97" s="119"/>
      <c r="BK97" s="119"/>
      <c r="BL97" s="119"/>
      <c r="BM97" s="119"/>
      <c r="BN97" s="299"/>
      <c r="BO97" s="119"/>
      <c r="BP97" s="119"/>
      <c r="BQ97" s="119"/>
      <c r="BR97" s="119"/>
      <c r="BS97" s="299"/>
      <c r="BT97" s="299"/>
      <c r="BU97" s="299"/>
      <c r="BV97" s="299"/>
      <c r="BW97" s="122"/>
    </row>
    <row r="98" spans="1:75" s="123" customFormat="1" hidden="1" outlineLevel="4" x14ac:dyDescent="0.5">
      <c r="A98" s="298" t="s">
        <v>265</v>
      </c>
      <c r="B98" s="251"/>
      <c r="C98" s="299"/>
      <c r="D98" s="299"/>
      <c r="E98" s="299"/>
      <c r="F98" s="299"/>
      <c r="G98" s="300"/>
      <c r="H98" s="300"/>
      <c r="I98" s="300"/>
      <c r="J98" s="300"/>
      <c r="K98" s="299"/>
      <c r="L98" s="300"/>
      <c r="M98" s="300"/>
      <c r="N98" s="300"/>
      <c r="O98" s="300">
        <v>0</v>
      </c>
      <c r="P98" s="299"/>
      <c r="Q98" s="300"/>
      <c r="R98" s="300"/>
      <c r="S98" s="307">
        <v>44.8</v>
      </c>
      <c r="T98" s="300">
        <v>0</v>
      </c>
      <c r="U98" s="305">
        <v>44.8</v>
      </c>
      <c r="V98" s="300"/>
      <c r="W98" s="300"/>
      <c r="X98" s="300"/>
      <c r="Y98" s="119">
        <v>0</v>
      </c>
      <c r="Z98" s="299"/>
      <c r="AA98" s="119"/>
      <c r="AB98" s="119"/>
      <c r="AC98" s="300"/>
      <c r="AD98" s="119">
        <v>0</v>
      </c>
      <c r="AE98" s="299"/>
      <c r="AF98" s="119"/>
      <c r="AG98" s="119"/>
      <c r="AH98" s="300"/>
      <c r="AI98" s="119">
        <v>0</v>
      </c>
      <c r="AJ98" s="299"/>
      <c r="AK98" s="119"/>
      <c r="AL98" s="119"/>
      <c r="AM98" s="300"/>
      <c r="AN98" s="119">
        <v>0</v>
      </c>
      <c r="AO98" s="299"/>
      <c r="AP98" s="119"/>
      <c r="AQ98" s="119"/>
      <c r="AR98" s="301"/>
      <c r="AS98" s="119">
        <v>0</v>
      </c>
      <c r="AT98" s="299"/>
      <c r="AU98" s="119"/>
      <c r="AV98" s="119"/>
      <c r="AW98" s="301"/>
      <c r="AX98" s="119">
        <v>0</v>
      </c>
      <c r="AY98" s="299"/>
      <c r="AZ98" s="119"/>
      <c r="BA98" s="119"/>
      <c r="BB98" s="301"/>
      <c r="BC98" s="119">
        <v>0</v>
      </c>
      <c r="BD98" s="299"/>
      <c r="BE98" s="119"/>
      <c r="BF98" s="119"/>
      <c r="BG98" s="301"/>
      <c r="BH98" s="119">
        <v>0</v>
      </c>
      <c r="BI98" s="304"/>
      <c r="BJ98" s="119"/>
      <c r="BK98" s="119"/>
      <c r="BL98" s="119"/>
      <c r="BM98" s="119"/>
      <c r="BN98" s="299"/>
      <c r="BO98" s="119"/>
      <c r="BP98" s="119"/>
      <c r="BQ98" s="119"/>
      <c r="BR98" s="119"/>
      <c r="BS98" s="299"/>
      <c r="BT98" s="299"/>
      <c r="BU98" s="299"/>
      <c r="BV98" s="299"/>
      <c r="BW98" s="122"/>
    </row>
    <row r="99" spans="1:75" s="123" customFormat="1" hidden="1" outlineLevel="4" x14ac:dyDescent="0.5">
      <c r="A99" s="298" t="s">
        <v>266</v>
      </c>
      <c r="B99" s="251"/>
      <c r="C99" s="299"/>
      <c r="D99" s="299"/>
      <c r="E99" s="299"/>
      <c r="F99" s="299"/>
      <c r="G99" s="300"/>
      <c r="H99" s="300"/>
      <c r="I99" s="300"/>
      <c r="J99" s="300"/>
      <c r="K99" s="299"/>
      <c r="L99" s="300"/>
      <c r="M99" s="300"/>
      <c r="N99" s="300"/>
      <c r="O99" s="300">
        <v>0</v>
      </c>
      <c r="P99" s="299"/>
      <c r="Q99" s="300"/>
      <c r="R99" s="300"/>
      <c r="S99" s="307">
        <v>46.4</v>
      </c>
      <c r="T99" s="300">
        <v>0</v>
      </c>
      <c r="U99" s="305">
        <v>46.4</v>
      </c>
      <c r="V99" s="300"/>
      <c r="W99" s="300"/>
      <c r="X99" s="300"/>
      <c r="Y99" s="119">
        <v>0</v>
      </c>
      <c r="Z99" s="299"/>
      <c r="AA99" s="119"/>
      <c r="AB99" s="119"/>
      <c r="AC99" s="300"/>
      <c r="AD99" s="119">
        <v>0</v>
      </c>
      <c r="AE99" s="299"/>
      <c r="AF99" s="119"/>
      <c r="AG99" s="119"/>
      <c r="AH99" s="300"/>
      <c r="AI99" s="119">
        <v>0</v>
      </c>
      <c r="AJ99" s="299"/>
      <c r="AK99" s="119"/>
      <c r="AL99" s="119"/>
      <c r="AM99" s="300"/>
      <c r="AN99" s="119">
        <v>0</v>
      </c>
      <c r="AO99" s="299"/>
      <c r="AP99" s="119"/>
      <c r="AQ99" s="119"/>
      <c r="AR99" s="301"/>
      <c r="AS99" s="119">
        <v>0</v>
      </c>
      <c r="AT99" s="299"/>
      <c r="AU99" s="119"/>
      <c r="AV99" s="119"/>
      <c r="AW99" s="301"/>
      <c r="AX99" s="119">
        <v>0</v>
      </c>
      <c r="AY99" s="299"/>
      <c r="AZ99" s="119"/>
      <c r="BA99" s="119"/>
      <c r="BB99" s="301"/>
      <c r="BC99" s="119">
        <v>0</v>
      </c>
      <c r="BD99" s="299"/>
      <c r="BE99" s="119"/>
      <c r="BF99" s="119"/>
      <c r="BG99" s="301"/>
      <c r="BH99" s="119">
        <v>0</v>
      </c>
      <c r="BI99" s="304"/>
      <c r="BJ99" s="119"/>
      <c r="BK99" s="119"/>
      <c r="BL99" s="119"/>
      <c r="BM99" s="119"/>
      <c r="BN99" s="299"/>
      <c r="BO99" s="119"/>
      <c r="BP99" s="119"/>
      <c r="BQ99" s="119"/>
      <c r="BR99" s="119"/>
      <c r="BS99" s="299"/>
      <c r="BT99" s="299"/>
      <c r="BU99" s="299"/>
      <c r="BV99" s="299"/>
      <c r="BW99" s="122"/>
    </row>
    <row r="100" spans="1:75" s="123" customFormat="1" hidden="1" outlineLevel="4" x14ac:dyDescent="0.5">
      <c r="A100" s="298" t="s">
        <v>267</v>
      </c>
      <c r="B100" s="251"/>
      <c r="C100" s="299"/>
      <c r="D100" s="299"/>
      <c r="E100" s="299"/>
      <c r="F100" s="299"/>
      <c r="G100" s="300"/>
      <c r="H100" s="300"/>
      <c r="I100" s="300"/>
      <c r="J100" s="300"/>
      <c r="K100" s="299"/>
      <c r="L100" s="300"/>
      <c r="M100" s="300"/>
      <c r="N100" s="300"/>
      <c r="O100" s="300">
        <v>0</v>
      </c>
      <c r="P100" s="299"/>
      <c r="Q100" s="300"/>
      <c r="R100" s="300"/>
      <c r="S100" s="300"/>
      <c r="T100" s="300">
        <v>36.1</v>
      </c>
      <c r="U100" s="305">
        <v>36.1</v>
      </c>
      <c r="V100" s="300"/>
      <c r="W100" s="300"/>
      <c r="X100" s="300"/>
      <c r="Y100" s="119">
        <v>0</v>
      </c>
      <c r="Z100" s="299"/>
      <c r="AA100" s="119"/>
      <c r="AB100" s="119"/>
      <c r="AC100" s="300"/>
      <c r="AD100" s="119">
        <v>0</v>
      </c>
      <c r="AE100" s="299"/>
      <c r="AF100" s="119"/>
      <c r="AG100" s="119"/>
      <c r="AH100" s="300"/>
      <c r="AI100" s="119">
        <v>0</v>
      </c>
      <c r="AJ100" s="299"/>
      <c r="AK100" s="119"/>
      <c r="AL100" s="119"/>
      <c r="AM100" s="300"/>
      <c r="AN100" s="119">
        <v>0</v>
      </c>
      <c r="AO100" s="299"/>
      <c r="AP100" s="119"/>
      <c r="AQ100" s="119"/>
      <c r="AR100" s="301"/>
      <c r="AS100" s="119">
        <v>0</v>
      </c>
      <c r="AT100" s="299"/>
      <c r="AU100" s="119"/>
      <c r="AV100" s="119"/>
      <c r="AW100" s="301"/>
      <c r="AX100" s="119">
        <v>0</v>
      </c>
      <c r="AY100" s="299"/>
      <c r="AZ100" s="119"/>
      <c r="BA100" s="119"/>
      <c r="BB100" s="301"/>
      <c r="BC100" s="119">
        <v>0</v>
      </c>
      <c r="BD100" s="299"/>
      <c r="BE100" s="119"/>
      <c r="BF100" s="119"/>
      <c r="BG100" s="301"/>
      <c r="BH100" s="119">
        <v>0</v>
      </c>
      <c r="BI100" s="304"/>
      <c r="BJ100" s="119"/>
      <c r="BK100" s="119"/>
      <c r="BL100" s="119"/>
      <c r="BM100" s="119"/>
      <c r="BN100" s="299"/>
      <c r="BO100" s="119"/>
      <c r="BP100" s="119"/>
      <c r="BQ100" s="119"/>
      <c r="BR100" s="119"/>
      <c r="BS100" s="299"/>
      <c r="BT100" s="299"/>
      <c r="BU100" s="299"/>
      <c r="BV100" s="299"/>
      <c r="BW100" s="122"/>
    </row>
    <row r="101" spans="1:75" s="123" customFormat="1" hidden="1" outlineLevel="4" x14ac:dyDescent="0.5">
      <c r="A101" s="298" t="s">
        <v>268</v>
      </c>
      <c r="B101" s="251"/>
      <c r="C101" s="299"/>
      <c r="D101" s="299"/>
      <c r="E101" s="299"/>
      <c r="F101" s="299"/>
      <c r="G101" s="300"/>
      <c r="H101" s="300"/>
      <c r="I101" s="300"/>
      <c r="J101" s="300"/>
      <c r="K101" s="299"/>
      <c r="L101" s="300"/>
      <c r="M101" s="307">
        <v>14</v>
      </c>
      <c r="N101" s="300"/>
      <c r="O101" s="300">
        <v>0</v>
      </c>
      <c r="P101" s="305">
        <v>14</v>
      </c>
      <c r="Q101" s="300"/>
      <c r="R101" s="300"/>
      <c r="S101" s="300"/>
      <c r="T101" s="300">
        <v>0</v>
      </c>
      <c r="U101" s="299"/>
      <c r="V101" s="300"/>
      <c r="W101" s="300"/>
      <c r="X101" s="300"/>
      <c r="Y101" s="119">
        <v>0</v>
      </c>
      <c r="Z101" s="299"/>
      <c r="AA101" s="119"/>
      <c r="AB101" s="119"/>
      <c r="AC101" s="300"/>
      <c r="AD101" s="119">
        <v>0</v>
      </c>
      <c r="AE101" s="299"/>
      <c r="AF101" s="119"/>
      <c r="AG101" s="119"/>
      <c r="AH101" s="300"/>
      <c r="AI101" s="119">
        <v>0</v>
      </c>
      <c r="AJ101" s="299"/>
      <c r="AK101" s="119"/>
      <c r="AL101" s="119"/>
      <c r="AM101" s="300"/>
      <c r="AN101" s="119">
        <v>0</v>
      </c>
      <c r="AO101" s="299"/>
      <c r="AP101" s="119"/>
      <c r="AQ101" s="119"/>
      <c r="AR101" s="301"/>
      <c r="AS101" s="119">
        <v>0</v>
      </c>
      <c r="AT101" s="299"/>
      <c r="AU101" s="119"/>
      <c r="AV101" s="119"/>
      <c r="AW101" s="301"/>
      <c r="AX101" s="119">
        <v>0</v>
      </c>
      <c r="AY101" s="299"/>
      <c r="AZ101" s="119"/>
      <c r="BA101" s="119"/>
      <c r="BB101" s="301"/>
      <c r="BC101" s="119">
        <v>0</v>
      </c>
      <c r="BD101" s="299"/>
      <c r="BE101" s="119"/>
      <c r="BF101" s="119"/>
      <c r="BG101" s="301"/>
      <c r="BH101" s="119">
        <v>0</v>
      </c>
      <c r="BI101" s="304"/>
      <c r="BJ101" s="119"/>
      <c r="BK101" s="119"/>
      <c r="BL101" s="119"/>
      <c r="BM101" s="119"/>
      <c r="BN101" s="299"/>
      <c r="BO101" s="119"/>
      <c r="BP101" s="119"/>
      <c r="BQ101" s="119"/>
      <c r="BR101" s="119"/>
      <c r="BS101" s="299"/>
      <c r="BT101" s="299"/>
      <c r="BU101" s="299"/>
      <c r="BV101" s="299"/>
      <c r="BW101" s="122"/>
    </row>
    <row r="102" spans="1:75" s="123" customFormat="1" hidden="1" outlineLevel="4" x14ac:dyDescent="0.5">
      <c r="A102" s="298" t="s">
        <v>269</v>
      </c>
      <c r="B102" s="251"/>
      <c r="C102" s="299"/>
      <c r="D102" s="299"/>
      <c r="E102" s="299"/>
      <c r="F102" s="299"/>
      <c r="G102" s="300"/>
      <c r="H102" s="300"/>
      <c r="I102" s="300"/>
      <c r="J102" s="300"/>
      <c r="K102" s="299"/>
      <c r="L102" s="300"/>
      <c r="M102" s="300"/>
      <c r="N102" s="307">
        <v>25.2</v>
      </c>
      <c r="O102" s="300">
        <v>0</v>
      </c>
      <c r="P102" s="305">
        <v>25.2</v>
      </c>
      <c r="Q102" s="300"/>
      <c r="R102" s="300"/>
      <c r="S102" s="300"/>
      <c r="T102" s="300">
        <v>0</v>
      </c>
      <c r="U102" s="299"/>
      <c r="V102" s="300"/>
      <c r="W102" s="300"/>
      <c r="X102" s="300"/>
      <c r="Y102" s="119">
        <v>0</v>
      </c>
      <c r="Z102" s="299"/>
      <c r="AA102" s="119"/>
      <c r="AB102" s="119"/>
      <c r="AC102" s="300"/>
      <c r="AD102" s="119">
        <v>0</v>
      </c>
      <c r="AE102" s="299"/>
      <c r="AF102" s="119"/>
      <c r="AG102" s="119"/>
      <c r="AH102" s="300"/>
      <c r="AI102" s="119">
        <v>0</v>
      </c>
      <c r="AJ102" s="299"/>
      <c r="AK102" s="119"/>
      <c r="AL102" s="119"/>
      <c r="AM102" s="300"/>
      <c r="AN102" s="119">
        <v>0</v>
      </c>
      <c r="AO102" s="299"/>
      <c r="AP102" s="119"/>
      <c r="AQ102" s="119"/>
      <c r="AR102" s="301"/>
      <c r="AS102" s="119">
        <v>0</v>
      </c>
      <c r="AT102" s="299"/>
      <c r="AU102" s="119"/>
      <c r="AV102" s="119"/>
      <c r="AW102" s="301"/>
      <c r="AX102" s="119">
        <v>0</v>
      </c>
      <c r="AY102" s="299"/>
      <c r="AZ102" s="119"/>
      <c r="BA102" s="119"/>
      <c r="BB102" s="301"/>
      <c r="BC102" s="119">
        <v>0</v>
      </c>
      <c r="BD102" s="299"/>
      <c r="BE102" s="119"/>
      <c r="BF102" s="119"/>
      <c r="BG102" s="301"/>
      <c r="BH102" s="119">
        <v>0</v>
      </c>
      <c r="BI102" s="304"/>
      <c r="BJ102" s="119"/>
      <c r="BK102" s="119"/>
      <c r="BL102" s="119"/>
      <c r="BM102" s="119"/>
      <c r="BN102" s="299"/>
      <c r="BO102" s="119"/>
      <c r="BP102" s="119"/>
      <c r="BQ102" s="119"/>
      <c r="BR102" s="119"/>
      <c r="BS102" s="299"/>
      <c r="BT102" s="299"/>
      <c r="BU102" s="299"/>
      <c r="BV102" s="299"/>
      <c r="BW102" s="122"/>
    </row>
    <row r="103" spans="1:75" s="123" customFormat="1" hidden="1" outlineLevel="4" x14ac:dyDescent="0.5">
      <c r="A103" s="308" t="s">
        <v>270</v>
      </c>
      <c r="B103" s="274"/>
      <c r="C103" s="309"/>
      <c r="D103" s="309"/>
      <c r="E103" s="309"/>
      <c r="F103" s="309"/>
      <c r="G103" s="310"/>
      <c r="H103" s="310"/>
      <c r="I103" s="310"/>
      <c r="J103" s="310"/>
      <c r="K103" s="309"/>
      <c r="L103" s="310"/>
      <c r="M103" s="310"/>
      <c r="N103" s="310"/>
      <c r="O103" s="310">
        <v>46.1</v>
      </c>
      <c r="P103" s="311">
        <v>46.1</v>
      </c>
      <c r="Q103" s="310"/>
      <c r="R103" s="310"/>
      <c r="S103" s="310"/>
      <c r="T103" s="310">
        <v>0</v>
      </c>
      <c r="U103" s="309"/>
      <c r="V103" s="310"/>
      <c r="W103" s="310"/>
      <c r="X103" s="310"/>
      <c r="Y103" s="312">
        <v>0</v>
      </c>
      <c r="Z103" s="309"/>
      <c r="AA103" s="312"/>
      <c r="AB103" s="312"/>
      <c r="AC103" s="310"/>
      <c r="AD103" s="312">
        <v>0</v>
      </c>
      <c r="AE103" s="309"/>
      <c r="AF103" s="312"/>
      <c r="AG103" s="312"/>
      <c r="AH103" s="310"/>
      <c r="AI103" s="312">
        <v>0</v>
      </c>
      <c r="AJ103" s="309"/>
      <c r="AK103" s="312"/>
      <c r="AL103" s="312"/>
      <c r="AM103" s="310"/>
      <c r="AN103" s="312">
        <v>0</v>
      </c>
      <c r="AO103" s="309"/>
      <c r="AP103" s="312"/>
      <c r="AQ103" s="312"/>
      <c r="AR103" s="313"/>
      <c r="AS103" s="312">
        <v>0</v>
      </c>
      <c r="AT103" s="309"/>
      <c r="AU103" s="312"/>
      <c r="AV103" s="312"/>
      <c r="AW103" s="313"/>
      <c r="AX103" s="312">
        <v>0</v>
      </c>
      <c r="AY103" s="309"/>
      <c r="AZ103" s="312"/>
      <c r="BA103" s="312"/>
      <c r="BB103" s="313"/>
      <c r="BC103" s="312">
        <v>0</v>
      </c>
      <c r="BD103" s="309"/>
      <c r="BE103" s="312"/>
      <c r="BF103" s="312"/>
      <c r="BG103" s="313"/>
      <c r="BH103" s="312">
        <v>0</v>
      </c>
      <c r="BI103" s="314"/>
      <c r="BJ103" s="312"/>
      <c r="BK103" s="312"/>
      <c r="BL103" s="312"/>
      <c r="BM103" s="312"/>
      <c r="BN103" s="309"/>
      <c r="BO103" s="312"/>
      <c r="BP103" s="312"/>
      <c r="BQ103" s="312"/>
      <c r="BR103" s="312"/>
      <c r="BS103" s="309"/>
      <c r="BT103" s="309"/>
      <c r="BU103" s="309"/>
      <c r="BV103" s="309"/>
      <c r="BW103" s="122"/>
    </row>
    <row r="104" spans="1:75" s="123" customFormat="1" hidden="1" outlineLevel="3" collapsed="1" x14ac:dyDescent="0.5">
      <c r="A104" s="315" t="s">
        <v>271</v>
      </c>
      <c r="B104" s="251"/>
      <c r="C104" s="299"/>
      <c r="D104" s="299"/>
      <c r="E104" s="299"/>
      <c r="F104" s="299"/>
      <c r="G104" s="300"/>
      <c r="H104" s="300"/>
      <c r="I104" s="300"/>
      <c r="J104" s="300"/>
      <c r="K104" s="299"/>
      <c r="L104" s="300">
        <v>0</v>
      </c>
      <c r="M104" s="300">
        <v>14</v>
      </c>
      <c r="N104" s="300">
        <v>25.2</v>
      </c>
      <c r="O104" s="300">
        <v>46.1</v>
      </c>
      <c r="P104" s="299">
        <v>85.300000000000011</v>
      </c>
      <c r="Q104" s="300">
        <v>0</v>
      </c>
      <c r="R104" s="300">
        <v>0</v>
      </c>
      <c r="S104" s="300">
        <v>91.199999999999989</v>
      </c>
      <c r="T104" s="300">
        <v>36.1</v>
      </c>
      <c r="U104" s="299">
        <v>127.29999999999998</v>
      </c>
      <c r="V104" s="300">
        <v>0</v>
      </c>
      <c r="W104" s="300">
        <v>0</v>
      </c>
      <c r="X104" s="300">
        <v>120.69999999999999</v>
      </c>
      <c r="Y104" s="119">
        <v>35.700000000000003</v>
      </c>
      <c r="Z104" s="299">
        <v>156.39999999999998</v>
      </c>
      <c r="AA104" s="119">
        <v>0</v>
      </c>
      <c r="AB104" s="119">
        <v>0</v>
      </c>
      <c r="AC104" s="300">
        <v>43.3</v>
      </c>
      <c r="AD104" s="119">
        <v>46.5</v>
      </c>
      <c r="AE104" s="299">
        <v>89.8</v>
      </c>
      <c r="AF104" s="119">
        <v>26</v>
      </c>
      <c r="AG104" s="119">
        <v>45.6</v>
      </c>
      <c r="AH104" s="300">
        <v>57.2</v>
      </c>
      <c r="AI104" s="119">
        <v>0</v>
      </c>
      <c r="AJ104" s="299">
        <v>128.79999999999998</v>
      </c>
      <c r="AK104" s="119">
        <v>0</v>
      </c>
      <c r="AL104" s="119">
        <v>0</v>
      </c>
      <c r="AM104" s="300">
        <v>32.9</v>
      </c>
      <c r="AN104" s="119">
        <v>33</v>
      </c>
      <c r="AO104" s="299">
        <v>65.900000000000006</v>
      </c>
      <c r="AP104" s="119">
        <v>0</v>
      </c>
      <c r="AQ104" s="119">
        <v>65.3</v>
      </c>
      <c r="AR104" s="301">
        <v>0</v>
      </c>
      <c r="AS104" s="119">
        <v>0</v>
      </c>
      <c r="AT104" s="299">
        <v>65.3</v>
      </c>
      <c r="AU104" s="119">
        <v>0</v>
      </c>
      <c r="AV104" s="119">
        <v>38</v>
      </c>
      <c r="AW104" s="301">
        <v>37.700000000000003</v>
      </c>
      <c r="AX104" s="119">
        <v>37.700000000000003</v>
      </c>
      <c r="AY104" s="299">
        <v>113.4</v>
      </c>
      <c r="AZ104" s="119">
        <v>0</v>
      </c>
      <c r="BA104" s="119">
        <v>42.1</v>
      </c>
      <c r="BB104" s="301">
        <v>0</v>
      </c>
      <c r="BC104" s="119">
        <v>0</v>
      </c>
      <c r="BD104" s="299">
        <v>42.1</v>
      </c>
      <c r="BE104" s="119">
        <v>0</v>
      </c>
      <c r="BF104" s="119">
        <v>35.1</v>
      </c>
      <c r="BG104" s="301">
        <v>0</v>
      </c>
      <c r="BH104" s="301">
        <v>66.599999999999994</v>
      </c>
      <c r="BI104" s="304">
        <v>101.69999999999999</v>
      </c>
      <c r="BJ104" s="119">
        <v>80.160000000000011</v>
      </c>
      <c r="BK104" s="119">
        <v>81.131636363636389</v>
      </c>
      <c r="BL104" s="119">
        <v>82.058855064935059</v>
      </c>
      <c r="BM104" s="119">
        <v>41.472988911196907</v>
      </c>
      <c r="BN104" s="299">
        <v>284.82348033976837</v>
      </c>
      <c r="BO104" s="119">
        <v>41.691267800203214</v>
      </c>
      <c r="BP104" s="119">
        <v>41.905069173537584</v>
      </c>
      <c r="BQ104" s="119">
        <v>42.114594519405287</v>
      </c>
      <c r="BR104" s="119">
        <v>0</v>
      </c>
      <c r="BS104" s="299">
        <v>125.71093149314608</v>
      </c>
      <c r="BT104" s="299">
        <v>42.320031565841397</v>
      </c>
      <c r="BU104" s="299">
        <v>0</v>
      </c>
      <c r="BV104" s="299">
        <v>0</v>
      </c>
      <c r="BW104" s="122"/>
    </row>
    <row r="105" spans="1:75" s="123" customFormat="1" hidden="1" outlineLevel="4" x14ac:dyDescent="0.5">
      <c r="A105" s="298" t="s">
        <v>272</v>
      </c>
      <c r="B105" s="251"/>
      <c r="C105" s="299"/>
      <c r="D105" s="299"/>
      <c r="E105" s="299"/>
      <c r="F105" s="299"/>
      <c r="G105" s="300"/>
      <c r="H105" s="300"/>
      <c r="I105" s="300"/>
      <c r="J105" s="300"/>
      <c r="K105" s="299"/>
      <c r="L105" s="300"/>
      <c r="M105" s="300"/>
      <c r="N105" s="300"/>
      <c r="O105" s="300">
        <v>0</v>
      </c>
      <c r="P105" s="299"/>
      <c r="Q105" s="300"/>
      <c r="R105" s="300"/>
      <c r="S105" s="300"/>
      <c r="T105" s="300">
        <v>0</v>
      </c>
      <c r="U105" s="299"/>
      <c r="V105" s="300"/>
      <c r="W105" s="300"/>
      <c r="X105" s="300"/>
      <c r="Y105" s="119">
        <v>0</v>
      </c>
      <c r="Z105" s="299"/>
      <c r="AA105" s="119"/>
      <c r="AB105" s="119"/>
      <c r="AC105" s="300"/>
      <c r="AD105" s="119">
        <v>0</v>
      </c>
      <c r="AE105" s="299"/>
      <c r="AF105" s="119"/>
      <c r="AG105" s="119"/>
      <c r="AH105" s="300"/>
      <c r="AI105" s="119">
        <v>0</v>
      </c>
      <c r="AJ105" s="299"/>
      <c r="AK105" s="119"/>
      <c r="AL105" s="119"/>
      <c r="AM105" s="300"/>
      <c r="AN105" s="119">
        <v>0</v>
      </c>
      <c r="AO105" s="299"/>
      <c r="AP105" s="119"/>
      <c r="AQ105" s="119"/>
      <c r="AR105" s="301"/>
      <c r="AS105" s="119">
        <v>0</v>
      </c>
      <c r="AT105" s="299"/>
      <c r="AU105" s="119"/>
      <c r="AV105" s="119"/>
      <c r="AW105" s="301"/>
      <c r="AX105" s="119">
        <v>0</v>
      </c>
      <c r="AY105" s="299"/>
      <c r="AZ105" s="119"/>
      <c r="BA105" s="119"/>
      <c r="BB105" s="301"/>
      <c r="BC105" s="119">
        <v>0</v>
      </c>
      <c r="BD105" s="299"/>
      <c r="BE105" s="302">
        <v>-13</v>
      </c>
      <c r="BF105" s="119"/>
      <c r="BG105" s="301"/>
      <c r="BH105" s="119"/>
      <c r="BI105" s="304">
        <v>-13</v>
      </c>
      <c r="BJ105" s="119"/>
      <c r="BK105" s="119"/>
      <c r="BL105" s="119"/>
      <c r="BM105" s="119"/>
      <c r="BN105" s="299"/>
      <c r="BO105" s="119"/>
      <c r="BP105" s="119"/>
      <c r="BQ105" s="119"/>
      <c r="BR105" s="119"/>
      <c r="BS105" s="299"/>
      <c r="BT105" s="299"/>
      <c r="BU105" s="299"/>
      <c r="BV105" s="299"/>
      <c r="BW105" s="122"/>
    </row>
    <row r="106" spans="1:75" s="123" customFormat="1" hidden="1" outlineLevel="4" x14ac:dyDescent="0.5">
      <c r="A106" s="308" t="s">
        <v>273</v>
      </c>
      <c r="B106" s="274"/>
      <c r="C106" s="309"/>
      <c r="D106" s="309"/>
      <c r="E106" s="309"/>
      <c r="F106" s="309"/>
      <c r="G106" s="310"/>
      <c r="H106" s="310"/>
      <c r="I106" s="310"/>
      <c r="J106" s="310"/>
      <c r="K106" s="309"/>
      <c r="L106" s="310"/>
      <c r="M106" s="310"/>
      <c r="N106" s="316">
        <v>-13.8</v>
      </c>
      <c r="O106" s="310">
        <v>0</v>
      </c>
      <c r="P106" s="311">
        <v>-13.8</v>
      </c>
      <c r="Q106" s="310"/>
      <c r="R106" s="310"/>
      <c r="S106" s="310"/>
      <c r="T106" s="310">
        <v>0</v>
      </c>
      <c r="U106" s="309"/>
      <c r="V106" s="310"/>
      <c r="W106" s="310"/>
      <c r="X106" s="310"/>
      <c r="Y106" s="312">
        <v>0</v>
      </c>
      <c r="Z106" s="309"/>
      <c r="AA106" s="312"/>
      <c r="AB106" s="312"/>
      <c r="AC106" s="310"/>
      <c r="AD106" s="312">
        <v>0</v>
      </c>
      <c r="AE106" s="309"/>
      <c r="AF106" s="312"/>
      <c r="AG106" s="312"/>
      <c r="AH106" s="310"/>
      <c r="AI106" s="312">
        <v>0</v>
      </c>
      <c r="AJ106" s="309"/>
      <c r="AK106" s="312"/>
      <c r="AL106" s="312"/>
      <c r="AM106" s="310"/>
      <c r="AN106" s="312">
        <v>0</v>
      </c>
      <c r="AO106" s="309"/>
      <c r="AP106" s="312"/>
      <c r="AQ106" s="312"/>
      <c r="AR106" s="313"/>
      <c r="AS106" s="312">
        <v>0</v>
      </c>
      <c r="AT106" s="309"/>
      <c r="AU106" s="312"/>
      <c r="AV106" s="312"/>
      <c r="AW106" s="313"/>
      <c r="AX106" s="312">
        <v>0</v>
      </c>
      <c r="AY106" s="309"/>
      <c r="AZ106" s="312"/>
      <c r="BA106" s="312"/>
      <c r="BB106" s="313"/>
      <c r="BC106" s="312">
        <v>0</v>
      </c>
      <c r="BD106" s="309"/>
      <c r="BE106" s="312"/>
      <c r="BF106" s="312"/>
      <c r="BG106" s="313"/>
      <c r="BH106" s="312">
        <v>0</v>
      </c>
      <c r="BI106" s="314"/>
      <c r="BJ106" s="312"/>
      <c r="BK106" s="312"/>
      <c r="BL106" s="312"/>
      <c r="BM106" s="312"/>
      <c r="BN106" s="309"/>
      <c r="BO106" s="312"/>
      <c r="BP106" s="312"/>
      <c r="BQ106" s="312"/>
      <c r="BR106" s="312"/>
      <c r="BS106" s="309"/>
      <c r="BT106" s="309"/>
      <c r="BU106" s="309"/>
      <c r="BV106" s="309"/>
      <c r="BW106" s="122"/>
    </row>
    <row r="107" spans="1:75" s="123" customFormat="1" hidden="1" outlineLevel="3" x14ac:dyDescent="0.5">
      <c r="A107" s="315" t="s">
        <v>274</v>
      </c>
      <c r="B107" s="251"/>
      <c r="C107" s="299"/>
      <c r="D107" s="299"/>
      <c r="E107" s="299"/>
      <c r="F107" s="299"/>
      <c r="G107" s="300"/>
      <c r="H107" s="300"/>
      <c r="I107" s="300"/>
      <c r="J107" s="300"/>
      <c r="K107" s="299"/>
      <c r="L107" s="300">
        <v>0</v>
      </c>
      <c r="M107" s="300">
        <v>0</v>
      </c>
      <c r="N107" s="300">
        <v>-13.8</v>
      </c>
      <c r="O107" s="300">
        <v>0</v>
      </c>
      <c r="P107" s="299">
        <v>-13.8</v>
      </c>
      <c r="Q107" s="300">
        <v>0</v>
      </c>
      <c r="R107" s="300">
        <v>0</v>
      </c>
      <c r="S107" s="300">
        <v>0</v>
      </c>
      <c r="T107" s="300">
        <v>0</v>
      </c>
      <c r="U107" s="299">
        <v>0</v>
      </c>
      <c r="V107" s="300">
        <v>0</v>
      </c>
      <c r="W107" s="300">
        <v>0</v>
      </c>
      <c r="X107" s="300">
        <v>0</v>
      </c>
      <c r="Y107" s="119">
        <v>0</v>
      </c>
      <c r="Z107" s="299">
        <v>0</v>
      </c>
      <c r="AA107" s="119">
        <v>0</v>
      </c>
      <c r="AB107" s="119">
        <v>0</v>
      </c>
      <c r="AC107" s="300">
        <v>0</v>
      </c>
      <c r="AD107" s="119">
        <v>0</v>
      </c>
      <c r="AE107" s="299">
        <v>0</v>
      </c>
      <c r="AF107" s="119">
        <v>0</v>
      </c>
      <c r="AG107" s="119">
        <v>0</v>
      </c>
      <c r="AH107" s="300">
        <v>0</v>
      </c>
      <c r="AI107" s="119">
        <v>0</v>
      </c>
      <c r="AJ107" s="299">
        <v>0</v>
      </c>
      <c r="AK107" s="119">
        <v>0</v>
      </c>
      <c r="AL107" s="119">
        <v>0</v>
      </c>
      <c r="AM107" s="300">
        <v>0</v>
      </c>
      <c r="AN107" s="119">
        <v>0</v>
      </c>
      <c r="AO107" s="299">
        <v>0</v>
      </c>
      <c r="AP107" s="119">
        <v>0</v>
      </c>
      <c r="AQ107" s="119">
        <v>0</v>
      </c>
      <c r="AR107" s="301">
        <v>0</v>
      </c>
      <c r="AS107" s="119">
        <v>0</v>
      </c>
      <c r="AT107" s="299">
        <v>0</v>
      </c>
      <c r="AU107" s="119">
        <v>0</v>
      </c>
      <c r="AV107" s="119">
        <v>0</v>
      </c>
      <c r="AW107" s="301">
        <v>0</v>
      </c>
      <c r="AX107" s="119">
        <v>0</v>
      </c>
      <c r="AY107" s="299">
        <v>0</v>
      </c>
      <c r="AZ107" s="119">
        <v>0</v>
      </c>
      <c r="BA107" s="119">
        <v>0</v>
      </c>
      <c r="BB107" s="301">
        <v>0</v>
      </c>
      <c r="BC107" s="119">
        <v>0</v>
      </c>
      <c r="BD107" s="299">
        <v>0</v>
      </c>
      <c r="BE107" s="119">
        <v>-13</v>
      </c>
      <c r="BF107" s="119">
        <v>0</v>
      </c>
      <c r="BG107" s="301">
        <v>0</v>
      </c>
      <c r="BH107" s="119">
        <v>0</v>
      </c>
      <c r="BI107" s="304">
        <v>-13</v>
      </c>
      <c r="BJ107" s="119">
        <v>0</v>
      </c>
      <c r="BK107" s="119">
        <v>0</v>
      </c>
      <c r="BL107" s="119">
        <v>0</v>
      </c>
      <c r="BM107" s="119">
        <v>0</v>
      </c>
      <c r="BN107" s="299">
        <v>0</v>
      </c>
      <c r="BO107" s="119">
        <v>0</v>
      </c>
      <c r="BP107" s="119">
        <v>0</v>
      </c>
      <c r="BQ107" s="119">
        <v>0</v>
      </c>
      <c r="BR107" s="119">
        <v>0</v>
      </c>
      <c r="BS107" s="299">
        <v>0</v>
      </c>
      <c r="BT107" s="299">
        <v>0</v>
      </c>
      <c r="BU107" s="299">
        <v>0</v>
      </c>
      <c r="BV107" s="299">
        <v>0</v>
      </c>
      <c r="BW107" s="122"/>
    </row>
    <row r="108" spans="1:75" s="123" customFormat="1" hidden="1" outlineLevel="3" x14ac:dyDescent="0.5">
      <c r="A108" s="315" t="s">
        <v>275</v>
      </c>
      <c r="B108" s="251"/>
      <c r="C108" s="299"/>
      <c r="D108" s="299"/>
      <c r="E108" s="299"/>
      <c r="F108" s="299"/>
      <c r="G108" s="300"/>
      <c r="H108" s="300"/>
      <c r="I108" s="300"/>
      <c r="J108" s="300"/>
      <c r="K108" s="299"/>
      <c r="L108" s="300"/>
      <c r="M108" s="300"/>
      <c r="N108" s="300"/>
      <c r="O108" s="300">
        <v>0</v>
      </c>
      <c r="P108" s="299"/>
      <c r="Q108" s="300"/>
      <c r="R108" s="300"/>
      <c r="S108" s="300"/>
      <c r="T108" s="300">
        <v>0</v>
      </c>
      <c r="U108" s="299"/>
      <c r="V108" s="300"/>
      <c r="W108" s="300"/>
      <c r="X108" s="300"/>
      <c r="Y108" s="119">
        <v>0</v>
      </c>
      <c r="Z108" s="299"/>
      <c r="AA108" s="119"/>
      <c r="AB108" s="119"/>
      <c r="AC108" s="300"/>
      <c r="AD108" s="119">
        <v>0</v>
      </c>
      <c r="AE108" s="299"/>
      <c r="AF108" s="119"/>
      <c r="AG108" s="119"/>
      <c r="AH108" s="300"/>
      <c r="AI108" s="119">
        <v>0</v>
      </c>
      <c r="AJ108" s="299"/>
      <c r="AK108" s="119"/>
      <c r="AL108" s="119"/>
      <c r="AM108" s="300"/>
      <c r="AN108" s="119">
        <v>0</v>
      </c>
      <c r="AO108" s="299"/>
      <c r="AP108" s="119"/>
      <c r="AQ108" s="119"/>
      <c r="AR108" s="301"/>
      <c r="AS108" s="119">
        <v>0</v>
      </c>
      <c r="AT108" s="299"/>
      <c r="AU108" s="119"/>
      <c r="AV108" s="119"/>
      <c r="AW108" s="301"/>
      <c r="AX108" s="119">
        <v>0</v>
      </c>
      <c r="AY108" s="299"/>
      <c r="AZ108" s="119"/>
      <c r="BA108" s="119"/>
      <c r="BB108" s="301"/>
      <c r="BC108" s="119">
        <v>0</v>
      </c>
      <c r="BD108" s="299"/>
      <c r="BE108" s="119"/>
      <c r="BF108" s="119"/>
      <c r="BG108" s="301"/>
      <c r="BH108" s="119">
        <v>0</v>
      </c>
      <c r="BI108" s="304"/>
      <c r="BJ108" s="302">
        <v>0</v>
      </c>
      <c r="BK108" s="302">
        <v>0</v>
      </c>
      <c r="BL108" s="302">
        <v>0</v>
      </c>
      <c r="BM108" s="302">
        <v>0</v>
      </c>
      <c r="BN108" s="299">
        <v>0</v>
      </c>
      <c r="BO108" s="302">
        <v>0</v>
      </c>
      <c r="BP108" s="302">
        <v>0</v>
      </c>
      <c r="BQ108" s="302">
        <v>0</v>
      </c>
      <c r="BR108" s="302">
        <v>0</v>
      </c>
      <c r="BS108" s="299">
        <v>0</v>
      </c>
      <c r="BT108" s="305">
        <v>0</v>
      </c>
      <c r="BU108" s="305">
        <v>0</v>
      </c>
      <c r="BV108" s="305">
        <v>0</v>
      </c>
      <c r="BW108" s="122"/>
    </row>
    <row r="109" spans="1:75" s="123" customFormat="1" hidden="1" outlineLevel="3" x14ac:dyDescent="0.5">
      <c r="A109" s="317" t="s">
        <v>276</v>
      </c>
      <c r="B109" s="318"/>
      <c r="C109" s="319"/>
      <c r="D109" s="319"/>
      <c r="E109" s="319"/>
      <c r="F109" s="319"/>
      <c r="G109" s="320"/>
      <c r="H109" s="320"/>
      <c r="I109" s="320"/>
      <c r="J109" s="320"/>
      <c r="K109" s="319"/>
      <c r="L109" s="320">
        <v>0</v>
      </c>
      <c r="M109" s="320">
        <v>14</v>
      </c>
      <c r="N109" s="320">
        <v>11.399999999999999</v>
      </c>
      <c r="O109" s="320">
        <v>46.1</v>
      </c>
      <c r="P109" s="319">
        <v>71.500000000000014</v>
      </c>
      <c r="Q109" s="320">
        <v>0</v>
      </c>
      <c r="R109" s="320">
        <v>0</v>
      </c>
      <c r="S109" s="320">
        <v>91.199999999999989</v>
      </c>
      <c r="T109" s="320">
        <v>36.1</v>
      </c>
      <c r="U109" s="319">
        <v>127.29999999999998</v>
      </c>
      <c r="V109" s="320">
        <v>0</v>
      </c>
      <c r="W109" s="320">
        <v>0</v>
      </c>
      <c r="X109" s="320">
        <v>120.69999999999999</v>
      </c>
      <c r="Y109" s="321">
        <v>35.700000000000003</v>
      </c>
      <c r="Z109" s="319">
        <v>156.39999999999998</v>
      </c>
      <c r="AA109" s="321">
        <v>0</v>
      </c>
      <c r="AB109" s="321">
        <v>0</v>
      </c>
      <c r="AC109" s="320">
        <v>43.3</v>
      </c>
      <c r="AD109" s="321">
        <v>46.5</v>
      </c>
      <c r="AE109" s="319">
        <v>89.8</v>
      </c>
      <c r="AF109" s="321">
        <v>26</v>
      </c>
      <c r="AG109" s="321">
        <v>45.6</v>
      </c>
      <c r="AH109" s="320">
        <v>57.2</v>
      </c>
      <c r="AI109" s="321">
        <v>0</v>
      </c>
      <c r="AJ109" s="319">
        <v>128.79999999999998</v>
      </c>
      <c r="AK109" s="321">
        <v>0</v>
      </c>
      <c r="AL109" s="321">
        <v>0</v>
      </c>
      <c r="AM109" s="320">
        <v>32.9</v>
      </c>
      <c r="AN109" s="321">
        <v>33</v>
      </c>
      <c r="AO109" s="319">
        <v>65.900000000000006</v>
      </c>
      <c r="AP109" s="321">
        <v>0</v>
      </c>
      <c r="AQ109" s="321">
        <v>65.3</v>
      </c>
      <c r="AR109" s="322">
        <v>0</v>
      </c>
      <c r="AS109" s="321">
        <v>0</v>
      </c>
      <c r="AT109" s="319">
        <v>65.3</v>
      </c>
      <c r="AU109" s="321">
        <v>0</v>
      </c>
      <c r="AV109" s="321">
        <v>38</v>
      </c>
      <c r="AW109" s="322">
        <v>37.700000000000003</v>
      </c>
      <c r="AX109" s="321">
        <v>37.700000000000003</v>
      </c>
      <c r="AY109" s="319">
        <v>113.4</v>
      </c>
      <c r="AZ109" s="321">
        <v>0</v>
      </c>
      <c r="BA109" s="321">
        <v>42.1</v>
      </c>
      <c r="BB109" s="322">
        <v>0</v>
      </c>
      <c r="BC109" s="321">
        <v>0</v>
      </c>
      <c r="BD109" s="319">
        <v>42.1</v>
      </c>
      <c r="BE109" s="321">
        <v>-13</v>
      </c>
      <c r="BF109" s="321">
        <v>35.1</v>
      </c>
      <c r="BG109" s="322">
        <v>0</v>
      </c>
      <c r="BH109" s="321">
        <v>66.599999999999994</v>
      </c>
      <c r="BI109" s="323">
        <v>88.699999999999989</v>
      </c>
      <c r="BJ109" s="321">
        <v>80.160000000000011</v>
      </c>
      <c r="BK109" s="321">
        <v>81.131636363636389</v>
      </c>
      <c r="BL109" s="321">
        <v>82.058855064935059</v>
      </c>
      <c r="BM109" s="321">
        <v>41.472988911196907</v>
      </c>
      <c r="BN109" s="319">
        <v>284.82348033976837</v>
      </c>
      <c r="BO109" s="321">
        <v>41.691267800203214</v>
      </c>
      <c r="BP109" s="321">
        <v>41.905069173537584</v>
      </c>
      <c r="BQ109" s="321">
        <v>42.114594519405287</v>
      </c>
      <c r="BR109" s="321">
        <v>0</v>
      </c>
      <c r="BS109" s="319">
        <v>125.71093149314608</v>
      </c>
      <c r="BT109" s="319">
        <v>42.320031565841397</v>
      </c>
      <c r="BU109" s="319">
        <v>0</v>
      </c>
      <c r="BV109" s="319">
        <v>0</v>
      </c>
      <c r="BW109" s="122"/>
    </row>
    <row r="110" spans="1:75" s="198" customFormat="1" ht="14.25" hidden="1" outlineLevel="3" x14ac:dyDescent="0.45">
      <c r="A110" s="324" t="s">
        <v>277</v>
      </c>
      <c r="B110" s="277"/>
      <c r="C110" s="325"/>
      <c r="D110" s="325"/>
      <c r="E110" s="325"/>
      <c r="F110" s="325"/>
      <c r="G110" s="326"/>
      <c r="H110" s="326"/>
      <c r="I110" s="326"/>
      <c r="J110" s="326"/>
      <c r="K110" s="325">
        <v>88.500000000000128</v>
      </c>
      <c r="L110" s="326">
        <v>88.500000000000142</v>
      </c>
      <c r="M110" s="326">
        <v>102.50000000000014</v>
      </c>
      <c r="N110" s="326">
        <v>113.90000000000015</v>
      </c>
      <c r="O110" s="326">
        <v>160.00000000000014</v>
      </c>
      <c r="P110" s="325">
        <v>160.00000000000014</v>
      </c>
      <c r="Q110" s="326">
        <v>160.00000000000014</v>
      </c>
      <c r="R110" s="326">
        <v>160.00000000000014</v>
      </c>
      <c r="S110" s="326">
        <v>251.20000000000013</v>
      </c>
      <c r="T110" s="326">
        <v>287.30000000000013</v>
      </c>
      <c r="U110" s="325">
        <v>287.30000000000013</v>
      </c>
      <c r="V110" s="326">
        <v>287.30000000000013</v>
      </c>
      <c r="W110" s="326">
        <v>287.30000000000013</v>
      </c>
      <c r="X110" s="326">
        <v>408.00000000000011</v>
      </c>
      <c r="Y110" s="327">
        <v>443.7000000000001</v>
      </c>
      <c r="Z110" s="325">
        <v>443.7000000000001</v>
      </c>
      <c r="AA110" s="327">
        <v>443.7000000000001</v>
      </c>
      <c r="AB110" s="327">
        <v>443.7000000000001</v>
      </c>
      <c r="AC110" s="326">
        <v>487.00000000000011</v>
      </c>
      <c r="AD110" s="327">
        <v>533.50000000000011</v>
      </c>
      <c r="AE110" s="325">
        <v>533.50000000000011</v>
      </c>
      <c r="AF110" s="327">
        <v>559.5</v>
      </c>
      <c r="AG110" s="327">
        <v>605.1</v>
      </c>
      <c r="AH110" s="326">
        <v>662.30000000000007</v>
      </c>
      <c r="AI110" s="327">
        <v>662.30000000000007</v>
      </c>
      <c r="AJ110" s="325">
        <v>662.30000000000007</v>
      </c>
      <c r="AK110" s="327">
        <v>662.30000000000007</v>
      </c>
      <c r="AL110" s="327">
        <v>662.30000000000007</v>
      </c>
      <c r="AM110" s="326">
        <v>695.2</v>
      </c>
      <c r="AN110" s="327">
        <v>728.2</v>
      </c>
      <c r="AO110" s="325">
        <v>728.2</v>
      </c>
      <c r="AP110" s="327">
        <v>728.2</v>
      </c>
      <c r="AQ110" s="327">
        <v>793.5</v>
      </c>
      <c r="AR110" s="328">
        <v>793.5</v>
      </c>
      <c r="AS110" s="327">
        <v>792</v>
      </c>
      <c r="AT110" s="325">
        <v>792</v>
      </c>
      <c r="AU110" s="327">
        <v>792</v>
      </c>
      <c r="AV110" s="327">
        <v>830</v>
      </c>
      <c r="AW110" s="328">
        <v>867.7</v>
      </c>
      <c r="AX110" s="327">
        <v>904.5</v>
      </c>
      <c r="AY110" s="325">
        <v>904.5</v>
      </c>
      <c r="AZ110" s="327">
        <v>904.5</v>
      </c>
      <c r="BA110" s="327">
        <v>946.6</v>
      </c>
      <c r="BB110" s="328">
        <v>946.6</v>
      </c>
      <c r="BC110" s="327">
        <v>946.4</v>
      </c>
      <c r="BD110" s="325">
        <v>946.4</v>
      </c>
      <c r="BE110" s="327">
        <v>933.4</v>
      </c>
      <c r="BF110" s="327">
        <v>968.5</v>
      </c>
      <c r="BG110" s="328">
        <v>968.5</v>
      </c>
      <c r="BH110" s="327">
        <v>1035.4000000000001</v>
      </c>
      <c r="BI110" s="329">
        <v>1035.4000000000001</v>
      </c>
      <c r="BJ110" s="327">
        <v>1115.5600000000002</v>
      </c>
      <c r="BK110" s="327">
        <v>1196.6916363636365</v>
      </c>
      <c r="BL110" s="327">
        <v>1278.7504914285714</v>
      </c>
      <c r="BM110" s="327">
        <v>1320.2234803397682</v>
      </c>
      <c r="BN110" s="325">
        <v>1320.2234803397685</v>
      </c>
      <c r="BO110" s="327">
        <v>1361.9147481399716</v>
      </c>
      <c r="BP110" s="327">
        <v>1403.8198173135092</v>
      </c>
      <c r="BQ110" s="327">
        <v>1445.9344118329145</v>
      </c>
      <c r="BR110" s="327">
        <v>1445.9344118329145</v>
      </c>
      <c r="BS110" s="325">
        <v>1445.9344118329145</v>
      </c>
      <c r="BT110" s="325">
        <v>1488.2544433987559</v>
      </c>
      <c r="BU110" s="325">
        <v>1488.2544433987559</v>
      </c>
      <c r="BV110" s="325">
        <v>1488.2544433987559</v>
      </c>
      <c r="BW110" s="197"/>
    </row>
    <row r="111" spans="1:75" s="198" customFormat="1" ht="7.5" hidden="1" customHeight="1" outlineLevel="3" x14ac:dyDescent="0.45">
      <c r="A111" s="292"/>
      <c r="B111" s="243"/>
      <c r="C111" s="293"/>
      <c r="D111" s="293"/>
      <c r="E111" s="293"/>
      <c r="F111" s="293"/>
      <c r="G111" s="294"/>
      <c r="H111" s="294"/>
      <c r="I111" s="294"/>
      <c r="J111" s="294"/>
      <c r="K111" s="293"/>
      <c r="L111" s="294"/>
      <c r="M111" s="294"/>
      <c r="N111" s="294"/>
      <c r="O111" s="294"/>
      <c r="P111" s="293"/>
      <c r="Q111" s="294"/>
      <c r="R111" s="294"/>
      <c r="S111" s="294"/>
      <c r="T111" s="294"/>
      <c r="U111" s="293"/>
      <c r="V111" s="294"/>
      <c r="W111" s="294"/>
      <c r="X111" s="294"/>
      <c r="Y111" s="295"/>
      <c r="Z111" s="293"/>
      <c r="AA111" s="295"/>
      <c r="AB111" s="295"/>
      <c r="AC111" s="294"/>
      <c r="AD111" s="295"/>
      <c r="AE111" s="293"/>
      <c r="AF111" s="295"/>
      <c r="AG111" s="295"/>
      <c r="AH111" s="294"/>
      <c r="AI111" s="295"/>
      <c r="AJ111" s="293"/>
      <c r="AK111" s="295"/>
      <c r="AL111" s="295"/>
      <c r="AM111" s="294"/>
      <c r="AN111" s="295"/>
      <c r="AO111" s="293"/>
      <c r="AP111" s="295"/>
      <c r="AQ111" s="295"/>
      <c r="AR111" s="296"/>
      <c r="AS111" s="295"/>
      <c r="AT111" s="293"/>
      <c r="AU111" s="295"/>
      <c r="AV111" s="295"/>
      <c r="AW111" s="296"/>
      <c r="AX111" s="295"/>
      <c r="AY111" s="293"/>
      <c r="AZ111" s="295"/>
      <c r="BA111" s="295"/>
      <c r="BB111" s="296"/>
      <c r="BC111" s="295"/>
      <c r="BD111" s="293"/>
      <c r="BE111" s="295"/>
      <c r="BF111" s="295"/>
      <c r="BG111" s="296"/>
      <c r="BH111" s="295"/>
      <c r="BI111" s="297"/>
      <c r="BJ111" s="295"/>
      <c r="BK111" s="295"/>
      <c r="BL111" s="295"/>
      <c r="BM111" s="295"/>
      <c r="BN111" s="293"/>
      <c r="BO111" s="295"/>
      <c r="BP111" s="295"/>
      <c r="BQ111" s="295"/>
      <c r="BR111" s="295"/>
      <c r="BS111" s="293"/>
      <c r="BT111" s="293"/>
      <c r="BU111" s="293"/>
      <c r="BV111" s="293"/>
      <c r="BW111" s="197"/>
    </row>
    <row r="112" spans="1:75" s="123" customFormat="1" hidden="1" outlineLevel="3" x14ac:dyDescent="0.5">
      <c r="A112" s="330" t="s">
        <v>278</v>
      </c>
      <c r="B112" s="251"/>
      <c r="C112" s="331"/>
      <c r="D112" s="331"/>
      <c r="E112" s="331"/>
      <c r="F112" s="331"/>
      <c r="G112" s="332"/>
      <c r="H112" s="332"/>
      <c r="I112" s="332"/>
      <c r="J112" s="332"/>
      <c r="K112" s="331"/>
      <c r="L112" s="332" t="s">
        <v>279</v>
      </c>
      <c r="M112" s="332">
        <v>14000</v>
      </c>
      <c r="N112" s="332">
        <v>25200</v>
      </c>
      <c r="O112" s="332">
        <v>46100</v>
      </c>
      <c r="P112" s="331">
        <v>28433.333333333339</v>
      </c>
      <c r="Q112" s="332" t="s">
        <v>279</v>
      </c>
      <c r="R112" s="332" t="s">
        <v>279</v>
      </c>
      <c r="S112" s="332">
        <v>45599.999999999993</v>
      </c>
      <c r="T112" s="332">
        <v>36100</v>
      </c>
      <c r="U112" s="331">
        <v>42433.333333333328</v>
      </c>
      <c r="V112" s="332" t="s">
        <v>279</v>
      </c>
      <c r="W112" s="332" t="s">
        <v>279</v>
      </c>
      <c r="X112" s="332">
        <v>40233.333333333328</v>
      </c>
      <c r="Y112" s="221">
        <v>35700</v>
      </c>
      <c r="Z112" s="331">
        <v>39099.999999999993</v>
      </c>
      <c r="AA112" s="221" t="s">
        <v>279</v>
      </c>
      <c r="AB112" s="221" t="s">
        <v>279</v>
      </c>
      <c r="AC112" s="332">
        <v>43300</v>
      </c>
      <c r="AD112" s="221">
        <v>46500</v>
      </c>
      <c r="AE112" s="331">
        <v>44900</v>
      </c>
      <c r="AF112" s="221">
        <v>26000</v>
      </c>
      <c r="AG112" s="221">
        <v>45600</v>
      </c>
      <c r="AH112" s="332">
        <v>28600</v>
      </c>
      <c r="AI112" s="221" t="s">
        <v>279</v>
      </c>
      <c r="AJ112" s="331">
        <v>32199.999999999996</v>
      </c>
      <c r="AK112" s="221" t="s">
        <v>279</v>
      </c>
      <c r="AL112" s="221" t="s">
        <v>279</v>
      </c>
      <c r="AM112" s="332">
        <v>32900</v>
      </c>
      <c r="AN112" s="221">
        <v>33000</v>
      </c>
      <c r="AO112" s="331">
        <v>32950</v>
      </c>
      <c r="AP112" s="221" t="s">
        <v>279</v>
      </c>
      <c r="AQ112" s="221">
        <v>32650</v>
      </c>
      <c r="AR112" s="333" t="s">
        <v>279</v>
      </c>
      <c r="AS112" s="221" t="s">
        <v>279</v>
      </c>
      <c r="AT112" s="331">
        <v>32650</v>
      </c>
      <c r="AU112" s="221" t="s">
        <v>279</v>
      </c>
      <c r="AV112" s="221">
        <v>38000</v>
      </c>
      <c r="AW112" s="333">
        <v>37700</v>
      </c>
      <c r="AX112" s="221">
        <v>37700</v>
      </c>
      <c r="AY112" s="331">
        <v>37800</v>
      </c>
      <c r="AZ112" s="221" t="s">
        <v>279</v>
      </c>
      <c r="BA112" s="221">
        <v>42100</v>
      </c>
      <c r="BB112" s="333" t="s">
        <v>279</v>
      </c>
      <c r="BC112" s="221" t="s">
        <v>279</v>
      </c>
      <c r="BD112" s="331">
        <v>42100</v>
      </c>
      <c r="BE112" s="221" t="s">
        <v>279</v>
      </c>
      <c r="BF112" s="221">
        <v>35100</v>
      </c>
      <c r="BG112" s="333" t="s">
        <v>279</v>
      </c>
      <c r="BH112" s="221">
        <v>22200</v>
      </c>
      <c r="BI112" s="334">
        <v>25424.999999999996</v>
      </c>
      <c r="BJ112" s="221">
        <v>40080.000000000007</v>
      </c>
      <c r="BK112" s="221">
        <v>40565.818181818191</v>
      </c>
      <c r="BL112" s="221">
        <v>41029.427532467533</v>
      </c>
      <c r="BM112" s="221">
        <v>41472.98891119691</v>
      </c>
      <c r="BN112" s="331">
        <v>40689.068619966907</v>
      </c>
      <c r="BO112" s="221">
        <v>41691.267800203212</v>
      </c>
      <c r="BP112" s="221">
        <v>41905.06917353758</v>
      </c>
      <c r="BQ112" s="221">
        <v>42114.594519405284</v>
      </c>
      <c r="BR112" s="221" t="s">
        <v>279</v>
      </c>
      <c r="BS112" s="331">
        <v>41903.643831048692</v>
      </c>
      <c r="BT112" s="331">
        <v>42320.031565841397</v>
      </c>
      <c r="BU112" s="331" t="s">
        <v>279</v>
      </c>
      <c r="BV112" s="331" t="s">
        <v>279</v>
      </c>
      <c r="BW112" s="122"/>
    </row>
    <row r="113" spans="1:75" s="217" customFormat="1" hidden="1" outlineLevel="3" x14ac:dyDescent="0.5">
      <c r="A113" s="335" t="s">
        <v>280</v>
      </c>
      <c r="B113" s="336"/>
      <c r="C113" s="337"/>
      <c r="D113" s="337"/>
      <c r="E113" s="337"/>
      <c r="F113" s="337"/>
      <c r="G113" s="338"/>
      <c r="H113" s="338"/>
      <c r="I113" s="338"/>
      <c r="J113" s="338"/>
      <c r="K113" s="337"/>
      <c r="L113" s="338"/>
      <c r="M113" s="338">
        <v>0.79096045197739984</v>
      </c>
      <c r="N113" s="338">
        <v>1.4751219512195102</v>
      </c>
      <c r="O113" s="338">
        <v>2.4284460052677757</v>
      </c>
      <c r="P113" s="337"/>
      <c r="Q113" s="338">
        <v>0</v>
      </c>
      <c r="R113" s="338">
        <v>0</v>
      </c>
      <c r="S113" s="338">
        <v>1.9949999999999979</v>
      </c>
      <c r="T113" s="338">
        <v>1.2933917197452223</v>
      </c>
      <c r="U113" s="337">
        <v>1.8564583333333315</v>
      </c>
      <c r="V113" s="338">
        <v>0</v>
      </c>
      <c r="W113" s="338">
        <v>0</v>
      </c>
      <c r="X113" s="338">
        <v>1.4003944773175536</v>
      </c>
      <c r="Y113" s="214">
        <v>1.1374999999999997</v>
      </c>
      <c r="Z113" s="337">
        <v>1.3609467455621294</v>
      </c>
      <c r="AA113" s="214">
        <v>0</v>
      </c>
      <c r="AB113" s="214">
        <v>0</v>
      </c>
      <c r="AC113" s="338">
        <v>1.3662384494027493</v>
      </c>
      <c r="AD113" s="214">
        <v>1.4322381930184802</v>
      </c>
      <c r="AE113" s="337">
        <v>1.4167230110434974</v>
      </c>
      <c r="AF113" s="214">
        <v>0.77975632614807855</v>
      </c>
      <c r="AG113" s="214">
        <v>1.3855227882037535</v>
      </c>
      <c r="AH113" s="338">
        <v>0.85076846802181461</v>
      </c>
      <c r="AI113" s="214">
        <v>0</v>
      </c>
      <c r="AJ113" s="337">
        <v>0.96569821930646638</v>
      </c>
      <c r="AK113" s="214">
        <v>0</v>
      </c>
      <c r="AL113" s="214">
        <v>0</v>
      </c>
      <c r="AM113" s="338">
        <v>0.99350747395440109</v>
      </c>
      <c r="AN113" s="214">
        <v>0.99683544303797456</v>
      </c>
      <c r="AO113" s="337">
        <v>0.99501736373244731</v>
      </c>
      <c r="AP113" s="214">
        <v>0</v>
      </c>
      <c r="AQ113" s="214">
        <v>0.98640483383685795</v>
      </c>
      <c r="AR113" s="339">
        <v>0</v>
      </c>
      <c r="AS113" s="214">
        <v>0</v>
      </c>
      <c r="AT113" s="337">
        <v>0.98640483383685795</v>
      </c>
      <c r="AU113" s="214">
        <v>0</v>
      </c>
      <c r="AV113" s="214">
        <v>1.1515151515151516</v>
      </c>
      <c r="AW113" s="339">
        <v>1.1355421686746987</v>
      </c>
      <c r="AX113" s="214">
        <v>1.1296531059121817</v>
      </c>
      <c r="AY113" s="337">
        <v>1.1454545454545455</v>
      </c>
      <c r="AZ113" s="214">
        <v>0</v>
      </c>
      <c r="BA113" s="214">
        <v>1.2567164179104477</v>
      </c>
      <c r="BB113" s="339">
        <v>0</v>
      </c>
      <c r="BC113" s="214">
        <v>0</v>
      </c>
      <c r="BD113" s="337">
        <v>1.2567164179104477</v>
      </c>
      <c r="BE113" s="214">
        <v>0</v>
      </c>
      <c r="BF113" s="214">
        <v>1.0153203342618384</v>
      </c>
      <c r="BG113" s="339">
        <v>0</v>
      </c>
      <c r="BH113" s="214">
        <v>0.64181724315952493</v>
      </c>
      <c r="BI113" s="340">
        <v>0.75221893491124248</v>
      </c>
      <c r="BJ113" s="341">
        <v>1.2</v>
      </c>
      <c r="BK113" s="341">
        <v>1.2</v>
      </c>
      <c r="BL113" s="341">
        <v>1.2</v>
      </c>
      <c r="BM113" s="341">
        <v>1.2</v>
      </c>
      <c r="BN113" s="337">
        <v>1.2182355874241586</v>
      </c>
      <c r="BO113" s="341">
        <v>1.2</v>
      </c>
      <c r="BP113" s="341">
        <v>1.2</v>
      </c>
      <c r="BQ113" s="341">
        <v>1.2</v>
      </c>
      <c r="BR113" s="341">
        <v>1.2</v>
      </c>
      <c r="BS113" s="337">
        <v>1.2061128205128204</v>
      </c>
      <c r="BT113" s="342">
        <v>1.2</v>
      </c>
      <c r="BU113" s="342">
        <v>1.2</v>
      </c>
      <c r="BV113" s="342">
        <v>1.2</v>
      </c>
      <c r="BW113" s="216"/>
    </row>
    <row r="114" spans="1:75" s="123" customFormat="1" hidden="1" outlineLevel="3" x14ac:dyDescent="0.5">
      <c r="A114" s="330" t="s">
        <v>281</v>
      </c>
      <c r="B114" s="251"/>
      <c r="C114" s="331"/>
      <c r="D114" s="331"/>
      <c r="E114" s="331"/>
      <c r="F114" s="331"/>
      <c r="G114" s="332"/>
      <c r="H114" s="332"/>
      <c r="I114" s="332"/>
      <c r="J114" s="332"/>
      <c r="K114" s="331"/>
      <c r="L114" s="332" t="s">
        <v>279</v>
      </c>
      <c r="M114" s="332" t="s">
        <v>279</v>
      </c>
      <c r="N114" s="332">
        <v>13800</v>
      </c>
      <c r="O114" s="332" t="s">
        <v>279</v>
      </c>
      <c r="P114" s="331">
        <v>13800</v>
      </c>
      <c r="Q114" s="332" t="s">
        <v>279</v>
      </c>
      <c r="R114" s="332" t="s">
        <v>279</v>
      </c>
      <c r="S114" s="332" t="s">
        <v>279</v>
      </c>
      <c r="T114" s="332" t="s">
        <v>279</v>
      </c>
      <c r="U114" s="331" t="s">
        <v>279</v>
      </c>
      <c r="V114" s="332" t="s">
        <v>279</v>
      </c>
      <c r="W114" s="332" t="s">
        <v>279</v>
      </c>
      <c r="X114" s="332" t="s">
        <v>279</v>
      </c>
      <c r="Y114" s="221" t="s">
        <v>279</v>
      </c>
      <c r="Z114" s="331" t="s">
        <v>279</v>
      </c>
      <c r="AA114" s="221" t="s">
        <v>279</v>
      </c>
      <c r="AB114" s="221" t="s">
        <v>279</v>
      </c>
      <c r="AC114" s="332" t="s">
        <v>279</v>
      </c>
      <c r="AD114" s="221" t="s">
        <v>279</v>
      </c>
      <c r="AE114" s="331" t="s">
        <v>279</v>
      </c>
      <c r="AF114" s="221" t="s">
        <v>279</v>
      </c>
      <c r="AG114" s="221" t="s">
        <v>279</v>
      </c>
      <c r="AH114" s="332" t="s">
        <v>279</v>
      </c>
      <c r="AI114" s="221" t="s">
        <v>279</v>
      </c>
      <c r="AJ114" s="331" t="s">
        <v>279</v>
      </c>
      <c r="AK114" s="221" t="s">
        <v>279</v>
      </c>
      <c r="AL114" s="221" t="s">
        <v>279</v>
      </c>
      <c r="AM114" s="332" t="s">
        <v>279</v>
      </c>
      <c r="AN114" s="221" t="s">
        <v>279</v>
      </c>
      <c r="AO114" s="331" t="s">
        <v>279</v>
      </c>
      <c r="AP114" s="221" t="s">
        <v>279</v>
      </c>
      <c r="AQ114" s="221" t="s">
        <v>279</v>
      </c>
      <c r="AR114" s="333" t="s">
        <v>279</v>
      </c>
      <c r="AS114" s="221" t="s">
        <v>279</v>
      </c>
      <c r="AT114" s="331" t="s">
        <v>279</v>
      </c>
      <c r="AU114" s="221" t="s">
        <v>279</v>
      </c>
      <c r="AV114" s="221" t="s">
        <v>279</v>
      </c>
      <c r="AW114" s="333" t="s">
        <v>279</v>
      </c>
      <c r="AX114" s="221" t="s">
        <v>279</v>
      </c>
      <c r="AY114" s="331" t="s">
        <v>279</v>
      </c>
      <c r="AZ114" s="221" t="s">
        <v>279</v>
      </c>
      <c r="BA114" s="221" t="s">
        <v>279</v>
      </c>
      <c r="BB114" s="333" t="s">
        <v>279</v>
      </c>
      <c r="BC114" s="221" t="s">
        <v>279</v>
      </c>
      <c r="BD114" s="331" t="s">
        <v>279</v>
      </c>
      <c r="BE114" s="221">
        <v>13000</v>
      </c>
      <c r="BF114" s="221" t="s">
        <v>279</v>
      </c>
      <c r="BG114" s="333" t="s">
        <v>279</v>
      </c>
      <c r="BH114" s="221" t="s">
        <v>279</v>
      </c>
      <c r="BI114" s="334">
        <v>13000</v>
      </c>
      <c r="BJ114" s="221" t="s">
        <v>279</v>
      </c>
      <c r="BK114" s="221" t="s">
        <v>279</v>
      </c>
      <c r="BL114" s="221" t="s">
        <v>279</v>
      </c>
      <c r="BM114" s="221" t="s">
        <v>279</v>
      </c>
      <c r="BN114" s="331" t="s">
        <v>279</v>
      </c>
      <c r="BO114" s="221" t="s">
        <v>279</v>
      </c>
      <c r="BP114" s="221" t="s">
        <v>279</v>
      </c>
      <c r="BQ114" s="221" t="s">
        <v>279</v>
      </c>
      <c r="BR114" s="221" t="s">
        <v>279</v>
      </c>
      <c r="BS114" s="331" t="s">
        <v>279</v>
      </c>
      <c r="BT114" s="331" t="s">
        <v>279</v>
      </c>
      <c r="BU114" s="331" t="s">
        <v>279</v>
      </c>
      <c r="BV114" s="331" t="s">
        <v>279</v>
      </c>
      <c r="BW114" s="122"/>
    </row>
    <row r="115" spans="1:75" s="217" customFormat="1" hidden="1" outlineLevel="3" x14ac:dyDescent="0.5">
      <c r="A115" s="335" t="s">
        <v>282</v>
      </c>
      <c r="B115" s="336"/>
      <c r="C115" s="337"/>
      <c r="D115" s="337"/>
      <c r="E115" s="337"/>
      <c r="F115" s="337"/>
      <c r="G115" s="338"/>
      <c r="H115" s="338"/>
      <c r="I115" s="338"/>
      <c r="J115" s="338"/>
      <c r="K115" s="337"/>
      <c r="L115" s="338"/>
      <c r="M115" s="338">
        <v>0</v>
      </c>
      <c r="N115" s="338">
        <v>0.80780487804877932</v>
      </c>
      <c r="O115" s="338">
        <v>0</v>
      </c>
      <c r="P115" s="337"/>
      <c r="Q115" s="338">
        <v>0</v>
      </c>
      <c r="R115" s="338">
        <v>0</v>
      </c>
      <c r="S115" s="338">
        <v>0</v>
      </c>
      <c r="T115" s="338">
        <v>0</v>
      </c>
      <c r="U115" s="337">
        <v>0</v>
      </c>
      <c r="V115" s="338">
        <v>0</v>
      </c>
      <c r="W115" s="338">
        <v>0</v>
      </c>
      <c r="X115" s="338">
        <v>0</v>
      </c>
      <c r="Y115" s="214">
        <v>0</v>
      </c>
      <c r="Z115" s="337">
        <v>0</v>
      </c>
      <c r="AA115" s="214">
        <v>0</v>
      </c>
      <c r="AB115" s="214">
        <v>0</v>
      </c>
      <c r="AC115" s="338">
        <v>0</v>
      </c>
      <c r="AD115" s="214">
        <v>0</v>
      </c>
      <c r="AE115" s="337">
        <v>0</v>
      </c>
      <c r="AF115" s="214">
        <v>0</v>
      </c>
      <c r="AG115" s="214">
        <v>0</v>
      </c>
      <c r="AH115" s="338">
        <v>0</v>
      </c>
      <c r="AI115" s="214">
        <v>0</v>
      </c>
      <c r="AJ115" s="337">
        <v>0</v>
      </c>
      <c r="AK115" s="214">
        <v>0</v>
      </c>
      <c r="AL115" s="214">
        <v>0</v>
      </c>
      <c r="AM115" s="338">
        <v>0</v>
      </c>
      <c r="AN115" s="214">
        <v>0</v>
      </c>
      <c r="AO115" s="337">
        <v>0</v>
      </c>
      <c r="AP115" s="214">
        <v>0</v>
      </c>
      <c r="AQ115" s="214">
        <v>0</v>
      </c>
      <c r="AR115" s="339">
        <v>0</v>
      </c>
      <c r="AS115" s="214">
        <v>0</v>
      </c>
      <c r="AT115" s="337">
        <v>0</v>
      </c>
      <c r="AU115" s="214">
        <v>0</v>
      </c>
      <c r="AV115" s="214">
        <v>0</v>
      </c>
      <c r="AW115" s="339">
        <v>0</v>
      </c>
      <c r="AX115" s="214">
        <v>0</v>
      </c>
      <c r="AY115" s="337">
        <v>0</v>
      </c>
      <c r="AZ115" s="214">
        <v>0</v>
      </c>
      <c r="BA115" s="214">
        <v>0</v>
      </c>
      <c r="BB115" s="339">
        <v>0</v>
      </c>
      <c r="BC115" s="214">
        <v>0</v>
      </c>
      <c r="BD115" s="337">
        <v>0</v>
      </c>
      <c r="BE115" s="214">
        <v>0.38461538461538464</v>
      </c>
      <c r="BF115" s="214">
        <v>0</v>
      </c>
      <c r="BG115" s="339">
        <v>0</v>
      </c>
      <c r="BH115" s="214">
        <v>0</v>
      </c>
      <c r="BI115" s="340">
        <v>0.38461538461538464</v>
      </c>
      <c r="BJ115" s="341">
        <v>0.4</v>
      </c>
      <c r="BK115" s="341">
        <v>0.4</v>
      </c>
      <c r="BL115" s="341">
        <v>0.38</v>
      </c>
      <c r="BM115" s="341">
        <v>0.4</v>
      </c>
      <c r="BN115" s="337">
        <v>0</v>
      </c>
      <c r="BO115" s="341">
        <v>0.4</v>
      </c>
      <c r="BP115" s="341">
        <v>0.4</v>
      </c>
      <c r="BQ115" s="341">
        <v>0.38</v>
      </c>
      <c r="BR115" s="341">
        <v>0.4</v>
      </c>
      <c r="BS115" s="337">
        <v>0</v>
      </c>
      <c r="BT115" s="342">
        <v>0.4</v>
      </c>
      <c r="BU115" s="342">
        <v>0.4</v>
      </c>
      <c r="BV115" s="342">
        <v>0.4</v>
      </c>
      <c r="BW115" s="216"/>
    </row>
    <row r="116" spans="1:75" s="198" customFormat="1" ht="14.25" hidden="1" outlineLevel="3" x14ac:dyDescent="0.45">
      <c r="A116" s="343" t="s">
        <v>283</v>
      </c>
      <c r="B116" s="277"/>
      <c r="C116" s="344"/>
      <c r="D116" s="344"/>
      <c r="E116" s="344"/>
      <c r="F116" s="344"/>
      <c r="G116" s="345"/>
      <c r="H116" s="345"/>
      <c r="I116" s="345"/>
      <c r="J116" s="345"/>
      <c r="K116" s="344">
        <v>17700.000000000025</v>
      </c>
      <c r="L116" s="345">
        <v>17700.000000000029</v>
      </c>
      <c r="M116" s="345">
        <v>17083.333333333358</v>
      </c>
      <c r="N116" s="345">
        <v>18983.333333333358</v>
      </c>
      <c r="O116" s="345">
        <v>22857.142857142877</v>
      </c>
      <c r="P116" s="344">
        <v>22857.142857142877</v>
      </c>
      <c r="Q116" s="345">
        <v>22857.142857142877</v>
      </c>
      <c r="R116" s="345">
        <v>22857.142857142877</v>
      </c>
      <c r="S116" s="345">
        <v>27911.111111111124</v>
      </c>
      <c r="T116" s="345">
        <v>28730.000000000011</v>
      </c>
      <c r="U116" s="344">
        <v>28730.000000000011</v>
      </c>
      <c r="V116" s="345">
        <v>28730.000000000011</v>
      </c>
      <c r="W116" s="345">
        <v>28730.000000000011</v>
      </c>
      <c r="X116" s="345">
        <v>31384.615384615394</v>
      </c>
      <c r="Y116" s="346">
        <v>31692.857142857152</v>
      </c>
      <c r="Z116" s="344">
        <v>31692.857142857152</v>
      </c>
      <c r="AA116" s="346">
        <v>31692.857142857152</v>
      </c>
      <c r="AB116" s="346">
        <v>31692.857142857152</v>
      </c>
      <c r="AC116" s="345">
        <v>32466.666666666675</v>
      </c>
      <c r="AD116" s="346">
        <v>33343.750000000007</v>
      </c>
      <c r="AE116" s="344">
        <v>33343.750000000007</v>
      </c>
      <c r="AF116" s="346">
        <v>32911.76470588235</v>
      </c>
      <c r="AG116" s="346">
        <v>33616.666666666664</v>
      </c>
      <c r="AH116" s="345">
        <v>33115.000000000007</v>
      </c>
      <c r="AI116" s="346">
        <v>33115.000000000007</v>
      </c>
      <c r="AJ116" s="344">
        <v>33115.000000000007</v>
      </c>
      <c r="AK116" s="346">
        <v>33115.000000000007</v>
      </c>
      <c r="AL116" s="346">
        <v>33115.000000000007</v>
      </c>
      <c r="AM116" s="345">
        <v>33104.761904761908</v>
      </c>
      <c r="AN116" s="346">
        <v>33100</v>
      </c>
      <c r="AO116" s="344">
        <v>33100</v>
      </c>
      <c r="AP116" s="346">
        <v>33100</v>
      </c>
      <c r="AQ116" s="346">
        <v>33062.5</v>
      </c>
      <c r="AR116" s="347">
        <v>33062.5</v>
      </c>
      <c r="AS116" s="346">
        <v>33000</v>
      </c>
      <c r="AT116" s="344">
        <v>33000</v>
      </c>
      <c r="AU116" s="346">
        <v>33000</v>
      </c>
      <c r="AV116" s="346">
        <v>33200</v>
      </c>
      <c r="AW116" s="347">
        <v>33373.076923076922</v>
      </c>
      <c r="AX116" s="346">
        <v>33500</v>
      </c>
      <c r="AY116" s="344">
        <v>33500</v>
      </c>
      <c r="AZ116" s="346">
        <v>33500</v>
      </c>
      <c r="BA116" s="346">
        <v>33807.142857142855</v>
      </c>
      <c r="BB116" s="347">
        <v>33807.142857142855</v>
      </c>
      <c r="BC116" s="346">
        <v>33800</v>
      </c>
      <c r="BD116" s="344">
        <v>33800</v>
      </c>
      <c r="BE116" s="346">
        <v>34570.370370370372</v>
      </c>
      <c r="BF116" s="346">
        <v>34589.285714285717</v>
      </c>
      <c r="BG116" s="347">
        <v>34589.285714285717</v>
      </c>
      <c r="BH116" s="346">
        <v>33400.000000000007</v>
      </c>
      <c r="BI116" s="348">
        <v>33400.000000000007</v>
      </c>
      <c r="BJ116" s="346">
        <v>33804.848484848495</v>
      </c>
      <c r="BK116" s="346">
        <v>34191.189610389614</v>
      </c>
      <c r="BL116" s="346">
        <v>34560.824092664094</v>
      </c>
      <c r="BM116" s="346">
        <v>34742.723166836011</v>
      </c>
      <c r="BN116" s="344">
        <v>34742.723166836011</v>
      </c>
      <c r="BO116" s="346">
        <v>34920.890977947987</v>
      </c>
      <c r="BP116" s="346">
        <v>35095.495432837735</v>
      </c>
      <c r="BQ116" s="346">
        <v>35266.692971534496</v>
      </c>
      <c r="BR116" s="346">
        <v>35266.692971534496</v>
      </c>
      <c r="BS116" s="344">
        <v>35266.692971534496</v>
      </c>
      <c r="BT116" s="344">
        <v>35434.629604732283</v>
      </c>
      <c r="BU116" s="344">
        <v>35434.629604732283</v>
      </c>
      <c r="BV116" s="344">
        <v>35434.629604732283</v>
      </c>
      <c r="BW116" s="197"/>
    </row>
    <row r="117" spans="1:75" s="198" customFormat="1" ht="14.25" hidden="1" outlineLevel="3" x14ac:dyDescent="0.45">
      <c r="A117" s="291"/>
      <c r="B117" s="243"/>
      <c r="C117" s="244"/>
      <c r="D117" s="244"/>
      <c r="E117" s="244"/>
      <c r="F117" s="244"/>
      <c r="G117" s="245"/>
      <c r="H117" s="245"/>
      <c r="I117" s="245"/>
      <c r="J117" s="245"/>
      <c r="K117" s="244"/>
      <c r="L117" s="245"/>
      <c r="M117" s="245"/>
      <c r="N117" s="245"/>
      <c r="O117" s="245"/>
      <c r="P117" s="244"/>
      <c r="Q117" s="245"/>
      <c r="R117" s="245"/>
      <c r="S117" s="245"/>
      <c r="T117" s="245"/>
      <c r="U117" s="244"/>
      <c r="V117" s="245"/>
      <c r="W117" s="245"/>
      <c r="X117" s="245"/>
      <c r="Y117" s="247"/>
      <c r="Z117" s="244"/>
      <c r="AA117" s="247"/>
      <c r="AB117" s="247"/>
      <c r="AC117" s="245"/>
      <c r="AD117" s="247"/>
      <c r="AE117" s="244"/>
      <c r="AF117" s="247"/>
      <c r="AG117" s="247"/>
      <c r="AH117" s="245"/>
      <c r="AI117" s="247"/>
      <c r="AJ117" s="244"/>
      <c r="AK117" s="247"/>
      <c r="AL117" s="247"/>
      <c r="AM117" s="245"/>
      <c r="AN117" s="247"/>
      <c r="AO117" s="244"/>
      <c r="AP117" s="247"/>
      <c r="AQ117" s="247"/>
      <c r="AR117" s="248"/>
      <c r="AS117" s="247"/>
      <c r="AT117" s="244"/>
      <c r="AU117" s="247"/>
      <c r="AV117" s="247"/>
      <c r="AW117" s="248"/>
      <c r="AX117" s="247"/>
      <c r="AY117" s="244"/>
      <c r="AZ117" s="247"/>
      <c r="BA117" s="247"/>
      <c r="BB117" s="248"/>
      <c r="BC117" s="247"/>
      <c r="BD117" s="244"/>
      <c r="BE117" s="247"/>
      <c r="BF117" s="247"/>
      <c r="BG117" s="248"/>
      <c r="BH117" s="247"/>
      <c r="BI117" s="249"/>
      <c r="BJ117" s="247"/>
      <c r="BK117" s="247"/>
      <c r="BL117" s="247"/>
      <c r="BM117" s="247"/>
      <c r="BN117" s="244"/>
      <c r="BO117" s="247"/>
      <c r="BP117" s="247"/>
      <c r="BQ117" s="247"/>
      <c r="BR117" s="247"/>
      <c r="BS117" s="244"/>
      <c r="BT117" s="244"/>
      <c r="BU117" s="244"/>
      <c r="BV117" s="244"/>
      <c r="BW117" s="197"/>
    </row>
    <row r="118" spans="1:75" s="198" customFormat="1" ht="14.25" hidden="1" outlineLevel="3" x14ac:dyDescent="0.45">
      <c r="A118" s="242" t="s">
        <v>284</v>
      </c>
      <c r="B118" s="243"/>
      <c r="C118" s="244"/>
      <c r="D118" s="244"/>
      <c r="E118" s="244"/>
      <c r="F118" s="244"/>
      <c r="G118" s="245">
        <v>65</v>
      </c>
      <c r="H118" s="245">
        <v>62</v>
      </c>
      <c r="I118" s="245">
        <v>62</v>
      </c>
      <c r="J118" s="245">
        <v>62</v>
      </c>
      <c r="K118" s="244">
        <v>65</v>
      </c>
      <c r="L118" s="245">
        <v>62</v>
      </c>
      <c r="M118" s="245">
        <v>61</v>
      </c>
      <c r="N118" s="245">
        <v>59</v>
      </c>
      <c r="O118" s="245">
        <v>59</v>
      </c>
      <c r="P118" s="246">
        <v>62</v>
      </c>
      <c r="Q118" s="245">
        <v>57</v>
      </c>
      <c r="R118" s="245">
        <v>57</v>
      </c>
      <c r="S118" s="245">
        <v>57</v>
      </c>
      <c r="T118" s="245">
        <v>54</v>
      </c>
      <c r="U118" s="246">
        <v>57</v>
      </c>
      <c r="V118" s="245">
        <v>53</v>
      </c>
      <c r="W118" s="245">
        <v>53</v>
      </c>
      <c r="X118" s="245">
        <v>53</v>
      </c>
      <c r="Y118" s="247">
        <v>51</v>
      </c>
      <c r="Z118" s="244">
        <v>53</v>
      </c>
      <c r="AA118" s="247">
        <v>50</v>
      </c>
      <c r="AB118" s="247">
        <v>50</v>
      </c>
      <c r="AC118" s="245">
        <v>50</v>
      </c>
      <c r="AD118" s="247">
        <v>48</v>
      </c>
      <c r="AE118" s="244">
        <v>50</v>
      </c>
      <c r="AF118" s="247">
        <v>47</v>
      </c>
      <c r="AG118" s="247">
        <v>46</v>
      </c>
      <c r="AH118" s="245">
        <v>44</v>
      </c>
      <c r="AI118" s="247">
        <v>43</v>
      </c>
      <c r="AJ118" s="244">
        <v>47</v>
      </c>
      <c r="AK118" s="247">
        <v>43</v>
      </c>
      <c r="AL118" s="247">
        <v>43</v>
      </c>
      <c r="AM118" s="245">
        <v>43</v>
      </c>
      <c r="AN118" s="247">
        <v>42</v>
      </c>
      <c r="AO118" s="244">
        <v>43</v>
      </c>
      <c r="AP118" s="247">
        <v>40</v>
      </c>
      <c r="AQ118" s="247">
        <v>41</v>
      </c>
      <c r="AR118" s="248">
        <v>38</v>
      </c>
      <c r="AS118" s="247">
        <v>38</v>
      </c>
      <c r="AT118" s="244">
        <v>40</v>
      </c>
      <c r="AU118" s="247">
        <v>38</v>
      </c>
      <c r="AV118" s="247">
        <v>38</v>
      </c>
      <c r="AW118" s="248">
        <v>37</v>
      </c>
      <c r="AX118" s="247">
        <v>36</v>
      </c>
      <c r="AY118" s="244">
        <v>38</v>
      </c>
      <c r="AZ118" s="247">
        <v>36</v>
      </c>
      <c r="BA118" s="247">
        <v>36</v>
      </c>
      <c r="BB118" s="248">
        <v>35</v>
      </c>
      <c r="BC118" s="247">
        <v>35</v>
      </c>
      <c r="BD118" s="244">
        <v>36</v>
      </c>
      <c r="BE118" s="247">
        <v>35</v>
      </c>
      <c r="BF118" s="247">
        <v>36</v>
      </c>
      <c r="BG118" s="248">
        <v>36</v>
      </c>
      <c r="BH118" s="247">
        <v>36</v>
      </c>
      <c r="BI118" s="249">
        <v>35</v>
      </c>
      <c r="BJ118" s="247">
        <v>35</v>
      </c>
      <c r="BK118" s="247">
        <v>35</v>
      </c>
      <c r="BL118" s="247">
        <v>35</v>
      </c>
      <c r="BM118" s="247">
        <v>35</v>
      </c>
      <c r="BN118" s="244">
        <v>35</v>
      </c>
      <c r="BO118" s="247">
        <v>35</v>
      </c>
      <c r="BP118" s="247">
        <v>35</v>
      </c>
      <c r="BQ118" s="247">
        <v>35</v>
      </c>
      <c r="BR118" s="247">
        <v>35</v>
      </c>
      <c r="BS118" s="244">
        <v>35</v>
      </c>
      <c r="BT118" s="244">
        <v>35</v>
      </c>
      <c r="BU118" s="244">
        <v>35</v>
      </c>
      <c r="BV118" s="244">
        <v>35</v>
      </c>
      <c r="BW118" s="197"/>
    </row>
    <row r="119" spans="1:75" s="224" customFormat="1" hidden="1" outlineLevel="4" x14ac:dyDescent="0.5">
      <c r="A119" s="261" t="s">
        <v>285</v>
      </c>
      <c r="B119" s="258"/>
      <c r="C119" s="252"/>
      <c r="D119" s="252"/>
      <c r="E119" s="252"/>
      <c r="F119" s="252"/>
      <c r="G119" s="253"/>
      <c r="H119" s="253"/>
      <c r="I119" s="253"/>
      <c r="J119" s="253"/>
      <c r="K119" s="252"/>
      <c r="L119" s="253"/>
      <c r="M119" s="253"/>
      <c r="N119" s="253"/>
      <c r="O119" s="253">
        <v>0</v>
      </c>
      <c r="P119" s="252"/>
      <c r="Q119" s="253"/>
      <c r="R119" s="253"/>
      <c r="S119" s="253"/>
      <c r="T119" s="253">
        <v>0</v>
      </c>
      <c r="U119" s="252"/>
      <c r="V119" s="253"/>
      <c r="W119" s="253"/>
      <c r="X119" s="253"/>
      <c r="Y119" s="254">
        <v>0</v>
      </c>
      <c r="Z119" s="252"/>
      <c r="AA119" s="254"/>
      <c r="AB119" s="254"/>
      <c r="AC119" s="253"/>
      <c r="AD119" s="254">
        <v>0</v>
      </c>
      <c r="AE119" s="252"/>
      <c r="AF119" s="254"/>
      <c r="AG119" s="254"/>
      <c r="AH119" s="253"/>
      <c r="AI119" s="254">
        <v>0</v>
      </c>
      <c r="AJ119" s="252"/>
      <c r="AK119" s="254"/>
      <c r="AL119" s="254"/>
      <c r="AM119" s="253"/>
      <c r="AN119" s="254">
        <v>0</v>
      </c>
      <c r="AO119" s="252"/>
      <c r="AP119" s="254"/>
      <c r="AQ119" s="254"/>
      <c r="AR119" s="255"/>
      <c r="AS119" s="254">
        <v>0</v>
      </c>
      <c r="AT119" s="252"/>
      <c r="AU119" s="254"/>
      <c r="AV119" s="254"/>
      <c r="AW119" s="255"/>
      <c r="AX119" s="254">
        <v>0</v>
      </c>
      <c r="AY119" s="252"/>
      <c r="AZ119" s="254"/>
      <c r="BA119" s="254"/>
      <c r="BB119" s="255"/>
      <c r="BC119" s="254">
        <v>0</v>
      </c>
      <c r="BD119" s="252"/>
      <c r="BE119" s="256">
        <v>1</v>
      </c>
      <c r="BF119" s="254"/>
      <c r="BG119" s="255"/>
      <c r="BH119" s="254">
        <v>0</v>
      </c>
      <c r="BI119" s="257">
        <v>1</v>
      </c>
      <c r="BJ119" s="254"/>
      <c r="BK119" s="254"/>
      <c r="BL119" s="254"/>
      <c r="BM119" s="254"/>
      <c r="BN119" s="252"/>
      <c r="BO119" s="254"/>
      <c r="BP119" s="254"/>
      <c r="BQ119" s="254"/>
      <c r="BR119" s="254"/>
      <c r="BS119" s="252"/>
      <c r="BT119" s="252"/>
      <c r="BU119" s="252"/>
      <c r="BV119" s="252"/>
      <c r="BW119" s="223"/>
    </row>
    <row r="120" spans="1:75" s="224" customFormat="1" hidden="1" outlineLevel="4" x14ac:dyDescent="0.5">
      <c r="A120" s="261" t="s">
        <v>286</v>
      </c>
      <c r="B120" s="258"/>
      <c r="C120" s="252"/>
      <c r="D120" s="252"/>
      <c r="E120" s="252"/>
      <c r="F120" s="252"/>
      <c r="G120" s="253"/>
      <c r="H120" s="253"/>
      <c r="I120" s="253"/>
      <c r="J120" s="253"/>
      <c r="K120" s="252"/>
      <c r="L120" s="253"/>
      <c r="M120" s="253"/>
      <c r="N120" s="253"/>
      <c r="O120" s="253">
        <v>0</v>
      </c>
      <c r="P120" s="252"/>
      <c r="Q120" s="253"/>
      <c r="R120" s="253"/>
      <c r="S120" s="253"/>
      <c r="T120" s="253">
        <v>0</v>
      </c>
      <c r="U120" s="252"/>
      <c r="V120" s="253"/>
      <c r="W120" s="253"/>
      <c r="X120" s="253"/>
      <c r="Y120" s="254">
        <v>0</v>
      </c>
      <c r="Z120" s="252"/>
      <c r="AA120" s="254"/>
      <c r="AB120" s="254"/>
      <c r="AC120" s="253"/>
      <c r="AD120" s="254">
        <v>0</v>
      </c>
      <c r="AE120" s="252"/>
      <c r="AF120" s="254"/>
      <c r="AG120" s="254"/>
      <c r="AH120" s="253"/>
      <c r="AI120" s="254">
        <v>0</v>
      </c>
      <c r="AJ120" s="252"/>
      <c r="AK120" s="254"/>
      <c r="AL120" s="254"/>
      <c r="AM120" s="253"/>
      <c r="AN120" s="254">
        <v>0</v>
      </c>
      <c r="AO120" s="252"/>
      <c r="AP120" s="256">
        <v>1</v>
      </c>
      <c r="AQ120" s="254"/>
      <c r="AR120" s="255"/>
      <c r="AS120" s="254">
        <v>0</v>
      </c>
      <c r="AT120" s="259">
        <v>1</v>
      </c>
      <c r="AU120" s="254"/>
      <c r="AV120" s="254"/>
      <c r="AW120" s="255"/>
      <c r="AX120" s="254">
        <v>0</v>
      </c>
      <c r="AY120" s="252"/>
      <c r="AZ120" s="254"/>
      <c r="BA120" s="254"/>
      <c r="BB120" s="255"/>
      <c r="BC120" s="254">
        <v>0</v>
      </c>
      <c r="BD120" s="252"/>
      <c r="BE120" s="254"/>
      <c r="BF120" s="254"/>
      <c r="BG120" s="255"/>
      <c r="BH120" s="254">
        <v>0</v>
      </c>
      <c r="BI120" s="260"/>
      <c r="BJ120" s="254"/>
      <c r="BK120" s="254"/>
      <c r="BL120" s="254"/>
      <c r="BM120" s="254"/>
      <c r="BN120" s="252"/>
      <c r="BO120" s="254"/>
      <c r="BP120" s="254"/>
      <c r="BQ120" s="254"/>
      <c r="BR120" s="254"/>
      <c r="BS120" s="252"/>
      <c r="BT120" s="252"/>
      <c r="BU120" s="252"/>
      <c r="BV120" s="252"/>
      <c r="BW120" s="223"/>
    </row>
    <row r="121" spans="1:75" s="224" customFormat="1" hidden="1" outlineLevel="4" x14ac:dyDescent="0.5">
      <c r="A121" s="261" t="s">
        <v>287</v>
      </c>
      <c r="B121" s="258"/>
      <c r="C121" s="252"/>
      <c r="D121" s="252"/>
      <c r="E121" s="252"/>
      <c r="F121" s="252"/>
      <c r="G121" s="253"/>
      <c r="H121" s="253"/>
      <c r="I121" s="253"/>
      <c r="J121" s="253"/>
      <c r="K121" s="252"/>
      <c r="L121" s="253"/>
      <c r="M121" s="253"/>
      <c r="N121" s="253"/>
      <c r="O121" s="253">
        <v>0</v>
      </c>
      <c r="P121" s="252"/>
      <c r="Q121" s="253"/>
      <c r="R121" s="253"/>
      <c r="S121" s="253"/>
      <c r="T121" s="253">
        <v>0</v>
      </c>
      <c r="U121" s="252"/>
      <c r="V121" s="253"/>
      <c r="W121" s="253"/>
      <c r="X121" s="253"/>
      <c r="Y121" s="254">
        <v>1</v>
      </c>
      <c r="Z121" s="259">
        <v>1</v>
      </c>
      <c r="AA121" s="254"/>
      <c r="AB121" s="254"/>
      <c r="AC121" s="253"/>
      <c r="AD121" s="254">
        <v>0</v>
      </c>
      <c r="AE121" s="252"/>
      <c r="AF121" s="254"/>
      <c r="AG121" s="254"/>
      <c r="AH121" s="253"/>
      <c r="AI121" s="254">
        <v>0</v>
      </c>
      <c r="AJ121" s="252"/>
      <c r="AK121" s="254"/>
      <c r="AL121" s="254"/>
      <c r="AM121" s="253"/>
      <c r="AN121" s="254">
        <v>0</v>
      </c>
      <c r="AO121" s="252"/>
      <c r="AP121" s="254"/>
      <c r="AQ121" s="254"/>
      <c r="AR121" s="255"/>
      <c r="AS121" s="254">
        <v>0</v>
      </c>
      <c r="AT121" s="252"/>
      <c r="AU121" s="254"/>
      <c r="AV121" s="254"/>
      <c r="AW121" s="255"/>
      <c r="AX121" s="254">
        <v>0</v>
      </c>
      <c r="AY121" s="252"/>
      <c r="AZ121" s="254"/>
      <c r="BA121" s="254"/>
      <c r="BB121" s="255"/>
      <c r="BC121" s="254">
        <v>0</v>
      </c>
      <c r="BD121" s="252"/>
      <c r="BE121" s="254"/>
      <c r="BF121" s="254"/>
      <c r="BG121" s="255"/>
      <c r="BH121" s="254">
        <v>0</v>
      </c>
      <c r="BI121" s="260"/>
      <c r="BJ121" s="254"/>
      <c r="BK121" s="254"/>
      <c r="BL121" s="254"/>
      <c r="BM121" s="254"/>
      <c r="BN121" s="252"/>
      <c r="BO121" s="254"/>
      <c r="BP121" s="254"/>
      <c r="BQ121" s="254"/>
      <c r="BR121" s="254"/>
      <c r="BS121" s="252"/>
      <c r="BT121" s="252"/>
      <c r="BU121" s="252"/>
      <c r="BV121" s="252"/>
      <c r="BW121" s="223"/>
    </row>
    <row r="122" spans="1:75" s="224" customFormat="1" hidden="1" outlineLevel="4" x14ac:dyDescent="0.5">
      <c r="A122" s="261" t="s">
        <v>288</v>
      </c>
      <c r="B122" s="258"/>
      <c r="C122" s="252"/>
      <c r="D122" s="252"/>
      <c r="E122" s="252"/>
      <c r="F122" s="252"/>
      <c r="G122" s="253"/>
      <c r="H122" s="253"/>
      <c r="I122" s="253"/>
      <c r="J122" s="253"/>
      <c r="K122" s="252"/>
      <c r="L122" s="253"/>
      <c r="M122" s="253"/>
      <c r="N122" s="253"/>
      <c r="O122" s="253">
        <v>0</v>
      </c>
      <c r="P122" s="252"/>
      <c r="Q122" s="263">
        <v>1</v>
      </c>
      <c r="R122" s="253"/>
      <c r="S122" s="253"/>
      <c r="T122" s="253">
        <v>0</v>
      </c>
      <c r="U122" s="259">
        <v>1</v>
      </c>
      <c r="V122" s="253"/>
      <c r="W122" s="253"/>
      <c r="X122" s="253"/>
      <c r="Y122" s="254">
        <v>0</v>
      </c>
      <c r="Z122" s="252"/>
      <c r="AA122" s="254"/>
      <c r="AB122" s="254"/>
      <c r="AC122" s="253"/>
      <c r="AD122" s="254">
        <v>0</v>
      </c>
      <c r="AE122" s="252"/>
      <c r="AF122" s="254"/>
      <c r="AG122" s="254"/>
      <c r="AH122" s="253"/>
      <c r="AI122" s="254">
        <v>0</v>
      </c>
      <c r="AJ122" s="252"/>
      <c r="AK122" s="254"/>
      <c r="AL122" s="254"/>
      <c r="AM122" s="253"/>
      <c r="AN122" s="254">
        <v>0</v>
      </c>
      <c r="AO122" s="252"/>
      <c r="AP122" s="254"/>
      <c r="AQ122" s="254"/>
      <c r="AR122" s="255"/>
      <c r="AS122" s="254">
        <v>0</v>
      </c>
      <c r="AT122" s="252"/>
      <c r="AU122" s="254"/>
      <c r="AV122" s="254"/>
      <c r="AW122" s="255"/>
      <c r="AX122" s="254">
        <v>0</v>
      </c>
      <c r="AY122" s="252"/>
      <c r="AZ122" s="254"/>
      <c r="BA122" s="254"/>
      <c r="BB122" s="255"/>
      <c r="BC122" s="254">
        <v>0</v>
      </c>
      <c r="BD122" s="252"/>
      <c r="BE122" s="254"/>
      <c r="BF122" s="254"/>
      <c r="BG122" s="255"/>
      <c r="BH122" s="254">
        <v>0</v>
      </c>
      <c r="BI122" s="260"/>
      <c r="BJ122" s="254"/>
      <c r="BK122" s="254"/>
      <c r="BL122" s="254"/>
      <c r="BM122" s="254"/>
      <c r="BN122" s="252"/>
      <c r="BO122" s="254"/>
      <c r="BP122" s="254"/>
      <c r="BQ122" s="254"/>
      <c r="BR122" s="254"/>
      <c r="BS122" s="252"/>
      <c r="BT122" s="252"/>
      <c r="BU122" s="252"/>
      <c r="BV122" s="252"/>
      <c r="BW122" s="223"/>
    </row>
    <row r="123" spans="1:75" s="224" customFormat="1" hidden="1" outlineLevel="4" x14ac:dyDescent="0.5">
      <c r="A123" s="264" t="s">
        <v>289</v>
      </c>
      <c r="B123" s="265"/>
      <c r="C123" s="266"/>
      <c r="D123" s="266"/>
      <c r="E123" s="266"/>
      <c r="F123" s="266"/>
      <c r="G123" s="267"/>
      <c r="H123" s="267"/>
      <c r="I123" s="267"/>
      <c r="J123" s="267"/>
      <c r="K123" s="266"/>
      <c r="L123" s="267"/>
      <c r="M123" s="267"/>
      <c r="N123" s="267"/>
      <c r="O123" s="267">
        <v>0</v>
      </c>
      <c r="P123" s="266"/>
      <c r="Q123" s="267"/>
      <c r="R123" s="267"/>
      <c r="S123" s="267"/>
      <c r="T123" s="267">
        <v>1</v>
      </c>
      <c r="U123" s="268">
        <v>1</v>
      </c>
      <c r="V123" s="267"/>
      <c r="W123" s="267"/>
      <c r="X123" s="267"/>
      <c r="Y123" s="269">
        <v>0</v>
      </c>
      <c r="Z123" s="266"/>
      <c r="AA123" s="269"/>
      <c r="AB123" s="269"/>
      <c r="AC123" s="267"/>
      <c r="AD123" s="269">
        <v>0</v>
      </c>
      <c r="AE123" s="266"/>
      <c r="AF123" s="269"/>
      <c r="AG123" s="269"/>
      <c r="AH123" s="267"/>
      <c r="AI123" s="269">
        <v>0</v>
      </c>
      <c r="AJ123" s="266"/>
      <c r="AK123" s="269"/>
      <c r="AL123" s="269"/>
      <c r="AM123" s="267"/>
      <c r="AN123" s="269">
        <v>0</v>
      </c>
      <c r="AO123" s="266"/>
      <c r="AP123" s="269"/>
      <c r="AQ123" s="269"/>
      <c r="AR123" s="270"/>
      <c r="AS123" s="269">
        <v>0</v>
      </c>
      <c r="AT123" s="266"/>
      <c r="AU123" s="269"/>
      <c r="AV123" s="269"/>
      <c r="AW123" s="270"/>
      <c r="AX123" s="269">
        <v>0</v>
      </c>
      <c r="AY123" s="266"/>
      <c r="AZ123" s="269"/>
      <c r="BA123" s="269"/>
      <c r="BB123" s="270"/>
      <c r="BC123" s="269">
        <v>0</v>
      </c>
      <c r="BD123" s="266"/>
      <c r="BE123" s="269"/>
      <c r="BF123" s="269"/>
      <c r="BG123" s="270"/>
      <c r="BH123" s="269">
        <v>0</v>
      </c>
      <c r="BI123" s="271"/>
      <c r="BJ123" s="269"/>
      <c r="BK123" s="269"/>
      <c r="BL123" s="269"/>
      <c r="BM123" s="269"/>
      <c r="BN123" s="266"/>
      <c r="BO123" s="269"/>
      <c r="BP123" s="269"/>
      <c r="BQ123" s="269"/>
      <c r="BR123" s="269"/>
      <c r="BS123" s="266"/>
      <c r="BT123" s="266"/>
      <c r="BU123" s="266"/>
      <c r="BV123" s="266"/>
      <c r="BW123" s="223"/>
    </row>
    <row r="124" spans="1:75" s="123" customFormat="1" hidden="1" outlineLevel="3" collapsed="1" x14ac:dyDescent="0.5">
      <c r="A124" s="218" t="s">
        <v>290</v>
      </c>
      <c r="B124" s="251"/>
      <c r="C124" s="252"/>
      <c r="D124" s="252"/>
      <c r="E124" s="252"/>
      <c r="F124" s="252"/>
      <c r="G124" s="253"/>
      <c r="H124" s="253"/>
      <c r="I124" s="253"/>
      <c r="J124" s="253"/>
      <c r="K124" s="252"/>
      <c r="L124" s="253">
        <v>0</v>
      </c>
      <c r="M124" s="253">
        <v>0</v>
      </c>
      <c r="N124" s="253">
        <v>0</v>
      </c>
      <c r="O124" s="253">
        <v>0</v>
      </c>
      <c r="P124" s="252">
        <v>0</v>
      </c>
      <c r="Q124" s="253">
        <v>1</v>
      </c>
      <c r="R124" s="253">
        <v>0</v>
      </c>
      <c r="S124" s="253">
        <v>0</v>
      </c>
      <c r="T124" s="253">
        <v>1</v>
      </c>
      <c r="U124" s="252">
        <v>2</v>
      </c>
      <c r="V124" s="253">
        <v>0</v>
      </c>
      <c r="W124" s="253">
        <v>0</v>
      </c>
      <c r="X124" s="253">
        <v>0</v>
      </c>
      <c r="Y124" s="254">
        <v>1</v>
      </c>
      <c r="Z124" s="252">
        <v>1</v>
      </c>
      <c r="AA124" s="254">
        <v>0</v>
      </c>
      <c r="AB124" s="254">
        <v>0</v>
      </c>
      <c r="AC124" s="253">
        <v>0</v>
      </c>
      <c r="AD124" s="254">
        <v>0</v>
      </c>
      <c r="AE124" s="252">
        <v>0</v>
      </c>
      <c r="AF124" s="254">
        <v>0</v>
      </c>
      <c r="AG124" s="254">
        <v>0</v>
      </c>
      <c r="AH124" s="253">
        <v>0</v>
      </c>
      <c r="AI124" s="254">
        <v>0</v>
      </c>
      <c r="AJ124" s="252">
        <v>0</v>
      </c>
      <c r="AK124" s="254">
        <v>0</v>
      </c>
      <c r="AL124" s="254">
        <v>0</v>
      </c>
      <c r="AM124" s="253">
        <v>0</v>
      </c>
      <c r="AN124" s="254">
        <v>0</v>
      </c>
      <c r="AO124" s="252">
        <v>0</v>
      </c>
      <c r="AP124" s="254">
        <v>1</v>
      </c>
      <c r="AQ124" s="254">
        <v>0</v>
      </c>
      <c r="AR124" s="255">
        <v>0</v>
      </c>
      <c r="AS124" s="254">
        <v>0</v>
      </c>
      <c r="AT124" s="252">
        <v>1</v>
      </c>
      <c r="AU124" s="254">
        <v>0</v>
      </c>
      <c r="AV124" s="254">
        <v>0</v>
      </c>
      <c r="AW124" s="255">
        <v>0</v>
      </c>
      <c r="AX124" s="254">
        <v>0</v>
      </c>
      <c r="AY124" s="252">
        <v>0</v>
      </c>
      <c r="AZ124" s="254">
        <v>0</v>
      </c>
      <c r="BA124" s="254">
        <v>0</v>
      </c>
      <c r="BB124" s="255">
        <v>0</v>
      </c>
      <c r="BC124" s="254">
        <v>0</v>
      </c>
      <c r="BD124" s="252">
        <v>0</v>
      </c>
      <c r="BE124" s="254">
        <v>1</v>
      </c>
      <c r="BF124" s="254">
        <v>0</v>
      </c>
      <c r="BG124" s="255">
        <v>0</v>
      </c>
      <c r="BH124" s="254">
        <v>0</v>
      </c>
      <c r="BI124" s="260">
        <v>1</v>
      </c>
      <c r="BJ124" s="256">
        <v>0</v>
      </c>
      <c r="BK124" s="256">
        <v>0</v>
      </c>
      <c r="BL124" s="256">
        <v>0</v>
      </c>
      <c r="BM124" s="256">
        <v>0</v>
      </c>
      <c r="BN124" s="252">
        <v>0</v>
      </c>
      <c r="BO124" s="256">
        <v>0</v>
      </c>
      <c r="BP124" s="256">
        <v>0</v>
      </c>
      <c r="BQ124" s="256">
        <v>0</v>
      </c>
      <c r="BR124" s="256">
        <v>0</v>
      </c>
      <c r="BS124" s="252">
        <v>0</v>
      </c>
      <c r="BT124" s="259">
        <v>0</v>
      </c>
      <c r="BU124" s="259">
        <v>0</v>
      </c>
      <c r="BV124" s="259">
        <v>0</v>
      </c>
      <c r="BW124" s="122"/>
    </row>
    <row r="125" spans="1:75" s="123" customFormat="1" hidden="1" outlineLevel="4" x14ac:dyDescent="0.5">
      <c r="A125" s="272" t="s">
        <v>291</v>
      </c>
      <c r="B125" s="251"/>
      <c r="C125" s="252"/>
      <c r="D125" s="252"/>
      <c r="E125" s="252"/>
      <c r="F125" s="252"/>
      <c r="G125" s="253"/>
      <c r="H125" s="253"/>
      <c r="I125" s="253"/>
      <c r="J125" s="253"/>
      <c r="K125" s="252"/>
      <c r="L125" s="253"/>
      <c r="M125" s="253"/>
      <c r="N125" s="253"/>
      <c r="O125" s="253">
        <v>0</v>
      </c>
      <c r="P125" s="252"/>
      <c r="Q125" s="253"/>
      <c r="R125" s="253"/>
      <c r="S125" s="253"/>
      <c r="T125" s="253">
        <v>0</v>
      </c>
      <c r="U125" s="252"/>
      <c r="V125" s="253"/>
      <c r="W125" s="253"/>
      <c r="X125" s="253"/>
      <c r="Y125" s="254">
        <v>0</v>
      </c>
      <c r="Z125" s="252"/>
      <c r="AA125" s="254"/>
      <c r="AB125" s="254"/>
      <c r="AC125" s="253"/>
      <c r="AD125" s="254">
        <v>0</v>
      </c>
      <c r="AE125" s="252"/>
      <c r="AF125" s="254"/>
      <c r="AG125" s="254"/>
      <c r="AH125" s="253"/>
      <c r="AI125" s="254">
        <v>0</v>
      </c>
      <c r="AJ125" s="252"/>
      <c r="AK125" s="254"/>
      <c r="AL125" s="254"/>
      <c r="AM125" s="253"/>
      <c r="AN125" s="254">
        <v>0</v>
      </c>
      <c r="AO125" s="252"/>
      <c r="AP125" s="254"/>
      <c r="AQ125" s="254"/>
      <c r="AR125" s="255"/>
      <c r="AS125" s="254">
        <v>0</v>
      </c>
      <c r="AT125" s="252"/>
      <c r="AU125" s="254"/>
      <c r="AV125" s="254"/>
      <c r="AW125" s="255"/>
      <c r="AX125" s="254">
        <v>0</v>
      </c>
      <c r="AY125" s="252"/>
      <c r="AZ125" s="254"/>
      <c r="BA125" s="254"/>
      <c r="BB125" s="255"/>
      <c r="BC125" s="254">
        <v>0</v>
      </c>
      <c r="BD125" s="252"/>
      <c r="BE125" s="254"/>
      <c r="BF125" s="254"/>
      <c r="BG125" s="255"/>
      <c r="BH125" s="254">
        <v>-1</v>
      </c>
      <c r="BI125" s="257">
        <v>-1</v>
      </c>
      <c r="BJ125" s="254"/>
      <c r="BK125" s="254"/>
      <c r="BL125" s="254"/>
      <c r="BM125" s="254"/>
      <c r="BN125" s="252"/>
      <c r="BO125" s="254"/>
      <c r="BP125" s="254"/>
      <c r="BQ125" s="254"/>
      <c r="BR125" s="254"/>
      <c r="BS125" s="252"/>
      <c r="BT125" s="252"/>
      <c r="BU125" s="252"/>
      <c r="BV125" s="252"/>
      <c r="BW125" s="122"/>
    </row>
    <row r="126" spans="1:75" s="123" customFormat="1" hidden="1" outlineLevel="4" x14ac:dyDescent="0.5">
      <c r="A126" s="349" t="s">
        <v>292</v>
      </c>
      <c r="B126" s="251"/>
      <c r="C126" s="252"/>
      <c r="D126" s="252"/>
      <c r="E126" s="252"/>
      <c r="F126" s="252"/>
      <c r="G126" s="253"/>
      <c r="H126" s="253"/>
      <c r="I126" s="253"/>
      <c r="J126" s="253"/>
      <c r="K126" s="252"/>
      <c r="L126" s="253"/>
      <c r="M126" s="253"/>
      <c r="N126" s="253"/>
      <c r="O126" s="350">
        <v>0</v>
      </c>
      <c r="P126" s="252"/>
      <c r="Q126" s="253"/>
      <c r="R126" s="253"/>
      <c r="S126" s="253"/>
      <c r="T126" s="350">
        <v>0</v>
      </c>
      <c r="U126" s="252"/>
      <c r="V126" s="253"/>
      <c r="W126" s="253"/>
      <c r="X126" s="253"/>
      <c r="Y126" s="223">
        <v>0</v>
      </c>
      <c r="Z126" s="252"/>
      <c r="AA126" s="254"/>
      <c r="AB126" s="254"/>
      <c r="AC126" s="253"/>
      <c r="AD126" s="223">
        <v>0</v>
      </c>
      <c r="AE126" s="252"/>
      <c r="AF126" s="254"/>
      <c r="AG126" s="254"/>
      <c r="AH126" s="253"/>
      <c r="AI126" s="223">
        <v>0</v>
      </c>
      <c r="AJ126" s="252"/>
      <c r="AK126" s="254"/>
      <c r="AL126" s="254"/>
      <c r="AM126" s="253"/>
      <c r="AN126" s="223">
        <v>0</v>
      </c>
      <c r="AO126" s="252"/>
      <c r="AP126" s="254"/>
      <c r="AQ126" s="254"/>
      <c r="AR126" s="255"/>
      <c r="AS126" s="223">
        <v>0</v>
      </c>
      <c r="AT126" s="252"/>
      <c r="AU126" s="254"/>
      <c r="AV126" s="254"/>
      <c r="AW126" s="255"/>
      <c r="AX126" s="223">
        <v>0</v>
      </c>
      <c r="AY126" s="252"/>
      <c r="AZ126" s="254"/>
      <c r="BA126" s="256">
        <v>-1</v>
      </c>
      <c r="BB126" s="255"/>
      <c r="BC126" s="223">
        <v>0</v>
      </c>
      <c r="BD126" s="259">
        <v>-1</v>
      </c>
      <c r="BE126" s="254"/>
      <c r="BF126" s="254"/>
      <c r="BG126" s="255"/>
      <c r="BH126" s="254">
        <v>0</v>
      </c>
      <c r="BI126" s="260"/>
      <c r="BJ126" s="254"/>
      <c r="BK126" s="254"/>
      <c r="BL126" s="254"/>
      <c r="BM126" s="254"/>
      <c r="BN126" s="252"/>
      <c r="BO126" s="254"/>
      <c r="BP126" s="254"/>
      <c r="BQ126" s="254"/>
      <c r="BR126" s="254"/>
      <c r="BS126" s="252"/>
      <c r="BT126" s="252"/>
      <c r="BU126" s="252"/>
      <c r="BV126" s="252"/>
      <c r="BW126" s="122"/>
    </row>
    <row r="127" spans="1:75" s="123" customFormat="1" hidden="1" outlineLevel="4" x14ac:dyDescent="0.5">
      <c r="A127" s="349" t="s">
        <v>293</v>
      </c>
      <c r="B127" s="251"/>
      <c r="C127" s="252"/>
      <c r="D127" s="252"/>
      <c r="E127" s="252"/>
      <c r="F127" s="252"/>
      <c r="G127" s="253"/>
      <c r="H127" s="253"/>
      <c r="I127" s="253"/>
      <c r="J127" s="253"/>
      <c r="K127" s="252"/>
      <c r="L127" s="253"/>
      <c r="M127" s="253"/>
      <c r="N127" s="253"/>
      <c r="O127" s="350">
        <v>0</v>
      </c>
      <c r="P127" s="252"/>
      <c r="Q127" s="253"/>
      <c r="R127" s="253"/>
      <c r="S127" s="253"/>
      <c r="T127" s="350">
        <v>0</v>
      </c>
      <c r="U127" s="252"/>
      <c r="V127" s="253"/>
      <c r="W127" s="253"/>
      <c r="X127" s="253"/>
      <c r="Y127" s="223">
        <v>0</v>
      </c>
      <c r="Z127" s="252"/>
      <c r="AA127" s="254"/>
      <c r="AB127" s="254"/>
      <c r="AC127" s="253"/>
      <c r="AD127" s="223">
        <v>0</v>
      </c>
      <c r="AE127" s="252"/>
      <c r="AF127" s="254"/>
      <c r="AG127" s="254"/>
      <c r="AH127" s="253"/>
      <c r="AI127" s="223">
        <v>0</v>
      </c>
      <c r="AJ127" s="252"/>
      <c r="AK127" s="254"/>
      <c r="AL127" s="254"/>
      <c r="AM127" s="253"/>
      <c r="AN127" s="223">
        <v>0</v>
      </c>
      <c r="AO127" s="252"/>
      <c r="AP127" s="254"/>
      <c r="AQ127" s="254"/>
      <c r="AR127" s="255"/>
      <c r="AS127" s="223">
        <v>0</v>
      </c>
      <c r="AT127" s="252"/>
      <c r="AU127" s="254"/>
      <c r="AV127" s="256">
        <v>-1</v>
      </c>
      <c r="AW127" s="255"/>
      <c r="AX127" s="223">
        <v>0</v>
      </c>
      <c r="AY127" s="259">
        <v>-1</v>
      </c>
      <c r="AZ127" s="254"/>
      <c r="BA127" s="254"/>
      <c r="BB127" s="255"/>
      <c r="BC127" s="223">
        <v>0</v>
      </c>
      <c r="BD127" s="252"/>
      <c r="BE127" s="254"/>
      <c r="BF127" s="254"/>
      <c r="BG127" s="255"/>
      <c r="BH127" s="254">
        <v>0</v>
      </c>
      <c r="BI127" s="260"/>
      <c r="BJ127" s="254"/>
      <c r="BK127" s="254"/>
      <c r="BL127" s="254"/>
      <c r="BM127" s="254"/>
      <c r="BN127" s="252"/>
      <c r="BO127" s="254"/>
      <c r="BP127" s="254"/>
      <c r="BQ127" s="254"/>
      <c r="BR127" s="254"/>
      <c r="BS127" s="252"/>
      <c r="BT127" s="252"/>
      <c r="BU127" s="252"/>
      <c r="BV127" s="252"/>
      <c r="BW127" s="122"/>
    </row>
    <row r="128" spans="1:75" s="123" customFormat="1" hidden="1" outlineLevel="4" x14ac:dyDescent="0.5">
      <c r="A128" s="349" t="s">
        <v>294</v>
      </c>
      <c r="B128" s="251"/>
      <c r="C128" s="252"/>
      <c r="D128" s="252"/>
      <c r="E128" s="252"/>
      <c r="F128" s="252"/>
      <c r="G128" s="253"/>
      <c r="H128" s="253"/>
      <c r="I128" s="253"/>
      <c r="J128" s="253"/>
      <c r="K128" s="252"/>
      <c r="L128" s="253"/>
      <c r="M128" s="253"/>
      <c r="N128" s="253"/>
      <c r="O128" s="350">
        <v>0</v>
      </c>
      <c r="P128" s="252"/>
      <c r="Q128" s="253"/>
      <c r="R128" s="253"/>
      <c r="S128" s="253"/>
      <c r="T128" s="350">
        <v>0</v>
      </c>
      <c r="U128" s="252"/>
      <c r="V128" s="253"/>
      <c r="W128" s="253"/>
      <c r="X128" s="253"/>
      <c r="Y128" s="223">
        <v>0</v>
      </c>
      <c r="Z128" s="252"/>
      <c r="AA128" s="254"/>
      <c r="AB128" s="254"/>
      <c r="AC128" s="253"/>
      <c r="AD128" s="223">
        <v>0</v>
      </c>
      <c r="AE128" s="252"/>
      <c r="AF128" s="254"/>
      <c r="AG128" s="254"/>
      <c r="AH128" s="253"/>
      <c r="AI128" s="223">
        <v>0</v>
      </c>
      <c r="AJ128" s="252"/>
      <c r="AK128" s="254"/>
      <c r="AL128" s="254"/>
      <c r="AM128" s="253"/>
      <c r="AN128" s="223">
        <v>0</v>
      </c>
      <c r="AO128" s="252"/>
      <c r="AP128" s="254"/>
      <c r="AQ128" s="254"/>
      <c r="AR128" s="255"/>
      <c r="AS128" s="223">
        <v>0</v>
      </c>
      <c r="AT128" s="252"/>
      <c r="AU128" s="254"/>
      <c r="AV128" s="254"/>
      <c r="AW128" s="262">
        <v>-1</v>
      </c>
      <c r="AX128" s="223">
        <v>0</v>
      </c>
      <c r="AY128" s="259">
        <v>-1</v>
      </c>
      <c r="AZ128" s="254"/>
      <c r="BA128" s="254"/>
      <c r="BB128" s="255"/>
      <c r="BC128" s="223">
        <v>0</v>
      </c>
      <c r="BD128" s="252"/>
      <c r="BE128" s="254"/>
      <c r="BF128" s="254"/>
      <c r="BG128" s="255"/>
      <c r="BH128" s="254">
        <v>0</v>
      </c>
      <c r="BI128" s="260"/>
      <c r="BJ128" s="254"/>
      <c r="BK128" s="254"/>
      <c r="BL128" s="254"/>
      <c r="BM128" s="254"/>
      <c r="BN128" s="252"/>
      <c r="BO128" s="254"/>
      <c r="BP128" s="254"/>
      <c r="BQ128" s="254"/>
      <c r="BR128" s="254"/>
      <c r="BS128" s="252"/>
      <c r="BT128" s="252"/>
      <c r="BU128" s="252"/>
      <c r="BV128" s="252"/>
      <c r="BW128" s="122"/>
    </row>
    <row r="129" spans="1:75" s="123" customFormat="1" hidden="1" outlineLevel="4" x14ac:dyDescent="0.5">
      <c r="A129" s="349" t="s">
        <v>295</v>
      </c>
      <c r="B129" s="251"/>
      <c r="C129" s="252"/>
      <c r="D129" s="252"/>
      <c r="E129" s="252"/>
      <c r="F129" s="252"/>
      <c r="G129" s="253"/>
      <c r="H129" s="253"/>
      <c r="I129" s="253"/>
      <c r="J129" s="253"/>
      <c r="K129" s="252"/>
      <c r="L129" s="253"/>
      <c r="M129" s="253"/>
      <c r="N129" s="253"/>
      <c r="O129" s="350">
        <v>0</v>
      </c>
      <c r="P129" s="252"/>
      <c r="Q129" s="253"/>
      <c r="R129" s="253"/>
      <c r="S129" s="253"/>
      <c r="T129" s="350">
        <v>0</v>
      </c>
      <c r="U129" s="252"/>
      <c r="V129" s="253"/>
      <c r="W129" s="253"/>
      <c r="X129" s="253"/>
      <c r="Y129" s="223">
        <v>0</v>
      </c>
      <c r="Z129" s="252"/>
      <c r="AA129" s="254"/>
      <c r="AB129" s="254"/>
      <c r="AC129" s="253"/>
      <c r="AD129" s="223">
        <v>0</v>
      </c>
      <c r="AE129" s="252"/>
      <c r="AF129" s="254"/>
      <c r="AG129" s="254"/>
      <c r="AH129" s="253"/>
      <c r="AI129" s="223">
        <v>0</v>
      </c>
      <c r="AJ129" s="252"/>
      <c r="AK129" s="254"/>
      <c r="AL129" s="254"/>
      <c r="AM129" s="253"/>
      <c r="AN129" s="223">
        <v>0</v>
      </c>
      <c r="AO129" s="252"/>
      <c r="AP129" s="254"/>
      <c r="AQ129" s="256">
        <v>-1</v>
      </c>
      <c r="AR129" s="255"/>
      <c r="AS129" s="223">
        <v>0</v>
      </c>
      <c r="AT129" s="259">
        <v>-1</v>
      </c>
      <c r="AU129" s="254"/>
      <c r="AV129" s="254"/>
      <c r="AW129" s="255"/>
      <c r="AX129" s="223">
        <v>0</v>
      </c>
      <c r="AY129" s="252"/>
      <c r="AZ129" s="254"/>
      <c r="BA129" s="254"/>
      <c r="BB129" s="255"/>
      <c r="BC129" s="223">
        <v>0</v>
      </c>
      <c r="BD129" s="252"/>
      <c r="BE129" s="254"/>
      <c r="BF129" s="254"/>
      <c r="BG129" s="255"/>
      <c r="BH129" s="254">
        <v>0</v>
      </c>
      <c r="BI129" s="260"/>
      <c r="BJ129" s="254"/>
      <c r="BK129" s="254"/>
      <c r="BL129" s="254"/>
      <c r="BM129" s="254"/>
      <c r="BN129" s="252"/>
      <c r="BO129" s="254"/>
      <c r="BP129" s="254"/>
      <c r="BQ129" s="254"/>
      <c r="BR129" s="254"/>
      <c r="BS129" s="252"/>
      <c r="BT129" s="252"/>
      <c r="BU129" s="252"/>
      <c r="BV129" s="252"/>
      <c r="BW129" s="122"/>
    </row>
    <row r="130" spans="1:75" s="123" customFormat="1" hidden="1" outlineLevel="4" x14ac:dyDescent="0.5">
      <c r="A130" s="349" t="s">
        <v>296</v>
      </c>
      <c r="B130" s="251"/>
      <c r="C130" s="252"/>
      <c r="D130" s="252"/>
      <c r="E130" s="252"/>
      <c r="F130" s="252"/>
      <c r="G130" s="253"/>
      <c r="H130" s="253"/>
      <c r="I130" s="253"/>
      <c r="J130" s="253"/>
      <c r="K130" s="252"/>
      <c r="L130" s="253"/>
      <c r="M130" s="253"/>
      <c r="N130" s="253"/>
      <c r="O130" s="350">
        <v>0</v>
      </c>
      <c r="P130" s="252"/>
      <c r="Q130" s="253"/>
      <c r="R130" s="253"/>
      <c r="S130" s="253"/>
      <c r="T130" s="350">
        <v>0</v>
      </c>
      <c r="U130" s="252"/>
      <c r="V130" s="253"/>
      <c r="W130" s="253"/>
      <c r="X130" s="253"/>
      <c r="Y130" s="223">
        <v>0</v>
      </c>
      <c r="Z130" s="252"/>
      <c r="AA130" s="254"/>
      <c r="AB130" s="254"/>
      <c r="AC130" s="253"/>
      <c r="AD130" s="223">
        <v>0</v>
      </c>
      <c r="AE130" s="252"/>
      <c r="AF130" s="254"/>
      <c r="AG130" s="254"/>
      <c r="AH130" s="253"/>
      <c r="AI130" s="223">
        <v>0</v>
      </c>
      <c r="AJ130" s="252"/>
      <c r="AK130" s="254"/>
      <c r="AL130" s="254"/>
      <c r="AM130" s="253"/>
      <c r="AN130" s="223">
        <v>0</v>
      </c>
      <c r="AO130" s="252"/>
      <c r="AP130" s="254"/>
      <c r="AQ130" s="256">
        <v>-1</v>
      </c>
      <c r="AR130" s="255"/>
      <c r="AS130" s="223">
        <v>0</v>
      </c>
      <c r="AT130" s="259">
        <v>-1</v>
      </c>
      <c r="AU130" s="254"/>
      <c r="AV130" s="254"/>
      <c r="AW130" s="255"/>
      <c r="AX130" s="223">
        <v>0</v>
      </c>
      <c r="AY130" s="252"/>
      <c r="AZ130" s="254"/>
      <c r="BA130" s="254"/>
      <c r="BB130" s="255"/>
      <c r="BC130" s="223">
        <v>0</v>
      </c>
      <c r="BD130" s="252"/>
      <c r="BE130" s="254"/>
      <c r="BF130" s="254"/>
      <c r="BG130" s="255"/>
      <c r="BH130" s="254">
        <v>0</v>
      </c>
      <c r="BI130" s="260"/>
      <c r="BJ130" s="254"/>
      <c r="BK130" s="254"/>
      <c r="BL130" s="254"/>
      <c r="BM130" s="254"/>
      <c r="BN130" s="252"/>
      <c r="BO130" s="254"/>
      <c r="BP130" s="254"/>
      <c r="BQ130" s="254"/>
      <c r="BR130" s="254"/>
      <c r="BS130" s="252"/>
      <c r="BT130" s="252"/>
      <c r="BU130" s="252"/>
      <c r="BV130" s="252"/>
      <c r="BW130" s="122"/>
    </row>
    <row r="131" spans="1:75" s="123" customFormat="1" hidden="1" outlineLevel="4" x14ac:dyDescent="0.5">
      <c r="A131" s="349" t="s">
        <v>297</v>
      </c>
      <c r="B131" s="251"/>
      <c r="C131" s="252"/>
      <c r="D131" s="252"/>
      <c r="E131" s="252"/>
      <c r="F131" s="252"/>
      <c r="G131" s="253"/>
      <c r="H131" s="253"/>
      <c r="I131" s="253"/>
      <c r="J131" s="253"/>
      <c r="K131" s="252"/>
      <c r="L131" s="253"/>
      <c r="M131" s="253"/>
      <c r="N131" s="253"/>
      <c r="O131" s="350">
        <v>0</v>
      </c>
      <c r="P131" s="252"/>
      <c r="Q131" s="253"/>
      <c r="R131" s="253"/>
      <c r="S131" s="253"/>
      <c r="T131" s="350">
        <v>0</v>
      </c>
      <c r="U131" s="252"/>
      <c r="V131" s="253"/>
      <c r="W131" s="253"/>
      <c r="X131" s="253"/>
      <c r="Y131" s="223">
        <v>0</v>
      </c>
      <c r="Z131" s="252"/>
      <c r="AA131" s="254"/>
      <c r="AB131" s="254"/>
      <c r="AC131" s="253"/>
      <c r="AD131" s="223">
        <v>0</v>
      </c>
      <c r="AE131" s="252"/>
      <c r="AF131" s="254"/>
      <c r="AG131" s="254"/>
      <c r="AH131" s="253"/>
      <c r="AI131" s="223">
        <v>0</v>
      </c>
      <c r="AJ131" s="252"/>
      <c r="AK131" s="254"/>
      <c r="AL131" s="254"/>
      <c r="AM131" s="253"/>
      <c r="AN131" s="223">
        <v>0</v>
      </c>
      <c r="AO131" s="252"/>
      <c r="AP131" s="254"/>
      <c r="AQ131" s="256">
        <v>-1</v>
      </c>
      <c r="AR131" s="255"/>
      <c r="AS131" s="223">
        <v>0</v>
      </c>
      <c r="AT131" s="259">
        <v>-1</v>
      </c>
      <c r="AU131" s="254"/>
      <c r="AV131" s="254"/>
      <c r="AW131" s="255"/>
      <c r="AX131" s="223">
        <v>0</v>
      </c>
      <c r="AY131" s="252"/>
      <c r="AZ131" s="254"/>
      <c r="BA131" s="254"/>
      <c r="BB131" s="255"/>
      <c r="BC131" s="223">
        <v>0</v>
      </c>
      <c r="BD131" s="252"/>
      <c r="BE131" s="254"/>
      <c r="BF131" s="254"/>
      <c r="BG131" s="255"/>
      <c r="BH131" s="254">
        <v>0</v>
      </c>
      <c r="BI131" s="260"/>
      <c r="BJ131" s="254"/>
      <c r="BK131" s="254"/>
      <c r="BL131" s="254"/>
      <c r="BM131" s="254"/>
      <c r="BN131" s="252"/>
      <c r="BO131" s="254"/>
      <c r="BP131" s="254"/>
      <c r="BQ131" s="254"/>
      <c r="BR131" s="254"/>
      <c r="BS131" s="252"/>
      <c r="BT131" s="252"/>
      <c r="BU131" s="252"/>
      <c r="BV131" s="252"/>
      <c r="BW131" s="122"/>
    </row>
    <row r="132" spans="1:75" s="123" customFormat="1" hidden="1" outlineLevel="4" x14ac:dyDescent="0.5">
      <c r="A132" s="349" t="s">
        <v>298</v>
      </c>
      <c r="B132" s="251"/>
      <c r="C132" s="252"/>
      <c r="D132" s="252"/>
      <c r="E132" s="252"/>
      <c r="F132" s="252"/>
      <c r="G132" s="253"/>
      <c r="H132" s="253"/>
      <c r="I132" s="253"/>
      <c r="J132" s="253"/>
      <c r="K132" s="252"/>
      <c r="L132" s="253"/>
      <c r="M132" s="253"/>
      <c r="N132" s="253"/>
      <c r="O132" s="350">
        <v>0</v>
      </c>
      <c r="P132" s="252"/>
      <c r="Q132" s="253"/>
      <c r="R132" s="253"/>
      <c r="S132" s="253"/>
      <c r="T132" s="350">
        <v>0</v>
      </c>
      <c r="U132" s="252"/>
      <c r="V132" s="253"/>
      <c r="W132" s="253"/>
      <c r="X132" s="253"/>
      <c r="Y132" s="223">
        <v>0</v>
      </c>
      <c r="Z132" s="252"/>
      <c r="AA132" s="254"/>
      <c r="AB132" s="254"/>
      <c r="AC132" s="253"/>
      <c r="AD132" s="223">
        <v>0</v>
      </c>
      <c r="AE132" s="252"/>
      <c r="AF132" s="254"/>
      <c r="AG132" s="254"/>
      <c r="AH132" s="253"/>
      <c r="AI132" s="223">
        <v>0</v>
      </c>
      <c r="AJ132" s="252"/>
      <c r="AK132" s="254"/>
      <c r="AL132" s="254"/>
      <c r="AM132" s="263">
        <v>-1</v>
      </c>
      <c r="AN132" s="223">
        <v>0</v>
      </c>
      <c r="AO132" s="259">
        <v>-1</v>
      </c>
      <c r="AP132" s="254"/>
      <c r="AQ132" s="254"/>
      <c r="AR132" s="255"/>
      <c r="AS132" s="223">
        <v>0</v>
      </c>
      <c r="AT132" s="252"/>
      <c r="AU132" s="254"/>
      <c r="AV132" s="254"/>
      <c r="AW132" s="255"/>
      <c r="AX132" s="223">
        <v>0</v>
      </c>
      <c r="AY132" s="252"/>
      <c r="AZ132" s="254"/>
      <c r="BA132" s="254"/>
      <c r="BB132" s="255"/>
      <c r="BC132" s="223">
        <v>0</v>
      </c>
      <c r="BD132" s="252"/>
      <c r="BE132" s="254"/>
      <c r="BF132" s="254"/>
      <c r="BG132" s="255"/>
      <c r="BH132" s="254">
        <v>0</v>
      </c>
      <c r="BI132" s="260"/>
      <c r="BJ132" s="254"/>
      <c r="BK132" s="254"/>
      <c r="BL132" s="254"/>
      <c r="BM132" s="254"/>
      <c r="BN132" s="252"/>
      <c r="BO132" s="254"/>
      <c r="BP132" s="254"/>
      <c r="BQ132" s="254"/>
      <c r="BR132" s="254"/>
      <c r="BS132" s="252"/>
      <c r="BT132" s="252"/>
      <c r="BU132" s="252"/>
      <c r="BV132" s="252"/>
      <c r="BW132" s="122"/>
    </row>
    <row r="133" spans="1:75" s="123" customFormat="1" hidden="1" outlineLevel="4" x14ac:dyDescent="0.5">
      <c r="A133" s="349" t="s">
        <v>299</v>
      </c>
      <c r="B133" s="251"/>
      <c r="C133" s="252"/>
      <c r="D133" s="252"/>
      <c r="E133" s="252"/>
      <c r="F133" s="252"/>
      <c r="G133" s="253"/>
      <c r="H133" s="253"/>
      <c r="I133" s="253"/>
      <c r="J133" s="253"/>
      <c r="K133" s="252"/>
      <c r="L133" s="253"/>
      <c r="M133" s="253"/>
      <c r="N133" s="253"/>
      <c r="O133" s="350">
        <v>0</v>
      </c>
      <c r="P133" s="252"/>
      <c r="Q133" s="253"/>
      <c r="R133" s="253"/>
      <c r="S133" s="253"/>
      <c r="T133" s="350">
        <v>0</v>
      </c>
      <c r="U133" s="252"/>
      <c r="V133" s="253"/>
      <c r="W133" s="253"/>
      <c r="X133" s="253"/>
      <c r="Y133" s="223">
        <v>0</v>
      </c>
      <c r="Z133" s="252"/>
      <c r="AA133" s="254"/>
      <c r="AB133" s="254"/>
      <c r="AC133" s="253"/>
      <c r="AD133" s="223">
        <v>0</v>
      </c>
      <c r="AE133" s="252"/>
      <c r="AF133" s="254"/>
      <c r="AG133" s="254"/>
      <c r="AH133" s="253"/>
      <c r="AI133" s="223">
        <v>0</v>
      </c>
      <c r="AJ133" s="252"/>
      <c r="AK133" s="254"/>
      <c r="AL133" s="254"/>
      <c r="AM133" s="253"/>
      <c r="AN133" s="223">
        <v>-1</v>
      </c>
      <c r="AO133" s="259">
        <v>-1</v>
      </c>
      <c r="AP133" s="254"/>
      <c r="AQ133" s="254"/>
      <c r="AR133" s="255"/>
      <c r="AS133" s="223">
        <v>0</v>
      </c>
      <c r="AT133" s="252"/>
      <c r="AU133" s="254"/>
      <c r="AV133" s="254"/>
      <c r="AW133" s="255"/>
      <c r="AX133" s="223">
        <v>0</v>
      </c>
      <c r="AY133" s="252"/>
      <c r="AZ133" s="254"/>
      <c r="BA133" s="254"/>
      <c r="BB133" s="255"/>
      <c r="BC133" s="223">
        <v>0</v>
      </c>
      <c r="BD133" s="252"/>
      <c r="BE133" s="254"/>
      <c r="BF133" s="254"/>
      <c r="BG133" s="255"/>
      <c r="BH133" s="254">
        <v>0</v>
      </c>
      <c r="BI133" s="260"/>
      <c r="BJ133" s="254"/>
      <c r="BK133" s="254"/>
      <c r="BL133" s="254"/>
      <c r="BM133" s="254"/>
      <c r="BN133" s="252"/>
      <c r="BO133" s="254"/>
      <c r="BP133" s="254"/>
      <c r="BQ133" s="254"/>
      <c r="BR133" s="254"/>
      <c r="BS133" s="252"/>
      <c r="BT133" s="252"/>
      <c r="BU133" s="252"/>
      <c r="BV133" s="252"/>
      <c r="BW133" s="122"/>
    </row>
    <row r="134" spans="1:75" s="123" customFormat="1" hidden="1" outlineLevel="4" x14ac:dyDescent="0.5">
      <c r="A134" s="349" t="s">
        <v>300</v>
      </c>
      <c r="B134" s="251"/>
      <c r="C134" s="252"/>
      <c r="D134" s="252"/>
      <c r="E134" s="252"/>
      <c r="F134" s="252"/>
      <c r="G134" s="253"/>
      <c r="H134" s="253"/>
      <c r="I134" s="253"/>
      <c r="J134" s="253"/>
      <c r="K134" s="252"/>
      <c r="L134" s="253"/>
      <c r="M134" s="253"/>
      <c r="N134" s="253"/>
      <c r="O134" s="350">
        <v>0</v>
      </c>
      <c r="P134" s="252"/>
      <c r="Q134" s="253"/>
      <c r="R134" s="253"/>
      <c r="S134" s="253"/>
      <c r="T134" s="350">
        <v>0</v>
      </c>
      <c r="U134" s="252"/>
      <c r="V134" s="253"/>
      <c r="W134" s="253"/>
      <c r="X134" s="253"/>
      <c r="Y134" s="223">
        <v>0</v>
      </c>
      <c r="Z134" s="252"/>
      <c r="AA134" s="254"/>
      <c r="AB134" s="254"/>
      <c r="AC134" s="253"/>
      <c r="AD134" s="223">
        <v>0</v>
      </c>
      <c r="AE134" s="252"/>
      <c r="AF134" s="254"/>
      <c r="AG134" s="254"/>
      <c r="AH134" s="253"/>
      <c r="AI134" s="223">
        <v>0</v>
      </c>
      <c r="AJ134" s="252"/>
      <c r="AK134" s="254"/>
      <c r="AL134" s="254"/>
      <c r="AM134" s="253"/>
      <c r="AN134" s="223">
        <v>-1</v>
      </c>
      <c r="AO134" s="259">
        <v>-1</v>
      </c>
      <c r="AP134" s="254"/>
      <c r="AQ134" s="254"/>
      <c r="AR134" s="255"/>
      <c r="AS134" s="223">
        <v>0</v>
      </c>
      <c r="AT134" s="252"/>
      <c r="AU134" s="254"/>
      <c r="AV134" s="254"/>
      <c r="AW134" s="255"/>
      <c r="AX134" s="223">
        <v>0</v>
      </c>
      <c r="AY134" s="252"/>
      <c r="AZ134" s="254"/>
      <c r="BA134" s="254"/>
      <c r="BB134" s="255"/>
      <c r="BC134" s="223">
        <v>0</v>
      </c>
      <c r="BD134" s="252"/>
      <c r="BE134" s="254"/>
      <c r="BF134" s="254"/>
      <c r="BG134" s="255"/>
      <c r="BH134" s="254">
        <v>0</v>
      </c>
      <c r="BI134" s="260"/>
      <c r="BJ134" s="254"/>
      <c r="BK134" s="254"/>
      <c r="BL134" s="254"/>
      <c r="BM134" s="254"/>
      <c r="BN134" s="252"/>
      <c r="BO134" s="254"/>
      <c r="BP134" s="254"/>
      <c r="BQ134" s="254"/>
      <c r="BR134" s="254"/>
      <c r="BS134" s="252"/>
      <c r="BT134" s="252"/>
      <c r="BU134" s="252"/>
      <c r="BV134" s="252"/>
      <c r="BW134" s="122"/>
    </row>
    <row r="135" spans="1:75" s="123" customFormat="1" hidden="1" outlineLevel="4" x14ac:dyDescent="0.5">
      <c r="A135" s="349" t="s">
        <v>301</v>
      </c>
      <c r="B135" s="251"/>
      <c r="C135" s="252"/>
      <c r="D135" s="252"/>
      <c r="E135" s="252"/>
      <c r="F135" s="252"/>
      <c r="G135" s="253"/>
      <c r="H135" s="253"/>
      <c r="I135" s="253"/>
      <c r="J135" s="253"/>
      <c r="K135" s="252"/>
      <c r="L135" s="253"/>
      <c r="M135" s="253"/>
      <c r="N135" s="253"/>
      <c r="O135" s="350">
        <v>0</v>
      </c>
      <c r="P135" s="252"/>
      <c r="Q135" s="253"/>
      <c r="R135" s="253"/>
      <c r="S135" s="253"/>
      <c r="T135" s="350">
        <v>0</v>
      </c>
      <c r="U135" s="252"/>
      <c r="V135" s="253"/>
      <c r="W135" s="253"/>
      <c r="X135" s="253"/>
      <c r="Y135" s="223">
        <v>0</v>
      </c>
      <c r="Z135" s="252"/>
      <c r="AA135" s="254"/>
      <c r="AB135" s="254"/>
      <c r="AC135" s="253"/>
      <c r="AD135" s="223">
        <v>0</v>
      </c>
      <c r="AE135" s="252"/>
      <c r="AF135" s="256">
        <v>-1</v>
      </c>
      <c r="AG135" s="254"/>
      <c r="AH135" s="253"/>
      <c r="AI135" s="223">
        <v>0</v>
      </c>
      <c r="AJ135" s="259">
        <v>-1</v>
      </c>
      <c r="AK135" s="254"/>
      <c r="AL135" s="254"/>
      <c r="AM135" s="253"/>
      <c r="AN135" s="223">
        <v>0</v>
      </c>
      <c r="AO135" s="252"/>
      <c r="AP135" s="254"/>
      <c r="AQ135" s="254"/>
      <c r="AR135" s="255"/>
      <c r="AS135" s="223">
        <v>0</v>
      </c>
      <c r="AT135" s="252"/>
      <c r="AU135" s="254"/>
      <c r="AV135" s="254"/>
      <c r="AW135" s="255"/>
      <c r="AX135" s="223">
        <v>0</v>
      </c>
      <c r="AY135" s="252"/>
      <c r="AZ135" s="254"/>
      <c r="BA135" s="254"/>
      <c r="BB135" s="255"/>
      <c r="BC135" s="223">
        <v>0</v>
      </c>
      <c r="BD135" s="252"/>
      <c r="BE135" s="254"/>
      <c r="BF135" s="254"/>
      <c r="BG135" s="255"/>
      <c r="BH135" s="254">
        <v>0</v>
      </c>
      <c r="BI135" s="260"/>
      <c r="BJ135" s="254"/>
      <c r="BK135" s="254"/>
      <c r="BL135" s="254"/>
      <c r="BM135" s="254"/>
      <c r="BN135" s="252"/>
      <c r="BO135" s="254"/>
      <c r="BP135" s="254"/>
      <c r="BQ135" s="254"/>
      <c r="BR135" s="254"/>
      <c r="BS135" s="252"/>
      <c r="BT135" s="252"/>
      <c r="BU135" s="252"/>
      <c r="BV135" s="252"/>
      <c r="BW135" s="122"/>
    </row>
    <row r="136" spans="1:75" s="123" customFormat="1" hidden="1" outlineLevel="4" x14ac:dyDescent="0.5">
      <c r="A136" s="349" t="s">
        <v>302</v>
      </c>
      <c r="B136" s="251"/>
      <c r="C136" s="252"/>
      <c r="D136" s="252"/>
      <c r="E136" s="252"/>
      <c r="F136" s="252"/>
      <c r="G136" s="253"/>
      <c r="H136" s="253"/>
      <c r="I136" s="253"/>
      <c r="J136" s="253"/>
      <c r="K136" s="252"/>
      <c r="L136" s="253"/>
      <c r="M136" s="253"/>
      <c r="N136" s="253"/>
      <c r="O136" s="350">
        <v>0</v>
      </c>
      <c r="P136" s="252"/>
      <c r="Q136" s="253"/>
      <c r="R136" s="253"/>
      <c r="S136" s="253"/>
      <c r="T136" s="350">
        <v>0</v>
      </c>
      <c r="U136" s="252"/>
      <c r="V136" s="253"/>
      <c r="W136" s="253"/>
      <c r="X136" s="253"/>
      <c r="Y136" s="223">
        <v>0</v>
      </c>
      <c r="Z136" s="252"/>
      <c r="AA136" s="254"/>
      <c r="AB136" s="254"/>
      <c r="AC136" s="253"/>
      <c r="AD136" s="223">
        <v>0</v>
      </c>
      <c r="AE136" s="252"/>
      <c r="AF136" s="254"/>
      <c r="AG136" s="256">
        <v>-1</v>
      </c>
      <c r="AH136" s="253"/>
      <c r="AI136" s="223">
        <v>0</v>
      </c>
      <c r="AJ136" s="259">
        <v>-1</v>
      </c>
      <c r="AK136" s="254"/>
      <c r="AL136" s="254"/>
      <c r="AM136" s="253"/>
      <c r="AN136" s="223">
        <v>0</v>
      </c>
      <c r="AO136" s="252"/>
      <c r="AP136" s="254"/>
      <c r="AQ136" s="254"/>
      <c r="AR136" s="255"/>
      <c r="AS136" s="223">
        <v>0</v>
      </c>
      <c r="AT136" s="252"/>
      <c r="AU136" s="254"/>
      <c r="AV136" s="254"/>
      <c r="AW136" s="255"/>
      <c r="AX136" s="223">
        <v>0</v>
      </c>
      <c r="AY136" s="252"/>
      <c r="AZ136" s="254"/>
      <c r="BA136" s="254"/>
      <c r="BB136" s="255"/>
      <c r="BC136" s="223">
        <v>0</v>
      </c>
      <c r="BD136" s="252"/>
      <c r="BE136" s="254"/>
      <c r="BF136" s="254"/>
      <c r="BG136" s="255"/>
      <c r="BH136" s="254">
        <v>0</v>
      </c>
      <c r="BI136" s="260"/>
      <c r="BJ136" s="254"/>
      <c r="BK136" s="254"/>
      <c r="BL136" s="254"/>
      <c r="BM136" s="254"/>
      <c r="BN136" s="252"/>
      <c r="BO136" s="254"/>
      <c r="BP136" s="254"/>
      <c r="BQ136" s="254"/>
      <c r="BR136" s="254"/>
      <c r="BS136" s="252"/>
      <c r="BT136" s="252"/>
      <c r="BU136" s="252"/>
      <c r="BV136" s="252"/>
      <c r="BW136" s="122"/>
    </row>
    <row r="137" spans="1:75" s="123" customFormat="1" hidden="1" outlineLevel="4" x14ac:dyDescent="0.5">
      <c r="A137" s="349" t="s">
        <v>303</v>
      </c>
      <c r="B137" s="251"/>
      <c r="C137" s="252"/>
      <c r="D137" s="252"/>
      <c r="E137" s="252"/>
      <c r="F137" s="252"/>
      <c r="G137" s="253"/>
      <c r="H137" s="253"/>
      <c r="I137" s="253"/>
      <c r="J137" s="253"/>
      <c r="K137" s="252"/>
      <c r="L137" s="253"/>
      <c r="M137" s="253"/>
      <c r="N137" s="253"/>
      <c r="O137" s="350">
        <v>0</v>
      </c>
      <c r="P137" s="252"/>
      <c r="Q137" s="253"/>
      <c r="R137" s="253"/>
      <c r="S137" s="253"/>
      <c r="T137" s="350">
        <v>0</v>
      </c>
      <c r="U137" s="252"/>
      <c r="V137" s="253"/>
      <c r="W137" s="253"/>
      <c r="X137" s="253"/>
      <c r="Y137" s="223">
        <v>0</v>
      </c>
      <c r="Z137" s="252"/>
      <c r="AA137" s="254"/>
      <c r="AB137" s="254"/>
      <c r="AC137" s="253"/>
      <c r="AD137" s="223">
        <v>0</v>
      </c>
      <c r="AE137" s="252"/>
      <c r="AF137" s="254"/>
      <c r="AG137" s="256">
        <v>-1</v>
      </c>
      <c r="AH137" s="253"/>
      <c r="AI137" s="223">
        <v>0</v>
      </c>
      <c r="AJ137" s="259">
        <v>-1</v>
      </c>
      <c r="AK137" s="254"/>
      <c r="AL137" s="254"/>
      <c r="AM137" s="253"/>
      <c r="AN137" s="223">
        <v>0</v>
      </c>
      <c r="AO137" s="252"/>
      <c r="AP137" s="254"/>
      <c r="AQ137" s="254"/>
      <c r="AR137" s="255"/>
      <c r="AS137" s="223">
        <v>0</v>
      </c>
      <c r="AT137" s="252"/>
      <c r="AU137" s="254"/>
      <c r="AV137" s="254"/>
      <c r="AW137" s="255"/>
      <c r="AX137" s="223">
        <v>0</v>
      </c>
      <c r="AY137" s="252"/>
      <c r="AZ137" s="254"/>
      <c r="BA137" s="254"/>
      <c r="BB137" s="255"/>
      <c r="BC137" s="223">
        <v>0</v>
      </c>
      <c r="BD137" s="252"/>
      <c r="BE137" s="254"/>
      <c r="BF137" s="254"/>
      <c r="BG137" s="255"/>
      <c r="BH137" s="254">
        <v>0</v>
      </c>
      <c r="BI137" s="260"/>
      <c r="BJ137" s="254"/>
      <c r="BK137" s="254"/>
      <c r="BL137" s="254"/>
      <c r="BM137" s="254"/>
      <c r="BN137" s="252"/>
      <c r="BO137" s="254"/>
      <c r="BP137" s="254"/>
      <c r="BQ137" s="254"/>
      <c r="BR137" s="254"/>
      <c r="BS137" s="252"/>
      <c r="BT137" s="252"/>
      <c r="BU137" s="252"/>
      <c r="BV137" s="252"/>
      <c r="BW137" s="122"/>
    </row>
    <row r="138" spans="1:75" s="123" customFormat="1" hidden="1" outlineLevel="4" x14ac:dyDescent="0.5">
      <c r="A138" s="349" t="s">
        <v>304</v>
      </c>
      <c r="B138" s="251"/>
      <c r="C138" s="252"/>
      <c r="D138" s="252"/>
      <c r="E138" s="252"/>
      <c r="F138" s="252"/>
      <c r="G138" s="253"/>
      <c r="H138" s="253"/>
      <c r="I138" s="253"/>
      <c r="J138" s="253"/>
      <c r="K138" s="252"/>
      <c r="L138" s="253"/>
      <c r="M138" s="253"/>
      <c r="N138" s="253"/>
      <c r="O138" s="350">
        <v>0</v>
      </c>
      <c r="P138" s="252"/>
      <c r="Q138" s="253"/>
      <c r="R138" s="253"/>
      <c r="S138" s="253"/>
      <c r="T138" s="350">
        <v>0</v>
      </c>
      <c r="U138" s="252"/>
      <c r="V138" s="253"/>
      <c r="W138" s="253"/>
      <c r="X138" s="253"/>
      <c r="Y138" s="223">
        <v>0</v>
      </c>
      <c r="Z138" s="252"/>
      <c r="AA138" s="254"/>
      <c r="AB138" s="254"/>
      <c r="AC138" s="253"/>
      <c r="AD138" s="223">
        <v>0</v>
      </c>
      <c r="AE138" s="252"/>
      <c r="AF138" s="254"/>
      <c r="AG138" s="254"/>
      <c r="AH138" s="263">
        <v>-1</v>
      </c>
      <c r="AI138" s="223">
        <v>0</v>
      </c>
      <c r="AJ138" s="259">
        <v>-1</v>
      </c>
      <c r="AK138" s="254"/>
      <c r="AL138" s="254"/>
      <c r="AM138" s="253"/>
      <c r="AN138" s="223">
        <v>0</v>
      </c>
      <c r="AO138" s="252"/>
      <c r="AP138" s="254"/>
      <c r="AQ138" s="254"/>
      <c r="AR138" s="255"/>
      <c r="AS138" s="223">
        <v>0</v>
      </c>
      <c r="AT138" s="252"/>
      <c r="AU138" s="254"/>
      <c r="AV138" s="254"/>
      <c r="AW138" s="255"/>
      <c r="AX138" s="223">
        <v>0</v>
      </c>
      <c r="AY138" s="252"/>
      <c r="AZ138" s="254"/>
      <c r="BA138" s="254"/>
      <c r="BB138" s="255"/>
      <c r="BC138" s="223">
        <v>0</v>
      </c>
      <c r="BD138" s="252"/>
      <c r="BE138" s="254"/>
      <c r="BF138" s="254"/>
      <c r="BG138" s="255"/>
      <c r="BH138" s="254">
        <v>0</v>
      </c>
      <c r="BI138" s="260"/>
      <c r="BJ138" s="254"/>
      <c r="BK138" s="254"/>
      <c r="BL138" s="254"/>
      <c r="BM138" s="254"/>
      <c r="BN138" s="252"/>
      <c r="BO138" s="254"/>
      <c r="BP138" s="254"/>
      <c r="BQ138" s="254"/>
      <c r="BR138" s="254"/>
      <c r="BS138" s="252"/>
      <c r="BT138" s="252"/>
      <c r="BU138" s="252"/>
      <c r="BV138" s="252"/>
      <c r="BW138" s="122"/>
    </row>
    <row r="139" spans="1:75" s="123" customFormat="1" hidden="1" outlineLevel="4" x14ac:dyDescent="0.5">
      <c r="A139" s="349" t="s">
        <v>305</v>
      </c>
      <c r="B139" s="251"/>
      <c r="C139" s="252"/>
      <c r="D139" s="252"/>
      <c r="E139" s="252"/>
      <c r="F139" s="252"/>
      <c r="G139" s="253"/>
      <c r="H139" s="253"/>
      <c r="I139" s="253"/>
      <c r="J139" s="253"/>
      <c r="K139" s="252"/>
      <c r="L139" s="253"/>
      <c r="M139" s="253"/>
      <c r="N139" s="253"/>
      <c r="O139" s="350">
        <v>0</v>
      </c>
      <c r="P139" s="252"/>
      <c r="Q139" s="253"/>
      <c r="R139" s="253"/>
      <c r="S139" s="253"/>
      <c r="T139" s="350">
        <v>0</v>
      </c>
      <c r="U139" s="252"/>
      <c r="V139" s="253"/>
      <c r="W139" s="253"/>
      <c r="X139" s="253"/>
      <c r="Y139" s="223">
        <v>0</v>
      </c>
      <c r="Z139" s="252"/>
      <c r="AA139" s="254"/>
      <c r="AB139" s="254"/>
      <c r="AC139" s="263">
        <v>-1</v>
      </c>
      <c r="AD139" s="223">
        <v>0</v>
      </c>
      <c r="AE139" s="259">
        <v>-1</v>
      </c>
      <c r="AF139" s="254"/>
      <c r="AG139" s="254"/>
      <c r="AH139" s="253"/>
      <c r="AI139" s="223">
        <v>0</v>
      </c>
      <c r="AJ139" s="252"/>
      <c r="AK139" s="254"/>
      <c r="AL139" s="254"/>
      <c r="AM139" s="253"/>
      <c r="AN139" s="223">
        <v>0</v>
      </c>
      <c r="AO139" s="252"/>
      <c r="AP139" s="254"/>
      <c r="AQ139" s="254"/>
      <c r="AR139" s="255"/>
      <c r="AS139" s="223">
        <v>0</v>
      </c>
      <c r="AT139" s="252"/>
      <c r="AU139" s="254"/>
      <c r="AV139" s="254"/>
      <c r="AW139" s="255"/>
      <c r="AX139" s="223">
        <v>0</v>
      </c>
      <c r="AY139" s="252"/>
      <c r="AZ139" s="254"/>
      <c r="BA139" s="254"/>
      <c r="BB139" s="255"/>
      <c r="BC139" s="223">
        <v>0</v>
      </c>
      <c r="BD139" s="252"/>
      <c r="BE139" s="254"/>
      <c r="BF139" s="254"/>
      <c r="BG139" s="255"/>
      <c r="BH139" s="254">
        <v>0</v>
      </c>
      <c r="BI139" s="260"/>
      <c r="BJ139" s="254"/>
      <c r="BK139" s="254"/>
      <c r="BL139" s="254"/>
      <c r="BM139" s="254"/>
      <c r="BN139" s="252"/>
      <c r="BO139" s="254"/>
      <c r="BP139" s="254"/>
      <c r="BQ139" s="254"/>
      <c r="BR139" s="254"/>
      <c r="BS139" s="252"/>
      <c r="BT139" s="252"/>
      <c r="BU139" s="252"/>
      <c r="BV139" s="252"/>
      <c r="BW139" s="122"/>
    </row>
    <row r="140" spans="1:75" s="123" customFormat="1" hidden="1" outlineLevel="4" x14ac:dyDescent="0.5">
      <c r="A140" s="349" t="s">
        <v>306</v>
      </c>
      <c r="B140" s="251"/>
      <c r="C140" s="252"/>
      <c r="D140" s="252"/>
      <c r="E140" s="252"/>
      <c r="F140" s="252"/>
      <c r="G140" s="253"/>
      <c r="H140" s="253"/>
      <c r="I140" s="253"/>
      <c r="J140" s="253"/>
      <c r="K140" s="252"/>
      <c r="L140" s="253"/>
      <c r="M140" s="253"/>
      <c r="N140" s="253"/>
      <c r="O140" s="350">
        <v>0</v>
      </c>
      <c r="P140" s="252"/>
      <c r="Q140" s="253"/>
      <c r="R140" s="253"/>
      <c r="S140" s="253"/>
      <c r="T140" s="350">
        <v>0</v>
      </c>
      <c r="U140" s="252"/>
      <c r="V140" s="253"/>
      <c r="W140" s="253"/>
      <c r="X140" s="253"/>
      <c r="Y140" s="223">
        <v>0</v>
      </c>
      <c r="Z140" s="252"/>
      <c r="AA140" s="254"/>
      <c r="AB140" s="254"/>
      <c r="AC140" s="263">
        <v>-1</v>
      </c>
      <c r="AD140" s="223">
        <v>0</v>
      </c>
      <c r="AE140" s="259">
        <v>-1</v>
      </c>
      <c r="AF140" s="254"/>
      <c r="AG140" s="254"/>
      <c r="AH140" s="253"/>
      <c r="AI140" s="223">
        <v>0</v>
      </c>
      <c r="AJ140" s="252"/>
      <c r="AK140" s="254"/>
      <c r="AL140" s="254"/>
      <c r="AM140" s="253"/>
      <c r="AN140" s="223">
        <v>0</v>
      </c>
      <c r="AO140" s="252"/>
      <c r="AP140" s="254"/>
      <c r="AQ140" s="254"/>
      <c r="AR140" s="255"/>
      <c r="AS140" s="223">
        <v>0</v>
      </c>
      <c r="AT140" s="252"/>
      <c r="AU140" s="254"/>
      <c r="AV140" s="254"/>
      <c r="AW140" s="255"/>
      <c r="AX140" s="223">
        <v>0</v>
      </c>
      <c r="AY140" s="252"/>
      <c r="AZ140" s="254"/>
      <c r="BA140" s="254"/>
      <c r="BB140" s="255"/>
      <c r="BC140" s="223">
        <v>0</v>
      </c>
      <c r="BD140" s="252"/>
      <c r="BE140" s="254"/>
      <c r="BF140" s="254"/>
      <c r="BG140" s="255"/>
      <c r="BH140" s="254">
        <v>0</v>
      </c>
      <c r="BI140" s="260"/>
      <c r="BJ140" s="254"/>
      <c r="BK140" s="254"/>
      <c r="BL140" s="254"/>
      <c r="BM140" s="254"/>
      <c r="BN140" s="252"/>
      <c r="BO140" s="254"/>
      <c r="BP140" s="254"/>
      <c r="BQ140" s="254"/>
      <c r="BR140" s="254"/>
      <c r="BS140" s="252"/>
      <c r="BT140" s="252"/>
      <c r="BU140" s="252"/>
      <c r="BV140" s="252"/>
      <c r="BW140" s="122"/>
    </row>
    <row r="141" spans="1:75" s="123" customFormat="1" hidden="1" outlineLevel="4" x14ac:dyDescent="0.5">
      <c r="A141" s="349" t="s">
        <v>307</v>
      </c>
      <c r="B141" s="251"/>
      <c r="C141" s="252"/>
      <c r="D141" s="252"/>
      <c r="E141" s="252"/>
      <c r="F141" s="252"/>
      <c r="G141" s="253"/>
      <c r="H141" s="253"/>
      <c r="I141" s="253"/>
      <c r="J141" s="253"/>
      <c r="K141" s="252"/>
      <c r="L141" s="253"/>
      <c r="M141" s="253"/>
      <c r="N141" s="253"/>
      <c r="O141" s="350">
        <v>0</v>
      </c>
      <c r="P141" s="252"/>
      <c r="Q141" s="253"/>
      <c r="R141" s="253"/>
      <c r="S141" s="253"/>
      <c r="T141" s="350">
        <v>0</v>
      </c>
      <c r="U141" s="252"/>
      <c r="V141" s="253"/>
      <c r="W141" s="253"/>
      <c r="X141" s="253"/>
      <c r="Y141" s="223">
        <v>0</v>
      </c>
      <c r="Z141" s="252"/>
      <c r="AA141" s="254"/>
      <c r="AB141" s="254"/>
      <c r="AC141" s="253"/>
      <c r="AD141" s="223">
        <v>-1</v>
      </c>
      <c r="AE141" s="259">
        <v>-1</v>
      </c>
      <c r="AF141" s="254"/>
      <c r="AG141" s="254"/>
      <c r="AH141" s="253"/>
      <c r="AI141" s="223">
        <v>0</v>
      </c>
      <c r="AJ141" s="252"/>
      <c r="AK141" s="254"/>
      <c r="AL141" s="254"/>
      <c r="AM141" s="253"/>
      <c r="AN141" s="223">
        <v>0</v>
      </c>
      <c r="AO141" s="252"/>
      <c r="AP141" s="254"/>
      <c r="AQ141" s="254"/>
      <c r="AR141" s="255"/>
      <c r="AS141" s="223">
        <v>0</v>
      </c>
      <c r="AT141" s="252"/>
      <c r="AU141" s="254"/>
      <c r="AV141" s="254"/>
      <c r="AW141" s="255"/>
      <c r="AX141" s="223">
        <v>0</v>
      </c>
      <c r="AY141" s="252"/>
      <c r="AZ141" s="254"/>
      <c r="BA141" s="254"/>
      <c r="BB141" s="255"/>
      <c r="BC141" s="223">
        <v>0</v>
      </c>
      <c r="BD141" s="252"/>
      <c r="BE141" s="254"/>
      <c r="BF141" s="254"/>
      <c r="BG141" s="255"/>
      <c r="BH141" s="254">
        <v>0</v>
      </c>
      <c r="BI141" s="260"/>
      <c r="BJ141" s="254"/>
      <c r="BK141" s="254"/>
      <c r="BL141" s="254"/>
      <c r="BM141" s="254"/>
      <c r="BN141" s="252"/>
      <c r="BO141" s="254"/>
      <c r="BP141" s="254"/>
      <c r="BQ141" s="254"/>
      <c r="BR141" s="254"/>
      <c r="BS141" s="252"/>
      <c r="BT141" s="252"/>
      <c r="BU141" s="252"/>
      <c r="BV141" s="252"/>
      <c r="BW141" s="122"/>
    </row>
    <row r="142" spans="1:75" s="123" customFormat="1" hidden="1" outlineLevel="4" x14ac:dyDescent="0.5">
      <c r="A142" s="349" t="s">
        <v>308</v>
      </c>
      <c r="B142" s="251"/>
      <c r="C142" s="252"/>
      <c r="D142" s="252"/>
      <c r="E142" s="252"/>
      <c r="F142" s="252"/>
      <c r="G142" s="253"/>
      <c r="H142" s="253"/>
      <c r="I142" s="253"/>
      <c r="J142" s="253"/>
      <c r="K142" s="252"/>
      <c r="L142" s="253"/>
      <c r="M142" s="253"/>
      <c r="N142" s="253"/>
      <c r="O142" s="350">
        <v>0</v>
      </c>
      <c r="P142" s="252"/>
      <c r="Q142" s="253"/>
      <c r="R142" s="253"/>
      <c r="S142" s="253"/>
      <c r="T142" s="350">
        <v>0</v>
      </c>
      <c r="U142" s="252"/>
      <c r="V142" s="253"/>
      <c r="W142" s="253"/>
      <c r="X142" s="263">
        <v>-1</v>
      </c>
      <c r="Y142" s="223">
        <v>0</v>
      </c>
      <c r="Z142" s="259">
        <v>-1</v>
      </c>
      <c r="AA142" s="254"/>
      <c r="AB142" s="254"/>
      <c r="AC142" s="253"/>
      <c r="AD142" s="223">
        <v>0</v>
      </c>
      <c r="AE142" s="252"/>
      <c r="AF142" s="254"/>
      <c r="AG142" s="254"/>
      <c r="AH142" s="253"/>
      <c r="AI142" s="223">
        <v>0</v>
      </c>
      <c r="AJ142" s="252"/>
      <c r="AK142" s="254"/>
      <c r="AL142" s="254"/>
      <c r="AM142" s="253"/>
      <c r="AN142" s="223">
        <v>0</v>
      </c>
      <c r="AO142" s="252"/>
      <c r="AP142" s="254"/>
      <c r="AQ142" s="254"/>
      <c r="AR142" s="255"/>
      <c r="AS142" s="223">
        <v>0</v>
      </c>
      <c r="AT142" s="252"/>
      <c r="AU142" s="254"/>
      <c r="AV142" s="254"/>
      <c r="AW142" s="255"/>
      <c r="AX142" s="223">
        <v>0</v>
      </c>
      <c r="AY142" s="252"/>
      <c r="AZ142" s="254"/>
      <c r="BA142" s="254"/>
      <c r="BB142" s="255"/>
      <c r="BC142" s="223">
        <v>0</v>
      </c>
      <c r="BD142" s="252"/>
      <c r="BE142" s="254"/>
      <c r="BF142" s="254"/>
      <c r="BG142" s="255"/>
      <c r="BH142" s="254">
        <v>0</v>
      </c>
      <c r="BI142" s="260"/>
      <c r="BJ142" s="254"/>
      <c r="BK142" s="254"/>
      <c r="BL142" s="254"/>
      <c r="BM142" s="254"/>
      <c r="BN142" s="252"/>
      <c r="BO142" s="254"/>
      <c r="BP142" s="254"/>
      <c r="BQ142" s="254"/>
      <c r="BR142" s="254"/>
      <c r="BS142" s="252"/>
      <c r="BT142" s="252"/>
      <c r="BU142" s="252"/>
      <c r="BV142" s="252"/>
      <c r="BW142" s="122"/>
    </row>
    <row r="143" spans="1:75" s="123" customFormat="1" hidden="1" outlineLevel="4" x14ac:dyDescent="0.5">
      <c r="A143" s="349" t="s">
        <v>309</v>
      </c>
      <c r="B143" s="251"/>
      <c r="C143" s="252"/>
      <c r="D143" s="252"/>
      <c r="E143" s="252"/>
      <c r="F143" s="252"/>
      <c r="G143" s="253"/>
      <c r="H143" s="253"/>
      <c r="I143" s="253"/>
      <c r="J143" s="253"/>
      <c r="K143" s="252"/>
      <c r="L143" s="253"/>
      <c r="M143" s="253"/>
      <c r="N143" s="253"/>
      <c r="O143" s="350">
        <v>0</v>
      </c>
      <c r="P143" s="252"/>
      <c r="Q143" s="253"/>
      <c r="R143" s="253"/>
      <c r="S143" s="253"/>
      <c r="T143" s="350">
        <v>0</v>
      </c>
      <c r="U143" s="252"/>
      <c r="V143" s="253"/>
      <c r="W143" s="253"/>
      <c r="X143" s="263">
        <v>-1</v>
      </c>
      <c r="Y143" s="223">
        <v>0</v>
      </c>
      <c r="Z143" s="259">
        <v>-1</v>
      </c>
      <c r="AA143" s="254"/>
      <c r="AB143" s="254"/>
      <c r="AC143" s="253"/>
      <c r="AD143" s="223">
        <v>0</v>
      </c>
      <c r="AE143" s="252"/>
      <c r="AF143" s="254"/>
      <c r="AG143" s="254"/>
      <c r="AH143" s="253"/>
      <c r="AI143" s="223">
        <v>0</v>
      </c>
      <c r="AJ143" s="252"/>
      <c r="AK143" s="254"/>
      <c r="AL143" s="254"/>
      <c r="AM143" s="253"/>
      <c r="AN143" s="223">
        <v>0</v>
      </c>
      <c r="AO143" s="252"/>
      <c r="AP143" s="254"/>
      <c r="AQ143" s="254"/>
      <c r="AR143" s="255"/>
      <c r="AS143" s="223">
        <v>0</v>
      </c>
      <c r="AT143" s="252"/>
      <c r="AU143" s="254"/>
      <c r="AV143" s="254"/>
      <c r="AW143" s="255"/>
      <c r="AX143" s="223">
        <v>0</v>
      </c>
      <c r="AY143" s="252"/>
      <c r="AZ143" s="254"/>
      <c r="BA143" s="254"/>
      <c r="BB143" s="255"/>
      <c r="BC143" s="223">
        <v>0</v>
      </c>
      <c r="BD143" s="252"/>
      <c r="BE143" s="254"/>
      <c r="BF143" s="254"/>
      <c r="BG143" s="255"/>
      <c r="BH143" s="254">
        <v>0</v>
      </c>
      <c r="BI143" s="260"/>
      <c r="BJ143" s="254"/>
      <c r="BK143" s="254"/>
      <c r="BL143" s="254"/>
      <c r="BM143" s="254"/>
      <c r="BN143" s="252"/>
      <c r="BO143" s="254"/>
      <c r="BP143" s="254"/>
      <c r="BQ143" s="254"/>
      <c r="BR143" s="254"/>
      <c r="BS143" s="252"/>
      <c r="BT143" s="252"/>
      <c r="BU143" s="252"/>
      <c r="BV143" s="252"/>
      <c r="BW143" s="122"/>
    </row>
    <row r="144" spans="1:75" s="123" customFormat="1" hidden="1" outlineLevel="4" x14ac:dyDescent="0.5">
      <c r="A144" s="349" t="s">
        <v>310</v>
      </c>
      <c r="B144" s="251"/>
      <c r="C144" s="252"/>
      <c r="D144" s="252"/>
      <c r="E144" s="252"/>
      <c r="F144" s="252"/>
      <c r="G144" s="253"/>
      <c r="H144" s="253"/>
      <c r="I144" s="253"/>
      <c r="J144" s="253"/>
      <c r="K144" s="252"/>
      <c r="L144" s="253"/>
      <c r="M144" s="253"/>
      <c r="N144" s="253"/>
      <c r="O144" s="350">
        <v>0</v>
      </c>
      <c r="P144" s="252"/>
      <c r="Q144" s="253"/>
      <c r="R144" s="253"/>
      <c r="S144" s="253"/>
      <c r="T144" s="350">
        <v>0</v>
      </c>
      <c r="U144" s="252"/>
      <c r="V144" s="253"/>
      <c r="W144" s="253"/>
      <c r="X144" s="253"/>
      <c r="Y144" s="223">
        <v>-1</v>
      </c>
      <c r="Z144" s="259">
        <v>-1</v>
      </c>
      <c r="AA144" s="254"/>
      <c r="AB144" s="254"/>
      <c r="AC144" s="253"/>
      <c r="AD144" s="223">
        <v>0</v>
      </c>
      <c r="AE144" s="252"/>
      <c r="AF144" s="254"/>
      <c r="AG144" s="254"/>
      <c r="AH144" s="253"/>
      <c r="AI144" s="223">
        <v>0</v>
      </c>
      <c r="AJ144" s="252"/>
      <c r="AK144" s="254"/>
      <c r="AL144" s="254"/>
      <c r="AM144" s="253"/>
      <c r="AN144" s="223">
        <v>0</v>
      </c>
      <c r="AO144" s="252"/>
      <c r="AP144" s="254"/>
      <c r="AQ144" s="254"/>
      <c r="AR144" s="255"/>
      <c r="AS144" s="223">
        <v>0</v>
      </c>
      <c r="AT144" s="252"/>
      <c r="AU144" s="254"/>
      <c r="AV144" s="254"/>
      <c r="AW144" s="255"/>
      <c r="AX144" s="223">
        <v>0</v>
      </c>
      <c r="AY144" s="252"/>
      <c r="AZ144" s="254"/>
      <c r="BA144" s="254"/>
      <c r="BB144" s="255"/>
      <c r="BC144" s="223">
        <v>0</v>
      </c>
      <c r="BD144" s="252"/>
      <c r="BE144" s="254"/>
      <c r="BF144" s="254"/>
      <c r="BG144" s="255"/>
      <c r="BH144" s="254">
        <v>0</v>
      </c>
      <c r="BI144" s="260"/>
      <c r="BJ144" s="254"/>
      <c r="BK144" s="254"/>
      <c r="BL144" s="254"/>
      <c r="BM144" s="254"/>
      <c r="BN144" s="252"/>
      <c r="BO144" s="254"/>
      <c r="BP144" s="254"/>
      <c r="BQ144" s="254"/>
      <c r="BR144" s="254"/>
      <c r="BS144" s="252"/>
      <c r="BT144" s="252"/>
      <c r="BU144" s="252"/>
      <c r="BV144" s="252"/>
      <c r="BW144" s="122"/>
    </row>
    <row r="145" spans="1:75" s="123" customFormat="1" hidden="1" outlineLevel="4" x14ac:dyDescent="0.5">
      <c r="A145" s="349" t="s">
        <v>311</v>
      </c>
      <c r="B145" s="251"/>
      <c r="C145" s="252"/>
      <c r="D145" s="252"/>
      <c r="E145" s="252"/>
      <c r="F145" s="252"/>
      <c r="G145" s="253"/>
      <c r="H145" s="253"/>
      <c r="I145" s="253"/>
      <c r="J145" s="253"/>
      <c r="K145" s="252"/>
      <c r="L145" s="253"/>
      <c r="M145" s="253"/>
      <c r="N145" s="253"/>
      <c r="O145" s="350">
        <v>0</v>
      </c>
      <c r="P145" s="252"/>
      <c r="Q145" s="253"/>
      <c r="R145" s="253"/>
      <c r="S145" s="253"/>
      <c r="T145" s="350">
        <v>0</v>
      </c>
      <c r="U145" s="252"/>
      <c r="V145" s="253"/>
      <c r="W145" s="253"/>
      <c r="X145" s="253"/>
      <c r="Y145" s="223">
        <v>-1</v>
      </c>
      <c r="Z145" s="259">
        <v>-1</v>
      </c>
      <c r="AA145" s="254"/>
      <c r="AB145" s="254"/>
      <c r="AC145" s="253"/>
      <c r="AD145" s="223">
        <v>0</v>
      </c>
      <c r="AE145" s="252"/>
      <c r="AF145" s="254"/>
      <c r="AG145" s="254"/>
      <c r="AH145" s="253"/>
      <c r="AI145" s="223">
        <v>0</v>
      </c>
      <c r="AJ145" s="252"/>
      <c r="AK145" s="254"/>
      <c r="AL145" s="254"/>
      <c r="AM145" s="253"/>
      <c r="AN145" s="223">
        <v>0</v>
      </c>
      <c r="AO145" s="252"/>
      <c r="AP145" s="254"/>
      <c r="AQ145" s="254"/>
      <c r="AR145" s="255"/>
      <c r="AS145" s="223">
        <v>0</v>
      </c>
      <c r="AT145" s="252"/>
      <c r="AU145" s="254"/>
      <c r="AV145" s="254"/>
      <c r="AW145" s="255"/>
      <c r="AX145" s="223">
        <v>0</v>
      </c>
      <c r="AY145" s="252"/>
      <c r="AZ145" s="254"/>
      <c r="BA145" s="254"/>
      <c r="BB145" s="255"/>
      <c r="BC145" s="223">
        <v>0</v>
      </c>
      <c r="BD145" s="252"/>
      <c r="BE145" s="254"/>
      <c r="BF145" s="254"/>
      <c r="BG145" s="255"/>
      <c r="BH145" s="254">
        <v>0</v>
      </c>
      <c r="BI145" s="260"/>
      <c r="BJ145" s="254"/>
      <c r="BK145" s="254"/>
      <c r="BL145" s="254"/>
      <c r="BM145" s="254"/>
      <c r="BN145" s="252"/>
      <c r="BO145" s="254"/>
      <c r="BP145" s="254"/>
      <c r="BQ145" s="254"/>
      <c r="BR145" s="254"/>
      <c r="BS145" s="252"/>
      <c r="BT145" s="252"/>
      <c r="BU145" s="252"/>
      <c r="BV145" s="252"/>
      <c r="BW145" s="122"/>
    </row>
    <row r="146" spans="1:75" s="123" customFormat="1" hidden="1" outlineLevel="4" x14ac:dyDescent="0.5">
      <c r="A146" s="349" t="s">
        <v>312</v>
      </c>
      <c r="B146" s="251"/>
      <c r="C146" s="252"/>
      <c r="D146" s="252"/>
      <c r="E146" s="252"/>
      <c r="F146" s="252"/>
      <c r="G146" s="253"/>
      <c r="H146" s="253"/>
      <c r="I146" s="253"/>
      <c r="J146" s="253"/>
      <c r="K146" s="252"/>
      <c r="L146" s="253"/>
      <c r="M146" s="253"/>
      <c r="N146" s="253"/>
      <c r="O146" s="350">
        <v>0</v>
      </c>
      <c r="P146" s="252"/>
      <c r="Q146" s="263">
        <v>-1</v>
      </c>
      <c r="R146" s="253"/>
      <c r="S146" s="253"/>
      <c r="T146" s="350">
        <v>0</v>
      </c>
      <c r="U146" s="259">
        <v>-1</v>
      </c>
      <c r="V146" s="253"/>
      <c r="W146" s="253"/>
      <c r="X146" s="253"/>
      <c r="Y146" s="223">
        <v>0</v>
      </c>
      <c r="Z146" s="252"/>
      <c r="AA146" s="254"/>
      <c r="AB146" s="254"/>
      <c r="AC146" s="253"/>
      <c r="AD146" s="223">
        <v>0</v>
      </c>
      <c r="AE146" s="252"/>
      <c r="AF146" s="254"/>
      <c r="AG146" s="254"/>
      <c r="AH146" s="253"/>
      <c r="AI146" s="223">
        <v>0</v>
      </c>
      <c r="AJ146" s="252"/>
      <c r="AK146" s="254"/>
      <c r="AL146" s="254"/>
      <c r="AM146" s="253"/>
      <c r="AN146" s="223">
        <v>0</v>
      </c>
      <c r="AO146" s="252"/>
      <c r="AP146" s="254"/>
      <c r="AQ146" s="254"/>
      <c r="AR146" s="255"/>
      <c r="AS146" s="223">
        <v>0</v>
      </c>
      <c r="AT146" s="252"/>
      <c r="AU146" s="254"/>
      <c r="AV146" s="254"/>
      <c r="AW146" s="255"/>
      <c r="AX146" s="223">
        <v>0</v>
      </c>
      <c r="AY146" s="252"/>
      <c r="AZ146" s="254"/>
      <c r="BA146" s="254"/>
      <c r="BB146" s="255"/>
      <c r="BC146" s="223">
        <v>0</v>
      </c>
      <c r="BD146" s="252"/>
      <c r="BE146" s="254"/>
      <c r="BF146" s="254"/>
      <c r="BG146" s="255"/>
      <c r="BH146" s="254">
        <v>0</v>
      </c>
      <c r="BI146" s="260"/>
      <c r="BJ146" s="254"/>
      <c r="BK146" s="254"/>
      <c r="BL146" s="254"/>
      <c r="BM146" s="254"/>
      <c r="BN146" s="252"/>
      <c r="BO146" s="254"/>
      <c r="BP146" s="254"/>
      <c r="BQ146" s="254"/>
      <c r="BR146" s="254"/>
      <c r="BS146" s="252"/>
      <c r="BT146" s="252"/>
      <c r="BU146" s="252"/>
      <c r="BV146" s="252"/>
      <c r="BW146" s="122"/>
    </row>
    <row r="147" spans="1:75" s="123" customFormat="1" hidden="1" outlineLevel="4" x14ac:dyDescent="0.5">
      <c r="A147" s="349" t="s">
        <v>313</v>
      </c>
      <c r="B147" s="251"/>
      <c r="C147" s="252"/>
      <c r="D147" s="252"/>
      <c r="E147" s="252"/>
      <c r="F147" s="252"/>
      <c r="G147" s="253"/>
      <c r="H147" s="253"/>
      <c r="I147" s="253"/>
      <c r="J147" s="253"/>
      <c r="K147" s="252"/>
      <c r="L147" s="253"/>
      <c r="M147" s="253"/>
      <c r="N147" s="253"/>
      <c r="O147" s="350">
        <v>0</v>
      </c>
      <c r="P147" s="252"/>
      <c r="Q147" s="253"/>
      <c r="R147" s="253"/>
      <c r="S147" s="253"/>
      <c r="T147" s="350">
        <v>-1</v>
      </c>
      <c r="U147" s="259">
        <v>-1</v>
      </c>
      <c r="V147" s="253"/>
      <c r="W147" s="253"/>
      <c r="X147" s="253"/>
      <c r="Y147" s="223">
        <v>0</v>
      </c>
      <c r="Z147" s="252"/>
      <c r="AA147" s="254"/>
      <c r="AB147" s="254"/>
      <c r="AC147" s="253"/>
      <c r="AD147" s="223">
        <v>0</v>
      </c>
      <c r="AE147" s="252"/>
      <c r="AF147" s="254"/>
      <c r="AG147" s="254"/>
      <c r="AH147" s="253"/>
      <c r="AI147" s="223">
        <v>0</v>
      </c>
      <c r="AJ147" s="252"/>
      <c r="AK147" s="254"/>
      <c r="AL147" s="254"/>
      <c r="AM147" s="253"/>
      <c r="AN147" s="223">
        <v>0</v>
      </c>
      <c r="AO147" s="252"/>
      <c r="AP147" s="254"/>
      <c r="AQ147" s="254"/>
      <c r="AR147" s="255"/>
      <c r="AS147" s="223">
        <v>0</v>
      </c>
      <c r="AT147" s="252"/>
      <c r="AU147" s="254"/>
      <c r="AV147" s="254"/>
      <c r="AW147" s="255"/>
      <c r="AX147" s="223">
        <v>0</v>
      </c>
      <c r="AY147" s="252"/>
      <c r="AZ147" s="254"/>
      <c r="BA147" s="254"/>
      <c r="BB147" s="255"/>
      <c r="BC147" s="223">
        <v>0</v>
      </c>
      <c r="BD147" s="252"/>
      <c r="BE147" s="254"/>
      <c r="BF147" s="254"/>
      <c r="BG147" s="255"/>
      <c r="BH147" s="254">
        <v>0</v>
      </c>
      <c r="BI147" s="260"/>
      <c r="BJ147" s="254"/>
      <c r="BK147" s="254"/>
      <c r="BL147" s="254"/>
      <c r="BM147" s="254"/>
      <c r="BN147" s="252"/>
      <c r="BO147" s="254"/>
      <c r="BP147" s="254"/>
      <c r="BQ147" s="254"/>
      <c r="BR147" s="254"/>
      <c r="BS147" s="252"/>
      <c r="BT147" s="252"/>
      <c r="BU147" s="252"/>
      <c r="BV147" s="252"/>
      <c r="BW147" s="122"/>
    </row>
    <row r="148" spans="1:75" s="123" customFormat="1" hidden="1" outlineLevel="4" x14ac:dyDescent="0.5">
      <c r="A148" s="349" t="s">
        <v>314</v>
      </c>
      <c r="B148" s="251"/>
      <c r="C148" s="252"/>
      <c r="D148" s="252"/>
      <c r="E148" s="252"/>
      <c r="F148" s="252"/>
      <c r="G148" s="253"/>
      <c r="H148" s="253"/>
      <c r="I148" s="253"/>
      <c r="J148" s="253"/>
      <c r="K148" s="252"/>
      <c r="L148" s="253"/>
      <c r="M148" s="253"/>
      <c r="N148" s="253"/>
      <c r="O148" s="350">
        <v>0</v>
      </c>
      <c r="P148" s="252"/>
      <c r="Q148" s="253"/>
      <c r="R148" s="253"/>
      <c r="S148" s="263">
        <v>-1</v>
      </c>
      <c r="T148" s="350">
        <v>0</v>
      </c>
      <c r="U148" s="259">
        <v>-1</v>
      </c>
      <c r="V148" s="253"/>
      <c r="W148" s="253"/>
      <c r="X148" s="253"/>
      <c r="Y148" s="223">
        <v>0</v>
      </c>
      <c r="Z148" s="252"/>
      <c r="AA148" s="254"/>
      <c r="AB148" s="254"/>
      <c r="AC148" s="253"/>
      <c r="AD148" s="223">
        <v>0</v>
      </c>
      <c r="AE148" s="252"/>
      <c r="AF148" s="254"/>
      <c r="AG148" s="254"/>
      <c r="AH148" s="253"/>
      <c r="AI148" s="223">
        <v>0</v>
      </c>
      <c r="AJ148" s="252"/>
      <c r="AK148" s="254"/>
      <c r="AL148" s="254"/>
      <c r="AM148" s="253"/>
      <c r="AN148" s="223">
        <v>0</v>
      </c>
      <c r="AO148" s="252"/>
      <c r="AP148" s="254"/>
      <c r="AQ148" s="254"/>
      <c r="AR148" s="255"/>
      <c r="AS148" s="223">
        <v>0</v>
      </c>
      <c r="AT148" s="252"/>
      <c r="AU148" s="254"/>
      <c r="AV148" s="254"/>
      <c r="AW148" s="255"/>
      <c r="AX148" s="223">
        <v>0</v>
      </c>
      <c r="AY148" s="252"/>
      <c r="AZ148" s="254"/>
      <c r="BA148" s="254"/>
      <c r="BB148" s="255"/>
      <c r="BC148" s="223">
        <v>0</v>
      </c>
      <c r="BD148" s="252"/>
      <c r="BE148" s="254"/>
      <c r="BF148" s="254"/>
      <c r="BG148" s="255"/>
      <c r="BH148" s="254">
        <v>0</v>
      </c>
      <c r="BI148" s="260"/>
      <c r="BJ148" s="254"/>
      <c r="BK148" s="254"/>
      <c r="BL148" s="254"/>
      <c r="BM148" s="254"/>
      <c r="BN148" s="252"/>
      <c r="BO148" s="254"/>
      <c r="BP148" s="254"/>
      <c r="BQ148" s="254"/>
      <c r="BR148" s="254"/>
      <c r="BS148" s="252"/>
      <c r="BT148" s="252"/>
      <c r="BU148" s="252"/>
      <c r="BV148" s="252"/>
      <c r="BW148" s="122"/>
    </row>
    <row r="149" spans="1:75" s="123" customFormat="1" hidden="1" outlineLevel="4" x14ac:dyDescent="0.5">
      <c r="A149" s="349" t="s">
        <v>315</v>
      </c>
      <c r="B149" s="251"/>
      <c r="C149" s="252"/>
      <c r="D149" s="252"/>
      <c r="E149" s="252"/>
      <c r="F149" s="252"/>
      <c r="G149" s="253"/>
      <c r="H149" s="253"/>
      <c r="I149" s="253"/>
      <c r="J149" s="253"/>
      <c r="K149" s="252"/>
      <c r="L149" s="253"/>
      <c r="M149" s="253"/>
      <c r="N149" s="253"/>
      <c r="O149" s="350">
        <v>0</v>
      </c>
      <c r="P149" s="252"/>
      <c r="Q149" s="253"/>
      <c r="R149" s="253"/>
      <c r="S149" s="263">
        <v>-1</v>
      </c>
      <c r="T149" s="350">
        <v>0</v>
      </c>
      <c r="U149" s="259">
        <v>-1</v>
      </c>
      <c r="V149" s="253"/>
      <c r="W149" s="253"/>
      <c r="X149" s="253"/>
      <c r="Y149" s="223">
        <v>0</v>
      </c>
      <c r="Z149" s="252"/>
      <c r="AA149" s="254"/>
      <c r="AB149" s="254"/>
      <c r="AC149" s="253"/>
      <c r="AD149" s="223">
        <v>0</v>
      </c>
      <c r="AE149" s="252"/>
      <c r="AF149" s="254"/>
      <c r="AG149" s="254"/>
      <c r="AH149" s="253"/>
      <c r="AI149" s="223">
        <v>0</v>
      </c>
      <c r="AJ149" s="252"/>
      <c r="AK149" s="254"/>
      <c r="AL149" s="254"/>
      <c r="AM149" s="253"/>
      <c r="AN149" s="223">
        <v>0</v>
      </c>
      <c r="AO149" s="252"/>
      <c r="AP149" s="254"/>
      <c r="AQ149" s="254"/>
      <c r="AR149" s="255"/>
      <c r="AS149" s="223">
        <v>0</v>
      </c>
      <c r="AT149" s="252"/>
      <c r="AU149" s="254"/>
      <c r="AV149" s="254"/>
      <c r="AW149" s="255"/>
      <c r="AX149" s="223">
        <v>0</v>
      </c>
      <c r="AY149" s="252"/>
      <c r="AZ149" s="254"/>
      <c r="BA149" s="254"/>
      <c r="BB149" s="255"/>
      <c r="BC149" s="223">
        <v>0</v>
      </c>
      <c r="BD149" s="252"/>
      <c r="BE149" s="254"/>
      <c r="BF149" s="254"/>
      <c r="BG149" s="255"/>
      <c r="BH149" s="254">
        <v>0</v>
      </c>
      <c r="BI149" s="260"/>
      <c r="BJ149" s="254"/>
      <c r="BK149" s="254"/>
      <c r="BL149" s="254"/>
      <c r="BM149" s="254"/>
      <c r="BN149" s="252"/>
      <c r="BO149" s="254"/>
      <c r="BP149" s="254"/>
      <c r="BQ149" s="254"/>
      <c r="BR149" s="254"/>
      <c r="BS149" s="252"/>
      <c r="BT149" s="252"/>
      <c r="BU149" s="252"/>
      <c r="BV149" s="252"/>
      <c r="BW149" s="122"/>
    </row>
    <row r="150" spans="1:75" s="123" customFormat="1" hidden="1" outlineLevel="4" x14ac:dyDescent="0.5">
      <c r="A150" s="349" t="s">
        <v>316</v>
      </c>
      <c r="B150" s="251"/>
      <c r="C150" s="252"/>
      <c r="D150" s="252"/>
      <c r="E150" s="252"/>
      <c r="F150" s="252"/>
      <c r="G150" s="253"/>
      <c r="H150" s="253"/>
      <c r="I150" s="253"/>
      <c r="J150" s="253"/>
      <c r="K150" s="252"/>
      <c r="L150" s="253"/>
      <c r="M150" s="253"/>
      <c r="N150" s="253"/>
      <c r="O150" s="350">
        <v>0</v>
      </c>
      <c r="P150" s="252"/>
      <c r="Q150" s="253"/>
      <c r="R150" s="253"/>
      <c r="S150" s="263">
        <v>-1</v>
      </c>
      <c r="T150" s="350">
        <v>0</v>
      </c>
      <c r="U150" s="259">
        <v>-1</v>
      </c>
      <c r="V150" s="253"/>
      <c r="W150" s="253"/>
      <c r="X150" s="253"/>
      <c r="Y150" s="223">
        <v>0</v>
      </c>
      <c r="Z150" s="252"/>
      <c r="AA150" s="254"/>
      <c r="AB150" s="254"/>
      <c r="AC150" s="253"/>
      <c r="AD150" s="223">
        <v>0</v>
      </c>
      <c r="AE150" s="252"/>
      <c r="AF150" s="254"/>
      <c r="AG150" s="254"/>
      <c r="AH150" s="253"/>
      <c r="AI150" s="223">
        <v>0</v>
      </c>
      <c r="AJ150" s="252"/>
      <c r="AK150" s="254"/>
      <c r="AL150" s="254"/>
      <c r="AM150" s="253"/>
      <c r="AN150" s="223">
        <v>0</v>
      </c>
      <c r="AO150" s="252"/>
      <c r="AP150" s="254"/>
      <c r="AQ150" s="254"/>
      <c r="AR150" s="255"/>
      <c r="AS150" s="223">
        <v>0</v>
      </c>
      <c r="AT150" s="252"/>
      <c r="AU150" s="254"/>
      <c r="AV150" s="254"/>
      <c r="AW150" s="255"/>
      <c r="AX150" s="223">
        <v>0</v>
      </c>
      <c r="AY150" s="252"/>
      <c r="AZ150" s="254"/>
      <c r="BA150" s="254"/>
      <c r="BB150" s="255"/>
      <c r="BC150" s="223">
        <v>0</v>
      </c>
      <c r="BD150" s="252"/>
      <c r="BE150" s="254"/>
      <c r="BF150" s="254"/>
      <c r="BG150" s="255"/>
      <c r="BH150" s="254">
        <v>0</v>
      </c>
      <c r="BI150" s="260"/>
      <c r="BJ150" s="254"/>
      <c r="BK150" s="254"/>
      <c r="BL150" s="254"/>
      <c r="BM150" s="254"/>
      <c r="BN150" s="252"/>
      <c r="BO150" s="254"/>
      <c r="BP150" s="254"/>
      <c r="BQ150" s="254"/>
      <c r="BR150" s="254"/>
      <c r="BS150" s="252"/>
      <c r="BT150" s="252"/>
      <c r="BU150" s="252"/>
      <c r="BV150" s="252"/>
      <c r="BW150" s="122"/>
    </row>
    <row r="151" spans="1:75" s="123" customFormat="1" hidden="1" outlineLevel="4" x14ac:dyDescent="0.5">
      <c r="A151" s="349" t="s">
        <v>317</v>
      </c>
      <c r="B151" s="251"/>
      <c r="C151" s="252"/>
      <c r="D151" s="252"/>
      <c r="E151" s="252"/>
      <c r="F151" s="252"/>
      <c r="G151" s="253"/>
      <c r="H151" s="253"/>
      <c r="I151" s="253"/>
      <c r="J151" s="253"/>
      <c r="K151" s="252"/>
      <c r="L151" s="253"/>
      <c r="M151" s="253"/>
      <c r="N151" s="253"/>
      <c r="O151" s="350">
        <v>0</v>
      </c>
      <c r="P151" s="252"/>
      <c r="Q151" s="253"/>
      <c r="R151" s="253"/>
      <c r="S151" s="253"/>
      <c r="T151" s="350">
        <v>-1</v>
      </c>
      <c r="U151" s="259">
        <v>-1</v>
      </c>
      <c r="V151" s="253"/>
      <c r="W151" s="253"/>
      <c r="X151" s="253"/>
      <c r="Y151" s="223">
        <v>0</v>
      </c>
      <c r="Z151" s="252"/>
      <c r="AA151" s="254"/>
      <c r="AB151" s="254"/>
      <c r="AC151" s="253"/>
      <c r="AD151" s="223">
        <v>0</v>
      </c>
      <c r="AE151" s="252"/>
      <c r="AF151" s="254"/>
      <c r="AG151" s="254"/>
      <c r="AH151" s="253"/>
      <c r="AI151" s="223">
        <v>0</v>
      </c>
      <c r="AJ151" s="252"/>
      <c r="AK151" s="254"/>
      <c r="AL151" s="254"/>
      <c r="AM151" s="253"/>
      <c r="AN151" s="223">
        <v>0</v>
      </c>
      <c r="AO151" s="252"/>
      <c r="AP151" s="254"/>
      <c r="AQ151" s="254"/>
      <c r="AR151" s="255"/>
      <c r="AS151" s="223">
        <v>0</v>
      </c>
      <c r="AT151" s="252"/>
      <c r="AU151" s="254"/>
      <c r="AV151" s="254"/>
      <c r="AW151" s="255"/>
      <c r="AX151" s="223">
        <v>0</v>
      </c>
      <c r="AY151" s="252"/>
      <c r="AZ151" s="254"/>
      <c r="BA151" s="254"/>
      <c r="BB151" s="255"/>
      <c r="BC151" s="223">
        <v>0</v>
      </c>
      <c r="BD151" s="252"/>
      <c r="BE151" s="254"/>
      <c r="BF151" s="254"/>
      <c r="BG151" s="255"/>
      <c r="BH151" s="254">
        <v>0</v>
      </c>
      <c r="BI151" s="260"/>
      <c r="BJ151" s="254"/>
      <c r="BK151" s="254"/>
      <c r="BL151" s="254"/>
      <c r="BM151" s="254"/>
      <c r="BN151" s="252"/>
      <c r="BO151" s="254"/>
      <c r="BP151" s="254"/>
      <c r="BQ151" s="254"/>
      <c r="BR151" s="254"/>
      <c r="BS151" s="252"/>
      <c r="BT151" s="252"/>
      <c r="BU151" s="252"/>
      <c r="BV151" s="252"/>
      <c r="BW151" s="122"/>
    </row>
    <row r="152" spans="1:75" s="123" customFormat="1" hidden="1" outlineLevel="4" x14ac:dyDescent="0.5">
      <c r="A152" s="349" t="s">
        <v>318</v>
      </c>
      <c r="B152" s="251"/>
      <c r="C152" s="252"/>
      <c r="D152" s="252"/>
      <c r="E152" s="252"/>
      <c r="F152" s="252"/>
      <c r="G152" s="253"/>
      <c r="H152" s="253"/>
      <c r="I152" s="253"/>
      <c r="J152" s="253"/>
      <c r="K152" s="252"/>
      <c r="L152" s="263">
        <v>-1</v>
      </c>
      <c r="M152" s="253"/>
      <c r="N152" s="253"/>
      <c r="O152" s="350">
        <v>0</v>
      </c>
      <c r="P152" s="259">
        <v>-1</v>
      </c>
      <c r="Q152" s="253"/>
      <c r="R152" s="253"/>
      <c r="S152" s="253"/>
      <c r="T152" s="350">
        <v>0</v>
      </c>
      <c r="U152" s="252"/>
      <c r="V152" s="253"/>
      <c r="W152" s="253"/>
      <c r="X152" s="253"/>
      <c r="Y152" s="223">
        <v>0</v>
      </c>
      <c r="Z152" s="252"/>
      <c r="AA152" s="254"/>
      <c r="AB152" s="254"/>
      <c r="AC152" s="253"/>
      <c r="AD152" s="223">
        <v>0</v>
      </c>
      <c r="AE152" s="252"/>
      <c r="AF152" s="254"/>
      <c r="AG152" s="254"/>
      <c r="AH152" s="253"/>
      <c r="AI152" s="223">
        <v>0</v>
      </c>
      <c r="AJ152" s="252"/>
      <c r="AK152" s="254"/>
      <c r="AL152" s="254"/>
      <c r="AM152" s="253"/>
      <c r="AN152" s="223">
        <v>0</v>
      </c>
      <c r="AO152" s="252"/>
      <c r="AP152" s="254"/>
      <c r="AQ152" s="254"/>
      <c r="AR152" s="255"/>
      <c r="AS152" s="223">
        <v>0</v>
      </c>
      <c r="AT152" s="252"/>
      <c r="AU152" s="254"/>
      <c r="AV152" s="254"/>
      <c r="AW152" s="255"/>
      <c r="AX152" s="223">
        <v>0</v>
      </c>
      <c r="AY152" s="252"/>
      <c r="AZ152" s="254"/>
      <c r="BA152" s="254"/>
      <c r="BB152" s="255"/>
      <c r="BC152" s="223">
        <v>0</v>
      </c>
      <c r="BD152" s="252"/>
      <c r="BE152" s="254"/>
      <c r="BF152" s="254"/>
      <c r="BG152" s="255"/>
      <c r="BH152" s="254">
        <v>0</v>
      </c>
      <c r="BI152" s="260"/>
      <c r="BJ152" s="254"/>
      <c r="BK152" s="254"/>
      <c r="BL152" s="254"/>
      <c r="BM152" s="254"/>
      <c r="BN152" s="252"/>
      <c r="BO152" s="254"/>
      <c r="BP152" s="254"/>
      <c r="BQ152" s="254"/>
      <c r="BR152" s="254"/>
      <c r="BS152" s="252"/>
      <c r="BT152" s="252"/>
      <c r="BU152" s="252"/>
      <c r="BV152" s="252"/>
      <c r="BW152" s="122"/>
    </row>
    <row r="153" spans="1:75" s="123" customFormat="1" hidden="1" outlineLevel="4" x14ac:dyDescent="0.5">
      <c r="A153" s="349" t="s">
        <v>319</v>
      </c>
      <c r="B153" s="251"/>
      <c r="C153" s="252"/>
      <c r="D153" s="252"/>
      <c r="E153" s="252"/>
      <c r="F153" s="252"/>
      <c r="G153" s="253"/>
      <c r="H153" s="253"/>
      <c r="I153" s="253"/>
      <c r="J153" s="253"/>
      <c r="K153" s="252"/>
      <c r="L153" s="253"/>
      <c r="M153" s="263">
        <v>-1</v>
      </c>
      <c r="N153" s="253"/>
      <c r="O153" s="350">
        <v>0</v>
      </c>
      <c r="P153" s="259">
        <v>-1</v>
      </c>
      <c r="Q153" s="253"/>
      <c r="R153" s="253"/>
      <c r="S153" s="253"/>
      <c r="T153" s="350">
        <v>0</v>
      </c>
      <c r="U153" s="252"/>
      <c r="V153" s="253"/>
      <c r="W153" s="253"/>
      <c r="X153" s="253"/>
      <c r="Y153" s="223">
        <v>0</v>
      </c>
      <c r="Z153" s="252"/>
      <c r="AA153" s="254"/>
      <c r="AB153" s="254"/>
      <c r="AC153" s="253"/>
      <c r="AD153" s="223">
        <v>0</v>
      </c>
      <c r="AE153" s="252"/>
      <c r="AF153" s="254"/>
      <c r="AG153" s="254"/>
      <c r="AH153" s="253"/>
      <c r="AI153" s="223">
        <v>0</v>
      </c>
      <c r="AJ153" s="252"/>
      <c r="AK153" s="254"/>
      <c r="AL153" s="254"/>
      <c r="AM153" s="253"/>
      <c r="AN153" s="223">
        <v>0</v>
      </c>
      <c r="AO153" s="252"/>
      <c r="AP153" s="254"/>
      <c r="AQ153" s="254"/>
      <c r="AR153" s="255"/>
      <c r="AS153" s="223">
        <v>0</v>
      </c>
      <c r="AT153" s="252"/>
      <c r="AU153" s="254"/>
      <c r="AV153" s="254"/>
      <c r="AW153" s="255"/>
      <c r="AX153" s="223">
        <v>0</v>
      </c>
      <c r="AY153" s="252"/>
      <c r="AZ153" s="254"/>
      <c r="BA153" s="254"/>
      <c r="BB153" s="255"/>
      <c r="BC153" s="223">
        <v>0</v>
      </c>
      <c r="BD153" s="252"/>
      <c r="BE153" s="254"/>
      <c r="BF153" s="254"/>
      <c r="BG153" s="255"/>
      <c r="BH153" s="254">
        <v>0</v>
      </c>
      <c r="BI153" s="260"/>
      <c r="BJ153" s="254"/>
      <c r="BK153" s="254"/>
      <c r="BL153" s="254"/>
      <c r="BM153" s="254"/>
      <c r="BN153" s="252"/>
      <c r="BO153" s="254"/>
      <c r="BP153" s="254"/>
      <c r="BQ153" s="254"/>
      <c r="BR153" s="254"/>
      <c r="BS153" s="252"/>
      <c r="BT153" s="252"/>
      <c r="BU153" s="252"/>
      <c r="BV153" s="252"/>
      <c r="BW153" s="122"/>
    </row>
    <row r="154" spans="1:75" s="123" customFormat="1" hidden="1" outlineLevel="4" x14ac:dyDescent="0.5">
      <c r="A154" s="349" t="s">
        <v>320</v>
      </c>
      <c r="B154" s="251"/>
      <c r="C154" s="252"/>
      <c r="D154" s="252"/>
      <c r="E154" s="252"/>
      <c r="F154" s="252"/>
      <c r="G154" s="253"/>
      <c r="H154" s="253"/>
      <c r="I154" s="253"/>
      <c r="J154" s="253"/>
      <c r="K154" s="252"/>
      <c r="L154" s="253"/>
      <c r="M154" s="263">
        <v>-1</v>
      </c>
      <c r="N154" s="253"/>
      <c r="O154" s="350">
        <v>0</v>
      </c>
      <c r="P154" s="259">
        <v>-1</v>
      </c>
      <c r="Q154" s="253"/>
      <c r="R154" s="253"/>
      <c r="S154" s="253"/>
      <c r="T154" s="350">
        <v>0</v>
      </c>
      <c r="U154" s="252"/>
      <c r="V154" s="253"/>
      <c r="W154" s="253"/>
      <c r="X154" s="253"/>
      <c r="Y154" s="223">
        <v>0</v>
      </c>
      <c r="Z154" s="252"/>
      <c r="AA154" s="254"/>
      <c r="AB154" s="254"/>
      <c r="AC154" s="253"/>
      <c r="AD154" s="223">
        <v>0</v>
      </c>
      <c r="AE154" s="252"/>
      <c r="AF154" s="254"/>
      <c r="AG154" s="254"/>
      <c r="AH154" s="253"/>
      <c r="AI154" s="223">
        <v>0</v>
      </c>
      <c r="AJ154" s="252"/>
      <c r="AK154" s="254"/>
      <c r="AL154" s="254"/>
      <c r="AM154" s="253"/>
      <c r="AN154" s="223">
        <v>0</v>
      </c>
      <c r="AO154" s="252"/>
      <c r="AP154" s="254"/>
      <c r="AQ154" s="254"/>
      <c r="AR154" s="255"/>
      <c r="AS154" s="223">
        <v>0</v>
      </c>
      <c r="AT154" s="252"/>
      <c r="AU154" s="254"/>
      <c r="AV154" s="254"/>
      <c r="AW154" s="255"/>
      <c r="AX154" s="223">
        <v>0</v>
      </c>
      <c r="AY154" s="252"/>
      <c r="AZ154" s="254"/>
      <c r="BA154" s="254"/>
      <c r="BB154" s="255"/>
      <c r="BC154" s="223">
        <v>0</v>
      </c>
      <c r="BD154" s="252"/>
      <c r="BE154" s="254"/>
      <c r="BF154" s="254"/>
      <c r="BG154" s="255"/>
      <c r="BH154" s="254">
        <v>0</v>
      </c>
      <c r="BI154" s="260"/>
      <c r="BJ154" s="254"/>
      <c r="BK154" s="254"/>
      <c r="BL154" s="254"/>
      <c r="BM154" s="254"/>
      <c r="BN154" s="252"/>
      <c r="BO154" s="254"/>
      <c r="BP154" s="254"/>
      <c r="BQ154" s="254"/>
      <c r="BR154" s="254"/>
      <c r="BS154" s="252"/>
      <c r="BT154" s="252"/>
      <c r="BU154" s="252"/>
      <c r="BV154" s="252"/>
      <c r="BW154" s="122"/>
    </row>
    <row r="155" spans="1:75" s="123" customFormat="1" hidden="1" outlineLevel="4" x14ac:dyDescent="0.5">
      <c r="A155" s="349" t="s">
        <v>321</v>
      </c>
      <c r="B155" s="251"/>
      <c r="C155" s="252"/>
      <c r="D155" s="252"/>
      <c r="E155" s="252"/>
      <c r="F155" s="252"/>
      <c r="G155" s="253"/>
      <c r="H155" s="253"/>
      <c r="I155" s="253"/>
      <c r="J155" s="253"/>
      <c r="K155" s="252"/>
      <c r="L155" s="253"/>
      <c r="M155" s="253"/>
      <c r="N155" s="253"/>
      <c r="O155" s="350">
        <v>-1</v>
      </c>
      <c r="P155" s="259">
        <v>-1</v>
      </c>
      <c r="Q155" s="253"/>
      <c r="R155" s="253"/>
      <c r="S155" s="253"/>
      <c r="T155" s="350">
        <v>0</v>
      </c>
      <c r="U155" s="252"/>
      <c r="V155" s="253"/>
      <c r="W155" s="253"/>
      <c r="X155" s="253"/>
      <c r="Y155" s="223">
        <v>0</v>
      </c>
      <c r="Z155" s="252"/>
      <c r="AA155" s="254"/>
      <c r="AB155" s="254"/>
      <c r="AC155" s="253"/>
      <c r="AD155" s="223">
        <v>0</v>
      </c>
      <c r="AE155" s="252"/>
      <c r="AF155" s="254"/>
      <c r="AG155" s="254"/>
      <c r="AH155" s="253"/>
      <c r="AI155" s="223">
        <v>0</v>
      </c>
      <c r="AJ155" s="252"/>
      <c r="AK155" s="254"/>
      <c r="AL155" s="254"/>
      <c r="AM155" s="253"/>
      <c r="AN155" s="223">
        <v>0</v>
      </c>
      <c r="AO155" s="252"/>
      <c r="AP155" s="254"/>
      <c r="AQ155" s="254"/>
      <c r="AR155" s="255"/>
      <c r="AS155" s="223">
        <v>0</v>
      </c>
      <c r="AT155" s="252"/>
      <c r="AU155" s="254"/>
      <c r="AV155" s="254"/>
      <c r="AW155" s="255"/>
      <c r="AX155" s="223">
        <v>0</v>
      </c>
      <c r="AY155" s="252"/>
      <c r="AZ155" s="254"/>
      <c r="BA155" s="254"/>
      <c r="BB155" s="255"/>
      <c r="BC155" s="223">
        <v>0</v>
      </c>
      <c r="BD155" s="252"/>
      <c r="BE155" s="254"/>
      <c r="BF155" s="254"/>
      <c r="BG155" s="255"/>
      <c r="BH155" s="254">
        <v>0</v>
      </c>
      <c r="BI155" s="260"/>
      <c r="BJ155" s="254"/>
      <c r="BK155" s="254"/>
      <c r="BL155" s="254"/>
      <c r="BM155" s="254"/>
      <c r="BN155" s="252"/>
      <c r="BO155" s="254"/>
      <c r="BP155" s="254"/>
      <c r="BQ155" s="254"/>
      <c r="BR155" s="254"/>
      <c r="BS155" s="252"/>
      <c r="BT155" s="252"/>
      <c r="BU155" s="252"/>
      <c r="BV155" s="252"/>
      <c r="BW155" s="122"/>
    </row>
    <row r="156" spans="1:75" s="123" customFormat="1" hidden="1" outlineLevel="4" x14ac:dyDescent="0.5">
      <c r="A156" s="351" t="s">
        <v>322</v>
      </c>
      <c r="B156" s="274"/>
      <c r="C156" s="266"/>
      <c r="D156" s="266"/>
      <c r="E156" s="266"/>
      <c r="F156" s="266"/>
      <c r="G156" s="267"/>
      <c r="H156" s="267"/>
      <c r="I156" s="267"/>
      <c r="J156" s="267"/>
      <c r="K156" s="266"/>
      <c r="L156" s="267"/>
      <c r="M156" s="267"/>
      <c r="N156" s="267"/>
      <c r="O156" s="352">
        <v>-1</v>
      </c>
      <c r="P156" s="268">
        <v>-1</v>
      </c>
      <c r="Q156" s="267"/>
      <c r="R156" s="267"/>
      <c r="S156" s="267"/>
      <c r="T156" s="352">
        <v>0</v>
      </c>
      <c r="U156" s="266"/>
      <c r="V156" s="267"/>
      <c r="W156" s="267"/>
      <c r="X156" s="267"/>
      <c r="Y156" s="353">
        <v>0</v>
      </c>
      <c r="Z156" s="266"/>
      <c r="AA156" s="269"/>
      <c r="AB156" s="269"/>
      <c r="AC156" s="267"/>
      <c r="AD156" s="353">
        <v>0</v>
      </c>
      <c r="AE156" s="266"/>
      <c r="AF156" s="269"/>
      <c r="AG156" s="269"/>
      <c r="AH156" s="267"/>
      <c r="AI156" s="353">
        <v>0</v>
      </c>
      <c r="AJ156" s="266"/>
      <c r="AK156" s="269"/>
      <c r="AL156" s="269"/>
      <c r="AM156" s="267"/>
      <c r="AN156" s="353">
        <v>0</v>
      </c>
      <c r="AO156" s="266"/>
      <c r="AP156" s="269"/>
      <c r="AQ156" s="269"/>
      <c r="AR156" s="270"/>
      <c r="AS156" s="353">
        <v>0</v>
      </c>
      <c r="AT156" s="266"/>
      <c r="AU156" s="269"/>
      <c r="AV156" s="269"/>
      <c r="AW156" s="270"/>
      <c r="AX156" s="353">
        <v>0</v>
      </c>
      <c r="AY156" s="266"/>
      <c r="AZ156" s="269"/>
      <c r="BA156" s="269"/>
      <c r="BB156" s="270"/>
      <c r="BC156" s="353">
        <v>0</v>
      </c>
      <c r="BD156" s="266"/>
      <c r="BE156" s="269"/>
      <c r="BF156" s="269"/>
      <c r="BG156" s="270"/>
      <c r="BH156" s="269">
        <v>0</v>
      </c>
      <c r="BI156" s="271"/>
      <c r="BJ156" s="269"/>
      <c r="BK156" s="269"/>
      <c r="BL156" s="269"/>
      <c r="BM156" s="269"/>
      <c r="BN156" s="266"/>
      <c r="BO156" s="269"/>
      <c r="BP156" s="269"/>
      <c r="BQ156" s="269"/>
      <c r="BR156" s="269"/>
      <c r="BS156" s="266"/>
      <c r="BT156" s="266"/>
      <c r="BU156" s="266"/>
      <c r="BV156" s="266"/>
      <c r="BW156" s="122"/>
    </row>
    <row r="157" spans="1:75" s="123" customFormat="1" hidden="1" outlineLevel="3" collapsed="1" x14ac:dyDescent="0.5">
      <c r="A157" s="218" t="s">
        <v>323</v>
      </c>
      <c r="B157" s="251"/>
      <c r="C157" s="252"/>
      <c r="D157" s="252"/>
      <c r="E157" s="252"/>
      <c r="F157" s="252"/>
      <c r="G157" s="253"/>
      <c r="H157" s="253"/>
      <c r="I157" s="253"/>
      <c r="J157" s="253"/>
      <c r="K157" s="252"/>
      <c r="L157" s="253">
        <v>-1</v>
      </c>
      <c r="M157" s="253">
        <v>-2</v>
      </c>
      <c r="N157" s="253">
        <v>0</v>
      </c>
      <c r="O157" s="253">
        <v>-2</v>
      </c>
      <c r="P157" s="252">
        <v>-5</v>
      </c>
      <c r="Q157" s="253">
        <v>-1</v>
      </c>
      <c r="R157" s="253">
        <v>0</v>
      </c>
      <c r="S157" s="253">
        <v>-3</v>
      </c>
      <c r="T157" s="253">
        <v>-2</v>
      </c>
      <c r="U157" s="252">
        <v>-6</v>
      </c>
      <c r="V157" s="253">
        <v>0</v>
      </c>
      <c r="W157" s="253">
        <v>0</v>
      </c>
      <c r="X157" s="253">
        <v>-2</v>
      </c>
      <c r="Y157" s="254">
        <v>-2</v>
      </c>
      <c r="Z157" s="252">
        <v>-4</v>
      </c>
      <c r="AA157" s="254">
        <v>0</v>
      </c>
      <c r="AB157" s="254">
        <v>0</v>
      </c>
      <c r="AC157" s="253">
        <v>-2</v>
      </c>
      <c r="AD157" s="254">
        <v>-1</v>
      </c>
      <c r="AE157" s="252">
        <v>-3</v>
      </c>
      <c r="AF157" s="254">
        <v>-1</v>
      </c>
      <c r="AG157" s="254">
        <v>-2</v>
      </c>
      <c r="AH157" s="253">
        <v>-1</v>
      </c>
      <c r="AI157" s="254">
        <v>0</v>
      </c>
      <c r="AJ157" s="252">
        <v>-4</v>
      </c>
      <c r="AK157" s="254">
        <v>0</v>
      </c>
      <c r="AL157" s="254">
        <v>0</v>
      </c>
      <c r="AM157" s="253">
        <v>-1</v>
      </c>
      <c r="AN157" s="254">
        <v>-2</v>
      </c>
      <c r="AO157" s="252">
        <v>-3</v>
      </c>
      <c r="AP157" s="254">
        <v>0</v>
      </c>
      <c r="AQ157" s="254">
        <v>-3</v>
      </c>
      <c r="AR157" s="255">
        <v>0</v>
      </c>
      <c r="AS157" s="254">
        <v>0</v>
      </c>
      <c r="AT157" s="252">
        <v>-3</v>
      </c>
      <c r="AU157" s="254">
        <v>0</v>
      </c>
      <c r="AV157" s="254">
        <v>-1</v>
      </c>
      <c r="AW157" s="255">
        <v>-1</v>
      </c>
      <c r="AX157" s="254">
        <v>0</v>
      </c>
      <c r="AY157" s="252">
        <v>-2</v>
      </c>
      <c r="AZ157" s="254">
        <v>0</v>
      </c>
      <c r="BA157" s="254">
        <v>-1</v>
      </c>
      <c r="BB157" s="255">
        <v>0</v>
      </c>
      <c r="BC157" s="254">
        <v>0</v>
      </c>
      <c r="BD157" s="252">
        <v>-1</v>
      </c>
      <c r="BE157" s="254">
        <v>0</v>
      </c>
      <c r="BF157" s="254">
        <v>0</v>
      </c>
      <c r="BG157" s="255">
        <v>0</v>
      </c>
      <c r="BH157" s="269">
        <v>-1</v>
      </c>
      <c r="BI157" s="271">
        <v>-1</v>
      </c>
      <c r="BJ157" s="256">
        <v>0</v>
      </c>
      <c r="BK157" s="256">
        <v>0</v>
      </c>
      <c r="BL157" s="256">
        <v>0</v>
      </c>
      <c r="BM157" s="256">
        <v>0</v>
      </c>
      <c r="BN157" s="252">
        <v>0</v>
      </c>
      <c r="BO157" s="256">
        <v>0</v>
      </c>
      <c r="BP157" s="256">
        <v>0</v>
      </c>
      <c r="BQ157" s="256">
        <v>0</v>
      </c>
      <c r="BR157" s="256">
        <v>0</v>
      </c>
      <c r="BS157" s="252">
        <v>0</v>
      </c>
      <c r="BT157" s="259">
        <v>0</v>
      </c>
      <c r="BU157" s="259">
        <v>0</v>
      </c>
      <c r="BV157" s="259">
        <v>0</v>
      </c>
      <c r="BW157" s="122"/>
    </row>
    <row r="158" spans="1:75" s="198" customFormat="1" ht="14.25" hidden="1" outlineLevel="3" x14ac:dyDescent="0.45">
      <c r="A158" s="276" t="s">
        <v>324</v>
      </c>
      <c r="B158" s="277"/>
      <c r="C158" s="278"/>
      <c r="D158" s="278"/>
      <c r="E158" s="278"/>
      <c r="F158" s="279">
        <v>65</v>
      </c>
      <c r="G158" s="280">
        <v>62</v>
      </c>
      <c r="H158" s="280">
        <v>62</v>
      </c>
      <c r="I158" s="280">
        <v>62</v>
      </c>
      <c r="J158" s="281">
        <v>62</v>
      </c>
      <c r="K158" s="279">
        <v>62</v>
      </c>
      <c r="L158" s="281">
        <v>61</v>
      </c>
      <c r="M158" s="281">
        <v>59</v>
      </c>
      <c r="N158" s="281">
        <v>59</v>
      </c>
      <c r="O158" s="281">
        <v>57</v>
      </c>
      <c r="P158" s="282">
        <v>57</v>
      </c>
      <c r="Q158" s="281">
        <v>57</v>
      </c>
      <c r="R158" s="281">
        <v>57</v>
      </c>
      <c r="S158" s="281">
        <v>54</v>
      </c>
      <c r="T158" s="281">
        <v>53</v>
      </c>
      <c r="U158" s="282">
        <v>53</v>
      </c>
      <c r="V158" s="281">
        <v>53</v>
      </c>
      <c r="W158" s="281">
        <v>53</v>
      </c>
      <c r="X158" s="281">
        <v>51</v>
      </c>
      <c r="Y158" s="284">
        <v>50</v>
      </c>
      <c r="Z158" s="282">
        <v>50</v>
      </c>
      <c r="AA158" s="284">
        <v>50</v>
      </c>
      <c r="AB158" s="284">
        <v>50</v>
      </c>
      <c r="AC158" s="281">
        <v>48</v>
      </c>
      <c r="AD158" s="284">
        <v>47</v>
      </c>
      <c r="AE158" s="282">
        <v>47</v>
      </c>
      <c r="AF158" s="284">
        <v>46</v>
      </c>
      <c r="AG158" s="284">
        <v>44</v>
      </c>
      <c r="AH158" s="281">
        <v>43</v>
      </c>
      <c r="AI158" s="284">
        <v>43</v>
      </c>
      <c r="AJ158" s="282">
        <v>43</v>
      </c>
      <c r="AK158" s="284">
        <v>43</v>
      </c>
      <c r="AL158" s="284">
        <v>43</v>
      </c>
      <c r="AM158" s="281">
        <v>42</v>
      </c>
      <c r="AN158" s="284">
        <v>40</v>
      </c>
      <c r="AO158" s="282">
        <v>40</v>
      </c>
      <c r="AP158" s="284">
        <v>41</v>
      </c>
      <c r="AQ158" s="284">
        <v>38</v>
      </c>
      <c r="AR158" s="285">
        <v>38</v>
      </c>
      <c r="AS158" s="284">
        <v>38</v>
      </c>
      <c r="AT158" s="282">
        <v>38</v>
      </c>
      <c r="AU158" s="284">
        <v>38</v>
      </c>
      <c r="AV158" s="284">
        <v>37</v>
      </c>
      <c r="AW158" s="285">
        <v>36</v>
      </c>
      <c r="AX158" s="285">
        <v>36</v>
      </c>
      <c r="AY158" s="282">
        <v>36</v>
      </c>
      <c r="AZ158" s="284">
        <v>36</v>
      </c>
      <c r="BA158" s="284">
        <v>35</v>
      </c>
      <c r="BB158" s="285">
        <v>35</v>
      </c>
      <c r="BC158" s="285">
        <v>35</v>
      </c>
      <c r="BD158" s="282">
        <v>35</v>
      </c>
      <c r="BE158" s="284">
        <v>36</v>
      </c>
      <c r="BF158" s="284">
        <v>36</v>
      </c>
      <c r="BG158" s="285">
        <v>36</v>
      </c>
      <c r="BH158" s="285">
        <v>35</v>
      </c>
      <c r="BI158" s="286">
        <v>35</v>
      </c>
      <c r="BJ158" s="287">
        <v>35</v>
      </c>
      <c r="BK158" s="287">
        <v>35</v>
      </c>
      <c r="BL158" s="287">
        <v>35</v>
      </c>
      <c r="BM158" s="287">
        <v>35</v>
      </c>
      <c r="BN158" s="278">
        <v>35</v>
      </c>
      <c r="BO158" s="287">
        <v>35</v>
      </c>
      <c r="BP158" s="287">
        <v>35</v>
      </c>
      <c r="BQ158" s="287">
        <v>35</v>
      </c>
      <c r="BR158" s="287">
        <v>35</v>
      </c>
      <c r="BS158" s="278">
        <v>35</v>
      </c>
      <c r="BT158" s="278">
        <v>35</v>
      </c>
      <c r="BU158" s="278">
        <v>35</v>
      </c>
      <c r="BV158" s="278">
        <v>35</v>
      </c>
      <c r="BW158" s="197"/>
    </row>
    <row r="159" spans="1:75" s="198" customFormat="1" ht="14.25" hidden="1" outlineLevel="3" x14ac:dyDescent="0.45">
      <c r="A159" s="168" t="s">
        <v>325</v>
      </c>
      <c r="B159" s="243"/>
      <c r="C159" s="244"/>
      <c r="D159" s="244"/>
      <c r="E159" s="244"/>
      <c r="F159" s="244"/>
      <c r="G159" s="288">
        <v>63.5</v>
      </c>
      <c r="H159" s="288">
        <v>62</v>
      </c>
      <c r="I159" s="288">
        <v>62</v>
      </c>
      <c r="J159" s="288">
        <v>62</v>
      </c>
      <c r="K159" s="246">
        <v>62.375</v>
      </c>
      <c r="L159" s="288">
        <v>61.5</v>
      </c>
      <c r="M159" s="288">
        <v>60</v>
      </c>
      <c r="N159" s="288">
        <v>59</v>
      </c>
      <c r="O159" s="288">
        <v>58</v>
      </c>
      <c r="P159" s="246">
        <v>59.625</v>
      </c>
      <c r="Q159" s="245">
        <v>57</v>
      </c>
      <c r="R159" s="288">
        <v>57</v>
      </c>
      <c r="S159" s="288">
        <v>55.5</v>
      </c>
      <c r="T159" s="288">
        <v>53.5</v>
      </c>
      <c r="U159" s="246">
        <v>55.75</v>
      </c>
      <c r="V159" s="288">
        <v>53</v>
      </c>
      <c r="W159" s="288">
        <v>53</v>
      </c>
      <c r="X159" s="288">
        <v>52</v>
      </c>
      <c r="Y159" s="168">
        <v>50.5</v>
      </c>
      <c r="Z159" s="246">
        <v>52.125</v>
      </c>
      <c r="AA159" s="168">
        <v>50</v>
      </c>
      <c r="AB159" s="168">
        <v>50</v>
      </c>
      <c r="AC159" s="288">
        <v>49</v>
      </c>
      <c r="AD159" s="168">
        <v>47.5</v>
      </c>
      <c r="AE159" s="246">
        <v>49.094339622641506</v>
      </c>
      <c r="AF159" s="168">
        <v>46.5</v>
      </c>
      <c r="AG159" s="168">
        <v>45</v>
      </c>
      <c r="AH159" s="288">
        <v>43.5</v>
      </c>
      <c r="AI159" s="168">
        <v>43</v>
      </c>
      <c r="AJ159" s="246">
        <v>44.5</v>
      </c>
      <c r="AK159" s="168">
        <v>43</v>
      </c>
      <c r="AL159" s="168">
        <v>43</v>
      </c>
      <c r="AM159" s="288">
        <v>42.5</v>
      </c>
      <c r="AN159" s="168">
        <v>41</v>
      </c>
      <c r="AO159" s="246">
        <v>42.375</v>
      </c>
      <c r="AP159" s="168">
        <v>40.5</v>
      </c>
      <c r="AQ159" s="168">
        <v>39.5</v>
      </c>
      <c r="AR159" s="289">
        <v>38</v>
      </c>
      <c r="AS159" s="168">
        <v>38</v>
      </c>
      <c r="AT159" s="246">
        <v>39</v>
      </c>
      <c r="AU159" s="168">
        <v>38</v>
      </c>
      <c r="AV159" s="168">
        <v>37.5</v>
      </c>
      <c r="AW159" s="289">
        <v>36.5</v>
      </c>
      <c r="AX159" s="168">
        <v>36</v>
      </c>
      <c r="AY159" s="246">
        <v>37</v>
      </c>
      <c r="AZ159" s="168">
        <v>36</v>
      </c>
      <c r="BA159" s="168">
        <v>35.5</v>
      </c>
      <c r="BB159" s="289">
        <v>35</v>
      </c>
      <c r="BC159" s="168">
        <v>35</v>
      </c>
      <c r="BD159" s="246">
        <v>35.375</v>
      </c>
      <c r="BE159" s="168">
        <v>35.5</v>
      </c>
      <c r="BF159" s="168">
        <v>36</v>
      </c>
      <c r="BG159" s="289">
        <v>36</v>
      </c>
      <c r="BH159" s="168">
        <v>35.5</v>
      </c>
      <c r="BI159" s="290">
        <v>35.745283018867923</v>
      </c>
      <c r="BJ159" s="247">
        <v>35</v>
      </c>
      <c r="BK159" s="247">
        <v>35</v>
      </c>
      <c r="BL159" s="247">
        <v>35</v>
      </c>
      <c r="BM159" s="247">
        <v>35</v>
      </c>
      <c r="BN159" s="244">
        <v>35</v>
      </c>
      <c r="BO159" s="247">
        <v>35</v>
      </c>
      <c r="BP159" s="247">
        <v>35</v>
      </c>
      <c r="BQ159" s="247">
        <v>35</v>
      </c>
      <c r="BR159" s="247">
        <v>35</v>
      </c>
      <c r="BS159" s="244">
        <v>35</v>
      </c>
      <c r="BT159" s="244">
        <v>35</v>
      </c>
      <c r="BU159" s="244">
        <v>35</v>
      </c>
      <c r="BV159" s="244">
        <v>35</v>
      </c>
      <c r="BW159" s="197"/>
    </row>
    <row r="160" spans="1:75" s="198" customFormat="1" ht="14.25" hidden="1" outlineLevel="3" x14ac:dyDescent="0.45">
      <c r="A160" s="292"/>
      <c r="B160" s="243"/>
      <c r="C160" s="244"/>
      <c r="D160" s="244"/>
      <c r="E160" s="244"/>
      <c r="F160" s="244"/>
      <c r="G160" s="245"/>
      <c r="H160" s="245"/>
      <c r="I160" s="245"/>
      <c r="J160" s="245"/>
      <c r="K160" s="244"/>
      <c r="L160" s="245"/>
      <c r="M160" s="245"/>
      <c r="N160" s="245"/>
      <c r="O160" s="245"/>
      <c r="P160" s="244"/>
      <c r="Q160" s="245"/>
      <c r="R160" s="245"/>
      <c r="S160" s="245"/>
      <c r="T160" s="245"/>
      <c r="U160" s="244"/>
      <c r="V160" s="245"/>
      <c r="W160" s="245"/>
      <c r="X160" s="245"/>
      <c r="Y160" s="247"/>
      <c r="Z160" s="244"/>
      <c r="AA160" s="247"/>
      <c r="AB160" s="247"/>
      <c r="AC160" s="245"/>
      <c r="AD160" s="247"/>
      <c r="AE160" s="244"/>
      <c r="AF160" s="247"/>
      <c r="AG160" s="247"/>
      <c r="AH160" s="245"/>
      <c r="AI160" s="247"/>
      <c r="AJ160" s="244"/>
      <c r="AK160" s="247"/>
      <c r="AL160" s="247"/>
      <c r="AM160" s="245"/>
      <c r="AN160" s="247"/>
      <c r="AO160" s="244"/>
      <c r="AP160" s="247"/>
      <c r="AQ160" s="247"/>
      <c r="AR160" s="248"/>
      <c r="AS160" s="247"/>
      <c r="AT160" s="244"/>
      <c r="AU160" s="247"/>
      <c r="AV160" s="247"/>
      <c r="AW160" s="248"/>
      <c r="AX160" s="247"/>
      <c r="AY160" s="244"/>
      <c r="AZ160" s="247"/>
      <c r="BA160" s="247"/>
      <c r="BB160" s="248"/>
      <c r="BC160" s="247"/>
      <c r="BD160" s="244"/>
      <c r="BE160" s="247"/>
      <c r="BF160" s="247"/>
      <c r="BG160" s="248"/>
      <c r="BH160" s="247"/>
      <c r="BI160" s="249"/>
      <c r="BJ160" s="247"/>
      <c r="BK160" s="247"/>
      <c r="BL160" s="247"/>
      <c r="BM160" s="247"/>
      <c r="BN160" s="244"/>
      <c r="BO160" s="247"/>
      <c r="BP160" s="247"/>
      <c r="BQ160" s="247"/>
      <c r="BR160" s="247"/>
      <c r="BS160" s="244"/>
      <c r="BT160" s="244"/>
      <c r="BU160" s="244"/>
      <c r="BV160" s="244"/>
      <c r="BW160" s="197"/>
    </row>
    <row r="161" spans="1:75" s="198" customFormat="1" ht="14.25" hidden="1" outlineLevel="3" x14ac:dyDescent="0.45">
      <c r="A161" s="292" t="s">
        <v>326</v>
      </c>
      <c r="B161" s="243"/>
      <c r="C161" s="293"/>
      <c r="D161" s="293"/>
      <c r="E161" s="293"/>
      <c r="F161" s="293"/>
      <c r="G161" s="294"/>
      <c r="H161" s="294"/>
      <c r="I161" s="294"/>
      <c r="J161" s="294"/>
      <c r="K161" s="293"/>
      <c r="L161" s="294">
        <v>454.8</v>
      </c>
      <c r="M161" s="294">
        <v>449.2</v>
      </c>
      <c r="N161" s="294">
        <v>451</v>
      </c>
      <c r="O161" s="294">
        <v>451</v>
      </c>
      <c r="P161" s="293">
        <v>454.8</v>
      </c>
      <c r="Q161" s="294">
        <v>436.7</v>
      </c>
      <c r="R161" s="294">
        <v>434.9</v>
      </c>
      <c r="S161" s="294">
        <v>434.9</v>
      </c>
      <c r="T161" s="294">
        <v>412.9</v>
      </c>
      <c r="U161" s="293">
        <v>436.7</v>
      </c>
      <c r="V161" s="294">
        <v>407.50000000000006</v>
      </c>
      <c r="W161" s="294">
        <v>407.50000000000006</v>
      </c>
      <c r="X161" s="294">
        <v>407.50000000000006</v>
      </c>
      <c r="Y161" s="295">
        <v>391.40000000000003</v>
      </c>
      <c r="Z161" s="293">
        <v>407.5</v>
      </c>
      <c r="AA161" s="295">
        <v>383.60000000000008</v>
      </c>
      <c r="AB161" s="295">
        <v>383.60000000000008</v>
      </c>
      <c r="AC161" s="294">
        <v>383.60000000000008</v>
      </c>
      <c r="AD161" s="295">
        <v>369.00000000000006</v>
      </c>
      <c r="AE161" s="293">
        <v>383.6</v>
      </c>
      <c r="AF161" s="295">
        <v>361.9</v>
      </c>
      <c r="AG161" s="295">
        <v>357.2</v>
      </c>
      <c r="AH161" s="294">
        <v>344.5</v>
      </c>
      <c r="AI161" s="295">
        <v>323.10000000000002</v>
      </c>
      <c r="AJ161" s="293">
        <v>361.90000000000003</v>
      </c>
      <c r="AK161" s="295">
        <v>323.10000000000002</v>
      </c>
      <c r="AL161" s="295">
        <v>320.5</v>
      </c>
      <c r="AM161" s="294">
        <v>316.7</v>
      </c>
      <c r="AN161" s="295">
        <v>303.39999999999998</v>
      </c>
      <c r="AO161" s="293">
        <v>323.10000000000002</v>
      </c>
      <c r="AP161" s="295">
        <v>292</v>
      </c>
      <c r="AQ161" s="295">
        <v>296.39999999999998</v>
      </c>
      <c r="AR161" s="296">
        <v>275.89999999999998</v>
      </c>
      <c r="AS161" s="295">
        <v>275.89999999999998</v>
      </c>
      <c r="AT161" s="293">
        <v>292</v>
      </c>
      <c r="AU161" s="295">
        <v>277.39999999999998</v>
      </c>
      <c r="AV161" s="295">
        <v>277.39999999999998</v>
      </c>
      <c r="AW161" s="296">
        <v>269</v>
      </c>
      <c r="AX161" s="295">
        <v>267.5</v>
      </c>
      <c r="AY161" s="293">
        <v>277.39999999999998</v>
      </c>
      <c r="AZ161" s="295">
        <v>270</v>
      </c>
      <c r="BA161" s="295">
        <v>270</v>
      </c>
      <c r="BB161" s="296">
        <v>265.2</v>
      </c>
      <c r="BC161" s="295">
        <v>265.2</v>
      </c>
      <c r="BD161" s="293">
        <v>270</v>
      </c>
      <c r="BE161" s="295">
        <v>259</v>
      </c>
      <c r="BF161" s="295">
        <v>264.7</v>
      </c>
      <c r="BG161" s="296">
        <v>266.2</v>
      </c>
      <c r="BH161" s="295">
        <v>266.2</v>
      </c>
      <c r="BI161" s="297">
        <v>259</v>
      </c>
      <c r="BJ161" s="295">
        <v>259</v>
      </c>
      <c r="BK161" s="295">
        <v>259</v>
      </c>
      <c r="BL161" s="295">
        <v>259</v>
      </c>
      <c r="BM161" s="295">
        <v>259</v>
      </c>
      <c r="BN161" s="293">
        <v>259</v>
      </c>
      <c r="BO161" s="295">
        <v>259</v>
      </c>
      <c r="BP161" s="295">
        <v>259</v>
      </c>
      <c r="BQ161" s="295">
        <v>259</v>
      </c>
      <c r="BR161" s="295">
        <v>259</v>
      </c>
      <c r="BS161" s="293">
        <v>259</v>
      </c>
      <c r="BT161" s="293">
        <v>259</v>
      </c>
      <c r="BU161" s="293">
        <v>259</v>
      </c>
      <c r="BV161" s="293">
        <v>259</v>
      </c>
      <c r="BW161" s="197"/>
    </row>
    <row r="162" spans="1:75" s="123" customFormat="1" hidden="1" outlineLevel="4" x14ac:dyDescent="0.5">
      <c r="A162" s="298" t="s">
        <v>327</v>
      </c>
      <c r="B162" s="251"/>
      <c r="C162" s="299"/>
      <c r="D162" s="299"/>
      <c r="E162" s="299"/>
      <c r="F162" s="299"/>
      <c r="G162" s="300"/>
      <c r="H162" s="300"/>
      <c r="I162" s="300"/>
      <c r="J162" s="300"/>
      <c r="K162" s="299"/>
      <c r="L162" s="300"/>
      <c r="M162" s="300"/>
      <c r="N162" s="300"/>
      <c r="O162" s="300">
        <v>0</v>
      </c>
      <c r="P162" s="299"/>
      <c r="Q162" s="300"/>
      <c r="R162" s="300"/>
      <c r="S162" s="300"/>
      <c r="T162" s="300">
        <v>0</v>
      </c>
      <c r="U162" s="299"/>
      <c r="V162" s="300"/>
      <c r="W162" s="300"/>
      <c r="X162" s="300"/>
      <c r="Y162" s="119">
        <v>0</v>
      </c>
      <c r="Z162" s="299"/>
      <c r="AA162" s="119"/>
      <c r="AB162" s="119"/>
      <c r="AC162" s="300"/>
      <c r="AD162" s="119">
        <v>0</v>
      </c>
      <c r="AE162" s="299"/>
      <c r="AF162" s="119"/>
      <c r="AG162" s="119"/>
      <c r="AH162" s="300"/>
      <c r="AI162" s="119">
        <v>0</v>
      </c>
      <c r="AJ162" s="299"/>
      <c r="AK162" s="119"/>
      <c r="AL162" s="119"/>
      <c r="AM162" s="300"/>
      <c r="AN162" s="119">
        <v>0</v>
      </c>
      <c r="AO162" s="299"/>
      <c r="AP162" s="119"/>
      <c r="AQ162" s="119"/>
      <c r="AR162" s="301"/>
      <c r="AS162" s="119">
        <v>0</v>
      </c>
      <c r="AT162" s="299"/>
      <c r="AU162" s="119"/>
      <c r="AV162" s="119"/>
      <c r="AW162" s="301"/>
      <c r="AX162" s="119">
        <v>0</v>
      </c>
      <c r="AY162" s="299"/>
      <c r="AZ162" s="119"/>
      <c r="BA162" s="119"/>
      <c r="BB162" s="301"/>
      <c r="BC162" s="119">
        <v>0</v>
      </c>
      <c r="BD162" s="299"/>
      <c r="BE162" s="302">
        <v>5.7</v>
      </c>
      <c r="BF162" s="119"/>
      <c r="BG162" s="301"/>
      <c r="BH162" s="119"/>
      <c r="BI162" s="304">
        <v>5.7</v>
      </c>
      <c r="BJ162" s="119"/>
      <c r="BK162" s="119"/>
      <c r="BL162" s="119"/>
      <c r="BM162" s="119"/>
      <c r="BN162" s="299"/>
      <c r="BO162" s="119"/>
      <c r="BP162" s="119"/>
      <c r="BQ162" s="119"/>
      <c r="BR162" s="119"/>
      <c r="BS162" s="299"/>
      <c r="BT162" s="299"/>
      <c r="BU162" s="299"/>
      <c r="BV162" s="299"/>
      <c r="BW162" s="122"/>
    </row>
    <row r="163" spans="1:75" s="123" customFormat="1" hidden="1" outlineLevel="4" x14ac:dyDescent="0.5">
      <c r="A163" s="298" t="s">
        <v>328</v>
      </c>
      <c r="B163" s="251"/>
      <c r="C163" s="299"/>
      <c r="D163" s="299"/>
      <c r="E163" s="299"/>
      <c r="F163" s="299"/>
      <c r="G163" s="300"/>
      <c r="H163" s="300"/>
      <c r="I163" s="300"/>
      <c r="J163" s="300"/>
      <c r="K163" s="299"/>
      <c r="L163" s="300"/>
      <c r="M163" s="300"/>
      <c r="N163" s="300"/>
      <c r="O163" s="300">
        <v>0</v>
      </c>
      <c r="P163" s="299"/>
      <c r="Q163" s="300"/>
      <c r="R163" s="300"/>
      <c r="S163" s="300"/>
      <c r="T163" s="300">
        <v>0</v>
      </c>
      <c r="U163" s="299"/>
      <c r="V163" s="300"/>
      <c r="W163" s="300"/>
      <c r="X163" s="300"/>
      <c r="Y163" s="119">
        <v>0</v>
      </c>
      <c r="Z163" s="299"/>
      <c r="AA163" s="119"/>
      <c r="AB163" s="119"/>
      <c r="AC163" s="300"/>
      <c r="AD163" s="119">
        <v>0</v>
      </c>
      <c r="AE163" s="299"/>
      <c r="AF163" s="119"/>
      <c r="AG163" s="119"/>
      <c r="AH163" s="300"/>
      <c r="AI163" s="119">
        <v>0</v>
      </c>
      <c r="AJ163" s="299"/>
      <c r="AK163" s="119"/>
      <c r="AL163" s="119"/>
      <c r="AM163" s="300"/>
      <c r="AN163" s="119">
        <v>0</v>
      </c>
      <c r="AO163" s="299"/>
      <c r="AP163" s="302">
        <v>4.4000000000000004</v>
      </c>
      <c r="AQ163" s="119"/>
      <c r="AR163" s="301"/>
      <c r="AS163" s="119">
        <v>0</v>
      </c>
      <c r="AT163" s="305">
        <v>4.4000000000000004</v>
      </c>
      <c r="AU163" s="119"/>
      <c r="AV163" s="119"/>
      <c r="AW163" s="301"/>
      <c r="AX163" s="119">
        <v>0</v>
      </c>
      <c r="AY163" s="299"/>
      <c r="AZ163" s="119"/>
      <c r="BA163" s="119"/>
      <c r="BB163" s="301"/>
      <c r="BC163" s="119">
        <v>0</v>
      </c>
      <c r="BD163" s="299"/>
      <c r="BE163" s="119"/>
      <c r="BF163" s="119"/>
      <c r="BG163" s="301"/>
      <c r="BH163" s="119">
        <v>0</v>
      </c>
      <c r="BI163" s="304"/>
      <c r="BJ163" s="119"/>
      <c r="BK163" s="119"/>
      <c r="BL163" s="119"/>
      <c r="BM163" s="119"/>
      <c r="BN163" s="299"/>
      <c r="BO163" s="119"/>
      <c r="BP163" s="119"/>
      <c r="BQ163" s="119"/>
      <c r="BR163" s="119"/>
      <c r="BS163" s="299"/>
      <c r="BT163" s="299"/>
      <c r="BU163" s="299"/>
      <c r="BV163" s="299"/>
      <c r="BW163" s="122"/>
    </row>
    <row r="164" spans="1:75" s="123" customFormat="1" hidden="1" outlineLevel="4" x14ac:dyDescent="0.5">
      <c r="A164" s="298" t="s">
        <v>329</v>
      </c>
      <c r="B164" s="251"/>
      <c r="C164" s="299"/>
      <c r="D164" s="299"/>
      <c r="E164" s="299"/>
      <c r="F164" s="299"/>
      <c r="G164" s="300"/>
      <c r="H164" s="300"/>
      <c r="I164" s="300"/>
      <c r="J164" s="300"/>
      <c r="K164" s="299"/>
      <c r="L164" s="300"/>
      <c r="M164" s="300"/>
      <c r="N164" s="300"/>
      <c r="O164" s="300">
        <v>0</v>
      </c>
      <c r="P164" s="299"/>
      <c r="Q164" s="300"/>
      <c r="R164" s="300"/>
      <c r="S164" s="300"/>
      <c r="T164" s="300">
        <v>0</v>
      </c>
      <c r="U164" s="299"/>
      <c r="V164" s="300"/>
      <c r="W164" s="300"/>
      <c r="X164" s="300"/>
      <c r="Y164" s="119">
        <v>6</v>
      </c>
      <c r="Z164" s="305">
        <v>6</v>
      </c>
      <c r="AA164" s="119"/>
      <c r="AB164" s="119"/>
      <c r="AC164" s="300"/>
      <c r="AD164" s="119">
        <v>0</v>
      </c>
      <c r="AE164" s="299"/>
      <c r="AF164" s="119"/>
      <c r="AG164" s="119"/>
      <c r="AH164" s="300"/>
      <c r="AI164" s="119">
        <v>0</v>
      </c>
      <c r="AJ164" s="299"/>
      <c r="AK164" s="119"/>
      <c r="AL164" s="119"/>
      <c r="AM164" s="300"/>
      <c r="AN164" s="119">
        <v>0</v>
      </c>
      <c r="AO164" s="299"/>
      <c r="AP164" s="119"/>
      <c r="AQ164" s="119"/>
      <c r="AR164" s="301"/>
      <c r="AS164" s="119">
        <v>0</v>
      </c>
      <c r="AT164" s="299"/>
      <c r="AU164" s="119"/>
      <c r="AV164" s="119"/>
      <c r="AW164" s="301"/>
      <c r="AX164" s="119">
        <v>0</v>
      </c>
      <c r="AY164" s="299"/>
      <c r="AZ164" s="119"/>
      <c r="BA164" s="119"/>
      <c r="BB164" s="301"/>
      <c r="BC164" s="119">
        <v>0</v>
      </c>
      <c r="BD164" s="299"/>
      <c r="BE164" s="119"/>
      <c r="BF164" s="119"/>
      <c r="BG164" s="301"/>
      <c r="BH164" s="119">
        <v>0</v>
      </c>
      <c r="BI164" s="304"/>
      <c r="BJ164" s="119"/>
      <c r="BK164" s="119"/>
      <c r="BL164" s="119"/>
      <c r="BM164" s="119"/>
      <c r="BN164" s="299"/>
      <c r="BO164" s="119"/>
      <c r="BP164" s="119"/>
      <c r="BQ164" s="119"/>
      <c r="BR164" s="119"/>
      <c r="BS164" s="299"/>
      <c r="BT164" s="299"/>
      <c r="BU164" s="299"/>
      <c r="BV164" s="299"/>
      <c r="BW164" s="122"/>
    </row>
    <row r="165" spans="1:75" s="123" customFormat="1" hidden="1" outlineLevel="4" x14ac:dyDescent="0.5">
      <c r="A165" s="298" t="s">
        <v>330</v>
      </c>
      <c r="B165" s="251"/>
      <c r="C165" s="299"/>
      <c r="D165" s="299"/>
      <c r="E165" s="299"/>
      <c r="F165" s="299"/>
      <c r="G165" s="300"/>
      <c r="H165" s="300"/>
      <c r="I165" s="300"/>
      <c r="J165" s="300"/>
      <c r="K165" s="299"/>
      <c r="L165" s="300"/>
      <c r="M165" s="300"/>
      <c r="N165" s="300"/>
      <c r="O165" s="300">
        <v>0</v>
      </c>
      <c r="P165" s="299"/>
      <c r="Q165" s="307">
        <v>4.3</v>
      </c>
      <c r="R165" s="300"/>
      <c r="S165" s="300"/>
      <c r="T165" s="300">
        <v>0</v>
      </c>
      <c r="U165" s="305">
        <v>4.3</v>
      </c>
      <c r="V165" s="300"/>
      <c r="W165" s="300"/>
      <c r="X165" s="300"/>
      <c r="Y165" s="119">
        <v>0</v>
      </c>
      <c r="Z165" s="299"/>
      <c r="AA165" s="119"/>
      <c r="AB165" s="119"/>
      <c r="AC165" s="300"/>
      <c r="AD165" s="119">
        <v>0</v>
      </c>
      <c r="AE165" s="299"/>
      <c r="AF165" s="119"/>
      <c r="AG165" s="119"/>
      <c r="AH165" s="300"/>
      <c r="AI165" s="119">
        <v>0</v>
      </c>
      <c r="AJ165" s="299"/>
      <c r="AK165" s="119"/>
      <c r="AL165" s="119"/>
      <c r="AM165" s="300"/>
      <c r="AN165" s="119">
        <v>0</v>
      </c>
      <c r="AO165" s="299"/>
      <c r="AP165" s="119"/>
      <c r="AQ165" s="119"/>
      <c r="AR165" s="301"/>
      <c r="AS165" s="119">
        <v>0</v>
      </c>
      <c r="AT165" s="299"/>
      <c r="AU165" s="119"/>
      <c r="AV165" s="119"/>
      <c r="AW165" s="301"/>
      <c r="AX165" s="119">
        <v>0</v>
      </c>
      <c r="AY165" s="299"/>
      <c r="AZ165" s="119"/>
      <c r="BA165" s="119"/>
      <c r="BB165" s="301"/>
      <c r="BC165" s="119">
        <v>0</v>
      </c>
      <c r="BD165" s="299"/>
      <c r="BE165" s="119"/>
      <c r="BF165" s="119"/>
      <c r="BG165" s="301"/>
      <c r="BH165" s="119">
        <v>0</v>
      </c>
      <c r="BI165" s="304"/>
      <c r="BJ165" s="119"/>
      <c r="BK165" s="119"/>
      <c r="BL165" s="119"/>
      <c r="BM165" s="119"/>
      <c r="BN165" s="299"/>
      <c r="BO165" s="119"/>
      <c r="BP165" s="119"/>
      <c r="BQ165" s="119"/>
      <c r="BR165" s="119"/>
      <c r="BS165" s="299"/>
      <c r="BT165" s="299"/>
      <c r="BU165" s="299"/>
      <c r="BV165" s="299"/>
      <c r="BW165" s="122"/>
    </row>
    <row r="166" spans="1:75" s="123" customFormat="1" hidden="1" outlineLevel="4" x14ac:dyDescent="0.5">
      <c r="A166" s="308" t="s">
        <v>331</v>
      </c>
      <c r="B166" s="274"/>
      <c r="C166" s="309"/>
      <c r="D166" s="309"/>
      <c r="E166" s="309"/>
      <c r="F166" s="309"/>
      <c r="G166" s="310"/>
      <c r="H166" s="310"/>
      <c r="I166" s="310"/>
      <c r="J166" s="310"/>
      <c r="K166" s="309"/>
      <c r="L166" s="310"/>
      <c r="M166" s="310"/>
      <c r="N166" s="310"/>
      <c r="O166" s="310">
        <v>0</v>
      </c>
      <c r="P166" s="309"/>
      <c r="Q166" s="310"/>
      <c r="R166" s="310"/>
      <c r="S166" s="310"/>
      <c r="T166" s="310">
        <v>5.7</v>
      </c>
      <c r="U166" s="311">
        <v>5.7</v>
      </c>
      <c r="V166" s="310"/>
      <c r="W166" s="310"/>
      <c r="X166" s="310"/>
      <c r="Y166" s="312">
        <v>0</v>
      </c>
      <c r="Z166" s="309"/>
      <c r="AA166" s="312"/>
      <c r="AB166" s="312"/>
      <c r="AC166" s="310"/>
      <c r="AD166" s="312">
        <v>0</v>
      </c>
      <c r="AE166" s="309"/>
      <c r="AF166" s="312"/>
      <c r="AG166" s="312"/>
      <c r="AH166" s="310"/>
      <c r="AI166" s="312">
        <v>0</v>
      </c>
      <c r="AJ166" s="309"/>
      <c r="AK166" s="312"/>
      <c r="AL166" s="312"/>
      <c r="AM166" s="310"/>
      <c r="AN166" s="312">
        <v>0</v>
      </c>
      <c r="AO166" s="309"/>
      <c r="AP166" s="312"/>
      <c r="AQ166" s="312"/>
      <c r="AR166" s="313"/>
      <c r="AS166" s="312">
        <v>0</v>
      </c>
      <c r="AT166" s="309"/>
      <c r="AU166" s="312"/>
      <c r="AV166" s="312"/>
      <c r="AW166" s="313"/>
      <c r="AX166" s="312">
        <v>0</v>
      </c>
      <c r="AY166" s="309"/>
      <c r="AZ166" s="312"/>
      <c r="BA166" s="312"/>
      <c r="BB166" s="313"/>
      <c r="BC166" s="312">
        <v>0</v>
      </c>
      <c r="BD166" s="309"/>
      <c r="BE166" s="312"/>
      <c r="BF166" s="312"/>
      <c r="BG166" s="313"/>
      <c r="BH166" s="312">
        <v>0</v>
      </c>
      <c r="BI166" s="314"/>
      <c r="BJ166" s="312"/>
      <c r="BK166" s="312"/>
      <c r="BL166" s="312"/>
      <c r="BM166" s="312"/>
      <c r="BN166" s="309"/>
      <c r="BO166" s="312"/>
      <c r="BP166" s="312"/>
      <c r="BQ166" s="312"/>
      <c r="BR166" s="312"/>
      <c r="BS166" s="309"/>
      <c r="BT166" s="309"/>
      <c r="BU166" s="309"/>
      <c r="BV166" s="309"/>
      <c r="BW166" s="122"/>
    </row>
    <row r="167" spans="1:75" s="123" customFormat="1" hidden="1" outlineLevel="3" x14ac:dyDescent="0.5">
      <c r="A167" s="315" t="s">
        <v>332</v>
      </c>
      <c r="B167" s="251"/>
      <c r="C167" s="299"/>
      <c r="D167" s="299"/>
      <c r="E167" s="299"/>
      <c r="F167" s="299"/>
      <c r="G167" s="300"/>
      <c r="H167" s="300"/>
      <c r="I167" s="300"/>
      <c r="J167" s="300"/>
      <c r="K167" s="299"/>
      <c r="L167" s="300">
        <v>0</v>
      </c>
      <c r="M167" s="300">
        <v>0</v>
      </c>
      <c r="N167" s="300">
        <v>0</v>
      </c>
      <c r="O167" s="300">
        <v>0</v>
      </c>
      <c r="P167" s="299">
        <v>0</v>
      </c>
      <c r="Q167" s="300">
        <v>4.3</v>
      </c>
      <c r="R167" s="300">
        <v>0</v>
      </c>
      <c r="S167" s="300">
        <v>0</v>
      </c>
      <c r="T167" s="300">
        <v>5.7</v>
      </c>
      <c r="U167" s="299">
        <v>10</v>
      </c>
      <c r="V167" s="300">
        <v>0</v>
      </c>
      <c r="W167" s="300">
        <v>0</v>
      </c>
      <c r="X167" s="300">
        <v>0</v>
      </c>
      <c r="Y167" s="119">
        <v>6</v>
      </c>
      <c r="Z167" s="299">
        <v>6</v>
      </c>
      <c r="AA167" s="119">
        <v>0</v>
      </c>
      <c r="AB167" s="119">
        <v>0</v>
      </c>
      <c r="AC167" s="300">
        <v>0</v>
      </c>
      <c r="AD167" s="119">
        <v>0</v>
      </c>
      <c r="AE167" s="299">
        <v>0</v>
      </c>
      <c r="AF167" s="119">
        <v>0</v>
      </c>
      <c r="AG167" s="119">
        <v>0</v>
      </c>
      <c r="AH167" s="300">
        <v>0</v>
      </c>
      <c r="AI167" s="119">
        <v>0</v>
      </c>
      <c r="AJ167" s="299">
        <v>0</v>
      </c>
      <c r="AK167" s="119">
        <v>0</v>
      </c>
      <c r="AL167" s="119">
        <v>0</v>
      </c>
      <c r="AM167" s="300">
        <v>0</v>
      </c>
      <c r="AN167" s="119">
        <v>0</v>
      </c>
      <c r="AO167" s="299">
        <v>0</v>
      </c>
      <c r="AP167" s="119">
        <v>4.4000000000000004</v>
      </c>
      <c r="AQ167" s="119">
        <v>0</v>
      </c>
      <c r="AR167" s="301">
        <v>0</v>
      </c>
      <c r="AS167" s="119">
        <v>0</v>
      </c>
      <c r="AT167" s="299">
        <v>4.4000000000000004</v>
      </c>
      <c r="AU167" s="119">
        <v>0</v>
      </c>
      <c r="AV167" s="119">
        <v>0</v>
      </c>
      <c r="AW167" s="301">
        <v>0</v>
      </c>
      <c r="AX167" s="119">
        <v>0</v>
      </c>
      <c r="AY167" s="299">
        <v>0</v>
      </c>
      <c r="AZ167" s="119">
        <v>0</v>
      </c>
      <c r="BA167" s="119">
        <v>0</v>
      </c>
      <c r="BB167" s="301">
        <v>0</v>
      </c>
      <c r="BC167" s="119">
        <v>0</v>
      </c>
      <c r="BD167" s="299">
        <v>0</v>
      </c>
      <c r="BE167" s="119">
        <v>5.7</v>
      </c>
      <c r="BF167" s="119">
        <v>0</v>
      </c>
      <c r="BG167" s="301">
        <v>0</v>
      </c>
      <c r="BH167" s="119">
        <v>0</v>
      </c>
      <c r="BI167" s="304">
        <v>5.7</v>
      </c>
      <c r="BJ167" s="119">
        <v>0</v>
      </c>
      <c r="BK167" s="119">
        <v>0</v>
      </c>
      <c r="BL167" s="119">
        <v>0</v>
      </c>
      <c r="BM167" s="119">
        <v>0</v>
      </c>
      <c r="BN167" s="299">
        <v>0</v>
      </c>
      <c r="BO167" s="119">
        <v>0</v>
      </c>
      <c r="BP167" s="119">
        <v>0</v>
      </c>
      <c r="BQ167" s="119">
        <v>0</v>
      </c>
      <c r="BR167" s="119">
        <v>0</v>
      </c>
      <c r="BS167" s="299">
        <v>0</v>
      </c>
      <c r="BT167" s="299">
        <v>0</v>
      </c>
      <c r="BU167" s="299">
        <v>0</v>
      </c>
      <c r="BV167" s="299">
        <v>0</v>
      </c>
      <c r="BW167" s="122"/>
    </row>
    <row r="168" spans="1:75" s="123" customFormat="1" hidden="1" outlineLevel="4" x14ac:dyDescent="0.5">
      <c r="A168" s="298" t="s">
        <v>333</v>
      </c>
      <c r="B168" s="251"/>
      <c r="C168" s="299"/>
      <c r="D168" s="299"/>
      <c r="E168" s="299"/>
      <c r="F168" s="299"/>
      <c r="G168" s="300"/>
      <c r="H168" s="300"/>
      <c r="I168" s="300"/>
      <c r="J168" s="300"/>
      <c r="K168" s="299"/>
      <c r="L168" s="300"/>
      <c r="M168" s="300"/>
      <c r="N168" s="300"/>
      <c r="O168" s="300">
        <v>0</v>
      </c>
      <c r="P168" s="299"/>
      <c r="Q168" s="300"/>
      <c r="R168" s="300"/>
      <c r="S168" s="300"/>
      <c r="T168" s="300">
        <v>0</v>
      </c>
      <c r="U168" s="299"/>
      <c r="V168" s="300"/>
      <c r="W168" s="300"/>
      <c r="X168" s="300"/>
      <c r="Y168" s="119">
        <v>0</v>
      </c>
      <c r="Z168" s="299"/>
      <c r="AA168" s="119"/>
      <c r="AB168" s="119"/>
      <c r="AC168" s="300"/>
      <c r="AD168" s="119">
        <v>0</v>
      </c>
      <c r="AE168" s="299"/>
      <c r="AF168" s="119"/>
      <c r="AG168" s="119"/>
      <c r="AH168" s="300"/>
      <c r="AI168" s="119">
        <v>0</v>
      </c>
      <c r="AJ168" s="299"/>
      <c r="AK168" s="119"/>
      <c r="AL168" s="119"/>
      <c r="AM168" s="300"/>
      <c r="AN168" s="119">
        <v>0</v>
      </c>
      <c r="AO168" s="299"/>
      <c r="AP168" s="119"/>
      <c r="AQ168" s="119"/>
      <c r="AR168" s="301"/>
      <c r="AS168" s="119">
        <v>0</v>
      </c>
      <c r="AT168" s="299"/>
      <c r="AU168" s="119"/>
      <c r="AV168" s="119"/>
      <c r="AW168" s="301"/>
      <c r="AX168" s="119">
        <v>0</v>
      </c>
      <c r="AY168" s="299"/>
      <c r="AZ168" s="119"/>
      <c r="BA168" s="119"/>
      <c r="BB168" s="301"/>
      <c r="BC168" s="119">
        <v>0</v>
      </c>
      <c r="BD168" s="299"/>
      <c r="BE168" s="119"/>
      <c r="BF168" s="119"/>
      <c r="BG168" s="301"/>
      <c r="BH168" s="119">
        <v>-5.7</v>
      </c>
      <c r="BI168" s="304">
        <v>-5.7</v>
      </c>
      <c r="BJ168" s="119"/>
      <c r="BK168" s="119"/>
      <c r="BL168" s="119"/>
      <c r="BM168" s="119"/>
      <c r="BN168" s="299"/>
      <c r="BO168" s="119"/>
      <c r="BP168" s="119"/>
      <c r="BQ168" s="119"/>
      <c r="BR168" s="119"/>
      <c r="BS168" s="299"/>
      <c r="BT168" s="299"/>
      <c r="BU168" s="299"/>
      <c r="BV168" s="299"/>
      <c r="BW168" s="122"/>
    </row>
    <row r="169" spans="1:75" s="123" customFormat="1" hidden="1" outlineLevel="4" x14ac:dyDescent="0.5">
      <c r="A169" s="298" t="s">
        <v>334</v>
      </c>
      <c r="B169" s="251"/>
      <c r="C169" s="299"/>
      <c r="D169" s="299"/>
      <c r="E169" s="299"/>
      <c r="F169" s="299"/>
      <c r="G169" s="300"/>
      <c r="H169" s="300"/>
      <c r="I169" s="300"/>
      <c r="J169" s="300"/>
      <c r="K169" s="299"/>
      <c r="L169" s="300"/>
      <c r="M169" s="300"/>
      <c r="N169" s="300"/>
      <c r="O169" s="300">
        <v>0</v>
      </c>
      <c r="P169" s="299"/>
      <c r="Q169" s="300"/>
      <c r="R169" s="300"/>
      <c r="S169" s="300"/>
      <c r="T169" s="300">
        <v>0</v>
      </c>
      <c r="U169" s="299"/>
      <c r="V169" s="300"/>
      <c r="W169" s="300"/>
      <c r="X169" s="300"/>
      <c r="Y169" s="119">
        <v>0</v>
      </c>
      <c r="Z169" s="299"/>
      <c r="AA169" s="119"/>
      <c r="AB169" s="119"/>
      <c r="AC169" s="300"/>
      <c r="AD169" s="119">
        <v>0</v>
      </c>
      <c r="AE169" s="299"/>
      <c r="AF169" s="119"/>
      <c r="AG169" s="119"/>
      <c r="AH169" s="300"/>
      <c r="AI169" s="119">
        <v>0</v>
      </c>
      <c r="AJ169" s="299"/>
      <c r="AK169" s="119"/>
      <c r="AL169" s="119"/>
      <c r="AM169" s="300"/>
      <c r="AN169" s="119">
        <v>0</v>
      </c>
      <c r="AO169" s="299"/>
      <c r="AP169" s="119"/>
      <c r="AQ169" s="119"/>
      <c r="AR169" s="301"/>
      <c r="AS169" s="119">
        <v>0</v>
      </c>
      <c r="AT169" s="299"/>
      <c r="AU169" s="119"/>
      <c r="AV169" s="119"/>
      <c r="AW169" s="301"/>
      <c r="AX169" s="119">
        <v>0</v>
      </c>
      <c r="AY169" s="299"/>
      <c r="AZ169" s="119"/>
      <c r="BA169" s="302">
        <v>-4.8</v>
      </c>
      <c r="BB169" s="301"/>
      <c r="BC169" s="119">
        <v>0</v>
      </c>
      <c r="BD169" s="305">
        <v>-4.8</v>
      </c>
      <c r="BE169" s="119"/>
      <c r="BF169" s="119"/>
      <c r="BG169" s="301"/>
      <c r="BH169" s="119">
        <v>0</v>
      </c>
      <c r="BI169" s="304"/>
      <c r="BJ169" s="119"/>
      <c r="BK169" s="119"/>
      <c r="BL169" s="119"/>
      <c r="BM169" s="119"/>
      <c r="BN169" s="299"/>
      <c r="BO169" s="119"/>
      <c r="BP169" s="119"/>
      <c r="BQ169" s="119"/>
      <c r="BR169" s="119"/>
      <c r="BS169" s="299"/>
      <c r="BT169" s="299"/>
      <c r="BU169" s="299"/>
      <c r="BV169" s="299"/>
      <c r="BW169" s="122"/>
    </row>
    <row r="170" spans="1:75" s="123" customFormat="1" hidden="1" outlineLevel="4" x14ac:dyDescent="0.5">
      <c r="A170" s="298" t="s">
        <v>335</v>
      </c>
      <c r="B170" s="251"/>
      <c r="C170" s="299"/>
      <c r="D170" s="299"/>
      <c r="E170" s="299"/>
      <c r="F170" s="299"/>
      <c r="G170" s="300"/>
      <c r="H170" s="300"/>
      <c r="I170" s="300"/>
      <c r="J170" s="300"/>
      <c r="K170" s="299"/>
      <c r="L170" s="300"/>
      <c r="M170" s="300"/>
      <c r="N170" s="300"/>
      <c r="O170" s="300">
        <v>0</v>
      </c>
      <c r="P170" s="299"/>
      <c r="Q170" s="300"/>
      <c r="R170" s="300"/>
      <c r="S170" s="300"/>
      <c r="T170" s="300">
        <v>0</v>
      </c>
      <c r="U170" s="299"/>
      <c r="V170" s="300"/>
      <c r="W170" s="300"/>
      <c r="X170" s="300"/>
      <c r="Y170" s="119">
        <v>0</v>
      </c>
      <c r="Z170" s="299"/>
      <c r="AA170" s="119"/>
      <c r="AB170" s="119"/>
      <c r="AC170" s="300"/>
      <c r="AD170" s="119">
        <v>0</v>
      </c>
      <c r="AE170" s="299"/>
      <c r="AF170" s="119"/>
      <c r="AG170" s="119"/>
      <c r="AH170" s="300"/>
      <c r="AI170" s="119">
        <v>0</v>
      </c>
      <c r="AJ170" s="299"/>
      <c r="AK170" s="119"/>
      <c r="AL170" s="119"/>
      <c r="AM170" s="300"/>
      <c r="AN170" s="119">
        <v>0</v>
      </c>
      <c r="AO170" s="299"/>
      <c r="AP170" s="119"/>
      <c r="AQ170" s="119"/>
      <c r="AR170" s="301"/>
      <c r="AS170" s="119">
        <v>0</v>
      </c>
      <c r="AT170" s="299"/>
      <c r="AU170" s="119"/>
      <c r="AV170" s="302">
        <v>-8.4</v>
      </c>
      <c r="AW170" s="301"/>
      <c r="AX170" s="119">
        <v>0</v>
      </c>
      <c r="AY170" s="305">
        <v>-8.4</v>
      </c>
      <c r="AZ170" s="119"/>
      <c r="BA170" s="119"/>
      <c r="BB170" s="301"/>
      <c r="BC170" s="119">
        <v>0</v>
      </c>
      <c r="BD170" s="299"/>
      <c r="BE170" s="119"/>
      <c r="BF170" s="119"/>
      <c r="BG170" s="301"/>
      <c r="BH170" s="119">
        <v>0</v>
      </c>
      <c r="BI170" s="304"/>
      <c r="BJ170" s="119"/>
      <c r="BK170" s="119"/>
      <c r="BL170" s="119"/>
      <c r="BM170" s="119"/>
      <c r="BN170" s="299"/>
      <c r="BO170" s="119"/>
      <c r="BP170" s="119"/>
      <c r="BQ170" s="119"/>
      <c r="BR170" s="119"/>
      <c r="BS170" s="299"/>
      <c r="BT170" s="299"/>
      <c r="BU170" s="299"/>
      <c r="BV170" s="299"/>
      <c r="BW170" s="122"/>
    </row>
    <row r="171" spans="1:75" s="123" customFormat="1" hidden="1" outlineLevel="4" x14ac:dyDescent="0.5">
      <c r="A171" s="298" t="s">
        <v>336</v>
      </c>
      <c r="B171" s="251"/>
      <c r="C171" s="299"/>
      <c r="D171" s="299"/>
      <c r="E171" s="299"/>
      <c r="F171" s="299"/>
      <c r="G171" s="300"/>
      <c r="H171" s="300"/>
      <c r="I171" s="300"/>
      <c r="J171" s="300"/>
      <c r="K171" s="299"/>
      <c r="L171" s="300"/>
      <c r="M171" s="300"/>
      <c r="N171" s="300"/>
      <c r="O171" s="300">
        <v>0</v>
      </c>
      <c r="P171" s="299"/>
      <c r="Q171" s="300"/>
      <c r="R171" s="300"/>
      <c r="S171" s="300"/>
      <c r="T171" s="300">
        <v>0</v>
      </c>
      <c r="U171" s="299"/>
      <c r="V171" s="300"/>
      <c r="W171" s="300"/>
      <c r="X171" s="300"/>
      <c r="Y171" s="119">
        <v>0</v>
      </c>
      <c r="Z171" s="299"/>
      <c r="AA171" s="119"/>
      <c r="AB171" s="119"/>
      <c r="AC171" s="300"/>
      <c r="AD171" s="119">
        <v>0</v>
      </c>
      <c r="AE171" s="299"/>
      <c r="AF171" s="119"/>
      <c r="AG171" s="119"/>
      <c r="AH171" s="300"/>
      <c r="AI171" s="119">
        <v>0</v>
      </c>
      <c r="AJ171" s="299"/>
      <c r="AK171" s="119"/>
      <c r="AL171" s="119"/>
      <c r="AM171" s="300"/>
      <c r="AN171" s="119">
        <v>0</v>
      </c>
      <c r="AO171" s="299"/>
      <c r="AP171" s="119"/>
      <c r="AQ171" s="119"/>
      <c r="AR171" s="301"/>
      <c r="AS171" s="119">
        <v>0</v>
      </c>
      <c r="AT171" s="299"/>
      <c r="AU171" s="119"/>
      <c r="AV171" s="119"/>
      <c r="AW171" s="306">
        <v>-10</v>
      </c>
      <c r="AX171" s="119">
        <v>0</v>
      </c>
      <c r="AY171" s="305">
        <v>-10</v>
      </c>
      <c r="AZ171" s="119"/>
      <c r="BA171" s="119"/>
      <c r="BB171" s="301"/>
      <c r="BC171" s="119">
        <v>0</v>
      </c>
      <c r="BD171" s="299"/>
      <c r="BE171" s="119"/>
      <c r="BF171" s="119"/>
      <c r="BG171" s="301"/>
      <c r="BH171" s="119">
        <v>0</v>
      </c>
      <c r="BI171" s="304"/>
      <c r="BJ171" s="119"/>
      <c r="BK171" s="119"/>
      <c r="BL171" s="119"/>
      <c r="BM171" s="119"/>
      <c r="BN171" s="299"/>
      <c r="BO171" s="119"/>
      <c r="BP171" s="119"/>
      <c r="BQ171" s="119"/>
      <c r="BR171" s="119"/>
      <c r="BS171" s="299"/>
      <c r="BT171" s="299"/>
      <c r="BU171" s="299"/>
      <c r="BV171" s="299"/>
      <c r="BW171" s="122"/>
    </row>
    <row r="172" spans="1:75" s="123" customFormat="1" hidden="1" outlineLevel="4" x14ac:dyDescent="0.5">
      <c r="A172" s="298" t="s">
        <v>337</v>
      </c>
      <c r="B172" s="251"/>
      <c r="C172" s="299"/>
      <c r="D172" s="299"/>
      <c r="E172" s="299"/>
      <c r="F172" s="299"/>
      <c r="G172" s="300"/>
      <c r="H172" s="300"/>
      <c r="I172" s="300"/>
      <c r="J172" s="300"/>
      <c r="K172" s="299"/>
      <c r="L172" s="300"/>
      <c r="M172" s="300"/>
      <c r="N172" s="300"/>
      <c r="O172" s="300">
        <v>0</v>
      </c>
      <c r="P172" s="299"/>
      <c r="Q172" s="300"/>
      <c r="R172" s="300"/>
      <c r="S172" s="300"/>
      <c r="T172" s="300">
        <v>0</v>
      </c>
      <c r="U172" s="299"/>
      <c r="V172" s="300"/>
      <c r="W172" s="300"/>
      <c r="X172" s="300"/>
      <c r="Y172" s="119">
        <v>0</v>
      </c>
      <c r="Z172" s="299"/>
      <c r="AA172" s="119"/>
      <c r="AB172" s="119"/>
      <c r="AC172" s="300"/>
      <c r="AD172" s="119">
        <v>0</v>
      </c>
      <c r="AE172" s="299"/>
      <c r="AF172" s="119"/>
      <c r="AG172" s="119"/>
      <c r="AH172" s="300"/>
      <c r="AI172" s="119">
        <v>0</v>
      </c>
      <c r="AJ172" s="299"/>
      <c r="AK172" s="119"/>
      <c r="AL172" s="119"/>
      <c r="AM172" s="300"/>
      <c r="AN172" s="119">
        <v>0</v>
      </c>
      <c r="AO172" s="299"/>
      <c r="AP172" s="119"/>
      <c r="AQ172" s="302">
        <v>-7</v>
      </c>
      <c r="AR172" s="301"/>
      <c r="AS172" s="119">
        <v>0</v>
      </c>
      <c r="AT172" s="305">
        <v>-7</v>
      </c>
      <c r="AU172" s="119"/>
      <c r="AV172" s="119"/>
      <c r="AW172" s="301"/>
      <c r="AX172" s="119">
        <v>0</v>
      </c>
      <c r="AY172" s="299"/>
      <c r="AZ172" s="119"/>
      <c r="BA172" s="119"/>
      <c r="BB172" s="301"/>
      <c r="BC172" s="119">
        <v>0</v>
      </c>
      <c r="BD172" s="299"/>
      <c r="BE172" s="119"/>
      <c r="BF172" s="119"/>
      <c r="BG172" s="301"/>
      <c r="BH172" s="119">
        <v>0</v>
      </c>
      <c r="BI172" s="304"/>
      <c r="BJ172" s="119"/>
      <c r="BK172" s="119"/>
      <c r="BL172" s="119"/>
      <c r="BM172" s="119"/>
      <c r="BN172" s="299"/>
      <c r="BO172" s="119"/>
      <c r="BP172" s="119"/>
      <c r="BQ172" s="119"/>
      <c r="BR172" s="119"/>
      <c r="BS172" s="299"/>
      <c r="BT172" s="299"/>
      <c r="BU172" s="299"/>
      <c r="BV172" s="299"/>
      <c r="BW172" s="122"/>
    </row>
    <row r="173" spans="1:75" s="123" customFormat="1" hidden="1" outlineLevel="4" x14ac:dyDescent="0.5">
      <c r="A173" s="298" t="s">
        <v>338</v>
      </c>
      <c r="B173" s="251"/>
      <c r="C173" s="299"/>
      <c r="D173" s="299"/>
      <c r="E173" s="299"/>
      <c r="F173" s="299"/>
      <c r="G173" s="300"/>
      <c r="H173" s="300"/>
      <c r="I173" s="300"/>
      <c r="J173" s="300"/>
      <c r="K173" s="299"/>
      <c r="L173" s="300"/>
      <c r="M173" s="300"/>
      <c r="N173" s="300"/>
      <c r="O173" s="300">
        <v>0</v>
      </c>
      <c r="P173" s="299"/>
      <c r="Q173" s="300"/>
      <c r="R173" s="300"/>
      <c r="S173" s="300"/>
      <c r="T173" s="300">
        <v>0</v>
      </c>
      <c r="U173" s="299"/>
      <c r="V173" s="300"/>
      <c r="W173" s="300"/>
      <c r="X173" s="300"/>
      <c r="Y173" s="119">
        <v>0</v>
      </c>
      <c r="Z173" s="299"/>
      <c r="AA173" s="119"/>
      <c r="AB173" s="119"/>
      <c r="AC173" s="300"/>
      <c r="AD173" s="119">
        <v>0</v>
      </c>
      <c r="AE173" s="299"/>
      <c r="AF173" s="119"/>
      <c r="AG173" s="119"/>
      <c r="AH173" s="300"/>
      <c r="AI173" s="119">
        <v>0</v>
      </c>
      <c r="AJ173" s="299"/>
      <c r="AK173" s="119"/>
      <c r="AL173" s="119"/>
      <c r="AM173" s="300"/>
      <c r="AN173" s="119">
        <v>0</v>
      </c>
      <c r="AO173" s="299"/>
      <c r="AP173" s="119"/>
      <c r="AQ173" s="302">
        <v>-7</v>
      </c>
      <c r="AR173" s="301"/>
      <c r="AS173" s="119">
        <v>0</v>
      </c>
      <c r="AT173" s="305">
        <v>-7</v>
      </c>
      <c r="AU173" s="119"/>
      <c r="AV173" s="119"/>
      <c r="AW173" s="301"/>
      <c r="AX173" s="119">
        <v>0</v>
      </c>
      <c r="AY173" s="299"/>
      <c r="AZ173" s="119"/>
      <c r="BA173" s="119"/>
      <c r="BB173" s="301"/>
      <c r="BC173" s="119">
        <v>0</v>
      </c>
      <c r="BD173" s="299"/>
      <c r="BE173" s="119"/>
      <c r="BF173" s="119"/>
      <c r="BG173" s="301"/>
      <c r="BH173" s="119">
        <v>0</v>
      </c>
      <c r="BI173" s="304"/>
      <c r="BJ173" s="119"/>
      <c r="BK173" s="119"/>
      <c r="BL173" s="119"/>
      <c r="BM173" s="119"/>
      <c r="BN173" s="299"/>
      <c r="BO173" s="119"/>
      <c r="BP173" s="119"/>
      <c r="BQ173" s="119"/>
      <c r="BR173" s="119"/>
      <c r="BS173" s="299"/>
      <c r="BT173" s="299"/>
      <c r="BU173" s="299"/>
      <c r="BV173" s="299"/>
      <c r="BW173" s="122"/>
    </row>
    <row r="174" spans="1:75" s="123" customFormat="1" hidden="1" outlineLevel="4" x14ac:dyDescent="0.5">
      <c r="A174" s="298" t="s">
        <v>339</v>
      </c>
      <c r="B174" s="251"/>
      <c r="C174" s="299"/>
      <c r="D174" s="299"/>
      <c r="E174" s="299"/>
      <c r="F174" s="299"/>
      <c r="G174" s="300"/>
      <c r="H174" s="300"/>
      <c r="I174" s="300"/>
      <c r="J174" s="300"/>
      <c r="K174" s="299"/>
      <c r="L174" s="300"/>
      <c r="M174" s="300"/>
      <c r="N174" s="300"/>
      <c r="O174" s="300">
        <v>0</v>
      </c>
      <c r="P174" s="299"/>
      <c r="Q174" s="300"/>
      <c r="R174" s="300"/>
      <c r="S174" s="300"/>
      <c r="T174" s="300">
        <v>0</v>
      </c>
      <c r="U174" s="299"/>
      <c r="V174" s="300"/>
      <c r="W174" s="300"/>
      <c r="X174" s="300"/>
      <c r="Y174" s="119">
        <v>0</v>
      </c>
      <c r="Z174" s="299"/>
      <c r="AA174" s="119"/>
      <c r="AB174" s="119"/>
      <c r="AC174" s="300"/>
      <c r="AD174" s="119">
        <v>0</v>
      </c>
      <c r="AE174" s="299"/>
      <c r="AF174" s="119"/>
      <c r="AG174" s="119"/>
      <c r="AH174" s="300"/>
      <c r="AI174" s="119">
        <v>0</v>
      </c>
      <c r="AJ174" s="299"/>
      <c r="AK174" s="119"/>
      <c r="AL174" s="119"/>
      <c r="AM174" s="300"/>
      <c r="AN174" s="119">
        <v>0</v>
      </c>
      <c r="AO174" s="299"/>
      <c r="AP174" s="119"/>
      <c r="AQ174" s="302">
        <v>-6.5</v>
      </c>
      <c r="AR174" s="301"/>
      <c r="AS174" s="119">
        <v>0</v>
      </c>
      <c r="AT174" s="305">
        <v>-6.5</v>
      </c>
      <c r="AU174" s="119"/>
      <c r="AV174" s="119"/>
      <c r="AW174" s="301"/>
      <c r="AX174" s="119">
        <v>0</v>
      </c>
      <c r="AY174" s="299"/>
      <c r="AZ174" s="119"/>
      <c r="BA174" s="119"/>
      <c r="BB174" s="301"/>
      <c r="BC174" s="119">
        <v>0</v>
      </c>
      <c r="BD174" s="299"/>
      <c r="BE174" s="119"/>
      <c r="BF174" s="119"/>
      <c r="BG174" s="301"/>
      <c r="BH174" s="119">
        <v>0</v>
      </c>
      <c r="BI174" s="304"/>
      <c r="BJ174" s="119"/>
      <c r="BK174" s="119"/>
      <c r="BL174" s="119"/>
      <c r="BM174" s="119"/>
      <c r="BN174" s="299"/>
      <c r="BO174" s="119"/>
      <c r="BP174" s="119"/>
      <c r="BQ174" s="119"/>
      <c r="BR174" s="119"/>
      <c r="BS174" s="299"/>
      <c r="BT174" s="299"/>
      <c r="BU174" s="299"/>
      <c r="BV174" s="299"/>
      <c r="BW174" s="122"/>
    </row>
    <row r="175" spans="1:75" s="123" customFormat="1" hidden="1" outlineLevel="4" x14ac:dyDescent="0.5">
      <c r="A175" s="298" t="s">
        <v>340</v>
      </c>
      <c r="B175" s="251"/>
      <c r="C175" s="299"/>
      <c r="D175" s="299"/>
      <c r="E175" s="299"/>
      <c r="F175" s="299"/>
      <c r="G175" s="300"/>
      <c r="H175" s="300"/>
      <c r="I175" s="300"/>
      <c r="J175" s="300"/>
      <c r="K175" s="299"/>
      <c r="L175" s="300"/>
      <c r="M175" s="300"/>
      <c r="N175" s="300"/>
      <c r="O175" s="300">
        <v>0</v>
      </c>
      <c r="P175" s="299"/>
      <c r="Q175" s="300"/>
      <c r="R175" s="300"/>
      <c r="S175" s="300"/>
      <c r="T175" s="300">
        <v>0</v>
      </c>
      <c r="U175" s="299"/>
      <c r="V175" s="300"/>
      <c r="W175" s="300"/>
      <c r="X175" s="300"/>
      <c r="Y175" s="119">
        <v>0</v>
      </c>
      <c r="Z175" s="299"/>
      <c r="AA175" s="119"/>
      <c r="AB175" s="119"/>
      <c r="AC175" s="300"/>
      <c r="AD175" s="119">
        <v>0</v>
      </c>
      <c r="AE175" s="299"/>
      <c r="AF175" s="119"/>
      <c r="AG175" s="119"/>
      <c r="AH175" s="300"/>
      <c r="AI175" s="119">
        <v>0</v>
      </c>
      <c r="AJ175" s="299"/>
      <c r="AK175" s="119"/>
      <c r="AL175" s="119"/>
      <c r="AM175" s="307">
        <v>-13.3</v>
      </c>
      <c r="AN175" s="119">
        <v>0</v>
      </c>
      <c r="AO175" s="305">
        <v>-13.3</v>
      </c>
      <c r="AP175" s="119"/>
      <c r="AQ175" s="119"/>
      <c r="AR175" s="301"/>
      <c r="AS175" s="119">
        <v>0</v>
      </c>
      <c r="AT175" s="299"/>
      <c r="AU175" s="119"/>
      <c r="AV175" s="119"/>
      <c r="AW175" s="301"/>
      <c r="AX175" s="119">
        <v>0</v>
      </c>
      <c r="AY175" s="299"/>
      <c r="AZ175" s="119"/>
      <c r="BA175" s="119"/>
      <c r="BB175" s="301"/>
      <c r="BC175" s="119">
        <v>0</v>
      </c>
      <c r="BD175" s="299"/>
      <c r="BE175" s="119"/>
      <c r="BF175" s="119"/>
      <c r="BG175" s="301"/>
      <c r="BH175" s="119">
        <v>0</v>
      </c>
      <c r="BI175" s="304"/>
      <c r="BJ175" s="119"/>
      <c r="BK175" s="119"/>
      <c r="BL175" s="119"/>
      <c r="BM175" s="119"/>
      <c r="BN175" s="299"/>
      <c r="BO175" s="119"/>
      <c r="BP175" s="119"/>
      <c r="BQ175" s="119"/>
      <c r="BR175" s="119"/>
      <c r="BS175" s="299"/>
      <c r="BT175" s="299"/>
      <c r="BU175" s="299"/>
      <c r="BV175" s="299"/>
      <c r="BW175" s="122"/>
    </row>
    <row r="176" spans="1:75" s="123" customFormat="1" hidden="1" outlineLevel="4" x14ac:dyDescent="0.5">
      <c r="A176" s="298" t="s">
        <v>341</v>
      </c>
      <c r="B176" s="251"/>
      <c r="C176" s="299"/>
      <c r="D176" s="299"/>
      <c r="E176" s="299"/>
      <c r="F176" s="299"/>
      <c r="G176" s="300"/>
      <c r="H176" s="300"/>
      <c r="I176" s="300"/>
      <c r="J176" s="300"/>
      <c r="K176" s="299"/>
      <c r="L176" s="300"/>
      <c r="M176" s="300"/>
      <c r="N176" s="300"/>
      <c r="O176" s="300">
        <v>0</v>
      </c>
      <c r="P176" s="299"/>
      <c r="Q176" s="300"/>
      <c r="R176" s="300"/>
      <c r="S176" s="300"/>
      <c r="T176" s="300">
        <v>0</v>
      </c>
      <c r="U176" s="299"/>
      <c r="V176" s="300"/>
      <c r="W176" s="300"/>
      <c r="X176" s="300"/>
      <c r="Y176" s="119">
        <v>0</v>
      </c>
      <c r="Z176" s="299"/>
      <c r="AA176" s="119"/>
      <c r="AB176" s="119"/>
      <c r="AC176" s="300"/>
      <c r="AD176" s="119">
        <v>0</v>
      </c>
      <c r="AE176" s="299"/>
      <c r="AF176" s="119"/>
      <c r="AG176" s="119"/>
      <c r="AH176" s="300"/>
      <c r="AI176" s="119">
        <v>0</v>
      </c>
      <c r="AJ176" s="299"/>
      <c r="AK176" s="119"/>
      <c r="AL176" s="119"/>
      <c r="AM176" s="300"/>
      <c r="AN176" s="119">
        <v>-6.2</v>
      </c>
      <c r="AO176" s="305">
        <v>-6.2</v>
      </c>
      <c r="AP176" s="119"/>
      <c r="AQ176" s="119"/>
      <c r="AR176" s="301"/>
      <c r="AS176" s="119">
        <v>0</v>
      </c>
      <c r="AT176" s="299"/>
      <c r="AU176" s="119"/>
      <c r="AV176" s="119"/>
      <c r="AW176" s="301"/>
      <c r="AX176" s="119">
        <v>0</v>
      </c>
      <c r="AY176" s="299"/>
      <c r="AZ176" s="119"/>
      <c r="BA176" s="119"/>
      <c r="BB176" s="301"/>
      <c r="BC176" s="119">
        <v>0</v>
      </c>
      <c r="BD176" s="299"/>
      <c r="BE176" s="119"/>
      <c r="BF176" s="119"/>
      <c r="BG176" s="301"/>
      <c r="BH176" s="119">
        <v>0</v>
      </c>
      <c r="BI176" s="304"/>
      <c r="BJ176" s="119"/>
      <c r="BK176" s="119"/>
      <c r="BL176" s="119"/>
      <c r="BM176" s="119"/>
      <c r="BN176" s="299"/>
      <c r="BO176" s="119"/>
      <c r="BP176" s="119"/>
      <c r="BQ176" s="119"/>
      <c r="BR176" s="119"/>
      <c r="BS176" s="299"/>
      <c r="BT176" s="299"/>
      <c r="BU176" s="299"/>
      <c r="BV176" s="299"/>
      <c r="BW176" s="122"/>
    </row>
    <row r="177" spans="1:75" s="123" customFormat="1" hidden="1" outlineLevel="4" x14ac:dyDescent="0.5">
      <c r="A177" s="298" t="s">
        <v>342</v>
      </c>
      <c r="B177" s="251"/>
      <c r="C177" s="299"/>
      <c r="D177" s="299"/>
      <c r="E177" s="299"/>
      <c r="F177" s="299"/>
      <c r="G177" s="300"/>
      <c r="H177" s="300"/>
      <c r="I177" s="300"/>
      <c r="J177" s="300"/>
      <c r="K177" s="299"/>
      <c r="L177" s="300"/>
      <c r="M177" s="300"/>
      <c r="N177" s="300"/>
      <c r="O177" s="300">
        <v>0</v>
      </c>
      <c r="P177" s="299"/>
      <c r="Q177" s="300"/>
      <c r="R177" s="300"/>
      <c r="S177" s="300"/>
      <c r="T177" s="300">
        <v>0</v>
      </c>
      <c r="U177" s="299"/>
      <c r="V177" s="300"/>
      <c r="W177" s="300"/>
      <c r="X177" s="300"/>
      <c r="Y177" s="119">
        <v>0</v>
      </c>
      <c r="Z177" s="299"/>
      <c r="AA177" s="119"/>
      <c r="AB177" s="119"/>
      <c r="AC177" s="300"/>
      <c r="AD177" s="119">
        <v>0</v>
      </c>
      <c r="AE177" s="299"/>
      <c r="AF177" s="119"/>
      <c r="AG177" s="119"/>
      <c r="AH177" s="300"/>
      <c r="AI177" s="119">
        <v>0</v>
      </c>
      <c r="AJ177" s="299"/>
      <c r="AK177" s="119"/>
      <c r="AL177" s="119"/>
      <c r="AM177" s="300"/>
      <c r="AN177" s="119">
        <v>-5.7</v>
      </c>
      <c r="AO177" s="305">
        <v>-5.7</v>
      </c>
      <c r="AP177" s="119"/>
      <c r="AQ177" s="119"/>
      <c r="AR177" s="301"/>
      <c r="AS177" s="119">
        <v>0</v>
      </c>
      <c r="AT177" s="299"/>
      <c r="AU177" s="119"/>
      <c r="AV177" s="119"/>
      <c r="AW177" s="301"/>
      <c r="AX177" s="119">
        <v>0</v>
      </c>
      <c r="AY177" s="299"/>
      <c r="AZ177" s="119"/>
      <c r="BA177" s="119"/>
      <c r="BB177" s="301"/>
      <c r="BC177" s="119">
        <v>0</v>
      </c>
      <c r="BD177" s="299"/>
      <c r="BE177" s="119"/>
      <c r="BF177" s="119"/>
      <c r="BG177" s="301"/>
      <c r="BH177" s="119">
        <v>0</v>
      </c>
      <c r="BI177" s="304"/>
      <c r="BJ177" s="119"/>
      <c r="BK177" s="119"/>
      <c r="BL177" s="119"/>
      <c r="BM177" s="119"/>
      <c r="BN177" s="299"/>
      <c r="BO177" s="119"/>
      <c r="BP177" s="119"/>
      <c r="BQ177" s="119"/>
      <c r="BR177" s="119"/>
      <c r="BS177" s="299"/>
      <c r="BT177" s="299"/>
      <c r="BU177" s="299"/>
      <c r="BV177" s="299"/>
      <c r="BW177" s="122"/>
    </row>
    <row r="178" spans="1:75" s="123" customFormat="1" hidden="1" outlineLevel="4" x14ac:dyDescent="0.5">
      <c r="A178" s="298" t="s">
        <v>343</v>
      </c>
      <c r="B178" s="251"/>
      <c r="C178" s="299"/>
      <c r="D178" s="299"/>
      <c r="E178" s="299"/>
      <c r="F178" s="299"/>
      <c r="G178" s="300"/>
      <c r="H178" s="300"/>
      <c r="I178" s="300"/>
      <c r="J178" s="300"/>
      <c r="K178" s="299"/>
      <c r="L178" s="300"/>
      <c r="M178" s="300"/>
      <c r="N178" s="300"/>
      <c r="O178" s="300">
        <v>0</v>
      </c>
      <c r="P178" s="299"/>
      <c r="Q178" s="300"/>
      <c r="R178" s="300"/>
      <c r="S178" s="300"/>
      <c r="T178" s="300">
        <v>0</v>
      </c>
      <c r="U178" s="299"/>
      <c r="V178" s="300"/>
      <c r="W178" s="300"/>
      <c r="X178" s="300"/>
      <c r="Y178" s="119">
        <v>0</v>
      </c>
      <c r="Z178" s="299"/>
      <c r="AA178" s="119"/>
      <c r="AB178" s="119"/>
      <c r="AC178" s="300"/>
      <c r="AD178" s="119">
        <v>0</v>
      </c>
      <c r="AE178" s="299"/>
      <c r="AF178" s="302">
        <v>-4.7</v>
      </c>
      <c r="AG178" s="119"/>
      <c r="AH178" s="300"/>
      <c r="AI178" s="119">
        <v>0</v>
      </c>
      <c r="AJ178" s="305">
        <v>-4.7</v>
      </c>
      <c r="AK178" s="119"/>
      <c r="AL178" s="119"/>
      <c r="AM178" s="300"/>
      <c r="AN178" s="119">
        <v>0</v>
      </c>
      <c r="AO178" s="299"/>
      <c r="AP178" s="119"/>
      <c r="AQ178" s="119"/>
      <c r="AR178" s="301"/>
      <c r="AS178" s="119">
        <v>0</v>
      </c>
      <c r="AT178" s="299"/>
      <c r="AU178" s="119"/>
      <c r="AV178" s="119"/>
      <c r="AW178" s="301"/>
      <c r="AX178" s="119">
        <v>0</v>
      </c>
      <c r="AY178" s="299"/>
      <c r="AZ178" s="119"/>
      <c r="BA178" s="119"/>
      <c r="BB178" s="301"/>
      <c r="BC178" s="119">
        <v>0</v>
      </c>
      <c r="BD178" s="299"/>
      <c r="BE178" s="119"/>
      <c r="BF178" s="119"/>
      <c r="BG178" s="301"/>
      <c r="BH178" s="119">
        <v>0</v>
      </c>
      <c r="BI178" s="304"/>
      <c r="BJ178" s="119"/>
      <c r="BK178" s="119"/>
      <c r="BL178" s="119"/>
      <c r="BM178" s="119"/>
      <c r="BN178" s="299"/>
      <c r="BO178" s="119"/>
      <c r="BP178" s="119"/>
      <c r="BQ178" s="119"/>
      <c r="BR178" s="119"/>
      <c r="BS178" s="299"/>
      <c r="BT178" s="299"/>
      <c r="BU178" s="299"/>
      <c r="BV178" s="299"/>
      <c r="BW178" s="122"/>
    </row>
    <row r="179" spans="1:75" s="123" customFormat="1" hidden="1" outlineLevel="4" x14ac:dyDescent="0.5">
      <c r="A179" s="298" t="s">
        <v>344</v>
      </c>
      <c r="B179" s="251"/>
      <c r="C179" s="299"/>
      <c r="D179" s="299"/>
      <c r="E179" s="299"/>
      <c r="F179" s="299"/>
      <c r="G179" s="300"/>
      <c r="H179" s="300"/>
      <c r="I179" s="300"/>
      <c r="J179" s="300"/>
      <c r="K179" s="299"/>
      <c r="L179" s="300"/>
      <c r="M179" s="300"/>
      <c r="N179" s="300"/>
      <c r="O179" s="300">
        <v>0</v>
      </c>
      <c r="P179" s="299"/>
      <c r="Q179" s="300"/>
      <c r="R179" s="300"/>
      <c r="S179" s="300"/>
      <c r="T179" s="300">
        <v>0</v>
      </c>
      <c r="U179" s="299"/>
      <c r="V179" s="300"/>
      <c r="W179" s="300"/>
      <c r="X179" s="300"/>
      <c r="Y179" s="119">
        <v>0</v>
      </c>
      <c r="Z179" s="299"/>
      <c r="AA179" s="119"/>
      <c r="AB179" s="119"/>
      <c r="AC179" s="300"/>
      <c r="AD179" s="119">
        <v>0</v>
      </c>
      <c r="AE179" s="299"/>
      <c r="AF179" s="119"/>
      <c r="AG179" s="302">
        <v>-7.1</v>
      </c>
      <c r="AH179" s="300"/>
      <c r="AI179" s="119">
        <v>0</v>
      </c>
      <c r="AJ179" s="305">
        <v>-7.1</v>
      </c>
      <c r="AK179" s="119"/>
      <c r="AL179" s="119"/>
      <c r="AM179" s="300"/>
      <c r="AN179" s="119">
        <v>0</v>
      </c>
      <c r="AO179" s="299"/>
      <c r="AP179" s="119"/>
      <c r="AQ179" s="119"/>
      <c r="AR179" s="301"/>
      <c r="AS179" s="119">
        <v>0</v>
      </c>
      <c r="AT179" s="299"/>
      <c r="AU179" s="119"/>
      <c r="AV179" s="119"/>
      <c r="AW179" s="301"/>
      <c r="AX179" s="119">
        <v>0</v>
      </c>
      <c r="AY179" s="299"/>
      <c r="AZ179" s="119"/>
      <c r="BA179" s="119"/>
      <c r="BB179" s="301"/>
      <c r="BC179" s="119">
        <v>0</v>
      </c>
      <c r="BD179" s="299"/>
      <c r="BE179" s="119"/>
      <c r="BF179" s="119"/>
      <c r="BG179" s="301"/>
      <c r="BH179" s="119">
        <v>0</v>
      </c>
      <c r="BI179" s="304"/>
      <c r="BJ179" s="119"/>
      <c r="BK179" s="119"/>
      <c r="BL179" s="119"/>
      <c r="BM179" s="119"/>
      <c r="BN179" s="299"/>
      <c r="BO179" s="119"/>
      <c r="BP179" s="119"/>
      <c r="BQ179" s="119"/>
      <c r="BR179" s="119"/>
      <c r="BS179" s="299"/>
      <c r="BT179" s="299"/>
      <c r="BU179" s="299"/>
      <c r="BV179" s="299"/>
      <c r="BW179" s="122"/>
    </row>
    <row r="180" spans="1:75" s="123" customFormat="1" hidden="1" outlineLevel="4" x14ac:dyDescent="0.5">
      <c r="A180" s="298" t="s">
        <v>345</v>
      </c>
      <c r="B180" s="251"/>
      <c r="C180" s="299"/>
      <c r="D180" s="299"/>
      <c r="E180" s="299"/>
      <c r="F180" s="299"/>
      <c r="G180" s="300"/>
      <c r="H180" s="300"/>
      <c r="I180" s="300"/>
      <c r="J180" s="300"/>
      <c r="K180" s="299"/>
      <c r="L180" s="300"/>
      <c r="M180" s="300"/>
      <c r="N180" s="300"/>
      <c r="O180" s="300">
        <v>0</v>
      </c>
      <c r="P180" s="299"/>
      <c r="Q180" s="300"/>
      <c r="R180" s="300"/>
      <c r="S180" s="300"/>
      <c r="T180" s="300">
        <v>0</v>
      </c>
      <c r="U180" s="299"/>
      <c r="V180" s="300"/>
      <c r="W180" s="300"/>
      <c r="X180" s="300"/>
      <c r="Y180" s="119">
        <v>0</v>
      </c>
      <c r="Z180" s="299"/>
      <c r="AA180" s="119"/>
      <c r="AB180" s="119"/>
      <c r="AC180" s="300"/>
      <c r="AD180" s="119">
        <v>0</v>
      </c>
      <c r="AE180" s="299"/>
      <c r="AF180" s="119"/>
      <c r="AG180" s="302">
        <v>-5.6</v>
      </c>
      <c r="AH180" s="300"/>
      <c r="AI180" s="119">
        <v>0</v>
      </c>
      <c r="AJ180" s="305">
        <v>-5.6</v>
      </c>
      <c r="AK180" s="119"/>
      <c r="AL180" s="119"/>
      <c r="AM180" s="300"/>
      <c r="AN180" s="119">
        <v>0</v>
      </c>
      <c r="AO180" s="299"/>
      <c r="AP180" s="119"/>
      <c r="AQ180" s="119"/>
      <c r="AR180" s="301"/>
      <c r="AS180" s="119">
        <v>0</v>
      </c>
      <c r="AT180" s="299"/>
      <c r="AU180" s="119"/>
      <c r="AV180" s="119"/>
      <c r="AW180" s="301"/>
      <c r="AX180" s="119">
        <v>0</v>
      </c>
      <c r="AY180" s="299"/>
      <c r="AZ180" s="119"/>
      <c r="BA180" s="119"/>
      <c r="BB180" s="301"/>
      <c r="BC180" s="119">
        <v>0</v>
      </c>
      <c r="BD180" s="299"/>
      <c r="BE180" s="119"/>
      <c r="BF180" s="119"/>
      <c r="BG180" s="301"/>
      <c r="BH180" s="119">
        <v>0</v>
      </c>
      <c r="BI180" s="304"/>
      <c r="BJ180" s="119"/>
      <c r="BK180" s="119"/>
      <c r="BL180" s="119"/>
      <c r="BM180" s="119"/>
      <c r="BN180" s="299"/>
      <c r="BO180" s="119"/>
      <c r="BP180" s="119"/>
      <c r="BQ180" s="119"/>
      <c r="BR180" s="119"/>
      <c r="BS180" s="299"/>
      <c r="BT180" s="299"/>
      <c r="BU180" s="299"/>
      <c r="BV180" s="299"/>
      <c r="BW180" s="122"/>
    </row>
    <row r="181" spans="1:75" s="123" customFormat="1" hidden="1" outlineLevel="4" x14ac:dyDescent="0.5">
      <c r="A181" s="298" t="s">
        <v>346</v>
      </c>
      <c r="B181" s="251"/>
      <c r="C181" s="299"/>
      <c r="D181" s="299"/>
      <c r="E181" s="299"/>
      <c r="F181" s="299"/>
      <c r="G181" s="300"/>
      <c r="H181" s="300"/>
      <c r="I181" s="300"/>
      <c r="J181" s="300"/>
      <c r="K181" s="299"/>
      <c r="L181" s="300"/>
      <c r="M181" s="300"/>
      <c r="N181" s="300"/>
      <c r="O181" s="300">
        <v>0</v>
      </c>
      <c r="P181" s="299"/>
      <c r="Q181" s="300"/>
      <c r="R181" s="300"/>
      <c r="S181" s="300"/>
      <c r="T181" s="300">
        <v>0</v>
      </c>
      <c r="U181" s="299"/>
      <c r="V181" s="300"/>
      <c r="W181" s="300"/>
      <c r="X181" s="300"/>
      <c r="Y181" s="119">
        <v>0</v>
      </c>
      <c r="Z181" s="299"/>
      <c r="AA181" s="119"/>
      <c r="AB181" s="119"/>
      <c r="AC181" s="300"/>
      <c r="AD181" s="119">
        <v>0</v>
      </c>
      <c r="AE181" s="299"/>
      <c r="AF181" s="119"/>
      <c r="AG181" s="119"/>
      <c r="AH181" s="307">
        <v>-21.4</v>
      </c>
      <c r="AI181" s="119">
        <v>0</v>
      </c>
      <c r="AJ181" s="305">
        <v>-21.4</v>
      </c>
      <c r="AK181" s="119"/>
      <c r="AL181" s="119"/>
      <c r="AM181" s="300"/>
      <c r="AN181" s="119">
        <v>0</v>
      </c>
      <c r="AO181" s="299"/>
      <c r="AP181" s="119"/>
      <c r="AQ181" s="119"/>
      <c r="AR181" s="301"/>
      <c r="AS181" s="119">
        <v>0</v>
      </c>
      <c r="AT181" s="299"/>
      <c r="AU181" s="119"/>
      <c r="AV181" s="119"/>
      <c r="AW181" s="301"/>
      <c r="AX181" s="119">
        <v>0</v>
      </c>
      <c r="AY181" s="299"/>
      <c r="AZ181" s="119"/>
      <c r="BA181" s="119"/>
      <c r="BB181" s="301"/>
      <c r="BC181" s="119">
        <v>0</v>
      </c>
      <c r="BD181" s="299"/>
      <c r="BE181" s="119"/>
      <c r="BF181" s="119"/>
      <c r="BG181" s="301"/>
      <c r="BH181" s="119">
        <v>0</v>
      </c>
      <c r="BI181" s="304"/>
      <c r="BJ181" s="119"/>
      <c r="BK181" s="119"/>
      <c r="BL181" s="119"/>
      <c r="BM181" s="119"/>
      <c r="BN181" s="299"/>
      <c r="BO181" s="119"/>
      <c r="BP181" s="119"/>
      <c r="BQ181" s="119"/>
      <c r="BR181" s="119"/>
      <c r="BS181" s="299"/>
      <c r="BT181" s="299"/>
      <c r="BU181" s="299"/>
      <c r="BV181" s="299"/>
      <c r="BW181" s="122"/>
    </row>
    <row r="182" spans="1:75" s="123" customFormat="1" hidden="1" outlineLevel="4" x14ac:dyDescent="0.5">
      <c r="A182" s="298" t="s">
        <v>347</v>
      </c>
      <c r="B182" s="251"/>
      <c r="C182" s="299"/>
      <c r="D182" s="299"/>
      <c r="E182" s="299"/>
      <c r="F182" s="299"/>
      <c r="G182" s="300"/>
      <c r="H182" s="300"/>
      <c r="I182" s="300"/>
      <c r="J182" s="300"/>
      <c r="K182" s="299"/>
      <c r="L182" s="300"/>
      <c r="M182" s="300"/>
      <c r="N182" s="300"/>
      <c r="O182" s="300">
        <v>0</v>
      </c>
      <c r="P182" s="299"/>
      <c r="Q182" s="300"/>
      <c r="R182" s="300"/>
      <c r="S182" s="300"/>
      <c r="T182" s="300">
        <v>0</v>
      </c>
      <c r="U182" s="299"/>
      <c r="V182" s="300"/>
      <c r="W182" s="300"/>
      <c r="X182" s="300"/>
      <c r="Y182" s="119">
        <v>0</v>
      </c>
      <c r="Z182" s="299"/>
      <c r="AA182" s="119"/>
      <c r="AB182" s="119"/>
      <c r="AC182" s="307">
        <v>-6</v>
      </c>
      <c r="AD182" s="119">
        <v>0</v>
      </c>
      <c r="AE182" s="305">
        <v>-6</v>
      </c>
      <c r="AF182" s="119"/>
      <c r="AG182" s="119"/>
      <c r="AH182" s="300"/>
      <c r="AI182" s="119">
        <v>0</v>
      </c>
      <c r="AJ182" s="299"/>
      <c r="AK182" s="119"/>
      <c r="AL182" s="119"/>
      <c r="AM182" s="300"/>
      <c r="AN182" s="119">
        <v>0</v>
      </c>
      <c r="AO182" s="299"/>
      <c r="AP182" s="119"/>
      <c r="AQ182" s="119"/>
      <c r="AR182" s="301"/>
      <c r="AS182" s="119">
        <v>0</v>
      </c>
      <c r="AT182" s="299"/>
      <c r="AU182" s="119"/>
      <c r="AV182" s="119"/>
      <c r="AW182" s="301"/>
      <c r="AX182" s="119">
        <v>0</v>
      </c>
      <c r="AY182" s="299"/>
      <c r="AZ182" s="119"/>
      <c r="BA182" s="119"/>
      <c r="BB182" s="301"/>
      <c r="BC182" s="119">
        <v>0</v>
      </c>
      <c r="BD182" s="299"/>
      <c r="BE182" s="119"/>
      <c r="BF182" s="119"/>
      <c r="BG182" s="301"/>
      <c r="BH182" s="119">
        <v>0</v>
      </c>
      <c r="BI182" s="304"/>
      <c r="BJ182" s="119"/>
      <c r="BK182" s="119"/>
      <c r="BL182" s="119"/>
      <c r="BM182" s="119"/>
      <c r="BN182" s="299"/>
      <c r="BO182" s="119"/>
      <c r="BP182" s="119"/>
      <c r="BQ182" s="119"/>
      <c r="BR182" s="119"/>
      <c r="BS182" s="299"/>
      <c r="BT182" s="299"/>
      <c r="BU182" s="299"/>
      <c r="BV182" s="299"/>
      <c r="BW182" s="122"/>
    </row>
    <row r="183" spans="1:75" s="123" customFormat="1" hidden="1" outlineLevel="4" x14ac:dyDescent="0.5">
      <c r="A183" s="298" t="s">
        <v>348</v>
      </c>
      <c r="B183" s="251"/>
      <c r="C183" s="299"/>
      <c r="D183" s="299"/>
      <c r="E183" s="299"/>
      <c r="F183" s="299"/>
      <c r="G183" s="300"/>
      <c r="H183" s="300"/>
      <c r="I183" s="300"/>
      <c r="J183" s="300"/>
      <c r="K183" s="299"/>
      <c r="L183" s="300"/>
      <c r="M183" s="300"/>
      <c r="N183" s="300"/>
      <c r="O183" s="300">
        <v>0</v>
      </c>
      <c r="P183" s="299"/>
      <c r="Q183" s="300"/>
      <c r="R183" s="300"/>
      <c r="S183" s="300"/>
      <c r="T183" s="300">
        <v>0</v>
      </c>
      <c r="U183" s="299"/>
      <c r="V183" s="300"/>
      <c r="W183" s="300"/>
      <c r="X183" s="300"/>
      <c r="Y183" s="119">
        <v>0</v>
      </c>
      <c r="Z183" s="299"/>
      <c r="AA183" s="119"/>
      <c r="AB183" s="119"/>
      <c r="AC183" s="307">
        <v>-8.6</v>
      </c>
      <c r="AD183" s="119">
        <v>0</v>
      </c>
      <c r="AE183" s="305">
        <v>-8.6</v>
      </c>
      <c r="AF183" s="119"/>
      <c r="AG183" s="119"/>
      <c r="AH183" s="300"/>
      <c r="AI183" s="119">
        <v>0</v>
      </c>
      <c r="AJ183" s="299"/>
      <c r="AK183" s="119"/>
      <c r="AL183" s="119"/>
      <c r="AM183" s="300"/>
      <c r="AN183" s="119">
        <v>0</v>
      </c>
      <c r="AO183" s="299"/>
      <c r="AP183" s="119"/>
      <c r="AQ183" s="119"/>
      <c r="AR183" s="301"/>
      <c r="AS183" s="119">
        <v>0</v>
      </c>
      <c r="AT183" s="299"/>
      <c r="AU183" s="119"/>
      <c r="AV183" s="119"/>
      <c r="AW183" s="301"/>
      <c r="AX183" s="119">
        <v>0</v>
      </c>
      <c r="AY183" s="299"/>
      <c r="AZ183" s="119"/>
      <c r="BA183" s="119"/>
      <c r="BB183" s="301"/>
      <c r="BC183" s="119">
        <v>0</v>
      </c>
      <c r="BD183" s="299"/>
      <c r="BE183" s="119"/>
      <c r="BF183" s="119"/>
      <c r="BG183" s="301"/>
      <c r="BH183" s="119">
        <v>0</v>
      </c>
      <c r="BI183" s="304"/>
      <c r="BJ183" s="119"/>
      <c r="BK183" s="119"/>
      <c r="BL183" s="119"/>
      <c r="BM183" s="119"/>
      <c r="BN183" s="299"/>
      <c r="BO183" s="119"/>
      <c r="BP183" s="119"/>
      <c r="BQ183" s="119"/>
      <c r="BR183" s="119"/>
      <c r="BS183" s="299"/>
      <c r="BT183" s="299"/>
      <c r="BU183" s="299"/>
      <c r="BV183" s="299"/>
      <c r="BW183" s="122"/>
    </row>
    <row r="184" spans="1:75" s="123" customFormat="1" hidden="1" outlineLevel="4" x14ac:dyDescent="0.5">
      <c r="A184" s="298" t="s">
        <v>349</v>
      </c>
      <c r="B184" s="251"/>
      <c r="C184" s="299"/>
      <c r="D184" s="299"/>
      <c r="E184" s="299"/>
      <c r="F184" s="299"/>
      <c r="G184" s="300"/>
      <c r="H184" s="300"/>
      <c r="I184" s="300"/>
      <c r="J184" s="300"/>
      <c r="K184" s="299"/>
      <c r="L184" s="300"/>
      <c r="M184" s="300"/>
      <c r="N184" s="300"/>
      <c r="O184" s="300">
        <v>0</v>
      </c>
      <c r="P184" s="299"/>
      <c r="Q184" s="300"/>
      <c r="R184" s="300"/>
      <c r="S184" s="300"/>
      <c r="T184" s="300">
        <v>0</v>
      </c>
      <c r="U184" s="299"/>
      <c r="V184" s="300"/>
      <c r="W184" s="300"/>
      <c r="X184" s="300"/>
      <c r="Y184" s="119">
        <v>0</v>
      </c>
      <c r="Z184" s="299"/>
      <c r="AA184" s="119"/>
      <c r="AB184" s="119"/>
      <c r="AC184" s="300"/>
      <c r="AD184" s="119">
        <v>-7.1</v>
      </c>
      <c r="AE184" s="305">
        <v>-7.1</v>
      </c>
      <c r="AF184" s="119"/>
      <c r="AG184" s="119"/>
      <c r="AH184" s="300"/>
      <c r="AI184" s="119">
        <v>0</v>
      </c>
      <c r="AJ184" s="299"/>
      <c r="AK184" s="119"/>
      <c r="AL184" s="119"/>
      <c r="AM184" s="300"/>
      <c r="AN184" s="119">
        <v>0</v>
      </c>
      <c r="AO184" s="299"/>
      <c r="AP184" s="119"/>
      <c r="AQ184" s="119"/>
      <c r="AR184" s="301"/>
      <c r="AS184" s="119">
        <v>0</v>
      </c>
      <c r="AT184" s="299"/>
      <c r="AU184" s="119"/>
      <c r="AV184" s="119"/>
      <c r="AW184" s="301"/>
      <c r="AX184" s="119">
        <v>0</v>
      </c>
      <c r="AY184" s="299"/>
      <c r="AZ184" s="119"/>
      <c r="BA184" s="119"/>
      <c r="BB184" s="301"/>
      <c r="BC184" s="119">
        <v>0</v>
      </c>
      <c r="BD184" s="299"/>
      <c r="BE184" s="119"/>
      <c r="BF184" s="119"/>
      <c r="BG184" s="301"/>
      <c r="BH184" s="119">
        <v>0</v>
      </c>
      <c r="BI184" s="304"/>
      <c r="BJ184" s="119"/>
      <c r="BK184" s="119"/>
      <c r="BL184" s="119"/>
      <c r="BM184" s="119"/>
      <c r="BN184" s="299"/>
      <c r="BO184" s="119"/>
      <c r="BP184" s="119"/>
      <c r="BQ184" s="119"/>
      <c r="BR184" s="119"/>
      <c r="BS184" s="299"/>
      <c r="BT184" s="299"/>
      <c r="BU184" s="299"/>
      <c r="BV184" s="299"/>
      <c r="BW184" s="122"/>
    </row>
    <row r="185" spans="1:75" s="123" customFormat="1" hidden="1" outlineLevel="4" x14ac:dyDescent="0.5">
      <c r="A185" s="298" t="s">
        <v>350</v>
      </c>
      <c r="B185" s="251"/>
      <c r="C185" s="299"/>
      <c r="D185" s="299"/>
      <c r="E185" s="299"/>
      <c r="F185" s="299"/>
      <c r="G185" s="300"/>
      <c r="H185" s="300"/>
      <c r="I185" s="300"/>
      <c r="J185" s="300"/>
      <c r="K185" s="299"/>
      <c r="L185" s="300"/>
      <c r="M185" s="300"/>
      <c r="N185" s="300"/>
      <c r="O185" s="300">
        <v>0</v>
      </c>
      <c r="P185" s="299"/>
      <c r="Q185" s="300"/>
      <c r="R185" s="300"/>
      <c r="S185" s="300"/>
      <c r="T185" s="300">
        <v>0</v>
      </c>
      <c r="U185" s="299"/>
      <c r="V185" s="300"/>
      <c r="W185" s="300"/>
      <c r="X185" s="307">
        <v>-9.9</v>
      </c>
      <c r="Y185" s="119">
        <v>0</v>
      </c>
      <c r="Z185" s="305">
        <v>-9.9</v>
      </c>
      <c r="AA185" s="119"/>
      <c r="AB185" s="119"/>
      <c r="AC185" s="300"/>
      <c r="AD185" s="119">
        <v>0</v>
      </c>
      <c r="AE185" s="299"/>
      <c r="AF185" s="119"/>
      <c r="AG185" s="119"/>
      <c r="AH185" s="300"/>
      <c r="AI185" s="119">
        <v>0</v>
      </c>
      <c r="AJ185" s="299"/>
      <c r="AK185" s="119"/>
      <c r="AL185" s="119"/>
      <c r="AM185" s="300"/>
      <c r="AN185" s="119">
        <v>0</v>
      </c>
      <c r="AO185" s="299"/>
      <c r="AP185" s="119"/>
      <c r="AQ185" s="119"/>
      <c r="AR185" s="301"/>
      <c r="AS185" s="119">
        <v>0</v>
      </c>
      <c r="AT185" s="299"/>
      <c r="AU185" s="119"/>
      <c r="AV185" s="119"/>
      <c r="AW185" s="301"/>
      <c r="AX185" s="119">
        <v>0</v>
      </c>
      <c r="AY185" s="299"/>
      <c r="AZ185" s="119"/>
      <c r="BA185" s="119"/>
      <c r="BB185" s="301"/>
      <c r="BC185" s="119">
        <v>0</v>
      </c>
      <c r="BD185" s="299"/>
      <c r="BE185" s="119"/>
      <c r="BF185" s="119"/>
      <c r="BG185" s="301"/>
      <c r="BH185" s="119">
        <v>0</v>
      </c>
      <c r="BI185" s="304"/>
      <c r="BJ185" s="119"/>
      <c r="BK185" s="119"/>
      <c r="BL185" s="119"/>
      <c r="BM185" s="119"/>
      <c r="BN185" s="299"/>
      <c r="BO185" s="119"/>
      <c r="BP185" s="119"/>
      <c r="BQ185" s="119"/>
      <c r="BR185" s="119"/>
      <c r="BS185" s="299"/>
      <c r="BT185" s="299"/>
      <c r="BU185" s="299"/>
      <c r="BV185" s="299"/>
      <c r="BW185" s="122"/>
    </row>
    <row r="186" spans="1:75" s="123" customFormat="1" hidden="1" outlineLevel="4" x14ac:dyDescent="0.5">
      <c r="A186" s="298" t="s">
        <v>351</v>
      </c>
      <c r="B186" s="251"/>
      <c r="C186" s="299"/>
      <c r="D186" s="299"/>
      <c r="E186" s="299"/>
      <c r="F186" s="299"/>
      <c r="G186" s="300"/>
      <c r="H186" s="300"/>
      <c r="I186" s="300"/>
      <c r="J186" s="300"/>
      <c r="K186" s="299"/>
      <c r="L186" s="300"/>
      <c r="M186" s="300"/>
      <c r="N186" s="300"/>
      <c r="O186" s="300">
        <v>0</v>
      </c>
      <c r="P186" s="299"/>
      <c r="Q186" s="300"/>
      <c r="R186" s="300"/>
      <c r="S186" s="300"/>
      <c r="T186" s="300">
        <v>0</v>
      </c>
      <c r="U186" s="299"/>
      <c r="V186" s="300"/>
      <c r="W186" s="300"/>
      <c r="X186" s="307">
        <v>-6.2</v>
      </c>
      <c r="Y186" s="119">
        <v>0</v>
      </c>
      <c r="Z186" s="305">
        <v>-6.2</v>
      </c>
      <c r="AA186" s="119"/>
      <c r="AB186" s="119"/>
      <c r="AC186" s="300"/>
      <c r="AD186" s="119">
        <v>0</v>
      </c>
      <c r="AE186" s="299"/>
      <c r="AF186" s="119"/>
      <c r="AG186" s="119"/>
      <c r="AH186" s="300"/>
      <c r="AI186" s="119">
        <v>0</v>
      </c>
      <c r="AJ186" s="299"/>
      <c r="AK186" s="119"/>
      <c r="AL186" s="119"/>
      <c r="AM186" s="300"/>
      <c r="AN186" s="119">
        <v>0</v>
      </c>
      <c r="AO186" s="299"/>
      <c r="AP186" s="119"/>
      <c r="AQ186" s="119"/>
      <c r="AR186" s="301"/>
      <c r="AS186" s="119">
        <v>0</v>
      </c>
      <c r="AT186" s="299"/>
      <c r="AU186" s="119"/>
      <c r="AV186" s="119"/>
      <c r="AW186" s="301"/>
      <c r="AX186" s="119">
        <v>0</v>
      </c>
      <c r="AY186" s="299"/>
      <c r="AZ186" s="119"/>
      <c r="BA186" s="119"/>
      <c r="BB186" s="301"/>
      <c r="BC186" s="119">
        <v>0</v>
      </c>
      <c r="BD186" s="299"/>
      <c r="BE186" s="119"/>
      <c r="BF186" s="119"/>
      <c r="BG186" s="301"/>
      <c r="BH186" s="119">
        <v>0</v>
      </c>
      <c r="BI186" s="304"/>
      <c r="BJ186" s="119"/>
      <c r="BK186" s="119"/>
      <c r="BL186" s="119"/>
      <c r="BM186" s="119"/>
      <c r="BN186" s="299"/>
      <c r="BO186" s="119"/>
      <c r="BP186" s="119"/>
      <c r="BQ186" s="119"/>
      <c r="BR186" s="119"/>
      <c r="BS186" s="299"/>
      <c r="BT186" s="299"/>
      <c r="BU186" s="299"/>
      <c r="BV186" s="299"/>
      <c r="BW186" s="122"/>
    </row>
    <row r="187" spans="1:75" s="123" customFormat="1" hidden="1" outlineLevel="4" x14ac:dyDescent="0.5">
      <c r="A187" s="298" t="s">
        <v>352</v>
      </c>
      <c r="B187" s="251"/>
      <c r="C187" s="299"/>
      <c r="D187" s="299"/>
      <c r="E187" s="299"/>
      <c r="F187" s="299"/>
      <c r="G187" s="300"/>
      <c r="H187" s="300"/>
      <c r="I187" s="300"/>
      <c r="J187" s="300"/>
      <c r="K187" s="299"/>
      <c r="L187" s="300"/>
      <c r="M187" s="300"/>
      <c r="N187" s="300"/>
      <c r="O187" s="300">
        <v>0</v>
      </c>
      <c r="P187" s="299"/>
      <c r="Q187" s="300"/>
      <c r="R187" s="300"/>
      <c r="S187" s="300"/>
      <c r="T187" s="300">
        <v>0</v>
      </c>
      <c r="U187" s="299"/>
      <c r="V187" s="300"/>
      <c r="W187" s="300"/>
      <c r="X187" s="300"/>
      <c r="Y187" s="119">
        <v>-8.1</v>
      </c>
      <c r="Z187" s="305">
        <v>-8.1</v>
      </c>
      <c r="AA187" s="119"/>
      <c r="AB187" s="119"/>
      <c r="AC187" s="300"/>
      <c r="AD187" s="119">
        <v>0</v>
      </c>
      <c r="AE187" s="299"/>
      <c r="AF187" s="119"/>
      <c r="AG187" s="119"/>
      <c r="AH187" s="300"/>
      <c r="AI187" s="119">
        <v>0</v>
      </c>
      <c r="AJ187" s="299"/>
      <c r="AK187" s="119"/>
      <c r="AL187" s="119"/>
      <c r="AM187" s="300"/>
      <c r="AN187" s="119">
        <v>0</v>
      </c>
      <c r="AO187" s="299"/>
      <c r="AP187" s="119"/>
      <c r="AQ187" s="119"/>
      <c r="AR187" s="301"/>
      <c r="AS187" s="119">
        <v>0</v>
      </c>
      <c r="AT187" s="299"/>
      <c r="AU187" s="119"/>
      <c r="AV187" s="119"/>
      <c r="AW187" s="301"/>
      <c r="AX187" s="119">
        <v>0</v>
      </c>
      <c r="AY187" s="299"/>
      <c r="AZ187" s="119"/>
      <c r="BA187" s="119"/>
      <c r="BB187" s="301"/>
      <c r="BC187" s="119">
        <v>0</v>
      </c>
      <c r="BD187" s="299"/>
      <c r="BE187" s="119"/>
      <c r="BF187" s="119"/>
      <c r="BG187" s="301"/>
      <c r="BH187" s="119">
        <v>0</v>
      </c>
      <c r="BI187" s="304"/>
      <c r="BJ187" s="119"/>
      <c r="BK187" s="119"/>
      <c r="BL187" s="119"/>
      <c r="BM187" s="119"/>
      <c r="BN187" s="299"/>
      <c r="BO187" s="119"/>
      <c r="BP187" s="119"/>
      <c r="BQ187" s="119"/>
      <c r="BR187" s="119"/>
      <c r="BS187" s="299"/>
      <c r="BT187" s="299"/>
      <c r="BU187" s="299"/>
      <c r="BV187" s="299"/>
      <c r="BW187" s="122"/>
    </row>
    <row r="188" spans="1:75" s="123" customFormat="1" hidden="1" outlineLevel="4" x14ac:dyDescent="0.5">
      <c r="A188" s="298" t="s">
        <v>353</v>
      </c>
      <c r="B188" s="251"/>
      <c r="C188" s="299"/>
      <c r="D188" s="299"/>
      <c r="E188" s="299"/>
      <c r="F188" s="299"/>
      <c r="G188" s="300"/>
      <c r="H188" s="300"/>
      <c r="I188" s="300"/>
      <c r="J188" s="300"/>
      <c r="K188" s="299"/>
      <c r="L188" s="300"/>
      <c r="M188" s="300"/>
      <c r="N188" s="300"/>
      <c r="O188" s="300">
        <v>0</v>
      </c>
      <c r="P188" s="299"/>
      <c r="Q188" s="300"/>
      <c r="R188" s="300"/>
      <c r="S188" s="300"/>
      <c r="T188" s="300">
        <v>0</v>
      </c>
      <c r="U188" s="299"/>
      <c r="V188" s="300"/>
      <c r="W188" s="300"/>
      <c r="X188" s="300"/>
      <c r="Y188" s="119">
        <v>-5.7</v>
      </c>
      <c r="Z188" s="305">
        <v>-5.7</v>
      </c>
      <c r="AA188" s="119"/>
      <c r="AB188" s="119"/>
      <c r="AC188" s="300"/>
      <c r="AD188" s="119">
        <v>0</v>
      </c>
      <c r="AE188" s="299"/>
      <c r="AF188" s="119"/>
      <c r="AG188" s="119"/>
      <c r="AH188" s="300"/>
      <c r="AI188" s="119">
        <v>0</v>
      </c>
      <c r="AJ188" s="299"/>
      <c r="AK188" s="119"/>
      <c r="AL188" s="119"/>
      <c r="AM188" s="300"/>
      <c r="AN188" s="119">
        <v>0</v>
      </c>
      <c r="AO188" s="299"/>
      <c r="AP188" s="119"/>
      <c r="AQ188" s="119"/>
      <c r="AR188" s="301"/>
      <c r="AS188" s="119">
        <v>0</v>
      </c>
      <c r="AT188" s="299"/>
      <c r="AU188" s="119"/>
      <c r="AV188" s="119"/>
      <c r="AW188" s="301"/>
      <c r="AX188" s="119">
        <v>0</v>
      </c>
      <c r="AY188" s="299"/>
      <c r="AZ188" s="119"/>
      <c r="BA188" s="119"/>
      <c r="BB188" s="301"/>
      <c r="BC188" s="119">
        <v>0</v>
      </c>
      <c r="BD188" s="299"/>
      <c r="BE188" s="119"/>
      <c r="BF188" s="119"/>
      <c r="BG188" s="301"/>
      <c r="BH188" s="119">
        <v>0</v>
      </c>
      <c r="BI188" s="304"/>
      <c r="BJ188" s="119"/>
      <c r="BK188" s="119"/>
      <c r="BL188" s="119"/>
      <c r="BM188" s="119"/>
      <c r="BN188" s="299"/>
      <c r="BO188" s="119"/>
      <c r="BP188" s="119"/>
      <c r="BQ188" s="119"/>
      <c r="BR188" s="119"/>
      <c r="BS188" s="299"/>
      <c r="BT188" s="299"/>
      <c r="BU188" s="299"/>
      <c r="BV188" s="299"/>
      <c r="BW188" s="122"/>
    </row>
    <row r="189" spans="1:75" s="123" customFormat="1" hidden="1" outlineLevel="4" x14ac:dyDescent="0.5">
      <c r="A189" s="298" t="s">
        <v>354</v>
      </c>
      <c r="B189" s="251"/>
      <c r="C189" s="299"/>
      <c r="D189" s="299"/>
      <c r="E189" s="299"/>
      <c r="F189" s="299"/>
      <c r="G189" s="300"/>
      <c r="H189" s="300"/>
      <c r="I189" s="300"/>
      <c r="J189" s="300"/>
      <c r="K189" s="299"/>
      <c r="L189" s="300"/>
      <c r="M189" s="300"/>
      <c r="N189" s="300"/>
      <c r="O189" s="300">
        <v>0</v>
      </c>
      <c r="P189" s="299"/>
      <c r="Q189" s="307">
        <v>-6.1</v>
      </c>
      <c r="R189" s="300"/>
      <c r="S189" s="300"/>
      <c r="T189" s="300">
        <v>0</v>
      </c>
      <c r="U189" s="305">
        <v>-6.1</v>
      </c>
      <c r="V189" s="300"/>
      <c r="W189" s="300"/>
      <c r="X189" s="300"/>
      <c r="Y189" s="119">
        <v>0</v>
      </c>
      <c r="Z189" s="299"/>
      <c r="AA189" s="119"/>
      <c r="AB189" s="119"/>
      <c r="AC189" s="300"/>
      <c r="AD189" s="119">
        <v>0</v>
      </c>
      <c r="AE189" s="299"/>
      <c r="AF189" s="119"/>
      <c r="AG189" s="119"/>
      <c r="AH189" s="300"/>
      <c r="AI189" s="119">
        <v>0</v>
      </c>
      <c r="AJ189" s="299"/>
      <c r="AK189" s="119"/>
      <c r="AL189" s="119"/>
      <c r="AM189" s="300"/>
      <c r="AN189" s="119">
        <v>0</v>
      </c>
      <c r="AO189" s="299"/>
      <c r="AP189" s="119"/>
      <c r="AQ189" s="119"/>
      <c r="AR189" s="301"/>
      <c r="AS189" s="119">
        <v>0</v>
      </c>
      <c r="AT189" s="299"/>
      <c r="AU189" s="119"/>
      <c r="AV189" s="119"/>
      <c r="AW189" s="301"/>
      <c r="AX189" s="119">
        <v>0</v>
      </c>
      <c r="AY189" s="299"/>
      <c r="AZ189" s="119"/>
      <c r="BA189" s="119"/>
      <c r="BB189" s="301"/>
      <c r="BC189" s="119">
        <v>0</v>
      </c>
      <c r="BD189" s="299"/>
      <c r="BE189" s="119"/>
      <c r="BF189" s="119"/>
      <c r="BG189" s="301"/>
      <c r="BH189" s="119">
        <v>0</v>
      </c>
      <c r="BI189" s="304"/>
      <c r="BJ189" s="119"/>
      <c r="BK189" s="119"/>
      <c r="BL189" s="119"/>
      <c r="BM189" s="119"/>
      <c r="BN189" s="299"/>
      <c r="BO189" s="119"/>
      <c r="BP189" s="119"/>
      <c r="BQ189" s="119"/>
      <c r="BR189" s="119"/>
      <c r="BS189" s="299"/>
      <c r="BT189" s="299"/>
      <c r="BU189" s="299"/>
      <c r="BV189" s="299"/>
      <c r="BW189" s="122"/>
    </row>
    <row r="190" spans="1:75" s="123" customFormat="1" hidden="1" outlineLevel="4" x14ac:dyDescent="0.5">
      <c r="A190" s="298" t="s">
        <v>355</v>
      </c>
      <c r="B190" s="251"/>
      <c r="C190" s="299"/>
      <c r="D190" s="299"/>
      <c r="E190" s="299"/>
      <c r="F190" s="299"/>
      <c r="G190" s="300"/>
      <c r="H190" s="300"/>
      <c r="I190" s="300"/>
      <c r="J190" s="300"/>
      <c r="K190" s="299"/>
      <c r="L190" s="300"/>
      <c r="M190" s="300"/>
      <c r="N190" s="300"/>
      <c r="O190" s="300">
        <v>0</v>
      </c>
      <c r="P190" s="299"/>
      <c r="Q190" s="300"/>
      <c r="R190" s="300"/>
      <c r="S190" s="300"/>
      <c r="T190" s="300">
        <v>-4.3</v>
      </c>
      <c r="U190" s="305">
        <v>-4.3</v>
      </c>
      <c r="V190" s="300"/>
      <c r="W190" s="300"/>
      <c r="X190" s="300"/>
      <c r="Y190" s="119">
        <v>0</v>
      </c>
      <c r="Z190" s="299"/>
      <c r="AA190" s="119"/>
      <c r="AB190" s="119"/>
      <c r="AC190" s="300"/>
      <c r="AD190" s="119">
        <v>0</v>
      </c>
      <c r="AE190" s="299"/>
      <c r="AF190" s="119"/>
      <c r="AG190" s="119"/>
      <c r="AH190" s="300"/>
      <c r="AI190" s="119">
        <v>0</v>
      </c>
      <c r="AJ190" s="299"/>
      <c r="AK190" s="119"/>
      <c r="AL190" s="119"/>
      <c r="AM190" s="300"/>
      <c r="AN190" s="119">
        <v>0</v>
      </c>
      <c r="AO190" s="299"/>
      <c r="AP190" s="119"/>
      <c r="AQ190" s="119"/>
      <c r="AR190" s="301"/>
      <c r="AS190" s="119">
        <v>0</v>
      </c>
      <c r="AT190" s="299"/>
      <c r="AU190" s="119"/>
      <c r="AV190" s="119"/>
      <c r="AW190" s="301"/>
      <c r="AX190" s="119">
        <v>0</v>
      </c>
      <c r="AY190" s="299"/>
      <c r="AZ190" s="119"/>
      <c r="BA190" s="119"/>
      <c r="BB190" s="301"/>
      <c r="BC190" s="119">
        <v>0</v>
      </c>
      <c r="BD190" s="299"/>
      <c r="BE190" s="119"/>
      <c r="BF190" s="119"/>
      <c r="BG190" s="301"/>
      <c r="BH190" s="119">
        <v>0</v>
      </c>
      <c r="BI190" s="304"/>
      <c r="BJ190" s="119"/>
      <c r="BK190" s="119"/>
      <c r="BL190" s="119"/>
      <c r="BM190" s="119"/>
      <c r="BN190" s="299"/>
      <c r="BO190" s="119"/>
      <c r="BP190" s="119"/>
      <c r="BQ190" s="119"/>
      <c r="BR190" s="119"/>
      <c r="BS190" s="299"/>
      <c r="BT190" s="299"/>
      <c r="BU190" s="299"/>
      <c r="BV190" s="299"/>
      <c r="BW190" s="122"/>
    </row>
    <row r="191" spans="1:75" s="123" customFormat="1" hidden="1" outlineLevel="4" x14ac:dyDescent="0.5">
      <c r="A191" s="298" t="s">
        <v>356</v>
      </c>
      <c r="B191" s="251"/>
      <c r="C191" s="299"/>
      <c r="D191" s="299"/>
      <c r="E191" s="299"/>
      <c r="F191" s="299"/>
      <c r="G191" s="300"/>
      <c r="H191" s="300"/>
      <c r="I191" s="300"/>
      <c r="J191" s="300"/>
      <c r="K191" s="299"/>
      <c r="L191" s="300"/>
      <c r="M191" s="300"/>
      <c r="N191" s="300"/>
      <c r="O191" s="300">
        <v>0</v>
      </c>
      <c r="P191" s="299"/>
      <c r="Q191" s="300"/>
      <c r="R191" s="300"/>
      <c r="S191" s="307">
        <v>-6.1</v>
      </c>
      <c r="T191" s="300">
        <v>0</v>
      </c>
      <c r="U191" s="305">
        <v>-6.1</v>
      </c>
      <c r="V191" s="300"/>
      <c r="W191" s="300"/>
      <c r="X191" s="300"/>
      <c r="Y191" s="119">
        <v>0</v>
      </c>
      <c r="Z191" s="299"/>
      <c r="AA191" s="119"/>
      <c r="AB191" s="119"/>
      <c r="AC191" s="300"/>
      <c r="AD191" s="119">
        <v>0</v>
      </c>
      <c r="AE191" s="299"/>
      <c r="AF191" s="119"/>
      <c r="AG191" s="119"/>
      <c r="AH191" s="300"/>
      <c r="AI191" s="119">
        <v>0</v>
      </c>
      <c r="AJ191" s="299"/>
      <c r="AK191" s="119"/>
      <c r="AL191" s="119"/>
      <c r="AM191" s="300"/>
      <c r="AN191" s="119">
        <v>0</v>
      </c>
      <c r="AO191" s="299"/>
      <c r="AP191" s="119"/>
      <c r="AQ191" s="119"/>
      <c r="AR191" s="301"/>
      <c r="AS191" s="119">
        <v>0</v>
      </c>
      <c r="AT191" s="299"/>
      <c r="AU191" s="119"/>
      <c r="AV191" s="119"/>
      <c r="AW191" s="301"/>
      <c r="AX191" s="119">
        <v>0</v>
      </c>
      <c r="AY191" s="299"/>
      <c r="AZ191" s="119"/>
      <c r="BA191" s="119"/>
      <c r="BB191" s="301"/>
      <c r="BC191" s="119">
        <v>0</v>
      </c>
      <c r="BD191" s="299"/>
      <c r="BE191" s="119"/>
      <c r="BF191" s="119"/>
      <c r="BG191" s="301"/>
      <c r="BH191" s="119">
        <v>0</v>
      </c>
      <c r="BI191" s="304"/>
      <c r="BJ191" s="119"/>
      <c r="BK191" s="119"/>
      <c r="BL191" s="119"/>
      <c r="BM191" s="119"/>
      <c r="BN191" s="299"/>
      <c r="BO191" s="119"/>
      <c r="BP191" s="119"/>
      <c r="BQ191" s="119"/>
      <c r="BR191" s="119"/>
      <c r="BS191" s="299"/>
      <c r="BT191" s="299"/>
      <c r="BU191" s="299"/>
      <c r="BV191" s="299"/>
      <c r="BW191" s="122"/>
    </row>
    <row r="192" spans="1:75" s="123" customFormat="1" hidden="1" outlineLevel="4" x14ac:dyDescent="0.5">
      <c r="A192" s="298" t="s">
        <v>357</v>
      </c>
      <c r="B192" s="251"/>
      <c r="C192" s="299"/>
      <c r="D192" s="299"/>
      <c r="E192" s="299"/>
      <c r="F192" s="299"/>
      <c r="G192" s="300"/>
      <c r="H192" s="300"/>
      <c r="I192" s="300"/>
      <c r="J192" s="300"/>
      <c r="K192" s="299"/>
      <c r="L192" s="300"/>
      <c r="M192" s="300"/>
      <c r="N192" s="300"/>
      <c r="O192" s="300">
        <v>0</v>
      </c>
      <c r="P192" s="299"/>
      <c r="Q192" s="300"/>
      <c r="R192" s="300"/>
      <c r="S192" s="307">
        <v>-8.4</v>
      </c>
      <c r="T192" s="300">
        <v>0</v>
      </c>
      <c r="U192" s="305">
        <v>-8.4</v>
      </c>
      <c r="V192" s="300"/>
      <c r="W192" s="300"/>
      <c r="X192" s="300"/>
      <c r="Y192" s="119">
        <v>0</v>
      </c>
      <c r="Z192" s="299"/>
      <c r="AA192" s="119"/>
      <c r="AB192" s="119"/>
      <c r="AC192" s="300"/>
      <c r="AD192" s="119">
        <v>0</v>
      </c>
      <c r="AE192" s="299"/>
      <c r="AF192" s="119"/>
      <c r="AG192" s="119"/>
      <c r="AH192" s="300"/>
      <c r="AI192" s="119">
        <v>0</v>
      </c>
      <c r="AJ192" s="299"/>
      <c r="AK192" s="119"/>
      <c r="AL192" s="119"/>
      <c r="AM192" s="300"/>
      <c r="AN192" s="119">
        <v>0</v>
      </c>
      <c r="AO192" s="299"/>
      <c r="AP192" s="119"/>
      <c r="AQ192" s="119"/>
      <c r="AR192" s="301"/>
      <c r="AS192" s="119">
        <v>0</v>
      </c>
      <c r="AT192" s="299"/>
      <c r="AU192" s="119"/>
      <c r="AV192" s="119"/>
      <c r="AW192" s="301"/>
      <c r="AX192" s="119">
        <v>0</v>
      </c>
      <c r="AY192" s="299"/>
      <c r="AZ192" s="119"/>
      <c r="BA192" s="119"/>
      <c r="BB192" s="301"/>
      <c r="BC192" s="119">
        <v>0</v>
      </c>
      <c r="BD192" s="299"/>
      <c r="BE192" s="119"/>
      <c r="BF192" s="119"/>
      <c r="BG192" s="301"/>
      <c r="BH192" s="119">
        <v>0</v>
      </c>
      <c r="BI192" s="304"/>
      <c r="BJ192" s="119"/>
      <c r="BK192" s="119"/>
      <c r="BL192" s="119"/>
      <c r="BM192" s="119"/>
      <c r="BN192" s="299"/>
      <c r="BO192" s="119"/>
      <c r="BP192" s="119"/>
      <c r="BQ192" s="119"/>
      <c r="BR192" s="119"/>
      <c r="BS192" s="299"/>
      <c r="BT192" s="299"/>
      <c r="BU192" s="299"/>
      <c r="BV192" s="299"/>
      <c r="BW192" s="122"/>
    </row>
    <row r="193" spans="1:75" s="123" customFormat="1" hidden="1" outlineLevel="4" x14ac:dyDescent="0.5">
      <c r="A193" s="298" t="s">
        <v>358</v>
      </c>
      <c r="B193" s="251"/>
      <c r="C193" s="299"/>
      <c r="D193" s="299"/>
      <c r="E193" s="299"/>
      <c r="F193" s="299"/>
      <c r="G193" s="300"/>
      <c r="H193" s="300"/>
      <c r="I193" s="300"/>
      <c r="J193" s="300"/>
      <c r="K193" s="299"/>
      <c r="L193" s="300"/>
      <c r="M193" s="300"/>
      <c r="N193" s="300"/>
      <c r="O193" s="300">
        <v>0</v>
      </c>
      <c r="P193" s="299"/>
      <c r="Q193" s="300"/>
      <c r="R193" s="300"/>
      <c r="S193" s="307">
        <v>-7.5</v>
      </c>
      <c r="T193" s="300">
        <v>0</v>
      </c>
      <c r="U193" s="305">
        <v>-7.5</v>
      </c>
      <c r="V193" s="300"/>
      <c r="W193" s="300"/>
      <c r="X193" s="300"/>
      <c r="Y193" s="119">
        <v>0</v>
      </c>
      <c r="Z193" s="299"/>
      <c r="AA193" s="119"/>
      <c r="AB193" s="119"/>
      <c r="AC193" s="300"/>
      <c r="AD193" s="119">
        <v>0</v>
      </c>
      <c r="AE193" s="299"/>
      <c r="AF193" s="119"/>
      <c r="AG193" s="119"/>
      <c r="AH193" s="300"/>
      <c r="AI193" s="119">
        <v>0</v>
      </c>
      <c r="AJ193" s="299"/>
      <c r="AK193" s="119"/>
      <c r="AL193" s="119"/>
      <c r="AM193" s="300"/>
      <c r="AN193" s="119">
        <v>0</v>
      </c>
      <c r="AO193" s="299"/>
      <c r="AP193" s="119"/>
      <c r="AQ193" s="119"/>
      <c r="AR193" s="301"/>
      <c r="AS193" s="119">
        <v>0</v>
      </c>
      <c r="AT193" s="299"/>
      <c r="AU193" s="119"/>
      <c r="AV193" s="119"/>
      <c r="AW193" s="301"/>
      <c r="AX193" s="119">
        <v>0</v>
      </c>
      <c r="AY193" s="299"/>
      <c r="AZ193" s="119"/>
      <c r="BA193" s="119"/>
      <c r="BB193" s="301"/>
      <c r="BC193" s="119">
        <v>0</v>
      </c>
      <c r="BD193" s="299"/>
      <c r="BE193" s="119"/>
      <c r="BF193" s="119"/>
      <c r="BG193" s="301"/>
      <c r="BH193" s="119">
        <v>0</v>
      </c>
      <c r="BI193" s="304"/>
      <c r="BJ193" s="119"/>
      <c r="BK193" s="119"/>
      <c r="BL193" s="119"/>
      <c r="BM193" s="119"/>
      <c r="BN193" s="299"/>
      <c r="BO193" s="119"/>
      <c r="BP193" s="119"/>
      <c r="BQ193" s="119"/>
      <c r="BR193" s="119"/>
      <c r="BS193" s="299"/>
      <c r="BT193" s="299"/>
      <c r="BU193" s="299"/>
      <c r="BV193" s="299"/>
      <c r="BW193" s="122"/>
    </row>
    <row r="194" spans="1:75" s="123" customFormat="1" hidden="1" outlineLevel="4" x14ac:dyDescent="0.5">
      <c r="A194" s="298" t="s">
        <v>359</v>
      </c>
      <c r="B194" s="251"/>
      <c r="C194" s="299"/>
      <c r="D194" s="299"/>
      <c r="E194" s="299"/>
      <c r="F194" s="299"/>
      <c r="G194" s="300"/>
      <c r="H194" s="300"/>
      <c r="I194" s="300"/>
      <c r="J194" s="300"/>
      <c r="K194" s="299"/>
      <c r="L194" s="300"/>
      <c r="M194" s="300"/>
      <c r="N194" s="300"/>
      <c r="O194" s="300">
        <v>0</v>
      </c>
      <c r="P194" s="299"/>
      <c r="Q194" s="300"/>
      <c r="R194" s="300"/>
      <c r="S194" s="300"/>
      <c r="T194" s="300">
        <v>-6.8</v>
      </c>
      <c r="U194" s="305">
        <v>-6.8</v>
      </c>
      <c r="V194" s="300"/>
      <c r="W194" s="300"/>
      <c r="X194" s="300"/>
      <c r="Y194" s="119">
        <v>0</v>
      </c>
      <c r="Z194" s="299"/>
      <c r="AA194" s="119"/>
      <c r="AB194" s="119"/>
      <c r="AC194" s="300"/>
      <c r="AD194" s="119">
        <v>0</v>
      </c>
      <c r="AE194" s="299"/>
      <c r="AF194" s="119"/>
      <c r="AG194" s="119"/>
      <c r="AH194" s="300"/>
      <c r="AI194" s="119">
        <v>0</v>
      </c>
      <c r="AJ194" s="299"/>
      <c r="AK194" s="119"/>
      <c r="AL194" s="119"/>
      <c r="AM194" s="300"/>
      <c r="AN194" s="119">
        <v>0</v>
      </c>
      <c r="AO194" s="299"/>
      <c r="AP194" s="119"/>
      <c r="AQ194" s="119"/>
      <c r="AR194" s="301"/>
      <c r="AS194" s="119">
        <v>0</v>
      </c>
      <c r="AT194" s="299"/>
      <c r="AU194" s="119"/>
      <c r="AV194" s="119"/>
      <c r="AW194" s="301"/>
      <c r="AX194" s="119">
        <v>0</v>
      </c>
      <c r="AY194" s="299"/>
      <c r="AZ194" s="119"/>
      <c r="BA194" s="119"/>
      <c r="BB194" s="301"/>
      <c r="BC194" s="119">
        <v>0</v>
      </c>
      <c r="BD194" s="299"/>
      <c r="BE194" s="119"/>
      <c r="BF194" s="119"/>
      <c r="BG194" s="301"/>
      <c r="BH194" s="119">
        <v>0</v>
      </c>
      <c r="BI194" s="304"/>
      <c r="BJ194" s="119"/>
      <c r="BK194" s="119"/>
      <c r="BL194" s="119"/>
      <c r="BM194" s="119"/>
      <c r="BN194" s="299"/>
      <c r="BO194" s="119"/>
      <c r="BP194" s="119"/>
      <c r="BQ194" s="119"/>
      <c r="BR194" s="119"/>
      <c r="BS194" s="299"/>
      <c r="BT194" s="299"/>
      <c r="BU194" s="299"/>
      <c r="BV194" s="299"/>
      <c r="BW194" s="122"/>
    </row>
    <row r="195" spans="1:75" s="123" customFormat="1" hidden="1" outlineLevel="4" x14ac:dyDescent="0.5">
      <c r="A195" s="298" t="s">
        <v>360</v>
      </c>
      <c r="B195" s="251"/>
      <c r="C195" s="299"/>
      <c r="D195" s="299"/>
      <c r="E195" s="299"/>
      <c r="F195" s="299"/>
      <c r="G195" s="300"/>
      <c r="H195" s="300"/>
      <c r="I195" s="300"/>
      <c r="J195" s="300"/>
      <c r="K195" s="299"/>
      <c r="L195" s="307">
        <v>-5.6</v>
      </c>
      <c r="M195" s="300"/>
      <c r="N195" s="300"/>
      <c r="O195" s="300">
        <v>0</v>
      </c>
      <c r="P195" s="305">
        <v>-5.6</v>
      </c>
      <c r="Q195" s="300"/>
      <c r="R195" s="300"/>
      <c r="S195" s="300"/>
      <c r="T195" s="300">
        <v>0</v>
      </c>
      <c r="U195" s="299"/>
      <c r="V195" s="300"/>
      <c r="W195" s="300"/>
      <c r="X195" s="300"/>
      <c r="Y195" s="119">
        <v>0</v>
      </c>
      <c r="Z195" s="299"/>
      <c r="AA195" s="119"/>
      <c r="AB195" s="119"/>
      <c r="AC195" s="300"/>
      <c r="AD195" s="119">
        <v>0</v>
      </c>
      <c r="AE195" s="299"/>
      <c r="AF195" s="119"/>
      <c r="AG195" s="119"/>
      <c r="AH195" s="300"/>
      <c r="AI195" s="119">
        <v>0</v>
      </c>
      <c r="AJ195" s="299"/>
      <c r="AK195" s="119"/>
      <c r="AL195" s="119"/>
      <c r="AM195" s="300"/>
      <c r="AN195" s="119">
        <v>0</v>
      </c>
      <c r="AO195" s="299"/>
      <c r="AP195" s="119"/>
      <c r="AQ195" s="119"/>
      <c r="AR195" s="301"/>
      <c r="AS195" s="119">
        <v>0</v>
      </c>
      <c r="AT195" s="299"/>
      <c r="AU195" s="119"/>
      <c r="AV195" s="119"/>
      <c r="AW195" s="301"/>
      <c r="AX195" s="119">
        <v>0</v>
      </c>
      <c r="AY195" s="299"/>
      <c r="AZ195" s="119"/>
      <c r="BA195" s="119"/>
      <c r="BB195" s="301"/>
      <c r="BC195" s="119">
        <v>0</v>
      </c>
      <c r="BD195" s="299"/>
      <c r="BE195" s="119"/>
      <c r="BF195" s="119"/>
      <c r="BG195" s="301"/>
      <c r="BH195" s="119">
        <v>0</v>
      </c>
      <c r="BI195" s="304"/>
      <c r="BJ195" s="119"/>
      <c r="BK195" s="119"/>
      <c r="BL195" s="119"/>
      <c r="BM195" s="119"/>
      <c r="BN195" s="299"/>
      <c r="BO195" s="119"/>
      <c r="BP195" s="119"/>
      <c r="BQ195" s="119"/>
      <c r="BR195" s="119"/>
      <c r="BS195" s="299"/>
      <c r="BT195" s="299"/>
      <c r="BU195" s="299"/>
      <c r="BV195" s="299"/>
      <c r="BW195" s="122"/>
    </row>
    <row r="196" spans="1:75" s="123" customFormat="1" hidden="1" outlineLevel="4" x14ac:dyDescent="0.5">
      <c r="A196" s="298" t="s">
        <v>361</v>
      </c>
      <c r="B196" s="251"/>
      <c r="C196" s="299"/>
      <c r="D196" s="299"/>
      <c r="E196" s="299"/>
      <c r="F196" s="299"/>
      <c r="G196" s="300"/>
      <c r="H196" s="300"/>
      <c r="I196" s="300"/>
      <c r="J196" s="300"/>
      <c r="K196" s="299"/>
      <c r="L196" s="300"/>
      <c r="M196" s="307">
        <v>-6.4</v>
      </c>
      <c r="N196" s="300"/>
      <c r="O196" s="300">
        <v>0</v>
      </c>
      <c r="P196" s="305">
        <v>-6.4</v>
      </c>
      <c r="Q196" s="300"/>
      <c r="R196" s="300"/>
      <c r="S196" s="300"/>
      <c r="T196" s="300">
        <v>0</v>
      </c>
      <c r="U196" s="299"/>
      <c r="V196" s="300"/>
      <c r="W196" s="300"/>
      <c r="X196" s="300"/>
      <c r="Y196" s="119">
        <v>0</v>
      </c>
      <c r="Z196" s="299"/>
      <c r="AA196" s="119"/>
      <c r="AB196" s="119"/>
      <c r="AC196" s="300"/>
      <c r="AD196" s="119">
        <v>0</v>
      </c>
      <c r="AE196" s="299"/>
      <c r="AF196" s="119"/>
      <c r="AG196" s="119"/>
      <c r="AH196" s="300"/>
      <c r="AI196" s="119">
        <v>0</v>
      </c>
      <c r="AJ196" s="299"/>
      <c r="AK196" s="119"/>
      <c r="AL196" s="119"/>
      <c r="AM196" s="300"/>
      <c r="AN196" s="119">
        <v>0</v>
      </c>
      <c r="AO196" s="299"/>
      <c r="AP196" s="119"/>
      <c r="AQ196" s="119"/>
      <c r="AR196" s="301"/>
      <c r="AS196" s="119">
        <v>0</v>
      </c>
      <c r="AT196" s="299"/>
      <c r="AU196" s="119"/>
      <c r="AV196" s="119"/>
      <c r="AW196" s="301"/>
      <c r="AX196" s="119">
        <v>0</v>
      </c>
      <c r="AY196" s="299"/>
      <c r="AZ196" s="119"/>
      <c r="BA196" s="119"/>
      <c r="BB196" s="301"/>
      <c r="BC196" s="119">
        <v>0</v>
      </c>
      <c r="BD196" s="299"/>
      <c r="BE196" s="119"/>
      <c r="BF196" s="119"/>
      <c r="BG196" s="301"/>
      <c r="BH196" s="119">
        <v>0</v>
      </c>
      <c r="BI196" s="304"/>
      <c r="BJ196" s="119"/>
      <c r="BK196" s="119"/>
      <c r="BL196" s="119"/>
      <c r="BM196" s="119"/>
      <c r="BN196" s="299"/>
      <c r="BO196" s="119"/>
      <c r="BP196" s="119"/>
      <c r="BQ196" s="119"/>
      <c r="BR196" s="119"/>
      <c r="BS196" s="299"/>
      <c r="BT196" s="299"/>
      <c r="BU196" s="299"/>
      <c r="BV196" s="299"/>
      <c r="BW196" s="122"/>
    </row>
    <row r="197" spans="1:75" s="123" customFormat="1" hidden="1" outlineLevel="4" x14ac:dyDescent="0.5">
      <c r="A197" s="298" t="s">
        <v>362</v>
      </c>
      <c r="B197" s="251"/>
      <c r="C197" s="299"/>
      <c r="D197" s="299"/>
      <c r="E197" s="299"/>
      <c r="F197" s="299"/>
      <c r="G197" s="300"/>
      <c r="H197" s="300"/>
      <c r="I197" s="300"/>
      <c r="J197" s="300"/>
      <c r="K197" s="299"/>
      <c r="L197" s="300"/>
      <c r="M197" s="307">
        <v>-5.0999999999999996</v>
      </c>
      <c r="N197" s="300"/>
      <c r="O197" s="300">
        <v>9.9999999999999645E-2</v>
      </c>
      <c r="P197" s="305">
        <v>-5</v>
      </c>
      <c r="Q197" s="300"/>
      <c r="R197" s="300"/>
      <c r="S197" s="300"/>
      <c r="T197" s="300">
        <v>0</v>
      </c>
      <c r="U197" s="299"/>
      <c r="V197" s="300"/>
      <c r="W197" s="300"/>
      <c r="X197" s="300"/>
      <c r="Y197" s="119">
        <v>0</v>
      </c>
      <c r="Z197" s="299"/>
      <c r="AA197" s="119"/>
      <c r="AB197" s="119"/>
      <c r="AC197" s="300"/>
      <c r="AD197" s="119">
        <v>0</v>
      </c>
      <c r="AE197" s="299"/>
      <c r="AF197" s="119"/>
      <c r="AG197" s="119"/>
      <c r="AH197" s="300"/>
      <c r="AI197" s="119">
        <v>0</v>
      </c>
      <c r="AJ197" s="299"/>
      <c r="AK197" s="119"/>
      <c r="AL197" s="119"/>
      <c r="AM197" s="300"/>
      <c r="AN197" s="119">
        <v>0</v>
      </c>
      <c r="AO197" s="299"/>
      <c r="AP197" s="119"/>
      <c r="AQ197" s="119"/>
      <c r="AR197" s="301"/>
      <c r="AS197" s="119">
        <v>0</v>
      </c>
      <c r="AT197" s="299"/>
      <c r="AU197" s="119"/>
      <c r="AV197" s="119"/>
      <c r="AW197" s="301"/>
      <c r="AX197" s="119">
        <v>0</v>
      </c>
      <c r="AY197" s="299"/>
      <c r="AZ197" s="119"/>
      <c r="BA197" s="119"/>
      <c r="BB197" s="301"/>
      <c r="BC197" s="119">
        <v>0</v>
      </c>
      <c r="BD197" s="299"/>
      <c r="BE197" s="119"/>
      <c r="BF197" s="119"/>
      <c r="BG197" s="301"/>
      <c r="BH197" s="119">
        <v>0</v>
      </c>
      <c r="BI197" s="304"/>
      <c r="BJ197" s="119"/>
      <c r="BK197" s="119"/>
      <c r="BL197" s="119"/>
      <c r="BM197" s="119"/>
      <c r="BN197" s="299"/>
      <c r="BO197" s="119"/>
      <c r="BP197" s="119"/>
      <c r="BQ197" s="119"/>
      <c r="BR197" s="119"/>
      <c r="BS197" s="299"/>
      <c r="BT197" s="299"/>
      <c r="BU197" s="299"/>
      <c r="BV197" s="299"/>
      <c r="BW197" s="122"/>
    </row>
    <row r="198" spans="1:75" s="123" customFormat="1" hidden="1" outlineLevel="4" x14ac:dyDescent="0.5">
      <c r="A198" s="298" t="s">
        <v>363</v>
      </c>
      <c r="B198" s="251"/>
      <c r="C198" s="299"/>
      <c r="D198" s="299"/>
      <c r="E198" s="299"/>
      <c r="F198" s="299"/>
      <c r="G198" s="300"/>
      <c r="H198" s="300"/>
      <c r="I198" s="300"/>
      <c r="J198" s="300"/>
      <c r="K198" s="299"/>
      <c r="L198" s="300"/>
      <c r="M198" s="300"/>
      <c r="N198" s="300"/>
      <c r="O198" s="300">
        <v>-7.3</v>
      </c>
      <c r="P198" s="305">
        <v>-7.3</v>
      </c>
      <c r="Q198" s="300"/>
      <c r="R198" s="300"/>
      <c r="S198" s="300"/>
      <c r="T198" s="300">
        <v>0</v>
      </c>
      <c r="U198" s="299"/>
      <c r="V198" s="300"/>
      <c r="W198" s="300"/>
      <c r="X198" s="300"/>
      <c r="Y198" s="119">
        <v>0</v>
      </c>
      <c r="Z198" s="299"/>
      <c r="AA198" s="119"/>
      <c r="AB198" s="119"/>
      <c r="AC198" s="300"/>
      <c r="AD198" s="119">
        <v>0</v>
      </c>
      <c r="AE198" s="299"/>
      <c r="AF198" s="119"/>
      <c r="AG198" s="119"/>
      <c r="AH198" s="300"/>
      <c r="AI198" s="119">
        <v>0</v>
      </c>
      <c r="AJ198" s="299"/>
      <c r="AK198" s="119"/>
      <c r="AL198" s="119"/>
      <c r="AM198" s="300"/>
      <c r="AN198" s="119">
        <v>0</v>
      </c>
      <c r="AO198" s="299"/>
      <c r="AP198" s="119"/>
      <c r="AQ198" s="119"/>
      <c r="AR198" s="301"/>
      <c r="AS198" s="119">
        <v>0</v>
      </c>
      <c r="AT198" s="299"/>
      <c r="AU198" s="119"/>
      <c r="AV198" s="119"/>
      <c r="AW198" s="301"/>
      <c r="AX198" s="119">
        <v>0</v>
      </c>
      <c r="AY198" s="299"/>
      <c r="AZ198" s="119"/>
      <c r="BA198" s="119"/>
      <c r="BB198" s="301"/>
      <c r="BC198" s="119">
        <v>0</v>
      </c>
      <c r="BD198" s="299"/>
      <c r="BE198" s="119"/>
      <c r="BF198" s="119"/>
      <c r="BG198" s="301"/>
      <c r="BH198" s="119">
        <v>0</v>
      </c>
      <c r="BI198" s="304"/>
      <c r="BJ198" s="119"/>
      <c r="BK198" s="119"/>
      <c r="BL198" s="119"/>
      <c r="BM198" s="119"/>
      <c r="BN198" s="299"/>
      <c r="BO198" s="119"/>
      <c r="BP198" s="119"/>
      <c r="BQ198" s="119"/>
      <c r="BR198" s="119"/>
      <c r="BS198" s="299"/>
      <c r="BT198" s="299"/>
      <c r="BU198" s="299"/>
      <c r="BV198" s="299"/>
      <c r="BW198" s="122"/>
    </row>
    <row r="199" spans="1:75" s="123" customFormat="1" hidden="1" outlineLevel="4" x14ac:dyDescent="0.5">
      <c r="A199" s="308" t="s">
        <v>364</v>
      </c>
      <c r="B199" s="274"/>
      <c r="C199" s="309"/>
      <c r="D199" s="309"/>
      <c r="E199" s="309"/>
      <c r="F199" s="309"/>
      <c r="G199" s="310"/>
      <c r="H199" s="310"/>
      <c r="I199" s="310"/>
      <c r="J199" s="310"/>
      <c r="K199" s="309"/>
      <c r="L199" s="310"/>
      <c r="M199" s="310"/>
      <c r="N199" s="310"/>
      <c r="O199" s="310">
        <v>-7.1</v>
      </c>
      <c r="P199" s="311">
        <v>-7.1</v>
      </c>
      <c r="Q199" s="310"/>
      <c r="R199" s="310"/>
      <c r="S199" s="310"/>
      <c r="T199" s="310">
        <v>0</v>
      </c>
      <c r="U199" s="309"/>
      <c r="V199" s="310"/>
      <c r="W199" s="310"/>
      <c r="X199" s="310"/>
      <c r="Y199" s="312">
        <v>0</v>
      </c>
      <c r="Z199" s="309"/>
      <c r="AA199" s="312"/>
      <c r="AB199" s="312"/>
      <c r="AC199" s="310"/>
      <c r="AD199" s="312">
        <v>0</v>
      </c>
      <c r="AE199" s="309"/>
      <c r="AF199" s="312"/>
      <c r="AG199" s="312"/>
      <c r="AH199" s="310"/>
      <c r="AI199" s="312">
        <v>0</v>
      </c>
      <c r="AJ199" s="309"/>
      <c r="AK199" s="312"/>
      <c r="AL199" s="312"/>
      <c r="AM199" s="310"/>
      <c r="AN199" s="312">
        <v>0</v>
      </c>
      <c r="AO199" s="309"/>
      <c r="AP199" s="312"/>
      <c r="AQ199" s="312"/>
      <c r="AR199" s="313"/>
      <c r="AS199" s="312">
        <v>0</v>
      </c>
      <c r="AT199" s="309"/>
      <c r="AU199" s="312"/>
      <c r="AV199" s="312"/>
      <c r="AW199" s="313"/>
      <c r="AX199" s="312">
        <v>0</v>
      </c>
      <c r="AY199" s="309"/>
      <c r="AZ199" s="312"/>
      <c r="BA199" s="312"/>
      <c r="BB199" s="313"/>
      <c r="BC199" s="312">
        <v>0</v>
      </c>
      <c r="BD199" s="309"/>
      <c r="BE199" s="312"/>
      <c r="BF199" s="312"/>
      <c r="BG199" s="313"/>
      <c r="BH199" s="312">
        <v>0</v>
      </c>
      <c r="BI199" s="314"/>
      <c r="BJ199" s="312"/>
      <c r="BK199" s="312"/>
      <c r="BL199" s="312"/>
      <c r="BM199" s="312"/>
      <c r="BN199" s="309"/>
      <c r="BO199" s="312"/>
      <c r="BP199" s="312"/>
      <c r="BQ199" s="312"/>
      <c r="BR199" s="312"/>
      <c r="BS199" s="309"/>
      <c r="BT199" s="309"/>
      <c r="BU199" s="309"/>
      <c r="BV199" s="309"/>
      <c r="BW199" s="122"/>
    </row>
    <row r="200" spans="1:75" s="123" customFormat="1" hidden="1" outlineLevel="3" x14ac:dyDescent="0.5">
      <c r="A200" s="315" t="s">
        <v>365</v>
      </c>
      <c r="B200" s="251"/>
      <c r="C200" s="299"/>
      <c r="D200" s="299"/>
      <c r="E200" s="299"/>
      <c r="F200" s="299"/>
      <c r="G200" s="300"/>
      <c r="H200" s="300"/>
      <c r="I200" s="300"/>
      <c r="J200" s="300"/>
      <c r="K200" s="299"/>
      <c r="L200" s="300">
        <v>-5.6</v>
      </c>
      <c r="M200" s="300">
        <v>-11.5</v>
      </c>
      <c r="N200" s="300">
        <v>0</v>
      </c>
      <c r="O200" s="300">
        <v>-14.3</v>
      </c>
      <c r="P200" s="299">
        <v>-31.4</v>
      </c>
      <c r="Q200" s="300">
        <v>-6.1</v>
      </c>
      <c r="R200" s="300">
        <v>0</v>
      </c>
      <c r="S200" s="300">
        <v>-22</v>
      </c>
      <c r="T200" s="300">
        <v>-11.1</v>
      </c>
      <c r="U200" s="299">
        <v>-39.199999999999996</v>
      </c>
      <c r="V200" s="300">
        <v>0</v>
      </c>
      <c r="W200" s="300">
        <v>0</v>
      </c>
      <c r="X200" s="300">
        <v>-16.100000000000001</v>
      </c>
      <c r="Y200" s="119">
        <v>-13.8</v>
      </c>
      <c r="Z200" s="299">
        <v>-29.900000000000002</v>
      </c>
      <c r="AA200" s="119">
        <v>0</v>
      </c>
      <c r="AB200" s="119">
        <v>0</v>
      </c>
      <c r="AC200" s="300">
        <v>-14.6</v>
      </c>
      <c r="AD200" s="119">
        <v>-7.1</v>
      </c>
      <c r="AE200" s="299">
        <v>-21.7</v>
      </c>
      <c r="AF200" s="119">
        <v>-4.7</v>
      </c>
      <c r="AG200" s="119">
        <v>-12.7</v>
      </c>
      <c r="AH200" s="300">
        <v>-21.4</v>
      </c>
      <c r="AI200" s="119">
        <v>0</v>
      </c>
      <c r="AJ200" s="299">
        <v>-38.799999999999997</v>
      </c>
      <c r="AK200" s="119">
        <v>0</v>
      </c>
      <c r="AL200" s="119">
        <v>0</v>
      </c>
      <c r="AM200" s="300">
        <v>-13.3</v>
      </c>
      <c r="AN200" s="119">
        <v>-11.9</v>
      </c>
      <c r="AO200" s="299">
        <v>-25.2</v>
      </c>
      <c r="AP200" s="119">
        <v>0</v>
      </c>
      <c r="AQ200" s="119">
        <v>-20.5</v>
      </c>
      <c r="AR200" s="301">
        <v>0</v>
      </c>
      <c r="AS200" s="119">
        <v>0</v>
      </c>
      <c r="AT200" s="299">
        <v>-20.5</v>
      </c>
      <c r="AU200" s="119">
        <v>0</v>
      </c>
      <c r="AV200" s="119">
        <v>-8.4</v>
      </c>
      <c r="AW200" s="301">
        <v>-10</v>
      </c>
      <c r="AX200" s="119">
        <v>0</v>
      </c>
      <c r="AY200" s="299">
        <v>-18.399999999999999</v>
      </c>
      <c r="AZ200" s="119">
        <v>0</v>
      </c>
      <c r="BA200" s="119">
        <v>-4.8</v>
      </c>
      <c r="BB200" s="301">
        <v>0</v>
      </c>
      <c r="BC200" s="119">
        <v>0</v>
      </c>
      <c r="BD200" s="299">
        <v>-4.8</v>
      </c>
      <c r="BE200" s="119">
        <v>0</v>
      </c>
      <c r="BF200" s="119">
        <v>0</v>
      </c>
      <c r="BG200" s="301">
        <v>0</v>
      </c>
      <c r="BH200" s="119">
        <v>-5.7</v>
      </c>
      <c r="BI200" s="304">
        <v>-5.7</v>
      </c>
      <c r="BJ200" s="119">
        <v>0</v>
      </c>
      <c r="BK200" s="119">
        <v>0</v>
      </c>
      <c r="BL200" s="119">
        <v>0</v>
      </c>
      <c r="BM200" s="119">
        <v>0</v>
      </c>
      <c r="BN200" s="299">
        <v>0</v>
      </c>
      <c r="BO200" s="119">
        <v>0</v>
      </c>
      <c r="BP200" s="119">
        <v>0</v>
      </c>
      <c r="BQ200" s="119">
        <v>0</v>
      </c>
      <c r="BR200" s="119">
        <v>0</v>
      </c>
      <c r="BS200" s="299">
        <v>0</v>
      </c>
      <c r="BT200" s="299">
        <v>0</v>
      </c>
      <c r="BU200" s="299">
        <v>0</v>
      </c>
      <c r="BV200" s="299">
        <v>0</v>
      </c>
      <c r="BW200" s="122"/>
    </row>
    <row r="201" spans="1:75" s="123" customFormat="1" hidden="1" outlineLevel="4" x14ac:dyDescent="0.5">
      <c r="A201" s="298" t="s">
        <v>366</v>
      </c>
      <c r="B201" s="251"/>
      <c r="C201" s="299"/>
      <c r="D201" s="299"/>
      <c r="E201" s="299"/>
      <c r="F201" s="299"/>
      <c r="G201" s="300"/>
      <c r="H201" s="300"/>
      <c r="I201" s="300"/>
      <c r="J201" s="300"/>
      <c r="K201" s="299"/>
      <c r="L201" s="300"/>
      <c r="M201" s="300"/>
      <c r="N201" s="300"/>
      <c r="O201" s="300">
        <v>0</v>
      </c>
      <c r="P201" s="299"/>
      <c r="Q201" s="300"/>
      <c r="R201" s="300"/>
      <c r="S201" s="300"/>
      <c r="T201" s="300">
        <v>0</v>
      </c>
      <c r="U201" s="299"/>
      <c r="V201" s="300"/>
      <c r="W201" s="300"/>
      <c r="X201" s="300"/>
      <c r="Y201" s="119">
        <v>0</v>
      </c>
      <c r="Z201" s="299"/>
      <c r="AA201" s="119"/>
      <c r="AB201" s="119"/>
      <c r="AC201" s="300"/>
      <c r="AD201" s="119">
        <v>0</v>
      </c>
      <c r="AE201" s="299"/>
      <c r="AF201" s="119"/>
      <c r="AG201" s="119"/>
      <c r="AH201" s="300"/>
      <c r="AI201" s="119">
        <v>0</v>
      </c>
      <c r="AJ201" s="299"/>
      <c r="AK201" s="119"/>
      <c r="AL201" s="119"/>
      <c r="AM201" s="300"/>
      <c r="AN201" s="119">
        <v>0</v>
      </c>
      <c r="AO201" s="299"/>
      <c r="AP201" s="119"/>
      <c r="AQ201" s="119"/>
      <c r="AR201" s="301"/>
      <c r="AS201" s="119">
        <v>0</v>
      </c>
      <c r="AT201" s="299"/>
      <c r="AU201" s="119"/>
      <c r="AV201" s="119"/>
      <c r="AW201" s="301"/>
      <c r="AX201" s="119">
        <v>0</v>
      </c>
      <c r="AY201" s="299"/>
      <c r="AZ201" s="119"/>
      <c r="BA201" s="119"/>
      <c r="BB201" s="301"/>
      <c r="BC201" s="119">
        <v>0</v>
      </c>
      <c r="BD201" s="299"/>
      <c r="BE201" s="119"/>
      <c r="BF201" s="302">
        <v>1.5</v>
      </c>
      <c r="BG201" s="301"/>
      <c r="BH201" s="119">
        <v>0</v>
      </c>
      <c r="BI201" s="303">
        <v>1.5</v>
      </c>
      <c r="BJ201" s="119"/>
      <c r="BK201" s="119"/>
      <c r="BL201" s="119"/>
      <c r="BM201" s="119"/>
      <c r="BN201" s="299"/>
      <c r="BO201" s="119"/>
      <c r="BP201" s="119"/>
      <c r="BQ201" s="119"/>
      <c r="BR201" s="119"/>
      <c r="BS201" s="299"/>
      <c r="BT201" s="299"/>
      <c r="BU201" s="299"/>
      <c r="BV201" s="299"/>
      <c r="BW201" s="122"/>
    </row>
    <row r="202" spans="1:75" s="123" customFormat="1" hidden="1" outlineLevel="4" x14ac:dyDescent="0.5">
      <c r="A202" s="298" t="s">
        <v>367</v>
      </c>
      <c r="B202" s="251"/>
      <c r="C202" s="299"/>
      <c r="D202" s="299"/>
      <c r="E202" s="299"/>
      <c r="F202" s="299"/>
      <c r="G202" s="300"/>
      <c r="H202" s="300"/>
      <c r="I202" s="300"/>
      <c r="J202" s="300"/>
      <c r="K202" s="299"/>
      <c r="L202" s="300"/>
      <c r="M202" s="300"/>
      <c r="N202" s="300"/>
      <c r="O202" s="300">
        <v>0</v>
      </c>
      <c r="P202" s="299"/>
      <c r="Q202" s="300"/>
      <c r="R202" s="300"/>
      <c r="S202" s="300"/>
      <c r="T202" s="300">
        <v>0</v>
      </c>
      <c r="U202" s="299"/>
      <c r="V202" s="300"/>
      <c r="W202" s="300"/>
      <c r="X202" s="300"/>
      <c r="Y202" s="119">
        <v>0</v>
      </c>
      <c r="Z202" s="299"/>
      <c r="AA202" s="119"/>
      <c r="AB202" s="119"/>
      <c r="AC202" s="300"/>
      <c r="AD202" s="119">
        <v>0</v>
      </c>
      <c r="AE202" s="299"/>
      <c r="AF202" s="119"/>
      <c r="AG202" s="119"/>
      <c r="AH202" s="300"/>
      <c r="AI202" s="119">
        <v>0</v>
      </c>
      <c r="AJ202" s="299"/>
      <c r="AK202" s="119"/>
      <c r="AL202" s="119"/>
      <c r="AM202" s="300"/>
      <c r="AN202" s="119">
        <v>0</v>
      </c>
      <c r="AO202" s="299"/>
      <c r="AP202" s="119"/>
      <c r="AQ202" s="119"/>
      <c r="AR202" s="301"/>
      <c r="AS202" s="119">
        <v>0</v>
      </c>
      <c r="AT202" s="299"/>
      <c r="AU202" s="119"/>
      <c r="AV202" s="119"/>
      <c r="AW202" s="301"/>
      <c r="AX202" s="119">
        <v>0</v>
      </c>
      <c r="AY202" s="299"/>
      <c r="AZ202" s="119"/>
      <c r="BA202" s="119"/>
      <c r="BB202" s="301"/>
      <c r="BC202" s="119">
        <v>0</v>
      </c>
      <c r="BD202" s="299"/>
      <c r="BE202" s="119"/>
      <c r="BF202" s="119"/>
      <c r="BG202" s="301"/>
      <c r="BH202" s="119">
        <v>0.1</v>
      </c>
      <c r="BI202" s="303">
        <v>0.1</v>
      </c>
      <c r="BJ202" s="119"/>
      <c r="BK202" s="119"/>
      <c r="BL202" s="119"/>
      <c r="BM202" s="119"/>
      <c r="BN202" s="299"/>
      <c r="BO202" s="119"/>
      <c r="BP202" s="119"/>
      <c r="BQ202" s="119"/>
      <c r="BR202" s="119"/>
      <c r="BS202" s="299"/>
      <c r="BT202" s="299"/>
      <c r="BU202" s="299"/>
      <c r="BV202" s="299"/>
      <c r="BW202" s="122"/>
    </row>
    <row r="203" spans="1:75" s="123" customFormat="1" hidden="1" outlineLevel="4" x14ac:dyDescent="0.5">
      <c r="A203" s="298" t="s">
        <v>368</v>
      </c>
      <c r="B203" s="251"/>
      <c r="C203" s="299"/>
      <c r="D203" s="299"/>
      <c r="E203" s="299"/>
      <c r="F203" s="299"/>
      <c r="G203" s="300"/>
      <c r="H203" s="300"/>
      <c r="I203" s="300"/>
      <c r="J203" s="300"/>
      <c r="K203" s="299"/>
      <c r="L203" s="300"/>
      <c r="M203" s="300"/>
      <c r="N203" s="300"/>
      <c r="O203" s="300">
        <v>0</v>
      </c>
      <c r="P203" s="299"/>
      <c r="Q203" s="300"/>
      <c r="R203" s="300"/>
      <c r="S203" s="300"/>
      <c r="T203" s="300">
        <v>0</v>
      </c>
      <c r="U203" s="299"/>
      <c r="V203" s="300"/>
      <c r="W203" s="300"/>
      <c r="X203" s="300"/>
      <c r="Y203" s="119">
        <v>0</v>
      </c>
      <c r="Z203" s="299"/>
      <c r="AA203" s="119"/>
      <c r="AB203" s="119"/>
      <c r="AC203" s="300"/>
      <c r="AD203" s="119">
        <v>0</v>
      </c>
      <c r="AE203" s="299"/>
      <c r="AF203" s="119"/>
      <c r="AG203" s="119"/>
      <c r="AH203" s="300"/>
      <c r="AI203" s="119">
        <v>0</v>
      </c>
      <c r="AJ203" s="299"/>
      <c r="AK203" s="119"/>
      <c r="AL203" s="119"/>
      <c r="AM203" s="300"/>
      <c r="AN203" s="119">
        <v>0</v>
      </c>
      <c r="AO203" s="299"/>
      <c r="AP203" s="119"/>
      <c r="AQ203" s="119"/>
      <c r="AR203" s="301"/>
      <c r="AS203" s="119">
        <v>0</v>
      </c>
      <c r="AT203" s="299"/>
      <c r="AU203" s="119"/>
      <c r="AV203" s="119"/>
      <c r="AW203" s="301"/>
      <c r="AX203" s="119">
        <v>0</v>
      </c>
      <c r="AY203" s="299"/>
      <c r="AZ203" s="119"/>
      <c r="BA203" s="119"/>
      <c r="BB203" s="301"/>
      <c r="BC203" s="119">
        <v>-5.3</v>
      </c>
      <c r="BD203" s="305">
        <v>-5.3</v>
      </c>
      <c r="BE203" s="119"/>
      <c r="BF203" s="119"/>
      <c r="BG203" s="301"/>
      <c r="BH203" s="119">
        <v>0</v>
      </c>
      <c r="BI203" s="304"/>
      <c r="BJ203" s="119"/>
      <c r="BK203" s="119"/>
      <c r="BL203" s="119"/>
      <c r="BM203" s="119"/>
      <c r="BN203" s="299"/>
      <c r="BO203" s="119"/>
      <c r="BP203" s="119"/>
      <c r="BQ203" s="119"/>
      <c r="BR203" s="119"/>
      <c r="BS203" s="299"/>
      <c r="BT203" s="299"/>
      <c r="BU203" s="299"/>
      <c r="BV203" s="299"/>
      <c r="BW203" s="122"/>
    </row>
    <row r="204" spans="1:75" s="123" customFormat="1" hidden="1" outlineLevel="4" x14ac:dyDescent="0.5">
      <c r="A204" s="298" t="s">
        <v>369</v>
      </c>
      <c r="B204" s="251"/>
      <c r="C204" s="299"/>
      <c r="D204" s="299"/>
      <c r="E204" s="299"/>
      <c r="F204" s="299"/>
      <c r="G204" s="300"/>
      <c r="H204" s="300"/>
      <c r="I204" s="300"/>
      <c r="J204" s="300"/>
      <c r="K204" s="299"/>
      <c r="L204" s="300"/>
      <c r="M204" s="300"/>
      <c r="N204" s="300"/>
      <c r="O204" s="300">
        <v>0</v>
      </c>
      <c r="P204" s="299"/>
      <c r="Q204" s="300"/>
      <c r="R204" s="300"/>
      <c r="S204" s="300"/>
      <c r="T204" s="300">
        <v>0</v>
      </c>
      <c r="U204" s="299"/>
      <c r="V204" s="300"/>
      <c r="W204" s="300"/>
      <c r="X204" s="300"/>
      <c r="Y204" s="119">
        <v>0</v>
      </c>
      <c r="Z204" s="299"/>
      <c r="AA204" s="119"/>
      <c r="AB204" s="119"/>
      <c r="AC204" s="300"/>
      <c r="AD204" s="119">
        <v>0</v>
      </c>
      <c r="AE204" s="299"/>
      <c r="AF204" s="119"/>
      <c r="AG204" s="119"/>
      <c r="AH204" s="300"/>
      <c r="AI204" s="119">
        <v>0</v>
      </c>
      <c r="AJ204" s="299"/>
      <c r="AK204" s="119"/>
      <c r="AL204" s="119"/>
      <c r="AM204" s="300"/>
      <c r="AN204" s="119">
        <v>0</v>
      </c>
      <c r="AO204" s="299"/>
      <c r="AP204" s="119"/>
      <c r="AQ204" s="119"/>
      <c r="AR204" s="301"/>
      <c r="AS204" s="119">
        <v>0</v>
      </c>
      <c r="AT204" s="299"/>
      <c r="AU204" s="119"/>
      <c r="AV204" s="119"/>
      <c r="AW204" s="306">
        <v>8.5</v>
      </c>
      <c r="AX204" s="119">
        <v>0</v>
      </c>
      <c r="AY204" s="305">
        <v>8.5</v>
      </c>
      <c r="AZ204" s="119"/>
      <c r="BA204" s="119"/>
      <c r="BB204" s="301"/>
      <c r="BC204" s="119">
        <v>0</v>
      </c>
      <c r="BD204" s="299"/>
      <c r="BE204" s="119"/>
      <c r="BF204" s="119"/>
      <c r="BG204" s="301"/>
      <c r="BH204" s="119">
        <v>0</v>
      </c>
      <c r="BI204" s="304"/>
      <c r="BJ204" s="119"/>
      <c r="BK204" s="119"/>
      <c r="BL204" s="119"/>
      <c r="BM204" s="119"/>
      <c r="BN204" s="299"/>
      <c r="BO204" s="119"/>
      <c r="BP204" s="119"/>
      <c r="BQ204" s="119"/>
      <c r="BR204" s="119"/>
      <c r="BS204" s="299"/>
      <c r="BT204" s="299"/>
      <c r="BU204" s="299"/>
      <c r="BV204" s="299"/>
      <c r="BW204" s="122"/>
    </row>
    <row r="205" spans="1:75" s="123" customFormat="1" hidden="1" outlineLevel="4" x14ac:dyDescent="0.5">
      <c r="A205" s="298" t="s">
        <v>370</v>
      </c>
      <c r="B205" s="251"/>
      <c r="C205" s="299"/>
      <c r="D205" s="299"/>
      <c r="E205" s="299"/>
      <c r="F205" s="299"/>
      <c r="G205" s="300"/>
      <c r="H205" s="300"/>
      <c r="I205" s="300"/>
      <c r="J205" s="300"/>
      <c r="K205" s="299"/>
      <c r="L205" s="300"/>
      <c r="M205" s="300"/>
      <c r="N205" s="300"/>
      <c r="O205" s="300">
        <v>0</v>
      </c>
      <c r="P205" s="299"/>
      <c r="Q205" s="300"/>
      <c r="R205" s="300"/>
      <c r="S205" s="300"/>
      <c r="T205" s="300">
        <v>0</v>
      </c>
      <c r="U205" s="299"/>
      <c r="V205" s="300"/>
      <c r="W205" s="300"/>
      <c r="X205" s="300"/>
      <c r="Y205" s="119">
        <v>0</v>
      </c>
      <c r="Z205" s="299"/>
      <c r="AA205" s="119"/>
      <c r="AB205" s="119"/>
      <c r="AC205" s="300"/>
      <c r="AD205" s="119">
        <v>0</v>
      </c>
      <c r="AE205" s="299"/>
      <c r="AF205" s="119"/>
      <c r="AG205" s="119"/>
      <c r="AH205" s="300"/>
      <c r="AI205" s="119">
        <v>0</v>
      </c>
      <c r="AJ205" s="299"/>
      <c r="AK205" s="119"/>
      <c r="AL205" s="119"/>
      <c r="AM205" s="300"/>
      <c r="AN205" s="119">
        <v>0</v>
      </c>
      <c r="AO205" s="299"/>
      <c r="AP205" s="119"/>
      <c r="AQ205" s="119"/>
      <c r="AR205" s="301"/>
      <c r="AS205" s="119">
        <v>2.9</v>
      </c>
      <c r="AT205" s="305">
        <v>2.9</v>
      </c>
      <c r="AU205" s="119"/>
      <c r="AV205" s="119"/>
      <c r="AW205" s="301"/>
      <c r="AX205" s="119">
        <v>0</v>
      </c>
      <c r="AY205" s="299"/>
      <c r="AZ205" s="119"/>
      <c r="BA205" s="119"/>
      <c r="BB205" s="301"/>
      <c r="BC205" s="119">
        <v>0</v>
      </c>
      <c r="BD205" s="299"/>
      <c r="BE205" s="119"/>
      <c r="BF205" s="119"/>
      <c r="BG205" s="301"/>
      <c r="BH205" s="119">
        <v>0</v>
      </c>
      <c r="BI205" s="304"/>
      <c r="BJ205" s="119"/>
      <c r="BK205" s="119"/>
      <c r="BL205" s="119"/>
      <c r="BM205" s="119"/>
      <c r="BN205" s="299"/>
      <c r="BO205" s="119"/>
      <c r="BP205" s="119"/>
      <c r="BQ205" s="119"/>
      <c r="BR205" s="119"/>
      <c r="BS205" s="299"/>
      <c r="BT205" s="299"/>
      <c r="BU205" s="299"/>
      <c r="BV205" s="299"/>
      <c r="BW205" s="122"/>
    </row>
    <row r="206" spans="1:75" s="123" customFormat="1" hidden="1" outlineLevel="4" x14ac:dyDescent="0.5">
      <c r="A206" s="298" t="s">
        <v>371</v>
      </c>
      <c r="B206" s="251"/>
      <c r="C206" s="299"/>
      <c r="D206" s="299"/>
      <c r="E206" s="299"/>
      <c r="F206" s="299"/>
      <c r="G206" s="300"/>
      <c r="H206" s="300"/>
      <c r="I206" s="300"/>
      <c r="J206" s="300"/>
      <c r="K206" s="299"/>
      <c r="L206" s="300"/>
      <c r="M206" s="300"/>
      <c r="N206" s="300"/>
      <c r="O206" s="300">
        <v>0</v>
      </c>
      <c r="P206" s="299"/>
      <c r="Q206" s="300"/>
      <c r="R206" s="300"/>
      <c r="S206" s="300"/>
      <c r="T206" s="300">
        <v>0</v>
      </c>
      <c r="U206" s="299"/>
      <c r="V206" s="300"/>
      <c r="W206" s="300"/>
      <c r="X206" s="300"/>
      <c r="Y206" s="119">
        <v>0</v>
      </c>
      <c r="Z206" s="299"/>
      <c r="AA206" s="119"/>
      <c r="AB206" s="119"/>
      <c r="AC206" s="300"/>
      <c r="AD206" s="119">
        <v>0</v>
      </c>
      <c r="AE206" s="299"/>
      <c r="AF206" s="119"/>
      <c r="AG206" s="119"/>
      <c r="AH206" s="300"/>
      <c r="AI206" s="119">
        <v>0</v>
      </c>
      <c r="AJ206" s="299"/>
      <c r="AK206" s="119"/>
      <c r="AL206" s="119"/>
      <c r="AM206" s="300"/>
      <c r="AN206" s="119">
        <v>0.5</v>
      </c>
      <c r="AO206" s="305">
        <v>0.5</v>
      </c>
      <c r="AP206" s="119"/>
      <c r="AQ206" s="119"/>
      <c r="AR206" s="301"/>
      <c r="AS206" s="119">
        <v>0</v>
      </c>
      <c r="AT206" s="299"/>
      <c r="AU206" s="119"/>
      <c r="AV206" s="119"/>
      <c r="AW206" s="301"/>
      <c r="AX206" s="119">
        <v>0</v>
      </c>
      <c r="AY206" s="299"/>
      <c r="AZ206" s="119"/>
      <c r="BA206" s="119"/>
      <c r="BB206" s="301"/>
      <c r="BC206" s="119">
        <v>0</v>
      </c>
      <c r="BD206" s="299"/>
      <c r="BE206" s="119"/>
      <c r="BF206" s="119"/>
      <c r="BG206" s="301"/>
      <c r="BH206" s="119">
        <v>0</v>
      </c>
      <c r="BI206" s="304"/>
      <c r="BJ206" s="119"/>
      <c r="BK206" s="119"/>
      <c r="BL206" s="119"/>
      <c r="BM206" s="119"/>
      <c r="BN206" s="299"/>
      <c r="BO206" s="119"/>
      <c r="BP206" s="119"/>
      <c r="BQ206" s="119"/>
      <c r="BR206" s="119"/>
      <c r="BS206" s="299"/>
      <c r="BT206" s="299"/>
      <c r="BU206" s="299"/>
      <c r="BV206" s="299"/>
      <c r="BW206" s="122"/>
    </row>
    <row r="207" spans="1:75" s="123" customFormat="1" hidden="1" outlineLevel="4" x14ac:dyDescent="0.5">
      <c r="A207" s="298" t="s">
        <v>372</v>
      </c>
      <c r="B207" s="251"/>
      <c r="C207" s="299"/>
      <c r="D207" s="299"/>
      <c r="E207" s="299"/>
      <c r="F207" s="299"/>
      <c r="G207" s="300"/>
      <c r="H207" s="300"/>
      <c r="I207" s="300"/>
      <c r="J207" s="300"/>
      <c r="K207" s="299"/>
      <c r="L207" s="300"/>
      <c r="M207" s="300"/>
      <c r="N207" s="300"/>
      <c r="O207" s="300">
        <v>0</v>
      </c>
      <c r="P207" s="299"/>
      <c r="Q207" s="300"/>
      <c r="R207" s="300"/>
      <c r="S207" s="300"/>
      <c r="T207" s="300">
        <v>0</v>
      </c>
      <c r="U207" s="299"/>
      <c r="V207" s="300"/>
      <c r="W207" s="300"/>
      <c r="X207" s="300"/>
      <c r="Y207" s="119">
        <v>0</v>
      </c>
      <c r="Z207" s="299"/>
      <c r="AA207" s="119"/>
      <c r="AB207" s="119"/>
      <c r="AC207" s="300"/>
      <c r="AD207" s="119">
        <v>0</v>
      </c>
      <c r="AE207" s="299"/>
      <c r="AF207" s="119"/>
      <c r="AG207" s="119"/>
      <c r="AH207" s="300"/>
      <c r="AI207" s="119">
        <v>0</v>
      </c>
      <c r="AJ207" s="299"/>
      <c r="AK207" s="302">
        <v>-2.6</v>
      </c>
      <c r="AL207" s="119"/>
      <c r="AM207" s="300"/>
      <c r="AN207" s="119">
        <v>0</v>
      </c>
      <c r="AO207" s="305">
        <v>-2.6</v>
      </c>
      <c r="AP207" s="119"/>
      <c r="AQ207" s="119"/>
      <c r="AR207" s="301"/>
      <c r="AS207" s="119">
        <v>0</v>
      </c>
      <c r="AT207" s="299"/>
      <c r="AU207" s="119"/>
      <c r="AV207" s="119"/>
      <c r="AW207" s="301"/>
      <c r="AX207" s="119">
        <v>0</v>
      </c>
      <c r="AY207" s="299"/>
      <c r="AZ207" s="119"/>
      <c r="BA207" s="119"/>
      <c r="BB207" s="301"/>
      <c r="BC207" s="119">
        <v>0</v>
      </c>
      <c r="BD207" s="299"/>
      <c r="BE207" s="119"/>
      <c r="BF207" s="119"/>
      <c r="BG207" s="301"/>
      <c r="BH207" s="119">
        <v>0</v>
      </c>
      <c r="BI207" s="304"/>
      <c r="BJ207" s="119"/>
      <c r="BK207" s="119"/>
      <c r="BL207" s="119"/>
      <c r="BM207" s="119"/>
      <c r="BN207" s="299"/>
      <c r="BO207" s="119"/>
      <c r="BP207" s="119"/>
      <c r="BQ207" s="119"/>
      <c r="BR207" s="119"/>
      <c r="BS207" s="299"/>
      <c r="BT207" s="299"/>
      <c r="BU207" s="299"/>
      <c r="BV207" s="299"/>
      <c r="BW207" s="122"/>
    </row>
    <row r="208" spans="1:75" s="123" customFormat="1" hidden="1" outlineLevel="4" x14ac:dyDescent="0.5">
      <c r="A208" s="298" t="s">
        <v>373</v>
      </c>
      <c r="B208" s="251"/>
      <c r="C208" s="299"/>
      <c r="D208" s="299"/>
      <c r="E208" s="299"/>
      <c r="F208" s="299"/>
      <c r="G208" s="300"/>
      <c r="H208" s="300"/>
      <c r="I208" s="300"/>
      <c r="J208" s="300"/>
      <c r="K208" s="299"/>
      <c r="L208" s="300"/>
      <c r="M208" s="300"/>
      <c r="N208" s="300"/>
      <c r="O208" s="300">
        <v>0</v>
      </c>
      <c r="P208" s="299"/>
      <c r="Q208" s="300"/>
      <c r="R208" s="300"/>
      <c r="S208" s="300"/>
      <c r="T208" s="300">
        <v>0</v>
      </c>
      <c r="U208" s="299"/>
      <c r="V208" s="300"/>
      <c r="W208" s="300"/>
      <c r="X208" s="300"/>
      <c r="Y208" s="119">
        <v>0</v>
      </c>
      <c r="Z208" s="299"/>
      <c r="AA208" s="119"/>
      <c r="AB208" s="119"/>
      <c r="AC208" s="300"/>
      <c r="AD208" s="119">
        <v>0</v>
      </c>
      <c r="AE208" s="299"/>
      <c r="AF208" s="119"/>
      <c r="AG208" s="119"/>
      <c r="AH208" s="300"/>
      <c r="AI208" s="119">
        <v>0</v>
      </c>
      <c r="AJ208" s="299"/>
      <c r="AK208" s="119"/>
      <c r="AL208" s="302">
        <v>-3.8</v>
      </c>
      <c r="AM208" s="300"/>
      <c r="AN208" s="119">
        <v>0</v>
      </c>
      <c r="AO208" s="305">
        <v>-3.8</v>
      </c>
      <c r="AP208" s="119"/>
      <c r="AQ208" s="119"/>
      <c r="AR208" s="301"/>
      <c r="AS208" s="119">
        <v>0</v>
      </c>
      <c r="AT208" s="299"/>
      <c r="AU208" s="119"/>
      <c r="AV208" s="119"/>
      <c r="AW208" s="301"/>
      <c r="AX208" s="119">
        <v>0</v>
      </c>
      <c r="AY208" s="299"/>
      <c r="AZ208" s="119"/>
      <c r="BA208" s="119"/>
      <c r="BB208" s="301"/>
      <c r="BC208" s="119">
        <v>0</v>
      </c>
      <c r="BD208" s="299"/>
      <c r="BE208" s="119"/>
      <c r="BF208" s="119"/>
      <c r="BG208" s="301"/>
      <c r="BH208" s="119">
        <v>0</v>
      </c>
      <c r="BI208" s="304"/>
      <c r="BJ208" s="119"/>
      <c r="BK208" s="119"/>
      <c r="BL208" s="119"/>
      <c r="BM208" s="119"/>
      <c r="BN208" s="299"/>
      <c r="BO208" s="119"/>
      <c r="BP208" s="119"/>
      <c r="BQ208" s="119"/>
      <c r="BR208" s="119"/>
      <c r="BS208" s="299"/>
      <c r="BT208" s="299"/>
      <c r="BU208" s="299"/>
      <c r="BV208" s="299"/>
      <c r="BW208" s="122"/>
    </row>
    <row r="209" spans="1:75" s="123" customFormat="1" hidden="1" outlineLevel="4" x14ac:dyDescent="0.5">
      <c r="A209" s="308" t="s">
        <v>374</v>
      </c>
      <c r="B209" s="274"/>
      <c r="C209" s="309"/>
      <c r="D209" s="309"/>
      <c r="E209" s="309"/>
      <c r="F209" s="309"/>
      <c r="G209" s="310"/>
      <c r="H209" s="310"/>
      <c r="I209" s="310"/>
      <c r="J209" s="310"/>
      <c r="K209" s="309"/>
      <c r="L209" s="310"/>
      <c r="M209" s="316">
        <v>13.3</v>
      </c>
      <c r="N209" s="310"/>
      <c r="O209" s="310">
        <v>0</v>
      </c>
      <c r="P209" s="311">
        <v>13.3</v>
      </c>
      <c r="Q209" s="310"/>
      <c r="R209" s="310"/>
      <c r="S209" s="310"/>
      <c r="T209" s="310">
        <v>0</v>
      </c>
      <c r="U209" s="309"/>
      <c r="V209" s="310"/>
      <c r="W209" s="310"/>
      <c r="X209" s="310"/>
      <c r="Y209" s="312">
        <v>0</v>
      </c>
      <c r="Z209" s="309"/>
      <c r="AA209" s="312"/>
      <c r="AB209" s="312"/>
      <c r="AC209" s="310"/>
      <c r="AD209" s="312">
        <v>0</v>
      </c>
      <c r="AE209" s="309"/>
      <c r="AF209" s="312"/>
      <c r="AG209" s="312"/>
      <c r="AH209" s="310"/>
      <c r="AI209" s="312">
        <v>0</v>
      </c>
      <c r="AJ209" s="309"/>
      <c r="AK209" s="312"/>
      <c r="AL209" s="312"/>
      <c r="AM209" s="310"/>
      <c r="AN209" s="312">
        <v>0</v>
      </c>
      <c r="AO209" s="309"/>
      <c r="AP209" s="312"/>
      <c r="AQ209" s="312"/>
      <c r="AR209" s="313"/>
      <c r="AS209" s="312">
        <v>0</v>
      </c>
      <c r="AT209" s="309"/>
      <c r="AU209" s="312"/>
      <c r="AV209" s="312"/>
      <c r="AW209" s="313"/>
      <c r="AX209" s="312">
        <v>0</v>
      </c>
      <c r="AY209" s="309"/>
      <c r="AZ209" s="312"/>
      <c r="BA209" s="312"/>
      <c r="BB209" s="313"/>
      <c r="BC209" s="312">
        <v>0</v>
      </c>
      <c r="BD209" s="309"/>
      <c r="BE209" s="312"/>
      <c r="BF209" s="312"/>
      <c r="BG209" s="313"/>
      <c r="BH209" s="312">
        <v>0</v>
      </c>
      <c r="BI209" s="314"/>
      <c r="BJ209" s="312"/>
      <c r="BK209" s="312"/>
      <c r="BL209" s="312"/>
      <c r="BM209" s="312"/>
      <c r="BN209" s="309"/>
      <c r="BO209" s="312"/>
      <c r="BP209" s="312"/>
      <c r="BQ209" s="312"/>
      <c r="BR209" s="312"/>
      <c r="BS209" s="309"/>
      <c r="BT209" s="309"/>
      <c r="BU209" s="309"/>
      <c r="BV209" s="309"/>
      <c r="BW209" s="122"/>
    </row>
    <row r="210" spans="1:75" s="123" customFormat="1" hidden="1" outlineLevel="3" x14ac:dyDescent="0.5">
      <c r="A210" s="315" t="s">
        <v>375</v>
      </c>
      <c r="B210" s="251"/>
      <c r="C210" s="299"/>
      <c r="D210" s="299"/>
      <c r="E210" s="299"/>
      <c r="F210" s="299"/>
      <c r="G210" s="300"/>
      <c r="H210" s="300"/>
      <c r="I210" s="300"/>
      <c r="J210" s="300"/>
      <c r="K210" s="299"/>
      <c r="L210" s="300">
        <v>0</v>
      </c>
      <c r="M210" s="300">
        <v>13.3</v>
      </c>
      <c r="N210" s="300">
        <v>0</v>
      </c>
      <c r="O210" s="300">
        <v>0</v>
      </c>
      <c r="P210" s="299">
        <v>13.3</v>
      </c>
      <c r="Q210" s="300">
        <v>0</v>
      </c>
      <c r="R210" s="300">
        <v>0</v>
      </c>
      <c r="S210" s="300">
        <v>0</v>
      </c>
      <c r="T210" s="300">
        <v>0</v>
      </c>
      <c r="U210" s="299">
        <v>0</v>
      </c>
      <c r="V210" s="300">
        <v>0</v>
      </c>
      <c r="W210" s="300">
        <v>0</v>
      </c>
      <c r="X210" s="300">
        <v>0</v>
      </c>
      <c r="Y210" s="119">
        <v>0</v>
      </c>
      <c r="Z210" s="299">
        <v>0</v>
      </c>
      <c r="AA210" s="119">
        <v>0</v>
      </c>
      <c r="AB210" s="119">
        <v>0</v>
      </c>
      <c r="AC210" s="300">
        <v>0</v>
      </c>
      <c r="AD210" s="119">
        <v>0</v>
      </c>
      <c r="AE210" s="299">
        <v>0</v>
      </c>
      <c r="AF210" s="119">
        <v>0</v>
      </c>
      <c r="AG210" s="119">
        <v>0</v>
      </c>
      <c r="AH210" s="300">
        <v>0</v>
      </c>
      <c r="AI210" s="119">
        <v>0</v>
      </c>
      <c r="AJ210" s="299">
        <v>0</v>
      </c>
      <c r="AK210" s="119">
        <v>-2.6</v>
      </c>
      <c r="AL210" s="119">
        <v>-3.8</v>
      </c>
      <c r="AM210" s="300">
        <v>0</v>
      </c>
      <c r="AN210" s="119">
        <v>0.5</v>
      </c>
      <c r="AO210" s="299">
        <v>-5.9</v>
      </c>
      <c r="AP210" s="119">
        <v>0</v>
      </c>
      <c r="AQ210" s="119">
        <v>0</v>
      </c>
      <c r="AR210" s="301">
        <v>0</v>
      </c>
      <c r="AS210" s="119">
        <v>2.9</v>
      </c>
      <c r="AT210" s="299">
        <v>2.9</v>
      </c>
      <c r="AU210" s="119">
        <v>0</v>
      </c>
      <c r="AV210" s="119">
        <v>0</v>
      </c>
      <c r="AW210" s="301">
        <v>8.5</v>
      </c>
      <c r="AX210" s="119">
        <v>0</v>
      </c>
      <c r="AY210" s="299">
        <v>8.5</v>
      </c>
      <c r="AZ210" s="119">
        <v>0</v>
      </c>
      <c r="BA210" s="119">
        <v>0</v>
      </c>
      <c r="BB210" s="301">
        <v>0</v>
      </c>
      <c r="BC210" s="119">
        <v>-5.3</v>
      </c>
      <c r="BD210" s="299">
        <v>-5.3</v>
      </c>
      <c r="BE210" s="119">
        <v>0</v>
      </c>
      <c r="BF210" s="119">
        <v>1.5</v>
      </c>
      <c r="BG210" s="301">
        <v>0</v>
      </c>
      <c r="BH210" s="119">
        <v>0.1</v>
      </c>
      <c r="BI210" s="304">
        <v>1.6</v>
      </c>
      <c r="BJ210" s="302">
        <v>0</v>
      </c>
      <c r="BK210" s="302">
        <v>0</v>
      </c>
      <c r="BL210" s="302">
        <v>0</v>
      </c>
      <c r="BM210" s="302">
        <v>0</v>
      </c>
      <c r="BN210" s="299">
        <v>0</v>
      </c>
      <c r="BO210" s="302">
        <v>0</v>
      </c>
      <c r="BP210" s="302">
        <v>0</v>
      </c>
      <c r="BQ210" s="302">
        <v>0</v>
      </c>
      <c r="BR210" s="302">
        <v>0</v>
      </c>
      <c r="BS210" s="299">
        <v>0</v>
      </c>
      <c r="BT210" s="305">
        <v>0</v>
      </c>
      <c r="BU210" s="305">
        <v>0</v>
      </c>
      <c r="BV210" s="305">
        <v>0</v>
      </c>
      <c r="BW210" s="122"/>
    </row>
    <row r="211" spans="1:75" s="123" customFormat="1" hidden="1" outlineLevel="3" x14ac:dyDescent="0.5">
      <c r="A211" s="317" t="s">
        <v>376</v>
      </c>
      <c r="B211" s="318"/>
      <c r="C211" s="319"/>
      <c r="D211" s="319"/>
      <c r="E211" s="319"/>
      <c r="F211" s="319"/>
      <c r="G211" s="320"/>
      <c r="H211" s="320"/>
      <c r="I211" s="320"/>
      <c r="J211" s="320"/>
      <c r="K211" s="319"/>
      <c r="L211" s="320">
        <v>-5.6</v>
      </c>
      <c r="M211" s="320">
        <v>1.8000000000000007</v>
      </c>
      <c r="N211" s="320">
        <v>0</v>
      </c>
      <c r="O211" s="320">
        <v>-14.3</v>
      </c>
      <c r="P211" s="319">
        <v>-18.099999999999998</v>
      </c>
      <c r="Q211" s="320">
        <v>-1.7999999999999998</v>
      </c>
      <c r="R211" s="320">
        <v>0</v>
      </c>
      <c r="S211" s="320">
        <v>-22</v>
      </c>
      <c r="T211" s="320">
        <v>-5.3999999999999995</v>
      </c>
      <c r="U211" s="319">
        <v>-29.199999999999996</v>
      </c>
      <c r="V211" s="320">
        <v>0</v>
      </c>
      <c r="W211" s="320">
        <v>0</v>
      </c>
      <c r="X211" s="320">
        <v>-16.100000000000001</v>
      </c>
      <c r="Y211" s="321">
        <v>-7.8000000000000007</v>
      </c>
      <c r="Z211" s="319">
        <v>-23.900000000000002</v>
      </c>
      <c r="AA211" s="321">
        <v>0</v>
      </c>
      <c r="AB211" s="321">
        <v>0</v>
      </c>
      <c r="AC211" s="320">
        <v>-14.6</v>
      </c>
      <c r="AD211" s="321">
        <v>-7.1</v>
      </c>
      <c r="AE211" s="319">
        <v>-21.7</v>
      </c>
      <c r="AF211" s="321">
        <v>-4.7</v>
      </c>
      <c r="AG211" s="321">
        <v>-12.7</v>
      </c>
      <c r="AH211" s="320">
        <v>-21.4</v>
      </c>
      <c r="AI211" s="321">
        <v>0</v>
      </c>
      <c r="AJ211" s="319">
        <v>-38.799999999999997</v>
      </c>
      <c r="AK211" s="321">
        <v>-2.6</v>
      </c>
      <c r="AL211" s="321">
        <v>-3.8</v>
      </c>
      <c r="AM211" s="320">
        <v>-13.3</v>
      </c>
      <c r="AN211" s="321">
        <v>-11.4</v>
      </c>
      <c r="AO211" s="319">
        <v>-31.1</v>
      </c>
      <c r="AP211" s="321">
        <v>4.4000000000000004</v>
      </c>
      <c r="AQ211" s="321">
        <v>-20.5</v>
      </c>
      <c r="AR211" s="322">
        <v>0</v>
      </c>
      <c r="AS211" s="321">
        <v>2.9</v>
      </c>
      <c r="AT211" s="319">
        <v>-13.200000000000001</v>
      </c>
      <c r="AU211" s="321">
        <v>0</v>
      </c>
      <c r="AV211" s="321">
        <v>-8.4</v>
      </c>
      <c r="AW211" s="322">
        <v>-1.5</v>
      </c>
      <c r="AX211" s="321">
        <v>0</v>
      </c>
      <c r="AY211" s="319">
        <v>-9.8999999999999986</v>
      </c>
      <c r="AZ211" s="321">
        <v>0</v>
      </c>
      <c r="BA211" s="321">
        <v>-4.8</v>
      </c>
      <c r="BB211" s="322">
        <v>0</v>
      </c>
      <c r="BC211" s="321">
        <v>-5.3</v>
      </c>
      <c r="BD211" s="319">
        <v>-10.1</v>
      </c>
      <c r="BE211" s="321">
        <v>5.7</v>
      </c>
      <c r="BF211" s="321">
        <v>1.5</v>
      </c>
      <c r="BG211" s="322">
        <v>0</v>
      </c>
      <c r="BH211" s="321">
        <v>-5.6000000000000005</v>
      </c>
      <c r="BI211" s="323">
        <v>1.6</v>
      </c>
      <c r="BJ211" s="321">
        <v>0</v>
      </c>
      <c r="BK211" s="321">
        <v>0</v>
      </c>
      <c r="BL211" s="321">
        <v>0</v>
      </c>
      <c r="BM211" s="321">
        <v>0</v>
      </c>
      <c r="BN211" s="319">
        <v>0</v>
      </c>
      <c r="BO211" s="321">
        <v>0</v>
      </c>
      <c r="BP211" s="321">
        <v>0</v>
      </c>
      <c r="BQ211" s="321">
        <v>0</v>
      </c>
      <c r="BR211" s="321">
        <v>0</v>
      </c>
      <c r="BS211" s="319">
        <v>0</v>
      </c>
      <c r="BT211" s="319">
        <v>0</v>
      </c>
      <c r="BU211" s="319">
        <v>0</v>
      </c>
      <c r="BV211" s="319">
        <v>0</v>
      </c>
      <c r="BW211" s="122"/>
    </row>
    <row r="212" spans="1:75" s="198" customFormat="1" ht="14.25" hidden="1" outlineLevel="3" x14ac:dyDescent="0.45">
      <c r="A212" s="324" t="s">
        <v>377</v>
      </c>
      <c r="B212" s="277"/>
      <c r="C212" s="325"/>
      <c r="D212" s="325"/>
      <c r="E212" s="325"/>
      <c r="F212" s="325"/>
      <c r="G212" s="326"/>
      <c r="H212" s="326"/>
      <c r="I212" s="326"/>
      <c r="J212" s="326"/>
      <c r="K212" s="325">
        <v>454.8</v>
      </c>
      <c r="L212" s="326">
        <v>449.2</v>
      </c>
      <c r="M212" s="326">
        <v>451</v>
      </c>
      <c r="N212" s="326">
        <v>451</v>
      </c>
      <c r="O212" s="326">
        <v>436.7</v>
      </c>
      <c r="P212" s="325">
        <v>436.7</v>
      </c>
      <c r="Q212" s="326">
        <v>434.9</v>
      </c>
      <c r="R212" s="326">
        <v>434.9</v>
      </c>
      <c r="S212" s="326">
        <v>412.9</v>
      </c>
      <c r="T212" s="326">
        <v>407.5</v>
      </c>
      <c r="U212" s="325">
        <v>407.5</v>
      </c>
      <c r="V212" s="326">
        <v>407.50000000000006</v>
      </c>
      <c r="W212" s="326">
        <v>407.50000000000006</v>
      </c>
      <c r="X212" s="326">
        <v>391.40000000000003</v>
      </c>
      <c r="Y212" s="327">
        <v>383.6</v>
      </c>
      <c r="Z212" s="325">
        <v>383.6</v>
      </c>
      <c r="AA212" s="327">
        <v>383.60000000000008</v>
      </c>
      <c r="AB212" s="327">
        <v>383.60000000000008</v>
      </c>
      <c r="AC212" s="326">
        <v>369.00000000000006</v>
      </c>
      <c r="AD212" s="327">
        <v>361.90000000000003</v>
      </c>
      <c r="AE212" s="325">
        <v>361.90000000000003</v>
      </c>
      <c r="AF212" s="327">
        <v>357.2</v>
      </c>
      <c r="AG212" s="327">
        <v>344.5</v>
      </c>
      <c r="AH212" s="326">
        <v>323.10000000000002</v>
      </c>
      <c r="AI212" s="327">
        <v>323.10000000000002</v>
      </c>
      <c r="AJ212" s="325">
        <v>323.10000000000002</v>
      </c>
      <c r="AK212" s="327">
        <v>320.5</v>
      </c>
      <c r="AL212" s="327">
        <v>316.7</v>
      </c>
      <c r="AM212" s="326">
        <v>303.39999999999998</v>
      </c>
      <c r="AN212" s="327">
        <v>292</v>
      </c>
      <c r="AO212" s="325">
        <v>292</v>
      </c>
      <c r="AP212" s="327">
        <v>296.39999999999998</v>
      </c>
      <c r="AQ212" s="327">
        <v>275.89999999999998</v>
      </c>
      <c r="AR212" s="328">
        <v>275.89999999999998</v>
      </c>
      <c r="AS212" s="327">
        <v>277.39999999999998</v>
      </c>
      <c r="AT212" s="325">
        <v>277.39999999999998</v>
      </c>
      <c r="AU212" s="327">
        <v>277.39999999999998</v>
      </c>
      <c r="AV212" s="327">
        <v>269</v>
      </c>
      <c r="AW212" s="328">
        <v>267.5</v>
      </c>
      <c r="AX212" s="327">
        <v>270</v>
      </c>
      <c r="AY212" s="325">
        <v>270</v>
      </c>
      <c r="AZ212" s="327">
        <v>270</v>
      </c>
      <c r="BA212" s="327">
        <v>265.2</v>
      </c>
      <c r="BB212" s="328">
        <v>265.2</v>
      </c>
      <c r="BC212" s="327">
        <v>259</v>
      </c>
      <c r="BD212" s="325">
        <v>259</v>
      </c>
      <c r="BE212" s="327">
        <v>264.7</v>
      </c>
      <c r="BF212" s="327">
        <v>266.2</v>
      </c>
      <c r="BG212" s="328">
        <v>266.2</v>
      </c>
      <c r="BH212" s="327">
        <v>259</v>
      </c>
      <c r="BI212" s="329">
        <v>259</v>
      </c>
      <c r="BJ212" s="327">
        <v>259</v>
      </c>
      <c r="BK212" s="327">
        <v>259</v>
      </c>
      <c r="BL212" s="327">
        <v>259</v>
      </c>
      <c r="BM212" s="327">
        <v>259</v>
      </c>
      <c r="BN212" s="325">
        <v>259</v>
      </c>
      <c r="BO212" s="327">
        <v>259</v>
      </c>
      <c r="BP212" s="327">
        <v>259</v>
      </c>
      <c r="BQ212" s="327">
        <v>259</v>
      </c>
      <c r="BR212" s="327">
        <v>259</v>
      </c>
      <c r="BS212" s="325">
        <v>259</v>
      </c>
      <c r="BT212" s="325">
        <v>259</v>
      </c>
      <c r="BU212" s="325">
        <v>259</v>
      </c>
      <c r="BV212" s="325">
        <v>259</v>
      </c>
      <c r="BW212" s="197"/>
    </row>
    <row r="213" spans="1:75" s="198" customFormat="1" ht="7.5" hidden="1" customHeight="1" outlineLevel="3" x14ac:dyDescent="0.45">
      <c r="A213" s="292"/>
      <c r="B213" s="243"/>
      <c r="C213" s="244"/>
      <c r="D213" s="244"/>
      <c r="E213" s="244"/>
      <c r="F213" s="244"/>
      <c r="G213" s="245"/>
      <c r="H213" s="245"/>
      <c r="I213" s="245"/>
      <c r="J213" s="245"/>
      <c r="K213" s="244"/>
      <c r="L213" s="245"/>
      <c r="M213" s="245"/>
      <c r="N213" s="245"/>
      <c r="O213" s="245"/>
      <c r="P213" s="244"/>
      <c r="Q213" s="245"/>
      <c r="R213" s="245"/>
      <c r="S213" s="245"/>
      <c r="T213" s="245"/>
      <c r="U213" s="244"/>
      <c r="V213" s="245"/>
      <c r="W213" s="245"/>
      <c r="X213" s="245"/>
      <c r="Y213" s="247"/>
      <c r="Z213" s="244"/>
      <c r="AA213" s="247"/>
      <c r="AB213" s="247"/>
      <c r="AC213" s="245"/>
      <c r="AD213" s="247"/>
      <c r="AE213" s="244"/>
      <c r="AF213" s="247"/>
      <c r="AG213" s="247"/>
      <c r="AH213" s="245"/>
      <c r="AI213" s="247"/>
      <c r="AJ213" s="244"/>
      <c r="AK213" s="247"/>
      <c r="AL213" s="247"/>
      <c r="AM213" s="245"/>
      <c r="AN213" s="247"/>
      <c r="AO213" s="244"/>
      <c r="AP213" s="247"/>
      <c r="AQ213" s="247"/>
      <c r="AR213" s="248"/>
      <c r="AS213" s="247"/>
      <c r="AT213" s="244"/>
      <c r="AU213" s="247"/>
      <c r="AV213" s="247"/>
      <c r="AW213" s="248"/>
      <c r="AX213" s="247"/>
      <c r="AY213" s="244"/>
      <c r="AZ213" s="247"/>
      <c r="BA213" s="247"/>
      <c r="BB213" s="248"/>
      <c r="BC213" s="247"/>
      <c r="BD213" s="244"/>
      <c r="BE213" s="247"/>
      <c r="BF213" s="247"/>
      <c r="BG213" s="248"/>
      <c r="BH213" s="247"/>
      <c r="BI213" s="249"/>
      <c r="BJ213" s="247"/>
      <c r="BK213" s="247"/>
      <c r="BL213" s="247"/>
      <c r="BM213" s="247"/>
      <c r="BN213" s="244"/>
      <c r="BO213" s="247"/>
      <c r="BP213" s="247"/>
      <c r="BQ213" s="247"/>
      <c r="BR213" s="247"/>
      <c r="BS213" s="244"/>
      <c r="BT213" s="244"/>
      <c r="BU213" s="244"/>
      <c r="BV213" s="244"/>
      <c r="BW213" s="197"/>
    </row>
    <row r="214" spans="1:75" s="123" customFormat="1" hidden="1" outlineLevel="3" x14ac:dyDescent="0.5">
      <c r="A214" s="354" t="s">
        <v>378</v>
      </c>
      <c r="B214" s="251"/>
      <c r="C214" s="331"/>
      <c r="D214" s="331"/>
      <c r="E214" s="331"/>
      <c r="F214" s="331"/>
      <c r="G214" s="332"/>
      <c r="H214" s="332"/>
      <c r="I214" s="332"/>
      <c r="J214" s="332"/>
      <c r="K214" s="331"/>
      <c r="L214" s="332" t="s">
        <v>279</v>
      </c>
      <c r="M214" s="332" t="s">
        <v>279</v>
      </c>
      <c r="N214" s="332" t="s">
        <v>279</v>
      </c>
      <c r="O214" s="332" t="s">
        <v>279</v>
      </c>
      <c r="P214" s="331" t="s">
        <v>279</v>
      </c>
      <c r="Q214" s="332">
        <v>4300</v>
      </c>
      <c r="R214" s="332" t="s">
        <v>279</v>
      </c>
      <c r="S214" s="332" t="s">
        <v>279</v>
      </c>
      <c r="T214" s="332">
        <v>5700</v>
      </c>
      <c r="U214" s="331">
        <v>5000</v>
      </c>
      <c r="V214" s="332" t="s">
        <v>279</v>
      </c>
      <c r="W214" s="332" t="s">
        <v>279</v>
      </c>
      <c r="X214" s="332" t="s">
        <v>279</v>
      </c>
      <c r="Y214" s="221">
        <v>6000</v>
      </c>
      <c r="Z214" s="331">
        <v>6000</v>
      </c>
      <c r="AA214" s="221" t="s">
        <v>279</v>
      </c>
      <c r="AB214" s="221" t="s">
        <v>279</v>
      </c>
      <c r="AC214" s="332" t="s">
        <v>279</v>
      </c>
      <c r="AD214" s="221" t="s">
        <v>279</v>
      </c>
      <c r="AE214" s="331" t="s">
        <v>279</v>
      </c>
      <c r="AF214" s="221" t="s">
        <v>279</v>
      </c>
      <c r="AG214" s="221" t="s">
        <v>279</v>
      </c>
      <c r="AH214" s="332" t="s">
        <v>279</v>
      </c>
      <c r="AI214" s="221" t="s">
        <v>279</v>
      </c>
      <c r="AJ214" s="331" t="s">
        <v>279</v>
      </c>
      <c r="AK214" s="221" t="s">
        <v>279</v>
      </c>
      <c r="AL214" s="221" t="s">
        <v>279</v>
      </c>
      <c r="AM214" s="332" t="s">
        <v>279</v>
      </c>
      <c r="AN214" s="221" t="s">
        <v>279</v>
      </c>
      <c r="AO214" s="331" t="s">
        <v>279</v>
      </c>
      <c r="AP214" s="221">
        <v>4400</v>
      </c>
      <c r="AQ214" s="221" t="s">
        <v>279</v>
      </c>
      <c r="AR214" s="333" t="s">
        <v>279</v>
      </c>
      <c r="AS214" s="221" t="s">
        <v>279</v>
      </c>
      <c r="AT214" s="331">
        <v>4400</v>
      </c>
      <c r="AU214" s="221" t="s">
        <v>279</v>
      </c>
      <c r="AV214" s="221" t="s">
        <v>279</v>
      </c>
      <c r="AW214" s="333" t="s">
        <v>279</v>
      </c>
      <c r="AX214" s="221" t="s">
        <v>279</v>
      </c>
      <c r="AY214" s="331" t="s">
        <v>279</v>
      </c>
      <c r="AZ214" s="221" t="s">
        <v>279</v>
      </c>
      <c r="BA214" s="221" t="s">
        <v>279</v>
      </c>
      <c r="BB214" s="333" t="s">
        <v>279</v>
      </c>
      <c r="BC214" s="221" t="s">
        <v>279</v>
      </c>
      <c r="BD214" s="331" t="s">
        <v>279</v>
      </c>
      <c r="BE214" s="221">
        <v>5700</v>
      </c>
      <c r="BF214" s="221" t="s">
        <v>279</v>
      </c>
      <c r="BG214" s="333" t="s">
        <v>279</v>
      </c>
      <c r="BH214" s="221" t="s">
        <v>279</v>
      </c>
      <c r="BI214" s="334">
        <v>5700</v>
      </c>
      <c r="BJ214" s="221" t="s">
        <v>279</v>
      </c>
      <c r="BK214" s="221" t="s">
        <v>279</v>
      </c>
      <c r="BL214" s="221" t="s">
        <v>279</v>
      </c>
      <c r="BM214" s="221" t="s">
        <v>279</v>
      </c>
      <c r="BN214" s="331" t="s">
        <v>279</v>
      </c>
      <c r="BO214" s="221" t="s">
        <v>279</v>
      </c>
      <c r="BP214" s="221" t="s">
        <v>279</v>
      </c>
      <c r="BQ214" s="221" t="s">
        <v>279</v>
      </c>
      <c r="BR214" s="221" t="s">
        <v>279</v>
      </c>
      <c r="BS214" s="331" t="s">
        <v>279</v>
      </c>
      <c r="BT214" s="331" t="s">
        <v>279</v>
      </c>
      <c r="BU214" s="331" t="s">
        <v>279</v>
      </c>
      <c r="BV214" s="331" t="s">
        <v>279</v>
      </c>
      <c r="BW214" s="122"/>
    </row>
    <row r="215" spans="1:75" s="217" customFormat="1" hidden="1" outlineLevel="3" x14ac:dyDescent="0.5">
      <c r="A215" s="335" t="s">
        <v>379</v>
      </c>
      <c r="B215" s="336"/>
      <c r="C215" s="337"/>
      <c r="D215" s="337"/>
      <c r="E215" s="337"/>
      <c r="F215" s="337"/>
      <c r="G215" s="338"/>
      <c r="H215" s="338"/>
      <c r="I215" s="338"/>
      <c r="J215" s="338"/>
      <c r="K215" s="337"/>
      <c r="L215" s="338"/>
      <c r="M215" s="338">
        <v>0</v>
      </c>
      <c r="N215" s="338">
        <v>0</v>
      </c>
      <c r="O215" s="338">
        <v>0</v>
      </c>
      <c r="P215" s="337"/>
      <c r="Q215" s="338">
        <v>0.56125486604076025</v>
      </c>
      <c r="R215" s="338">
        <v>0</v>
      </c>
      <c r="S215" s="338">
        <v>0</v>
      </c>
      <c r="T215" s="338">
        <v>0.74545894889803821</v>
      </c>
      <c r="U215" s="337">
        <v>0.65262193725669804</v>
      </c>
      <c r="V215" s="338">
        <v>0</v>
      </c>
      <c r="W215" s="338">
        <v>0</v>
      </c>
      <c r="X215" s="338">
        <v>0</v>
      </c>
      <c r="Y215" s="214">
        <v>0.78180889115993857</v>
      </c>
      <c r="Z215" s="337">
        <v>0.78036809815950925</v>
      </c>
      <c r="AA215" s="214">
        <v>0</v>
      </c>
      <c r="AB215" s="214">
        <v>0</v>
      </c>
      <c r="AC215" s="338">
        <v>0</v>
      </c>
      <c r="AD215" s="214">
        <v>0</v>
      </c>
      <c r="AE215" s="337">
        <v>0</v>
      </c>
      <c r="AF215" s="214">
        <v>0</v>
      </c>
      <c r="AG215" s="214">
        <v>0</v>
      </c>
      <c r="AH215" s="338">
        <v>0</v>
      </c>
      <c r="AI215" s="214">
        <v>0</v>
      </c>
      <c r="AJ215" s="337">
        <v>0</v>
      </c>
      <c r="AK215" s="214">
        <v>0</v>
      </c>
      <c r="AL215" s="214">
        <v>0</v>
      </c>
      <c r="AM215" s="338">
        <v>0</v>
      </c>
      <c r="AN215" s="214">
        <v>0</v>
      </c>
      <c r="AO215" s="337">
        <v>0</v>
      </c>
      <c r="AP215" s="214">
        <v>0.60273972602739723</v>
      </c>
      <c r="AQ215" s="214">
        <v>0</v>
      </c>
      <c r="AR215" s="339">
        <v>0</v>
      </c>
      <c r="AS215" s="214">
        <v>0</v>
      </c>
      <c r="AT215" s="337">
        <v>0.60273972602739723</v>
      </c>
      <c r="AU215" s="214">
        <v>0</v>
      </c>
      <c r="AV215" s="214">
        <v>0</v>
      </c>
      <c r="AW215" s="339">
        <v>0</v>
      </c>
      <c r="AX215" s="214">
        <v>0</v>
      </c>
      <c r="AY215" s="337">
        <v>0</v>
      </c>
      <c r="AZ215" s="214">
        <v>0</v>
      </c>
      <c r="BA215" s="214">
        <v>0</v>
      </c>
      <c r="BB215" s="339">
        <v>0</v>
      </c>
      <c r="BC215" s="214">
        <v>0</v>
      </c>
      <c r="BD215" s="337">
        <v>0</v>
      </c>
      <c r="BE215" s="214">
        <v>0.77027027027027029</v>
      </c>
      <c r="BF215" s="214">
        <v>0</v>
      </c>
      <c r="BG215" s="339">
        <v>0</v>
      </c>
      <c r="BH215" s="214">
        <v>0</v>
      </c>
      <c r="BI215" s="340">
        <v>0.77027027027027029</v>
      </c>
      <c r="BJ215" s="341">
        <v>0.75</v>
      </c>
      <c r="BK215" s="341">
        <v>0.75</v>
      </c>
      <c r="BL215" s="341">
        <v>0.75</v>
      </c>
      <c r="BM215" s="341">
        <v>0.75</v>
      </c>
      <c r="BN215" s="337">
        <v>0</v>
      </c>
      <c r="BO215" s="341">
        <v>0.75</v>
      </c>
      <c r="BP215" s="341">
        <v>0.75</v>
      </c>
      <c r="BQ215" s="341">
        <v>0.75</v>
      </c>
      <c r="BR215" s="341">
        <v>0.75</v>
      </c>
      <c r="BS215" s="337">
        <v>0</v>
      </c>
      <c r="BT215" s="342">
        <v>0.75</v>
      </c>
      <c r="BU215" s="342">
        <v>0.75</v>
      </c>
      <c r="BV215" s="342">
        <v>0.75</v>
      </c>
      <c r="BW215" s="216"/>
    </row>
    <row r="216" spans="1:75" s="123" customFormat="1" hidden="1" outlineLevel="3" x14ac:dyDescent="0.5">
      <c r="A216" s="354" t="s">
        <v>380</v>
      </c>
      <c r="B216" s="251"/>
      <c r="C216" s="331"/>
      <c r="D216" s="331"/>
      <c r="E216" s="331"/>
      <c r="F216" s="331"/>
      <c r="G216" s="332"/>
      <c r="H216" s="332"/>
      <c r="I216" s="332"/>
      <c r="J216" s="332"/>
      <c r="K216" s="331"/>
      <c r="L216" s="332">
        <v>5600</v>
      </c>
      <c r="M216" s="332">
        <v>5750</v>
      </c>
      <c r="N216" s="332" t="s">
        <v>279</v>
      </c>
      <c r="O216" s="332">
        <v>7150</v>
      </c>
      <c r="P216" s="331">
        <v>6279.9999999999991</v>
      </c>
      <c r="Q216" s="332">
        <v>6100</v>
      </c>
      <c r="R216" s="332" t="s">
        <v>279</v>
      </c>
      <c r="S216" s="332">
        <v>7333.333333333333</v>
      </c>
      <c r="T216" s="332">
        <v>5550</v>
      </c>
      <c r="U216" s="331">
        <v>6533.3333333333321</v>
      </c>
      <c r="V216" s="332" t="s">
        <v>279</v>
      </c>
      <c r="W216" s="332" t="s">
        <v>279</v>
      </c>
      <c r="X216" s="332">
        <v>8050.0000000000009</v>
      </c>
      <c r="Y216" s="221">
        <v>6900</v>
      </c>
      <c r="Z216" s="331">
        <v>7475.0000000000009</v>
      </c>
      <c r="AA216" s="221" t="s">
        <v>279</v>
      </c>
      <c r="AB216" s="221" t="s">
        <v>279</v>
      </c>
      <c r="AC216" s="332">
        <v>7300</v>
      </c>
      <c r="AD216" s="221">
        <v>7100</v>
      </c>
      <c r="AE216" s="331">
        <v>7233.333333333333</v>
      </c>
      <c r="AF216" s="221">
        <v>4700</v>
      </c>
      <c r="AG216" s="221">
        <v>6350</v>
      </c>
      <c r="AH216" s="332">
        <v>21400</v>
      </c>
      <c r="AI216" s="221" t="s">
        <v>279</v>
      </c>
      <c r="AJ216" s="331">
        <v>9700</v>
      </c>
      <c r="AK216" s="221" t="s">
        <v>279</v>
      </c>
      <c r="AL216" s="221" t="s">
        <v>279</v>
      </c>
      <c r="AM216" s="332">
        <v>13300</v>
      </c>
      <c r="AN216" s="221">
        <v>5950</v>
      </c>
      <c r="AO216" s="331">
        <v>8400</v>
      </c>
      <c r="AP216" s="221" t="s">
        <v>279</v>
      </c>
      <c r="AQ216" s="221">
        <v>6833.333333333333</v>
      </c>
      <c r="AR216" s="333" t="s">
        <v>279</v>
      </c>
      <c r="AS216" s="221" t="s">
        <v>279</v>
      </c>
      <c r="AT216" s="331">
        <v>6833.333333333333</v>
      </c>
      <c r="AU216" s="221" t="s">
        <v>279</v>
      </c>
      <c r="AV216" s="221">
        <v>8400</v>
      </c>
      <c r="AW216" s="333">
        <v>10000</v>
      </c>
      <c r="AX216" s="221" t="s">
        <v>279</v>
      </c>
      <c r="AY216" s="331">
        <v>9200</v>
      </c>
      <c r="AZ216" s="221" t="s">
        <v>279</v>
      </c>
      <c r="BA216" s="221">
        <v>4800</v>
      </c>
      <c r="BB216" s="333" t="s">
        <v>279</v>
      </c>
      <c r="BC216" s="221" t="s">
        <v>279</v>
      </c>
      <c r="BD216" s="331">
        <v>4800</v>
      </c>
      <c r="BE216" s="221" t="s">
        <v>279</v>
      </c>
      <c r="BF216" s="221" t="s">
        <v>279</v>
      </c>
      <c r="BG216" s="333" t="s">
        <v>279</v>
      </c>
      <c r="BH216" s="221">
        <v>5700</v>
      </c>
      <c r="BI216" s="334">
        <v>5700</v>
      </c>
      <c r="BJ216" s="221" t="s">
        <v>279</v>
      </c>
      <c r="BK216" s="221" t="s">
        <v>279</v>
      </c>
      <c r="BL216" s="221" t="s">
        <v>279</v>
      </c>
      <c r="BM216" s="221" t="s">
        <v>279</v>
      </c>
      <c r="BN216" s="331" t="s">
        <v>279</v>
      </c>
      <c r="BO216" s="221" t="s">
        <v>279</v>
      </c>
      <c r="BP216" s="221" t="s">
        <v>279</v>
      </c>
      <c r="BQ216" s="221" t="s">
        <v>279</v>
      </c>
      <c r="BR216" s="221" t="s">
        <v>279</v>
      </c>
      <c r="BS216" s="331" t="s">
        <v>279</v>
      </c>
      <c r="BT216" s="331" t="s">
        <v>279</v>
      </c>
      <c r="BU216" s="331" t="s">
        <v>279</v>
      </c>
      <c r="BV216" s="331" t="s">
        <v>279</v>
      </c>
      <c r="BW216" s="122"/>
    </row>
    <row r="217" spans="1:75" s="217" customFormat="1" hidden="1" outlineLevel="3" x14ac:dyDescent="0.5">
      <c r="A217" s="335" t="s">
        <v>381</v>
      </c>
      <c r="B217" s="336"/>
      <c r="C217" s="337"/>
      <c r="D217" s="337"/>
      <c r="E217" s="337"/>
      <c r="F217" s="337"/>
      <c r="G217" s="338"/>
      <c r="H217" s="338"/>
      <c r="I217" s="338"/>
      <c r="J217" s="338"/>
      <c r="K217" s="337"/>
      <c r="L217" s="338"/>
      <c r="M217" s="338">
        <v>0.7808325912733749</v>
      </c>
      <c r="N217" s="338">
        <v>0</v>
      </c>
      <c r="O217" s="338">
        <v>0.93536585365853664</v>
      </c>
      <c r="P217" s="337"/>
      <c r="Q217" s="338">
        <v>0.79619876345317153</v>
      </c>
      <c r="R217" s="338">
        <v>0</v>
      </c>
      <c r="S217" s="338">
        <v>0.96114049206714181</v>
      </c>
      <c r="T217" s="338">
        <v>0.7258416081375636</v>
      </c>
      <c r="U217" s="337">
        <v>0.85275933134875193</v>
      </c>
      <c r="V217" s="338">
        <v>0</v>
      </c>
      <c r="W217" s="338">
        <v>0</v>
      </c>
      <c r="X217" s="338">
        <v>1.0469938650306749</v>
      </c>
      <c r="Y217" s="214">
        <v>0.89908022483392935</v>
      </c>
      <c r="Z217" s="337">
        <v>0.97220858895705531</v>
      </c>
      <c r="AA217" s="214">
        <v>0</v>
      </c>
      <c r="AB217" s="214">
        <v>0</v>
      </c>
      <c r="AC217" s="338">
        <v>0.95151199165797695</v>
      </c>
      <c r="AD217" s="214">
        <v>0.92357723577235762</v>
      </c>
      <c r="AE217" s="337">
        <v>0.94282238442822386</v>
      </c>
      <c r="AF217" s="214">
        <v>0.61038961038961037</v>
      </c>
      <c r="AG217" s="214">
        <v>0.81774916013437848</v>
      </c>
      <c r="AH217" s="338">
        <v>2.7332365747460088</v>
      </c>
      <c r="AI217" s="214">
        <v>0</v>
      </c>
      <c r="AJ217" s="337">
        <v>1.2597402597402596</v>
      </c>
      <c r="AK217" s="214">
        <v>0</v>
      </c>
      <c r="AL217" s="214">
        <v>0</v>
      </c>
      <c r="AM217" s="338">
        <v>1.8058099147458162</v>
      </c>
      <c r="AN217" s="214">
        <v>0.82366512854317731</v>
      </c>
      <c r="AO217" s="337">
        <v>1.1179201485608172</v>
      </c>
      <c r="AP217" s="214">
        <v>0</v>
      </c>
      <c r="AQ217" s="214">
        <v>0.9452316689158794</v>
      </c>
      <c r="AR217" s="339">
        <v>0</v>
      </c>
      <c r="AS217" s="214">
        <v>0</v>
      </c>
      <c r="AT217" s="337">
        <v>0.9360730593607306</v>
      </c>
      <c r="AU217" s="214">
        <v>0</v>
      </c>
      <c r="AV217" s="214">
        <v>1.1506849315068493</v>
      </c>
      <c r="AW217" s="339">
        <v>1.3754646840148699</v>
      </c>
      <c r="AX217" s="214">
        <v>0</v>
      </c>
      <c r="AY217" s="337">
        <v>1.2602739726027397</v>
      </c>
      <c r="AZ217" s="214">
        <v>0</v>
      </c>
      <c r="BA217" s="214">
        <v>0.64</v>
      </c>
      <c r="BB217" s="339">
        <v>0</v>
      </c>
      <c r="BC217" s="214">
        <v>0</v>
      </c>
      <c r="BD217" s="337">
        <v>0.64</v>
      </c>
      <c r="BE217" s="214">
        <v>0</v>
      </c>
      <c r="BF217" s="214">
        <v>0</v>
      </c>
      <c r="BG217" s="339">
        <v>0</v>
      </c>
      <c r="BH217" s="214">
        <v>0.77084898572501881</v>
      </c>
      <c r="BI217" s="340">
        <v>0.77027027027027029</v>
      </c>
      <c r="BJ217" s="341">
        <v>0.8</v>
      </c>
      <c r="BK217" s="341">
        <v>0.8</v>
      </c>
      <c r="BL217" s="341">
        <v>0.8</v>
      </c>
      <c r="BM217" s="341">
        <v>0.8</v>
      </c>
      <c r="BN217" s="337">
        <v>0</v>
      </c>
      <c r="BO217" s="341">
        <v>0.8</v>
      </c>
      <c r="BP217" s="341">
        <v>0.8</v>
      </c>
      <c r="BQ217" s="341">
        <v>0.8</v>
      </c>
      <c r="BR217" s="341">
        <v>0.8</v>
      </c>
      <c r="BS217" s="337">
        <v>0</v>
      </c>
      <c r="BT217" s="342">
        <v>0.8</v>
      </c>
      <c r="BU217" s="342">
        <v>0.8</v>
      </c>
      <c r="BV217" s="342">
        <v>0.8</v>
      </c>
      <c r="BW217" s="216"/>
    </row>
    <row r="218" spans="1:75" s="198" customFormat="1" ht="14.25" hidden="1" outlineLevel="3" x14ac:dyDescent="0.45">
      <c r="A218" s="324" t="s">
        <v>382</v>
      </c>
      <c r="B218" s="277"/>
      <c r="C218" s="344"/>
      <c r="D218" s="344"/>
      <c r="E218" s="344"/>
      <c r="F218" s="344"/>
      <c r="G218" s="345"/>
      <c r="H218" s="345"/>
      <c r="I218" s="345"/>
      <c r="J218" s="345"/>
      <c r="K218" s="344">
        <v>7335.4838709677415</v>
      </c>
      <c r="L218" s="345">
        <v>7363.9344262295081</v>
      </c>
      <c r="M218" s="345">
        <v>7644.0677966101694</v>
      </c>
      <c r="N218" s="345">
        <v>7644.0677966101694</v>
      </c>
      <c r="O218" s="345">
        <v>7661.4035087719294</v>
      </c>
      <c r="P218" s="344">
        <v>7661.4035087719294</v>
      </c>
      <c r="Q218" s="345">
        <v>7629.8245614035086</v>
      </c>
      <c r="R218" s="345">
        <v>7629.8245614035086</v>
      </c>
      <c r="S218" s="345">
        <v>7646.2962962962965</v>
      </c>
      <c r="T218" s="345">
        <v>7688.6792452830186</v>
      </c>
      <c r="U218" s="344">
        <v>7688.6792452830186</v>
      </c>
      <c r="V218" s="345">
        <v>7688.6792452830196</v>
      </c>
      <c r="W218" s="345">
        <v>7688.6792452830196</v>
      </c>
      <c r="X218" s="345">
        <v>7674.50980392157</v>
      </c>
      <c r="Y218" s="346">
        <v>7672</v>
      </c>
      <c r="Z218" s="344">
        <v>7672</v>
      </c>
      <c r="AA218" s="346">
        <v>7672.0000000000009</v>
      </c>
      <c r="AB218" s="346">
        <v>7672.0000000000009</v>
      </c>
      <c r="AC218" s="345">
        <v>7687.5000000000009</v>
      </c>
      <c r="AD218" s="346">
        <v>7700.0000000000009</v>
      </c>
      <c r="AE218" s="344">
        <v>7700.0000000000009</v>
      </c>
      <c r="AF218" s="346">
        <v>7765.217391304348</v>
      </c>
      <c r="AG218" s="346">
        <v>7829.545454545455</v>
      </c>
      <c r="AH218" s="345">
        <v>7513.9534883720926</v>
      </c>
      <c r="AI218" s="346">
        <v>7513.9534883720926</v>
      </c>
      <c r="AJ218" s="344">
        <v>7513.9534883720926</v>
      </c>
      <c r="AK218" s="346">
        <v>7453.4883720930229</v>
      </c>
      <c r="AL218" s="346">
        <v>7365.1162790697672</v>
      </c>
      <c r="AM218" s="345">
        <v>7223.8095238095239</v>
      </c>
      <c r="AN218" s="346">
        <v>7300</v>
      </c>
      <c r="AO218" s="344">
        <v>7300</v>
      </c>
      <c r="AP218" s="346">
        <v>7229.2682926829266</v>
      </c>
      <c r="AQ218" s="346">
        <v>7260.5263157894733</v>
      </c>
      <c r="AR218" s="347">
        <v>7260.5263157894733</v>
      </c>
      <c r="AS218" s="346">
        <v>7300</v>
      </c>
      <c r="AT218" s="344">
        <v>7300</v>
      </c>
      <c r="AU218" s="346">
        <v>7300</v>
      </c>
      <c r="AV218" s="346">
        <v>7270.27027027027</v>
      </c>
      <c r="AW218" s="347">
        <v>7430.5555555555557</v>
      </c>
      <c r="AX218" s="346">
        <v>7500</v>
      </c>
      <c r="AY218" s="344">
        <v>7500</v>
      </c>
      <c r="AZ218" s="346">
        <v>7500</v>
      </c>
      <c r="BA218" s="346">
        <v>7577.1428571428569</v>
      </c>
      <c r="BB218" s="347">
        <v>7577.1428571428569</v>
      </c>
      <c r="BC218" s="346">
        <v>7400</v>
      </c>
      <c r="BD218" s="344">
        <v>7400</v>
      </c>
      <c r="BE218" s="346">
        <v>7352.7777777777774</v>
      </c>
      <c r="BF218" s="346">
        <v>7394.4444444444443</v>
      </c>
      <c r="BG218" s="347">
        <v>7394.4444444444443</v>
      </c>
      <c r="BH218" s="346">
        <v>7400</v>
      </c>
      <c r="BI218" s="348">
        <v>7400</v>
      </c>
      <c r="BJ218" s="346">
        <v>7400</v>
      </c>
      <c r="BK218" s="346">
        <v>7400</v>
      </c>
      <c r="BL218" s="346">
        <v>7400</v>
      </c>
      <c r="BM218" s="346">
        <v>7400</v>
      </c>
      <c r="BN218" s="344">
        <v>7400</v>
      </c>
      <c r="BO218" s="346">
        <v>7400</v>
      </c>
      <c r="BP218" s="346">
        <v>7400</v>
      </c>
      <c r="BQ218" s="346">
        <v>7400</v>
      </c>
      <c r="BR218" s="346">
        <v>7400</v>
      </c>
      <c r="BS218" s="344">
        <v>7400</v>
      </c>
      <c r="BT218" s="344">
        <v>7400</v>
      </c>
      <c r="BU218" s="344">
        <v>7400</v>
      </c>
      <c r="BV218" s="344">
        <v>7400</v>
      </c>
      <c r="BW218" s="197"/>
    </row>
    <row r="219" spans="1:75" s="198" customFormat="1" ht="14.25" hidden="1" outlineLevel="3" x14ac:dyDescent="0.45">
      <c r="A219" s="292"/>
      <c r="B219" s="243"/>
      <c r="C219" s="244"/>
      <c r="D219" s="244"/>
      <c r="E219" s="244"/>
      <c r="F219" s="244"/>
      <c r="G219" s="245"/>
      <c r="H219" s="245"/>
      <c r="I219" s="245"/>
      <c r="J219" s="245"/>
      <c r="K219" s="244"/>
      <c r="L219" s="245"/>
      <c r="M219" s="245"/>
      <c r="N219" s="245"/>
      <c r="O219" s="245"/>
      <c r="P219" s="244"/>
      <c r="Q219" s="245"/>
      <c r="R219" s="245"/>
      <c r="S219" s="245"/>
      <c r="T219" s="245"/>
      <c r="U219" s="244"/>
      <c r="V219" s="245"/>
      <c r="W219" s="245"/>
      <c r="X219" s="245"/>
      <c r="Y219" s="247"/>
      <c r="Z219" s="244"/>
      <c r="AA219" s="247"/>
      <c r="AB219" s="247"/>
      <c r="AC219" s="245"/>
      <c r="AD219" s="247"/>
      <c r="AE219" s="244"/>
      <c r="AF219" s="247"/>
      <c r="AG219" s="247"/>
      <c r="AH219" s="245"/>
      <c r="AI219" s="247"/>
      <c r="AJ219" s="244"/>
      <c r="AK219" s="247"/>
      <c r="AL219" s="247"/>
      <c r="AM219" s="245"/>
      <c r="AN219" s="247"/>
      <c r="AO219" s="244"/>
      <c r="AP219" s="247"/>
      <c r="AQ219" s="247"/>
      <c r="AR219" s="248"/>
      <c r="AS219" s="247"/>
      <c r="AT219" s="244"/>
      <c r="AU219" s="247"/>
      <c r="AV219" s="247"/>
      <c r="AW219" s="248"/>
      <c r="AX219" s="247"/>
      <c r="AY219" s="244"/>
      <c r="AZ219" s="247"/>
      <c r="BA219" s="247"/>
      <c r="BB219" s="248"/>
      <c r="BC219" s="247"/>
      <c r="BD219" s="244"/>
      <c r="BE219" s="247"/>
      <c r="BF219" s="247"/>
      <c r="BG219" s="248"/>
      <c r="BH219" s="247"/>
      <c r="BI219" s="249"/>
      <c r="BJ219" s="247"/>
      <c r="BK219" s="247"/>
      <c r="BL219" s="247"/>
      <c r="BM219" s="247"/>
      <c r="BN219" s="244"/>
      <c r="BO219" s="247"/>
      <c r="BP219" s="247"/>
      <c r="BQ219" s="247"/>
      <c r="BR219" s="247"/>
      <c r="BS219" s="244"/>
      <c r="BT219" s="244"/>
      <c r="BU219" s="244"/>
      <c r="BV219" s="244"/>
      <c r="BW219" s="197"/>
    </row>
    <row r="220" spans="1:75" s="198" customFormat="1" ht="14.25" hidden="1" outlineLevel="3" x14ac:dyDescent="0.45">
      <c r="A220" s="242" t="s">
        <v>383</v>
      </c>
      <c r="B220" s="243"/>
      <c r="C220" s="244"/>
      <c r="D220" s="244"/>
      <c r="E220" s="244"/>
      <c r="F220" s="244"/>
      <c r="G220" s="245"/>
      <c r="H220" s="245"/>
      <c r="I220" s="245"/>
      <c r="J220" s="245"/>
      <c r="K220" s="244"/>
      <c r="L220" s="245"/>
      <c r="M220" s="245"/>
      <c r="N220" s="245"/>
      <c r="O220" s="245"/>
      <c r="P220" s="244"/>
      <c r="Q220" s="245"/>
      <c r="R220" s="245"/>
      <c r="S220" s="245"/>
      <c r="T220" s="288">
        <v>0</v>
      </c>
      <c r="U220" s="246">
        <v>0</v>
      </c>
      <c r="V220" s="288">
        <v>1</v>
      </c>
      <c r="W220" s="288">
        <v>1</v>
      </c>
      <c r="X220" s="288">
        <v>1</v>
      </c>
      <c r="Y220" s="168">
        <v>1</v>
      </c>
      <c r="Z220" s="246">
        <v>1</v>
      </c>
      <c r="AA220" s="168">
        <v>1</v>
      </c>
      <c r="AB220" s="168">
        <v>1</v>
      </c>
      <c r="AC220" s="288">
        <v>1</v>
      </c>
      <c r="AD220" s="168">
        <v>1</v>
      </c>
      <c r="AE220" s="246">
        <v>1</v>
      </c>
      <c r="AF220" s="168">
        <v>1</v>
      </c>
      <c r="AG220" s="168">
        <v>2</v>
      </c>
      <c r="AH220" s="288">
        <v>2</v>
      </c>
      <c r="AI220" s="168">
        <v>2</v>
      </c>
      <c r="AJ220" s="246">
        <v>1</v>
      </c>
      <c r="AK220" s="168">
        <v>2</v>
      </c>
      <c r="AL220" s="168">
        <v>2</v>
      </c>
      <c r="AM220" s="288">
        <v>2</v>
      </c>
      <c r="AN220" s="168">
        <v>2</v>
      </c>
      <c r="AO220" s="246">
        <v>2</v>
      </c>
      <c r="AP220" s="168">
        <v>2</v>
      </c>
      <c r="AQ220" s="168">
        <v>2</v>
      </c>
      <c r="AR220" s="289">
        <v>2</v>
      </c>
      <c r="AS220" s="168">
        <v>2</v>
      </c>
      <c r="AT220" s="246">
        <v>2</v>
      </c>
      <c r="AU220" s="168">
        <v>2</v>
      </c>
      <c r="AV220" s="168">
        <v>2</v>
      </c>
      <c r="AW220" s="289">
        <v>1</v>
      </c>
      <c r="AX220" s="168">
        <v>1</v>
      </c>
      <c r="AY220" s="246">
        <v>2</v>
      </c>
      <c r="AZ220" s="168">
        <v>1</v>
      </c>
      <c r="BA220" s="168">
        <v>1</v>
      </c>
      <c r="BB220" s="289">
        <v>1</v>
      </c>
      <c r="BC220" s="168">
        <v>1</v>
      </c>
      <c r="BD220" s="246">
        <v>1</v>
      </c>
      <c r="BE220" s="168">
        <v>1</v>
      </c>
      <c r="BF220" s="168">
        <v>1</v>
      </c>
      <c r="BG220" s="289">
        <v>1</v>
      </c>
      <c r="BH220" s="168">
        <v>1</v>
      </c>
      <c r="BI220" s="290">
        <v>1</v>
      </c>
      <c r="BJ220" s="247">
        <v>1</v>
      </c>
      <c r="BK220" s="247">
        <v>1</v>
      </c>
      <c r="BL220" s="247">
        <v>1</v>
      </c>
      <c r="BM220" s="247">
        <v>1</v>
      </c>
      <c r="BN220" s="244">
        <v>1</v>
      </c>
      <c r="BO220" s="247">
        <v>1</v>
      </c>
      <c r="BP220" s="247">
        <v>1</v>
      </c>
      <c r="BQ220" s="247">
        <v>1</v>
      </c>
      <c r="BR220" s="247">
        <v>1</v>
      </c>
      <c r="BS220" s="244">
        <v>1</v>
      </c>
      <c r="BT220" s="244">
        <v>1</v>
      </c>
      <c r="BU220" s="244">
        <v>1</v>
      </c>
      <c r="BV220" s="244">
        <v>1</v>
      </c>
      <c r="BW220" s="197"/>
    </row>
    <row r="221" spans="1:75" s="123" customFormat="1" hidden="1" outlineLevel="4" x14ac:dyDescent="0.5">
      <c r="A221" s="315" t="s">
        <v>384</v>
      </c>
      <c r="B221" s="251"/>
      <c r="C221" s="252"/>
      <c r="D221" s="252"/>
      <c r="E221" s="252"/>
      <c r="F221" s="252"/>
      <c r="G221" s="253"/>
      <c r="H221" s="253"/>
      <c r="I221" s="253"/>
      <c r="J221" s="253"/>
      <c r="K221" s="252"/>
      <c r="L221" s="253"/>
      <c r="M221" s="253"/>
      <c r="N221" s="253"/>
      <c r="O221" s="253"/>
      <c r="P221" s="252"/>
      <c r="Q221" s="253"/>
      <c r="R221" s="253"/>
      <c r="S221" s="253"/>
      <c r="T221" s="253">
        <v>0</v>
      </c>
      <c r="U221" s="252"/>
      <c r="V221" s="253"/>
      <c r="W221" s="253"/>
      <c r="X221" s="253"/>
      <c r="Y221" s="254">
        <v>0</v>
      </c>
      <c r="Z221" s="252"/>
      <c r="AA221" s="254"/>
      <c r="AB221" s="254"/>
      <c r="AC221" s="253"/>
      <c r="AD221" s="254">
        <v>0</v>
      </c>
      <c r="AE221" s="252"/>
      <c r="AF221" s="256">
        <v>1</v>
      </c>
      <c r="AG221" s="254"/>
      <c r="AH221" s="253"/>
      <c r="AI221" s="254">
        <v>0</v>
      </c>
      <c r="AJ221" s="259">
        <v>1</v>
      </c>
      <c r="AK221" s="254"/>
      <c r="AL221" s="254"/>
      <c r="AM221" s="253"/>
      <c r="AN221" s="254">
        <v>0</v>
      </c>
      <c r="AO221" s="252"/>
      <c r="AP221" s="254"/>
      <c r="AQ221" s="254"/>
      <c r="AR221" s="255"/>
      <c r="AS221" s="254">
        <v>0</v>
      </c>
      <c r="AT221" s="252"/>
      <c r="AU221" s="254"/>
      <c r="AV221" s="254"/>
      <c r="AW221" s="255"/>
      <c r="AX221" s="254">
        <v>0</v>
      </c>
      <c r="AY221" s="252"/>
      <c r="AZ221" s="254"/>
      <c r="BA221" s="254"/>
      <c r="BB221" s="255"/>
      <c r="BC221" s="254">
        <v>0</v>
      </c>
      <c r="BD221" s="252"/>
      <c r="BE221" s="254"/>
      <c r="BF221" s="254"/>
      <c r="BG221" s="255"/>
      <c r="BH221" s="254">
        <v>0</v>
      </c>
      <c r="BI221" s="260"/>
      <c r="BJ221" s="254"/>
      <c r="BK221" s="254"/>
      <c r="BL221" s="254"/>
      <c r="BM221" s="254"/>
      <c r="BN221" s="252"/>
      <c r="BO221" s="254"/>
      <c r="BP221" s="254"/>
      <c r="BQ221" s="254"/>
      <c r="BR221" s="254"/>
      <c r="BS221" s="252"/>
      <c r="BT221" s="252"/>
      <c r="BU221" s="252"/>
      <c r="BV221" s="252"/>
      <c r="BW221" s="122"/>
    </row>
    <row r="222" spans="1:75" s="123" customFormat="1" hidden="1" outlineLevel="4" x14ac:dyDescent="0.5">
      <c r="A222" s="355" t="s">
        <v>385</v>
      </c>
      <c r="B222" s="274"/>
      <c r="C222" s="266"/>
      <c r="D222" s="266"/>
      <c r="E222" s="266"/>
      <c r="F222" s="266"/>
      <c r="G222" s="267"/>
      <c r="H222" s="267"/>
      <c r="I222" s="267"/>
      <c r="J222" s="267"/>
      <c r="K222" s="266"/>
      <c r="L222" s="267"/>
      <c r="M222" s="267"/>
      <c r="N222" s="267"/>
      <c r="O222" s="267"/>
      <c r="P222" s="266"/>
      <c r="Q222" s="267"/>
      <c r="R222" s="267"/>
      <c r="S222" s="267"/>
      <c r="T222" s="267">
        <v>1</v>
      </c>
      <c r="U222" s="268">
        <v>1</v>
      </c>
      <c r="V222" s="267"/>
      <c r="W222" s="267"/>
      <c r="X222" s="267"/>
      <c r="Y222" s="269">
        <v>0</v>
      </c>
      <c r="Z222" s="266"/>
      <c r="AA222" s="269"/>
      <c r="AB222" s="269"/>
      <c r="AC222" s="267"/>
      <c r="AD222" s="269">
        <v>0</v>
      </c>
      <c r="AE222" s="266"/>
      <c r="AF222" s="269"/>
      <c r="AG222" s="269"/>
      <c r="AH222" s="267"/>
      <c r="AI222" s="269">
        <v>0</v>
      </c>
      <c r="AJ222" s="266"/>
      <c r="AK222" s="269"/>
      <c r="AL222" s="269"/>
      <c r="AM222" s="267"/>
      <c r="AN222" s="269">
        <v>0</v>
      </c>
      <c r="AO222" s="266"/>
      <c r="AP222" s="269"/>
      <c r="AQ222" s="269"/>
      <c r="AR222" s="270"/>
      <c r="AS222" s="269">
        <v>0</v>
      </c>
      <c r="AT222" s="266"/>
      <c r="AU222" s="269"/>
      <c r="AV222" s="269"/>
      <c r="AW222" s="270"/>
      <c r="AX222" s="269">
        <v>0</v>
      </c>
      <c r="AY222" s="266"/>
      <c r="AZ222" s="269"/>
      <c r="BA222" s="269"/>
      <c r="BB222" s="270"/>
      <c r="BC222" s="269">
        <v>0</v>
      </c>
      <c r="BD222" s="266"/>
      <c r="BE222" s="269"/>
      <c r="BF222" s="269"/>
      <c r="BG222" s="270"/>
      <c r="BH222" s="269">
        <v>0</v>
      </c>
      <c r="BI222" s="271"/>
      <c r="BJ222" s="269"/>
      <c r="BK222" s="269"/>
      <c r="BL222" s="269"/>
      <c r="BM222" s="269"/>
      <c r="BN222" s="266"/>
      <c r="BO222" s="269"/>
      <c r="BP222" s="269"/>
      <c r="BQ222" s="269"/>
      <c r="BR222" s="269"/>
      <c r="BS222" s="266"/>
      <c r="BT222" s="266"/>
      <c r="BU222" s="266"/>
      <c r="BV222" s="266"/>
      <c r="BW222" s="122"/>
    </row>
    <row r="223" spans="1:75" s="123" customFormat="1" hidden="1" outlineLevel="3" collapsed="1" x14ac:dyDescent="0.5">
      <c r="A223" s="218" t="s">
        <v>386</v>
      </c>
      <c r="B223" s="251"/>
      <c r="C223" s="252"/>
      <c r="D223" s="252"/>
      <c r="E223" s="252"/>
      <c r="F223" s="252"/>
      <c r="G223" s="253"/>
      <c r="H223" s="253"/>
      <c r="I223" s="253"/>
      <c r="J223" s="253"/>
      <c r="K223" s="252"/>
      <c r="L223" s="253"/>
      <c r="M223" s="253"/>
      <c r="N223" s="253"/>
      <c r="O223" s="253"/>
      <c r="P223" s="252"/>
      <c r="Q223" s="253"/>
      <c r="R223" s="253"/>
      <c r="S223" s="253"/>
      <c r="T223" s="253">
        <v>1</v>
      </c>
      <c r="U223" s="252">
        <v>1</v>
      </c>
      <c r="V223" s="253">
        <v>0</v>
      </c>
      <c r="W223" s="253">
        <v>0</v>
      </c>
      <c r="X223" s="253">
        <v>0</v>
      </c>
      <c r="Y223" s="254">
        <v>0</v>
      </c>
      <c r="Z223" s="252">
        <v>0</v>
      </c>
      <c r="AA223" s="254">
        <v>0</v>
      </c>
      <c r="AB223" s="254">
        <v>0</v>
      </c>
      <c r="AC223" s="253">
        <v>0</v>
      </c>
      <c r="AD223" s="254">
        <v>0</v>
      </c>
      <c r="AE223" s="252">
        <v>0</v>
      </c>
      <c r="AF223" s="254">
        <v>1</v>
      </c>
      <c r="AG223" s="254">
        <v>0</v>
      </c>
      <c r="AH223" s="253">
        <v>0</v>
      </c>
      <c r="AI223" s="254">
        <v>0</v>
      </c>
      <c r="AJ223" s="252">
        <v>1</v>
      </c>
      <c r="AK223" s="254">
        <v>0</v>
      </c>
      <c r="AL223" s="254">
        <v>0</v>
      </c>
      <c r="AM223" s="253">
        <v>0</v>
      </c>
      <c r="AN223" s="254">
        <v>0</v>
      </c>
      <c r="AO223" s="252">
        <v>0</v>
      </c>
      <c r="AP223" s="254">
        <v>0</v>
      </c>
      <c r="AQ223" s="254">
        <v>0</v>
      </c>
      <c r="AR223" s="255">
        <v>0</v>
      </c>
      <c r="AS223" s="254">
        <v>0</v>
      </c>
      <c r="AT223" s="252">
        <v>0</v>
      </c>
      <c r="AU223" s="254">
        <v>0</v>
      </c>
      <c r="AV223" s="254">
        <v>0</v>
      </c>
      <c r="AW223" s="255">
        <v>0</v>
      </c>
      <c r="AX223" s="254">
        <v>0</v>
      </c>
      <c r="AY223" s="252">
        <v>0</v>
      </c>
      <c r="AZ223" s="254">
        <v>0</v>
      </c>
      <c r="BA223" s="254">
        <v>0</v>
      </c>
      <c r="BB223" s="255">
        <v>0</v>
      </c>
      <c r="BC223" s="254">
        <v>0</v>
      </c>
      <c r="BD223" s="252">
        <v>0</v>
      </c>
      <c r="BE223" s="254">
        <v>0</v>
      </c>
      <c r="BF223" s="254">
        <v>0</v>
      </c>
      <c r="BG223" s="255">
        <v>0</v>
      </c>
      <c r="BH223" s="254">
        <v>0</v>
      </c>
      <c r="BI223" s="260">
        <v>0</v>
      </c>
      <c r="BJ223" s="256">
        <v>0</v>
      </c>
      <c r="BK223" s="256">
        <v>0</v>
      </c>
      <c r="BL223" s="256">
        <v>0</v>
      </c>
      <c r="BM223" s="256">
        <v>0</v>
      </c>
      <c r="BN223" s="252">
        <v>0</v>
      </c>
      <c r="BO223" s="256">
        <v>0</v>
      </c>
      <c r="BP223" s="256">
        <v>0</v>
      </c>
      <c r="BQ223" s="256">
        <v>0</v>
      </c>
      <c r="BR223" s="256">
        <v>0</v>
      </c>
      <c r="BS223" s="252">
        <v>0</v>
      </c>
      <c r="BT223" s="259">
        <v>0</v>
      </c>
      <c r="BU223" s="259">
        <v>0</v>
      </c>
      <c r="BV223" s="259">
        <v>0</v>
      </c>
      <c r="BW223" s="122"/>
    </row>
    <row r="224" spans="1:75" s="123" customFormat="1" hidden="1" outlineLevel="4" x14ac:dyDescent="0.5">
      <c r="A224" s="273" t="s">
        <v>387</v>
      </c>
      <c r="B224" s="274"/>
      <c r="C224" s="266"/>
      <c r="D224" s="266"/>
      <c r="E224" s="266"/>
      <c r="F224" s="266"/>
      <c r="G224" s="267"/>
      <c r="H224" s="267"/>
      <c r="I224" s="267"/>
      <c r="J224" s="267"/>
      <c r="K224" s="266"/>
      <c r="L224" s="267"/>
      <c r="M224" s="267"/>
      <c r="N224" s="267"/>
      <c r="O224" s="267"/>
      <c r="P224" s="266"/>
      <c r="Q224" s="267"/>
      <c r="R224" s="267"/>
      <c r="S224" s="267"/>
      <c r="T224" s="267">
        <v>0</v>
      </c>
      <c r="U224" s="266"/>
      <c r="V224" s="267"/>
      <c r="W224" s="267"/>
      <c r="X224" s="267"/>
      <c r="Y224" s="269">
        <v>0</v>
      </c>
      <c r="Z224" s="266"/>
      <c r="AA224" s="269"/>
      <c r="AB224" s="269"/>
      <c r="AC224" s="267"/>
      <c r="AD224" s="269">
        <v>0</v>
      </c>
      <c r="AE224" s="266"/>
      <c r="AF224" s="269"/>
      <c r="AG224" s="269"/>
      <c r="AH224" s="267"/>
      <c r="AI224" s="269">
        <v>0</v>
      </c>
      <c r="AJ224" s="266"/>
      <c r="AK224" s="269"/>
      <c r="AL224" s="269"/>
      <c r="AM224" s="267"/>
      <c r="AN224" s="269">
        <v>0</v>
      </c>
      <c r="AO224" s="266"/>
      <c r="AP224" s="269"/>
      <c r="AQ224" s="269"/>
      <c r="AR224" s="270"/>
      <c r="AS224" s="269">
        <v>0</v>
      </c>
      <c r="AT224" s="266"/>
      <c r="AU224" s="269"/>
      <c r="AV224" s="356">
        <v>-1</v>
      </c>
      <c r="AW224" s="270"/>
      <c r="AX224" s="269">
        <v>0</v>
      </c>
      <c r="AY224" s="268">
        <v>-1</v>
      </c>
      <c r="AZ224" s="269"/>
      <c r="BA224" s="269"/>
      <c r="BB224" s="270"/>
      <c r="BC224" s="269">
        <v>0</v>
      </c>
      <c r="BD224" s="266"/>
      <c r="BE224" s="269"/>
      <c r="BF224" s="269"/>
      <c r="BG224" s="270"/>
      <c r="BH224" s="269">
        <v>0</v>
      </c>
      <c r="BI224" s="271"/>
      <c r="BJ224" s="269"/>
      <c r="BK224" s="269"/>
      <c r="BL224" s="269"/>
      <c r="BM224" s="269"/>
      <c r="BN224" s="266"/>
      <c r="BO224" s="269"/>
      <c r="BP224" s="269"/>
      <c r="BQ224" s="269"/>
      <c r="BR224" s="269"/>
      <c r="BS224" s="266"/>
      <c r="BT224" s="266"/>
      <c r="BU224" s="266"/>
      <c r="BV224" s="266"/>
      <c r="BW224" s="122"/>
    </row>
    <row r="225" spans="1:75" s="123" customFormat="1" hidden="1" outlineLevel="3" collapsed="1" x14ac:dyDescent="0.5">
      <c r="A225" s="218" t="s">
        <v>388</v>
      </c>
      <c r="B225" s="251"/>
      <c r="C225" s="252"/>
      <c r="D225" s="252"/>
      <c r="E225" s="252"/>
      <c r="F225" s="252"/>
      <c r="G225" s="253"/>
      <c r="H225" s="253"/>
      <c r="I225" s="253"/>
      <c r="J225" s="253"/>
      <c r="K225" s="252"/>
      <c r="L225" s="253"/>
      <c r="M225" s="253"/>
      <c r="N225" s="253"/>
      <c r="O225" s="253"/>
      <c r="P225" s="252"/>
      <c r="Q225" s="253"/>
      <c r="R225" s="253"/>
      <c r="S225" s="253"/>
      <c r="T225" s="253">
        <v>0</v>
      </c>
      <c r="U225" s="252">
        <v>0</v>
      </c>
      <c r="V225" s="253">
        <v>0</v>
      </c>
      <c r="W225" s="253">
        <v>0</v>
      </c>
      <c r="X225" s="253">
        <v>0</v>
      </c>
      <c r="Y225" s="254">
        <v>0</v>
      </c>
      <c r="Z225" s="252">
        <v>0</v>
      </c>
      <c r="AA225" s="254">
        <v>0</v>
      </c>
      <c r="AB225" s="254">
        <v>0</v>
      </c>
      <c r="AC225" s="253">
        <v>0</v>
      </c>
      <c r="AD225" s="254">
        <v>0</v>
      </c>
      <c r="AE225" s="252">
        <v>0</v>
      </c>
      <c r="AF225" s="254">
        <v>0</v>
      </c>
      <c r="AG225" s="254">
        <v>0</v>
      </c>
      <c r="AH225" s="253">
        <v>0</v>
      </c>
      <c r="AI225" s="254">
        <v>0</v>
      </c>
      <c r="AJ225" s="252">
        <v>0</v>
      </c>
      <c r="AK225" s="254">
        <v>0</v>
      </c>
      <c r="AL225" s="254">
        <v>0</v>
      </c>
      <c r="AM225" s="253">
        <v>0</v>
      </c>
      <c r="AN225" s="254">
        <v>0</v>
      </c>
      <c r="AO225" s="252">
        <v>0</v>
      </c>
      <c r="AP225" s="254">
        <v>0</v>
      </c>
      <c r="AQ225" s="254">
        <v>0</v>
      </c>
      <c r="AR225" s="255">
        <v>0</v>
      </c>
      <c r="AS225" s="254">
        <v>0</v>
      </c>
      <c r="AT225" s="252">
        <v>0</v>
      </c>
      <c r="AU225" s="254">
        <v>0</v>
      </c>
      <c r="AV225" s="254">
        <v>-1</v>
      </c>
      <c r="AW225" s="255">
        <v>0</v>
      </c>
      <c r="AX225" s="254">
        <v>0</v>
      </c>
      <c r="AY225" s="252">
        <v>-1</v>
      </c>
      <c r="AZ225" s="254">
        <v>0</v>
      </c>
      <c r="BA225" s="254">
        <v>0</v>
      </c>
      <c r="BB225" s="255">
        <v>0</v>
      </c>
      <c r="BC225" s="254">
        <v>0</v>
      </c>
      <c r="BD225" s="252">
        <v>0</v>
      </c>
      <c r="BE225" s="254">
        <v>0</v>
      </c>
      <c r="BF225" s="254">
        <v>0</v>
      </c>
      <c r="BG225" s="255">
        <v>0</v>
      </c>
      <c r="BH225" s="254">
        <v>0</v>
      </c>
      <c r="BI225" s="260">
        <v>0</v>
      </c>
      <c r="BJ225" s="256">
        <v>0</v>
      </c>
      <c r="BK225" s="256">
        <v>0</v>
      </c>
      <c r="BL225" s="256">
        <v>0</v>
      </c>
      <c r="BM225" s="256">
        <v>0</v>
      </c>
      <c r="BN225" s="252">
        <v>0</v>
      </c>
      <c r="BO225" s="256">
        <v>0</v>
      </c>
      <c r="BP225" s="256">
        <v>0</v>
      </c>
      <c r="BQ225" s="256">
        <v>0</v>
      </c>
      <c r="BR225" s="256">
        <v>0</v>
      </c>
      <c r="BS225" s="252">
        <v>0</v>
      </c>
      <c r="BT225" s="259">
        <v>0</v>
      </c>
      <c r="BU225" s="259">
        <v>0</v>
      </c>
      <c r="BV225" s="259">
        <v>0</v>
      </c>
      <c r="BW225" s="122"/>
    </row>
    <row r="226" spans="1:75" s="198" customFormat="1" ht="14.25" hidden="1" outlineLevel="3" x14ac:dyDescent="0.45">
      <c r="A226" s="276" t="s">
        <v>389</v>
      </c>
      <c r="B226" s="277"/>
      <c r="C226" s="278"/>
      <c r="D226" s="278"/>
      <c r="E226" s="278"/>
      <c r="F226" s="278"/>
      <c r="G226" s="283"/>
      <c r="H226" s="283"/>
      <c r="I226" s="283"/>
      <c r="J226" s="283"/>
      <c r="K226" s="278"/>
      <c r="L226" s="283"/>
      <c r="M226" s="283"/>
      <c r="N226" s="283"/>
      <c r="O226" s="283"/>
      <c r="P226" s="278"/>
      <c r="Q226" s="283"/>
      <c r="R226" s="283"/>
      <c r="S226" s="283"/>
      <c r="T226" s="281">
        <v>1</v>
      </c>
      <c r="U226" s="282">
        <v>1</v>
      </c>
      <c r="V226" s="281">
        <v>1</v>
      </c>
      <c r="W226" s="281">
        <v>1</v>
      </c>
      <c r="X226" s="281">
        <v>1</v>
      </c>
      <c r="Y226" s="284">
        <v>1</v>
      </c>
      <c r="Z226" s="282">
        <v>1</v>
      </c>
      <c r="AA226" s="284">
        <v>1</v>
      </c>
      <c r="AB226" s="284">
        <v>1</v>
      </c>
      <c r="AC226" s="281">
        <v>1</v>
      </c>
      <c r="AD226" s="284">
        <v>1</v>
      </c>
      <c r="AE226" s="282">
        <v>1</v>
      </c>
      <c r="AF226" s="284">
        <v>2</v>
      </c>
      <c r="AG226" s="284">
        <v>2</v>
      </c>
      <c r="AH226" s="281">
        <v>2</v>
      </c>
      <c r="AI226" s="284">
        <v>2</v>
      </c>
      <c r="AJ226" s="282">
        <v>2</v>
      </c>
      <c r="AK226" s="284">
        <v>2</v>
      </c>
      <c r="AL226" s="284">
        <v>2</v>
      </c>
      <c r="AM226" s="281">
        <v>2</v>
      </c>
      <c r="AN226" s="284">
        <v>2</v>
      </c>
      <c r="AO226" s="282">
        <v>2</v>
      </c>
      <c r="AP226" s="284">
        <v>2</v>
      </c>
      <c r="AQ226" s="284">
        <v>2</v>
      </c>
      <c r="AR226" s="285">
        <v>2</v>
      </c>
      <c r="AS226" s="284">
        <v>2</v>
      </c>
      <c r="AT226" s="282">
        <v>2</v>
      </c>
      <c r="AU226" s="284">
        <v>2</v>
      </c>
      <c r="AV226" s="284">
        <v>1</v>
      </c>
      <c r="AW226" s="285">
        <v>1</v>
      </c>
      <c r="AX226" s="285">
        <v>1</v>
      </c>
      <c r="AY226" s="282">
        <v>1</v>
      </c>
      <c r="AZ226" s="284">
        <v>1</v>
      </c>
      <c r="BA226" s="284">
        <v>1</v>
      </c>
      <c r="BB226" s="285">
        <v>1</v>
      </c>
      <c r="BC226" s="285">
        <v>1</v>
      </c>
      <c r="BD226" s="282">
        <v>1</v>
      </c>
      <c r="BE226" s="284">
        <v>1</v>
      </c>
      <c r="BF226" s="284">
        <v>1</v>
      </c>
      <c r="BG226" s="285">
        <v>1</v>
      </c>
      <c r="BH226" s="285">
        <v>1</v>
      </c>
      <c r="BI226" s="286">
        <v>1</v>
      </c>
      <c r="BJ226" s="287">
        <v>1</v>
      </c>
      <c r="BK226" s="287">
        <v>1</v>
      </c>
      <c r="BL226" s="287">
        <v>1</v>
      </c>
      <c r="BM226" s="287">
        <v>1</v>
      </c>
      <c r="BN226" s="278">
        <v>1</v>
      </c>
      <c r="BO226" s="287">
        <v>1</v>
      </c>
      <c r="BP226" s="287">
        <v>1</v>
      </c>
      <c r="BQ226" s="287">
        <v>1</v>
      </c>
      <c r="BR226" s="287">
        <v>1</v>
      </c>
      <c r="BS226" s="278">
        <v>1</v>
      </c>
      <c r="BT226" s="278">
        <v>1</v>
      </c>
      <c r="BU226" s="278">
        <v>1</v>
      </c>
      <c r="BV226" s="278">
        <v>1</v>
      </c>
      <c r="BW226" s="197"/>
    </row>
    <row r="227" spans="1:75" s="198" customFormat="1" ht="14.25" hidden="1" outlineLevel="3" x14ac:dyDescent="0.45">
      <c r="A227" s="168" t="s">
        <v>390</v>
      </c>
      <c r="B227" s="243"/>
      <c r="C227" s="244"/>
      <c r="D227" s="244"/>
      <c r="E227" s="244"/>
      <c r="F227" s="244"/>
      <c r="G227" s="245"/>
      <c r="H227" s="245"/>
      <c r="I227" s="245"/>
      <c r="J227" s="245"/>
      <c r="K227" s="244"/>
      <c r="L227" s="245"/>
      <c r="M227" s="245"/>
      <c r="N227" s="245"/>
      <c r="O227" s="245"/>
      <c r="P227" s="244"/>
      <c r="Q227" s="245"/>
      <c r="R227" s="245"/>
      <c r="S227" s="245"/>
      <c r="T227" s="288">
        <v>0.5</v>
      </c>
      <c r="U227" s="246">
        <v>0.125</v>
      </c>
      <c r="V227" s="288">
        <v>1</v>
      </c>
      <c r="W227" s="288">
        <v>1</v>
      </c>
      <c r="X227" s="288">
        <v>1</v>
      </c>
      <c r="Y227" s="168">
        <v>1</v>
      </c>
      <c r="Z227" s="246">
        <v>1</v>
      </c>
      <c r="AA227" s="168">
        <v>1</v>
      </c>
      <c r="AB227" s="168">
        <v>1</v>
      </c>
      <c r="AC227" s="288">
        <v>1</v>
      </c>
      <c r="AD227" s="168">
        <v>1</v>
      </c>
      <c r="AE227" s="246">
        <v>1</v>
      </c>
      <c r="AF227" s="168">
        <v>1.5</v>
      </c>
      <c r="AG227" s="168">
        <v>2</v>
      </c>
      <c r="AH227" s="288">
        <v>2</v>
      </c>
      <c r="AI227" s="168">
        <v>2</v>
      </c>
      <c r="AJ227" s="246">
        <v>1.875</v>
      </c>
      <c r="AK227" s="168">
        <v>2</v>
      </c>
      <c r="AL227" s="168">
        <v>2</v>
      </c>
      <c r="AM227" s="288">
        <v>2</v>
      </c>
      <c r="AN227" s="168">
        <v>2</v>
      </c>
      <c r="AO227" s="246">
        <v>2</v>
      </c>
      <c r="AP227" s="168">
        <v>2</v>
      </c>
      <c r="AQ227" s="168">
        <v>2</v>
      </c>
      <c r="AR227" s="289">
        <v>2</v>
      </c>
      <c r="AS227" s="168">
        <v>2</v>
      </c>
      <c r="AT227" s="246">
        <v>2</v>
      </c>
      <c r="AU227" s="168">
        <v>2</v>
      </c>
      <c r="AV227" s="168">
        <v>1.5</v>
      </c>
      <c r="AW227" s="289">
        <v>1</v>
      </c>
      <c r="AX227" s="168">
        <v>1</v>
      </c>
      <c r="AY227" s="246">
        <v>1.375</v>
      </c>
      <c r="AZ227" s="168">
        <v>1</v>
      </c>
      <c r="BA227" s="168">
        <v>1</v>
      </c>
      <c r="BB227" s="289">
        <v>1</v>
      </c>
      <c r="BC227" s="168">
        <v>1</v>
      </c>
      <c r="BD227" s="246">
        <v>1</v>
      </c>
      <c r="BE227" s="168">
        <v>1</v>
      </c>
      <c r="BF227" s="168">
        <v>1</v>
      </c>
      <c r="BG227" s="289">
        <v>1</v>
      </c>
      <c r="BH227" s="168">
        <v>1</v>
      </c>
      <c r="BI227" s="290">
        <v>1</v>
      </c>
      <c r="BJ227" s="247">
        <v>1</v>
      </c>
      <c r="BK227" s="247">
        <v>1</v>
      </c>
      <c r="BL227" s="247">
        <v>1</v>
      </c>
      <c r="BM227" s="247">
        <v>1</v>
      </c>
      <c r="BN227" s="244">
        <v>1</v>
      </c>
      <c r="BO227" s="247">
        <v>1</v>
      </c>
      <c r="BP227" s="247">
        <v>1</v>
      </c>
      <c r="BQ227" s="247">
        <v>1</v>
      </c>
      <c r="BR227" s="247">
        <v>1</v>
      </c>
      <c r="BS227" s="244">
        <v>1</v>
      </c>
      <c r="BT227" s="244">
        <v>1</v>
      </c>
      <c r="BU227" s="244">
        <v>1</v>
      </c>
      <c r="BV227" s="244">
        <v>1</v>
      </c>
      <c r="BW227" s="197"/>
    </row>
    <row r="228" spans="1:75" s="198" customFormat="1" ht="14.25" hidden="1" outlineLevel="3" x14ac:dyDescent="0.45">
      <c r="A228" s="292"/>
      <c r="B228" s="243"/>
      <c r="C228" s="244"/>
      <c r="D228" s="244"/>
      <c r="E228" s="244"/>
      <c r="F228" s="244"/>
      <c r="G228" s="245"/>
      <c r="H228" s="245"/>
      <c r="I228" s="245"/>
      <c r="J228" s="245"/>
      <c r="K228" s="244"/>
      <c r="L228" s="245"/>
      <c r="M228" s="245"/>
      <c r="N228" s="245"/>
      <c r="O228" s="245"/>
      <c r="P228" s="244"/>
      <c r="Q228" s="245"/>
      <c r="R228" s="245"/>
      <c r="S228" s="245"/>
      <c r="T228" s="245"/>
      <c r="U228" s="244"/>
      <c r="V228" s="245"/>
      <c r="W228" s="245"/>
      <c r="X228" s="245"/>
      <c r="Y228" s="247"/>
      <c r="Z228" s="244"/>
      <c r="AA228" s="247"/>
      <c r="AB228" s="247"/>
      <c r="AC228" s="245"/>
      <c r="AD228" s="247"/>
      <c r="AE228" s="244"/>
      <c r="AF228" s="247"/>
      <c r="AG228" s="247"/>
      <c r="AH228" s="245"/>
      <c r="AI228" s="247"/>
      <c r="AJ228" s="244"/>
      <c r="AK228" s="247"/>
      <c r="AL228" s="247"/>
      <c r="AM228" s="245"/>
      <c r="AN228" s="247"/>
      <c r="AO228" s="244"/>
      <c r="AP228" s="247"/>
      <c r="AQ228" s="247"/>
      <c r="AR228" s="248"/>
      <c r="AS228" s="247"/>
      <c r="AT228" s="244"/>
      <c r="AU228" s="247"/>
      <c r="AV228" s="247"/>
      <c r="AW228" s="248"/>
      <c r="AX228" s="247"/>
      <c r="AY228" s="244"/>
      <c r="AZ228" s="247"/>
      <c r="BA228" s="247"/>
      <c r="BB228" s="248"/>
      <c r="BC228" s="247"/>
      <c r="BD228" s="244"/>
      <c r="BE228" s="247"/>
      <c r="BF228" s="247"/>
      <c r="BG228" s="248"/>
      <c r="BH228" s="247"/>
      <c r="BI228" s="249"/>
      <c r="BJ228" s="247"/>
      <c r="BK228" s="247"/>
      <c r="BL228" s="247"/>
      <c r="BM228" s="247"/>
      <c r="BN228" s="244"/>
      <c r="BO228" s="247"/>
      <c r="BP228" s="247"/>
      <c r="BQ228" s="247"/>
      <c r="BR228" s="247"/>
      <c r="BS228" s="244"/>
      <c r="BT228" s="244"/>
      <c r="BU228" s="244"/>
      <c r="BV228" s="244"/>
      <c r="BW228" s="197"/>
    </row>
    <row r="229" spans="1:75" s="198" customFormat="1" ht="14.25" hidden="1" outlineLevel="3" x14ac:dyDescent="0.45">
      <c r="A229" s="292" t="s">
        <v>391</v>
      </c>
      <c r="B229" s="243"/>
      <c r="C229" s="293"/>
      <c r="D229" s="293"/>
      <c r="E229" s="293"/>
      <c r="F229" s="293"/>
      <c r="G229" s="294"/>
      <c r="H229" s="294"/>
      <c r="I229" s="294"/>
      <c r="J229" s="294"/>
      <c r="K229" s="293"/>
      <c r="L229" s="294"/>
      <c r="M229" s="294"/>
      <c r="N229" s="294"/>
      <c r="O229" s="294"/>
      <c r="P229" s="293"/>
      <c r="Q229" s="294"/>
      <c r="R229" s="294"/>
      <c r="S229" s="294"/>
      <c r="T229" s="294">
        <v>0</v>
      </c>
      <c r="U229" s="293">
        <v>0</v>
      </c>
      <c r="V229" s="294">
        <v>12.900000000000002</v>
      </c>
      <c r="W229" s="294">
        <v>12.900000000000002</v>
      </c>
      <c r="X229" s="294">
        <v>12.900000000000002</v>
      </c>
      <c r="Y229" s="295">
        <v>12.900000000000002</v>
      </c>
      <c r="Z229" s="293">
        <v>12.900000000000002</v>
      </c>
      <c r="AA229" s="295">
        <v>12.900000000000002</v>
      </c>
      <c r="AB229" s="295">
        <v>12.900000000000002</v>
      </c>
      <c r="AC229" s="294">
        <v>12.900000000000002</v>
      </c>
      <c r="AD229" s="295">
        <v>12.900000000000002</v>
      </c>
      <c r="AE229" s="293">
        <v>12.900000000000002</v>
      </c>
      <c r="AF229" s="295">
        <v>12.900000000000002</v>
      </c>
      <c r="AG229" s="295">
        <v>21.1</v>
      </c>
      <c r="AH229" s="294">
        <v>21.1</v>
      </c>
      <c r="AI229" s="295">
        <v>21.1</v>
      </c>
      <c r="AJ229" s="293">
        <v>12.900000000000002</v>
      </c>
      <c r="AK229" s="295">
        <v>21.1</v>
      </c>
      <c r="AL229" s="295">
        <v>16.600000000000001</v>
      </c>
      <c r="AM229" s="294">
        <v>16.600000000000001</v>
      </c>
      <c r="AN229" s="295">
        <v>16.600000000000001</v>
      </c>
      <c r="AO229" s="293">
        <v>21.1</v>
      </c>
      <c r="AP229" s="295">
        <v>16.600000000000001</v>
      </c>
      <c r="AQ229" s="295">
        <v>16.600000000000001</v>
      </c>
      <c r="AR229" s="296">
        <v>16.600000000000001</v>
      </c>
      <c r="AS229" s="295">
        <v>16.600000000000001</v>
      </c>
      <c r="AT229" s="293">
        <v>16.600000000000001</v>
      </c>
      <c r="AU229" s="295">
        <v>16.600000000000001</v>
      </c>
      <c r="AV229" s="295">
        <v>16.600000000000001</v>
      </c>
      <c r="AW229" s="296">
        <v>12.700000000000001</v>
      </c>
      <c r="AX229" s="295">
        <v>12.700000000000001</v>
      </c>
      <c r="AY229" s="293">
        <v>16.600000000000001</v>
      </c>
      <c r="AZ229" s="295">
        <v>12.8</v>
      </c>
      <c r="BA229" s="295">
        <v>12.8</v>
      </c>
      <c r="BB229" s="296">
        <v>12.8</v>
      </c>
      <c r="BC229" s="295">
        <v>12.8</v>
      </c>
      <c r="BD229" s="293">
        <v>12.8</v>
      </c>
      <c r="BE229" s="295">
        <v>12.8</v>
      </c>
      <c r="BF229" s="295">
        <v>12.8</v>
      </c>
      <c r="BG229" s="296">
        <v>12.8</v>
      </c>
      <c r="BH229" s="295">
        <v>12.8</v>
      </c>
      <c r="BI229" s="297">
        <v>12.8</v>
      </c>
      <c r="BJ229" s="295">
        <v>12.8</v>
      </c>
      <c r="BK229" s="295">
        <v>12.8</v>
      </c>
      <c r="BL229" s="295">
        <v>12.8</v>
      </c>
      <c r="BM229" s="295">
        <v>12.8</v>
      </c>
      <c r="BN229" s="293">
        <v>12.8</v>
      </c>
      <c r="BO229" s="295">
        <v>12.8</v>
      </c>
      <c r="BP229" s="295">
        <v>12.8</v>
      </c>
      <c r="BQ229" s="295">
        <v>12.8</v>
      </c>
      <c r="BR229" s="295">
        <v>12.8</v>
      </c>
      <c r="BS229" s="293">
        <v>12.8</v>
      </c>
      <c r="BT229" s="293">
        <v>12.8</v>
      </c>
      <c r="BU229" s="293">
        <v>12.8</v>
      </c>
      <c r="BV229" s="293">
        <v>12.8</v>
      </c>
      <c r="BW229" s="197"/>
    </row>
    <row r="230" spans="1:75" s="123" customFormat="1" hidden="1" outlineLevel="4" x14ac:dyDescent="0.5">
      <c r="A230" s="298" t="s">
        <v>392</v>
      </c>
      <c r="B230" s="251"/>
      <c r="C230" s="299"/>
      <c r="D230" s="299"/>
      <c r="E230" s="299"/>
      <c r="F230" s="299"/>
      <c r="G230" s="300"/>
      <c r="H230" s="300"/>
      <c r="I230" s="300"/>
      <c r="J230" s="300"/>
      <c r="K230" s="299"/>
      <c r="L230" s="300"/>
      <c r="M230" s="300"/>
      <c r="N230" s="300"/>
      <c r="O230" s="300"/>
      <c r="P230" s="299"/>
      <c r="Q230" s="300"/>
      <c r="R230" s="300"/>
      <c r="S230" s="300"/>
      <c r="T230" s="300">
        <v>0</v>
      </c>
      <c r="U230" s="299"/>
      <c r="V230" s="300"/>
      <c r="W230" s="300"/>
      <c r="X230" s="300"/>
      <c r="Y230" s="119">
        <v>0</v>
      </c>
      <c r="Z230" s="299"/>
      <c r="AA230" s="119"/>
      <c r="AB230" s="119"/>
      <c r="AC230" s="300"/>
      <c r="AD230" s="119">
        <v>0</v>
      </c>
      <c r="AE230" s="299"/>
      <c r="AF230" s="302">
        <v>8.1999999999999993</v>
      </c>
      <c r="AG230" s="119"/>
      <c r="AH230" s="300"/>
      <c r="AI230" s="119">
        <v>0</v>
      </c>
      <c r="AJ230" s="305">
        <v>8.1999999999999993</v>
      </c>
      <c r="AK230" s="119"/>
      <c r="AL230" s="119"/>
      <c r="AM230" s="300"/>
      <c r="AN230" s="119">
        <v>0</v>
      </c>
      <c r="AO230" s="299"/>
      <c r="AP230" s="119"/>
      <c r="AQ230" s="119"/>
      <c r="AR230" s="301"/>
      <c r="AS230" s="119">
        <v>0</v>
      </c>
      <c r="AT230" s="299"/>
      <c r="AU230" s="119"/>
      <c r="AV230" s="119"/>
      <c r="AW230" s="301"/>
      <c r="AX230" s="119">
        <v>0</v>
      </c>
      <c r="AY230" s="299"/>
      <c r="AZ230" s="119"/>
      <c r="BA230" s="119"/>
      <c r="BB230" s="301"/>
      <c r="BC230" s="119">
        <v>0</v>
      </c>
      <c r="BD230" s="299"/>
      <c r="BE230" s="119"/>
      <c r="BF230" s="119"/>
      <c r="BG230" s="301"/>
      <c r="BH230" s="119">
        <v>0</v>
      </c>
      <c r="BI230" s="304"/>
      <c r="BJ230" s="119"/>
      <c r="BK230" s="119"/>
      <c r="BL230" s="119"/>
      <c r="BM230" s="119"/>
      <c r="BN230" s="299"/>
      <c r="BO230" s="119"/>
      <c r="BP230" s="119"/>
      <c r="BQ230" s="119"/>
      <c r="BR230" s="119"/>
      <c r="BS230" s="299"/>
      <c r="BT230" s="299"/>
      <c r="BU230" s="299"/>
      <c r="BV230" s="299"/>
      <c r="BW230" s="122"/>
    </row>
    <row r="231" spans="1:75" s="123" customFormat="1" hidden="1" outlineLevel="4" x14ac:dyDescent="0.5">
      <c r="A231" s="308" t="s">
        <v>393</v>
      </c>
      <c r="B231" s="274"/>
      <c r="C231" s="309"/>
      <c r="D231" s="309"/>
      <c r="E231" s="309"/>
      <c r="F231" s="309"/>
      <c r="G231" s="310"/>
      <c r="H231" s="310"/>
      <c r="I231" s="310"/>
      <c r="J231" s="310"/>
      <c r="K231" s="309"/>
      <c r="L231" s="310"/>
      <c r="M231" s="310"/>
      <c r="N231" s="310"/>
      <c r="O231" s="310"/>
      <c r="P231" s="309"/>
      <c r="Q231" s="310"/>
      <c r="R231" s="310"/>
      <c r="S231" s="310"/>
      <c r="T231" s="310">
        <v>12.8</v>
      </c>
      <c r="U231" s="311">
        <v>12.8</v>
      </c>
      <c r="V231" s="310"/>
      <c r="W231" s="310"/>
      <c r="X231" s="310"/>
      <c r="Y231" s="312">
        <v>0</v>
      </c>
      <c r="Z231" s="309"/>
      <c r="AA231" s="312"/>
      <c r="AB231" s="312"/>
      <c r="AC231" s="310"/>
      <c r="AD231" s="312">
        <v>0</v>
      </c>
      <c r="AE231" s="309"/>
      <c r="AF231" s="312"/>
      <c r="AG231" s="312"/>
      <c r="AH231" s="310"/>
      <c r="AI231" s="312">
        <v>0</v>
      </c>
      <c r="AJ231" s="309"/>
      <c r="AK231" s="312"/>
      <c r="AL231" s="312"/>
      <c r="AM231" s="310"/>
      <c r="AN231" s="312">
        <v>0</v>
      </c>
      <c r="AO231" s="309"/>
      <c r="AP231" s="312"/>
      <c r="AQ231" s="312"/>
      <c r="AR231" s="313"/>
      <c r="AS231" s="312">
        <v>0</v>
      </c>
      <c r="AT231" s="309"/>
      <c r="AU231" s="312"/>
      <c r="AV231" s="312"/>
      <c r="AW231" s="313"/>
      <c r="AX231" s="312">
        <v>0</v>
      </c>
      <c r="AY231" s="309"/>
      <c r="AZ231" s="312"/>
      <c r="BA231" s="312"/>
      <c r="BB231" s="313"/>
      <c r="BC231" s="312">
        <v>0</v>
      </c>
      <c r="BD231" s="309"/>
      <c r="BE231" s="312"/>
      <c r="BF231" s="312"/>
      <c r="BG231" s="313"/>
      <c r="BH231" s="312">
        <v>0</v>
      </c>
      <c r="BI231" s="314"/>
      <c r="BJ231" s="312"/>
      <c r="BK231" s="312"/>
      <c r="BL231" s="312"/>
      <c r="BM231" s="312"/>
      <c r="BN231" s="309"/>
      <c r="BO231" s="312"/>
      <c r="BP231" s="312"/>
      <c r="BQ231" s="312"/>
      <c r="BR231" s="312"/>
      <c r="BS231" s="309"/>
      <c r="BT231" s="309"/>
      <c r="BU231" s="309"/>
      <c r="BV231" s="309"/>
      <c r="BW231" s="122"/>
    </row>
    <row r="232" spans="1:75" s="123" customFormat="1" hidden="1" outlineLevel="3" collapsed="1" x14ac:dyDescent="0.5">
      <c r="A232" s="315" t="s">
        <v>394</v>
      </c>
      <c r="B232" s="251"/>
      <c r="C232" s="299"/>
      <c r="D232" s="299"/>
      <c r="E232" s="299"/>
      <c r="F232" s="299"/>
      <c r="G232" s="300"/>
      <c r="H232" s="300"/>
      <c r="I232" s="300"/>
      <c r="J232" s="300"/>
      <c r="K232" s="299"/>
      <c r="L232" s="300"/>
      <c r="M232" s="300"/>
      <c r="N232" s="300"/>
      <c r="O232" s="300"/>
      <c r="P232" s="299"/>
      <c r="Q232" s="300"/>
      <c r="R232" s="300"/>
      <c r="S232" s="300"/>
      <c r="T232" s="300">
        <v>12.8</v>
      </c>
      <c r="U232" s="299">
        <v>12.8</v>
      </c>
      <c r="V232" s="300">
        <v>0</v>
      </c>
      <c r="W232" s="300">
        <v>0</v>
      </c>
      <c r="X232" s="300">
        <v>0</v>
      </c>
      <c r="Y232" s="119">
        <v>0</v>
      </c>
      <c r="Z232" s="299">
        <v>0</v>
      </c>
      <c r="AA232" s="119">
        <v>0</v>
      </c>
      <c r="AB232" s="119">
        <v>0</v>
      </c>
      <c r="AC232" s="300">
        <v>0</v>
      </c>
      <c r="AD232" s="119">
        <v>0</v>
      </c>
      <c r="AE232" s="299">
        <v>0</v>
      </c>
      <c r="AF232" s="119">
        <v>8.1999999999999993</v>
      </c>
      <c r="AG232" s="119">
        <v>0</v>
      </c>
      <c r="AH232" s="300">
        <v>0</v>
      </c>
      <c r="AI232" s="119">
        <v>0</v>
      </c>
      <c r="AJ232" s="299">
        <v>8.1999999999999993</v>
      </c>
      <c r="AK232" s="119">
        <v>0</v>
      </c>
      <c r="AL232" s="119">
        <v>0</v>
      </c>
      <c r="AM232" s="300">
        <v>0</v>
      </c>
      <c r="AN232" s="119">
        <v>0</v>
      </c>
      <c r="AO232" s="299">
        <v>0</v>
      </c>
      <c r="AP232" s="119">
        <v>0</v>
      </c>
      <c r="AQ232" s="119">
        <v>0</v>
      </c>
      <c r="AR232" s="301">
        <v>0</v>
      </c>
      <c r="AS232" s="119">
        <v>0</v>
      </c>
      <c r="AT232" s="299">
        <v>0</v>
      </c>
      <c r="AU232" s="119">
        <v>0</v>
      </c>
      <c r="AV232" s="119">
        <v>0</v>
      </c>
      <c r="AW232" s="301">
        <v>0</v>
      </c>
      <c r="AX232" s="119">
        <v>0</v>
      </c>
      <c r="AY232" s="299">
        <v>0</v>
      </c>
      <c r="AZ232" s="119">
        <v>0</v>
      </c>
      <c r="BA232" s="119">
        <v>0</v>
      </c>
      <c r="BB232" s="301">
        <v>0</v>
      </c>
      <c r="BC232" s="119">
        <v>0</v>
      </c>
      <c r="BD232" s="299">
        <v>0</v>
      </c>
      <c r="BE232" s="119">
        <v>0</v>
      </c>
      <c r="BF232" s="119">
        <v>0</v>
      </c>
      <c r="BG232" s="301">
        <v>0</v>
      </c>
      <c r="BH232" s="119">
        <v>0</v>
      </c>
      <c r="BI232" s="304">
        <v>0</v>
      </c>
      <c r="BJ232" s="119">
        <v>0</v>
      </c>
      <c r="BK232" s="119">
        <v>0</v>
      </c>
      <c r="BL232" s="119">
        <v>0</v>
      </c>
      <c r="BM232" s="119">
        <v>0</v>
      </c>
      <c r="BN232" s="299">
        <v>0</v>
      </c>
      <c r="BO232" s="119">
        <v>0</v>
      </c>
      <c r="BP232" s="119">
        <v>0</v>
      </c>
      <c r="BQ232" s="119">
        <v>0</v>
      </c>
      <c r="BR232" s="119">
        <v>0</v>
      </c>
      <c r="BS232" s="299">
        <v>0</v>
      </c>
      <c r="BT232" s="299">
        <v>0</v>
      </c>
      <c r="BU232" s="299">
        <v>0</v>
      </c>
      <c r="BV232" s="299">
        <v>0</v>
      </c>
      <c r="BW232" s="122"/>
    </row>
    <row r="233" spans="1:75" s="123" customFormat="1" hidden="1" outlineLevel="4" x14ac:dyDescent="0.5">
      <c r="A233" s="308" t="s">
        <v>395</v>
      </c>
      <c r="B233" s="274"/>
      <c r="C233" s="309"/>
      <c r="D233" s="309"/>
      <c r="E233" s="309"/>
      <c r="F233" s="309"/>
      <c r="G233" s="310"/>
      <c r="H233" s="310"/>
      <c r="I233" s="310"/>
      <c r="J233" s="310"/>
      <c r="K233" s="309"/>
      <c r="L233" s="310"/>
      <c r="M233" s="310"/>
      <c r="N233" s="310"/>
      <c r="O233" s="310"/>
      <c r="P233" s="309"/>
      <c r="Q233" s="310"/>
      <c r="R233" s="310"/>
      <c r="S233" s="310"/>
      <c r="T233" s="310">
        <v>0</v>
      </c>
      <c r="U233" s="309"/>
      <c r="V233" s="310"/>
      <c r="W233" s="310"/>
      <c r="X233" s="310"/>
      <c r="Y233" s="312">
        <v>0</v>
      </c>
      <c r="Z233" s="309"/>
      <c r="AA233" s="312"/>
      <c r="AB233" s="312"/>
      <c r="AC233" s="310"/>
      <c r="AD233" s="312">
        <v>0</v>
      </c>
      <c r="AE233" s="309"/>
      <c r="AF233" s="312"/>
      <c r="AG233" s="312"/>
      <c r="AH233" s="310"/>
      <c r="AI233" s="312">
        <v>0</v>
      </c>
      <c r="AJ233" s="309"/>
      <c r="AK233" s="312"/>
      <c r="AL233" s="312"/>
      <c r="AM233" s="310"/>
      <c r="AN233" s="312">
        <v>0</v>
      </c>
      <c r="AO233" s="309"/>
      <c r="AP233" s="312"/>
      <c r="AQ233" s="312"/>
      <c r="AR233" s="313"/>
      <c r="AS233" s="312">
        <v>0</v>
      </c>
      <c r="AT233" s="309"/>
      <c r="AU233" s="312"/>
      <c r="AV233" s="357">
        <v>-3.9</v>
      </c>
      <c r="AW233" s="313"/>
      <c r="AX233" s="312">
        <v>0</v>
      </c>
      <c r="AY233" s="311">
        <v>-3.9</v>
      </c>
      <c r="AZ233" s="312"/>
      <c r="BA233" s="312"/>
      <c r="BB233" s="313"/>
      <c r="BC233" s="312">
        <v>0</v>
      </c>
      <c r="BD233" s="309"/>
      <c r="BE233" s="312"/>
      <c r="BF233" s="312"/>
      <c r="BG233" s="313"/>
      <c r="BH233" s="312">
        <v>0</v>
      </c>
      <c r="BI233" s="314"/>
      <c r="BJ233" s="312"/>
      <c r="BK233" s="312"/>
      <c r="BL233" s="312"/>
      <c r="BM233" s="312"/>
      <c r="BN233" s="309"/>
      <c r="BO233" s="312"/>
      <c r="BP233" s="312"/>
      <c r="BQ233" s="312"/>
      <c r="BR233" s="312"/>
      <c r="BS233" s="309"/>
      <c r="BT233" s="309"/>
      <c r="BU233" s="309"/>
      <c r="BV233" s="309"/>
      <c r="BW233" s="122"/>
    </row>
    <row r="234" spans="1:75" s="123" customFormat="1" hidden="1" outlineLevel="3" collapsed="1" x14ac:dyDescent="0.5">
      <c r="A234" s="315" t="s">
        <v>396</v>
      </c>
      <c r="B234" s="251"/>
      <c r="C234" s="299"/>
      <c r="D234" s="299"/>
      <c r="E234" s="299"/>
      <c r="F234" s="299"/>
      <c r="G234" s="300"/>
      <c r="H234" s="300"/>
      <c r="I234" s="300"/>
      <c r="J234" s="300"/>
      <c r="K234" s="299"/>
      <c r="L234" s="300"/>
      <c r="M234" s="300"/>
      <c r="N234" s="300"/>
      <c r="O234" s="300"/>
      <c r="P234" s="299"/>
      <c r="Q234" s="300"/>
      <c r="R234" s="300"/>
      <c r="S234" s="300"/>
      <c r="T234" s="300">
        <v>0</v>
      </c>
      <c r="U234" s="299">
        <v>0</v>
      </c>
      <c r="V234" s="300">
        <v>0</v>
      </c>
      <c r="W234" s="300">
        <v>0</v>
      </c>
      <c r="X234" s="300">
        <v>0</v>
      </c>
      <c r="Y234" s="119">
        <v>0</v>
      </c>
      <c r="Z234" s="299">
        <v>0</v>
      </c>
      <c r="AA234" s="119">
        <v>0</v>
      </c>
      <c r="AB234" s="119">
        <v>0</v>
      </c>
      <c r="AC234" s="300">
        <v>0</v>
      </c>
      <c r="AD234" s="119">
        <v>0</v>
      </c>
      <c r="AE234" s="299">
        <v>0</v>
      </c>
      <c r="AF234" s="119">
        <v>0</v>
      </c>
      <c r="AG234" s="119">
        <v>0</v>
      </c>
      <c r="AH234" s="300">
        <v>0</v>
      </c>
      <c r="AI234" s="119">
        <v>0</v>
      </c>
      <c r="AJ234" s="299">
        <v>0</v>
      </c>
      <c r="AK234" s="119">
        <v>0</v>
      </c>
      <c r="AL234" s="119">
        <v>0</v>
      </c>
      <c r="AM234" s="300">
        <v>0</v>
      </c>
      <c r="AN234" s="119">
        <v>0</v>
      </c>
      <c r="AO234" s="299">
        <v>0</v>
      </c>
      <c r="AP234" s="119">
        <v>0</v>
      </c>
      <c r="AQ234" s="119">
        <v>0</v>
      </c>
      <c r="AR234" s="301">
        <v>0</v>
      </c>
      <c r="AS234" s="119">
        <v>0</v>
      </c>
      <c r="AT234" s="299">
        <v>0</v>
      </c>
      <c r="AU234" s="119">
        <v>0</v>
      </c>
      <c r="AV234" s="119">
        <v>-3.9</v>
      </c>
      <c r="AW234" s="301">
        <v>0</v>
      </c>
      <c r="AX234" s="119">
        <v>0</v>
      </c>
      <c r="AY234" s="299">
        <v>-3.9</v>
      </c>
      <c r="AZ234" s="119">
        <v>0</v>
      </c>
      <c r="BA234" s="119">
        <v>0</v>
      </c>
      <c r="BB234" s="301">
        <v>0</v>
      </c>
      <c r="BC234" s="119">
        <v>0</v>
      </c>
      <c r="BD234" s="299">
        <v>0</v>
      </c>
      <c r="BE234" s="119">
        <v>0</v>
      </c>
      <c r="BF234" s="119">
        <v>0</v>
      </c>
      <c r="BG234" s="301">
        <v>0</v>
      </c>
      <c r="BH234" s="119">
        <v>0</v>
      </c>
      <c r="BI234" s="304">
        <v>0</v>
      </c>
      <c r="BJ234" s="119">
        <v>0</v>
      </c>
      <c r="BK234" s="119">
        <v>0</v>
      </c>
      <c r="BL234" s="119">
        <v>0</v>
      </c>
      <c r="BM234" s="119">
        <v>0</v>
      </c>
      <c r="BN234" s="299">
        <v>0</v>
      </c>
      <c r="BO234" s="119">
        <v>0</v>
      </c>
      <c r="BP234" s="119">
        <v>0</v>
      </c>
      <c r="BQ234" s="119">
        <v>0</v>
      </c>
      <c r="BR234" s="119">
        <v>0</v>
      </c>
      <c r="BS234" s="299">
        <v>0</v>
      </c>
      <c r="BT234" s="299">
        <v>0</v>
      </c>
      <c r="BU234" s="299">
        <v>0</v>
      </c>
      <c r="BV234" s="299">
        <v>0</v>
      </c>
      <c r="BW234" s="122"/>
    </row>
    <row r="235" spans="1:75" s="123" customFormat="1" hidden="1" outlineLevel="4" x14ac:dyDescent="0.5">
      <c r="A235" s="308" t="s">
        <v>397</v>
      </c>
      <c r="B235" s="274"/>
      <c r="C235" s="309"/>
      <c r="D235" s="309"/>
      <c r="E235" s="309"/>
      <c r="F235" s="309"/>
      <c r="G235" s="310"/>
      <c r="H235" s="310"/>
      <c r="I235" s="310"/>
      <c r="J235" s="310"/>
      <c r="K235" s="309"/>
      <c r="L235" s="310"/>
      <c r="M235" s="310"/>
      <c r="N235" s="310"/>
      <c r="O235" s="310"/>
      <c r="P235" s="309"/>
      <c r="Q235" s="310"/>
      <c r="R235" s="310"/>
      <c r="S235" s="310"/>
      <c r="T235" s="310">
        <v>0</v>
      </c>
      <c r="U235" s="309"/>
      <c r="V235" s="310"/>
      <c r="W235" s="310"/>
      <c r="X235" s="310"/>
      <c r="Y235" s="312">
        <v>0</v>
      </c>
      <c r="Z235" s="309"/>
      <c r="AA235" s="312"/>
      <c r="AB235" s="312"/>
      <c r="AC235" s="310"/>
      <c r="AD235" s="312">
        <v>0</v>
      </c>
      <c r="AE235" s="309"/>
      <c r="AF235" s="312"/>
      <c r="AG235" s="312"/>
      <c r="AH235" s="310"/>
      <c r="AI235" s="312">
        <v>0</v>
      </c>
      <c r="AJ235" s="309"/>
      <c r="AK235" s="357">
        <v>-4.5</v>
      </c>
      <c r="AL235" s="312"/>
      <c r="AM235" s="310"/>
      <c r="AN235" s="312">
        <v>0</v>
      </c>
      <c r="AO235" s="311">
        <v>-4.5</v>
      </c>
      <c r="AP235" s="312"/>
      <c r="AQ235" s="312"/>
      <c r="AR235" s="313"/>
      <c r="AS235" s="312">
        <v>0</v>
      </c>
      <c r="AT235" s="309"/>
      <c r="AU235" s="312"/>
      <c r="AV235" s="312"/>
      <c r="AW235" s="313"/>
      <c r="AX235" s="312">
        <v>0</v>
      </c>
      <c r="AY235" s="309"/>
      <c r="AZ235" s="312"/>
      <c r="BA235" s="312"/>
      <c r="BB235" s="313"/>
      <c r="BC235" s="312">
        <v>0</v>
      </c>
      <c r="BD235" s="309"/>
      <c r="BE235" s="312"/>
      <c r="BF235" s="312"/>
      <c r="BG235" s="313"/>
      <c r="BH235" s="312">
        <v>0</v>
      </c>
      <c r="BI235" s="314"/>
      <c r="BJ235" s="312"/>
      <c r="BK235" s="312"/>
      <c r="BL235" s="312"/>
      <c r="BM235" s="312"/>
      <c r="BN235" s="309"/>
      <c r="BO235" s="312"/>
      <c r="BP235" s="312"/>
      <c r="BQ235" s="312"/>
      <c r="BR235" s="312"/>
      <c r="BS235" s="309"/>
      <c r="BT235" s="309"/>
      <c r="BU235" s="309"/>
      <c r="BV235" s="309"/>
      <c r="BW235" s="122"/>
    </row>
    <row r="236" spans="1:75" s="123" customFormat="1" hidden="1" outlineLevel="3" collapsed="1" x14ac:dyDescent="0.5">
      <c r="A236" s="315" t="s">
        <v>398</v>
      </c>
      <c r="B236" s="251"/>
      <c r="C236" s="299"/>
      <c r="D236" s="299"/>
      <c r="E236" s="299"/>
      <c r="F236" s="299"/>
      <c r="G236" s="300"/>
      <c r="H236" s="300"/>
      <c r="I236" s="300"/>
      <c r="J236" s="300"/>
      <c r="K236" s="299"/>
      <c r="L236" s="300"/>
      <c r="M236" s="300"/>
      <c r="N236" s="300"/>
      <c r="O236" s="300"/>
      <c r="P236" s="299"/>
      <c r="Q236" s="300"/>
      <c r="R236" s="300"/>
      <c r="S236" s="300"/>
      <c r="T236" s="300">
        <v>0</v>
      </c>
      <c r="U236" s="299">
        <v>0</v>
      </c>
      <c r="V236" s="300">
        <v>0</v>
      </c>
      <c r="W236" s="300">
        <v>0</v>
      </c>
      <c r="X236" s="300">
        <v>0</v>
      </c>
      <c r="Y236" s="119">
        <v>0</v>
      </c>
      <c r="Z236" s="299">
        <v>0</v>
      </c>
      <c r="AA236" s="119">
        <v>0</v>
      </c>
      <c r="AB236" s="119">
        <v>0</v>
      </c>
      <c r="AC236" s="300">
        <v>0</v>
      </c>
      <c r="AD236" s="119">
        <v>0</v>
      </c>
      <c r="AE236" s="299">
        <v>0</v>
      </c>
      <c r="AF236" s="119">
        <v>0</v>
      </c>
      <c r="AG236" s="119">
        <v>0</v>
      </c>
      <c r="AH236" s="300">
        <v>0</v>
      </c>
      <c r="AI236" s="119">
        <v>0</v>
      </c>
      <c r="AJ236" s="299">
        <v>0</v>
      </c>
      <c r="AK236" s="119">
        <v>-4.5</v>
      </c>
      <c r="AL236" s="119">
        <v>0</v>
      </c>
      <c r="AM236" s="300">
        <v>0</v>
      </c>
      <c r="AN236" s="119">
        <v>0</v>
      </c>
      <c r="AO236" s="299">
        <v>-4.5</v>
      </c>
      <c r="AP236" s="119">
        <v>0</v>
      </c>
      <c r="AQ236" s="119">
        <v>0</v>
      </c>
      <c r="AR236" s="301">
        <v>0</v>
      </c>
      <c r="AS236" s="119">
        <v>0</v>
      </c>
      <c r="AT236" s="299">
        <v>0</v>
      </c>
      <c r="AU236" s="119">
        <v>0</v>
      </c>
      <c r="AV236" s="119">
        <v>0</v>
      </c>
      <c r="AW236" s="301">
        <v>0</v>
      </c>
      <c r="AX236" s="119">
        <v>0</v>
      </c>
      <c r="AY236" s="299">
        <v>0</v>
      </c>
      <c r="AZ236" s="119">
        <v>0</v>
      </c>
      <c r="BA236" s="119">
        <v>0</v>
      </c>
      <c r="BB236" s="301">
        <v>0</v>
      </c>
      <c r="BC236" s="119">
        <v>0</v>
      </c>
      <c r="BD236" s="299">
        <v>0</v>
      </c>
      <c r="BE236" s="119">
        <v>0</v>
      </c>
      <c r="BF236" s="119">
        <v>0</v>
      </c>
      <c r="BG236" s="301">
        <v>0</v>
      </c>
      <c r="BH236" s="119">
        <v>0</v>
      </c>
      <c r="BI236" s="304">
        <v>0</v>
      </c>
      <c r="BJ236" s="302">
        <v>0</v>
      </c>
      <c r="BK236" s="302">
        <v>0</v>
      </c>
      <c r="BL236" s="302">
        <v>0</v>
      </c>
      <c r="BM236" s="302">
        <v>0</v>
      </c>
      <c r="BN236" s="299">
        <v>0</v>
      </c>
      <c r="BO236" s="302">
        <v>0</v>
      </c>
      <c r="BP236" s="302">
        <v>0</v>
      </c>
      <c r="BQ236" s="302">
        <v>0</v>
      </c>
      <c r="BR236" s="302">
        <v>0</v>
      </c>
      <c r="BS236" s="299">
        <v>0</v>
      </c>
      <c r="BT236" s="305">
        <v>0</v>
      </c>
      <c r="BU236" s="305">
        <v>0</v>
      </c>
      <c r="BV236" s="305">
        <v>0</v>
      </c>
      <c r="BW236" s="122"/>
    </row>
    <row r="237" spans="1:75" s="123" customFormat="1" hidden="1" outlineLevel="3" x14ac:dyDescent="0.5">
      <c r="A237" s="317" t="s">
        <v>399</v>
      </c>
      <c r="B237" s="318"/>
      <c r="C237" s="319"/>
      <c r="D237" s="319"/>
      <c r="E237" s="319"/>
      <c r="F237" s="319"/>
      <c r="G237" s="320"/>
      <c r="H237" s="320"/>
      <c r="I237" s="320"/>
      <c r="J237" s="320"/>
      <c r="K237" s="319"/>
      <c r="L237" s="320"/>
      <c r="M237" s="320"/>
      <c r="N237" s="320"/>
      <c r="O237" s="320"/>
      <c r="P237" s="319"/>
      <c r="Q237" s="320"/>
      <c r="R237" s="320"/>
      <c r="S237" s="320"/>
      <c r="T237" s="320">
        <v>12.8</v>
      </c>
      <c r="U237" s="319">
        <v>12.8</v>
      </c>
      <c r="V237" s="320">
        <v>0</v>
      </c>
      <c r="W237" s="320">
        <v>0</v>
      </c>
      <c r="X237" s="320">
        <v>0</v>
      </c>
      <c r="Y237" s="321">
        <v>0</v>
      </c>
      <c r="Z237" s="319">
        <v>0</v>
      </c>
      <c r="AA237" s="321">
        <v>0</v>
      </c>
      <c r="AB237" s="321">
        <v>0</v>
      </c>
      <c r="AC237" s="320">
        <v>0</v>
      </c>
      <c r="AD237" s="321">
        <v>0</v>
      </c>
      <c r="AE237" s="319">
        <v>0</v>
      </c>
      <c r="AF237" s="321">
        <v>8.1999999999999993</v>
      </c>
      <c r="AG237" s="321">
        <v>0</v>
      </c>
      <c r="AH237" s="320">
        <v>0</v>
      </c>
      <c r="AI237" s="321">
        <v>0</v>
      </c>
      <c r="AJ237" s="319">
        <v>8.1999999999999993</v>
      </c>
      <c r="AK237" s="321">
        <v>-4.5</v>
      </c>
      <c r="AL237" s="321">
        <v>0</v>
      </c>
      <c r="AM237" s="320">
        <v>0</v>
      </c>
      <c r="AN237" s="321">
        <v>0</v>
      </c>
      <c r="AO237" s="319">
        <v>-4.5</v>
      </c>
      <c r="AP237" s="321">
        <v>0</v>
      </c>
      <c r="AQ237" s="321">
        <v>0</v>
      </c>
      <c r="AR237" s="322">
        <v>0</v>
      </c>
      <c r="AS237" s="321">
        <v>0</v>
      </c>
      <c r="AT237" s="319">
        <v>0</v>
      </c>
      <c r="AU237" s="321">
        <v>0</v>
      </c>
      <c r="AV237" s="321">
        <v>-3.9</v>
      </c>
      <c r="AW237" s="322">
        <v>0</v>
      </c>
      <c r="AX237" s="321">
        <v>0</v>
      </c>
      <c r="AY237" s="319">
        <v>-3.9</v>
      </c>
      <c r="AZ237" s="321">
        <v>0</v>
      </c>
      <c r="BA237" s="321">
        <v>0</v>
      </c>
      <c r="BB237" s="322">
        <v>0</v>
      </c>
      <c r="BC237" s="321">
        <v>0</v>
      </c>
      <c r="BD237" s="319">
        <v>0</v>
      </c>
      <c r="BE237" s="321">
        <v>0</v>
      </c>
      <c r="BF237" s="321">
        <v>0</v>
      </c>
      <c r="BG237" s="322">
        <v>0</v>
      </c>
      <c r="BH237" s="321">
        <v>0</v>
      </c>
      <c r="BI237" s="323">
        <v>0</v>
      </c>
      <c r="BJ237" s="321">
        <v>0</v>
      </c>
      <c r="BK237" s="321">
        <v>0</v>
      </c>
      <c r="BL237" s="321">
        <v>0</v>
      </c>
      <c r="BM237" s="321">
        <v>0</v>
      </c>
      <c r="BN237" s="319">
        <v>0</v>
      </c>
      <c r="BO237" s="321">
        <v>0</v>
      </c>
      <c r="BP237" s="321">
        <v>0</v>
      </c>
      <c r="BQ237" s="321">
        <v>0</v>
      </c>
      <c r="BR237" s="321">
        <v>0</v>
      </c>
      <c r="BS237" s="319">
        <v>0</v>
      </c>
      <c r="BT237" s="319">
        <v>0</v>
      </c>
      <c r="BU237" s="319">
        <v>0</v>
      </c>
      <c r="BV237" s="319">
        <v>0</v>
      </c>
      <c r="BW237" s="122"/>
    </row>
    <row r="238" spans="1:75" s="198" customFormat="1" ht="14.25" hidden="1" outlineLevel="3" x14ac:dyDescent="0.45">
      <c r="A238" s="324" t="s">
        <v>400</v>
      </c>
      <c r="B238" s="277"/>
      <c r="C238" s="325"/>
      <c r="D238" s="325"/>
      <c r="E238" s="325"/>
      <c r="F238" s="325"/>
      <c r="G238" s="326"/>
      <c r="H238" s="326"/>
      <c r="I238" s="326"/>
      <c r="J238" s="326"/>
      <c r="K238" s="325"/>
      <c r="L238" s="326"/>
      <c r="M238" s="326"/>
      <c r="N238" s="326"/>
      <c r="O238" s="326"/>
      <c r="P238" s="325"/>
      <c r="Q238" s="326"/>
      <c r="R238" s="326"/>
      <c r="S238" s="326"/>
      <c r="T238" s="326">
        <v>12.900000000000002</v>
      </c>
      <c r="U238" s="325">
        <v>12.900000000000002</v>
      </c>
      <c r="V238" s="326">
        <v>12.900000000000002</v>
      </c>
      <c r="W238" s="326">
        <v>12.900000000000002</v>
      </c>
      <c r="X238" s="326">
        <v>12.900000000000002</v>
      </c>
      <c r="Y238" s="327">
        <v>12.900000000000002</v>
      </c>
      <c r="Z238" s="325">
        <v>12.900000000000002</v>
      </c>
      <c r="AA238" s="327">
        <v>12.900000000000002</v>
      </c>
      <c r="AB238" s="327">
        <v>12.900000000000002</v>
      </c>
      <c r="AC238" s="326">
        <v>12.900000000000002</v>
      </c>
      <c r="AD238" s="327">
        <v>12.900000000000002</v>
      </c>
      <c r="AE238" s="325">
        <v>12.900000000000002</v>
      </c>
      <c r="AF238" s="327">
        <v>21.1</v>
      </c>
      <c r="AG238" s="327">
        <v>21.1</v>
      </c>
      <c r="AH238" s="326">
        <v>21.1</v>
      </c>
      <c r="AI238" s="327">
        <v>21.1</v>
      </c>
      <c r="AJ238" s="325">
        <v>21.1</v>
      </c>
      <c r="AK238" s="327">
        <v>16.600000000000001</v>
      </c>
      <c r="AL238" s="327">
        <v>16.600000000000001</v>
      </c>
      <c r="AM238" s="326">
        <v>16.600000000000001</v>
      </c>
      <c r="AN238" s="327">
        <v>16.600000000000001</v>
      </c>
      <c r="AO238" s="325">
        <v>16.600000000000001</v>
      </c>
      <c r="AP238" s="327">
        <v>16.600000000000001</v>
      </c>
      <c r="AQ238" s="327">
        <v>16.600000000000001</v>
      </c>
      <c r="AR238" s="328">
        <v>16.600000000000001</v>
      </c>
      <c r="AS238" s="327">
        <v>16.600000000000001</v>
      </c>
      <c r="AT238" s="325">
        <v>16.600000000000001</v>
      </c>
      <c r="AU238" s="327">
        <v>16.600000000000001</v>
      </c>
      <c r="AV238" s="327">
        <v>12.700000000000001</v>
      </c>
      <c r="AW238" s="328">
        <v>12.700000000000001</v>
      </c>
      <c r="AX238" s="327">
        <v>12.8</v>
      </c>
      <c r="AY238" s="325">
        <v>12.8</v>
      </c>
      <c r="AZ238" s="327">
        <v>12.8</v>
      </c>
      <c r="BA238" s="327">
        <v>12.8</v>
      </c>
      <c r="BB238" s="328">
        <v>12.8</v>
      </c>
      <c r="BC238" s="327">
        <v>12.8</v>
      </c>
      <c r="BD238" s="325">
        <v>12.8</v>
      </c>
      <c r="BE238" s="327">
        <v>12.8</v>
      </c>
      <c r="BF238" s="327">
        <v>12.8</v>
      </c>
      <c r="BG238" s="328">
        <v>12.8</v>
      </c>
      <c r="BH238" s="327">
        <v>12.8</v>
      </c>
      <c r="BI238" s="329">
        <v>12.8</v>
      </c>
      <c r="BJ238" s="327">
        <v>12.8</v>
      </c>
      <c r="BK238" s="327">
        <v>12.8</v>
      </c>
      <c r="BL238" s="327">
        <v>12.8</v>
      </c>
      <c r="BM238" s="327">
        <v>12.8</v>
      </c>
      <c r="BN238" s="325">
        <v>12.8</v>
      </c>
      <c r="BO238" s="327">
        <v>12.8</v>
      </c>
      <c r="BP238" s="327">
        <v>12.8</v>
      </c>
      <c r="BQ238" s="327">
        <v>12.8</v>
      </c>
      <c r="BR238" s="327">
        <v>12.8</v>
      </c>
      <c r="BS238" s="325">
        <v>12.8</v>
      </c>
      <c r="BT238" s="325">
        <v>12.8</v>
      </c>
      <c r="BU238" s="325">
        <v>12.8</v>
      </c>
      <c r="BV238" s="325">
        <v>12.8</v>
      </c>
      <c r="BW238" s="197"/>
    </row>
    <row r="239" spans="1:75" s="123" customFormat="1" ht="7.5" hidden="1" customHeight="1" outlineLevel="3" x14ac:dyDescent="0.5">
      <c r="A239" s="358"/>
      <c r="B239" s="251"/>
      <c r="C239" s="299"/>
      <c r="D239" s="299"/>
      <c r="E239" s="299"/>
      <c r="F239" s="299"/>
      <c r="G239" s="300"/>
      <c r="H239" s="300"/>
      <c r="I239" s="300"/>
      <c r="J239" s="300"/>
      <c r="K239" s="299"/>
      <c r="L239" s="300"/>
      <c r="M239" s="300"/>
      <c r="N239" s="300"/>
      <c r="O239" s="300"/>
      <c r="P239" s="299"/>
      <c r="Q239" s="300"/>
      <c r="R239" s="300"/>
      <c r="S239" s="300"/>
      <c r="T239" s="300"/>
      <c r="U239" s="299"/>
      <c r="V239" s="300"/>
      <c r="W239" s="300"/>
      <c r="X239" s="300"/>
      <c r="Y239" s="119"/>
      <c r="Z239" s="299"/>
      <c r="AA239" s="119"/>
      <c r="AB239" s="119"/>
      <c r="AC239" s="300"/>
      <c r="AD239" s="119"/>
      <c r="AE239" s="299"/>
      <c r="AF239" s="119"/>
      <c r="AG239" s="119"/>
      <c r="AH239" s="300"/>
      <c r="AI239" s="119"/>
      <c r="AJ239" s="299"/>
      <c r="AK239" s="119"/>
      <c r="AL239" s="119"/>
      <c r="AM239" s="300"/>
      <c r="AN239" s="119"/>
      <c r="AO239" s="299"/>
      <c r="AP239" s="119"/>
      <c r="AQ239" s="119"/>
      <c r="AR239" s="301"/>
      <c r="AS239" s="119"/>
      <c r="AT239" s="299"/>
      <c r="AU239" s="119"/>
      <c r="AV239" s="119"/>
      <c r="AW239" s="301"/>
      <c r="AX239" s="119"/>
      <c r="AY239" s="299"/>
      <c r="AZ239" s="119"/>
      <c r="BA239" s="119"/>
      <c r="BB239" s="301"/>
      <c r="BC239" s="119"/>
      <c r="BD239" s="299"/>
      <c r="BE239" s="119"/>
      <c r="BF239" s="119"/>
      <c r="BG239" s="301"/>
      <c r="BH239" s="119"/>
      <c r="BI239" s="304"/>
      <c r="BJ239" s="119"/>
      <c r="BK239" s="119"/>
      <c r="BL239" s="119"/>
      <c r="BM239" s="119"/>
      <c r="BN239" s="299"/>
      <c r="BO239" s="119"/>
      <c r="BP239" s="119"/>
      <c r="BQ239" s="119"/>
      <c r="BR239" s="119"/>
      <c r="BS239" s="299"/>
      <c r="BT239" s="299"/>
      <c r="BU239" s="299"/>
      <c r="BV239" s="299"/>
      <c r="BW239" s="122"/>
    </row>
    <row r="240" spans="1:75" s="224" customFormat="1" hidden="1" outlineLevel="3" x14ac:dyDescent="0.5">
      <c r="A240" s="330" t="s">
        <v>401</v>
      </c>
      <c r="B240" s="258"/>
      <c r="C240" s="331"/>
      <c r="D240" s="331"/>
      <c r="E240" s="331"/>
      <c r="F240" s="331"/>
      <c r="G240" s="332"/>
      <c r="H240" s="332"/>
      <c r="I240" s="332"/>
      <c r="J240" s="332"/>
      <c r="K240" s="331"/>
      <c r="L240" s="332"/>
      <c r="M240" s="332"/>
      <c r="N240" s="332"/>
      <c r="O240" s="332"/>
      <c r="P240" s="331"/>
      <c r="Q240" s="332"/>
      <c r="R240" s="332"/>
      <c r="S240" s="332"/>
      <c r="T240" s="332">
        <v>12800</v>
      </c>
      <c r="U240" s="331">
        <v>12800</v>
      </c>
      <c r="V240" s="332" t="s">
        <v>279</v>
      </c>
      <c r="W240" s="332" t="s">
        <v>279</v>
      </c>
      <c r="X240" s="332" t="s">
        <v>279</v>
      </c>
      <c r="Y240" s="221" t="s">
        <v>279</v>
      </c>
      <c r="Z240" s="331" t="s">
        <v>279</v>
      </c>
      <c r="AA240" s="221" t="s">
        <v>279</v>
      </c>
      <c r="AB240" s="221" t="s">
        <v>279</v>
      </c>
      <c r="AC240" s="332" t="s">
        <v>279</v>
      </c>
      <c r="AD240" s="221" t="s">
        <v>279</v>
      </c>
      <c r="AE240" s="331" t="s">
        <v>279</v>
      </c>
      <c r="AF240" s="221">
        <v>8200</v>
      </c>
      <c r="AG240" s="221" t="s">
        <v>279</v>
      </c>
      <c r="AH240" s="332" t="s">
        <v>279</v>
      </c>
      <c r="AI240" s="221" t="s">
        <v>279</v>
      </c>
      <c r="AJ240" s="331">
        <v>8200</v>
      </c>
      <c r="AK240" s="221" t="s">
        <v>279</v>
      </c>
      <c r="AL240" s="221" t="s">
        <v>279</v>
      </c>
      <c r="AM240" s="332" t="s">
        <v>279</v>
      </c>
      <c r="AN240" s="221" t="s">
        <v>279</v>
      </c>
      <c r="AO240" s="331" t="s">
        <v>279</v>
      </c>
      <c r="AP240" s="221" t="s">
        <v>279</v>
      </c>
      <c r="AQ240" s="221" t="s">
        <v>279</v>
      </c>
      <c r="AR240" s="333" t="s">
        <v>279</v>
      </c>
      <c r="AS240" s="221" t="s">
        <v>279</v>
      </c>
      <c r="AT240" s="331" t="s">
        <v>279</v>
      </c>
      <c r="AU240" s="221" t="s">
        <v>279</v>
      </c>
      <c r="AV240" s="221" t="s">
        <v>279</v>
      </c>
      <c r="AW240" s="333" t="s">
        <v>279</v>
      </c>
      <c r="AX240" s="221" t="s">
        <v>279</v>
      </c>
      <c r="AY240" s="331" t="s">
        <v>279</v>
      </c>
      <c r="AZ240" s="221" t="s">
        <v>279</v>
      </c>
      <c r="BA240" s="221" t="s">
        <v>279</v>
      </c>
      <c r="BB240" s="333" t="s">
        <v>279</v>
      </c>
      <c r="BC240" s="221" t="s">
        <v>279</v>
      </c>
      <c r="BD240" s="331" t="s">
        <v>279</v>
      </c>
      <c r="BE240" s="221" t="s">
        <v>279</v>
      </c>
      <c r="BF240" s="221" t="s">
        <v>279</v>
      </c>
      <c r="BG240" s="333" t="s">
        <v>279</v>
      </c>
      <c r="BH240" s="221" t="s">
        <v>279</v>
      </c>
      <c r="BI240" s="334" t="s">
        <v>279</v>
      </c>
      <c r="BJ240" s="221" t="s">
        <v>279</v>
      </c>
      <c r="BK240" s="221" t="s">
        <v>279</v>
      </c>
      <c r="BL240" s="221" t="s">
        <v>279</v>
      </c>
      <c r="BM240" s="221" t="s">
        <v>279</v>
      </c>
      <c r="BN240" s="331" t="s">
        <v>279</v>
      </c>
      <c r="BO240" s="221" t="s">
        <v>279</v>
      </c>
      <c r="BP240" s="221" t="s">
        <v>279</v>
      </c>
      <c r="BQ240" s="221" t="s">
        <v>279</v>
      </c>
      <c r="BR240" s="221" t="s">
        <v>279</v>
      </c>
      <c r="BS240" s="331" t="s">
        <v>279</v>
      </c>
      <c r="BT240" s="331" t="s">
        <v>279</v>
      </c>
      <c r="BU240" s="331" t="s">
        <v>279</v>
      </c>
      <c r="BV240" s="331" t="s">
        <v>279</v>
      </c>
      <c r="BW240" s="223"/>
    </row>
    <row r="241" spans="1:75" s="217" customFormat="1" hidden="1" outlineLevel="3" x14ac:dyDescent="0.5">
      <c r="A241" s="335" t="s">
        <v>402</v>
      </c>
      <c r="B241" s="336"/>
      <c r="C241" s="337"/>
      <c r="D241" s="337"/>
      <c r="E241" s="337"/>
      <c r="F241" s="337"/>
      <c r="G241" s="338"/>
      <c r="H241" s="338"/>
      <c r="I241" s="338"/>
      <c r="J241" s="338"/>
      <c r="K241" s="337"/>
      <c r="L241" s="338"/>
      <c r="M241" s="338"/>
      <c r="N241" s="338"/>
      <c r="O241" s="338"/>
      <c r="P241" s="337"/>
      <c r="Q241" s="338"/>
      <c r="R241" s="338"/>
      <c r="S241" s="338"/>
      <c r="T241" s="338"/>
      <c r="U241" s="337"/>
      <c r="V241" s="338">
        <v>0</v>
      </c>
      <c r="W241" s="338">
        <v>0</v>
      </c>
      <c r="X241" s="338">
        <v>0</v>
      </c>
      <c r="Y241" s="214">
        <v>0</v>
      </c>
      <c r="Z241" s="337">
        <v>0</v>
      </c>
      <c r="AA241" s="214">
        <v>0</v>
      </c>
      <c r="AB241" s="214">
        <v>0</v>
      </c>
      <c r="AC241" s="338">
        <v>0</v>
      </c>
      <c r="AD241" s="214">
        <v>0</v>
      </c>
      <c r="AE241" s="337">
        <v>0</v>
      </c>
      <c r="AF241" s="214">
        <v>0.63565891472868208</v>
      </c>
      <c r="AG241" s="214">
        <v>0</v>
      </c>
      <c r="AH241" s="338">
        <v>0</v>
      </c>
      <c r="AI241" s="214">
        <v>0</v>
      </c>
      <c r="AJ241" s="337">
        <v>0.63565891472868208</v>
      </c>
      <c r="AK241" s="214">
        <v>0</v>
      </c>
      <c r="AL241" s="214">
        <v>0</v>
      </c>
      <c r="AM241" s="338">
        <v>0</v>
      </c>
      <c r="AN241" s="214">
        <v>0</v>
      </c>
      <c r="AO241" s="337">
        <v>0</v>
      </c>
      <c r="AP241" s="214">
        <v>0</v>
      </c>
      <c r="AQ241" s="214">
        <v>0</v>
      </c>
      <c r="AR241" s="339">
        <v>0</v>
      </c>
      <c r="AS241" s="214">
        <v>0</v>
      </c>
      <c r="AT241" s="337">
        <v>0</v>
      </c>
      <c r="AU241" s="214">
        <v>0</v>
      </c>
      <c r="AV241" s="214">
        <v>0</v>
      </c>
      <c r="AW241" s="339">
        <v>0</v>
      </c>
      <c r="AX241" s="214">
        <v>0</v>
      </c>
      <c r="AY241" s="337">
        <v>0</v>
      </c>
      <c r="AZ241" s="214">
        <v>0</v>
      </c>
      <c r="BA241" s="214">
        <v>0</v>
      </c>
      <c r="BB241" s="339">
        <v>0</v>
      </c>
      <c r="BC241" s="214">
        <v>0</v>
      </c>
      <c r="BD241" s="337">
        <v>0</v>
      </c>
      <c r="BE241" s="214">
        <v>0</v>
      </c>
      <c r="BF241" s="214">
        <v>0</v>
      </c>
      <c r="BG241" s="339">
        <v>0</v>
      </c>
      <c r="BH241" s="214">
        <v>0</v>
      </c>
      <c r="BI241" s="340">
        <v>0</v>
      </c>
      <c r="BJ241" s="341">
        <v>0.6</v>
      </c>
      <c r="BK241" s="341">
        <v>0.6</v>
      </c>
      <c r="BL241" s="341">
        <v>0.6</v>
      </c>
      <c r="BM241" s="341">
        <v>0.6</v>
      </c>
      <c r="BN241" s="337">
        <v>0</v>
      </c>
      <c r="BO241" s="341">
        <v>0.6</v>
      </c>
      <c r="BP241" s="341">
        <v>0.6</v>
      </c>
      <c r="BQ241" s="341">
        <v>0.6</v>
      </c>
      <c r="BR241" s="341">
        <v>0.6</v>
      </c>
      <c r="BS241" s="337">
        <v>0</v>
      </c>
      <c r="BT241" s="342">
        <v>0.6</v>
      </c>
      <c r="BU241" s="342">
        <v>0.6</v>
      </c>
      <c r="BV241" s="342">
        <v>0.6</v>
      </c>
      <c r="BW241" s="216"/>
    </row>
    <row r="242" spans="1:75" s="224" customFormat="1" hidden="1" outlineLevel="3" x14ac:dyDescent="0.5">
      <c r="A242" s="330" t="s">
        <v>403</v>
      </c>
      <c r="B242" s="258"/>
      <c r="C242" s="331"/>
      <c r="D242" s="331"/>
      <c r="E242" s="331"/>
      <c r="F242" s="331"/>
      <c r="G242" s="332"/>
      <c r="H242" s="332"/>
      <c r="I242" s="332"/>
      <c r="J242" s="332"/>
      <c r="K242" s="331"/>
      <c r="L242" s="332"/>
      <c r="M242" s="332"/>
      <c r="N242" s="332"/>
      <c r="O242" s="332"/>
      <c r="P242" s="331"/>
      <c r="Q242" s="332"/>
      <c r="R242" s="332"/>
      <c r="S242" s="332"/>
      <c r="T242" s="332" t="s">
        <v>279</v>
      </c>
      <c r="U242" s="331" t="s">
        <v>279</v>
      </c>
      <c r="V242" s="332" t="s">
        <v>279</v>
      </c>
      <c r="W242" s="332" t="s">
        <v>279</v>
      </c>
      <c r="X242" s="332" t="s">
        <v>279</v>
      </c>
      <c r="Y242" s="221" t="s">
        <v>279</v>
      </c>
      <c r="Z242" s="331" t="s">
        <v>279</v>
      </c>
      <c r="AA242" s="221" t="s">
        <v>279</v>
      </c>
      <c r="AB242" s="221" t="s">
        <v>279</v>
      </c>
      <c r="AC242" s="332" t="s">
        <v>279</v>
      </c>
      <c r="AD242" s="221" t="s">
        <v>279</v>
      </c>
      <c r="AE242" s="331" t="s">
        <v>279</v>
      </c>
      <c r="AF242" s="221" t="s">
        <v>279</v>
      </c>
      <c r="AG242" s="221" t="s">
        <v>279</v>
      </c>
      <c r="AH242" s="332" t="s">
        <v>279</v>
      </c>
      <c r="AI242" s="221" t="s">
        <v>279</v>
      </c>
      <c r="AJ242" s="331" t="s">
        <v>279</v>
      </c>
      <c r="AK242" s="221" t="s">
        <v>279</v>
      </c>
      <c r="AL242" s="221" t="s">
        <v>279</v>
      </c>
      <c r="AM242" s="332" t="s">
        <v>279</v>
      </c>
      <c r="AN242" s="221" t="s">
        <v>279</v>
      </c>
      <c r="AO242" s="331" t="s">
        <v>279</v>
      </c>
      <c r="AP242" s="221" t="s">
        <v>279</v>
      </c>
      <c r="AQ242" s="221" t="s">
        <v>279</v>
      </c>
      <c r="AR242" s="333" t="s">
        <v>279</v>
      </c>
      <c r="AS242" s="221" t="s">
        <v>279</v>
      </c>
      <c r="AT242" s="331" t="s">
        <v>279</v>
      </c>
      <c r="AU242" s="221" t="s">
        <v>279</v>
      </c>
      <c r="AV242" s="221">
        <v>3900</v>
      </c>
      <c r="AW242" s="333" t="s">
        <v>279</v>
      </c>
      <c r="AX242" s="221" t="s">
        <v>279</v>
      </c>
      <c r="AY242" s="331">
        <v>3900</v>
      </c>
      <c r="AZ242" s="221" t="s">
        <v>279</v>
      </c>
      <c r="BA242" s="221" t="s">
        <v>279</v>
      </c>
      <c r="BB242" s="333" t="s">
        <v>279</v>
      </c>
      <c r="BC242" s="221" t="s">
        <v>279</v>
      </c>
      <c r="BD242" s="331" t="s">
        <v>279</v>
      </c>
      <c r="BE242" s="221" t="s">
        <v>279</v>
      </c>
      <c r="BF242" s="221" t="s">
        <v>279</v>
      </c>
      <c r="BG242" s="333" t="s">
        <v>279</v>
      </c>
      <c r="BH242" s="221" t="s">
        <v>279</v>
      </c>
      <c r="BI242" s="334" t="s">
        <v>279</v>
      </c>
      <c r="BJ242" s="221" t="s">
        <v>279</v>
      </c>
      <c r="BK242" s="221" t="s">
        <v>279</v>
      </c>
      <c r="BL242" s="221" t="s">
        <v>279</v>
      </c>
      <c r="BM242" s="221" t="s">
        <v>279</v>
      </c>
      <c r="BN242" s="331" t="s">
        <v>279</v>
      </c>
      <c r="BO242" s="221" t="s">
        <v>279</v>
      </c>
      <c r="BP242" s="221" t="s">
        <v>279</v>
      </c>
      <c r="BQ242" s="221" t="s">
        <v>279</v>
      </c>
      <c r="BR242" s="221" t="s">
        <v>279</v>
      </c>
      <c r="BS242" s="331" t="s">
        <v>279</v>
      </c>
      <c r="BT242" s="331" t="s">
        <v>279</v>
      </c>
      <c r="BU242" s="331" t="s">
        <v>279</v>
      </c>
      <c r="BV242" s="331" t="s">
        <v>279</v>
      </c>
      <c r="BW242" s="223"/>
    </row>
    <row r="243" spans="1:75" s="217" customFormat="1" hidden="1" outlineLevel="3" x14ac:dyDescent="0.5">
      <c r="A243" s="335" t="s">
        <v>404</v>
      </c>
      <c r="B243" s="336"/>
      <c r="C243" s="337"/>
      <c r="D243" s="337"/>
      <c r="E243" s="337"/>
      <c r="F243" s="337"/>
      <c r="G243" s="338"/>
      <c r="H243" s="338"/>
      <c r="I243" s="338"/>
      <c r="J243" s="338"/>
      <c r="K243" s="337"/>
      <c r="L243" s="338"/>
      <c r="M243" s="338"/>
      <c r="N243" s="338"/>
      <c r="O243" s="338"/>
      <c r="P243" s="337"/>
      <c r="Q243" s="338"/>
      <c r="R243" s="338"/>
      <c r="S243" s="338"/>
      <c r="T243" s="338"/>
      <c r="U243" s="337"/>
      <c r="V243" s="338">
        <v>0</v>
      </c>
      <c r="W243" s="338">
        <v>0</v>
      </c>
      <c r="X243" s="338">
        <v>0</v>
      </c>
      <c r="Y243" s="214">
        <v>0</v>
      </c>
      <c r="Z243" s="337">
        <v>0</v>
      </c>
      <c r="AA243" s="214">
        <v>0</v>
      </c>
      <c r="AB243" s="214">
        <v>0</v>
      </c>
      <c r="AC243" s="338">
        <v>0</v>
      </c>
      <c r="AD243" s="214">
        <v>0</v>
      </c>
      <c r="AE243" s="337">
        <v>0</v>
      </c>
      <c r="AF243" s="214">
        <v>0</v>
      </c>
      <c r="AG243" s="214">
        <v>0</v>
      </c>
      <c r="AH243" s="338">
        <v>0</v>
      </c>
      <c r="AI243" s="214">
        <v>0</v>
      </c>
      <c r="AJ243" s="337">
        <v>0</v>
      </c>
      <c r="AK243" s="214">
        <v>0</v>
      </c>
      <c r="AL243" s="214">
        <v>0</v>
      </c>
      <c r="AM243" s="338">
        <v>0</v>
      </c>
      <c r="AN243" s="214">
        <v>0</v>
      </c>
      <c r="AO243" s="337">
        <v>0</v>
      </c>
      <c r="AP243" s="214">
        <v>0</v>
      </c>
      <c r="AQ243" s="214">
        <v>0</v>
      </c>
      <c r="AR243" s="339">
        <v>0</v>
      </c>
      <c r="AS243" s="214">
        <v>0</v>
      </c>
      <c r="AT243" s="337">
        <v>0</v>
      </c>
      <c r="AU243" s="214">
        <v>0</v>
      </c>
      <c r="AV243" s="214">
        <v>0.46987951807228917</v>
      </c>
      <c r="AW243" s="339">
        <v>0</v>
      </c>
      <c r="AX243" s="214">
        <v>0</v>
      </c>
      <c r="AY243" s="337">
        <v>0.46987951807228917</v>
      </c>
      <c r="AZ243" s="214">
        <v>0</v>
      </c>
      <c r="BA243" s="214">
        <v>0</v>
      </c>
      <c r="BB243" s="339">
        <v>0</v>
      </c>
      <c r="BC243" s="214">
        <v>0</v>
      </c>
      <c r="BD243" s="337">
        <v>0</v>
      </c>
      <c r="BE243" s="214">
        <v>0</v>
      </c>
      <c r="BF243" s="214">
        <v>0</v>
      </c>
      <c r="BG243" s="339">
        <v>0</v>
      </c>
      <c r="BH243" s="214">
        <v>0</v>
      </c>
      <c r="BI243" s="340">
        <v>0</v>
      </c>
      <c r="BJ243" s="341">
        <v>1</v>
      </c>
      <c r="BK243" s="341">
        <v>1</v>
      </c>
      <c r="BL243" s="341">
        <v>1</v>
      </c>
      <c r="BM243" s="341">
        <v>1</v>
      </c>
      <c r="BN243" s="337">
        <v>0</v>
      </c>
      <c r="BO243" s="341">
        <v>1</v>
      </c>
      <c r="BP243" s="341">
        <v>1</v>
      </c>
      <c r="BQ243" s="341">
        <v>1</v>
      </c>
      <c r="BR243" s="341">
        <v>1</v>
      </c>
      <c r="BS243" s="337">
        <v>0</v>
      </c>
      <c r="BT243" s="342">
        <v>1</v>
      </c>
      <c r="BU243" s="342">
        <v>1</v>
      </c>
      <c r="BV243" s="342">
        <v>1</v>
      </c>
      <c r="BW243" s="216"/>
    </row>
    <row r="244" spans="1:75" s="169" customFormat="1" ht="14.25" hidden="1" outlineLevel="3" x14ac:dyDescent="0.45">
      <c r="A244" s="343" t="s">
        <v>405</v>
      </c>
      <c r="B244" s="359"/>
      <c r="C244" s="344"/>
      <c r="D244" s="344"/>
      <c r="E244" s="344"/>
      <c r="F244" s="344"/>
      <c r="G244" s="345"/>
      <c r="H244" s="345"/>
      <c r="I244" s="345"/>
      <c r="J244" s="345"/>
      <c r="K244" s="344"/>
      <c r="L244" s="345"/>
      <c r="M244" s="345"/>
      <c r="N244" s="345"/>
      <c r="O244" s="345"/>
      <c r="P244" s="344"/>
      <c r="Q244" s="345"/>
      <c r="R244" s="345"/>
      <c r="S244" s="345"/>
      <c r="T244" s="345">
        <v>12900.000000000002</v>
      </c>
      <c r="U244" s="344">
        <v>12900.000000000002</v>
      </c>
      <c r="V244" s="345">
        <v>12900.000000000002</v>
      </c>
      <c r="W244" s="345">
        <v>12900.000000000002</v>
      </c>
      <c r="X244" s="345">
        <v>12900.000000000002</v>
      </c>
      <c r="Y244" s="346">
        <v>12900.000000000002</v>
      </c>
      <c r="Z244" s="344">
        <v>12900.000000000002</v>
      </c>
      <c r="AA244" s="346">
        <v>12900.000000000002</v>
      </c>
      <c r="AB244" s="346">
        <v>12900.000000000002</v>
      </c>
      <c r="AC244" s="345">
        <v>12900.000000000002</v>
      </c>
      <c r="AD244" s="346">
        <v>12900.000000000002</v>
      </c>
      <c r="AE244" s="344">
        <v>12900.000000000002</v>
      </c>
      <c r="AF244" s="346">
        <v>10550</v>
      </c>
      <c r="AG244" s="346">
        <v>10550</v>
      </c>
      <c r="AH244" s="345">
        <v>10550</v>
      </c>
      <c r="AI244" s="346">
        <v>10550</v>
      </c>
      <c r="AJ244" s="344">
        <v>10550</v>
      </c>
      <c r="AK244" s="346">
        <v>8300</v>
      </c>
      <c r="AL244" s="346">
        <v>8300</v>
      </c>
      <c r="AM244" s="345">
        <v>8300</v>
      </c>
      <c r="AN244" s="346">
        <v>8300</v>
      </c>
      <c r="AO244" s="344">
        <v>8300</v>
      </c>
      <c r="AP244" s="346">
        <v>8300</v>
      </c>
      <c r="AQ244" s="346">
        <v>8300</v>
      </c>
      <c r="AR244" s="347">
        <v>8300</v>
      </c>
      <c r="AS244" s="346">
        <v>8300</v>
      </c>
      <c r="AT244" s="344">
        <v>8300</v>
      </c>
      <c r="AU244" s="346">
        <v>8300</v>
      </c>
      <c r="AV244" s="346">
        <v>12700.000000000002</v>
      </c>
      <c r="AW244" s="347">
        <v>12700.000000000002</v>
      </c>
      <c r="AX244" s="346">
        <v>12800</v>
      </c>
      <c r="AY244" s="344">
        <v>12800</v>
      </c>
      <c r="AZ244" s="346">
        <v>12800</v>
      </c>
      <c r="BA244" s="346">
        <v>12800</v>
      </c>
      <c r="BB244" s="347">
        <v>12800</v>
      </c>
      <c r="BC244" s="346">
        <v>12800</v>
      </c>
      <c r="BD244" s="344">
        <v>12800</v>
      </c>
      <c r="BE244" s="346">
        <v>12800</v>
      </c>
      <c r="BF244" s="346">
        <v>12800</v>
      </c>
      <c r="BG244" s="347">
        <v>12800</v>
      </c>
      <c r="BH244" s="346">
        <v>12800</v>
      </c>
      <c r="BI244" s="348">
        <v>12800</v>
      </c>
      <c r="BJ244" s="346">
        <v>12800</v>
      </c>
      <c r="BK244" s="346">
        <v>12800</v>
      </c>
      <c r="BL244" s="346">
        <v>12800</v>
      </c>
      <c r="BM244" s="346">
        <v>12800</v>
      </c>
      <c r="BN244" s="344">
        <v>12800</v>
      </c>
      <c r="BO244" s="346">
        <v>12800</v>
      </c>
      <c r="BP244" s="346">
        <v>12800</v>
      </c>
      <c r="BQ244" s="346">
        <v>12800</v>
      </c>
      <c r="BR244" s="346">
        <v>12800</v>
      </c>
      <c r="BS244" s="344">
        <v>12800</v>
      </c>
      <c r="BT244" s="344">
        <v>12800</v>
      </c>
      <c r="BU244" s="344">
        <v>12800</v>
      </c>
      <c r="BV244" s="344">
        <v>12800</v>
      </c>
      <c r="BW244" s="168"/>
    </row>
    <row r="245" spans="1:75" s="123" customFormat="1" hidden="1" outlineLevel="3" x14ac:dyDescent="0.5">
      <c r="A245" s="358"/>
      <c r="B245" s="251"/>
      <c r="C245" s="299"/>
      <c r="D245" s="299"/>
      <c r="E245" s="299"/>
      <c r="F245" s="299"/>
      <c r="G245" s="300"/>
      <c r="H245" s="300"/>
      <c r="I245" s="300"/>
      <c r="J245" s="300"/>
      <c r="K245" s="299"/>
      <c r="L245" s="300"/>
      <c r="M245" s="300"/>
      <c r="N245" s="300"/>
      <c r="O245" s="300"/>
      <c r="P245" s="299"/>
      <c r="Q245" s="300"/>
      <c r="R245" s="300"/>
      <c r="S245" s="300"/>
      <c r="T245" s="300"/>
      <c r="U245" s="299"/>
      <c r="V245" s="300"/>
      <c r="W245" s="300"/>
      <c r="X245" s="300"/>
      <c r="Y245" s="119"/>
      <c r="Z245" s="299"/>
      <c r="AA245" s="119"/>
      <c r="AB245" s="119"/>
      <c r="AC245" s="300"/>
      <c r="AD245" s="119"/>
      <c r="AE245" s="299"/>
      <c r="AF245" s="119"/>
      <c r="AG245" s="119"/>
      <c r="AH245" s="300"/>
      <c r="AI245" s="119"/>
      <c r="AJ245" s="299"/>
      <c r="AK245" s="119"/>
      <c r="AL245" s="119"/>
      <c r="AM245" s="300"/>
      <c r="AN245" s="119"/>
      <c r="AO245" s="299"/>
      <c r="AP245" s="119"/>
      <c r="AQ245" s="119"/>
      <c r="AR245" s="301"/>
      <c r="AS245" s="119"/>
      <c r="AT245" s="299"/>
      <c r="AU245" s="119"/>
      <c r="AV245" s="119"/>
      <c r="AW245" s="301"/>
      <c r="AX245" s="119"/>
      <c r="AY245" s="299"/>
      <c r="AZ245" s="119"/>
      <c r="BA245" s="119"/>
      <c r="BB245" s="301"/>
      <c r="BC245" s="119"/>
      <c r="BD245" s="299"/>
      <c r="BE245" s="119"/>
      <c r="BF245" s="119"/>
      <c r="BG245" s="301"/>
      <c r="BH245" s="119"/>
      <c r="BI245" s="304"/>
      <c r="BJ245" s="119"/>
      <c r="BK245" s="119"/>
      <c r="BL245" s="119"/>
      <c r="BM245" s="119"/>
      <c r="BN245" s="299"/>
      <c r="BO245" s="119"/>
      <c r="BP245" s="119"/>
      <c r="BQ245" s="119"/>
      <c r="BR245" s="119"/>
      <c r="BS245" s="299"/>
      <c r="BT245" s="299"/>
      <c r="BU245" s="299"/>
      <c r="BV245" s="299"/>
      <c r="BW245" s="122"/>
    </row>
    <row r="246" spans="1:75" s="198" customFormat="1" ht="14.25" hidden="1" outlineLevel="3" x14ac:dyDescent="0.45">
      <c r="A246" s="242" t="s">
        <v>406</v>
      </c>
      <c r="B246" s="243"/>
      <c r="C246" s="244"/>
      <c r="D246" s="244"/>
      <c r="E246" s="244"/>
      <c r="F246" s="244"/>
      <c r="G246" s="288">
        <v>3</v>
      </c>
      <c r="H246" s="288">
        <v>3</v>
      </c>
      <c r="I246" s="288">
        <v>3</v>
      </c>
      <c r="J246" s="288">
        <v>3</v>
      </c>
      <c r="K246" s="246">
        <v>3</v>
      </c>
      <c r="L246" s="288">
        <v>3</v>
      </c>
      <c r="M246" s="288">
        <v>3</v>
      </c>
      <c r="N246" s="288">
        <v>3</v>
      </c>
      <c r="O246" s="288">
        <v>3</v>
      </c>
      <c r="P246" s="246">
        <v>3</v>
      </c>
      <c r="Q246" s="288">
        <v>3</v>
      </c>
      <c r="R246" s="288">
        <v>3</v>
      </c>
      <c r="S246" s="288">
        <v>3</v>
      </c>
      <c r="T246" s="288">
        <v>5</v>
      </c>
      <c r="U246" s="246">
        <v>3</v>
      </c>
      <c r="V246" s="288">
        <v>5</v>
      </c>
      <c r="W246" s="288">
        <v>5</v>
      </c>
      <c r="X246" s="288">
        <v>5</v>
      </c>
      <c r="Y246" s="168">
        <v>5</v>
      </c>
      <c r="Z246" s="246">
        <v>5</v>
      </c>
      <c r="AA246" s="168">
        <v>5</v>
      </c>
      <c r="AB246" s="168">
        <v>5</v>
      </c>
      <c r="AC246" s="288">
        <v>5</v>
      </c>
      <c r="AD246" s="168">
        <v>5</v>
      </c>
      <c r="AE246" s="246">
        <v>5</v>
      </c>
      <c r="AF246" s="168">
        <v>4</v>
      </c>
      <c r="AG246" s="168">
        <v>4</v>
      </c>
      <c r="AH246" s="288">
        <v>6</v>
      </c>
      <c r="AI246" s="168">
        <v>6</v>
      </c>
      <c r="AJ246" s="246">
        <v>4</v>
      </c>
      <c r="AK246" s="168">
        <v>6</v>
      </c>
      <c r="AL246" s="168">
        <v>5</v>
      </c>
      <c r="AM246" s="288">
        <v>5</v>
      </c>
      <c r="AN246" s="168">
        <v>5</v>
      </c>
      <c r="AO246" s="246">
        <v>6</v>
      </c>
      <c r="AP246" s="168">
        <v>4</v>
      </c>
      <c r="AQ246" s="168">
        <v>4</v>
      </c>
      <c r="AR246" s="289">
        <v>4</v>
      </c>
      <c r="AS246" s="168">
        <v>4</v>
      </c>
      <c r="AT246" s="246">
        <v>4</v>
      </c>
      <c r="AU246" s="168">
        <v>4</v>
      </c>
      <c r="AV246" s="168">
        <v>4</v>
      </c>
      <c r="AW246" s="289">
        <v>3</v>
      </c>
      <c r="AX246" s="168">
        <v>3</v>
      </c>
      <c r="AY246" s="246">
        <v>4</v>
      </c>
      <c r="AZ246" s="168">
        <v>3</v>
      </c>
      <c r="BA246" s="168">
        <v>3</v>
      </c>
      <c r="BB246" s="289">
        <v>3</v>
      </c>
      <c r="BC246" s="168">
        <v>3</v>
      </c>
      <c r="BD246" s="246">
        <v>3</v>
      </c>
      <c r="BE246" s="168">
        <v>3</v>
      </c>
      <c r="BF246" s="168">
        <v>3</v>
      </c>
      <c r="BG246" s="289">
        <v>3</v>
      </c>
      <c r="BH246" s="168">
        <v>3</v>
      </c>
      <c r="BI246" s="290">
        <v>3</v>
      </c>
      <c r="BJ246" s="247">
        <v>3</v>
      </c>
      <c r="BK246" s="247">
        <v>3</v>
      </c>
      <c r="BL246" s="247">
        <v>3</v>
      </c>
      <c r="BM246" s="247">
        <v>3</v>
      </c>
      <c r="BN246" s="244">
        <v>3</v>
      </c>
      <c r="BO246" s="247">
        <v>3</v>
      </c>
      <c r="BP246" s="247">
        <v>3</v>
      </c>
      <c r="BQ246" s="247">
        <v>3</v>
      </c>
      <c r="BR246" s="247">
        <v>3</v>
      </c>
      <c r="BS246" s="244">
        <v>3</v>
      </c>
      <c r="BT246" s="244">
        <v>3</v>
      </c>
      <c r="BU246" s="244">
        <v>3</v>
      </c>
      <c r="BV246" s="244">
        <v>3</v>
      </c>
      <c r="BW246" s="197"/>
    </row>
    <row r="247" spans="1:75" s="123" customFormat="1" hidden="1" outlineLevel="4" x14ac:dyDescent="0.5">
      <c r="A247" s="315" t="s">
        <v>407</v>
      </c>
      <c r="B247" s="251"/>
      <c r="C247" s="252"/>
      <c r="D247" s="252"/>
      <c r="E247" s="252"/>
      <c r="F247" s="252"/>
      <c r="G247" s="253"/>
      <c r="H247" s="253"/>
      <c r="I247" s="253"/>
      <c r="J247" s="253"/>
      <c r="K247" s="252"/>
      <c r="L247" s="253"/>
      <c r="M247" s="253"/>
      <c r="N247" s="253"/>
      <c r="O247" s="253">
        <v>0</v>
      </c>
      <c r="P247" s="252"/>
      <c r="Q247" s="253"/>
      <c r="R247" s="253"/>
      <c r="S247" s="253"/>
      <c r="T247" s="253">
        <v>0</v>
      </c>
      <c r="U247" s="252"/>
      <c r="V247" s="253"/>
      <c r="W247" s="253"/>
      <c r="X247" s="253"/>
      <c r="Y247" s="254">
        <v>0</v>
      </c>
      <c r="Z247" s="252"/>
      <c r="AA247" s="254"/>
      <c r="AB247" s="254"/>
      <c r="AC247" s="253"/>
      <c r="AD247" s="254">
        <v>0</v>
      </c>
      <c r="AE247" s="252"/>
      <c r="AF247" s="254"/>
      <c r="AG247" s="256">
        <v>1</v>
      </c>
      <c r="AH247" s="253"/>
      <c r="AI247" s="254">
        <v>0</v>
      </c>
      <c r="AJ247" s="259">
        <v>1</v>
      </c>
      <c r="AK247" s="254"/>
      <c r="AL247" s="254"/>
      <c r="AM247" s="253"/>
      <c r="AN247" s="254">
        <v>0</v>
      </c>
      <c r="AO247" s="252"/>
      <c r="AP247" s="254"/>
      <c r="AQ247" s="254"/>
      <c r="AR247" s="255"/>
      <c r="AS247" s="254">
        <v>0</v>
      </c>
      <c r="AT247" s="252"/>
      <c r="AU247" s="254"/>
      <c r="AV247" s="254"/>
      <c r="AW247" s="255"/>
      <c r="AX247" s="254">
        <v>0</v>
      </c>
      <c r="AY247" s="252"/>
      <c r="AZ247" s="254"/>
      <c r="BA247" s="254"/>
      <c r="BB247" s="255"/>
      <c r="BC247" s="254">
        <v>0</v>
      </c>
      <c r="BD247" s="252"/>
      <c r="BE247" s="254"/>
      <c r="BF247" s="254"/>
      <c r="BG247" s="255"/>
      <c r="BH247" s="254">
        <v>0</v>
      </c>
      <c r="BI247" s="260"/>
      <c r="BJ247" s="254"/>
      <c r="BK247" s="254"/>
      <c r="BL247" s="254"/>
      <c r="BM247" s="254"/>
      <c r="BN247" s="252"/>
      <c r="BO247" s="254"/>
      <c r="BP247" s="254"/>
      <c r="BQ247" s="254"/>
      <c r="BR247" s="254"/>
      <c r="BS247" s="252"/>
      <c r="BT247" s="252"/>
      <c r="BU247" s="252"/>
      <c r="BV247" s="252"/>
      <c r="BW247" s="122"/>
    </row>
    <row r="248" spans="1:75" s="123" customFormat="1" hidden="1" outlineLevel="4" x14ac:dyDescent="0.5">
      <c r="A248" s="315" t="s">
        <v>408</v>
      </c>
      <c r="B248" s="251"/>
      <c r="C248" s="252"/>
      <c r="D248" s="252"/>
      <c r="E248" s="252"/>
      <c r="F248" s="252"/>
      <c r="G248" s="253"/>
      <c r="H248" s="253"/>
      <c r="I248" s="253"/>
      <c r="J248" s="253"/>
      <c r="K248" s="252"/>
      <c r="L248" s="253"/>
      <c r="M248" s="253"/>
      <c r="N248" s="253"/>
      <c r="O248" s="253">
        <v>0</v>
      </c>
      <c r="P248" s="252"/>
      <c r="Q248" s="253"/>
      <c r="R248" s="253"/>
      <c r="S248" s="253"/>
      <c r="T248" s="253">
        <v>0</v>
      </c>
      <c r="U248" s="252"/>
      <c r="V248" s="253"/>
      <c r="W248" s="253"/>
      <c r="X248" s="253"/>
      <c r="Y248" s="254">
        <v>0</v>
      </c>
      <c r="Z248" s="252"/>
      <c r="AA248" s="254"/>
      <c r="AB248" s="254"/>
      <c r="AC248" s="253"/>
      <c r="AD248" s="254">
        <v>0</v>
      </c>
      <c r="AE248" s="252"/>
      <c r="AF248" s="254"/>
      <c r="AG248" s="256">
        <v>1</v>
      </c>
      <c r="AH248" s="253"/>
      <c r="AI248" s="254">
        <v>0</v>
      </c>
      <c r="AJ248" s="259">
        <v>1</v>
      </c>
      <c r="AK248" s="254"/>
      <c r="AL248" s="254"/>
      <c r="AM248" s="253"/>
      <c r="AN248" s="254">
        <v>0</v>
      </c>
      <c r="AO248" s="252"/>
      <c r="AP248" s="254"/>
      <c r="AQ248" s="254"/>
      <c r="AR248" s="255"/>
      <c r="AS248" s="254">
        <v>0</v>
      </c>
      <c r="AT248" s="252"/>
      <c r="AU248" s="254"/>
      <c r="AV248" s="254"/>
      <c r="AW248" s="255"/>
      <c r="AX248" s="254">
        <v>0</v>
      </c>
      <c r="AY248" s="252"/>
      <c r="AZ248" s="254"/>
      <c r="BA248" s="254"/>
      <c r="BB248" s="255"/>
      <c r="BC248" s="254">
        <v>0</v>
      </c>
      <c r="BD248" s="252"/>
      <c r="BE248" s="254"/>
      <c r="BF248" s="254"/>
      <c r="BG248" s="255"/>
      <c r="BH248" s="254">
        <v>0</v>
      </c>
      <c r="BI248" s="260"/>
      <c r="BJ248" s="254"/>
      <c r="BK248" s="254"/>
      <c r="BL248" s="254"/>
      <c r="BM248" s="254"/>
      <c r="BN248" s="252"/>
      <c r="BO248" s="254"/>
      <c r="BP248" s="254"/>
      <c r="BQ248" s="254"/>
      <c r="BR248" s="254"/>
      <c r="BS248" s="252"/>
      <c r="BT248" s="252"/>
      <c r="BU248" s="252"/>
      <c r="BV248" s="252"/>
      <c r="BW248" s="122"/>
    </row>
    <row r="249" spans="1:75" s="123" customFormat="1" hidden="1" outlineLevel="4" x14ac:dyDescent="0.5">
      <c r="A249" s="315" t="s">
        <v>409</v>
      </c>
      <c r="B249" s="251"/>
      <c r="C249" s="252"/>
      <c r="D249" s="252"/>
      <c r="E249" s="252"/>
      <c r="F249" s="252"/>
      <c r="G249" s="253"/>
      <c r="H249" s="253"/>
      <c r="I249" s="253"/>
      <c r="J249" s="253"/>
      <c r="K249" s="252"/>
      <c r="L249" s="253"/>
      <c r="M249" s="253"/>
      <c r="N249" s="253"/>
      <c r="O249" s="253">
        <v>0</v>
      </c>
      <c r="P249" s="252"/>
      <c r="Q249" s="253"/>
      <c r="R249" s="253"/>
      <c r="S249" s="263">
        <v>1</v>
      </c>
      <c r="T249" s="253">
        <v>0</v>
      </c>
      <c r="U249" s="259">
        <v>1</v>
      </c>
      <c r="V249" s="253"/>
      <c r="W249" s="253"/>
      <c r="X249" s="253"/>
      <c r="Y249" s="254">
        <v>0</v>
      </c>
      <c r="Z249" s="252"/>
      <c r="AA249" s="254"/>
      <c r="AB249" s="254"/>
      <c r="AC249" s="253"/>
      <c r="AD249" s="254">
        <v>0</v>
      </c>
      <c r="AE249" s="252"/>
      <c r="AF249" s="254"/>
      <c r="AG249" s="254"/>
      <c r="AH249" s="253"/>
      <c r="AI249" s="254">
        <v>0</v>
      </c>
      <c r="AJ249" s="252"/>
      <c r="AK249" s="254"/>
      <c r="AL249" s="254"/>
      <c r="AM249" s="253"/>
      <c r="AN249" s="254">
        <v>0</v>
      </c>
      <c r="AO249" s="252"/>
      <c r="AP249" s="254"/>
      <c r="AQ249" s="254"/>
      <c r="AR249" s="255"/>
      <c r="AS249" s="254">
        <v>0</v>
      </c>
      <c r="AT249" s="252"/>
      <c r="AU249" s="254"/>
      <c r="AV249" s="254"/>
      <c r="AW249" s="255"/>
      <c r="AX249" s="254">
        <v>0</v>
      </c>
      <c r="AY249" s="252"/>
      <c r="AZ249" s="254"/>
      <c r="BA249" s="254"/>
      <c r="BB249" s="255"/>
      <c r="BC249" s="254">
        <v>0</v>
      </c>
      <c r="BD249" s="252"/>
      <c r="BE249" s="254"/>
      <c r="BF249" s="254"/>
      <c r="BG249" s="255"/>
      <c r="BH249" s="254">
        <v>0</v>
      </c>
      <c r="BI249" s="260"/>
      <c r="BJ249" s="254"/>
      <c r="BK249" s="254"/>
      <c r="BL249" s="254"/>
      <c r="BM249" s="254"/>
      <c r="BN249" s="252"/>
      <c r="BO249" s="254"/>
      <c r="BP249" s="254"/>
      <c r="BQ249" s="254"/>
      <c r="BR249" s="254"/>
      <c r="BS249" s="252"/>
      <c r="BT249" s="252"/>
      <c r="BU249" s="252"/>
      <c r="BV249" s="252"/>
      <c r="BW249" s="122"/>
    </row>
    <row r="250" spans="1:75" s="123" customFormat="1" hidden="1" outlineLevel="4" x14ac:dyDescent="0.5">
      <c r="A250" s="355" t="s">
        <v>410</v>
      </c>
      <c r="B250" s="274"/>
      <c r="C250" s="266"/>
      <c r="D250" s="266"/>
      <c r="E250" s="266"/>
      <c r="F250" s="266"/>
      <c r="G250" s="267"/>
      <c r="H250" s="267"/>
      <c r="I250" s="267"/>
      <c r="J250" s="267"/>
      <c r="K250" s="266"/>
      <c r="L250" s="267"/>
      <c r="M250" s="267"/>
      <c r="N250" s="267"/>
      <c r="O250" s="267">
        <v>0</v>
      </c>
      <c r="P250" s="266"/>
      <c r="Q250" s="267"/>
      <c r="R250" s="267"/>
      <c r="S250" s="275">
        <v>1</v>
      </c>
      <c r="T250" s="267">
        <v>0</v>
      </c>
      <c r="U250" s="268">
        <v>1</v>
      </c>
      <c r="V250" s="267"/>
      <c r="W250" s="267"/>
      <c r="X250" s="267"/>
      <c r="Y250" s="269">
        <v>0</v>
      </c>
      <c r="Z250" s="266"/>
      <c r="AA250" s="269"/>
      <c r="AB250" s="269"/>
      <c r="AC250" s="267"/>
      <c r="AD250" s="269">
        <v>0</v>
      </c>
      <c r="AE250" s="266"/>
      <c r="AF250" s="269"/>
      <c r="AG250" s="269"/>
      <c r="AH250" s="267"/>
      <c r="AI250" s="269">
        <v>0</v>
      </c>
      <c r="AJ250" s="266"/>
      <c r="AK250" s="269"/>
      <c r="AL250" s="269"/>
      <c r="AM250" s="267"/>
      <c r="AN250" s="269">
        <v>0</v>
      </c>
      <c r="AO250" s="266"/>
      <c r="AP250" s="269"/>
      <c r="AQ250" s="269"/>
      <c r="AR250" s="270"/>
      <c r="AS250" s="269">
        <v>0</v>
      </c>
      <c r="AT250" s="266"/>
      <c r="AU250" s="269"/>
      <c r="AV250" s="269"/>
      <c r="AW250" s="270"/>
      <c r="AX250" s="269">
        <v>0</v>
      </c>
      <c r="AY250" s="266"/>
      <c r="AZ250" s="269"/>
      <c r="BA250" s="269"/>
      <c r="BB250" s="270"/>
      <c r="BC250" s="269">
        <v>0</v>
      </c>
      <c r="BD250" s="266"/>
      <c r="BE250" s="269"/>
      <c r="BF250" s="269"/>
      <c r="BG250" s="270"/>
      <c r="BH250" s="269">
        <v>0</v>
      </c>
      <c r="BI250" s="271"/>
      <c r="BJ250" s="269"/>
      <c r="BK250" s="269"/>
      <c r="BL250" s="269"/>
      <c r="BM250" s="269"/>
      <c r="BN250" s="266"/>
      <c r="BO250" s="269"/>
      <c r="BP250" s="269"/>
      <c r="BQ250" s="269"/>
      <c r="BR250" s="269"/>
      <c r="BS250" s="266"/>
      <c r="BT250" s="266"/>
      <c r="BU250" s="266"/>
      <c r="BV250" s="266"/>
      <c r="BW250" s="122"/>
    </row>
    <row r="251" spans="1:75" s="123" customFormat="1" hidden="1" outlineLevel="3" collapsed="1" x14ac:dyDescent="0.5">
      <c r="A251" s="218" t="s">
        <v>411</v>
      </c>
      <c r="B251" s="251"/>
      <c r="C251" s="252"/>
      <c r="D251" s="252"/>
      <c r="E251" s="252"/>
      <c r="F251" s="252"/>
      <c r="G251" s="253"/>
      <c r="H251" s="253"/>
      <c r="I251" s="253"/>
      <c r="J251" s="253"/>
      <c r="K251" s="252"/>
      <c r="L251" s="253">
        <v>0</v>
      </c>
      <c r="M251" s="253">
        <v>0</v>
      </c>
      <c r="N251" s="253">
        <v>0</v>
      </c>
      <c r="O251" s="253">
        <v>0</v>
      </c>
      <c r="P251" s="252">
        <v>0</v>
      </c>
      <c r="Q251" s="253">
        <v>0</v>
      </c>
      <c r="R251" s="253">
        <v>0</v>
      </c>
      <c r="S251" s="253">
        <v>2</v>
      </c>
      <c r="T251" s="253">
        <v>0</v>
      </c>
      <c r="U251" s="252">
        <v>2</v>
      </c>
      <c r="V251" s="253">
        <v>0</v>
      </c>
      <c r="W251" s="253">
        <v>0</v>
      </c>
      <c r="X251" s="253">
        <v>0</v>
      </c>
      <c r="Y251" s="254">
        <v>0</v>
      </c>
      <c r="Z251" s="252">
        <v>0</v>
      </c>
      <c r="AA251" s="254">
        <v>0</v>
      </c>
      <c r="AB251" s="254">
        <v>0</v>
      </c>
      <c r="AC251" s="253">
        <v>0</v>
      </c>
      <c r="AD251" s="254">
        <v>0</v>
      </c>
      <c r="AE251" s="252">
        <v>0</v>
      </c>
      <c r="AF251" s="254">
        <v>0</v>
      </c>
      <c r="AG251" s="254">
        <v>2</v>
      </c>
      <c r="AH251" s="253">
        <v>0</v>
      </c>
      <c r="AI251" s="254">
        <v>0</v>
      </c>
      <c r="AJ251" s="252">
        <v>2</v>
      </c>
      <c r="AK251" s="254">
        <v>0</v>
      </c>
      <c r="AL251" s="254">
        <v>0</v>
      </c>
      <c r="AM251" s="253">
        <v>0</v>
      </c>
      <c r="AN251" s="254">
        <v>0</v>
      </c>
      <c r="AO251" s="252">
        <v>0</v>
      </c>
      <c r="AP251" s="254">
        <v>0</v>
      </c>
      <c r="AQ251" s="254">
        <v>0</v>
      </c>
      <c r="AR251" s="255">
        <v>0</v>
      </c>
      <c r="AS251" s="254">
        <v>0</v>
      </c>
      <c r="AT251" s="252">
        <v>0</v>
      </c>
      <c r="AU251" s="254">
        <v>0</v>
      </c>
      <c r="AV251" s="254">
        <v>0</v>
      </c>
      <c r="AW251" s="255">
        <v>0</v>
      </c>
      <c r="AX251" s="254">
        <v>0</v>
      </c>
      <c r="AY251" s="252">
        <v>0</v>
      </c>
      <c r="AZ251" s="254">
        <v>0</v>
      </c>
      <c r="BA251" s="254">
        <v>0</v>
      </c>
      <c r="BB251" s="255">
        <v>0</v>
      </c>
      <c r="BC251" s="254">
        <v>0</v>
      </c>
      <c r="BD251" s="252">
        <v>0</v>
      </c>
      <c r="BE251" s="254">
        <v>0</v>
      </c>
      <c r="BF251" s="254">
        <v>0</v>
      </c>
      <c r="BG251" s="255">
        <v>0</v>
      </c>
      <c r="BH251" s="254">
        <v>0</v>
      </c>
      <c r="BI251" s="260">
        <v>0</v>
      </c>
      <c r="BJ251" s="256">
        <v>0</v>
      </c>
      <c r="BK251" s="256">
        <v>0</v>
      </c>
      <c r="BL251" s="256">
        <v>0</v>
      </c>
      <c r="BM251" s="256">
        <v>0</v>
      </c>
      <c r="BN251" s="252">
        <v>0</v>
      </c>
      <c r="BO251" s="256">
        <v>0</v>
      </c>
      <c r="BP251" s="256">
        <v>0</v>
      </c>
      <c r="BQ251" s="256">
        <v>0</v>
      </c>
      <c r="BR251" s="256">
        <v>0</v>
      </c>
      <c r="BS251" s="252">
        <v>0</v>
      </c>
      <c r="BT251" s="259">
        <v>0</v>
      </c>
      <c r="BU251" s="259">
        <v>0</v>
      </c>
      <c r="BV251" s="259">
        <v>0</v>
      </c>
      <c r="BW251" s="122"/>
    </row>
    <row r="252" spans="1:75" s="123" customFormat="1" hidden="1" outlineLevel="4" x14ac:dyDescent="0.5">
      <c r="A252" s="272" t="s">
        <v>412</v>
      </c>
      <c r="B252" s="251"/>
      <c r="C252" s="252"/>
      <c r="D252" s="252"/>
      <c r="E252" s="252"/>
      <c r="F252" s="252"/>
      <c r="G252" s="253"/>
      <c r="H252" s="253"/>
      <c r="I252" s="253"/>
      <c r="J252" s="253"/>
      <c r="K252" s="252"/>
      <c r="L252" s="253"/>
      <c r="M252" s="253"/>
      <c r="N252" s="253"/>
      <c r="O252" s="253">
        <v>0</v>
      </c>
      <c r="P252" s="252"/>
      <c r="Q252" s="253"/>
      <c r="R252" s="253"/>
      <c r="S252" s="253"/>
      <c r="T252" s="253">
        <v>0</v>
      </c>
      <c r="U252" s="252"/>
      <c r="V252" s="253"/>
      <c r="W252" s="253"/>
      <c r="X252" s="253"/>
      <c r="Y252" s="254">
        <v>0</v>
      </c>
      <c r="Z252" s="252"/>
      <c r="AA252" s="254"/>
      <c r="AB252" s="254"/>
      <c r="AC252" s="253"/>
      <c r="AD252" s="254">
        <v>0</v>
      </c>
      <c r="AE252" s="252"/>
      <c r="AF252" s="254"/>
      <c r="AG252" s="254"/>
      <c r="AH252" s="253"/>
      <c r="AI252" s="254">
        <v>0</v>
      </c>
      <c r="AJ252" s="252"/>
      <c r="AK252" s="254"/>
      <c r="AL252" s="254"/>
      <c r="AM252" s="253"/>
      <c r="AN252" s="254">
        <v>0</v>
      </c>
      <c r="AO252" s="252"/>
      <c r="AP252" s="254"/>
      <c r="AQ252" s="254"/>
      <c r="AR252" s="255"/>
      <c r="AS252" s="254">
        <v>0</v>
      </c>
      <c r="AT252" s="252"/>
      <c r="AU252" s="254"/>
      <c r="AV252" s="256">
        <v>-1</v>
      </c>
      <c r="AW252" s="255"/>
      <c r="AX252" s="254">
        <v>0</v>
      </c>
      <c r="AY252" s="259">
        <v>-1</v>
      </c>
      <c r="AZ252" s="254"/>
      <c r="BA252" s="254"/>
      <c r="BB252" s="255"/>
      <c r="BC252" s="254">
        <v>0</v>
      </c>
      <c r="BD252" s="252"/>
      <c r="BE252" s="254"/>
      <c r="BF252" s="254"/>
      <c r="BG252" s="255"/>
      <c r="BH252" s="254">
        <v>0</v>
      </c>
      <c r="BI252" s="260"/>
      <c r="BJ252" s="254"/>
      <c r="BK252" s="254"/>
      <c r="BL252" s="254"/>
      <c r="BM252" s="254"/>
      <c r="BN252" s="252"/>
      <c r="BO252" s="254"/>
      <c r="BP252" s="254"/>
      <c r="BQ252" s="254"/>
      <c r="BR252" s="254"/>
      <c r="BS252" s="252"/>
      <c r="BT252" s="252"/>
      <c r="BU252" s="252"/>
      <c r="BV252" s="252"/>
      <c r="BW252" s="122"/>
    </row>
    <row r="253" spans="1:75" s="123" customFormat="1" hidden="1" outlineLevel="4" x14ac:dyDescent="0.5">
      <c r="A253" s="272" t="s">
        <v>413</v>
      </c>
      <c r="B253" s="251"/>
      <c r="C253" s="252"/>
      <c r="D253" s="252"/>
      <c r="E253" s="252"/>
      <c r="F253" s="252"/>
      <c r="G253" s="253"/>
      <c r="H253" s="253"/>
      <c r="I253" s="253"/>
      <c r="J253" s="253"/>
      <c r="K253" s="252"/>
      <c r="L253" s="253"/>
      <c r="M253" s="253"/>
      <c r="N253" s="253"/>
      <c r="O253" s="253">
        <v>0</v>
      </c>
      <c r="P253" s="252"/>
      <c r="Q253" s="253"/>
      <c r="R253" s="253"/>
      <c r="S253" s="253"/>
      <c r="T253" s="253">
        <v>0</v>
      </c>
      <c r="U253" s="252"/>
      <c r="V253" s="253"/>
      <c r="W253" s="253"/>
      <c r="X253" s="253"/>
      <c r="Y253" s="254">
        <v>0</v>
      </c>
      <c r="Z253" s="252"/>
      <c r="AA253" s="254"/>
      <c r="AB253" s="254"/>
      <c r="AC253" s="253"/>
      <c r="AD253" s="254">
        <v>0</v>
      </c>
      <c r="AE253" s="252"/>
      <c r="AF253" s="254"/>
      <c r="AG253" s="254"/>
      <c r="AH253" s="253"/>
      <c r="AI253" s="254">
        <v>0</v>
      </c>
      <c r="AJ253" s="252"/>
      <c r="AK253" s="256">
        <v>-1</v>
      </c>
      <c r="AL253" s="254"/>
      <c r="AM253" s="253"/>
      <c r="AN253" s="254">
        <v>0</v>
      </c>
      <c r="AO253" s="259">
        <v>-1</v>
      </c>
      <c r="AP253" s="254"/>
      <c r="AQ253" s="254"/>
      <c r="AR253" s="255"/>
      <c r="AS253" s="254">
        <v>0</v>
      </c>
      <c r="AT253" s="252"/>
      <c r="AU253" s="254"/>
      <c r="AV253" s="254"/>
      <c r="AW253" s="255"/>
      <c r="AX253" s="254">
        <v>0</v>
      </c>
      <c r="AY253" s="252"/>
      <c r="AZ253" s="254"/>
      <c r="BA253" s="254"/>
      <c r="BB253" s="255"/>
      <c r="BC253" s="254">
        <v>0</v>
      </c>
      <c r="BD253" s="252"/>
      <c r="BE253" s="254"/>
      <c r="BF253" s="254"/>
      <c r="BG253" s="255"/>
      <c r="BH253" s="254">
        <v>0</v>
      </c>
      <c r="BI253" s="260"/>
      <c r="BJ253" s="254"/>
      <c r="BK253" s="254"/>
      <c r="BL253" s="254"/>
      <c r="BM253" s="254"/>
      <c r="BN253" s="252"/>
      <c r="BO253" s="254"/>
      <c r="BP253" s="254"/>
      <c r="BQ253" s="254"/>
      <c r="BR253" s="254"/>
      <c r="BS253" s="252"/>
      <c r="BT253" s="252"/>
      <c r="BU253" s="252"/>
      <c r="BV253" s="252"/>
      <c r="BW253" s="122"/>
    </row>
    <row r="254" spans="1:75" s="123" customFormat="1" hidden="1" outlineLevel="4" x14ac:dyDescent="0.5">
      <c r="A254" s="272" t="s">
        <v>414</v>
      </c>
      <c r="B254" s="251"/>
      <c r="C254" s="252"/>
      <c r="D254" s="252"/>
      <c r="E254" s="252"/>
      <c r="F254" s="252"/>
      <c r="G254" s="253"/>
      <c r="H254" s="253"/>
      <c r="I254" s="253"/>
      <c r="J254" s="253"/>
      <c r="K254" s="252"/>
      <c r="L254" s="253"/>
      <c r="M254" s="253"/>
      <c r="N254" s="253"/>
      <c r="O254" s="253">
        <v>0</v>
      </c>
      <c r="P254" s="252"/>
      <c r="Q254" s="253"/>
      <c r="R254" s="253"/>
      <c r="S254" s="253"/>
      <c r="T254" s="253">
        <v>0</v>
      </c>
      <c r="U254" s="252"/>
      <c r="V254" s="253"/>
      <c r="W254" s="253"/>
      <c r="X254" s="253"/>
      <c r="Y254" s="254">
        <v>0</v>
      </c>
      <c r="Z254" s="252"/>
      <c r="AA254" s="254"/>
      <c r="AB254" s="254"/>
      <c r="AC254" s="253"/>
      <c r="AD254" s="254">
        <v>0</v>
      </c>
      <c r="AE254" s="252"/>
      <c r="AF254" s="254"/>
      <c r="AG254" s="254"/>
      <c r="AH254" s="253"/>
      <c r="AI254" s="254">
        <v>0</v>
      </c>
      <c r="AJ254" s="252"/>
      <c r="AK254" s="254"/>
      <c r="AL254" s="254"/>
      <c r="AM254" s="253"/>
      <c r="AN254" s="254">
        <v>-1</v>
      </c>
      <c r="AO254" s="259">
        <v>-1</v>
      </c>
      <c r="AP254" s="254"/>
      <c r="AQ254" s="254"/>
      <c r="AR254" s="255"/>
      <c r="AS254" s="254">
        <v>0</v>
      </c>
      <c r="AT254" s="252"/>
      <c r="AU254" s="254"/>
      <c r="AV254" s="254"/>
      <c r="AW254" s="255"/>
      <c r="AX254" s="254">
        <v>0</v>
      </c>
      <c r="AY254" s="252"/>
      <c r="AZ254" s="254"/>
      <c r="BA254" s="254"/>
      <c r="BB254" s="255"/>
      <c r="BC254" s="254">
        <v>0</v>
      </c>
      <c r="BD254" s="252"/>
      <c r="BE254" s="254"/>
      <c r="BF254" s="254"/>
      <c r="BG254" s="255"/>
      <c r="BH254" s="254">
        <v>0</v>
      </c>
      <c r="BI254" s="260"/>
      <c r="BJ254" s="254"/>
      <c r="BK254" s="254"/>
      <c r="BL254" s="254"/>
      <c r="BM254" s="254"/>
      <c r="BN254" s="252"/>
      <c r="BO254" s="254"/>
      <c r="BP254" s="254"/>
      <c r="BQ254" s="254"/>
      <c r="BR254" s="254"/>
      <c r="BS254" s="252"/>
      <c r="BT254" s="252"/>
      <c r="BU254" s="252"/>
      <c r="BV254" s="252"/>
      <c r="BW254" s="122"/>
    </row>
    <row r="255" spans="1:75" s="123" customFormat="1" hidden="1" outlineLevel="4" x14ac:dyDescent="0.5">
      <c r="A255" s="273" t="s">
        <v>415</v>
      </c>
      <c r="B255" s="274"/>
      <c r="C255" s="266"/>
      <c r="D255" s="266"/>
      <c r="E255" s="266"/>
      <c r="F255" s="266"/>
      <c r="G255" s="267"/>
      <c r="H255" s="267"/>
      <c r="I255" s="267"/>
      <c r="J255" s="267"/>
      <c r="K255" s="266"/>
      <c r="L255" s="267"/>
      <c r="M255" s="267"/>
      <c r="N255" s="267"/>
      <c r="O255" s="267">
        <v>0</v>
      </c>
      <c r="P255" s="266"/>
      <c r="Q255" s="267"/>
      <c r="R255" s="267"/>
      <c r="S255" s="267"/>
      <c r="T255" s="267">
        <v>0</v>
      </c>
      <c r="U255" s="266"/>
      <c r="V255" s="267"/>
      <c r="W255" s="267"/>
      <c r="X255" s="267"/>
      <c r="Y255" s="269">
        <v>0</v>
      </c>
      <c r="Z255" s="266"/>
      <c r="AA255" s="269"/>
      <c r="AB255" s="269"/>
      <c r="AC255" s="267"/>
      <c r="AD255" s="269">
        <v>-1</v>
      </c>
      <c r="AE255" s="268">
        <v>-1</v>
      </c>
      <c r="AF255" s="269"/>
      <c r="AG255" s="269"/>
      <c r="AH255" s="267"/>
      <c r="AI255" s="269">
        <v>0</v>
      </c>
      <c r="AJ255" s="266"/>
      <c r="AK255" s="269"/>
      <c r="AL255" s="269"/>
      <c r="AM255" s="267"/>
      <c r="AN255" s="269">
        <v>0</v>
      </c>
      <c r="AO255" s="266"/>
      <c r="AP255" s="269"/>
      <c r="AQ255" s="269"/>
      <c r="AR255" s="270"/>
      <c r="AS255" s="269">
        <v>0</v>
      </c>
      <c r="AT255" s="266"/>
      <c r="AU255" s="269"/>
      <c r="AV255" s="269"/>
      <c r="AW255" s="270"/>
      <c r="AX255" s="269">
        <v>0</v>
      </c>
      <c r="AY255" s="266"/>
      <c r="AZ255" s="269"/>
      <c r="BA255" s="269"/>
      <c r="BB255" s="270"/>
      <c r="BC255" s="269">
        <v>0</v>
      </c>
      <c r="BD255" s="266"/>
      <c r="BE255" s="269"/>
      <c r="BF255" s="269"/>
      <c r="BG255" s="270"/>
      <c r="BH255" s="269">
        <v>0</v>
      </c>
      <c r="BI255" s="271"/>
      <c r="BJ255" s="269"/>
      <c r="BK255" s="269"/>
      <c r="BL255" s="269"/>
      <c r="BM255" s="269"/>
      <c r="BN255" s="266"/>
      <c r="BO255" s="269"/>
      <c r="BP255" s="269"/>
      <c r="BQ255" s="269"/>
      <c r="BR255" s="269"/>
      <c r="BS255" s="266"/>
      <c r="BT255" s="266"/>
      <c r="BU255" s="266"/>
      <c r="BV255" s="266"/>
      <c r="BW255" s="122"/>
    </row>
    <row r="256" spans="1:75" s="123" customFormat="1" hidden="1" outlineLevel="3" collapsed="1" x14ac:dyDescent="0.5">
      <c r="A256" s="218" t="s">
        <v>416</v>
      </c>
      <c r="B256" s="251"/>
      <c r="C256" s="252"/>
      <c r="D256" s="252"/>
      <c r="E256" s="252"/>
      <c r="F256" s="252"/>
      <c r="G256" s="253"/>
      <c r="H256" s="253"/>
      <c r="I256" s="253"/>
      <c r="J256" s="253"/>
      <c r="K256" s="252"/>
      <c r="L256" s="253">
        <v>0</v>
      </c>
      <c r="M256" s="253">
        <v>0</v>
      </c>
      <c r="N256" s="253">
        <v>0</v>
      </c>
      <c r="O256" s="253">
        <v>0</v>
      </c>
      <c r="P256" s="252">
        <v>0</v>
      </c>
      <c r="Q256" s="253">
        <v>0</v>
      </c>
      <c r="R256" s="253">
        <v>0</v>
      </c>
      <c r="S256" s="253">
        <v>0</v>
      </c>
      <c r="T256" s="253">
        <v>0</v>
      </c>
      <c r="U256" s="252">
        <v>0</v>
      </c>
      <c r="V256" s="253">
        <v>0</v>
      </c>
      <c r="W256" s="253">
        <v>0</v>
      </c>
      <c r="X256" s="253">
        <v>0</v>
      </c>
      <c r="Y256" s="254">
        <v>0</v>
      </c>
      <c r="Z256" s="252">
        <v>0</v>
      </c>
      <c r="AA256" s="254">
        <v>0</v>
      </c>
      <c r="AB256" s="254">
        <v>0</v>
      </c>
      <c r="AC256" s="253">
        <v>0</v>
      </c>
      <c r="AD256" s="254">
        <v>-1</v>
      </c>
      <c r="AE256" s="252">
        <v>-1</v>
      </c>
      <c r="AF256" s="254">
        <v>0</v>
      </c>
      <c r="AG256" s="254">
        <v>0</v>
      </c>
      <c r="AH256" s="253">
        <v>0</v>
      </c>
      <c r="AI256" s="254">
        <v>0</v>
      </c>
      <c r="AJ256" s="252">
        <v>0</v>
      </c>
      <c r="AK256" s="254">
        <v>-1</v>
      </c>
      <c r="AL256" s="254">
        <v>0</v>
      </c>
      <c r="AM256" s="253">
        <v>0</v>
      </c>
      <c r="AN256" s="254">
        <v>-1</v>
      </c>
      <c r="AO256" s="252">
        <v>-2</v>
      </c>
      <c r="AP256" s="254">
        <v>0</v>
      </c>
      <c r="AQ256" s="254">
        <v>0</v>
      </c>
      <c r="AR256" s="255">
        <v>0</v>
      </c>
      <c r="AS256" s="254">
        <v>0</v>
      </c>
      <c r="AT256" s="252">
        <v>0</v>
      </c>
      <c r="AU256" s="254">
        <v>0</v>
      </c>
      <c r="AV256" s="254">
        <v>-1</v>
      </c>
      <c r="AW256" s="255">
        <v>0</v>
      </c>
      <c r="AX256" s="254">
        <v>0</v>
      </c>
      <c r="AY256" s="252">
        <v>-1</v>
      </c>
      <c r="AZ256" s="254">
        <v>0</v>
      </c>
      <c r="BA256" s="254">
        <v>0</v>
      </c>
      <c r="BB256" s="255">
        <v>0</v>
      </c>
      <c r="BC256" s="254">
        <v>0</v>
      </c>
      <c r="BD256" s="252">
        <v>0</v>
      </c>
      <c r="BE256" s="254">
        <v>0</v>
      </c>
      <c r="BF256" s="254">
        <v>0</v>
      </c>
      <c r="BG256" s="255">
        <v>0</v>
      </c>
      <c r="BH256" s="254">
        <v>0</v>
      </c>
      <c r="BI256" s="260">
        <v>0</v>
      </c>
      <c r="BJ256" s="256">
        <v>0</v>
      </c>
      <c r="BK256" s="256">
        <v>0</v>
      </c>
      <c r="BL256" s="256">
        <v>0</v>
      </c>
      <c r="BM256" s="256">
        <v>0</v>
      </c>
      <c r="BN256" s="252">
        <v>0</v>
      </c>
      <c r="BO256" s="256">
        <v>0</v>
      </c>
      <c r="BP256" s="256">
        <v>0</v>
      </c>
      <c r="BQ256" s="256">
        <v>0</v>
      </c>
      <c r="BR256" s="256">
        <v>0</v>
      </c>
      <c r="BS256" s="252">
        <v>0</v>
      </c>
      <c r="BT256" s="259">
        <v>0</v>
      </c>
      <c r="BU256" s="259">
        <v>0</v>
      </c>
      <c r="BV256" s="259">
        <v>0</v>
      </c>
      <c r="BW256" s="122"/>
    </row>
    <row r="257" spans="1:75" s="198" customFormat="1" ht="14.25" hidden="1" outlineLevel="3" x14ac:dyDescent="0.45">
      <c r="A257" s="276" t="s">
        <v>417</v>
      </c>
      <c r="B257" s="277"/>
      <c r="C257" s="278"/>
      <c r="D257" s="278"/>
      <c r="E257" s="278"/>
      <c r="F257" s="279">
        <v>3</v>
      </c>
      <c r="G257" s="280">
        <v>3</v>
      </c>
      <c r="H257" s="280">
        <v>3</v>
      </c>
      <c r="I257" s="280">
        <v>3</v>
      </c>
      <c r="J257" s="281">
        <v>3</v>
      </c>
      <c r="K257" s="279">
        <v>3</v>
      </c>
      <c r="L257" s="281">
        <v>3</v>
      </c>
      <c r="M257" s="281">
        <v>3</v>
      </c>
      <c r="N257" s="281">
        <v>3</v>
      </c>
      <c r="O257" s="281">
        <v>3</v>
      </c>
      <c r="P257" s="282">
        <v>3</v>
      </c>
      <c r="Q257" s="281">
        <v>3</v>
      </c>
      <c r="R257" s="281">
        <v>3</v>
      </c>
      <c r="S257" s="281">
        <v>5</v>
      </c>
      <c r="T257" s="281">
        <v>5</v>
      </c>
      <c r="U257" s="282">
        <v>5</v>
      </c>
      <c r="V257" s="281">
        <v>5</v>
      </c>
      <c r="W257" s="281">
        <v>5</v>
      </c>
      <c r="X257" s="281">
        <v>5</v>
      </c>
      <c r="Y257" s="284">
        <v>5</v>
      </c>
      <c r="Z257" s="282">
        <v>5</v>
      </c>
      <c r="AA257" s="284">
        <v>5</v>
      </c>
      <c r="AB257" s="284">
        <v>5</v>
      </c>
      <c r="AC257" s="281">
        <v>5</v>
      </c>
      <c r="AD257" s="284">
        <v>4</v>
      </c>
      <c r="AE257" s="282">
        <v>4</v>
      </c>
      <c r="AF257" s="284">
        <v>4</v>
      </c>
      <c r="AG257" s="284">
        <v>6</v>
      </c>
      <c r="AH257" s="281">
        <v>6</v>
      </c>
      <c r="AI257" s="284">
        <v>6</v>
      </c>
      <c r="AJ257" s="282">
        <v>6</v>
      </c>
      <c r="AK257" s="284">
        <v>5</v>
      </c>
      <c r="AL257" s="284">
        <v>5</v>
      </c>
      <c r="AM257" s="281">
        <v>5</v>
      </c>
      <c r="AN257" s="284">
        <v>4</v>
      </c>
      <c r="AO257" s="282">
        <v>4</v>
      </c>
      <c r="AP257" s="284">
        <v>4</v>
      </c>
      <c r="AQ257" s="284">
        <v>4</v>
      </c>
      <c r="AR257" s="285">
        <v>4</v>
      </c>
      <c r="AS257" s="284">
        <v>4</v>
      </c>
      <c r="AT257" s="282">
        <v>4</v>
      </c>
      <c r="AU257" s="284">
        <v>4</v>
      </c>
      <c r="AV257" s="284">
        <v>3</v>
      </c>
      <c r="AW257" s="285">
        <v>3</v>
      </c>
      <c r="AX257" s="285">
        <v>3</v>
      </c>
      <c r="AY257" s="282">
        <v>3</v>
      </c>
      <c r="AZ257" s="284">
        <v>3</v>
      </c>
      <c r="BA257" s="284">
        <v>3</v>
      </c>
      <c r="BB257" s="285">
        <v>3</v>
      </c>
      <c r="BC257" s="285">
        <v>3</v>
      </c>
      <c r="BD257" s="282">
        <v>3</v>
      </c>
      <c r="BE257" s="284">
        <v>3</v>
      </c>
      <c r="BF257" s="284">
        <v>3</v>
      </c>
      <c r="BG257" s="285">
        <v>3</v>
      </c>
      <c r="BH257" s="285">
        <v>3</v>
      </c>
      <c r="BI257" s="286">
        <v>3</v>
      </c>
      <c r="BJ257" s="287">
        <v>3</v>
      </c>
      <c r="BK257" s="287">
        <v>3</v>
      </c>
      <c r="BL257" s="287">
        <v>3</v>
      </c>
      <c r="BM257" s="287">
        <v>3</v>
      </c>
      <c r="BN257" s="278">
        <v>3</v>
      </c>
      <c r="BO257" s="287">
        <v>3</v>
      </c>
      <c r="BP257" s="287">
        <v>3</v>
      </c>
      <c r="BQ257" s="287">
        <v>3</v>
      </c>
      <c r="BR257" s="287">
        <v>3</v>
      </c>
      <c r="BS257" s="278">
        <v>3</v>
      </c>
      <c r="BT257" s="278">
        <v>3</v>
      </c>
      <c r="BU257" s="278">
        <v>3</v>
      </c>
      <c r="BV257" s="278">
        <v>3</v>
      </c>
      <c r="BW257" s="197"/>
    </row>
    <row r="258" spans="1:75" s="198" customFormat="1" ht="14.25" hidden="1" outlineLevel="3" x14ac:dyDescent="0.45">
      <c r="A258" s="168" t="s">
        <v>418</v>
      </c>
      <c r="B258" s="243"/>
      <c r="C258" s="244"/>
      <c r="D258" s="244"/>
      <c r="E258" s="244"/>
      <c r="F258" s="244"/>
      <c r="G258" s="288">
        <v>3</v>
      </c>
      <c r="H258" s="288">
        <v>3</v>
      </c>
      <c r="I258" s="288">
        <v>3</v>
      </c>
      <c r="J258" s="288">
        <v>3</v>
      </c>
      <c r="K258" s="246">
        <v>3</v>
      </c>
      <c r="L258" s="288">
        <v>3</v>
      </c>
      <c r="M258" s="288">
        <v>3</v>
      </c>
      <c r="N258" s="288">
        <v>3</v>
      </c>
      <c r="O258" s="288">
        <v>3</v>
      </c>
      <c r="P258" s="246">
        <v>3</v>
      </c>
      <c r="Q258" s="245">
        <v>3</v>
      </c>
      <c r="R258" s="288">
        <v>3</v>
      </c>
      <c r="S258" s="288">
        <v>4</v>
      </c>
      <c r="T258" s="288">
        <v>5</v>
      </c>
      <c r="U258" s="246">
        <v>3.75</v>
      </c>
      <c r="V258" s="288">
        <v>5</v>
      </c>
      <c r="W258" s="288">
        <v>5</v>
      </c>
      <c r="X258" s="288">
        <v>5</v>
      </c>
      <c r="Y258" s="168">
        <v>5</v>
      </c>
      <c r="Z258" s="246">
        <v>5</v>
      </c>
      <c r="AA258" s="168">
        <v>5</v>
      </c>
      <c r="AB258" s="168">
        <v>5</v>
      </c>
      <c r="AC258" s="288">
        <v>5</v>
      </c>
      <c r="AD258" s="168">
        <v>4.5</v>
      </c>
      <c r="AE258" s="246">
        <v>4.867924528301887</v>
      </c>
      <c r="AF258" s="168">
        <v>4</v>
      </c>
      <c r="AG258" s="168">
        <v>5</v>
      </c>
      <c r="AH258" s="288">
        <v>6</v>
      </c>
      <c r="AI258" s="168">
        <v>6</v>
      </c>
      <c r="AJ258" s="246">
        <v>5.25</v>
      </c>
      <c r="AK258" s="168">
        <v>5.5</v>
      </c>
      <c r="AL258" s="168">
        <v>5</v>
      </c>
      <c r="AM258" s="288">
        <v>5</v>
      </c>
      <c r="AN258" s="168">
        <v>4.5</v>
      </c>
      <c r="AO258" s="246">
        <v>5</v>
      </c>
      <c r="AP258" s="168">
        <v>4</v>
      </c>
      <c r="AQ258" s="168">
        <v>4</v>
      </c>
      <c r="AR258" s="289">
        <v>4</v>
      </c>
      <c r="AS258" s="168">
        <v>4</v>
      </c>
      <c r="AT258" s="246">
        <v>4</v>
      </c>
      <c r="AU258" s="168">
        <v>4</v>
      </c>
      <c r="AV258" s="168">
        <v>3.5</v>
      </c>
      <c r="AW258" s="289">
        <v>3</v>
      </c>
      <c r="AX258" s="168">
        <v>3</v>
      </c>
      <c r="AY258" s="246">
        <v>3.375</v>
      </c>
      <c r="AZ258" s="168">
        <v>3</v>
      </c>
      <c r="BA258" s="168">
        <v>3</v>
      </c>
      <c r="BB258" s="289">
        <v>3</v>
      </c>
      <c r="BC258" s="168">
        <v>3</v>
      </c>
      <c r="BD258" s="246">
        <v>3</v>
      </c>
      <c r="BE258" s="168">
        <v>3</v>
      </c>
      <c r="BF258" s="168">
        <v>3</v>
      </c>
      <c r="BG258" s="289">
        <v>3</v>
      </c>
      <c r="BH258" s="168">
        <v>3</v>
      </c>
      <c r="BI258" s="290">
        <v>3</v>
      </c>
      <c r="BJ258" s="247">
        <v>3</v>
      </c>
      <c r="BK258" s="247">
        <v>3</v>
      </c>
      <c r="BL258" s="247">
        <v>3</v>
      </c>
      <c r="BM258" s="247">
        <v>3</v>
      </c>
      <c r="BN258" s="244">
        <v>3</v>
      </c>
      <c r="BO258" s="247">
        <v>3</v>
      </c>
      <c r="BP258" s="247">
        <v>3</v>
      </c>
      <c r="BQ258" s="247">
        <v>3</v>
      </c>
      <c r="BR258" s="247">
        <v>3</v>
      </c>
      <c r="BS258" s="244">
        <v>3</v>
      </c>
      <c r="BT258" s="244">
        <v>3</v>
      </c>
      <c r="BU258" s="244">
        <v>3</v>
      </c>
      <c r="BV258" s="244">
        <v>3</v>
      </c>
      <c r="BW258" s="197"/>
    </row>
    <row r="259" spans="1:75" s="198" customFormat="1" ht="14.25" hidden="1" outlineLevel="3" x14ac:dyDescent="0.45">
      <c r="A259" s="292"/>
      <c r="B259" s="243"/>
      <c r="C259" s="244"/>
      <c r="D259" s="244"/>
      <c r="E259" s="244"/>
      <c r="F259" s="244"/>
      <c r="G259" s="245"/>
      <c r="H259" s="245"/>
      <c r="I259" s="245"/>
      <c r="J259" s="245"/>
      <c r="K259" s="244"/>
      <c r="L259" s="245"/>
      <c r="M259" s="245"/>
      <c r="N259" s="245"/>
      <c r="O259" s="245"/>
      <c r="P259" s="244"/>
      <c r="Q259" s="245"/>
      <c r="R259" s="245"/>
      <c r="S259" s="245"/>
      <c r="T259" s="245"/>
      <c r="U259" s="244"/>
      <c r="V259" s="245"/>
      <c r="W259" s="245"/>
      <c r="X259" s="245"/>
      <c r="Y259" s="247"/>
      <c r="Z259" s="244"/>
      <c r="AA259" s="247"/>
      <c r="AB259" s="247"/>
      <c r="AC259" s="245"/>
      <c r="AD259" s="247"/>
      <c r="AE259" s="244"/>
      <c r="AF259" s="247"/>
      <c r="AG259" s="247"/>
      <c r="AH259" s="245"/>
      <c r="AI259" s="247"/>
      <c r="AJ259" s="244"/>
      <c r="AK259" s="247"/>
      <c r="AL259" s="247"/>
      <c r="AM259" s="245"/>
      <c r="AN259" s="247"/>
      <c r="AO259" s="244"/>
      <c r="AP259" s="247"/>
      <c r="AQ259" s="247"/>
      <c r="AR259" s="248"/>
      <c r="AS259" s="247"/>
      <c r="AT259" s="244"/>
      <c r="AU259" s="247"/>
      <c r="AV259" s="247"/>
      <c r="AW259" s="248"/>
      <c r="AX259" s="247"/>
      <c r="AY259" s="244"/>
      <c r="AZ259" s="247"/>
      <c r="BA259" s="247"/>
      <c r="BB259" s="248"/>
      <c r="BC259" s="247"/>
      <c r="BD259" s="244"/>
      <c r="BE259" s="247"/>
      <c r="BF259" s="247"/>
      <c r="BG259" s="248"/>
      <c r="BH259" s="247"/>
      <c r="BI259" s="249"/>
      <c r="BJ259" s="247"/>
      <c r="BK259" s="247"/>
      <c r="BL259" s="247"/>
      <c r="BM259" s="247"/>
      <c r="BN259" s="244"/>
      <c r="BO259" s="247"/>
      <c r="BP259" s="247"/>
      <c r="BQ259" s="247"/>
      <c r="BR259" s="247"/>
      <c r="BS259" s="244"/>
      <c r="BT259" s="244"/>
      <c r="BU259" s="244"/>
      <c r="BV259" s="244"/>
      <c r="BW259" s="197"/>
    </row>
    <row r="260" spans="1:75" s="198" customFormat="1" ht="14.25" hidden="1" outlineLevel="3" x14ac:dyDescent="0.45">
      <c r="A260" s="292" t="s">
        <v>419</v>
      </c>
      <c r="B260" s="243"/>
      <c r="C260" s="293"/>
      <c r="D260" s="293"/>
      <c r="E260" s="293"/>
      <c r="F260" s="293"/>
      <c r="G260" s="294"/>
      <c r="H260" s="294"/>
      <c r="I260" s="294"/>
      <c r="J260" s="294"/>
      <c r="K260" s="293"/>
      <c r="L260" s="294">
        <v>11.400000000000002</v>
      </c>
      <c r="M260" s="294">
        <v>11.400000000000002</v>
      </c>
      <c r="N260" s="294">
        <v>11.400000000000002</v>
      </c>
      <c r="O260" s="294">
        <v>11.400000000000002</v>
      </c>
      <c r="P260" s="293">
        <v>11.400000000000002</v>
      </c>
      <c r="Q260" s="294">
        <v>11.400000000000002</v>
      </c>
      <c r="R260" s="294">
        <v>11.400000000000002</v>
      </c>
      <c r="S260" s="294">
        <v>11.400000000000002</v>
      </c>
      <c r="T260" s="294">
        <v>18.100000000000001</v>
      </c>
      <c r="U260" s="293">
        <v>11.400000000000002</v>
      </c>
      <c r="V260" s="294">
        <v>18.100000000000001</v>
      </c>
      <c r="W260" s="294">
        <v>18.100000000000001</v>
      </c>
      <c r="X260" s="294">
        <v>18.100000000000001</v>
      </c>
      <c r="Y260" s="295">
        <v>18.100000000000001</v>
      </c>
      <c r="Z260" s="293">
        <v>18.100000000000001</v>
      </c>
      <c r="AA260" s="295">
        <v>18.100000000000001</v>
      </c>
      <c r="AB260" s="295">
        <v>18.100000000000001</v>
      </c>
      <c r="AC260" s="294">
        <v>18.100000000000001</v>
      </c>
      <c r="AD260" s="295">
        <v>18.100000000000001</v>
      </c>
      <c r="AE260" s="293">
        <v>18.100000000000001</v>
      </c>
      <c r="AF260" s="295">
        <v>15.6</v>
      </c>
      <c r="AG260" s="295">
        <v>15.6</v>
      </c>
      <c r="AH260" s="294">
        <v>24</v>
      </c>
      <c r="AI260" s="295">
        <v>24</v>
      </c>
      <c r="AJ260" s="293">
        <v>15.6</v>
      </c>
      <c r="AK260" s="295">
        <v>24</v>
      </c>
      <c r="AL260" s="295">
        <v>20.3</v>
      </c>
      <c r="AM260" s="294">
        <v>20.3</v>
      </c>
      <c r="AN260" s="295">
        <v>20.3</v>
      </c>
      <c r="AO260" s="293">
        <v>24</v>
      </c>
      <c r="AP260" s="295">
        <v>15.6</v>
      </c>
      <c r="AQ260" s="295">
        <v>15.6</v>
      </c>
      <c r="AR260" s="296">
        <v>15.6</v>
      </c>
      <c r="AS260" s="295">
        <v>15.6</v>
      </c>
      <c r="AT260" s="293">
        <v>15.6</v>
      </c>
      <c r="AU260" s="295">
        <v>15.6</v>
      </c>
      <c r="AV260" s="295">
        <v>15.6</v>
      </c>
      <c r="AW260" s="296">
        <v>8.3000000000000007</v>
      </c>
      <c r="AX260" s="295">
        <v>8.3000000000000007</v>
      </c>
      <c r="AY260" s="293">
        <v>15.6</v>
      </c>
      <c r="AZ260" s="295">
        <v>8.4</v>
      </c>
      <c r="BA260" s="295">
        <v>8.4</v>
      </c>
      <c r="BB260" s="296">
        <v>8.4</v>
      </c>
      <c r="BC260" s="295">
        <v>8.4</v>
      </c>
      <c r="BD260" s="293">
        <v>8.4</v>
      </c>
      <c r="BE260" s="295">
        <v>8.4</v>
      </c>
      <c r="BF260" s="295">
        <v>8.4</v>
      </c>
      <c r="BG260" s="296">
        <v>8.4</v>
      </c>
      <c r="BH260" s="295">
        <v>8.4</v>
      </c>
      <c r="BI260" s="297">
        <v>8.4</v>
      </c>
      <c r="BJ260" s="295">
        <v>8.4</v>
      </c>
      <c r="BK260" s="295">
        <v>8.4</v>
      </c>
      <c r="BL260" s="295">
        <v>8.4</v>
      </c>
      <c r="BM260" s="295">
        <v>8.4</v>
      </c>
      <c r="BN260" s="293">
        <v>8.4</v>
      </c>
      <c r="BO260" s="295">
        <v>8.4</v>
      </c>
      <c r="BP260" s="295">
        <v>8.4</v>
      </c>
      <c r="BQ260" s="295">
        <v>8.4</v>
      </c>
      <c r="BR260" s="295">
        <v>8.4</v>
      </c>
      <c r="BS260" s="293">
        <v>8.4</v>
      </c>
      <c r="BT260" s="293">
        <v>8.4</v>
      </c>
      <c r="BU260" s="293">
        <v>8.4</v>
      </c>
      <c r="BV260" s="293">
        <v>8.4</v>
      </c>
      <c r="BW260" s="197"/>
    </row>
    <row r="261" spans="1:75" s="123" customFormat="1" hidden="1" outlineLevel="4" x14ac:dyDescent="0.5">
      <c r="A261" s="298" t="s">
        <v>420</v>
      </c>
      <c r="B261" s="251"/>
      <c r="C261" s="299"/>
      <c r="D261" s="299"/>
      <c r="E261" s="299"/>
      <c r="F261" s="299"/>
      <c r="G261" s="300"/>
      <c r="H261" s="300"/>
      <c r="I261" s="300"/>
      <c r="J261" s="300"/>
      <c r="K261" s="299"/>
      <c r="L261" s="300"/>
      <c r="M261" s="300"/>
      <c r="N261" s="300"/>
      <c r="O261" s="300">
        <v>0</v>
      </c>
      <c r="P261" s="299"/>
      <c r="Q261" s="300"/>
      <c r="R261" s="300"/>
      <c r="S261" s="300"/>
      <c r="T261" s="300">
        <v>0</v>
      </c>
      <c r="U261" s="299"/>
      <c r="V261" s="300"/>
      <c r="W261" s="300"/>
      <c r="X261" s="300"/>
      <c r="Y261" s="119">
        <v>0</v>
      </c>
      <c r="Z261" s="299"/>
      <c r="AA261" s="119"/>
      <c r="AB261" s="119"/>
      <c r="AC261" s="300"/>
      <c r="AD261" s="119">
        <v>0</v>
      </c>
      <c r="AE261" s="299"/>
      <c r="AF261" s="119"/>
      <c r="AG261" s="302">
        <v>3.7</v>
      </c>
      <c r="AH261" s="300"/>
      <c r="AI261" s="119">
        <v>0</v>
      </c>
      <c r="AJ261" s="305">
        <v>3.7</v>
      </c>
      <c r="AK261" s="119"/>
      <c r="AL261" s="119"/>
      <c r="AM261" s="300"/>
      <c r="AN261" s="119">
        <v>0</v>
      </c>
      <c r="AO261" s="299"/>
      <c r="AP261" s="119"/>
      <c r="AQ261" s="119"/>
      <c r="AR261" s="301"/>
      <c r="AS261" s="119">
        <v>0</v>
      </c>
      <c r="AT261" s="299"/>
      <c r="AU261" s="119"/>
      <c r="AV261" s="119"/>
      <c r="AW261" s="301"/>
      <c r="AX261" s="119">
        <v>0</v>
      </c>
      <c r="AY261" s="299"/>
      <c r="AZ261" s="119"/>
      <c r="BA261" s="119"/>
      <c r="BB261" s="301"/>
      <c r="BC261" s="119">
        <v>0</v>
      </c>
      <c r="BD261" s="299"/>
      <c r="BE261" s="119"/>
      <c r="BF261" s="119"/>
      <c r="BG261" s="301"/>
      <c r="BH261" s="119">
        <v>0</v>
      </c>
      <c r="BI261" s="304"/>
      <c r="BJ261" s="119"/>
      <c r="BK261" s="119"/>
      <c r="BL261" s="119"/>
      <c r="BM261" s="119"/>
      <c r="BN261" s="299"/>
      <c r="BO261" s="119"/>
      <c r="BP261" s="119"/>
      <c r="BQ261" s="119"/>
      <c r="BR261" s="119"/>
      <c r="BS261" s="299"/>
      <c r="BT261" s="299"/>
      <c r="BU261" s="299"/>
      <c r="BV261" s="299"/>
      <c r="BW261" s="122"/>
    </row>
    <row r="262" spans="1:75" s="123" customFormat="1" hidden="1" outlineLevel="4" x14ac:dyDescent="0.5">
      <c r="A262" s="298" t="s">
        <v>421</v>
      </c>
      <c r="B262" s="251"/>
      <c r="C262" s="299"/>
      <c r="D262" s="299"/>
      <c r="E262" s="299"/>
      <c r="F262" s="299"/>
      <c r="G262" s="300"/>
      <c r="H262" s="300"/>
      <c r="I262" s="300"/>
      <c r="J262" s="300"/>
      <c r="K262" s="299"/>
      <c r="L262" s="300"/>
      <c r="M262" s="300"/>
      <c r="N262" s="300"/>
      <c r="O262" s="300">
        <v>0</v>
      </c>
      <c r="P262" s="299"/>
      <c r="Q262" s="300"/>
      <c r="R262" s="300"/>
      <c r="S262" s="300"/>
      <c r="T262" s="300">
        <v>0</v>
      </c>
      <c r="U262" s="299"/>
      <c r="V262" s="300"/>
      <c r="W262" s="300"/>
      <c r="X262" s="300"/>
      <c r="Y262" s="119">
        <v>0</v>
      </c>
      <c r="Z262" s="299"/>
      <c r="AA262" s="119"/>
      <c r="AB262" s="119"/>
      <c r="AC262" s="300"/>
      <c r="AD262" s="119">
        <v>0</v>
      </c>
      <c r="AE262" s="299"/>
      <c r="AF262" s="119"/>
      <c r="AG262" s="302">
        <v>4.7</v>
      </c>
      <c r="AH262" s="300"/>
      <c r="AI262" s="119">
        <v>0</v>
      </c>
      <c r="AJ262" s="305">
        <v>4.7</v>
      </c>
      <c r="AK262" s="119"/>
      <c r="AL262" s="119"/>
      <c r="AM262" s="300"/>
      <c r="AN262" s="119">
        <v>0</v>
      </c>
      <c r="AO262" s="299"/>
      <c r="AP262" s="119"/>
      <c r="AQ262" s="119"/>
      <c r="AR262" s="301"/>
      <c r="AS262" s="119">
        <v>0</v>
      </c>
      <c r="AT262" s="299"/>
      <c r="AU262" s="119"/>
      <c r="AV262" s="119"/>
      <c r="AW262" s="301"/>
      <c r="AX262" s="119">
        <v>0</v>
      </c>
      <c r="AY262" s="299"/>
      <c r="AZ262" s="119"/>
      <c r="BA262" s="119"/>
      <c r="BB262" s="301"/>
      <c r="BC262" s="119">
        <v>0</v>
      </c>
      <c r="BD262" s="299"/>
      <c r="BE262" s="119"/>
      <c r="BF262" s="119"/>
      <c r="BG262" s="301"/>
      <c r="BH262" s="119">
        <v>0</v>
      </c>
      <c r="BI262" s="304"/>
      <c r="BJ262" s="119"/>
      <c r="BK262" s="119"/>
      <c r="BL262" s="119"/>
      <c r="BM262" s="119"/>
      <c r="BN262" s="299"/>
      <c r="BO262" s="119"/>
      <c r="BP262" s="119"/>
      <c r="BQ262" s="119"/>
      <c r="BR262" s="119"/>
      <c r="BS262" s="299"/>
      <c r="BT262" s="299"/>
      <c r="BU262" s="299"/>
      <c r="BV262" s="299"/>
      <c r="BW262" s="122"/>
    </row>
    <row r="263" spans="1:75" s="123" customFormat="1" hidden="1" outlineLevel="4" x14ac:dyDescent="0.5">
      <c r="A263" s="298" t="s">
        <v>422</v>
      </c>
      <c r="B263" s="251"/>
      <c r="C263" s="299"/>
      <c r="D263" s="299"/>
      <c r="E263" s="299"/>
      <c r="F263" s="299"/>
      <c r="G263" s="300"/>
      <c r="H263" s="300"/>
      <c r="I263" s="300"/>
      <c r="J263" s="300"/>
      <c r="K263" s="299"/>
      <c r="L263" s="300"/>
      <c r="M263" s="300"/>
      <c r="N263" s="300"/>
      <c r="O263" s="300">
        <v>0</v>
      </c>
      <c r="P263" s="299"/>
      <c r="Q263" s="300"/>
      <c r="R263" s="300"/>
      <c r="S263" s="307">
        <v>2.5</v>
      </c>
      <c r="T263" s="300">
        <v>0</v>
      </c>
      <c r="U263" s="305">
        <v>2.5</v>
      </c>
      <c r="V263" s="300"/>
      <c r="W263" s="300"/>
      <c r="X263" s="300"/>
      <c r="Y263" s="119">
        <v>0</v>
      </c>
      <c r="Z263" s="299"/>
      <c r="AA263" s="119"/>
      <c r="AB263" s="119"/>
      <c r="AC263" s="300"/>
      <c r="AD263" s="119">
        <v>0</v>
      </c>
      <c r="AE263" s="299"/>
      <c r="AF263" s="119"/>
      <c r="AG263" s="119"/>
      <c r="AH263" s="300"/>
      <c r="AI263" s="119">
        <v>0</v>
      </c>
      <c r="AJ263" s="299"/>
      <c r="AK263" s="119"/>
      <c r="AL263" s="119"/>
      <c r="AM263" s="300"/>
      <c r="AN263" s="119">
        <v>0</v>
      </c>
      <c r="AO263" s="299"/>
      <c r="AP263" s="119"/>
      <c r="AQ263" s="119"/>
      <c r="AR263" s="301"/>
      <c r="AS263" s="119">
        <v>0</v>
      </c>
      <c r="AT263" s="299"/>
      <c r="AU263" s="119"/>
      <c r="AV263" s="119"/>
      <c r="AW263" s="301"/>
      <c r="AX263" s="119">
        <v>0</v>
      </c>
      <c r="AY263" s="299"/>
      <c r="AZ263" s="119"/>
      <c r="BA263" s="119"/>
      <c r="BB263" s="301"/>
      <c r="BC263" s="119">
        <v>0</v>
      </c>
      <c r="BD263" s="299"/>
      <c r="BE263" s="119"/>
      <c r="BF263" s="119"/>
      <c r="BG263" s="301"/>
      <c r="BH263" s="119">
        <v>0</v>
      </c>
      <c r="BI263" s="304"/>
      <c r="BJ263" s="119"/>
      <c r="BK263" s="119"/>
      <c r="BL263" s="119"/>
      <c r="BM263" s="119"/>
      <c r="BN263" s="299"/>
      <c r="BO263" s="119"/>
      <c r="BP263" s="119"/>
      <c r="BQ263" s="119"/>
      <c r="BR263" s="119"/>
      <c r="BS263" s="299"/>
      <c r="BT263" s="299"/>
      <c r="BU263" s="299"/>
      <c r="BV263" s="299"/>
      <c r="BW263" s="122"/>
    </row>
    <row r="264" spans="1:75" s="123" customFormat="1" hidden="1" outlineLevel="4" x14ac:dyDescent="0.5">
      <c r="A264" s="308" t="s">
        <v>423</v>
      </c>
      <c r="B264" s="274"/>
      <c r="C264" s="309"/>
      <c r="D264" s="309"/>
      <c r="E264" s="309"/>
      <c r="F264" s="309"/>
      <c r="G264" s="310"/>
      <c r="H264" s="310"/>
      <c r="I264" s="310"/>
      <c r="J264" s="310"/>
      <c r="K264" s="309"/>
      <c r="L264" s="310"/>
      <c r="M264" s="310"/>
      <c r="N264" s="310"/>
      <c r="O264" s="310">
        <v>0</v>
      </c>
      <c r="P264" s="309"/>
      <c r="Q264" s="310"/>
      <c r="R264" s="310"/>
      <c r="S264" s="316">
        <v>4.2</v>
      </c>
      <c r="T264" s="310">
        <v>0</v>
      </c>
      <c r="U264" s="311">
        <v>4.2</v>
      </c>
      <c r="V264" s="310"/>
      <c r="W264" s="310"/>
      <c r="X264" s="310"/>
      <c r="Y264" s="312">
        <v>0</v>
      </c>
      <c r="Z264" s="309"/>
      <c r="AA264" s="312"/>
      <c r="AB264" s="312"/>
      <c r="AC264" s="310"/>
      <c r="AD264" s="312">
        <v>0</v>
      </c>
      <c r="AE264" s="309"/>
      <c r="AF264" s="312"/>
      <c r="AG264" s="312"/>
      <c r="AH264" s="310"/>
      <c r="AI264" s="312">
        <v>0</v>
      </c>
      <c r="AJ264" s="309"/>
      <c r="AK264" s="312"/>
      <c r="AL264" s="312"/>
      <c r="AM264" s="310"/>
      <c r="AN264" s="312">
        <v>0</v>
      </c>
      <c r="AO264" s="309"/>
      <c r="AP264" s="312"/>
      <c r="AQ264" s="312"/>
      <c r="AR264" s="313"/>
      <c r="AS264" s="312">
        <v>0</v>
      </c>
      <c r="AT264" s="309"/>
      <c r="AU264" s="312"/>
      <c r="AV264" s="312"/>
      <c r="AW264" s="313"/>
      <c r="AX264" s="312">
        <v>0</v>
      </c>
      <c r="AY264" s="309"/>
      <c r="AZ264" s="312"/>
      <c r="BA264" s="312"/>
      <c r="BB264" s="313"/>
      <c r="BC264" s="312">
        <v>0</v>
      </c>
      <c r="BD264" s="309"/>
      <c r="BE264" s="312"/>
      <c r="BF264" s="312"/>
      <c r="BG264" s="313"/>
      <c r="BH264" s="312">
        <v>0</v>
      </c>
      <c r="BI264" s="314"/>
      <c r="BJ264" s="312"/>
      <c r="BK264" s="312"/>
      <c r="BL264" s="312"/>
      <c r="BM264" s="312"/>
      <c r="BN264" s="309"/>
      <c r="BO264" s="312"/>
      <c r="BP264" s="312"/>
      <c r="BQ264" s="312"/>
      <c r="BR264" s="312"/>
      <c r="BS264" s="309"/>
      <c r="BT264" s="309"/>
      <c r="BU264" s="309"/>
      <c r="BV264" s="309"/>
      <c r="BW264" s="122"/>
    </row>
    <row r="265" spans="1:75" s="123" customFormat="1" hidden="1" outlineLevel="3" collapsed="1" x14ac:dyDescent="0.5">
      <c r="A265" s="315" t="s">
        <v>424</v>
      </c>
      <c r="B265" s="251"/>
      <c r="C265" s="299"/>
      <c r="D265" s="299"/>
      <c r="E265" s="299"/>
      <c r="F265" s="299"/>
      <c r="G265" s="300"/>
      <c r="H265" s="300"/>
      <c r="I265" s="300"/>
      <c r="J265" s="300"/>
      <c r="K265" s="299"/>
      <c r="L265" s="300">
        <v>0</v>
      </c>
      <c r="M265" s="300">
        <v>0</v>
      </c>
      <c r="N265" s="300">
        <v>0</v>
      </c>
      <c r="O265" s="300">
        <v>0</v>
      </c>
      <c r="P265" s="299">
        <v>0</v>
      </c>
      <c r="Q265" s="300">
        <v>0</v>
      </c>
      <c r="R265" s="300">
        <v>0</v>
      </c>
      <c r="S265" s="300">
        <v>6.7</v>
      </c>
      <c r="T265" s="300">
        <v>0</v>
      </c>
      <c r="U265" s="299">
        <v>6.7</v>
      </c>
      <c r="V265" s="300">
        <v>0</v>
      </c>
      <c r="W265" s="300">
        <v>0</v>
      </c>
      <c r="X265" s="300">
        <v>0</v>
      </c>
      <c r="Y265" s="119">
        <v>0</v>
      </c>
      <c r="Z265" s="299">
        <v>0</v>
      </c>
      <c r="AA265" s="119">
        <v>0</v>
      </c>
      <c r="AB265" s="119">
        <v>0</v>
      </c>
      <c r="AC265" s="300">
        <v>0</v>
      </c>
      <c r="AD265" s="119">
        <v>0</v>
      </c>
      <c r="AE265" s="299">
        <v>0</v>
      </c>
      <c r="AF265" s="119">
        <v>0</v>
      </c>
      <c r="AG265" s="119">
        <v>8.4</v>
      </c>
      <c r="AH265" s="300">
        <v>0</v>
      </c>
      <c r="AI265" s="119">
        <v>0</v>
      </c>
      <c r="AJ265" s="299">
        <v>8.4</v>
      </c>
      <c r="AK265" s="119">
        <v>0</v>
      </c>
      <c r="AL265" s="119">
        <v>0</v>
      </c>
      <c r="AM265" s="300">
        <v>0</v>
      </c>
      <c r="AN265" s="119">
        <v>0</v>
      </c>
      <c r="AO265" s="299">
        <v>0</v>
      </c>
      <c r="AP265" s="119">
        <v>0</v>
      </c>
      <c r="AQ265" s="119">
        <v>0</v>
      </c>
      <c r="AR265" s="301">
        <v>0</v>
      </c>
      <c r="AS265" s="119">
        <v>0</v>
      </c>
      <c r="AT265" s="299">
        <v>0</v>
      </c>
      <c r="AU265" s="119">
        <v>0</v>
      </c>
      <c r="AV265" s="119">
        <v>0</v>
      </c>
      <c r="AW265" s="301">
        <v>0</v>
      </c>
      <c r="AX265" s="119">
        <v>0</v>
      </c>
      <c r="AY265" s="299">
        <v>0</v>
      </c>
      <c r="AZ265" s="119">
        <v>0</v>
      </c>
      <c r="BA265" s="119">
        <v>0</v>
      </c>
      <c r="BB265" s="301">
        <v>0</v>
      </c>
      <c r="BC265" s="119">
        <v>0</v>
      </c>
      <c r="BD265" s="299">
        <v>0</v>
      </c>
      <c r="BE265" s="119">
        <v>0</v>
      </c>
      <c r="BF265" s="119">
        <v>0</v>
      </c>
      <c r="BG265" s="301">
        <v>0</v>
      </c>
      <c r="BH265" s="119">
        <v>0</v>
      </c>
      <c r="BI265" s="304">
        <v>0</v>
      </c>
      <c r="BJ265" s="119">
        <v>0</v>
      </c>
      <c r="BK265" s="119">
        <v>0</v>
      </c>
      <c r="BL265" s="119">
        <v>0</v>
      </c>
      <c r="BM265" s="119">
        <v>0</v>
      </c>
      <c r="BN265" s="299">
        <v>0</v>
      </c>
      <c r="BO265" s="119">
        <v>0</v>
      </c>
      <c r="BP265" s="119">
        <v>0</v>
      </c>
      <c r="BQ265" s="119">
        <v>0</v>
      </c>
      <c r="BR265" s="119">
        <v>0</v>
      </c>
      <c r="BS265" s="299">
        <v>0</v>
      </c>
      <c r="BT265" s="299">
        <v>0</v>
      </c>
      <c r="BU265" s="299">
        <v>0</v>
      </c>
      <c r="BV265" s="299">
        <v>0</v>
      </c>
      <c r="BW265" s="122"/>
    </row>
    <row r="266" spans="1:75" s="123" customFormat="1" hidden="1" outlineLevel="4" x14ac:dyDescent="0.5">
      <c r="A266" s="298" t="s">
        <v>425</v>
      </c>
      <c r="B266" s="251"/>
      <c r="C266" s="299"/>
      <c r="D266" s="299"/>
      <c r="E266" s="299"/>
      <c r="F266" s="299"/>
      <c r="G266" s="300"/>
      <c r="H266" s="300"/>
      <c r="I266" s="300"/>
      <c r="J266" s="300"/>
      <c r="K266" s="299"/>
      <c r="L266" s="300"/>
      <c r="M266" s="300"/>
      <c r="N266" s="300"/>
      <c r="O266" s="300">
        <v>0</v>
      </c>
      <c r="P266" s="299"/>
      <c r="Q266" s="300"/>
      <c r="R266" s="300"/>
      <c r="S266" s="300"/>
      <c r="T266" s="300">
        <v>0</v>
      </c>
      <c r="U266" s="299"/>
      <c r="V266" s="300"/>
      <c r="W266" s="300"/>
      <c r="X266" s="300"/>
      <c r="Y266" s="119">
        <v>0</v>
      </c>
      <c r="Z266" s="299"/>
      <c r="AA266" s="119"/>
      <c r="AB266" s="119"/>
      <c r="AC266" s="300"/>
      <c r="AD266" s="119">
        <v>0</v>
      </c>
      <c r="AE266" s="299"/>
      <c r="AF266" s="119"/>
      <c r="AG266" s="119"/>
      <c r="AH266" s="300"/>
      <c r="AI266" s="119">
        <v>0</v>
      </c>
      <c r="AJ266" s="299"/>
      <c r="AK266" s="119"/>
      <c r="AL266" s="119"/>
      <c r="AM266" s="300"/>
      <c r="AN266" s="119">
        <v>0</v>
      </c>
      <c r="AO266" s="299"/>
      <c r="AP266" s="119"/>
      <c r="AQ266" s="119"/>
      <c r="AR266" s="301"/>
      <c r="AS266" s="119">
        <v>0</v>
      </c>
      <c r="AT266" s="299"/>
      <c r="AU266" s="119"/>
      <c r="AV266" s="302">
        <v>-7.3</v>
      </c>
      <c r="AW266" s="301"/>
      <c r="AX266" s="119">
        <v>0</v>
      </c>
      <c r="AY266" s="305">
        <v>-7.3</v>
      </c>
      <c r="AZ266" s="119"/>
      <c r="BA266" s="119"/>
      <c r="BB266" s="301"/>
      <c r="BC266" s="119">
        <v>0</v>
      </c>
      <c r="BD266" s="299"/>
      <c r="BE266" s="119"/>
      <c r="BF266" s="119"/>
      <c r="BG266" s="301"/>
      <c r="BH266" s="119">
        <v>0</v>
      </c>
      <c r="BI266" s="304"/>
      <c r="BJ266" s="119"/>
      <c r="BK266" s="119"/>
      <c r="BL266" s="119"/>
      <c r="BM266" s="119"/>
      <c r="BN266" s="299"/>
      <c r="BO266" s="119"/>
      <c r="BP266" s="119"/>
      <c r="BQ266" s="119"/>
      <c r="BR266" s="119"/>
      <c r="BS266" s="299"/>
      <c r="BT266" s="299"/>
      <c r="BU266" s="299"/>
      <c r="BV266" s="299"/>
      <c r="BW266" s="122"/>
    </row>
    <row r="267" spans="1:75" s="123" customFormat="1" hidden="1" outlineLevel="4" x14ac:dyDescent="0.5">
      <c r="A267" s="298" t="s">
        <v>426</v>
      </c>
      <c r="B267" s="251"/>
      <c r="C267" s="299"/>
      <c r="D267" s="299"/>
      <c r="E267" s="299"/>
      <c r="F267" s="299"/>
      <c r="G267" s="300"/>
      <c r="H267" s="300"/>
      <c r="I267" s="300"/>
      <c r="J267" s="300"/>
      <c r="K267" s="299"/>
      <c r="L267" s="300"/>
      <c r="M267" s="300"/>
      <c r="N267" s="300"/>
      <c r="O267" s="300">
        <v>0</v>
      </c>
      <c r="P267" s="299"/>
      <c r="Q267" s="300"/>
      <c r="R267" s="300"/>
      <c r="S267" s="300"/>
      <c r="T267" s="300">
        <v>0</v>
      </c>
      <c r="U267" s="299"/>
      <c r="V267" s="300"/>
      <c r="W267" s="300"/>
      <c r="X267" s="300"/>
      <c r="Y267" s="119">
        <v>0</v>
      </c>
      <c r="Z267" s="299"/>
      <c r="AA267" s="119"/>
      <c r="AB267" s="119"/>
      <c r="AC267" s="300"/>
      <c r="AD267" s="119">
        <v>0</v>
      </c>
      <c r="AE267" s="299"/>
      <c r="AF267" s="119"/>
      <c r="AG267" s="119"/>
      <c r="AH267" s="300"/>
      <c r="AI267" s="119">
        <v>0</v>
      </c>
      <c r="AJ267" s="299"/>
      <c r="AK267" s="302">
        <v>-3.7</v>
      </c>
      <c r="AL267" s="119"/>
      <c r="AM267" s="300"/>
      <c r="AN267" s="119">
        <v>0</v>
      </c>
      <c r="AO267" s="305">
        <v>-3.7</v>
      </c>
      <c r="AP267" s="119"/>
      <c r="AQ267" s="119"/>
      <c r="AR267" s="301"/>
      <c r="AS267" s="119">
        <v>0</v>
      </c>
      <c r="AT267" s="299"/>
      <c r="AU267" s="119"/>
      <c r="AV267" s="119"/>
      <c r="AW267" s="301"/>
      <c r="AX267" s="119">
        <v>0</v>
      </c>
      <c r="AY267" s="299"/>
      <c r="AZ267" s="119"/>
      <c r="BA267" s="119"/>
      <c r="BB267" s="301"/>
      <c r="BC267" s="119">
        <v>0</v>
      </c>
      <c r="BD267" s="299"/>
      <c r="BE267" s="119"/>
      <c r="BF267" s="119"/>
      <c r="BG267" s="301"/>
      <c r="BH267" s="119">
        <v>0</v>
      </c>
      <c r="BI267" s="304"/>
      <c r="BJ267" s="119"/>
      <c r="BK267" s="119"/>
      <c r="BL267" s="119"/>
      <c r="BM267" s="119"/>
      <c r="BN267" s="299"/>
      <c r="BO267" s="119"/>
      <c r="BP267" s="119"/>
      <c r="BQ267" s="119"/>
      <c r="BR267" s="119"/>
      <c r="BS267" s="299"/>
      <c r="BT267" s="299"/>
      <c r="BU267" s="299"/>
      <c r="BV267" s="299"/>
      <c r="BW267" s="122"/>
    </row>
    <row r="268" spans="1:75" s="123" customFormat="1" hidden="1" outlineLevel="4" x14ac:dyDescent="0.5">
      <c r="A268" s="298" t="s">
        <v>427</v>
      </c>
      <c r="B268" s="251"/>
      <c r="C268" s="299"/>
      <c r="D268" s="299"/>
      <c r="E268" s="299"/>
      <c r="F268" s="299"/>
      <c r="G268" s="300"/>
      <c r="H268" s="300"/>
      <c r="I268" s="300"/>
      <c r="J268" s="300"/>
      <c r="K268" s="299"/>
      <c r="L268" s="300"/>
      <c r="M268" s="300"/>
      <c r="N268" s="300"/>
      <c r="O268" s="300">
        <v>0</v>
      </c>
      <c r="P268" s="299"/>
      <c r="Q268" s="300"/>
      <c r="R268" s="300"/>
      <c r="S268" s="300"/>
      <c r="T268" s="300">
        <v>0</v>
      </c>
      <c r="U268" s="299"/>
      <c r="V268" s="300"/>
      <c r="W268" s="300"/>
      <c r="X268" s="300"/>
      <c r="Y268" s="119">
        <v>0</v>
      </c>
      <c r="Z268" s="299"/>
      <c r="AA268" s="119"/>
      <c r="AB268" s="119"/>
      <c r="AC268" s="300"/>
      <c r="AD268" s="119">
        <v>0</v>
      </c>
      <c r="AE268" s="299"/>
      <c r="AF268" s="119"/>
      <c r="AG268" s="119"/>
      <c r="AH268" s="300"/>
      <c r="AI268" s="119">
        <v>0</v>
      </c>
      <c r="AJ268" s="299"/>
      <c r="AK268" s="119"/>
      <c r="AL268" s="119"/>
      <c r="AM268" s="300"/>
      <c r="AN268" s="119">
        <v>-4.7</v>
      </c>
      <c r="AO268" s="305">
        <v>-4.7</v>
      </c>
      <c r="AP268" s="119"/>
      <c r="AQ268" s="119"/>
      <c r="AR268" s="301"/>
      <c r="AS268" s="119">
        <v>0</v>
      </c>
      <c r="AT268" s="299"/>
      <c r="AU268" s="119"/>
      <c r="AV268" s="119"/>
      <c r="AW268" s="301"/>
      <c r="AX268" s="119">
        <v>0</v>
      </c>
      <c r="AY268" s="299"/>
      <c r="AZ268" s="119"/>
      <c r="BA268" s="119"/>
      <c r="BB268" s="301"/>
      <c r="BC268" s="119">
        <v>0</v>
      </c>
      <c r="BD268" s="299"/>
      <c r="BE268" s="119"/>
      <c r="BF268" s="119"/>
      <c r="BG268" s="301"/>
      <c r="BH268" s="119">
        <v>0</v>
      </c>
      <c r="BI268" s="304"/>
      <c r="BJ268" s="119"/>
      <c r="BK268" s="119"/>
      <c r="BL268" s="119"/>
      <c r="BM268" s="119"/>
      <c r="BN268" s="299"/>
      <c r="BO268" s="119"/>
      <c r="BP268" s="119"/>
      <c r="BQ268" s="119"/>
      <c r="BR268" s="119"/>
      <c r="BS268" s="299"/>
      <c r="BT268" s="299"/>
      <c r="BU268" s="299"/>
      <c r="BV268" s="299"/>
      <c r="BW268" s="122"/>
    </row>
    <row r="269" spans="1:75" s="123" customFormat="1" hidden="1" outlineLevel="4" x14ac:dyDescent="0.5">
      <c r="A269" s="308" t="s">
        <v>428</v>
      </c>
      <c r="B269" s="274"/>
      <c r="C269" s="309"/>
      <c r="D269" s="309"/>
      <c r="E269" s="309"/>
      <c r="F269" s="309"/>
      <c r="G269" s="310"/>
      <c r="H269" s="310"/>
      <c r="I269" s="310"/>
      <c r="J269" s="310"/>
      <c r="K269" s="309"/>
      <c r="L269" s="310"/>
      <c r="M269" s="310"/>
      <c r="N269" s="310"/>
      <c r="O269" s="310">
        <v>0</v>
      </c>
      <c r="P269" s="309"/>
      <c r="Q269" s="310"/>
      <c r="R269" s="310"/>
      <c r="S269" s="310"/>
      <c r="T269" s="310">
        <v>0</v>
      </c>
      <c r="U269" s="309"/>
      <c r="V269" s="310"/>
      <c r="W269" s="310"/>
      <c r="X269" s="310"/>
      <c r="Y269" s="312">
        <v>0</v>
      </c>
      <c r="Z269" s="309"/>
      <c r="AA269" s="312"/>
      <c r="AB269" s="312"/>
      <c r="AC269" s="310"/>
      <c r="AD269" s="312">
        <v>-2.5</v>
      </c>
      <c r="AE269" s="311">
        <v>-2.5</v>
      </c>
      <c r="AF269" s="312"/>
      <c r="AG269" s="312"/>
      <c r="AH269" s="310"/>
      <c r="AI269" s="312">
        <v>0</v>
      </c>
      <c r="AJ269" s="309"/>
      <c r="AK269" s="312"/>
      <c r="AL269" s="312"/>
      <c r="AM269" s="310"/>
      <c r="AN269" s="312">
        <v>0</v>
      </c>
      <c r="AO269" s="309"/>
      <c r="AP269" s="312"/>
      <c r="AQ269" s="312"/>
      <c r="AR269" s="313"/>
      <c r="AS269" s="312">
        <v>0</v>
      </c>
      <c r="AT269" s="309"/>
      <c r="AU269" s="312"/>
      <c r="AV269" s="312"/>
      <c r="AW269" s="313"/>
      <c r="AX269" s="312">
        <v>0</v>
      </c>
      <c r="AY269" s="309"/>
      <c r="AZ269" s="312"/>
      <c r="BA269" s="312"/>
      <c r="BB269" s="313"/>
      <c r="BC269" s="312">
        <v>0</v>
      </c>
      <c r="BD269" s="309"/>
      <c r="BE269" s="312"/>
      <c r="BF269" s="312"/>
      <c r="BG269" s="313"/>
      <c r="BH269" s="312">
        <v>0</v>
      </c>
      <c r="BI269" s="314"/>
      <c r="BJ269" s="312"/>
      <c r="BK269" s="312"/>
      <c r="BL269" s="312"/>
      <c r="BM269" s="312"/>
      <c r="BN269" s="309"/>
      <c r="BO269" s="312"/>
      <c r="BP269" s="312"/>
      <c r="BQ269" s="312"/>
      <c r="BR269" s="312"/>
      <c r="BS269" s="309"/>
      <c r="BT269" s="309"/>
      <c r="BU269" s="309"/>
      <c r="BV269" s="309"/>
      <c r="BW269" s="122"/>
    </row>
    <row r="270" spans="1:75" s="123" customFormat="1" hidden="1" outlineLevel="3" collapsed="1" x14ac:dyDescent="0.5">
      <c r="A270" s="315" t="s">
        <v>429</v>
      </c>
      <c r="B270" s="251"/>
      <c r="C270" s="299"/>
      <c r="D270" s="299"/>
      <c r="E270" s="299"/>
      <c r="F270" s="299"/>
      <c r="G270" s="300"/>
      <c r="H270" s="300"/>
      <c r="I270" s="300"/>
      <c r="J270" s="300"/>
      <c r="K270" s="299"/>
      <c r="L270" s="300">
        <v>0</v>
      </c>
      <c r="M270" s="300">
        <v>0</v>
      </c>
      <c r="N270" s="300">
        <v>0</v>
      </c>
      <c r="O270" s="300">
        <v>0</v>
      </c>
      <c r="P270" s="299">
        <v>0</v>
      </c>
      <c r="Q270" s="300">
        <v>0</v>
      </c>
      <c r="R270" s="300">
        <v>0</v>
      </c>
      <c r="S270" s="300">
        <v>0</v>
      </c>
      <c r="T270" s="300">
        <v>0</v>
      </c>
      <c r="U270" s="299">
        <v>0</v>
      </c>
      <c r="V270" s="300">
        <v>0</v>
      </c>
      <c r="W270" s="300">
        <v>0</v>
      </c>
      <c r="X270" s="300">
        <v>0</v>
      </c>
      <c r="Y270" s="119">
        <v>0</v>
      </c>
      <c r="Z270" s="299">
        <v>0</v>
      </c>
      <c r="AA270" s="119">
        <v>0</v>
      </c>
      <c r="AB270" s="119">
        <v>0</v>
      </c>
      <c r="AC270" s="300">
        <v>0</v>
      </c>
      <c r="AD270" s="119">
        <v>-2.5</v>
      </c>
      <c r="AE270" s="299">
        <v>-2.5</v>
      </c>
      <c r="AF270" s="119">
        <v>0</v>
      </c>
      <c r="AG270" s="119">
        <v>0</v>
      </c>
      <c r="AH270" s="300">
        <v>0</v>
      </c>
      <c r="AI270" s="119">
        <v>0</v>
      </c>
      <c r="AJ270" s="299">
        <v>0</v>
      </c>
      <c r="AK270" s="119">
        <v>-3.7</v>
      </c>
      <c r="AL270" s="119">
        <v>0</v>
      </c>
      <c r="AM270" s="300">
        <v>0</v>
      </c>
      <c r="AN270" s="119">
        <v>-4.7</v>
      </c>
      <c r="AO270" s="299">
        <v>-8.4</v>
      </c>
      <c r="AP270" s="119">
        <v>0</v>
      </c>
      <c r="AQ270" s="119">
        <v>0</v>
      </c>
      <c r="AR270" s="301">
        <v>0</v>
      </c>
      <c r="AS270" s="119">
        <v>0</v>
      </c>
      <c r="AT270" s="299">
        <v>0</v>
      </c>
      <c r="AU270" s="119">
        <v>0</v>
      </c>
      <c r="AV270" s="119">
        <v>-7.3</v>
      </c>
      <c r="AW270" s="301">
        <v>0</v>
      </c>
      <c r="AX270" s="119">
        <v>0</v>
      </c>
      <c r="AY270" s="299">
        <v>-7.3</v>
      </c>
      <c r="AZ270" s="119">
        <v>0</v>
      </c>
      <c r="BA270" s="119">
        <v>0</v>
      </c>
      <c r="BB270" s="301">
        <v>0</v>
      </c>
      <c r="BC270" s="119">
        <v>0</v>
      </c>
      <c r="BD270" s="299">
        <v>0</v>
      </c>
      <c r="BE270" s="119">
        <v>0</v>
      </c>
      <c r="BF270" s="119">
        <v>0</v>
      </c>
      <c r="BG270" s="301">
        <v>0</v>
      </c>
      <c r="BH270" s="119">
        <v>0</v>
      </c>
      <c r="BI270" s="304">
        <v>0</v>
      </c>
      <c r="BJ270" s="119">
        <v>0</v>
      </c>
      <c r="BK270" s="119">
        <v>0</v>
      </c>
      <c r="BL270" s="119">
        <v>0</v>
      </c>
      <c r="BM270" s="119">
        <v>0</v>
      </c>
      <c r="BN270" s="299">
        <v>0</v>
      </c>
      <c r="BO270" s="119">
        <v>0</v>
      </c>
      <c r="BP270" s="119">
        <v>0</v>
      </c>
      <c r="BQ270" s="119">
        <v>0</v>
      </c>
      <c r="BR270" s="119">
        <v>0</v>
      </c>
      <c r="BS270" s="299">
        <v>0</v>
      </c>
      <c r="BT270" s="299">
        <v>0</v>
      </c>
      <c r="BU270" s="299">
        <v>0</v>
      </c>
      <c r="BV270" s="299">
        <v>0</v>
      </c>
      <c r="BW270" s="122"/>
    </row>
    <row r="271" spans="1:75" s="123" customFormat="1" hidden="1" outlineLevel="3" x14ac:dyDescent="0.5">
      <c r="A271" s="315" t="s">
        <v>430</v>
      </c>
      <c r="B271" s="251"/>
      <c r="C271" s="299"/>
      <c r="D271" s="299"/>
      <c r="E271" s="299"/>
      <c r="F271" s="299"/>
      <c r="G271" s="300"/>
      <c r="H271" s="300"/>
      <c r="I271" s="300"/>
      <c r="J271" s="300"/>
      <c r="K271" s="299"/>
      <c r="L271" s="300"/>
      <c r="M271" s="300"/>
      <c r="N271" s="300"/>
      <c r="O271" s="300">
        <v>0</v>
      </c>
      <c r="P271" s="299"/>
      <c r="Q271" s="300"/>
      <c r="R271" s="300"/>
      <c r="S271" s="300"/>
      <c r="T271" s="300">
        <v>0</v>
      </c>
      <c r="U271" s="299"/>
      <c r="V271" s="300"/>
      <c r="W271" s="300"/>
      <c r="X271" s="300"/>
      <c r="Y271" s="119">
        <v>0</v>
      </c>
      <c r="Z271" s="299"/>
      <c r="AA271" s="119"/>
      <c r="AB271" s="119"/>
      <c r="AC271" s="300"/>
      <c r="AD271" s="119">
        <v>0</v>
      </c>
      <c r="AE271" s="299"/>
      <c r="AF271" s="119"/>
      <c r="AG271" s="119"/>
      <c r="AH271" s="300"/>
      <c r="AI271" s="119">
        <v>0</v>
      </c>
      <c r="AJ271" s="299"/>
      <c r="AK271" s="119"/>
      <c r="AL271" s="119"/>
      <c r="AM271" s="300"/>
      <c r="AN271" s="119">
        <v>0</v>
      </c>
      <c r="AO271" s="299"/>
      <c r="AP271" s="119"/>
      <c r="AQ271" s="119"/>
      <c r="AR271" s="301"/>
      <c r="AS271" s="119">
        <v>0</v>
      </c>
      <c r="AT271" s="299"/>
      <c r="AU271" s="119"/>
      <c r="AV271" s="119"/>
      <c r="AW271" s="301"/>
      <c r="AX271" s="119">
        <v>0</v>
      </c>
      <c r="AY271" s="299"/>
      <c r="AZ271" s="119"/>
      <c r="BA271" s="119"/>
      <c r="BB271" s="301"/>
      <c r="BC271" s="119">
        <v>0</v>
      </c>
      <c r="BD271" s="299"/>
      <c r="BE271" s="119"/>
      <c r="BF271" s="119"/>
      <c r="BG271" s="301"/>
      <c r="BH271" s="119">
        <v>0</v>
      </c>
      <c r="BI271" s="304"/>
      <c r="BJ271" s="302">
        <v>0</v>
      </c>
      <c r="BK271" s="302">
        <v>0</v>
      </c>
      <c r="BL271" s="302">
        <v>0</v>
      </c>
      <c r="BM271" s="302">
        <v>0</v>
      </c>
      <c r="BN271" s="299">
        <v>0</v>
      </c>
      <c r="BO271" s="302">
        <v>0</v>
      </c>
      <c r="BP271" s="302">
        <v>0</v>
      </c>
      <c r="BQ271" s="302">
        <v>0</v>
      </c>
      <c r="BR271" s="302">
        <v>0</v>
      </c>
      <c r="BS271" s="299">
        <v>0</v>
      </c>
      <c r="BT271" s="305">
        <v>0</v>
      </c>
      <c r="BU271" s="305">
        <v>0</v>
      </c>
      <c r="BV271" s="305">
        <v>0</v>
      </c>
      <c r="BW271" s="122"/>
    </row>
    <row r="272" spans="1:75" s="123" customFormat="1" hidden="1" outlineLevel="3" x14ac:dyDescent="0.5">
      <c r="A272" s="317" t="s">
        <v>431</v>
      </c>
      <c r="B272" s="318"/>
      <c r="C272" s="319"/>
      <c r="D272" s="319"/>
      <c r="E272" s="319"/>
      <c r="F272" s="319"/>
      <c r="G272" s="320"/>
      <c r="H272" s="320"/>
      <c r="I272" s="320"/>
      <c r="J272" s="320"/>
      <c r="K272" s="319"/>
      <c r="L272" s="320">
        <v>0</v>
      </c>
      <c r="M272" s="320">
        <v>0</v>
      </c>
      <c r="N272" s="320">
        <v>0</v>
      </c>
      <c r="O272" s="320">
        <v>0</v>
      </c>
      <c r="P272" s="319">
        <v>0</v>
      </c>
      <c r="Q272" s="320">
        <v>0</v>
      </c>
      <c r="R272" s="320">
        <v>0</v>
      </c>
      <c r="S272" s="320">
        <v>6.7</v>
      </c>
      <c r="T272" s="320">
        <v>0</v>
      </c>
      <c r="U272" s="319">
        <v>6.7</v>
      </c>
      <c r="V272" s="320">
        <v>0</v>
      </c>
      <c r="W272" s="320">
        <v>0</v>
      </c>
      <c r="X272" s="320">
        <v>0</v>
      </c>
      <c r="Y272" s="321">
        <v>0</v>
      </c>
      <c r="Z272" s="319">
        <v>0</v>
      </c>
      <c r="AA272" s="321">
        <v>0</v>
      </c>
      <c r="AB272" s="321">
        <v>0</v>
      </c>
      <c r="AC272" s="320">
        <v>0</v>
      </c>
      <c r="AD272" s="321">
        <v>-2.5</v>
      </c>
      <c r="AE272" s="319">
        <v>-2.5</v>
      </c>
      <c r="AF272" s="321">
        <v>0</v>
      </c>
      <c r="AG272" s="321">
        <v>8.4</v>
      </c>
      <c r="AH272" s="320">
        <v>0</v>
      </c>
      <c r="AI272" s="321">
        <v>0</v>
      </c>
      <c r="AJ272" s="319">
        <v>8.4</v>
      </c>
      <c r="AK272" s="321">
        <v>-3.7</v>
      </c>
      <c r="AL272" s="321">
        <v>0</v>
      </c>
      <c r="AM272" s="320">
        <v>0</v>
      </c>
      <c r="AN272" s="321">
        <v>-4.7</v>
      </c>
      <c r="AO272" s="319">
        <v>-8.4</v>
      </c>
      <c r="AP272" s="321">
        <v>0</v>
      </c>
      <c r="AQ272" s="321">
        <v>0</v>
      </c>
      <c r="AR272" s="322">
        <v>0</v>
      </c>
      <c r="AS272" s="321">
        <v>0</v>
      </c>
      <c r="AT272" s="319">
        <v>0</v>
      </c>
      <c r="AU272" s="321">
        <v>0</v>
      </c>
      <c r="AV272" s="321">
        <v>-7.3</v>
      </c>
      <c r="AW272" s="322">
        <v>0</v>
      </c>
      <c r="AX272" s="321">
        <v>0</v>
      </c>
      <c r="AY272" s="319">
        <v>-7.3</v>
      </c>
      <c r="AZ272" s="321">
        <v>0</v>
      </c>
      <c r="BA272" s="321">
        <v>0</v>
      </c>
      <c r="BB272" s="322">
        <v>0</v>
      </c>
      <c r="BC272" s="321">
        <v>0</v>
      </c>
      <c r="BD272" s="319">
        <v>0</v>
      </c>
      <c r="BE272" s="321">
        <v>0</v>
      </c>
      <c r="BF272" s="321">
        <v>0</v>
      </c>
      <c r="BG272" s="322">
        <v>0</v>
      </c>
      <c r="BH272" s="321">
        <v>0</v>
      </c>
      <c r="BI272" s="323">
        <v>0</v>
      </c>
      <c r="BJ272" s="321">
        <v>0</v>
      </c>
      <c r="BK272" s="321">
        <v>0</v>
      </c>
      <c r="BL272" s="321">
        <v>0</v>
      </c>
      <c r="BM272" s="321">
        <v>0</v>
      </c>
      <c r="BN272" s="319">
        <v>0</v>
      </c>
      <c r="BO272" s="321">
        <v>0</v>
      </c>
      <c r="BP272" s="321">
        <v>0</v>
      </c>
      <c r="BQ272" s="321">
        <v>0</v>
      </c>
      <c r="BR272" s="321">
        <v>0</v>
      </c>
      <c r="BS272" s="319">
        <v>0</v>
      </c>
      <c r="BT272" s="319">
        <v>0</v>
      </c>
      <c r="BU272" s="319">
        <v>0</v>
      </c>
      <c r="BV272" s="319">
        <v>0</v>
      </c>
      <c r="BW272" s="122"/>
    </row>
    <row r="273" spans="1:75" s="198" customFormat="1" ht="14.25" hidden="1" outlineLevel="3" x14ac:dyDescent="0.45">
      <c r="A273" s="324" t="s">
        <v>432</v>
      </c>
      <c r="B273" s="277"/>
      <c r="C273" s="325"/>
      <c r="D273" s="325"/>
      <c r="E273" s="325"/>
      <c r="F273" s="325"/>
      <c r="G273" s="326"/>
      <c r="H273" s="326"/>
      <c r="I273" s="326"/>
      <c r="J273" s="326"/>
      <c r="K273" s="325">
        <v>11.400000000000002</v>
      </c>
      <c r="L273" s="326">
        <v>11.400000000000002</v>
      </c>
      <c r="M273" s="326">
        <v>11.400000000000002</v>
      </c>
      <c r="N273" s="326">
        <v>11.400000000000002</v>
      </c>
      <c r="O273" s="326">
        <v>11.400000000000002</v>
      </c>
      <c r="P273" s="325">
        <v>11.400000000000002</v>
      </c>
      <c r="Q273" s="326">
        <v>11.400000000000002</v>
      </c>
      <c r="R273" s="326">
        <v>11.400000000000002</v>
      </c>
      <c r="S273" s="326">
        <v>18.100000000000001</v>
      </c>
      <c r="T273" s="326">
        <v>18.100000000000001</v>
      </c>
      <c r="U273" s="325">
        <v>18.100000000000001</v>
      </c>
      <c r="V273" s="326">
        <v>18.100000000000001</v>
      </c>
      <c r="W273" s="326">
        <v>18.100000000000001</v>
      </c>
      <c r="X273" s="326">
        <v>18.100000000000001</v>
      </c>
      <c r="Y273" s="327">
        <v>18.100000000000001</v>
      </c>
      <c r="Z273" s="325">
        <v>18.100000000000001</v>
      </c>
      <c r="AA273" s="327">
        <v>18.100000000000001</v>
      </c>
      <c r="AB273" s="327">
        <v>18.100000000000001</v>
      </c>
      <c r="AC273" s="326">
        <v>18.100000000000001</v>
      </c>
      <c r="AD273" s="327">
        <v>15.6</v>
      </c>
      <c r="AE273" s="325">
        <v>15.6</v>
      </c>
      <c r="AF273" s="327">
        <v>15.6</v>
      </c>
      <c r="AG273" s="327">
        <v>24</v>
      </c>
      <c r="AH273" s="326">
        <v>24</v>
      </c>
      <c r="AI273" s="327">
        <v>24</v>
      </c>
      <c r="AJ273" s="325">
        <v>24</v>
      </c>
      <c r="AK273" s="327">
        <v>20.3</v>
      </c>
      <c r="AL273" s="327">
        <v>20.3</v>
      </c>
      <c r="AM273" s="326">
        <v>20.3</v>
      </c>
      <c r="AN273" s="327">
        <v>15.6</v>
      </c>
      <c r="AO273" s="325">
        <v>15.6</v>
      </c>
      <c r="AP273" s="327">
        <v>15.6</v>
      </c>
      <c r="AQ273" s="327">
        <v>15.6</v>
      </c>
      <c r="AR273" s="328">
        <v>15.6</v>
      </c>
      <c r="AS273" s="327">
        <v>15.6</v>
      </c>
      <c r="AT273" s="325">
        <v>15.6</v>
      </c>
      <c r="AU273" s="327">
        <v>15.6</v>
      </c>
      <c r="AV273" s="327">
        <v>8.3000000000000007</v>
      </c>
      <c r="AW273" s="328">
        <v>8.3000000000000007</v>
      </c>
      <c r="AX273" s="327">
        <v>8.4</v>
      </c>
      <c r="AY273" s="325">
        <v>8.4</v>
      </c>
      <c r="AZ273" s="327">
        <v>8.4</v>
      </c>
      <c r="BA273" s="327">
        <v>8.4</v>
      </c>
      <c r="BB273" s="328">
        <v>8.4</v>
      </c>
      <c r="BC273" s="327">
        <v>8.4</v>
      </c>
      <c r="BD273" s="325">
        <v>8.4</v>
      </c>
      <c r="BE273" s="327">
        <v>8.4</v>
      </c>
      <c r="BF273" s="327">
        <v>8.4</v>
      </c>
      <c r="BG273" s="328">
        <v>8.4</v>
      </c>
      <c r="BH273" s="327">
        <v>8.4</v>
      </c>
      <c r="BI273" s="329">
        <v>8.4</v>
      </c>
      <c r="BJ273" s="327">
        <v>8.4</v>
      </c>
      <c r="BK273" s="327">
        <v>8.4</v>
      </c>
      <c r="BL273" s="327">
        <v>8.4</v>
      </c>
      <c r="BM273" s="327">
        <v>8.4</v>
      </c>
      <c r="BN273" s="325">
        <v>8.4</v>
      </c>
      <c r="BO273" s="327">
        <v>8.4</v>
      </c>
      <c r="BP273" s="327">
        <v>8.4</v>
      </c>
      <c r="BQ273" s="327">
        <v>8.4</v>
      </c>
      <c r="BR273" s="327">
        <v>8.4</v>
      </c>
      <c r="BS273" s="325">
        <v>8.4</v>
      </c>
      <c r="BT273" s="325">
        <v>8.4</v>
      </c>
      <c r="BU273" s="325">
        <v>8.4</v>
      </c>
      <c r="BV273" s="325">
        <v>8.4</v>
      </c>
      <c r="BW273" s="197"/>
    </row>
    <row r="274" spans="1:75" s="198" customFormat="1" ht="7.5" hidden="1" customHeight="1" outlineLevel="3" x14ac:dyDescent="0.45">
      <c r="A274" s="292"/>
      <c r="B274" s="243"/>
      <c r="C274" s="244"/>
      <c r="D274" s="244"/>
      <c r="E274" s="244"/>
      <c r="F274" s="244"/>
      <c r="G274" s="245"/>
      <c r="H274" s="245"/>
      <c r="I274" s="245"/>
      <c r="J274" s="245"/>
      <c r="K274" s="244"/>
      <c r="L274" s="245"/>
      <c r="M274" s="245"/>
      <c r="N274" s="245"/>
      <c r="O274" s="245"/>
      <c r="P274" s="244"/>
      <c r="Q274" s="245"/>
      <c r="R274" s="245"/>
      <c r="S274" s="245"/>
      <c r="T274" s="245"/>
      <c r="U274" s="244"/>
      <c r="V274" s="245"/>
      <c r="W274" s="245"/>
      <c r="X274" s="245"/>
      <c r="Y274" s="247"/>
      <c r="Z274" s="244"/>
      <c r="AA274" s="247"/>
      <c r="AB274" s="247"/>
      <c r="AC274" s="245"/>
      <c r="AD274" s="247"/>
      <c r="AE274" s="244"/>
      <c r="AF274" s="247"/>
      <c r="AG274" s="247"/>
      <c r="AH274" s="245"/>
      <c r="AI274" s="247"/>
      <c r="AJ274" s="244"/>
      <c r="AK274" s="247"/>
      <c r="AL274" s="247"/>
      <c r="AM274" s="245"/>
      <c r="AN274" s="247"/>
      <c r="AO274" s="244"/>
      <c r="AP274" s="247"/>
      <c r="AQ274" s="247"/>
      <c r="AR274" s="248"/>
      <c r="AS274" s="247"/>
      <c r="AT274" s="244"/>
      <c r="AU274" s="247"/>
      <c r="AV274" s="247"/>
      <c r="AW274" s="248"/>
      <c r="AX274" s="247"/>
      <c r="AY274" s="244"/>
      <c r="AZ274" s="247"/>
      <c r="BA274" s="247"/>
      <c r="BB274" s="248"/>
      <c r="BC274" s="247"/>
      <c r="BD274" s="244"/>
      <c r="BE274" s="247"/>
      <c r="BF274" s="247"/>
      <c r="BG274" s="248"/>
      <c r="BH274" s="247"/>
      <c r="BI274" s="249"/>
      <c r="BJ274" s="247"/>
      <c r="BK274" s="247"/>
      <c r="BL274" s="247"/>
      <c r="BM274" s="247"/>
      <c r="BN274" s="244"/>
      <c r="BO274" s="247"/>
      <c r="BP274" s="247"/>
      <c r="BQ274" s="247"/>
      <c r="BR274" s="247"/>
      <c r="BS274" s="244"/>
      <c r="BT274" s="244"/>
      <c r="BU274" s="244"/>
      <c r="BV274" s="244"/>
      <c r="BW274" s="197"/>
    </row>
    <row r="275" spans="1:75" s="123" customFormat="1" hidden="1" outlineLevel="3" x14ac:dyDescent="0.5">
      <c r="A275" s="354" t="s">
        <v>433</v>
      </c>
      <c r="B275" s="251"/>
      <c r="C275" s="331"/>
      <c r="D275" s="331"/>
      <c r="E275" s="331"/>
      <c r="F275" s="331"/>
      <c r="G275" s="332"/>
      <c r="H275" s="332"/>
      <c r="I275" s="332"/>
      <c r="J275" s="332"/>
      <c r="K275" s="331"/>
      <c r="L275" s="332" t="s">
        <v>279</v>
      </c>
      <c r="M275" s="332" t="s">
        <v>279</v>
      </c>
      <c r="N275" s="332" t="s">
        <v>279</v>
      </c>
      <c r="O275" s="332" t="s">
        <v>279</v>
      </c>
      <c r="P275" s="331" t="s">
        <v>279</v>
      </c>
      <c r="Q275" s="332" t="s">
        <v>279</v>
      </c>
      <c r="R275" s="332" t="s">
        <v>279</v>
      </c>
      <c r="S275" s="332">
        <v>3350</v>
      </c>
      <c r="T275" s="332" t="s">
        <v>279</v>
      </c>
      <c r="U275" s="331">
        <v>3350</v>
      </c>
      <c r="V275" s="332" t="s">
        <v>279</v>
      </c>
      <c r="W275" s="332" t="s">
        <v>279</v>
      </c>
      <c r="X275" s="332" t="s">
        <v>279</v>
      </c>
      <c r="Y275" s="221" t="s">
        <v>279</v>
      </c>
      <c r="Z275" s="331" t="s">
        <v>279</v>
      </c>
      <c r="AA275" s="221" t="s">
        <v>279</v>
      </c>
      <c r="AB275" s="221" t="s">
        <v>279</v>
      </c>
      <c r="AC275" s="332" t="s">
        <v>279</v>
      </c>
      <c r="AD275" s="221" t="s">
        <v>279</v>
      </c>
      <c r="AE275" s="331" t="s">
        <v>279</v>
      </c>
      <c r="AF275" s="221" t="s">
        <v>279</v>
      </c>
      <c r="AG275" s="221">
        <v>4200</v>
      </c>
      <c r="AH275" s="332" t="s">
        <v>279</v>
      </c>
      <c r="AI275" s="221" t="s">
        <v>279</v>
      </c>
      <c r="AJ275" s="331">
        <v>4200</v>
      </c>
      <c r="AK275" s="221" t="s">
        <v>279</v>
      </c>
      <c r="AL275" s="221" t="s">
        <v>279</v>
      </c>
      <c r="AM275" s="332" t="s">
        <v>279</v>
      </c>
      <c r="AN275" s="221" t="s">
        <v>279</v>
      </c>
      <c r="AO275" s="331" t="s">
        <v>279</v>
      </c>
      <c r="AP275" s="221" t="s">
        <v>279</v>
      </c>
      <c r="AQ275" s="221" t="s">
        <v>279</v>
      </c>
      <c r="AR275" s="332" t="s">
        <v>279</v>
      </c>
      <c r="AS275" s="221" t="s">
        <v>279</v>
      </c>
      <c r="AT275" s="331" t="s">
        <v>279</v>
      </c>
      <c r="AU275" s="221" t="s">
        <v>279</v>
      </c>
      <c r="AV275" s="221" t="s">
        <v>279</v>
      </c>
      <c r="AW275" s="332" t="s">
        <v>279</v>
      </c>
      <c r="AX275" s="221" t="s">
        <v>279</v>
      </c>
      <c r="AY275" s="331" t="s">
        <v>279</v>
      </c>
      <c r="AZ275" s="221" t="s">
        <v>279</v>
      </c>
      <c r="BA275" s="221" t="s">
        <v>279</v>
      </c>
      <c r="BB275" s="332" t="s">
        <v>279</v>
      </c>
      <c r="BC275" s="221" t="s">
        <v>279</v>
      </c>
      <c r="BD275" s="331" t="s">
        <v>279</v>
      </c>
      <c r="BE275" s="221" t="s">
        <v>279</v>
      </c>
      <c r="BF275" s="221" t="s">
        <v>279</v>
      </c>
      <c r="BG275" s="332" t="s">
        <v>279</v>
      </c>
      <c r="BH275" s="221" t="s">
        <v>279</v>
      </c>
      <c r="BI275" s="334" t="s">
        <v>279</v>
      </c>
      <c r="BJ275" s="221" t="s">
        <v>279</v>
      </c>
      <c r="BK275" s="221" t="s">
        <v>279</v>
      </c>
      <c r="BL275" s="221" t="s">
        <v>279</v>
      </c>
      <c r="BM275" s="221" t="s">
        <v>279</v>
      </c>
      <c r="BN275" s="331" t="s">
        <v>279</v>
      </c>
      <c r="BO275" s="221" t="s">
        <v>279</v>
      </c>
      <c r="BP275" s="221" t="s">
        <v>279</v>
      </c>
      <c r="BQ275" s="221" t="s">
        <v>279</v>
      </c>
      <c r="BR275" s="221" t="s">
        <v>279</v>
      </c>
      <c r="BS275" s="331" t="s">
        <v>279</v>
      </c>
      <c r="BT275" s="331" t="s">
        <v>279</v>
      </c>
      <c r="BU275" s="331" t="s">
        <v>279</v>
      </c>
      <c r="BV275" s="331" t="s">
        <v>279</v>
      </c>
      <c r="BW275" s="122"/>
    </row>
    <row r="276" spans="1:75" s="217" customFormat="1" hidden="1" outlineLevel="3" x14ac:dyDescent="0.5">
      <c r="A276" s="335" t="s">
        <v>434</v>
      </c>
      <c r="B276" s="336"/>
      <c r="C276" s="337"/>
      <c r="D276" s="337"/>
      <c r="E276" s="337"/>
      <c r="F276" s="337"/>
      <c r="G276" s="338"/>
      <c r="H276" s="338"/>
      <c r="I276" s="338"/>
      <c r="J276" s="338"/>
      <c r="K276" s="337"/>
      <c r="L276" s="338">
        <v>0</v>
      </c>
      <c r="M276" s="338">
        <v>0</v>
      </c>
      <c r="N276" s="338">
        <v>0</v>
      </c>
      <c r="O276" s="338">
        <v>0</v>
      </c>
      <c r="P276" s="337">
        <v>0</v>
      </c>
      <c r="Q276" s="338">
        <v>0</v>
      </c>
      <c r="R276" s="338">
        <v>0</v>
      </c>
      <c r="S276" s="338">
        <v>0.88157894736842091</v>
      </c>
      <c r="T276" s="338">
        <v>0</v>
      </c>
      <c r="U276" s="337">
        <v>0.88157894736842091</v>
      </c>
      <c r="V276" s="338">
        <v>0</v>
      </c>
      <c r="W276" s="338">
        <v>0</v>
      </c>
      <c r="X276" s="338">
        <v>0</v>
      </c>
      <c r="Y276" s="214">
        <v>0</v>
      </c>
      <c r="Z276" s="337">
        <v>0</v>
      </c>
      <c r="AA276" s="214">
        <v>0</v>
      </c>
      <c r="AB276" s="214">
        <v>0</v>
      </c>
      <c r="AC276" s="338">
        <v>0</v>
      </c>
      <c r="AD276" s="214">
        <v>0</v>
      </c>
      <c r="AE276" s="337">
        <v>0</v>
      </c>
      <c r="AF276" s="214">
        <v>0</v>
      </c>
      <c r="AG276" s="214">
        <v>1.0769230769230769</v>
      </c>
      <c r="AH276" s="338">
        <v>0</v>
      </c>
      <c r="AI276" s="214">
        <v>0</v>
      </c>
      <c r="AJ276" s="337">
        <v>1.0769230769230769</v>
      </c>
      <c r="AK276" s="214">
        <v>0</v>
      </c>
      <c r="AL276" s="214">
        <v>0</v>
      </c>
      <c r="AM276" s="338">
        <v>0</v>
      </c>
      <c r="AN276" s="214">
        <v>0</v>
      </c>
      <c r="AO276" s="337">
        <v>0</v>
      </c>
      <c r="AP276" s="214">
        <v>0</v>
      </c>
      <c r="AQ276" s="214">
        <v>0</v>
      </c>
      <c r="AR276" s="338">
        <v>0</v>
      </c>
      <c r="AS276" s="214">
        <v>0</v>
      </c>
      <c r="AT276" s="337">
        <v>0</v>
      </c>
      <c r="AU276" s="214">
        <v>0</v>
      </c>
      <c r="AV276" s="214">
        <v>0</v>
      </c>
      <c r="AW276" s="338">
        <v>0</v>
      </c>
      <c r="AX276" s="214">
        <v>0</v>
      </c>
      <c r="AY276" s="337">
        <v>0</v>
      </c>
      <c r="AZ276" s="214">
        <v>0</v>
      </c>
      <c r="BA276" s="214">
        <v>0</v>
      </c>
      <c r="BB276" s="338">
        <v>0</v>
      </c>
      <c r="BC276" s="214">
        <v>0</v>
      </c>
      <c r="BD276" s="337">
        <v>0</v>
      </c>
      <c r="BE276" s="214">
        <v>0</v>
      </c>
      <c r="BF276" s="214">
        <v>0</v>
      </c>
      <c r="BG276" s="338">
        <v>0</v>
      </c>
      <c r="BH276" s="214">
        <v>0</v>
      </c>
      <c r="BI276" s="340">
        <v>0</v>
      </c>
      <c r="BJ276" s="341">
        <v>1</v>
      </c>
      <c r="BK276" s="341">
        <v>1.5</v>
      </c>
      <c r="BL276" s="341">
        <v>1</v>
      </c>
      <c r="BM276" s="341">
        <v>1</v>
      </c>
      <c r="BN276" s="337">
        <v>0</v>
      </c>
      <c r="BO276" s="341">
        <v>1</v>
      </c>
      <c r="BP276" s="341">
        <v>1.5</v>
      </c>
      <c r="BQ276" s="341">
        <v>1</v>
      </c>
      <c r="BR276" s="341">
        <v>1</v>
      </c>
      <c r="BS276" s="337">
        <v>0</v>
      </c>
      <c r="BT276" s="342">
        <v>1</v>
      </c>
      <c r="BU276" s="342">
        <v>1</v>
      </c>
      <c r="BV276" s="342">
        <v>1</v>
      </c>
      <c r="BW276" s="216"/>
    </row>
    <row r="277" spans="1:75" s="123" customFormat="1" hidden="1" outlineLevel="3" x14ac:dyDescent="0.5">
      <c r="A277" s="354" t="s">
        <v>435</v>
      </c>
      <c r="B277" s="251"/>
      <c r="C277" s="331"/>
      <c r="D277" s="331"/>
      <c r="E277" s="331"/>
      <c r="F277" s="331"/>
      <c r="G277" s="332"/>
      <c r="H277" s="332"/>
      <c r="I277" s="332"/>
      <c r="J277" s="332"/>
      <c r="K277" s="331"/>
      <c r="L277" s="332" t="s">
        <v>279</v>
      </c>
      <c r="M277" s="332" t="s">
        <v>279</v>
      </c>
      <c r="N277" s="332" t="s">
        <v>279</v>
      </c>
      <c r="O277" s="332" t="s">
        <v>279</v>
      </c>
      <c r="P277" s="331" t="s">
        <v>279</v>
      </c>
      <c r="Q277" s="332" t="s">
        <v>279</v>
      </c>
      <c r="R277" s="332" t="s">
        <v>279</v>
      </c>
      <c r="S277" s="332" t="s">
        <v>279</v>
      </c>
      <c r="T277" s="332" t="s">
        <v>279</v>
      </c>
      <c r="U277" s="331" t="s">
        <v>279</v>
      </c>
      <c r="V277" s="332" t="s">
        <v>279</v>
      </c>
      <c r="W277" s="332" t="s">
        <v>279</v>
      </c>
      <c r="X277" s="332" t="s">
        <v>279</v>
      </c>
      <c r="Y277" s="221" t="s">
        <v>279</v>
      </c>
      <c r="Z277" s="331" t="s">
        <v>279</v>
      </c>
      <c r="AA277" s="221" t="s">
        <v>279</v>
      </c>
      <c r="AB277" s="221" t="s">
        <v>279</v>
      </c>
      <c r="AC277" s="332" t="s">
        <v>279</v>
      </c>
      <c r="AD277" s="221">
        <v>2500</v>
      </c>
      <c r="AE277" s="331">
        <v>2500</v>
      </c>
      <c r="AF277" s="221" t="s">
        <v>279</v>
      </c>
      <c r="AG277" s="221" t="s">
        <v>279</v>
      </c>
      <c r="AH277" s="332" t="s">
        <v>279</v>
      </c>
      <c r="AI277" s="221" t="s">
        <v>279</v>
      </c>
      <c r="AJ277" s="331" t="s">
        <v>279</v>
      </c>
      <c r="AK277" s="221">
        <v>3700</v>
      </c>
      <c r="AL277" s="221" t="s">
        <v>279</v>
      </c>
      <c r="AM277" s="332" t="s">
        <v>279</v>
      </c>
      <c r="AN277" s="221">
        <v>4700</v>
      </c>
      <c r="AO277" s="331">
        <v>4200</v>
      </c>
      <c r="AP277" s="221" t="s">
        <v>279</v>
      </c>
      <c r="AQ277" s="221" t="s">
        <v>279</v>
      </c>
      <c r="AR277" s="332" t="s">
        <v>279</v>
      </c>
      <c r="AS277" s="221" t="s">
        <v>279</v>
      </c>
      <c r="AT277" s="331" t="s">
        <v>279</v>
      </c>
      <c r="AU277" s="221" t="s">
        <v>279</v>
      </c>
      <c r="AV277" s="221">
        <v>7300</v>
      </c>
      <c r="AW277" s="332" t="s">
        <v>279</v>
      </c>
      <c r="AX277" s="221" t="s">
        <v>279</v>
      </c>
      <c r="AY277" s="331">
        <v>7300</v>
      </c>
      <c r="AZ277" s="221" t="s">
        <v>279</v>
      </c>
      <c r="BA277" s="221" t="s">
        <v>279</v>
      </c>
      <c r="BB277" s="332" t="s">
        <v>279</v>
      </c>
      <c r="BC277" s="221" t="s">
        <v>279</v>
      </c>
      <c r="BD277" s="331" t="s">
        <v>279</v>
      </c>
      <c r="BE277" s="221" t="s">
        <v>279</v>
      </c>
      <c r="BF277" s="221" t="s">
        <v>279</v>
      </c>
      <c r="BG277" s="332" t="s">
        <v>279</v>
      </c>
      <c r="BH277" s="221" t="s">
        <v>279</v>
      </c>
      <c r="BI277" s="334" t="s">
        <v>279</v>
      </c>
      <c r="BJ277" s="221" t="s">
        <v>279</v>
      </c>
      <c r="BK277" s="221" t="s">
        <v>279</v>
      </c>
      <c r="BL277" s="221" t="s">
        <v>279</v>
      </c>
      <c r="BM277" s="221" t="s">
        <v>279</v>
      </c>
      <c r="BN277" s="331" t="s">
        <v>279</v>
      </c>
      <c r="BO277" s="221" t="s">
        <v>279</v>
      </c>
      <c r="BP277" s="221" t="s">
        <v>279</v>
      </c>
      <c r="BQ277" s="221" t="s">
        <v>279</v>
      </c>
      <c r="BR277" s="221" t="s">
        <v>279</v>
      </c>
      <c r="BS277" s="331" t="s">
        <v>279</v>
      </c>
      <c r="BT277" s="331" t="s">
        <v>279</v>
      </c>
      <c r="BU277" s="331" t="s">
        <v>279</v>
      </c>
      <c r="BV277" s="331" t="s">
        <v>279</v>
      </c>
      <c r="BW277" s="122"/>
    </row>
    <row r="278" spans="1:75" s="217" customFormat="1" hidden="1" outlineLevel="3" x14ac:dyDescent="0.5">
      <c r="A278" s="335" t="s">
        <v>436</v>
      </c>
      <c r="B278" s="336"/>
      <c r="C278" s="337"/>
      <c r="D278" s="337"/>
      <c r="E278" s="337"/>
      <c r="F278" s="337"/>
      <c r="G278" s="338"/>
      <c r="H278" s="338"/>
      <c r="I278" s="338"/>
      <c r="J278" s="338"/>
      <c r="K278" s="337"/>
      <c r="L278" s="338">
        <v>0</v>
      </c>
      <c r="M278" s="338">
        <v>0</v>
      </c>
      <c r="N278" s="338">
        <v>0</v>
      </c>
      <c r="O278" s="338">
        <v>0</v>
      </c>
      <c r="P278" s="337">
        <v>0</v>
      </c>
      <c r="Q278" s="338">
        <v>0</v>
      </c>
      <c r="R278" s="338">
        <v>0</v>
      </c>
      <c r="S278" s="338">
        <v>0</v>
      </c>
      <c r="T278" s="338">
        <v>0</v>
      </c>
      <c r="U278" s="337">
        <v>0</v>
      </c>
      <c r="V278" s="338">
        <v>0</v>
      </c>
      <c r="W278" s="338">
        <v>0</v>
      </c>
      <c r="X278" s="338">
        <v>0</v>
      </c>
      <c r="Y278" s="214">
        <v>0</v>
      </c>
      <c r="Z278" s="337">
        <v>0</v>
      </c>
      <c r="AA278" s="214">
        <v>0</v>
      </c>
      <c r="AB278" s="214">
        <v>0</v>
      </c>
      <c r="AC278" s="338">
        <v>0</v>
      </c>
      <c r="AD278" s="214">
        <v>0.69060773480662985</v>
      </c>
      <c r="AE278" s="337">
        <v>0.69060773480662985</v>
      </c>
      <c r="AF278" s="214">
        <v>0</v>
      </c>
      <c r="AG278" s="214">
        <v>0</v>
      </c>
      <c r="AH278" s="338">
        <v>0</v>
      </c>
      <c r="AI278" s="214">
        <v>0</v>
      </c>
      <c r="AJ278" s="337">
        <v>0</v>
      </c>
      <c r="AK278" s="214">
        <v>0.92500000000000004</v>
      </c>
      <c r="AL278" s="214">
        <v>0</v>
      </c>
      <c r="AM278" s="338">
        <v>0</v>
      </c>
      <c r="AN278" s="214">
        <v>1.1576354679802956</v>
      </c>
      <c r="AO278" s="337">
        <v>1.05</v>
      </c>
      <c r="AP278" s="214">
        <v>0</v>
      </c>
      <c r="AQ278" s="214">
        <v>0</v>
      </c>
      <c r="AR278" s="338">
        <v>0</v>
      </c>
      <c r="AS278" s="214">
        <v>0</v>
      </c>
      <c r="AT278" s="337">
        <v>0</v>
      </c>
      <c r="AU278" s="214">
        <v>0</v>
      </c>
      <c r="AV278" s="214">
        <v>1.8717948717948718</v>
      </c>
      <c r="AW278" s="338">
        <v>0</v>
      </c>
      <c r="AX278" s="214">
        <v>0</v>
      </c>
      <c r="AY278" s="337">
        <v>1.8717948717948718</v>
      </c>
      <c r="AZ278" s="214">
        <v>0</v>
      </c>
      <c r="BA278" s="214">
        <v>0</v>
      </c>
      <c r="BB278" s="338">
        <v>0</v>
      </c>
      <c r="BC278" s="214">
        <v>0</v>
      </c>
      <c r="BD278" s="337">
        <v>0</v>
      </c>
      <c r="BE278" s="214">
        <v>0</v>
      </c>
      <c r="BF278" s="214">
        <v>0</v>
      </c>
      <c r="BG278" s="338">
        <v>0</v>
      </c>
      <c r="BH278" s="214">
        <v>0</v>
      </c>
      <c r="BI278" s="340">
        <v>0</v>
      </c>
      <c r="BJ278" s="341">
        <v>1</v>
      </c>
      <c r="BK278" s="341">
        <v>1</v>
      </c>
      <c r="BL278" s="341">
        <v>1</v>
      </c>
      <c r="BM278" s="341">
        <v>1</v>
      </c>
      <c r="BN278" s="337">
        <v>0</v>
      </c>
      <c r="BO278" s="341">
        <v>1</v>
      </c>
      <c r="BP278" s="341">
        <v>1</v>
      </c>
      <c r="BQ278" s="341">
        <v>1</v>
      </c>
      <c r="BR278" s="341">
        <v>1</v>
      </c>
      <c r="BS278" s="337">
        <v>0</v>
      </c>
      <c r="BT278" s="342">
        <v>1</v>
      </c>
      <c r="BU278" s="342">
        <v>1</v>
      </c>
      <c r="BV278" s="342">
        <v>1</v>
      </c>
      <c r="BW278" s="216"/>
    </row>
    <row r="279" spans="1:75" s="198" customFormat="1" ht="14.25" hidden="1" outlineLevel="3" x14ac:dyDescent="0.45">
      <c r="A279" s="324" t="s">
        <v>437</v>
      </c>
      <c r="B279" s="277"/>
      <c r="C279" s="344"/>
      <c r="D279" s="344"/>
      <c r="E279" s="344"/>
      <c r="F279" s="344"/>
      <c r="G279" s="345"/>
      <c r="H279" s="345"/>
      <c r="I279" s="345"/>
      <c r="J279" s="345"/>
      <c r="K279" s="344">
        <v>3800.0000000000005</v>
      </c>
      <c r="L279" s="345">
        <v>3800.0000000000005</v>
      </c>
      <c r="M279" s="345">
        <v>3800.0000000000005</v>
      </c>
      <c r="N279" s="345">
        <v>3800.0000000000005</v>
      </c>
      <c r="O279" s="345">
        <v>3800.0000000000005</v>
      </c>
      <c r="P279" s="344">
        <v>3800.0000000000005</v>
      </c>
      <c r="Q279" s="345">
        <v>3800.0000000000005</v>
      </c>
      <c r="R279" s="345">
        <v>3800.0000000000005</v>
      </c>
      <c r="S279" s="345">
        <v>3620</v>
      </c>
      <c r="T279" s="345">
        <v>3620</v>
      </c>
      <c r="U279" s="344">
        <v>3620</v>
      </c>
      <c r="V279" s="345">
        <v>3620</v>
      </c>
      <c r="W279" s="345">
        <v>3620</v>
      </c>
      <c r="X279" s="345">
        <v>3620</v>
      </c>
      <c r="Y279" s="346">
        <v>3620</v>
      </c>
      <c r="Z279" s="344">
        <v>3620</v>
      </c>
      <c r="AA279" s="346">
        <v>3620</v>
      </c>
      <c r="AB279" s="346">
        <v>3620</v>
      </c>
      <c r="AC279" s="345">
        <v>3620</v>
      </c>
      <c r="AD279" s="346">
        <v>3900</v>
      </c>
      <c r="AE279" s="344">
        <v>3900</v>
      </c>
      <c r="AF279" s="346">
        <v>3900</v>
      </c>
      <c r="AG279" s="346">
        <v>4000</v>
      </c>
      <c r="AH279" s="345">
        <v>4000</v>
      </c>
      <c r="AI279" s="346">
        <v>4000</v>
      </c>
      <c r="AJ279" s="344">
        <v>4000</v>
      </c>
      <c r="AK279" s="346">
        <v>4060</v>
      </c>
      <c r="AL279" s="346">
        <v>4060</v>
      </c>
      <c r="AM279" s="345">
        <v>4060</v>
      </c>
      <c r="AN279" s="346">
        <v>3900</v>
      </c>
      <c r="AO279" s="344">
        <v>3900</v>
      </c>
      <c r="AP279" s="346">
        <v>3900</v>
      </c>
      <c r="AQ279" s="346">
        <v>3900</v>
      </c>
      <c r="AR279" s="345">
        <v>3900</v>
      </c>
      <c r="AS279" s="346">
        <v>3900</v>
      </c>
      <c r="AT279" s="344">
        <v>3900</v>
      </c>
      <c r="AU279" s="346">
        <v>3900</v>
      </c>
      <c r="AV279" s="346">
        <v>2766.6666666666665</v>
      </c>
      <c r="AW279" s="345">
        <v>2766.6666666666665</v>
      </c>
      <c r="AX279" s="346">
        <v>2800</v>
      </c>
      <c r="AY279" s="344">
        <v>2800</v>
      </c>
      <c r="AZ279" s="346">
        <v>2800</v>
      </c>
      <c r="BA279" s="346">
        <v>2800</v>
      </c>
      <c r="BB279" s="345">
        <v>2800</v>
      </c>
      <c r="BC279" s="346">
        <v>2800</v>
      </c>
      <c r="BD279" s="344">
        <v>2800</v>
      </c>
      <c r="BE279" s="346">
        <v>2800</v>
      </c>
      <c r="BF279" s="346">
        <v>2800</v>
      </c>
      <c r="BG279" s="345">
        <v>2800</v>
      </c>
      <c r="BH279" s="346">
        <v>2800</v>
      </c>
      <c r="BI279" s="348">
        <v>2800</v>
      </c>
      <c r="BJ279" s="346">
        <v>2800</v>
      </c>
      <c r="BK279" s="346">
        <v>2800</v>
      </c>
      <c r="BL279" s="346">
        <v>2800</v>
      </c>
      <c r="BM279" s="346">
        <v>2800</v>
      </c>
      <c r="BN279" s="344">
        <v>2800</v>
      </c>
      <c r="BO279" s="346">
        <v>2800</v>
      </c>
      <c r="BP279" s="346">
        <v>2800</v>
      </c>
      <c r="BQ279" s="346">
        <v>2800</v>
      </c>
      <c r="BR279" s="346">
        <v>2800</v>
      </c>
      <c r="BS279" s="344">
        <v>2800</v>
      </c>
      <c r="BT279" s="344">
        <v>2800</v>
      </c>
      <c r="BU279" s="344">
        <v>2800</v>
      </c>
      <c r="BV279" s="344">
        <v>2800</v>
      </c>
      <c r="BW279" s="197"/>
    </row>
    <row r="280" spans="1:75" s="198" customFormat="1" ht="14.25" hidden="1" outlineLevel="3" x14ac:dyDescent="0.45">
      <c r="A280" s="292"/>
      <c r="B280" s="243"/>
      <c r="C280" s="244"/>
      <c r="D280" s="244"/>
      <c r="E280" s="244"/>
      <c r="F280" s="244"/>
      <c r="G280" s="245"/>
      <c r="H280" s="245"/>
      <c r="I280" s="245"/>
      <c r="J280" s="245"/>
      <c r="K280" s="244"/>
      <c r="L280" s="245"/>
      <c r="M280" s="245"/>
      <c r="N280" s="245"/>
      <c r="O280" s="245"/>
      <c r="P280" s="244"/>
      <c r="Q280" s="245"/>
      <c r="R280" s="245"/>
      <c r="S280" s="245"/>
      <c r="T280" s="245"/>
      <c r="U280" s="244"/>
      <c r="V280" s="245"/>
      <c r="W280" s="245"/>
      <c r="X280" s="245"/>
      <c r="Y280" s="247"/>
      <c r="Z280" s="244"/>
      <c r="AA280" s="247"/>
      <c r="AB280" s="247"/>
      <c r="AC280" s="245"/>
      <c r="AD280" s="247"/>
      <c r="AE280" s="244"/>
      <c r="AF280" s="247"/>
      <c r="AG280" s="247"/>
      <c r="AH280" s="245"/>
      <c r="AI280" s="247"/>
      <c r="AJ280" s="244"/>
      <c r="AK280" s="247"/>
      <c r="AL280" s="247"/>
      <c r="AM280" s="245"/>
      <c r="AN280" s="247"/>
      <c r="AO280" s="244"/>
      <c r="AP280" s="247"/>
      <c r="AQ280" s="247"/>
      <c r="AR280" s="248"/>
      <c r="AS280" s="247"/>
      <c r="AT280" s="244"/>
      <c r="AU280" s="247"/>
      <c r="AV280" s="247"/>
      <c r="AW280" s="248"/>
      <c r="AX280" s="247"/>
      <c r="AY280" s="244"/>
      <c r="AZ280" s="247"/>
      <c r="BA280" s="247"/>
      <c r="BB280" s="248"/>
      <c r="BC280" s="247"/>
      <c r="BD280" s="244"/>
      <c r="BE280" s="247"/>
      <c r="BF280" s="247"/>
      <c r="BG280" s="248"/>
      <c r="BH280" s="247"/>
      <c r="BI280" s="249"/>
      <c r="BJ280" s="247"/>
      <c r="BK280" s="247"/>
      <c r="BL280" s="247"/>
      <c r="BM280" s="247"/>
      <c r="BN280" s="244"/>
      <c r="BO280" s="247"/>
      <c r="BP280" s="247"/>
      <c r="BQ280" s="247"/>
      <c r="BR280" s="247"/>
      <c r="BS280" s="244"/>
      <c r="BT280" s="244"/>
      <c r="BU280" s="244"/>
      <c r="BV280" s="244"/>
      <c r="BW280" s="197"/>
    </row>
    <row r="281" spans="1:75" s="169" customFormat="1" ht="14.25" hidden="1" outlineLevel="2" collapsed="1" x14ac:dyDescent="0.45">
      <c r="A281" s="163" t="s">
        <v>438</v>
      </c>
      <c r="B281" s="164"/>
      <c r="C281" s="165">
        <v>99</v>
      </c>
      <c r="D281" s="165">
        <v>95</v>
      </c>
      <c r="E281" s="165">
        <v>91</v>
      </c>
      <c r="F281" s="165">
        <v>74</v>
      </c>
      <c r="G281" s="166">
        <v>71</v>
      </c>
      <c r="H281" s="166">
        <v>70</v>
      </c>
      <c r="I281" s="166">
        <v>70</v>
      </c>
      <c r="J281" s="166">
        <v>70</v>
      </c>
      <c r="K281" s="165">
        <v>71</v>
      </c>
      <c r="L281" s="166">
        <v>70</v>
      </c>
      <c r="M281" s="166">
        <v>69</v>
      </c>
      <c r="N281" s="166">
        <v>68</v>
      </c>
      <c r="O281" s="166">
        <v>68</v>
      </c>
      <c r="P281" s="165">
        <v>70</v>
      </c>
      <c r="Q281" s="166">
        <v>67</v>
      </c>
      <c r="R281" s="166">
        <v>67</v>
      </c>
      <c r="S281" s="166">
        <v>67</v>
      </c>
      <c r="T281" s="166">
        <v>68</v>
      </c>
      <c r="U281" s="165">
        <v>67</v>
      </c>
      <c r="V281" s="166">
        <v>69</v>
      </c>
      <c r="W281" s="166">
        <v>69</v>
      </c>
      <c r="X281" s="166">
        <v>69</v>
      </c>
      <c r="Y281" s="166">
        <v>70</v>
      </c>
      <c r="Z281" s="165">
        <v>69</v>
      </c>
      <c r="AA281" s="166">
        <v>70</v>
      </c>
      <c r="AB281" s="166">
        <v>70</v>
      </c>
      <c r="AC281" s="166">
        <v>70</v>
      </c>
      <c r="AD281" s="166">
        <v>69</v>
      </c>
      <c r="AE281" s="165">
        <v>70</v>
      </c>
      <c r="AF281" s="166">
        <v>68</v>
      </c>
      <c r="AG281" s="166">
        <v>69</v>
      </c>
      <c r="AH281" s="166">
        <v>70</v>
      </c>
      <c r="AI281" s="166">
        <v>71</v>
      </c>
      <c r="AJ281" s="165">
        <v>68</v>
      </c>
      <c r="AK281" s="166">
        <v>71</v>
      </c>
      <c r="AL281" s="166">
        <v>70</v>
      </c>
      <c r="AM281" s="166">
        <v>70</v>
      </c>
      <c r="AN281" s="166">
        <v>70</v>
      </c>
      <c r="AO281" s="165">
        <v>71</v>
      </c>
      <c r="AP281" s="166">
        <v>68</v>
      </c>
      <c r="AQ281" s="166">
        <v>69</v>
      </c>
      <c r="AR281" s="166">
        <v>68</v>
      </c>
      <c r="AS281" s="166">
        <v>68</v>
      </c>
      <c r="AT281" s="165">
        <v>68</v>
      </c>
      <c r="AU281" s="166">
        <v>68</v>
      </c>
      <c r="AV281" s="166">
        <v>68</v>
      </c>
      <c r="AW281" s="166">
        <v>66</v>
      </c>
      <c r="AX281" s="166">
        <v>66</v>
      </c>
      <c r="AY281" s="165">
        <v>68</v>
      </c>
      <c r="AZ281" s="166">
        <v>67</v>
      </c>
      <c r="BA281" s="166">
        <v>67</v>
      </c>
      <c r="BB281" s="166">
        <v>67</v>
      </c>
      <c r="BC281" s="166">
        <v>67</v>
      </c>
      <c r="BD281" s="165">
        <v>67</v>
      </c>
      <c r="BE281" s="166">
        <v>67</v>
      </c>
      <c r="BF281" s="166">
        <v>67</v>
      </c>
      <c r="BG281" s="166">
        <v>68</v>
      </c>
      <c r="BH281" s="166">
        <v>68</v>
      </c>
      <c r="BI281" s="167">
        <v>67</v>
      </c>
      <c r="BJ281" s="166">
        <v>70</v>
      </c>
      <c r="BK281" s="166">
        <v>72</v>
      </c>
      <c r="BL281" s="166">
        <v>74</v>
      </c>
      <c r="BM281" s="166">
        <v>76</v>
      </c>
      <c r="BN281" s="165">
        <v>70</v>
      </c>
      <c r="BO281" s="166">
        <v>77</v>
      </c>
      <c r="BP281" s="166">
        <v>78</v>
      </c>
      <c r="BQ281" s="166">
        <v>79</v>
      </c>
      <c r="BR281" s="166">
        <v>80</v>
      </c>
      <c r="BS281" s="165">
        <v>77</v>
      </c>
      <c r="BT281" s="165">
        <v>80</v>
      </c>
      <c r="BU281" s="165">
        <v>81</v>
      </c>
      <c r="BV281" s="165">
        <v>81</v>
      </c>
      <c r="BW281" s="168"/>
    </row>
    <row r="282" spans="1:75" s="224" customFormat="1" hidden="1" outlineLevel="2" x14ac:dyDescent="0.5">
      <c r="A282" s="218" t="s">
        <v>439</v>
      </c>
      <c r="B282" s="219"/>
      <c r="C282" s="220">
        <v>0</v>
      </c>
      <c r="D282" s="220">
        <v>4</v>
      </c>
      <c r="E282" s="220">
        <v>5</v>
      </c>
      <c r="F282" s="220">
        <v>5</v>
      </c>
      <c r="G282" s="221">
        <v>2</v>
      </c>
      <c r="H282" s="221">
        <v>0</v>
      </c>
      <c r="I282" s="221">
        <v>0</v>
      </c>
      <c r="J282" s="221">
        <v>0</v>
      </c>
      <c r="K282" s="220">
        <v>2</v>
      </c>
      <c r="L282" s="221">
        <v>0</v>
      </c>
      <c r="M282" s="221">
        <v>1</v>
      </c>
      <c r="N282" s="221">
        <v>1</v>
      </c>
      <c r="O282" s="221">
        <v>1</v>
      </c>
      <c r="P282" s="220">
        <v>3</v>
      </c>
      <c r="Q282" s="221">
        <v>1</v>
      </c>
      <c r="R282" s="221">
        <v>0</v>
      </c>
      <c r="S282" s="221">
        <v>4</v>
      </c>
      <c r="T282" s="221">
        <v>3</v>
      </c>
      <c r="U282" s="220">
        <v>8</v>
      </c>
      <c r="V282" s="221">
        <v>0</v>
      </c>
      <c r="W282" s="221">
        <v>0</v>
      </c>
      <c r="X282" s="221">
        <v>3</v>
      </c>
      <c r="Y282" s="221">
        <v>2</v>
      </c>
      <c r="Z282" s="220">
        <v>5</v>
      </c>
      <c r="AA282" s="221">
        <v>0</v>
      </c>
      <c r="AB282" s="221">
        <v>0</v>
      </c>
      <c r="AC282" s="221">
        <v>1</v>
      </c>
      <c r="AD282" s="221">
        <v>1</v>
      </c>
      <c r="AE282" s="220">
        <v>2</v>
      </c>
      <c r="AF282" s="221">
        <v>2</v>
      </c>
      <c r="AG282" s="221">
        <v>3</v>
      </c>
      <c r="AH282" s="221">
        <v>2</v>
      </c>
      <c r="AI282" s="221">
        <v>0</v>
      </c>
      <c r="AJ282" s="220">
        <v>7</v>
      </c>
      <c r="AK282" s="221">
        <v>0</v>
      </c>
      <c r="AL282" s="221">
        <v>0</v>
      </c>
      <c r="AM282" s="221">
        <v>1</v>
      </c>
      <c r="AN282" s="221">
        <v>1</v>
      </c>
      <c r="AO282" s="220">
        <v>2</v>
      </c>
      <c r="AP282" s="221">
        <v>1</v>
      </c>
      <c r="AQ282" s="221">
        <v>2</v>
      </c>
      <c r="AR282" s="221">
        <v>0</v>
      </c>
      <c r="AS282" s="221">
        <v>0</v>
      </c>
      <c r="AT282" s="220">
        <v>3</v>
      </c>
      <c r="AU282" s="221">
        <v>0</v>
      </c>
      <c r="AV282" s="221">
        <v>1</v>
      </c>
      <c r="AW282" s="221">
        <v>1</v>
      </c>
      <c r="AX282" s="221">
        <v>1</v>
      </c>
      <c r="AY282" s="220">
        <v>3</v>
      </c>
      <c r="AZ282" s="221">
        <v>0</v>
      </c>
      <c r="BA282" s="221">
        <v>1</v>
      </c>
      <c r="BB282" s="221">
        <v>0</v>
      </c>
      <c r="BC282" s="221">
        <v>0</v>
      </c>
      <c r="BD282" s="220">
        <v>1</v>
      </c>
      <c r="BE282" s="221">
        <v>1</v>
      </c>
      <c r="BF282" s="221">
        <v>1</v>
      </c>
      <c r="BG282" s="221">
        <v>0</v>
      </c>
      <c r="BH282" s="221">
        <v>3</v>
      </c>
      <c r="BI282" s="222">
        <v>5</v>
      </c>
      <c r="BJ282" s="221">
        <v>2</v>
      </c>
      <c r="BK282" s="221">
        <v>2</v>
      </c>
      <c r="BL282" s="221">
        <v>2</v>
      </c>
      <c r="BM282" s="221">
        <v>1</v>
      </c>
      <c r="BN282" s="220">
        <v>7</v>
      </c>
      <c r="BO282" s="221">
        <v>1</v>
      </c>
      <c r="BP282" s="221">
        <v>1</v>
      </c>
      <c r="BQ282" s="221">
        <v>1</v>
      </c>
      <c r="BR282" s="221">
        <v>0</v>
      </c>
      <c r="BS282" s="220">
        <v>3</v>
      </c>
      <c r="BT282" s="220">
        <v>1</v>
      </c>
      <c r="BU282" s="220">
        <v>0</v>
      </c>
      <c r="BV282" s="220">
        <v>0</v>
      </c>
      <c r="BW282" s="223"/>
    </row>
    <row r="283" spans="1:75" s="224" customFormat="1" hidden="1" outlineLevel="2" x14ac:dyDescent="0.5">
      <c r="A283" s="218" t="s">
        <v>440</v>
      </c>
      <c r="B283" s="219"/>
      <c r="C283" s="220">
        <v>-4</v>
      </c>
      <c r="D283" s="220">
        <v>-8</v>
      </c>
      <c r="E283" s="220">
        <v>-22</v>
      </c>
      <c r="F283" s="220">
        <v>-8</v>
      </c>
      <c r="G283" s="221">
        <v>-3</v>
      </c>
      <c r="H283" s="221">
        <v>0</v>
      </c>
      <c r="I283" s="221">
        <v>0</v>
      </c>
      <c r="J283" s="221">
        <v>0</v>
      </c>
      <c r="K283" s="220">
        <v>-3</v>
      </c>
      <c r="L283" s="221">
        <v>-1</v>
      </c>
      <c r="M283" s="221">
        <v>-2</v>
      </c>
      <c r="N283" s="221">
        <v>-1</v>
      </c>
      <c r="O283" s="221">
        <v>-2</v>
      </c>
      <c r="P283" s="220">
        <v>-6</v>
      </c>
      <c r="Q283" s="221">
        <v>-1</v>
      </c>
      <c r="R283" s="221">
        <v>0</v>
      </c>
      <c r="S283" s="221">
        <v>-3</v>
      </c>
      <c r="T283" s="221">
        <v>-2</v>
      </c>
      <c r="U283" s="220">
        <v>-6</v>
      </c>
      <c r="V283" s="221">
        <v>0</v>
      </c>
      <c r="W283" s="221">
        <v>0</v>
      </c>
      <c r="X283" s="221">
        <v>-2</v>
      </c>
      <c r="Y283" s="221">
        <v>-2</v>
      </c>
      <c r="Z283" s="220">
        <v>-4</v>
      </c>
      <c r="AA283" s="221">
        <v>0</v>
      </c>
      <c r="AB283" s="221">
        <v>0</v>
      </c>
      <c r="AC283" s="221">
        <v>-2</v>
      </c>
      <c r="AD283" s="221">
        <v>-2</v>
      </c>
      <c r="AE283" s="220">
        <v>-4</v>
      </c>
      <c r="AF283" s="221">
        <v>-1</v>
      </c>
      <c r="AG283" s="221">
        <v>-2</v>
      </c>
      <c r="AH283" s="221">
        <v>-1</v>
      </c>
      <c r="AI283" s="221">
        <v>0</v>
      </c>
      <c r="AJ283" s="220">
        <v>-4</v>
      </c>
      <c r="AK283" s="221">
        <v>-1</v>
      </c>
      <c r="AL283" s="221">
        <v>0</v>
      </c>
      <c r="AM283" s="221">
        <v>-1</v>
      </c>
      <c r="AN283" s="221">
        <v>-3</v>
      </c>
      <c r="AO283" s="220">
        <v>-5</v>
      </c>
      <c r="AP283" s="221">
        <v>0</v>
      </c>
      <c r="AQ283" s="221">
        <v>-3</v>
      </c>
      <c r="AR283" s="221">
        <v>0</v>
      </c>
      <c r="AS283" s="221">
        <v>0</v>
      </c>
      <c r="AT283" s="220">
        <v>-3</v>
      </c>
      <c r="AU283" s="221">
        <v>0</v>
      </c>
      <c r="AV283" s="221">
        <v>-3</v>
      </c>
      <c r="AW283" s="221">
        <v>-1</v>
      </c>
      <c r="AX283" s="221">
        <v>0</v>
      </c>
      <c r="AY283" s="220">
        <v>-4</v>
      </c>
      <c r="AZ283" s="221">
        <v>0</v>
      </c>
      <c r="BA283" s="221">
        <v>-1</v>
      </c>
      <c r="BB283" s="221">
        <v>0</v>
      </c>
      <c r="BC283" s="221">
        <v>0</v>
      </c>
      <c r="BD283" s="220">
        <v>-1</v>
      </c>
      <c r="BE283" s="221">
        <v>-1</v>
      </c>
      <c r="BF283" s="221">
        <v>0</v>
      </c>
      <c r="BG283" s="221">
        <v>0</v>
      </c>
      <c r="BH283" s="221">
        <v>-1</v>
      </c>
      <c r="BI283" s="222">
        <v>-2</v>
      </c>
      <c r="BJ283" s="221">
        <v>0</v>
      </c>
      <c r="BK283" s="221">
        <v>0</v>
      </c>
      <c r="BL283" s="221">
        <v>0</v>
      </c>
      <c r="BM283" s="221">
        <v>0</v>
      </c>
      <c r="BN283" s="220">
        <v>0</v>
      </c>
      <c r="BO283" s="221">
        <v>0</v>
      </c>
      <c r="BP283" s="221">
        <v>0</v>
      </c>
      <c r="BQ283" s="221">
        <v>0</v>
      </c>
      <c r="BR283" s="221">
        <v>0</v>
      </c>
      <c r="BS283" s="220">
        <v>0</v>
      </c>
      <c r="BT283" s="220">
        <v>0</v>
      </c>
      <c r="BU283" s="220">
        <v>0</v>
      </c>
      <c r="BV283" s="220">
        <v>0</v>
      </c>
      <c r="BW283" s="223"/>
    </row>
    <row r="284" spans="1:75" s="169" customFormat="1" ht="14.25" hidden="1" outlineLevel="2" x14ac:dyDescent="0.45">
      <c r="A284" s="360" t="s">
        <v>441</v>
      </c>
      <c r="B284" s="361"/>
      <c r="C284" s="362">
        <v>95</v>
      </c>
      <c r="D284" s="362">
        <v>91</v>
      </c>
      <c r="E284" s="362">
        <v>74</v>
      </c>
      <c r="F284" s="362">
        <v>71</v>
      </c>
      <c r="G284" s="346">
        <v>70</v>
      </c>
      <c r="H284" s="346">
        <v>70</v>
      </c>
      <c r="I284" s="346">
        <v>70</v>
      </c>
      <c r="J284" s="346">
        <v>70</v>
      </c>
      <c r="K284" s="362">
        <v>70</v>
      </c>
      <c r="L284" s="346">
        <v>69</v>
      </c>
      <c r="M284" s="346">
        <v>68</v>
      </c>
      <c r="N284" s="346">
        <v>68</v>
      </c>
      <c r="O284" s="346">
        <v>67</v>
      </c>
      <c r="P284" s="362">
        <v>67</v>
      </c>
      <c r="Q284" s="346">
        <v>67</v>
      </c>
      <c r="R284" s="346">
        <v>67</v>
      </c>
      <c r="S284" s="346">
        <v>68</v>
      </c>
      <c r="T284" s="346">
        <v>69</v>
      </c>
      <c r="U284" s="362">
        <v>69</v>
      </c>
      <c r="V284" s="346">
        <v>69</v>
      </c>
      <c r="W284" s="346">
        <v>69</v>
      </c>
      <c r="X284" s="346">
        <v>70</v>
      </c>
      <c r="Y284" s="346">
        <v>70</v>
      </c>
      <c r="Z284" s="362">
        <v>70</v>
      </c>
      <c r="AA284" s="346">
        <v>70</v>
      </c>
      <c r="AB284" s="346">
        <v>70</v>
      </c>
      <c r="AC284" s="346">
        <v>69</v>
      </c>
      <c r="AD284" s="346">
        <v>68</v>
      </c>
      <c r="AE284" s="362">
        <v>68</v>
      </c>
      <c r="AF284" s="346">
        <v>69</v>
      </c>
      <c r="AG284" s="346">
        <v>70</v>
      </c>
      <c r="AH284" s="346">
        <v>71</v>
      </c>
      <c r="AI284" s="346">
        <v>71</v>
      </c>
      <c r="AJ284" s="362">
        <v>71</v>
      </c>
      <c r="AK284" s="346">
        <v>70</v>
      </c>
      <c r="AL284" s="346">
        <v>70</v>
      </c>
      <c r="AM284" s="346">
        <v>70</v>
      </c>
      <c r="AN284" s="346">
        <v>68</v>
      </c>
      <c r="AO284" s="362">
        <v>68</v>
      </c>
      <c r="AP284" s="346">
        <v>69</v>
      </c>
      <c r="AQ284" s="346">
        <v>68</v>
      </c>
      <c r="AR284" s="346">
        <v>68</v>
      </c>
      <c r="AS284" s="346">
        <v>68</v>
      </c>
      <c r="AT284" s="362">
        <v>68</v>
      </c>
      <c r="AU284" s="346">
        <v>68</v>
      </c>
      <c r="AV284" s="346">
        <v>66</v>
      </c>
      <c r="AW284" s="346">
        <v>66</v>
      </c>
      <c r="AX284" s="346">
        <v>67</v>
      </c>
      <c r="AY284" s="362">
        <v>67</v>
      </c>
      <c r="AZ284" s="346">
        <v>67</v>
      </c>
      <c r="BA284" s="346">
        <v>67</v>
      </c>
      <c r="BB284" s="346">
        <v>67</v>
      </c>
      <c r="BC284" s="346">
        <v>67</v>
      </c>
      <c r="BD284" s="362">
        <v>67</v>
      </c>
      <c r="BE284" s="346">
        <v>67</v>
      </c>
      <c r="BF284" s="346">
        <v>68</v>
      </c>
      <c r="BG284" s="346">
        <v>68</v>
      </c>
      <c r="BH284" s="346">
        <v>70</v>
      </c>
      <c r="BI284" s="363">
        <v>70</v>
      </c>
      <c r="BJ284" s="346">
        <v>72</v>
      </c>
      <c r="BK284" s="346">
        <v>74</v>
      </c>
      <c r="BL284" s="346">
        <v>76</v>
      </c>
      <c r="BM284" s="346">
        <v>77</v>
      </c>
      <c r="BN284" s="362">
        <v>77</v>
      </c>
      <c r="BO284" s="346">
        <v>78</v>
      </c>
      <c r="BP284" s="346">
        <v>79</v>
      </c>
      <c r="BQ284" s="346">
        <v>80</v>
      </c>
      <c r="BR284" s="346">
        <v>80</v>
      </c>
      <c r="BS284" s="362">
        <v>80</v>
      </c>
      <c r="BT284" s="362">
        <v>81</v>
      </c>
      <c r="BU284" s="362">
        <v>81</v>
      </c>
      <c r="BV284" s="362">
        <v>81</v>
      </c>
      <c r="BW284" s="168"/>
    </row>
    <row r="285" spans="1:75" s="177" customFormat="1" ht="14.25" hidden="1" outlineLevel="2" x14ac:dyDescent="0.45">
      <c r="A285" s="170" t="s">
        <v>442</v>
      </c>
      <c r="B285" s="171"/>
      <c r="C285" s="172"/>
      <c r="D285" s="172"/>
      <c r="E285" s="172"/>
      <c r="F285" s="172"/>
      <c r="G285" s="173">
        <v>-1.4084507042253502E-2</v>
      </c>
      <c r="H285" s="173">
        <v>0</v>
      </c>
      <c r="I285" s="173">
        <v>0</v>
      </c>
      <c r="J285" s="173">
        <v>0</v>
      </c>
      <c r="K285" s="172"/>
      <c r="L285" s="173">
        <v>-1.4285714285714235E-2</v>
      </c>
      <c r="M285" s="173">
        <v>-1.4492753623188359E-2</v>
      </c>
      <c r="N285" s="173">
        <v>0</v>
      </c>
      <c r="O285" s="173">
        <v>-1.4705882352941124E-2</v>
      </c>
      <c r="P285" s="172"/>
      <c r="Q285" s="173">
        <v>0</v>
      </c>
      <c r="R285" s="173">
        <v>0</v>
      </c>
      <c r="S285" s="173">
        <v>1.4925373134328401E-2</v>
      </c>
      <c r="T285" s="173">
        <v>1.4705882352941124E-2</v>
      </c>
      <c r="U285" s="172"/>
      <c r="V285" s="173">
        <v>0</v>
      </c>
      <c r="W285" s="173">
        <v>0</v>
      </c>
      <c r="X285" s="173">
        <v>1.449275362318847E-2</v>
      </c>
      <c r="Y285" s="173">
        <v>0</v>
      </c>
      <c r="Z285" s="172"/>
      <c r="AA285" s="173">
        <v>0</v>
      </c>
      <c r="AB285" s="173">
        <v>0</v>
      </c>
      <c r="AC285" s="173">
        <v>-1.4285714285714235E-2</v>
      </c>
      <c r="AD285" s="173">
        <v>-1.4492753623188359E-2</v>
      </c>
      <c r="AE285" s="172"/>
      <c r="AF285" s="173">
        <v>1.4705882352941124E-2</v>
      </c>
      <c r="AG285" s="173">
        <v>1.449275362318847E-2</v>
      </c>
      <c r="AH285" s="173">
        <v>1.4285714285714235E-2</v>
      </c>
      <c r="AI285" s="173">
        <v>0</v>
      </c>
      <c r="AJ285" s="172"/>
      <c r="AK285" s="173">
        <v>-1.4084507042253502E-2</v>
      </c>
      <c r="AL285" s="173">
        <v>0</v>
      </c>
      <c r="AM285" s="173">
        <v>0</v>
      </c>
      <c r="AN285" s="173">
        <v>-2.8571428571428581E-2</v>
      </c>
      <c r="AO285" s="172"/>
      <c r="AP285" s="173">
        <v>1.4705882352941124E-2</v>
      </c>
      <c r="AQ285" s="173">
        <v>-1.4492753623188359E-2</v>
      </c>
      <c r="AR285" s="173">
        <v>0</v>
      </c>
      <c r="AS285" s="173">
        <v>0</v>
      </c>
      <c r="AT285" s="172"/>
      <c r="AU285" s="173">
        <v>0</v>
      </c>
      <c r="AV285" s="173">
        <v>-2.9411764705882359E-2</v>
      </c>
      <c r="AW285" s="173">
        <v>0</v>
      </c>
      <c r="AX285" s="173">
        <v>1.5151515151515138E-2</v>
      </c>
      <c r="AY285" s="172"/>
      <c r="AZ285" s="173">
        <v>0</v>
      </c>
      <c r="BA285" s="173">
        <v>0</v>
      </c>
      <c r="BB285" s="173">
        <v>0</v>
      </c>
      <c r="BC285" s="173">
        <v>0</v>
      </c>
      <c r="BD285" s="172"/>
      <c r="BE285" s="173">
        <v>0</v>
      </c>
      <c r="BF285" s="173">
        <v>1.4925373134328401E-2</v>
      </c>
      <c r="BG285" s="173">
        <v>0</v>
      </c>
      <c r="BH285" s="173">
        <v>2.9411764705882248E-2</v>
      </c>
      <c r="BI285" s="174"/>
      <c r="BJ285" s="173">
        <v>2.857142857142847E-2</v>
      </c>
      <c r="BK285" s="173">
        <v>2.7777777777777679E-2</v>
      </c>
      <c r="BL285" s="173">
        <v>2.7027027027026973E-2</v>
      </c>
      <c r="BM285" s="173">
        <v>1.3157894736842035E-2</v>
      </c>
      <c r="BN285" s="172"/>
      <c r="BO285" s="173">
        <v>1.298701298701288E-2</v>
      </c>
      <c r="BP285" s="173">
        <v>1.2820512820512775E-2</v>
      </c>
      <c r="BQ285" s="173">
        <v>1.2658227848101333E-2</v>
      </c>
      <c r="BR285" s="173">
        <v>0</v>
      </c>
      <c r="BS285" s="172"/>
      <c r="BT285" s="172"/>
      <c r="BU285" s="172"/>
      <c r="BV285" s="172"/>
      <c r="BW285" s="176"/>
    </row>
    <row r="286" spans="1:75" s="177" customFormat="1" ht="14.25" hidden="1" outlineLevel="2" x14ac:dyDescent="0.45">
      <c r="A286" s="170" t="s">
        <v>443</v>
      </c>
      <c r="B286" s="171"/>
      <c r="C286" s="172"/>
      <c r="D286" s="172">
        <v>-4.2105263157894757E-2</v>
      </c>
      <c r="E286" s="172">
        <v>-0.18681318681318682</v>
      </c>
      <c r="F286" s="172">
        <v>-4.0540540540540571E-2</v>
      </c>
      <c r="G286" s="173"/>
      <c r="H286" s="173"/>
      <c r="I286" s="173"/>
      <c r="J286" s="173"/>
      <c r="K286" s="172">
        <v>-1.4084507042253502E-2</v>
      </c>
      <c r="L286" s="173">
        <v>-1.4285714285714235E-2</v>
      </c>
      <c r="M286" s="173">
        <v>-2.8571428571428581E-2</v>
      </c>
      <c r="N286" s="173">
        <v>-2.8571428571428581E-2</v>
      </c>
      <c r="O286" s="173">
        <v>-4.2857142857142816E-2</v>
      </c>
      <c r="P286" s="172">
        <v>-4.2857142857142816E-2</v>
      </c>
      <c r="Q286" s="173">
        <v>-2.8985507246376829E-2</v>
      </c>
      <c r="R286" s="173">
        <v>-1.4705882352941124E-2</v>
      </c>
      <c r="S286" s="173">
        <v>0</v>
      </c>
      <c r="T286" s="173">
        <v>2.9850746268656803E-2</v>
      </c>
      <c r="U286" s="172">
        <v>2.9850746268656803E-2</v>
      </c>
      <c r="V286" s="173">
        <v>2.9850746268656803E-2</v>
      </c>
      <c r="W286" s="173">
        <v>2.9850746268656803E-2</v>
      </c>
      <c r="X286" s="173">
        <v>2.9411764705882248E-2</v>
      </c>
      <c r="Y286" s="173">
        <v>1.449275362318847E-2</v>
      </c>
      <c r="Z286" s="172">
        <v>1.449275362318847E-2</v>
      </c>
      <c r="AA286" s="173">
        <v>1.449275362318847E-2</v>
      </c>
      <c r="AB286" s="173">
        <v>1.449275362318847E-2</v>
      </c>
      <c r="AC286" s="173">
        <v>-1.4285714285714235E-2</v>
      </c>
      <c r="AD286" s="173">
        <v>-2.8571428571428581E-2</v>
      </c>
      <c r="AE286" s="172">
        <v>-2.8571428571428581E-2</v>
      </c>
      <c r="AF286" s="173">
        <v>-1.4285714285714235E-2</v>
      </c>
      <c r="AG286" s="173">
        <v>0</v>
      </c>
      <c r="AH286" s="173">
        <v>2.8985507246376718E-2</v>
      </c>
      <c r="AI286" s="173">
        <v>4.4117647058823595E-2</v>
      </c>
      <c r="AJ286" s="172">
        <v>4.4117647058823595E-2</v>
      </c>
      <c r="AK286" s="173">
        <v>1.449275362318847E-2</v>
      </c>
      <c r="AL286" s="173">
        <v>0</v>
      </c>
      <c r="AM286" s="173">
        <v>-1.4084507042253502E-2</v>
      </c>
      <c r="AN286" s="173">
        <v>-4.2253521126760618E-2</v>
      </c>
      <c r="AO286" s="172">
        <v>-4.2253521126760618E-2</v>
      </c>
      <c r="AP286" s="173">
        <v>-1.4285714285714235E-2</v>
      </c>
      <c r="AQ286" s="173">
        <v>-2.8571428571428581E-2</v>
      </c>
      <c r="AR286" s="173">
        <v>-2.8571428571428581E-2</v>
      </c>
      <c r="AS286" s="173">
        <v>0</v>
      </c>
      <c r="AT286" s="172">
        <v>0</v>
      </c>
      <c r="AU286" s="173">
        <v>-1.4492753623188359E-2</v>
      </c>
      <c r="AV286" s="173">
        <v>-2.9411764705882359E-2</v>
      </c>
      <c r="AW286" s="173">
        <v>-2.9411764705882359E-2</v>
      </c>
      <c r="AX286" s="173">
        <v>-1.4705882352941124E-2</v>
      </c>
      <c r="AY286" s="172">
        <v>-1.4705882352941124E-2</v>
      </c>
      <c r="AZ286" s="173">
        <v>-1.4705882352941124E-2</v>
      </c>
      <c r="BA286" s="173">
        <v>1.5151515151515138E-2</v>
      </c>
      <c r="BB286" s="173">
        <v>1.5151515151515138E-2</v>
      </c>
      <c r="BC286" s="173">
        <v>0</v>
      </c>
      <c r="BD286" s="172">
        <v>0</v>
      </c>
      <c r="BE286" s="173">
        <v>0</v>
      </c>
      <c r="BF286" s="173">
        <v>1.4925373134328401E-2</v>
      </c>
      <c r="BG286" s="173">
        <v>1.4925373134328401E-2</v>
      </c>
      <c r="BH286" s="173">
        <v>4.4776119402984982E-2</v>
      </c>
      <c r="BI286" s="174">
        <v>4.4776119402984982E-2</v>
      </c>
      <c r="BJ286" s="173">
        <v>7.4626865671641784E-2</v>
      </c>
      <c r="BK286" s="173">
        <v>8.8235294117646967E-2</v>
      </c>
      <c r="BL286" s="173">
        <v>0.11764705882352944</v>
      </c>
      <c r="BM286" s="173">
        <v>0.10000000000000009</v>
      </c>
      <c r="BN286" s="172">
        <v>0.10000000000000009</v>
      </c>
      <c r="BO286" s="173">
        <v>8.3333333333333259E-2</v>
      </c>
      <c r="BP286" s="173">
        <v>6.7567567567567544E-2</v>
      </c>
      <c r="BQ286" s="173">
        <v>5.2631578947368363E-2</v>
      </c>
      <c r="BR286" s="173">
        <v>3.8961038961038863E-2</v>
      </c>
      <c r="BS286" s="172">
        <v>3.8961038961038863E-2</v>
      </c>
      <c r="BT286" s="172">
        <v>1.2499999999999956E-2</v>
      </c>
      <c r="BU286" s="172">
        <v>0</v>
      </c>
      <c r="BV286" s="172">
        <v>0</v>
      </c>
      <c r="BW286" s="176"/>
    </row>
    <row r="287" spans="1:75" s="169" customFormat="1" ht="14.25" hidden="1" outlineLevel="2" x14ac:dyDescent="0.45">
      <c r="A287" s="163" t="s">
        <v>444</v>
      </c>
      <c r="B287" s="164"/>
      <c r="C287" s="165"/>
      <c r="D287" s="165">
        <v>93</v>
      </c>
      <c r="E287" s="165">
        <v>82.5</v>
      </c>
      <c r="F287" s="165">
        <v>72.5</v>
      </c>
      <c r="G287" s="166">
        <v>70.5</v>
      </c>
      <c r="H287" s="166">
        <v>70</v>
      </c>
      <c r="I287" s="166">
        <v>70</v>
      </c>
      <c r="J287" s="166">
        <v>70</v>
      </c>
      <c r="K287" s="165">
        <v>70.125</v>
      </c>
      <c r="L287" s="166">
        <v>69.5</v>
      </c>
      <c r="M287" s="166">
        <v>68.5</v>
      </c>
      <c r="N287" s="166">
        <v>68</v>
      </c>
      <c r="O287" s="166">
        <v>67.5</v>
      </c>
      <c r="P287" s="165">
        <v>68.375</v>
      </c>
      <c r="Q287" s="166">
        <v>67</v>
      </c>
      <c r="R287" s="166">
        <v>67</v>
      </c>
      <c r="S287" s="166">
        <v>67.5</v>
      </c>
      <c r="T287" s="166">
        <v>68.5</v>
      </c>
      <c r="U287" s="165">
        <v>67.5</v>
      </c>
      <c r="V287" s="166">
        <v>69</v>
      </c>
      <c r="W287" s="166">
        <v>69</v>
      </c>
      <c r="X287" s="166">
        <v>69.5</v>
      </c>
      <c r="Y287" s="166">
        <v>70</v>
      </c>
      <c r="Z287" s="165">
        <v>69.375</v>
      </c>
      <c r="AA287" s="166">
        <v>70</v>
      </c>
      <c r="AB287" s="166">
        <v>70</v>
      </c>
      <c r="AC287" s="166">
        <v>69.5</v>
      </c>
      <c r="AD287" s="166">
        <v>68.5</v>
      </c>
      <c r="AE287" s="165">
        <v>69.481132075471692</v>
      </c>
      <c r="AF287" s="166">
        <v>68.5</v>
      </c>
      <c r="AG287" s="166">
        <v>69.5</v>
      </c>
      <c r="AH287" s="166">
        <v>70.5</v>
      </c>
      <c r="AI287" s="166">
        <v>71</v>
      </c>
      <c r="AJ287" s="165">
        <v>69.875</v>
      </c>
      <c r="AK287" s="166">
        <v>70.5</v>
      </c>
      <c r="AL287" s="166">
        <v>70</v>
      </c>
      <c r="AM287" s="166">
        <v>70</v>
      </c>
      <c r="AN287" s="166">
        <v>69</v>
      </c>
      <c r="AO287" s="165">
        <v>69.875</v>
      </c>
      <c r="AP287" s="166">
        <v>68.5</v>
      </c>
      <c r="AQ287" s="166">
        <v>68.5</v>
      </c>
      <c r="AR287" s="166">
        <v>68</v>
      </c>
      <c r="AS287" s="166">
        <v>68</v>
      </c>
      <c r="AT287" s="165">
        <v>68.25</v>
      </c>
      <c r="AU287" s="166">
        <v>68</v>
      </c>
      <c r="AV287" s="166">
        <v>67</v>
      </c>
      <c r="AW287" s="166">
        <v>66</v>
      </c>
      <c r="AX287" s="166">
        <v>66.5</v>
      </c>
      <c r="AY287" s="165">
        <v>66.875</v>
      </c>
      <c r="AZ287" s="166">
        <v>67</v>
      </c>
      <c r="BA287" s="166">
        <v>67</v>
      </c>
      <c r="BB287" s="166">
        <v>67</v>
      </c>
      <c r="BC287" s="166">
        <v>67</v>
      </c>
      <c r="BD287" s="165">
        <v>67</v>
      </c>
      <c r="BE287" s="166">
        <v>67</v>
      </c>
      <c r="BF287" s="166">
        <v>67.5</v>
      </c>
      <c r="BG287" s="166">
        <v>68</v>
      </c>
      <c r="BH287" s="166">
        <v>69</v>
      </c>
      <c r="BI287" s="167">
        <v>67.896226415094333</v>
      </c>
      <c r="BJ287" s="166">
        <v>71</v>
      </c>
      <c r="BK287" s="166">
        <v>73</v>
      </c>
      <c r="BL287" s="166">
        <v>75</v>
      </c>
      <c r="BM287" s="166">
        <v>76.5</v>
      </c>
      <c r="BN287" s="165">
        <v>73.875</v>
      </c>
      <c r="BO287" s="166">
        <v>77.5</v>
      </c>
      <c r="BP287" s="166">
        <v>78.5</v>
      </c>
      <c r="BQ287" s="166">
        <v>79.5</v>
      </c>
      <c r="BR287" s="166">
        <v>80</v>
      </c>
      <c r="BS287" s="165">
        <v>78.875</v>
      </c>
      <c r="BT287" s="165">
        <v>80.5</v>
      </c>
      <c r="BU287" s="165">
        <v>81</v>
      </c>
      <c r="BV287" s="165">
        <v>81</v>
      </c>
      <c r="BW287" s="168"/>
    </row>
    <row r="288" spans="1:75" s="198" customFormat="1" ht="14.25" hidden="1" outlineLevel="2" x14ac:dyDescent="0.45">
      <c r="A288" s="206"/>
      <c r="B288" s="207"/>
      <c r="C288" s="208"/>
      <c r="D288" s="208"/>
      <c r="E288" s="208"/>
      <c r="F288" s="208"/>
      <c r="G288" s="209"/>
      <c r="H288" s="209"/>
      <c r="I288" s="209"/>
      <c r="J288" s="209"/>
      <c r="K288" s="208"/>
      <c r="L288" s="209"/>
      <c r="M288" s="209"/>
      <c r="N288" s="209"/>
      <c r="O288" s="209"/>
      <c r="P288" s="208"/>
      <c r="Q288" s="209"/>
      <c r="R288" s="209"/>
      <c r="S288" s="209"/>
      <c r="T288" s="209"/>
      <c r="U288" s="208"/>
      <c r="V288" s="209"/>
      <c r="W288" s="209"/>
      <c r="X288" s="209"/>
      <c r="Y288" s="209"/>
      <c r="Z288" s="208"/>
      <c r="AA288" s="209"/>
      <c r="AB288" s="209"/>
      <c r="AC288" s="209"/>
      <c r="AD288" s="209"/>
      <c r="AE288" s="208"/>
      <c r="AF288" s="209"/>
      <c r="AG288" s="209"/>
      <c r="AH288" s="209"/>
      <c r="AI288" s="209"/>
      <c r="AJ288" s="208"/>
      <c r="AK288" s="209"/>
      <c r="AL288" s="209"/>
      <c r="AM288" s="209"/>
      <c r="AN288" s="209"/>
      <c r="AO288" s="208"/>
      <c r="AP288" s="209"/>
      <c r="AQ288" s="209"/>
      <c r="AR288" s="209"/>
      <c r="AS288" s="209"/>
      <c r="AT288" s="208"/>
      <c r="AU288" s="209"/>
      <c r="AV288" s="209"/>
      <c r="AW288" s="209"/>
      <c r="AX288" s="209"/>
      <c r="AY288" s="208"/>
      <c r="AZ288" s="209"/>
      <c r="BA288" s="209"/>
      <c r="BB288" s="209"/>
      <c r="BC288" s="209"/>
      <c r="BD288" s="208"/>
      <c r="BE288" s="209"/>
      <c r="BF288" s="209"/>
      <c r="BG288" s="209"/>
      <c r="BH288" s="209"/>
      <c r="BI288" s="210"/>
      <c r="BJ288" s="209"/>
      <c r="BK288" s="209"/>
      <c r="BL288" s="209"/>
      <c r="BM288" s="209"/>
      <c r="BN288" s="208"/>
      <c r="BO288" s="209"/>
      <c r="BP288" s="209"/>
      <c r="BQ288" s="209"/>
      <c r="BR288" s="209"/>
      <c r="BS288" s="208"/>
      <c r="BT288" s="208"/>
      <c r="BU288" s="208"/>
      <c r="BV288" s="208"/>
      <c r="BW288" s="197"/>
    </row>
    <row r="289" spans="1:75" s="198" customFormat="1" ht="14.25" hidden="1" outlineLevel="2" x14ac:dyDescent="0.45">
      <c r="A289" s="206" t="s">
        <v>445</v>
      </c>
      <c r="B289" s="207"/>
      <c r="C289" s="208"/>
      <c r="D289" s="208"/>
      <c r="E289" s="208"/>
      <c r="F289" s="208"/>
      <c r="G289" s="209"/>
      <c r="H289" s="209"/>
      <c r="I289" s="209"/>
      <c r="J289" s="209"/>
      <c r="K289" s="208"/>
      <c r="L289" s="209">
        <v>554.70000000000016</v>
      </c>
      <c r="M289" s="209">
        <v>549.10000000000014</v>
      </c>
      <c r="N289" s="209">
        <v>564.90000000000009</v>
      </c>
      <c r="O289" s="209">
        <v>576.30000000000007</v>
      </c>
      <c r="P289" s="208">
        <v>554.70000000000016</v>
      </c>
      <c r="Q289" s="209">
        <v>608.10000000000014</v>
      </c>
      <c r="R289" s="209">
        <v>606.30000000000007</v>
      </c>
      <c r="S289" s="209">
        <v>606.30000000000007</v>
      </c>
      <c r="T289" s="209">
        <v>682.20000000000016</v>
      </c>
      <c r="U289" s="208">
        <v>608.10000000000014</v>
      </c>
      <c r="V289" s="209">
        <v>725.80000000000018</v>
      </c>
      <c r="W289" s="209">
        <v>725.80000000000018</v>
      </c>
      <c r="X289" s="209">
        <v>725.80000000000018</v>
      </c>
      <c r="Y289" s="209">
        <v>830.40000000000009</v>
      </c>
      <c r="Z289" s="208">
        <v>725.80000000000018</v>
      </c>
      <c r="AA289" s="209">
        <v>858.30000000000018</v>
      </c>
      <c r="AB289" s="209">
        <v>858.30000000000018</v>
      </c>
      <c r="AC289" s="209">
        <v>858.30000000000018</v>
      </c>
      <c r="AD289" s="209">
        <v>887.00000000000023</v>
      </c>
      <c r="AE289" s="208">
        <v>858.30000000000018</v>
      </c>
      <c r="AF289" s="209">
        <v>923.90000000000009</v>
      </c>
      <c r="AG289" s="209">
        <v>953.40000000000009</v>
      </c>
      <c r="AH289" s="209">
        <v>994.7</v>
      </c>
      <c r="AI289" s="209">
        <v>1030.5</v>
      </c>
      <c r="AJ289" s="208">
        <v>923.90000000000009</v>
      </c>
      <c r="AK289" s="209">
        <v>1030.5</v>
      </c>
      <c r="AL289" s="209">
        <v>1019.7</v>
      </c>
      <c r="AM289" s="209">
        <v>1015.9</v>
      </c>
      <c r="AN289" s="209">
        <v>1035.5</v>
      </c>
      <c r="AO289" s="208">
        <v>1030.5</v>
      </c>
      <c r="AP289" s="209">
        <v>1052.3999999999999</v>
      </c>
      <c r="AQ289" s="209">
        <v>1056.7999999999997</v>
      </c>
      <c r="AR289" s="209">
        <v>1101.5999999999999</v>
      </c>
      <c r="AS289" s="209">
        <v>1101.5999999999999</v>
      </c>
      <c r="AT289" s="208">
        <v>1052.3999999999999</v>
      </c>
      <c r="AU289" s="209">
        <v>1101.5999999999999</v>
      </c>
      <c r="AV289" s="209">
        <v>1101.5999999999999</v>
      </c>
      <c r="AW289" s="209">
        <v>1120</v>
      </c>
      <c r="AX289" s="209">
        <v>1156.2</v>
      </c>
      <c r="AY289" s="208">
        <v>1101.5999999999999</v>
      </c>
      <c r="AZ289" s="209">
        <v>1195.7</v>
      </c>
      <c r="BA289" s="209">
        <v>1195.7</v>
      </c>
      <c r="BB289" s="209">
        <v>1233</v>
      </c>
      <c r="BC289" s="209">
        <v>1233</v>
      </c>
      <c r="BD289" s="208">
        <v>1195.7</v>
      </c>
      <c r="BE289" s="209">
        <v>1226.6000000000001</v>
      </c>
      <c r="BF289" s="209">
        <v>1219.3</v>
      </c>
      <c r="BG289" s="209">
        <v>1255.9000000000001</v>
      </c>
      <c r="BH289" s="209">
        <v>1255.9000000000001</v>
      </c>
      <c r="BI289" s="210">
        <v>1226.6000000000001</v>
      </c>
      <c r="BJ289" s="209">
        <v>1315.6000000000001</v>
      </c>
      <c r="BK289" s="209">
        <v>1395.7600000000002</v>
      </c>
      <c r="BL289" s="209">
        <v>1476.8916363636365</v>
      </c>
      <c r="BM289" s="209">
        <v>1558.9504914285715</v>
      </c>
      <c r="BN289" s="208">
        <v>1315.6000000000001</v>
      </c>
      <c r="BO289" s="209">
        <v>1600.4234803397685</v>
      </c>
      <c r="BP289" s="209">
        <v>1642.1147481399717</v>
      </c>
      <c r="BQ289" s="209">
        <v>1684.0198173135093</v>
      </c>
      <c r="BR289" s="209">
        <v>1726.1344118329146</v>
      </c>
      <c r="BS289" s="208">
        <v>1600.4234803397685</v>
      </c>
      <c r="BT289" s="208">
        <v>1726.1344118329146</v>
      </c>
      <c r="BU289" s="208">
        <v>1768.454443398756</v>
      </c>
      <c r="BV289" s="208">
        <v>1768.454443398756</v>
      </c>
      <c r="BW289" s="197"/>
    </row>
    <row r="290" spans="1:75" s="123" customFormat="1" hidden="1" outlineLevel="2" x14ac:dyDescent="0.5">
      <c r="A290" s="184" t="s">
        <v>446</v>
      </c>
      <c r="B290" s="185"/>
      <c r="C290" s="186"/>
      <c r="D290" s="186"/>
      <c r="E290" s="186"/>
      <c r="F290" s="186"/>
      <c r="G290" s="187"/>
      <c r="H290" s="187"/>
      <c r="I290" s="187"/>
      <c r="J290" s="187"/>
      <c r="K290" s="186"/>
      <c r="L290" s="187">
        <v>0</v>
      </c>
      <c r="M290" s="187">
        <v>14</v>
      </c>
      <c r="N290" s="187">
        <v>25.2</v>
      </c>
      <c r="O290" s="187">
        <v>46.1</v>
      </c>
      <c r="P290" s="186">
        <v>85.300000000000011</v>
      </c>
      <c r="Q290" s="187">
        <v>4.3</v>
      </c>
      <c r="R290" s="187">
        <v>0</v>
      </c>
      <c r="S290" s="187">
        <v>97.899999999999991</v>
      </c>
      <c r="T290" s="187">
        <v>54.600000000000009</v>
      </c>
      <c r="U290" s="186">
        <v>156.79999999999998</v>
      </c>
      <c r="V290" s="187">
        <v>0</v>
      </c>
      <c r="W290" s="187">
        <v>0</v>
      </c>
      <c r="X290" s="187">
        <v>120.69999999999999</v>
      </c>
      <c r="Y290" s="187">
        <v>41.7</v>
      </c>
      <c r="Z290" s="186">
        <v>162.39999999999998</v>
      </c>
      <c r="AA290" s="187">
        <v>0</v>
      </c>
      <c r="AB290" s="187">
        <v>0</v>
      </c>
      <c r="AC290" s="187">
        <v>43.3</v>
      </c>
      <c r="AD290" s="187">
        <v>46.5</v>
      </c>
      <c r="AE290" s="186">
        <v>89.8</v>
      </c>
      <c r="AF290" s="187">
        <v>34.200000000000003</v>
      </c>
      <c r="AG290" s="187">
        <v>54</v>
      </c>
      <c r="AH290" s="187">
        <v>57.2</v>
      </c>
      <c r="AI290" s="187">
        <v>0</v>
      </c>
      <c r="AJ290" s="186">
        <v>145.39999999999998</v>
      </c>
      <c r="AK290" s="187">
        <v>0</v>
      </c>
      <c r="AL290" s="187">
        <v>0</v>
      </c>
      <c r="AM290" s="187">
        <v>32.9</v>
      </c>
      <c r="AN290" s="187">
        <v>33</v>
      </c>
      <c r="AO290" s="186">
        <v>65.900000000000006</v>
      </c>
      <c r="AP290" s="187">
        <v>4.4000000000000004</v>
      </c>
      <c r="AQ290" s="187">
        <v>65.3</v>
      </c>
      <c r="AR290" s="187">
        <v>0</v>
      </c>
      <c r="AS290" s="187">
        <v>0</v>
      </c>
      <c r="AT290" s="186">
        <v>69.7</v>
      </c>
      <c r="AU290" s="187">
        <v>0</v>
      </c>
      <c r="AV290" s="187">
        <v>38</v>
      </c>
      <c r="AW290" s="187">
        <v>37.700000000000003</v>
      </c>
      <c r="AX290" s="187">
        <v>37.700000000000003</v>
      </c>
      <c r="AY290" s="186">
        <v>113.4</v>
      </c>
      <c r="AZ290" s="187">
        <v>0</v>
      </c>
      <c r="BA290" s="187">
        <v>42.1</v>
      </c>
      <c r="BB290" s="187">
        <v>0</v>
      </c>
      <c r="BC290" s="187">
        <v>0</v>
      </c>
      <c r="BD290" s="186">
        <v>42.1</v>
      </c>
      <c r="BE290" s="187">
        <v>5.7</v>
      </c>
      <c r="BF290" s="187">
        <v>35.1</v>
      </c>
      <c r="BG290" s="187">
        <v>0</v>
      </c>
      <c r="BH290" s="187">
        <v>66.599999999999994</v>
      </c>
      <c r="BI290" s="188">
        <v>107.39999999999999</v>
      </c>
      <c r="BJ290" s="187">
        <v>80.160000000000011</v>
      </c>
      <c r="BK290" s="187">
        <v>81.131636363636389</v>
      </c>
      <c r="BL290" s="187">
        <v>82.058855064935059</v>
      </c>
      <c r="BM290" s="187">
        <v>41.472988911196907</v>
      </c>
      <c r="BN290" s="186">
        <v>284.82348033976837</v>
      </c>
      <c r="BO290" s="187">
        <v>41.691267800203214</v>
      </c>
      <c r="BP290" s="187">
        <v>41.905069173537584</v>
      </c>
      <c r="BQ290" s="187">
        <v>42.114594519405287</v>
      </c>
      <c r="BR290" s="187">
        <v>0</v>
      </c>
      <c r="BS290" s="186">
        <v>125.71093149314608</v>
      </c>
      <c r="BT290" s="186">
        <v>42.320031565841397</v>
      </c>
      <c r="BU290" s="186">
        <v>0</v>
      </c>
      <c r="BV290" s="186">
        <v>0</v>
      </c>
      <c r="BW290" s="122"/>
    </row>
    <row r="291" spans="1:75" s="123" customFormat="1" hidden="1" outlineLevel="2" x14ac:dyDescent="0.5">
      <c r="A291" s="184" t="s">
        <v>447</v>
      </c>
      <c r="B291" s="185"/>
      <c r="C291" s="186"/>
      <c r="D291" s="186"/>
      <c r="E291" s="186"/>
      <c r="F291" s="186"/>
      <c r="G291" s="187"/>
      <c r="H291" s="187"/>
      <c r="I291" s="187"/>
      <c r="J291" s="187"/>
      <c r="K291" s="186"/>
      <c r="L291" s="187">
        <v>-5.6</v>
      </c>
      <c r="M291" s="187">
        <v>-11.5</v>
      </c>
      <c r="N291" s="187">
        <v>-13.8</v>
      </c>
      <c r="O291" s="187">
        <v>-14.3</v>
      </c>
      <c r="P291" s="186">
        <v>-45.2</v>
      </c>
      <c r="Q291" s="187">
        <v>-6.1</v>
      </c>
      <c r="R291" s="187">
        <v>0</v>
      </c>
      <c r="S291" s="187">
        <v>-22</v>
      </c>
      <c r="T291" s="187">
        <v>-11.1</v>
      </c>
      <c r="U291" s="186">
        <v>-39.199999999999996</v>
      </c>
      <c r="V291" s="187">
        <v>0</v>
      </c>
      <c r="W291" s="187">
        <v>0</v>
      </c>
      <c r="X291" s="187">
        <v>-16.100000000000001</v>
      </c>
      <c r="Y291" s="187">
        <v>-13.8</v>
      </c>
      <c r="Z291" s="186">
        <v>-29.900000000000002</v>
      </c>
      <c r="AA291" s="187">
        <v>0</v>
      </c>
      <c r="AB291" s="187">
        <v>0</v>
      </c>
      <c r="AC291" s="187">
        <v>-14.6</v>
      </c>
      <c r="AD291" s="187">
        <v>-9.6</v>
      </c>
      <c r="AE291" s="186">
        <v>-24.2</v>
      </c>
      <c r="AF291" s="187">
        <v>-4.7</v>
      </c>
      <c r="AG291" s="187">
        <v>-12.7</v>
      </c>
      <c r="AH291" s="187">
        <v>-21.4</v>
      </c>
      <c r="AI291" s="187">
        <v>0</v>
      </c>
      <c r="AJ291" s="186">
        <v>-38.799999999999997</v>
      </c>
      <c r="AK291" s="187">
        <v>-3.7</v>
      </c>
      <c r="AL291" s="187">
        <v>0</v>
      </c>
      <c r="AM291" s="187">
        <v>-13.3</v>
      </c>
      <c r="AN291" s="187">
        <v>-16.600000000000001</v>
      </c>
      <c r="AO291" s="186">
        <v>-33.6</v>
      </c>
      <c r="AP291" s="187">
        <v>0</v>
      </c>
      <c r="AQ291" s="187">
        <v>-20.5</v>
      </c>
      <c r="AR291" s="187">
        <v>0</v>
      </c>
      <c r="AS291" s="187">
        <v>0</v>
      </c>
      <c r="AT291" s="186">
        <v>-20.5</v>
      </c>
      <c r="AU291" s="187">
        <v>0</v>
      </c>
      <c r="AV291" s="187">
        <v>-19.600000000000001</v>
      </c>
      <c r="AW291" s="187">
        <v>-10</v>
      </c>
      <c r="AX291" s="187">
        <v>0</v>
      </c>
      <c r="AY291" s="186">
        <v>-29.599999999999998</v>
      </c>
      <c r="AZ291" s="187">
        <v>0</v>
      </c>
      <c r="BA291" s="187">
        <v>-4.8</v>
      </c>
      <c r="BB291" s="187">
        <v>0</v>
      </c>
      <c r="BC291" s="187">
        <v>0</v>
      </c>
      <c r="BD291" s="186">
        <v>-4.8</v>
      </c>
      <c r="BE291" s="187">
        <v>-13</v>
      </c>
      <c r="BF291" s="187">
        <v>0</v>
      </c>
      <c r="BG291" s="187">
        <v>0</v>
      </c>
      <c r="BH291" s="187">
        <v>-5.7</v>
      </c>
      <c r="BI291" s="188">
        <v>-18.7</v>
      </c>
      <c r="BJ291" s="187">
        <v>0</v>
      </c>
      <c r="BK291" s="187">
        <v>0</v>
      </c>
      <c r="BL291" s="187">
        <v>0</v>
      </c>
      <c r="BM291" s="187">
        <v>0</v>
      </c>
      <c r="BN291" s="186">
        <v>0</v>
      </c>
      <c r="BO291" s="187">
        <v>0</v>
      </c>
      <c r="BP291" s="187">
        <v>0</v>
      </c>
      <c r="BQ291" s="187">
        <v>0</v>
      </c>
      <c r="BR291" s="187">
        <v>0</v>
      </c>
      <c r="BS291" s="186">
        <v>0</v>
      </c>
      <c r="BT291" s="186">
        <v>0</v>
      </c>
      <c r="BU291" s="186">
        <v>0</v>
      </c>
      <c r="BV291" s="186">
        <v>0</v>
      </c>
      <c r="BW291" s="122"/>
    </row>
    <row r="292" spans="1:75" s="123" customFormat="1" hidden="1" outlineLevel="2" x14ac:dyDescent="0.5">
      <c r="A292" s="184" t="s">
        <v>448</v>
      </c>
      <c r="B292" s="185"/>
      <c r="C292" s="186"/>
      <c r="D292" s="186"/>
      <c r="E292" s="186"/>
      <c r="F292" s="186"/>
      <c r="G292" s="187"/>
      <c r="H292" s="187"/>
      <c r="I292" s="187"/>
      <c r="J292" s="187"/>
      <c r="K292" s="186"/>
      <c r="L292" s="187">
        <v>0</v>
      </c>
      <c r="M292" s="187">
        <v>13.3</v>
      </c>
      <c r="N292" s="187">
        <v>0</v>
      </c>
      <c r="O292" s="187">
        <v>0</v>
      </c>
      <c r="P292" s="186">
        <v>13.3</v>
      </c>
      <c r="Q292" s="187">
        <v>0</v>
      </c>
      <c r="R292" s="187">
        <v>0</v>
      </c>
      <c r="S292" s="187">
        <v>0</v>
      </c>
      <c r="T292" s="187">
        <v>0</v>
      </c>
      <c r="U292" s="186">
        <v>0</v>
      </c>
      <c r="V292" s="187">
        <v>0</v>
      </c>
      <c r="W292" s="187">
        <v>0</v>
      </c>
      <c r="X292" s="187">
        <v>0</v>
      </c>
      <c r="Y292" s="187">
        <v>0</v>
      </c>
      <c r="Z292" s="186">
        <v>0</v>
      </c>
      <c r="AA292" s="187">
        <v>0</v>
      </c>
      <c r="AB292" s="187">
        <v>0</v>
      </c>
      <c r="AC292" s="187">
        <v>0</v>
      </c>
      <c r="AD292" s="187">
        <v>0</v>
      </c>
      <c r="AE292" s="186">
        <v>0</v>
      </c>
      <c r="AF292" s="187">
        <v>0</v>
      </c>
      <c r="AG292" s="187">
        <v>0</v>
      </c>
      <c r="AH292" s="187">
        <v>0</v>
      </c>
      <c r="AI292" s="187">
        <v>0</v>
      </c>
      <c r="AJ292" s="186">
        <v>0</v>
      </c>
      <c r="AK292" s="187">
        <v>-7.1</v>
      </c>
      <c r="AL292" s="187">
        <v>-3.8</v>
      </c>
      <c r="AM292" s="187">
        <v>0</v>
      </c>
      <c r="AN292" s="187">
        <v>0.5</v>
      </c>
      <c r="AO292" s="186">
        <v>-10.4</v>
      </c>
      <c r="AP292" s="187">
        <v>0</v>
      </c>
      <c r="AQ292" s="187">
        <v>0</v>
      </c>
      <c r="AR292" s="187">
        <v>0</v>
      </c>
      <c r="AS292" s="187">
        <v>2.9</v>
      </c>
      <c r="AT292" s="186">
        <v>2.9</v>
      </c>
      <c r="AU292" s="187">
        <v>0</v>
      </c>
      <c r="AV292" s="187">
        <v>0</v>
      </c>
      <c r="AW292" s="187">
        <v>8.5</v>
      </c>
      <c r="AX292" s="187">
        <v>0</v>
      </c>
      <c r="AY292" s="186">
        <v>8.5</v>
      </c>
      <c r="AZ292" s="187">
        <v>0</v>
      </c>
      <c r="BA292" s="187">
        <v>0</v>
      </c>
      <c r="BB292" s="187">
        <v>0</v>
      </c>
      <c r="BC292" s="187">
        <v>-5.3</v>
      </c>
      <c r="BD292" s="186">
        <v>-5.3</v>
      </c>
      <c r="BE292" s="187">
        <v>0</v>
      </c>
      <c r="BF292" s="187">
        <v>1.5</v>
      </c>
      <c r="BG292" s="187">
        <v>0</v>
      </c>
      <c r="BH292" s="187">
        <v>0.1</v>
      </c>
      <c r="BI292" s="188">
        <v>1.6</v>
      </c>
      <c r="BJ292" s="187">
        <v>0</v>
      </c>
      <c r="BK292" s="187">
        <v>0</v>
      </c>
      <c r="BL292" s="187">
        <v>0</v>
      </c>
      <c r="BM292" s="187">
        <v>0</v>
      </c>
      <c r="BN292" s="186">
        <v>0</v>
      </c>
      <c r="BO292" s="187">
        <v>0</v>
      </c>
      <c r="BP292" s="187">
        <v>0</v>
      </c>
      <c r="BQ292" s="187">
        <v>0</v>
      </c>
      <c r="BR292" s="187">
        <v>0</v>
      </c>
      <c r="BS292" s="186">
        <v>0</v>
      </c>
      <c r="BT292" s="186">
        <v>0</v>
      </c>
      <c r="BU292" s="186">
        <v>0</v>
      </c>
      <c r="BV292" s="186">
        <v>0</v>
      </c>
      <c r="BW292" s="122"/>
    </row>
    <row r="293" spans="1:75" s="198" customFormat="1" ht="14.25" hidden="1" outlineLevel="2" x14ac:dyDescent="0.45">
      <c r="A293" s="192" t="s">
        <v>449</v>
      </c>
      <c r="B293" s="193"/>
      <c r="C293" s="194"/>
      <c r="D293" s="194"/>
      <c r="E293" s="194"/>
      <c r="F293" s="194"/>
      <c r="G293" s="195"/>
      <c r="H293" s="195"/>
      <c r="I293" s="195"/>
      <c r="J293" s="195"/>
      <c r="K293" s="194">
        <v>554.70000000000016</v>
      </c>
      <c r="L293" s="195">
        <v>549.10000000000014</v>
      </c>
      <c r="M293" s="195">
        <v>564.90000000000009</v>
      </c>
      <c r="N293" s="195">
        <v>576.30000000000007</v>
      </c>
      <c r="O293" s="195">
        <v>608.10000000000014</v>
      </c>
      <c r="P293" s="194">
        <v>608.10000000000014</v>
      </c>
      <c r="Q293" s="195">
        <v>606.30000000000007</v>
      </c>
      <c r="R293" s="195">
        <v>606.30000000000007</v>
      </c>
      <c r="S293" s="195">
        <v>682.20000000000016</v>
      </c>
      <c r="T293" s="195">
        <v>725.80000000000018</v>
      </c>
      <c r="U293" s="194">
        <v>725.80000000000018</v>
      </c>
      <c r="V293" s="195">
        <v>725.80000000000018</v>
      </c>
      <c r="W293" s="195">
        <v>725.80000000000018</v>
      </c>
      <c r="X293" s="195">
        <v>830.40000000000009</v>
      </c>
      <c r="Y293" s="195">
        <v>858.30000000000018</v>
      </c>
      <c r="Z293" s="194">
        <v>858.30000000000018</v>
      </c>
      <c r="AA293" s="195">
        <v>858.30000000000018</v>
      </c>
      <c r="AB293" s="195">
        <v>858.30000000000018</v>
      </c>
      <c r="AC293" s="195">
        <v>887.00000000000023</v>
      </c>
      <c r="AD293" s="195">
        <v>923.90000000000009</v>
      </c>
      <c r="AE293" s="194">
        <v>923.90000000000009</v>
      </c>
      <c r="AF293" s="195">
        <v>953.40000000000009</v>
      </c>
      <c r="AG293" s="195">
        <v>994.7</v>
      </c>
      <c r="AH293" s="195">
        <v>1030.5</v>
      </c>
      <c r="AI293" s="195">
        <v>1030.5</v>
      </c>
      <c r="AJ293" s="194">
        <v>1030.5</v>
      </c>
      <c r="AK293" s="195">
        <v>1019.7</v>
      </c>
      <c r="AL293" s="195">
        <v>1015.9</v>
      </c>
      <c r="AM293" s="195">
        <v>1035.5</v>
      </c>
      <c r="AN293" s="195">
        <v>1052.3999999999999</v>
      </c>
      <c r="AO293" s="194">
        <v>1052.3999999999999</v>
      </c>
      <c r="AP293" s="195">
        <v>1056.7999999999997</v>
      </c>
      <c r="AQ293" s="195">
        <v>1101.5999999999999</v>
      </c>
      <c r="AR293" s="195">
        <v>1101.5999999999999</v>
      </c>
      <c r="AS293" s="195">
        <v>1101.5999999999999</v>
      </c>
      <c r="AT293" s="194">
        <v>1101.5999999999999</v>
      </c>
      <c r="AU293" s="195">
        <v>1101.5999999999999</v>
      </c>
      <c r="AV293" s="195">
        <v>1120</v>
      </c>
      <c r="AW293" s="195">
        <v>1156.2</v>
      </c>
      <c r="AX293" s="195">
        <v>1195.7</v>
      </c>
      <c r="AY293" s="194">
        <v>1195.7</v>
      </c>
      <c r="AZ293" s="195">
        <v>1195.7</v>
      </c>
      <c r="BA293" s="195">
        <v>1233</v>
      </c>
      <c r="BB293" s="195">
        <v>1233</v>
      </c>
      <c r="BC293" s="195">
        <v>1226.6000000000001</v>
      </c>
      <c r="BD293" s="194">
        <v>1226.6000000000001</v>
      </c>
      <c r="BE293" s="195">
        <v>1219.3</v>
      </c>
      <c r="BF293" s="195">
        <v>1255.9000000000001</v>
      </c>
      <c r="BG293" s="195">
        <v>1255.9000000000001</v>
      </c>
      <c r="BH293" s="195">
        <v>1315.6000000000001</v>
      </c>
      <c r="BI293" s="196">
        <v>1315.6000000000001</v>
      </c>
      <c r="BJ293" s="195">
        <v>1395.7600000000002</v>
      </c>
      <c r="BK293" s="195">
        <v>1476.8916363636365</v>
      </c>
      <c r="BL293" s="195">
        <v>1558.9504914285715</v>
      </c>
      <c r="BM293" s="195">
        <v>1600.4234803397683</v>
      </c>
      <c r="BN293" s="194">
        <v>1600.4234803397685</v>
      </c>
      <c r="BO293" s="195">
        <v>1642.1147481399717</v>
      </c>
      <c r="BP293" s="195">
        <v>1684.0198173135093</v>
      </c>
      <c r="BQ293" s="195">
        <v>1726.1344118329146</v>
      </c>
      <c r="BR293" s="195">
        <v>1726.1344118329146</v>
      </c>
      <c r="BS293" s="194">
        <v>1726.1344118329146</v>
      </c>
      <c r="BT293" s="194">
        <v>1768.454443398756</v>
      </c>
      <c r="BU293" s="194">
        <v>1768.454443398756</v>
      </c>
      <c r="BV293" s="194">
        <v>1768.454443398756</v>
      </c>
      <c r="BW293" s="197"/>
    </row>
    <row r="294" spans="1:75" s="177" customFormat="1" ht="14.25" hidden="1" outlineLevel="2" x14ac:dyDescent="0.45">
      <c r="A294" s="170" t="s">
        <v>450</v>
      </c>
      <c r="B294" s="171"/>
      <c r="C294" s="172"/>
      <c r="D294" s="172"/>
      <c r="E294" s="172"/>
      <c r="F294" s="172"/>
      <c r="G294" s="173"/>
      <c r="H294" s="173"/>
      <c r="I294" s="173"/>
      <c r="J294" s="173"/>
      <c r="K294" s="172"/>
      <c r="L294" s="173">
        <v>-1.0095547142599637E-2</v>
      </c>
      <c r="M294" s="173">
        <v>2.8774358040429604E-2</v>
      </c>
      <c r="N294" s="173">
        <v>2.0180562931492174E-2</v>
      </c>
      <c r="O294" s="173">
        <v>5.5179593961478535E-2</v>
      </c>
      <c r="P294" s="172"/>
      <c r="Q294" s="173">
        <v>-2.9600394671930319E-3</v>
      </c>
      <c r="R294" s="173">
        <v>0</v>
      </c>
      <c r="S294" s="173">
        <v>0.1251855517070759</v>
      </c>
      <c r="T294" s="173">
        <v>6.3910876575784314E-2</v>
      </c>
      <c r="U294" s="172"/>
      <c r="V294" s="173">
        <v>0</v>
      </c>
      <c r="W294" s="173">
        <v>0</v>
      </c>
      <c r="X294" s="173">
        <v>0.14411683659410279</v>
      </c>
      <c r="Y294" s="173">
        <v>3.3598265895953938E-2</v>
      </c>
      <c r="Z294" s="172"/>
      <c r="AA294" s="173">
        <v>0</v>
      </c>
      <c r="AB294" s="173">
        <v>0</v>
      </c>
      <c r="AC294" s="173">
        <v>3.3438191774437964E-2</v>
      </c>
      <c r="AD294" s="173">
        <v>4.1600901916572619E-2</v>
      </c>
      <c r="AE294" s="172"/>
      <c r="AF294" s="173">
        <v>3.1929862539235909E-2</v>
      </c>
      <c r="AG294" s="173">
        <v>4.3318649045521296E-2</v>
      </c>
      <c r="AH294" s="173">
        <v>3.5990750980194885E-2</v>
      </c>
      <c r="AI294" s="173">
        <v>0</v>
      </c>
      <c r="AJ294" s="172"/>
      <c r="AK294" s="173">
        <v>-1.0480349344978102E-2</v>
      </c>
      <c r="AL294" s="173">
        <v>-3.7265862508581993E-3</v>
      </c>
      <c r="AM294" s="173">
        <v>1.9293237523378304E-2</v>
      </c>
      <c r="AN294" s="173">
        <v>1.6320618058908609E-2</v>
      </c>
      <c r="AO294" s="172"/>
      <c r="AP294" s="173">
        <v>4.1809198023563532E-3</v>
      </c>
      <c r="AQ294" s="173">
        <v>4.2392127176381633E-2</v>
      </c>
      <c r="AR294" s="173">
        <v>0</v>
      </c>
      <c r="AS294" s="173">
        <v>0</v>
      </c>
      <c r="AT294" s="172"/>
      <c r="AU294" s="173">
        <v>0</v>
      </c>
      <c r="AV294" s="173">
        <v>1.6702977487291326E-2</v>
      </c>
      <c r="AW294" s="173">
        <v>3.2321428571428612E-2</v>
      </c>
      <c r="AX294" s="173">
        <v>3.4163639508735466E-2</v>
      </c>
      <c r="AY294" s="172"/>
      <c r="AZ294" s="173">
        <v>0</v>
      </c>
      <c r="BA294" s="173">
        <v>3.1195115831730291E-2</v>
      </c>
      <c r="BB294" s="173">
        <v>0</v>
      </c>
      <c r="BC294" s="173">
        <v>-5.1905920519058624E-3</v>
      </c>
      <c r="BD294" s="172"/>
      <c r="BE294" s="173">
        <v>-5.9514104027393877E-3</v>
      </c>
      <c r="BF294" s="173">
        <v>3.0017222996801651E-2</v>
      </c>
      <c r="BG294" s="173">
        <v>0</v>
      </c>
      <c r="BH294" s="173">
        <v>4.7535631817819946E-2</v>
      </c>
      <c r="BI294" s="174"/>
      <c r="BJ294" s="175">
        <v>6.0930373973852259E-2</v>
      </c>
      <c r="BK294" s="175">
        <v>5.8127211242359866E-2</v>
      </c>
      <c r="BL294" s="175">
        <v>5.5561865911149866E-2</v>
      </c>
      <c r="BM294" s="175">
        <v>2.6603146885820772E-2</v>
      </c>
      <c r="BN294" s="172"/>
      <c r="BO294" s="175">
        <v>2.6050147546793356E-2</v>
      </c>
      <c r="BP294" s="175">
        <v>2.5518965237358415E-2</v>
      </c>
      <c r="BQ294" s="175">
        <v>2.5008372280671765E-2</v>
      </c>
      <c r="BR294" s="175">
        <v>0</v>
      </c>
      <c r="BS294" s="172"/>
      <c r="BT294" s="172"/>
      <c r="BU294" s="172"/>
      <c r="BV294" s="172"/>
      <c r="BW294" s="176"/>
    </row>
    <row r="295" spans="1:75" s="177" customFormat="1" ht="14.25" hidden="1" outlineLevel="2" x14ac:dyDescent="0.45">
      <c r="A295" s="170" t="s">
        <v>451</v>
      </c>
      <c r="B295" s="171"/>
      <c r="C295" s="172"/>
      <c r="D295" s="172"/>
      <c r="E295" s="172"/>
      <c r="F295" s="172"/>
      <c r="G295" s="173"/>
      <c r="H295" s="173"/>
      <c r="I295" s="173"/>
      <c r="J295" s="173"/>
      <c r="K295" s="172"/>
      <c r="L295" s="173"/>
      <c r="M295" s="173"/>
      <c r="N295" s="173"/>
      <c r="O295" s="173"/>
      <c r="P295" s="172">
        <v>9.6268253109788926E-2</v>
      </c>
      <c r="Q295" s="173">
        <v>0.10417046075396086</v>
      </c>
      <c r="R295" s="173">
        <v>7.3287307488050901E-2</v>
      </c>
      <c r="S295" s="173">
        <v>0.18375845913586697</v>
      </c>
      <c r="T295" s="173">
        <v>0.19355369182700222</v>
      </c>
      <c r="U295" s="172">
        <v>0.19355369182700222</v>
      </c>
      <c r="V295" s="173">
        <v>0.19709714662708255</v>
      </c>
      <c r="W295" s="173">
        <v>0.19709714662708255</v>
      </c>
      <c r="X295" s="173">
        <v>0.21723834652594531</v>
      </c>
      <c r="Y295" s="173">
        <v>0.18255717828602913</v>
      </c>
      <c r="Z295" s="172">
        <v>0.18255717828602913</v>
      </c>
      <c r="AA295" s="173">
        <v>0.18255717828602913</v>
      </c>
      <c r="AB295" s="173">
        <v>0.18255717828602913</v>
      </c>
      <c r="AC295" s="173">
        <v>6.8159922928709316E-2</v>
      </c>
      <c r="AD295" s="173">
        <v>7.6430152627286363E-2</v>
      </c>
      <c r="AE295" s="172">
        <v>7.6430152627286363E-2</v>
      </c>
      <c r="AF295" s="173">
        <v>0.1108004194337644</v>
      </c>
      <c r="AG295" s="173">
        <v>0.15891879296283329</v>
      </c>
      <c r="AH295" s="173">
        <v>0.16178128523111579</v>
      </c>
      <c r="AI295" s="173">
        <v>0.11538045242991646</v>
      </c>
      <c r="AJ295" s="172">
        <v>0.11538045242991646</v>
      </c>
      <c r="AK295" s="173">
        <v>6.9540591567023302E-2</v>
      </c>
      <c r="AL295" s="173">
        <v>2.1312958681009242E-2</v>
      </c>
      <c r="AM295" s="173">
        <v>4.8520135856380264E-3</v>
      </c>
      <c r="AN295" s="173">
        <v>2.1251819505094582E-2</v>
      </c>
      <c r="AO295" s="172">
        <v>2.1251819505094582E-2</v>
      </c>
      <c r="AP295" s="173">
        <v>3.638324997548259E-2</v>
      </c>
      <c r="AQ295" s="173">
        <v>8.4358696722118154E-2</v>
      </c>
      <c r="AR295" s="173">
        <v>6.3833896668276102E-2</v>
      </c>
      <c r="AS295" s="173">
        <v>4.6750285062713948E-2</v>
      </c>
      <c r="AT295" s="172">
        <v>4.6750285062713948E-2</v>
      </c>
      <c r="AU295" s="173">
        <v>4.2392127176381633E-2</v>
      </c>
      <c r="AV295" s="173">
        <v>1.6702977487291326E-2</v>
      </c>
      <c r="AW295" s="173">
        <v>4.9564270152505641E-2</v>
      </c>
      <c r="AX295" s="173">
        <v>8.5421205519244925E-2</v>
      </c>
      <c r="AY295" s="172">
        <v>8.5421205519244925E-2</v>
      </c>
      <c r="AZ295" s="173">
        <v>8.5421205519244925E-2</v>
      </c>
      <c r="BA295" s="173">
        <v>0.10089285714285712</v>
      </c>
      <c r="BB295" s="173">
        <v>6.6424494032174319E-2</v>
      </c>
      <c r="BC295" s="173">
        <v>2.5842602659529978E-2</v>
      </c>
      <c r="BD295" s="172">
        <v>2.5842602659529978E-2</v>
      </c>
      <c r="BE295" s="173">
        <v>1.9737392322488834E-2</v>
      </c>
      <c r="BF295" s="173">
        <v>1.8572587185725853E-2</v>
      </c>
      <c r="BG295" s="173">
        <v>1.8572587185725853E-2</v>
      </c>
      <c r="BH295" s="173">
        <v>7.2558291211478831E-2</v>
      </c>
      <c r="BI295" s="174">
        <v>7.2558291211478831E-2</v>
      </c>
      <c r="BJ295" s="175">
        <v>0.14472238169441498</v>
      </c>
      <c r="BK295" s="175">
        <v>0.17596276484086015</v>
      </c>
      <c r="BL295" s="175">
        <v>0.24130145029745309</v>
      </c>
      <c r="BM295" s="175">
        <v>0.21649702062919429</v>
      </c>
      <c r="BN295" s="172">
        <v>0.21649702062919451</v>
      </c>
      <c r="BO295" s="175">
        <v>0.17650222684413608</v>
      </c>
      <c r="BP295" s="175">
        <v>0.14024602472518444</v>
      </c>
      <c r="BQ295" s="175">
        <v>0.10724132762621674</v>
      </c>
      <c r="BR295" s="175">
        <v>7.8548542331094762E-2</v>
      </c>
      <c r="BS295" s="172">
        <v>7.854854233109454E-2</v>
      </c>
      <c r="BT295" s="172">
        <v>2.4517228366302879E-2</v>
      </c>
      <c r="BU295" s="172">
        <v>0</v>
      </c>
      <c r="BV295" s="172">
        <v>0</v>
      </c>
      <c r="BW295" s="176"/>
    </row>
    <row r="296" spans="1:75" s="198" customFormat="1" ht="14.25" hidden="1" outlineLevel="2" x14ac:dyDescent="0.45">
      <c r="A296" s="206" t="s">
        <v>452</v>
      </c>
      <c r="B296" s="207"/>
      <c r="C296" s="208"/>
      <c r="D296" s="208"/>
      <c r="E296" s="208"/>
      <c r="F296" s="208"/>
      <c r="G296" s="209"/>
      <c r="H296" s="209"/>
      <c r="I296" s="209"/>
      <c r="J296" s="209"/>
      <c r="K296" s="208"/>
      <c r="L296" s="209">
        <v>551.90000000000009</v>
      </c>
      <c r="M296" s="209">
        <v>557.00000000000011</v>
      </c>
      <c r="N296" s="209">
        <v>570.60000000000014</v>
      </c>
      <c r="O296" s="209">
        <v>592.20000000000005</v>
      </c>
      <c r="P296" s="208">
        <v>567.92500000000007</v>
      </c>
      <c r="Q296" s="209">
        <v>607.20000000000005</v>
      </c>
      <c r="R296" s="209">
        <v>606.30000000000007</v>
      </c>
      <c r="S296" s="209">
        <v>644.25000000000011</v>
      </c>
      <c r="T296" s="209">
        <v>704.00000000000023</v>
      </c>
      <c r="U296" s="208">
        <v>640.43750000000011</v>
      </c>
      <c r="V296" s="209">
        <v>725.80000000000018</v>
      </c>
      <c r="W296" s="209">
        <v>725.80000000000018</v>
      </c>
      <c r="X296" s="209">
        <v>778.10000000000014</v>
      </c>
      <c r="Y296" s="209">
        <v>844.35000000000014</v>
      </c>
      <c r="Z296" s="208">
        <v>768.51250000000016</v>
      </c>
      <c r="AA296" s="209">
        <v>858.30000000000018</v>
      </c>
      <c r="AB296" s="209">
        <v>858.30000000000018</v>
      </c>
      <c r="AC296" s="209">
        <v>872.6500000000002</v>
      </c>
      <c r="AD296" s="209">
        <v>905.45000000000016</v>
      </c>
      <c r="AE296" s="208">
        <v>874.27452830188702</v>
      </c>
      <c r="AF296" s="209">
        <v>938.65000000000009</v>
      </c>
      <c r="AG296" s="209">
        <v>974.05000000000007</v>
      </c>
      <c r="AH296" s="209">
        <v>1012.6</v>
      </c>
      <c r="AI296" s="209">
        <v>1030.5</v>
      </c>
      <c r="AJ296" s="208">
        <v>988.95000000000016</v>
      </c>
      <c r="AK296" s="209">
        <v>1025.0999999999999</v>
      </c>
      <c r="AL296" s="209">
        <v>1017.8</v>
      </c>
      <c r="AM296" s="209">
        <v>1025.7</v>
      </c>
      <c r="AN296" s="209">
        <v>1043.9499999999998</v>
      </c>
      <c r="AO296" s="208">
        <v>1028.1374999999998</v>
      </c>
      <c r="AP296" s="209">
        <v>1054.5999999999999</v>
      </c>
      <c r="AQ296" s="209">
        <v>1079.1999999999998</v>
      </c>
      <c r="AR296" s="209">
        <v>1101.5999999999999</v>
      </c>
      <c r="AS296" s="209">
        <v>1101.5999999999999</v>
      </c>
      <c r="AT296" s="208">
        <v>1084.2499999999998</v>
      </c>
      <c r="AU296" s="209">
        <v>1101.5999999999999</v>
      </c>
      <c r="AV296" s="209">
        <v>1110.8</v>
      </c>
      <c r="AW296" s="209">
        <v>1138.0999999999999</v>
      </c>
      <c r="AX296" s="209">
        <v>1175.95</v>
      </c>
      <c r="AY296" s="208">
        <v>1131.6125</v>
      </c>
      <c r="AZ296" s="209">
        <v>1195.7</v>
      </c>
      <c r="BA296" s="209">
        <v>1214.3499999999999</v>
      </c>
      <c r="BB296" s="209">
        <v>1233</v>
      </c>
      <c r="BC296" s="209">
        <v>1229.8000000000002</v>
      </c>
      <c r="BD296" s="208">
        <v>1218.2124999999999</v>
      </c>
      <c r="BE296" s="209">
        <v>1222.95</v>
      </c>
      <c r="BF296" s="209">
        <v>1237.5999999999999</v>
      </c>
      <c r="BG296" s="209">
        <v>1255.9000000000001</v>
      </c>
      <c r="BH296" s="209">
        <v>1285.75</v>
      </c>
      <c r="BI296" s="210">
        <v>1251.2141509433964</v>
      </c>
      <c r="BJ296" s="209">
        <v>1355.6800000000003</v>
      </c>
      <c r="BK296" s="209">
        <v>1436.3258181818182</v>
      </c>
      <c r="BL296" s="209">
        <v>1517.921063896104</v>
      </c>
      <c r="BM296" s="209">
        <v>1579.6869858841699</v>
      </c>
      <c r="BN296" s="208">
        <v>1472.4034669905229</v>
      </c>
      <c r="BO296" s="209">
        <v>1621.2691142398701</v>
      </c>
      <c r="BP296" s="209">
        <v>1663.0672827267404</v>
      </c>
      <c r="BQ296" s="209">
        <v>1705.0771145732119</v>
      </c>
      <c r="BR296" s="209">
        <v>1726.1344118329146</v>
      </c>
      <c r="BS296" s="208">
        <v>1678.8869808431841</v>
      </c>
      <c r="BT296" s="208">
        <v>1747.2944276158353</v>
      </c>
      <c r="BU296" s="208">
        <v>1768.454443398756</v>
      </c>
      <c r="BV296" s="208">
        <v>1768.454443398756</v>
      </c>
      <c r="BW296" s="197"/>
    </row>
    <row r="297" spans="1:75" s="162" customFormat="1" ht="7.5" hidden="1" customHeight="1" outlineLevel="2" x14ac:dyDescent="0.45">
      <c r="A297" s="178"/>
      <c r="B297" s="179"/>
      <c r="C297" s="180"/>
      <c r="D297" s="180"/>
      <c r="E297" s="180"/>
      <c r="F297" s="180"/>
      <c r="G297" s="181"/>
      <c r="H297" s="181"/>
      <c r="I297" s="181"/>
      <c r="J297" s="181"/>
      <c r="K297" s="180"/>
      <c r="L297" s="181"/>
      <c r="M297" s="181"/>
      <c r="N297" s="181"/>
      <c r="O297" s="181"/>
      <c r="P297" s="180"/>
      <c r="Q297" s="181"/>
      <c r="R297" s="181"/>
      <c r="S297" s="181"/>
      <c r="T297" s="181"/>
      <c r="U297" s="180"/>
      <c r="V297" s="181"/>
      <c r="W297" s="181"/>
      <c r="X297" s="181"/>
      <c r="Y297" s="181"/>
      <c r="Z297" s="180"/>
      <c r="AA297" s="181"/>
      <c r="AB297" s="181"/>
      <c r="AC297" s="181"/>
      <c r="AD297" s="181"/>
      <c r="AE297" s="180"/>
      <c r="AF297" s="181"/>
      <c r="AG297" s="181"/>
      <c r="AH297" s="181"/>
      <c r="AI297" s="181"/>
      <c r="AJ297" s="180"/>
      <c r="AK297" s="181"/>
      <c r="AL297" s="181"/>
      <c r="AM297" s="181"/>
      <c r="AN297" s="181"/>
      <c r="AO297" s="180"/>
      <c r="AP297" s="181"/>
      <c r="AQ297" s="181"/>
      <c r="AR297" s="181"/>
      <c r="AS297" s="181"/>
      <c r="AT297" s="180"/>
      <c r="AU297" s="181"/>
      <c r="AV297" s="181"/>
      <c r="AW297" s="181"/>
      <c r="AX297" s="181"/>
      <c r="AY297" s="180"/>
      <c r="AZ297" s="181"/>
      <c r="BA297" s="181"/>
      <c r="BB297" s="181"/>
      <c r="BC297" s="181"/>
      <c r="BD297" s="180"/>
      <c r="BE297" s="181"/>
      <c r="BF297" s="181"/>
      <c r="BG297" s="181"/>
      <c r="BH297" s="181"/>
      <c r="BI297" s="182"/>
      <c r="BJ297" s="183"/>
      <c r="BK297" s="183"/>
      <c r="BL297" s="183"/>
      <c r="BM297" s="183"/>
      <c r="BN297" s="180"/>
      <c r="BO297" s="183"/>
      <c r="BP297" s="183"/>
      <c r="BQ297" s="183"/>
      <c r="BR297" s="183"/>
      <c r="BS297" s="180"/>
      <c r="BT297" s="180"/>
      <c r="BU297" s="180"/>
      <c r="BV297" s="180"/>
      <c r="BW297" s="161"/>
    </row>
    <row r="298" spans="1:75" s="370" customFormat="1" hidden="1" outlineLevel="2" x14ac:dyDescent="0.5">
      <c r="A298" s="364" t="s">
        <v>453</v>
      </c>
      <c r="B298" s="365"/>
      <c r="C298" s="366"/>
      <c r="D298" s="366"/>
      <c r="E298" s="366"/>
      <c r="F298" s="366"/>
      <c r="G298" s="367"/>
      <c r="H298" s="367"/>
      <c r="I298" s="367"/>
      <c r="J298" s="367"/>
      <c r="K298" s="366"/>
      <c r="L298" s="367">
        <v>617.22413480703028</v>
      </c>
      <c r="M298" s="367">
        <v>733.59784560143623</v>
      </c>
      <c r="N298" s="367">
        <v>794.09919383105489</v>
      </c>
      <c r="O298" s="367">
        <v>917.67814927389384</v>
      </c>
      <c r="P298" s="366">
        <v>3074.0361843553283</v>
      </c>
      <c r="Q298" s="367">
        <v>645.46113306982863</v>
      </c>
      <c r="R298" s="367">
        <v>785.51212271152883</v>
      </c>
      <c r="S298" s="367">
        <v>761.29918509895208</v>
      </c>
      <c r="T298" s="367">
        <v>863.00994318181802</v>
      </c>
      <c r="U298" s="366">
        <v>3070.0981750756314</v>
      </c>
      <c r="V298" s="367">
        <v>588.94461284100294</v>
      </c>
      <c r="W298" s="367">
        <v>671.69743731055371</v>
      </c>
      <c r="X298" s="367">
        <v>623.34789872766999</v>
      </c>
      <c r="Y298" s="367">
        <v>610.46130159294091</v>
      </c>
      <c r="Z298" s="366">
        <v>2492.4044826857071</v>
      </c>
      <c r="AA298" s="367">
        <v>556.24839799603853</v>
      </c>
      <c r="AB298" s="367">
        <v>620.63730630315729</v>
      </c>
      <c r="AC298" s="367">
        <v>598.1481693691627</v>
      </c>
      <c r="AD298" s="367">
        <v>642.26296316748562</v>
      </c>
      <c r="AE298" s="366">
        <v>2417.5838727742994</v>
      </c>
      <c r="AF298" s="367">
        <v>514.36318116443817</v>
      </c>
      <c r="AG298" s="367">
        <v>584.88167958523695</v>
      </c>
      <c r="AH298" s="367">
        <v>550.1896109026269</v>
      </c>
      <c r="AI298" s="367">
        <v>569.47016011644848</v>
      </c>
      <c r="AJ298" s="366">
        <v>2221.0142069872081</v>
      </c>
      <c r="AK298" s="367">
        <v>495.66481318895723</v>
      </c>
      <c r="AL298" s="367">
        <v>607.61249754372182</v>
      </c>
      <c r="AM298" s="367">
        <v>570.02827337428096</v>
      </c>
      <c r="AN298" s="367">
        <v>557.19526797260369</v>
      </c>
      <c r="AO298" s="366">
        <v>2230.1452869873924</v>
      </c>
      <c r="AP298" s="367">
        <v>419.83406030722551</v>
      </c>
      <c r="AQ298" s="367">
        <v>583.56838398813932</v>
      </c>
      <c r="AR298" s="367">
        <v>680.81154684095873</v>
      </c>
      <c r="AS298" s="367">
        <v>653.04647785039936</v>
      </c>
      <c r="AT298" s="366">
        <v>2344.4058104680662</v>
      </c>
      <c r="AU298" s="367">
        <v>687.65704429920117</v>
      </c>
      <c r="AV298" s="367">
        <v>791.60785019805564</v>
      </c>
      <c r="AW298" s="367">
        <v>779.948159212723</v>
      </c>
      <c r="AX298" s="367">
        <v>672.08809898380025</v>
      </c>
      <c r="AY298" s="366">
        <v>2929.3083984137679</v>
      </c>
      <c r="AZ298" s="367">
        <v>701.63753449862008</v>
      </c>
      <c r="BA298" s="367">
        <v>717.40601968131102</v>
      </c>
      <c r="BB298" s="367">
        <v>614.16058394160586</v>
      </c>
      <c r="BC298" s="367">
        <v>545.81883233045983</v>
      </c>
      <c r="BD298" s="366">
        <v>2576.4289891952353</v>
      </c>
      <c r="BE298" s="367">
        <v>518.02281368821286</v>
      </c>
      <c r="BF298" s="367">
        <v>561.20717517776347</v>
      </c>
      <c r="BG298" s="367">
        <v>512.8282506568994</v>
      </c>
      <c r="BH298" s="367">
        <v>481.03441571067486</v>
      </c>
      <c r="BI298" s="368">
        <v>2070.4824973780183</v>
      </c>
      <c r="BJ298" s="367">
        <v>453.26996197718626</v>
      </c>
      <c r="BK298" s="367">
        <v>510.69852941176475</v>
      </c>
      <c r="BL298" s="367">
        <v>492.31512063062343</v>
      </c>
      <c r="BM298" s="367">
        <v>442.55166245382088</v>
      </c>
      <c r="BN298" s="366">
        <v>1897.8541963812843</v>
      </c>
      <c r="BO298" s="367">
        <v>457.8026615969581</v>
      </c>
      <c r="BP298" s="367">
        <v>515.80551470588239</v>
      </c>
      <c r="BQ298" s="367">
        <v>507.08457424954213</v>
      </c>
      <c r="BR298" s="367">
        <v>446.97717907835909</v>
      </c>
      <c r="BS298" s="366">
        <v>1927.5875155176777</v>
      </c>
      <c r="BT298" s="366">
        <v>1966.1392658280313</v>
      </c>
      <c r="BU298" s="366">
        <v>2005.4620511445919</v>
      </c>
      <c r="BV298" s="366">
        <v>2045.5712921674838</v>
      </c>
      <c r="BW298" s="369"/>
    </row>
    <row r="299" spans="1:75" s="177" customFormat="1" ht="14.25" hidden="1" outlineLevel="2" x14ac:dyDescent="0.45">
      <c r="A299" s="189" t="s">
        <v>454</v>
      </c>
      <c r="B299" s="171"/>
      <c r="C299" s="172"/>
      <c r="D299" s="172"/>
      <c r="E299" s="172"/>
      <c r="F299" s="172"/>
      <c r="G299" s="173"/>
      <c r="H299" s="173"/>
      <c r="I299" s="173"/>
      <c r="J299" s="173"/>
      <c r="K299" s="172"/>
      <c r="L299" s="173"/>
      <c r="M299" s="173"/>
      <c r="N299" s="173"/>
      <c r="O299" s="173"/>
      <c r="P299" s="172"/>
      <c r="Q299" s="173">
        <v>4.5748370276587513E-2</v>
      </c>
      <c r="R299" s="173">
        <v>7.0766670623917838E-2</v>
      </c>
      <c r="S299" s="173">
        <v>-4.1304674512843031E-2</v>
      </c>
      <c r="T299" s="173">
        <v>-5.9572308804924257E-2</v>
      </c>
      <c r="U299" s="172">
        <v>-1.2810549530088977E-3</v>
      </c>
      <c r="V299" s="173">
        <v>-8.7559912337450529E-2</v>
      </c>
      <c r="W299" s="173">
        <v>-0.14489233470782781</v>
      </c>
      <c r="X299" s="173">
        <v>-0.18120508871075636</v>
      </c>
      <c r="Y299" s="173">
        <v>-0.29263700098026613</v>
      </c>
      <c r="Z299" s="172">
        <v>-0.18816782377836916</v>
      </c>
      <c r="AA299" s="173">
        <v>-5.5516620972626773E-2</v>
      </c>
      <c r="AB299" s="173">
        <v>-7.6016563665686876E-2</v>
      </c>
      <c r="AC299" s="173">
        <v>-4.0426428660372604E-2</v>
      </c>
      <c r="AD299" s="173">
        <v>5.2094475917738414E-2</v>
      </c>
      <c r="AE299" s="172">
        <v>-3.0019449263220865E-2</v>
      </c>
      <c r="AF299" s="173">
        <v>-7.5299483077160501E-2</v>
      </c>
      <c r="AG299" s="173">
        <v>-5.7611146405135871E-2</v>
      </c>
      <c r="AH299" s="173">
        <v>-8.0178392114976016E-2</v>
      </c>
      <c r="AI299" s="173">
        <v>-0.11333800518722215</v>
      </c>
      <c r="AJ299" s="172">
        <v>-8.1308312816265493E-2</v>
      </c>
      <c r="AK299" s="173">
        <v>-3.6352461957231741E-2</v>
      </c>
      <c r="AL299" s="173">
        <v>3.8863959586841856E-2</v>
      </c>
      <c r="AM299" s="173">
        <v>3.6057864558924013E-2</v>
      </c>
      <c r="AN299" s="173">
        <v>-2.1554934750812493E-2</v>
      </c>
      <c r="AO299" s="172">
        <v>4.1112208879432455E-3</v>
      </c>
      <c r="AP299" s="173">
        <v>-0.15298796861100472</v>
      </c>
      <c r="AQ299" s="173">
        <v>-3.9571459857690616E-2</v>
      </c>
      <c r="AR299" s="173">
        <v>0.19434698003819428</v>
      </c>
      <c r="AS299" s="173">
        <v>0.17202445065005212</v>
      </c>
      <c r="AT299" s="172">
        <v>5.1234564917079117E-2</v>
      </c>
      <c r="AU299" s="173">
        <v>0.63792581239356472</v>
      </c>
      <c r="AV299" s="173">
        <v>0.35649543724107002</v>
      </c>
      <c r="AW299" s="173">
        <v>0.14561535102007173</v>
      </c>
      <c r="AX299" s="173">
        <v>2.9158140774419694E-2</v>
      </c>
      <c r="AY299" s="172">
        <v>0.24948862749530742</v>
      </c>
      <c r="AZ299" s="173">
        <v>2.0330614388843538E-2</v>
      </c>
      <c r="BA299" s="173">
        <v>-9.3735592058845518E-2</v>
      </c>
      <c r="BB299" s="173">
        <v>-0.21256230085658845</v>
      </c>
      <c r="BC299" s="173">
        <v>-0.18787606393307665</v>
      </c>
      <c r="BD299" s="172">
        <v>-0.1204650931972947</v>
      </c>
      <c r="BE299" s="173">
        <v>-0.26169455278873532</v>
      </c>
      <c r="BF299" s="173">
        <v>-0.21772725655819669</v>
      </c>
      <c r="BG299" s="173">
        <v>-0.16499322153559293</v>
      </c>
      <c r="BH299" s="173">
        <v>-0.11869216080943501</v>
      </c>
      <c r="BI299" s="174">
        <v>-0.19637509667023767</v>
      </c>
      <c r="BJ299" s="190">
        <v>-0.125</v>
      </c>
      <c r="BK299" s="190">
        <v>-0.09</v>
      </c>
      <c r="BL299" s="190">
        <v>-0.04</v>
      </c>
      <c r="BM299" s="190">
        <v>-0.08</v>
      </c>
      <c r="BN299" s="172">
        <v>-8.3375880363801169E-2</v>
      </c>
      <c r="BO299" s="190">
        <v>0.01</v>
      </c>
      <c r="BP299" s="190">
        <v>0.01</v>
      </c>
      <c r="BQ299" s="190">
        <v>0.03</v>
      </c>
      <c r="BR299" s="190">
        <v>0.01</v>
      </c>
      <c r="BS299" s="172">
        <v>1.5666808964085455E-2</v>
      </c>
      <c r="BT299" s="191">
        <v>0.02</v>
      </c>
      <c r="BU299" s="191">
        <v>0.02</v>
      </c>
      <c r="BV299" s="191">
        <v>0.02</v>
      </c>
      <c r="BW299" s="176"/>
    </row>
    <row r="300" spans="1:75" s="198" customFormat="1" ht="7.5" hidden="1" customHeight="1" outlineLevel="2" x14ac:dyDescent="0.45">
      <c r="A300" s="206"/>
      <c r="B300" s="207"/>
      <c r="C300" s="208"/>
      <c r="D300" s="208"/>
      <c r="E300" s="208"/>
      <c r="F300" s="208"/>
      <c r="G300" s="209"/>
      <c r="H300" s="209"/>
      <c r="I300" s="209"/>
      <c r="J300" s="209"/>
      <c r="K300" s="208"/>
      <c r="L300" s="209"/>
      <c r="M300" s="209"/>
      <c r="N300" s="209"/>
      <c r="O300" s="209"/>
      <c r="P300" s="208"/>
      <c r="Q300" s="209"/>
      <c r="R300" s="209"/>
      <c r="S300" s="209"/>
      <c r="T300" s="209"/>
      <c r="U300" s="208"/>
      <c r="V300" s="209"/>
      <c r="W300" s="209"/>
      <c r="X300" s="209"/>
      <c r="Y300" s="209"/>
      <c r="Z300" s="208"/>
      <c r="AA300" s="209"/>
      <c r="AB300" s="209"/>
      <c r="AC300" s="209"/>
      <c r="AD300" s="209"/>
      <c r="AE300" s="208"/>
      <c r="AF300" s="209"/>
      <c r="AG300" s="209"/>
      <c r="AH300" s="209"/>
      <c r="AI300" s="209"/>
      <c r="AJ300" s="208"/>
      <c r="AK300" s="209"/>
      <c r="AL300" s="209"/>
      <c r="AM300" s="209"/>
      <c r="AN300" s="209"/>
      <c r="AO300" s="208"/>
      <c r="AP300" s="209"/>
      <c r="AQ300" s="209"/>
      <c r="AR300" s="209"/>
      <c r="AS300" s="209"/>
      <c r="AT300" s="208"/>
      <c r="AU300" s="209"/>
      <c r="AV300" s="209"/>
      <c r="AW300" s="209"/>
      <c r="AX300" s="209"/>
      <c r="AY300" s="208"/>
      <c r="AZ300" s="209"/>
      <c r="BA300" s="209"/>
      <c r="BB300" s="209"/>
      <c r="BC300" s="209"/>
      <c r="BD300" s="208"/>
      <c r="BE300" s="209"/>
      <c r="BF300" s="209"/>
      <c r="BG300" s="209"/>
      <c r="BH300" s="209"/>
      <c r="BI300" s="210"/>
      <c r="BJ300" s="209"/>
      <c r="BK300" s="209"/>
      <c r="BL300" s="209"/>
      <c r="BM300" s="209"/>
      <c r="BN300" s="208"/>
      <c r="BO300" s="209"/>
      <c r="BP300" s="209"/>
      <c r="BQ300" s="209"/>
      <c r="BR300" s="209"/>
      <c r="BS300" s="208"/>
      <c r="BT300" s="208"/>
      <c r="BU300" s="208"/>
      <c r="BV300" s="208"/>
      <c r="BW300" s="197"/>
    </row>
    <row r="301" spans="1:75" s="198" customFormat="1" ht="14.25" hidden="1" outlineLevel="2" x14ac:dyDescent="0.45">
      <c r="A301" s="192" t="s">
        <v>455</v>
      </c>
      <c r="B301" s="193"/>
      <c r="C301" s="194"/>
      <c r="D301" s="194">
        <v>741.32399999999996</v>
      </c>
      <c r="E301" s="194">
        <v>914.35300000000007</v>
      </c>
      <c r="F301" s="194">
        <v>1125.8119999999999</v>
      </c>
      <c r="G301" s="195">
        <v>286.86400000000003</v>
      </c>
      <c r="H301" s="195">
        <v>361.702</v>
      </c>
      <c r="I301" s="195">
        <v>373.52600000000001</v>
      </c>
      <c r="J301" s="195">
        <v>434.56199999999995</v>
      </c>
      <c r="K301" s="194">
        <v>1460.779</v>
      </c>
      <c r="L301" s="195">
        <v>340.64600000000007</v>
      </c>
      <c r="M301" s="195">
        <v>408.61400000000003</v>
      </c>
      <c r="N301" s="195">
        <v>453.113</v>
      </c>
      <c r="O301" s="195">
        <v>543.44899999999996</v>
      </c>
      <c r="P301" s="194">
        <v>1745.8220000000001</v>
      </c>
      <c r="Q301" s="195">
        <v>391.92399999999998</v>
      </c>
      <c r="R301" s="195">
        <v>476.25599999999997</v>
      </c>
      <c r="S301" s="195">
        <v>490.46699999999998</v>
      </c>
      <c r="T301" s="195">
        <v>607.55900000000008</v>
      </c>
      <c r="U301" s="194">
        <v>1966.2059999999999</v>
      </c>
      <c r="V301" s="195">
        <v>427.45600000000002</v>
      </c>
      <c r="W301" s="195">
        <v>487.51800000000003</v>
      </c>
      <c r="X301" s="195">
        <v>485.02700000000004</v>
      </c>
      <c r="Y301" s="195">
        <v>515.44299999999976</v>
      </c>
      <c r="Z301" s="194">
        <v>1915.444</v>
      </c>
      <c r="AA301" s="195">
        <v>477.428</v>
      </c>
      <c r="AB301" s="195">
        <v>532.69299999999998</v>
      </c>
      <c r="AC301" s="195">
        <v>521.97399999999993</v>
      </c>
      <c r="AD301" s="195">
        <v>581.53700000000003</v>
      </c>
      <c r="AE301" s="194">
        <v>2113.6320000000001</v>
      </c>
      <c r="AF301" s="195">
        <v>482.80699999999996</v>
      </c>
      <c r="AG301" s="195">
        <v>569.70400000000006</v>
      </c>
      <c r="AH301" s="195">
        <v>557.12199999999996</v>
      </c>
      <c r="AI301" s="195">
        <v>586.83900000000017</v>
      </c>
      <c r="AJ301" s="194">
        <v>2196.4720000000002</v>
      </c>
      <c r="AK301" s="195">
        <v>508.10599999999999</v>
      </c>
      <c r="AL301" s="195">
        <v>618.428</v>
      </c>
      <c r="AM301" s="195">
        <v>584.678</v>
      </c>
      <c r="AN301" s="195">
        <v>581.68399999999951</v>
      </c>
      <c r="AO301" s="194">
        <v>2292.8959999999997</v>
      </c>
      <c r="AP301" s="195">
        <v>442.75700000000001</v>
      </c>
      <c r="AQ301" s="195">
        <v>629.78699999999992</v>
      </c>
      <c r="AR301" s="195">
        <v>749.98200000000008</v>
      </c>
      <c r="AS301" s="195">
        <v>719.39599999999984</v>
      </c>
      <c r="AT301" s="194">
        <v>2541.922</v>
      </c>
      <c r="AU301" s="195">
        <v>757.52300000000002</v>
      </c>
      <c r="AV301" s="195">
        <v>879.3180000000001</v>
      </c>
      <c r="AW301" s="195">
        <v>887.65899999999999</v>
      </c>
      <c r="AX301" s="195">
        <v>790.34199999999987</v>
      </c>
      <c r="AY301" s="194">
        <v>3314.8420000000001</v>
      </c>
      <c r="AZ301" s="195">
        <v>838.94799999999998</v>
      </c>
      <c r="BA301" s="195">
        <v>871.18200000000002</v>
      </c>
      <c r="BB301" s="195">
        <v>757.26</v>
      </c>
      <c r="BC301" s="195">
        <v>671.24799999999959</v>
      </c>
      <c r="BD301" s="194">
        <v>3138.6379999999999</v>
      </c>
      <c r="BE301" s="195">
        <v>633.51599999999996</v>
      </c>
      <c r="BF301" s="195">
        <v>694.55</v>
      </c>
      <c r="BG301" s="195">
        <v>644.06100000000004</v>
      </c>
      <c r="BH301" s="195">
        <v>618.49000000000024</v>
      </c>
      <c r="BI301" s="196">
        <v>2590.6170000000002</v>
      </c>
      <c r="BJ301" s="195">
        <v>614.48902205323191</v>
      </c>
      <c r="BK301" s="195">
        <v>733.52948310160434</v>
      </c>
      <c r="BL301" s="195">
        <v>747.29549167977473</v>
      </c>
      <c r="BM301" s="195">
        <v>699.09310175970484</v>
      </c>
      <c r="BN301" s="194">
        <v>2794.4070985943158</v>
      </c>
      <c r="BO301" s="195">
        <v>742.22131566395524</v>
      </c>
      <c r="BP301" s="195">
        <v>857.8192757573795</v>
      </c>
      <c r="BQ301" s="195">
        <v>864.61830270599489</v>
      </c>
      <c r="BR301" s="195">
        <v>771.54269011115866</v>
      </c>
      <c r="BS301" s="194">
        <v>3236.2015842384881</v>
      </c>
      <c r="BT301" s="194">
        <v>3435.4241830980086</v>
      </c>
      <c r="BU301" s="194">
        <v>3546.5682754142367</v>
      </c>
      <c r="BV301" s="194">
        <v>3617.4996409225218</v>
      </c>
      <c r="BW301" s="197"/>
    </row>
    <row r="302" spans="1:75" s="177" customFormat="1" ht="14.25" hidden="1" outlineLevel="2" x14ac:dyDescent="0.45">
      <c r="A302" s="170" t="s">
        <v>456</v>
      </c>
      <c r="B302" s="171"/>
      <c r="C302" s="172"/>
      <c r="D302" s="172"/>
      <c r="E302" s="172">
        <v>0.23340536661432809</v>
      </c>
      <c r="F302" s="172">
        <v>0.23126626149856766</v>
      </c>
      <c r="G302" s="173"/>
      <c r="H302" s="173"/>
      <c r="I302" s="173"/>
      <c r="J302" s="173"/>
      <c r="K302" s="172">
        <v>0.29753369123796869</v>
      </c>
      <c r="L302" s="173">
        <v>0.18748257013776581</v>
      </c>
      <c r="M302" s="173">
        <v>0.12969792812868053</v>
      </c>
      <c r="N302" s="173">
        <v>0.2130695052017797</v>
      </c>
      <c r="O302" s="173">
        <v>0.25056723781646806</v>
      </c>
      <c r="P302" s="172">
        <v>0.19513081718726788</v>
      </c>
      <c r="Q302" s="173">
        <v>0.15053163694862093</v>
      </c>
      <c r="R302" s="173">
        <v>0.16554009407411385</v>
      </c>
      <c r="S302" s="173">
        <v>8.243859699456868E-2</v>
      </c>
      <c r="T302" s="173">
        <v>0.11796875143757757</v>
      </c>
      <c r="U302" s="172">
        <v>0.12623509154999746</v>
      </c>
      <c r="V302" s="173">
        <v>9.0660434165807713E-2</v>
      </c>
      <c r="W302" s="173">
        <v>2.3646946180205797E-2</v>
      </c>
      <c r="X302" s="173">
        <v>-1.1091469966378886E-2</v>
      </c>
      <c r="Y302" s="173">
        <v>-0.15161655082057923</v>
      </c>
      <c r="Z302" s="172">
        <v>-2.5817233799510286E-2</v>
      </c>
      <c r="AA302" s="173">
        <v>0.11690559964066471</v>
      </c>
      <c r="AB302" s="173">
        <v>9.2663245254534177E-2</v>
      </c>
      <c r="AC302" s="173">
        <v>7.617514076535925E-2</v>
      </c>
      <c r="AD302" s="173">
        <v>0.12822756347452646</v>
      </c>
      <c r="AE302" s="172">
        <v>0.10346843864921151</v>
      </c>
      <c r="AF302" s="173">
        <v>1.1266620307145647E-2</v>
      </c>
      <c r="AG302" s="173">
        <v>6.9479043276333696E-2</v>
      </c>
      <c r="AH302" s="173">
        <v>6.733668726794817E-2</v>
      </c>
      <c r="AI302" s="173">
        <v>9.1172186808408107E-3</v>
      </c>
      <c r="AJ302" s="172">
        <v>3.9193199194561767E-2</v>
      </c>
      <c r="AK302" s="173">
        <v>5.2399820218016702E-2</v>
      </c>
      <c r="AL302" s="173">
        <v>8.5525114796455526E-2</v>
      </c>
      <c r="AM302" s="173">
        <v>4.9461338809093869E-2</v>
      </c>
      <c r="AN302" s="173">
        <v>-8.7843514149548163E-3</v>
      </c>
      <c r="AO302" s="172">
        <v>4.3899489727162289E-2</v>
      </c>
      <c r="AP302" s="173">
        <v>-0.12861292722384698</v>
      </c>
      <c r="AQ302" s="173">
        <v>1.836753833914373E-2</v>
      </c>
      <c r="AR302" s="173">
        <v>0.28272656060258816</v>
      </c>
      <c r="AS302" s="173">
        <v>0.23674709979989217</v>
      </c>
      <c r="AT302" s="172">
        <v>0.1086076298270835</v>
      </c>
      <c r="AU302" s="173">
        <v>0.71092269574507005</v>
      </c>
      <c r="AV302" s="173">
        <v>0.39621491075554149</v>
      </c>
      <c r="AW302" s="173">
        <v>0.18357373910307162</v>
      </c>
      <c r="AX302" s="173">
        <v>9.8618841361364229E-2</v>
      </c>
      <c r="AY302" s="172">
        <v>0.30406912564586963</v>
      </c>
      <c r="AZ302" s="173">
        <v>0.10748848549812995</v>
      </c>
      <c r="BA302" s="173">
        <v>-9.2526253300854178E-3</v>
      </c>
      <c r="BB302" s="173">
        <v>-0.14690213246302919</v>
      </c>
      <c r="BC302" s="173">
        <v>-0.15068666476031933</v>
      </c>
      <c r="BD302" s="172">
        <v>-5.3156078027248421E-2</v>
      </c>
      <c r="BE302" s="173">
        <v>-0.24486857349919189</v>
      </c>
      <c r="BF302" s="173">
        <v>-0.20274982724620116</v>
      </c>
      <c r="BG302" s="173">
        <v>-0.14948498534189048</v>
      </c>
      <c r="BH302" s="173">
        <v>-7.8596882225346554E-2</v>
      </c>
      <c r="BI302" s="174">
        <v>-0.17460471707791714</v>
      </c>
      <c r="BJ302" s="175">
        <v>-3.0033934339098067E-2</v>
      </c>
      <c r="BK302" s="175">
        <v>5.6121925133689965E-2</v>
      </c>
      <c r="BL302" s="175">
        <v>0.16028682326639032</v>
      </c>
      <c r="BM302" s="175">
        <v>0.13032240094375758</v>
      </c>
      <c r="BN302" s="172">
        <v>7.8664695937035622E-2</v>
      </c>
      <c r="BO302" s="175">
        <v>0.20786749482346023</v>
      </c>
      <c r="BP302" s="175">
        <v>0.16944075939556913</v>
      </c>
      <c r="BQ302" s="175">
        <v>0.15699654598812218</v>
      </c>
      <c r="BR302" s="175">
        <v>0.10363367650043909</v>
      </c>
      <c r="BS302" s="172">
        <v>0.15809954314330588</v>
      </c>
      <c r="BT302" s="172">
        <v>6.1560627072741347E-2</v>
      </c>
      <c r="BU302" s="172">
        <v>3.2352363607104806E-2</v>
      </c>
      <c r="BV302" s="172">
        <v>2.0000000000000018E-2</v>
      </c>
      <c r="BW302" s="176"/>
    </row>
    <row r="303" spans="1:75" s="162" customFormat="1" ht="14.25" hidden="1" outlineLevel="2" x14ac:dyDescent="0.45">
      <c r="A303" s="178"/>
      <c r="B303" s="179"/>
      <c r="C303" s="180"/>
      <c r="D303" s="180"/>
      <c r="E303" s="180"/>
      <c r="F303" s="180"/>
      <c r="G303" s="181"/>
      <c r="H303" s="181"/>
      <c r="I303" s="181"/>
      <c r="J303" s="181"/>
      <c r="K303" s="180"/>
      <c r="L303" s="181"/>
      <c r="M303" s="181"/>
      <c r="N303" s="181"/>
      <c r="O303" s="181"/>
      <c r="P303" s="180"/>
      <c r="Q303" s="181"/>
      <c r="R303" s="181"/>
      <c r="S303" s="181"/>
      <c r="T303" s="181"/>
      <c r="U303" s="180"/>
      <c r="V303" s="181"/>
      <c r="W303" s="181"/>
      <c r="X303" s="181"/>
      <c r="Y303" s="181"/>
      <c r="Z303" s="180"/>
      <c r="AA303" s="181"/>
      <c r="AB303" s="181"/>
      <c r="AC303" s="181"/>
      <c r="AD303" s="181"/>
      <c r="AE303" s="180"/>
      <c r="AF303" s="181"/>
      <c r="AG303" s="181"/>
      <c r="AH303" s="181"/>
      <c r="AI303" s="181"/>
      <c r="AJ303" s="180"/>
      <c r="AK303" s="181"/>
      <c r="AL303" s="181"/>
      <c r="AM303" s="181"/>
      <c r="AN303" s="181"/>
      <c r="AO303" s="180"/>
      <c r="AP303" s="181"/>
      <c r="AQ303" s="181"/>
      <c r="AR303" s="181"/>
      <c r="AS303" s="181"/>
      <c r="AT303" s="180"/>
      <c r="AU303" s="181"/>
      <c r="AV303" s="181"/>
      <c r="AW303" s="181"/>
      <c r="AX303" s="181"/>
      <c r="AY303" s="180"/>
      <c r="AZ303" s="181"/>
      <c r="BA303" s="181"/>
      <c r="BB303" s="181"/>
      <c r="BC303" s="181"/>
      <c r="BD303" s="180"/>
      <c r="BE303" s="181"/>
      <c r="BF303" s="181"/>
      <c r="BG303" s="181"/>
      <c r="BH303" s="181"/>
      <c r="BI303" s="182"/>
      <c r="BJ303" s="183"/>
      <c r="BK303" s="183"/>
      <c r="BL303" s="183"/>
      <c r="BM303" s="183"/>
      <c r="BN303" s="180"/>
      <c r="BO303" s="183"/>
      <c r="BP303" s="183"/>
      <c r="BQ303" s="183"/>
      <c r="BR303" s="183"/>
      <c r="BS303" s="180"/>
      <c r="BT303" s="180"/>
      <c r="BU303" s="180"/>
      <c r="BV303" s="180"/>
      <c r="BW303" s="161"/>
    </row>
    <row r="304" spans="1:75" s="198" customFormat="1" ht="14.25" hidden="1" outlineLevel="2" x14ac:dyDescent="0.45">
      <c r="A304" s="242" t="s">
        <v>457</v>
      </c>
      <c r="B304" s="243"/>
      <c r="C304" s="244"/>
      <c r="D304" s="244"/>
      <c r="E304" s="244"/>
      <c r="F304" s="244">
        <v>10</v>
      </c>
      <c r="G304" s="288">
        <v>13</v>
      </c>
      <c r="H304" s="288">
        <v>14</v>
      </c>
      <c r="I304" s="288">
        <v>17</v>
      </c>
      <c r="J304" s="288">
        <v>17</v>
      </c>
      <c r="K304" s="246">
        <v>13</v>
      </c>
      <c r="L304" s="288">
        <v>17</v>
      </c>
      <c r="M304" s="288">
        <v>17</v>
      </c>
      <c r="N304" s="288">
        <v>17</v>
      </c>
      <c r="O304" s="288">
        <v>18</v>
      </c>
      <c r="P304" s="246">
        <v>17</v>
      </c>
      <c r="Q304" s="288">
        <v>17</v>
      </c>
      <c r="R304" s="288">
        <v>17</v>
      </c>
      <c r="S304" s="288">
        <v>15</v>
      </c>
      <c r="T304" s="288">
        <v>17</v>
      </c>
      <c r="U304" s="246">
        <v>17</v>
      </c>
      <c r="V304" s="288">
        <v>17</v>
      </c>
      <c r="W304" s="288">
        <v>19</v>
      </c>
      <c r="X304" s="288">
        <v>23</v>
      </c>
      <c r="Y304" s="168">
        <v>28</v>
      </c>
      <c r="Z304" s="246">
        <v>17</v>
      </c>
      <c r="AA304" s="168">
        <v>28</v>
      </c>
      <c r="AB304" s="168">
        <v>28</v>
      </c>
      <c r="AC304" s="288">
        <v>28</v>
      </c>
      <c r="AD304" s="168">
        <v>31</v>
      </c>
      <c r="AE304" s="246">
        <v>28</v>
      </c>
      <c r="AF304" s="168">
        <v>32</v>
      </c>
      <c r="AG304" s="168">
        <v>32</v>
      </c>
      <c r="AH304" s="288">
        <v>36</v>
      </c>
      <c r="AI304" s="168">
        <v>37</v>
      </c>
      <c r="AJ304" s="246">
        <v>32</v>
      </c>
      <c r="AK304" s="168">
        <v>39</v>
      </c>
      <c r="AL304" s="168">
        <v>40</v>
      </c>
      <c r="AM304" s="288">
        <v>40</v>
      </c>
      <c r="AN304" s="168">
        <v>39</v>
      </c>
      <c r="AO304" s="246">
        <v>39</v>
      </c>
      <c r="AP304" s="168">
        <v>38</v>
      </c>
      <c r="AQ304" s="168">
        <v>38</v>
      </c>
      <c r="AR304" s="289">
        <v>38</v>
      </c>
      <c r="AS304" s="168">
        <v>38</v>
      </c>
      <c r="AT304" s="246">
        <v>38</v>
      </c>
      <c r="AU304" s="168">
        <v>38</v>
      </c>
      <c r="AV304" s="168">
        <v>38</v>
      </c>
      <c r="AW304" s="289">
        <v>38</v>
      </c>
      <c r="AX304" s="168">
        <v>38</v>
      </c>
      <c r="AY304" s="246">
        <v>38</v>
      </c>
      <c r="AZ304" s="168">
        <v>38</v>
      </c>
      <c r="BA304" s="168">
        <v>39</v>
      </c>
      <c r="BB304" s="289">
        <v>39</v>
      </c>
      <c r="BC304" s="168">
        <v>39</v>
      </c>
      <c r="BD304" s="246">
        <v>38</v>
      </c>
      <c r="BE304" s="168">
        <v>37</v>
      </c>
      <c r="BF304" s="168">
        <v>39</v>
      </c>
      <c r="BG304" s="289">
        <v>40</v>
      </c>
      <c r="BH304" s="168">
        <v>42</v>
      </c>
      <c r="BI304" s="290">
        <v>37</v>
      </c>
      <c r="BJ304" s="247">
        <v>42</v>
      </c>
      <c r="BK304" s="247">
        <v>42</v>
      </c>
      <c r="BL304" s="247">
        <v>42</v>
      </c>
      <c r="BM304" s="247">
        <v>42</v>
      </c>
      <c r="BN304" s="244">
        <v>42</v>
      </c>
      <c r="BO304" s="247">
        <v>42</v>
      </c>
      <c r="BP304" s="247">
        <v>42</v>
      </c>
      <c r="BQ304" s="247">
        <v>42</v>
      </c>
      <c r="BR304" s="247">
        <v>42</v>
      </c>
      <c r="BS304" s="244">
        <v>42</v>
      </c>
      <c r="BT304" s="244">
        <v>42</v>
      </c>
      <c r="BU304" s="244">
        <v>42</v>
      </c>
      <c r="BV304" s="244">
        <v>42</v>
      </c>
      <c r="BW304" s="197"/>
    </row>
    <row r="305" spans="1:75" s="123" customFormat="1" hidden="1" outlineLevel="2" x14ac:dyDescent="0.5">
      <c r="A305" s="218" t="s">
        <v>458</v>
      </c>
      <c r="B305" s="251"/>
      <c r="C305" s="252"/>
      <c r="D305" s="252"/>
      <c r="E305" s="252"/>
      <c r="F305" s="252">
        <v>3</v>
      </c>
      <c r="G305" s="253">
        <v>1</v>
      </c>
      <c r="H305" s="253">
        <v>3</v>
      </c>
      <c r="I305" s="253">
        <v>0</v>
      </c>
      <c r="J305" s="253">
        <v>0</v>
      </c>
      <c r="K305" s="252">
        <v>4</v>
      </c>
      <c r="L305" s="253">
        <v>0</v>
      </c>
      <c r="M305" s="253">
        <v>0</v>
      </c>
      <c r="N305" s="253">
        <v>1</v>
      </c>
      <c r="O305" s="253">
        <v>-1</v>
      </c>
      <c r="P305" s="252">
        <v>0</v>
      </c>
      <c r="Q305" s="253">
        <v>0</v>
      </c>
      <c r="R305" s="253">
        <v>-2</v>
      </c>
      <c r="S305" s="253">
        <v>2</v>
      </c>
      <c r="T305" s="253">
        <v>0</v>
      </c>
      <c r="U305" s="252">
        <v>0</v>
      </c>
      <c r="V305" s="253">
        <v>2</v>
      </c>
      <c r="W305" s="253">
        <v>4</v>
      </c>
      <c r="X305" s="253">
        <v>5</v>
      </c>
      <c r="Y305" s="254">
        <v>0</v>
      </c>
      <c r="Z305" s="252">
        <v>11</v>
      </c>
      <c r="AA305" s="254">
        <v>0</v>
      </c>
      <c r="AB305" s="254">
        <v>0</v>
      </c>
      <c r="AC305" s="253">
        <v>3</v>
      </c>
      <c r="AD305" s="254">
        <v>1</v>
      </c>
      <c r="AE305" s="252">
        <v>4</v>
      </c>
      <c r="AF305" s="254">
        <v>0</v>
      </c>
      <c r="AG305" s="254">
        <v>4</v>
      </c>
      <c r="AH305" s="253">
        <v>1</v>
      </c>
      <c r="AI305" s="254">
        <v>2</v>
      </c>
      <c r="AJ305" s="252">
        <v>7</v>
      </c>
      <c r="AK305" s="254">
        <v>1</v>
      </c>
      <c r="AL305" s="254">
        <v>0</v>
      </c>
      <c r="AM305" s="253">
        <v>-1</v>
      </c>
      <c r="AN305" s="254">
        <v>-1</v>
      </c>
      <c r="AO305" s="252">
        <v>-1</v>
      </c>
      <c r="AP305" s="254">
        <v>0</v>
      </c>
      <c r="AQ305" s="254">
        <v>0</v>
      </c>
      <c r="AR305" s="255">
        <v>0</v>
      </c>
      <c r="AS305" s="254">
        <v>0</v>
      </c>
      <c r="AT305" s="252">
        <v>0</v>
      </c>
      <c r="AU305" s="254">
        <v>0</v>
      </c>
      <c r="AV305" s="254">
        <v>0</v>
      </c>
      <c r="AW305" s="255">
        <v>0</v>
      </c>
      <c r="AX305" s="254">
        <v>0</v>
      </c>
      <c r="AY305" s="252">
        <v>0</v>
      </c>
      <c r="AZ305" s="254">
        <v>1</v>
      </c>
      <c r="BA305" s="254">
        <v>0</v>
      </c>
      <c r="BB305" s="255">
        <v>0</v>
      </c>
      <c r="BC305" s="254">
        <v>-2</v>
      </c>
      <c r="BD305" s="252">
        <v>-1</v>
      </c>
      <c r="BE305" s="254">
        <v>2</v>
      </c>
      <c r="BF305" s="254">
        <v>1</v>
      </c>
      <c r="BG305" s="255">
        <v>2</v>
      </c>
      <c r="BH305" s="254">
        <v>0</v>
      </c>
      <c r="BI305" s="260">
        <v>5</v>
      </c>
      <c r="BJ305" s="256">
        <v>0</v>
      </c>
      <c r="BK305" s="256">
        <v>0</v>
      </c>
      <c r="BL305" s="256">
        <v>0</v>
      </c>
      <c r="BM305" s="256">
        <v>0</v>
      </c>
      <c r="BN305" s="252">
        <v>0</v>
      </c>
      <c r="BO305" s="256">
        <v>0</v>
      </c>
      <c r="BP305" s="256">
        <v>0</v>
      </c>
      <c r="BQ305" s="256">
        <v>0</v>
      </c>
      <c r="BR305" s="256">
        <v>0</v>
      </c>
      <c r="BS305" s="252">
        <v>0</v>
      </c>
      <c r="BT305" s="259">
        <v>0</v>
      </c>
      <c r="BU305" s="259">
        <v>0</v>
      </c>
      <c r="BV305" s="259">
        <v>0</v>
      </c>
      <c r="BW305" s="122"/>
    </row>
    <row r="306" spans="1:75" s="198" customFormat="1" ht="14.25" hidden="1" outlineLevel="2" x14ac:dyDescent="0.45">
      <c r="A306" s="276" t="s">
        <v>459</v>
      </c>
      <c r="B306" s="277"/>
      <c r="C306" s="278"/>
      <c r="D306" s="278"/>
      <c r="E306" s="279">
        <v>10</v>
      </c>
      <c r="F306" s="279">
        <v>13</v>
      </c>
      <c r="G306" s="280">
        <v>14</v>
      </c>
      <c r="H306" s="280">
        <v>17</v>
      </c>
      <c r="I306" s="280">
        <v>17</v>
      </c>
      <c r="J306" s="281">
        <v>17</v>
      </c>
      <c r="K306" s="279">
        <v>17</v>
      </c>
      <c r="L306" s="280">
        <v>17</v>
      </c>
      <c r="M306" s="280">
        <v>17</v>
      </c>
      <c r="N306" s="280">
        <v>18</v>
      </c>
      <c r="O306" s="280">
        <v>17</v>
      </c>
      <c r="P306" s="279">
        <v>17</v>
      </c>
      <c r="Q306" s="280">
        <v>17</v>
      </c>
      <c r="R306" s="280">
        <v>15</v>
      </c>
      <c r="S306" s="280">
        <v>17</v>
      </c>
      <c r="T306" s="280">
        <v>17</v>
      </c>
      <c r="U306" s="279">
        <v>17</v>
      </c>
      <c r="V306" s="280">
        <v>19</v>
      </c>
      <c r="W306" s="280">
        <v>23</v>
      </c>
      <c r="X306" s="280">
        <v>28</v>
      </c>
      <c r="Y306" s="371">
        <v>28</v>
      </c>
      <c r="Z306" s="279">
        <v>28</v>
      </c>
      <c r="AA306" s="371">
        <v>28</v>
      </c>
      <c r="AB306" s="371">
        <v>28</v>
      </c>
      <c r="AC306" s="280">
        <v>31</v>
      </c>
      <c r="AD306" s="371">
        <v>32</v>
      </c>
      <c r="AE306" s="279">
        <v>32</v>
      </c>
      <c r="AF306" s="371">
        <v>32</v>
      </c>
      <c r="AG306" s="371">
        <v>36</v>
      </c>
      <c r="AH306" s="280">
        <v>37</v>
      </c>
      <c r="AI306" s="371">
        <v>39</v>
      </c>
      <c r="AJ306" s="279">
        <v>39</v>
      </c>
      <c r="AK306" s="371">
        <v>40</v>
      </c>
      <c r="AL306" s="371">
        <v>40</v>
      </c>
      <c r="AM306" s="280">
        <v>39</v>
      </c>
      <c r="AN306" s="371">
        <v>38</v>
      </c>
      <c r="AO306" s="279">
        <v>38</v>
      </c>
      <c r="AP306" s="371">
        <v>38</v>
      </c>
      <c r="AQ306" s="371">
        <v>38</v>
      </c>
      <c r="AR306" s="372">
        <v>38</v>
      </c>
      <c r="AS306" s="371">
        <v>38</v>
      </c>
      <c r="AT306" s="279">
        <v>38</v>
      </c>
      <c r="AU306" s="371">
        <v>38</v>
      </c>
      <c r="AV306" s="371">
        <v>38</v>
      </c>
      <c r="AW306" s="372">
        <v>38</v>
      </c>
      <c r="AX306" s="371">
        <v>38</v>
      </c>
      <c r="AY306" s="282">
        <v>38</v>
      </c>
      <c r="AZ306" s="371">
        <v>39</v>
      </c>
      <c r="BA306" s="371">
        <v>39</v>
      </c>
      <c r="BB306" s="372">
        <v>39</v>
      </c>
      <c r="BC306" s="371">
        <v>37</v>
      </c>
      <c r="BD306" s="282">
        <v>37</v>
      </c>
      <c r="BE306" s="371">
        <v>39</v>
      </c>
      <c r="BF306" s="371">
        <v>40</v>
      </c>
      <c r="BG306" s="372">
        <v>42</v>
      </c>
      <c r="BH306" s="371">
        <v>42</v>
      </c>
      <c r="BI306" s="286">
        <v>42</v>
      </c>
      <c r="BJ306" s="287">
        <v>42</v>
      </c>
      <c r="BK306" s="287">
        <v>42</v>
      </c>
      <c r="BL306" s="287">
        <v>42</v>
      </c>
      <c r="BM306" s="287">
        <v>42</v>
      </c>
      <c r="BN306" s="278">
        <v>42</v>
      </c>
      <c r="BO306" s="287">
        <v>42</v>
      </c>
      <c r="BP306" s="287">
        <v>42</v>
      </c>
      <c r="BQ306" s="287">
        <v>42</v>
      </c>
      <c r="BR306" s="287">
        <v>42</v>
      </c>
      <c r="BS306" s="278">
        <v>42</v>
      </c>
      <c r="BT306" s="278">
        <v>42</v>
      </c>
      <c r="BU306" s="278">
        <v>42</v>
      </c>
      <c r="BV306" s="278">
        <v>42</v>
      </c>
      <c r="BW306" s="197"/>
    </row>
    <row r="307" spans="1:75" s="177" customFormat="1" ht="14.25" hidden="1" outlineLevel="2" x14ac:dyDescent="0.45">
      <c r="A307" s="373" t="s">
        <v>460</v>
      </c>
      <c r="B307" s="374"/>
      <c r="C307" s="375"/>
      <c r="D307" s="375"/>
      <c r="E307" s="375"/>
      <c r="F307" s="375"/>
      <c r="G307" s="376">
        <v>7.6923076923076872E-2</v>
      </c>
      <c r="H307" s="376">
        <v>0.21428571428571419</v>
      </c>
      <c r="I307" s="376">
        <v>0</v>
      </c>
      <c r="J307" s="376">
        <v>0</v>
      </c>
      <c r="K307" s="375"/>
      <c r="L307" s="376">
        <v>0</v>
      </c>
      <c r="M307" s="376">
        <v>0</v>
      </c>
      <c r="N307" s="376">
        <v>5.8823529411764719E-2</v>
      </c>
      <c r="O307" s="376">
        <v>-5.555555555555558E-2</v>
      </c>
      <c r="P307" s="375"/>
      <c r="Q307" s="376">
        <v>0</v>
      </c>
      <c r="R307" s="376">
        <v>-0.11764705882352944</v>
      </c>
      <c r="S307" s="376">
        <v>0.1333333333333333</v>
      </c>
      <c r="T307" s="376">
        <v>0</v>
      </c>
      <c r="U307" s="375"/>
      <c r="V307" s="376">
        <v>0.11764705882352944</v>
      </c>
      <c r="W307" s="376">
        <v>0.21052631578947367</v>
      </c>
      <c r="X307" s="376">
        <v>0.21739130434782616</v>
      </c>
      <c r="Y307" s="176">
        <v>0</v>
      </c>
      <c r="Z307" s="375"/>
      <c r="AA307" s="176">
        <v>0</v>
      </c>
      <c r="AB307" s="176">
        <v>0</v>
      </c>
      <c r="AC307" s="376">
        <v>0.10714285714285721</v>
      </c>
      <c r="AD307" s="176">
        <v>3.2258064516129004E-2</v>
      </c>
      <c r="AE307" s="375"/>
      <c r="AF307" s="176">
        <v>0</v>
      </c>
      <c r="AG307" s="176">
        <v>0.125</v>
      </c>
      <c r="AH307" s="376">
        <v>2.7777777777777679E-2</v>
      </c>
      <c r="AI307" s="176">
        <v>5.4054054054053946E-2</v>
      </c>
      <c r="AJ307" s="375"/>
      <c r="AK307" s="176">
        <v>2.564102564102555E-2</v>
      </c>
      <c r="AL307" s="176">
        <v>0</v>
      </c>
      <c r="AM307" s="376">
        <v>-2.5000000000000022E-2</v>
      </c>
      <c r="AN307" s="176">
        <v>-2.5641025641025661E-2</v>
      </c>
      <c r="AO307" s="375"/>
      <c r="AP307" s="176">
        <v>0</v>
      </c>
      <c r="AQ307" s="176">
        <v>0</v>
      </c>
      <c r="AR307" s="377">
        <v>0</v>
      </c>
      <c r="AS307" s="176">
        <v>0</v>
      </c>
      <c r="AT307" s="375"/>
      <c r="AU307" s="176">
        <v>0</v>
      </c>
      <c r="AV307" s="176">
        <v>0</v>
      </c>
      <c r="AW307" s="377">
        <v>0</v>
      </c>
      <c r="AX307" s="176">
        <v>0</v>
      </c>
      <c r="AY307" s="375"/>
      <c r="AZ307" s="176">
        <v>2.6315789473684292E-2</v>
      </c>
      <c r="BA307" s="378">
        <v>0</v>
      </c>
      <c r="BB307" s="377">
        <v>0</v>
      </c>
      <c r="BC307" s="176">
        <v>-5.1282051282051322E-2</v>
      </c>
      <c r="BD307" s="375"/>
      <c r="BE307" s="176">
        <v>5.4054054054053946E-2</v>
      </c>
      <c r="BF307" s="378">
        <v>2.564102564102555E-2</v>
      </c>
      <c r="BG307" s="377">
        <v>5.0000000000000044E-2</v>
      </c>
      <c r="BH307" s="176">
        <v>0</v>
      </c>
      <c r="BI307" s="379"/>
      <c r="BJ307" s="378">
        <v>0</v>
      </c>
      <c r="BK307" s="378">
        <v>0</v>
      </c>
      <c r="BL307" s="378">
        <v>0</v>
      </c>
      <c r="BM307" s="378">
        <v>0</v>
      </c>
      <c r="BN307" s="375"/>
      <c r="BO307" s="378">
        <v>0</v>
      </c>
      <c r="BP307" s="378">
        <v>0</v>
      </c>
      <c r="BQ307" s="378">
        <v>0</v>
      </c>
      <c r="BR307" s="378">
        <v>0</v>
      </c>
      <c r="BS307" s="375"/>
      <c r="BT307" s="375"/>
      <c r="BU307" s="375"/>
      <c r="BV307" s="375"/>
      <c r="BW307" s="176"/>
    </row>
    <row r="308" spans="1:75" s="177" customFormat="1" ht="14.25" hidden="1" outlineLevel="2" x14ac:dyDescent="0.45">
      <c r="A308" s="373" t="s">
        <v>461</v>
      </c>
      <c r="B308" s="374"/>
      <c r="C308" s="375"/>
      <c r="D308" s="375"/>
      <c r="E308" s="375"/>
      <c r="F308" s="380">
        <v>0.30000000000000004</v>
      </c>
      <c r="G308" s="381"/>
      <c r="H308" s="381"/>
      <c r="I308" s="381"/>
      <c r="J308" s="381"/>
      <c r="K308" s="380">
        <v>0.30769230769230771</v>
      </c>
      <c r="L308" s="376">
        <v>0.21428571428571419</v>
      </c>
      <c r="M308" s="376">
        <v>0</v>
      </c>
      <c r="N308" s="376">
        <v>5.8823529411764719E-2</v>
      </c>
      <c r="O308" s="376">
        <v>0</v>
      </c>
      <c r="P308" s="380">
        <v>0</v>
      </c>
      <c r="Q308" s="376">
        <v>0</v>
      </c>
      <c r="R308" s="376">
        <v>-0.11764705882352944</v>
      </c>
      <c r="S308" s="376">
        <v>-5.555555555555558E-2</v>
      </c>
      <c r="T308" s="376">
        <v>0</v>
      </c>
      <c r="U308" s="380">
        <v>0</v>
      </c>
      <c r="V308" s="376">
        <v>0.11764705882352944</v>
      </c>
      <c r="W308" s="376">
        <v>0.53333333333333344</v>
      </c>
      <c r="X308" s="376">
        <v>0.64705882352941169</v>
      </c>
      <c r="Y308" s="176">
        <v>0.64705882352941169</v>
      </c>
      <c r="Z308" s="380">
        <v>0.64705882352941169</v>
      </c>
      <c r="AA308" s="176">
        <v>0.47368421052631571</v>
      </c>
      <c r="AB308" s="176">
        <v>0.21739130434782616</v>
      </c>
      <c r="AC308" s="376">
        <v>0.10714285714285721</v>
      </c>
      <c r="AD308" s="176">
        <v>0.14285714285714279</v>
      </c>
      <c r="AE308" s="380">
        <v>0.14285714285714279</v>
      </c>
      <c r="AF308" s="176">
        <v>0.14285714285714279</v>
      </c>
      <c r="AG308" s="176">
        <v>0.28571428571428581</v>
      </c>
      <c r="AH308" s="376">
        <v>0.19354838709677424</v>
      </c>
      <c r="AI308" s="176">
        <v>0.21875</v>
      </c>
      <c r="AJ308" s="380">
        <v>0.21875</v>
      </c>
      <c r="AK308" s="176">
        <v>0.25</v>
      </c>
      <c r="AL308" s="176">
        <v>0.11111111111111116</v>
      </c>
      <c r="AM308" s="376">
        <v>5.4054054054053946E-2</v>
      </c>
      <c r="AN308" s="176">
        <v>-2.5641025641025661E-2</v>
      </c>
      <c r="AO308" s="380">
        <v>-2.5641025641025661E-2</v>
      </c>
      <c r="AP308" s="176">
        <v>-5.0000000000000044E-2</v>
      </c>
      <c r="AQ308" s="176">
        <v>-5.0000000000000044E-2</v>
      </c>
      <c r="AR308" s="377">
        <v>-2.5641025641025661E-2</v>
      </c>
      <c r="AS308" s="176">
        <v>0</v>
      </c>
      <c r="AT308" s="380">
        <v>0</v>
      </c>
      <c r="AU308" s="176">
        <v>0</v>
      </c>
      <c r="AV308" s="176">
        <v>0</v>
      </c>
      <c r="AW308" s="377">
        <v>0</v>
      </c>
      <c r="AX308" s="176">
        <v>0</v>
      </c>
      <c r="AY308" s="380">
        <v>0</v>
      </c>
      <c r="AZ308" s="176">
        <v>2.6315789473684292E-2</v>
      </c>
      <c r="BA308" s="378">
        <v>2.6315789473684292E-2</v>
      </c>
      <c r="BB308" s="377">
        <v>2.6315789473684292E-2</v>
      </c>
      <c r="BC308" s="176">
        <v>-2.6315789473684181E-2</v>
      </c>
      <c r="BD308" s="380">
        <v>-2.6315789473684181E-2</v>
      </c>
      <c r="BE308" s="176">
        <v>0</v>
      </c>
      <c r="BF308" s="378">
        <v>2.564102564102555E-2</v>
      </c>
      <c r="BG308" s="377">
        <v>7.6923076923076872E-2</v>
      </c>
      <c r="BH308" s="176">
        <v>0.13513513513513509</v>
      </c>
      <c r="BI308" s="382">
        <v>0.13513513513513509</v>
      </c>
      <c r="BJ308" s="378">
        <v>7.6923076923076872E-2</v>
      </c>
      <c r="BK308" s="378">
        <v>5.0000000000000044E-2</v>
      </c>
      <c r="BL308" s="378">
        <v>0</v>
      </c>
      <c r="BM308" s="378">
        <v>0</v>
      </c>
      <c r="BN308" s="375">
        <v>0</v>
      </c>
      <c r="BO308" s="378">
        <v>0</v>
      </c>
      <c r="BP308" s="378">
        <v>0</v>
      </c>
      <c r="BQ308" s="378">
        <v>0</v>
      </c>
      <c r="BR308" s="378">
        <v>0</v>
      </c>
      <c r="BS308" s="375">
        <v>0</v>
      </c>
      <c r="BT308" s="375">
        <v>0</v>
      </c>
      <c r="BU308" s="375">
        <v>0</v>
      </c>
      <c r="BV308" s="375">
        <v>0</v>
      </c>
      <c r="BW308" s="176"/>
    </row>
    <row r="309" spans="1:75" s="198" customFormat="1" ht="14.25" hidden="1" outlineLevel="2" x14ac:dyDescent="0.45">
      <c r="A309" s="168" t="s">
        <v>462</v>
      </c>
      <c r="B309" s="243"/>
      <c r="C309" s="244"/>
      <c r="D309" s="244"/>
      <c r="E309" s="244"/>
      <c r="F309" s="246">
        <v>11.5</v>
      </c>
      <c r="G309" s="288">
        <v>13.5</v>
      </c>
      <c r="H309" s="288">
        <v>15.5</v>
      </c>
      <c r="I309" s="288">
        <v>17</v>
      </c>
      <c r="J309" s="288">
        <v>17</v>
      </c>
      <c r="K309" s="246">
        <v>15.75</v>
      </c>
      <c r="L309" s="288">
        <v>17</v>
      </c>
      <c r="M309" s="288">
        <v>17</v>
      </c>
      <c r="N309" s="288">
        <v>17.5</v>
      </c>
      <c r="O309" s="288">
        <v>17.5</v>
      </c>
      <c r="P309" s="246">
        <v>17.25</v>
      </c>
      <c r="Q309" s="288">
        <v>17</v>
      </c>
      <c r="R309" s="288">
        <v>16</v>
      </c>
      <c r="S309" s="288">
        <v>16</v>
      </c>
      <c r="T309" s="288">
        <v>17</v>
      </c>
      <c r="U309" s="246">
        <v>16.5</v>
      </c>
      <c r="V309" s="288">
        <v>18</v>
      </c>
      <c r="W309" s="288">
        <v>21</v>
      </c>
      <c r="X309" s="288">
        <v>25.5</v>
      </c>
      <c r="Y309" s="168">
        <v>28</v>
      </c>
      <c r="Z309" s="246">
        <v>23.125</v>
      </c>
      <c r="AA309" s="168">
        <v>28</v>
      </c>
      <c r="AB309" s="168">
        <v>28</v>
      </c>
      <c r="AC309" s="288">
        <v>29.5</v>
      </c>
      <c r="AD309" s="168">
        <v>31.5</v>
      </c>
      <c r="AE309" s="246">
        <v>29.29245283018868</v>
      </c>
      <c r="AF309" s="168">
        <v>32</v>
      </c>
      <c r="AG309" s="168">
        <v>34</v>
      </c>
      <c r="AH309" s="288">
        <v>36.5</v>
      </c>
      <c r="AI309" s="168">
        <v>38</v>
      </c>
      <c r="AJ309" s="246">
        <v>35.125</v>
      </c>
      <c r="AK309" s="168">
        <v>39.5</v>
      </c>
      <c r="AL309" s="168">
        <v>40</v>
      </c>
      <c r="AM309" s="288">
        <v>39.5</v>
      </c>
      <c r="AN309" s="168">
        <v>38.5</v>
      </c>
      <c r="AO309" s="246">
        <v>39.375</v>
      </c>
      <c r="AP309" s="168">
        <v>38</v>
      </c>
      <c r="AQ309" s="168">
        <v>38</v>
      </c>
      <c r="AR309" s="289">
        <v>38</v>
      </c>
      <c r="AS309" s="168">
        <v>38</v>
      </c>
      <c r="AT309" s="246">
        <v>38</v>
      </c>
      <c r="AU309" s="168">
        <v>38</v>
      </c>
      <c r="AV309" s="168">
        <v>38</v>
      </c>
      <c r="AW309" s="289">
        <v>38</v>
      </c>
      <c r="AX309" s="168">
        <v>38</v>
      </c>
      <c r="AY309" s="246">
        <v>38</v>
      </c>
      <c r="AZ309" s="168">
        <v>38.5</v>
      </c>
      <c r="BA309" s="168">
        <v>39</v>
      </c>
      <c r="BB309" s="289">
        <v>39</v>
      </c>
      <c r="BC309" s="168">
        <v>38</v>
      </c>
      <c r="BD309" s="246">
        <v>38.625</v>
      </c>
      <c r="BE309" s="168">
        <v>38</v>
      </c>
      <c r="BF309" s="168">
        <v>39.5</v>
      </c>
      <c r="BG309" s="289">
        <v>41</v>
      </c>
      <c r="BH309" s="168">
        <v>42</v>
      </c>
      <c r="BI309" s="290">
        <v>40.160377358490564</v>
      </c>
      <c r="BJ309" s="247">
        <v>42</v>
      </c>
      <c r="BK309" s="247">
        <v>42</v>
      </c>
      <c r="BL309" s="247">
        <v>42</v>
      </c>
      <c r="BM309" s="247">
        <v>42</v>
      </c>
      <c r="BN309" s="244">
        <v>42</v>
      </c>
      <c r="BO309" s="247">
        <v>42</v>
      </c>
      <c r="BP309" s="247">
        <v>42</v>
      </c>
      <c r="BQ309" s="247">
        <v>42</v>
      </c>
      <c r="BR309" s="247">
        <v>42</v>
      </c>
      <c r="BS309" s="244">
        <v>42</v>
      </c>
      <c r="BT309" s="244">
        <v>42</v>
      </c>
      <c r="BU309" s="244">
        <v>42</v>
      </c>
      <c r="BV309" s="244">
        <v>42</v>
      </c>
      <c r="BW309" s="197"/>
    </row>
    <row r="310" spans="1:75" s="198" customFormat="1" ht="7.5" hidden="1" customHeight="1" outlineLevel="2" x14ac:dyDescent="0.45">
      <c r="A310" s="247"/>
      <c r="B310" s="243"/>
      <c r="C310" s="244"/>
      <c r="D310" s="244"/>
      <c r="E310" s="244"/>
      <c r="F310" s="244"/>
      <c r="G310" s="245"/>
      <c r="H310" s="245"/>
      <c r="I310" s="245"/>
      <c r="J310" s="245"/>
      <c r="K310" s="244"/>
      <c r="L310" s="245"/>
      <c r="M310" s="245"/>
      <c r="N310" s="245"/>
      <c r="O310" s="245"/>
      <c r="P310" s="244"/>
      <c r="Q310" s="245"/>
      <c r="R310" s="245"/>
      <c r="S310" s="245"/>
      <c r="T310" s="245"/>
      <c r="U310" s="244"/>
      <c r="V310" s="245"/>
      <c r="W310" s="245"/>
      <c r="X310" s="245"/>
      <c r="Y310" s="247"/>
      <c r="Z310" s="244"/>
      <c r="AA310" s="247"/>
      <c r="AB310" s="247"/>
      <c r="AC310" s="245"/>
      <c r="AD310" s="247"/>
      <c r="AE310" s="244"/>
      <c r="AF310" s="247"/>
      <c r="AG310" s="247"/>
      <c r="AH310" s="245"/>
      <c r="AI310" s="247"/>
      <c r="AJ310" s="244"/>
      <c r="AK310" s="247"/>
      <c r="AL310" s="247"/>
      <c r="AM310" s="245"/>
      <c r="AN310" s="247"/>
      <c r="AO310" s="244"/>
      <c r="AP310" s="247"/>
      <c r="AQ310" s="247"/>
      <c r="AR310" s="248"/>
      <c r="AS310" s="247"/>
      <c r="AT310" s="244"/>
      <c r="AU310" s="247"/>
      <c r="AV310" s="247"/>
      <c r="AW310" s="248"/>
      <c r="AX310" s="247"/>
      <c r="AY310" s="244"/>
      <c r="AZ310" s="247"/>
      <c r="BA310" s="247"/>
      <c r="BB310" s="248"/>
      <c r="BC310" s="247"/>
      <c r="BD310" s="244"/>
      <c r="BE310" s="247"/>
      <c r="BF310" s="247"/>
      <c r="BG310" s="248"/>
      <c r="BH310" s="247"/>
      <c r="BI310" s="249"/>
      <c r="BJ310" s="247"/>
      <c r="BK310" s="247"/>
      <c r="BL310" s="247"/>
      <c r="BM310" s="247"/>
      <c r="BN310" s="244"/>
      <c r="BO310" s="247"/>
      <c r="BP310" s="247"/>
      <c r="BQ310" s="247"/>
      <c r="BR310" s="247"/>
      <c r="BS310" s="244"/>
      <c r="BT310" s="244"/>
      <c r="BU310" s="244"/>
      <c r="BV310" s="244"/>
      <c r="BW310" s="197"/>
    </row>
    <row r="311" spans="1:75" s="388" customFormat="1" hidden="1" outlineLevel="2" x14ac:dyDescent="0.5">
      <c r="A311" s="383" t="s">
        <v>463</v>
      </c>
      <c r="B311" s="384"/>
      <c r="C311" s="385"/>
      <c r="D311" s="385"/>
      <c r="E311" s="385"/>
      <c r="F311" s="385">
        <v>5846.4347826086996</v>
      </c>
      <c r="G311" s="386">
        <v>1072.074074074073</v>
      </c>
      <c r="H311" s="386">
        <v>1315.8709677419345</v>
      </c>
      <c r="I311" s="386">
        <v>1312.1176470588225</v>
      </c>
      <c r="J311" s="386">
        <v>2184.2352941176505</v>
      </c>
      <c r="K311" s="385">
        <v>5725.8412698412631</v>
      </c>
      <c r="L311" s="386">
        <v>1506.3529411764691</v>
      </c>
      <c r="M311" s="386">
        <v>1479.5294117647049</v>
      </c>
      <c r="N311" s="386">
        <v>1803.5428571428577</v>
      </c>
      <c r="O311" s="386">
        <v>2244.4571428571439</v>
      </c>
      <c r="P311" s="385">
        <v>7049.275362318841</v>
      </c>
      <c r="Q311" s="386">
        <v>1795.3529411764714</v>
      </c>
      <c r="R311" s="386">
        <v>1917.8750000000023</v>
      </c>
      <c r="S311" s="386">
        <v>2621.4999999999991</v>
      </c>
      <c r="T311" s="386">
        <v>2332.2941176470572</v>
      </c>
      <c r="U311" s="385">
        <v>8654.545454545454</v>
      </c>
      <c r="V311" s="386">
        <v>1555.5555555555557</v>
      </c>
      <c r="W311" s="386">
        <v>1671.4285714285713</v>
      </c>
      <c r="X311" s="386">
        <v>1411.7647058823529</v>
      </c>
      <c r="Y311" s="386">
        <v>1625</v>
      </c>
      <c r="Z311" s="385">
        <v>6252.9729729729734</v>
      </c>
      <c r="AA311" s="386">
        <v>2003.5714285714287</v>
      </c>
      <c r="AB311" s="386">
        <v>1825</v>
      </c>
      <c r="AC311" s="386">
        <v>1396.6101694915253</v>
      </c>
      <c r="AD311" s="386">
        <v>1819.0476190476186</v>
      </c>
      <c r="AE311" s="385">
        <v>7022.2866344605472</v>
      </c>
      <c r="AF311" s="386">
        <v>1350</v>
      </c>
      <c r="AG311" s="386">
        <v>1114.7058823529412</v>
      </c>
      <c r="AH311" s="386">
        <v>1293.1506849315069</v>
      </c>
      <c r="AI311" s="386">
        <v>1334.2105263157891</v>
      </c>
      <c r="AJ311" s="385">
        <v>5096.0854092526688</v>
      </c>
      <c r="AK311" s="386">
        <v>1407.5949367088608</v>
      </c>
      <c r="AL311" s="386">
        <v>1347.5</v>
      </c>
      <c r="AM311" s="386">
        <v>1536.7088607594937</v>
      </c>
      <c r="AN311" s="386">
        <v>1329.8701298701303</v>
      </c>
      <c r="AO311" s="385">
        <v>5622.8571428571431</v>
      </c>
      <c r="AP311" s="386">
        <v>321.05263157894734</v>
      </c>
      <c r="AQ311" s="386">
        <v>1357.8947368421052</v>
      </c>
      <c r="AR311" s="386">
        <v>1652.6315789473683</v>
      </c>
      <c r="AS311" s="386">
        <v>1602.6315789473686</v>
      </c>
      <c r="AT311" s="385">
        <v>4934.2105263157891</v>
      </c>
      <c r="AU311" s="386">
        <v>1639.4736842105262</v>
      </c>
      <c r="AV311" s="386">
        <v>1797.3684210526317</v>
      </c>
      <c r="AW311" s="386">
        <v>2031.578947368421</v>
      </c>
      <c r="AX311" s="386">
        <v>1873.6842105263154</v>
      </c>
      <c r="AY311" s="385">
        <v>7342.105263157895</v>
      </c>
      <c r="AZ311" s="386">
        <v>1818.1818181818182</v>
      </c>
      <c r="BA311" s="386">
        <v>1769.2307692307693</v>
      </c>
      <c r="BB311" s="386">
        <v>1641.0256410256411</v>
      </c>
      <c r="BC311" s="386">
        <v>1500</v>
      </c>
      <c r="BD311" s="385">
        <v>6731.391585760518</v>
      </c>
      <c r="BE311" s="386">
        <v>1500</v>
      </c>
      <c r="BF311" s="386">
        <v>1493.6708860759493</v>
      </c>
      <c r="BG311" s="386">
        <v>1487.8048780487804</v>
      </c>
      <c r="BH311" s="386">
        <v>1619.047619047619</v>
      </c>
      <c r="BI311" s="387">
        <v>6100.5402865867982</v>
      </c>
      <c r="BJ311" s="386">
        <v>1485</v>
      </c>
      <c r="BK311" s="386">
        <v>1478.7341772151897</v>
      </c>
      <c r="BL311" s="386">
        <v>1472.9268292682925</v>
      </c>
      <c r="BM311" s="386">
        <v>1586.6666666666665</v>
      </c>
      <c r="BN311" s="385">
        <v>6023.3276731501483</v>
      </c>
      <c r="BO311" s="386">
        <v>1514.7</v>
      </c>
      <c r="BP311" s="386">
        <v>1508.3088607594934</v>
      </c>
      <c r="BQ311" s="386">
        <v>1590.7609756097561</v>
      </c>
      <c r="BR311" s="386">
        <v>1697.7333333333333</v>
      </c>
      <c r="BS311" s="385">
        <v>6311.5031697025825</v>
      </c>
      <c r="BT311" s="385">
        <v>6500.8482647936598</v>
      </c>
      <c r="BU311" s="385">
        <v>6695.8737127374698</v>
      </c>
      <c r="BV311" s="385">
        <v>6896.7499241195937</v>
      </c>
      <c r="BW311" s="369"/>
    </row>
    <row r="312" spans="1:75" s="392" customFormat="1" ht="14.25" hidden="1" outlineLevel="2" x14ac:dyDescent="0.45">
      <c r="A312" s="389" t="s">
        <v>464</v>
      </c>
      <c r="B312" s="374"/>
      <c r="C312" s="375"/>
      <c r="D312" s="375"/>
      <c r="E312" s="375"/>
      <c r="F312" s="375"/>
      <c r="G312" s="381"/>
      <c r="H312" s="381"/>
      <c r="I312" s="381"/>
      <c r="J312" s="381"/>
      <c r="K312" s="375">
        <v>-2.0626846488763451E-2</v>
      </c>
      <c r="L312" s="381">
        <v>0.40508289268861697</v>
      </c>
      <c r="M312" s="381">
        <v>0.12437271437306063</v>
      </c>
      <c r="N312" s="381">
        <v>0.37452831397061792</v>
      </c>
      <c r="O312" s="381">
        <v>2.7571136178266453E-2</v>
      </c>
      <c r="P312" s="375">
        <v>0.23113356275666841</v>
      </c>
      <c r="Q312" s="381">
        <v>0.19185410809122327</v>
      </c>
      <c r="R312" s="381">
        <v>0.29627365617048573</v>
      </c>
      <c r="S312" s="381">
        <v>0.45352797668081779</v>
      </c>
      <c r="T312" s="381">
        <v>3.9135064382694651E-2</v>
      </c>
      <c r="U312" s="375">
        <v>0.22772129186602852</v>
      </c>
      <c r="V312" s="381">
        <v>-0.13356559600129636</v>
      </c>
      <c r="W312" s="381">
        <v>-0.12849973463934339</v>
      </c>
      <c r="X312" s="381">
        <v>-0.46146682972254305</v>
      </c>
      <c r="Y312" s="381">
        <v>-0.30326111629549246</v>
      </c>
      <c r="Z312" s="375">
        <v>-0.27749261866908914</v>
      </c>
      <c r="AA312" s="381">
        <v>0.28801020408163258</v>
      </c>
      <c r="AB312" s="381">
        <v>9.1880341880341998E-2</v>
      </c>
      <c r="AC312" s="381">
        <v>-1.0734463276836248E-2</v>
      </c>
      <c r="AD312" s="381">
        <v>0.11941391941391921</v>
      </c>
      <c r="AE312" s="375">
        <v>0.12303166266874244</v>
      </c>
      <c r="AF312" s="381">
        <v>-0.32620320855614982</v>
      </c>
      <c r="AG312" s="381">
        <v>-0.38920225624496374</v>
      </c>
      <c r="AH312" s="381">
        <v>-7.4078999867003503E-2</v>
      </c>
      <c r="AI312" s="381">
        <v>-0.2665334802976026</v>
      </c>
      <c r="AJ312" s="375">
        <v>-0.27429829135077022</v>
      </c>
      <c r="AK312" s="381">
        <v>4.2662916080637547E-2</v>
      </c>
      <c r="AL312" s="381">
        <v>0.20883905013192616</v>
      </c>
      <c r="AM312" s="381">
        <v>0.18834477579918474</v>
      </c>
      <c r="AN312" s="381">
        <v>-3.2531570993103998E-3</v>
      </c>
      <c r="AO312" s="375">
        <v>0.10336791699920211</v>
      </c>
      <c r="AP312" s="381">
        <v>-0.77191404770920102</v>
      </c>
      <c r="AQ312" s="381">
        <v>7.7140904208572447E-3</v>
      </c>
      <c r="AR312" s="381">
        <v>7.5435706234284083E-2</v>
      </c>
      <c r="AS312" s="381">
        <v>0.20510382401315752</v>
      </c>
      <c r="AT312" s="375">
        <v>-0.12247272143774079</v>
      </c>
      <c r="AU312" s="381">
        <v>4.1065573770491808</v>
      </c>
      <c r="AV312" s="381">
        <v>0.32364341085271331</v>
      </c>
      <c r="AW312" s="381">
        <v>0.22929936305732501</v>
      </c>
      <c r="AX312" s="381">
        <v>0.16912972085385847</v>
      </c>
      <c r="AY312" s="375">
        <v>0.48800000000000021</v>
      </c>
      <c r="AZ312" s="381">
        <v>0.10900335619436752</v>
      </c>
      <c r="BA312" s="381">
        <v>-1.5654916094154814E-2</v>
      </c>
      <c r="BB312" s="381">
        <v>-0.19224126478012482</v>
      </c>
      <c r="BC312" s="381">
        <v>-0.19943820224719089</v>
      </c>
      <c r="BD312" s="375">
        <v>-8.3179640649105102E-2</v>
      </c>
      <c r="BE312" s="381">
        <v>-0.17500000000000004</v>
      </c>
      <c r="BF312" s="381">
        <v>-0.15575123830489823</v>
      </c>
      <c r="BG312" s="381">
        <v>-9.3368902439024515E-2</v>
      </c>
      <c r="BH312" s="381">
        <v>7.9365079365079305E-2</v>
      </c>
      <c r="BI312" s="379">
        <v>-9.3717813194557409E-2</v>
      </c>
      <c r="BJ312" s="390">
        <v>-0.01</v>
      </c>
      <c r="BK312" s="390">
        <v>-0.01</v>
      </c>
      <c r="BL312" s="390">
        <v>-0.01</v>
      </c>
      <c r="BM312" s="390">
        <v>-0.02</v>
      </c>
      <c r="BN312" s="375">
        <v>-1.2656684458984158E-2</v>
      </c>
      <c r="BO312" s="390">
        <v>0.02</v>
      </c>
      <c r="BP312" s="390">
        <v>0.02</v>
      </c>
      <c r="BQ312" s="390">
        <v>0.08</v>
      </c>
      <c r="BR312" s="390">
        <v>7.0000000000000007E-2</v>
      </c>
      <c r="BS312" s="375">
        <v>4.7843237524170856E-2</v>
      </c>
      <c r="BT312" s="391">
        <v>0.03</v>
      </c>
      <c r="BU312" s="391">
        <v>0.03</v>
      </c>
      <c r="BV312" s="391">
        <v>0.03</v>
      </c>
      <c r="BW312" s="176"/>
    </row>
    <row r="313" spans="1:75" s="177" customFormat="1" ht="7.5" hidden="1" customHeight="1" outlineLevel="2" x14ac:dyDescent="0.45">
      <c r="A313" s="189"/>
      <c r="B313" s="171"/>
      <c r="C313" s="172"/>
      <c r="D313" s="172"/>
      <c r="E313" s="172"/>
      <c r="F313" s="172"/>
      <c r="G313" s="173"/>
      <c r="H313" s="173"/>
      <c r="I313" s="173"/>
      <c r="J313" s="173"/>
      <c r="K313" s="172"/>
      <c r="L313" s="173"/>
      <c r="M313" s="173"/>
      <c r="N313" s="173"/>
      <c r="O313" s="173"/>
      <c r="P313" s="172"/>
      <c r="Q313" s="173"/>
      <c r="R313" s="173"/>
      <c r="S313" s="173"/>
      <c r="T313" s="173"/>
      <c r="U313" s="172"/>
      <c r="V313" s="173"/>
      <c r="W313" s="173"/>
      <c r="X313" s="173"/>
      <c r="Y313" s="173"/>
      <c r="Z313" s="172"/>
      <c r="AA313" s="173"/>
      <c r="AB313" s="173"/>
      <c r="AC313" s="173"/>
      <c r="AD313" s="173"/>
      <c r="AE313" s="172"/>
      <c r="AF313" s="173"/>
      <c r="AG313" s="173"/>
      <c r="AH313" s="173"/>
      <c r="AI313" s="173"/>
      <c r="AJ313" s="172"/>
      <c r="AK313" s="173"/>
      <c r="AL313" s="173"/>
      <c r="AM313" s="173"/>
      <c r="AN313" s="173"/>
      <c r="AO313" s="172"/>
      <c r="AP313" s="173"/>
      <c r="AQ313" s="173"/>
      <c r="AR313" s="173"/>
      <c r="AS313" s="173"/>
      <c r="AT313" s="172"/>
      <c r="AU313" s="173"/>
      <c r="AV313" s="173"/>
      <c r="AW313" s="173"/>
      <c r="AX313" s="173"/>
      <c r="AY313" s="172"/>
      <c r="AZ313" s="173"/>
      <c r="BA313" s="173"/>
      <c r="BB313" s="173"/>
      <c r="BC313" s="173"/>
      <c r="BD313" s="172"/>
      <c r="BE313" s="173"/>
      <c r="BF313" s="173"/>
      <c r="BG313" s="173"/>
      <c r="BH313" s="173"/>
      <c r="BI313" s="174"/>
      <c r="BJ313" s="175"/>
      <c r="BK313" s="175"/>
      <c r="BL313" s="175"/>
      <c r="BM313" s="175"/>
      <c r="BN313" s="172"/>
      <c r="BO313" s="175"/>
      <c r="BP313" s="175"/>
      <c r="BQ313" s="175"/>
      <c r="BR313" s="175"/>
      <c r="BS313" s="172"/>
      <c r="BT313" s="172"/>
      <c r="BU313" s="172"/>
      <c r="BV313" s="172"/>
      <c r="BW313" s="176"/>
    </row>
    <row r="314" spans="1:75" s="198" customFormat="1" ht="14.25" hidden="1" outlineLevel="2" x14ac:dyDescent="0.45">
      <c r="A314" s="192" t="s">
        <v>465</v>
      </c>
      <c r="B314" s="193"/>
      <c r="C314" s="194"/>
      <c r="D314" s="194">
        <v>31.427999999999997</v>
      </c>
      <c r="E314" s="194">
        <v>43.730999999999938</v>
      </c>
      <c r="F314" s="194">
        <v>67.234000000000037</v>
      </c>
      <c r="G314" s="195">
        <v>14.472999999999985</v>
      </c>
      <c r="H314" s="195">
        <v>20.395999999999987</v>
      </c>
      <c r="I314" s="195">
        <v>22.305999999999983</v>
      </c>
      <c r="J314" s="195">
        <v>37.132000000000062</v>
      </c>
      <c r="K314" s="194">
        <v>90.181999999999903</v>
      </c>
      <c r="L314" s="195">
        <v>25.607999999999976</v>
      </c>
      <c r="M314" s="195">
        <v>25.151999999999987</v>
      </c>
      <c r="N314" s="195">
        <v>31.562000000000012</v>
      </c>
      <c r="O314" s="195">
        <v>39.27800000000002</v>
      </c>
      <c r="P314" s="194">
        <v>121.6</v>
      </c>
      <c r="Q314" s="195">
        <v>30.521000000000015</v>
      </c>
      <c r="R314" s="195">
        <v>30.686000000000035</v>
      </c>
      <c r="S314" s="195">
        <v>41.943999999999988</v>
      </c>
      <c r="T314" s="195">
        <v>39.648999999999972</v>
      </c>
      <c r="U314" s="194">
        <v>142.80000000000001</v>
      </c>
      <c r="V314" s="195">
        <v>28</v>
      </c>
      <c r="W314" s="195">
        <v>35.1</v>
      </c>
      <c r="X314" s="195">
        <v>36</v>
      </c>
      <c r="Y314" s="195">
        <v>45.5</v>
      </c>
      <c r="Z314" s="194">
        <v>144.6</v>
      </c>
      <c r="AA314" s="195">
        <v>56.1</v>
      </c>
      <c r="AB314" s="195">
        <v>51.1</v>
      </c>
      <c r="AC314" s="195">
        <v>41.2</v>
      </c>
      <c r="AD314" s="195">
        <v>57.299999999999983</v>
      </c>
      <c r="AE314" s="194">
        <v>205.7</v>
      </c>
      <c r="AF314" s="195">
        <v>43.2</v>
      </c>
      <c r="AG314" s="195">
        <v>37.9</v>
      </c>
      <c r="AH314" s="195">
        <v>47.2</v>
      </c>
      <c r="AI314" s="195">
        <v>50.699999999999989</v>
      </c>
      <c r="AJ314" s="194">
        <v>179</v>
      </c>
      <c r="AK314" s="195">
        <v>55.6</v>
      </c>
      <c r="AL314" s="195">
        <v>53.9</v>
      </c>
      <c r="AM314" s="195">
        <v>60.7</v>
      </c>
      <c r="AN314" s="195">
        <v>51.200000000000017</v>
      </c>
      <c r="AO314" s="194">
        <v>221.4</v>
      </c>
      <c r="AP314" s="195">
        <v>12.2</v>
      </c>
      <c r="AQ314" s="195">
        <v>51.6</v>
      </c>
      <c r="AR314" s="195">
        <v>62.8</v>
      </c>
      <c r="AS314" s="195">
        <v>60.900000000000006</v>
      </c>
      <c r="AT314" s="194">
        <v>187.5</v>
      </c>
      <c r="AU314" s="195">
        <v>62.3</v>
      </c>
      <c r="AV314" s="195">
        <v>68.3</v>
      </c>
      <c r="AW314" s="195">
        <v>77.2</v>
      </c>
      <c r="AX314" s="195">
        <v>71.199999999999989</v>
      </c>
      <c r="AY314" s="194">
        <v>279</v>
      </c>
      <c r="AZ314" s="195">
        <v>70</v>
      </c>
      <c r="BA314" s="195">
        <v>69</v>
      </c>
      <c r="BB314" s="195">
        <v>64</v>
      </c>
      <c r="BC314" s="195">
        <v>57</v>
      </c>
      <c r="BD314" s="194">
        <v>260</v>
      </c>
      <c r="BE314" s="195">
        <v>57</v>
      </c>
      <c r="BF314" s="195">
        <v>59</v>
      </c>
      <c r="BG314" s="195">
        <v>61</v>
      </c>
      <c r="BH314" s="195">
        <v>68</v>
      </c>
      <c r="BI314" s="196">
        <v>245</v>
      </c>
      <c r="BJ314" s="195">
        <v>62.37</v>
      </c>
      <c r="BK314" s="195">
        <v>62.106835443037973</v>
      </c>
      <c r="BL314" s="195">
        <v>61.862926829268282</v>
      </c>
      <c r="BM314" s="195">
        <v>66.64</v>
      </c>
      <c r="BN314" s="194">
        <v>252.97976227230623</v>
      </c>
      <c r="BO314" s="195">
        <v>63.617400000000004</v>
      </c>
      <c r="BP314" s="195">
        <v>63.348972151898721</v>
      </c>
      <c r="BQ314" s="195">
        <v>66.81196097560975</v>
      </c>
      <c r="BR314" s="195">
        <v>71.3048</v>
      </c>
      <c r="BS314" s="194">
        <v>265.08313312750846</v>
      </c>
      <c r="BT314" s="194">
        <v>273.03562712133373</v>
      </c>
      <c r="BU314" s="194">
        <v>281.22669593497369</v>
      </c>
      <c r="BV314" s="194">
        <v>289.66349681302296</v>
      </c>
      <c r="BW314" s="197"/>
    </row>
    <row r="315" spans="1:75" s="177" customFormat="1" ht="14.25" hidden="1" outlineLevel="2" x14ac:dyDescent="0.45">
      <c r="A315" s="170" t="s">
        <v>466</v>
      </c>
      <c r="B315" s="171"/>
      <c r="C315" s="172"/>
      <c r="D315" s="172"/>
      <c r="E315" s="172">
        <v>0.39146620847651592</v>
      </c>
      <c r="F315" s="172">
        <v>0.53744483318470038</v>
      </c>
      <c r="G315" s="173"/>
      <c r="H315" s="173"/>
      <c r="I315" s="173"/>
      <c r="J315" s="173"/>
      <c r="K315" s="172">
        <v>0.34131540589582432</v>
      </c>
      <c r="L315" s="173">
        <v>0.76936364264492529</v>
      </c>
      <c r="M315" s="173">
        <v>0.23318297705432456</v>
      </c>
      <c r="N315" s="173">
        <v>0.41495561732269515</v>
      </c>
      <c r="O315" s="173">
        <v>5.7793816654097663E-2</v>
      </c>
      <c r="P315" s="172">
        <v>0.34838437825730328</v>
      </c>
      <c r="Q315" s="173">
        <v>0.19185410809122327</v>
      </c>
      <c r="R315" s="173">
        <v>0.22002226463104524</v>
      </c>
      <c r="S315" s="173">
        <v>0.32893986439389056</v>
      </c>
      <c r="T315" s="173">
        <v>9.4454911146175657E-3</v>
      </c>
      <c r="U315" s="172">
        <v>0.17434210526315796</v>
      </c>
      <c r="V315" s="173">
        <v>-8.2598866354313905E-2</v>
      </c>
      <c r="W315" s="173">
        <v>0.14384409828586198</v>
      </c>
      <c r="X315" s="173">
        <v>-0.14171275987030307</v>
      </c>
      <c r="Y315" s="173">
        <v>0.14756992610154174</v>
      </c>
      <c r="Z315" s="172">
        <v>1.2605042016806678E-2</v>
      </c>
      <c r="AA315" s="173">
        <v>1.0035714285714286</v>
      </c>
      <c r="AB315" s="173">
        <v>0.45584045584045585</v>
      </c>
      <c r="AC315" s="173">
        <v>0.1444444444444446</v>
      </c>
      <c r="AD315" s="173">
        <v>0.25934065934065886</v>
      </c>
      <c r="AE315" s="172">
        <v>0.4225449515905948</v>
      </c>
      <c r="AF315" s="173">
        <v>-0.22994652406417104</v>
      </c>
      <c r="AG315" s="173">
        <v>-0.25831702544031321</v>
      </c>
      <c r="AH315" s="173">
        <v>0.14563106796116498</v>
      </c>
      <c r="AI315" s="173">
        <v>-0.11518324607329833</v>
      </c>
      <c r="AJ315" s="172">
        <v>-0.12980068060281957</v>
      </c>
      <c r="AK315" s="173">
        <v>0.28703703703703698</v>
      </c>
      <c r="AL315" s="173">
        <v>0.42216358839050128</v>
      </c>
      <c r="AM315" s="173">
        <v>0.28601694915254239</v>
      </c>
      <c r="AN315" s="173">
        <v>9.8619329388565102E-3</v>
      </c>
      <c r="AO315" s="172">
        <v>0.23687150837988824</v>
      </c>
      <c r="AP315" s="173">
        <v>-0.78057553956834536</v>
      </c>
      <c r="AQ315" s="173">
        <v>-4.2671614100185495E-2</v>
      </c>
      <c r="AR315" s="173">
        <v>3.4596375617792274E-2</v>
      </c>
      <c r="AS315" s="173">
        <v>0.18945312499999978</v>
      </c>
      <c r="AT315" s="172">
        <v>-0.15311653116531165</v>
      </c>
      <c r="AU315" s="173">
        <v>4.1065573770491808</v>
      </c>
      <c r="AV315" s="173">
        <v>0.32364341085271309</v>
      </c>
      <c r="AW315" s="173">
        <v>0.22929936305732501</v>
      </c>
      <c r="AX315" s="173">
        <v>0.16912972085385847</v>
      </c>
      <c r="AY315" s="172">
        <v>0.48799999999999999</v>
      </c>
      <c r="AZ315" s="173">
        <v>0.12359550561797761</v>
      </c>
      <c r="BA315" s="173">
        <v>1.024890190336758E-2</v>
      </c>
      <c r="BB315" s="173">
        <v>-0.17098445595854928</v>
      </c>
      <c r="BC315" s="173">
        <v>-0.19943820224719089</v>
      </c>
      <c r="BD315" s="172">
        <v>-6.8100358422939045E-2</v>
      </c>
      <c r="BE315" s="173">
        <v>-0.18571428571428572</v>
      </c>
      <c r="BF315" s="173">
        <v>-0.14492753623188404</v>
      </c>
      <c r="BG315" s="173">
        <v>-4.6875E-2</v>
      </c>
      <c r="BH315" s="173">
        <v>0.19298245614035081</v>
      </c>
      <c r="BI315" s="174">
        <v>-5.7692307692307709E-2</v>
      </c>
      <c r="BJ315" s="173">
        <v>9.4210526315789522E-2</v>
      </c>
      <c r="BK315" s="173">
        <v>5.2658227848101147E-2</v>
      </c>
      <c r="BL315" s="173">
        <v>1.4146341463414425E-2</v>
      </c>
      <c r="BM315" s="173">
        <v>-2.0000000000000018E-2</v>
      </c>
      <c r="BN315" s="172">
        <v>3.2570458254311152E-2</v>
      </c>
      <c r="BO315" s="173">
        <v>2.0000000000000018E-2</v>
      </c>
      <c r="BP315" s="173">
        <v>1.9999999999999796E-2</v>
      </c>
      <c r="BQ315" s="173">
        <v>8.0000000000000071E-2</v>
      </c>
      <c r="BR315" s="173">
        <v>7.0000000000000062E-2</v>
      </c>
      <c r="BS315" s="172">
        <v>4.7843237524170856E-2</v>
      </c>
      <c r="BT315" s="172">
        <v>3.0000000000000027E-2</v>
      </c>
      <c r="BU315" s="172">
        <v>2.9999999999999805E-2</v>
      </c>
      <c r="BV315" s="172">
        <v>3.0000000000000249E-2</v>
      </c>
      <c r="BW315" s="176"/>
    </row>
    <row r="316" spans="1:75" s="162" customFormat="1" ht="14.25" hidden="1" outlineLevel="1" collapsed="1" x14ac:dyDescent="0.45">
      <c r="A316" s="178"/>
      <c r="B316" s="179"/>
      <c r="C316" s="180"/>
      <c r="D316" s="180"/>
      <c r="E316" s="180"/>
      <c r="F316" s="180"/>
      <c r="G316" s="181"/>
      <c r="H316" s="181"/>
      <c r="I316" s="181"/>
      <c r="J316" s="181"/>
      <c r="K316" s="180"/>
      <c r="L316" s="181"/>
      <c r="M316" s="181"/>
      <c r="N316" s="181"/>
      <c r="O316" s="181"/>
      <c r="P316" s="180"/>
      <c r="Q316" s="181"/>
      <c r="R316" s="181"/>
      <c r="S316" s="181"/>
      <c r="T316" s="181"/>
      <c r="U316" s="180"/>
      <c r="V316" s="181"/>
      <c r="W316" s="181"/>
      <c r="X316" s="181"/>
      <c r="Y316" s="181"/>
      <c r="Z316" s="180"/>
      <c r="AA316" s="181"/>
      <c r="AB316" s="181"/>
      <c r="AC316" s="181"/>
      <c r="AD316" s="181"/>
      <c r="AE316" s="180"/>
      <c r="AF316" s="181"/>
      <c r="AG316" s="181"/>
      <c r="AH316" s="181"/>
      <c r="AI316" s="181"/>
      <c r="AJ316" s="180"/>
      <c r="AK316" s="181"/>
      <c r="AL316" s="181"/>
      <c r="AM316" s="181"/>
      <c r="AN316" s="181"/>
      <c r="AO316" s="180"/>
      <c r="AP316" s="181"/>
      <c r="AQ316" s="181"/>
      <c r="AR316" s="181"/>
      <c r="AS316" s="181"/>
      <c r="AT316" s="180"/>
      <c r="AU316" s="181"/>
      <c r="AV316" s="181"/>
      <c r="AW316" s="181"/>
      <c r="AX316" s="181"/>
      <c r="AY316" s="180"/>
      <c r="AZ316" s="181"/>
      <c r="BA316" s="181"/>
      <c r="BB316" s="181"/>
      <c r="BC316" s="181"/>
      <c r="BD316" s="180"/>
      <c r="BE316" s="181"/>
      <c r="BF316" s="181"/>
      <c r="BG316" s="181"/>
      <c r="BH316" s="181"/>
      <c r="BI316" s="182"/>
      <c r="BJ316" s="183"/>
      <c r="BK316" s="183"/>
      <c r="BL316" s="183"/>
      <c r="BM316" s="183"/>
      <c r="BN316" s="180"/>
      <c r="BO316" s="183"/>
      <c r="BP316" s="183"/>
      <c r="BQ316" s="183"/>
      <c r="BR316" s="183"/>
      <c r="BS316" s="180"/>
      <c r="BT316" s="180"/>
      <c r="BU316" s="180"/>
      <c r="BV316" s="180"/>
      <c r="BW316" s="161"/>
    </row>
    <row r="317" spans="1:75" s="198" customFormat="1" ht="14.25" hidden="1" outlineLevel="1" x14ac:dyDescent="0.45">
      <c r="A317" s="239" t="s">
        <v>467</v>
      </c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40"/>
      <c r="AG317" s="240"/>
      <c r="AH317" s="240"/>
      <c r="AI317" s="240"/>
      <c r="AJ317" s="240"/>
      <c r="AK317" s="239"/>
      <c r="AL317" s="239"/>
      <c r="AM317" s="239"/>
      <c r="AN317" s="239"/>
      <c r="AO317" s="239"/>
      <c r="AP317" s="239"/>
      <c r="AQ317" s="239"/>
      <c r="AR317" s="239"/>
      <c r="AS317" s="239"/>
      <c r="AT317" s="239"/>
      <c r="AU317" s="239"/>
      <c r="AV317" s="239"/>
      <c r="AW317" s="239"/>
      <c r="AX317" s="239"/>
      <c r="AY317" s="239"/>
      <c r="AZ317" s="239"/>
      <c r="BA317" s="239"/>
      <c r="BB317" s="239"/>
      <c r="BC317" s="239"/>
      <c r="BD317" s="239"/>
      <c r="BE317" s="239"/>
      <c r="BF317" s="239"/>
      <c r="BG317" s="239"/>
      <c r="BH317" s="239"/>
      <c r="BI317" s="241"/>
      <c r="BJ317" s="239"/>
      <c r="BK317" s="239"/>
      <c r="BL317" s="239"/>
      <c r="BM317" s="239"/>
      <c r="BN317" s="239"/>
      <c r="BO317" s="239"/>
      <c r="BP317" s="239"/>
      <c r="BQ317" s="239"/>
      <c r="BR317" s="239"/>
      <c r="BS317" s="239"/>
      <c r="BT317" s="239"/>
      <c r="BU317" s="239"/>
      <c r="BV317" s="239"/>
      <c r="BW317" s="197"/>
    </row>
    <row r="318" spans="1:75" s="123" customFormat="1" ht="14.45" hidden="1" customHeight="1" outlineLevel="2" x14ac:dyDescent="0.5">
      <c r="A318" s="184" t="s">
        <v>455</v>
      </c>
      <c r="B318" s="185"/>
      <c r="C318" s="186"/>
      <c r="D318" s="186">
        <v>741.32399999999996</v>
      </c>
      <c r="E318" s="186">
        <v>914.35300000000007</v>
      </c>
      <c r="F318" s="186">
        <v>1125.8119999999999</v>
      </c>
      <c r="G318" s="187">
        <v>286.86400000000003</v>
      </c>
      <c r="H318" s="187">
        <v>361.702</v>
      </c>
      <c r="I318" s="187">
        <v>373.52600000000001</v>
      </c>
      <c r="J318" s="187">
        <v>434.56199999999995</v>
      </c>
      <c r="K318" s="186">
        <v>1460.779</v>
      </c>
      <c r="L318" s="187">
        <v>340.64600000000007</v>
      </c>
      <c r="M318" s="187">
        <v>408.61400000000003</v>
      </c>
      <c r="N318" s="187">
        <v>453.113</v>
      </c>
      <c r="O318" s="187">
        <v>543.44899999999996</v>
      </c>
      <c r="P318" s="186">
        <v>1745.8220000000001</v>
      </c>
      <c r="Q318" s="187">
        <v>391.92399999999998</v>
      </c>
      <c r="R318" s="187">
        <v>476.25599999999997</v>
      </c>
      <c r="S318" s="187">
        <v>490.46699999999998</v>
      </c>
      <c r="T318" s="187">
        <v>607.55900000000008</v>
      </c>
      <c r="U318" s="186">
        <v>1966.2059999999999</v>
      </c>
      <c r="V318" s="187">
        <v>427.45600000000002</v>
      </c>
      <c r="W318" s="187">
        <v>487.51800000000003</v>
      </c>
      <c r="X318" s="187">
        <v>485.02700000000004</v>
      </c>
      <c r="Y318" s="187">
        <v>515.44299999999976</v>
      </c>
      <c r="Z318" s="186">
        <v>1915.444</v>
      </c>
      <c r="AA318" s="187">
        <v>477.428</v>
      </c>
      <c r="AB318" s="187">
        <v>532.69299999999998</v>
      </c>
      <c r="AC318" s="187">
        <v>521.97399999999993</v>
      </c>
      <c r="AD318" s="187">
        <v>581.53700000000003</v>
      </c>
      <c r="AE318" s="186">
        <v>2113.6320000000001</v>
      </c>
      <c r="AF318" s="187">
        <v>482.80699999999996</v>
      </c>
      <c r="AG318" s="187">
        <v>569.70400000000006</v>
      </c>
      <c r="AH318" s="187">
        <v>557.12199999999996</v>
      </c>
      <c r="AI318" s="187">
        <v>586.83900000000017</v>
      </c>
      <c r="AJ318" s="186">
        <v>2196.4720000000002</v>
      </c>
      <c r="AK318" s="187">
        <v>508.10599999999999</v>
      </c>
      <c r="AL318" s="187">
        <v>618.428</v>
      </c>
      <c r="AM318" s="187">
        <v>584.678</v>
      </c>
      <c r="AN318" s="187">
        <v>581.68399999999951</v>
      </c>
      <c r="AO318" s="186">
        <v>2292.8959999999997</v>
      </c>
      <c r="AP318" s="187">
        <v>442.75700000000001</v>
      </c>
      <c r="AQ318" s="187">
        <v>629.78699999999992</v>
      </c>
      <c r="AR318" s="187">
        <v>749.98200000000008</v>
      </c>
      <c r="AS318" s="187">
        <v>719.39599999999984</v>
      </c>
      <c r="AT318" s="186">
        <v>2541.922</v>
      </c>
      <c r="AU318" s="187">
        <v>757.52300000000002</v>
      </c>
      <c r="AV318" s="187">
        <v>879.3180000000001</v>
      </c>
      <c r="AW318" s="187">
        <v>887.65899999999999</v>
      </c>
      <c r="AX318" s="187">
        <v>790.34199999999987</v>
      </c>
      <c r="AY318" s="186">
        <v>3314.8420000000001</v>
      </c>
      <c r="AZ318" s="187">
        <v>838.94799999999998</v>
      </c>
      <c r="BA318" s="187">
        <v>871.18200000000002</v>
      </c>
      <c r="BB318" s="187">
        <v>757.26</v>
      </c>
      <c r="BC318" s="187">
        <v>671.24799999999959</v>
      </c>
      <c r="BD318" s="186">
        <v>3138.6379999999999</v>
      </c>
      <c r="BE318" s="187">
        <v>633.51599999999996</v>
      </c>
      <c r="BF318" s="187">
        <v>694.55</v>
      </c>
      <c r="BG318" s="187">
        <v>644.06100000000004</v>
      </c>
      <c r="BH318" s="187">
        <v>618.49000000000024</v>
      </c>
      <c r="BI318" s="188">
        <v>2590.6170000000002</v>
      </c>
      <c r="BJ318" s="187">
        <v>614.48902205323191</v>
      </c>
      <c r="BK318" s="187">
        <v>733.52948310160434</v>
      </c>
      <c r="BL318" s="187">
        <v>747.29549167977473</v>
      </c>
      <c r="BM318" s="187">
        <v>699.09310175970484</v>
      </c>
      <c r="BN318" s="186">
        <v>2794.4070985943158</v>
      </c>
      <c r="BO318" s="187">
        <v>742.22131566395524</v>
      </c>
      <c r="BP318" s="187">
        <v>857.8192757573795</v>
      </c>
      <c r="BQ318" s="187">
        <v>864.61830270599489</v>
      </c>
      <c r="BR318" s="187">
        <v>771.54269011115866</v>
      </c>
      <c r="BS318" s="186">
        <v>3236.2015842384881</v>
      </c>
      <c r="BT318" s="186">
        <v>3435.4241830980086</v>
      </c>
      <c r="BU318" s="186">
        <v>3546.5682754142367</v>
      </c>
      <c r="BV318" s="186">
        <v>3617.4996409225218</v>
      </c>
      <c r="BW318" s="122"/>
    </row>
    <row r="319" spans="1:75" s="123" customFormat="1" ht="14.45" hidden="1" customHeight="1" outlineLevel="2" x14ac:dyDescent="0.5">
      <c r="A319" s="184" t="s">
        <v>468</v>
      </c>
      <c r="B319" s="185"/>
      <c r="C319" s="186"/>
      <c r="D319" s="186">
        <v>31.427999999999997</v>
      </c>
      <c r="E319" s="186">
        <v>43.730999999999938</v>
      </c>
      <c r="F319" s="186">
        <v>67.234000000000037</v>
      </c>
      <c r="G319" s="187">
        <v>14.472999999999985</v>
      </c>
      <c r="H319" s="187">
        <v>20.395999999999987</v>
      </c>
      <c r="I319" s="187">
        <v>22.305999999999983</v>
      </c>
      <c r="J319" s="187">
        <v>37.132000000000062</v>
      </c>
      <c r="K319" s="186">
        <v>90.181999999999903</v>
      </c>
      <c r="L319" s="187">
        <v>25.607999999999976</v>
      </c>
      <c r="M319" s="187">
        <v>25.151999999999987</v>
      </c>
      <c r="N319" s="187">
        <v>31.562000000000012</v>
      </c>
      <c r="O319" s="187">
        <v>39.27800000000002</v>
      </c>
      <c r="P319" s="393">
        <v>121.6</v>
      </c>
      <c r="Q319" s="187">
        <v>30.521000000000015</v>
      </c>
      <c r="R319" s="187">
        <v>30.686000000000035</v>
      </c>
      <c r="S319" s="187">
        <v>41.943999999999988</v>
      </c>
      <c r="T319" s="187">
        <v>39.648999999999972</v>
      </c>
      <c r="U319" s="393">
        <v>142.80000000000001</v>
      </c>
      <c r="V319" s="394">
        <v>28</v>
      </c>
      <c r="W319" s="394">
        <v>35.1</v>
      </c>
      <c r="X319" s="394">
        <v>36</v>
      </c>
      <c r="Y319" s="187">
        <v>45.5</v>
      </c>
      <c r="Z319" s="393">
        <v>144.6</v>
      </c>
      <c r="AA319" s="394">
        <v>56.1</v>
      </c>
      <c r="AB319" s="394">
        <v>51.1</v>
      </c>
      <c r="AC319" s="394">
        <v>41.2</v>
      </c>
      <c r="AD319" s="187">
        <v>57.299999999999983</v>
      </c>
      <c r="AE319" s="393">
        <v>205.7</v>
      </c>
      <c r="AF319" s="394">
        <v>43.2</v>
      </c>
      <c r="AG319" s="394">
        <v>37.9</v>
      </c>
      <c r="AH319" s="394">
        <v>47.2</v>
      </c>
      <c r="AI319" s="187">
        <v>50.699999999999989</v>
      </c>
      <c r="AJ319" s="393">
        <v>179</v>
      </c>
      <c r="AK319" s="394">
        <v>55.6</v>
      </c>
      <c r="AL319" s="394">
        <v>53.9</v>
      </c>
      <c r="AM319" s="394">
        <v>60.7</v>
      </c>
      <c r="AN319" s="187">
        <v>51.200000000000017</v>
      </c>
      <c r="AO319" s="393">
        <v>221.4</v>
      </c>
      <c r="AP319" s="394">
        <v>12.2</v>
      </c>
      <c r="AQ319" s="394">
        <v>51.6</v>
      </c>
      <c r="AR319" s="394">
        <v>62.8</v>
      </c>
      <c r="AS319" s="187">
        <v>60.900000000000006</v>
      </c>
      <c r="AT319" s="393">
        <v>187.5</v>
      </c>
      <c r="AU319" s="394">
        <v>62.3</v>
      </c>
      <c r="AV319" s="394">
        <v>68.3</v>
      </c>
      <c r="AW319" s="394">
        <v>77.2</v>
      </c>
      <c r="AX319" s="187">
        <v>71.199999999999989</v>
      </c>
      <c r="AY319" s="393">
        <v>279</v>
      </c>
      <c r="AZ319" s="394">
        <v>70</v>
      </c>
      <c r="BA319" s="394">
        <v>69</v>
      </c>
      <c r="BB319" s="394">
        <v>64</v>
      </c>
      <c r="BC319" s="187">
        <v>57</v>
      </c>
      <c r="BD319" s="393">
        <v>260</v>
      </c>
      <c r="BE319" s="394">
        <v>57</v>
      </c>
      <c r="BF319" s="394">
        <v>59</v>
      </c>
      <c r="BG319" s="394">
        <v>61</v>
      </c>
      <c r="BH319" s="187">
        <v>68</v>
      </c>
      <c r="BI319" s="395">
        <v>245</v>
      </c>
      <c r="BJ319" s="187">
        <v>62.37</v>
      </c>
      <c r="BK319" s="187">
        <v>62.106835443037973</v>
      </c>
      <c r="BL319" s="187">
        <v>61.862926829268282</v>
      </c>
      <c r="BM319" s="187">
        <v>66.64</v>
      </c>
      <c r="BN319" s="186">
        <v>252.97976227230623</v>
      </c>
      <c r="BO319" s="187">
        <v>63.617400000000004</v>
      </c>
      <c r="BP319" s="187">
        <v>63.348972151898721</v>
      </c>
      <c r="BQ319" s="187">
        <v>66.81196097560975</v>
      </c>
      <c r="BR319" s="187">
        <v>71.3048</v>
      </c>
      <c r="BS319" s="186">
        <v>265.08313312750846</v>
      </c>
      <c r="BT319" s="186">
        <v>273.03562712133373</v>
      </c>
      <c r="BU319" s="186">
        <v>281.22669593497369</v>
      </c>
      <c r="BV319" s="186">
        <v>289.66349681302296</v>
      </c>
      <c r="BW319" s="122"/>
    </row>
    <row r="320" spans="1:75" s="198" customFormat="1" ht="14.25" hidden="1" outlineLevel="2" x14ac:dyDescent="0.45">
      <c r="A320" s="192" t="s">
        <v>469</v>
      </c>
      <c r="B320" s="327"/>
      <c r="C320" s="325">
        <v>625.68499999999995</v>
      </c>
      <c r="D320" s="325">
        <v>772.75199999999995</v>
      </c>
      <c r="E320" s="325">
        <v>958.08400000000006</v>
      </c>
      <c r="F320" s="325">
        <v>1193.046</v>
      </c>
      <c r="G320" s="326">
        <v>301.33699999999999</v>
      </c>
      <c r="H320" s="326">
        <v>382.09800000000001</v>
      </c>
      <c r="I320" s="326">
        <v>395.83199999999999</v>
      </c>
      <c r="J320" s="326">
        <v>471.69400000000002</v>
      </c>
      <c r="K320" s="325">
        <v>1550.9609999999998</v>
      </c>
      <c r="L320" s="326">
        <v>366.25400000000002</v>
      </c>
      <c r="M320" s="326">
        <v>433.76600000000002</v>
      </c>
      <c r="N320" s="326">
        <v>484.67500000000001</v>
      </c>
      <c r="O320" s="326">
        <v>582.72699999999998</v>
      </c>
      <c r="P320" s="325">
        <v>1867.422</v>
      </c>
      <c r="Q320" s="326">
        <v>422.44499999999999</v>
      </c>
      <c r="R320" s="326">
        <v>506.94200000000001</v>
      </c>
      <c r="S320" s="326">
        <v>532.41099999999994</v>
      </c>
      <c r="T320" s="326">
        <v>647.20800000000008</v>
      </c>
      <c r="U320" s="325">
        <v>2109.0059999999999</v>
      </c>
      <c r="V320" s="326">
        <v>455.45600000000002</v>
      </c>
      <c r="W320" s="326">
        <v>522.61800000000005</v>
      </c>
      <c r="X320" s="326">
        <v>521.02700000000004</v>
      </c>
      <c r="Y320" s="326">
        <v>560.94299999999976</v>
      </c>
      <c r="Z320" s="325">
        <v>2060.0439999999999</v>
      </c>
      <c r="AA320" s="326">
        <v>533.52800000000002</v>
      </c>
      <c r="AB320" s="326">
        <v>583.79300000000001</v>
      </c>
      <c r="AC320" s="326">
        <v>563.17399999999998</v>
      </c>
      <c r="AD320" s="326">
        <v>638.83699999999999</v>
      </c>
      <c r="AE320" s="325">
        <v>2319.3319999999999</v>
      </c>
      <c r="AF320" s="326">
        <v>526.00699999999995</v>
      </c>
      <c r="AG320" s="326">
        <v>607.60400000000004</v>
      </c>
      <c r="AH320" s="326">
        <v>604.322</v>
      </c>
      <c r="AI320" s="326">
        <v>637.53900000000021</v>
      </c>
      <c r="AJ320" s="325">
        <v>2375.4720000000002</v>
      </c>
      <c r="AK320" s="326">
        <v>563.70600000000002</v>
      </c>
      <c r="AL320" s="326">
        <v>672.32799999999997</v>
      </c>
      <c r="AM320" s="326">
        <v>645.37800000000004</v>
      </c>
      <c r="AN320" s="326">
        <v>632.88399999999956</v>
      </c>
      <c r="AO320" s="325">
        <v>2514.2959999999998</v>
      </c>
      <c r="AP320" s="326">
        <v>454.95699999999999</v>
      </c>
      <c r="AQ320" s="326">
        <v>681.38699999999994</v>
      </c>
      <c r="AR320" s="326">
        <v>812.78200000000004</v>
      </c>
      <c r="AS320" s="326">
        <v>780.29599999999982</v>
      </c>
      <c r="AT320" s="325">
        <v>2729.422</v>
      </c>
      <c r="AU320" s="326">
        <v>819.82299999999998</v>
      </c>
      <c r="AV320" s="326">
        <v>947.61800000000005</v>
      </c>
      <c r="AW320" s="326">
        <v>964.85900000000004</v>
      </c>
      <c r="AX320" s="326">
        <v>861.54199999999992</v>
      </c>
      <c r="AY320" s="325">
        <v>3593.8420000000001</v>
      </c>
      <c r="AZ320" s="326">
        <v>908.94799999999998</v>
      </c>
      <c r="BA320" s="326">
        <v>940.18200000000002</v>
      </c>
      <c r="BB320" s="326">
        <v>821.26</v>
      </c>
      <c r="BC320" s="326">
        <v>728.24799999999959</v>
      </c>
      <c r="BD320" s="325">
        <v>3398.6379999999999</v>
      </c>
      <c r="BE320" s="326">
        <v>690.51599999999996</v>
      </c>
      <c r="BF320" s="326">
        <v>753.55</v>
      </c>
      <c r="BG320" s="326">
        <v>705.06100000000004</v>
      </c>
      <c r="BH320" s="326">
        <v>686.49000000000024</v>
      </c>
      <c r="BI320" s="329">
        <v>2835.6170000000002</v>
      </c>
      <c r="BJ320" s="326">
        <v>676.85902205323191</v>
      </c>
      <c r="BK320" s="326">
        <v>795.63631854464234</v>
      </c>
      <c r="BL320" s="326">
        <v>809.15841850904303</v>
      </c>
      <c r="BM320" s="326">
        <v>765.73310175970482</v>
      </c>
      <c r="BN320" s="325">
        <v>3047.3868608666221</v>
      </c>
      <c r="BO320" s="326">
        <v>805.83871566395521</v>
      </c>
      <c r="BP320" s="326">
        <v>921.16824790927819</v>
      </c>
      <c r="BQ320" s="326">
        <v>931.43026368160463</v>
      </c>
      <c r="BR320" s="326">
        <v>842.84749011115866</v>
      </c>
      <c r="BS320" s="325">
        <v>3501.2847173659966</v>
      </c>
      <c r="BT320" s="325">
        <v>3708.4598102193422</v>
      </c>
      <c r="BU320" s="325">
        <v>3827.7949713492103</v>
      </c>
      <c r="BV320" s="325">
        <v>3907.1631377355448</v>
      </c>
      <c r="BW320" s="197"/>
    </row>
    <row r="321" spans="1:75" s="123" customFormat="1" hidden="1" outlineLevel="2" x14ac:dyDescent="0.5">
      <c r="A321" s="184" t="s">
        <v>470</v>
      </c>
      <c r="B321" s="118"/>
      <c r="C321" s="299">
        <v>0</v>
      </c>
      <c r="D321" s="299">
        <v>0</v>
      </c>
      <c r="E321" s="299">
        <v>0</v>
      </c>
      <c r="F321" s="299">
        <v>0</v>
      </c>
      <c r="G321" s="300">
        <v>0</v>
      </c>
      <c r="H321" s="300">
        <v>0</v>
      </c>
      <c r="I321" s="300">
        <v>0</v>
      </c>
      <c r="J321" s="300">
        <v>0</v>
      </c>
      <c r="K321" s="299">
        <v>0</v>
      </c>
      <c r="L321" s="300">
        <v>0</v>
      </c>
      <c r="M321" s="300">
        <v>0</v>
      </c>
      <c r="N321" s="300">
        <v>0</v>
      </c>
      <c r="O321" s="300">
        <v>0</v>
      </c>
      <c r="P321" s="299">
        <v>0</v>
      </c>
      <c r="Q321" s="300">
        <v>0</v>
      </c>
      <c r="R321" s="300">
        <v>0</v>
      </c>
      <c r="S321" s="300">
        <v>0</v>
      </c>
      <c r="T321" s="300">
        <v>0</v>
      </c>
      <c r="U321" s="299">
        <v>0</v>
      </c>
      <c r="V321" s="300">
        <v>0</v>
      </c>
      <c r="W321" s="300">
        <v>0</v>
      </c>
      <c r="X321" s="300">
        <v>0</v>
      </c>
      <c r="Y321" s="300">
        <v>3.4409999999999998</v>
      </c>
      <c r="Z321" s="299">
        <v>3.4409999999999998</v>
      </c>
      <c r="AA321" s="300">
        <v>0</v>
      </c>
      <c r="AB321" s="300">
        <v>3.8130000000000002</v>
      </c>
      <c r="AC321" s="300">
        <v>0</v>
      </c>
      <c r="AD321" s="300">
        <v>-0.60599999999999998</v>
      </c>
      <c r="AE321" s="299">
        <v>3.2069999999999999</v>
      </c>
      <c r="AF321" s="300">
        <v>0</v>
      </c>
      <c r="AG321" s="300">
        <v>1.853</v>
      </c>
      <c r="AH321" s="300">
        <v>1.948</v>
      </c>
      <c r="AI321" s="300">
        <v>0.93200000000000005</v>
      </c>
      <c r="AJ321" s="299">
        <v>4.7329999999999997</v>
      </c>
      <c r="AK321" s="300">
        <v>0.41299999999999998</v>
      </c>
      <c r="AL321" s="300">
        <v>0</v>
      </c>
      <c r="AM321" s="300">
        <v>-0.80400000000000005</v>
      </c>
      <c r="AN321" s="300">
        <v>0</v>
      </c>
      <c r="AO321" s="299">
        <v>-0.39100000000000001</v>
      </c>
      <c r="AP321" s="300">
        <v>0</v>
      </c>
      <c r="AQ321" s="300">
        <v>0.40600000000000003</v>
      </c>
      <c r="AR321" s="300">
        <v>0.78100000000000003</v>
      </c>
      <c r="AS321" s="300">
        <v>0.186</v>
      </c>
      <c r="AT321" s="299">
        <v>1.373</v>
      </c>
      <c r="AU321" s="300">
        <v>0</v>
      </c>
      <c r="AV321" s="300">
        <v>0</v>
      </c>
      <c r="AW321" s="300">
        <v>0</v>
      </c>
      <c r="AX321" s="300">
        <v>-1.2</v>
      </c>
      <c r="AY321" s="299">
        <v>-1.2</v>
      </c>
      <c r="AZ321" s="300">
        <v>0</v>
      </c>
      <c r="BA321" s="300">
        <v>0</v>
      </c>
      <c r="BB321" s="300">
        <v>0</v>
      </c>
      <c r="BC321" s="300">
        <v>0</v>
      </c>
      <c r="BD321" s="299">
        <v>0</v>
      </c>
      <c r="BE321" s="300">
        <v>0</v>
      </c>
      <c r="BF321" s="300">
        <v>0</v>
      </c>
      <c r="BG321" s="300">
        <v>0</v>
      </c>
      <c r="BH321" s="300">
        <v>0</v>
      </c>
      <c r="BI321" s="304">
        <v>0</v>
      </c>
      <c r="BJ321" s="307">
        <v>0</v>
      </c>
      <c r="BK321" s="307">
        <v>0</v>
      </c>
      <c r="BL321" s="307">
        <v>0</v>
      </c>
      <c r="BM321" s="307">
        <v>0</v>
      </c>
      <c r="BN321" s="299">
        <v>0</v>
      </c>
      <c r="BO321" s="307">
        <v>0</v>
      </c>
      <c r="BP321" s="307">
        <v>0</v>
      </c>
      <c r="BQ321" s="307">
        <v>0</v>
      </c>
      <c r="BR321" s="307">
        <v>0</v>
      </c>
      <c r="BS321" s="299">
        <v>0</v>
      </c>
      <c r="BT321" s="305">
        <v>0</v>
      </c>
      <c r="BU321" s="305">
        <v>0</v>
      </c>
      <c r="BV321" s="305">
        <v>0</v>
      </c>
      <c r="BW321" s="122"/>
    </row>
    <row r="322" spans="1:75" s="198" customFormat="1" ht="14.25" hidden="1" outlineLevel="1" x14ac:dyDescent="0.45">
      <c r="A322" s="192" t="s">
        <v>471</v>
      </c>
      <c r="B322" s="327"/>
      <c r="C322" s="325">
        <v>625.68499999999995</v>
      </c>
      <c r="D322" s="325">
        <v>772.75199999999995</v>
      </c>
      <c r="E322" s="325">
        <v>958.08400000000006</v>
      </c>
      <c r="F322" s="325">
        <v>1193.046</v>
      </c>
      <c r="G322" s="326">
        <v>301.33699999999999</v>
      </c>
      <c r="H322" s="326">
        <v>382.09800000000001</v>
      </c>
      <c r="I322" s="326">
        <v>395.83199999999999</v>
      </c>
      <c r="J322" s="326">
        <v>471.69400000000002</v>
      </c>
      <c r="K322" s="325">
        <v>1550.9609999999998</v>
      </c>
      <c r="L322" s="326">
        <v>366.25400000000002</v>
      </c>
      <c r="M322" s="326">
        <v>433.76600000000002</v>
      </c>
      <c r="N322" s="326">
        <v>484.67500000000001</v>
      </c>
      <c r="O322" s="326">
        <v>582.72699999999998</v>
      </c>
      <c r="P322" s="325">
        <v>1867.422</v>
      </c>
      <c r="Q322" s="326">
        <v>422.44499999999999</v>
      </c>
      <c r="R322" s="326">
        <v>506.94200000000001</v>
      </c>
      <c r="S322" s="326">
        <v>532.41099999999994</v>
      </c>
      <c r="T322" s="326">
        <v>647.20800000000008</v>
      </c>
      <c r="U322" s="325">
        <v>2109.0059999999999</v>
      </c>
      <c r="V322" s="326">
        <v>455.45600000000002</v>
      </c>
      <c r="W322" s="326">
        <v>522.61800000000005</v>
      </c>
      <c r="X322" s="326">
        <v>521.02700000000004</v>
      </c>
      <c r="Y322" s="326">
        <v>564.38399999999979</v>
      </c>
      <c r="Z322" s="325">
        <v>2063.4849999999997</v>
      </c>
      <c r="AA322" s="326">
        <v>533.52800000000002</v>
      </c>
      <c r="AB322" s="326">
        <v>587.60599999999999</v>
      </c>
      <c r="AC322" s="326">
        <v>563.17399999999998</v>
      </c>
      <c r="AD322" s="326">
        <v>638.23099999999999</v>
      </c>
      <c r="AE322" s="325">
        <v>2322.5389999999998</v>
      </c>
      <c r="AF322" s="326">
        <v>526.00699999999995</v>
      </c>
      <c r="AG322" s="326">
        <v>609.45699999999999</v>
      </c>
      <c r="AH322" s="326">
        <v>606.27</v>
      </c>
      <c r="AI322" s="326">
        <v>638.47100000000023</v>
      </c>
      <c r="AJ322" s="325">
        <v>2380.2050000000004</v>
      </c>
      <c r="AK322" s="326">
        <v>564.11900000000003</v>
      </c>
      <c r="AL322" s="326">
        <v>672.32799999999997</v>
      </c>
      <c r="AM322" s="326">
        <v>644.57400000000007</v>
      </c>
      <c r="AN322" s="326">
        <v>632.88399999999956</v>
      </c>
      <c r="AO322" s="325">
        <v>2513.9049999999997</v>
      </c>
      <c r="AP322" s="326">
        <v>454.95699999999999</v>
      </c>
      <c r="AQ322" s="326">
        <v>681.79299999999989</v>
      </c>
      <c r="AR322" s="326">
        <v>813.56299999999999</v>
      </c>
      <c r="AS322" s="326">
        <v>780.48199999999986</v>
      </c>
      <c r="AT322" s="325">
        <v>2730.7950000000001</v>
      </c>
      <c r="AU322" s="326">
        <v>819.82299999999998</v>
      </c>
      <c r="AV322" s="326">
        <v>947.61800000000005</v>
      </c>
      <c r="AW322" s="326">
        <v>964.85900000000004</v>
      </c>
      <c r="AX322" s="326">
        <v>860.34199999999987</v>
      </c>
      <c r="AY322" s="325">
        <v>3592.6420000000003</v>
      </c>
      <c r="AZ322" s="326">
        <v>908.94799999999998</v>
      </c>
      <c r="BA322" s="326">
        <v>940.18200000000002</v>
      </c>
      <c r="BB322" s="326">
        <v>821.26</v>
      </c>
      <c r="BC322" s="326">
        <v>728.24799999999959</v>
      </c>
      <c r="BD322" s="325">
        <v>3398.6379999999999</v>
      </c>
      <c r="BE322" s="326">
        <v>690.51599999999996</v>
      </c>
      <c r="BF322" s="326">
        <v>753.55</v>
      </c>
      <c r="BG322" s="326">
        <v>705.06100000000004</v>
      </c>
      <c r="BH322" s="326">
        <v>686.49000000000024</v>
      </c>
      <c r="BI322" s="329">
        <v>2835.6170000000002</v>
      </c>
      <c r="BJ322" s="326">
        <v>676.85902205323191</v>
      </c>
      <c r="BK322" s="326">
        <v>795.63631854464234</v>
      </c>
      <c r="BL322" s="326">
        <v>809.15841850904303</v>
      </c>
      <c r="BM322" s="326">
        <v>765.73310175970482</v>
      </c>
      <c r="BN322" s="325">
        <v>3047.3868608666221</v>
      </c>
      <c r="BO322" s="326">
        <v>805.83871566395521</v>
      </c>
      <c r="BP322" s="326">
        <v>921.16824790927819</v>
      </c>
      <c r="BQ322" s="326">
        <v>931.43026368160463</v>
      </c>
      <c r="BR322" s="326">
        <v>842.84749011115866</v>
      </c>
      <c r="BS322" s="325">
        <v>3501.2847173659966</v>
      </c>
      <c r="BT322" s="325">
        <v>3708.4598102193422</v>
      </c>
      <c r="BU322" s="325">
        <v>3827.7949713492103</v>
      </c>
      <c r="BV322" s="325">
        <v>3907.1631377355448</v>
      </c>
      <c r="BW322" s="197"/>
    </row>
    <row r="323" spans="1:75" s="205" customFormat="1" ht="14.45" hidden="1" customHeight="1" outlineLevel="1" x14ac:dyDescent="0.45">
      <c r="A323" s="199" t="s">
        <v>472</v>
      </c>
      <c r="B323" s="200"/>
      <c r="C323" s="201"/>
      <c r="D323" s="201">
        <v>147.06700000000001</v>
      </c>
      <c r="E323" s="201">
        <v>185.33200000000011</v>
      </c>
      <c r="F323" s="201">
        <v>234.96199999999999</v>
      </c>
      <c r="G323" s="202"/>
      <c r="H323" s="202"/>
      <c r="I323" s="202"/>
      <c r="J323" s="202"/>
      <c r="K323" s="201">
        <v>357.91499999999974</v>
      </c>
      <c r="L323" s="202">
        <v>64.91700000000003</v>
      </c>
      <c r="M323" s="202">
        <v>51.668000000000006</v>
      </c>
      <c r="N323" s="202">
        <v>88.843000000000018</v>
      </c>
      <c r="O323" s="202">
        <v>111.03299999999996</v>
      </c>
      <c r="P323" s="201">
        <v>316.46100000000024</v>
      </c>
      <c r="Q323" s="202">
        <v>56.190999999999974</v>
      </c>
      <c r="R323" s="202">
        <v>73.175999999999988</v>
      </c>
      <c r="S323" s="202">
        <v>47.735999999999933</v>
      </c>
      <c r="T323" s="202">
        <v>64.481000000000108</v>
      </c>
      <c r="U323" s="201">
        <v>241.58399999999983</v>
      </c>
      <c r="V323" s="202">
        <v>33.011000000000024</v>
      </c>
      <c r="W323" s="202">
        <v>15.676000000000045</v>
      </c>
      <c r="X323" s="202">
        <v>-11.383999999999901</v>
      </c>
      <c r="Y323" s="202">
        <v>-82.824000000000296</v>
      </c>
      <c r="Z323" s="201">
        <v>-45.521000000000186</v>
      </c>
      <c r="AA323" s="202">
        <v>78.072000000000003</v>
      </c>
      <c r="AB323" s="202">
        <v>64.987999999999943</v>
      </c>
      <c r="AC323" s="202">
        <v>42.146999999999935</v>
      </c>
      <c r="AD323" s="202">
        <v>73.847000000000207</v>
      </c>
      <c r="AE323" s="201">
        <v>259.05400000000009</v>
      </c>
      <c r="AF323" s="202">
        <v>-7.5210000000000719</v>
      </c>
      <c r="AG323" s="202">
        <v>21.850999999999999</v>
      </c>
      <c r="AH323" s="202">
        <v>43.096000000000004</v>
      </c>
      <c r="AI323" s="202">
        <v>0.24000000000023647</v>
      </c>
      <c r="AJ323" s="201">
        <v>57.666000000000622</v>
      </c>
      <c r="AK323" s="202">
        <v>38.11200000000008</v>
      </c>
      <c r="AL323" s="202">
        <v>62.870999999999981</v>
      </c>
      <c r="AM323" s="202">
        <v>38.304000000000087</v>
      </c>
      <c r="AN323" s="202">
        <v>-5.5870000000006712</v>
      </c>
      <c r="AO323" s="201">
        <v>133.69999999999936</v>
      </c>
      <c r="AP323" s="202">
        <v>-109.16200000000003</v>
      </c>
      <c r="AQ323" s="202">
        <v>9.4649999999999181</v>
      </c>
      <c r="AR323" s="202">
        <v>168.98899999999992</v>
      </c>
      <c r="AS323" s="202">
        <v>147.5980000000003</v>
      </c>
      <c r="AT323" s="201">
        <v>216.89000000000033</v>
      </c>
      <c r="AU323" s="202">
        <v>364.86599999999999</v>
      </c>
      <c r="AV323" s="202">
        <v>265.82500000000016</v>
      </c>
      <c r="AW323" s="202">
        <v>151.29600000000005</v>
      </c>
      <c r="AX323" s="202">
        <v>79.860000000000014</v>
      </c>
      <c r="AY323" s="201">
        <v>861.84700000000021</v>
      </c>
      <c r="AZ323" s="202">
        <v>89.125</v>
      </c>
      <c r="BA323" s="202">
        <v>-7.4360000000000355</v>
      </c>
      <c r="BB323" s="202">
        <v>-143.59900000000005</v>
      </c>
      <c r="BC323" s="202">
        <v>-132.09400000000028</v>
      </c>
      <c r="BD323" s="201">
        <v>-194.00400000000036</v>
      </c>
      <c r="BE323" s="202">
        <v>-218.43200000000002</v>
      </c>
      <c r="BF323" s="202">
        <v>-186.63200000000006</v>
      </c>
      <c r="BG323" s="202">
        <v>-116.19899999999996</v>
      </c>
      <c r="BH323" s="202">
        <v>-41.757999999999356</v>
      </c>
      <c r="BI323" s="203">
        <v>-563.02099999999973</v>
      </c>
      <c r="BJ323" s="202">
        <v>-13.656977946768052</v>
      </c>
      <c r="BK323" s="202">
        <v>42.086318544642381</v>
      </c>
      <c r="BL323" s="202">
        <v>104.097418509043</v>
      </c>
      <c r="BM323" s="202">
        <v>79.243101759704587</v>
      </c>
      <c r="BN323" s="201">
        <v>211.76986086662191</v>
      </c>
      <c r="BO323" s="202">
        <v>128.9796936107233</v>
      </c>
      <c r="BP323" s="202">
        <v>125.53192936463586</v>
      </c>
      <c r="BQ323" s="202">
        <v>122.2718451725616</v>
      </c>
      <c r="BR323" s="202">
        <v>77.11438835145384</v>
      </c>
      <c r="BS323" s="201">
        <v>453.89785649937448</v>
      </c>
      <c r="BT323" s="201">
        <v>207.17509285334563</v>
      </c>
      <c r="BU323" s="201">
        <v>119.33516112986808</v>
      </c>
      <c r="BV323" s="201">
        <v>79.368166386334451</v>
      </c>
      <c r="BW323" s="204"/>
    </row>
    <row r="324" spans="1:75" s="177" customFormat="1" ht="14.25" hidden="1" outlineLevel="1" x14ac:dyDescent="0.45">
      <c r="A324" s="170" t="s">
        <v>473</v>
      </c>
      <c r="B324" s="378"/>
      <c r="C324" s="375"/>
      <c r="D324" s="375">
        <v>0.23504958565412304</v>
      </c>
      <c r="E324" s="375">
        <v>0.23983373708511935</v>
      </c>
      <c r="F324" s="375">
        <v>0.24524154458272962</v>
      </c>
      <c r="G324" s="381"/>
      <c r="H324" s="381"/>
      <c r="I324" s="381"/>
      <c r="J324" s="381"/>
      <c r="K324" s="375">
        <v>0.30000100582877742</v>
      </c>
      <c r="L324" s="381">
        <v>0.21542990074235835</v>
      </c>
      <c r="M324" s="381">
        <v>0.13522185407931997</v>
      </c>
      <c r="N324" s="381">
        <v>0.22444622971361583</v>
      </c>
      <c r="O324" s="381">
        <v>0.23539201261834997</v>
      </c>
      <c r="P324" s="375">
        <v>0.20404188113047339</v>
      </c>
      <c r="Q324" s="381">
        <v>0.15342085001119443</v>
      </c>
      <c r="R324" s="381">
        <v>0.16869925259241159</v>
      </c>
      <c r="S324" s="381">
        <v>9.8490741218342004E-2</v>
      </c>
      <c r="T324" s="381">
        <v>0.11065387394097081</v>
      </c>
      <c r="U324" s="375">
        <v>0.12936765230354985</v>
      </c>
      <c r="V324" s="381">
        <v>7.8142716803370815E-2</v>
      </c>
      <c r="W324" s="381">
        <v>3.0922669654516843E-2</v>
      </c>
      <c r="X324" s="381">
        <v>-2.1381977457265E-2</v>
      </c>
      <c r="Y324" s="381">
        <v>-0.12797122408870143</v>
      </c>
      <c r="Z324" s="375">
        <v>-2.1584101704784198E-2</v>
      </c>
      <c r="AA324" s="381">
        <v>0.17141502142907328</v>
      </c>
      <c r="AB324" s="381">
        <v>0.12435086430241582</v>
      </c>
      <c r="AC324" s="381">
        <v>8.0892161058831791E-2</v>
      </c>
      <c r="AD324" s="381">
        <v>0.13084531099393359</v>
      </c>
      <c r="AE324" s="375">
        <v>0.12554198358602076</v>
      </c>
      <c r="AF324" s="381">
        <v>-1.4096729693661936E-2</v>
      </c>
      <c r="AG324" s="381">
        <v>3.7186482098549023E-2</v>
      </c>
      <c r="AH324" s="381">
        <v>7.6523419049885133E-2</v>
      </c>
      <c r="AI324" s="381">
        <v>3.76039396394523E-4</v>
      </c>
      <c r="AJ324" s="375">
        <v>2.4828861861953877E-2</v>
      </c>
      <c r="AK324" s="381">
        <v>7.2455309530101486E-2</v>
      </c>
      <c r="AL324" s="381">
        <v>0.10315904157307232</v>
      </c>
      <c r="AM324" s="381">
        <v>6.3179771388985229E-2</v>
      </c>
      <c r="AN324" s="381">
        <v>-8.750593214101654E-3</v>
      </c>
      <c r="AO324" s="375">
        <v>5.617163227537092E-2</v>
      </c>
      <c r="AP324" s="381">
        <v>-0.19350881640221307</v>
      </c>
      <c r="AQ324" s="381">
        <v>1.4077950048190679E-2</v>
      </c>
      <c r="AR324" s="381">
        <v>0.26217160481186008</v>
      </c>
      <c r="AS324" s="381">
        <v>0.23321493354232437</v>
      </c>
      <c r="AT324" s="375">
        <v>8.6276132152965257E-2</v>
      </c>
      <c r="AU324" s="381">
        <v>0.80197908813360375</v>
      </c>
      <c r="AV324" s="381">
        <v>0.38989106664339501</v>
      </c>
      <c r="AW324" s="381">
        <v>0.18596715927346752</v>
      </c>
      <c r="AX324" s="381">
        <v>0.10232138601530849</v>
      </c>
      <c r="AY324" s="375">
        <v>0.31560296543680511</v>
      </c>
      <c r="AZ324" s="381">
        <v>0.10871249037902087</v>
      </c>
      <c r="BA324" s="381">
        <v>-7.8470438510033214E-3</v>
      </c>
      <c r="BB324" s="381">
        <v>-0.14882899988495735</v>
      </c>
      <c r="BC324" s="381">
        <v>-0.15353661683377107</v>
      </c>
      <c r="BD324" s="375">
        <v>-5.4000370757787852E-2</v>
      </c>
      <c r="BE324" s="381">
        <v>-0.24031297720001588</v>
      </c>
      <c r="BF324" s="381">
        <v>-0.19850624666288019</v>
      </c>
      <c r="BG324" s="381">
        <v>-0.14148868811338666</v>
      </c>
      <c r="BH324" s="381">
        <v>-5.7340356581822904E-2</v>
      </c>
      <c r="BI324" s="379">
        <v>-0.16566077352162834</v>
      </c>
      <c r="BJ324" s="381">
        <v>-1.9777931209078559E-2</v>
      </c>
      <c r="BK324" s="381">
        <v>5.5850731264869502E-2</v>
      </c>
      <c r="BL324" s="381">
        <v>0.14764313798244832</v>
      </c>
      <c r="BM324" s="381">
        <v>0.11543227397297051</v>
      </c>
      <c r="BN324" s="375">
        <v>7.4682110054574258E-2</v>
      </c>
      <c r="BO324" s="381">
        <v>0.19055621541317014</v>
      </c>
      <c r="BP324" s="381">
        <v>0.15777551431319226</v>
      </c>
      <c r="BQ324" s="381">
        <v>0.15110989687020737</v>
      </c>
      <c r="BR324" s="381">
        <v>0.10070661458181696</v>
      </c>
      <c r="BS324" s="375">
        <v>0.14894658184956988</v>
      </c>
      <c r="BT324" s="375">
        <v>5.9171164180330527E-2</v>
      </c>
      <c r="BU324" s="375">
        <v>3.2179170662984813E-2</v>
      </c>
      <c r="BV324" s="375">
        <v>2.0734696340948267E-2</v>
      </c>
      <c r="BW324" s="176"/>
    </row>
    <row r="325" spans="1:75" s="177" customFormat="1" ht="14.45" hidden="1" customHeight="1" outlineLevel="1" x14ac:dyDescent="0.45">
      <c r="A325" s="170"/>
      <c r="B325" s="171"/>
      <c r="C325" s="172"/>
      <c r="D325" s="172"/>
      <c r="E325" s="172"/>
      <c r="F325" s="172"/>
      <c r="G325" s="173"/>
      <c r="H325" s="173"/>
      <c r="I325" s="173"/>
      <c r="J325" s="173"/>
      <c r="K325" s="172"/>
      <c r="L325" s="173"/>
      <c r="M325" s="173"/>
      <c r="N325" s="173"/>
      <c r="O325" s="173"/>
      <c r="P325" s="172"/>
      <c r="Q325" s="173"/>
      <c r="R325" s="173"/>
      <c r="S325" s="173"/>
      <c r="T325" s="173"/>
      <c r="U325" s="172"/>
      <c r="V325" s="173"/>
      <c r="W325" s="173"/>
      <c r="X325" s="173"/>
      <c r="Y325" s="173"/>
      <c r="Z325" s="172"/>
      <c r="AA325" s="173"/>
      <c r="AB325" s="173"/>
      <c r="AC325" s="173"/>
      <c r="AD325" s="173"/>
      <c r="AE325" s="172"/>
      <c r="AF325" s="173"/>
      <c r="AG325" s="173"/>
      <c r="AH325" s="173"/>
      <c r="AI325" s="173"/>
      <c r="AJ325" s="172"/>
      <c r="AK325" s="173"/>
      <c r="AL325" s="173"/>
      <c r="AM325" s="173"/>
      <c r="AN325" s="173"/>
      <c r="AO325" s="172"/>
      <c r="AP325" s="173"/>
      <c r="AQ325" s="173"/>
      <c r="AR325" s="173"/>
      <c r="AS325" s="173"/>
      <c r="AT325" s="172"/>
      <c r="AU325" s="173"/>
      <c r="AV325" s="173"/>
      <c r="AW325" s="173"/>
      <c r="AX325" s="173"/>
      <c r="AY325" s="172"/>
      <c r="AZ325" s="173"/>
      <c r="BA325" s="173"/>
      <c r="BB325" s="173"/>
      <c r="BC325" s="173"/>
      <c r="BD325" s="172"/>
      <c r="BE325" s="173"/>
      <c r="BF325" s="173"/>
      <c r="BG325" s="173"/>
      <c r="BH325" s="173"/>
      <c r="BI325" s="174"/>
      <c r="BJ325" s="175"/>
      <c r="BK325" s="175"/>
      <c r="BL325" s="175"/>
      <c r="BM325" s="175"/>
      <c r="BN325" s="172"/>
      <c r="BO325" s="175"/>
      <c r="BP325" s="175"/>
      <c r="BQ325" s="175"/>
      <c r="BR325" s="175"/>
      <c r="BS325" s="172"/>
      <c r="BT325" s="172"/>
      <c r="BU325" s="172"/>
      <c r="BV325" s="172"/>
      <c r="BW325" s="176"/>
    </row>
    <row r="326" spans="1:75" s="198" customFormat="1" ht="14.25" hidden="1" outlineLevel="2" x14ac:dyDescent="0.45">
      <c r="A326" s="396" t="s">
        <v>474</v>
      </c>
      <c r="B326" s="243"/>
      <c r="C326" s="293">
        <v>213.05599999999993</v>
      </c>
      <c r="D326" s="293">
        <v>271.61999999999995</v>
      </c>
      <c r="E326" s="293">
        <v>356.34900000000005</v>
      </c>
      <c r="F326" s="293">
        <v>436.44900000000013</v>
      </c>
      <c r="G326" s="294">
        <v>101.87699999999998</v>
      </c>
      <c r="H326" s="294">
        <v>139.226</v>
      </c>
      <c r="I326" s="294">
        <v>140.79999999999998</v>
      </c>
      <c r="J326" s="294">
        <v>174.97700000000003</v>
      </c>
      <c r="K326" s="293">
        <v>556.87999999999977</v>
      </c>
      <c r="L326" s="294">
        <v>124.34900000000002</v>
      </c>
      <c r="M326" s="294">
        <v>167.90899999999999</v>
      </c>
      <c r="N326" s="294">
        <v>180.37299999999999</v>
      </c>
      <c r="O326" s="294">
        <v>218.14299999999997</v>
      </c>
      <c r="P326" s="293">
        <v>690.77399999999989</v>
      </c>
      <c r="Q326" s="294">
        <v>143.41800000000001</v>
      </c>
      <c r="R326" s="294">
        <v>194.26300000000003</v>
      </c>
      <c r="S326" s="294">
        <v>190.74999999999994</v>
      </c>
      <c r="T326" s="294">
        <v>224.26099999999997</v>
      </c>
      <c r="U326" s="293">
        <v>752.69199999999978</v>
      </c>
      <c r="V326" s="294">
        <v>127.47500000000002</v>
      </c>
      <c r="W326" s="294">
        <v>173.803</v>
      </c>
      <c r="X326" s="294">
        <v>166.124</v>
      </c>
      <c r="Y326" s="295">
        <v>188.78899999999999</v>
      </c>
      <c r="Z326" s="397">
        <v>656.19100000000003</v>
      </c>
      <c r="AA326" s="295">
        <v>159.62700000000001</v>
      </c>
      <c r="AB326" s="295">
        <v>192.99600000000001</v>
      </c>
      <c r="AC326" s="294">
        <v>203.221</v>
      </c>
      <c r="AD326" s="295">
        <v>246.15499999999997</v>
      </c>
      <c r="AE326" s="397">
        <v>801.99900000000002</v>
      </c>
      <c r="AF326" s="197">
        <v>195.70599999999999</v>
      </c>
      <c r="AG326" s="295">
        <v>255.505</v>
      </c>
      <c r="AH326" s="398">
        <v>236.43199999999999</v>
      </c>
      <c r="AI326" s="295">
        <v>246.16199999999992</v>
      </c>
      <c r="AJ326" s="397">
        <v>933.80499999999995</v>
      </c>
      <c r="AK326" s="197">
        <v>217.94300000000001</v>
      </c>
      <c r="AL326" s="295">
        <v>280.46899999999999</v>
      </c>
      <c r="AM326" s="398">
        <v>270.721</v>
      </c>
      <c r="AN326" s="295">
        <v>269.58899999999994</v>
      </c>
      <c r="AO326" s="397">
        <v>1038.722</v>
      </c>
      <c r="AP326" s="197">
        <v>187.762</v>
      </c>
      <c r="AQ326" s="295">
        <v>320.48099999999999</v>
      </c>
      <c r="AR326" s="398">
        <v>394.68900000000002</v>
      </c>
      <c r="AS326" s="295">
        <v>371.21599999999989</v>
      </c>
      <c r="AT326" s="397">
        <v>1274.1479999999999</v>
      </c>
      <c r="AU326" s="197">
        <v>386.553</v>
      </c>
      <c r="AV326" s="295">
        <v>467.06700000000001</v>
      </c>
      <c r="AW326" s="398">
        <v>484.363</v>
      </c>
      <c r="AX326" s="295">
        <v>434.68499999999995</v>
      </c>
      <c r="AY326" s="397">
        <v>1772.6679999999999</v>
      </c>
      <c r="AZ326" s="197">
        <v>472.822</v>
      </c>
      <c r="BA326" s="295">
        <v>495.07400000000001</v>
      </c>
      <c r="BB326" s="398">
        <v>394.947</v>
      </c>
      <c r="BC326" s="295">
        <v>345.60100000000011</v>
      </c>
      <c r="BD326" s="397">
        <v>1708.444</v>
      </c>
      <c r="BE326" s="294">
        <v>321.584</v>
      </c>
      <c r="BF326" s="295">
        <v>354.42500000000001</v>
      </c>
      <c r="BG326" s="398">
        <v>315.98</v>
      </c>
      <c r="BH326" s="295">
        <v>294.11799999999994</v>
      </c>
      <c r="BI326" s="399">
        <v>1286.107</v>
      </c>
      <c r="BJ326" s="295">
        <v>275.96591049097225</v>
      </c>
      <c r="BK326" s="295">
        <v>358.30716905765848</v>
      </c>
      <c r="BL326" s="295">
        <v>366.67807083223926</v>
      </c>
      <c r="BM326" s="295">
        <v>339.55470608277767</v>
      </c>
      <c r="BN326" s="397">
        <v>1340.5058564636474</v>
      </c>
      <c r="BO326" s="295">
        <v>340.64051071214095</v>
      </c>
      <c r="BP326" s="295">
        <v>419.44510817738092</v>
      </c>
      <c r="BQ326" s="295">
        <v>424.41533195946954</v>
      </c>
      <c r="BR326" s="295">
        <v>377.96434844825393</v>
      </c>
      <c r="BS326" s="397">
        <v>1562.4652992972453</v>
      </c>
      <c r="BT326" s="397">
        <v>1666.04356947869</v>
      </c>
      <c r="BU326" s="397">
        <v>1731.1388547469605</v>
      </c>
      <c r="BV326" s="397">
        <v>1778.7549826373622</v>
      </c>
      <c r="BW326" s="400"/>
    </row>
    <row r="327" spans="1:75" s="123" customFormat="1" hidden="1" outlineLevel="2" x14ac:dyDescent="0.5">
      <c r="A327" s="354" t="s">
        <v>475</v>
      </c>
      <c r="B327" s="251"/>
      <c r="C327" s="299"/>
      <c r="D327" s="299"/>
      <c r="E327" s="299"/>
      <c r="F327" s="299"/>
      <c r="G327" s="300"/>
      <c r="H327" s="300"/>
      <c r="I327" s="300"/>
      <c r="J327" s="300"/>
      <c r="K327" s="299"/>
      <c r="L327" s="300"/>
      <c r="M327" s="300"/>
      <c r="N327" s="300"/>
      <c r="O327" s="300"/>
      <c r="P327" s="299"/>
      <c r="Q327" s="300"/>
      <c r="R327" s="300"/>
      <c r="S327" s="300"/>
      <c r="T327" s="300"/>
      <c r="U327" s="299"/>
      <c r="V327" s="300"/>
      <c r="W327" s="300"/>
      <c r="X327" s="300"/>
      <c r="Y327" s="119"/>
      <c r="Z327" s="401"/>
      <c r="AA327" s="119"/>
      <c r="AB327" s="119"/>
      <c r="AC327" s="300"/>
      <c r="AD327" s="119"/>
      <c r="AE327" s="401"/>
      <c r="AF327" s="119"/>
      <c r="AG327" s="119"/>
      <c r="AH327" s="300"/>
      <c r="AI327" s="119"/>
      <c r="AJ327" s="401"/>
      <c r="AK327" s="119"/>
      <c r="AL327" s="119"/>
      <c r="AM327" s="300"/>
      <c r="AN327" s="119"/>
      <c r="AO327" s="401"/>
      <c r="AP327" s="119"/>
      <c r="AQ327" s="119"/>
      <c r="AR327" s="300"/>
      <c r="AS327" s="119"/>
      <c r="AT327" s="401"/>
      <c r="AU327" s="119"/>
      <c r="AV327" s="119"/>
      <c r="AW327" s="300"/>
      <c r="AX327" s="119"/>
      <c r="AY327" s="401"/>
      <c r="AZ327" s="119"/>
      <c r="BA327" s="119"/>
      <c r="BB327" s="300"/>
      <c r="BC327" s="119"/>
      <c r="BD327" s="401"/>
      <c r="BE327" s="300"/>
      <c r="BF327" s="119"/>
      <c r="BG327" s="300"/>
      <c r="BH327" s="119"/>
      <c r="BI327" s="402"/>
      <c r="BJ327" s="302">
        <v>0</v>
      </c>
      <c r="BK327" s="302">
        <v>0</v>
      </c>
      <c r="BL327" s="302">
        <v>0</v>
      </c>
      <c r="BM327" s="302">
        <v>0</v>
      </c>
      <c r="BN327" s="401">
        <v>0</v>
      </c>
      <c r="BO327" s="302">
        <v>0</v>
      </c>
      <c r="BP327" s="302">
        <v>0</v>
      </c>
      <c r="BQ327" s="302">
        <v>0</v>
      </c>
      <c r="BR327" s="302">
        <v>0</v>
      </c>
      <c r="BS327" s="401">
        <v>0</v>
      </c>
      <c r="BT327" s="403">
        <v>0</v>
      </c>
      <c r="BU327" s="403">
        <v>0</v>
      </c>
      <c r="BV327" s="403">
        <v>0</v>
      </c>
      <c r="BW327" s="404"/>
    </row>
    <row r="328" spans="1:75" s="123" customFormat="1" hidden="1" outlineLevel="2" x14ac:dyDescent="0.5">
      <c r="A328" s="354" t="s">
        <v>476</v>
      </c>
      <c r="B328" s="251"/>
      <c r="C328" s="299">
        <v>0</v>
      </c>
      <c r="D328" s="299">
        <v>0</v>
      </c>
      <c r="E328" s="299">
        <v>0</v>
      </c>
      <c r="F328" s="299">
        <v>0</v>
      </c>
      <c r="G328" s="300">
        <v>0</v>
      </c>
      <c r="H328" s="300">
        <v>0</v>
      </c>
      <c r="I328" s="300">
        <v>0</v>
      </c>
      <c r="J328" s="300">
        <v>0</v>
      </c>
      <c r="K328" s="299">
        <v>0</v>
      </c>
      <c r="L328" s="300">
        <v>0</v>
      </c>
      <c r="M328" s="300">
        <v>0</v>
      </c>
      <c r="N328" s="300">
        <v>0</v>
      </c>
      <c r="O328" s="300">
        <v>0</v>
      </c>
      <c r="P328" s="299">
        <v>0</v>
      </c>
      <c r="Q328" s="300">
        <v>0</v>
      </c>
      <c r="R328" s="300">
        <v>0</v>
      </c>
      <c r="S328" s="300">
        <v>0</v>
      </c>
      <c r="T328" s="300">
        <v>0</v>
      </c>
      <c r="U328" s="299">
        <v>0</v>
      </c>
      <c r="V328" s="300">
        <v>0</v>
      </c>
      <c r="W328" s="300">
        <v>0</v>
      </c>
      <c r="X328" s="300">
        <v>0</v>
      </c>
      <c r="Y328" s="119">
        <v>2.1850000000000001</v>
      </c>
      <c r="Z328" s="401">
        <v>2.1850000000000001</v>
      </c>
      <c r="AA328" s="119">
        <v>0</v>
      </c>
      <c r="AB328" s="119">
        <v>0</v>
      </c>
      <c r="AC328" s="300">
        <v>0</v>
      </c>
      <c r="AD328" s="119">
        <v>0</v>
      </c>
      <c r="AE328" s="401">
        <v>0</v>
      </c>
      <c r="AF328" s="119">
        <v>0</v>
      </c>
      <c r="AG328" s="119">
        <v>0</v>
      </c>
      <c r="AH328" s="300">
        <v>0</v>
      </c>
      <c r="AI328" s="119">
        <v>3.8069999999999999</v>
      </c>
      <c r="AJ328" s="401">
        <v>3.8069999999999999</v>
      </c>
      <c r="AK328" s="119">
        <v>2.9929999999999999</v>
      </c>
      <c r="AL328" s="119">
        <v>1.9159999999999999</v>
      </c>
      <c r="AM328" s="300">
        <v>0</v>
      </c>
      <c r="AN328" s="119">
        <v>0</v>
      </c>
      <c r="AO328" s="401">
        <v>4.9089999999999998</v>
      </c>
      <c r="AP328" s="119">
        <v>2.35</v>
      </c>
      <c r="AQ328" s="119">
        <v>0</v>
      </c>
      <c r="AR328" s="300">
        <v>0</v>
      </c>
      <c r="AS328" s="119">
        <v>0</v>
      </c>
      <c r="AT328" s="401">
        <v>2.35</v>
      </c>
      <c r="AU328" s="119">
        <v>0</v>
      </c>
      <c r="AV328" s="119">
        <v>0</v>
      </c>
      <c r="AW328" s="300">
        <v>0</v>
      </c>
      <c r="AX328" s="119">
        <v>0</v>
      </c>
      <c r="AY328" s="401">
        <v>0</v>
      </c>
      <c r="AZ328" s="119">
        <v>0</v>
      </c>
      <c r="BA328" s="119">
        <v>0</v>
      </c>
      <c r="BB328" s="300">
        <v>10.926</v>
      </c>
      <c r="BC328" s="119">
        <v>0</v>
      </c>
      <c r="BD328" s="401">
        <v>10.926</v>
      </c>
      <c r="BE328" s="300">
        <v>0</v>
      </c>
      <c r="BF328" s="119">
        <v>0</v>
      </c>
      <c r="BG328" s="300">
        <v>0</v>
      </c>
      <c r="BH328" s="119">
        <v>0</v>
      </c>
      <c r="BI328" s="402">
        <v>0</v>
      </c>
      <c r="BJ328" s="302">
        <v>0</v>
      </c>
      <c r="BK328" s="302">
        <v>0</v>
      </c>
      <c r="BL328" s="302">
        <v>0</v>
      </c>
      <c r="BM328" s="302">
        <v>0</v>
      </c>
      <c r="BN328" s="401">
        <v>0</v>
      </c>
      <c r="BO328" s="302">
        <v>0</v>
      </c>
      <c r="BP328" s="302">
        <v>0</v>
      </c>
      <c r="BQ328" s="302">
        <v>0</v>
      </c>
      <c r="BR328" s="302">
        <v>0</v>
      </c>
      <c r="BS328" s="401">
        <v>0</v>
      </c>
      <c r="BT328" s="403">
        <v>0</v>
      </c>
      <c r="BU328" s="403">
        <v>0</v>
      </c>
      <c r="BV328" s="403">
        <v>0</v>
      </c>
      <c r="BW328" s="404"/>
    </row>
    <row r="329" spans="1:75" s="123" customFormat="1" hidden="1" outlineLevel="2" x14ac:dyDescent="0.5">
      <c r="A329" s="354" t="s">
        <v>477</v>
      </c>
      <c r="B329" s="251"/>
      <c r="C329" s="299">
        <v>0</v>
      </c>
      <c r="D329" s="299">
        <v>0</v>
      </c>
      <c r="E329" s="299">
        <v>0</v>
      </c>
      <c r="F329" s="299">
        <v>0</v>
      </c>
      <c r="G329" s="300">
        <v>0</v>
      </c>
      <c r="H329" s="300">
        <v>0</v>
      </c>
      <c r="I329" s="300">
        <v>0</v>
      </c>
      <c r="J329" s="300">
        <v>0</v>
      </c>
      <c r="K329" s="299">
        <v>0</v>
      </c>
      <c r="L329" s="300">
        <v>0</v>
      </c>
      <c r="M329" s="300">
        <v>0</v>
      </c>
      <c r="N329" s="300">
        <v>0</v>
      </c>
      <c r="O329" s="300">
        <v>0</v>
      </c>
      <c r="P329" s="299">
        <v>0</v>
      </c>
      <c r="Q329" s="300">
        <v>1.379</v>
      </c>
      <c r="R329" s="300">
        <v>4.8440000000000003</v>
      </c>
      <c r="S329" s="300">
        <v>4.8010000000000002</v>
      </c>
      <c r="T329" s="300">
        <v>6.19</v>
      </c>
      <c r="U329" s="299">
        <v>17.213999999999999</v>
      </c>
      <c r="V329" s="300">
        <v>7.7290000000000001</v>
      </c>
      <c r="W329" s="300">
        <v>0</v>
      </c>
      <c r="X329" s="300">
        <v>0</v>
      </c>
      <c r="Y329" s="119">
        <v>0</v>
      </c>
      <c r="Z329" s="401">
        <v>7.7290000000000001</v>
      </c>
      <c r="AA329" s="119">
        <v>0</v>
      </c>
      <c r="AB329" s="119">
        <v>0</v>
      </c>
      <c r="AC329" s="300">
        <v>0</v>
      </c>
      <c r="AD329" s="119">
        <v>0</v>
      </c>
      <c r="AE329" s="401">
        <v>0</v>
      </c>
      <c r="AF329" s="119">
        <v>0</v>
      </c>
      <c r="AG329" s="119">
        <v>0</v>
      </c>
      <c r="AH329" s="300">
        <v>0</v>
      </c>
      <c r="AI329" s="119">
        <v>0</v>
      </c>
      <c r="AJ329" s="401">
        <v>0</v>
      </c>
      <c r="AK329" s="119">
        <v>0</v>
      </c>
      <c r="AL329" s="119">
        <v>0</v>
      </c>
      <c r="AM329" s="300">
        <v>0</v>
      </c>
      <c r="AN329" s="119">
        <v>0</v>
      </c>
      <c r="AO329" s="401">
        <v>0</v>
      </c>
      <c r="AP329" s="119">
        <v>0</v>
      </c>
      <c r="AQ329" s="119">
        <v>0</v>
      </c>
      <c r="AR329" s="300">
        <v>0</v>
      </c>
      <c r="AS329" s="119">
        <v>0</v>
      </c>
      <c r="AT329" s="401">
        <v>0</v>
      </c>
      <c r="AU329" s="119">
        <v>0</v>
      </c>
      <c r="AV329" s="119">
        <v>0</v>
      </c>
      <c r="AW329" s="300">
        <v>0</v>
      </c>
      <c r="AX329" s="119">
        <v>0</v>
      </c>
      <c r="AY329" s="401">
        <v>0</v>
      </c>
      <c r="AZ329" s="119">
        <v>0</v>
      </c>
      <c r="BA329" s="119">
        <v>0</v>
      </c>
      <c r="BB329" s="300">
        <v>0</v>
      </c>
      <c r="BC329" s="119">
        <v>0</v>
      </c>
      <c r="BD329" s="401">
        <v>0</v>
      </c>
      <c r="BE329" s="300">
        <v>0</v>
      </c>
      <c r="BF329" s="119">
        <v>0</v>
      </c>
      <c r="BG329" s="300">
        <v>0</v>
      </c>
      <c r="BH329" s="119">
        <v>0</v>
      </c>
      <c r="BI329" s="402">
        <v>0</v>
      </c>
      <c r="BJ329" s="302">
        <v>0</v>
      </c>
      <c r="BK329" s="302">
        <v>0</v>
      </c>
      <c r="BL329" s="302">
        <v>0</v>
      </c>
      <c r="BM329" s="302">
        <v>0</v>
      </c>
      <c r="BN329" s="401">
        <v>0</v>
      </c>
      <c r="BO329" s="302">
        <v>0</v>
      </c>
      <c r="BP329" s="302">
        <v>0</v>
      </c>
      <c r="BQ329" s="302">
        <v>0</v>
      </c>
      <c r="BR329" s="302">
        <v>0</v>
      </c>
      <c r="BS329" s="401">
        <v>0</v>
      </c>
      <c r="BT329" s="403">
        <v>0</v>
      </c>
      <c r="BU329" s="403">
        <v>0</v>
      </c>
      <c r="BV329" s="403">
        <v>0</v>
      </c>
      <c r="BW329" s="404"/>
    </row>
    <row r="330" spans="1:75" s="123" customFormat="1" hidden="1" outlineLevel="2" x14ac:dyDescent="0.5">
      <c r="A330" s="354" t="s">
        <v>478</v>
      </c>
      <c r="B330" s="251"/>
      <c r="C330" s="299">
        <v>0</v>
      </c>
      <c r="D330" s="299">
        <v>0</v>
      </c>
      <c r="E330" s="299">
        <v>0</v>
      </c>
      <c r="F330" s="299">
        <v>0</v>
      </c>
      <c r="G330" s="300">
        <v>0</v>
      </c>
      <c r="H330" s="300">
        <v>0</v>
      </c>
      <c r="I330" s="300">
        <v>0</v>
      </c>
      <c r="J330" s="300">
        <v>0</v>
      </c>
      <c r="K330" s="299">
        <v>0</v>
      </c>
      <c r="L330" s="300">
        <v>0</v>
      </c>
      <c r="M330" s="300">
        <v>0</v>
      </c>
      <c r="N330" s="300">
        <v>0</v>
      </c>
      <c r="O330" s="300">
        <v>0</v>
      </c>
      <c r="P330" s="299">
        <v>0</v>
      </c>
      <c r="Q330" s="300">
        <v>0</v>
      </c>
      <c r="R330" s="300">
        <v>0</v>
      </c>
      <c r="S330" s="300">
        <v>0</v>
      </c>
      <c r="T330" s="300">
        <v>0</v>
      </c>
      <c r="U330" s="299">
        <v>0</v>
      </c>
      <c r="V330" s="300">
        <v>0</v>
      </c>
      <c r="W330" s="300">
        <v>0</v>
      </c>
      <c r="X330" s="300">
        <v>0</v>
      </c>
      <c r="Y330" s="119">
        <v>3.976</v>
      </c>
      <c r="Z330" s="401">
        <v>3.976</v>
      </c>
      <c r="AA330" s="119">
        <v>0</v>
      </c>
      <c r="AB330" s="119">
        <v>4.5759999999999996</v>
      </c>
      <c r="AC330" s="300">
        <v>3.552</v>
      </c>
      <c r="AD330" s="119">
        <v>-0.60599999999999998</v>
      </c>
      <c r="AE330" s="401">
        <v>7.5220000000000002</v>
      </c>
      <c r="AF330" s="119">
        <v>-0.254</v>
      </c>
      <c r="AG330" s="119">
        <v>-1.409</v>
      </c>
      <c r="AH330" s="300">
        <v>3.6859999999999999</v>
      </c>
      <c r="AI330" s="119">
        <v>-1.429</v>
      </c>
      <c r="AJ330" s="401">
        <v>0.59399999999999997</v>
      </c>
      <c r="AK330" s="119">
        <v>-1.6479999999999999</v>
      </c>
      <c r="AL330" s="119">
        <v>-0.32</v>
      </c>
      <c r="AM330" s="300">
        <v>-1.7949999999999999</v>
      </c>
      <c r="AN330" s="119">
        <v>0</v>
      </c>
      <c r="AO330" s="401">
        <v>-3.7629999999999999</v>
      </c>
      <c r="AP330" s="119">
        <v>0</v>
      </c>
      <c r="AQ330" s="119">
        <v>4.78</v>
      </c>
      <c r="AR330" s="300">
        <v>0.78100000000000003</v>
      </c>
      <c r="AS330" s="119">
        <v>0.36599999999999999</v>
      </c>
      <c r="AT330" s="401">
        <v>5.9269999999999996</v>
      </c>
      <c r="AU330" s="119">
        <v>0</v>
      </c>
      <c r="AV330" s="119">
        <v>0</v>
      </c>
      <c r="AW330" s="300">
        <v>0</v>
      </c>
      <c r="AX330" s="119">
        <v>-1.2</v>
      </c>
      <c r="AY330" s="401">
        <v>-1.2</v>
      </c>
      <c r="AZ330" s="119">
        <v>0</v>
      </c>
      <c r="BA330" s="119">
        <v>0</v>
      </c>
      <c r="BB330" s="300">
        <v>0</v>
      </c>
      <c r="BC330" s="119">
        <v>0</v>
      </c>
      <c r="BD330" s="401">
        <v>0</v>
      </c>
      <c r="BE330" s="300">
        <v>0</v>
      </c>
      <c r="BF330" s="119">
        <v>0</v>
      </c>
      <c r="BG330" s="300">
        <v>0</v>
      </c>
      <c r="BH330" s="119">
        <v>0</v>
      </c>
      <c r="BI330" s="402">
        <v>0</v>
      </c>
      <c r="BJ330" s="119">
        <v>0</v>
      </c>
      <c r="BK330" s="119">
        <v>0</v>
      </c>
      <c r="BL330" s="119">
        <v>0</v>
      </c>
      <c r="BM330" s="119">
        <v>0</v>
      </c>
      <c r="BN330" s="401">
        <v>0</v>
      </c>
      <c r="BO330" s="119">
        <v>0</v>
      </c>
      <c r="BP330" s="119">
        <v>0</v>
      </c>
      <c r="BQ330" s="119">
        <v>0</v>
      </c>
      <c r="BR330" s="119">
        <v>0</v>
      </c>
      <c r="BS330" s="401">
        <v>0</v>
      </c>
      <c r="BT330" s="401">
        <v>0</v>
      </c>
      <c r="BU330" s="401">
        <v>0</v>
      </c>
      <c r="BV330" s="401">
        <v>0</v>
      </c>
      <c r="BW330" s="404"/>
    </row>
    <row r="331" spans="1:75" s="123" customFormat="1" hidden="1" outlineLevel="2" x14ac:dyDescent="0.5">
      <c r="A331" s="354" t="s">
        <v>479</v>
      </c>
      <c r="B331" s="251"/>
      <c r="C331" s="299">
        <v>0</v>
      </c>
      <c r="D331" s="299">
        <v>0</v>
      </c>
      <c r="E331" s="299">
        <v>0</v>
      </c>
      <c r="F331" s="299">
        <v>0</v>
      </c>
      <c r="G331" s="300">
        <v>0</v>
      </c>
      <c r="H331" s="300">
        <v>0</v>
      </c>
      <c r="I331" s="300">
        <v>0</v>
      </c>
      <c r="J331" s="300">
        <v>0</v>
      </c>
      <c r="K331" s="299">
        <v>0</v>
      </c>
      <c r="L331" s="300">
        <v>0</v>
      </c>
      <c r="M331" s="300">
        <v>0</v>
      </c>
      <c r="N331" s="300">
        <v>0</v>
      </c>
      <c r="O331" s="300">
        <v>0</v>
      </c>
      <c r="P331" s="299">
        <v>0</v>
      </c>
      <c r="Q331" s="300">
        <v>0</v>
      </c>
      <c r="R331" s="300">
        <v>0</v>
      </c>
      <c r="S331" s="300">
        <v>0</v>
      </c>
      <c r="T331" s="300">
        <v>0</v>
      </c>
      <c r="U331" s="299">
        <v>0</v>
      </c>
      <c r="V331" s="300">
        <v>0</v>
      </c>
      <c r="W331" s="300">
        <v>0</v>
      </c>
      <c r="X331" s="300">
        <v>0</v>
      </c>
      <c r="Y331" s="119">
        <v>0</v>
      </c>
      <c r="Z331" s="401">
        <v>0</v>
      </c>
      <c r="AA331" s="119">
        <v>0</v>
      </c>
      <c r="AB331" s="119">
        <v>0</v>
      </c>
      <c r="AC331" s="300">
        <v>0.497</v>
      </c>
      <c r="AD331" s="119">
        <v>1.24</v>
      </c>
      <c r="AE331" s="401">
        <v>1.7370000000000001</v>
      </c>
      <c r="AF331" s="119">
        <v>0</v>
      </c>
      <c r="AG331" s="119">
        <v>0</v>
      </c>
      <c r="AH331" s="300">
        <v>1.478</v>
      </c>
      <c r="AI331" s="119">
        <v>0</v>
      </c>
      <c r="AJ331" s="401">
        <v>1.478</v>
      </c>
      <c r="AK331" s="119">
        <v>0</v>
      </c>
      <c r="AL331" s="119">
        <v>0</v>
      </c>
      <c r="AM331" s="300">
        <v>0</v>
      </c>
      <c r="AN331" s="119">
        <v>0</v>
      </c>
      <c r="AO331" s="401">
        <v>0</v>
      </c>
      <c r="AP331" s="119">
        <v>0</v>
      </c>
      <c r="AQ331" s="119">
        <v>0</v>
      </c>
      <c r="AR331" s="300">
        <v>0</v>
      </c>
      <c r="AS331" s="119">
        <v>0</v>
      </c>
      <c r="AT331" s="401">
        <v>0</v>
      </c>
      <c r="AU331" s="119">
        <v>0</v>
      </c>
      <c r="AV331" s="119">
        <v>0</v>
      </c>
      <c r="AW331" s="300">
        <v>0</v>
      </c>
      <c r="AX331" s="119">
        <v>0</v>
      </c>
      <c r="AY331" s="401">
        <v>0</v>
      </c>
      <c r="AZ331" s="119">
        <v>0</v>
      </c>
      <c r="BA331" s="119">
        <v>0</v>
      </c>
      <c r="BB331" s="300">
        <v>0</v>
      </c>
      <c r="BC331" s="119">
        <v>0</v>
      </c>
      <c r="BD331" s="401">
        <v>0</v>
      </c>
      <c r="BE331" s="300">
        <v>0</v>
      </c>
      <c r="BF331" s="119">
        <v>0</v>
      </c>
      <c r="BG331" s="300">
        <v>0</v>
      </c>
      <c r="BH331" s="119">
        <v>0</v>
      </c>
      <c r="BI331" s="402">
        <v>0</v>
      </c>
      <c r="BJ331" s="302">
        <v>0</v>
      </c>
      <c r="BK331" s="302">
        <v>0</v>
      </c>
      <c r="BL331" s="302">
        <v>0</v>
      </c>
      <c r="BM331" s="302">
        <v>0</v>
      </c>
      <c r="BN331" s="401">
        <v>0</v>
      </c>
      <c r="BO331" s="302">
        <v>0</v>
      </c>
      <c r="BP331" s="302">
        <v>0</v>
      </c>
      <c r="BQ331" s="302">
        <v>0</v>
      </c>
      <c r="BR331" s="302">
        <v>0</v>
      </c>
      <c r="BS331" s="401">
        <v>0</v>
      </c>
      <c r="BT331" s="403">
        <v>0</v>
      </c>
      <c r="BU331" s="403">
        <v>0</v>
      </c>
      <c r="BV331" s="403">
        <v>0</v>
      </c>
      <c r="BW331" s="404"/>
    </row>
    <row r="332" spans="1:75" s="123" customFormat="1" hidden="1" outlineLevel="2" x14ac:dyDescent="0.5">
      <c r="A332" s="354" t="s">
        <v>480</v>
      </c>
      <c r="B332" s="251"/>
      <c r="C332" s="299">
        <v>0</v>
      </c>
      <c r="D332" s="299">
        <v>0</v>
      </c>
      <c r="E332" s="299">
        <v>0</v>
      </c>
      <c r="F332" s="299">
        <v>3.25</v>
      </c>
      <c r="G332" s="300">
        <v>0</v>
      </c>
      <c r="H332" s="300">
        <v>0</v>
      </c>
      <c r="I332" s="300">
        <v>0</v>
      </c>
      <c r="J332" s="300">
        <v>0</v>
      </c>
      <c r="K332" s="299">
        <v>0</v>
      </c>
      <c r="L332" s="300">
        <v>0</v>
      </c>
      <c r="M332" s="300">
        <v>0</v>
      </c>
      <c r="N332" s="300">
        <v>0</v>
      </c>
      <c r="O332" s="300">
        <v>0</v>
      </c>
      <c r="P332" s="299">
        <v>0</v>
      </c>
      <c r="Q332" s="300">
        <v>0</v>
      </c>
      <c r="R332" s="300">
        <v>0</v>
      </c>
      <c r="S332" s="300">
        <v>0</v>
      </c>
      <c r="T332" s="300">
        <v>0</v>
      </c>
      <c r="U332" s="299">
        <v>0</v>
      </c>
      <c r="V332" s="300">
        <v>0</v>
      </c>
      <c r="W332" s="300">
        <v>0</v>
      </c>
      <c r="X332" s="300">
        <v>0</v>
      </c>
      <c r="Y332" s="119">
        <v>0</v>
      </c>
      <c r="Z332" s="401">
        <v>0</v>
      </c>
      <c r="AA332" s="119">
        <v>0</v>
      </c>
      <c r="AB332" s="119">
        <v>0</v>
      </c>
      <c r="AC332" s="300">
        <v>0</v>
      </c>
      <c r="AD332" s="119">
        <v>-2.202</v>
      </c>
      <c r="AE332" s="401">
        <v>-2.202</v>
      </c>
      <c r="AF332" s="119">
        <v>0</v>
      </c>
      <c r="AG332" s="119">
        <v>0</v>
      </c>
      <c r="AH332" s="300">
        <v>0</v>
      </c>
      <c r="AI332" s="119">
        <v>0</v>
      </c>
      <c r="AJ332" s="401">
        <v>0</v>
      </c>
      <c r="AK332" s="119">
        <v>0</v>
      </c>
      <c r="AL332" s="119">
        <v>0</v>
      </c>
      <c r="AM332" s="300">
        <v>0</v>
      </c>
      <c r="AN332" s="119">
        <v>0</v>
      </c>
      <c r="AO332" s="401">
        <v>0</v>
      </c>
      <c r="AP332" s="119">
        <v>0</v>
      </c>
      <c r="AQ332" s="119">
        <v>0</v>
      </c>
      <c r="AR332" s="300">
        <v>0</v>
      </c>
      <c r="AS332" s="119">
        <v>0</v>
      </c>
      <c r="AT332" s="401">
        <v>0</v>
      </c>
      <c r="AU332" s="119">
        <v>0</v>
      </c>
      <c r="AV332" s="119">
        <v>0</v>
      </c>
      <c r="AW332" s="300">
        <v>0</v>
      </c>
      <c r="AX332" s="119">
        <v>0</v>
      </c>
      <c r="AY332" s="401">
        <v>0</v>
      </c>
      <c r="AZ332" s="119">
        <v>0</v>
      </c>
      <c r="BA332" s="119">
        <v>0</v>
      </c>
      <c r="BB332" s="300">
        <v>0</v>
      </c>
      <c r="BC332" s="119">
        <v>0</v>
      </c>
      <c r="BD332" s="401">
        <v>0</v>
      </c>
      <c r="BE332" s="300">
        <v>0</v>
      </c>
      <c r="BF332" s="119">
        <v>0</v>
      </c>
      <c r="BG332" s="300">
        <v>0</v>
      </c>
      <c r="BH332" s="119">
        <v>0</v>
      </c>
      <c r="BI332" s="402">
        <v>0</v>
      </c>
      <c r="BJ332" s="302">
        <v>0</v>
      </c>
      <c r="BK332" s="302">
        <v>0</v>
      </c>
      <c r="BL332" s="302">
        <v>0</v>
      </c>
      <c r="BM332" s="302">
        <v>0</v>
      </c>
      <c r="BN332" s="401">
        <v>0</v>
      </c>
      <c r="BO332" s="302">
        <v>0</v>
      </c>
      <c r="BP332" s="302">
        <v>0</v>
      </c>
      <c r="BQ332" s="302">
        <v>0</v>
      </c>
      <c r="BR332" s="302">
        <v>0</v>
      </c>
      <c r="BS332" s="401">
        <v>0</v>
      </c>
      <c r="BT332" s="403">
        <v>0</v>
      </c>
      <c r="BU332" s="403">
        <v>0</v>
      </c>
      <c r="BV332" s="403">
        <v>0</v>
      </c>
      <c r="BW332" s="404"/>
    </row>
    <row r="333" spans="1:75" s="123" customFormat="1" hidden="1" outlineLevel="2" x14ac:dyDescent="0.5">
      <c r="A333" s="405" t="s">
        <v>481</v>
      </c>
      <c r="B333" s="274"/>
      <c r="C333" s="309">
        <v>-12.78</v>
      </c>
      <c r="D333" s="309">
        <v>0</v>
      </c>
      <c r="E333" s="309">
        <v>0</v>
      </c>
      <c r="F333" s="309">
        <v>0</v>
      </c>
      <c r="G333" s="310">
        <v>0</v>
      </c>
      <c r="H333" s="310">
        <v>0</v>
      </c>
      <c r="I333" s="310">
        <v>0</v>
      </c>
      <c r="J333" s="310">
        <v>0</v>
      </c>
      <c r="K333" s="309">
        <v>0</v>
      </c>
      <c r="L333" s="310">
        <v>0</v>
      </c>
      <c r="M333" s="310">
        <v>0</v>
      </c>
      <c r="N333" s="310">
        <v>0</v>
      </c>
      <c r="O333" s="310">
        <v>0</v>
      </c>
      <c r="P333" s="309">
        <v>0</v>
      </c>
      <c r="Q333" s="310">
        <v>0</v>
      </c>
      <c r="R333" s="310">
        <v>0</v>
      </c>
      <c r="S333" s="310">
        <v>0</v>
      </c>
      <c r="T333" s="310">
        <v>0</v>
      </c>
      <c r="U333" s="309">
        <v>0</v>
      </c>
      <c r="V333" s="310">
        <v>0</v>
      </c>
      <c r="W333" s="310">
        <v>9.9999999999988987E-4</v>
      </c>
      <c r="X333" s="310">
        <v>-1.4000000000000012E-2</v>
      </c>
      <c r="Y333" s="312">
        <v>4.8000000000000265E-2</v>
      </c>
      <c r="Z333" s="406">
        <v>3.5000000000000142E-2</v>
      </c>
      <c r="AA333" s="312">
        <v>-2.0000000000000018E-2</v>
      </c>
      <c r="AB333" s="312">
        <v>-2.0000000000000018E-2</v>
      </c>
      <c r="AC333" s="310">
        <v>4.7999999999999987E-2</v>
      </c>
      <c r="AD333" s="312">
        <v>1.9000000000000072E-2</v>
      </c>
      <c r="AE333" s="406">
        <v>2.7000000000000135E-2</v>
      </c>
      <c r="AF333" s="312">
        <v>-1.0000000000000009E-2</v>
      </c>
      <c r="AG333" s="312">
        <v>-1.0000000000000009E-2</v>
      </c>
      <c r="AH333" s="310">
        <v>0</v>
      </c>
      <c r="AI333" s="312">
        <v>0</v>
      </c>
      <c r="AJ333" s="406">
        <v>-2.0000000000000018E-2</v>
      </c>
      <c r="AK333" s="312">
        <v>0</v>
      </c>
      <c r="AL333" s="312">
        <v>0</v>
      </c>
      <c r="AM333" s="310">
        <v>0</v>
      </c>
      <c r="AN333" s="312">
        <v>0</v>
      </c>
      <c r="AO333" s="406">
        <v>0</v>
      </c>
      <c r="AP333" s="312">
        <v>0</v>
      </c>
      <c r="AQ333" s="312">
        <v>0</v>
      </c>
      <c r="AR333" s="310">
        <v>0</v>
      </c>
      <c r="AS333" s="312">
        <v>0</v>
      </c>
      <c r="AT333" s="406">
        <v>0</v>
      </c>
      <c r="AU333" s="312">
        <v>0</v>
      </c>
      <c r="AV333" s="312">
        <v>0</v>
      </c>
      <c r="AW333" s="310">
        <v>0</v>
      </c>
      <c r="AX333" s="312">
        <v>0</v>
      </c>
      <c r="AY333" s="406">
        <v>0</v>
      </c>
      <c r="AZ333" s="312">
        <v>0</v>
      </c>
      <c r="BA333" s="312">
        <v>0</v>
      </c>
      <c r="BB333" s="310">
        <v>0</v>
      </c>
      <c r="BC333" s="312">
        <v>0</v>
      </c>
      <c r="BD333" s="406">
        <v>0</v>
      </c>
      <c r="BE333" s="310">
        <v>0</v>
      </c>
      <c r="BF333" s="312">
        <v>0</v>
      </c>
      <c r="BG333" s="310">
        <v>0</v>
      </c>
      <c r="BH333" s="312">
        <v>0</v>
      </c>
      <c r="BI333" s="407">
        <v>0</v>
      </c>
      <c r="BJ333" s="357">
        <v>0</v>
      </c>
      <c r="BK333" s="357">
        <v>0</v>
      </c>
      <c r="BL333" s="357">
        <v>0</v>
      </c>
      <c r="BM333" s="357">
        <v>0</v>
      </c>
      <c r="BN333" s="406">
        <v>0</v>
      </c>
      <c r="BO333" s="357">
        <v>0</v>
      </c>
      <c r="BP333" s="357">
        <v>0</v>
      </c>
      <c r="BQ333" s="357">
        <v>0</v>
      </c>
      <c r="BR333" s="357">
        <v>0</v>
      </c>
      <c r="BS333" s="406">
        <v>0</v>
      </c>
      <c r="BT333" s="408">
        <v>0</v>
      </c>
      <c r="BU333" s="408">
        <v>0</v>
      </c>
      <c r="BV333" s="408">
        <v>0</v>
      </c>
      <c r="BW333" s="404"/>
    </row>
    <row r="334" spans="1:75" s="198" customFormat="1" ht="14.25" hidden="1" outlineLevel="1" collapsed="1" x14ac:dyDescent="0.45">
      <c r="A334" s="396" t="s">
        <v>482</v>
      </c>
      <c r="B334" s="243"/>
      <c r="C334" s="293">
        <v>200.27599999999993</v>
      </c>
      <c r="D334" s="293">
        <v>271.61999999999995</v>
      </c>
      <c r="E334" s="293">
        <v>356.34900000000005</v>
      </c>
      <c r="F334" s="293">
        <v>439.69900000000013</v>
      </c>
      <c r="G334" s="294">
        <v>101.87699999999998</v>
      </c>
      <c r="H334" s="294">
        <v>139.226</v>
      </c>
      <c r="I334" s="294">
        <v>140.79999999999998</v>
      </c>
      <c r="J334" s="294">
        <v>174.97700000000003</v>
      </c>
      <c r="K334" s="293">
        <v>556.87999999999977</v>
      </c>
      <c r="L334" s="294">
        <v>124.34900000000002</v>
      </c>
      <c r="M334" s="294">
        <v>167.90899999999999</v>
      </c>
      <c r="N334" s="294">
        <v>180.37299999999999</v>
      </c>
      <c r="O334" s="294">
        <v>218.14299999999997</v>
      </c>
      <c r="P334" s="293">
        <v>690.77399999999989</v>
      </c>
      <c r="Q334" s="294">
        <v>144.797</v>
      </c>
      <c r="R334" s="294">
        <v>199.10700000000003</v>
      </c>
      <c r="S334" s="294">
        <v>195.55099999999993</v>
      </c>
      <c r="T334" s="294">
        <v>230.45099999999996</v>
      </c>
      <c r="U334" s="293">
        <v>769.90599999999972</v>
      </c>
      <c r="V334" s="294">
        <v>135.20400000000004</v>
      </c>
      <c r="W334" s="294">
        <v>173.804</v>
      </c>
      <c r="X334" s="294">
        <v>166.10999999999999</v>
      </c>
      <c r="Y334" s="295">
        <v>194.99799999999999</v>
      </c>
      <c r="Z334" s="397">
        <v>670.11599999999999</v>
      </c>
      <c r="AA334" s="295">
        <v>159.607</v>
      </c>
      <c r="AB334" s="295">
        <v>197.55199999999999</v>
      </c>
      <c r="AC334" s="294">
        <v>207.31800000000001</v>
      </c>
      <c r="AD334" s="295">
        <v>244.60599999999999</v>
      </c>
      <c r="AE334" s="397">
        <v>809.08300000000008</v>
      </c>
      <c r="AF334" s="197">
        <v>195.44200000000001</v>
      </c>
      <c r="AG334" s="295">
        <v>254.08600000000001</v>
      </c>
      <c r="AH334" s="398">
        <v>241.596</v>
      </c>
      <c r="AI334" s="295">
        <v>248.53999999999991</v>
      </c>
      <c r="AJ334" s="397">
        <v>939.66399999999999</v>
      </c>
      <c r="AK334" s="197">
        <v>219.28800000000001</v>
      </c>
      <c r="AL334" s="295">
        <v>282.065</v>
      </c>
      <c r="AM334" s="398">
        <v>268.92599999999999</v>
      </c>
      <c r="AN334" s="295">
        <v>269.58899999999994</v>
      </c>
      <c r="AO334" s="397">
        <v>1039.8680000000002</v>
      </c>
      <c r="AP334" s="197">
        <v>190.11199999999999</v>
      </c>
      <c r="AQ334" s="295">
        <v>325.26099999999997</v>
      </c>
      <c r="AR334" s="398">
        <v>395.47</v>
      </c>
      <c r="AS334" s="295">
        <v>371.58199999999988</v>
      </c>
      <c r="AT334" s="397">
        <v>1282.4249999999997</v>
      </c>
      <c r="AU334" s="197">
        <v>386.553</v>
      </c>
      <c r="AV334" s="295">
        <v>467.06700000000001</v>
      </c>
      <c r="AW334" s="398">
        <v>484.363</v>
      </c>
      <c r="AX334" s="295">
        <v>433.48499999999996</v>
      </c>
      <c r="AY334" s="397">
        <v>1771.4679999999998</v>
      </c>
      <c r="AZ334" s="197">
        <v>472.822</v>
      </c>
      <c r="BA334" s="295">
        <v>495.07400000000001</v>
      </c>
      <c r="BB334" s="398">
        <v>405.87299999999999</v>
      </c>
      <c r="BC334" s="295">
        <v>345.60100000000011</v>
      </c>
      <c r="BD334" s="397">
        <v>1719.37</v>
      </c>
      <c r="BE334" s="294">
        <v>321.584</v>
      </c>
      <c r="BF334" s="295">
        <v>354.42500000000001</v>
      </c>
      <c r="BG334" s="398">
        <v>315.98</v>
      </c>
      <c r="BH334" s="295">
        <v>294.11799999999994</v>
      </c>
      <c r="BI334" s="399">
        <v>1286.107</v>
      </c>
      <c r="BJ334" s="295">
        <v>275.96591049097225</v>
      </c>
      <c r="BK334" s="295">
        <v>358.30716905765848</v>
      </c>
      <c r="BL334" s="295">
        <v>366.67807083223926</v>
      </c>
      <c r="BM334" s="295">
        <v>339.55470608277767</v>
      </c>
      <c r="BN334" s="397">
        <v>1340.5058564636474</v>
      </c>
      <c r="BO334" s="295">
        <v>340.64051071214095</v>
      </c>
      <c r="BP334" s="295">
        <v>419.44510817738092</v>
      </c>
      <c r="BQ334" s="295">
        <v>424.41533195946954</v>
      </c>
      <c r="BR334" s="295">
        <v>377.96434844825393</v>
      </c>
      <c r="BS334" s="397">
        <v>1562.4652992972453</v>
      </c>
      <c r="BT334" s="397">
        <v>1666.04356947869</v>
      </c>
      <c r="BU334" s="397">
        <v>1731.1388547469605</v>
      </c>
      <c r="BV334" s="397">
        <v>1778.7549826373622</v>
      </c>
      <c r="BW334" s="400"/>
    </row>
    <row r="335" spans="1:75" s="205" customFormat="1" ht="14.25" hidden="1" outlineLevel="1" x14ac:dyDescent="0.45">
      <c r="A335" s="409" t="s">
        <v>483</v>
      </c>
      <c r="B335" s="410"/>
      <c r="C335" s="411"/>
      <c r="D335" s="411">
        <v>71.344000000000023</v>
      </c>
      <c r="E335" s="411">
        <v>84.729000000000099</v>
      </c>
      <c r="F335" s="411">
        <v>83.35000000000008</v>
      </c>
      <c r="G335" s="412"/>
      <c r="H335" s="412"/>
      <c r="I335" s="412"/>
      <c r="J335" s="412"/>
      <c r="K335" s="411">
        <v>117.18099999999964</v>
      </c>
      <c r="L335" s="412">
        <v>22.472000000000037</v>
      </c>
      <c r="M335" s="412">
        <v>28.682999999999993</v>
      </c>
      <c r="N335" s="412">
        <v>39.573000000000008</v>
      </c>
      <c r="O335" s="412">
        <v>43.16599999999994</v>
      </c>
      <c r="P335" s="411">
        <v>133.89400000000012</v>
      </c>
      <c r="Q335" s="412">
        <v>20.447999999999979</v>
      </c>
      <c r="R335" s="412">
        <v>31.198000000000036</v>
      </c>
      <c r="S335" s="412">
        <v>15.17799999999994</v>
      </c>
      <c r="T335" s="412">
        <v>12.307999999999993</v>
      </c>
      <c r="U335" s="411">
        <v>79.131999999999834</v>
      </c>
      <c r="V335" s="412">
        <v>-9.5929999999999609</v>
      </c>
      <c r="W335" s="412">
        <v>-25.303000000000026</v>
      </c>
      <c r="X335" s="412">
        <v>-29.440999999999946</v>
      </c>
      <c r="Y335" s="413">
        <v>-35.452999999999975</v>
      </c>
      <c r="Z335" s="414">
        <v>-99.789999999999736</v>
      </c>
      <c r="AA335" s="413">
        <v>24.402999999999963</v>
      </c>
      <c r="AB335" s="413">
        <v>23.74799999999999</v>
      </c>
      <c r="AC335" s="412">
        <v>41.208000000000027</v>
      </c>
      <c r="AD335" s="413">
        <v>49.608000000000004</v>
      </c>
      <c r="AE335" s="414">
        <v>138.9670000000001</v>
      </c>
      <c r="AF335" s="204">
        <v>35.835000000000008</v>
      </c>
      <c r="AG335" s="413">
        <v>56.53400000000002</v>
      </c>
      <c r="AH335" s="415">
        <v>34.277999999999992</v>
      </c>
      <c r="AI335" s="413">
        <v>3.9339999999999122</v>
      </c>
      <c r="AJ335" s="414">
        <v>130.5809999999999</v>
      </c>
      <c r="AK335" s="204">
        <v>23.846000000000004</v>
      </c>
      <c r="AL335" s="413">
        <v>27.978999999999985</v>
      </c>
      <c r="AM335" s="415">
        <v>27.329999999999984</v>
      </c>
      <c r="AN335" s="413">
        <v>21.049000000000035</v>
      </c>
      <c r="AO335" s="414">
        <v>100.20400000000018</v>
      </c>
      <c r="AP335" s="204">
        <v>-29.176000000000016</v>
      </c>
      <c r="AQ335" s="413">
        <v>43.19599999999997</v>
      </c>
      <c r="AR335" s="415">
        <v>126.54400000000004</v>
      </c>
      <c r="AS335" s="413">
        <v>101.99299999999994</v>
      </c>
      <c r="AT335" s="414">
        <v>242.55699999999956</v>
      </c>
      <c r="AU335" s="204">
        <v>196.441</v>
      </c>
      <c r="AV335" s="413">
        <v>141.80600000000004</v>
      </c>
      <c r="AW335" s="415">
        <v>88.892999999999972</v>
      </c>
      <c r="AX335" s="413">
        <v>61.903000000000077</v>
      </c>
      <c r="AY335" s="414">
        <v>489.04300000000012</v>
      </c>
      <c r="AZ335" s="204">
        <v>86.269000000000005</v>
      </c>
      <c r="BA335" s="413">
        <v>28.007000000000005</v>
      </c>
      <c r="BB335" s="415">
        <v>-78.490000000000009</v>
      </c>
      <c r="BC335" s="413">
        <v>-87.883999999999844</v>
      </c>
      <c r="BD335" s="414">
        <v>-52.097999999999956</v>
      </c>
      <c r="BE335" s="412">
        <v>-151.238</v>
      </c>
      <c r="BF335" s="413">
        <v>-140.649</v>
      </c>
      <c r="BG335" s="415">
        <v>-89.892999999999972</v>
      </c>
      <c r="BH335" s="413">
        <v>-51.483000000000175</v>
      </c>
      <c r="BI335" s="416">
        <v>-433.26299999999992</v>
      </c>
      <c r="BJ335" s="413">
        <v>-45.618089509027755</v>
      </c>
      <c r="BK335" s="413">
        <v>3.8821690576584729</v>
      </c>
      <c r="BL335" s="413">
        <v>50.698070832239239</v>
      </c>
      <c r="BM335" s="413">
        <v>45.436706082777732</v>
      </c>
      <c r="BN335" s="414">
        <v>54.398856463647462</v>
      </c>
      <c r="BO335" s="413">
        <v>64.674600221168703</v>
      </c>
      <c r="BP335" s="413">
        <v>61.137939119722432</v>
      </c>
      <c r="BQ335" s="413">
        <v>57.737261127230283</v>
      </c>
      <c r="BR335" s="413">
        <v>38.409642365476259</v>
      </c>
      <c r="BS335" s="414">
        <v>221.9594428335979</v>
      </c>
      <c r="BT335" s="414">
        <v>103.57827018144462</v>
      </c>
      <c r="BU335" s="414">
        <v>65.095285268270572</v>
      </c>
      <c r="BV335" s="414">
        <v>47.616127890401685</v>
      </c>
      <c r="BW335" s="204"/>
    </row>
    <row r="336" spans="1:75" s="177" customFormat="1" ht="14.25" hidden="1" outlineLevel="1" x14ac:dyDescent="0.45">
      <c r="A336" s="373" t="s">
        <v>484</v>
      </c>
      <c r="B336" s="374"/>
      <c r="C336" s="375"/>
      <c r="D336" s="375">
        <v>0.35622840480137441</v>
      </c>
      <c r="E336" s="375">
        <v>0.31193947426551838</v>
      </c>
      <c r="F336" s="375">
        <v>0.23389991272600752</v>
      </c>
      <c r="G336" s="381"/>
      <c r="H336" s="381"/>
      <c r="I336" s="381"/>
      <c r="J336" s="381"/>
      <c r="K336" s="375">
        <v>0.26650276666537698</v>
      </c>
      <c r="L336" s="381">
        <v>0.22057971868036996</v>
      </c>
      <c r="M336" s="381">
        <v>0.20601755419246404</v>
      </c>
      <c r="N336" s="381">
        <v>0.28105823863636381</v>
      </c>
      <c r="O336" s="381">
        <v>0.24669527995107887</v>
      </c>
      <c r="P336" s="375">
        <v>0.24043600057463044</v>
      </c>
      <c r="Q336" s="381">
        <v>0.16444040563253415</v>
      </c>
      <c r="R336" s="381">
        <v>0.18580302425718709</v>
      </c>
      <c r="S336" s="381">
        <v>8.4147849179200485E-2</v>
      </c>
      <c r="T336" s="381">
        <v>5.6421705028352864E-2</v>
      </c>
      <c r="U336" s="375">
        <v>0.11455555652065641</v>
      </c>
      <c r="V336" s="381">
        <v>-6.6251372611310755E-2</v>
      </c>
      <c r="W336" s="381">
        <v>-0.12708242301877892</v>
      </c>
      <c r="X336" s="381">
        <v>-0.15055407540743826</v>
      </c>
      <c r="Y336" s="378">
        <v>-0.15384181452890189</v>
      </c>
      <c r="Z336" s="417">
        <v>-0.12961322551064647</v>
      </c>
      <c r="AA336" s="378">
        <v>0.18049022218277533</v>
      </c>
      <c r="AB336" s="378">
        <v>0.13663667119283796</v>
      </c>
      <c r="AC336" s="381">
        <v>0.24807657576304876</v>
      </c>
      <c r="AD336" s="378">
        <v>0.25440260925753089</v>
      </c>
      <c r="AE336" s="417">
        <v>0.2073775286666788</v>
      </c>
      <c r="AF336" s="176">
        <v>0.22452022780955727</v>
      </c>
      <c r="AG336" s="378">
        <v>0.28617275451526702</v>
      </c>
      <c r="AH336" s="376">
        <v>0.16534020200850863</v>
      </c>
      <c r="AI336" s="378">
        <v>1.6083006958128143E-2</v>
      </c>
      <c r="AJ336" s="417">
        <v>0.16139382486098452</v>
      </c>
      <c r="AK336" s="176">
        <v>0.12201062207713798</v>
      </c>
      <c r="AL336" s="378">
        <v>0.11011625984902751</v>
      </c>
      <c r="AM336" s="376">
        <v>0.11312273382009619</v>
      </c>
      <c r="AN336" s="378">
        <v>8.4690593063490915E-2</v>
      </c>
      <c r="AO336" s="417">
        <v>0.10663811745474994</v>
      </c>
      <c r="AP336" s="176">
        <v>-0.1330487760388166</v>
      </c>
      <c r="AQ336" s="378">
        <v>0.15314200627514918</v>
      </c>
      <c r="AR336" s="376">
        <v>0.47055323769364077</v>
      </c>
      <c r="AS336" s="378">
        <v>0.37832775076134406</v>
      </c>
      <c r="AT336" s="417">
        <v>0.23325749037377785</v>
      </c>
      <c r="AU336" s="176">
        <v>1.0332909022050161</v>
      </c>
      <c r="AV336" s="378">
        <v>0.43597603155619669</v>
      </c>
      <c r="AW336" s="376">
        <v>0.22477811211975607</v>
      </c>
      <c r="AX336" s="378">
        <v>0.16659310730875032</v>
      </c>
      <c r="AY336" s="417">
        <v>0.38134237869661014</v>
      </c>
      <c r="AZ336" s="176">
        <v>0.22317508853895851</v>
      </c>
      <c r="BA336" s="378">
        <v>5.9963559831887059E-2</v>
      </c>
      <c r="BB336" s="376">
        <v>-0.16204788557342331</v>
      </c>
      <c r="BC336" s="378">
        <v>-0.20273827237389952</v>
      </c>
      <c r="BD336" s="417">
        <v>-2.9409506691625231E-2</v>
      </c>
      <c r="BE336" s="381">
        <v>-0.31986244294893218</v>
      </c>
      <c r="BF336" s="378">
        <v>-0.2840969228842557</v>
      </c>
      <c r="BG336" s="376">
        <v>-0.22148061093001992</v>
      </c>
      <c r="BH336" s="378">
        <v>-0.14896658285132325</v>
      </c>
      <c r="BI336" s="418">
        <v>-0.25198939146315213</v>
      </c>
      <c r="BJ336" s="378">
        <v>-0.14185435067984653</v>
      </c>
      <c r="BK336" s="378">
        <v>1.0953428955797317E-2</v>
      </c>
      <c r="BL336" s="378">
        <v>0.16044708789239581</v>
      </c>
      <c r="BM336" s="378">
        <v>0.15448461529990598</v>
      </c>
      <c r="BN336" s="417">
        <v>4.2297302217970456E-2</v>
      </c>
      <c r="BO336" s="378">
        <v>0.23435720776564684</v>
      </c>
      <c r="BP336" s="378">
        <v>0.17062996333708336</v>
      </c>
      <c r="BQ336" s="378">
        <v>0.15746036024512078</v>
      </c>
      <c r="BR336" s="378">
        <v>0.11311768524307442</v>
      </c>
      <c r="BS336" s="417">
        <v>0.16557886842743308</v>
      </c>
      <c r="BT336" s="417">
        <v>6.6291565149018794E-2</v>
      </c>
      <c r="BU336" s="417">
        <v>3.9071778470138652E-2</v>
      </c>
      <c r="BV336" s="417">
        <v>2.7505666434459286E-2</v>
      </c>
      <c r="BW336" s="176"/>
    </row>
    <row r="337" spans="1:75" s="217" customFormat="1" hidden="1" outlineLevel="1" x14ac:dyDescent="0.5">
      <c r="A337" s="419" t="s">
        <v>485</v>
      </c>
      <c r="B337" s="336"/>
      <c r="C337" s="420">
        <v>0.32009078050456691</v>
      </c>
      <c r="D337" s="420">
        <v>0.3514969873905211</v>
      </c>
      <c r="E337" s="420">
        <v>0.37193920366063937</v>
      </c>
      <c r="F337" s="420">
        <v>0.36855158979620239</v>
      </c>
      <c r="G337" s="421"/>
      <c r="H337" s="421"/>
      <c r="I337" s="421"/>
      <c r="J337" s="421"/>
      <c r="K337" s="420">
        <v>0.35905480537550577</v>
      </c>
      <c r="L337" s="421">
        <v>0.33951574590311645</v>
      </c>
      <c r="M337" s="421">
        <v>0.38709580741690214</v>
      </c>
      <c r="N337" s="421">
        <v>0.37215247330685508</v>
      </c>
      <c r="O337" s="421">
        <v>0.37434853713660082</v>
      </c>
      <c r="P337" s="420">
        <v>0.369907819443061</v>
      </c>
      <c r="Q337" s="421">
        <v>0.34275941246789521</v>
      </c>
      <c r="R337" s="421">
        <v>0.39276090755944471</v>
      </c>
      <c r="S337" s="421">
        <v>0.36729331287294958</v>
      </c>
      <c r="T337" s="421">
        <v>0.35606945526013267</v>
      </c>
      <c r="U337" s="420">
        <v>0.36505633459553921</v>
      </c>
      <c r="V337" s="421">
        <v>0.29685414178317998</v>
      </c>
      <c r="W337" s="421">
        <v>0.3325641290579352</v>
      </c>
      <c r="X337" s="421">
        <v>0.31881265270321879</v>
      </c>
      <c r="Y337" s="422">
        <v>0.34550589669444931</v>
      </c>
      <c r="Z337" s="423">
        <v>0.32474963471990353</v>
      </c>
      <c r="AA337" s="422">
        <v>0.29915393381415784</v>
      </c>
      <c r="AB337" s="422">
        <v>0.33619806468960495</v>
      </c>
      <c r="AC337" s="421">
        <v>0.36812423868999639</v>
      </c>
      <c r="AD337" s="422">
        <v>0.38325621914322555</v>
      </c>
      <c r="AE337" s="423">
        <v>0.34836142686947352</v>
      </c>
      <c r="AF337" s="422">
        <v>0.37155779295712799</v>
      </c>
      <c r="AG337" s="422">
        <v>0.41690554050572892</v>
      </c>
      <c r="AH337" s="421">
        <v>0.39849571972883369</v>
      </c>
      <c r="AI337" s="422">
        <v>0.3892737493167267</v>
      </c>
      <c r="AJ337" s="423">
        <v>0.3947828023216487</v>
      </c>
      <c r="AK337" s="422">
        <v>0.38872649210538912</v>
      </c>
      <c r="AL337" s="422">
        <v>0.41953481039016671</v>
      </c>
      <c r="AM337" s="421">
        <v>0.41721509089724368</v>
      </c>
      <c r="AN337" s="422">
        <v>0.4259690559407413</v>
      </c>
      <c r="AO337" s="423">
        <v>0.41364649817713889</v>
      </c>
      <c r="AP337" s="422">
        <v>0.41786806225643303</v>
      </c>
      <c r="AQ337" s="422">
        <v>0.47706708634438899</v>
      </c>
      <c r="AR337" s="421">
        <v>0.48609634410611108</v>
      </c>
      <c r="AS337" s="422">
        <v>0.47609297844152709</v>
      </c>
      <c r="AT337" s="423">
        <v>0.46961599094769096</v>
      </c>
      <c r="AU337" s="422">
        <v>0.4715078742606636</v>
      </c>
      <c r="AV337" s="422">
        <v>0.4928853187676891</v>
      </c>
      <c r="AW337" s="421">
        <v>0.50200391974371383</v>
      </c>
      <c r="AX337" s="422">
        <v>0.50385195654751258</v>
      </c>
      <c r="AY337" s="423">
        <v>0.49308224977607001</v>
      </c>
      <c r="AZ337" s="422">
        <v>0.5201859732349926</v>
      </c>
      <c r="BA337" s="422">
        <v>0.52657251468332722</v>
      </c>
      <c r="BB337" s="421">
        <v>0.49420768088059808</v>
      </c>
      <c r="BC337" s="422">
        <v>0.47456498335731828</v>
      </c>
      <c r="BD337" s="423">
        <v>0.50589971629811703</v>
      </c>
      <c r="BE337" s="421">
        <v>0.4657154939204885</v>
      </c>
      <c r="BF337" s="422">
        <v>0.47034038882622259</v>
      </c>
      <c r="BG337" s="421">
        <v>0.44815980461265054</v>
      </c>
      <c r="BH337" s="422">
        <v>0.4284374135093007</v>
      </c>
      <c r="BI337" s="424">
        <v>0.45355455267760064</v>
      </c>
      <c r="BJ337" s="422">
        <v>0.4077154939204885</v>
      </c>
      <c r="BK337" s="422">
        <v>0.45034038882622257</v>
      </c>
      <c r="BL337" s="422">
        <v>0.45315980461265054</v>
      </c>
      <c r="BM337" s="422">
        <v>0.44343741350930072</v>
      </c>
      <c r="BN337" s="423">
        <v>0.43988699750527627</v>
      </c>
      <c r="BO337" s="422">
        <v>0.42271549392048852</v>
      </c>
      <c r="BP337" s="422">
        <v>0.45534038882622258</v>
      </c>
      <c r="BQ337" s="422">
        <v>0.45565980461265054</v>
      </c>
      <c r="BR337" s="422">
        <v>0.44843741350930072</v>
      </c>
      <c r="BS337" s="423">
        <v>0.44625485369629753</v>
      </c>
      <c r="BT337" s="423">
        <v>0.44925485369629753</v>
      </c>
      <c r="BU337" s="423">
        <v>0.45225485369629753</v>
      </c>
      <c r="BV337" s="423">
        <v>0.45525485369629753</v>
      </c>
      <c r="BW337" s="216"/>
    </row>
    <row r="338" spans="1:75" s="224" customFormat="1" hidden="1" outlineLevel="1" x14ac:dyDescent="0.5">
      <c r="A338" s="330" t="s">
        <v>486</v>
      </c>
      <c r="B338" s="258"/>
      <c r="C338" s="252"/>
      <c r="D338" s="252">
        <v>314.06206885954191</v>
      </c>
      <c r="E338" s="252">
        <v>204.42216270118274</v>
      </c>
      <c r="F338" s="252">
        <v>-33.876138644369782</v>
      </c>
      <c r="G338" s="253"/>
      <c r="H338" s="253"/>
      <c r="I338" s="253"/>
      <c r="J338" s="253"/>
      <c r="K338" s="252">
        <v>-94.967844206966248</v>
      </c>
      <c r="L338" s="253">
        <v>3395.1574590311643</v>
      </c>
      <c r="M338" s="253">
        <v>3870.9580741690215</v>
      </c>
      <c r="N338" s="253">
        <v>3721.5247330685506</v>
      </c>
      <c r="O338" s="253">
        <v>3743.4853713660082</v>
      </c>
      <c r="P338" s="252">
        <v>108.53014067555233</v>
      </c>
      <c r="Q338" s="253">
        <v>32.436665647787578</v>
      </c>
      <c r="R338" s="253">
        <v>56.651001425425676</v>
      </c>
      <c r="S338" s="253">
        <v>-48.59160433905496</v>
      </c>
      <c r="T338" s="253">
        <v>-182.79081876468152</v>
      </c>
      <c r="U338" s="252">
        <v>-48.514848475217917</v>
      </c>
      <c r="V338" s="253">
        <v>-459.05270684715225</v>
      </c>
      <c r="W338" s="253">
        <v>-601.96778501509505</v>
      </c>
      <c r="X338" s="253">
        <v>-484.80660169730794</v>
      </c>
      <c r="Y338" s="254">
        <v>-105.63558565683363</v>
      </c>
      <c r="Z338" s="425">
        <v>-403.06699875635678</v>
      </c>
      <c r="AA338" s="254">
        <v>22.997920309778543</v>
      </c>
      <c r="AB338" s="254">
        <v>36.33935631669749</v>
      </c>
      <c r="AC338" s="253">
        <v>493.11585986777595</v>
      </c>
      <c r="AD338" s="254">
        <v>377.5032244877624</v>
      </c>
      <c r="AE338" s="425">
        <v>236.11792149569987</v>
      </c>
      <c r="AF338" s="254">
        <v>724.03859142970146</v>
      </c>
      <c r="AG338" s="254">
        <v>807.07475816123974</v>
      </c>
      <c r="AH338" s="253">
        <v>303.714810388373</v>
      </c>
      <c r="AI338" s="254">
        <v>60.175301735011509</v>
      </c>
      <c r="AJ338" s="425">
        <v>464.21375452175175</v>
      </c>
      <c r="AK338" s="254">
        <v>171.68699148261135</v>
      </c>
      <c r="AL338" s="254">
        <v>26.292698844377902</v>
      </c>
      <c r="AM338" s="253">
        <v>187.19371168409992</v>
      </c>
      <c r="AN338" s="254">
        <v>366.95306624014603</v>
      </c>
      <c r="AO338" s="425">
        <v>188.63695855490192</v>
      </c>
      <c r="AP338" s="254">
        <v>291.41570151043908</v>
      </c>
      <c r="AQ338" s="254">
        <v>575.3227595422228</v>
      </c>
      <c r="AR338" s="253">
        <v>688.81253208867395</v>
      </c>
      <c r="AS338" s="254">
        <v>501.2392250078579</v>
      </c>
      <c r="AT338" s="425">
        <v>559.69492770552074</v>
      </c>
      <c r="AU338" s="254">
        <v>536.39812004230566</v>
      </c>
      <c r="AV338" s="254">
        <v>158.18232423300105</v>
      </c>
      <c r="AW338" s="253">
        <v>159.07575637602756</v>
      </c>
      <c r="AX338" s="254">
        <v>277.58978105985489</v>
      </c>
      <c r="AY338" s="425">
        <v>234.66258828379048</v>
      </c>
      <c r="AZ338" s="254">
        <v>486.78098974329009</v>
      </c>
      <c r="BA338" s="254">
        <v>336.87195915638125</v>
      </c>
      <c r="BB338" s="253">
        <v>-77.962388631157566</v>
      </c>
      <c r="BC338" s="254">
        <v>-292.869731901943</v>
      </c>
      <c r="BD338" s="425">
        <v>128.17466522047016</v>
      </c>
      <c r="BE338" s="253">
        <v>-544.70479314504109</v>
      </c>
      <c r="BF338" s="254">
        <v>-562.32125857104631</v>
      </c>
      <c r="BG338" s="253">
        <v>-460.47876267947538</v>
      </c>
      <c r="BH338" s="254">
        <v>-461.27569848017578</v>
      </c>
      <c r="BI338" s="426">
        <v>-523.45163620516394</v>
      </c>
      <c r="BJ338" s="256">
        <v>-580</v>
      </c>
      <c r="BK338" s="256">
        <v>-200</v>
      </c>
      <c r="BL338" s="256">
        <v>50</v>
      </c>
      <c r="BM338" s="256">
        <v>150</v>
      </c>
      <c r="BN338" s="425">
        <v>-136.67555172324376</v>
      </c>
      <c r="BO338" s="256">
        <v>150</v>
      </c>
      <c r="BP338" s="256">
        <v>50</v>
      </c>
      <c r="BQ338" s="256">
        <v>25</v>
      </c>
      <c r="BR338" s="256">
        <v>50</v>
      </c>
      <c r="BS338" s="425">
        <v>63.678561910212593</v>
      </c>
      <c r="BT338" s="427">
        <v>30</v>
      </c>
      <c r="BU338" s="427">
        <v>30</v>
      </c>
      <c r="BV338" s="427">
        <v>30</v>
      </c>
      <c r="BW338" s="223"/>
    </row>
    <row r="339" spans="1:75" s="123" customFormat="1" hidden="1" outlineLevel="1" x14ac:dyDescent="0.5">
      <c r="A339" s="354"/>
      <c r="B339" s="251"/>
      <c r="C339" s="299"/>
      <c r="D339" s="299"/>
      <c r="E339" s="299"/>
      <c r="F339" s="299"/>
      <c r="G339" s="300"/>
      <c r="H339" s="300"/>
      <c r="I339" s="300"/>
      <c r="J339" s="300"/>
      <c r="K339" s="299"/>
      <c r="L339" s="300"/>
      <c r="M339" s="300"/>
      <c r="N339" s="300"/>
      <c r="O339" s="300"/>
      <c r="P339" s="299"/>
      <c r="Q339" s="300"/>
      <c r="R339" s="300"/>
      <c r="S339" s="300"/>
      <c r="T339" s="300"/>
      <c r="U339" s="299"/>
      <c r="V339" s="300"/>
      <c r="W339" s="300"/>
      <c r="X339" s="300"/>
      <c r="Y339" s="119"/>
      <c r="Z339" s="401"/>
      <c r="AA339" s="119"/>
      <c r="AB339" s="119"/>
      <c r="AC339" s="300"/>
      <c r="AD339" s="119"/>
      <c r="AE339" s="401"/>
      <c r="AF339" s="119"/>
      <c r="AG339" s="119"/>
      <c r="AH339" s="300"/>
      <c r="AI339" s="119"/>
      <c r="AJ339" s="401"/>
      <c r="AK339" s="119"/>
      <c r="AL339" s="119"/>
      <c r="AM339" s="300"/>
      <c r="AN339" s="119"/>
      <c r="AO339" s="401"/>
      <c r="AP339" s="119"/>
      <c r="AQ339" s="119"/>
      <c r="AR339" s="300"/>
      <c r="AS339" s="119"/>
      <c r="AT339" s="401"/>
      <c r="AU339" s="119"/>
      <c r="AV339" s="119"/>
      <c r="AW339" s="300"/>
      <c r="AX339" s="119"/>
      <c r="AY339" s="401"/>
      <c r="AZ339" s="119"/>
      <c r="BA339" s="119"/>
      <c r="BB339" s="300"/>
      <c r="BC339" s="119"/>
      <c r="BD339" s="401"/>
      <c r="BE339" s="300"/>
      <c r="BF339" s="119"/>
      <c r="BG339" s="300"/>
      <c r="BH339" s="119"/>
      <c r="BI339" s="402"/>
      <c r="BJ339" s="119"/>
      <c r="BK339" s="119"/>
      <c r="BL339" s="119"/>
      <c r="BM339" s="119"/>
      <c r="BN339" s="401"/>
      <c r="BO339" s="119"/>
      <c r="BP339" s="119"/>
      <c r="BQ339" s="119"/>
      <c r="BR339" s="119"/>
      <c r="BS339" s="401"/>
      <c r="BT339" s="401"/>
      <c r="BU339" s="401"/>
      <c r="BV339" s="401"/>
      <c r="BW339" s="404"/>
    </row>
    <row r="340" spans="1:75" s="198" customFormat="1" ht="14.25" hidden="1" outlineLevel="2" x14ac:dyDescent="0.45">
      <c r="A340" s="396" t="s">
        <v>487</v>
      </c>
      <c r="B340" s="243"/>
      <c r="C340" s="293">
        <v>238.88900000000001</v>
      </c>
      <c r="D340" s="293">
        <v>274.83600000000001</v>
      </c>
      <c r="E340" s="293">
        <v>329.50599999999997</v>
      </c>
      <c r="F340" s="293">
        <v>505.48500000000001</v>
      </c>
      <c r="G340" s="294">
        <v>101.366</v>
      </c>
      <c r="H340" s="294">
        <v>167.006</v>
      </c>
      <c r="I340" s="294">
        <v>116.94</v>
      </c>
      <c r="J340" s="294">
        <v>116.717</v>
      </c>
      <c r="K340" s="293">
        <v>502.029</v>
      </c>
      <c r="L340" s="294">
        <v>119.571</v>
      </c>
      <c r="M340" s="294">
        <v>118.974</v>
      </c>
      <c r="N340" s="294">
        <v>143.685</v>
      </c>
      <c r="O340" s="294">
        <v>142.81800000000001</v>
      </c>
      <c r="P340" s="293">
        <v>525.048</v>
      </c>
      <c r="Q340" s="294">
        <v>126.389</v>
      </c>
      <c r="R340" s="294">
        <v>137.84</v>
      </c>
      <c r="S340" s="294">
        <v>145.874</v>
      </c>
      <c r="T340" s="294">
        <v>157.02800000000002</v>
      </c>
      <c r="U340" s="293">
        <v>567.13099999999997</v>
      </c>
      <c r="V340" s="294">
        <v>138.94999999999999</v>
      </c>
      <c r="W340" s="294">
        <v>145.57300000000001</v>
      </c>
      <c r="X340" s="294">
        <v>148.43799999999999</v>
      </c>
      <c r="Y340" s="295">
        <v>157.327</v>
      </c>
      <c r="Z340" s="397">
        <v>590.28800000000001</v>
      </c>
      <c r="AA340" s="295">
        <v>149.56899999999999</v>
      </c>
      <c r="AB340" s="295">
        <v>180.751</v>
      </c>
      <c r="AC340" s="294">
        <v>159.09200000000001</v>
      </c>
      <c r="AD340" s="295">
        <v>176.64299999999992</v>
      </c>
      <c r="AE340" s="397">
        <v>666.05499999999995</v>
      </c>
      <c r="AF340" s="197">
        <v>147.47900000000001</v>
      </c>
      <c r="AG340" s="295">
        <v>173.154</v>
      </c>
      <c r="AH340" s="398">
        <v>194.42599999999999</v>
      </c>
      <c r="AI340" s="295">
        <v>155.70800000000008</v>
      </c>
      <c r="AJ340" s="397">
        <v>670.76700000000005</v>
      </c>
      <c r="AK340" s="197">
        <v>150.404</v>
      </c>
      <c r="AL340" s="295">
        <v>177.40799999999999</v>
      </c>
      <c r="AM340" s="398">
        <v>182.309</v>
      </c>
      <c r="AN340" s="295">
        <v>169.55000000000007</v>
      </c>
      <c r="AO340" s="397">
        <v>679.67100000000005</v>
      </c>
      <c r="AP340" s="197">
        <v>149.27600000000001</v>
      </c>
      <c r="AQ340" s="295">
        <v>185.48599999999999</v>
      </c>
      <c r="AR340" s="398">
        <v>285.67599999999999</v>
      </c>
      <c r="AS340" s="295">
        <v>187.94500000000005</v>
      </c>
      <c r="AT340" s="397">
        <v>808.38300000000004</v>
      </c>
      <c r="AU340" s="197">
        <v>204.40700000000001</v>
      </c>
      <c r="AV340" s="295">
        <v>223.49199999999999</v>
      </c>
      <c r="AW340" s="398">
        <v>214.10300000000001</v>
      </c>
      <c r="AX340" s="295">
        <v>219.79200000000003</v>
      </c>
      <c r="AY340" s="397">
        <v>861.79399999999998</v>
      </c>
      <c r="AZ340" s="197">
        <v>275.51900000000001</v>
      </c>
      <c r="BA340" s="295">
        <v>264.20600000000002</v>
      </c>
      <c r="BB340" s="398">
        <v>231.88399999999999</v>
      </c>
      <c r="BC340" s="295">
        <v>239.28399999999999</v>
      </c>
      <c r="BD340" s="397">
        <v>1010.893</v>
      </c>
      <c r="BE340" s="294">
        <v>229.01499999999999</v>
      </c>
      <c r="BF340" s="295">
        <v>211.08</v>
      </c>
      <c r="BG340" s="398">
        <v>269.70699999999999</v>
      </c>
      <c r="BH340" s="295">
        <v>234.56299999999999</v>
      </c>
      <c r="BI340" s="399">
        <v>944.36500000000001</v>
      </c>
      <c r="BJ340" s="295">
        <v>233.97559612432735</v>
      </c>
      <c r="BK340" s="295">
        <v>219.76330621791283</v>
      </c>
      <c r="BL340" s="295">
        <v>251.87950391734208</v>
      </c>
      <c r="BM340" s="295">
        <v>238.48678979347966</v>
      </c>
      <c r="BN340" s="397">
        <v>944.10519605306195</v>
      </c>
      <c r="BO340" s="295">
        <v>249.68979841863501</v>
      </c>
      <c r="BP340" s="295">
        <v>244.67267810442266</v>
      </c>
      <c r="BQ340" s="295">
        <v>287.0835294797609</v>
      </c>
      <c r="BR340" s="295">
        <v>245.29456406280687</v>
      </c>
      <c r="BS340" s="397">
        <v>1026.7405700656254</v>
      </c>
      <c r="BT340" s="397">
        <v>1049.5810105068665</v>
      </c>
      <c r="BU340" s="397">
        <v>1044.6271988658211</v>
      </c>
      <c r="BV340" s="397">
        <v>1026.9253094976702</v>
      </c>
      <c r="BW340" s="400"/>
    </row>
    <row r="341" spans="1:75" s="123" customFormat="1" hidden="1" outlineLevel="2" x14ac:dyDescent="0.5">
      <c r="A341" s="354" t="s">
        <v>488</v>
      </c>
      <c r="B341" s="251"/>
      <c r="C341" s="299"/>
      <c r="D341" s="299"/>
      <c r="E341" s="299"/>
      <c r="F341" s="299"/>
      <c r="G341" s="300"/>
      <c r="H341" s="300"/>
      <c r="I341" s="300"/>
      <c r="J341" s="300"/>
      <c r="K341" s="299"/>
      <c r="L341" s="300"/>
      <c r="M341" s="300"/>
      <c r="N341" s="300"/>
      <c r="O341" s="300"/>
      <c r="P341" s="299"/>
      <c r="Q341" s="300"/>
      <c r="R341" s="300"/>
      <c r="S341" s="300"/>
      <c r="T341" s="300"/>
      <c r="U341" s="299"/>
      <c r="V341" s="300"/>
      <c r="W341" s="300"/>
      <c r="X341" s="300"/>
      <c r="Y341" s="119"/>
      <c r="Z341" s="401"/>
      <c r="AA341" s="119"/>
      <c r="AB341" s="119"/>
      <c r="AC341" s="300"/>
      <c r="AD341" s="119"/>
      <c r="AE341" s="401"/>
      <c r="AF341" s="119"/>
      <c r="AG341" s="119"/>
      <c r="AH341" s="300"/>
      <c r="AI341" s="119"/>
      <c r="AJ341" s="401"/>
      <c r="AK341" s="119"/>
      <c r="AL341" s="119"/>
      <c r="AM341" s="300"/>
      <c r="AN341" s="119"/>
      <c r="AO341" s="401"/>
      <c r="AP341" s="119"/>
      <c r="AQ341" s="119"/>
      <c r="AR341" s="300"/>
      <c r="AS341" s="119"/>
      <c r="AT341" s="401"/>
      <c r="AU341" s="119"/>
      <c r="AV341" s="119"/>
      <c r="AW341" s="300"/>
      <c r="AX341" s="119"/>
      <c r="AY341" s="401"/>
      <c r="AZ341" s="119"/>
      <c r="BA341" s="119"/>
      <c r="BB341" s="300"/>
      <c r="BC341" s="119"/>
      <c r="BD341" s="401"/>
      <c r="BE341" s="300"/>
      <c r="BF341" s="119"/>
      <c r="BG341" s="300"/>
      <c r="BH341" s="119"/>
      <c r="BI341" s="402"/>
      <c r="BJ341" s="302">
        <v>0</v>
      </c>
      <c r="BK341" s="302">
        <v>0</v>
      </c>
      <c r="BL341" s="302">
        <v>0</v>
      </c>
      <c r="BM341" s="302">
        <v>0</v>
      </c>
      <c r="BN341" s="401">
        <v>0</v>
      </c>
      <c r="BO341" s="302">
        <v>0</v>
      </c>
      <c r="BP341" s="302">
        <v>0</v>
      </c>
      <c r="BQ341" s="302">
        <v>0</v>
      </c>
      <c r="BR341" s="302">
        <v>0</v>
      </c>
      <c r="BS341" s="401">
        <v>0</v>
      </c>
      <c r="BT341" s="403">
        <v>0</v>
      </c>
      <c r="BU341" s="403">
        <v>0</v>
      </c>
      <c r="BV341" s="403">
        <v>0</v>
      </c>
      <c r="BW341" s="404"/>
    </row>
    <row r="342" spans="1:75" s="123" customFormat="1" hidden="1" outlineLevel="2" x14ac:dyDescent="0.5">
      <c r="A342" s="354" t="s">
        <v>489</v>
      </c>
      <c r="B342" s="251"/>
      <c r="C342" s="299">
        <v>0</v>
      </c>
      <c r="D342" s="299">
        <v>0</v>
      </c>
      <c r="E342" s="299">
        <v>6.35</v>
      </c>
      <c r="F342" s="299">
        <v>115.05500000000001</v>
      </c>
      <c r="G342" s="300">
        <v>3.323</v>
      </c>
      <c r="H342" s="300">
        <v>59.832000000000001</v>
      </c>
      <c r="I342" s="300">
        <v>0</v>
      </c>
      <c r="J342" s="300">
        <v>0</v>
      </c>
      <c r="K342" s="299">
        <v>63.155000000000001</v>
      </c>
      <c r="L342" s="300">
        <v>0</v>
      </c>
      <c r="M342" s="300">
        <v>0</v>
      </c>
      <c r="N342" s="300">
        <v>0</v>
      </c>
      <c r="O342" s="300">
        <v>0</v>
      </c>
      <c r="P342" s="299">
        <v>0</v>
      </c>
      <c r="Q342" s="300">
        <v>0</v>
      </c>
      <c r="R342" s="300">
        <v>0</v>
      </c>
      <c r="S342" s="300">
        <v>0</v>
      </c>
      <c r="T342" s="300">
        <v>0</v>
      </c>
      <c r="U342" s="299">
        <v>0</v>
      </c>
      <c r="V342" s="300">
        <v>0</v>
      </c>
      <c r="W342" s="300">
        <v>-2.8000000000000025E-2</v>
      </c>
      <c r="X342" s="300">
        <v>0</v>
      </c>
      <c r="Y342" s="119">
        <v>0</v>
      </c>
      <c r="Z342" s="401">
        <v>-2.8000000000000025E-2</v>
      </c>
      <c r="AA342" s="119">
        <v>0</v>
      </c>
      <c r="AB342" s="119">
        <v>23.872</v>
      </c>
      <c r="AC342" s="300">
        <v>0</v>
      </c>
      <c r="AD342" s="119">
        <v>0</v>
      </c>
      <c r="AE342" s="401">
        <v>23.872</v>
      </c>
      <c r="AF342" s="119">
        <v>0</v>
      </c>
      <c r="AG342" s="119">
        <v>0</v>
      </c>
      <c r="AH342" s="300">
        <v>0</v>
      </c>
      <c r="AI342" s="119">
        <v>0</v>
      </c>
      <c r="AJ342" s="401">
        <v>0</v>
      </c>
      <c r="AK342" s="119">
        <v>0</v>
      </c>
      <c r="AL342" s="119">
        <v>0</v>
      </c>
      <c r="AM342" s="300">
        <v>0</v>
      </c>
      <c r="AN342" s="119">
        <v>0</v>
      </c>
      <c r="AO342" s="401">
        <v>0</v>
      </c>
      <c r="AP342" s="119">
        <v>0</v>
      </c>
      <c r="AQ342" s="119">
        <v>0</v>
      </c>
      <c r="AR342" s="300">
        <v>111.218</v>
      </c>
      <c r="AS342" s="119">
        <v>5.8659999999999997</v>
      </c>
      <c r="AT342" s="401">
        <v>117.084</v>
      </c>
      <c r="AU342" s="119">
        <v>5.8639999999999999</v>
      </c>
      <c r="AV342" s="119">
        <v>5.8639999999999999</v>
      </c>
      <c r="AW342" s="300">
        <v>5.8310000000000004</v>
      </c>
      <c r="AX342" s="119">
        <v>5.8689999999999998</v>
      </c>
      <c r="AY342" s="401">
        <v>23.428000000000001</v>
      </c>
      <c r="AZ342" s="119">
        <v>5.8579999999999997</v>
      </c>
      <c r="BA342" s="119">
        <v>4.3209999999999997</v>
      </c>
      <c r="BB342" s="300">
        <v>4.1360000000000001</v>
      </c>
      <c r="BC342" s="119">
        <v>3.7570000000000001</v>
      </c>
      <c r="BD342" s="401">
        <v>18.071999999999999</v>
      </c>
      <c r="BE342" s="300">
        <v>3.5310000000000001</v>
      </c>
      <c r="BF342" s="119">
        <v>2.024</v>
      </c>
      <c r="BG342" s="300">
        <v>1.972</v>
      </c>
      <c r="BH342" s="119">
        <v>2.113</v>
      </c>
      <c r="BI342" s="402">
        <v>9.64</v>
      </c>
      <c r="BJ342" s="302">
        <v>3.5</v>
      </c>
      <c r="BK342" s="302">
        <v>3.5</v>
      </c>
      <c r="BL342" s="302">
        <v>3.5</v>
      </c>
      <c r="BM342" s="302">
        <v>3.5</v>
      </c>
      <c r="BN342" s="401">
        <v>14</v>
      </c>
      <c r="BO342" s="302">
        <v>3.5</v>
      </c>
      <c r="BP342" s="302">
        <v>3.5</v>
      </c>
      <c r="BQ342" s="302">
        <v>3.5</v>
      </c>
      <c r="BR342" s="302">
        <v>3.5</v>
      </c>
      <c r="BS342" s="401">
        <v>14</v>
      </c>
      <c r="BT342" s="403">
        <v>14</v>
      </c>
      <c r="BU342" s="403">
        <v>14</v>
      </c>
      <c r="BV342" s="403">
        <v>14</v>
      </c>
      <c r="BW342" s="404"/>
    </row>
    <row r="343" spans="1:75" s="123" customFormat="1" hidden="1" outlineLevel="2" x14ac:dyDescent="0.5">
      <c r="A343" s="354" t="s">
        <v>490</v>
      </c>
      <c r="B343" s="251"/>
      <c r="C343" s="299">
        <v>4.62</v>
      </c>
      <c r="D343" s="299">
        <v>4.7930000000000001</v>
      </c>
      <c r="E343" s="299">
        <v>10.715</v>
      </c>
      <c r="F343" s="299">
        <v>4.258</v>
      </c>
      <c r="G343" s="300">
        <v>0</v>
      </c>
      <c r="H343" s="300">
        <v>0</v>
      </c>
      <c r="I343" s="300">
        <v>0</v>
      </c>
      <c r="J343" s="300">
        <v>0</v>
      </c>
      <c r="K343" s="299">
        <v>0</v>
      </c>
      <c r="L343" s="300">
        <v>0</v>
      </c>
      <c r="M343" s="300">
        <v>0</v>
      </c>
      <c r="N343" s="300">
        <v>0</v>
      </c>
      <c r="O343" s="300">
        <v>0</v>
      </c>
      <c r="P343" s="299">
        <v>0</v>
      </c>
      <c r="Q343" s="300">
        <v>0</v>
      </c>
      <c r="R343" s="300">
        <v>0</v>
      </c>
      <c r="S343" s="300">
        <v>0</v>
      </c>
      <c r="T343" s="300">
        <v>0</v>
      </c>
      <c r="U343" s="299">
        <v>0</v>
      </c>
      <c r="V343" s="300">
        <v>0</v>
      </c>
      <c r="W343" s="300">
        <v>0</v>
      </c>
      <c r="X343" s="300">
        <v>0</v>
      </c>
      <c r="Y343" s="119">
        <v>0</v>
      </c>
      <c r="Z343" s="401">
        <v>0</v>
      </c>
      <c r="AA343" s="119">
        <v>0</v>
      </c>
      <c r="AB343" s="119">
        <v>0</v>
      </c>
      <c r="AC343" s="300">
        <v>0</v>
      </c>
      <c r="AD343" s="119">
        <v>0</v>
      </c>
      <c r="AE343" s="401">
        <v>0</v>
      </c>
      <c r="AF343" s="119">
        <v>0</v>
      </c>
      <c r="AG343" s="119">
        <v>0</v>
      </c>
      <c r="AH343" s="300">
        <v>0</v>
      </c>
      <c r="AI343" s="119">
        <v>0</v>
      </c>
      <c r="AJ343" s="401">
        <v>0</v>
      </c>
      <c r="AK343" s="119">
        <v>0</v>
      </c>
      <c r="AL343" s="119">
        <v>0</v>
      </c>
      <c r="AM343" s="300">
        <v>0</v>
      </c>
      <c r="AN343" s="119">
        <v>0</v>
      </c>
      <c r="AO343" s="401">
        <v>0</v>
      </c>
      <c r="AP343" s="119">
        <v>0</v>
      </c>
      <c r="AQ343" s="119">
        <v>0</v>
      </c>
      <c r="AR343" s="300">
        <v>0</v>
      </c>
      <c r="AS343" s="119">
        <v>0</v>
      </c>
      <c r="AT343" s="401">
        <v>0</v>
      </c>
      <c r="AU343" s="119">
        <v>0</v>
      </c>
      <c r="AV343" s="119">
        <v>0</v>
      </c>
      <c r="AW343" s="300">
        <v>0</v>
      </c>
      <c r="AX343" s="119">
        <v>0</v>
      </c>
      <c r="AY343" s="401">
        <v>0</v>
      </c>
      <c r="AZ343" s="119">
        <v>0</v>
      </c>
      <c r="BA343" s="119">
        <v>0</v>
      </c>
      <c r="BB343" s="300">
        <v>0</v>
      </c>
      <c r="BC343" s="119">
        <v>0</v>
      </c>
      <c r="BD343" s="401">
        <v>0</v>
      </c>
      <c r="BE343" s="300">
        <v>0</v>
      </c>
      <c r="BF343" s="119">
        <v>0</v>
      </c>
      <c r="BG343" s="300">
        <v>0</v>
      </c>
      <c r="BH343" s="119">
        <v>0</v>
      </c>
      <c r="BI343" s="402">
        <v>0</v>
      </c>
      <c r="BJ343" s="302">
        <v>0</v>
      </c>
      <c r="BK343" s="302">
        <v>0</v>
      </c>
      <c r="BL343" s="302">
        <v>0</v>
      </c>
      <c r="BM343" s="302">
        <v>0</v>
      </c>
      <c r="BN343" s="401">
        <v>0</v>
      </c>
      <c r="BO343" s="302">
        <v>0</v>
      </c>
      <c r="BP343" s="302">
        <v>0</v>
      </c>
      <c r="BQ343" s="302">
        <v>0</v>
      </c>
      <c r="BR343" s="302">
        <v>0</v>
      </c>
      <c r="BS343" s="401">
        <v>0</v>
      </c>
      <c r="BT343" s="403">
        <v>0</v>
      </c>
      <c r="BU343" s="403">
        <v>0</v>
      </c>
      <c r="BV343" s="403">
        <v>0</v>
      </c>
      <c r="BW343" s="404"/>
    </row>
    <row r="344" spans="1:75" s="123" customFormat="1" hidden="1" outlineLevel="2" x14ac:dyDescent="0.5">
      <c r="A344" s="354" t="s">
        <v>491</v>
      </c>
      <c r="B344" s="251"/>
      <c r="C344" s="299">
        <v>0</v>
      </c>
      <c r="D344" s="299">
        <v>0</v>
      </c>
      <c r="E344" s="299">
        <v>0</v>
      </c>
      <c r="F344" s="299">
        <v>0</v>
      </c>
      <c r="G344" s="300">
        <v>0</v>
      </c>
      <c r="H344" s="300">
        <v>0</v>
      </c>
      <c r="I344" s="300">
        <v>0</v>
      </c>
      <c r="J344" s="300">
        <v>0</v>
      </c>
      <c r="K344" s="299">
        <v>0</v>
      </c>
      <c r="L344" s="300">
        <v>0</v>
      </c>
      <c r="M344" s="300">
        <v>0</v>
      </c>
      <c r="N344" s="300">
        <v>0</v>
      </c>
      <c r="O344" s="300">
        <v>0</v>
      </c>
      <c r="P344" s="299">
        <v>0</v>
      </c>
      <c r="Q344" s="300">
        <v>0</v>
      </c>
      <c r="R344" s="300">
        <v>0</v>
      </c>
      <c r="S344" s="300">
        <v>0</v>
      </c>
      <c r="T344" s="300">
        <v>0</v>
      </c>
      <c r="U344" s="299">
        <v>0</v>
      </c>
      <c r="V344" s="300">
        <v>0</v>
      </c>
      <c r="W344" s="300">
        <v>0</v>
      </c>
      <c r="X344" s="300">
        <v>0</v>
      </c>
      <c r="Y344" s="119">
        <v>0</v>
      </c>
      <c r="Z344" s="401">
        <v>0</v>
      </c>
      <c r="AA344" s="119">
        <v>0</v>
      </c>
      <c r="AB344" s="119">
        <v>0</v>
      </c>
      <c r="AC344" s="300">
        <v>0</v>
      </c>
      <c r="AD344" s="119">
        <v>0</v>
      </c>
      <c r="AE344" s="401">
        <v>0</v>
      </c>
      <c r="AF344" s="119">
        <v>0</v>
      </c>
      <c r="AG344" s="119">
        <v>0</v>
      </c>
      <c r="AH344" s="300">
        <v>0</v>
      </c>
      <c r="AI344" s="119">
        <v>0</v>
      </c>
      <c r="AJ344" s="401">
        <v>0</v>
      </c>
      <c r="AK344" s="119">
        <v>0</v>
      </c>
      <c r="AL344" s="119">
        <v>0</v>
      </c>
      <c r="AM344" s="300">
        <v>0</v>
      </c>
      <c r="AN344" s="119">
        <v>0</v>
      </c>
      <c r="AO344" s="401">
        <v>0</v>
      </c>
      <c r="AP344" s="119">
        <v>0</v>
      </c>
      <c r="AQ344" s="119">
        <v>0</v>
      </c>
      <c r="AR344" s="300">
        <v>0</v>
      </c>
      <c r="AS344" s="119">
        <v>0</v>
      </c>
      <c r="AT344" s="401">
        <v>0</v>
      </c>
      <c r="AU344" s="119">
        <v>0</v>
      </c>
      <c r="AV344" s="119">
        <v>0</v>
      </c>
      <c r="AW344" s="300">
        <v>0</v>
      </c>
      <c r="AX344" s="119">
        <v>0</v>
      </c>
      <c r="AY344" s="401">
        <v>0</v>
      </c>
      <c r="AZ344" s="119">
        <v>11.717000000000001</v>
      </c>
      <c r="BA344" s="119">
        <v>0</v>
      </c>
      <c r="BB344" s="300">
        <v>0</v>
      </c>
      <c r="BC344" s="119">
        <v>2.6749999999999998</v>
      </c>
      <c r="BD344" s="401">
        <v>14.391999999999999</v>
      </c>
      <c r="BE344" s="300">
        <v>0</v>
      </c>
      <c r="BF344" s="119">
        <v>0</v>
      </c>
      <c r="BG344" s="300">
        <v>0</v>
      </c>
      <c r="BH344" s="119">
        <v>0</v>
      </c>
      <c r="BI344" s="402">
        <v>0</v>
      </c>
      <c r="BJ344" s="302">
        <v>0</v>
      </c>
      <c r="BK344" s="302">
        <v>0</v>
      </c>
      <c r="BL344" s="302">
        <v>0</v>
      </c>
      <c r="BM344" s="302">
        <v>0</v>
      </c>
      <c r="BN344" s="401">
        <v>0</v>
      </c>
      <c r="BO344" s="302">
        <v>0</v>
      </c>
      <c r="BP344" s="302">
        <v>0</v>
      </c>
      <c r="BQ344" s="302">
        <v>0</v>
      </c>
      <c r="BR344" s="302">
        <v>0</v>
      </c>
      <c r="BS344" s="401">
        <v>0</v>
      </c>
      <c r="BT344" s="403">
        <v>0</v>
      </c>
      <c r="BU344" s="403">
        <v>0</v>
      </c>
      <c r="BV344" s="403">
        <v>0</v>
      </c>
      <c r="BW344" s="404"/>
    </row>
    <row r="345" spans="1:75" s="123" customFormat="1" hidden="1" outlineLevel="2" x14ac:dyDescent="0.5">
      <c r="A345" s="354" t="s">
        <v>492</v>
      </c>
      <c r="B345" s="251"/>
      <c r="C345" s="299">
        <v>0</v>
      </c>
      <c r="D345" s="299">
        <v>0</v>
      </c>
      <c r="E345" s="299">
        <v>0</v>
      </c>
      <c r="F345" s="299">
        <v>0</v>
      </c>
      <c r="G345" s="300">
        <v>0</v>
      </c>
      <c r="H345" s="300">
        <v>0</v>
      </c>
      <c r="I345" s="300">
        <v>0</v>
      </c>
      <c r="J345" s="300">
        <v>0</v>
      </c>
      <c r="K345" s="299">
        <v>0</v>
      </c>
      <c r="L345" s="300">
        <v>0</v>
      </c>
      <c r="M345" s="300">
        <v>0</v>
      </c>
      <c r="N345" s="300">
        <v>0</v>
      </c>
      <c r="O345" s="300">
        <v>0</v>
      </c>
      <c r="P345" s="299">
        <v>0</v>
      </c>
      <c r="Q345" s="300">
        <v>0</v>
      </c>
      <c r="R345" s="300">
        <v>0</v>
      </c>
      <c r="S345" s="300">
        <v>0</v>
      </c>
      <c r="T345" s="300">
        <v>0</v>
      </c>
      <c r="U345" s="299">
        <v>0</v>
      </c>
      <c r="V345" s="300">
        <v>0</v>
      </c>
      <c r="W345" s="300">
        <v>0</v>
      </c>
      <c r="X345" s="300">
        <v>0</v>
      </c>
      <c r="Y345" s="119">
        <v>0</v>
      </c>
      <c r="Z345" s="401">
        <v>0</v>
      </c>
      <c r="AA345" s="119">
        <v>0</v>
      </c>
      <c r="AB345" s="119">
        <v>0</v>
      </c>
      <c r="AC345" s="300">
        <v>0</v>
      </c>
      <c r="AD345" s="119">
        <v>0</v>
      </c>
      <c r="AE345" s="401">
        <v>0</v>
      </c>
      <c r="AF345" s="119">
        <v>0</v>
      </c>
      <c r="AG345" s="119">
        <v>0</v>
      </c>
      <c r="AH345" s="300">
        <v>0</v>
      </c>
      <c r="AI345" s="119">
        <v>0</v>
      </c>
      <c r="AJ345" s="401">
        <v>0</v>
      </c>
      <c r="AK345" s="119">
        <v>0</v>
      </c>
      <c r="AL345" s="119">
        <v>0</v>
      </c>
      <c r="AM345" s="300">
        <v>0</v>
      </c>
      <c r="AN345" s="119">
        <v>0</v>
      </c>
      <c r="AO345" s="401">
        <v>0</v>
      </c>
      <c r="AP345" s="119">
        <v>0</v>
      </c>
      <c r="AQ345" s="119">
        <v>0</v>
      </c>
      <c r="AR345" s="300">
        <v>0</v>
      </c>
      <c r="AS345" s="119">
        <v>0</v>
      </c>
      <c r="AT345" s="401">
        <v>0</v>
      </c>
      <c r="AU345" s="119">
        <v>0</v>
      </c>
      <c r="AV345" s="119">
        <v>0</v>
      </c>
      <c r="AW345" s="300">
        <v>0</v>
      </c>
      <c r="AX345" s="119">
        <v>0</v>
      </c>
      <c r="AY345" s="401">
        <v>0</v>
      </c>
      <c r="AZ345" s="119">
        <v>7.1840000000000002</v>
      </c>
      <c r="BA345" s="119">
        <v>0.28499999999999998</v>
      </c>
      <c r="BB345" s="300">
        <v>0</v>
      </c>
      <c r="BC345" s="119">
        <v>0</v>
      </c>
      <c r="BD345" s="401">
        <v>7.4690000000000003</v>
      </c>
      <c r="BE345" s="300">
        <v>0</v>
      </c>
      <c r="BF345" s="119">
        <v>0</v>
      </c>
      <c r="BG345" s="300">
        <v>0</v>
      </c>
      <c r="BH345" s="119">
        <v>0</v>
      </c>
      <c r="BI345" s="402">
        <v>0</v>
      </c>
      <c r="BJ345" s="302">
        <v>0</v>
      </c>
      <c r="BK345" s="302">
        <v>0</v>
      </c>
      <c r="BL345" s="302">
        <v>0</v>
      </c>
      <c r="BM345" s="302">
        <v>0</v>
      </c>
      <c r="BN345" s="401">
        <v>0</v>
      </c>
      <c r="BO345" s="302">
        <v>0</v>
      </c>
      <c r="BP345" s="302">
        <v>0</v>
      </c>
      <c r="BQ345" s="302">
        <v>0</v>
      </c>
      <c r="BR345" s="302">
        <v>0</v>
      </c>
      <c r="BS345" s="401">
        <v>0</v>
      </c>
      <c r="BT345" s="403">
        <v>0</v>
      </c>
      <c r="BU345" s="403">
        <v>0</v>
      </c>
      <c r="BV345" s="403">
        <v>0</v>
      </c>
      <c r="BW345" s="404"/>
    </row>
    <row r="346" spans="1:75" s="123" customFormat="1" hidden="1" outlineLevel="2" x14ac:dyDescent="0.5">
      <c r="A346" s="354" t="s">
        <v>493</v>
      </c>
      <c r="B346" s="251"/>
      <c r="C346" s="299">
        <v>0</v>
      </c>
      <c r="D346" s="299">
        <v>0</v>
      </c>
      <c r="E346" s="299">
        <v>0</v>
      </c>
      <c r="F346" s="299">
        <v>0</v>
      </c>
      <c r="G346" s="300">
        <v>0</v>
      </c>
      <c r="H346" s="300">
        <v>0</v>
      </c>
      <c r="I346" s="300">
        <v>0</v>
      </c>
      <c r="J346" s="300">
        <v>0</v>
      </c>
      <c r="K346" s="299">
        <v>0</v>
      </c>
      <c r="L346" s="300">
        <v>0</v>
      </c>
      <c r="M346" s="300">
        <v>0</v>
      </c>
      <c r="N346" s="300">
        <v>0</v>
      </c>
      <c r="O346" s="300">
        <v>0</v>
      </c>
      <c r="P346" s="299">
        <v>0</v>
      </c>
      <c r="Q346" s="300">
        <v>0</v>
      </c>
      <c r="R346" s="300">
        <v>0</v>
      </c>
      <c r="S346" s="300">
        <v>0</v>
      </c>
      <c r="T346" s="300">
        <v>0</v>
      </c>
      <c r="U346" s="299">
        <v>0</v>
      </c>
      <c r="V346" s="300">
        <v>0</v>
      </c>
      <c r="W346" s="300">
        <v>0</v>
      </c>
      <c r="X346" s="300">
        <v>0</v>
      </c>
      <c r="Y346" s="119">
        <v>0</v>
      </c>
      <c r="Z346" s="401">
        <v>0</v>
      </c>
      <c r="AA346" s="119">
        <v>0</v>
      </c>
      <c r="AB346" s="119">
        <v>0</v>
      </c>
      <c r="AC346" s="300">
        <v>0</v>
      </c>
      <c r="AD346" s="119">
        <v>0</v>
      </c>
      <c r="AE346" s="401">
        <v>0</v>
      </c>
      <c r="AF346" s="119">
        <v>0</v>
      </c>
      <c r="AG346" s="119">
        <v>0</v>
      </c>
      <c r="AH346" s="300">
        <v>0</v>
      </c>
      <c r="AI346" s="119">
        <v>0</v>
      </c>
      <c r="AJ346" s="401">
        <v>0</v>
      </c>
      <c r="AK346" s="119">
        <v>0</v>
      </c>
      <c r="AL346" s="119">
        <v>0</v>
      </c>
      <c r="AM346" s="300">
        <v>0</v>
      </c>
      <c r="AN346" s="119">
        <v>0</v>
      </c>
      <c r="AO346" s="401">
        <v>0</v>
      </c>
      <c r="AP346" s="119">
        <v>0</v>
      </c>
      <c r="AQ346" s="119">
        <v>0</v>
      </c>
      <c r="AR346" s="300">
        <v>0</v>
      </c>
      <c r="AS346" s="119">
        <v>0</v>
      </c>
      <c r="AT346" s="401">
        <v>0</v>
      </c>
      <c r="AU346" s="119">
        <v>0</v>
      </c>
      <c r="AV346" s="119">
        <v>0</v>
      </c>
      <c r="AW346" s="300">
        <v>0</v>
      </c>
      <c r="AX346" s="119">
        <v>0</v>
      </c>
      <c r="AY346" s="401">
        <v>0</v>
      </c>
      <c r="AZ346" s="119">
        <v>0</v>
      </c>
      <c r="BA346" s="119">
        <v>0</v>
      </c>
      <c r="BB346" s="300">
        <v>0</v>
      </c>
      <c r="BC346" s="119">
        <v>4.47</v>
      </c>
      <c r="BD346" s="401">
        <v>4.47</v>
      </c>
      <c r="BE346" s="300">
        <v>0</v>
      </c>
      <c r="BF346" s="119">
        <v>0</v>
      </c>
      <c r="BG346" s="300">
        <v>0</v>
      </c>
      <c r="BH346" s="119">
        <v>0</v>
      </c>
      <c r="BI346" s="402">
        <v>0</v>
      </c>
      <c r="BJ346" s="302">
        <v>0</v>
      </c>
      <c r="BK346" s="302">
        <v>0</v>
      </c>
      <c r="BL346" s="302">
        <v>0</v>
      </c>
      <c r="BM346" s="302">
        <v>0</v>
      </c>
      <c r="BN346" s="401">
        <v>0</v>
      </c>
      <c r="BO346" s="302">
        <v>0</v>
      </c>
      <c r="BP346" s="302">
        <v>0</v>
      </c>
      <c r="BQ346" s="302">
        <v>0</v>
      </c>
      <c r="BR346" s="302">
        <v>0</v>
      </c>
      <c r="BS346" s="401">
        <v>0</v>
      </c>
      <c r="BT346" s="403">
        <v>0</v>
      </c>
      <c r="BU346" s="403">
        <v>0</v>
      </c>
      <c r="BV346" s="403">
        <v>0</v>
      </c>
      <c r="BW346" s="404"/>
    </row>
    <row r="347" spans="1:75" s="123" customFormat="1" hidden="1" outlineLevel="2" x14ac:dyDescent="0.5">
      <c r="A347" s="354" t="s">
        <v>494</v>
      </c>
      <c r="B347" s="251"/>
      <c r="C347" s="299">
        <v>0</v>
      </c>
      <c r="D347" s="299">
        <v>0</v>
      </c>
      <c r="E347" s="299">
        <v>0</v>
      </c>
      <c r="F347" s="299">
        <v>0</v>
      </c>
      <c r="G347" s="300">
        <v>0</v>
      </c>
      <c r="H347" s="300">
        <v>0</v>
      </c>
      <c r="I347" s="300">
        <v>0</v>
      </c>
      <c r="J347" s="300">
        <v>0</v>
      </c>
      <c r="K347" s="299">
        <v>0</v>
      </c>
      <c r="L347" s="300">
        <v>0</v>
      </c>
      <c r="M347" s="300">
        <v>0</v>
      </c>
      <c r="N347" s="300">
        <v>0</v>
      </c>
      <c r="O347" s="300">
        <v>0</v>
      </c>
      <c r="P347" s="299">
        <v>0</v>
      </c>
      <c r="Q347" s="300">
        <v>0</v>
      </c>
      <c r="R347" s="300">
        <v>0</v>
      </c>
      <c r="S347" s="300">
        <v>0</v>
      </c>
      <c r="T347" s="300">
        <v>0</v>
      </c>
      <c r="U347" s="299">
        <v>0</v>
      </c>
      <c r="V347" s="300">
        <v>0</v>
      </c>
      <c r="W347" s="300">
        <v>0</v>
      </c>
      <c r="X347" s="300">
        <v>0</v>
      </c>
      <c r="Y347" s="119">
        <v>0</v>
      </c>
      <c r="Z347" s="401">
        <v>0</v>
      </c>
      <c r="AA347" s="119">
        <v>0</v>
      </c>
      <c r="AB347" s="119">
        <v>0</v>
      </c>
      <c r="AC347" s="300">
        <v>0</v>
      </c>
      <c r="AD347" s="119">
        <v>0</v>
      </c>
      <c r="AE347" s="401">
        <v>0</v>
      </c>
      <c r="AF347" s="119">
        <v>0</v>
      </c>
      <c r="AG347" s="119">
        <v>0</v>
      </c>
      <c r="AH347" s="300">
        <v>0</v>
      </c>
      <c r="AI347" s="119">
        <v>0</v>
      </c>
      <c r="AJ347" s="401">
        <v>0</v>
      </c>
      <c r="AK347" s="119">
        <v>0</v>
      </c>
      <c r="AL347" s="119">
        <v>0</v>
      </c>
      <c r="AM347" s="300">
        <v>0</v>
      </c>
      <c r="AN347" s="119">
        <v>0</v>
      </c>
      <c r="AO347" s="401">
        <v>0</v>
      </c>
      <c r="AP347" s="119">
        <v>0</v>
      </c>
      <c r="AQ347" s="119">
        <v>0</v>
      </c>
      <c r="AR347" s="300">
        <v>0</v>
      </c>
      <c r="AS347" s="119">
        <v>0</v>
      </c>
      <c r="AT347" s="401">
        <v>0</v>
      </c>
      <c r="AU347" s="119">
        <v>0</v>
      </c>
      <c r="AV347" s="119">
        <v>0</v>
      </c>
      <c r="AW347" s="300">
        <v>0</v>
      </c>
      <c r="AX347" s="119">
        <v>0</v>
      </c>
      <c r="AY347" s="401">
        <v>0</v>
      </c>
      <c r="AZ347" s="119">
        <v>0</v>
      </c>
      <c r="BA347" s="119">
        <v>-1.6999999999999904E-2</v>
      </c>
      <c r="BB347" s="300">
        <v>0</v>
      </c>
      <c r="BC347" s="119">
        <v>0</v>
      </c>
      <c r="BD347" s="401">
        <v>-1.6999999999999904E-2</v>
      </c>
      <c r="BE347" s="300">
        <v>0</v>
      </c>
      <c r="BF347" s="119">
        <v>0</v>
      </c>
      <c r="BG347" s="300">
        <v>0</v>
      </c>
      <c r="BH347" s="119">
        <v>0</v>
      </c>
      <c r="BI347" s="402">
        <v>0</v>
      </c>
      <c r="BJ347" s="302">
        <v>0</v>
      </c>
      <c r="BK347" s="302">
        <v>0</v>
      </c>
      <c r="BL347" s="302">
        <v>0</v>
      </c>
      <c r="BM347" s="302">
        <v>0</v>
      </c>
      <c r="BN347" s="401">
        <v>0</v>
      </c>
      <c r="BO347" s="302">
        <v>0</v>
      </c>
      <c r="BP347" s="302">
        <v>0</v>
      </c>
      <c r="BQ347" s="302">
        <v>0</v>
      </c>
      <c r="BR347" s="302">
        <v>0</v>
      </c>
      <c r="BS347" s="401">
        <v>0</v>
      </c>
      <c r="BT347" s="403">
        <v>0</v>
      </c>
      <c r="BU347" s="403">
        <v>0</v>
      </c>
      <c r="BV347" s="403">
        <v>0</v>
      </c>
      <c r="BW347" s="404"/>
    </row>
    <row r="348" spans="1:75" s="123" customFormat="1" hidden="1" outlineLevel="2" x14ac:dyDescent="0.5">
      <c r="A348" s="354" t="s">
        <v>495</v>
      </c>
      <c r="B348" s="251"/>
      <c r="C348" s="299">
        <v>0</v>
      </c>
      <c r="D348" s="299">
        <v>0</v>
      </c>
      <c r="E348" s="299">
        <v>0</v>
      </c>
      <c r="F348" s="299">
        <v>0</v>
      </c>
      <c r="G348" s="300">
        <v>0.76700000000000002</v>
      </c>
      <c r="H348" s="300">
        <v>2.1280000000000001</v>
      </c>
      <c r="I348" s="300">
        <v>0</v>
      </c>
      <c r="J348" s="300">
        <v>0</v>
      </c>
      <c r="K348" s="299">
        <v>2.895</v>
      </c>
      <c r="L348" s="300">
        <v>0</v>
      </c>
      <c r="M348" s="300">
        <v>0</v>
      </c>
      <c r="N348" s="300">
        <v>0</v>
      </c>
      <c r="O348" s="300">
        <v>0</v>
      </c>
      <c r="P348" s="299">
        <v>0</v>
      </c>
      <c r="Q348" s="300">
        <v>0</v>
      </c>
      <c r="R348" s="300">
        <v>0</v>
      </c>
      <c r="S348" s="300">
        <v>0</v>
      </c>
      <c r="T348" s="300">
        <v>0</v>
      </c>
      <c r="U348" s="299">
        <v>0</v>
      </c>
      <c r="V348" s="300">
        <v>0</v>
      </c>
      <c r="W348" s="300">
        <v>0</v>
      </c>
      <c r="X348" s="300">
        <v>0</v>
      </c>
      <c r="Y348" s="119">
        <v>0</v>
      </c>
      <c r="Z348" s="401">
        <v>0</v>
      </c>
      <c r="AA348" s="119">
        <v>0</v>
      </c>
      <c r="AB348" s="119">
        <v>0</v>
      </c>
      <c r="AC348" s="300">
        <v>0</v>
      </c>
      <c r="AD348" s="119">
        <v>0</v>
      </c>
      <c r="AE348" s="401">
        <v>0</v>
      </c>
      <c r="AF348" s="119">
        <v>0</v>
      </c>
      <c r="AG348" s="119">
        <v>0</v>
      </c>
      <c r="AH348" s="300">
        <v>0</v>
      </c>
      <c r="AI348" s="119">
        <v>0</v>
      </c>
      <c r="AJ348" s="401">
        <v>0</v>
      </c>
      <c r="AK348" s="119">
        <v>0</v>
      </c>
      <c r="AL348" s="119">
        <v>0</v>
      </c>
      <c r="AM348" s="300">
        <v>0</v>
      </c>
      <c r="AN348" s="119">
        <v>0</v>
      </c>
      <c r="AO348" s="401">
        <v>0</v>
      </c>
      <c r="AP348" s="119">
        <v>0</v>
      </c>
      <c r="AQ348" s="119">
        <v>0</v>
      </c>
      <c r="AR348" s="300">
        <v>0</v>
      </c>
      <c r="AS348" s="119">
        <v>0</v>
      </c>
      <c r="AT348" s="401">
        <v>0</v>
      </c>
      <c r="AU348" s="119">
        <v>0</v>
      </c>
      <c r="AV348" s="119">
        <v>0</v>
      </c>
      <c r="AW348" s="300">
        <v>0</v>
      </c>
      <c r="AX348" s="119">
        <v>0</v>
      </c>
      <c r="AY348" s="401">
        <v>0</v>
      </c>
      <c r="AZ348" s="119">
        <v>0</v>
      </c>
      <c r="BA348" s="119">
        <v>0</v>
      </c>
      <c r="BB348" s="300">
        <v>0</v>
      </c>
      <c r="BC348" s="119">
        <v>0</v>
      </c>
      <c r="BD348" s="401">
        <v>0</v>
      </c>
      <c r="BE348" s="300">
        <v>0</v>
      </c>
      <c r="BF348" s="119">
        <v>0</v>
      </c>
      <c r="BG348" s="300">
        <v>0</v>
      </c>
      <c r="BH348" s="119">
        <v>0</v>
      </c>
      <c r="BI348" s="402">
        <v>0</v>
      </c>
      <c r="BJ348" s="302">
        <v>0</v>
      </c>
      <c r="BK348" s="302">
        <v>0</v>
      </c>
      <c r="BL348" s="302">
        <v>0</v>
      </c>
      <c r="BM348" s="302">
        <v>0</v>
      </c>
      <c r="BN348" s="401">
        <v>0</v>
      </c>
      <c r="BO348" s="302">
        <v>0</v>
      </c>
      <c r="BP348" s="302">
        <v>0</v>
      </c>
      <c r="BQ348" s="302">
        <v>0</v>
      </c>
      <c r="BR348" s="302">
        <v>0</v>
      </c>
      <c r="BS348" s="401">
        <v>0</v>
      </c>
      <c r="BT348" s="403">
        <v>0</v>
      </c>
      <c r="BU348" s="403">
        <v>0</v>
      </c>
      <c r="BV348" s="403">
        <v>0</v>
      </c>
      <c r="BW348" s="404"/>
    </row>
    <row r="349" spans="1:75" s="123" customFormat="1" hidden="1" outlineLevel="2" x14ac:dyDescent="0.5">
      <c r="A349" s="354" t="s">
        <v>496</v>
      </c>
      <c r="B349" s="251"/>
      <c r="C349" s="299">
        <v>0</v>
      </c>
      <c r="D349" s="299">
        <v>2.351</v>
      </c>
      <c r="E349" s="299">
        <v>0</v>
      </c>
      <c r="F349" s="299">
        <v>10.755000000000001</v>
      </c>
      <c r="G349" s="300">
        <v>0</v>
      </c>
      <c r="H349" s="300">
        <v>0</v>
      </c>
      <c r="I349" s="300">
        <v>0</v>
      </c>
      <c r="J349" s="300">
        <v>0</v>
      </c>
      <c r="K349" s="299">
        <v>0</v>
      </c>
      <c r="L349" s="300">
        <v>0</v>
      </c>
      <c r="M349" s="300">
        <v>0</v>
      </c>
      <c r="N349" s="300">
        <v>0</v>
      </c>
      <c r="O349" s="300">
        <v>0</v>
      </c>
      <c r="P349" s="299">
        <v>0</v>
      </c>
      <c r="Q349" s="300">
        <v>0</v>
      </c>
      <c r="R349" s="300">
        <v>0</v>
      </c>
      <c r="S349" s="300">
        <v>0</v>
      </c>
      <c r="T349" s="300">
        <v>0</v>
      </c>
      <c r="U349" s="299">
        <v>0</v>
      </c>
      <c r="V349" s="300">
        <v>0</v>
      </c>
      <c r="W349" s="300">
        <v>0</v>
      </c>
      <c r="X349" s="300">
        <v>0</v>
      </c>
      <c r="Y349" s="119">
        <v>0</v>
      </c>
      <c r="Z349" s="401">
        <v>0</v>
      </c>
      <c r="AA349" s="119">
        <v>0</v>
      </c>
      <c r="AB349" s="119">
        <v>0</v>
      </c>
      <c r="AC349" s="300">
        <v>0</v>
      </c>
      <c r="AD349" s="119">
        <v>0</v>
      </c>
      <c r="AE349" s="401">
        <v>0</v>
      </c>
      <c r="AF349" s="119">
        <v>0</v>
      </c>
      <c r="AG349" s="119">
        <v>0</v>
      </c>
      <c r="AH349" s="300">
        <v>0</v>
      </c>
      <c r="AI349" s="119">
        <v>0</v>
      </c>
      <c r="AJ349" s="401">
        <v>0</v>
      </c>
      <c r="AK349" s="119">
        <v>0</v>
      </c>
      <c r="AL349" s="119">
        <v>0</v>
      </c>
      <c r="AM349" s="300">
        <v>0</v>
      </c>
      <c r="AN349" s="119">
        <v>0</v>
      </c>
      <c r="AO349" s="401">
        <v>0</v>
      </c>
      <c r="AP349" s="119">
        <v>0</v>
      </c>
      <c r="AQ349" s="119">
        <v>0</v>
      </c>
      <c r="AR349" s="300">
        <v>0</v>
      </c>
      <c r="AS349" s="119">
        <v>0</v>
      </c>
      <c r="AT349" s="401">
        <v>0</v>
      </c>
      <c r="AU349" s="119">
        <v>0</v>
      </c>
      <c r="AV349" s="119">
        <v>0</v>
      </c>
      <c r="AW349" s="300">
        <v>0</v>
      </c>
      <c r="AX349" s="119">
        <v>0</v>
      </c>
      <c r="AY349" s="401">
        <v>0</v>
      </c>
      <c r="AZ349" s="119">
        <v>0</v>
      </c>
      <c r="BA349" s="119">
        <v>0</v>
      </c>
      <c r="BB349" s="300">
        <v>0</v>
      </c>
      <c r="BC349" s="119">
        <v>0</v>
      </c>
      <c r="BD349" s="401">
        <v>0</v>
      </c>
      <c r="BE349" s="300">
        <v>0</v>
      </c>
      <c r="BF349" s="119">
        <v>0</v>
      </c>
      <c r="BG349" s="300">
        <v>0</v>
      </c>
      <c r="BH349" s="119">
        <v>0</v>
      </c>
      <c r="BI349" s="402">
        <v>0</v>
      </c>
      <c r="BJ349" s="302">
        <v>0</v>
      </c>
      <c r="BK349" s="302">
        <v>0</v>
      </c>
      <c r="BL349" s="302">
        <v>0</v>
      </c>
      <c r="BM349" s="302">
        <v>0</v>
      </c>
      <c r="BN349" s="401">
        <v>0</v>
      </c>
      <c r="BO349" s="302">
        <v>0</v>
      </c>
      <c r="BP349" s="302">
        <v>0</v>
      </c>
      <c r="BQ349" s="302">
        <v>0</v>
      </c>
      <c r="BR349" s="302">
        <v>0</v>
      </c>
      <c r="BS349" s="401">
        <v>0</v>
      </c>
      <c r="BT349" s="403">
        <v>0</v>
      </c>
      <c r="BU349" s="403">
        <v>0</v>
      </c>
      <c r="BV349" s="403">
        <v>0</v>
      </c>
      <c r="BW349" s="404"/>
    </row>
    <row r="350" spans="1:75" s="123" customFormat="1" hidden="1" outlineLevel="2" x14ac:dyDescent="0.5">
      <c r="A350" s="354" t="s">
        <v>497</v>
      </c>
      <c r="B350" s="251"/>
      <c r="C350" s="299">
        <v>0</v>
      </c>
      <c r="D350" s="299">
        <v>0</v>
      </c>
      <c r="E350" s="299">
        <v>0</v>
      </c>
      <c r="F350" s="299">
        <v>4.7779999999999996</v>
      </c>
      <c r="G350" s="300">
        <v>0</v>
      </c>
      <c r="H350" s="300">
        <v>0</v>
      </c>
      <c r="I350" s="300">
        <v>0</v>
      </c>
      <c r="J350" s="300">
        <v>0</v>
      </c>
      <c r="K350" s="299">
        <v>0</v>
      </c>
      <c r="L350" s="300">
        <v>0</v>
      </c>
      <c r="M350" s="300">
        <v>0</v>
      </c>
      <c r="N350" s="300">
        <v>0</v>
      </c>
      <c r="O350" s="300">
        <v>0</v>
      </c>
      <c r="P350" s="299">
        <v>0</v>
      </c>
      <c r="Q350" s="300">
        <v>0</v>
      </c>
      <c r="R350" s="300">
        <v>0</v>
      </c>
      <c r="S350" s="300">
        <v>0</v>
      </c>
      <c r="T350" s="300">
        <v>0</v>
      </c>
      <c r="U350" s="299">
        <v>0</v>
      </c>
      <c r="V350" s="300">
        <v>0</v>
      </c>
      <c r="W350" s="300">
        <v>0</v>
      </c>
      <c r="X350" s="300">
        <v>0</v>
      </c>
      <c r="Y350" s="119">
        <v>0</v>
      </c>
      <c r="Z350" s="401">
        <v>0</v>
      </c>
      <c r="AA350" s="119">
        <v>0</v>
      </c>
      <c r="AB350" s="119">
        <v>0</v>
      </c>
      <c r="AC350" s="300">
        <v>0</v>
      </c>
      <c r="AD350" s="119">
        <v>0</v>
      </c>
      <c r="AE350" s="401">
        <v>0</v>
      </c>
      <c r="AF350" s="119">
        <v>0</v>
      </c>
      <c r="AG350" s="119">
        <v>0</v>
      </c>
      <c r="AH350" s="300">
        <v>0</v>
      </c>
      <c r="AI350" s="119">
        <v>0</v>
      </c>
      <c r="AJ350" s="401">
        <v>0</v>
      </c>
      <c r="AK350" s="119">
        <v>0</v>
      </c>
      <c r="AL350" s="119">
        <v>0</v>
      </c>
      <c r="AM350" s="300">
        <v>0</v>
      </c>
      <c r="AN350" s="119">
        <v>0</v>
      </c>
      <c r="AO350" s="401">
        <v>0</v>
      </c>
      <c r="AP350" s="119">
        <v>0</v>
      </c>
      <c r="AQ350" s="119">
        <v>0</v>
      </c>
      <c r="AR350" s="300">
        <v>0</v>
      </c>
      <c r="AS350" s="119">
        <v>0</v>
      </c>
      <c r="AT350" s="401">
        <v>0</v>
      </c>
      <c r="AU350" s="119">
        <v>0</v>
      </c>
      <c r="AV350" s="119">
        <v>0</v>
      </c>
      <c r="AW350" s="300">
        <v>0</v>
      </c>
      <c r="AX350" s="119">
        <v>0</v>
      </c>
      <c r="AY350" s="401">
        <v>0</v>
      </c>
      <c r="AZ350" s="119">
        <v>0</v>
      </c>
      <c r="BA350" s="119">
        <v>0</v>
      </c>
      <c r="BB350" s="300">
        <v>0</v>
      </c>
      <c r="BC350" s="119">
        <v>0</v>
      </c>
      <c r="BD350" s="401">
        <v>0</v>
      </c>
      <c r="BE350" s="300">
        <v>0</v>
      </c>
      <c r="BF350" s="119">
        <v>0</v>
      </c>
      <c r="BG350" s="300">
        <v>0</v>
      </c>
      <c r="BH350" s="119">
        <v>0</v>
      </c>
      <c r="BI350" s="402">
        <v>0</v>
      </c>
      <c r="BJ350" s="302">
        <v>0</v>
      </c>
      <c r="BK350" s="302">
        <v>0</v>
      </c>
      <c r="BL350" s="302">
        <v>0</v>
      </c>
      <c r="BM350" s="302">
        <v>0</v>
      </c>
      <c r="BN350" s="401">
        <v>0</v>
      </c>
      <c r="BO350" s="302">
        <v>0</v>
      </c>
      <c r="BP350" s="302">
        <v>0</v>
      </c>
      <c r="BQ350" s="302">
        <v>0</v>
      </c>
      <c r="BR350" s="302">
        <v>0</v>
      </c>
      <c r="BS350" s="401">
        <v>0</v>
      </c>
      <c r="BT350" s="403">
        <v>0</v>
      </c>
      <c r="BU350" s="403">
        <v>0</v>
      </c>
      <c r="BV350" s="403">
        <v>0</v>
      </c>
      <c r="BW350" s="404"/>
    </row>
    <row r="351" spans="1:75" s="123" customFormat="1" hidden="1" outlineLevel="2" x14ac:dyDescent="0.5">
      <c r="A351" s="354" t="s">
        <v>498</v>
      </c>
      <c r="B351" s="251"/>
      <c r="C351" s="299">
        <v>2.6040000000000001</v>
      </c>
      <c r="D351" s="299">
        <v>0.35199999999999998</v>
      </c>
      <c r="E351" s="299">
        <v>1.58</v>
      </c>
      <c r="F351" s="299">
        <v>0</v>
      </c>
      <c r="G351" s="300">
        <v>0</v>
      </c>
      <c r="H351" s="300">
        <v>0</v>
      </c>
      <c r="I351" s="300">
        <v>0</v>
      </c>
      <c r="J351" s="300">
        <v>0</v>
      </c>
      <c r="K351" s="299">
        <v>0</v>
      </c>
      <c r="L351" s="300">
        <v>0</v>
      </c>
      <c r="M351" s="300">
        <v>0</v>
      </c>
      <c r="N351" s="300">
        <v>0</v>
      </c>
      <c r="O351" s="300">
        <v>0</v>
      </c>
      <c r="P351" s="299">
        <v>0</v>
      </c>
      <c r="Q351" s="300">
        <v>0</v>
      </c>
      <c r="R351" s="300">
        <v>0</v>
      </c>
      <c r="S351" s="300">
        <v>0</v>
      </c>
      <c r="T351" s="300">
        <v>0</v>
      </c>
      <c r="U351" s="299">
        <v>0</v>
      </c>
      <c r="V351" s="300">
        <v>0</v>
      </c>
      <c r="W351" s="300">
        <v>0</v>
      </c>
      <c r="X351" s="300">
        <v>0</v>
      </c>
      <c r="Y351" s="119">
        <v>0</v>
      </c>
      <c r="Z351" s="401">
        <v>0</v>
      </c>
      <c r="AA351" s="119">
        <v>0</v>
      </c>
      <c r="AB351" s="119">
        <v>0</v>
      </c>
      <c r="AC351" s="300">
        <v>0</v>
      </c>
      <c r="AD351" s="119">
        <v>0</v>
      </c>
      <c r="AE351" s="401">
        <v>0</v>
      </c>
      <c r="AF351" s="119">
        <v>0</v>
      </c>
      <c r="AG351" s="119">
        <v>0</v>
      </c>
      <c r="AH351" s="300">
        <v>0</v>
      </c>
      <c r="AI351" s="119">
        <v>0</v>
      </c>
      <c r="AJ351" s="401">
        <v>0</v>
      </c>
      <c r="AK351" s="119">
        <v>0</v>
      </c>
      <c r="AL351" s="119">
        <v>0</v>
      </c>
      <c r="AM351" s="300">
        <v>0</v>
      </c>
      <c r="AN351" s="119">
        <v>0</v>
      </c>
      <c r="AO351" s="401">
        <v>0</v>
      </c>
      <c r="AP351" s="119">
        <v>0</v>
      </c>
      <c r="AQ351" s="119">
        <v>0</v>
      </c>
      <c r="AR351" s="300">
        <v>0</v>
      </c>
      <c r="AS351" s="119">
        <v>0</v>
      </c>
      <c r="AT351" s="401">
        <v>0</v>
      </c>
      <c r="AU351" s="119">
        <v>0</v>
      </c>
      <c r="AV351" s="119">
        <v>0</v>
      </c>
      <c r="AW351" s="300">
        <v>0</v>
      </c>
      <c r="AX351" s="119">
        <v>0</v>
      </c>
      <c r="AY351" s="401">
        <v>0</v>
      </c>
      <c r="AZ351" s="119">
        <v>0</v>
      </c>
      <c r="BA351" s="119">
        <v>0</v>
      </c>
      <c r="BB351" s="300">
        <v>0</v>
      </c>
      <c r="BC351" s="119">
        <v>0</v>
      </c>
      <c r="BD351" s="401">
        <v>0</v>
      </c>
      <c r="BE351" s="300">
        <v>0</v>
      </c>
      <c r="BF351" s="119">
        <v>0</v>
      </c>
      <c r="BG351" s="300">
        <v>0</v>
      </c>
      <c r="BH351" s="119">
        <v>0</v>
      </c>
      <c r="BI351" s="402">
        <v>0</v>
      </c>
      <c r="BJ351" s="302">
        <v>0</v>
      </c>
      <c r="BK351" s="302">
        <v>0</v>
      </c>
      <c r="BL351" s="302">
        <v>0</v>
      </c>
      <c r="BM351" s="302">
        <v>0</v>
      </c>
      <c r="BN351" s="401">
        <v>0</v>
      </c>
      <c r="BO351" s="302">
        <v>0</v>
      </c>
      <c r="BP351" s="302">
        <v>0</v>
      </c>
      <c r="BQ351" s="302">
        <v>0</v>
      </c>
      <c r="BR351" s="302">
        <v>0</v>
      </c>
      <c r="BS351" s="401">
        <v>0</v>
      </c>
      <c r="BT351" s="403">
        <v>0</v>
      </c>
      <c r="BU351" s="403">
        <v>0</v>
      </c>
      <c r="BV351" s="403">
        <v>0</v>
      </c>
      <c r="BW351" s="404"/>
    </row>
    <row r="352" spans="1:75" s="123" customFormat="1" hidden="1" outlineLevel="2" x14ac:dyDescent="0.5">
      <c r="A352" s="354" t="s">
        <v>499</v>
      </c>
      <c r="B352" s="251"/>
      <c r="C352" s="299">
        <v>1.5209999999999999</v>
      </c>
      <c r="D352" s="299">
        <v>1.7969999999999999</v>
      </c>
      <c r="E352" s="299">
        <v>0.621</v>
      </c>
      <c r="F352" s="299">
        <v>0</v>
      </c>
      <c r="G352" s="300">
        <v>0</v>
      </c>
      <c r="H352" s="300">
        <v>0</v>
      </c>
      <c r="I352" s="300">
        <v>0</v>
      </c>
      <c r="J352" s="300">
        <v>0</v>
      </c>
      <c r="K352" s="299">
        <v>0</v>
      </c>
      <c r="L352" s="300">
        <v>0</v>
      </c>
      <c r="M352" s="300">
        <v>0</v>
      </c>
      <c r="N352" s="300">
        <v>0</v>
      </c>
      <c r="O352" s="300">
        <v>0</v>
      </c>
      <c r="P352" s="299">
        <v>0</v>
      </c>
      <c r="Q352" s="300">
        <v>0</v>
      </c>
      <c r="R352" s="300">
        <v>0</v>
      </c>
      <c r="S352" s="300">
        <v>0</v>
      </c>
      <c r="T352" s="300">
        <v>0</v>
      </c>
      <c r="U352" s="299">
        <v>0</v>
      </c>
      <c r="V352" s="300">
        <v>0</v>
      </c>
      <c r="W352" s="300">
        <v>0</v>
      </c>
      <c r="X352" s="300">
        <v>0</v>
      </c>
      <c r="Y352" s="119">
        <v>0</v>
      </c>
      <c r="Z352" s="401">
        <v>0</v>
      </c>
      <c r="AA352" s="119">
        <v>0</v>
      </c>
      <c r="AB352" s="119">
        <v>0</v>
      </c>
      <c r="AC352" s="300">
        <v>0</v>
      </c>
      <c r="AD352" s="119">
        <v>0</v>
      </c>
      <c r="AE352" s="401">
        <v>0</v>
      </c>
      <c r="AF352" s="119">
        <v>0</v>
      </c>
      <c r="AG352" s="119">
        <v>0</v>
      </c>
      <c r="AH352" s="300">
        <v>0</v>
      </c>
      <c r="AI352" s="119">
        <v>0</v>
      </c>
      <c r="AJ352" s="401">
        <v>0</v>
      </c>
      <c r="AK352" s="119">
        <v>0</v>
      </c>
      <c r="AL352" s="119">
        <v>0</v>
      </c>
      <c r="AM352" s="300">
        <v>0</v>
      </c>
      <c r="AN352" s="119">
        <v>0</v>
      </c>
      <c r="AO352" s="401">
        <v>0</v>
      </c>
      <c r="AP352" s="119">
        <v>0</v>
      </c>
      <c r="AQ352" s="119">
        <v>0</v>
      </c>
      <c r="AR352" s="300">
        <v>0</v>
      </c>
      <c r="AS352" s="119">
        <v>0</v>
      </c>
      <c r="AT352" s="401">
        <v>0</v>
      </c>
      <c r="AU352" s="119">
        <v>0</v>
      </c>
      <c r="AV352" s="119">
        <v>0</v>
      </c>
      <c r="AW352" s="300">
        <v>0</v>
      </c>
      <c r="AX352" s="119">
        <v>0</v>
      </c>
      <c r="AY352" s="401">
        <v>0</v>
      </c>
      <c r="AZ352" s="119">
        <v>0</v>
      </c>
      <c r="BA352" s="119">
        <v>0</v>
      </c>
      <c r="BB352" s="300">
        <v>0</v>
      </c>
      <c r="BC352" s="119">
        <v>0</v>
      </c>
      <c r="BD352" s="401">
        <v>0</v>
      </c>
      <c r="BE352" s="300">
        <v>0</v>
      </c>
      <c r="BF352" s="119">
        <v>0</v>
      </c>
      <c r="BG352" s="300">
        <v>0</v>
      </c>
      <c r="BH352" s="119">
        <v>0</v>
      </c>
      <c r="BI352" s="402">
        <v>0</v>
      </c>
      <c r="BJ352" s="302">
        <v>0</v>
      </c>
      <c r="BK352" s="302">
        <v>0</v>
      </c>
      <c r="BL352" s="302">
        <v>0</v>
      </c>
      <c r="BM352" s="302">
        <v>0</v>
      </c>
      <c r="BN352" s="401">
        <v>0</v>
      </c>
      <c r="BO352" s="302">
        <v>0</v>
      </c>
      <c r="BP352" s="302">
        <v>0</v>
      </c>
      <c r="BQ352" s="302">
        <v>0</v>
      </c>
      <c r="BR352" s="302">
        <v>0</v>
      </c>
      <c r="BS352" s="401">
        <v>0</v>
      </c>
      <c r="BT352" s="403">
        <v>0</v>
      </c>
      <c r="BU352" s="403">
        <v>0</v>
      </c>
      <c r="BV352" s="403">
        <v>0</v>
      </c>
      <c r="BW352" s="404"/>
    </row>
    <row r="353" spans="1:75" s="123" customFormat="1" hidden="1" outlineLevel="2" x14ac:dyDescent="0.5">
      <c r="A353" s="354" t="s">
        <v>500</v>
      </c>
      <c r="B353" s="251"/>
      <c r="C353" s="299">
        <v>0</v>
      </c>
      <c r="D353" s="299">
        <v>0</v>
      </c>
      <c r="E353" s="299">
        <v>0</v>
      </c>
      <c r="F353" s="299">
        <v>0</v>
      </c>
      <c r="G353" s="300">
        <v>0</v>
      </c>
      <c r="H353" s="300">
        <v>0</v>
      </c>
      <c r="I353" s="300">
        <v>0</v>
      </c>
      <c r="J353" s="300">
        <v>0</v>
      </c>
      <c r="K353" s="299">
        <v>0</v>
      </c>
      <c r="L353" s="300">
        <v>0</v>
      </c>
      <c r="M353" s="300">
        <v>0</v>
      </c>
      <c r="N353" s="300">
        <v>0</v>
      </c>
      <c r="O353" s="300">
        <v>0</v>
      </c>
      <c r="P353" s="299">
        <v>0</v>
      </c>
      <c r="Q353" s="300">
        <v>0</v>
      </c>
      <c r="R353" s="300">
        <v>0</v>
      </c>
      <c r="S353" s="300">
        <v>0</v>
      </c>
      <c r="T353" s="300">
        <v>0</v>
      </c>
      <c r="U353" s="299">
        <v>0</v>
      </c>
      <c r="V353" s="300">
        <v>1.415</v>
      </c>
      <c r="W353" s="300">
        <v>3.3090000000000002</v>
      </c>
      <c r="X353" s="300">
        <v>0.97399999999999998</v>
      </c>
      <c r="Y353" s="119">
        <v>0</v>
      </c>
      <c r="Z353" s="401">
        <v>5.6980000000000004</v>
      </c>
      <c r="AA353" s="119">
        <v>0</v>
      </c>
      <c r="AB353" s="119">
        <v>0</v>
      </c>
      <c r="AC353" s="300">
        <v>1.0289999999999999</v>
      </c>
      <c r="AD353" s="119">
        <v>-0.08</v>
      </c>
      <c r="AE353" s="401">
        <v>0.94899999999999995</v>
      </c>
      <c r="AF353" s="119">
        <v>0</v>
      </c>
      <c r="AG353" s="119">
        <v>1.7210000000000001</v>
      </c>
      <c r="AH353" s="300">
        <v>7.5640000000000001</v>
      </c>
      <c r="AI353" s="119">
        <v>0.69199999999999995</v>
      </c>
      <c r="AJ353" s="401">
        <v>9.9770000000000003</v>
      </c>
      <c r="AK353" s="119">
        <v>0</v>
      </c>
      <c r="AL353" s="119">
        <v>0</v>
      </c>
      <c r="AM353" s="300">
        <v>1.075</v>
      </c>
      <c r="AN353" s="119">
        <v>0</v>
      </c>
      <c r="AO353" s="401">
        <v>1.075</v>
      </c>
      <c r="AP353" s="119">
        <v>4.1429999999999998</v>
      </c>
      <c r="AQ353" s="119">
        <v>2.8839999999999999</v>
      </c>
      <c r="AR353" s="300">
        <v>0</v>
      </c>
      <c r="AS353" s="119">
        <v>0</v>
      </c>
      <c r="AT353" s="401">
        <v>7.0270000000000001</v>
      </c>
      <c r="AU353" s="119">
        <v>0</v>
      </c>
      <c r="AV353" s="119">
        <v>0.44900000000000001</v>
      </c>
      <c r="AW353" s="300">
        <v>0</v>
      </c>
      <c r="AX353" s="119">
        <v>0</v>
      </c>
      <c r="AY353" s="401">
        <v>0.44900000000000001</v>
      </c>
      <c r="AZ353" s="119">
        <v>0</v>
      </c>
      <c r="BA353" s="119">
        <v>0</v>
      </c>
      <c r="BB353" s="300">
        <v>0</v>
      </c>
      <c r="BC353" s="119">
        <v>0</v>
      </c>
      <c r="BD353" s="401">
        <v>0</v>
      </c>
      <c r="BE353" s="300">
        <v>7.6210000000000004</v>
      </c>
      <c r="BF353" s="119">
        <v>0</v>
      </c>
      <c r="BG353" s="300">
        <v>0</v>
      </c>
      <c r="BH353" s="119">
        <v>0</v>
      </c>
      <c r="BI353" s="402">
        <v>7.6210000000000004</v>
      </c>
      <c r="BJ353" s="302">
        <v>0</v>
      </c>
      <c r="BK353" s="302">
        <v>0</v>
      </c>
      <c r="BL353" s="302">
        <v>0</v>
      </c>
      <c r="BM353" s="302">
        <v>0</v>
      </c>
      <c r="BN353" s="401">
        <v>0</v>
      </c>
      <c r="BO353" s="302">
        <v>0</v>
      </c>
      <c r="BP353" s="302">
        <v>0</v>
      </c>
      <c r="BQ353" s="302">
        <v>0</v>
      </c>
      <c r="BR353" s="302">
        <v>0</v>
      </c>
      <c r="BS353" s="401">
        <v>0</v>
      </c>
      <c r="BT353" s="403">
        <v>0</v>
      </c>
      <c r="BU353" s="403">
        <v>0</v>
      </c>
      <c r="BV353" s="403">
        <v>0</v>
      </c>
      <c r="BW353" s="404"/>
    </row>
    <row r="354" spans="1:75" s="123" customFormat="1" hidden="1" outlineLevel="2" x14ac:dyDescent="0.5">
      <c r="A354" s="354" t="s">
        <v>501</v>
      </c>
      <c r="B354" s="251"/>
      <c r="C354" s="299">
        <v>0</v>
      </c>
      <c r="D354" s="299">
        <v>0</v>
      </c>
      <c r="E354" s="299">
        <v>0</v>
      </c>
      <c r="F354" s="299">
        <v>0</v>
      </c>
      <c r="G354" s="300">
        <v>0</v>
      </c>
      <c r="H354" s="300">
        <v>0</v>
      </c>
      <c r="I354" s="300">
        <v>0</v>
      </c>
      <c r="J354" s="300">
        <v>0</v>
      </c>
      <c r="K354" s="299">
        <v>0</v>
      </c>
      <c r="L354" s="300">
        <v>0</v>
      </c>
      <c r="M354" s="300">
        <v>0</v>
      </c>
      <c r="N354" s="300">
        <v>0</v>
      </c>
      <c r="O354" s="300">
        <v>0</v>
      </c>
      <c r="P354" s="299">
        <v>0</v>
      </c>
      <c r="Q354" s="300">
        <v>0</v>
      </c>
      <c r="R354" s="300">
        <v>0</v>
      </c>
      <c r="S354" s="300">
        <v>0</v>
      </c>
      <c r="T354" s="300">
        <v>0</v>
      </c>
      <c r="U354" s="299">
        <v>0</v>
      </c>
      <c r="V354" s="300">
        <v>0</v>
      </c>
      <c r="W354" s="300">
        <v>0</v>
      </c>
      <c r="X354" s="300">
        <v>0</v>
      </c>
      <c r="Y354" s="119">
        <v>0</v>
      </c>
      <c r="Z354" s="401">
        <v>0</v>
      </c>
      <c r="AA354" s="119">
        <v>0</v>
      </c>
      <c r="AB354" s="119">
        <v>0</v>
      </c>
      <c r="AC354" s="300">
        <v>0</v>
      </c>
      <c r="AD354" s="119">
        <v>0</v>
      </c>
      <c r="AE354" s="401">
        <v>0</v>
      </c>
      <c r="AF354" s="119">
        <v>0</v>
      </c>
      <c r="AG354" s="119">
        <v>0</v>
      </c>
      <c r="AH354" s="300">
        <v>0</v>
      </c>
      <c r="AI354" s="119">
        <v>8.4969999999999999</v>
      </c>
      <c r="AJ354" s="401">
        <v>8.4969999999999999</v>
      </c>
      <c r="AK354" s="119">
        <v>0</v>
      </c>
      <c r="AL354" s="119">
        <v>0</v>
      </c>
      <c r="AM354" s="300">
        <v>-0.33300000000000002</v>
      </c>
      <c r="AN354" s="119">
        <v>0</v>
      </c>
      <c r="AO354" s="401">
        <v>-0.33300000000000002</v>
      </c>
      <c r="AP354" s="119">
        <v>0</v>
      </c>
      <c r="AQ354" s="119">
        <v>0</v>
      </c>
      <c r="AR354" s="300">
        <v>0</v>
      </c>
      <c r="AS354" s="119">
        <v>0</v>
      </c>
      <c r="AT354" s="401">
        <v>0</v>
      </c>
      <c r="AU354" s="119">
        <v>0</v>
      </c>
      <c r="AV354" s="119">
        <v>0</v>
      </c>
      <c r="AW354" s="300">
        <v>0</v>
      </c>
      <c r="AX354" s="119">
        <v>0</v>
      </c>
      <c r="AY354" s="401">
        <v>0</v>
      </c>
      <c r="AZ354" s="119">
        <v>0</v>
      </c>
      <c r="BA354" s="119">
        <v>0</v>
      </c>
      <c r="BB354" s="300">
        <v>0</v>
      </c>
      <c r="BC354" s="119">
        <v>0</v>
      </c>
      <c r="BD354" s="401">
        <v>0</v>
      </c>
      <c r="BE354" s="300">
        <v>0</v>
      </c>
      <c r="BF354" s="119">
        <v>0</v>
      </c>
      <c r="BG354" s="300">
        <v>0</v>
      </c>
      <c r="BH354" s="119">
        <v>0</v>
      </c>
      <c r="BI354" s="402">
        <v>0</v>
      </c>
      <c r="BJ354" s="302">
        <v>0</v>
      </c>
      <c r="BK354" s="302">
        <v>0</v>
      </c>
      <c r="BL354" s="302">
        <v>0</v>
      </c>
      <c r="BM354" s="302">
        <v>0</v>
      </c>
      <c r="BN354" s="401">
        <v>0</v>
      </c>
      <c r="BO354" s="302">
        <v>0</v>
      </c>
      <c r="BP354" s="302">
        <v>0</v>
      </c>
      <c r="BQ354" s="302">
        <v>0</v>
      </c>
      <c r="BR354" s="302">
        <v>0</v>
      </c>
      <c r="BS354" s="401">
        <v>0</v>
      </c>
      <c r="BT354" s="403">
        <v>0</v>
      </c>
      <c r="BU354" s="403">
        <v>0</v>
      </c>
      <c r="BV354" s="403">
        <v>0</v>
      </c>
      <c r="BW354" s="404"/>
    </row>
    <row r="355" spans="1:75" s="123" customFormat="1" hidden="1" outlineLevel="2" x14ac:dyDescent="0.5">
      <c r="A355" s="354" t="s">
        <v>502</v>
      </c>
      <c r="B355" s="251"/>
      <c r="C355" s="299">
        <v>2.3039999999999998</v>
      </c>
      <c r="D355" s="299">
        <v>2.1150000000000002</v>
      </c>
      <c r="E355" s="299">
        <v>0</v>
      </c>
      <c r="F355" s="299">
        <v>0</v>
      </c>
      <c r="G355" s="300">
        <v>0</v>
      </c>
      <c r="H355" s="300">
        <v>0</v>
      </c>
      <c r="I355" s="300">
        <v>0</v>
      </c>
      <c r="J355" s="300">
        <v>0</v>
      </c>
      <c r="K355" s="299">
        <v>0</v>
      </c>
      <c r="L355" s="300">
        <v>0</v>
      </c>
      <c r="M355" s="300">
        <v>0</v>
      </c>
      <c r="N355" s="300">
        <v>0</v>
      </c>
      <c r="O355" s="300">
        <v>0</v>
      </c>
      <c r="P355" s="299">
        <v>0</v>
      </c>
      <c r="Q355" s="300">
        <v>0</v>
      </c>
      <c r="R355" s="300">
        <v>0</v>
      </c>
      <c r="S355" s="300">
        <v>0</v>
      </c>
      <c r="T355" s="300">
        <v>0</v>
      </c>
      <c r="U355" s="299">
        <v>0</v>
      </c>
      <c r="V355" s="300">
        <v>0</v>
      </c>
      <c r="W355" s="300">
        <v>0</v>
      </c>
      <c r="X355" s="300">
        <v>0</v>
      </c>
      <c r="Y355" s="119">
        <v>10.558</v>
      </c>
      <c r="Z355" s="401">
        <v>10.558</v>
      </c>
      <c r="AA355" s="119">
        <v>0</v>
      </c>
      <c r="AB355" s="119">
        <v>0</v>
      </c>
      <c r="AC355" s="300">
        <v>0</v>
      </c>
      <c r="AD355" s="119">
        <v>0</v>
      </c>
      <c r="AE355" s="401">
        <v>0</v>
      </c>
      <c r="AF355" s="119">
        <v>0</v>
      </c>
      <c r="AG355" s="119">
        <v>0</v>
      </c>
      <c r="AH355" s="300">
        <v>0</v>
      </c>
      <c r="AI355" s="119">
        <v>0</v>
      </c>
      <c r="AJ355" s="401">
        <v>0</v>
      </c>
      <c r="AK355" s="119">
        <v>0.48299999999999998</v>
      </c>
      <c r="AL355" s="119">
        <v>0.629</v>
      </c>
      <c r="AM355" s="300">
        <v>1.0309999999999999</v>
      </c>
      <c r="AN355" s="119">
        <v>14.847</v>
      </c>
      <c r="AO355" s="401">
        <v>16.989999999999998</v>
      </c>
      <c r="AP355" s="119">
        <v>4.5210000000000008</v>
      </c>
      <c r="AQ355" s="119">
        <v>1.339</v>
      </c>
      <c r="AR355" s="300">
        <v>2.0910000000000002</v>
      </c>
      <c r="AS355" s="119">
        <v>0.95</v>
      </c>
      <c r="AT355" s="401">
        <v>8.9009999999999998</v>
      </c>
      <c r="AU355" s="119">
        <v>0</v>
      </c>
      <c r="AV355" s="119">
        <v>7.3540000000000001</v>
      </c>
      <c r="AW355" s="300">
        <v>0</v>
      </c>
      <c r="AX355" s="119">
        <v>2.2759999999999998</v>
      </c>
      <c r="AY355" s="401">
        <v>9.6300000000000008</v>
      </c>
      <c r="AZ355" s="119">
        <v>5.923</v>
      </c>
      <c r="BA355" s="119">
        <v>2.0309999999999997</v>
      </c>
      <c r="BB355" s="300">
        <v>0</v>
      </c>
      <c r="BC355" s="119">
        <v>5.1059999999999999</v>
      </c>
      <c r="BD355" s="401">
        <v>13.06</v>
      </c>
      <c r="BE355" s="300">
        <v>0</v>
      </c>
      <c r="BF355" s="119">
        <v>0</v>
      </c>
      <c r="BG355" s="300">
        <v>3.5310000000000001</v>
      </c>
      <c r="BH355" s="119">
        <v>0</v>
      </c>
      <c r="BI355" s="402">
        <v>3.5310000000000001</v>
      </c>
      <c r="BJ355" s="302">
        <v>0</v>
      </c>
      <c r="BK355" s="302">
        <v>0</v>
      </c>
      <c r="BL355" s="302">
        <v>0</v>
      </c>
      <c r="BM355" s="302">
        <v>0</v>
      </c>
      <c r="BN355" s="401">
        <v>0</v>
      </c>
      <c r="BO355" s="302">
        <v>0</v>
      </c>
      <c r="BP355" s="302">
        <v>0</v>
      </c>
      <c r="BQ355" s="302">
        <v>0</v>
      </c>
      <c r="BR355" s="302">
        <v>0</v>
      </c>
      <c r="BS355" s="401">
        <v>0</v>
      </c>
      <c r="BT355" s="403">
        <v>0</v>
      </c>
      <c r="BU355" s="403">
        <v>0</v>
      </c>
      <c r="BV355" s="403">
        <v>0</v>
      </c>
      <c r="BW355" s="404"/>
    </row>
    <row r="356" spans="1:75" s="123" customFormat="1" hidden="1" outlineLevel="2" x14ac:dyDescent="0.5">
      <c r="A356" s="354" t="s">
        <v>503</v>
      </c>
      <c r="B356" s="251"/>
      <c r="C356" s="299">
        <v>0</v>
      </c>
      <c r="D356" s="299">
        <v>0</v>
      </c>
      <c r="E356" s="299">
        <v>0</v>
      </c>
      <c r="F356" s="299">
        <v>0</v>
      </c>
      <c r="G356" s="300">
        <v>0</v>
      </c>
      <c r="H356" s="300">
        <v>0</v>
      </c>
      <c r="I356" s="300">
        <v>0</v>
      </c>
      <c r="J356" s="300">
        <v>0</v>
      </c>
      <c r="K356" s="299">
        <v>0</v>
      </c>
      <c r="L356" s="300">
        <v>0</v>
      </c>
      <c r="M356" s="300">
        <v>0</v>
      </c>
      <c r="N356" s="300">
        <v>0</v>
      </c>
      <c r="O356" s="300">
        <v>0</v>
      </c>
      <c r="P356" s="299">
        <v>0</v>
      </c>
      <c r="Q356" s="300">
        <v>0</v>
      </c>
      <c r="R356" s="300">
        <v>0</v>
      </c>
      <c r="S356" s="300">
        <v>0</v>
      </c>
      <c r="T356" s="300">
        <v>0</v>
      </c>
      <c r="U356" s="299">
        <v>0</v>
      </c>
      <c r="V356" s="300">
        <v>0</v>
      </c>
      <c r="W356" s="300">
        <v>0</v>
      </c>
      <c r="X356" s="300">
        <v>0</v>
      </c>
      <c r="Y356" s="119">
        <v>4.7670000000000003</v>
      </c>
      <c r="Z356" s="401">
        <v>4.7670000000000003</v>
      </c>
      <c r="AA356" s="119">
        <v>0</v>
      </c>
      <c r="AB356" s="119">
        <v>0</v>
      </c>
      <c r="AC356" s="300">
        <v>0</v>
      </c>
      <c r="AD356" s="119">
        <v>0</v>
      </c>
      <c r="AE356" s="401">
        <v>0</v>
      </c>
      <c r="AF356" s="119">
        <v>0</v>
      </c>
      <c r="AG356" s="119">
        <v>0</v>
      </c>
      <c r="AH356" s="300">
        <v>0</v>
      </c>
      <c r="AI356" s="119">
        <v>0</v>
      </c>
      <c r="AJ356" s="401">
        <v>0</v>
      </c>
      <c r="AK356" s="119">
        <v>0</v>
      </c>
      <c r="AL356" s="119">
        <v>0</v>
      </c>
      <c r="AM356" s="300">
        <v>0</v>
      </c>
      <c r="AN356" s="119">
        <v>0</v>
      </c>
      <c r="AO356" s="401">
        <v>0</v>
      </c>
      <c r="AP356" s="119">
        <v>0</v>
      </c>
      <c r="AQ356" s="119">
        <v>0</v>
      </c>
      <c r="AR356" s="300">
        <v>0</v>
      </c>
      <c r="AS356" s="119">
        <v>0</v>
      </c>
      <c r="AT356" s="401">
        <v>0</v>
      </c>
      <c r="AU356" s="119">
        <v>0</v>
      </c>
      <c r="AV356" s="119">
        <v>0</v>
      </c>
      <c r="AW356" s="300">
        <v>0</v>
      </c>
      <c r="AX356" s="119">
        <v>0</v>
      </c>
      <c r="AY356" s="401">
        <v>0</v>
      </c>
      <c r="AZ356" s="119">
        <v>0</v>
      </c>
      <c r="BA356" s="119">
        <v>0</v>
      </c>
      <c r="BB356" s="300">
        <v>0</v>
      </c>
      <c r="BC356" s="119">
        <v>0</v>
      </c>
      <c r="BD356" s="401">
        <v>0</v>
      </c>
      <c r="BE356" s="300">
        <v>0</v>
      </c>
      <c r="BF356" s="119">
        <v>0</v>
      </c>
      <c r="BG356" s="300">
        <v>0</v>
      </c>
      <c r="BH356" s="119">
        <v>0</v>
      </c>
      <c r="BI356" s="402">
        <v>0</v>
      </c>
      <c r="BJ356" s="302">
        <v>0</v>
      </c>
      <c r="BK356" s="302">
        <v>0</v>
      </c>
      <c r="BL356" s="302">
        <v>0</v>
      </c>
      <c r="BM356" s="302">
        <v>0</v>
      </c>
      <c r="BN356" s="401">
        <v>0</v>
      </c>
      <c r="BO356" s="302">
        <v>0</v>
      </c>
      <c r="BP356" s="302">
        <v>0</v>
      </c>
      <c r="BQ356" s="302">
        <v>0</v>
      </c>
      <c r="BR356" s="302">
        <v>0</v>
      </c>
      <c r="BS356" s="401">
        <v>0</v>
      </c>
      <c r="BT356" s="403">
        <v>0</v>
      </c>
      <c r="BU356" s="403">
        <v>0</v>
      </c>
      <c r="BV356" s="403">
        <v>0</v>
      </c>
      <c r="BW356" s="404"/>
    </row>
    <row r="357" spans="1:75" s="123" customFormat="1" hidden="1" outlineLevel="2" x14ac:dyDescent="0.5">
      <c r="A357" s="354" t="s">
        <v>504</v>
      </c>
      <c r="B357" s="251"/>
      <c r="C357" s="299">
        <v>0</v>
      </c>
      <c r="D357" s="299">
        <v>0</v>
      </c>
      <c r="E357" s="299">
        <v>0</v>
      </c>
      <c r="F357" s="299">
        <v>0</v>
      </c>
      <c r="G357" s="300">
        <v>0</v>
      </c>
      <c r="H357" s="300">
        <v>0</v>
      </c>
      <c r="I357" s="300">
        <v>0</v>
      </c>
      <c r="J357" s="300">
        <v>0</v>
      </c>
      <c r="K357" s="299">
        <v>0</v>
      </c>
      <c r="L357" s="300">
        <v>0</v>
      </c>
      <c r="M357" s="300">
        <v>0</v>
      </c>
      <c r="N357" s="300">
        <v>0</v>
      </c>
      <c r="O357" s="300">
        <v>0</v>
      </c>
      <c r="P357" s="299">
        <v>0</v>
      </c>
      <c r="Q357" s="300">
        <v>0</v>
      </c>
      <c r="R357" s="300">
        <v>0</v>
      </c>
      <c r="S357" s="300">
        <v>0</v>
      </c>
      <c r="T357" s="300">
        <v>0</v>
      </c>
      <c r="U357" s="299">
        <v>0</v>
      </c>
      <c r="V357" s="300">
        <v>2.069</v>
      </c>
      <c r="W357" s="300">
        <v>0.77800000000000002</v>
      </c>
      <c r="X357" s="300">
        <v>0</v>
      </c>
      <c r="Y357" s="119">
        <v>0</v>
      </c>
      <c r="Z357" s="401">
        <v>2.847</v>
      </c>
      <c r="AA357" s="119">
        <v>0</v>
      </c>
      <c r="AB357" s="119">
        <v>0</v>
      </c>
      <c r="AC357" s="300">
        <v>0</v>
      </c>
      <c r="AD357" s="119">
        <v>0</v>
      </c>
      <c r="AE357" s="401">
        <v>0</v>
      </c>
      <c r="AF357" s="119">
        <v>0</v>
      </c>
      <c r="AG357" s="119">
        <v>0</v>
      </c>
      <c r="AH357" s="300">
        <v>0</v>
      </c>
      <c r="AI357" s="119">
        <v>0</v>
      </c>
      <c r="AJ357" s="401">
        <v>0</v>
      </c>
      <c r="AK357" s="119">
        <v>0</v>
      </c>
      <c r="AL357" s="119">
        <v>0</v>
      </c>
      <c r="AM357" s="300">
        <v>0</v>
      </c>
      <c r="AN357" s="119">
        <v>0</v>
      </c>
      <c r="AO357" s="401">
        <v>0</v>
      </c>
      <c r="AP357" s="119">
        <v>0</v>
      </c>
      <c r="AQ357" s="119">
        <v>0</v>
      </c>
      <c r="AR357" s="300">
        <v>0</v>
      </c>
      <c r="AS357" s="119">
        <v>0</v>
      </c>
      <c r="AT357" s="401">
        <v>0</v>
      </c>
      <c r="AU357" s="119">
        <v>0</v>
      </c>
      <c r="AV357" s="119">
        <v>0</v>
      </c>
      <c r="AW357" s="300">
        <v>0</v>
      </c>
      <c r="AX357" s="119">
        <v>0</v>
      </c>
      <c r="AY357" s="401">
        <v>0</v>
      </c>
      <c r="AZ357" s="119">
        <v>0</v>
      </c>
      <c r="BA357" s="119">
        <v>0</v>
      </c>
      <c r="BB357" s="300">
        <v>0</v>
      </c>
      <c r="BC357" s="119">
        <v>0</v>
      </c>
      <c r="BD357" s="401">
        <v>0</v>
      </c>
      <c r="BE357" s="300">
        <v>0</v>
      </c>
      <c r="BF357" s="119">
        <v>0</v>
      </c>
      <c r="BG357" s="300">
        <v>0</v>
      </c>
      <c r="BH357" s="119">
        <v>0</v>
      </c>
      <c r="BI357" s="402">
        <v>0</v>
      </c>
      <c r="BJ357" s="302">
        <v>0</v>
      </c>
      <c r="BK357" s="302">
        <v>0</v>
      </c>
      <c r="BL357" s="302">
        <v>0</v>
      </c>
      <c r="BM357" s="302">
        <v>0</v>
      </c>
      <c r="BN357" s="401">
        <v>0</v>
      </c>
      <c r="BO357" s="302">
        <v>0</v>
      </c>
      <c r="BP357" s="302">
        <v>0</v>
      </c>
      <c r="BQ357" s="302">
        <v>0</v>
      </c>
      <c r="BR357" s="302">
        <v>0</v>
      </c>
      <c r="BS357" s="401">
        <v>0</v>
      </c>
      <c r="BT357" s="403">
        <v>0</v>
      </c>
      <c r="BU357" s="403">
        <v>0</v>
      </c>
      <c r="BV357" s="403">
        <v>0</v>
      </c>
      <c r="BW357" s="404"/>
    </row>
    <row r="358" spans="1:75" s="123" customFormat="1" hidden="1" outlineLevel="2" x14ac:dyDescent="0.5">
      <c r="A358" s="354" t="s">
        <v>505</v>
      </c>
      <c r="B358" s="251"/>
      <c r="C358" s="299">
        <v>0</v>
      </c>
      <c r="D358" s="299">
        <v>0</v>
      </c>
      <c r="E358" s="299">
        <v>0</v>
      </c>
      <c r="F358" s="299">
        <v>0</v>
      </c>
      <c r="G358" s="300">
        <v>0</v>
      </c>
      <c r="H358" s="300">
        <v>0</v>
      </c>
      <c r="I358" s="300">
        <v>0</v>
      </c>
      <c r="J358" s="300">
        <v>0</v>
      </c>
      <c r="K358" s="299">
        <v>0</v>
      </c>
      <c r="L358" s="300">
        <v>0</v>
      </c>
      <c r="M358" s="300">
        <v>0</v>
      </c>
      <c r="N358" s="300">
        <v>0</v>
      </c>
      <c r="O358" s="300">
        <v>0</v>
      </c>
      <c r="P358" s="299">
        <v>0</v>
      </c>
      <c r="Q358" s="300">
        <v>0</v>
      </c>
      <c r="R358" s="300">
        <v>0</v>
      </c>
      <c r="S358" s="300">
        <v>0</v>
      </c>
      <c r="T358" s="300">
        <v>0</v>
      </c>
      <c r="U358" s="299">
        <v>0</v>
      </c>
      <c r="V358" s="300">
        <v>0</v>
      </c>
      <c r="W358" s="300">
        <v>0</v>
      </c>
      <c r="X358" s="300">
        <v>0</v>
      </c>
      <c r="Y358" s="119">
        <v>0</v>
      </c>
      <c r="Z358" s="401">
        <v>0</v>
      </c>
      <c r="AA358" s="119">
        <v>0</v>
      </c>
      <c r="AB358" s="119">
        <v>0</v>
      </c>
      <c r="AC358" s="300">
        <v>0</v>
      </c>
      <c r="AD358" s="119">
        <v>0</v>
      </c>
      <c r="AE358" s="401">
        <v>0</v>
      </c>
      <c r="AF358" s="119">
        <v>0</v>
      </c>
      <c r="AG358" s="119">
        <v>0</v>
      </c>
      <c r="AH358" s="300">
        <v>0</v>
      </c>
      <c r="AI358" s="119">
        <v>0</v>
      </c>
      <c r="AJ358" s="401">
        <v>0</v>
      </c>
      <c r="AK358" s="119">
        <v>0</v>
      </c>
      <c r="AL358" s="119">
        <v>0</v>
      </c>
      <c r="AM358" s="300">
        <v>-1.196</v>
      </c>
      <c r="AN358" s="119">
        <v>0</v>
      </c>
      <c r="AO358" s="401">
        <v>-1.196</v>
      </c>
      <c r="AP358" s="119">
        <v>0</v>
      </c>
      <c r="AQ358" s="119">
        <v>9.3520000000000003</v>
      </c>
      <c r="AR358" s="300">
        <v>0</v>
      </c>
      <c r="AS358" s="119">
        <v>0</v>
      </c>
      <c r="AT358" s="401">
        <v>9.3520000000000003</v>
      </c>
      <c r="AU358" s="119">
        <v>0</v>
      </c>
      <c r="AV358" s="119">
        <v>0</v>
      </c>
      <c r="AW358" s="300">
        <v>0</v>
      </c>
      <c r="AX358" s="119">
        <v>0</v>
      </c>
      <c r="AY358" s="401">
        <v>0</v>
      </c>
      <c r="AZ358" s="119">
        <v>0</v>
      </c>
      <c r="BA358" s="119">
        <v>0</v>
      </c>
      <c r="BB358" s="300">
        <v>0</v>
      </c>
      <c r="BC358" s="119">
        <v>0</v>
      </c>
      <c r="BD358" s="401">
        <v>0</v>
      </c>
      <c r="BE358" s="300">
        <v>0</v>
      </c>
      <c r="BF358" s="119">
        <v>0</v>
      </c>
      <c r="BG358" s="300">
        <v>0</v>
      </c>
      <c r="BH358" s="119">
        <v>0</v>
      </c>
      <c r="BI358" s="402">
        <v>0</v>
      </c>
      <c r="BJ358" s="302">
        <v>0</v>
      </c>
      <c r="BK358" s="302">
        <v>0</v>
      </c>
      <c r="BL358" s="302">
        <v>0</v>
      </c>
      <c r="BM358" s="302">
        <v>0</v>
      </c>
      <c r="BN358" s="401">
        <v>0</v>
      </c>
      <c r="BO358" s="302">
        <v>0</v>
      </c>
      <c r="BP358" s="302">
        <v>0</v>
      </c>
      <c r="BQ358" s="302">
        <v>0</v>
      </c>
      <c r="BR358" s="302">
        <v>0</v>
      </c>
      <c r="BS358" s="401">
        <v>0</v>
      </c>
      <c r="BT358" s="403">
        <v>0</v>
      </c>
      <c r="BU358" s="403">
        <v>0</v>
      </c>
      <c r="BV358" s="403">
        <v>0</v>
      </c>
      <c r="BW358" s="404"/>
    </row>
    <row r="359" spans="1:75" s="123" customFormat="1" hidden="1" outlineLevel="2" x14ac:dyDescent="0.5">
      <c r="A359" s="354" t="s">
        <v>506</v>
      </c>
      <c r="B359" s="251"/>
      <c r="C359" s="299">
        <v>0</v>
      </c>
      <c r="D359" s="299">
        <v>0</v>
      </c>
      <c r="E359" s="299">
        <v>3.11</v>
      </c>
      <c r="F359" s="299">
        <v>-0.38600000000000001</v>
      </c>
      <c r="G359" s="300">
        <v>0</v>
      </c>
      <c r="H359" s="300">
        <v>0</v>
      </c>
      <c r="I359" s="300">
        <v>0</v>
      </c>
      <c r="J359" s="300">
        <v>0</v>
      </c>
      <c r="K359" s="299">
        <v>0</v>
      </c>
      <c r="L359" s="300">
        <v>0</v>
      </c>
      <c r="M359" s="300">
        <v>0</v>
      </c>
      <c r="N359" s="300">
        <v>0</v>
      </c>
      <c r="O359" s="300">
        <v>0</v>
      </c>
      <c r="P359" s="299">
        <v>0</v>
      </c>
      <c r="Q359" s="300">
        <v>0</v>
      </c>
      <c r="R359" s="300">
        <v>0</v>
      </c>
      <c r="S359" s="300">
        <v>0</v>
      </c>
      <c r="T359" s="300">
        <v>0</v>
      </c>
      <c r="U359" s="299">
        <v>0</v>
      </c>
      <c r="V359" s="300">
        <v>0</v>
      </c>
      <c r="W359" s="300">
        <v>0</v>
      </c>
      <c r="X359" s="300">
        <v>0</v>
      </c>
      <c r="Y359" s="119">
        <v>0</v>
      </c>
      <c r="Z359" s="401">
        <v>0</v>
      </c>
      <c r="AA359" s="119">
        <v>0</v>
      </c>
      <c r="AB359" s="119">
        <v>0</v>
      </c>
      <c r="AC359" s="300">
        <v>0</v>
      </c>
      <c r="AD359" s="119">
        <v>4.4169999999999998</v>
      </c>
      <c r="AE359" s="401">
        <v>4.4169999999999998</v>
      </c>
      <c r="AF359" s="119">
        <v>0</v>
      </c>
      <c r="AG359" s="119">
        <v>0</v>
      </c>
      <c r="AH359" s="300">
        <v>3.411</v>
      </c>
      <c r="AI359" s="119">
        <v>0</v>
      </c>
      <c r="AJ359" s="401">
        <v>3.411</v>
      </c>
      <c r="AK359" s="119">
        <v>0</v>
      </c>
      <c r="AL359" s="119">
        <v>0</v>
      </c>
      <c r="AM359" s="300">
        <v>0</v>
      </c>
      <c r="AN359" s="119">
        <v>0</v>
      </c>
      <c r="AO359" s="401">
        <v>0</v>
      </c>
      <c r="AP359" s="119">
        <v>0</v>
      </c>
      <c r="AQ359" s="119">
        <v>0</v>
      </c>
      <c r="AR359" s="300">
        <v>0</v>
      </c>
      <c r="AS359" s="119">
        <v>0</v>
      </c>
      <c r="AT359" s="401">
        <v>0</v>
      </c>
      <c r="AU359" s="119">
        <v>0</v>
      </c>
      <c r="AV359" s="119">
        <v>0</v>
      </c>
      <c r="AW359" s="300">
        <v>0</v>
      </c>
      <c r="AX359" s="119">
        <v>0</v>
      </c>
      <c r="AY359" s="401">
        <v>0</v>
      </c>
      <c r="AZ359" s="119">
        <v>0</v>
      </c>
      <c r="BA359" s="119">
        <v>0</v>
      </c>
      <c r="BB359" s="300">
        <v>0</v>
      </c>
      <c r="BC359" s="119">
        <v>0</v>
      </c>
      <c r="BD359" s="401">
        <v>0</v>
      </c>
      <c r="BE359" s="300">
        <v>0</v>
      </c>
      <c r="BF359" s="119">
        <v>0</v>
      </c>
      <c r="BG359" s="300">
        <v>0</v>
      </c>
      <c r="BH359" s="119">
        <v>0</v>
      </c>
      <c r="BI359" s="402">
        <v>0</v>
      </c>
      <c r="BJ359" s="302">
        <v>0</v>
      </c>
      <c r="BK359" s="302">
        <v>0</v>
      </c>
      <c r="BL359" s="302">
        <v>0</v>
      </c>
      <c r="BM359" s="302">
        <v>0</v>
      </c>
      <c r="BN359" s="401">
        <v>0</v>
      </c>
      <c r="BO359" s="302">
        <v>0</v>
      </c>
      <c r="BP359" s="302">
        <v>0</v>
      </c>
      <c r="BQ359" s="302">
        <v>0</v>
      </c>
      <c r="BR359" s="302">
        <v>0</v>
      </c>
      <c r="BS359" s="401">
        <v>0</v>
      </c>
      <c r="BT359" s="403">
        <v>0</v>
      </c>
      <c r="BU359" s="403">
        <v>0</v>
      </c>
      <c r="BV359" s="403">
        <v>0</v>
      </c>
      <c r="BW359" s="404"/>
    </row>
    <row r="360" spans="1:75" s="123" customFormat="1" hidden="1" outlineLevel="2" x14ac:dyDescent="0.5">
      <c r="A360" s="354" t="s">
        <v>507</v>
      </c>
      <c r="B360" s="251"/>
      <c r="C360" s="299">
        <v>0</v>
      </c>
      <c r="D360" s="299">
        <v>0</v>
      </c>
      <c r="E360" s="299">
        <v>0</v>
      </c>
      <c r="F360" s="299">
        <v>0</v>
      </c>
      <c r="G360" s="300">
        <v>0</v>
      </c>
      <c r="H360" s="300">
        <v>0</v>
      </c>
      <c r="I360" s="300">
        <v>0</v>
      </c>
      <c r="J360" s="300">
        <v>0</v>
      </c>
      <c r="K360" s="299">
        <v>0</v>
      </c>
      <c r="L360" s="300">
        <v>0</v>
      </c>
      <c r="M360" s="300">
        <v>0</v>
      </c>
      <c r="N360" s="300">
        <v>0</v>
      </c>
      <c r="O360" s="300">
        <v>0</v>
      </c>
      <c r="P360" s="299">
        <v>0</v>
      </c>
      <c r="Q360" s="300">
        <v>0</v>
      </c>
      <c r="R360" s="300">
        <v>0</v>
      </c>
      <c r="S360" s="300">
        <v>0</v>
      </c>
      <c r="T360" s="300">
        <v>0</v>
      </c>
      <c r="U360" s="299">
        <v>0</v>
      </c>
      <c r="V360" s="300">
        <v>0</v>
      </c>
      <c r="W360" s="300">
        <v>0</v>
      </c>
      <c r="X360" s="300">
        <v>0</v>
      </c>
      <c r="Y360" s="119">
        <v>0</v>
      </c>
      <c r="Z360" s="401">
        <v>0</v>
      </c>
      <c r="AA360" s="119">
        <v>0</v>
      </c>
      <c r="AB360" s="119">
        <v>0</v>
      </c>
      <c r="AC360" s="300">
        <v>0.33600000000000002</v>
      </c>
      <c r="AD360" s="119">
        <v>2.7730000000000001</v>
      </c>
      <c r="AE360" s="401">
        <v>3.109</v>
      </c>
      <c r="AF360" s="119">
        <v>-0.84</v>
      </c>
      <c r="AG360" s="119">
        <v>0</v>
      </c>
      <c r="AH360" s="300">
        <v>2.4079999999999999</v>
      </c>
      <c r="AI360" s="119">
        <v>0</v>
      </c>
      <c r="AJ360" s="401">
        <v>1.5680000000000001</v>
      </c>
      <c r="AK360" s="119">
        <v>0</v>
      </c>
      <c r="AL360" s="119">
        <v>0</v>
      </c>
      <c r="AM360" s="300">
        <v>0</v>
      </c>
      <c r="AN360" s="119">
        <v>0</v>
      </c>
      <c r="AO360" s="401">
        <v>0</v>
      </c>
      <c r="AP360" s="119">
        <v>0</v>
      </c>
      <c r="AQ360" s="119">
        <v>0</v>
      </c>
      <c r="AR360" s="300">
        <v>0</v>
      </c>
      <c r="AS360" s="119">
        <v>0</v>
      </c>
      <c r="AT360" s="401">
        <v>0</v>
      </c>
      <c r="AU360" s="119">
        <v>0</v>
      </c>
      <c r="AV360" s="119">
        <v>0</v>
      </c>
      <c r="AW360" s="300">
        <v>0</v>
      </c>
      <c r="AX360" s="119">
        <v>0</v>
      </c>
      <c r="AY360" s="401">
        <v>0</v>
      </c>
      <c r="AZ360" s="119">
        <v>0</v>
      </c>
      <c r="BA360" s="119">
        <v>0</v>
      </c>
      <c r="BB360" s="300">
        <v>0</v>
      </c>
      <c r="BC360" s="119">
        <v>0</v>
      </c>
      <c r="BD360" s="401">
        <v>0</v>
      </c>
      <c r="BE360" s="300">
        <v>0</v>
      </c>
      <c r="BF360" s="119">
        <v>0</v>
      </c>
      <c r="BG360" s="300">
        <v>0</v>
      </c>
      <c r="BH360" s="119">
        <v>0</v>
      </c>
      <c r="BI360" s="402">
        <v>0</v>
      </c>
      <c r="BJ360" s="302">
        <v>0</v>
      </c>
      <c r="BK360" s="302">
        <v>0</v>
      </c>
      <c r="BL360" s="302">
        <v>0</v>
      </c>
      <c r="BM360" s="302">
        <v>0</v>
      </c>
      <c r="BN360" s="401">
        <v>0</v>
      </c>
      <c r="BO360" s="302">
        <v>0</v>
      </c>
      <c r="BP360" s="302">
        <v>0</v>
      </c>
      <c r="BQ360" s="302">
        <v>0</v>
      </c>
      <c r="BR360" s="302">
        <v>0</v>
      </c>
      <c r="BS360" s="401">
        <v>0</v>
      </c>
      <c r="BT360" s="403">
        <v>0</v>
      </c>
      <c r="BU360" s="403">
        <v>0</v>
      </c>
      <c r="BV360" s="403">
        <v>0</v>
      </c>
      <c r="BW360" s="404"/>
    </row>
    <row r="361" spans="1:75" s="123" customFormat="1" hidden="1" outlineLevel="2" x14ac:dyDescent="0.5">
      <c r="A361" s="354" t="s">
        <v>508</v>
      </c>
      <c r="B361" s="251"/>
      <c r="C361" s="299">
        <v>0</v>
      </c>
      <c r="D361" s="299">
        <v>0</v>
      </c>
      <c r="E361" s="299">
        <v>0</v>
      </c>
      <c r="F361" s="299">
        <v>0</v>
      </c>
      <c r="G361" s="300">
        <v>0</v>
      </c>
      <c r="H361" s="300">
        <v>0</v>
      </c>
      <c r="I361" s="300">
        <v>0</v>
      </c>
      <c r="J361" s="300">
        <v>0</v>
      </c>
      <c r="K361" s="299">
        <v>0</v>
      </c>
      <c r="L361" s="300">
        <v>0</v>
      </c>
      <c r="M361" s="300">
        <v>0</v>
      </c>
      <c r="N361" s="300">
        <v>0</v>
      </c>
      <c r="O361" s="300">
        <v>0</v>
      </c>
      <c r="P361" s="299">
        <v>0</v>
      </c>
      <c r="Q361" s="300">
        <v>0</v>
      </c>
      <c r="R361" s="300">
        <v>0</v>
      </c>
      <c r="S361" s="300">
        <v>0</v>
      </c>
      <c r="T361" s="300">
        <v>0</v>
      </c>
      <c r="U361" s="299">
        <v>0</v>
      </c>
      <c r="V361" s="300">
        <v>0</v>
      </c>
      <c r="W361" s="300">
        <v>0</v>
      </c>
      <c r="X361" s="300">
        <v>0</v>
      </c>
      <c r="Y361" s="119">
        <v>0.63900000000000001</v>
      </c>
      <c r="Z361" s="401">
        <v>0.63900000000000001</v>
      </c>
      <c r="AA361" s="119">
        <v>0</v>
      </c>
      <c r="AB361" s="119">
        <v>0.157</v>
      </c>
      <c r="AC361" s="300">
        <v>0</v>
      </c>
      <c r="AD361" s="119">
        <v>2.8000000000000001E-2</v>
      </c>
      <c r="AE361" s="401">
        <v>0.185</v>
      </c>
      <c r="AF361" s="119">
        <v>0</v>
      </c>
      <c r="AG361" s="119">
        <v>0.34499999999999997</v>
      </c>
      <c r="AH361" s="300">
        <v>0.3</v>
      </c>
      <c r="AI361" s="119">
        <v>0.38</v>
      </c>
      <c r="AJ361" s="401">
        <v>1.0249999999999999</v>
      </c>
      <c r="AK361" s="119">
        <v>3.3000000000000002E-2</v>
      </c>
      <c r="AL361" s="119">
        <v>0</v>
      </c>
      <c r="AM361" s="300">
        <v>-0.25800000000000001</v>
      </c>
      <c r="AN361" s="119">
        <v>0</v>
      </c>
      <c r="AO361" s="401">
        <v>-0.22500000000000001</v>
      </c>
      <c r="AP361" s="119">
        <v>0</v>
      </c>
      <c r="AQ361" s="119">
        <v>0</v>
      </c>
      <c r="AR361" s="300">
        <v>0</v>
      </c>
      <c r="AS361" s="119">
        <v>0.14300000000000002</v>
      </c>
      <c r="AT361" s="401">
        <v>0.14300000000000002</v>
      </c>
      <c r="AU361" s="119">
        <v>0</v>
      </c>
      <c r="AV361" s="119">
        <v>0</v>
      </c>
      <c r="AW361" s="300">
        <v>3.999999999999998E-2</v>
      </c>
      <c r="AX361" s="119">
        <v>1.7</v>
      </c>
      <c r="AY361" s="401">
        <v>1.7400000000000002</v>
      </c>
      <c r="AZ361" s="119">
        <v>0.56000000000000005</v>
      </c>
      <c r="BA361" s="119">
        <v>0</v>
      </c>
      <c r="BB361" s="300">
        <v>0</v>
      </c>
      <c r="BC361" s="119">
        <v>0</v>
      </c>
      <c r="BD361" s="401">
        <v>0.56000000000000005</v>
      </c>
      <c r="BE361" s="300">
        <v>0</v>
      </c>
      <c r="BF361" s="119">
        <v>0</v>
      </c>
      <c r="BG361" s="300">
        <v>-1.5760000000000001</v>
      </c>
      <c r="BH361" s="119">
        <v>0</v>
      </c>
      <c r="BI361" s="402">
        <v>-1.5760000000000001</v>
      </c>
      <c r="BJ361" s="302">
        <v>0</v>
      </c>
      <c r="BK361" s="302">
        <v>0</v>
      </c>
      <c r="BL361" s="302">
        <v>0</v>
      </c>
      <c r="BM361" s="302">
        <v>0</v>
      </c>
      <c r="BN361" s="401">
        <v>0</v>
      </c>
      <c r="BO361" s="302">
        <v>0</v>
      </c>
      <c r="BP361" s="302">
        <v>0</v>
      </c>
      <c r="BQ361" s="302">
        <v>0</v>
      </c>
      <c r="BR361" s="302">
        <v>0</v>
      </c>
      <c r="BS361" s="401">
        <v>0</v>
      </c>
      <c r="BT361" s="403">
        <v>0</v>
      </c>
      <c r="BU361" s="403">
        <v>0</v>
      </c>
      <c r="BV361" s="403">
        <v>0</v>
      </c>
      <c r="BW361" s="404"/>
    </row>
    <row r="362" spans="1:75" s="123" customFormat="1" hidden="1" outlineLevel="2" x14ac:dyDescent="0.5">
      <c r="A362" s="354" t="s">
        <v>509</v>
      </c>
      <c r="B362" s="251"/>
      <c r="C362" s="299">
        <v>0</v>
      </c>
      <c r="D362" s="299">
        <v>0</v>
      </c>
      <c r="E362" s="299">
        <v>0</v>
      </c>
      <c r="F362" s="299">
        <v>0</v>
      </c>
      <c r="G362" s="300">
        <v>0</v>
      </c>
      <c r="H362" s="300">
        <v>0</v>
      </c>
      <c r="I362" s="300">
        <v>0</v>
      </c>
      <c r="J362" s="300">
        <v>0</v>
      </c>
      <c r="K362" s="299">
        <v>0</v>
      </c>
      <c r="L362" s="300">
        <v>0</v>
      </c>
      <c r="M362" s="300">
        <v>0</v>
      </c>
      <c r="N362" s="300">
        <v>0</v>
      </c>
      <c r="O362" s="300">
        <v>0</v>
      </c>
      <c r="P362" s="299">
        <v>0</v>
      </c>
      <c r="Q362" s="300">
        <v>0</v>
      </c>
      <c r="R362" s="300">
        <v>0</v>
      </c>
      <c r="S362" s="300">
        <v>0</v>
      </c>
      <c r="T362" s="300">
        <v>0</v>
      </c>
      <c r="U362" s="299">
        <v>0</v>
      </c>
      <c r="V362" s="300">
        <v>0</v>
      </c>
      <c r="W362" s="300">
        <v>0</v>
      </c>
      <c r="X362" s="300">
        <v>0</v>
      </c>
      <c r="Y362" s="119">
        <v>0</v>
      </c>
      <c r="Z362" s="401">
        <v>0</v>
      </c>
      <c r="AA362" s="119">
        <v>0</v>
      </c>
      <c r="AB362" s="119">
        <v>-1.3</v>
      </c>
      <c r="AC362" s="300">
        <v>-0.81899999999999995</v>
      </c>
      <c r="AD362" s="119">
        <v>0</v>
      </c>
      <c r="AE362" s="401">
        <v>-2.1190000000000002</v>
      </c>
      <c r="AF362" s="119">
        <v>0</v>
      </c>
      <c r="AG362" s="119">
        <v>0</v>
      </c>
      <c r="AH362" s="300">
        <v>0</v>
      </c>
      <c r="AI362" s="119">
        <v>0</v>
      </c>
      <c r="AJ362" s="401">
        <v>0</v>
      </c>
      <c r="AK362" s="119">
        <v>0</v>
      </c>
      <c r="AL362" s="119">
        <v>0</v>
      </c>
      <c r="AM362" s="300">
        <v>0</v>
      </c>
      <c r="AN362" s="119">
        <v>0</v>
      </c>
      <c r="AO362" s="401">
        <v>0</v>
      </c>
      <c r="AP362" s="119">
        <v>0</v>
      </c>
      <c r="AQ362" s="119">
        <v>0</v>
      </c>
      <c r="AR362" s="300">
        <v>0</v>
      </c>
      <c r="AS362" s="119">
        <v>0</v>
      </c>
      <c r="AT362" s="401">
        <v>0</v>
      </c>
      <c r="AU362" s="119">
        <v>0</v>
      </c>
      <c r="AV362" s="119">
        <v>0</v>
      </c>
      <c r="AW362" s="300">
        <v>0</v>
      </c>
      <c r="AX362" s="119">
        <v>0</v>
      </c>
      <c r="AY362" s="401">
        <v>0</v>
      </c>
      <c r="AZ362" s="119">
        <v>0</v>
      </c>
      <c r="BA362" s="119">
        <v>0</v>
      </c>
      <c r="BB362" s="300">
        <v>-0.77500000000000002</v>
      </c>
      <c r="BC362" s="119">
        <v>0</v>
      </c>
      <c r="BD362" s="401">
        <v>-0.77500000000000002</v>
      </c>
      <c r="BE362" s="300">
        <v>0</v>
      </c>
      <c r="BF362" s="119">
        <v>0</v>
      </c>
      <c r="BG362" s="300">
        <v>0</v>
      </c>
      <c r="BH362" s="119">
        <v>0</v>
      </c>
      <c r="BI362" s="402">
        <v>0</v>
      </c>
      <c r="BJ362" s="302">
        <v>0</v>
      </c>
      <c r="BK362" s="302">
        <v>0</v>
      </c>
      <c r="BL362" s="302">
        <v>0</v>
      </c>
      <c r="BM362" s="302">
        <v>0</v>
      </c>
      <c r="BN362" s="401">
        <v>0</v>
      </c>
      <c r="BO362" s="302">
        <v>0</v>
      </c>
      <c r="BP362" s="302">
        <v>0</v>
      </c>
      <c r="BQ362" s="302">
        <v>0</v>
      </c>
      <c r="BR362" s="302">
        <v>0</v>
      </c>
      <c r="BS362" s="401">
        <v>0</v>
      </c>
      <c r="BT362" s="403">
        <v>0</v>
      </c>
      <c r="BU362" s="403">
        <v>0</v>
      </c>
      <c r="BV362" s="403">
        <v>0</v>
      </c>
      <c r="BW362" s="404"/>
    </row>
    <row r="363" spans="1:75" s="123" customFormat="1" hidden="1" outlineLevel="2" x14ac:dyDescent="0.5">
      <c r="A363" s="405" t="s">
        <v>510</v>
      </c>
      <c r="B363" s="274"/>
      <c r="C363" s="309">
        <v>0</v>
      </c>
      <c r="D363" s="309">
        <v>0</v>
      </c>
      <c r="E363" s="309">
        <v>0</v>
      </c>
      <c r="F363" s="309">
        <v>0</v>
      </c>
      <c r="G363" s="310">
        <v>0</v>
      </c>
      <c r="H363" s="310">
        <v>0</v>
      </c>
      <c r="I363" s="310">
        <v>0</v>
      </c>
      <c r="J363" s="310">
        <v>0</v>
      </c>
      <c r="K363" s="309">
        <v>0</v>
      </c>
      <c r="L363" s="310">
        <v>9.1999999999999993</v>
      </c>
      <c r="M363" s="310">
        <v>0</v>
      </c>
      <c r="N363" s="310">
        <v>0</v>
      </c>
      <c r="O363" s="310">
        <v>-1.5</v>
      </c>
      <c r="P363" s="309">
        <v>7.7</v>
      </c>
      <c r="Q363" s="310">
        <v>0.189</v>
      </c>
      <c r="R363" s="310">
        <v>0.63</v>
      </c>
      <c r="S363" s="310">
        <v>0.27500000000000002</v>
      </c>
      <c r="T363" s="310">
        <v>0.73799999999999999</v>
      </c>
      <c r="U363" s="309">
        <v>1.8320000000000001</v>
      </c>
      <c r="V363" s="310">
        <v>0.97199999999999998</v>
      </c>
      <c r="W363" s="310">
        <v>0</v>
      </c>
      <c r="X363" s="310">
        <v>0</v>
      </c>
      <c r="Y363" s="312">
        <v>0</v>
      </c>
      <c r="Z363" s="406">
        <v>0.97199999999999998</v>
      </c>
      <c r="AA363" s="312">
        <v>0</v>
      </c>
      <c r="AB363" s="312">
        <v>0</v>
      </c>
      <c r="AC363" s="310">
        <v>0</v>
      </c>
      <c r="AD363" s="312">
        <v>0</v>
      </c>
      <c r="AE363" s="406">
        <v>0</v>
      </c>
      <c r="AF363" s="312">
        <v>1.915</v>
      </c>
      <c r="AG363" s="312">
        <v>-7.2039999999999997</v>
      </c>
      <c r="AH363" s="310">
        <v>0</v>
      </c>
      <c r="AI363" s="312">
        <v>0</v>
      </c>
      <c r="AJ363" s="406">
        <v>-5.2889999999999997</v>
      </c>
      <c r="AK363" s="312">
        <v>0</v>
      </c>
      <c r="AL363" s="312">
        <v>-1.1930000000000001</v>
      </c>
      <c r="AM363" s="310">
        <v>0</v>
      </c>
      <c r="AN363" s="312">
        <v>0</v>
      </c>
      <c r="AO363" s="406">
        <v>-1.1930000000000001</v>
      </c>
      <c r="AP363" s="312">
        <v>0</v>
      </c>
      <c r="AQ363" s="312">
        <v>0</v>
      </c>
      <c r="AR363" s="310">
        <v>0</v>
      </c>
      <c r="AS363" s="312">
        <v>0</v>
      </c>
      <c r="AT363" s="406">
        <v>0</v>
      </c>
      <c r="AU363" s="312">
        <v>0</v>
      </c>
      <c r="AV363" s="312">
        <v>0</v>
      </c>
      <c r="AW363" s="310">
        <v>0</v>
      </c>
      <c r="AX363" s="312">
        <v>0</v>
      </c>
      <c r="AY363" s="406">
        <v>0</v>
      </c>
      <c r="AZ363" s="312">
        <v>0</v>
      </c>
      <c r="BA363" s="312">
        <v>0</v>
      </c>
      <c r="BB363" s="310">
        <v>-4.1879999999999997</v>
      </c>
      <c r="BC363" s="312">
        <v>0</v>
      </c>
      <c r="BD363" s="406">
        <v>-4.1879999999999997</v>
      </c>
      <c r="BE363" s="310">
        <v>0</v>
      </c>
      <c r="BF363" s="312">
        <v>8</v>
      </c>
      <c r="BG363" s="310">
        <v>0</v>
      </c>
      <c r="BH363" s="312">
        <v>0.5</v>
      </c>
      <c r="BI363" s="407">
        <v>8.5</v>
      </c>
      <c r="BJ363" s="357">
        <v>0</v>
      </c>
      <c r="BK363" s="357">
        <v>0</v>
      </c>
      <c r="BL363" s="357">
        <v>0</v>
      </c>
      <c r="BM363" s="357">
        <v>0</v>
      </c>
      <c r="BN363" s="406">
        <v>0</v>
      </c>
      <c r="BO363" s="357">
        <v>0</v>
      </c>
      <c r="BP363" s="357">
        <v>0</v>
      </c>
      <c r="BQ363" s="357">
        <v>0</v>
      </c>
      <c r="BR363" s="357">
        <v>0</v>
      </c>
      <c r="BS363" s="406">
        <v>0</v>
      </c>
      <c r="BT363" s="408">
        <v>0</v>
      </c>
      <c r="BU363" s="408">
        <v>0</v>
      </c>
      <c r="BV363" s="408">
        <v>0</v>
      </c>
      <c r="BW363" s="404"/>
    </row>
    <row r="364" spans="1:75" s="198" customFormat="1" ht="14.25" hidden="1" outlineLevel="1" x14ac:dyDescent="0.45">
      <c r="A364" s="396" t="s">
        <v>511</v>
      </c>
      <c r="B364" s="243"/>
      <c r="C364" s="293">
        <v>227.84</v>
      </c>
      <c r="D364" s="293">
        <v>263.428</v>
      </c>
      <c r="E364" s="293">
        <v>307.13</v>
      </c>
      <c r="F364" s="293">
        <v>371.02499999999998</v>
      </c>
      <c r="G364" s="294">
        <v>97.275999999999996</v>
      </c>
      <c r="H364" s="294">
        <v>105.04599999999999</v>
      </c>
      <c r="I364" s="294">
        <v>116.94</v>
      </c>
      <c r="J364" s="294">
        <v>116.717</v>
      </c>
      <c r="K364" s="293">
        <v>435.97899999999998</v>
      </c>
      <c r="L364" s="294">
        <v>110.371</v>
      </c>
      <c r="M364" s="294">
        <v>118.974</v>
      </c>
      <c r="N364" s="294">
        <v>143.685</v>
      </c>
      <c r="O364" s="294">
        <v>144.31800000000001</v>
      </c>
      <c r="P364" s="293">
        <v>517.34799999999996</v>
      </c>
      <c r="Q364" s="294">
        <v>126.2</v>
      </c>
      <c r="R364" s="294">
        <v>137.21</v>
      </c>
      <c r="S364" s="294">
        <v>145.59899999999999</v>
      </c>
      <c r="T364" s="294">
        <v>156.29000000000002</v>
      </c>
      <c r="U364" s="293">
        <v>565.29899999999998</v>
      </c>
      <c r="V364" s="294">
        <v>134.494</v>
      </c>
      <c r="W364" s="294">
        <v>141.51400000000001</v>
      </c>
      <c r="X364" s="294">
        <v>147.464</v>
      </c>
      <c r="Y364" s="295">
        <v>141.363</v>
      </c>
      <c r="Z364" s="397">
        <v>564.83500000000004</v>
      </c>
      <c r="AA364" s="295">
        <v>149.56899999999999</v>
      </c>
      <c r="AB364" s="295">
        <v>158.02199999999999</v>
      </c>
      <c r="AC364" s="294">
        <v>158.54600000000002</v>
      </c>
      <c r="AD364" s="295">
        <v>169.50499999999991</v>
      </c>
      <c r="AE364" s="397">
        <v>635.64199999999994</v>
      </c>
      <c r="AF364" s="197">
        <v>146.40400000000002</v>
      </c>
      <c r="AG364" s="295">
        <v>178.292</v>
      </c>
      <c r="AH364" s="398">
        <v>180.74299999999999</v>
      </c>
      <c r="AI364" s="295">
        <v>146.1390000000001</v>
      </c>
      <c r="AJ364" s="397">
        <v>651.57800000000009</v>
      </c>
      <c r="AK364" s="197">
        <v>149.88800000000001</v>
      </c>
      <c r="AL364" s="295">
        <v>177.97199999999998</v>
      </c>
      <c r="AM364" s="398">
        <v>181.99</v>
      </c>
      <c r="AN364" s="295">
        <v>154.70300000000006</v>
      </c>
      <c r="AO364" s="397">
        <v>664.553</v>
      </c>
      <c r="AP364" s="197">
        <v>140.61200000000002</v>
      </c>
      <c r="AQ364" s="295">
        <v>171.911</v>
      </c>
      <c r="AR364" s="398">
        <v>172.36699999999999</v>
      </c>
      <c r="AS364" s="295">
        <v>180.98600000000005</v>
      </c>
      <c r="AT364" s="397">
        <v>665.87599999999998</v>
      </c>
      <c r="AU364" s="197">
        <v>198.54300000000001</v>
      </c>
      <c r="AV364" s="295">
        <v>209.82499999999999</v>
      </c>
      <c r="AW364" s="398">
        <v>208.232</v>
      </c>
      <c r="AX364" s="295">
        <v>209.94700000000003</v>
      </c>
      <c r="AY364" s="397">
        <v>826.54700000000003</v>
      </c>
      <c r="AZ364" s="197">
        <v>244.27700000000002</v>
      </c>
      <c r="BA364" s="295">
        <v>257.58600000000001</v>
      </c>
      <c r="BB364" s="398">
        <v>232.71099999999998</v>
      </c>
      <c r="BC364" s="295">
        <v>223.27599999999998</v>
      </c>
      <c r="BD364" s="397">
        <v>957.85</v>
      </c>
      <c r="BE364" s="294">
        <v>217.863</v>
      </c>
      <c r="BF364" s="295">
        <v>201.05600000000001</v>
      </c>
      <c r="BG364" s="398">
        <v>265.77999999999997</v>
      </c>
      <c r="BH364" s="295">
        <v>231.95</v>
      </c>
      <c r="BI364" s="399">
        <v>916.649</v>
      </c>
      <c r="BJ364" s="295">
        <v>230.47559612432735</v>
      </c>
      <c r="BK364" s="295">
        <v>216.26330621791283</v>
      </c>
      <c r="BL364" s="295">
        <v>248.37950391734208</v>
      </c>
      <c r="BM364" s="295">
        <v>234.98678979347966</v>
      </c>
      <c r="BN364" s="397">
        <v>930.10519605306195</v>
      </c>
      <c r="BO364" s="295">
        <v>246.18979841863501</v>
      </c>
      <c r="BP364" s="295">
        <v>241.17267810442266</v>
      </c>
      <c r="BQ364" s="295">
        <v>283.5835294797609</v>
      </c>
      <c r="BR364" s="295">
        <v>241.79456406280687</v>
      </c>
      <c r="BS364" s="397">
        <v>1012.7405700656254</v>
      </c>
      <c r="BT364" s="397">
        <v>1035.5810105068665</v>
      </c>
      <c r="BU364" s="397">
        <v>1030.6271988658211</v>
      </c>
      <c r="BV364" s="397">
        <v>1012.9253094976704</v>
      </c>
      <c r="BW364" s="400"/>
    </row>
    <row r="365" spans="1:75" s="205" customFormat="1" ht="14.25" hidden="1" outlineLevel="1" x14ac:dyDescent="0.45">
      <c r="A365" s="409" t="s">
        <v>512</v>
      </c>
      <c r="B365" s="410"/>
      <c r="C365" s="411"/>
      <c r="D365" s="411">
        <v>35.587999999999994</v>
      </c>
      <c r="E365" s="411">
        <v>43.701999999999998</v>
      </c>
      <c r="F365" s="411">
        <v>63.894999999999982</v>
      </c>
      <c r="G365" s="412"/>
      <c r="H365" s="412"/>
      <c r="I365" s="412"/>
      <c r="J365" s="412"/>
      <c r="K365" s="411">
        <v>64.954000000000008</v>
      </c>
      <c r="L365" s="412">
        <v>13.094999999999999</v>
      </c>
      <c r="M365" s="412">
        <v>13.928000000000011</v>
      </c>
      <c r="N365" s="412">
        <v>26.745000000000005</v>
      </c>
      <c r="O365" s="412">
        <v>27.601000000000013</v>
      </c>
      <c r="P365" s="411">
        <v>81.368999999999971</v>
      </c>
      <c r="Q365" s="412">
        <v>15.829000000000008</v>
      </c>
      <c r="R365" s="412">
        <v>18.236000000000004</v>
      </c>
      <c r="S365" s="412">
        <v>1.9139999999999873</v>
      </c>
      <c r="T365" s="412">
        <v>11.972000000000008</v>
      </c>
      <c r="U365" s="411">
        <v>47.951000000000022</v>
      </c>
      <c r="V365" s="412">
        <v>8.2939999999999969</v>
      </c>
      <c r="W365" s="412">
        <v>4.304000000000002</v>
      </c>
      <c r="X365" s="412">
        <v>1.8650000000000091</v>
      </c>
      <c r="Y365" s="413">
        <v>-14.927000000000021</v>
      </c>
      <c r="Z365" s="414">
        <v>-0.46399999999994179</v>
      </c>
      <c r="AA365" s="413">
        <v>15.074999999999989</v>
      </c>
      <c r="AB365" s="413">
        <v>16.507999999999981</v>
      </c>
      <c r="AC365" s="412">
        <v>11.082000000000022</v>
      </c>
      <c r="AD365" s="413">
        <v>28.141999999999911</v>
      </c>
      <c r="AE365" s="414">
        <v>70.806999999999903</v>
      </c>
      <c r="AF365" s="204">
        <v>-3.1649999999999636</v>
      </c>
      <c r="AG365" s="413">
        <v>20.27000000000001</v>
      </c>
      <c r="AH365" s="415">
        <v>22.196999999999974</v>
      </c>
      <c r="AI365" s="413">
        <v>-23.365999999999815</v>
      </c>
      <c r="AJ365" s="414">
        <v>15.936000000000149</v>
      </c>
      <c r="AK365" s="204">
        <v>3.4839999999999804</v>
      </c>
      <c r="AL365" s="413">
        <v>-0.3200000000000216</v>
      </c>
      <c r="AM365" s="415">
        <v>1.2470000000000141</v>
      </c>
      <c r="AN365" s="413">
        <v>8.5639999999999645</v>
      </c>
      <c r="AO365" s="414">
        <v>12.974999999999909</v>
      </c>
      <c r="AP365" s="204">
        <v>-9.275999999999982</v>
      </c>
      <c r="AQ365" s="413">
        <v>-6.0609999999999786</v>
      </c>
      <c r="AR365" s="415">
        <v>-9.6230000000000189</v>
      </c>
      <c r="AS365" s="413">
        <v>26.282999999999987</v>
      </c>
      <c r="AT365" s="414">
        <v>1.3229999999999791</v>
      </c>
      <c r="AU365" s="204">
        <v>57.930999999999983</v>
      </c>
      <c r="AV365" s="413">
        <v>37.913999999999987</v>
      </c>
      <c r="AW365" s="415">
        <v>35.865000000000009</v>
      </c>
      <c r="AX365" s="413">
        <v>28.960999999999984</v>
      </c>
      <c r="AY365" s="414">
        <v>160.67100000000005</v>
      </c>
      <c r="AZ365" s="204">
        <v>45.734000000000009</v>
      </c>
      <c r="BA365" s="413">
        <v>47.761000000000024</v>
      </c>
      <c r="BB365" s="415">
        <v>24.478999999999985</v>
      </c>
      <c r="BC365" s="413">
        <v>13.328999999999951</v>
      </c>
      <c r="BD365" s="414">
        <v>131.303</v>
      </c>
      <c r="BE365" s="412">
        <v>-26.414000000000016</v>
      </c>
      <c r="BF365" s="413">
        <v>-56.53</v>
      </c>
      <c r="BG365" s="415">
        <v>33.068999999999988</v>
      </c>
      <c r="BH365" s="413">
        <v>8.6740000000000066</v>
      </c>
      <c r="BI365" s="416">
        <v>-41.201000000000022</v>
      </c>
      <c r="BJ365" s="413">
        <v>12.612596124327354</v>
      </c>
      <c r="BK365" s="413">
        <v>15.207306217912816</v>
      </c>
      <c r="BL365" s="413">
        <v>-17.400496082657895</v>
      </c>
      <c r="BM365" s="413">
        <v>3.0367897934796702</v>
      </c>
      <c r="BN365" s="414">
        <v>13.456196053061944</v>
      </c>
      <c r="BO365" s="413">
        <v>15.714202294307654</v>
      </c>
      <c r="BP365" s="413">
        <v>24.909371886509831</v>
      </c>
      <c r="BQ365" s="413">
        <v>35.204025562418821</v>
      </c>
      <c r="BR365" s="413">
        <v>6.8077742693272114</v>
      </c>
      <c r="BS365" s="414">
        <v>82.635374012563489</v>
      </c>
      <c r="BT365" s="414">
        <v>22.840440441241071</v>
      </c>
      <c r="BU365" s="414">
        <v>-4.9538116410453767</v>
      </c>
      <c r="BV365" s="414">
        <v>-17.701889368150773</v>
      </c>
      <c r="BW365" s="204"/>
    </row>
    <row r="366" spans="1:75" s="177" customFormat="1" ht="14.25" hidden="1" outlineLevel="1" x14ac:dyDescent="0.45">
      <c r="A366" s="373" t="s">
        <v>513</v>
      </c>
      <c r="B366" s="374"/>
      <c r="C366" s="375"/>
      <c r="D366" s="375">
        <v>0.15619733146067416</v>
      </c>
      <c r="E366" s="375">
        <v>0.16589732298768545</v>
      </c>
      <c r="F366" s="375">
        <v>0.20803894116497901</v>
      </c>
      <c r="G366" s="381"/>
      <c r="H366" s="381"/>
      <c r="I366" s="381"/>
      <c r="J366" s="381"/>
      <c r="K366" s="375">
        <v>0.17506637019068805</v>
      </c>
      <c r="L366" s="381">
        <v>0.134616966158148</v>
      </c>
      <c r="M366" s="381">
        <v>0.13258953220493885</v>
      </c>
      <c r="N366" s="381">
        <v>0.22870702924576713</v>
      </c>
      <c r="O366" s="381">
        <v>0.2364779766443621</v>
      </c>
      <c r="P366" s="375">
        <v>0.18663513609600457</v>
      </c>
      <c r="Q366" s="381">
        <v>0.14341629594730509</v>
      </c>
      <c r="R366" s="381">
        <v>0.15327718661220091</v>
      </c>
      <c r="S366" s="381">
        <v>1.3320805929637691E-2</v>
      </c>
      <c r="T366" s="381">
        <v>8.2955695062292945E-2</v>
      </c>
      <c r="U366" s="375">
        <v>9.2686160959354336E-2</v>
      </c>
      <c r="V366" s="381">
        <v>6.5721077654516513E-2</v>
      </c>
      <c r="W366" s="381">
        <v>3.136797609503672E-2</v>
      </c>
      <c r="X366" s="381">
        <v>1.2809153909024262E-2</v>
      </c>
      <c r="Y366" s="378">
        <v>-9.5508349862435393E-2</v>
      </c>
      <c r="Z366" s="417">
        <v>-8.2080456537148017E-4</v>
      </c>
      <c r="AA366" s="378">
        <v>0.11208678454057419</v>
      </c>
      <c r="AB366" s="378">
        <v>0.11665276933730917</v>
      </c>
      <c r="AC366" s="381">
        <v>7.5150545217816056E-2</v>
      </c>
      <c r="AD366" s="378">
        <v>0.19907613732023166</v>
      </c>
      <c r="AE366" s="417">
        <v>0.12535873308134216</v>
      </c>
      <c r="AF366" s="176">
        <v>-2.1160802037855198E-2</v>
      </c>
      <c r="AG366" s="378">
        <v>0.12827327840427283</v>
      </c>
      <c r="AH366" s="376">
        <v>0.14000353209793981</v>
      </c>
      <c r="AI366" s="378">
        <v>-0.13784844104893557</v>
      </c>
      <c r="AJ366" s="417">
        <v>2.507071590612342E-2</v>
      </c>
      <c r="AK366" s="176">
        <v>2.379716401191212E-2</v>
      </c>
      <c r="AL366" s="378">
        <v>-1.7948085163664862E-3</v>
      </c>
      <c r="AM366" s="376">
        <v>6.8992990046641278E-3</v>
      </c>
      <c r="AN366" s="378">
        <v>5.860174217696823E-2</v>
      </c>
      <c r="AO366" s="417">
        <v>1.9913195350364621E-2</v>
      </c>
      <c r="AP366" s="176">
        <v>-6.1886208368915341E-2</v>
      </c>
      <c r="AQ366" s="378">
        <v>-3.4055918908592275E-2</v>
      </c>
      <c r="AR366" s="376">
        <v>-5.2876531677564786E-2</v>
      </c>
      <c r="AS366" s="378">
        <v>0.16989327938049015</v>
      </c>
      <c r="AT366" s="417">
        <v>1.9908118690308285E-3</v>
      </c>
      <c r="AU366" s="176">
        <v>0.41199186413677324</v>
      </c>
      <c r="AV366" s="378">
        <v>0.22054435143766238</v>
      </c>
      <c r="AW366" s="376">
        <v>0.20807347114006758</v>
      </c>
      <c r="AX366" s="378">
        <v>0.16001790193716636</v>
      </c>
      <c r="AY366" s="417">
        <v>0.24129267311030889</v>
      </c>
      <c r="AZ366" s="176">
        <v>0.23034808580509014</v>
      </c>
      <c r="BA366" s="378">
        <v>0.22762301918265226</v>
      </c>
      <c r="BB366" s="376">
        <v>0.11755637942295127</v>
      </c>
      <c r="BC366" s="378">
        <v>6.3487451594926192E-2</v>
      </c>
      <c r="BD366" s="417">
        <v>0.15885727006449724</v>
      </c>
      <c r="BE366" s="381">
        <v>-0.10813134269702029</v>
      </c>
      <c r="BF366" s="378">
        <v>-0.21946068497511506</v>
      </c>
      <c r="BG366" s="376">
        <v>0.14210329550386525</v>
      </c>
      <c r="BH366" s="378">
        <v>3.8848779089557306E-2</v>
      </c>
      <c r="BI366" s="418">
        <v>-4.3014041864592567E-2</v>
      </c>
      <c r="BJ366" s="378">
        <v>5.7892327399913457E-2</v>
      </c>
      <c r="BK366" s="378">
        <v>7.5637166848603554E-2</v>
      </c>
      <c r="BL366" s="378">
        <v>-6.5469546552253344E-2</v>
      </c>
      <c r="BM366" s="378">
        <v>1.3092432823796907E-2</v>
      </c>
      <c r="BN366" s="417">
        <v>1.4679769522534691E-2</v>
      </c>
      <c r="BO366" s="378">
        <v>6.8181632062384701E-2</v>
      </c>
      <c r="BP366" s="378">
        <v>0.11518075961259222</v>
      </c>
      <c r="BQ366" s="378">
        <v>0.14173482516550284</v>
      </c>
      <c r="BR366" s="378">
        <v>2.8970880768703244E-2</v>
      </c>
      <c r="BS366" s="417">
        <v>8.8845191235604304E-2</v>
      </c>
      <c r="BT366" s="417">
        <v>2.2553101076775217E-2</v>
      </c>
      <c r="BU366" s="417">
        <v>-4.7836061020670728E-3</v>
      </c>
      <c r="BV366" s="417">
        <v>-1.7175841456184449E-2</v>
      </c>
      <c r="BW366" s="176"/>
    </row>
    <row r="367" spans="1:75" s="217" customFormat="1" hidden="1" outlineLevel="1" x14ac:dyDescent="0.5">
      <c r="A367" s="419" t="s">
        <v>514</v>
      </c>
      <c r="B367" s="336"/>
      <c r="C367" s="420">
        <v>0.36414489719267684</v>
      </c>
      <c r="D367" s="420">
        <v>0.34089591486013626</v>
      </c>
      <c r="E367" s="420">
        <v>0.32056688140079576</v>
      </c>
      <c r="F367" s="420">
        <v>0.31098968522588394</v>
      </c>
      <c r="G367" s="421">
        <v>0.32281465601635378</v>
      </c>
      <c r="H367" s="421">
        <v>0.27491899983773793</v>
      </c>
      <c r="I367" s="421">
        <v>0.29542836354817192</v>
      </c>
      <c r="J367" s="421">
        <v>0.2474421976959639</v>
      </c>
      <c r="K367" s="420">
        <v>0.28110249064934584</v>
      </c>
      <c r="L367" s="421">
        <v>0.30135097500641628</v>
      </c>
      <c r="M367" s="421">
        <v>0.27428152506189973</v>
      </c>
      <c r="N367" s="421">
        <v>0.29645638830143911</v>
      </c>
      <c r="O367" s="421">
        <v>0.24765971029315617</v>
      </c>
      <c r="P367" s="420">
        <v>0.27703861258997697</v>
      </c>
      <c r="Q367" s="421">
        <v>0.29873711370710981</v>
      </c>
      <c r="R367" s="421">
        <v>0.27066212702833858</v>
      </c>
      <c r="S367" s="421">
        <v>0.27347105901268004</v>
      </c>
      <c r="T367" s="421">
        <v>0.24148341800472181</v>
      </c>
      <c r="U367" s="420">
        <v>0.2680404892162469</v>
      </c>
      <c r="V367" s="421">
        <v>0.29529526452610128</v>
      </c>
      <c r="W367" s="421">
        <v>0.27077903937483971</v>
      </c>
      <c r="X367" s="421">
        <v>0.28302563974611677</v>
      </c>
      <c r="Y367" s="422">
        <v>0.25047308215682951</v>
      </c>
      <c r="Z367" s="423">
        <v>0.27372866776351662</v>
      </c>
      <c r="AA367" s="422">
        <v>0.28033955106386166</v>
      </c>
      <c r="AB367" s="422">
        <v>0.26892509606777332</v>
      </c>
      <c r="AC367" s="421">
        <v>0.28152222936428178</v>
      </c>
      <c r="AD367" s="422">
        <v>0.26558565785742139</v>
      </c>
      <c r="AE367" s="423">
        <v>0.27368410175243557</v>
      </c>
      <c r="AF367" s="422">
        <v>0.27833089673711575</v>
      </c>
      <c r="AG367" s="422">
        <v>0.29254237788720122</v>
      </c>
      <c r="AH367" s="421">
        <v>0.2981229485212859</v>
      </c>
      <c r="AI367" s="422">
        <v>0.22888901766877437</v>
      </c>
      <c r="AJ367" s="423">
        <v>0.27374868971370114</v>
      </c>
      <c r="AK367" s="422">
        <v>0.26570280384103356</v>
      </c>
      <c r="AL367" s="422">
        <v>0.26471008198379359</v>
      </c>
      <c r="AM367" s="421">
        <v>0.28234151548154285</v>
      </c>
      <c r="AN367" s="422">
        <v>0.24444131942030478</v>
      </c>
      <c r="AO367" s="423">
        <v>0.26435088040319743</v>
      </c>
      <c r="AP367" s="422">
        <v>0.3090665711265021</v>
      </c>
      <c r="AQ367" s="422">
        <v>0.25214544590513549</v>
      </c>
      <c r="AR367" s="421">
        <v>0.2118668130187828</v>
      </c>
      <c r="AS367" s="422">
        <v>0.23189003718215165</v>
      </c>
      <c r="AT367" s="423">
        <v>0.24383961447124369</v>
      </c>
      <c r="AU367" s="422">
        <v>0.24217788473853505</v>
      </c>
      <c r="AV367" s="422">
        <v>0.22142361162409324</v>
      </c>
      <c r="AW367" s="421">
        <v>0.2158159896938309</v>
      </c>
      <c r="AX367" s="422">
        <v>0.24402737516011083</v>
      </c>
      <c r="AY367" s="423">
        <v>0.23006661949618135</v>
      </c>
      <c r="AZ367" s="422">
        <v>0.26874694702007157</v>
      </c>
      <c r="BA367" s="422">
        <v>0.27397461342591117</v>
      </c>
      <c r="BB367" s="421">
        <v>0.28335849791783357</v>
      </c>
      <c r="BC367" s="422">
        <v>0.30659335830651113</v>
      </c>
      <c r="BD367" s="423">
        <v>0.28183348741466435</v>
      </c>
      <c r="BE367" s="421">
        <v>0.31550753349668947</v>
      </c>
      <c r="BF367" s="422">
        <v>0.26681175768031323</v>
      </c>
      <c r="BG367" s="421">
        <v>0.37696029137904374</v>
      </c>
      <c r="BH367" s="422">
        <v>0.33787819196200952</v>
      </c>
      <c r="BI367" s="424">
        <v>0.32326262679339274</v>
      </c>
      <c r="BJ367" s="422">
        <v>0.3405075334966895</v>
      </c>
      <c r="BK367" s="422">
        <v>0.27181175768031324</v>
      </c>
      <c r="BL367" s="422">
        <v>0.30696029137904374</v>
      </c>
      <c r="BM367" s="422">
        <v>0.30687819196200949</v>
      </c>
      <c r="BN367" s="423">
        <v>0.3052140205751746</v>
      </c>
      <c r="BO367" s="422">
        <v>0.30550753349668947</v>
      </c>
      <c r="BP367" s="422">
        <v>0.26181175768031323</v>
      </c>
      <c r="BQ367" s="422">
        <v>0.30446029137904373</v>
      </c>
      <c r="BR367" s="422">
        <v>0.28687819196200948</v>
      </c>
      <c r="BS367" s="423">
        <v>0.28924827650905988</v>
      </c>
      <c r="BT367" s="423">
        <v>0.27924827650905987</v>
      </c>
      <c r="BU367" s="423">
        <v>0.26924827650905986</v>
      </c>
      <c r="BV367" s="423">
        <v>0.25924827650905985</v>
      </c>
      <c r="BW367" s="216"/>
    </row>
    <row r="368" spans="1:75" s="224" customFormat="1" hidden="1" outlineLevel="1" x14ac:dyDescent="0.5">
      <c r="A368" s="330" t="s">
        <v>515</v>
      </c>
      <c r="B368" s="258"/>
      <c r="C368" s="252"/>
      <c r="D368" s="252">
        <v>232.48982332540581</v>
      </c>
      <c r="E368" s="252">
        <v>203.29033459340508</v>
      </c>
      <c r="F368" s="252">
        <v>95.771961749118176</v>
      </c>
      <c r="G368" s="253"/>
      <c r="H368" s="253"/>
      <c r="I368" s="253"/>
      <c r="J368" s="253"/>
      <c r="K368" s="252">
        <v>298.87194576538099</v>
      </c>
      <c r="L368" s="253">
        <v>214.63681009937508</v>
      </c>
      <c r="M368" s="253">
        <v>6.3747477583819823</v>
      </c>
      <c r="N368" s="253">
        <v>-10.280247532671872</v>
      </c>
      <c r="O368" s="253">
        <v>-2.175125971922709</v>
      </c>
      <c r="P368" s="252">
        <v>40.638780593688637</v>
      </c>
      <c r="Q368" s="253">
        <v>26.138612993064637</v>
      </c>
      <c r="R368" s="253">
        <v>36.193980335611499</v>
      </c>
      <c r="S368" s="253">
        <v>229.8532928875907</v>
      </c>
      <c r="T368" s="253">
        <v>61.762922884343595</v>
      </c>
      <c r="U368" s="252">
        <v>89.981233737300713</v>
      </c>
      <c r="V368" s="253">
        <v>34.418491810085385</v>
      </c>
      <c r="W368" s="253">
        <v>-1.1691234650113014</v>
      </c>
      <c r="X368" s="253">
        <v>-95.545807334367353</v>
      </c>
      <c r="Y368" s="254">
        <v>-89.896641521076958</v>
      </c>
      <c r="Z368" s="425">
        <v>-56.881785472697175</v>
      </c>
      <c r="AA368" s="254">
        <v>149.55713462239618</v>
      </c>
      <c r="AB368" s="254">
        <v>18.539433070663968</v>
      </c>
      <c r="AC368" s="253">
        <v>15.034103818349909</v>
      </c>
      <c r="AD368" s="254">
        <v>-151.12575700591879</v>
      </c>
      <c r="AE368" s="425">
        <v>0.44566011081048629</v>
      </c>
      <c r="AF368" s="254">
        <v>20.086543267459067</v>
      </c>
      <c r="AG368" s="254">
        <v>-236.17281819427905</v>
      </c>
      <c r="AH368" s="253">
        <v>-166.00719157004119</v>
      </c>
      <c r="AI368" s="254">
        <v>366.96640188647018</v>
      </c>
      <c r="AJ368" s="425">
        <v>-0.6458796126557198</v>
      </c>
      <c r="AK368" s="254">
        <v>126.28092896082188</v>
      </c>
      <c r="AL368" s="254">
        <v>278.32295903407635</v>
      </c>
      <c r="AM368" s="253">
        <v>157.81433039743052</v>
      </c>
      <c r="AN368" s="254">
        <v>-155.5230175153041</v>
      </c>
      <c r="AO368" s="425">
        <v>93.978093105037132</v>
      </c>
      <c r="AP368" s="254">
        <v>-433.63767285468538</v>
      </c>
      <c r="AQ368" s="254">
        <v>125.64636078658098</v>
      </c>
      <c r="AR368" s="253">
        <v>704.74702462760058</v>
      </c>
      <c r="AS368" s="254">
        <v>125.51282238153134</v>
      </c>
      <c r="AT368" s="425">
        <v>205.11265931953739</v>
      </c>
      <c r="AU368" s="254">
        <v>668.8868638796705</v>
      </c>
      <c r="AV368" s="254">
        <v>307.21834281042248</v>
      </c>
      <c r="AW368" s="253">
        <v>-39.491766750480991</v>
      </c>
      <c r="AX368" s="254">
        <v>-121.37337977959184</v>
      </c>
      <c r="AY368" s="425">
        <v>137.72994975062346</v>
      </c>
      <c r="AZ368" s="254">
        <v>-265.6906228153652</v>
      </c>
      <c r="BA368" s="254">
        <v>-525.51001801817927</v>
      </c>
      <c r="BB368" s="253">
        <v>-675.42508224002677</v>
      </c>
      <c r="BC368" s="254">
        <v>-625.65983146400299</v>
      </c>
      <c r="BD368" s="425">
        <v>-517.66867918483001</v>
      </c>
      <c r="BE368" s="253">
        <v>-467.60586476617902</v>
      </c>
      <c r="BF368" s="254">
        <v>71.628557455979404</v>
      </c>
      <c r="BG368" s="253">
        <v>-936.01793461210173</v>
      </c>
      <c r="BH368" s="254">
        <v>-312.84833655498392</v>
      </c>
      <c r="BI368" s="426">
        <v>-414.29139378728388</v>
      </c>
      <c r="BJ368" s="256">
        <v>-250</v>
      </c>
      <c r="BK368" s="256">
        <v>-50</v>
      </c>
      <c r="BL368" s="256">
        <v>700</v>
      </c>
      <c r="BM368" s="256">
        <v>310</v>
      </c>
      <c r="BN368" s="425">
        <v>180.48606218218134</v>
      </c>
      <c r="BO368" s="256">
        <v>350</v>
      </c>
      <c r="BP368" s="256">
        <v>100</v>
      </c>
      <c r="BQ368" s="256">
        <v>25</v>
      </c>
      <c r="BR368" s="256">
        <v>200</v>
      </c>
      <c r="BS368" s="425">
        <v>159.65744066114729</v>
      </c>
      <c r="BT368" s="427">
        <v>100</v>
      </c>
      <c r="BU368" s="427">
        <v>100</v>
      </c>
      <c r="BV368" s="427">
        <v>100</v>
      </c>
      <c r="BW368" s="223"/>
    </row>
    <row r="369" spans="1:75" s="123" customFormat="1" hidden="1" outlineLevel="1" x14ac:dyDescent="0.5">
      <c r="A369" s="354"/>
      <c r="B369" s="251"/>
      <c r="C369" s="299"/>
      <c r="D369" s="299"/>
      <c r="E369" s="299"/>
      <c r="F369" s="299"/>
      <c r="G369" s="300"/>
      <c r="H369" s="300"/>
      <c r="I369" s="300"/>
      <c r="J369" s="300"/>
      <c r="K369" s="299"/>
      <c r="L369" s="300"/>
      <c r="M369" s="300"/>
      <c r="N369" s="300"/>
      <c r="O369" s="300"/>
      <c r="P369" s="299"/>
      <c r="Q369" s="300"/>
      <c r="R369" s="300"/>
      <c r="S369" s="300"/>
      <c r="T369" s="300"/>
      <c r="U369" s="299"/>
      <c r="V369" s="300"/>
      <c r="W369" s="300"/>
      <c r="X369" s="300"/>
      <c r="Y369" s="119"/>
      <c r="Z369" s="401"/>
      <c r="AA369" s="119"/>
      <c r="AB369" s="119"/>
      <c r="AC369" s="300"/>
      <c r="AD369" s="119"/>
      <c r="AE369" s="401"/>
      <c r="AF369" s="119"/>
      <c r="AG369" s="119"/>
      <c r="AH369" s="300"/>
      <c r="AI369" s="119"/>
      <c r="AJ369" s="401"/>
      <c r="AK369" s="119"/>
      <c r="AL369" s="119"/>
      <c r="AM369" s="300"/>
      <c r="AN369" s="119"/>
      <c r="AO369" s="401"/>
      <c r="AP369" s="119"/>
      <c r="AQ369" s="119"/>
      <c r="AR369" s="300"/>
      <c r="AS369" s="119"/>
      <c r="AT369" s="401"/>
      <c r="AU369" s="119"/>
      <c r="AV369" s="119"/>
      <c r="AW369" s="300"/>
      <c r="AX369" s="119"/>
      <c r="AY369" s="401"/>
      <c r="AZ369" s="119"/>
      <c r="BA369" s="119"/>
      <c r="BB369" s="300"/>
      <c r="BC369" s="119"/>
      <c r="BD369" s="401"/>
      <c r="BE369" s="300"/>
      <c r="BF369" s="119"/>
      <c r="BG369" s="300"/>
      <c r="BH369" s="119"/>
      <c r="BI369" s="402"/>
      <c r="BJ369" s="119"/>
      <c r="BK369" s="119"/>
      <c r="BL369" s="119"/>
      <c r="BM369" s="119"/>
      <c r="BN369" s="401"/>
      <c r="BO369" s="119"/>
      <c r="BP369" s="119"/>
      <c r="BQ369" s="119"/>
      <c r="BR369" s="119"/>
      <c r="BS369" s="401"/>
      <c r="BT369" s="401"/>
      <c r="BU369" s="401"/>
      <c r="BV369" s="401"/>
      <c r="BW369" s="404"/>
    </row>
    <row r="370" spans="1:75" s="198" customFormat="1" ht="14.25" hidden="1" outlineLevel="1" x14ac:dyDescent="0.45">
      <c r="A370" s="396" t="s">
        <v>516</v>
      </c>
      <c r="B370" s="243"/>
      <c r="C370" s="293">
        <v>-25.833000000000084</v>
      </c>
      <c r="D370" s="293">
        <v>-3.216000000000065</v>
      </c>
      <c r="E370" s="293">
        <v>26.843000000000075</v>
      </c>
      <c r="F370" s="293">
        <v>-69.035999999999888</v>
      </c>
      <c r="G370" s="294">
        <v>0.51099999999998147</v>
      </c>
      <c r="H370" s="294">
        <v>-27.78</v>
      </c>
      <c r="I370" s="294">
        <v>23.859999999999985</v>
      </c>
      <c r="J370" s="294">
        <v>58.260000000000034</v>
      </c>
      <c r="K370" s="293">
        <v>54.850999999999772</v>
      </c>
      <c r="L370" s="294">
        <v>4.77800000000002</v>
      </c>
      <c r="M370" s="294">
        <v>48.934999999999988</v>
      </c>
      <c r="N370" s="294">
        <v>36.687999999999988</v>
      </c>
      <c r="O370" s="294">
        <v>75.32499999999996</v>
      </c>
      <c r="P370" s="293">
        <v>165.72599999999989</v>
      </c>
      <c r="Q370" s="294">
        <v>17.029000000000011</v>
      </c>
      <c r="R370" s="294">
        <v>56.42300000000003</v>
      </c>
      <c r="S370" s="294">
        <v>44.875999999999948</v>
      </c>
      <c r="T370" s="294">
        <v>67.232999999999947</v>
      </c>
      <c r="U370" s="293">
        <v>185.56099999999981</v>
      </c>
      <c r="V370" s="294">
        <v>-11.474999999999966</v>
      </c>
      <c r="W370" s="294">
        <v>28.22999999999999</v>
      </c>
      <c r="X370" s="294">
        <v>17.686000000000007</v>
      </c>
      <c r="Y370" s="295">
        <v>31.461999999999989</v>
      </c>
      <c r="Z370" s="397">
        <v>65.90300000000002</v>
      </c>
      <c r="AA370" s="295">
        <v>10.058000000000021</v>
      </c>
      <c r="AB370" s="295">
        <v>12.245000000000005</v>
      </c>
      <c r="AC370" s="294">
        <v>44.128999999999991</v>
      </c>
      <c r="AD370" s="295">
        <v>69.512000000000057</v>
      </c>
      <c r="AE370" s="397">
        <v>135.94400000000007</v>
      </c>
      <c r="AF370" s="197">
        <v>48.226999999999975</v>
      </c>
      <c r="AG370" s="295">
        <v>82.350999999999999</v>
      </c>
      <c r="AH370" s="398">
        <v>42.006</v>
      </c>
      <c r="AI370" s="295">
        <v>90.453999999999837</v>
      </c>
      <c r="AJ370" s="397">
        <v>263.0379999999999</v>
      </c>
      <c r="AK370" s="197">
        <v>67.539000000000016</v>
      </c>
      <c r="AL370" s="295">
        <v>103.06100000000001</v>
      </c>
      <c r="AM370" s="398">
        <v>88.412000000000006</v>
      </c>
      <c r="AN370" s="295">
        <v>100.03899999999987</v>
      </c>
      <c r="AO370" s="397">
        <v>359.05099999999993</v>
      </c>
      <c r="AP370" s="197">
        <v>38.48599999999999</v>
      </c>
      <c r="AQ370" s="295">
        <v>134.995</v>
      </c>
      <c r="AR370" s="398">
        <v>109.01300000000003</v>
      </c>
      <c r="AS370" s="295">
        <v>183.27099999999984</v>
      </c>
      <c r="AT370" s="397">
        <v>465.76499999999987</v>
      </c>
      <c r="AU370" s="197">
        <v>182.14599999999999</v>
      </c>
      <c r="AV370" s="295">
        <v>243.57500000000002</v>
      </c>
      <c r="AW370" s="398">
        <v>270.26</v>
      </c>
      <c r="AX370" s="295">
        <v>214.89299999999992</v>
      </c>
      <c r="AY370" s="397">
        <v>910.87399999999991</v>
      </c>
      <c r="AZ370" s="197">
        <v>197.303</v>
      </c>
      <c r="BA370" s="295">
        <v>230.86799999999999</v>
      </c>
      <c r="BB370" s="398">
        <v>163.06300000000002</v>
      </c>
      <c r="BC370" s="295">
        <v>106.31700000000012</v>
      </c>
      <c r="BD370" s="397">
        <v>697.55099999999993</v>
      </c>
      <c r="BE370" s="294">
        <v>92.569000000000017</v>
      </c>
      <c r="BF370" s="295">
        <v>143.345</v>
      </c>
      <c r="BG370" s="398">
        <v>46.273000000000025</v>
      </c>
      <c r="BH370" s="295">
        <v>59.55499999999995</v>
      </c>
      <c r="BI370" s="399">
        <v>341.74199999999996</v>
      </c>
      <c r="BJ370" s="295">
        <v>41.990314366644895</v>
      </c>
      <c r="BK370" s="295">
        <v>138.54386283974566</v>
      </c>
      <c r="BL370" s="295">
        <v>114.79856691489718</v>
      </c>
      <c r="BM370" s="295">
        <v>101.06791628929801</v>
      </c>
      <c r="BN370" s="397">
        <v>396.40066041058549</v>
      </c>
      <c r="BO370" s="295">
        <v>90.950712293505944</v>
      </c>
      <c r="BP370" s="295">
        <v>174.77243007295826</v>
      </c>
      <c r="BQ370" s="295">
        <v>137.33180247970864</v>
      </c>
      <c r="BR370" s="295">
        <v>132.66978438544706</v>
      </c>
      <c r="BS370" s="397">
        <v>535.7247292316199</v>
      </c>
      <c r="BT370" s="397">
        <v>616.46255897182346</v>
      </c>
      <c r="BU370" s="397">
        <v>686.5116558811394</v>
      </c>
      <c r="BV370" s="397">
        <v>751.82967313969198</v>
      </c>
      <c r="BW370" s="400"/>
    </row>
    <row r="371" spans="1:75" s="123" customFormat="1" hidden="1" outlineLevel="1" x14ac:dyDescent="0.5">
      <c r="A371" s="428" t="s">
        <v>517</v>
      </c>
      <c r="B371" s="251"/>
      <c r="C371" s="299"/>
      <c r="D371" s="299"/>
      <c r="E371" s="299">
        <v>0</v>
      </c>
      <c r="F371" s="299">
        <v>0</v>
      </c>
      <c r="G371" s="300">
        <v>0</v>
      </c>
      <c r="H371" s="300">
        <v>0</v>
      </c>
      <c r="I371" s="300">
        <v>0</v>
      </c>
      <c r="J371" s="300">
        <v>0</v>
      </c>
      <c r="K371" s="299">
        <v>0</v>
      </c>
      <c r="L371" s="300">
        <v>0</v>
      </c>
      <c r="M371" s="300">
        <v>0</v>
      </c>
      <c r="N371" s="300">
        <v>0</v>
      </c>
      <c r="O371" s="300">
        <v>0</v>
      </c>
      <c r="P371" s="299">
        <v>-1.1546319456101628E-14</v>
      </c>
      <c r="Q371" s="300">
        <v>0</v>
      </c>
      <c r="R371" s="300">
        <v>0</v>
      </c>
      <c r="S371" s="300">
        <v>0</v>
      </c>
      <c r="T371" s="300">
        <v>0</v>
      </c>
      <c r="U371" s="299">
        <v>0</v>
      </c>
      <c r="V371" s="300">
        <v>0</v>
      </c>
      <c r="W371" s="300">
        <v>2.7000000000009905E-2</v>
      </c>
      <c r="X371" s="300">
        <v>1.3999999999993129E-2</v>
      </c>
      <c r="Y371" s="119">
        <v>-4.8000000000030241E-2</v>
      </c>
      <c r="Z371" s="401">
        <v>-7.0000000000192131E-3</v>
      </c>
      <c r="AA371" s="119">
        <v>1.9999999999978701E-2</v>
      </c>
      <c r="AB371" s="119">
        <v>1.9999999999992468E-2</v>
      </c>
      <c r="AC371" s="300">
        <v>-4.7999999999993825E-2</v>
      </c>
      <c r="AD371" s="119">
        <v>-1.9000000000063189E-2</v>
      </c>
      <c r="AE371" s="401">
        <v>-2.7000000000093394E-2</v>
      </c>
      <c r="AF371" s="122">
        <v>1.000000000002621E-2</v>
      </c>
      <c r="AG371" s="119">
        <v>1.0000000000002451E-2</v>
      </c>
      <c r="AH371" s="429">
        <v>0</v>
      </c>
      <c r="AI371" s="119">
        <v>1.4388490399142029E-13</v>
      </c>
      <c r="AJ371" s="401">
        <v>2.000000000009905E-2</v>
      </c>
      <c r="AK371" s="122">
        <v>-9.9920072216264089E-15</v>
      </c>
      <c r="AL371" s="119">
        <v>-3.5527136788005009E-15</v>
      </c>
      <c r="AM371" s="429">
        <v>0</v>
      </c>
      <c r="AN371" s="119">
        <v>1.5099033134902129E-13</v>
      </c>
      <c r="AO371" s="401">
        <v>7.1054273576010019E-14</v>
      </c>
      <c r="AP371" s="122">
        <v>1.7000000000013671E-2</v>
      </c>
      <c r="AQ371" s="119">
        <v>0</v>
      </c>
      <c r="AR371" s="429">
        <v>0</v>
      </c>
      <c r="AS371" s="119">
        <v>-4.2999999999847383E-2</v>
      </c>
      <c r="AT371" s="401">
        <v>-2.5999999999839929E-2</v>
      </c>
      <c r="AU371" s="122">
        <v>0</v>
      </c>
      <c r="AV371" s="119">
        <v>0</v>
      </c>
      <c r="AW371" s="429">
        <v>-3.999999999998316E-2</v>
      </c>
      <c r="AX371" s="119">
        <v>-1.7763568394002505E-14</v>
      </c>
      <c r="AY371" s="401">
        <v>-3.9999999999942304E-2</v>
      </c>
      <c r="AZ371" s="122">
        <v>0</v>
      </c>
      <c r="BA371" s="119">
        <v>2.400000000000535E-2</v>
      </c>
      <c r="BB371" s="429">
        <v>0</v>
      </c>
      <c r="BC371" s="119">
        <v>-1.9184653865522705E-13</v>
      </c>
      <c r="BD371" s="401">
        <v>2.4000000000057753E-2</v>
      </c>
      <c r="BE371" s="300">
        <v>-1.4210854715202004E-14</v>
      </c>
      <c r="BF371" s="119">
        <v>0</v>
      </c>
      <c r="BG371" s="429">
        <v>-2.1760371282653068E-14</v>
      </c>
      <c r="BH371" s="119">
        <v>5.6399329650957952E-14</v>
      </c>
      <c r="BI371" s="402">
        <v>6.3948846218409017E-14</v>
      </c>
      <c r="BJ371" s="119">
        <v>0</v>
      </c>
      <c r="BK371" s="119">
        <v>0</v>
      </c>
      <c r="BL371" s="119">
        <v>0</v>
      </c>
      <c r="BM371" s="119">
        <v>0</v>
      </c>
      <c r="BN371" s="401">
        <v>0</v>
      </c>
      <c r="BO371" s="119">
        <v>0</v>
      </c>
      <c r="BP371" s="119">
        <v>0</v>
      </c>
      <c r="BQ371" s="119">
        <v>0</v>
      </c>
      <c r="BR371" s="119">
        <v>0</v>
      </c>
      <c r="BS371" s="401">
        <v>0</v>
      </c>
      <c r="BT371" s="401">
        <v>0</v>
      </c>
      <c r="BU371" s="401">
        <v>0</v>
      </c>
      <c r="BV371" s="401">
        <v>0</v>
      </c>
      <c r="BW371" s="404"/>
    </row>
    <row r="372" spans="1:75" s="123" customFormat="1" hidden="1" outlineLevel="1" x14ac:dyDescent="0.5">
      <c r="A372" s="428" t="s">
        <v>518</v>
      </c>
      <c r="B372" s="251"/>
      <c r="C372" s="299">
        <v>0</v>
      </c>
      <c r="D372" s="299">
        <v>0</v>
      </c>
      <c r="E372" s="299">
        <v>6.35</v>
      </c>
      <c r="F372" s="299">
        <v>115.05500000000001</v>
      </c>
      <c r="G372" s="300">
        <v>3.323</v>
      </c>
      <c r="H372" s="300">
        <v>59.832000000000001</v>
      </c>
      <c r="I372" s="300">
        <v>0</v>
      </c>
      <c r="J372" s="300">
        <v>0</v>
      </c>
      <c r="K372" s="299">
        <v>63.155000000000001</v>
      </c>
      <c r="L372" s="300">
        <v>0</v>
      </c>
      <c r="M372" s="300">
        <v>0</v>
      </c>
      <c r="N372" s="300">
        <v>0</v>
      </c>
      <c r="O372" s="300">
        <v>0</v>
      </c>
      <c r="P372" s="299">
        <v>0</v>
      </c>
      <c r="Q372" s="300">
        <v>0</v>
      </c>
      <c r="R372" s="300">
        <v>0</v>
      </c>
      <c r="S372" s="300">
        <v>0</v>
      </c>
      <c r="T372" s="300">
        <v>0</v>
      </c>
      <c r="U372" s="299">
        <v>0</v>
      </c>
      <c r="V372" s="300">
        <v>0</v>
      </c>
      <c r="W372" s="300">
        <v>-2.8000000000000025E-2</v>
      </c>
      <c r="X372" s="300">
        <v>0</v>
      </c>
      <c r="Y372" s="119">
        <v>0</v>
      </c>
      <c r="Z372" s="401">
        <v>-2.8000000000000025E-2</v>
      </c>
      <c r="AA372" s="119">
        <v>0</v>
      </c>
      <c r="AB372" s="119">
        <v>23.872</v>
      </c>
      <c r="AC372" s="300">
        <v>0</v>
      </c>
      <c r="AD372" s="119">
        <v>0</v>
      </c>
      <c r="AE372" s="401">
        <v>23.872</v>
      </c>
      <c r="AF372" s="122">
        <v>0</v>
      </c>
      <c r="AG372" s="119">
        <v>0</v>
      </c>
      <c r="AH372" s="429">
        <v>0</v>
      </c>
      <c r="AI372" s="119">
        <v>0</v>
      </c>
      <c r="AJ372" s="401">
        <v>0</v>
      </c>
      <c r="AK372" s="122">
        <v>0</v>
      </c>
      <c r="AL372" s="119">
        <v>0</v>
      </c>
      <c r="AM372" s="429">
        <v>0</v>
      </c>
      <c r="AN372" s="119">
        <v>0</v>
      </c>
      <c r="AO372" s="401">
        <v>0</v>
      </c>
      <c r="AP372" s="122">
        <v>0</v>
      </c>
      <c r="AQ372" s="119">
        <v>0</v>
      </c>
      <c r="AR372" s="429">
        <v>111.218</v>
      </c>
      <c r="AS372" s="119">
        <v>5.8659999999999997</v>
      </c>
      <c r="AT372" s="401">
        <v>117.084</v>
      </c>
      <c r="AU372" s="122">
        <v>5.8639999999999999</v>
      </c>
      <c r="AV372" s="119">
        <v>5.8639999999999999</v>
      </c>
      <c r="AW372" s="429">
        <v>5.8310000000000004</v>
      </c>
      <c r="AX372" s="119">
        <v>5.8689999999999998</v>
      </c>
      <c r="AY372" s="401">
        <v>23.428000000000001</v>
      </c>
      <c r="AZ372" s="122">
        <v>5.8579999999999997</v>
      </c>
      <c r="BA372" s="119">
        <v>4.3209999999999997</v>
      </c>
      <c r="BB372" s="429">
        <v>4.1360000000000001</v>
      </c>
      <c r="BC372" s="119">
        <v>3.7570000000000001</v>
      </c>
      <c r="BD372" s="401">
        <v>18.071999999999999</v>
      </c>
      <c r="BE372" s="300">
        <v>3.5310000000000001</v>
      </c>
      <c r="BF372" s="119">
        <v>2.024</v>
      </c>
      <c r="BG372" s="429">
        <v>1.972</v>
      </c>
      <c r="BH372" s="119">
        <v>2.113</v>
      </c>
      <c r="BI372" s="402">
        <v>9.64</v>
      </c>
      <c r="BJ372" s="119">
        <v>3.5</v>
      </c>
      <c r="BK372" s="119">
        <v>3.5</v>
      </c>
      <c r="BL372" s="119">
        <v>3.5</v>
      </c>
      <c r="BM372" s="119">
        <v>3.5</v>
      </c>
      <c r="BN372" s="401">
        <v>14</v>
      </c>
      <c r="BO372" s="119">
        <v>3.5</v>
      </c>
      <c r="BP372" s="119">
        <v>3.5</v>
      </c>
      <c r="BQ372" s="119">
        <v>3.5</v>
      </c>
      <c r="BR372" s="119">
        <v>3.5</v>
      </c>
      <c r="BS372" s="401">
        <v>14</v>
      </c>
      <c r="BT372" s="401">
        <v>14</v>
      </c>
      <c r="BU372" s="401">
        <v>14</v>
      </c>
      <c r="BV372" s="401">
        <v>14</v>
      </c>
      <c r="BW372" s="404"/>
    </row>
    <row r="373" spans="1:75" s="123" customFormat="1" hidden="1" outlineLevel="1" x14ac:dyDescent="0.5">
      <c r="A373" s="428" t="s">
        <v>519</v>
      </c>
      <c r="B373" s="251"/>
      <c r="C373" s="299">
        <v>4.62</v>
      </c>
      <c r="D373" s="299">
        <v>4.7930000000000001</v>
      </c>
      <c r="E373" s="299">
        <v>10.715</v>
      </c>
      <c r="F373" s="299">
        <v>4.258</v>
      </c>
      <c r="G373" s="300">
        <v>0</v>
      </c>
      <c r="H373" s="300">
        <v>0</v>
      </c>
      <c r="I373" s="300">
        <v>0</v>
      </c>
      <c r="J373" s="300">
        <v>0</v>
      </c>
      <c r="K373" s="299">
        <v>0</v>
      </c>
      <c r="L373" s="300">
        <v>0</v>
      </c>
      <c r="M373" s="300">
        <v>0</v>
      </c>
      <c r="N373" s="300">
        <v>0</v>
      </c>
      <c r="O373" s="300">
        <v>0</v>
      </c>
      <c r="P373" s="299">
        <v>0</v>
      </c>
      <c r="Q373" s="300">
        <v>0</v>
      </c>
      <c r="R373" s="300">
        <v>0</v>
      </c>
      <c r="S373" s="300">
        <v>0</v>
      </c>
      <c r="T373" s="300">
        <v>0</v>
      </c>
      <c r="U373" s="299">
        <v>0</v>
      </c>
      <c r="V373" s="300">
        <v>0</v>
      </c>
      <c r="W373" s="300">
        <v>0</v>
      </c>
      <c r="X373" s="300">
        <v>0</v>
      </c>
      <c r="Y373" s="119">
        <v>0</v>
      </c>
      <c r="Z373" s="401">
        <v>0</v>
      </c>
      <c r="AA373" s="119">
        <v>0</v>
      </c>
      <c r="AB373" s="119">
        <v>0</v>
      </c>
      <c r="AC373" s="300">
        <v>0</v>
      </c>
      <c r="AD373" s="119">
        <v>0</v>
      </c>
      <c r="AE373" s="401">
        <v>0</v>
      </c>
      <c r="AF373" s="122">
        <v>0</v>
      </c>
      <c r="AG373" s="119">
        <v>0</v>
      </c>
      <c r="AH373" s="429">
        <v>0</v>
      </c>
      <c r="AI373" s="119">
        <v>0</v>
      </c>
      <c r="AJ373" s="401">
        <v>0</v>
      </c>
      <c r="AK373" s="122">
        <v>0</v>
      </c>
      <c r="AL373" s="119">
        <v>0</v>
      </c>
      <c r="AM373" s="429">
        <v>0</v>
      </c>
      <c r="AN373" s="119">
        <v>0</v>
      </c>
      <c r="AO373" s="401">
        <v>0</v>
      </c>
      <c r="AP373" s="122">
        <v>0</v>
      </c>
      <c r="AQ373" s="119">
        <v>0</v>
      </c>
      <c r="AR373" s="429">
        <v>0</v>
      </c>
      <c r="AS373" s="119">
        <v>0</v>
      </c>
      <c r="AT373" s="401">
        <v>0</v>
      </c>
      <c r="AU373" s="122">
        <v>0</v>
      </c>
      <c r="AV373" s="119">
        <v>0</v>
      </c>
      <c r="AW373" s="429">
        <v>0</v>
      </c>
      <c r="AX373" s="119">
        <v>0</v>
      </c>
      <c r="AY373" s="401">
        <v>0</v>
      </c>
      <c r="AZ373" s="122">
        <v>0</v>
      </c>
      <c r="BA373" s="119">
        <v>0</v>
      </c>
      <c r="BB373" s="429">
        <v>0</v>
      </c>
      <c r="BC373" s="119">
        <v>0</v>
      </c>
      <c r="BD373" s="401">
        <v>0</v>
      </c>
      <c r="BE373" s="300">
        <v>0</v>
      </c>
      <c r="BF373" s="119">
        <v>0</v>
      </c>
      <c r="BG373" s="429">
        <v>0</v>
      </c>
      <c r="BH373" s="119">
        <v>0</v>
      </c>
      <c r="BI373" s="402">
        <v>0</v>
      </c>
      <c r="BJ373" s="119">
        <v>0</v>
      </c>
      <c r="BK373" s="119">
        <v>0</v>
      </c>
      <c r="BL373" s="119">
        <v>0</v>
      </c>
      <c r="BM373" s="119">
        <v>0</v>
      </c>
      <c r="BN373" s="401">
        <v>0</v>
      </c>
      <c r="BO373" s="119">
        <v>0</v>
      </c>
      <c r="BP373" s="119">
        <v>0</v>
      </c>
      <c r="BQ373" s="119">
        <v>0</v>
      </c>
      <c r="BR373" s="119">
        <v>0</v>
      </c>
      <c r="BS373" s="401">
        <v>0</v>
      </c>
      <c r="BT373" s="401">
        <v>0</v>
      </c>
      <c r="BU373" s="401">
        <v>0</v>
      </c>
      <c r="BV373" s="401">
        <v>0</v>
      </c>
      <c r="BW373" s="404"/>
    </row>
    <row r="374" spans="1:75" s="123" customFormat="1" hidden="1" outlineLevel="1" x14ac:dyDescent="0.5">
      <c r="A374" s="428" t="s">
        <v>520</v>
      </c>
      <c r="B374" s="251"/>
      <c r="C374" s="299">
        <v>0</v>
      </c>
      <c r="D374" s="299">
        <v>0</v>
      </c>
      <c r="E374" s="299">
        <v>0</v>
      </c>
      <c r="F374" s="299">
        <v>0</v>
      </c>
      <c r="G374" s="300">
        <v>0</v>
      </c>
      <c r="H374" s="300">
        <v>0</v>
      </c>
      <c r="I374" s="300">
        <v>0</v>
      </c>
      <c r="J374" s="300">
        <v>0</v>
      </c>
      <c r="K374" s="299">
        <v>0</v>
      </c>
      <c r="L374" s="300">
        <v>0</v>
      </c>
      <c r="M374" s="300">
        <v>0</v>
      </c>
      <c r="N374" s="300">
        <v>0</v>
      </c>
      <c r="O374" s="300">
        <v>0</v>
      </c>
      <c r="P374" s="299">
        <v>0</v>
      </c>
      <c r="Q374" s="300">
        <v>0</v>
      </c>
      <c r="R374" s="300">
        <v>0</v>
      </c>
      <c r="S374" s="300">
        <v>0</v>
      </c>
      <c r="T374" s="300">
        <v>0</v>
      </c>
      <c r="U374" s="299">
        <v>0</v>
      </c>
      <c r="V374" s="300">
        <v>0</v>
      </c>
      <c r="W374" s="300">
        <v>0</v>
      </c>
      <c r="X374" s="300">
        <v>0</v>
      </c>
      <c r="Y374" s="119">
        <v>0</v>
      </c>
      <c r="Z374" s="401">
        <v>0</v>
      </c>
      <c r="AA374" s="119">
        <v>0</v>
      </c>
      <c r="AB374" s="119">
        <v>0</v>
      </c>
      <c r="AC374" s="300">
        <v>0</v>
      </c>
      <c r="AD374" s="119">
        <v>0</v>
      </c>
      <c r="AE374" s="401">
        <v>0</v>
      </c>
      <c r="AF374" s="122">
        <v>0</v>
      </c>
      <c r="AG374" s="119">
        <v>0</v>
      </c>
      <c r="AH374" s="429">
        <v>0</v>
      </c>
      <c r="AI374" s="119">
        <v>0</v>
      </c>
      <c r="AJ374" s="401">
        <v>0</v>
      </c>
      <c r="AK374" s="122">
        <v>0</v>
      </c>
      <c r="AL374" s="119">
        <v>0</v>
      </c>
      <c r="AM374" s="429">
        <v>0</v>
      </c>
      <c r="AN374" s="119">
        <v>0</v>
      </c>
      <c r="AO374" s="401">
        <v>0</v>
      </c>
      <c r="AP374" s="122">
        <v>0</v>
      </c>
      <c r="AQ374" s="119">
        <v>0</v>
      </c>
      <c r="AR374" s="429">
        <v>0</v>
      </c>
      <c r="AS374" s="119">
        <v>0</v>
      </c>
      <c r="AT374" s="401">
        <v>0</v>
      </c>
      <c r="AU374" s="122">
        <v>0</v>
      </c>
      <c r="AV374" s="119">
        <v>0</v>
      </c>
      <c r="AW374" s="429">
        <v>0</v>
      </c>
      <c r="AX374" s="119">
        <v>0</v>
      </c>
      <c r="AY374" s="401">
        <v>0</v>
      </c>
      <c r="AZ374" s="122">
        <v>11.717000000000001</v>
      </c>
      <c r="BA374" s="119">
        <v>0</v>
      </c>
      <c r="BB374" s="429">
        <v>0</v>
      </c>
      <c r="BC374" s="119">
        <v>2.6749999999999998</v>
      </c>
      <c r="BD374" s="401">
        <v>14.391999999999999</v>
      </c>
      <c r="BE374" s="300">
        <v>0</v>
      </c>
      <c r="BF374" s="119">
        <v>0</v>
      </c>
      <c r="BG374" s="429">
        <v>0</v>
      </c>
      <c r="BH374" s="119">
        <v>0</v>
      </c>
      <c r="BI374" s="402">
        <v>0</v>
      </c>
      <c r="BJ374" s="119">
        <v>0</v>
      </c>
      <c r="BK374" s="119">
        <v>0</v>
      </c>
      <c r="BL374" s="119">
        <v>0</v>
      </c>
      <c r="BM374" s="119">
        <v>0</v>
      </c>
      <c r="BN374" s="401">
        <v>0</v>
      </c>
      <c r="BO374" s="119">
        <v>0</v>
      </c>
      <c r="BP374" s="119">
        <v>0</v>
      </c>
      <c r="BQ374" s="119">
        <v>0</v>
      </c>
      <c r="BR374" s="119">
        <v>0</v>
      </c>
      <c r="BS374" s="401">
        <v>0</v>
      </c>
      <c r="BT374" s="401">
        <v>0</v>
      </c>
      <c r="BU374" s="401">
        <v>0</v>
      </c>
      <c r="BV374" s="401">
        <v>0</v>
      </c>
      <c r="BW374" s="404"/>
    </row>
    <row r="375" spans="1:75" s="123" customFormat="1" hidden="1" outlineLevel="1" x14ac:dyDescent="0.5">
      <c r="A375" s="428" t="s">
        <v>521</v>
      </c>
      <c r="B375" s="251"/>
      <c r="C375" s="299">
        <v>0</v>
      </c>
      <c r="D375" s="299">
        <v>0</v>
      </c>
      <c r="E375" s="299">
        <v>0</v>
      </c>
      <c r="F375" s="299">
        <v>0</v>
      </c>
      <c r="G375" s="300">
        <v>0</v>
      </c>
      <c r="H375" s="300">
        <v>0</v>
      </c>
      <c r="I375" s="300">
        <v>0</v>
      </c>
      <c r="J375" s="300">
        <v>0</v>
      </c>
      <c r="K375" s="299">
        <v>0</v>
      </c>
      <c r="L375" s="300">
        <v>0</v>
      </c>
      <c r="M375" s="300">
        <v>0</v>
      </c>
      <c r="N375" s="300">
        <v>0</v>
      </c>
      <c r="O375" s="300">
        <v>0</v>
      </c>
      <c r="P375" s="299">
        <v>0</v>
      </c>
      <c r="Q375" s="300">
        <v>0</v>
      </c>
      <c r="R375" s="300">
        <v>0</v>
      </c>
      <c r="S375" s="300">
        <v>0</v>
      </c>
      <c r="T375" s="300">
        <v>0</v>
      </c>
      <c r="U375" s="299">
        <v>0</v>
      </c>
      <c r="V375" s="300">
        <v>0</v>
      </c>
      <c r="W375" s="300">
        <v>0</v>
      </c>
      <c r="X375" s="300">
        <v>0</v>
      </c>
      <c r="Y375" s="119">
        <v>0</v>
      </c>
      <c r="Z375" s="401">
        <v>0</v>
      </c>
      <c r="AA375" s="119">
        <v>0</v>
      </c>
      <c r="AB375" s="119">
        <v>0</v>
      </c>
      <c r="AC375" s="300">
        <v>0</v>
      </c>
      <c r="AD375" s="119">
        <v>0</v>
      </c>
      <c r="AE375" s="401">
        <v>0</v>
      </c>
      <c r="AF375" s="122">
        <v>0</v>
      </c>
      <c r="AG375" s="119">
        <v>0</v>
      </c>
      <c r="AH375" s="429">
        <v>0</v>
      </c>
      <c r="AI375" s="119">
        <v>0</v>
      </c>
      <c r="AJ375" s="401">
        <v>0</v>
      </c>
      <c r="AK375" s="122">
        <v>0</v>
      </c>
      <c r="AL375" s="119">
        <v>0</v>
      </c>
      <c r="AM375" s="429">
        <v>0</v>
      </c>
      <c r="AN375" s="119">
        <v>0</v>
      </c>
      <c r="AO375" s="401">
        <v>0</v>
      </c>
      <c r="AP375" s="122">
        <v>0</v>
      </c>
      <c r="AQ375" s="119">
        <v>0</v>
      </c>
      <c r="AR375" s="429">
        <v>0</v>
      </c>
      <c r="AS375" s="119">
        <v>0</v>
      </c>
      <c r="AT375" s="401">
        <v>0</v>
      </c>
      <c r="AU375" s="122">
        <v>0</v>
      </c>
      <c r="AV375" s="119">
        <v>0</v>
      </c>
      <c r="AW375" s="429">
        <v>0</v>
      </c>
      <c r="AX375" s="119">
        <v>0</v>
      </c>
      <c r="AY375" s="401">
        <v>0</v>
      </c>
      <c r="AZ375" s="122">
        <v>7.1840000000000002</v>
      </c>
      <c r="BA375" s="119">
        <v>0.28499999999999998</v>
      </c>
      <c r="BB375" s="429">
        <v>0</v>
      </c>
      <c r="BC375" s="119">
        <v>0</v>
      </c>
      <c r="BD375" s="401">
        <v>7.4690000000000003</v>
      </c>
      <c r="BE375" s="300">
        <v>0</v>
      </c>
      <c r="BF375" s="119">
        <v>0</v>
      </c>
      <c r="BG375" s="429">
        <v>0</v>
      </c>
      <c r="BH375" s="119">
        <v>0</v>
      </c>
      <c r="BI375" s="402">
        <v>0</v>
      </c>
      <c r="BJ375" s="119">
        <v>0</v>
      </c>
      <c r="BK375" s="119">
        <v>0</v>
      </c>
      <c r="BL375" s="119">
        <v>0</v>
      </c>
      <c r="BM375" s="119">
        <v>0</v>
      </c>
      <c r="BN375" s="401">
        <v>0</v>
      </c>
      <c r="BO375" s="119">
        <v>0</v>
      </c>
      <c r="BP375" s="119">
        <v>0</v>
      </c>
      <c r="BQ375" s="119">
        <v>0</v>
      </c>
      <c r="BR375" s="119">
        <v>0</v>
      </c>
      <c r="BS375" s="401">
        <v>0</v>
      </c>
      <c r="BT375" s="401">
        <v>0</v>
      </c>
      <c r="BU375" s="401">
        <v>0</v>
      </c>
      <c r="BV375" s="401">
        <v>0</v>
      </c>
      <c r="BW375" s="404"/>
    </row>
    <row r="376" spans="1:75" s="123" customFormat="1" hidden="1" outlineLevel="1" x14ac:dyDescent="0.5">
      <c r="A376" s="428" t="s">
        <v>522</v>
      </c>
      <c r="B376" s="251"/>
      <c r="C376" s="299">
        <v>0</v>
      </c>
      <c r="D376" s="299">
        <v>0</v>
      </c>
      <c r="E376" s="299">
        <v>0</v>
      </c>
      <c r="F376" s="299">
        <v>0</v>
      </c>
      <c r="G376" s="300">
        <v>0</v>
      </c>
      <c r="H376" s="300">
        <v>0</v>
      </c>
      <c r="I376" s="300">
        <v>0</v>
      </c>
      <c r="J376" s="300">
        <v>0</v>
      </c>
      <c r="K376" s="299">
        <v>0</v>
      </c>
      <c r="L376" s="300">
        <v>0</v>
      </c>
      <c r="M376" s="300">
        <v>0</v>
      </c>
      <c r="N376" s="300">
        <v>0</v>
      </c>
      <c r="O376" s="300">
        <v>0</v>
      </c>
      <c r="P376" s="299">
        <v>0</v>
      </c>
      <c r="Q376" s="300">
        <v>0</v>
      </c>
      <c r="R376" s="300">
        <v>0</v>
      </c>
      <c r="S376" s="300">
        <v>0</v>
      </c>
      <c r="T376" s="300">
        <v>0</v>
      </c>
      <c r="U376" s="299">
        <v>0</v>
      </c>
      <c r="V376" s="300">
        <v>0</v>
      </c>
      <c r="W376" s="300">
        <v>0</v>
      </c>
      <c r="X376" s="300">
        <v>0</v>
      </c>
      <c r="Y376" s="119">
        <v>0</v>
      </c>
      <c r="Z376" s="401">
        <v>0</v>
      </c>
      <c r="AA376" s="119">
        <v>0</v>
      </c>
      <c r="AB376" s="119">
        <v>0</v>
      </c>
      <c r="AC376" s="300">
        <v>0</v>
      </c>
      <c r="AD376" s="119">
        <v>0</v>
      </c>
      <c r="AE376" s="401">
        <v>0</v>
      </c>
      <c r="AF376" s="122">
        <v>0</v>
      </c>
      <c r="AG376" s="119">
        <v>0</v>
      </c>
      <c r="AH376" s="429">
        <v>0</v>
      </c>
      <c r="AI376" s="119">
        <v>0</v>
      </c>
      <c r="AJ376" s="401">
        <v>0</v>
      </c>
      <c r="AK376" s="122">
        <v>0</v>
      </c>
      <c r="AL376" s="119">
        <v>0</v>
      </c>
      <c r="AM376" s="429">
        <v>0</v>
      </c>
      <c r="AN376" s="119">
        <v>0</v>
      </c>
      <c r="AO376" s="401">
        <v>0</v>
      </c>
      <c r="AP376" s="122">
        <v>0</v>
      </c>
      <c r="AQ376" s="119">
        <v>0</v>
      </c>
      <c r="AR376" s="429">
        <v>0</v>
      </c>
      <c r="AS376" s="119">
        <v>0</v>
      </c>
      <c r="AT376" s="401">
        <v>0</v>
      </c>
      <c r="AU376" s="122">
        <v>0</v>
      </c>
      <c r="AV376" s="119">
        <v>0</v>
      </c>
      <c r="AW376" s="429">
        <v>0</v>
      </c>
      <c r="AX376" s="119">
        <v>0</v>
      </c>
      <c r="AY376" s="401">
        <v>0</v>
      </c>
      <c r="AZ376" s="122">
        <v>0</v>
      </c>
      <c r="BA376" s="119">
        <v>0</v>
      </c>
      <c r="BB376" s="429">
        <v>0</v>
      </c>
      <c r="BC376" s="119">
        <v>4.47</v>
      </c>
      <c r="BD376" s="401">
        <v>4.47</v>
      </c>
      <c r="BE376" s="300">
        <v>0</v>
      </c>
      <c r="BF376" s="119">
        <v>0</v>
      </c>
      <c r="BG376" s="429">
        <v>0</v>
      </c>
      <c r="BH376" s="119">
        <v>0</v>
      </c>
      <c r="BI376" s="402">
        <v>0</v>
      </c>
      <c r="BJ376" s="119">
        <v>0</v>
      </c>
      <c r="BK376" s="119">
        <v>0</v>
      </c>
      <c r="BL376" s="119">
        <v>0</v>
      </c>
      <c r="BM376" s="119">
        <v>0</v>
      </c>
      <c r="BN376" s="401">
        <v>0</v>
      </c>
      <c r="BO376" s="119">
        <v>0</v>
      </c>
      <c r="BP376" s="119">
        <v>0</v>
      </c>
      <c r="BQ376" s="119">
        <v>0</v>
      </c>
      <c r="BR376" s="119">
        <v>0</v>
      </c>
      <c r="BS376" s="401">
        <v>0</v>
      </c>
      <c r="BT376" s="401">
        <v>0</v>
      </c>
      <c r="BU376" s="401">
        <v>0</v>
      </c>
      <c r="BV376" s="401">
        <v>0</v>
      </c>
      <c r="BW376" s="404"/>
    </row>
    <row r="377" spans="1:75" s="123" customFormat="1" hidden="1" outlineLevel="1" x14ac:dyDescent="0.5">
      <c r="A377" s="428" t="s">
        <v>523</v>
      </c>
      <c r="B377" s="251"/>
      <c r="C377" s="299">
        <v>0</v>
      </c>
      <c r="D377" s="299">
        <v>0</v>
      </c>
      <c r="E377" s="299">
        <v>0</v>
      </c>
      <c r="F377" s="299">
        <v>0</v>
      </c>
      <c r="G377" s="300">
        <v>0</v>
      </c>
      <c r="H377" s="300">
        <v>0</v>
      </c>
      <c r="I377" s="300">
        <v>0</v>
      </c>
      <c r="J377" s="300">
        <v>0</v>
      </c>
      <c r="K377" s="299">
        <v>0</v>
      </c>
      <c r="L377" s="300">
        <v>0</v>
      </c>
      <c r="M377" s="300">
        <v>0</v>
      </c>
      <c r="N377" s="300">
        <v>0</v>
      </c>
      <c r="O377" s="300">
        <v>0</v>
      </c>
      <c r="P377" s="299">
        <v>0</v>
      </c>
      <c r="Q377" s="300">
        <v>0</v>
      </c>
      <c r="R377" s="300">
        <v>0</v>
      </c>
      <c r="S377" s="300">
        <v>0</v>
      </c>
      <c r="T377" s="300">
        <v>0</v>
      </c>
      <c r="U377" s="299">
        <v>0</v>
      </c>
      <c r="V377" s="300">
        <v>0</v>
      </c>
      <c r="W377" s="300">
        <v>0</v>
      </c>
      <c r="X377" s="300">
        <v>0</v>
      </c>
      <c r="Y377" s="119">
        <v>0</v>
      </c>
      <c r="Z377" s="401">
        <v>0</v>
      </c>
      <c r="AA377" s="119">
        <v>0</v>
      </c>
      <c r="AB377" s="119">
        <v>0</v>
      </c>
      <c r="AC377" s="300">
        <v>0</v>
      </c>
      <c r="AD377" s="119">
        <v>0</v>
      </c>
      <c r="AE377" s="401">
        <v>0</v>
      </c>
      <c r="AF377" s="122">
        <v>0</v>
      </c>
      <c r="AG377" s="119">
        <v>0</v>
      </c>
      <c r="AH377" s="429">
        <v>0</v>
      </c>
      <c r="AI377" s="119">
        <v>0</v>
      </c>
      <c r="AJ377" s="401">
        <v>0</v>
      </c>
      <c r="AK377" s="122">
        <v>0</v>
      </c>
      <c r="AL377" s="119">
        <v>0</v>
      </c>
      <c r="AM377" s="429">
        <v>0</v>
      </c>
      <c r="AN377" s="119">
        <v>0</v>
      </c>
      <c r="AO377" s="401">
        <v>0</v>
      </c>
      <c r="AP377" s="122">
        <v>0</v>
      </c>
      <c r="AQ377" s="119">
        <v>0</v>
      </c>
      <c r="AR377" s="429">
        <v>0</v>
      </c>
      <c r="AS377" s="119">
        <v>0</v>
      </c>
      <c r="AT377" s="401">
        <v>0</v>
      </c>
      <c r="AU377" s="122">
        <v>0</v>
      </c>
      <c r="AV377" s="119">
        <v>0</v>
      </c>
      <c r="AW377" s="429">
        <v>0</v>
      </c>
      <c r="AX377" s="119">
        <v>0</v>
      </c>
      <c r="AY377" s="401">
        <v>0</v>
      </c>
      <c r="AZ377" s="122">
        <v>0</v>
      </c>
      <c r="BA377" s="119">
        <v>-1.6999999999999904E-2</v>
      </c>
      <c r="BB377" s="429">
        <v>0</v>
      </c>
      <c r="BC377" s="119">
        <v>0</v>
      </c>
      <c r="BD377" s="401">
        <v>-1.6999999999999904E-2</v>
      </c>
      <c r="BE377" s="300">
        <v>0</v>
      </c>
      <c r="BF377" s="119">
        <v>0</v>
      </c>
      <c r="BG377" s="429">
        <v>0</v>
      </c>
      <c r="BH377" s="119">
        <v>0</v>
      </c>
      <c r="BI377" s="402">
        <v>0</v>
      </c>
      <c r="BJ377" s="119">
        <v>0</v>
      </c>
      <c r="BK377" s="119">
        <v>0</v>
      </c>
      <c r="BL377" s="119">
        <v>0</v>
      </c>
      <c r="BM377" s="119">
        <v>0</v>
      </c>
      <c r="BN377" s="401">
        <v>0</v>
      </c>
      <c r="BO377" s="119">
        <v>0</v>
      </c>
      <c r="BP377" s="119">
        <v>0</v>
      </c>
      <c r="BQ377" s="119">
        <v>0</v>
      </c>
      <c r="BR377" s="119">
        <v>0</v>
      </c>
      <c r="BS377" s="401">
        <v>0</v>
      </c>
      <c r="BT377" s="401">
        <v>0</v>
      </c>
      <c r="BU377" s="401">
        <v>0</v>
      </c>
      <c r="BV377" s="401">
        <v>0</v>
      </c>
      <c r="BW377" s="404"/>
    </row>
    <row r="378" spans="1:75" s="123" customFormat="1" hidden="1" outlineLevel="1" x14ac:dyDescent="0.5">
      <c r="A378" s="428" t="s">
        <v>524</v>
      </c>
      <c r="B378" s="251"/>
      <c r="C378" s="299">
        <v>0</v>
      </c>
      <c r="D378" s="299">
        <v>0</v>
      </c>
      <c r="E378" s="299">
        <v>0</v>
      </c>
      <c r="F378" s="299">
        <v>0</v>
      </c>
      <c r="G378" s="300">
        <v>0.76700000000000002</v>
      </c>
      <c r="H378" s="300">
        <v>2.1280000000000001</v>
      </c>
      <c r="I378" s="300">
        <v>0</v>
      </c>
      <c r="J378" s="300">
        <v>0</v>
      </c>
      <c r="K378" s="299">
        <v>2.895</v>
      </c>
      <c r="L378" s="300">
        <v>0</v>
      </c>
      <c r="M378" s="300">
        <v>0</v>
      </c>
      <c r="N378" s="300">
        <v>0</v>
      </c>
      <c r="O378" s="300">
        <v>0</v>
      </c>
      <c r="P378" s="299">
        <v>0</v>
      </c>
      <c r="Q378" s="300">
        <v>0</v>
      </c>
      <c r="R378" s="300">
        <v>0</v>
      </c>
      <c r="S378" s="300">
        <v>0</v>
      </c>
      <c r="T378" s="300">
        <v>0</v>
      </c>
      <c r="U378" s="299">
        <v>0</v>
      </c>
      <c r="V378" s="300">
        <v>0</v>
      </c>
      <c r="W378" s="300">
        <v>0</v>
      </c>
      <c r="X378" s="300">
        <v>0</v>
      </c>
      <c r="Y378" s="119">
        <v>0</v>
      </c>
      <c r="Z378" s="401">
        <v>0</v>
      </c>
      <c r="AA378" s="119">
        <v>0</v>
      </c>
      <c r="AB378" s="119">
        <v>0</v>
      </c>
      <c r="AC378" s="300">
        <v>0</v>
      </c>
      <c r="AD378" s="119">
        <v>0</v>
      </c>
      <c r="AE378" s="401">
        <v>0</v>
      </c>
      <c r="AF378" s="122">
        <v>0</v>
      </c>
      <c r="AG378" s="119">
        <v>0</v>
      </c>
      <c r="AH378" s="429">
        <v>0</v>
      </c>
      <c r="AI378" s="119">
        <v>0</v>
      </c>
      <c r="AJ378" s="401">
        <v>0</v>
      </c>
      <c r="AK378" s="122">
        <v>0</v>
      </c>
      <c r="AL378" s="119">
        <v>0</v>
      </c>
      <c r="AM378" s="429">
        <v>0</v>
      </c>
      <c r="AN378" s="119">
        <v>0</v>
      </c>
      <c r="AO378" s="401">
        <v>0</v>
      </c>
      <c r="AP378" s="122">
        <v>0</v>
      </c>
      <c r="AQ378" s="119">
        <v>0</v>
      </c>
      <c r="AR378" s="429">
        <v>0</v>
      </c>
      <c r="AS378" s="119">
        <v>0</v>
      </c>
      <c r="AT378" s="401">
        <v>0</v>
      </c>
      <c r="AU378" s="122">
        <v>0</v>
      </c>
      <c r="AV378" s="119">
        <v>0</v>
      </c>
      <c r="AW378" s="429">
        <v>0</v>
      </c>
      <c r="AX378" s="119">
        <v>0</v>
      </c>
      <c r="AY378" s="401">
        <v>0</v>
      </c>
      <c r="AZ378" s="122">
        <v>0</v>
      </c>
      <c r="BA378" s="119">
        <v>0</v>
      </c>
      <c r="BB378" s="429">
        <v>0</v>
      </c>
      <c r="BC378" s="119">
        <v>0</v>
      </c>
      <c r="BD378" s="401">
        <v>0</v>
      </c>
      <c r="BE378" s="300">
        <v>0</v>
      </c>
      <c r="BF378" s="119">
        <v>0</v>
      </c>
      <c r="BG378" s="429">
        <v>0</v>
      </c>
      <c r="BH378" s="119">
        <v>0</v>
      </c>
      <c r="BI378" s="402">
        <v>0</v>
      </c>
      <c r="BJ378" s="119">
        <v>0</v>
      </c>
      <c r="BK378" s="119">
        <v>0</v>
      </c>
      <c r="BL378" s="119">
        <v>0</v>
      </c>
      <c r="BM378" s="119">
        <v>0</v>
      </c>
      <c r="BN378" s="401">
        <v>0</v>
      </c>
      <c r="BO378" s="119">
        <v>0</v>
      </c>
      <c r="BP378" s="119">
        <v>0</v>
      </c>
      <c r="BQ378" s="119">
        <v>0</v>
      </c>
      <c r="BR378" s="119">
        <v>0</v>
      </c>
      <c r="BS378" s="401">
        <v>0</v>
      </c>
      <c r="BT378" s="401">
        <v>0</v>
      </c>
      <c r="BU378" s="401">
        <v>0</v>
      </c>
      <c r="BV378" s="401">
        <v>0</v>
      </c>
      <c r="BW378" s="404"/>
    </row>
    <row r="379" spans="1:75" s="123" customFormat="1" hidden="1" outlineLevel="1" x14ac:dyDescent="0.5">
      <c r="A379" s="428" t="s">
        <v>525</v>
      </c>
      <c r="B379" s="251"/>
      <c r="C379" s="299">
        <v>0</v>
      </c>
      <c r="D379" s="299">
        <v>2.351</v>
      </c>
      <c r="E379" s="299">
        <v>0</v>
      </c>
      <c r="F379" s="299">
        <v>10.755000000000001</v>
      </c>
      <c r="G379" s="300">
        <v>0</v>
      </c>
      <c r="H379" s="300">
        <v>0</v>
      </c>
      <c r="I379" s="300">
        <v>0</v>
      </c>
      <c r="J379" s="300">
        <v>0</v>
      </c>
      <c r="K379" s="299">
        <v>0</v>
      </c>
      <c r="L379" s="300">
        <v>0</v>
      </c>
      <c r="M379" s="300">
        <v>0</v>
      </c>
      <c r="N379" s="300">
        <v>0</v>
      </c>
      <c r="O379" s="300">
        <v>0</v>
      </c>
      <c r="P379" s="299">
        <v>0</v>
      </c>
      <c r="Q379" s="300">
        <v>0</v>
      </c>
      <c r="R379" s="300">
        <v>0</v>
      </c>
      <c r="S379" s="300">
        <v>0</v>
      </c>
      <c r="T379" s="300">
        <v>0</v>
      </c>
      <c r="U379" s="299">
        <v>0</v>
      </c>
      <c r="V379" s="300">
        <v>0</v>
      </c>
      <c r="W379" s="300">
        <v>0</v>
      </c>
      <c r="X379" s="300">
        <v>0</v>
      </c>
      <c r="Y379" s="119">
        <v>0</v>
      </c>
      <c r="Z379" s="401">
        <v>0</v>
      </c>
      <c r="AA379" s="119">
        <v>0</v>
      </c>
      <c r="AB379" s="119">
        <v>0</v>
      </c>
      <c r="AC379" s="300">
        <v>0</v>
      </c>
      <c r="AD379" s="119">
        <v>0</v>
      </c>
      <c r="AE379" s="401">
        <v>0</v>
      </c>
      <c r="AF379" s="122">
        <v>0</v>
      </c>
      <c r="AG379" s="119">
        <v>0</v>
      </c>
      <c r="AH379" s="429">
        <v>0</v>
      </c>
      <c r="AI379" s="119">
        <v>0</v>
      </c>
      <c r="AJ379" s="401">
        <v>0</v>
      </c>
      <c r="AK379" s="122">
        <v>0</v>
      </c>
      <c r="AL379" s="119">
        <v>0</v>
      </c>
      <c r="AM379" s="429">
        <v>0</v>
      </c>
      <c r="AN379" s="119">
        <v>0</v>
      </c>
      <c r="AO379" s="401">
        <v>0</v>
      </c>
      <c r="AP379" s="122">
        <v>0</v>
      </c>
      <c r="AQ379" s="119">
        <v>0</v>
      </c>
      <c r="AR379" s="429">
        <v>0</v>
      </c>
      <c r="AS379" s="119">
        <v>0</v>
      </c>
      <c r="AT379" s="401">
        <v>0</v>
      </c>
      <c r="AU379" s="122">
        <v>0</v>
      </c>
      <c r="AV379" s="119">
        <v>0</v>
      </c>
      <c r="AW379" s="429">
        <v>0</v>
      </c>
      <c r="AX379" s="119">
        <v>0</v>
      </c>
      <c r="AY379" s="401">
        <v>0</v>
      </c>
      <c r="AZ379" s="122">
        <v>0</v>
      </c>
      <c r="BA379" s="119">
        <v>0</v>
      </c>
      <c r="BB379" s="429">
        <v>0</v>
      </c>
      <c r="BC379" s="119">
        <v>0</v>
      </c>
      <c r="BD379" s="401">
        <v>0</v>
      </c>
      <c r="BE379" s="300">
        <v>0</v>
      </c>
      <c r="BF379" s="119">
        <v>0</v>
      </c>
      <c r="BG379" s="429">
        <v>0</v>
      </c>
      <c r="BH379" s="119">
        <v>0</v>
      </c>
      <c r="BI379" s="402">
        <v>0</v>
      </c>
      <c r="BJ379" s="119">
        <v>0</v>
      </c>
      <c r="BK379" s="119">
        <v>0</v>
      </c>
      <c r="BL379" s="119">
        <v>0</v>
      </c>
      <c r="BM379" s="119">
        <v>0</v>
      </c>
      <c r="BN379" s="401">
        <v>0</v>
      </c>
      <c r="BO379" s="119">
        <v>0</v>
      </c>
      <c r="BP379" s="119">
        <v>0</v>
      </c>
      <c r="BQ379" s="119">
        <v>0</v>
      </c>
      <c r="BR379" s="119">
        <v>0</v>
      </c>
      <c r="BS379" s="401">
        <v>0</v>
      </c>
      <c r="BT379" s="401">
        <v>0</v>
      </c>
      <c r="BU379" s="401">
        <v>0</v>
      </c>
      <c r="BV379" s="401">
        <v>0</v>
      </c>
      <c r="BW379" s="404"/>
    </row>
    <row r="380" spans="1:75" s="123" customFormat="1" hidden="1" outlineLevel="1" x14ac:dyDescent="0.5">
      <c r="A380" s="428" t="s">
        <v>526</v>
      </c>
      <c r="B380" s="251"/>
      <c r="C380" s="299">
        <v>0</v>
      </c>
      <c r="D380" s="299">
        <v>0</v>
      </c>
      <c r="E380" s="299">
        <v>0</v>
      </c>
      <c r="F380" s="299">
        <v>4.7779999999999996</v>
      </c>
      <c r="G380" s="300">
        <v>0</v>
      </c>
      <c r="H380" s="300">
        <v>0</v>
      </c>
      <c r="I380" s="300">
        <v>0</v>
      </c>
      <c r="J380" s="300">
        <v>0</v>
      </c>
      <c r="K380" s="299">
        <v>0</v>
      </c>
      <c r="L380" s="300">
        <v>0</v>
      </c>
      <c r="M380" s="300">
        <v>0</v>
      </c>
      <c r="N380" s="300">
        <v>0</v>
      </c>
      <c r="O380" s="300">
        <v>0</v>
      </c>
      <c r="P380" s="299">
        <v>0</v>
      </c>
      <c r="Q380" s="300">
        <v>0</v>
      </c>
      <c r="R380" s="300">
        <v>0</v>
      </c>
      <c r="S380" s="300">
        <v>0</v>
      </c>
      <c r="T380" s="300">
        <v>0</v>
      </c>
      <c r="U380" s="299">
        <v>0</v>
      </c>
      <c r="V380" s="300">
        <v>0</v>
      </c>
      <c r="W380" s="300">
        <v>0</v>
      </c>
      <c r="X380" s="300">
        <v>0</v>
      </c>
      <c r="Y380" s="119">
        <v>0</v>
      </c>
      <c r="Z380" s="401">
        <v>0</v>
      </c>
      <c r="AA380" s="119">
        <v>0</v>
      </c>
      <c r="AB380" s="119">
        <v>0</v>
      </c>
      <c r="AC380" s="300">
        <v>0</v>
      </c>
      <c r="AD380" s="119">
        <v>0</v>
      </c>
      <c r="AE380" s="401">
        <v>0</v>
      </c>
      <c r="AF380" s="122">
        <v>0</v>
      </c>
      <c r="AG380" s="119">
        <v>0</v>
      </c>
      <c r="AH380" s="429">
        <v>0</v>
      </c>
      <c r="AI380" s="119">
        <v>0</v>
      </c>
      <c r="AJ380" s="401">
        <v>0</v>
      </c>
      <c r="AK380" s="122">
        <v>0</v>
      </c>
      <c r="AL380" s="119">
        <v>0</v>
      </c>
      <c r="AM380" s="429">
        <v>0</v>
      </c>
      <c r="AN380" s="119">
        <v>0</v>
      </c>
      <c r="AO380" s="401">
        <v>0</v>
      </c>
      <c r="AP380" s="122">
        <v>0</v>
      </c>
      <c r="AQ380" s="119">
        <v>0</v>
      </c>
      <c r="AR380" s="429">
        <v>0</v>
      </c>
      <c r="AS380" s="119">
        <v>0</v>
      </c>
      <c r="AT380" s="401">
        <v>0</v>
      </c>
      <c r="AU380" s="122">
        <v>0</v>
      </c>
      <c r="AV380" s="119">
        <v>0</v>
      </c>
      <c r="AW380" s="429">
        <v>0</v>
      </c>
      <c r="AX380" s="119">
        <v>0</v>
      </c>
      <c r="AY380" s="401">
        <v>0</v>
      </c>
      <c r="AZ380" s="122">
        <v>0</v>
      </c>
      <c r="BA380" s="119">
        <v>0</v>
      </c>
      <c r="BB380" s="429">
        <v>0</v>
      </c>
      <c r="BC380" s="119">
        <v>0</v>
      </c>
      <c r="BD380" s="401">
        <v>0</v>
      </c>
      <c r="BE380" s="300">
        <v>0</v>
      </c>
      <c r="BF380" s="119">
        <v>0</v>
      </c>
      <c r="BG380" s="429">
        <v>0</v>
      </c>
      <c r="BH380" s="119">
        <v>0</v>
      </c>
      <c r="BI380" s="402">
        <v>0</v>
      </c>
      <c r="BJ380" s="119">
        <v>0</v>
      </c>
      <c r="BK380" s="119">
        <v>0</v>
      </c>
      <c r="BL380" s="119">
        <v>0</v>
      </c>
      <c r="BM380" s="119">
        <v>0</v>
      </c>
      <c r="BN380" s="401">
        <v>0</v>
      </c>
      <c r="BO380" s="119">
        <v>0</v>
      </c>
      <c r="BP380" s="119">
        <v>0</v>
      </c>
      <c r="BQ380" s="119">
        <v>0</v>
      </c>
      <c r="BR380" s="119">
        <v>0</v>
      </c>
      <c r="BS380" s="401">
        <v>0</v>
      </c>
      <c r="BT380" s="401">
        <v>0</v>
      </c>
      <c r="BU380" s="401">
        <v>0</v>
      </c>
      <c r="BV380" s="401">
        <v>0</v>
      </c>
      <c r="BW380" s="404"/>
    </row>
    <row r="381" spans="1:75" s="123" customFormat="1" hidden="1" outlineLevel="1" x14ac:dyDescent="0.5">
      <c r="A381" s="428" t="s">
        <v>527</v>
      </c>
      <c r="B381" s="251"/>
      <c r="C381" s="299">
        <v>2.6040000000000001</v>
      </c>
      <c r="D381" s="299">
        <v>0.35199999999999998</v>
      </c>
      <c r="E381" s="299">
        <v>1.58</v>
      </c>
      <c r="F381" s="299">
        <v>0</v>
      </c>
      <c r="G381" s="300">
        <v>0</v>
      </c>
      <c r="H381" s="300">
        <v>0</v>
      </c>
      <c r="I381" s="300">
        <v>0</v>
      </c>
      <c r="J381" s="300">
        <v>0</v>
      </c>
      <c r="K381" s="299">
        <v>0</v>
      </c>
      <c r="L381" s="300">
        <v>0</v>
      </c>
      <c r="M381" s="300">
        <v>0</v>
      </c>
      <c r="N381" s="300">
        <v>0</v>
      </c>
      <c r="O381" s="300">
        <v>0</v>
      </c>
      <c r="P381" s="299">
        <v>0</v>
      </c>
      <c r="Q381" s="300">
        <v>0</v>
      </c>
      <c r="R381" s="300">
        <v>0</v>
      </c>
      <c r="S381" s="300">
        <v>0</v>
      </c>
      <c r="T381" s="300">
        <v>0</v>
      </c>
      <c r="U381" s="299">
        <v>0</v>
      </c>
      <c r="V381" s="300">
        <v>0</v>
      </c>
      <c r="W381" s="300">
        <v>0</v>
      </c>
      <c r="X381" s="300">
        <v>0</v>
      </c>
      <c r="Y381" s="119">
        <v>0</v>
      </c>
      <c r="Z381" s="401">
        <v>0</v>
      </c>
      <c r="AA381" s="119">
        <v>0</v>
      </c>
      <c r="AB381" s="119">
        <v>0</v>
      </c>
      <c r="AC381" s="300">
        <v>0</v>
      </c>
      <c r="AD381" s="119">
        <v>0</v>
      </c>
      <c r="AE381" s="401">
        <v>0</v>
      </c>
      <c r="AF381" s="122">
        <v>0</v>
      </c>
      <c r="AG381" s="119">
        <v>0</v>
      </c>
      <c r="AH381" s="429">
        <v>0</v>
      </c>
      <c r="AI381" s="119">
        <v>0</v>
      </c>
      <c r="AJ381" s="401">
        <v>0</v>
      </c>
      <c r="AK381" s="122">
        <v>0</v>
      </c>
      <c r="AL381" s="119">
        <v>0</v>
      </c>
      <c r="AM381" s="429">
        <v>0</v>
      </c>
      <c r="AN381" s="119">
        <v>0</v>
      </c>
      <c r="AO381" s="401">
        <v>0</v>
      </c>
      <c r="AP381" s="122">
        <v>0</v>
      </c>
      <c r="AQ381" s="119">
        <v>0</v>
      </c>
      <c r="AR381" s="429">
        <v>0</v>
      </c>
      <c r="AS381" s="119">
        <v>0</v>
      </c>
      <c r="AT381" s="401">
        <v>0</v>
      </c>
      <c r="AU381" s="122">
        <v>0</v>
      </c>
      <c r="AV381" s="119">
        <v>0</v>
      </c>
      <c r="AW381" s="429">
        <v>0</v>
      </c>
      <c r="AX381" s="119">
        <v>0</v>
      </c>
      <c r="AY381" s="401">
        <v>0</v>
      </c>
      <c r="AZ381" s="122">
        <v>0</v>
      </c>
      <c r="BA381" s="119">
        <v>0</v>
      </c>
      <c r="BB381" s="429">
        <v>0</v>
      </c>
      <c r="BC381" s="119">
        <v>0</v>
      </c>
      <c r="BD381" s="401">
        <v>0</v>
      </c>
      <c r="BE381" s="300">
        <v>0</v>
      </c>
      <c r="BF381" s="119">
        <v>0</v>
      </c>
      <c r="BG381" s="429">
        <v>0</v>
      </c>
      <c r="BH381" s="119">
        <v>0</v>
      </c>
      <c r="BI381" s="402">
        <v>0</v>
      </c>
      <c r="BJ381" s="119">
        <v>0</v>
      </c>
      <c r="BK381" s="119">
        <v>0</v>
      </c>
      <c r="BL381" s="119">
        <v>0</v>
      </c>
      <c r="BM381" s="119">
        <v>0</v>
      </c>
      <c r="BN381" s="401">
        <v>0</v>
      </c>
      <c r="BO381" s="119">
        <v>0</v>
      </c>
      <c r="BP381" s="119">
        <v>0</v>
      </c>
      <c r="BQ381" s="119">
        <v>0</v>
      </c>
      <c r="BR381" s="119">
        <v>0</v>
      </c>
      <c r="BS381" s="401">
        <v>0</v>
      </c>
      <c r="BT381" s="401">
        <v>0</v>
      </c>
      <c r="BU381" s="401">
        <v>0</v>
      </c>
      <c r="BV381" s="401">
        <v>0</v>
      </c>
      <c r="BW381" s="404"/>
    </row>
    <row r="382" spans="1:75" s="123" customFormat="1" hidden="1" outlineLevel="1" x14ac:dyDescent="0.5">
      <c r="A382" s="428" t="s">
        <v>528</v>
      </c>
      <c r="B382" s="251"/>
      <c r="C382" s="299">
        <v>1.5209999999999999</v>
      </c>
      <c r="D382" s="299">
        <v>1.7969999999999999</v>
      </c>
      <c r="E382" s="299">
        <v>0.621</v>
      </c>
      <c r="F382" s="299">
        <v>0</v>
      </c>
      <c r="G382" s="300">
        <v>0</v>
      </c>
      <c r="H382" s="300">
        <v>0</v>
      </c>
      <c r="I382" s="300">
        <v>0</v>
      </c>
      <c r="J382" s="300">
        <v>0</v>
      </c>
      <c r="K382" s="299">
        <v>0</v>
      </c>
      <c r="L382" s="300">
        <v>0</v>
      </c>
      <c r="M382" s="300">
        <v>0</v>
      </c>
      <c r="N382" s="300">
        <v>0</v>
      </c>
      <c r="O382" s="300">
        <v>0</v>
      </c>
      <c r="P382" s="299">
        <v>0</v>
      </c>
      <c r="Q382" s="300">
        <v>0</v>
      </c>
      <c r="R382" s="300">
        <v>0</v>
      </c>
      <c r="S382" s="300">
        <v>0</v>
      </c>
      <c r="T382" s="300">
        <v>0</v>
      </c>
      <c r="U382" s="299">
        <v>0</v>
      </c>
      <c r="V382" s="300">
        <v>0</v>
      </c>
      <c r="W382" s="300">
        <v>0</v>
      </c>
      <c r="X382" s="300">
        <v>0</v>
      </c>
      <c r="Y382" s="119">
        <v>0</v>
      </c>
      <c r="Z382" s="401">
        <v>0</v>
      </c>
      <c r="AA382" s="119">
        <v>0</v>
      </c>
      <c r="AB382" s="119">
        <v>0</v>
      </c>
      <c r="AC382" s="300">
        <v>0</v>
      </c>
      <c r="AD382" s="119">
        <v>0</v>
      </c>
      <c r="AE382" s="401">
        <v>0</v>
      </c>
      <c r="AF382" s="122">
        <v>0</v>
      </c>
      <c r="AG382" s="119">
        <v>0</v>
      </c>
      <c r="AH382" s="429">
        <v>0</v>
      </c>
      <c r="AI382" s="119">
        <v>0</v>
      </c>
      <c r="AJ382" s="401">
        <v>0</v>
      </c>
      <c r="AK382" s="122">
        <v>0</v>
      </c>
      <c r="AL382" s="119">
        <v>0</v>
      </c>
      <c r="AM382" s="429">
        <v>0</v>
      </c>
      <c r="AN382" s="119">
        <v>0</v>
      </c>
      <c r="AO382" s="401">
        <v>0</v>
      </c>
      <c r="AP382" s="122">
        <v>0</v>
      </c>
      <c r="AQ382" s="119">
        <v>0</v>
      </c>
      <c r="AR382" s="429">
        <v>0</v>
      </c>
      <c r="AS382" s="119">
        <v>0</v>
      </c>
      <c r="AT382" s="401">
        <v>0</v>
      </c>
      <c r="AU382" s="122">
        <v>0</v>
      </c>
      <c r="AV382" s="119">
        <v>0</v>
      </c>
      <c r="AW382" s="429">
        <v>0</v>
      </c>
      <c r="AX382" s="119">
        <v>0</v>
      </c>
      <c r="AY382" s="401">
        <v>0</v>
      </c>
      <c r="AZ382" s="122">
        <v>0</v>
      </c>
      <c r="BA382" s="119">
        <v>0</v>
      </c>
      <c r="BB382" s="429">
        <v>0</v>
      </c>
      <c r="BC382" s="119">
        <v>0</v>
      </c>
      <c r="BD382" s="401">
        <v>0</v>
      </c>
      <c r="BE382" s="300">
        <v>0</v>
      </c>
      <c r="BF382" s="119">
        <v>0</v>
      </c>
      <c r="BG382" s="429">
        <v>0</v>
      </c>
      <c r="BH382" s="119">
        <v>0</v>
      </c>
      <c r="BI382" s="402">
        <v>0</v>
      </c>
      <c r="BJ382" s="119">
        <v>0</v>
      </c>
      <c r="BK382" s="119">
        <v>0</v>
      </c>
      <c r="BL382" s="119">
        <v>0</v>
      </c>
      <c r="BM382" s="119">
        <v>0</v>
      </c>
      <c r="BN382" s="401">
        <v>0</v>
      </c>
      <c r="BO382" s="119">
        <v>0</v>
      </c>
      <c r="BP382" s="119">
        <v>0</v>
      </c>
      <c r="BQ382" s="119">
        <v>0</v>
      </c>
      <c r="BR382" s="119">
        <v>0</v>
      </c>
      <c r="BS382" s="401">
        <v>0</v>
      </c>
      <c r="BT382" s="401">
        <v>0</v>
      </c>
      <c r="BU382" s="401">
        <v>0</v>
      </c>
      <c r="BV382" s="401">
        <v>0</v>
      </c>
      <c r="BW382" s="404"/>
    </row>
    <row r="383" spans="1:75" s="123" customFormat="1" hidden="1" outlineLevel="1" x14ac:dyDescent="0.5">
      <c r="A383" s="428" t="s">
        <v>529</v>
      </c>
      <c r="B383" s="251"/>
      <c r="C383" s="299">
        <v>0</v>
      </c>
      <c r="D383" s="299">
        <v>0</v>
      </c>
      <c r="E383" s="299">
        <v>0</v>
      </c>
      <c r="F383" s="299">
        <v>0</v>
      </c>
      <c r="G383" s="300">
        <v>0</v>
      </c>
      <c r="H383" s="300">
        <v>0</v>
      </c>
      <c r="I383" s="300">
        <v>0</v>
      </c>
      <c r="J383" s="300">
        <v>0</v>
      </c>
      <c r="K383" s="299">
        <v>0</v>
      </c>
      <c r="L383" s="300">
        <v>0</v>
      </c>
      <c r="M383" s="300">
        <v>0</v>
      </c>
      <c r="N383" s="300">
        <v>0</v>
      </c>
      <c r="O383" s="300">
        <v>0</v>
      </c>
      <c r="P383" s="299">
        <v>0</v>
      </c>
      <c r="Q383" s="300">
        <v>0</v>
      </c>
      <c r="R383" s="300">
        <v>0</v>
      </c>
      <c r="S383" s="300">
        <v>0</v>
      </c>
      <c r="T383" s="300">
        <v>0</v>
      </c>
      <c r="U383" s="299">
        <v>0</v>
      </c>
      <c r="V383" s="300">
        <v>1.415</v>
      </c>
      <c r="W383" s="300">
        <v>3.3090000000000002</v>
      </c>
      <c r="X383" s="300">
        <v>0.97399999999999998</v>
      </c>
      <c r="Y383" s="119">
        <v>0</v>
      </c>
      <c r="Z383" s="401">
        <v>5.6980000000000004</v>
      </c>
      <c r="AA383" s="119">
        <v>0</v>
      </c>
      <c r="AB383" s="119">
        <v>0</v>
      </c>
      <c r="AC383" s="300">
        <v>1.0289999999999999</v>
      </c>
      <c r="AD383" s="119">
        <v>-0.08</v>
      </c>
      <c r="AE383" s="401">
        <v>0.94899999999999995</v>
      </c>
      <c r="AF383" s="122">
        <v>0</v>
      </c>
      <c r="AG383" s="119">
        <v>1.7210000000000001</v>
      </c>
      <c r="AH383" s="429">
        <v>7.5640000000000001</v>
      </c>
      <c r="AI383" s="119">
        <v>0.69199999999999995</v>
      </c>
      <c r="AJ383" s="401">
        <v>9.9770000000000003</v>
      </c>
      <c r="AK383" s="122">
        <v>0</v>
      </c>
      <c r="AL383" s="119">
        <v>0</v>
      </c>
      <c r="AM383" s="429">
        <v>1.075</v>
      </c>
      <c r="AN383" s="119">
        <v>0</v>
      </c>
      <c r="AO383" s="401">
        <v>1.075</v>
      </c>
      <c r="AP383" s="122">
        <v>4.1429999999999998</v>
      </c>
      <c r="AQ383" s="119">
        <v>2.8839999999999999</v>
      </c>
      <c r="AR383" s="429">
        <v>0</v>
      </c>
      <c r="AS383" s="119">
        <v>0</v>
      </c>
      <c r="AT383" s="401">
        <v>7.0270000000000001</v>
      </c>
      <c r="AU383" s="122">
        <v>0</v>
      </c>
      <c r="AV383" s="119">
        <v>0.44900000000000001</v>
      </c>
      <c r="AW383" s="429">
        <v>0</v>
      </c>
      <c r="AX383" s="119">
        <v>0</v>
      </c>
      <c r="AY383" s="401">
        <v>0.44900000000000001</v>
      </c>
      <c r="AZ383" s="122">
        <v>0</v>
      </c>
      <c r="BA383" s="119">
        <v>0</v>
      </c>
      <c r="BB383" s="429">
        <v>0</v>
      </c>
      <c r="BC383" s="119">
        <v>0</v>
      </c>
      <c r="BD383" s="401">
        <v>0</v>
      </c>
      <c r="BE383" s="300">
        <v>7.6210000000000004</v>
      </c>
      <c r="BF383" s="119">
        <v>0</v>
      </c>
      <c r="BG383" s="429">
        <v>0</v>
      </c>
      <c r="BH383" s="119">
        <v>0</v>
      </c>
      <c r="BI383" s="402">
        <v>7.6210000000000004</v>
      </c>
      <c r="BJ383" s="119">
        <v>0</v>
      </c>
      <c r="BK383" s="119">
        <v>0</v>
      </c>
      <c r="BL383" s="119">
        <v>0</v>
      </c>
      <c r="BM383" s="119">
        <v>0</v>
      </c>
      <c r="BN383" s="401">
        <v>0</v>
      </c>
      <c r="BO383" s="119">
        <v>0</v>
      </c>
      <c r="BP383" s="119">
        <v>0</v>
      </c>
      <c r="BQ383" s="119">
        <v>0</v>
      </c>
      <c r="BR383" s="119">
        <v>0</v>
      </c>
      <c r="BS383" s="401">
        <v>0</v>
      </c>
      <c r="BT383" s="401">
        <v>0</v>
      </c>
      <c r="BU383" s="401">
        <v>0</v>
      </c>
      <c r="BV383" s="401">
        <v>0</v>
      </c>
      <c r="BW383" s="404"/>
    </row>
    <row r="384" spans="1:75" s="123" customFormat="1" hidden="1" outlineLevel="1" x14ac:dyDescent="0.5">
      <c r="A384" s="428" t="s">
        <v>530</v>
      </c>
      <c r="B384" s="251"/>
      <c r="C384" s="299">
        <v>0</v>
      </c>
      <c r="D384" s="299">
        <v>0</v>
      </c>
      <c r="E384" s="299">
        <v>0</v>
      </c>
      <c r="F384" s="299">
        <v>0</v>
      </c>
      <c r="G384" s="300">
        <v>0</v>
      </c>
      <c r="H384" s="300">
        <v>0</v>
      </c>
      <c r="I384" s="300">
        <v>0</v>
      </c>
      <c r="J384" s="300">
        <v>0</v>
      </c>
      <c r="K384" s="299">
        <v>0</v>
      </c>
      <c r="L384" s="300">
        <v>0</v>
      </c>
      <c r="M384" s="300">
        <v>0</v>
      </c>
      <c r="N384" s="300">
        <v>0</v>
      </c>
      <c r="O384" s="300">
        <v>0</v>
      </c>
      <c r="P384" s="299">
        <v>0</v>
      </c>
      <c r="Q384" s="300">
        <v>0</v>
      </c>
      <c r="R384" s="300">
        <v>0</v>
      </c>
      <c r="S384" s="300">
        <v>0</v>
      </c>
      <c r="T384" s="300">
        <v>0</v>
      </c>
      <c r="U384" s="299">
        <v>0</v>
      </c>
      <c r="V384" s="300">
        <v>0</v>
      </c>
      <c r="W384" s="300">
        <v>0</v>
      </c>
      <c r="X384" s="300">
        <v>0</v>
      </c>
      <c r="Y384" s="119">
        <v>0</v>
      </c>
      <c r="Z384" s="401">
        <v>0</v>
      </c>
      <c r="AA384" s="119">
        <v>0</v>
      </c>
      <c r="AB384" s="119">
        <v>0</v>
      </c>
      <c r="AC384" s="300">
        <v>0</v>
      </c>
      <c r="AD384" s="119">
        <v>0</v>
      </c>
      <c r="AE384" s="401">
        <v>0</v>
      </c>
      <c r="AF384" s="122">
        <v>0</v>
      </c>
      <c r="AG384" s="119">
        <v>0</v>
      </c>
      <c r="AH384" s="429">
        <v>0</v>
      </c>
      <c r="AI384" s="119">
        <v>8.4969999999999999</v>
      </c>
      <c r="AJ384" s="401">
        <v>8.4969999999999999</v>
      </c>
      <c r="AK384" s="122">
        <v>0</v>
      </c>
      <c r="AL384" s="119">
        <v>0</v>
      </c>
      <c r="AM384" s="429">
        <v>-0.33300000000000002</v>
      </c>
      <c r="AN384" s="119">
        <v>0</v>
      </c>
      <c r="AO384" s="401">
        <v>-0.33300000000000002</v>
      </c>
      <c r="AP384" s="122">
        <v>0</v>
      </c>
      <c r="AQ384" s="119">
        <v>0</v>
      </c>
      <c r="AR384" s="429">
        <v>0</v>
      </c>
      <c r="AS384" s="119">
        <v>0</v>
      </c>
      <c r="AT384" s="401">
        <v>0</v>
      </c>
      <c r="AU384" s="122">
        <v>0</v>
      </c>
      <c r="AV384" s="119">
        <v>0</v>
      </c>
      <c r="AW384" s="429">
        <v>0</v>
      </c>
      <c r="AX384" s="119">
        <v>0</v>
      </c>
      <c r="AY384" s="401">
        <v>0</v>
      </c>
      <c r="AZ384" s="122">
        <v>0</v>
      </c>
      <c r="BA384" s="119">
        <v>0</v>
      </c>
      <c r="BB384" s="429">
        <v>0</v>
      </c>
      <c r="BC384" s="119">
        <v>0</v>
      </c>
      <c r="BD384" s="401">
        <v>0</v>
      </c>
      <c r="BE384" s="300">
        <v>0</v>
      </c>
      <c r="BF384" s="119">
        <v>0</v>
      </c>
      <c r="BG384" s="429">
        <v>0</v>
      </c>
      <c r="BH384" s="119">
        <v>0</v>
      </c>
      <c r="BI384" s="402">
        <v>0</v>
      </c>
      <c r="BJ384" s="119">
        <v>0</v>
      </c>
      <c r="BK384" s="119">
        <v>0</v>
      </c>
      <c r="BL384" s="119">
        <v>0</v>
      </c>
      <c r="BM384" s="119">
        <v>0</v>
      </c>
      <c r="BN384" s="401">
        <v>0</v>
      </c>
      <c r="BO384" s="119">
        <v>0</v>
      </c>
      <c r="BP384" s="119">
        <v>0</v>
      </c>
      <c r="BQ384" s="119">
        <v>0</v>
      </c>
      <c r="BR384" s="119">
        <v>0</v>
      </c>
      <c r="BS384" s="401">
        <v>0</v>
      </c>
      <c r="BT384" s="401">
        <v>0</v>
      </c>
      <c r="BU384" s="401">
        <v>0</v>
      </c>
      <c r="BV384" s="401">
        <v>0</v>
      </c>
      <c r="BW384" s="404"/>
    </row>
    <row r="385" spans="1:75" s="123" customFormat="1" hidden="1" outlineLevel="1" x14ac:dyDescent="0.5">
      <c r="A385" s="428" t="s">
        <v>531</v>
      </c>
      <c r="B385" s="251"/>
      <c r="C385" s="299">
        <v>2.3039999999999998</v>
      </c>
      <c r="D385" s="299">
        <v>2.1150000000000002</v>
      </c>
      <c r="E385" s="299">
        <v>0</v>
      </c>
      <c r="F385" s="299">
        <v>0</v>
      </c>
      <c r="G385" s="300">
        <v>0</v>
      </c>
      <c r="H385" s="300">
        <v>0</v>
      </c>
      <c r="I385" s="300">
        <v>0</v>
      </c>
      <c r="J385" s="300">
        <v>0</v>
      </c>
      <c r="K385" s="299">
        <v>0</v>
      </c>
      <c r="L385" s="300">
        <v>0</v>
      </c>
      <c r="M385" s="300">
        <v>0</v>
      </c>
      <c r="N385" s="300">
        <v>0</v>
      </c>
      <c r="O385" s="300">
        <v>0</v>
      </c>
      <c r="P385" s="299">
        <v>0</v>
      </c>
      <c r="Q385" s="300">
        <v>0</v>
      </c>
      <c r="R385" s="300">
        <v>0</v>
      </c>
      <c r="S385" s="300">
        <v>0</v>
      </c>
      <c r="T385" s="300">
        <v>0</v>
      </c>
      <c r="U385" s="299">
        <v>0</v>
      </c>
      <c r="V385" s="300">
        <v>0</v>
      </c>
      <c r="W385" s="300">
        <v>0</v>
      </c>
      <c r="X385" s="300">
        <v>0</v>
      </c>
      <c r="Y385" s="119">
        <v>12.743</v>
      </c>
      <c r="Z385" s="401">
        <v>12.743</v>
      </c>
      <c r="AA385" s="119">
        <v>0</v>
      </c>
      <c r="AB385" s="119">
        <v>0</v>
      </c>
      <c r="AC385" s="300">
        <v>0</v>
      </c>
      <c r="AD385" s="119">
        <v>0</v>
      </c>
      <c r="AE385" s="401">
        <v>0</v>
      </c>
      <c r="AF385" s="122">
        <v>0</v>
      </c>
      <c r="AG385" s="119">
        <v>0</v>
      </c>
      <c r="AH385" s="429">
        <v>0</v>
      </c>
      <c r="AI385" s="119">
        <v>3.8069999999999999</v>
      </c>
      <c r="AJ385" s="401">
        <v>3.8069999999999999</v>
      </c>
      <c r="AK385" s="122">
        <v>3.476</v>
      </c>
      <c r="AL385" s="119">
        <v>2.5449999999999999</v>
      </c>
      <c r="AM385" s="429">
        <v>1.0309999999999999</v>
      </c>
      <c r="AN385" s="119">
        <v>14.847</v>
      </c>
      <c r="AO385" s="401">
        <v>21.898999999999997</v>
      </c>
      <c r="AP385" s="122">
        <v>6.8710000000000004</v>
      </c>
      <c r="AQ385" s="119">
        <v>1.339</v>
      </c>
      <c r="AR385" s="429">
        <v>2.0910000000000002</v>
      </c>
      <c r="AS385" s="119">
        <v>0.95</v>
      </c>
      <c r="AT385" s="401">
        <v>11.250999999999999</v>
      </c>
      <c r="AU385" s="122">
        <v>0</v>
      </c>
      <c r="AV385" s="119">
        <v>7.3540000000000001</v>
      </c>
      <c r="AW385" s="429">
        <v>0</v>
      </c>
      <c r="AX385" s="119">
        <v>2.2759999999999998</v>
      </c>
      <c r="AY385" s="401">
        <v>9.6300000000000008</v>
      </c>
      <c r="AZ385" s="122">
        <v>5.923</v>
      </c>
      <c r="BA385" s="119">
        <v>2.0309999999999997</v>
      </c>
      <c r="BB385" s="429">
        <v>10.926</v>
      </c>
      <c r="BC385" s="119">
        <v>5.1059999999999999</v>
      </c>
      <c r="BD385" s="401">
        <v>23.986000000000001</v>
      </c>
      <c r="BE385" s="300">
        <v>0</v>
      </c>
      <c r="BF385" s="119">
        <v>0</v>
      </c>
      <c r="BG385" s="429">
        <v>3.5310000000000001</v>
      </c>
      <c r="BH385" s="119">
        <v>0</v>
      </c>
      <c r="BI385" s="402">
        <v>3.5310000000000001</v>
      </c>
      <c r="BJ385" s="119">
        <v>0</v>
      </c>
      <c r="BK385" s="119">
        <v>0</v>
      </c>
      <c r="BL385" s="119">
        <v>0</v>
      </c>
      <c r="BM385" s="119">
        <v>0</v>
      </c>
      <c r="BN385" s="401">
        <v>0</v>
      </c>
      <c r="BO385" s="119">
        <v>0</v>
      </c>
      <c r="BP385" s="119">
        <v>0</v>
      </c>
      <c r="BQ385" s="119">
        <v>0</v>
      </c>
      <c r="BR385" s="119">
        <v>0</v>
      </c>
      <c r="BS385" s="401">
        <v>0</v>
      </c>
      <c r="BT385" s="401">
        <v>0</v>
      </c>
      <c r="BU385" s="401">
        <v>0</v>
      </c>
      <c r="BV385" s="401">
        <v>0</v>
      </c>
      <c r="BW385" s="404"/>
    </row>
    <row r="386" spans="1:75" s="123" customFormat="1" hidden="1" outlineLevel="1" x14ac:dyDescent="0.5">
      <c r="A386" s="428" t="s">
        <v>532</v>
      </c>
      <c r="B386" s="251"/>
      <c r="C386" s="299">
        <v>0</v>
      </c>
      <c r="D386" s="299">
        <v>0</v>
      </c>
      <c r="E386" s="299">
        <v>0</v>
      </c>
      <c r="F386" s="299">
        <v>0</v>
      </c>
      <c r="G386" s="300">
        <v>0</v>
      </c>
      <c r="H386" s="300">
        <v>0</v>
      </c>
      <c r="I386" s="300">
        <v>0</v>
      </c>
      <c r="J386" s="300">
        <v>0</v>
      </c>
      <c r="K386" s="299">
        <v>0</v>
      </c>
      <c r="L386" s="300">
        <v>0</v>
      </c>
      <c r="M386" s="300">
        <v>0</v>
      </c>
      <c r="N386" s="300">
        <v>0</v>
      </c>
      <c r="O386" s="300">
        <v>0</v>
      </c>
      <c r="P386" s="299">
        <v>0</v>
      </c>
      <c r="Q386" s="300">
        <v>0</v>
      </c>
      <c r="R386" s="300">
        <v>0</v>
      </c>
      <c r="S386" s="300">
        <v>0</v>
      </c>
      <c r="T386" s="300">
        <v>0</v>
      </c>
      <c r="U386" s="299">
        <v>0</v>
      </c>
      <c r="V386" s="300">
        <v>0</v>
      </c>
      <c r="W386" s="300">
        <v>0</v>
      </c>
      <c r="X386" s="300">
        <v>0</v>
      </c>
      <c r="Y386" s="119">
        <v>4.7670000000000003</v>
      </c>
      <c r="Z386" s="401">
        <v>4.7670000000000003</v>
      </c>
      <c r="AA386" s="119">
        <v>0</v>
      </c>
      <c r="AB386" s="119">
        <v>0</v>
      </c>
      <c r="AC386" s="300">
        <v>0</v>
      </c>
      <c r="AD386" s="119">
        <v>0</v>
      </c>
      <c r="AE386" s="401">
        <v>0</v>
      </c>
      <c r="AF386" s="122">
        <v>0</v>
      </c>
      <c r="AG386" s="119">
        <v>0</v>
      </c>
      <c r="AH386" s="429">
        <v>0</v>
      </c>
      <c r="AI386" s="119">
        <v>0</v>
      </c>
      <c r="AJ386" s="401">
        <v>0</v>
      </c>
      <c r="AK386" s="122">
        <v>0</v>
      </c>
      <c r="AL386" s="119">
        <v>0</v>
      </c>
      <c r="AM386" s="429">
        <v>0</v>
      </c>
      <c r="AN386" s="119">
        <v>0</v>
      </c>
      <c r="AO386" s="401">
        <v>0</v>
      </c>
      <c r="AP386" s="122">
        <v>0</v>
      </c>
      <c r="AQ386" s="119">
        <v>0</v>
      </c>
      <c r="AR386" s="429">
        <v>0</v>
      </c>
      <c r="AS386" s="119">
        <v>0</v>
      </c>
      <c r="AT386" s="401">
        <v>0</v>
      </c>
      <c r="AU386" s="122">
        <v>0</v>
      </c>
      <c r="AV386" s="119">
        <v>0</v>
      </c>
      <c r="AW386" s="429">
        <v>0</v>
      </c>
      <c r="AX386" s="119">
        <v>0</v>
      </c>
      <c r="AY386" s="401">
        <v>0</v>
      </c>
      <c r="AZ386" s="122">
        <v>0</v>
      </c>
      <c r="BA386" s="119">
        <v>0</v>
      </c>
      <c r="BB386" s="429">
        <v>0</v>
      </c>
      <c r="BC386" s="119">
        <v>0</v>
      </c>
      <c r="BD386" s="401">
        <v>0</v>
      </c>
      <c r="BE386" s="300">
        <v>0</v>
      </c>
      <c r="BF386" s="119">
        <v>0</v>
      </c>
      <c r="BG386" s="429">
        <v>0</v>
      </c>
      <c r="BH386" s="119">
        <v>0</v>
      </c>
      <c r="BI386" s="402">
        <v>0</v>
      </c>
      <c r="BJ386" s="119">
        <v>0</v>
      </c>
      <c r="BK386" s="119">
        <v>0</v>
      </c>
      <c r="BL386" s="119">
        <v>0</v>
      </c>
      <c r="BM386" s="119">
        <v>0</v>
      </c>
      <c r="BN386" s="401">
        <v>0</v>
      </c>
      <c r="BO386" s="119">
        <v>0</v>
      </c>
      <c r="BP386" s="119">
        <v>0</v>
      </c>
      <c r="BQ386" s="119">
        <v>0</v>
      </c>
      <c r="BR386" s="119">
        <v>0</v>
      </c>
      <c r="BS386" s="401">
        <v>0</v>
      </c>
      <c r="BT386" s="401">
        <v>0</v>
      </c>
      <c r="BU386" s="401">
        <v>0</v>
      </c>
      <c r="BV386" s="401">
        <v>0</v>
      </c>
      <c r="BW386" s="404"/>
    </row>
    <row r="387" spans="1:75" s="123" customFormat="1" hidden="1" outlineLevel="1" x14ac:dyDescent="0.5">
      <c r="A387" s="428" t="s">
        <v>533</v>
      </c>
      <c r="B387" s="251"/>
      <c r="C387" s="299">
        <v>0</v>
      </c>
      <c r="D387" s="299">
        <v>0</v>
      </c>
      <c r="E387" s="299">
        <v>0</v>
      </c>
      <c r="F387" s="299">
        <v>0</v>
      </c>
      <c r="G387" s="300">
        <v>0</v>
      </c>
      <c r="H387" s="300">
        <v>0</v>
      </c>
      <c r="I387" s="300">
        <v>0</v>
      </c>
      <c r="J387" s="300">
        <v>0</v>
      </c>
      <c r="K387" s="299">
        <v>0</v>
      </c>
      <c r="L387" s="300">
        <v>0</v>
      </c>
      <c r="M387" s="300">
        <v>0</v>
      </c>
      <c r="N387" s="300">
        <v>0</v>
      </c>
      <c r="O387" s="300">
        <v>0</v>
      </c>
      <c r="P387" s="299">
        <v>0</v>
      </c>
      <c r="Q387" s="300">
        <v>0</v>
      </c>
      <c r="R387" s="300">
        <v>0</v>
      </c>
      <c r="S387" s="300">
        <v>0</v>
      </c>
      <c r="T387" s="300">
        <v>0</v>
      </c>
      <c r="U387" s="299">
        <v>0</v>
      </c>
      <c r="V387" s="300">
        <v>2.069</v>
      </c>
      <c r="W387" s="300">
        <v>0.77800000000000002</v>
      </c>
      <c r="X387" s="300">
        <v>0</v>
      </c>
      <c r="Y387" s="119">
        <v>0</v>
      </c>
      <c r="Z387" s="401">
        <v>2.847</v>
      </c>
      <c r="AA387" s="119">
        <v>0</v>
      </c>
      <c r="AB387" s="119">
        <v>0</v>
      </c>
      <c r="AC387" s="300">
        <v>0</v>
      </c>
      <c r="AD387" s="119">
        <v>0</v>
      </c>
      <c r="AE387" s="401">
        <v>0</v>
      </c>
      <c r="AF387" s="122">
        <v>0</v>
      </c>
      <c r="AG387" s="119">
        <v>0</v>
      </c>
      <c r="AH387" s="429">
        <v>0</v>
      </c>
      <c r="AI387" s="119">
        <v>0</v>
      </c>
      <c r="AJ387" s="401">
        <v>0</v>
      </c>
      <c r="AK387" s="122">
        <v>0</v>
      </c>
      <c r="AL387" s="119">
        <v>0</v>
      </c>
      <c r="AM387" s="429">
        <v>0</v>
      </c>
      <c r="AN387" s="119">
        <v>0</v>
      </c>
      <c r="AO387" s="401">
        <v>0</v>
      </c>
      <c r="AP387" s="122">
        <v>0</v>
      </c>
      <c r="AQ387" s="119">
        <v>0</v>
      </c>
      <c r="AR387" s="429">
        <v>0</v>
      </c>
      <c r="AS387" s="119">
        <v>0</v>
      </c>
      <c r="AT387" s="401">
        <v>0</v>
      </c>
      <c r="AU387" s="122">
        <v>0</v>
      </c>
      <c r="AV387" s="119">
        <v>0</v>
      </c>
      <c r="AW387" s="429">
        <v>0</v>
      </c>
      <c r="AX387" s="119">
        <v>0</v>
      </c>
      <c r="AY387" s="401">
        <v>0</v>
      </c>
      <c r="AZ387" s="122">
        <v>0</v>
      </c>
      <c r="BA387" s="119">
        <v>0</v>
      </c>
      <c r="BB387" s="429">
        <v>0</v>
      </c>
      <c r="BC387" s="119">
        <v>0</v>
      </c>
      <c r="BD387" s="401">
        <v>0</v>
      </c>
      <c r="BE387" s="300">
        <v>0</v>
      </c>
      <c r="BF387" s="119">
        <v>0</v>
      </c>
      <c r="BG387" s="429">
        <v>0</v>
      </c>
      <c r="BH387" s="119">
        <v>0</v>
      </c>
      <c r="BI387" s="402">
        <v>0</v>
      </c>
      <c r="BJ387" s="119">
        <v>0</v>
      </c>
      <c r="BK387" s="119">
        <v>0</v>
      </c>
      <c r="BL387" s="119">
        <v>0</v>
      </c>
      <c r="BM387" s="119">
        <v>0</v>
      </c>
      <c r="BN387" s="401">
        <v>0</v>
      </c>
      <c r="BO387" s="119">
        <v>0</v>
      </c>
      <c r="BP387" s="119">
        <v>0</v>
      </c>
      <c r="BQ387" s="119">
        <v>0</v>
      </c>
      <c r="BR387" s="119">
        <v>0</v>
      </c>
      <c r="BS387" s="401">
        <v>0</v>
      </c>
      <c r="BT387" s="401">
        <v>0</v>
      </c>
      <c r="BU387" s="401">
        <v>0</v>
      </c>
      <c r="BV387" s="401">
        <v>0</v>
      </c>
      <c r="BW387" s="404"/>
    </row>
    <row r="388" spans="1:75" s="123" customFormat="1" hidden="1" outlineLevel="1" x14ac:dyDescent="0.5">
      <c r="A388" s="428" t="s">
        <v>534</v>
      </c>
      <c r="B388" s="251"/>
      <c r="C388" s="299">
        <v>0</v>
      </c>
      <c r="D388" s="299">
        <v>0</v>
      </c>
      <c r="E388" s="299">
        <v>0</v>
      </c>
      <c r="F388" s="299">
        <v>0</v>
      </c>
      <c r="G388" s="300">
        <v>0</v>
      </c>
      <c r="H388" s="300">
        <v>0</v>
      </c>
      <c r="I388" s="300">
        <v>0</v>
      </c>
      <c r="J388" s="300">
        <v>0</v>
      </c>
      <c r="K388" s="299">
        <v>0</v>
      </c>
      <c r="L388" s="300">
        <v>0</v>
      </c>
      <c r="M388" s="300">
        <v>0</v>
      </c>
      <c r="N388" s="300">
        <v>0</v>
      </c>
      <c r="O388" s="300">
        <v>0</v>
      </c>
      <c r="P388" s="299">
        <v>0</v>
      </c>
      <c r="Q388" s="300">
        <v>0</v>
      </c>
      <c r="R388" s="300">
        <v>0</v>
      </c>
      <c r="S388" s="300">
        <v>0</v>
      </c>
      <c r="T388" s="300">
        <v>0</v>
      </c>
      <c r="U388" s="299">
        <v>0</v>
      </c>
      <c r="V388" s="300">
        <v>0</v>
      </c>
      <c r="W388" s="300">
        <v>0</v>
      </c>
      <c r="X388" s="300">
        <v>0</v>
      </c>
      <c r="Y388" s="119">
        <v>0</v>
      </c>
      <c r="Z388" s="401">
        <v>0</v>
      </c>
      <c r="AA388" s="119">
        <v>0</v>
      </c>
      <c r="AB388" s="119">
        <v>0</v>
      </c>
      <c r="AC388" s="300">
        <v>0</v>
      </c>
      <c r="AD388" s="119">
        <v>0</v>
      </c>
      <c r="AE388" s="401">
        <v>0</v>
      </c>
      <c r="AF388" s="122">
        <v>0</v>
      </c>
      <c r="AG388" s="119">
        <v>0</v>
      </c>
      <c r="AH388" s="429">
        <v>0</v>
      </c>
      <c r="AI388" s="119">
        <v>0</v>
      </c>
      <c r="AJ388" s="401">
        <v>0</v>
      </c>
      <c r="AK388" s="122">
        <v>0</v>
      </c>
      <c r="AL388" s="119">
        <v>0</v>
      </c>
      <c r="AM388" s="429">
        <v>-1.196</v>
      </c>
      <c r="AN388" s="119">
        <v>0</v>
      </c>
      <c r="AO388" s="401">
        <v>-1.196</v>
      </c>
      <c r="AP388" s="122">
        <v>0</v>
      </c>
      <c r="AQ388" s="119">
        <v>9.3520000000000003</v>
      </c>
      <c r="AR388" s="429">
        <v>0</v>
      </c>
      <c r="AS388" s="119">
        <v>0</v>
      </c>
      <c r="AT388" s="401">
        <v>9.3520000000000003</v>
      </c>
      <c r="AU388" s="122">
        <v>0</v>
      </c>
      <c r="AV388" s="119">
        <v>0</v>
      </c>
      <c r="AW388" s="429">
        <v>0</v>
      </c>
      <c r="AX388" s="119">
        <v>0</v>
      </c>
      <c r="AY388" s="401">
        <v>0</v>
      </c>
      <c r="AZ388" s="122">
        <v>0</v>
      </c>
      <c r="BA388" s="119">
        <v>0</v>
      </c>
      <c r="BB388" s="429">
        <v>0</v>
      </c>
      <c r="BC388" s="119">
        <v>0</v>
      </c>
      <c r="BD388" s="401">
        <v>0</v>
      </c>
      <c r="BE388" s="300">
        <v>0</v>
      </c>
      <c r="BF388" s="119">
        <v>0</v>
      </c>
      <c r="BG388" s="429">
        <v>0</v>
      </c>
      <c r="BH388" s="119">
        <v>0</v>
      </c>
      <c r="BI388" s="402">
        <v>0</v>
      </c>
      <c r="BJ388" s="119">
        <v>0</v>
      </c>
      <c r="BK388" s="119">
        <v>0</v>
      </c>
      <c r="BL388" s="119">
        <v>0</v>
      </c>
      <c r="BM388" s="119">
        <v>0</v>
      </c>
      <c r="BN388" s="401">
        <v>0</v>
      </c>
      <c r="BO388" s="119">
        <v>0</v>
      </c>
      <c r="BP388" s="119">
        <v>0</v>
      </c>
      <c r="BQ388" s="119">
        <v>0</v>
      </c>
      <c r="BR388" s="119">
        <v>0</v>
      </c>
      <c r="BS388" s="401">
        <v>0</v>
      </c>
      <c r="BT388" s="401">
        <v>0</v>
      </c>
      <c r="BU388" s="401">
        <v>0</v>
      </c>
      <c r="BV388" s="401">
        <v>0</v>
      </c>
      <c r="BW388" s="404"/>
    </row>
    <row r="389" spans="1:75" s="123" customFormat="1" hidden="1" outlineLevel="1" x14ac:dyDescent="0.5">
      <c r="A389" s="428" t="s">
        <v>535</v>
      </c>
      <c r="B389" s="251"/>
      <c r="C389" s="299">
        <v>0</v>
      </c>
      <c r="D389" s="299">
        <v>0</v>
      </c>
      <c r="E389" s="299">
        <v>3.11</v>
      </c>
      <c r="F389" s="299">
        <v>-0.38600000000000001</v>
      </c>
      <c r="G389" s="300">
        <v>0</v>
      </c>
      <c r="H389" s="300">
        <v>0</v>
      </c>
      <c r="I389" s="300">
        <v>0</v>
      </c>
      <c r="J389" s="300">
        <v>0</v>
      </c>
      <c r="K389" s="299">
        <v>0</v>
      </c>
      <c r="L389" s="300">
        <v>0</v>
      </c>
      <c r="M389" s="300">
        <v>0</v>
      </c>
      <c r="N389" s="300">
        <v>0</v>
      </c>
      <c r="O389" s="300">
        <v>0</v>
      </c>
      <c r="P389" s="299">
        <v>0</v>
      </c>
      <c r="Q389" s="300">
        <v>0</v>
      </c>
      <c r="R389" s="300">
        <v>0</v>
      </c>
      <c r="S389" s="300">
        <v>0</v>
      </c>
      <c r="T389" s="300">
        <v>0</v>
      </c>
      <c r="U389" s="299">
        <v>0</v>
      </c>
      <c r="V389" s="300">
        <v>0</v>
      </c>
      <c r="W389" s="300">
        <v>0</v>
      </c>
      <c r="X389" s="300">
        <v>0</v>
      </c>
      <c r="Y389" s="119">
        <v>0</v>
      </c>
      <c r="Z389" s="401">
        <v>0</v>
      </c>
      <c r="AA389" s="119">
        <v>0</v>
      </c>
      <c r="AB389" s="119">
        <v>0</v>
      </c>
      <c r="AC389" s="300">
        <v>0</v>
      </c>
      <c r="AD389" s="119">
        <v>4.4169999999999998</v>
      </c>
      <c r="AE389" s="401">
        <v>4.4169999999999998</v>
      </c>
      <c r="AF389" s="122">
        <v>0</v>
      </c>
      <c r="AG389" s="119">
        <v>0</v>
      </c>
      <c r="AH389" s="429">
        <v>3.411</v>
      </c>
      <c r="AI389" s="119">
        <v>0</v>
      </c>
      <c r="AJ389" s="401">
        <v>3.411</v>
      </c>
      <c r="AK389" s="122">
        <v>0</v>
      </c>
      <c r="AL389" s="119">
        <v>0</v>
      </c>
      <c r="AM389" s="429">
        <v>0</v>
      </c>
      <c r="AN389" s="119">
        <v>0</v>
      </c>
      <c r="AO389" s="401">
        <v>0</v>
      </c>
      <c r="AP389" s="122">
        <v>0</v>
      </c>
      <c r="AQ389" s="119">
        <v>0</v>
      </c>
      <c r="AR389" s="429">
        <v>0</v>
      </c>
      <c r="AS389" s="119">
        <v>0</v>
      </c>
      <c r="AT389" s="401">
        <v>0</v>
      </c>
      <c r="AU389" s="122">
        <v>0</v>
      </c>
      <c r="AV389" s="119">
        <v>0</v>
      </c>
      <c r="AW389" s="429">
        <v>0</v>
      </c>
      <c r="AX389" s="119">
        <v>0</v>
      </c>
      <c r="AY389" s="401">
        <v>0</v>
      </c>
      <c r="AZ389" s="122">
        <v>0</v>
      </c>
      <c r="BA389" s="119">
        <v>0</v>
      </c>
      <c r="BB389" s="429">
        <v>0</v>
      </c>
      <c r="BC389" s="119">
        <v>0</v>
      </c>
      <c r="BD389" s="401">
        <v>0</v>
      </c>
      <c r="BE389" s="300">
        <v>0</v>
      </c>
      <c r="BF389" s="119">
        <v>0</v>
      </c>
      <c r="BG389" s="429">
        <v>0</v>
      </c>
      <c r="BH389" s="119">
        <v>0</v>
      </c>
      <c r="BI389" s="402">
        <v>0</v>
      </c>
      <c r="BJ389" s="119">
        <v>0</v>
      </c>
      <c r="BK389" s="119">
        <v>0</v>
      </c>
      <c r="BL389" s="119">
        <v>0</v>
      </c>
      <c r="BM389" s="119">
        <v>0</v>
      </c>
      <c r="BN389" s="401">
        <v>0</v>
      </c>
      <c r="BO389" s="119">
        <v>0</v>
      </c>
      <c r="BP389" s="119">
        <v>0</v>
      </c>
      <c r="BQ389" s="119">
        <v>0</v>
      </c>
      <c r="BR389" s="119">
        <v>0</v>
      </c>
      <c r="BS389" s="401">
        <v>0</v>
      </c>
      <c r="BT389" s="401">
        <v>0</v>
      </c>
      <c r="BU389" s="401">
        <v>0</v>
      </c>
      <c r="BV389" s="401">
        <v>0</v>
      </c>
      <c r="BW389" s="404"/>
    </row>
    <row r="390" spans="1:75" s="123" customFormat="1" hidden="1" outlineLevel="1" x14ac:dyDescent="0.5">
      <c r="A390" s="428" t="s">
        <v>536</v>
      </c>
      <c r="B390" s="251"/>
      <c r="C390" s="299">
        <v>0</v>
      </c>
      <c r="D390" s="299">
        <v>0</v>
      </c>
      <c r="E390" s="299">
        <v>0</v>
      </c>
      <c r="F390" s="299">
        <v>0</v>
      </c>
      <c r="G390" s="300">
        <v>0</v>
      </c>
      <c r="H390" s="300">
        <v>0</v>
      </c>
      <c r="I390" s="300">
        <v>0</v>
      </c>
      <c r="J390" s="300">
        <v>0</v>
      </c>
      <c r="K390" s="299">
        <v>0</v>
      </c>
      <c r="L390" s="300">
        <v>0</v>
      </c>
      <c r="M390" s="300">
        <v>0</v>
      </c>
      <c r="N390" s="300">
        <v>0</v>
      </c>
      <c r="O390" s="300">
        <v>0</v>
      </c>
      <c r="P390" s="299">
        <v>0</v>
      </c>
      <c r="Q390" s="300">
        <v>0</v>
      </c>
      <c r="R390" s="300">
        <v>0</v>
      </c>
      <c r="S390" s="300">
        <v>0</v>
      </c>
      <c r="T390" s="300">
        <v>0</v>
      </c>
      <c r="U390" s="299">
        <v>0</v>
      </c>
      <c r="V390" s="300">
        <v>0</v>
      </c>
      <c r="W390" s="300">
        <v>0</v>
      </c>
      <c r="X390" s="300">
        <v>0</v>
      </c>
      <c r="Y390" s="119">
        <v>0</v>
      </c>
      <c r="Z390" s="401">
        <v>0</v>
      </c>
      <c r="AA390" s="119">
        <v>0</v>
      </c>
      <c r="AB390" s="119">
        <v>0</v>
      </c>
      <c r="AC390" s="300">
        <v>0.83299999999999996</v>
      </c>
      <c r="AD390" s="119">
        <v>4.0129999999999999</v>
      </c>
      <c r="AE390" s="401">
        <v>4.8460000000000001</v>
      </c>
      <c r="AF390" s="122">
        <v>-0.84</v>
      </c>
      <c r="AG390" s="119">
        <v>0</v>
      </c>
      <c r="AH390" s="429">
        <v>3.8860000000000001</v>
      </c>
      <c r="AI390" s="119">
        <v>0</v>
      </c>
      <c r="AJ390" s="401">
        <v>3.0460000000000003</v>
      </c>
      <c r="AK390" s="122">
        <v>0</v>
      </c>
      <c r="AL390" s="119">
        <v>0</v>
      </c>
      <c r="AM390" s="429">
        <v>0</v>
      </c>
      <c r="AN390" s="119">
        <v>0</v>
      </c>
      <c r="AO390" s="401">
        <v>0</v>
      </c>
      <c r="AP390" s="122">
        <v>0</v>
      </c>
      <c r="AQ390" s="119">
        <v>0</v>
      </c>
      <c r="AR390" s="429">
        <v>0</v>
      </c>
      <c r="AS390" s="119">
        <v>0</v>
      </c>
      <c r="AT390" s="401">
        <v>0</v>
      </c>
      <c r="AU390" s="122">
        <v>0</v>
      </c>
      <c r="AV390" s="119">
        <v>0</v>
      </c>
      <c r="AW390" s="429">
        <v>0</v>
      </c>
      <c r="AX390" s="119">
        <v>0</v>
      </c>
      <c r="AY390" s="401">
        <v>0</v>
      </c>
      <c r="AZ390" s="122">
        <v>0</v>
      </c>
      <c r="BA390" s="119">
        <v>0</v>
      </c>
      <c r="BB390" s="429">
        <v>0</v>
      </c>
      <c r="BC390" s="119">
        <v>0</v>
      </c>
      <c r="BD390" s="401">
        <v>0</v>
      </c>
      <c r="BE390" s="300">
        <v>0</v>
      </c>
      <c r="BF390" s="119">
        <v>0</v>
      </c>
      <c r="BG390" s="429">
        <v>0</v>
      </c>
      <c r="BH390" s="119">
        <v>0</v>
      </c>
      <c r="BI390" s="402">
        <v>0</v>
      </c>
      <c r="BJ390" s="119">
        <v>0</v>
      </c>
      <c r="BK390" s="119">
        <v>0</v>
      </c>
      <c r="BL390" s="119">
        <v>0</v>
      </c>
      <c r="BM390" s="119">
        <v>0</v>
      </c>
      <c r="BN390" s="401">
        <v>0</v>
      </c>
      <c r="BO390" s="119">
        <v>0</v>
      </c>
      <c r="BP390" s="119">
        <v>0</v>
      </c>
      <c r="BQ390" s="119">
        <v>0</v>
      </c>
      <c r="BR390" s="119">
        <v>0</v>
      </c>
      <c r="BS390" s="401">
        <v>0</v>
      </c>
      <c r="BT390" s="401">
        <v>0</v>
      </c>
      <c r="BU390" s="401">
        <v>0</v>
      </c>
      <c r="BV390" s="401">
        <v>0</v>
      </c>
      <c r="BW390" s="404"/>
    </row>
    <row r="391" spans="1:75" s="123" customFormat="1" hidden="1" outlineLevel="1" x14ac:dyDescent="0.5">
      <c r="A391" s="428" t="s">
        <v>537</v>
      </c>
      <c r="B391" s="251"/>
      <c r="C391" s="299">
        <v>0</v>
      </c>
      <c r="D391" s="299">
        <v>0</v>
      </c>
      <c r="E391" s="299">
        <v>0</v>
      </c>
      <c r="F391" s="299">
        <v>0</v>
      </c>
      <c r="G391" s="300">
        <v>0</v>
      </c>
      <c r="H391" s="300">
        <v>0</v>
      </c>
      <c r="I391" s="300">
        <v>0</v>
      </c>
      <c r="J391" s="300">
        <v>0</v>
      </c>
      <c r="K391" s="299">
        <v>0</v>
      </c>
      <c r="L391" s="300">
        <v>0</v>
      </c>
      <c r="M391" s="300">
        <v>0</v>
      </c>
      <c r="N391" s="300">
        <v>0</v>
      </c>
      <c r="O391" s="300">
        <v>0</v>
      </c>
      <c r="P391" s="299">
        <v>0</v>
      </c>
      <c r="Q391" s="300">
        <v>0</v>
      </c>
      <c r="R391" s="300">
        <v>0</v>
      </c>
      <c r="S391" s="300">
        <v>0</v>
      </c>
      <c r="T391" s="300">
        <v>0</v>
      </c>
      <c r="U391" s="299">
        <v>0</v>
      </c>
      <c r="V391" s="300">
        <v>0</v>
      </c>
      <c r="W391" s="300">
        <v>0</v>
      </c>
      <c r="X391" s="300">
        <v>0</v>
      </c>
      <c r="Y391" s="119">
        <v>4.6150000000000002</v>
      </c>
      <c r="Z391" s="401">
        <v>4.6150000000000002</v>
      </c>
      <c r="AA391" s="119">
        <v>0</v>
      </c>
      <c r="AB391" s="119">
        <v>4.7329999999999997</v>
      </c>
      <c r="AC391" s="300">
        <v>3.552</v>
      </c>
      <c r="AD391" s="119">
        <v>-0.57799999999999996</v>
      </c>
      <c r="AE391" s="401">
        <v>7.7069999999999999</v>
      </c>
      <c r="AF391" s="122">
        <v>-0.254</v>
      </c>
      <c r="AG391" s="119">
        <v>-1.0640000000000001</v>
      </c>
      <c r="AH391" s="429">
        <v>3.9859999999999998</v>
      </c>
      <c r="AI391" s="119">
        <v>-1.0489999999999999</v>
      </c>
      <c r="AJ391" s="401">
        <v>1.6189999999999998</v>
      </c>
      <c r="AK391" s="122">
        <v>-1.615</v>
      </c>
      <c r="AL391" s="119">
        <v>-0.32</v>
      </c>
      <c r="AM391" s="429">
        <v>-2.0529999999999999</v>
      </c>
      <c r="AN391" s="119">
        <v>0</v>
      </c>
      <c r="AO391" s="401">
        <v>-3.988</v>
      </c>
      <c r="AP391" s="122">
        <v>0</v>
      </c>
      <c r="AQ391" s="119">
        <v>4.78</v>
      </c>
      <c r="AR391" s="429">
        <v>0.78100000000000003</v>
      </c>
      <c r="AS391" s="119">
        <v>0.50900000000000001</v>
      </c>
      <c r="AT391" s="401">
        <v>6.0699999999999994</v>
      </c>
      <c r="AU391" s="122">
        <v>0</v>
      </c>
      <c r="AV391" s="119">
        <v>0</v>
      </c>
      <c r="AW391" s="429">
        <v>3.999999999999998E-2</v>
      </c>
      <c r="AX391" s="119">
        <v>0.5</v>
      </c>
      <c r="AY391" s="401">
        <v>0.54000000000000026</v>
      </c>
      <c r="AZ391" s="122">
        <v>0.56000000000000005</v>
      </c>
      <c r="BA391" s="119">
        <v>0</v>
      </c>
      <c r="BB391" s="429">
        <v>0</v>
      </c>
      <c r="BC391" s="119">
        <v>0</v>
      </c>
      <c r="BD391" s="401">
        <v>0.56000000000000005</v>
      </c>
      <c r="BE391" s="300">
        <v>0</v>
      </c>
      <c r="BF391" s="119">
        <v>0</v>
      </c>
      <c r="BG391" s="429">
        <v>-1.5760000000000001</v>
      </c>
      <c r="BH391" s="119">
        <v>0</v>
      </c>
      <c r="BI391" s="402">
        <v>-1.5760000000000001</v>
      </c>
      <c r="BJ391" s="119">
        <v>0</v>
      </c>
      <c r="BK391" s="119">
        <v>0</v>
      </c>
      <c r="BL391" s="119">
        <v>0</v>
      </c>
      <c r="BM391" s="119">
        <v>0</v>
      </c>
      <c r="BN391" s="401">
        <v>0</v>
      </c>
      <c r="BO391" s="119">
        <v>0</v>
      </c>
      <c r="BP391" s="119">
        <v>0</v>
      </c>
      <c r="BQ391" s="119">
        <v>0</v>
      </c>
      <c r="BR391" s="119">
        <v>0</v>
      </c>
      <c r="BS391" s="401">
        <v>0</v>
      </c>
      <c r="BT391" s="401">
        <v>0</v>
      </c>
      <c r="BU391" s="401">
        <v>0</v>
      </c>
      <c r="BV391" s="401">
        <v>0</v>
      </c>
      <c r="BW391" s="404"/>
    </row>
    <row r="392" spans="1:75" s="123" customFormat="1" hidden="1" outlineLevel="1" x14ac:dyDescent="0.5">
      <c r="A392" s="428" t="s">
        <v>538</v>
      </c>
      <c r="B392" s="251"/>
      <c r="C392" s="299">
        <v>0</v>
      </c>
      <c r="D392" s="299">
        <v>0</v>
      </c>
      <c r="E392" s="299">
        <v>0</v>
      </c>
      <c r="F392" s="299">
        <v>0</v>
      </c>
      <c r="G392" s="300">
        <v>0</v>
      </c>
      <c r="H392" s="300">
        <v>0</v>
      </c>
      <c r="I392" s="300">
        <v>0</v>
      </c>
      <c r="J392" s="300">
        <v>0</v>
      </c>
      <c r="K392" s="299">
        <v>0</v>
      </c>
      <c r="L392" s="300">
        <v>0</v>
      </c>
      <c r="M392" s="300">
        <v>0</v>
      </c>
      <c r="N392" s="300">
        <v>0</v>
      </c>
      <c r="O392" s="300">
        <v>0</v>
      </c>
      <c r="P392" s="299">
        <v>0</v>
      </c>
      <c r="Q392" s="300">
        <v>0</v>
      </c>
      <c r="R392" s="300">
        <v>0</v>
      </c>
      <c r="S392" s="300">
        <v>0</v>
      </c>
      <c r="T392" s="300">
        <v>0</v>
      </c>
      <c r="U392" s="299">
        <v>0</v>
      </c>
      <c r="V392" s="300">
        <v>0</v>
      </c>
      <c r="W392" s="300">
        <v>0</v>
      </c>
      <c r="X392" s="300">
        <v>0</v>
      </c>
      <c r="Y392" s="119">
        <v>0</v>
      </c>
      <c r="Z392" s="401">
        <v>0</v>
      </c>
      <c r="AA392" s="119">
        <v>0</v>
      </c>
      <c r="AB392" s="119">
        <v>-1.3</v>
      </c>
      <c r="AC392" s="300">
        <v>-0.81899999999999995</v>
      </c>
      <c r="AD392" s="119">
        <v>0</v>
      </c>
      <c r="AE392" s="401">
        <v>-2.1190000000000002</v>
      </c>
      <c r="AF392" s="122">
        <v>0</v>
      </c>
      <c r="AG392" s="119">
        <v>0</v>
      </c>
      <c r="AH392" s="429">
        <v>0</v>
      </c>
      <c r="AI392" s="119">
        <v>0</v>
      </c>
      <c r="AJ392" s="401">
        <v>0</v>
      </c>
      <c r="AK392" s="122">
        <v>0</v>
      </c>
      <c r="AL392" s="119">
        <v>0</v>
      </c>
      <c r="AM392" s="429">
        <v>0</v>
      </c>
      <c r="AN392" s="119">
        <v>0</v>
      </c>
      <c r="AO392" s="401">
        <v>0</v>
      </c>
      <c r="AP392" s="122">
        <v>0</v>
      </c>
      <c r="AQ392" s="119">
        <v>0</v>
      </c>
      <c r="AR392" s="429">
        <v>0</v>
      </c>
      <c r="AS392" s="119">
        <v>0</v>
      </c>
      <c r="AT392" s="401">
        <v>0</v>
      </c>
      <c r="AU392" s="122">
        <v>0</v>
      </c>
      <c r="AV392" s="119">
        <v>0</v>
      </c>
      <c r="AW392" s="429">
        <v>0</v>
      </c>
      <c r="AX392" s="119">
        <v>0</v>
      </c>
      <c r="AY392" s="401">
        <v>0</v>
      </c>
      <c r="AZ392" s="122">
        <v>0</v>
      </c>
      <c r="BA392" s="119">
        <v>0</v>
      </c>
      <c r="BB392" s="429">
        <v>-0.77500000000000002</v>
      </c>
      <c r="BC392" s="119">
        <v>0</v>
      </c>
      <c r="BD392" s="401">
        <v>-0.77500000000000002</v>
      </c>
      <c r="BE392" s="300">
        <v>0</v>
      </c>
      <c r="BF392" s="119">
        <v>0</v>
      </c>
      <c r="BG392" s="429">
        <v>0</v>
      </c>
      <c r="BH392" s="119">
        <v>0</v>
      </c>
      <c r="BI392" s="402">
        <v>0</v>
      </c>
      <c r="BJ392" s="119">
        <v>0</v>
      </c>
      <c r="BK392" s="119">
        <v>0</v>
      </c>
      <c r="BL392" s="119">
        <v>0</v>
      </c>
      <c r="BM392" s="119">
        <v>0</v>
      </c>
      <c r="BN392" s="401">
        <v>0</v>
      </c>
      <c r="BO392" s="119">
        <v>0</v>
      </c>
      <c r="BP392" s="119">
        <v>0</v>
      </c>
      <c r="BQ392" s="119">
        <v>0</v>
      </c>
      <c r="BR392" s="119">
        <v>0</v>
      </c>
      <c r="BS392" s="401">
        <v>0</v>
      </c>
      <c r="BT392" s="401">
        <v>0</v>
      </c>
      <c r="BU392" s="401">
        <v>0</v>
      </c>
      <c r="BV392" s="401">
        <v>0</v>
      </c>
      <c r="BW392" s="404"/>
    </row>
    <row r="393" spans="1:75" s="123" customFormat="1" hidden="1" outlineLevel="1" x14ac:dyDescent="0.5">
      <c r="A393" s="428" t="s">
        <v>539</v>
      </c>
      <c r="B393" s="251"/>
      <c r="C393" s="299">
        <v>0</v>
      </c>
      <c r="D393" s="299">
        <v>0</v>
      </c>
      <c r="E393" s="299">
        <v>0</v>
      </c>
      <c r="F393" s="299">
        <v>0</v>
      </c>
      <c r="G393" s="300">
        <v>0</v>
      </c>
      <c r="H393" s="300">
        <v>0</v>
      </c>
      <c r="I393" s="300">
        <v>0</v>
      </c>
      <c r="J393" s="300">
        <v>0</v>
      </c>
      <c r="K393" s="299">
        <v>0</v>
      </c>
      <c r="L393" s="300">
        <v>9.1999999999999993</v>
      </c>
      <c r="M393" s="300">
        <v>0</v>
      </c>
      <c r="N393" s="300">
        <v>0</v>
      </c>
      <c r="O393" s="300">
        <v>-1.5</v>
      </c>
      <c r="P393" s="299">
        <v>7.7</v>
      </c>
      <c r="Q393" s="300">
        <v>1.5680000000000001</v>
      </c>
      <c r="R393" s="300">
        <v>5.4740000000000002</v>
      </c>
      <c r="S393" s="300">
        <v>5.0760000000000005</v>
      </c>
      <c r="T393" s="300">
        <v>6.9280000000000008</v>
      </c>
      <c r="U393" s="299">
        <v>19.045999999999999</v>
      </c>
      <c r="V393" s="300">
        <v>8.7010000000000005</v>
      </c>
      <c r="W393" s="300">
        <v>0</v>
      </c>
      <c r="X393" s="300">
        <v>0</v>
      </c>
      <c r="Y393" s="119">
        <v>0</v>
      </c>
      <c r="Z393" s="401">
        <v>8.7010000000000005</v>
      </c>
      <c r="AA393" s="119">
        <v>0</v>
      </c>
      <c r="AB393" s="119">
        <v>0</v>
      </c>
      <c r="AC393" s="300">
        <v>0</v>
      </c>
      <c r="AD393" s="119">
        <v>0</v>
      </c>
      <c r="AE393" s="401">
        <v>0</v>
      </c>
      <c r="AF393" s="122">
        <v>1.915</v>
      </c>
      <c r="AG393" s="119">
        <v>-7.2039999999999997</v>
      </c>
      <c r="AH393" s="429">
        <v>0</v>
      </c>
      <c r="AI393" s="119">
        <v>0</v>
      </c>
      <c r="AJ393" s="401">
        <v>-5.2889999999999997</v>
      </c>
      <c r="AK393" s="122">
        <v>0</v>
      </c>
      <c r="AL393" s="119">
        <v>-1.1930000000000001</v>
      </c>
      <c r="AM393" s="429">
        <v>0</v>
      </c>
      <c r="AN393" s="119">
        <v>0</v>
      </c>
      <c r="AO393" s="401">
        <v>-1.1930000000000001</v>
      </c>
      <c r="AP393" s="122">
        <v>0</v>
      </c>
      <c r="AQ393" s="119">
        <v>0</v>
      </c>
      <c r="AR393" s="429">
        <v>0</v>
      </c>
      <c r="AS393" s="119">
        <v>0</v>
      </c>
      <c r="AT393" s="401">
        <v>0</v>
      </c>
      <c r="AU393" s="122">
        <v>0</v>
      </c>
      <c r="AV393" s="119">
        <v>0</v>
      </c>
      <c r="AW393" s="429">
        <v>0</v>
      </c>
      <c r="AX393" s="119">
        <v>0</v>
      </c>
      <c r="AY393" s="401">
        <v>0</v>
      </c>
      <c r="AZ393" s="122">
        <v>0</v>
      </c>
      <c r="BA393" s="119">
        <v>0</v>
      </c>
      <c r="BB393" s="429">
        <v>-4.1879999999999997</v>
      </c>
      <c r="BC393" s="119">
        <v>0</v>
      </c>
      <c r="BD393" s="401">
        <v>-4.1879999999999997</v>
      </c>
      <c r="BE393" s="300">
        <v>0</v>
      </c>
      <c r="BF393" s="119">
        <v>8</v>
      </c>
      <c r="BG393" s="429">
        <v>0</v>
      </c>
      <c r="BH393" s="119">
        <v>0.5</v>
      </c>
      <c r="BI393" s="402">
        <v>8.5</v>
      </c>
      <c r="BJ393" s="119">
        <v>0</v>
      </c>
      <c r="BK393" s="119">
        <v>0</v>
      </c>
      <c r="BL393" s="119">
        <v>0</v>
      </c>
      <c r="BM393" s="119">
        <v>0</v>
      </c>
      <c r="BN393" s="401">
        <v>0</v>
      </c>
      <c r="BO393" s="119">
        <v>0</v>
      </c>
      <c r="BP393" s="119">
        <v>0</v>
      </c>
      <c r="BQ393" s="119">
        <v>0</v>
      </c>
      <c r="BR393" s="119">
        <v>0</v>
      </c>
      <c r="BS393" s="401">
        <v>0</v>
      </c>
      <c r="BT393" s="401">
        <v>0</v>
      </c>
      <c r="BU393" s="401">
        <v>0</v>
      </c>
      <c r="BV393" s="401">
        <v>0</v>
      </c>
      <c r="BW393" s="404"/>
    </row>
    <row r="394" spans="1:75" s="123" customFormat="1" hidden="1" outlineLevel="1" x14ac:dyDescent="0.5">
      <c r="A394" s="428" t="s">
        <v>540</v>
      </c>
      <c r="B394" s="251"/>
      <c r="C394" s="299">
        <v>0</v>
      </c>
      <c r="D394" s="299">
        <v>0</v>
      </c>
      <c r="E394" s="299">
        <v>0</v>
      </c>
      <c r="F394" s="299">
        <v>3.25</v>
      </c>
      <c r="G394" s="300">
        <v>0</v>
      </c>
      <c r="H394" s="300">
        <v>0</v>
      </c>
      <c r="I394" s="300">
        <v>0</v>
      </c>
      <c r="J394" s="300">
        <v>0</v>
      </c>
      <c r="K394" s="299">
        <v>0</v>
      </c>
      <c r="L394" s="300">
        <v>0</v>
      </c>
      <c r="M394" s="300">
        <v>0</v>
      </c>
      <c r="N394" s="300">
        <v>0</v>
      </c>
      <c r="O394" s="300">
        <v>0</v>
      </c>
      <c r="P394" s="299">
        <v>0</v>
      </c>
      <c r="Q394" s="300">
        <v>0</v>
      </c>
      <c r="R394" s="300">
        <v>0</v>
      </c>
      <c r="S394" s="300">
        <v>0</v>
      </c>
      <c r="T394" s="300">
        <v>0</v>
      </c>
      <c r="U394" s="299">
        <v>0</v>
      </c>
      <c r="V394" s="300">
        <v>0</v>
      </c>
      <c r="W394" s="300">
        <v>0</v>
      </c>
      <c r="X394" s="300">
        <v>0</v>
      </c>
      <c r="Y394" s="119">
        <v>0</v>
      </c>
      <c r="Z394" s="401">
        <v>0</v>
      </c>
      <c r="AA394" s="119">
        <v>0</v>
      </c>
      <c r="AB394" s="119">
        <v>0</v>
      </c>
      <c r="AC394" s="300">
        <v>0</v>
      </c>
      <c r="AD394" s="119">
        <v>-2.202</v>
      </c>
      <c r="AE394" s="401">
        <v>-2.202</v>
      </c>
      <c r="AF394" s="122">
        <v>0</v>
      </c>
      <c r="AG394" s="119">
        <v>0</v>
      </c>
      <c r="AH394" s="429">
        <v>0</v>
      </c>
      <c r="AI394" s="119">
        <v>0</v>
      </c>
      <c r="AJ394" s="401">
        <v>0</v>
      </c>
      <c r="AK394" s="122">
        <v>0</v>
      </c>
      <c r="AL394" s="119">
        <v>0</v>
      </c>
      <c r="AM394" s="429">
        <v>0</v>
      </c>
      <c r="AN394" s="119">
        <v>0</v>
      </c>
      <c r="AO394" s="401">
        <v>0</v>
      </c>
      <c r="AP394" s="122">
        <v>0</v>
      </c>
      <c r="AQ394" s="119">
        <v>0</v>
      </c>
      <c r="AR394" s="429">
        <v>0</v>
      </c>
      <c r="AS394" s="119">
        <v>0</v>
      </c>
      <c r="AT394" s="401">
        <v>0</v>
      </c>
      <c r="AU394" s="122">
        <v>0</v>
      </c>
      <c r="AV394" s="119">
        <v>0</v>
      </c>
      <c r="AW394" s="429">
        <v>0</v>
      </c>
      <c r="AX394" s="119">
        <v>0</v>
      </c>
      <c r="AY394" s="401">
        <v>0</v>
      </c>
      <c r="AZ394" s="122">
        <v>0</v>
      </c>
      <c r="BA394" s="119">
        <v>0</v>
      </c>
      <c r="BB394" s="429">
        <v>0</v>
      </c>
      <c r="BC394" s="119">
        <v>0</v>
      </c>
      <c r="BD394" s="401">
        <v>0</v>
      </c>
      <c r="BE394" s="300">
        <v>0</v>
      </c>
      <c r="BF394" s="119">
        <v>0</v>
      </c>
      <c r="BG394" s="429">
        <v>0</v>
      </c>
      <c r="BH394" s="119">
        <v>0</v>
      </c>
      <c r="BI394" s="402">
        <v>0</v>
      </c>
      <c r="BJ394" s="119">
        <v>0</v>
      </c>
      <c r="BK394" s="119">
        <v>0</v>
      </c>
      <c r="BL394" s="119">
        <v>0</v>
      </c>
      <c r="BM394" s="119">
        <v>0</v>
      </c>
      <c r="BN394" s="401">
        <v>0</v>
      </c>
      <c r="BO394" s="119">
        <v>0</v>
      </c>
      <c r="BP394" s="119">
        <v>0</v>
      </c>
      <c r="BQ394" s="119">
        <v>0</v>
      </c>
      <c r="BR394" s="119">
        <v>0</v>
      </c>
      <c r="BS394" s="401">
        <v>0</v>
      </c>
      <c r="BT394" s="401">
        <v>0</v>
      </c>
      <c r="BU394" s="401">
        <v>0</v>
      </c>
      <c r="BV394" s="401">
        <v>0</v>
      </c>
      <c r="BW394" s="404"/>
    </row>
    <row r="395" spans="1:75" s="123" customFormat="1" hidden="1" outlineLevel="1" x14ac:dyDescent="0.5">
      <c r="A395" s="430" t="s">
        <v>541</v>
      </c>
      <c r="B395" s="274"/>
      <c r="C395" s="309">
        <v>-12.78</v>
      </c>
      <c r="D395" s="309">
        <v>0</v>
      </c>
      <c r="E395" s="309">
        <v>0</v>
      </c>
      <c r="F395" s="309">
        <v>0</v>
      </c>
      <c r="G395" s="310">
        <v>0</v>
      </c>
      <c r="H395" s="310">
        <v>0</v>
      </c>
      <c r="I395" s="310">
        <v>0</v>
      </c>
      <c r="J395" s="310">
        <v>0</v>
      </c>
      <c r="K395" s="309">
        <v>0</v>
      </c>
      <c r="L395" s="310">
        <v>0</v>
      </c>
      <c r="M395" s="310">
        <v>0</v>
      </c>
      <c r="N395" s="310">
        <v>0</v>
      </c>
      <c r="O395" s="310">
        <v>0</v>
      </c>
      <c r="P395" s="309">
        <v>0</v>
      </c>
      <c r="Q395" s="310">
        <v>0</v>
      </c>
      <c r="R395" s="310">
        <v>0</v>
      </c>
      <c r="S395" s="310">
        <v>0</v>
      </c>
      <c r="T395" s="310">
        <v>0</v>
      </c>
      <c r="U395" s="309">
        <v>0</v>
      </c>
      <c r="V395" s="310">
        <v>0</v>
      </c>
      <c r="W395" s="310">
        <v>9.9999999999988987E-4</v>
      </c>
      <c r="X395" s="310">
        <v>-1.4000000000000012E-2</v>
      </c>
      <c r="Y395" s="312">
        <v>4.8000000000000265E-2</v>
      </c>
      <c r="Z395" s="406">
        <v>3.5000000000000142E-2</v>
      </c>
      <c r="AA395" s="312">
        <v>-2.0000000000000018E-2</v>
      </c>
      <c r="AB395" s="312">
        <v>-2.0000000000000018E-2</v>
      </c>
      <c r="AC395" s="310">
        <v>4.7999999999999987E-2</v>
      </c>
      <c r="AD395" s="312">
        <v>1.9000000000000072E-2</v>
      </c>
      <c r="AE395" s="406">
        <v>2.7000000000000135E-2</v>
      </c>
      <c r="AF395" s="431">
        <v>-1.0000000000000009E-2</v>
      </c>
      <c r="AG395" s="312">
        <v>-1.0000000000000009E-2</v>
      </c>
      <c r="AH395" s="432">
        <v>0</v>
      </c>
      <c r="AI395" s="312">
        <v>0</v>
      </c>
      <c r="AJ395" s="406">
        <v>-2.0000000000000018E-2</v>
      </c>
      <c r="AK395" s="431">
        <v>0</v>
      </c>
      <c r="AL395" s="312">
        <v>0</v>
      </c>
      <c r="AM395" s="432">
        <v>0</v>
      </c>
      <c r="AN395" s="312">
        <v>0</v>
      </c>
      <c r="AO395" s="406">
        <v>0</v>
      </c>
      <c r="AP395" s="431">
        <v>0</v>
      </c>
      <c r="AQ395" s="312">
        <v>0</v>
      </c>
      <c r="AR395" s="432">
        <v>0</v>
      </c>
      <c r="AS395" s="312">
        <v>0</v>
      </c>
      <c r="AT395" s="406">
        <v>0</v>
      </c>
      <c r="AU395" s="431">
        <v>0</v>
      </c>
      <c r="AV395" s="312">
        <v>0</v>
      </c>
      <c r="AW395" s="432">
        <v>0</v>
      </c>
      <c r="AX395" s="312">
        <v>0</v>
      </c>
      <c r="AY395" s="406">
        <v>0</v>
      </c>
      <c r="AZ395" s="431">
        <v>0</v>
      </c>
      <c r="BA395" s="312">
        <v>0</v>
      </c>
      <c r="BB395" s="432">
        <v>0</v>
      </c>
      <c r="BC395" s="312">
        <v>0</v>
      </c>
      <c r="BD395" s="406">
        <v>0</v>
      </c>
      <c r="BE395" s="310">
        <v>0</v>
      </c>
      <c r="BF395" s="312">
        <v>0</v>
      </c>
      <c r="BG395" s="432">
        <v>0</v>
      </c>
      <c r="BH395" s="312">
        <v>0</v>
      </c>
      <c r="BI395" s="407">
        <v>0</v>
      </c>
      <c r="BJ395" s="312">
        <v>0</v>
      </c>
      <c r="BK395" s="312">
        <v>0</v>
      </c>
      <c r="BL395" s="312">
        <v>0</v>
      </c>
      <c r="BM395" s="312">
        <v>0</v>
      </c>
      <c r="BN395" s="406">
        <v>0</v>
      </c>
      <c r="BO395" s="312">
        <v>0</v>
      </c>
      <c r="BP395" s="312">
        <v>0</v>
      </c>
      <c r="BQ395" s="312">
        <v>0</v>
      </c>
      <c r="BR395" s="312">
        <v>0</v>
      </c>
      <c r="BS395" s="406">
        <v>0</v>
      </c>
      <c r="BT395" s="406">
        <v>0</v>
      </c>
      <c r="BU395" s="406">
        <v>0</v>
      </c>
      <c r="BV395" s="406">
        <v>0</v>
      </c>
      <c r="BW395" s="404"/>
    </row>
    <row r="396" spans="1:75" s="198" customFormat="1" ht="14.25" hidden="1" outlineLevel="1" x14ac:dyDescent="0.45">
      <c r="A396" s="396" t="s">
        <v>542</v>
      </c>
      <c r="B396" s="243"/>
      <c r="C396" s="293">
        <v>-27.564000000000082</v>
      </c>
      <c r="D396" s="293">
        <v>8.1919999999999362</v>
      </c>
      <c r="E396" s="293">
        <v>49.219000000000072</v>
      </c>
      <c r="F396" s="293">
        <v>68.674000000000078</v>
      </c>
      <c r="G396" s="294">
        <v>4.6009999999999813</v>
      </c>
      <c r="H396" s="294">
        <v>34.18</v>
      </c>
      <c r="I396" s="294">
        <v>23.859999999999985</v>
      </c>
      <c r="J396" s="294">
        <v>58.260000000000034</v>
      </c>
      <c r="K396" s="293">
        <v>120.90099999999977</v>
      </c>
      <c r="L396" s="294">
        <v>13.978000000000019</v>
      </c>
      <c r="M396" s="294">
        <v>48.934999999999988</v>
      </c>
      <c r="N396" s="294">
        <v>36.687999999999988</v>
      </c>
      <c r="O396" s="294">
        <v>73.82499999999996</v>
      </c>
      <c r="P396" s="293">
        <v>173.42599999999987</v>
      </c>
      <c r="Q396" s="294">
        <v>18.597000000000012</v>
      </c>
      <c r="R396" s="294">
        <v>61.897000000000034</v>
      </c>
      <c r="S396" s="294">
        <v>49.951999999999948</v>
      </c>
      <c r="T396" s="294">
        <v>74.160999999999945</v>
      </c>
      <c r="U396" s="293">
        <v>204.6069999999998</v>
      </c>
      <c r="V396" s="294">
        <v>0.71000000000003372</v>
      </c>
      <c r="W396" s="294">
        <v>32.317</v>
      </c>
      <c r="X396" s="294">
        <v>18.66</v>
      </c>
      <c r="Y396" s="295">
        <v>53.586999999999961</v>
      </c>
      <c r="Z396" s="293">
        <v>105.274</v>
      </c>
      <c r="AA396" s="295">
        <v>10.058</v>
      </c>
      <c r="AB396" s="295">
        <v>39.549999999999997</v>
      </c>
      <c r="AC396" s="294">
        <v>48.723999999999997</v>
      </c>
      <c r="AD396" s="295">
        <v>75.081999999999994</v>
      </c>
      <c r="AE396" s="293">
        <v>173.41399999999999</v>
      </c>
      <c r="AF396" s="295">
        <v>49.048000000000002</v>
      </c>
      <c r="AG396" s="295">
        <v>75.804000000000002</v>
      </c>
      <c r="AH396" s="294">
        <v>60.853000000000002</v>
      </c>
      <c r="AI396" s="295">
        <v>102.40099999999998</v>
      </c>
      <c r="AJ396" s="293">
        <v>288.10599999999999</v>
      </c>
      <c r="AK396" s="295">
        <v>69.400000000000006</v>
      </c>
      <c r="AL396" s="295">
        <v>104.093</v>
      </c>
      <c r="AM396" s="294">
        <v>86.936000000000007</v>
      </c>
      <c r="AN396" s="295">
        <v>114.88600000000002</v>
      </c>
      <c r="AO396" s="293">
        <v>375.315</v>
      </c>
      <c r="AP396" s="295">
        <v>49.517000000000003</v>
      </c>
      <c r="AQ396" s="295">
        <v>153.35</v>
      </c>
      <c r="AR396" s="294">
        <v>223.10300000000001</v>
      </c>
      <c r="AS396" s="295">
        <v>190.553</v>
      </c>
      <c r="AT396" s="293">
        <v>616.52300000000002</v>
      </c>
      <c r="AU396" s="295">
        <v>188.01</v>
      </c>
      <c r="AV396" s="295">
        <v>257.24200000000002</v>
      </c>
      <c r="AW396" s="294">
        <v>276.09100000000001</v>
      </c>
      <c r="AX396" s="295">
        <v>223.5379999999999</v>
      </c>
      <c r="AY396" s="293">
        <v>944.88099999999997</v>
      </c>
      <c r="AZ396" s="295">
        <v>228.54499999999999</v>
      </c>
      <c r="BA396" s="295">
        <v>237.512</v>
      </c>
      <c r="BB396" s="294">
        <v>173.16200000000001</v>
      </c>
      <c r="BC396" s="295">
        <v>122.32499999999993</v>
      </c>
      <c r="BD396" s="293">
        <v>761.54399999999998</v>
      </c>
      <c r="BE396" s="295">
        <v>103.721</v>
      </c>
      <c r="BF396" s="295">
        <v>153.369</v>
      </c>
      <c r="BG396" s="294">
        <v>50.2</v>
      </c>
      <c r="BH396" s="295">
        <v>62.168000000000006</v>
      </c>
      <c r="BI396" s="297">
        <v>369.45800000000003</v>
      </c>
      <c r="BJ396" s="295">
        <v>45.490314366644895</v>
      </c>
      <c r="BK396" s="295">
        <v>142.04386283974566</v>
      </c>
      <c r="BL396" s="295">
        <v>118.29856691489718</v>
      </c>
      <c r="BM396" s="295">
        <v>104.56791628929801</v>
      </c>
      <c r="BN396" s="293">
        <v>410.40066041058549</v>
      </c>
      <c r="BO396" s="295">
        <v>94.450712293505944</v>
      </c>
      <c r="BP396" s="295">
        <v>178.27243007295826</v>
      </c>
      <c r="BQ396" s="295">
        <v>140.83180247970864</v>
      </c>
      <c r="BR396" s="295">
        <v>136.16978438544706</v>
      </c>
      <c r="BS396" s="293">
        <v>549.7247292316199</v>
      </c>
      <c r="BT396" s="293">
        <v>630.46255897182346</v>
      </c>
      <c r="BU396" s="293">
        <v>700.5116558811394</v>
      </c>
      <c r="BV396" s="293">
        <v>765.82967313969198</v>
      </c>
      <c r="BW396" s="197"/>
    </row>
    <row r="397" spans="1:75" s="205" customFormat="1" ht="14.25" hidden="1" outlineLevel="1" x14ac:dyDescent="0.45">
      <c r="A397" s="409" t="s">
        <v>543</v>
      </c>
      <c r="B397" s="410"/>
      <c r="C397" s="411"/>
      <c r="D397" s="411">
        <v>35.756000000000014</v>
      </c>
      <c r="E397" s="411">
        <v>41.027000000000136</v>
      </c>
      <c r="F397" s="411">
        <v>19.455000000000005</v>
      </c>
      <c r="G397" s="412"/>
      <c r="H397" s="412"/>
      <c r="I397" s="412"/>
      <c r="J397" s="412"/>
      <c r="K397" s="411">
        <v>52.226999999999691</v>
      </c>
      <c r="L397" s="412">
        <v>9.377000000000038</v>
      </c>
      <c r="M397" s="412">
        <v>14.754999999999988</v>
      </c>
      <c r="N397" s="412">
        <v>12.828000000000003</v>
      </c>
      <c r="O397" s="412">
        <v>15.564999999999927</v>
      </c>
      <c r="P397" s="411">
        <v>52.525000000000105</v>
      </c>
      <c r="Q397" s="412">
        <v>4.6189999999999927</v>
      </c>
      <c r="R397" s="412">
        <v>12.962000000000046</v>
      </c>
      <c r="S397" s="412">
        <v>13.26399999999996</v>
      </c>
      <c r="T397" s="412">
        <v>0.33599999999998431</v>
      </c>
      <c r="U397" s="411">
        <v>31.180999999999926</v>
      </c>
      <c r="V397" s="412">
        <v>-17.886999999999979</v>
      </c>
      <c r="W397" s="412">
        <v>-29.580000000000034</v>
      </c>
      <c r="X397" s="412">
        <v>-31.291999999999948</v>
      </c>
      <c r="Y397" s="413">
        <v>-20.573999999999984</v>
      </c>
      <c r="Z397" s="414">
        <v>-99.332999999999799</v>
      </c>
      <c r="AA397" s="413">
        <v>9.347999999999967</v>
      </c>
      <c r="AB397" s="413">
        <v>7.232999999999997</v>
      </c>
      <c r="AC397" s="412">
        <v>30.063999999999997</v>
      </c>
      <c r="AD397" s="413">
        <v>21.495000000000033</v>
      </c>
      <c r="AE397" s="414">
        <v>68.139999999999986</v>
      </c>
      <c r="AF397" s="204">
        <v>38.99</v>
      </c>
      <c r="AG397" s="413">
        <v>36.254000000000005</v>
      </c>
      <c r="AH397" s="415">
        <v>12.129000000000005</v>
      </c>
      <c r="AI397" s="413">
        <v>27.318999999999988</v>
      </c>
      <c r="AJ397" s="414">
        <v>114.69200000000001</v>
      </c>
      <c r="AK397" s="204">
        <v>20.352000000000004</v>
      </c>
      <c r="AL397" s="413">
        <v>28.289000000000001</v>
      </c>
      <c r="AM397" s="415">
        <v>26.083000000000006</v>
      </c>
      <c r="AN397" s="413">
        <v>12.485000000000042</v>
      </c>
      <c r="AO397" s="414">
        <v>87.209000000000003</v>
      </c>
      <c r="AP397" s="204">
        <v>-19.883000000000003</v>
      </c>
      <c r="AQ397" s="413">
        <v>49.256999999999991</v>
      </c>
      <c r="AR397" s="415">
        <v>136.167</v>
      </c>
      <c r="AS397" s="413">
        <v>75.666999999999973</v>
      </c>
      <c r="AT397" s="414">
        <v>241.20800000000003</v>
      </c>
      <c r="AU397" s="204">
        <v>138.49299999999999</v>
      </c>
      <c r="AV397" s="413">
        <v>103.89200000000002</v>
      </c>
      <c r="AW397" s="415">
        <v>52.988</v>
      </c>
      <c r="AX397" s="413">
        <v>32.9849999999999</v>
      </c>
      <c r="AY397" s="414">
        <v>328.35799999999995</v>
      </c>
      <c r="AZ397" s="204">
        <v>40.534999999999997</v>
      </c>
      <c r="BA397" s="413">
        <v>-19.730000000000018</v>
      </c>
      <c r="BB397" s="415">
        <v>-102.929</v>
      </c>
      <c r="BC397" s="413">
        <v>-101.21299999999997</v>
      </c>
      <c r="BD397" s="414">
        <v>-183.33699999999999</v>
      </c>
      <c r="BE397" s="412">
        <v>-124.82399999999998</v>
      </c>
      <c r="BF397" s="413">
        <v>-84.143000000000001</v>
      </c>
      <c r="BG397" s="415">
        <v>-122.962</v>
      </c>
      <c r="BH397" s="413">
        <v>-60.156999999999925</v>
      </c>
      <c r="BI397" s="416">
        <v>-392.08599999999996</v>
      </c>
      <c r="BJ397" s="413">
        <v>-58.230685633355108</v>
      </c>
      <c r="BK397" s="413">
        <v>-11.325137160254343</v>
      </c>
      <c r="BL397" s="413">
        <v>68.098566914897177</v>
      </c>
      <c r="BM397" s="413">
        <v>42.399916289298005</v>
      </c>
      <c r="BN397" s="414">
        <v>40.942660410585461</v>
      </c>
      <c r="BO397" s="413">
        <v>48.960397926861049</v>
      </c>
      <c r="BP397" s="413">
        <v>36.228567233212601</v>
      </c>
      <c r="BQ397" s="413">
        <v>22.533235564811463</v>
      </c>
      <c r="BR397" s="413">
        <v>31.601868096149047</v>
      </c>
      <c r="BS397" s="414">
        <v>139.32406882103442</v>
      </c>
      <c r="BT397" s="414">
        <v>80.737829740203551</v>
      </c>
      <c r="BU397" s="414">
        <v>70.049096909315949</v>
      </c>
      <c r="BV397" s="414">
        <v>65.318017258552572</v>
      </c>
      <c r="BW397" s="204"/>
    </row>
    <row r="398" spans="1:75" s="177" customFormat="1" ht="14.25" hidden="1" outlineLevel="1" x14ac:dyDescent="0.45">
      <c r="A398" s="373" t="s">
        <v>544</v>
      </c>
      <c r="B398" s="374"/>
      <c r="C398" s="375"/>
      <c r="D398" s="375">
        <v>1.2971992453925378</v>
      </c>
      <c r="E398" s="375">
        <v>5.008178710937556</v>
      </c>
      <c r="F398" s="375">
        <v>0.39527418273430937</v>
      </c>
      <c r="G398" s="381"/>
      <c r="H398" s="381"/>
      <c r="I398" s="381"/>
      <c r="J398" s="381"/>
      <c r="K398" s="375">
        <v>0.76050615953635492</v>
      </c>
      <c r="L398" s="381">
        <v>2.0380352097370302</v>
      </c>
      <c r="M398" s="381">
        <v>0.43168519602106459</v>
      </c>
      <c r="N398" s="381">
        <v>0.53763621123218819</v>
      </c>
      <c r="O398" s="381">
        <v>0.2671644352900775</v>
      </c>
      <c r="P398" s="375">
        <v>0.43444636520789914</v>
      </c>
      <c r="Q398" s="381">
        <v>0.33044784661611004</v>
      </c>
      <c r="R398" s="381">
        <v>0.26488198630836934</v>
      </c>
      <c r="S398" s="381">
        <v>0.36153510684692436</v>
      </c>
      <c r="T398" s="381">
        <v>4.5513037588891248E-3</v>
      </c>
      <c r="U398" s="375">
        <v>0.17979426383587205</v>
      </c>
      <c r="V398" s="381">
        <v>-0.96182179921492539</v>
      </c>
      <c r="W398" s="381">
        <v>-0.47789068937105217</v>
      </c>
      <c r="X398" s="381">
        <v>-0.62644138372837888</v>
      </c>
      <c r="Y398" s="378">
        <v>-0.27742344358894833</v>
      </c>
      <c r="Z398" s="417">
        <v>-0.48548192388334654</v>
      </c>
      <c r="AA398" s="378">
        <v>13.166197183097919</v>
      </c>
      <c r="AB398" s="378">
        <v>0.22381409165454702</v>
      </c>
      <c r="AC398" s="381">
        <v>1.6111468381564844</v>
      </c>
      <c r="AD398" s="378">
        <v>0.40112340679642533</v>
      </c>
      <c r="AE398" s="417">
        <v>0.64726333187681662</v>
      </c>
      <c r="AF398" s="176">
        <v>3.8765162060051699</v>
      </c>
      <c r="AG398" s="378">
        <v>0.91666245259165624</v>
      </c>
      <c r="AH398" s="376">
        <v>0.24893276414087517</v>
      </c>
      <c r="AI398" s="378">
        <v>0.36385551796702265</v>
      </c>
      <c r="AJ398" s="417">
        <v>0.66137682078724902</v>
      </c>
      <c r="AK398" s="176">
        <v>0.41494046648181371</v>
      </c>
      <c r="AL398" s="378">
        <v>0.37318611155084169</v>
      </c>
      <c r="AM398" s="376">
        <v>0.42862307527977261</v>
      </c>
      <c r="AN398" s="378">
        <v>0.12192263747424392</v>
      </c>
      <c r="AO398" s="417">
        <v>0.30269761823773189</v>
      </c>
      <c r="AP398" s="176">
        <v>-0.28649855907780986</v>
      </c>
      <c r="AQ398" s="378">
        <v>0.47320184834715096</v>
      </c>
      <c r="AR398" s="376">
        <v>1.5662901444740958</v>
      </c>
      <c r="AS398" s="378">
        <v>0.65862681266646894</v>
      </c>
      <c r="AT398" s="417">
        <v>0.64268148088938637</v>
      </c>
      <c r="AU398" s="176">
        <v>2.7968778399337597</v>
      </c>
      <c r="AV398" s="378">
        <v>0.67748288229540288</v>
      </c>
      <c r="AW398" s="376">
        <v>0.2375046503184628</v>
      </c>
      <c r="AX398" s="378">
        <v>0.17310144684156059</v>
      </c>
      <c r="AY398" s="417">
        <v>0.53259651302546684</v>
      </c>
      <c r="AZ398" s="176">
        <v>0.21560023403010486</v>
      </c>
      <c r="BA398" s="378">
        <v>-7.6698206358215337E-2</v>
      </c>
      <c r="BB398" s="376">
        <v>-0.37280824076119834</v>
      </c>
      <c r="BC398" s="378">
        <v>-0.4527776038078537</v>
      </c>
      <c r="BD398" s="417">
        <v>-0.19403184104665028</v>
      </c>
      <c r="BE398" s="381">
        <v>-0.54616815069242375</v>
      </c>
      <c r="BF398" s="378">
        <v>-0.35426841591161706</v>
      </c>
      <c r="BG398" s="376">
        <v>-0.71009805846548324</v>
      </c>
      <c r="BH398" s="378">
        <v>-0.4917800940118533</v>
      </c>
      <c r="BI398" s="418">
        <v>-0.51485665962833393</v>
      </c>
      <c r="BJ398" s="378">
        <v>-0.56141654663332496</v>
      </c>
      <c r="BK398" s="378">
        <v>-7.3842413788016814E-2</v>
      </c>
      <c r="BL398" s="378">
        <v>1.3565451576672745</v>
      </c>
      <c r="BM398" s="378">
        <v>0.68202155915097795</v>
      </c>
      <c r="BN398" s="417">
        <v>0.11081817259495108</v>
      </c>
      <c r="BO398" s="378">
        <v>1.076281810942167</v>
      </c>
      <c r="BP398" s="378">
        <v>0.25505197133427582</v>
      </c>
      <c r="BQ398" s="378">
        <v>0.19047767147527361</v>
      </c>
      <c r="BR398" s="378">
        <v>0.30221380723241342</v>
      </c>
      <c r="BS398" s="417">
        <v>0.33948305219988595</v>
      </c>
      <c r="BT398" s="417">
        <v>0.14686956115846406</v>
      </c>
      <c r="BU398" s="417">
        <v>0.11110746532443416</v>
      </c>
      <c r="BV398" s="417">
        <v>9.3243298252321249E-2</v>
      </c>
      <c r="BW398" s="176"/>
    </row>
    <row r="399" spans="1:75" s="217" customFormat="1" hidden="1" outlineLevel="1" x14ac:dyDescent="0.5">
      <c r="A399" s="433" t="s">
        <v>545</v>
      </c>
      <c r="B399" s="336"/>
      <c r="C399" s="420">
        <v>-4.4054116688109969E-2</v>
      </c>
      <c r="D399" s="420">
        <v>1.0601072530384828E-2</v>
      </c>
      <c r="E399" s="420">
        <v>5.1372322259843679E-2</v>
      </c>
      <c r="F399" s="420">
        <v>5.7561904570318394E-2</v>
      </c>
      <c r="G399" s="421">
        <v>1.5268619519010216E-2</v>
      </c>
      <c r="H399" s="421">
        <v>8.9453490989222659E-2</v>
      </c>
      <c r="I399" s="421">
        <v>6.0278097778855642E-2</v>
      </c>
      <c r="J399" s="421">
        <v>0.12351227702705574</v>
      </c>
      <c r="K399" s="420">
        <v>7.795231472615996E-2</v>
      </c>
      <c r="L399" s="421">
        <v>3.8164770896700152E-2</v>
      </c>
      <c r="M399" s="421">
        <v>0.11281428235500243</v>
      </c>
      <c r="N399" s="421">
        <v>7.569608500541597E-2</v>
      </c>
      <c r="O399" s="421">
        <v>0.12668882684344462</v>
      </c>
      <c r="P399" s="420">
        <v>9.2869206853084016E-2</v>
      </c>
      <c r="Q399" s="421">
        <v>4.4022298760785457E-2</v>
      </c>
      <c r="R399" s="421">
        <v>0.12209878053110619</v>
      </c>
      <c r="S399" s="421">
        <v>9.3822253860269517E-2</v>
      </c>
      <c r="T399" s="421">
        <v>0.11458603725541083</v>
      </c>
      <c r="U399" s="420">
        <v>9.7015845379292337E-2</v>
      </c>
      <c r="V399" s="421">
        <v>1.558877257078694E-3</v>
      </c>
      <c r="W399" s="421">
        <v>6.1836752656816256E-2</v>
      </c>
      <c r="X399" s="421">
        <v>3.5813882965758007E-2</v>
      </c>
      <c r="Y399" s="422">
        <v>9.494776605998749E-2</v>
      </c>
      <c r="Z399" s="423">
        <v>5.1017574637082418E-2</v>
      </c>
      <c r="AA399" s="422">
        <v>1.8851869067790256E-2</v>
      </c>
      <c r="AB399" s="422">
        <v>6.7307005033985359E-2</v>
      </c>
      <c r="AC399" s="421">
        <v>8.6516778118308019E-2</v>
      </c>
      <c r="AD399" s="422">
        <v>0.11764079150025616</v>
      </c>
      <c r="AE399" s="423">
        <v>7.4665699908591412E-2</v>
      </c>
      <c r="AF399" s="216">
        <v>9.3245907373856254E-2</v>
      </c>
      <c r="AG399" s="422">
        <v>0.12437957066700359</v>
      </c>
      <c r="AH399" s="434">
        <v>0.1003727712075478</v>
      </c>
      <c r="AI399" s="422">
        <v>0.16038473164795261</v>
      </c>
      <c r="AJ399" s="423">
        <v>0.12104251524553555</v>
      </c>
      <c r="AK399" s="216">
        <v>0.12302368826435557</v>
      </c>
      <c r="AL399" s="422">
        <v>0.1548247284063731</v>
      </c>
      <c r="AM399" s="434">
        <v>0.13487357541570091</v>
      </c>
      <c r="AN399" s="422">
        <v>0.18152773652043677</v>
      </c>
      <c r="AO399" s="423">
        <v>0.14929561777394135</v>
      </c>
      <c r="AP399" s="216">
        <v>0.10883885729860185</v>
      </c>
      <c r="AQ399" s="422">
        <v>0.22492164043925358</v>
      </c>
      <c r="AR399" s="434">
        <v>0.27422953108732823</v>
      </c>
      <c r="AS399" s="422">
        <v>0.24414784709961285</v>
      </c>
      <c r="AT399" s="423">
        <v>0.22576685543953318</v>
      </c>
      <c r="AU399" s="216">
        <v>0.22932998952212855</v>
      </c>
      <c r="AV399" s="422">
        <v>0.27146170714359585</v>
      </c>
      <c r="AW399" s="434">
        <v>0.28614647321525738</v>
      </c>
      <c r="AX399" s="422">
        <v>0.25982458138740167</v>
      </c>
      <c r="AY399" s="423">
        <v>0.26300449641238954</v>
      </c>
      <c r="AZ399" s="216">
        <v>0.25143902621492098</v>
      </c>
      <c r="BA399" s="422">
        <v>0.25262342822985334</v>
      </c>
      <c r="BB399" s="434">
        <v>0.21084918296276453</v>
      </c>
      <c r="BC399" s="422">
        <v>0.16797162505080687</v>
      </c>
      <c r="BD399" s="423">
        <v>0.224073290535797</v>
      </c>
      <c r="BE399" s="421">
        <v>0.15020796042379903</v>
      </c>
      <c r="BF399" s="422">
        <v>0.20352863114590938</v>
      </c>
      <c r="BG399" s="434">
        <v>7.1199513233606737E-2</v>
      </c>
      <c r="BH399" s="422">
        <v>9.0559221547291277E-2</v>
      </c>
      <c r="BI399" s="424">
        <v>0.1302919258842079</v>
      </c>
      <c r="BJ399" s="422">
        <v>6.7207960423798993E-2</v>
      </c>
      <c r="BK399" s="422">
        <v>0.17852863114590931</v>
      </c>
      <c r="BL399" s="422">
        <v>0.1461995132336068</v>
      </c>
      <c r="BM399" s="422">
        <v>0.13655922154729119</v>
      </c>
      <c r="BN399" s="423">
        <v>0.13467297693010166</v>
      </c>
      <c r="BO399" s="422">
        <v>0.11720796042379908</v>
      </c>
      <c r="BP399" s="422">
        <v>0.19352863114590932</v>
      </c>
      <c r="BQ399" s="422">
        <v>0.15119951323360678</v>
      </c>
      <c r="BR399" s="422">
        <v>0.16155922154729124</v>
      </c>
      <c r="BS399" s="423">
        <v>0.15700657718723765</v>
      </c>
      <c r="BT399" s="423">
        <v>0.17000657718723769</v>
      </c>
      <c r="BU399" s="423">
        <v>0.18300657718723765</v>
      </c>
      <c r="BV399" s="423">
        <v>0.19600657718723771</v>
      </c>
      <c r="BW399" s="216"/>
    </row>
    <row r="400" spans="1:75" s="224" customFormat="1" hidden="1" outlineLevel="1" x14ac:dyDescent="0.5">
      <c r="A400" s="435" t="s">
        <v>546</v>
      </c>
      <c r="B400" s="258"/>
      <c r="C400" s="252"/>
      <c r="D400" s="252">
        <v>546.55189218494797</v>
      </c>
      <c r="E400" s="252">
        <v>407.7124972945885</v>
      </c>
      <c r="F400" s="252">
        <v>61.895823104747144</v>
      </c>
      <c r="G400" s="253"/>
      <c r="H400" s="253"/>
      <c r="I400" s="253"/>
      <c r="J400" s="253"/>
      <c r="K400" s="252">
        <v>203.90410155841568</v>
      </c>
      <c r="L400" s="253">
        <v>228.96151377689938</v>
      </c>
      <c r="M400" s="253">
        <v>233.60791365779772</v>
      </c>
      <c r="N400" s="253">
        <v>154.17987226560328</v>
      </c>
      <c r="O400" s="253">
        <v>31.765498163888878</v>
      </c>
      <c r="P400" s="252">
        <v>149.16892126924057</v>
      </c>
      <c r="Q400" s="253">
        <v>58.575278640853043</v>
      </c>
      <c r="R400" s="253">
        <v>92.844981761037587</v>
      </c>
      <c r="S400" s="253">
        <v>181.26168854853546</v>
      </c>
      <c r="T400" s="253">
        <v>-121.02789588033791</v>
      </c>
      <c r="U400" s="252">
        <v>41.466385262083207</v>
      </c>
      <c r="V400" s="253">
        <v>-424.63421503706763</v>
      </c>
      <c r="W400" s="253">
        <v>-602.62027874289936</v>
      </c>
      <c r="X400" s="253">
        <v>-580.08370894511506</v>
      </c>
      <c r="Y400" s="254">
        <v>-196.38271195423343</v>
      </c>
      <c r="Z400" s="425">
        <v>-459.98270742209917</v>
      </c>
      <c r="AA400" s="254">
        <v>172.92991810711561</v>
      </c>
      <c r="AB400" s="254">
        <v>54.702523771691034</v>
      </c>
      <c r="AC400" s="253">
        <v>507.02895152550013</v>
      </c>
      <c r="AD400" s="254">
        <v>226.93025440268676</v>
      </c>
      <c r="AE400" s="425">
        <v>236.48125271508994</v>
      </c>
      <c r="AF400" s="223">
        <v>743.94038306066</v>
      </c>
      <c r="AG400" s="254">
        <v>570.72565633018223</v>
      </c>
      <c r="AH400" s="350">
        <v>138.5599308923978</v>
      </c>
      <c r="AI400" s="254">
        <v>427.43940147696446</v>
      </c>
      <c r="AJ400" s="425">
        <v>463.76815336944139</v>
      </c>
      <c r="AK400" s="223">
        <v>297.77780890499315</v>
      </c>
      <c r="AL400" s="254">
        <v>304.45157739369512</v>
      </c>
      <c r="AM400" s="350">
        <v>345.00804208153113</v>
      </c>
      <c r="AN400" s="254">
        <v>211.43004872484161</v>
      </c>
      <c r="AO400" s="425">
        <v>282.53102528405793</v>
      </c>
      <c r="AP400" s="223">
        <v>-141.84830965753721</v>
      </c>
      <c r="AQ400" s="254">
        <v>700.96912032880482</v>
      </c>
      <c r="AR400" s="350">
        <v>1393.5595567162732</v>
      </c>
      <c r="AS400" s="254">
        <v>626.20110579176071</v>
      </c>
      <c r="AT400" s="425">
        <v>764.71237665591832</v>
      </c>
      <c r="AU400" s="223">
        <v>1204.9113222352669</v>
      </c>
      <c r="AV400" s="254">
        <v>465.40066704342269</v>
      </c>
      <c r="AW400" s="350">
        <v>119.16942127929153</v>
      </c>
      <c r="AX400" s="254">
        <v>156.76734287788818</v>
      </c>
      <c r="AY400" s="425">
        <v>372.37640972856366</v>
      </c>
      <c r="AZ400" s="223">
        <v>221.09036692792432</v>
      </c>
      <c r="BA400" s="254">
        <v>-188.38278913742514</v>
      </c>
      <c r="BB400" s="350">
        <v>-752.97290252492849</v>
      </c>
      <c r="BC400" s="254">
        <v>-918.52956336594798</v>
      </c>
      <c r="BD400" s="425">
        <v>-389.31205876592543</v>
      </c>
      <c r="BE400" s="253">
        <v>-1012.3106579112196</v>
      </c>
      <c r="BF400" s="254">
        <v>-490.94797083943956</v>
      </c>
      <c r="BG400" s="350">
        <v>-1396.4966972915779</v>
      </c>
      <c r="BH400" s="254">
        <v>-774.124035035156</v>
      </c>
      <c r="BI400" s="426">
        <v>-937.81364651589092</v>
      </c>
      <c r="BJ400" s="254">
        <v>-830.00000000000034</v>
      </c>
      <c r="BK400" s="254">
        <v>-250.00000000000077</v>
      </c>
      <c r="BL400" s="254">
        <v>750.00000000000068</v>
      </c>
      <c r="BM400" s="254">
        <v>459.99999999999915</v>
      </c>
      <c r="BN400" s="425">
        <v>43.810510458937578</v>
      </c>
      <c r="BO400" s="254">
        <v>500.00000000000085</v>
      </c>
      <c r="BP400" s="254">
        <v>150.00000000000014</v>
      </c>
      <c r="BQ400" s="254">
        <v>49.999999999999766</v>
      </c>
      <c r="BR400" s="254">
        <v>250.00000000000051</v>
      </c>
      <c r="BS400" s="425">
        <v>223.33600257135987</v>
      </c>
      <c r="BT400" s="425">
        <v>130.0000000000004</v>
      </c>
      <c r="BU400" s="425">
        <v>129.99999999999957</v>
      </c>
      <c r="BV400" s="425">
        <v>130.00000000000068</v>
      </c>
      <c r="BW400" s="223"/>
    </row>
    <row r="401" spans="1:75" s="198" customFormat="1" ht="14.25" collapsed="1" x14ac:dyDescent="0.45">
      <c r="A401" s="206"/>
      <c r="B401" s="207"/>
      <c r="C401" s="208"/>
      <c r="D401" s="208"/>
      <c r="E401" s="208"/>
      <c r="F401" s="208"/>
      <c r="G401" s="209"/>
      <c r="H401" s="209"/>
      <c r="I401" s="209"/>
      <c r="J401" s="209"/>
      <c r="K401" s="208"/>
      <c r="L401" s="209"/>
      <c r="M401" s="209"/>
      <c r="N401" s="209"/>
      <c r="O401" s="209"/>
      <c r="P401" s="208"/>
      <c r="Q401" s="209"/>
      <c r="R401" s="209"/>
      <c r="S401" s="209"/>
      <c r="T401" s="209"/>
      <c r="U401" s="208"/>
      <c r="V401" s="209"/>
      <c r="W401" s="209"/>
      <c r="X401" s="209"/>
      <c r="Y401" s="209"/>
      <c r="Z401" s="208"/>
      <c r="AA401" s="209"/>
      <c r="AB401" s="209"/>
      <c r="AC401" s="209"/>
      <c r="AD401" s="209"/>
      <c r="AE401" s="208"/>
      <c r="AF401" s="209"/>
      <c r="AG401" s="209"/>
      <c r="AH401" s="209"/>
      <c r="AI401" s="209"/>
      <c r="AJ401" s="208"/>
      <c r="AK401" s="209"/>
      <c r="AL401" s="209"/>
      <c r="AM401" s="209"/>
      <c r="AN401" s="209"/>
      <c r="AO401" s="208"/>
      <c r="AP401" s="209"/>
      <c r="AQ401" s="209"/>
      <c r="AR401" s="209"/>
      <c r="AS401" s="209"/>
      <c r="AT401" s="208"/>
      <c r="AU401" s="209"/>
      <c r="AV401" s="209"/>
      <c r="AW401" s="209"/>
      <c r="AX401" s="209"/>
      <c r="AY401" s="208"/>
      <c r="AZ401" s="209"/>
      <c r="BA401" s="209"/>
      <c r="BB401" s="209"/>
      <c r="BC401" s="209"/>
      <c r="BD401" s="208"/>
      <c r="BE401" s="209"/>
      <c r="BF401" s="209"/>
      <c r="BG401" s="209"/>
      <c r="BH401" s="209"/>
      <c r="BI401" s="210"/>
      <c r="BJ401" s="209"/>
      <c r="BK401" s="209"/>
      <c r="BL401" s="209"/>
      <c r="BM401" s="209"/>
      <c r="BN401" s="208"/>
      <c r="BO401" s="209"/>
      <c r="BP401" s="209"/>
      <c r="BQ401" s="209"/>
      <c r="BR401" s="209"/>
      <c r="BS401" s="208"/>
      <c r="BT401" s="208"/>
      <c r="BU401" s="208"/>
      <c r="BV401" s="208"/>
      <c r="BW401" s="197"/>
    </row>
    <row r="402" spans="1:75" s="198" customFormat="1" ht="14.25" x14ac:dyDescent="0.45">
      <c r="A402" s="239" t="s">
        <v>547</v>
      </c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  <c r="AA402" s="239"/>
      <c r="AB402" s="239"/>
      <c r="AC402" s="239"/>
      <c r="AD402" s="239"/>
      <c r="AE402" s="239"/>
      <c r="AF402" s="240"/>
      <c r="AG402" s="240"/>
      <c r="AH402" s="240"/>
      <c r="AI402" s="240"/>
      <c r="AJ402" s="240"/>
      <c r="AK402" s="239"/>
      <c r="AL402" s="239"/>
      <c r="AM402" s="239"/>
      <c r="AN402" s="239"/>
      <c r="AO402" s="239"/>
      <c r="AP402" s="239"/>
      <c r="AQ402" s="239"/>
      <c r="AR402" s="239"/>
      <c r="AS402" s="239"/>
      <c r="AT402" s="239"/>
      <c r="AU402" s="239"/>
      <c r="AV402" s="239"/>
      <c r="AW402" s="239"/>
      <c r="AX402" s="239"/>
      <c r="AY402" s="239"/>
      <c r="AZ402" s="239"/>
      <c r="BA402" s="239"/>
      <c r="BB402" s="239"/>
      <c r="BC402" s="239"/>
      <c r="BD402" s="239"/>
      <c r="BE402" s="239"/>
      <c r="BF402" s="239"/>
      <c r="BG402" s="239"/>
      <c r="BH402" s="239"/>
      <c r="BI402" s="241"/>
      <c r="BJ402" s="239"/>
      <c r="BK402" s="239"/>
      <c r="BL402" s="239"/>
      <c r="BM402" s="239"/>
      <c r="BN402" s="239"/>
      <c r="BO402" s="239"/>
      <c r="BP402" s="239"/>
      <c r="BQ402" s="239"/>
      <c r="BR402" s="239"/>
      <c r="BS402" s="239"/>
      <c r="BT402" s="239"/>
      <c r="BU402" s="239"/>
      <c r="BV402" s="239"/>
      <c r="BW402" s="197"/>
    </row>
    <row r="403" spans="1:75" s="198" customFormat="1" ht="14.25" hidden="1" outlineLevel="1" x14ac:dyDescent="0.45">
      <c r="A403" s="239" t="s">
        <v>548</v>
      </c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  <c r="AA403" s="239"/>
      <c r="AB403" s="239"/>
      <c r="AC403" s="239"/>
      <c r="AD403" s="239"/>
      <c r="AE403" s="239"/>
      <c r="AF403" s="240"/>
      <c r="AG403" s="240"/>
      <c r="AH403" s="240"/>
      <c r="AI403" s="240"/>
      <c r="AJ403" s="240"/>
      <c r="AK403" s="239"/>
      <c r="AL403" s="239"/>
      <c r="AM403" s="239"/>
      <c r="AN403" s="239"/>
      <c r="AO403" s="239"/>
      <c r="AP403" s="239"/>
      <c r="AQ403" s="239"/>
      <c r="AR403" s="239"/>
      <c r="AS403" s="239"/>
      <c r="AT403" s="239"/>
      <c r="AU403" s="239"/>
      <c r="AV403" s="239"/>
      <c r="AW403" s="239"/>
      <c r="AX403" s="239"/>
      <c r="AY403" s="239"/>
      <c r="AZ403" s="239"/>
      <c r="BA403" s="239"/>
      <c r="BB403" s="239"/>
      <c r="BC403" s="239"/>
      <c r="BD403" s="239"/>
      <c r="BE403" s="239"/>
      <c r="BF403" s="239"/>
      <c r="BG403" s="239"/>
      <c r="BH403" s="239"/>
      <c r="BI403" s="241"/>
      <c r="BJ403" s="239"/>
      <c r="BK403" s="239"/>
      <c r="BL403" s="239"/>
      <c r="BM403" s="239"/>
      <c r="BN403" s="239"/>
      <c r="BO403" s="239"/>
      <c r="BP403" s="239"/>
      <c r="BQ403" s="239"/>
      <c r="BR403" s="239"/>
      <c r="BS403" s="239"/>
      <c r="BT403" s="239"/>
      <c r="BU403" s="239"/>
      <c r="BV403" s="239"/>
      <c r="BW403" s="197"/>
    </row>
    <row r="404" spans="1:75" s="198" customFormat="1" ht="14.25" hidden="1" outlineLevel="2" x14ac:dyDescent="0.45">
      <c r="A404" s="242" t="s">
        <v>549</v>
      </c>
      <c r="B404" s="243"/>
      <c r="C404" s="244"/>
      <c r="D404" s="244"/>
      <c r="E404" s="244"/>
      <c r="F404" s="244"/>
      <c r="G404" s="245"/>
      <c r="H404" s="245"/>
      <c r="I404" s="245"/>
      <c r="J404" s="245"/>
      <c r="K404" s="244"/>
      <c r="L404" s="245"/>
      <c r="M404" s="245"/>
      <c r="N404" s="245"/>
      <c r="O404" s="245"/>
      <c r="P404" s="244"/>
      <c r="Q404" s="245"/>
      <c r="R404" s="245"/>
      <c r="S404" s="245"/>
      <c r="T404" s="245"/>
      <c r="U404" s="244"/>
      <c r="V404" s="245"/>
      <c r="W404" s="288">
        <v>0</v>
      </c>
      <c r="X404" s="288">
        <v>15</v>
      </c>
      <c r="Y404" s="168">
        <v>15</v>
      </c>
      <c r="Z404" s="246">
        <v>0</v>
      </c>
      <c r="AA404" s="168">
        <v>15</v>
      </c>
      <c r="AB404" s="168">
        <v>15</v>
      </c>
      <c r="AC404" s="288">
        <v>15</v>
      </c>
      <c r="AD404" s="168">
        <v>15</v>
      </c>
      <c r="AE404" s="246">
        <v>15</v>
      </c>
      <c r="AF404" s="168">
        <v>15</v>
      </c>
      <c r="AG404" s="168">
        <v>15</v>
      </c>
      <c r="AH404" s="288">
        <v>15</v>
      </c>
      <c r="AI404" s="168">
        <v>15</v>
      </c>
      <c r="AJ404" s="246">
        <v>15</v>
      </c>
      <c r="AK404" s="168">
        <v>15</v>
      </c>
      <c r="AL404" s="168">
        <v>15</v>
      </c>
      <c r="AM404" s="288">
        <v>15</v>
      </c>
      <c r="AN404" s="168">
        <v>15</v>
      </c>
      <c r="AO404" s="246">
        <v>15</v>
      </c>
      <c r="AP404" s="168">
        <v>15</v>
      </c>
      <c r="AQ404" s="168">
        <v>15</v>
      </c>
      <c r="AR404" s="289">
        <v>15</v>
      </c>
      <c r="AS404" s="168">
        <v>14</v>
      </c>
      <c r="AT404" s="246">
        <v>15</v>
      </c>
      <c r="AU404" s="168">
        <v>14</v>
      </c>
      <c r="AV404" s="168">
        <v>14</v>
      </c>
      <c r="AW404" s="289">
        <v>14</v>
      </c>
      <c r="AX404" s="168">
        <v>14</v>
      </c>
      <c r="AY404" s="246">
        <v>14</v>
      </c>
      <c r="AZ404" s="168">
        <v>14</v>
      </c>
      <c r="BA404" s="168">
        <v>14</v>
      </c>
      <c r="BB404" s="289">
        <v>14</v>
      </c>
      <c r="BC404" s="168">
        <v>14</v>
      </c>
      <c r="BD404" s="246">
        <v>14</v>
      </c>
      <c r="BE404" s="168">
        <v>14</v>
      </c>
      <c r="BF404" s="168">
        <v>14</v>
      </c>
      <c r="BG404" s="289">
        <v>14</v>
      </c>
      <c r="BH404" s="168">
        <v>14</v>
      </c>
      <c r="BI404" s="290">
        <v>14</v>
      </c>
      <c r="BJ404" s="247">
        <v>14</v>
      </c>
      <c r="BK404" s="247">
        <v>14</v>
      </c>
      <c r="BL404" s="247">
        <v>14</v>
      </c>
      <c r="BM404" s="247">
        <v>14</v>
      </c>
      <c r="BN404" s="244">
        <v>14</v>
      </c>
      <c r="BO404" s="247">
        <v>14</v>
      </c>
      <c r="BP404" s="247">
        <v>14</v>
      </c>
      <c r="BQ404" s="247">
        <v>14</v>
      </c>
      <c r="BR404" s="247">
        <v>14</v>
      </c>
      <c r="BS404" s="244">
        <v>14</v>
      </c>
      <c r="BT404" s="244">
        <v>14</v>
      </c>
      <c r="BU404" s="244">
        <v>14</v>
      </c>
      <c r="BV404" s="244">
        <v>14</v>
      </c>
      <c r="BW404" s="197"/>
    </row>
    <row r="405" spans="1:75" s="224" customFormat="1" hidden="1" outlineLevel="3" x14ac:dyDescent="0.5">
      <c r="A405" s="261" t="s">
        <v>550</v>
      </c>
      <c r="B405" s="258"/>
      <c r="C405" s="252"/>
      <c r="D405" s="252"/>
      <c r="E405" s="252"/>
      <c r="F405" s="252"/>
      <c r="G405" s="253"/>
      <c r="H405" s="253"/>
      <c r="I405" s="253"/>
      <c r="J405" s="253"/>
      <c r="K405" s="252"/>
      <c r="L405" s="253"/>
      <c r="M405" s="253"/>
      <c r="N405" s="253"/>
      <c r="O405" s="253"/>
      <c r="P405" s="252"/>
      <c r="Q405" s="253"/>
      <c r="R405" s="253"/>
      <c r="S405" s="253"/>
      <c r="T405" s="253"/>
      <c r="U405" s="252"/>
      <c r="V405" s="253"/>
      <c r="W405" s="253"/>
      <c r="X405" s="253"/>
      <c r="Y405" s="254">
        <v>0</v>
      </c>
      <c r="Z405" s="252"/>
      <c r="AA405" s="254"/>
      <c r="AB405" s="254"/>
      <c r="AC405" s="253"/>
      <c r="AD405" s="254">
        <v>0</v>
      </c>
      <c r="AE405" s="252"/>
      <c r="AF405" s="256">
        <v>1</v>
      </c>
      <c r="AG405" s="254"/>
      <c r="AH405" s="253"/>
      <c r="AI405" s="254">
        <v>0</v>
      </c>
      <c r="AJ405" s="259">
        <v>1</v>
      </c>
      <c r="AK405" s="254"/>
      <c r="AL405" s="254"/>
      <c r="AM405" s="253"/>
      <c r="AN405" s="254">
        <v>0</v>
      </c>
      <c r="AO405" s="252"/>
      <c r="AP405" s="254"/>
      <c r="AQ405" s="254"/>
      <c r="AR405" s="255"/>
      <c r="AS405" s="254">
        <v>0</v>
      </c>
      <c r="AT405" s="252"/>
      <c r="AU405" s="254"/>
      <c r="AV405" s="254"/>
      <c r="AW405" s="255"/>
      <c r="AX405" s="254">
        <v>0</v>
      </c>
      <c r="AY405" s="252"/>
      <c r="AZ405" s="254"/>
      <c r="BA405" s="254"/>
      <c r="BB405" s="255"/>
      <c r="BC405" s="254">
        <v>0</v>
      </c>
      <c r="BD405" s="252"/>
      <c r="BE405" s="254"/>
      <c r="BF405" s="254"/>
      <c r="BG405" s="255"/>
      <c r="BH405" s="254">
        <v>0</v>
      </c>
      <c r="BI405" s="260"/>
      <c r="BJ405" s="254"/>
      <c r="BK405" s="254"/>
      <c r="BL405" s="254"/>
      <c r="BM405" s="254"/>
      <c r="BN405" s="252"/>
      <c r="BO405" s="254"/>
      <c r="BP405" s="254"/>
      <c r="BQ405" s="254"/>
      <c r="BR405" s="254"/>
      <c r="BS405" s="252"/>
      <c r="BT405" s="252"/>
      <c r="BU405" s="252"/>
      <c r="BV405" s="252"/>
      <c r="BW405" s="223"/>
    </row>
    <row r="406" spans="1:75" s="224" customFormat="1" hidden="1" outlineLevel="3" x14ac:dyDescent="0.5">
      <c r="A406" s="261" t="s">
        <v>551</v>
      </c>
      <c r="B406" s="258"/>
      <c r="C406" s="252"/>
      <c r="D406" s="252"/>
      <c r="E406" s="252"/>
      <c r="F406" s="252"/>
      <c r="G406" s="253"/>
      <c r="H406" s="253"/>
      <c r="I406" s="253"/>
      <c r="J406" s="253"/>
      <c r="K406" s="252"/>
      <c r="L406" s="253"/>
      <c r="M406" s="253"/>
      <c r="N406" s="253"/>
      <c r="O406" s="253"/>
      <c r="P406" s="252"/>
      <c r="Q406" s="253"/>
      <c r="R406" s="253"/>
      <c r="S406" s="253"/>
      <c r="T406" s="253"/>
      <c r="U406" s="252"/>
      <c r="V406" s="253"/>
      <c r="W406" s="253"/>
      <c r="X406" s="253"/>
      <c r="Y406" s="254">
        <v>0</v>
      </c>
      <c r="Z406" s="252"/>
      <c r="AA406" s="254"/>
      <c r="AB406" s="256">
        <v>1</v>
      </c>
      <c r="AC406" s="253"/>
      <c r="AD406" s="254">
        <v>0</v>
      </c>
      <c r="AE406" s="259">
        <v>1</v>
      </c>
      <c r="AF406" s="254"/>
      <c r="AG406" s="254"/>
      <c r="AH406" s="253"/>
      <c r="AI406" s="254">
        <v>0</v>
      </c>
      <c r="AJ406" s="252"/>
      <c r="AK406" s="254"/>
      <c r="AL406" s="254"/>
      <c r="AM406" s="253"/>
      <c r="AN406" s="254">
        <v>0</v>
      </c>
      <c r="AO406" s="252"/>
      <c r="AP406" s="254"/>
      <c r="AQ406" s="254"/>
      <c r="AR406" s="255"/>
      <c r="AS406" s="254">
        <v>0</v>
      </c>
      <c r="AT406" s="252"/>
      <c r="AU406" s="254"/>
      <c r="AV406" s="254"/>
      <c r="AW406" s="255"/>
      <c r="AX406" s="254">
        <v>0</v>
      </c>
      <c r="AY406" s="252"/>
      <c r="AZ406" s="254"/>
      <c r="BA406" s="254"/>
      <c r="BB406" s="255"/>
      <c r="BC406" s="254">
        <v>0</v>
      </c>
      <c r="BD406" s="252"/>
      <c r="BE406" s="254"/>
      <c r="BF406" s="254"/>
      <c r="BG406" s="255"/>
      <c r="BH406" s="254">
        <v>0</v>
      </c>
      <c r="BI406" s="260"/>
      <c r="BJ406" s="254"/>
      <c r="BK406" s="254"/>
      <c r="BL406" s="254"/>
      <c r="BM406" s="254"/>
      <c r="BN406" s="252"/>
      <c r="BO406" s="254"/>
      <c r="BP406" s="254"/>
      <c r="BQ406" s="254"/>
      <c r="BR406" s="254"/>
      <c r="BS406" s="252"/>
      <c r="BT406" s="252"/>
      <c r="BU406" s="252"/>
      <c r="BV406" s="252"/>
      <c r="BW406" s="223"/>
    </row>
    <row r="407" spans="1:75" s="224" customFormat="1" hidden="1" outlineLevel="3" x14ac:dyDescent="0.5">
      <c r="A407" s="264" t="s">
        <v>552</v>
      </c>
      <c r="B407" s="265"/>
      <c r="C407" s="266"/>
      <c r="D407" s="266"/>
      <c r="E407" s="266"/>
      <c r="F407" s="266"/>
      <c r="G407" s="267"/>
      <c r="H407" s="267"/>
      <c r="I407" s="267"/>
      <c r="J407" s="267"/>
      <c r="K407" s="266"/>
      <c r="L407" s="267"/>
      <c r="M407" s="267"/>
      <c r="N407" s="267"/>
      <c r="O407" s="267"/>
      <c r="P407" s="266"/>
      <c r="Q407" s="267"/>
      <c r="R407" s="267"/>
      <c r="S407" s="267"/>
      <c r="T407" s="267"/>
      <c r="U407" s="266"/>
      <c r="V407" s="267"/>
      <c r="W407" s="267"/>
      <c r="X407" s="275">
        <v>1</v>
      </c>
      <c r="Y407" s="269">
        <v>0</v>
      </c>
      <c r="Z407" s="268">
        <v>1</v>
      </c>
      <c r="AA407" s="269"/>
      <c r="AB407" s="269"/>
      <c r="AC407" s="267"/>
      <c r="AD407" s="269">
        <v>0</v>
      </c>
      <c r="AE407" s="266"/>
      <c r="AF407" s="269"/>
      <c r="AG407" s="269"/>
      <c r="AH407" s="267"/>
      <c r="AI407" s="269">
        <v>0</v>
      </c>
      <c r="AJ407" s="266"/>
      <c r="AK407" s="269"/>
      <c r="AL407" s="269"/>
      <c r="AM407" s="267"/>
      <c r="AN407" s="269">
        <v>0</v>
      </c>
      <c r="AO407" s="266"/>
      <c r="AP407" s="269"/>
      <c r="AQ407" s="269"/>
      <c r="AR407" s="270"/>
      <c r="AS407" s="269">
        <v>0</v>
      </c>
      <c r="AT407" s="266"/>
      <c r="AU407" s="269"/>
      <c r="AV407" s="269"/>
      <c r="AW407" s="270"/>
      <c r="AX407" s="269">
        <v>0</v>
      </c>
      <c r="AY407" s="266"/>
      <c r="AZ407" s="269"/>
      <c r="BA407" s="269"/>
      <c r="BB407" s="270"/>
      <c r="BC407" s="269">
        <v>0</v>
      </c>
      <c r="BD407" s="266"/>
      <c r="BE407" s="269"/>
      <c r="BF407" s="269"/>
      <c r="BG407" s="270"/>
      <c r="BH407" s="269">
        <v>0</v>
      </c>
      <c r="BI407" s="271"/>
      <c r="BJ407" s="269"/>
      <c r="BK407" s="269"/>
      <c r="BL407" s="269"/>
      <c r="BM407" s="269"/>
      <c r="BN407" s="266"/>
      <c r="BO407" s="269"/>
      <c r="BP407" s="269"/>
      <c r="BQ407" s="269"/>
      <c r="BR407" s="269"/>
      <c r="BS407" s="266"/>
      <c r="BT407" s="266"/>
      <c r="BU407" s="266"/>
      <c r="BV407" s="266"/>
      <c r="BW407" s="223"/>
    </row>
    <row r="408" spans="1:75" s="123" customFormat="1" hidden="1" outlineLevel="2" collapsed="1" x14ac:dyDescent="0.5">
      <c r="A408" s="218" t="s">
        <v>553</v>
      </c>
      <c r="B408" s="251"/>
      <c r="C408" s="252"/>
      <c r="D408" s="252"/>
      <c r="E408" s="252"/>
      <c r="F408" s="252"/>
      <c r="G408" s="253"/>
      <c r="H408" s="253"/>
      <c r="I408" s="253"/>
      <c r="J408" s="253"/>
      <c r="K408" s="252"/>
      <c r="L408" s="253"/>
      <c r="M408" s="253"/>
      <c r="N408" s="253"/>
      <c r="O408" s="253"/>
      <c r="P408" s="252"/>
      <c r="Q408" s="253"/>
      <c r="R408" s="253"/>
      <c r="S408" s="253"/>
      <c r="T408" s="253"/>
      <c r="U408" s="252"/>
      <c r="V408" s="253"/>
      <c r="W408" s="253">
        <v>0</v>
      </c>
      <c r="X408" s="253">
        <v>1</v>
      </c>
      <c r="Y408" s="254">
        <v>0</v>
      </c>
      <c r="Z408" s="252">
        <v>1</v>
      </c>
      <c r="AA408" s="254">
        <v>0</v>
      </c>
      <c r="AB408" s="254">
        <v>1</v>
      </c>
      <c r="AC408" s="253">
        <v>0</v>
      </c>
      <c r="AD408" s="254">
        <v>0</v>
      </c>
      <c r="AE408" s="252">
        <v>1</v>
      </c>
      <c r="AF408" s="254">
        <v>1</v>
      </c>
      <c r="AG408" s="254">
        <v>0</v>
      </c>
      <c r="AH408" s="253">
        <v>0</v>
      </c>
      <c r="AI408" s="254">
        <v>0</v>
      </c>
      <c r="AJ408" s="252">
        <v>1</v>
      </c>
      <c r="AK408" s="254">
        <v>0</v>
      </c>
      <c r="AL408" s="254">
        <v>0</v>
      </c>
      <c r="AM408" s="253">
        <v>0</v>
      </c>
      <c r="AN408" s="254">
        <v>0</v>
      </c>
      <c r="AO408" s="252">
        <v>0</v>
      </c>
      <c r="AP408" s="254">
        <v>0</v>
      </c>
      <c r="AQ408" s="254">
        <v>0</v>
      </c>
      <c r="AR408" s="255">
        <v>0</v>
      </c>
      <c r="AS408" s="254">
        <v>0</v>
      </c>
      <c r="AT408" s="252">
        <v>0</v>
      </c>
      <c r="AU408" s="254">
        <v>0</v>
      </c>
      <c r="AV408" s="254">
        <v>0</v>
      </c>
      <c r="AW408" s="255">
        <v>0</v>
      </c>
      <c r="AX408" s="254">
        <v>0</v>
      </c>
      <c r="AY408" s="252">
        <v>0</v>
      </c>
      <c r="AZ408" s="254">
        <v>0</v>
      </c>
      <c r="BA408" s="254">
        <v>0</v>
      </c>
      <c r="BB408" s="255">
        <v>0</v>
      </c>
      <c r="BC408" s="254">
        <v>0</v>
      </c>
      <c r="BD408" s="252">
        <v>0</v>
      </c>
      <c r="BE408" s="254">
        <v>0</v>
      </c>
      <c r="BF408" s="254">
        <v>0</v>
      </c>
      <c r="BG408" s="255">
        <v>0</v>
      </c>
      <c r="BH408" s="254">
        <v>0</v>
      </c>
      <c r="BI408" s="260">
        <v>0</v>
      </c>
      <c r="BJ408" s="256">
        <v>0</v>
      </c>
      <c r="BK408" s="256">
        <v>0</v>
      </c>
      <c r="BL408" s="256">
        <v>0</v>
      </c>
      <c r="BM408" s="256">
        <v>0</v>
      </c>
      <c r="BN408" s="252">
        <v>0</v>
      </c>
      <c r="BO408" s="256">
        <v>0</v>
      </c>
      <c r="BP408" s="256">
        <v>0</v>
      </c>
      <c r="BQ408" s="256">
        <v>0</v>
      </c>
      <c r="BR408" s="256">
        <v>0</v>
      </c>
      <c r="BS408" s="252">
        <v>0</v>
      </c>
      <c r="BT408" s="259">
        <v>0</v>
      </c>
      <c r="BU408" s="259">
        <v>0</v>
      </c>
      <c r="BV408" s="259">
        <v>0</v>
      </c>
      <c r="BW408" s="122"/>
    </row>
    <row r="409" spans="1:75" s="123" customFormat="1" hidden="1" outlineLevel="2" x14ac:dyDescent="0.5">
      <c r="A409" s="218" t="s">
        <v>554</v>
      </c>
      <c r="B409" s="251"/>
      <c r="C409" s="252"/>
      <c r="D409" s="252"/>
      <c r="E409" s="252"/>
      <c r="F409" s="252"/>
      <c r="G409" s="253"/>
      <c r="H409" s="253"/>
      <c r="I409" s="253"/>
      <c r="J409" s="253"/>
      <c r="K409" s="252"/>
      <c r="L409" s="253"/>
      <c r="M409" s="253"/>
      <c r="N409" s="253"/>
      <c r="O409" s="253"/>
      <c r="P409" s="252"/>
      <c r="Q409" s="253"/>
      <c r="R409" s="253"/>
      <c r="S409" s="253"/>
      <c r="T409" s="253"/>
      <c r="U409" s="252"/>
      <c r="V409" s="253"/>
      <c r="W409" s="263">
        <v>15</v>
      </c>
      <c r="X409" s="253"/>
      <c r="Y409" s="254">
        <v>0</v>
      </c>
      <c r="Z409" s="259">
        <v>15</v>
      </c>
      <c r="AA409" s="254"/>
      <c r="AB409" s="254"/>
      <c r="AC409" s="253"/>
      <c r="AD409" s="254">
        <v>0</v>
      </c>
      <c r="AE409" s="252"/>
      <c r="AF409" s="254"/>
      <c r="AG409" s="254"/>
      <c r="AH409" s="253"/>
      <c r="AI409" s="254">
        <v>0</v>
      </c>
      <c r="AJ409" s="252"/>
      <c r="AK409" s="254"/>
      <c r="AL409" s="254"/>
      <c r="AM409" s="253"/>
      <c r="AN409" s="254">
        <v>0</v>
      </c>
      <c r="AO409" s="252"/>
      <c r="AP409" s="254"/>
      <c r="AQ409" s="254"/>
      <c r="AR409" s="255"/>
      <c r="AS409" s="254">
        <v>0</v>
      </c>
      <c r="AT409" s="252"/>
      <c r="AU409" s="254"/>
      <c r="AV409" s="254"/>
      <c r="AW409" s="255"/>
      <c r="AX409" s="254">
        <v>0</v>
      </c>
      <c r="AY409" s="252"/>
      <c r="AZ409" s="254"/>
      <c r="BA409" s="254"/>
      <c r="BB409" s="255"/>
      <c r="BC409" s="254">
        <v>0</v>
      </c>
      <c r="BD409" s="252"/>
      <c r="BE409" s="254"/>
      <c r="BF409" s="254"/>
      <c r="BG409" s="255"/>
      <c r="BH409" s="254">
        <v>0</v>
      </c>
      <c r="BI409" s="260"/>
      <c r="BJ409" s="254"/>
      <c r="BK409" s="254"/>
      <c r="BL409" s="254"/>
      <c r="BM409" s="254"/>
      <c r="BN409" s="252">
        <v>0</v>
      </c>
      <c r="BO409" s="254"/>
      <c r="BP409" s="254"/>
      <c r="BQ409" s="254"/>
      <c r="BR409" s="254"/>
      <c r="BS409" s="252">
        <v>0</v>
      </c>
      <c r="BT409" s="252"/>
      <c r="BU409" s="252"/>
      <c r="BV409" s="252"/>
      <c r="BW409" s="122"/>
    </row>
    <row r="410" spans="1:75" s="123" customFormat="1" hidden="1" outlineLevel="3" x14ac:dyDescent="0.5">
      <c r="A410" s="272" t="s">
        <v>555</v>
      </c>
      <c r="B410" s="251"/>
      <c r="C410" s="252"/>
      <c r="D410" s="252"/>
      <c r="E410" s="252"/>
      <c r="F410" s="252"/>
      <c r="G410" s="253"/>
      <c r="H410" s="253"/>
      <c r="I410" s="253"/>
      <c r="J410" s="253"/>
      <c r="K410" s="252"/>
      <c r="L410" s="253"/>
      <c r="M410" s="253"/>
      <c r="N410" s="253"/>
      <c r="O410" s="253"/>
      <c r="P410" s="252"/>
      <c r="Q410" s="253"/>
      <c r="R410" s="253"/>
      <c r="S410" s="253"/>
      <c r="T410" s="253"/>
      <c r="U410" s="252"/>
      <c r="V410" s="253"/>
      <c r="W410" s="253"/>
      <c r="X410" s="253"/>
      <c r="Y410" s="254">
        <v>0</v>
      </c>
      <c r="Z410" s="252"/>
      <c r="AA410" s="254"/>
      <c r="AB410" s="254"/>
      <c r="AC410" s="253"/>
      <c r="AD410" s="254">
        <v>0</v>
      </c>
      <c r="AE410" s="252"/>
      <c r="AF410" s="254"/>
      <c r="AG410" s="254"/>
      <c r="AH410" s="253"/>
      <c r="AI410" s="254">
        <v>0</v>
      </c>
      <c r="AJ410" s="252"/>
      <c r="AK410" s="254"/>
      <c r="AL410" s="254"/>
      <c r="AM410" s="253"/>
      <c r="AN410" s="254">
        <v>0</v>
      </c>
      <c r="AO410" s="252"/>
      <c r="AP410" s="254"/>
      <c r="AQ410" s="254"/>
      <c r="AR410" s="262">
        <v>-1</v>
      </c>
      <c r="AS410" s="254">
        <v>0</v>
      </c>
      <c r="AT410" s="259">
        <v>-1</v>
      </c>
      <c r="AU410" s="254"/>
      <c r="AV410" s="254"/>
      <c r="AW410" s="255"/>
      <c r="AX410" s="254">
        <v>0</v>
      </c>
      <c r="AY410" s="252"/>
      <c r="AZ410" s="254"/>
      <c r="BA410" s="254"/>
      <c r="BB410" s="255"/>
      <c r="BC410" s="254">
        <v>0</v>
      </c>
      <c r="BD410" s="252"/>
      <c r="BE410" s="254"/>
      <c r="BF410" s="254"/>
      <c r="BG410" s="255"/>
      <c r="BH410" s="254">
        <v>0</v>
      </c>
      <c r="BI410" s="260"/>
      <c r="BJ410" s="254"/>
      <c r="BK410" s="254"/>
      <c r="BL410" s="254"/>
      <c r="BM410" s="254"/>
      <c r="BN410" s="252"/>
      <c r="BO410" s="254"/>
      <c r="BP410" s="254"/>
      <c r="BQ410" s="254"/>
      <c r="BR410" s="254"/>
      <c r="BS410" s="252"/>
      <c r="BT410" s="252"/>
      <c r="BU410" s="252"/>
      <c r="BV410" s="252"/>
      <c r="BW410" s="122"/>
    </row>
    <row r="411" spans="1:75" s="123" customFormat="1" hidden="1" outlineLevel="3" x14ac:dyDescent="0.5">
      <c r="A411" s="272" t="s">
        <v>556</v>
      </c>
      <c r="B411" s="251"/>
      <c r="C411" s="252"/>
      <c r="D411" s="252"/>
      <c r="E411" s="252"/>
      <c r="F411" s="252"/>
      <c r="G411" s="253"/>
      <c r="H411" s="253"/>
      <c r="I411" s="253"/>
      <c r="J411" s="253"/>
      <c r="K411" s="252"/>
      <c r="L411" s="253"/>
      <c r="M411" s="253"/>
      <c r="N411" s="253"/>
      <c r="O411" s="253"/>
      <c r="P411" s="252"/>
      <c r="Q411" s="253"/>
      <c r="R411" s="253"/>
      <c r="S411" s="253"/>
      <c r="T411" s="253"/>
      <c r="U411" s="252"/>
      <c r="V411" s="253"/>
      <c r="W411" s="253"/>
      <c r="X411" s="253"/>
      <c r="Y411" s="254">
        <v>0</v>
      </c>
      <c r="Z411" s="252"/>
      <c r="AA411" s="254"/>
      <c r="AB411" s="254"/>
      <c r="AC411" s="253"/>
      <c r="AD411" s="254">
        <v>0</v>
      </c>
      <c r="AE411" s="252"/>
      <c r="AF411" s="256">
        <v>-1</v>
      </c>
      <c r="AG411" s="254"/>
      <c r="AH411" s="253"/>
      <c r="AI411" s="254">
        <v>0</v>
      </c>
      <c r="AJ411" s="259">
        <v>-1</v>
      </c>
      <c r="AK411" s="254"/>
      <c r="AL411" s="254"/>
      <c r="AM411" s="253"/>
      <c r="AN411" s="254">
        <v>0</v>
      </c>
      <c r="AO411" s="252"/>
      <c r="AP411" s="254"/>
      <c r="AQ411" s="254"/>
      <c r="AR411" s="255"/>
      <c r="AS411" s="254">
        <v>0</v>
      </c>
      <c r="AT411" s="252"/>
      <c r="AU411" s="254"/>
      <c r="AV411" s="254"/>
      <c r="AW411" s="255"/>
      <c r="AX411" s="254">
        <v>0</v>
      </c>
      <c r="AY411" s="252"/>
      <c r="AZ411" s="254"/>
      <c r="BA411" s="254"/>
      <c r="BB411" s="255"/>
      <c r="BC411" s="254">
        <v>0</v>
      </c>
      <c r="BD411" s="252"/>
      <c r="BE411" s="254"/>
      <c r="BF411" s="254"/>
      <c r="BG411" s="255"/>
      <c r="BH411" s="254">
        <v>0</v>
      </c>
      <c r="BI411" s="260"/>
      <c r="BJ411" s="254"/>
      <c r="BK411" s="254"/>
      <c r="BL411" s="254"/>
      <c r="BM411" s="254"/>
      <c r="BN411" s="252"/>
      <c r="BO411" s="254"/>
      <c r="BP411" s="254"/>
      <c r="BQ411" s="254"/>
      <c r="BR411" s="254"/>
      <c r="BS411" s="252"/>
      <c r="BT411" s="252"/>
      <c r="BU411" s="252"/>
      <c r="BV411" s="252"/>
      <c r="BW411" s="122"/>
    </row>
    <row r="412" spans="1:75" s="123" customFormat="1" hidden="1" outlineLevel="3" x14ac:dyDescent="0.5">
      <c r="A412" s="272" t="s">
        <v>557</v>
      </c>
      <c r="B412" s="251"/>
      <c r="C412" s="252"/>
      <c r="D412" s="252"/>
      <c r="E412" s="252"/>
      <c r="F412" s="252"/>
      <c r="G412" s="253"/>
      <c r="H412" s="253"/>
      <c r="I412" s="253"/>
      <c r="J412" s="253"/>
      <c r="K412" s="252"/>
      <c r="L412" s="253"/>
      <c r="M412" s="253"/>
      <c r="N412" s="253"/>
      <c r="O412" s="253"/>
      <c r="P412" s="252"/>
      <c r="Q412" s="253"/>
      <c r="R412" s="253"/>
      <c r="S412" s="253"/>
      <c r="T412" s="253"/>
      <c r="U412" s="252"/>
      <c r="V412" s="253"/>
      <c r="W412" s="253"/>
      <c r="X412" s="253"/>
      <c r="Y412" s="254">
        <v>0</v>
      </c>
      <c r="Z412" s="252"/>
      <c r="AA412" s="254"/>
      <c r="AB412" s="256">
        <v>-1</v>
      </c>
      <c r="AC412" s="253"/>
      <c r="AD412" s="254">
        <v>0</v>
      </c>
      <c r="AE412" s="259">
        <v>-1</v>
      </c>
      <c r="AF412" s="254"/>
      <c r="AG412" s="254"/>
      <c r="AH412" s="253"/>
      <c r="AI412" s="254">
        <v>0</v>
      </c>
      <c r="AJ412" s="252"/>
      <c r="AK412" s="254"/>
      <c r="AL412" s="254"/>
      <c r="AM412" s="253"/>
      <c r="AN412" s="254">
        <v>0</v>
      </c>
      <c r="AO412" s="252"/>
      <c r="AP412" s="254"/>
      <c r="AQ412" s="254"/>
      <c r="AR412" s="255"/>
      <c r="AS412" s="254">
        <v>0</v>
      </c>
      <c r="AT412" s="252"/>
      <c r="AU412" s="254"/>
      <c r="AV412" s="254"/>
      <c r="AW412" s="255"/>
      <c r="AX412" s="254">
        <v>0</v>
      </c>
      <c r="AY412" s="252"/>
      <c r="AZ412" s="254"/>
      <c r="BA412" s="254"/>
      <c r="BB412" s="255"/>
      <c r="BC412" s="254">
        <v>0</v>
      </c>
      <c r="BD412" s="252"/>
      <c r="BE412" s="254"/>
      <c r="BF412" s="254"/>
      <c r="BG412" s="255"/>
      <c r="BH412" s="254">
        <v>0</v>
      </c>
      <c r="BI412" s="260"/>
      <c r="BJ412" s="254"/>
      <c r="BK412" s="254"/>
      <c r="BL412" s="254"/>
      <c r="BM412" s="254"/>
      <c r="BN412" s="252"/>
      <c r="BO412" s="254"/>
      <c r="BP412" s="254"/>
      <c r="BQ412" s="254"/>
      <c r="BR412" s="254"/>
      <c r="BS412" s="252"/>
      <c r="BT412" s="252"/>
      <c r="BU412" s="252"/>
      <c r="BV412" s="252"/>
      <c r="BW412" s="122"/>
    </row>
    <row r="413" spans="1:75" s="123" customFormat="1" hidden="1" outlineLevel="3" x14ac:dyDescent="0.5">
      <c r="A413" s="273" t="s">
        <v>558</v>
      </c>
      <c r="B413" s="274"/>
      <c r="C413" s="266"/>
      <c r="D413" s="266"/>
      <c r="E413" s="266"/>
      <c r="F413" s="266"/>
      <c r="G413" s="267"/>
      <c r="H413" s="267"/>
      <c r="I413" s="267"/>
      <c r="J413" s="267"/>
      <c r="K413" s="266"/>
      <c r="L413" s="267"/>
      <c r="M413" s="267"/>
      <c r="N413" s="267"/>
      <c r="O413" s="267"/>
      <c r="P413" s="266"/>
      <c r="Q413" s="267"/>
      <c r="R413" s="267"/>
      <c r="S413" s="267"/>
      <c r="T413" s="267"/>
      <c r="U413" s="266"/>
      <c r="V413" s="267"/>
      <c r="W413" s="267"/>
      <c r="X413" s="275">
        <v>-1</v>
      </c>
      <c r="Y413" s="269">
        <v>0</v>
      </c>
      <c r="Z413" s="268">
        <v>-1</v>
      </c>
      <c r="AA413" s="269"/>
      <c r="AB413" s="269"/>
      <c r="AC413" s="267"/>
      <c r="AD413" s="269">
        <v>0</v>
      </c>
      <c r="AE413" s="266"/>
      <c r="AF413" s="269"/>
      <c r="AG413" s="269"/>
      <c r="AH413" s="267"/>
      <c r="AI413" s="269">
        <v>0</v>
      </c>
      <c r="AJ413" s="266"/>
      <c r="AK413" s="269"/>
      <c r="AL413" s="269"/>
      <c r="AM413" s="267"/>
      <c r="AN413" s="269">
        <v>0</v>
      </c>
      <c r="AO413" s="266"/>
      <c r="AP413" s="269"/>
      <c r="AQ413" s="269"/>
      <c r="AR413" s="270"/>
      <c r="AS413" s="269">
        <v>0</v>
      </c>
      <c r="AT413" s="266"/>
      <c r="AU413" s="269"/>
      <c r="AV413" s="269"/>
      <c r="AW413" s="270"/>
      <c r="AX413" s="269">
        <v>0</v>
      </c>
      <c r="AY413" s="266"/>
      <c r="AZ413" s="269"/>
      <c r="BA413" s="269"/>
      <c r="BB413" s="270"/>
      <c r="BC413" s="269">
        <v>0</v>
      </c>
      <c r="BD413" s="266"/>
      <c r="BE413" s="269"/>
      <c r="BF413" s="269"/>
      <c r="BG413" s="270"/>
      <c r="BH413" s="269">
        <v>0</v>
      </c>
      <c r="BI413" s="271"/>
      <c r="BJ413" s="269"/>
      <c r="BK413" s="269"/>
      <c r="BL413" s="269"/>
      <c r="BM413" s="269"/>
      <c r="BN413" s="266"/>
      <c r="BO413" s="269"/>
      <c r="BP413" s="269"/>
      <c r="BQ413" s="269"/>
      <c r="BR413" s="269"/>
      <c r="BS413" s="266"/>
      <c r="BT413" s="266"/>
      <c r="BU413" s="266"/>
      <c r="BV413" s="266"/>
      <c r="BW413" s="122"/>
    </row>
    <row r="414" spans="1:75" s="123" customFormat="1" hidden="1" outlineLevel="2" collapsed="1" x14ac:dyDescent="0.5">
      <c r="A414" s="218" t="s">
        <v>559</v>
      </c>
      <c r="B414" s="251"/>
      <c r="C414" s="252"/>
      <c r="D414" s="252"/>
      <c r="E414" s="252"/>
      <c r="F414" s="252"/>
      <c r="G414" s="253"/>
      <c r="H414" s="253"/>
      <c r="I414" s="253"/>
      <c r="J414" s="253"/>
      <c r="K414" s="252"/>
      <c r="L414" s="253"/>
      <c r="M414" s="253"/>
      <c r="N414" s="253"/>
      <c r="O414" s="253"/>
      <c r="P414" s="252"/>
      <c r="Q414" s="253"/>
      <c r="R414" s="253"/>
      <c r="S414" s="253"/>
      <c r="T414" s="253"/>
      <c r="U414" s="252"/>
      <c r="V414" s="253"/>
      <c r="W414" s="253">
        <v>0</v>
      </c>
      <c r="X414" s="253">
        <v>-1</v>
      </c>
      <c r="Y414" s="254">
        <v>0</v>
      </c>
      <c r="Z414" s="252">
        <v>-1</v>
      </c>
      <c r="AA414" s="254">
        <v>0</v>
      </c>
      <c r="AB414" s="254">
        <v>-1</v>
      </c>
      <c r="AC414" s="253">
        <v>0</v>
      </c>
      <c r="AD414" s="254">
        <v>0</v>
      </c>
      <c r="AE414" s="252">
        <v>-1</v>
      </c>
      <c r="AF414" s="254">
        <v>-1</v>
      </c>
      <c r="AG414" s="254">
        <v>0</v>
      </c>
      <c r="AH414" s="253">
        <v>0</v>
      </c>
      <c r="AI414" s="254">
        <v>0</v>
      </c>
      <c r="AJ414" s="252">
        <v>-1</v>
      </c>
      <c r="AK414" s="254">
        <v>0</v>
      </c>
      <c r="AL414" s="254">
        <v>0</v>
      </c>
      <c r="AM414" s="253">
        <v>0</v>
      </c>
      <c r="AN414" s="254">
        <v>0</v>
      </c>
      <c r="AO414" s="252">
        <v>0</v>
      </c>
      <c r="AP414" s="254">
        <v>0</v>
      </c>
      <c r="AQ414" s="254">
        <v>0</v>
      </c>
      <c r="AR414" s="255">
        <v>-1</v>
      </c>
      <c r="AS414" s="254">
        <v>0</v>
      </c>
      <c r="AT414" s="252">
        <v>-1</v>
      </c>
      <c r="AU414" s="254">
        <v>0</v>
      </c>
      <c r="AV414" s="254">
        <v>0</v>
      </c>
      <c r="AW414" s="255">
        <v>0</v>
      </c>
      <c r="AX414" s="254">
        <v>0</v>
      </c>
      <c r="AY414" s="252">
        <v>0</v>
      </c>
      <c r="AZ414" s="254">
        <v>0</v>
      </c>
      <c r="BA414" s="254">
        <v>0</v>
      </c>
      <c r="BB414" s="255">
        <v>0</v>
      </c>
      <c r="BC414" s="254">
        <v>0</v>
      </c>
      <c r="BD414" s="252">
        <v>0</v>
      </c>
      <c r="BE414" s="254">
        <v>0</v>
      </c>
      <c r="BF414" s="254">
        <v>0</v>
      </c>
      <c r="BG414" s="255">
        <v>0</v>
      </c>
      <c r="BH414" s="254">
        <v>0</v>
      </c>
      <c r="BI414" s="260">
        <v>0</v>
      </c>
      <c r="BJ414" s="256">
        <v>0</v>
      </c>
      <c r="BK414" s="256">
        <v>0</v>
      </c>
      <c r="BL414" s="256">
        <v>0</v>
      </c>
      <c r="BM414" s="256">
        <v>0</v>
      </c>
      <c r="BN414" s="252">
        <v>0</v>
      </c>
      <c r="BO414" s="256">
        <v>0</v>
      </c>
      <c r="BP414" s="256">
        <v>0</v>
      </c>
      <c r="BQ414" s="256">
        <v>0</v>
      </c>
      <c r="BR414" s="256">
        <v>0</v>
      </c>
      <c r="BS414" s="252">
        <v>0</v>
      </c>
      <c r="BT414" s="259">
        <v>0</v>
      </c>
      <c r="BU414" s="259">
        <v>0</v>
      </c>
      <c r="BV414" s="259">
        <v>0</v>
      </c>
      <c r="BW414" s="122"/>
    </row>
    <row r="415" spans="1:75" s="198" customFormat="1" ht="14.25" hidden="1" outlineLevel="2" x14ac:dyDescent="0.45">
      <c r="A415" s="343" t="s">
        <v>560</v>
      </c>
      <c r="B415" s="277"/>
      <c r="C415" s="278"/>
      <c r="D415" s="278"/>
      <c r="E415" s="278"/>
      <c r="F415" s="278"/>
      <c r="G415" s="283"/>
      <c r="H415" s="283"/>
      <c r="I415" s="283"/>
      <c r="J415" s="283"/>
      <c r="K415" s="278"/>
      <c r="L415" s="283"/>
      <c r="M415" s="283"/>
      <c r="N415" s="283"/>
      <c r="O415" s="283"/>
      <c r="P415" s="278"/>
      <c r="Q415" s="283"/>
      <c r="R415" s="283"/>
      <c r="S415" s="283"/>
      <c r="T415" s="283"/>
      <c r="U415" s="278"/>
      <c r="V415" s="283"/>
      <c r="W415" s="283">
        <v>15</v>
      </c>
      <c r="X415" s="283">
        <v>15</v>
      </c>
      <c r="Y415" s="287">
        <v>15</v>
      </c>
      <c r="Z415" s="278">
        <v>15</v>
      </c>
      <c r="AA415" s="287">
        <v>15</v>
      </c>
      <c r="AB415" s="287">
        <v>15</v>
      </c>
      <c r="AC415" s="283">
        <v>15</v>
      </c>
      <c r="AD415" s="287">
        <v>15</v>
      </c>
      <c r="AE415" s="278">
        <v>15</v>
      </c>
      <c r="AF415" s="287">
        <v>15</v>
      </c>
      <c r="AG415" s="287">
        <v>15</v>
      </c>
      <c r="AH415" s="283">
        <v>15</v>
      </c>
      <c r="AI415" s="287">
        <v>15</v>
      </c>
      <c r="AJ415" s="278">
        <v>15</v>
      </c>
      <c r="AK415" s="287">
        <v>15</v>
      </c>
      <c r="AL415" s="287">
        <v>15</v>
      </c>
      <c r="AM415" s="283">
        <v>15</v>
      </c>
      <c r="AN415" s="287">
        <v>15</v>
      </c>
      <c r="AO415" s="278">
        <v>15</v>
      </c>
      <c r="AP415" s="287">
        <v>15</v>
      </c>
      <c r="AQ415" s="287">
        <v>15</v>
      </c>
      <c r="AR415" s="436">
        <v>14</v>
      </c>
      <c r="AS415" s="287">
        <v>14</v>
      </c>
      <c r="AT415" s="278">
        <v>14</v>
      </c>
      <c r="AU415" s="287">
        <v>14</v>
      </c>
      <c r="AV415" s="287">
        <v>14</v>
      </c>
      <c r="AW415" s="436">
        <v>14</v>
      </c>
      <c r="AX415" s="436">
        <v>14</v>
      </c>
      <c r="AY415" s="278">
        <v>14</v>
      </c>
      <c r="AZ415" s="287">
        <v>14</v>
      </c>
      <c r="BA415" s="287">
        <v>14</v>
      </c>
      <c r="BB415" s="436">
        <v>14</v>
      </c>
      <c r="BC415" s="436">
        <v>14</v>
      </c>
      <c r="BD415" s="278">
        <v>14</v>
      </c>
      <c r="BE415" s="287">
        <v>14</v>
      </c>
      <c r="BF415" s="287">
        <v>14</v>
      </c>
      <c r="BG415" s="436">
        <v>14</v>
      </c>
      <c r="BH415" s="436">
        <v>14</v>
      </c>
      <c r="BI415" s="437">
        <v>14</v>
      </c>
      <c r="BJ415" s="287">
        <v>14</v>
      </c>
      <c r="BK415" s="287">
        <v>14</v>
      </c>
      <c r="BL415" s="287">
        <v>14</v>
      </c>
      <c r="BM415" s="287">
        <v>14</v>
      </c>
      <c r="BN415" s="278">
        <v>14</v>
      </c>
      <c r="BO415" s="287">
        <v>14</v>
      </c>
      <c r="BP415" s="287">
        <v>14</v>
      </c>
      <c r="BQ415" s="287">
        <v>14</v>
      </c>
      <c r="BR415" s="287">
        <v>14</v>
      </c>
      <c r="BS415" s="278">
        <v>14</v>
      </c>
      <c r="BT415" s="278">
        <v>14</v>
      </c>
      <c r="BU415" s="278">
        <v>14</v>
      </c>
      <c r="BV415" s="278">
        <v>14</v>
      </c>
      <c r="BW415" s="197"/>
    </row>
    <row r="416" spans="1:75" s="177" customFormat="1" ht="14.25" hidden="1" outlineLevel="2" x14ac:dyDescent="0.45">
      <c r="A416" s="438" t="s">
        <v>561</v>
      </c>
      <c r="B416" s="374"/>
      <c r="C416" s="375"/>
      <c r="D416" s="375"/>
      <c r="E416" s="375"/>
      <c r="F416" s="375"/>
      <c r="G416" s="381"/>
      <c r="H416" s="381"/>
      <c r="I416" s="381"/>
      <c r="J416" s="381"/>
      <c r="K416" s="375"/>
      <c r="L416" s="381"/>
      <c r="M416" s="381"/>
      <c r="N416" s="381"/>
      <c r="O416" s="381"/>
      <c r="P416" s="375"/>
      <c r="Q416" s="381"/>
      <c r="R416" s="381"/>
      <c r="S416" s="381"/>
      <c r="T416" s="381"/>
      <c r="U416" s="375"/>
      <c r="V416" s="381"/>
      <c r="W416" s="381"/>
      <c r="X416" s="381">
        <v>0</v>
      </c>
      <c r="Y416" s="378">
        <v>0</v>
      </c>
      <c r="Z416" s="375"/>
      <c r="AA416" s="378">
        <v>0</v>
      </c>
      <c r="AB416" s="378">
        <v>0</v>
      </c>
      <c r="AC416" s="381">
        <v>0</v>
      </c>
      <c r="AD416" s="378">
        <v>0</v>
      </c>
      <c r="AE416" s="375"/>
      <c r="AF416" s="378">
        <v>0</v>
      </c>
      <c r="AG416" s="378">
        <v>0</v>
      </c>
      <c r="AH416" s="381">
        <v>0</v>
      </c>
      <c r="AI416" s="378">
        <v>0</v>
      </c>
      <c r="AJ416" s="375"/>
      <c r="AK416" s="378">
        <v>0</v>
      </c>
      <c r="AL416" s="378">
        <v>0</v>
      </c>
      <c r="AM416" s="381">
        <v>0</v>
      </c>
      <c r="AN416" s="378">
        <v>0</v>
      </c>
      <c r="AO416" s="375"/>
      <c r="AP416" s="378">
        <v>0</v>
      </c>
      <c r="AQ416" s="378">
        <v>0</v>
      </c>
      <c r="AR416" s="439">
        <v>-6.6666666666666652E-2</v>
      </c>
      <c r="AS416" s="378">
        <v>0</v>
      </c>
      <c r="AT416" s="375"/>
      <c r="AU416" s="378">
        <v>0</v>
      </c>
      <c r="AV416" s="378">
        <v>0</v>
      </c>
      <c r="AW416" s="439">
        <v>0</v>
      </c>
      <c r="AX416" s="439">
        <v>0</v>
      </c>
      <c r="AY416" s="375"/>
      <c r="AZ416" s="378">
        <v>0</v>
      </c>
      <c r="BA416" s="378">
        <v>0</v>
      </c>
      <c r="BB416" s="439">
        <v>0</v>
      </c>
      <c r="BC416" s="439">
        <v>0</v>
      </c>
      <c r="BD416" s="375"/>
      <c r="BE416" s="378">
        <v>0</v>
      </c>
      <c r="BF416" s="378">
        <v>0</v>
      </c>
      <c r="BG416" s="439">
        <v>0</v>
      </c>
      <c r="BH416" s="439">
        <v>0</v>
      </c>
      <c r="BI416" s="379"/>
      <c r="BJ416" s="378">
        <v>0</v>
      </c>
      <c r="BK416" s="378">
        <v>0</v>
      </c>
      <c r="BL416" s="378">
        <v>0</v>
      </c>
      <c r="BM416" s="378">
        <v>0</v>
      </c>
      <c r="BN416" s="375"/>
      <c r="BO416" s="378">
        <v>0</v>
      </c>
      <c r="BP416" s="378">
        <v>0</v>
      </c>
      <c r="BQ416" s="378">
        <v>0</v>
      </c>
      <c r="BR416" s="378">
        <v>0</v>
      </c>
      <c r="BS416" s="375"/>
      <c r="BT416" s="375"/>
      <c r="BU416" s="375"/>
      <c r="BV416" s="375"/>
      <c r="BW416" s="176"/>
    </row>
    <row r="417" spans="1:75" s="177" customFormat="1" ht="14.25" hidden="1" outlineLevel="2" x14ac:dyDescent="0.45">
      <c r="A417" s="438" t="s">
        <v>562</v>
      </c>
      <c r="B417" s="374"/>
      <c r="C417" s="375"/>
      <c r="D417" s="375"/>
      <c r="E417" s="375"/>
      <c r="F417" s="375"/>
      <c r="G417" s="381"/>
      <c r="H417" s="381"/>
      <c r="I417" s="381"/>
      <c r="J417" s="381"/>
      <c r="K417" s="375"/>
      <c r="L417" s="381"/>
      <c r="M417" s="381"/>
      <c r="N417" s="381"/>
      <c r="O417" s="381"/>
      <c r="P417" s="375"/>
      <c r="Q417" s="381"/>
      <c r="R417" s="381"/>
      <c r="S417" s="381"/>
      <c r="T417" s="381"/>
      <c r="U417" s="375"/>
      <c r="V417" s="381"/>
      <c r="W417" s="381"/>
      <c r="X417" s="381"/>
      <c r="Y417" s="378"/>
      <c r="Z417" s="375"/>
      <c r="AA417" s="378"/>
      <c r="AB417" s="378">
        <v>0</v>
      </c>
      <c r="AC417" s="381">
        <v>0</v>
      </c>
      <c r="AD417" s="378">
        <v>0</v>
      </c>
      <c r="AE417" s="375">
        <v>0</v>
      </c>
      <c r="AF417" s="378">
        <v>0</v>
      </c>
      <c r="AG417" s="378">
        <v>0</v>
      </c>
      <c r="AH417" s="381">
        <v>0</v>
      </c>
      <c r="AI417" s="378">
        <v>0</v>
      </c>
      <c r="AJ417" s="375">
        <v>0</v>
      </c>
      <c r="AK417" s="378">
        <v>0</v>
      </c>
      <c r="AL417" s="378">
        <v>0</v>
      </c>
      <c r="AM417" s="381">
        <v>0</v>
      </c>
      <c r="AN417" s="378">
        <v>0</v>
      </c>
      <c r="AO417" s="375">
        <v>0</v>
      </c>
      <c r="AP417" s="378">
        <v>0</v>
      </c>
      <c r="AQ417" s="378">
        <v>0</v>
      </c>
      <c r="AR417" s="439">
        <v>-6.6666666666666652E-2</v>
      </c>
      <c r="AS417" s="378">
        <v>-6.6666666666666652E-2</v>
      </c>
      <c r="AT417" s="375">
        <v>-6.6666666666666652E-2</v>
      </c>
      <c r="AU417" s="378">
        <v>-6.6666666666666652E-2</v>
      </c>
      <c r="AV417" s="378">
        <v>-6.6666666666666652E-2</v>
      </c>
      <c r="AW417" s="439">
        <v>0</v>
      </c>
      <c r="AX417" s="439">
        <v>0</v>
      </c>
      <c r="AY417" s="375">
        <v>0</v>
      </c>
      <c r="AZ417" s="378">
        <v>0</v>
      </c>
      <c r="BA417" s="378">
        <v>0</v>
      </c>
      <c r="BB417" s="439">
        <v>0</v>
      </c>
      <c r="BC417" s="439">
        <v>0</v>
      </c>
      <c r="BD417" s="375">
        <v>0</v>
      </c>
      <c r="BE417" s="378">
        <v>0</v>
      </c>
      <c r="BF417" s="378">
        <v>0</v>
      </c>
      <c r="BG417" s="439">
        <v>0</v>
      </c>
      <c r="BH417" s="439">
        <v>0</v>
      </c>
      <c r="BI417" s="379">
        <v>0</v>
      </c>
      <c r="BJ417" s="378">
        <v>0</v>
      </c>
      <c r="BK417" s="378">
        <v>0</v>
      </c>
      <c r="BL417" s="378">
        <v>0</v>
      </c>
      <c r="BM417" s="378">
        <v>0</v>
      </c>
      <c r="BN417" s="375">
        <v>0</v>
      </c>
      <c r="BO417" s="378">
        <v>0</v>
      </c>
      <c r="BP417" s="378">
        <v>0</v>
      </c>
      <c r="BQ417" s="378">
        <v>0</v>
      </c>
      <c r="BR417" s="378">
        <v>0</v>
      </c>
      <c r="BS417" s="375">
        <v>0</v>
      </c>
      <c r="BT417" s="375">
        <v>0</v>
      </c>
      <c r="BU417" s="375">
        <v>0</v>
      </c>
      <c r="BV417" s="375">
        <v>0</v>
      </c>
      <c r="BW417" s="176"/>
    </row>
    <row r="418" spans="1:75" s="198" customFormat="1" ht="14.25" hidden="1" outlineLevel="2" x14ac:dyDescent="0.45">
      <c r="A418" s="168" t="s">
        <v>563</v>
      </c>
      <c r="B418" s="243"/>
      <c r="C418" s="244"/>
      <c r="D418" s="244"/>
      <c r="E418" s="244"/>
      <c r="F418" s="244"/>
      <c r="G418" s="245"/>
      <c r="H418" s="245"/>
      <c r="I418" s="245"/>
      <c r="J418" s="245"/>
      <c r="K418" s="244"/>
      <c r="L418" s="245"/>
      <c r="M418" s="245"/>
      <c r="N418" s="245"/>
      <c r="O418" s="245"/>
      <c r="P418" s="244"/>
      <c r="Q418" s="245"/>
      <c r="R418" s="245"/>
      <c r="S418" s="245"/>
      <c r="T418" s="245"/>
      <c r="U418" s="244"/>
      <c r="V418" s="245"/>
      <c r="W418" s="245"/>
      <c r="X418" s="288">
        <v>15</v>
      </c>
      <c r="Y418" s="168">
        <v>15</v>
      </c>
      <c r="Z418" s="246">
        <v>7.5</v>
      </c>
      <c r="AA418" s="168">
        <v>15</v>
      </c>
      <c r="AB418" s="168">
        <v>15</v>
      </c>
      <c r="AC418" s="288">
        <v>15</v>
      </c>
      <c r="AD418" s="168">
        <v>15</v>
      </c>
      <c r="AE418" s="246">
        <v>15</v>
      </c>
      <c r="AF418" s="168">
        <v>15</v>
      </c>
      <c r="AG418" s="168">
        <v>15</v>
      </c>
      <c r="AH418" s="288">
        <v>15</v>
      </c>
      <c r="AI418" s="168">
        <v>15</v>
      </c>
      <c r="AJ418" s="246">
        <v>15</v>
      </c>
      <c r="AK418" s="168">
        <v>15</v>
      </c>
      <c r="AL418" s="168">
        <v>15</v>
      </c>
      <c r="AM418" s="288">
        <v>15</v>
      </c>
      <c r="AN418" s="168">
        <v>15</v>
      </c>
      <c r="AO418" s="246">
        <v>15</v>
      </c>
      <c r="AP418" s="168">
        <v>15</v>
      </c>
      <c r="AQ418" s="168">
        <v>15</v>
      </c>
      <c r="AR418" s="289">
        <v>14.5</v>
      </c>
      <c r="AS418" s="168">
        <v>14</v>
      </c>
      <c r="AT418" s="246">
        <v>14.625</v>
      </c>
      <c r="AU418" s="168">
        <v>14</v>
      </c>
      <c r="AV418" s="168">
        <v>14</v>
      </c>
      <c r="AW418" s="289">
        <v>14</v>
      </c>
      <c r="AX418" s="168">
        <v>14</v>
      </c>
      <c r="AY418" s="246">
        <v>14</v>
      </c>
      <c r="AZ418" s="168">
        <v>14</v>
      </c>
      <c r="BA418" s="168">
        <v>14</v>
      </c>
      <c r="BB418" s="289">
        <v>14</v>
      </c>
      <c r="BC418" s="168">
        <v>14</v>
      </c>
      <c r="BD418" s="246">
        <v>14</v>
      </c>
      <c r="BE418" s="168">
        <v>14</v>
      </c>
      <c r="BF418" s="168">
        <v>14</v>
      </c>
      <c r="BG418" s="289">
        <v>14</v>
      </c>
      <c r="BH418" s="168">
        <v>14</v>
      </c>
      <c r="BI418" s="290">
        <v>14</v>
      </c>
      <c r="BJ418" s="247">
        <v>14</v>
      </c>
      <c r="BK418" s="247">
        <v>14</v>
      </c>
      <c r="BL418" s="247">
        <v>14</v>
      </c>
      <c r="BM418" s="247">
        <v>14</v>
      </c>
      <c r="BN418" s="244">
        <v>14</v>
      </c>
      <c r="BO418" s="247">
        <v>14</v>
      </c>
      <c r="BP418" s="247">
        <v>14</v>
      </c>
      <c r="BQ418" s="247">
        <v>14</v>
      </c>
      <c r="BR418" s="247">
        <v>14</v>
      </c>
      <c r="BS418" s="244">
        <v>14</v>
      </c>
      <c r="BT418" s="244">
        <v>14</v>
      </c>
      <c r="BU418" s="244">
        <v>14</v>
      </c>
      <c r="BV418" s="244">
        <v>14</v>
      </c>
      <c r="BW418" s="197"/>
    </row>
    <row r="419" spans="1:75" s="198" customFormat="1" ht="14.25" hidden="1" outlineLevel="2" x14ac:dyDescent="0.45">
      <c r="A419" s="292"/>
      <c r="B419" s="243"/>
      <c r="C419" s="244"/>
      <c r="D419" s="244"/>
      <c r="E419" s="244"/>
      <c r="F419" s="244"/>
      <c r="G419" s="245"/>
      <c r="H419" s="245"/>
      <c r="I419" s="245"/>
      <c r="J419" s="245"/>
      <c r="K419" s="244"/>
      <c r="L419" s="245"/>
      <c r="M419" s="245"/>
      <c r="N419" s="245"/>
      <c r="O419" s="245"/>
      <c r="P419" s="244"/>
      <c r="Q419" s="245"/>
      <c r="R419" s="245"/>
      <c r="S419" s="245"/>
      <c r="T419" s="245"/>
      <c r="U419" s="244"/>
      <c r="V419" s="245"/>
      <c r="W419" s="245"/>
      <c r="X419" s="245"/>
      <c r="Y419" s="247"/>
      <c r="Z419" s="244"/>
      <c r="AA419" s="247"/>
      <c r="AB419" s="247"/>
      <c r="AC419" s="245"/>
      <c r="AD419" s="247"/>
      <c r="AE419" s="244"/>
      <c r="AF419" s="247"/>
      <c r="AG419" s="247"/>
      <c r="AH419" s="245"/>
      <c r="AI419" s="247"/>
      <c r="AJ419" s="244"/>
      <c r="AK419" s="247"/>
      <c r="AL419" s="247"/>
      <c r="AM419" s="245"/>
      <c r="AN419" s="247"/>
      <c r="AO419" s="244"/>
      <c r="AP419" s="247"/>
      <c r="AQ419" s="247"/>
      <c r="AR419" s="248"/>
      <c r="AS419" s="247"/>
      <c r="AT419" s="244"/>
      <c r="AU419" s="247"/>
      <c r="AV419" s="247"/>
      <c r="AW419" s="248"/>
      <c r="AX419" s="247"/>
      <c r="AY419" s="244"/>
      <c r="AZ419" s="247"/>
      <c r="BA419" s="247"/>
      <c r="BB419" s="248"/>
      <c r="BC419" s="247"/>
      <c r="BD419" s="244"/>
      <c r="BE419" s="247"/>
      <c r="BF419" s="247"/>
      <c r="BG419" s="248"/>
      <c r="BH419" s="247"/>
      <c r="BI419" s="249"/>
      <c r="BJ419" s="247"/>
      <c r="BK419" s="247"/>
      <c r="BL419" s="247"/>
      <c r="BM419" s="247"/>
      <c r="BN419" s="244"/>
      <c r="BO419" s="247"/>
      <c r="BP419" s="247"/>
      <c r="BQ419" s="247"/>
      <c r="BR419" s="247"/>
      <c r="BS419" s="244"/>
      <c r="BT419" s="244"/>
      <c r="BU419" s="244"/>
      <c r="BV419" s="244"/>
      <c r="BW419" s="197"/>
    </row>
    <row r="420" spans="1:75" s="198" customFormat="1" ht="14.25" hidden="1" outlineLevel="2" x14ac:dyDescent="0.45">
      <c r="A420" s="292" t="s">
        <v>564</v>
      </c>
      <c r="B420" s="243"/>
      <c r="C420" s="293"/>
      <c r="D420" s="293"/>
      <c r="E420" s="293"/>
      <c r="F420" s="293"/>
      <c r="G420" s="294"/>
      <c r="H420" s="294"/>
      <c r="I420" s="294"/>
      <c r="J420" s="294"/>
      <c r="K420" s="293"/>
      <c r="L420" s="294"/>
      <c r="M420" s="294"/>
      <c r="N420" s="294"/>
      <c r="O420" s="294"/>
      <c r="P420" s="293"/>
      <c r="Q420" s="294"/>
      <c r="R420" s="294"/>
      <c r="S420" s="294"/>
      <c r="T420" s="294"/>
      <c r="U420" s="293"/>
      <c r="V420" s="294"/>
      <c r="W420" s="294">
        <v>0</v>
      </c>
      <c r="X420" s="294">
        <v>52.2</v>
      </c>
      <c r="Y420" s="295">
        <v>56</v>
      </c>
      <c r="Z420" s="293">
        <v>1.2000000000000028</v>
      </c>
      <c r="AA420" s="295">
        <v>56</v>
      </c>
      <c r="AB420" s="295">
        <v>56</v>
      </c>
      <c r="AC420" s="294">
        <v>58.9</v>
      </c>
      <c r="AD420" s="295">
        <v>58.9</v>
      </c>
      <c r="AE420" s="293">
        <v>56</v>
      </c>
      <c r="AF420" s="295">
        <v>58.9</v>
      </c>
      <c r="AG420" s="295">
        <v>60</v>
      </c>
      <c r="AH420" s="294">
        <v>60</v>
      </c>
      <c r="AI420" s="295">
        <v>60</v>
      </c>
      <c r="AJ420" s="293">
        <v>58.9</v>
      </c>
      <c r="AK420" s="295">
        <v>60</v>
      </c>
      <c r="AL420" s="295">
        <v>60</v>
      </c>
      <c r="AM420" s="294">
        <v>60</v>
      </c>
      <c r="AN420" s="295">
        <v>60</v>
      </c>
      <c r="AO420" s="293">
        <v>60</v>
      </c>
      <c r="AP420" s="295">
        <v>60</v>
      </c>
      <c r="AQ420" s="295">
        <v>60</v>
      </c>
      <c r="AR420" s="296">
        <v>60</v>
      </c>
      <c r="AS420" s="295">
        <v>58.6</v>
      </c>
      <c r="AT420" s="293">
        <v>60</v>
      </c>
      <c r="AU420" s="295">
        <v>57.4</v>
      </c>
      <c r="AV420" s="295">
        <v>57.4</v>
      </c>
      <c r="AW420" s="296">
        <v>57.4</v>
      </c>
      <c r="AX420" s="295">
        <v>57.4</v>
      </c>
      <c r="AY420" s="293">
        <v>57.4</v>
      </c>
      <c r="AZ420" s="295">
        <v>57.4</v>
      </c>
      <c r="BA420" s="295">
        <v>57.4</v>
      </c>
      <c r="BB420" s="296">
        <v>57.4</v>
      </c>
      <c r="BC420" s="295">
        <v>57.4</v>
      </c>
      <c r="BD420" s="293">
        <v>57.4</v>
      </c>
      <c r="BE420" s="295">
        <v>57.4</v>
      </c>
      <c r="BF420" s="295">
        <v>57.4</v>
      </c>
      <c r="BG420" s="296">
        <v>57.4</v>
      </c>
      <c r="BH420" s="295">
        <v>57.4</v>
      </c>
      <c r="BI420" s="297">
        <v>57.4</v>
      </c>
      <c r="BJ420" s="295">
        <v>60.2</v>
      </c>
      <c r="BK420" s="295">
        <v>60.2</v>
      </c>
      <c r="BL420" s="295">
        <v>60.2</v>
      </c>
      <c r="BM420" s="295">
        <v>60.2</v>
      </c>
      <c r="BN420" s="293">
        <v>60.2</v>
      </c>
      <c r="BO420" s="295">
        <v>60.2</v>
      </c>
      <c r="BP420" s="295">
        <v>60.2</v>
      </c>
      <c r="BQ420" s="295">
        <v>60.2</v>
      </c>
      <c r="BR420" s="295">
        <v>60.2</v>
      </c>
      <c r="BS420" s="293">
        <v>60.2</v>
      </c>
      <c r="BT420" s="293">
        <v>60.2</v>
      </c>
      <c r="BU420" s="293">
        <v>60.2</v>
      </c>
      <c r="BV420" s="293">
        <v>60.2</v>
      </c>
      <c r="BW420" s="197"/>
    </row>
    <row r="421" spans="1:75" s="123" customFormat="1" hidden="1" outlineLevel="3" x14ac:dyDescent="0.5">
      <c r="A421" s="298" t="s">
        <v>565</v>
      </c>
      <c r="B421" s="251"/>
      <c r="C421" s="299"/>
      <c r="D421" s="299"/>
      <c r="E421" s="299"/>
      <c r="F421" s="299"/>
      <c r="G421" s="300"/>
      <c r="H421" s="300"/>
      <c r="I421" s="300"/>
      <c r="J421" s="300"/>
      <c r="K421" s="299"/>
      <c r="L421" s="300"/>
      <c r="M421" s="300"/>
      <c r="N421" s="300"/>
      <c r="O421" s="300"/>
      <c r="P421" s="299"/>
      <c r="Q421" s="300"/>
      <c r="R421" s="300"/>
      <c r="S421" s="300"/>
      <c r="T421" s="300"/>
      <c r="U421" s="299"/>
      <c r="V421" s="300"/>
      <c r="W421" s="300"/>
      <c r="X421" s="300"/>
      <c r="Y421" s="119">
        <v>0</v>
      </c>
      <c r="Z421" s="299"/>
      <c r="AA421" s="119"/>
      <c r="AB421" s="119"/>
      <c r="AC421" s="300"/>
      <c r="AD421" s="119">
        <v>0</v>
      </c>
      <c r="AE421" s="299"/>
      <c r="AF421" s="302">
        <v>2.2000000000000002</v>
      </c>
      <c r="AG421" s="119"/>
      <c r="AH421" s="300"/>
      <c r="AI421" s="119">
        <v>0</v>
      </c>
      <c r="AJ421" s="305">
        <v>2.2000000000000002</v>
      </c>
      <c r="AK421" s="119"/>
      <c r="AL421" s="119"/>
      <c r="AM421" s="300"/>
      <c r="AN421" s="119">
        <v>0</v>
      </c>
      <c r="AO421" s="299"/>
      <c r="AP421" s="119"/>
      <c r="AQ421" s="119"/>
      <c r="AR421" s="301"/>
      <c r="AS421" s="119">
        <v>0</v>
      </c>
      <c r="AT421" s="299"/>
      <c r="AU421" s="119"/>
      <c r="AV421" s="119"/>
      <c r="AW421" s="301"/>
      <c r="AX421" s="119">
        <v>0</v>
      </c>
      <c r="AY421" s="299"/>
      <c r="AZ421" s="119"/>
      <c r="BA421" s="119"/>
      <c r="BB421" s="301"/>
      <c r="BC421" s="119">
        <v>0</v>
      </c>
      <c r="BD421" s="299"/>
      <c r="BE421" s="119"/>
      <c r="BF421" s="119"/>
      <c r="BG421" s="301"/>
      <c r="BH421" s="119">
        <v>0</v>
      </c>
      <c r="BI421" s="304"/>
      <c r="BJ421" s="119"/>
      <c r="BK421" s="119"/>
      <c r="BL421" s="119"/>
      <c r="BM421" s="119"/>
      <c r="BN421" s="299"/>
      <c r="BO421" s="119"/>
      <c r="BP421" s="119"/>
      <c r="BQ421" s="119"/>
      <c r="BR421" s="119"/>
      <c r="BS421" s="299"/>
      <c r="BT421" s="299"/>
      <c r="BU421" s="299"/>
      <c r="BV421" s="299"/>
      <c r="BW421" s="122"/>
    </row>
    <row r="422" spans="1:75" s="123" customFormat="1" hidden="1" outlineLevel="3" x14ac:dyDescent="0.5">
      <c r="A422" s="298" t="s">
        <v>566</v>
      </c>
      <c r="B422" s="251"/>
      <c r="C422" s="299"/>
      <c r="D422" s="299"/>
      <c r="E422" s="299"/>
      <c r="F422" s="299"/>
      <c r="G422" s="300"/>
      <c r="H422" s="300"/>
      <c r="I422" s="300"/>
      <c r="J422" s="300"/>
      <c r="K422" s="299"/>
      <c r="L422" s="300"/>
      <c r="M422" s="300"/>
      <c r="N422" s="300"/>
      <c r="O422" s="300"/>
      <c r="P422" s="299"/>
      <c r="Q422" s="300"/>
      <c r="R422" s="300"/>
      <c r="S422" s="300"/>
      <c r="T422" s="300"/>
      <c r="U422" s="299"/>
      <c r="V422" s="300"/>
      <c r="W422" s="300"/>
      <c r="X422" s="300"/>
      <c r="Y422" s="119">
        <v>0</v>
      </c>
      <c r="Z422" s="299"/>
      <c r="AA422" s="119"/>
      <c r="AB422" s="302">
        <v>5</v>
      </c>
      <c r="AC422" s="300"/>
      <c r="AD422" s="119">
        <v>0</v>
      </c>
      <c r="AE422" s="305">
        <v>5</v>
      </c>
      <c r="AF422" s="119"/>
      <c r="AG422" s="119"/>
      <c r="AH422" s="300"/>
      <c r="AI422" s="119">
        <v>0</v>
      </c>
      <c r="AJ422" s="299"/>
      <c r="AK422" s="119"/>
      <c r="AL422" s="119"/>
      <c r="AM422" s="300"/>
      <c r="AN422" s="119">
        <v>0</v>
      </c>
      <c r="AO422" s="299"/>
      <c r="AP422" s="119"/>
      <c r="AQ422" s="119"/>
      <c r="AR422" s="301"/>
      <c r="AS422" s="119">
        <v>0</v>
      </c>
      <c r="AT422" s="299"/>
      <c r="AU422" s="119"/>
      <c r="AV422" s="119"/>
      <c r="AW422" s="301"/>
      <c r="AX422" s="119">
        <v>0</v>
      </c>
      <c r="AY422" s="299"/>
      <c r="AZ422" s="119"/>
      <c r="BA422" s="119"/>
      <c r="BB422" s="301"/>
      <c r="BC422" s="119">
        <v>0</v>
      </c>
      <c r="BD422" s="299"/>
      <c r="BE422" s="119"/>
      <c r="BF422" s="119"/>
      <c r="BG422" s="301"/>
      <c r="BH422" s="119">
        <v>0</v>
      </c>
      <c r="BI422" s="304"/>
      <c r="BJ422" s="119"/>
      <c r="BK422" s="119"/>
      <c r="BL422" s="119"/>
      <c r="BM422" s="119"/>
      <c r="BN422" s="299"/>
      <c r="BO422" s="119"/>
      <c r="BP422" s="119"/>
      <c r="BQ422" s="119"/>
      <c r="BR422" s="119"/>
      <c r="BS422" s="299"/>
      <c r="BT422" s="299"/>
      <c r="BU422" s="299"/>
      <c r="BV422" s="299"/>
      <c r="BW422" s="122"/>
    </row>
    <row r="423" spans="1:75" s="123" customFormat="1" hidden="1" outlineLevel="3" x14ac:dyDescent="0.5">
      <c r="A423" s="308" t="s">
        <v>567</v>
      </c>
      <c r="B423" s="274"/>
      <c r="C423" s="309"/>
      <c r="D423" s="309"/>
      <c r="E423" s="309"/>
      <c r="F423" s="309"/>
      <c r="G423" s="310"/>
      <c r="H423" s="310"/>
      <c r="I423" s="310"/>
      <c r="J423" s="310"/>
      <c r="K423" s="309"/>
      <c r="L423" s="310"/>
      <c r="M423" s="310"/>
      <c r="N423" s="310"/>
      <c r="O423" s="310"/>
      <c r="P423" s="309"/>
      <c r="Q423" s="310"/>
      <c r="R423" s="310"/>
      <c r="S423" s="310"/>
      <c r="T423" s="310"/>
      <c r="U423" s="309"/>
      <c r="V423" s="310"/>
      <c r="W423" s="310"/>
      <c r="X423" s="316">
        <v>5.8</v>
      </c>
      <c r="Y423" s="312">
        <v>0</v>
      </c>
      <c r="Z423" s="311">
        <v>5.8</v>
      </c>
      <c r="AA423" s="312"/>
      <c r="AB423" s="312"/>
      <c r="AC423" s="310"/>
      <c r="AD423" s="312">
        <v>0</v>
      </c>
      <c r="AE423" s="309"/>
      <c r="AF423" s="312"/>
      <c r="AG423" s="312"/>
      <c r="AH423" s="310"/>
      <c r="AI423" s="312">
        <v>0</v>
      </c>
      <c r="AJ423" s="309"/>
      <c r="AK423" s="312"/>
      <c r="AL423" s="312"/>
      <c r="AM423" s="310"/>
      <c r="AN423" s="312">
        <v>0</v>
      </c>
      <c r="AO423" s="309"/>
      <c r="AP423" s="312"/>
      <c r="AQ423" s="312"/>
      <c r="AR423" s="313"/>
      <c r="AS423" s="312">
        <v>0</v>
      </c>
      <c r="AT423" s="309"/>
      <c r="AU423" s="312"/>
      <c r="AV423" s="312"/>
      <c r="AW423" s="313"/>
      <c r="AX423" s="312">
        <v>0</v>
      </c>
      <c r="AY423" s="309"/>
      <c r="AZ423" s="312"/>
      <c r="BA423" s="312"/>
      <c r="BB423" s="313"/>
      <c r="BC423" s="312">
        <v>0</v>
      </c>
      <c r="BD423" s="309"/>
      <c r="BE423" s="312"/>
      <c r="BF423" s="312"/>
      <c r="BG423" s="313"/>
      <c r="BH423" s="312">
        <v>0</v>
      </c>
      <c r="BI423" s="314"/>
      <c r="BJ423" s="312"/>
      <c r="BK423" s="312"/>
      <c r="BL423" s="312"/>
      <c r="BM423" s="312"/>
      <c r="BN423" s="309"/>
      <c r="BO423" s="312"/>
      <c r="BP423" s="312"/>
      <c r="BQ423" s="312"/>
      <c r="BR423" s="312"/>
      <c r="BS423" s="309"/>
      <c r="BT423" s="309"/>
      <c r="BU423" s="309"/>
      <c r="BV423" s="309"/>
      <c r="BW423" s="122"/>
    </row>
    <row r="424" spans="1:75" s="123" customFormat="1" hidden="1" outlineLevel="2" collapsed="1" x14ac:dyDescent="0.5">
      <c r="A424" s="315" t="s">
        <v>568</v>
      </c>
      <c r="B424" s="251"/>
      <c r="C424" s="299"/>
      <c r="D424" s="299"/>
      <c r="E424" s="299"/>
      <c r="F424" s="299"/>
      <c r="G424" s="300"/>
      <c r="H424" s="300"/>
      <c r="I424" s="300"/>
      <c r="J424" s="300"/>
      <c r="K424" s="299"/>
      <c r="L424" s="300"/>
      <c r="M424" s="300"/>
      <c r="N424" s="300"/>
      <c r="O424" s="300"/>
      <c r="P424" s="299"/>
      <c r="Q424" s="300"/>
      <c r="R424" s="300"/>
      <c r="S424" s="300"/>
      <c r="T424" s="300"/>
      <c r="U424" s="299"/>
      <c r="V424" s="300"/>
      <c r="W424" s="300">
        <v>0</v>
      </c>
      <c r="X424" s="300">
        <v>5.8</v>
      </c>
      <c r="Y424" s="119">
        <v>0</v>
      </c>
      <c r="Z424" s="299">
        <v>5.8</v>
      </c>
      <c r="AA424" s="119">
        <v>0</v>
      </c>
      <c r="AB424" s="119">
        <v>5</v>
      </c>
      <c r="AC424" s="300">
        <v>0</v>
      </c>
      <c r="AD424" s="119">
        <v>0</v>
      </c>
      <c r="AE424" s="299">
        <v>5</v>
      </c>
      <c r="AF424" s="119">
        <v>2.2000000000000002</v>
      </c>
      <c r="AG424" s="119">
        <v>0</v>
      </c>
      <c r="AH424" s="300">
        <v>0</v>
      </c>
      <c r="AI424" s="119">
        <v>0</v>
      </c>
      <c r="AJ424" s="299">
        <v>2.2000000000000002</v>
      </c>
      <c r="AK424" s="119">
        <v>0</v>
      </c>
      <c r="AL424" s="119">
        <v>0</v>
      </c>
      <c r="AM424" s="300">
        <v>0</v>
      </c>
      <c r="AN424" s="119">
        <v>0</v>
      </c>
      <c r="AO424" s="299">
        <v>0</v>
      </c>
      <c r="AP424" s="119">
        <v>0</v>
      </c>
      <c r="AQ424" s="119">
        <v>0</v>
      </c>
      <c r="AR424" s="301">
        <v>0</v>
      </c>
      <c r="AS424" s="119">
        <v>0</v>
      </c>
      <c r="AT424" s="299">
        <v>0</v>
      </c>
      <c r="AU424" s="119">
        <v>0</v>
      </c>
      <c r="AV424" s="119">
        <v>0</v>
      </c>
      <c r="AW424" s="301">
        <v>0</v>
      </c>
      <c r="AX424" s="119">
        <v>0</v>
      </c>
      <c r="AY424" s="299">
        <v>0</v>
      </c>
      <c r="AZ424" s="119">
        <v>0</v>
      </c>
      <c r="BA424" s="119">
        <v>0</v>
      </c>
      <c r="BB424" s="301">
        <v>0</v>
      </c>
      <c r="BC424" s="119">
        <v>0</v>
      </c>
      <c r="BD424" s="299">
        <v>0</v>
      </c>
      <c r="BE424" s="119">
        <v>0</v>
      </c>
      <c r="BF424" s="119">
        <v>0</v>
      </c>
      <c r="BG424" s="301">
        <v>0</v>
      </c>
      <c r="BH424" s="119">
        <v>0</v>
      </c>
      <c r="BI424" s="304">
        <v>0</v>
      </c>
      <c r="BJ424" s="119">
        <v>0</v>
      </c>
      <c r="BK424" s="119">
        <v>0</v>
      </c>
      <c r="BL424" s="119">
        <v>0</v>
      </c>
      <c r="BM424" s="119">
        <v>0</v>
      </c>
      <c r="BN424" s="299">
        <v>0</v>
      </c>
      <c r="BO424" s="119">
        <v>0</v>
      </c>
      <c r="BP424" s="119">
        <v>0</v>
      </c>
      <c r="BQ424" s="119">
        <v>0</v>
      </c>
      <c r="BR424" s="119">
        <v>0</v>
      </c>
      <c r="BS424" s="299">
        <v>0</v>
      </c>
      <c r="BT424" s="299">
        <v>0</v>
      </c>
      <c r="BU424" s="299">
        <v>0</v>
      </c>
      <c r="BV424" s="299">
        <v>0</v>
      </c>
      <c r="BW424" s="122"/>
    </row>
    <row r="425" spans="1:75" s="123" customFormat="1" hidden="1" outlineLevel="2" x14ac:dyDescent="0.5">
      <c r="A425" s="315" t="s">
        <v>569</v>
      </c>
      <c r="B425" s="251"/>
      <c r="C425" s="299"/>
      <c r="D425" s="299"/>
      <c r="E425" s="299"/>
      <c r="F425" s="299"/>
      <c r="G425" s="300"/>
      <c r="H425" s="300"/>
      <c r="I425" s="300"/>
      <c r="J425" s="300"/>
      <c r="K425" s="299"/>
      <c r="L425" s="300"/>
      <c r="M425" s="300"/>
      <c r="N425" s="300"/>
      <c r="O425" s="300"/>
      <c r="P425" s="299"/>
      <c r="Q425" s="300"/>
      <c r="R425" s="300"/>
      <c r="S425" s="300"/>
      <c r="T425" s="300"/>
      <c r="U425" s="299"/>
      <c r="V425" s="300"/>
      <c r="W425" s="307">
        <v>51</v>
      </c>
      <c r="X425" s="300"/>
      <c r="Y425" s="119">
        <v>0</v>
      </c>
      <c r="Z425" s="305">
        <v>51</v>
      </c>
      <c r="AA425" s="119"/>
      <c r="AB425" s="119"/>
      <c r="AC425" s="300"/>
      <c r="AD425" s="119">
        <v>0</v>
      </c>
      <c r="AE425" s="299"/>
      <c r="AF425" s="119"/>
      <c r="AG425" s="119"/>
      <c r="AH425" s="300"/>
      <c r="AI425" s="119">
        <v>0</v>
      </c>
      <c r="AJ425" s="299"/>
      <c r="AK425" s="119"/>
      <c r="AL425" s="119"/>
      <c r="AM425" s="300"/>
      <c r="AN425" s="119">
        <v>0</v>
      </c>
      <c r="AO425" s="299"/>
      <c r="AP425" s="119"/>
      <c r="AQ425" s="119"/>
      <c r="AR425" s="301"/>
      <c r="AS425" s="119">
        <v>0</v>
      </c>
      <c r="AT425" s="299"/>
      <c r="AU425" s="119"/>
      <c r="AV425" s="119"/>
      <c r="AW425" s="301"/>
      <c r="AX425" s="119">
        <v>0</v>
      </c>
      <c r="AY425" s="299"/>
      <c r="AZ425" s="119"/>
      <c r="BA425" s="119"/>
      <c r="BB425" s="301"/>
      <c r="BC425" s="119">
        <v>0</v>
      </c>
      <c r="BD425" s="299"/>
      <c r="BE425" s="119"/>
      <c r="BF425" s="119"/>
      <c r="BG425" s="301"/>
      <c r="BH425" s="119">
        <v>0</v>
      </c>
      <c r="BI425" s="304"/>
      <c r="BJ425" s="119"/>
      <c r="BK425" s="119"/>
      <c r="BL425" s="119"/>
      <c r="BM425" s="119"/>
      <c r="BN425" s="299">
        <v>0</v>
      </c>
      <c r="BO425" s="119"/>
      <c r="BP425" s="119"/>
      <c r="BQ425" s="119"/>
      <c r="BR425" s="119"/>
      <c r="BS425" s="299">
        <v>0</v>
      </c>
      <c r="BT425" s="299"/>
      <c r="BU425" s="299"/>
      <c r="BV425" s="299"/>
      <c r="BW425" s="122"/>
    </row>
    <row r="426" spans="1:75" s="123" customFormat="1" hidden="1" outlineLevel="3" x14ac:dyDescent="0.5">
      <c r="A426" s="298" t="s">
        <v>570</v>
      </c>
      <c r="B426" s="251"/>
      <c r="C426" s="299"/>
      <c r="D426" s="299"/>
      <c r="E426" s="299"/>
      <c r="F426" s="299"/>
      <c r="G426" s="300"/>
      <c r="H426" s="300"/>
      <c r="I426" s="300"/>
      <c r="J426" s="300"/>
      <c r="K426" s="299"/>
      <c r="L426" s="300"/>
      <c r="M426" s="300"/>
      <c r="N426" s="300"/>
      <c r="O426" s="300"/>
      <c r="P426" s="299"/>
      <c r="Q426" s="300"/>
      <c r="R426" s="300"/>
      <c r="S426" s="300"/>
      <c r="T426" s="300"/>
      <c r="U426" s="299"/>
      <c r="V426" s="300"/>
      <c r="W426" s="300"/>
      <c r="X426" s="300"/>
      <c r="Y426" s="119">
        <v>0</v>
      </c>
      <c r="Z426" s="299"/>
      <c r="AA426" s="119"/>
      <c r="AB426" s="119"/>
      <c r="AC426" s="300"/>
      <c r="AD426" s="119">
        <v>0</v>
      </c>
      <c r="AE426" s="299"/>
      <c r="AF426" s="119"/>
      <c r="AG426" s="119"/>
      <c r="AH426" s="300"/>
      <c r="AI426" s="119">
        <v>0</v>
      </c>
      <c r="AJ426" s="299"/>
      <c r="AK426" s="119"/>
      <c r="AL426" s="119"/>
      <c r="AM426" s="300"/>
      <c r="AN426" s="119">
        <v>0</v>
      </c>
      <c r="AO426" s="299"/>
      <c r="AP426" s="119"/>
      <c r="AQ426" s="119"/>
      <c r="AR426" s="306">
        <v>-1.4</v>
      </c>
      <c r="AS426" s="119">
        <v>0</v>
      </c>
      <c r="AT426" s="305">
        <v>-1.4</v>
      </c>
      <c r="AU426" s="119"/>
      <c r="AV426" s="119"/>
      <c r="AW426" s="301"/>
      <c r="AX426" s="119">
        <v>0</v>
      </c>
      <c r="AY426" s="299"/>
      <c r="AZ426" s="119"/>
      <c r="BA426" s="119"/>
      <c r="BB426" s="301"/>
      <c r="BC426" s="119">
        <v>0</v>
      </c>
      <c r="BD426" s="299"/>
      <c r="BE426" s="119"/>
      <c r="BF426" s="119"/>
      <c r="BG426" s="301"/>
      <c r="BH426" s="119">
        <v>0</v>
      </c>
      <c r="BI426" s="304"/>
      <c r="BJ426" s="119"/>
      <c r="BK426" s="119"/>
      <c r="BL426" s="119"/>
      <c r="BM426" s="119"/>
      <c r="BN426" s="299"/>
      <c r="BO426" s="119"/>
      <c r="BP426" s="119"/>
      <c r="BQ426" s="119"/>
      <c r="BR426" s="119"/>
      <c r="BS426" s="299"/>
      <c r="BT426" s="299"/>
      <c r="BU426" s="299"/>
      <c r="BV426" s="299"/>
      <c r="BW426" s="122"/>
    </row>
    <row r="427" spans="1:75" s="123" customFormat="1" hidden="1" outlineLevel="3" x14ac:dyDescent="0.5">
      <c r="A427" s="298" t="s">
        <v>571</v>
      </c>
      <c r="B427" s="251"/>
      <c r="C427" s="299"/>
      <c r="D427" s="299"/>
      <c r="E427" s="299"/>
      <c r="F427" s="299"/>
      <c r="G427" s="300"/>
      <c r="H427" s="300"/>
      <c r="I427" s="300"/>
      <c r="J427" s="300"/>
      <c r="K427" s="299"/>
      <c r="L427" s="300"/>
      <c r="M427" s="300"/>
      <c r="N427" s="300"/>
      <c r="O427" s="300"/>
      <c r="P427" s="299"/>
      <c r="Q427" s="300"/>
      <c r="R427" s="300"/>
      <c r="S427" s="300"/>
      <c r="T427" s="300"/>
      <c r="U427" s="299"/>
      <c r="V427" s="300"/>
      <c r="W427" s="300"/>
      <c r="X427" s="300"/>
      <c r="Y427" s="119">
        <v>0</v>
      </c>
      <c r="Z427" s="299"/>
      <c r="AA427" s="119"/>
      <c r="AB427" s="119"/>
      <c r="AC427" s="300"/>
      <c r="AD427" s="119">
        <v>0</v>
      </c>
      <c r="AE427" s="299"/>
      <c r="AF427" s="302">
        <v>-1.1000000000000001</v>
      </c>
      <c r="AG427" s="119"/>
      <c r="AH427" s="300"/>
      <c r="AI427" s="119">
        <v>0</v>
      </c>
      <c r="AJ427" s="305">
        <v>-1.1000000000000001</v>
      </c>
      <c r="AK427" s="119"/>
      <c r="AL427" s="119"/>
      <c r="AM427" s="300"/>
      <c r="AN427" s="119">
        <v>0</v>
      </c>
      <c r="AO427" s="299"/>
      <c r="AP427" s="119"/>
      <c r="AQ427" s="119"/>
      <c r="AR427" s="301"/>
      <c r="AS427" s="119">
        <v>0</v>
      </c>
      <c r="AT427" s="299"/>
      <c r="AU427" s="119"/>
      <c r="AV427" s="119"/>
      <c r="AW427" s="301"/>
      <c r="AX427" s="119">
        <v>0</v>
      </c>
      <c r="AY427" s="299"/>
      <c r="AZ427" s="119"/>
      <c r="BA427" s="119"/>
      <c r="BB427" s="301"/>
      <c r="BC427" s="119">
        <v>0</v>
      </c>
      <c r="BD427" s="299"/>
      <c r="BE427" s="119"/>
      <c r="BF427" s="119"/>
      <c r="BG427" s="301"/>
      <c r="BH427" s="119">
        <v>0</v>
      </c>
      <c r="BI427" s="304"/>
      <c r="BJ427" s="119"/>
      <c r="BK427" s="119"/>
      <c r="BL427" s="119"/>
      <c r="BM427" s="119"/>
      <c r="BN427" s="299"/>
      <c r="BO427" s="119"/>
      <c r="BP427" s="119"/>
      <c r="BQ427" s="119"/>
      <c r="BR427" s="119"/>
      <c r="BS427" s="299"/>
      <c r="BT427" s="299"/>
      <c r="BU427" s="299"/>
      <c r="BV427" s="299"/>
      <c r="BW427" s="122"/>
    </row>
    <row r="428" spans="1:75" s="123" customFormat="1" hidden="1" outlineLevel="3" x14ac:dyDescent="0.5">
      <c r="A428" s="298" t="s">
        <v>572</v>
      </c>
      <c r="B428" s="251"/>
      <c r="C428" s="299"/>
      <c r="D428" s="299"/>
      <c r="E428" s="299"/>
      <c r="F428" s="299"/>
      <c r="G428" s="300"/>
      <c r="H428" s="300"/>
      <c r="I428" s="300"/>
      <c r="J428" s="300"/>
      <c r="K428" s="299"/>
      <c r="L428" s="300"/>
      <c r="M428" s="300"/>
      <c r="N428" s="300"/>
      <c r="O428" s="300"/>
      <c r="P428" s="299"/>
      <c r="Q428" s="300"/>
      <c r="R428" s="300"/>
      <c r="S428" s="300"/>
      <c r="T428" s="300"/>
      <c r="U428" s="299"/>
      <c r="V428" s="300"/>
      <c r="W428" s="300"/>
      <c r="X428" s="300"/>
      <c r="Y428" s="119">
        <v>0</v>
      </c>
      <c r="Z428" s="299"/>
      <c r="AA428" s="119"/>
      <c r="AB428" s="302">
        <v>-2.1</v>
      </c>
      <c r="AC428" s="300"/>
      <c r="AD428" s="119">
        <v>0</v>
      </c>
      <c r="AE428" s="305">
        <v>-2.1</v>
      </c>
      <c r="AF428" s="119"/>
      <c r="AG428" s="119"/>
      <c r="AH428" s="300"/>
      <c r="AI428" s="119">
        <v>0</v>
      </c>
      <c r="AJ428" s="299"/>
      <c r="AK428" s="119"/>
      <c r="AL428" s="119"/>
      <c r="AM428" s="300"/>
      <c r="AN428" s="119">
        <v>0</v>
      </c>
      <c r="AO428" s="299"/>
      <c r="AP428" s="119"/>
      <c r="AQ428" s="119"/>
      <c r="AR428" s="301"/>
      <c r="AS428" s="119">
        <v>0</v>
      </c>
      <c r="AT428" s="299"/>
      <c r="AU428" s="119"/>
      <c r="AV428" s="119"/>
      <c r="AW428" s="301"/>
      <c r="AX428" s="119">
        <v>0</v>
      </c>
      <c r="AY428" s="299"/>
      <c r="AZ428" s="119"/>
      <c r="BA428" s="119"/>
      <c r="BB428" s="301"/>
      <c r="BC428" s="119">
        <v>0</v>
      </c>
      <c r="BD428" s="299"/>
      <c r="BE428" s="119"/>
      <c r="BF428" s="119"/>
      <c r="BG428" s="301"/>
      <c r="BH428" s="119">
        <v>0</v>
      </c>
      <c r="BI428" s="304"/>
      <c r="BJ428" s="119"/>
      <c r="BK428" s="119"/>
      <c r="BL428" s="119"/>
      <c r="BM428" s="119"/>
      <c r="BN428" s="299"/>
      <c r="BO428" s="119"/>
      <c r="BP428" s="119"/>
      <c r="BQ428" s="119"/>
      <c r="BR428" s="119"/>
      <c r="BS428" s="299"/>
      <c r="BT428" s="299"/>
      <c r="BU428" s="299"/>
      <c r="BV428" s="299"/>
      <c r="BW428" s="122"/>
    </row>
    <row r="429" spans="1:75" s="123" customFormat="1" hidden="1" outlineLevel="3" x14ac:dyDescent="0.5">
      <c r="A429" s="308" t="s">
        <v>573</v>
      </c>
      <c r="B429" s="274"/>
      <c r="C429" s="309"/>
      <c r="D429" s="309"/>
      <c r="E429" s="309"/>
      <c r="F429" s="309"/>
      <c r="G429" s="310"/>
      <c r="H429" s="310"/>
      <c r="I429" s="310"/>
      <c r="J429" s="310"/>
      <c r="K429" s="309"/>
      <c r="L429" s="310"/>
      <c r="M429" s="310"/>
      <c r="N429" s="310"/>
      <c r="O429" s="310"/>
      <c r="P429" s="309"/>
      <c r="Q429" s="310"/>
      <c r="R429" s="310"/>
      <c r="S429" s="310"/>
      <c r="T429" s="310"/>
      <c r="U429" s="309"/>
      <c r="V429" s="310"/>
      <c r="W429" s="310"/>
      <c r="X429" s="316">
        <v>-2</v>
      </c>
      <c r="Y429" s="312">
        <v>0</v>
      </c>
      <c r="Z429" s="311">
        <v>-2</v>
      </c>
      <c r="AA429" s="312"/>
      <c r="AB429" s="312"/>
      <c r="AC429" s="310"/>
      <c r="AD429" s="312">
        <v>0</v>
      </c>
      <c r="AE429" s="309"/>
      <c r="AF429" s="312"/>
      <c r="AG429" s="312"/>
      <c r="AH429" s="310"/>
      <c r="AI429" s="312">
        <v>0</v>
      </c>
      <c r="AJ429" s="309"/>
      <c r="AK429" s="312"/>
      <c r="AL429" s="312"/>
      <c r="AM429" s="310"/>
      <c r="AN429" s="312">
        <v>0</v>
      </c>
      <c r="AO429" s="309"/>
      <c r="AP429" s="312"/>
      <c r="AQ429" s="312"/>
      <c r="AR429" s="313"/>
      <c r="AS429" s="312">
        <v>0</v>
      </c>
      <c r="AT429" s="309"/>
      <c r="AU429" s="312"/>
      <c r="AV429" s="312"/>
      <c r="AW429" s="313"/>
      <c r="AX429" s="312">
        <v>0</v>
      </c>
      <c r="AY429" s="309"/>
      <c r="AZ429" s="312"/>
      <c r="BA429" s="312"/>
      <c r="BB429" s="313"/>
      <c r="BC429" s="312">
        <v>0</v>
      </c>
      <c r="BD429" s="309"/>
      <c r="BE429" s="312"/>
      <c r="BF429" s="312"/>
      <c r="BG429" s="313"/>
      <c r="BH429" s="312">
        <v>0</v>
      </c>
      <c r="BI429" s="314"/>
      <c r="BJ429" s="312"/>
      <c r="BK429" s="312"/>
      <c r="BL429" s="312"/>
      <c r="BM429" s="312"/>
      <c r="BN429" s="309"/>
      <c r="BO429" s="312"/>
      <c r="BP429" s="312"/>
      <c r="BQ429" s="312"/>
      <c r="BR429" s="312"/>
      <c r="BS429" s="309"/>
      <c r="BT429" s="309"/>
      <c r="BU429" s="309"/>
      <c r="BV429" s="309"/>
      <c r="BW429" s="122"/>
    </row>
    <row r="430" spans="1:75" s="123" customFormat="1" hidden="1" outlineLevel="2" collapsed="1" x14ac:dyDescent="0.5">
      <c r="A430" s="315" t="s">
        <v>574</v>
      </c>
      <c r="B430" s="251"/>
      <c r="C430" s="299"/>
      <c r="D430" s="299"/>
      <c r="E430" s="299"/>
      <c r="F430" s="299"/>
      <c r="G430" s="300"/>
      <c r="H430" s="300"/>
      <c r="I430" s="300"/>
      <c r="J430" s="300"/>
      <c r="K430" s="299"/>
      <c r="L430" s="300"/>
      <c r="M430" s="300"/>
      <c r="N430" s="300"/>
      <c r="O430" s="300"/>
      <c r="P430" s="299"/>
      <c r="Q430" s="300"/>
      <c r="R430" s="300"/>
      <c r="S430" s="300"/>
      <c r="T430" s="300"/>
      <c r="U430" s="299"/>
      <c r="V430" s="300"/>
      <c r="W430" s="300">
        <v>0</v>
      </c>
      <c r="X430" s="300">
        <v>-2</v>
      </c>
      <c r="Y430" s="119">
        <v>0</v>
      </c>
      <c r="Z430" s="299">
        <v>-2</v>
      </c>
      <c r="AA430" s="119">
        <v>0</v>
      </c>
      <c r="AB430" s="119">
        <v>-2.1</v>
      </c>
      <c r="AC430" s="300">
        <v>0</v>
      </c>
      <c r="AD430" s="119">
        <v>0</v>
      </c>
      <c r="AE430" s="299">
        <v>-2.1</v>
      </c>
      <c r="AF430" s="119">
        <v>-1.1000000000000001</v>
      </c>
      <c r="AG430" s="119">
        <v>0</v>
      </c>
      <c r="AH430" s="300">
        <v>0</v>
      </c>
      <c r="AI430" s="119">
        <v>0</v>
      </c>
      <c r="AJ430" s="299">
        <v>-1.1000000000000001</v>
      </c>
      <c r="AK430" s="119">
        <v>0</v>
      </c>
      <c r="AL430" s="119">
        <v>0</v>
      </c>
      <c r="AM430" s="300">
        <v>0</v>
      </c>
      <c r="AN430" s="119">
        <v>0</v>
      </c>
      <c r="AO430" s="299">
        <v>0</v>
      </c>
      <c r="AP430" s="119">
        <v>0</v>
      </c>
      <c r="AQ430" s="119">
        <v>0</v>
      </c>
      <c r="AR430" s="301">
        <v>-1.4</v>
      </c>
      <c r="AS430" s="119">
        <v>0</v>
      </c>
      <c r="AT430" s="299">
        <v>-1.4</v>
      </c>
      <c r="AU430" s="119">
        <v>0</v>
      </c>
      <c r="AV430" s="119">
        <v>0</v>
      </c>
      <c r="AW430" s="301">
        <v>0</v>
      </c>
      <c r="AX430" s="119">
        <v>0</v>
      </c>
      <c r="AY430" s="299">
        <v>0</v>
      </c>
      <c r="AZ430" s="119">
        <v>0</v>
      </c>
      <c r="BA430" s="119">
        <v>0</v>
      </c>
      <c r="BB430" s="301">
        <v>0</v>
      </c>
      <c r="BC430" s="119">
        <v>0</v>
      </c>
      <c r="BD430" s="299">
        <v>0</v>
      </c>
      <c r="BE430" s="119">
        <v>0</v>
      </c>
      <c r="BF430" s="119">
        <v>0</v>
      </c>
      <c r="BG430" s="301">
        <v>0</v>
      </c>
      <c r="BH430" s="119">
        <v>0</v>
      </c>
      <c r="BI430" s="304">
        <v>0</v>
      </c>
      <c r="BJ430" s="119">
        <v>0</v>
      </c>
      <c r="BK430" s="119">
        <v>0</v>
      </c>
      <c r="BL430" s="119">
        <v>0</v>
      </c>
      <c r="BM430" s="119">
        <v>0</v>
      </c>
      <c r="BN430" s="299">
        <v>0</v>
      </c>
      <c r="BO430" s="119">
        <v>0</v>
      </c>
      <c r="BP430" s="119">
        <v>0</v>
      </c>
      <c r="BQ430" s="119">
        <v>0</v>
      </c>
      <c r="BR430" s="119">
        <v>0</v>
      </c>
      <c r="BS430" s="299">
        <v>0</v>
      </c>
      <c r="BT430" s="299">
        <v>0</v>
      </c>
      <c r="BU430" s="299">
        <v>0</v>
      </c>
      <c r="BV430" s="299">
        <v>0</v>
      </c>
      <c r="BW430" s="122"/>
    </row>
    <row r="431" spans="1:75" s="123" customFormat="1" hidden="1" outlineLevel="3" x14ac:dyDescent="0.5">
      <c r="A431" s="308" t="s">
        <v>575</v>
      </c>
      <c r="B431" s="274"/>
      <c r="C431" s="309"/>
      <c r="D431" s="309"/>
      <c r="E431" s="309"/>
      <c r="F431" s="309"/>
      <c r="G431" s="310"/>
      <c r="H431" s="310"/>
      <c r="I431" s="310"/>
      <c r="J431" s="310"/>
      <c r="K431" s="309"/>
      <c r="L431" s="310"/>
      <c r="M431" s="310"/>
      <c r="N431" s="310"/>
      <c r="O431" s="310"/>
      <c r="P431" s="309"/>
      <c r="Q431" s="310"/>
      <c r="R431" s="310"/>
      <c r="S431" s="310"/>
      <c r="T431" s="310"/>
      <c r="U431" s="309"/>
      <c r="V431" s="310"/>
      <c r="W431" s="310"/>
      <c r="X431" s="310"/>
      <c r="Y431" s="312">
        <v>0</v>
      </c>
      <c r="Z431" s="309"/>
      <c r="AA431" s="312"/>
      <c r="AB431" s="312"/>
      <c r="AC431" s="310"/>
      <c r="AD431" s="312">
        <v>0</v>
      </c>
      <c r="AE431" s="309"/>
      <c r="AF431" s="312"/>
      <c r="AG431" s="312"/>
      <c r="AH431" s="310"/>
      <c r="AI431" s="312">
        <v>0</v>
      </c>
      <c r="AJ431" s="309"/>
      <c r="AK431" s="312"/>
      <c r="AL431" s="312"/>
      <c r="AM431" s="310"/>
      <c r="AN431" s="312">
        <v>0</v>
      </c>
      <c r="AO431" s="309"/>
      <c r="AP431" s="312"/>
      <c r="AQ431" s="312"/>
      <c r="AR431" s="313"/>
      <c r="AS431" s="312">
        <v>0</v>
      </c>
      <c r="AT431" s="309"/>
      <c r="AU431" s="312"/>
      <c r="AV431" s="312"/>
      <c r="AW431" s="313"/>
      <c r="AX431" s="312">
        <v>0</v>
      </c>
      <c r="AY431" s="309"/>
      <c r="AZ431" s="312"/>
      <c r="BA431" s="312"/>
      <c r="BB431" s="313"/>
      <c r="BC431" s="312">
        <v>0</v>
      </c>
      <c r="BD431" s="309"/>
      <c r="BE431" s="312"/>
      <c r="BF431" s="312"/>
      <c r="BG431" s="313"/>
      <c r="BH431" s="312">
        <v>2</v>
      </c>
      <c r="BI431" s="440">
        <v>2</v>
      </c>
      <c r="BJ431" s="312"/>
      <c r="BK431" s="312"/>
      <c r="BL431" s="312"/>
      <c r="BM431" s="312"/>
      <c r="BN431" s="309"/>
      <c r="BO431" s="312"/>
      <c r="BP431" s="312"/>
      <c r="BQ431" s="312"/>
      <c r="BR431" s="312"/>
      <c r="BS431" s="309"/>
      <c r="BT431" s="309"/>
      <c r="BU431" s="309"/>
      <c r="BV431" s="309"/>
      <c r="BW431" s="122"/>
    </row>
    <row r="432" spans="1:75" s="123" customFormat="1" hidden="1" outlineLevel="2" collapsed="1" x14ac:dyDescent="0.5">
      <c r="A432" s="315" t="s">
        <v>576</v>
      </c>
      <c r="B432" s="251"/>
      <c r="C432" s="299"/>
      <c r="D432" s="299"/>
      <c r="E432" s="299"/>
      <c r="F432" s="299"/>
      <c r="G432" s="300"/>
      <c r="H432" s="300"/>
      <c r="I432" s="300"/>
      <c r="J432" s="300"/>
      <c r="K432" s="299"/>
      <c r="L432" s="300"/>
      <c r="M432" s="300"/>
      <c r="N432" s="300"/>
      <c r="O432" s="300"/>
      <c r="P432" s="299"/>
      <c r="Q432" s="300"/>
      <c r="R432" s="300"/>
      <c r="S432" s="300"/>
      <c r="T432" s="300"/>
      <c r="U432" s="299"/>
      <c r="V432" s="300">
        <v>0</v>
      </c>
      <c r="W432" s="300">
        <v>0</v>
      </c>
      <c r="X432" s="300">
        <v>0</v>
      </c>
      <c r="Y432" s="119">
        <v>0</v>
      </c>
      <c r="Z432" s="299">
        <v>0</v>
      </c>
      <c r="AA432" s="119">
        <v>0</v>
      </c>
      <c r="AB432" s="119">
        <v>0</v>
      </c>
      <c r="AC432" s="300">
        <v>0</v>
      </c>
      <c r="AD432" s="119">
        <v>0</v>
      </c>
      <c r="AE432" s="299">
        <v>0</v>
      </c>
      <c r="AF432" s="119">
        <v>0</v>
      </c>
      <c r="AG432" s="119">
        <v>0</v>
      </c>
      <c r="AH432" s="300">
        <v>0</v>
      </c>
      <c r="AI432" s="119">
        <v>0</v>
      </c>
      <c r="AJ432" s="299">
        <v>0</v>
      </c>
      <c r="AK432" s="119">
        <v>0</v>
      </c>
      <c r="AL432" s="119">
        <v>0</v>
      </c>
      <c r="AM432" s="300">
        <v>0</v>
      </c>
      <c r="AN432" s="119">
        <v>0</v>
      </c>
      <c r="AO432" s="299">
        <v>0</v>
      </c>
      <c r="AP432" s="119">
        <v>0</v>
      </c>
      <c r="AQ432" s="119">
        <v>0</v>
      </c>
      <c r="AR432" s="301">
        <v>0</v>
      </c>
      <c r="AS432" s="119">
        <v>0</v>
      </c>
      <c r="AT432" s="299">
        <v>0</v>
      </c>
      <c r="AU432" s="119">
        <v>0</v>
      </c>
      <c r="AV432" s="119">
        <v>0</v>
      </c>
      <c r="AW432" s="301">
        <v>0</v>
      </c>
      <c r="AX432" s="119">
        <v>0</v>
      </c>
      <c r="AY432" s="299">
        <v>0</v>
      </c>
      <c r="AZ432" s="119">
        <v>0</v>
      </c>
      <c r="BA432" s="119">
        <v>0</v>
      </c>
      <c r="BB432" s="301">
        <v>0</v>
      </c>
      <c r="BC432" s="119">
        <v>0</v>
      </c>
      <c r="BD432" s="299">
        <v>0</v>
      </c>
      <c r="BE432" s="119">
        <v>0</v>
      </c>
      <c r="BF432" s="119">
        <v>0</v>
      </c>
      <c r="BG432" s="301">
        <v>0</v>
      </c>
      <c r="BH432" s="119">
        <v>2</v>
      </c>
      <c r="BI432" s="304">
        <v>2</v>
      </c>
      <c r="BJ432" s="302">
        <v>0</v>
      </c>
      <c r="BK432" s="302">
        <v>0</v>
      </c>
      <c r="BL432" s="302">
        <v>0</v>
      </c>
      <c r="BM432" s="302">
        <v>0</v>
      </c>
      <c r="BN432" s="299">
        <v>0</v>
      </c>
      <c r="BO432" s="302">
        <v>0</v>
      </c>
      <c r="BP432" s="302">
        <v>0</v>
      </c>
      <c r="BQ432" s="302">
        <v>0</v>
      </c>
      <c r="BR432" s="302">
        <v>0</v>
      </c>
      <c r="BS432" s="299">
        <v>0</v>
      </c>
      <c r="BT432" s="305">
        <v>0</v>
      </c>
      <c r="BU432" s="305">
        <v>0</v>
      </c>
      <c r="BV432" s="305">
        <v>0</v>
      </c>
      <c r="BW432" s="122"/>
    </row>
    <row r="433" spans="1:75" s="123" customFormat="1" hidden="1" outlineLevel="2" x14ac:dyDescent="0.5">
      <c r="A433" s="317" t="s">
        <v>577</v>
      </c>
      <c r="B433" s="318"/>
      <c r="C433" s="319"/>
      <c r="D433" s="319"/>
      <c r="E433" s="319"/>
      <c r="F433" s="319"/>
      <c r="G433" s="320"/>
      <c r="H433" s="320"/>
      <c r="I433" s="320"/>
      <c r="J433" s="320"/>
      <c r="K433" s="319"/>
      <c r="L433" s="320"/>
      <c r="M433" s="320"/>
      <c r="N433" s="320"/>
      <c r="O433" s="320"/>
      <c r="P433" s="319"/>
      <c r="Q433" s="320"/>
      <c r="R433" s="320"/>
      <c r="S433" s="320"/>
      <c r="T433" s="320"/>
      <c r="U433" s="319"/>
      <c r="V433" s="320"/>
      <c r="W433" s="320">
        <v>51</v>
      </c>
      <c r="X433" s="320">
        <v>3.8</v>
      </c>
      <c r="Y433" s="321">
        <v>0</v>
      </c>
      <c r="Z433" s="319">
        <v>54.8</v>
      </c>
      <c r="AA433" s="321">
        <v>0</v>
      </c>
      <c r="AB433" s="321">
        <v>2.9</v>
      </c>
      <c r="AC433" s="320">
        <v>0</v>
      </c>
      <c r="AD433" s="321">
        <v>0</v>
      </c>
      <c r="AE433" s="319">
        <v>2.9</v>
      </c>
      <c r="AF433" s="321">
        <v>1.1000000000000001</v>
      </c>
      <c r="AG433" s="321">
        <v>0</v>
      </c>
      <c r="AH433" s="320">
        <v>0</v>
      </c>
      <c r="AI433" s="321">
        <v>0</v>
      </c>
      <c r="AJ433" s="319">
        <v>1.1000000000000001</v>
      </c>
      <c r="AK433" s="321">
        <v>0</v>
      </c>
      <c r="AL433" s="321">
        <v>0</v>
      </c>
      <c r="AM433" s="320">
        <v>0</v>
      </c>
      <c r="AN433" s="321">
        <v>0</v>
      </c>
      <c r="AO433" s="319">
        <v>0</v>
      </c>
      <c r="AP433" s="321">
        <v>0</v>
      </c>
      <c r="AQ433" s="321">
        <v>0</v>
      </c>
      <c r="AR433" s="322">
        <v>-1.4</v>
      </c>
      <c r="AS433" s="321">
        <v>0</v>
      </c>
      <c r="AT433" s="319">
        <v>-1.4</v>
      </c>
      <c r="AU433" s="321">
        <v>0</v>
      </c>
      <c r="AV433" s="321">
        <v>0</v>
      </c>
      <c r="AW433" s="322">
        <v>0</v>
      </c>
      <c r="AX433" s="321">
        <v>0</v>
      </c>
      <c r="AY433" s="319">
        <v>0</v>
      </c>
      <c r="AZ433" s="321">
        <v>0</v>
      </c>
      <c r="BA433" s="321">
        <v>0</v>
      </c>
      <c r="BB433" s="322">
        <v>0</v>
      </c>
      <c r="BC433" s="321">
        <v>0</v>
      </c>
      <c r="BD433" s="319">
        <v>0</v>
      </c>
      <c r="BE433" s="321">
        <v>0</v>
      </c>
      <c r="BF433" s="321">
        <v>0</v>
      </c>
      <c r="BG433" s="322">
        <v>0</v>
      </c>
      <c r="BH433" s="321">
        <v>2</v>
      </c>
      <c r="BI433" s="323">
        <v>2</v>
      </c>
      <c r="BJ433" s="321">
        <v>0</v>
      </c>
      <c r="BK433" s="321">
        <v>0</v>
      </c>
      <c r="BL433" s="321">
        <v>0</v>
      </c>
      <c r="BM433" s="321">
        <v>0</v>
      </c>
      <c r="BN433" s="319">
        <v>0</v>
      </c>
      <c r="BO433" s="321">
        <v>0</v>
      </c>
      <c r="BP433" s="321">
        <v>0</v>
      </c>
      <c r="BQ433" s="321">
        <v>0</v>
      </c>
      <c r="BR433" s="321">
        <v>0</v>
      </c>
      <c r="BS433" s="319">
        <v>0</v>
      </c>
      <c r="BT433" s="319">
        <v>0</v>
      </c>
      <c r="BU433" s="319">
        <v>0</v>
      </c>
      <c r="BV433" s="319">
        <v>0</v>
      </c>
      <c r="BW433" s="122"/>
    </row>
    <row r="434" spans="1:75" s="198" customFormat="1" ht="14.25" hidden="1" outlineLevel="2" x14ac:dyDescent="0.45">
      <c r="A434" s="324" t="s">
        <v>578</v>
      </c>
      <c r="B434" s="277"/>
      <c r="C434" s="325"/>
      <c r="D434" s="325"/>
      <c r="E434" s="325"/>
      <c r="F434" s="325"/>
      <c r="G434" s="326"/>
      <c r="H434" s="326"/>
      <c r="I434" s="326"/>
      <c r="J434" s="326"/>
      <c r="K434" s="325"/>
      <c r="L434" s="326"/>
      <c r="M434" s="326"/>
      <c r="N434" s="326"/>
      <c r="O434" s="326"/>
      <c r="P434" s="325"/>
      <c r="Q434" s="326"/>
      <c r="R434" s="326"/>
      <c r="S434" s="326"/>
      <c r="T434" s="326"/>
      <c r="U434" s="325"/>
      <c r="V434" s="326"/>
      <c r="W434" s="326">
        <v>52.2</v>
      </c>
      <c r="X434" s="326">
        <v>56</v>
      </c>
      <c r="Y434" s="327">
        <v>56</v>
      </c>
      <c r="Z434" s="325">
        <v>56</v>
      </c>
      <c r="AA434" s="327">
        <v>56</v>
      </c>
      <c r="AB434" s="327">
        <v>58.9</v>
      </c>
      <c r="AC434" s="326">
        <v>58.9</v>
      </c>
      <c r="AD434" s="327">
        <v>58.9</v>
      </c>
      <c r="AE434" s="325">
        <v>58.9</v>
      </c>
      <c r="AF434" s="327">
        <v>60</v>
      </c>
      <c r="AG434" s="327">
        <v>60</v>
      </c>
      <c r="AH434" s="326">
        <v>60</v>
      </c>
      <c r="AI434" s="327">
        <v>60</v>
      </c>
      <c r="AJ434" s="325">
        <v>60</v>
      </c>
      <c r="AK434" s="327">
        <v>60</v>
      </c>
      <c r="AL434" s="327">
        <v>60</v>
      </c>
      <c r="AM434" s="326">
        <v>60</v>
      </c>
      <c r="AN434" s="327">
        <v>60</v>
      </c>
      <c r="AO434" s="325">
        <v>60</v>
      </c>
      <c r="AP434" s="327">
        <v>60</v>
      </c>
      <c r="AQ434" s="327">
        <v>60</v>
      </c>
      <c r="AR434" s="328">
        <v>58.6</v>
      </c>
      <c r="AS434" s="327">
        <v>57.4</v>
      </c>
      <c r="AT434" s="325">
        <v>57.4</v>
      </c>
      <c r="AU434" s="327">
        <v>57.4</v>
      </c>
      <c r="AV434" s="327">
        <v>57.4</v>
      </c>
      <c r="AW434" s="328">
        <v>57.4</v>
      </c>
      <c r="AX434" s="327">
        <v>57.4</v>
      </c>
      <c r="AY434" s="325">
        <v>57.4</v>
      </c>
      <c r="AZ434" s="327">
        <v>57.4</v>
      </c>
      <c r="BA434" s="327">
        <v>57.4</v>
      </c>
      <c r="BB434" s="328">
        <v>57.4</v>
      </c>
      <c r="BC434" s="327">
        <v>57.4</v>
      </c>
      <c r="BD434" s="325">
        <v>57.4</v>
      </c>
      <c r="BE434" s="327">
        <v>57.4</v>
      </c>
      <c r="BF434" s="327">
        <v>57.4</v>
      </c>
      <c r="BG434" s="328">
        <v>57.4</v>
      </c>
      <c r="BH434" s="327">
        <v>60.2</v>
      </c>
      <c r="BI434" s="329">
        <v>60.2</v>
      </c>
      <c r="BJ434" s="327">
        <v>60.2</v>
      </c>
      <c r="BK434" s="327">
        <v>60.2</v>
      </c>
      <c r="BL434" s="327">
        <v>60.2</v>
      </c>
      <c r="BM434" s="327">
        <v>60.2</v>
      </c>
      <c r="BN434" s="325">
        <v>60.2</v>
      </c>
      <c r="BO434" s="327">
        <v>60.2</v>
      </c>
      <c r="BP434" s="327">
        <v>60.2</v>
      </c>
      <c r="BQ434" s="327">
        <v>60.2</v>
      </c>
      <c r="BR434" s="327">
        <v>60.2</v>
      </c>
      <c r="BS434" s="325">
        <v>60.2</v>
      </c>
      <c r="BT434" s="325">
        <v>60.2</v>
      </c>
      <c r="BU434" s="325">
        <v>60.2</v>
      </c>
      <c r="BV434" s="325">
        <v>60.2</v>
      </c>
      <c r="BW434" s="197"/>
    </row>
    <row r="435" spans="1:75" s="177" customFormat="1" ht="14.25" hidden="1" outlineLevel="2" x14ac:dyDescent="0.45">
      <c r="A435" s="438" t="s">
        <v>579</v>
      </c>
      <c r="B435" s="374"/>
      <c r="C435" s="375"/>
      <c r="D435" s="375"/>
      <c r="E435" s="375"/>
      <c r="F435" s="375"/>
      <c r="G435" s="381"/>
      <c r="H435" s="381"/>
      <c r="I435" s="381"/>
      <c r="J435" s="381"/>
      <c r="K435" s="375"/>
      <c r="L435" s="381"/>
      <c r="M435" s="381"/>
      <c r="N435" s="381"/>
      <c r="O435" s="381"/>
      <c r="P435" s="375"/>
      <c r="Q435" s="381"/>
      <c r="R435" s="381"/>
      <c r="S435" s="381"/>
      <c r="T435" s="381"/>
      <c r="U435" s="375"/>
      <c r="V435" s="381"/>
      <c r="W435" s="381"/>
      <c r="X435" s="381">
        <v>7.2796934865900331E-2</v>
      </c>
      <c r="Y435" s="378">
        <v>0</v>
      </c>
      <c r="Z435" s="375"/>
      <c r="AA435" s="378">
        <v>0</v>
      </c>
      <c r="AB435" s="378">
        <v>5.1785714285714324E-2</v>
      </c>
      <c r="AC435" s="381">
        <v>0</v>
      </c>
      <c r="AD435" s="378">
        <v>0</v>
      </c>
      <c r="AE435" s="375"/>
      <c r="AF435" s="378">
        <v>1.8675721561969505E-2</v>
      </c>
      <c r="AG435" s="378">
        <v>0</v>
      </c>
      <c r="AH435" s="381">
        <v>0</v>
      </c>
      <c r="AI435" s="378">
        <v>0</v>
      </c>
      <c r="AJ435" s="375"/>
      <c r="AK435" s="378">
        <v>0</v>
      </c>
      <c r="AL435" s="378">
        <v>0</v>
      </c>
      <c r="AM435" s="381">
        <v>0</v>
      </c>
      <c r="AN435" s="378">
        <v>0</v>
      </c>
      <c r="AO435" s="375"/>
      <c r="AP435" s="378">
        <v>0</v>
      </c>
      <c r="AQ435" s="378">
        <v>0</v>
      </c>
      <c r="AR435" s="439">
        <v>-2.3333333333333317E-2</v>
      </c>
      <c r="AS435" s="378">
        <v>-2.0477815699658786E-2</v>
      </c>
      <c r="AT435" s="375"/>
      <c r="AU435" s="378">
        <v>0</v>
      </c>
      <c r="AV435" s="378">
        <v>0</v>
      </c>
      <c r="AW435" s="439">
        <v>0</v>
      </c>
      <c r="AX435" s="378">
        <v>0</v>
      </c>
      <c r="AY435" s="375"/>
      <c r="AZ435" s="378">
        <v>0</v>
      </c>
      <c r="BA435" s="378">
        <v>0</v>
      </c>
      <c r="BB435" s="439">
        <v>0</v>
      </c>
      <c r="BC435" s="378">
        <v>0</v>
      </c>
      <c r="BD435" s="375"/>
      <c r="BE435" s="378">
        <v>0</v>
      </c>
      <c r="BF435" s="378">
        <v>0</v>
      </c>
      <c r="BG435" s="439">
        <v>0</v>
      </c>
      <c r="BH435" s="378">
        <v>4.8780487804878092E-2</v>
      </c>
      <c r="BI435" s="379"/>
      <c r="BJ435" s="378">
        <v>0</v>
      </c>
      <c r="BK435" s="378">
        <v>0</v>
      </c>
      <c r="BL435" s="378">
        <v>0</v>
      </c>
      <c r="BM435" s="378">
        <v>0</v>
      </c>
      <c r="BN435" s="375"/>
      <c r="BO435" s="378">
        <v>0</v>
      </c>
      <c r="BP435" s="378">
        <v>0</v>
      </c>
      <c r="BQ435" s="378">
        <v>0</v>
      </c>
      <c r="BR435" s="378">
        <v>0</v>
      </c>
      <c r="BS435" s="375"/>
      <c r="BT435" s="375"/>
      <c r="BU435" s="375"/>
      <c r="BV435" s="375"/>
      <c r="BW435" s="176"/>
    </row>
    <row r="436" spans="1:75" s="177" customFormat="1" ht="14.25" hidden="1" outlineLevel="2" x14ac:dyDescent="0.45">
      <c r="A436" s="438" t="s">
        <v>580</v>
      </c>
      <c r="B436" s="374"/>
      <c r="C436" s="375"/>
      <c r="D436" s="375"/>
      <c r="E436" s="375"/>
      <c r="F436" s="375"/>
      <c r="G436" s="381"/>
      <c r="H436" s="381"/>
      <c r="I436" s="381"/>
      <c r="J436" s="381"/>
      <c r="K436" s="375"/>
      <c r="L436" s="381"/>
      <c r="M436" s="381"/>
      <c r="N436" s="381"/>
      <c r="O436" s="381"/>
      <c r="P436" s="375"/>
      <c r="Q436" s="381"/>
      <c r="R436" s="381"/>
      <c r="S436" s="381"/>
      <c r="T436" s="381"/>
      <c r="U436" s="375"/>
      <c r="V436" s="381"/>
      <c r="W436" s="381"/>
      <c r="X436" s="381"/>
      <c r="Y436" s="378"/>
      <c r="Z436" s="375"/>
      <c r="AA436" s="378"/>
      <c r="AB436" s="378">
        <v>0.12835249042145591</v>
      </c>
      <c r="AC436" s="381">
        <v>5.1785714285714324E-2</v>
      </c>
      <c r="AD436" s="378">
        <v>5.1785714285714324E-2</v>
      </c>
      <c r="AE436" s="375">
        <v>5.1785714285714324E-2</v>
      </c>
      <c r="AF436" s="378">
        <v>7.1428571428571397E-2</v>
      </c>
      <c r="AG436" s="378">
        <v>1.8675721561969505E-2</v>
      </c>
      <c r="AH436" s="381">
        <v>1.8675721561969505E-2</v>
      </c>
      <c r="AI436" s="378">
        <v>1.8675721561969505E-2</v>
      </c>
      <c r="AJ436" s="375">
        <v>1.8675721561969505E-2</v>
      </c>
      <c r="AK436" s="378">
        <v>0</v>
      </c>
      <c r="AL436" s="378">
        <v>0</v>
      </c>
      <c r="AM436" s="381">
        <v>0</v>
      </c>
      <c r="AN436" s="378">
        <v>0</v>
      </c>
      <c r="AO436" s="375">
        <v>0</v>
      </c>
      <c r="AP436" s="378">
        <v>0</v>
      </c>
      <c r="AQ436" s="378">
        <v>0</v>
      </c>
      <c r="AR436" s="439">
        <v>-2.3333333333333317E-2</v>
      </c>
      <c r="AS436" s="378">
        <v>-4.3333333333333335E-2</v>
      </c>
      <c r="AT436" s="375">
        <v>-4.3333333333333335E-2</v>
      </c>
      <c r="AU436" s="378">
        <v>-4.3333333333333335E-2</v>
      </c>
      <c r="AV436" s="378">
        <v>-4.3333333333333335E-2</v>
      </c>
      <c r="AW436" s="439">
        <v>-2.0477815699658786E-2</v>
      </c>
      <c r="AX436" s="378">
        <v>0</v>
      </c>
      <c r="AY436" s="375">
        <v>0</v>
      </c>
      <c r="AZ436" s="378">
        <v>0</v>
      </c>
      <c r="BA436" s="378">
        <v>0</v>
      </c>
      <c r="BB436" s="439">
        <v>0</v>
      </c>
      <c r="BC436" s="378">
        <v>0</v>
      </c>
      <c r="BD436" s="375">
        <v>0</v>
      </c>
      <c r="BE436" s="378">
        <v>0</v>
      </c>
      <c r="BF436" s="378">
        <v>0</v>
      </c>
      <c r="BG436" s="439">
        <v>0</v>
      </c>
      <c r="BH436" s="378">
        <v>4.8780487804878092E-2</v>
      </c>
      <c r="BI436" s="379">
        <v>4.8780487804878092E-2</v>
      </c>
      <c r="BJ436" s="378">
        <v>4.8780487804878092E-2</v>
      </c>
      <c r="BK436" s="378">
        <v>4.8780487804878092E-2</v>
      </c>
      <c r="BL436" s="378">
        <v>4.8780487804878092E-2</v>
      </c>
      <c r="BM436" s="378">
        <v>0</v>
      </c>
      <c r="BN436" s="375">
        <v>0</v>
      </c>
      <c r="BO436" s="378">
        <v>0</v>
      </c>
      <c r="BP436" s="378">
        <v>0</v>
      </c>
      <c r="BQ436" s="378">
        <v>0</v>
      </c>
      <c r="BR436" s="378">
        <v>0</v>
      </c>
      <c r="BS436" s="375">
        <v>0</v>
      </c>
      <c r="BT436" s="375">
        <v>0</v>
      </c>
      <c r="BU436" s="375">
        <v>0</v>
      </c>
      <c r="BV436" s="375">
        <v>0</v>
      </c>
      <c r="BW436" s="176"/>
    </row>
    <row r="437" spans="1:75" s="198" customFormat="1" ht="14.25" hidden="1" outlineLevel="2" x14ac:dyDescent="0.45">
      <c r="A437" s="292" t="s">
        <v>581</v>
      </c>
      <c r="B437" s="243"/>
      <c r="C437" s="293"/>
      <c r="D437" s="293"/>
      <c r="E437" s="293"/>
      <c r="F437" s="293"/>
      <c r="G437" s="294"/>
      <c r="H437" s="294"/>
      <c r="I437" s="294"/>
      <c r="J437" s="294"/>
      <c r="K437" s="293"/>
      <c r="L437" s="294"/>
      <c r="M437" s="294"/>
      <c r="N437" s="294"/>
      <c r="O437" s="294"/>
      <c r="P437" s="293"/>
      <c r="Q437" s="294"/>
      <c r="R437" s="294"/>
      <c r="S437" s="294"/>
      <c r="T437" s="294"/>
      <c r="U437" s="293"/>
      <c r="V437" s="294"/>
      <c r="W437" s="294">
        <v>26.1</v>
      </c>
      <c r="X437" s="294">
        <v>54.1</v>
      </c>
      <c r="Y437" s="295">
        <v>56</v>
      </c>
      <c r="Z437" s="293">
        <v>34.050000000000004</v>
      </c>
      <c r="AA437" s="295">
        <v>56</v>
      </c>
      <c r="AB437" s="295">
        <v>57.45</v>
      </c>
      <c r="AC437" s="294">
        <v>58.9</v>
      </c>
      <c r="AD437" s="295">
        <v>58.9</v>
      </c>
      <c r="AE437" s="293">
        <v>57.83301886792453</v>
      </c>
      <c r="AF437" s="295">
        <v>59.45</v>
      </c>
      <c r="AG437" s="295">
        <v>60</v>
      </c>
      <c r="AH437" s="294">
        <v>60</v>
      </c>
      <c r="AI437" s="295">
        <v>60</v>
      </c>
      <c r="AJ437" s="293">
        <v>59.862500000000004</v>
      </c>
      <c r="AK437" s="295">
        <v>60</v>
      </c>
      <c r="AL437" s="295">
        <v>60</v>
      </c>
      <c r="AM437" s="294">
        <v>60</v>
      </c>
      <c r="AN437" s="295">
        <v>60</v>
      </c>
      <c r="AO437" s="293">
        <v>60</v>
      </c>
      <c r="AP437" s="295">
        <v>60</v>
      </c>
      <c r="AQ437" s="295">
        <v>60</v>
      </c>
      <c r="AR437" s="296">
        <v>59.3</v>
      </c>
      <c r="AS437" s="295">
        <v>58</v>
      </c>
      <c r="AT437" s="293">
        <v>59.324999999999996</v>
      </c>
      <c r="AU437" s="295">
        <v>57.4</v>
      </c>
      <c r="AV437" s="295">
        <v>57.4</v>
      </c>
      <c r="AW437" s="296">
        <v>57.4</v>
      </c>
      <c r="AX437" s="295">
        <v>57.4</v>
      </c>
      <c r="AY437" s="293">
        <v>57.4</v>
      </c>
      <c r="AZ437" s="295">
        <v>57.4</v>
      </c>
      <c r="BA437" s="295">
        <v>57.4</v>
      </c>
      <c r="BB437" s="296">
        <v>57.4</v>
      </c>
      <c r="BC437" s="295">
        <v>57.4</v>
      </c>
      <c r="BD437" s="293">
        <v>57.4</v>
      </c>
      <c r="BE437" s="295">
        <v>57.4</v>
      </c>
      <c r="BF437" s="295">
        <v>57.4</v>
      </c>
      <c r="BG437" s="296">
        <v>57.4</v>
      </c>
      <c r="BH437" s="295">
        <v>58.8</v>
      </c>
      <c r="BI437" s="297">
        <v>57.769811320754712</v>
      </c>
      <c r="BJ437" s="295">
        <v>60.2</v>
      </c>
      <c r="BK437" s="295">
        <v>60.2</v>
      </c>
      <c r="BL437" s="295">
        <v>60.2</v>
      </c>
      <c r="BM437" s="295">
        <v>60.2</v>
      </c>
      <c r="BN437" s="293">
        <v>60.199999999999996</v>
      </c>
      <c r="BO437" s="295">
        <v>60.2</v>
      </c>
      <c r="BP437" s="295">
        <v>60.2</v>
      </c>
      <c r="BQ437" s="295">
        <v>60.2</v>
      </c>
      <c r="BR437" s="295">
        <v>60.2</v>
      </c>
      <c r="BS437" s="293">
        <v>60.199999999999996</v>
      </c>
      <c r="BT437" s="293">
        <v>60.2</v>
      </c>
      <c r="BU437" s="293">
        <v>60.2</v>
      </c>
      <c r="BV437" s="293">
        <v>60.2</v>
      </c>
      <c r="BW437" s="197"/>
    </row>
    <row r="438" spans="1:75" s="198" customFormat="1" ht="14.25" hidden="1" outlineLevel="2" x14ac:dyDescent="0.45">
      <c r="A438" s="292"/>
      <c r="B438" s="243"/>
      <c r="C438" s="244"/>
      <c r="D438" s="244"/>
      <c r="E438" s="244"/>
      <c r="F438" s="244"/>
      <c r="G438" s="245"/>
      <c r="H438" s="245"/>
      <c r="I438" s="245"/>
      <c r="J438" s="245"/>
      <c r="K438" s="244"/>
      <c r="L438" s="245"/>
      <c r="M438" s="245"/>
      <c r="N438" s="245"/>
      <c r="O438" s="245"/>
      <c r="P438" s="244"/>
      <c r="Q438" s="245"/>
      <c r="R438" s="245"/>
      <c r="S438" s="245"/>
      <c r="T438" s="245"/>
      <c r="U438" s="244"/>
      <c r="V438" s="245"/>
      <c r="W438" s="245"/>
      <c r="X438" s="245"/>
      <c r="Y438" s="247"/>
      <c r="Z438" s="244"/>
      <c r="AA438" s="247"/>
      <c r="AB438" s="247"/>
      <c r="AC438" s="245"/>
      <c r="AD438" s="247"/>
      <c r="AE438" s="244"/>
      <c r="AF438" s="247"/>
      <c r="AG438" s="247"/>
      <c r="AH438" s="245"/>
      <c r="AI438" s="247"/>
      <c r="AJ438" s="244"/>
      <c r="AK438" s="247"/>
      <c r="AL438" s="247"/>
      <c r="AM438" s="245"/>
      <c r="AN438" s="247"/>
      <c r="AO438" s="244"/>
      <c r="AP438" s="247"/>
      <c r="AQ438" s="247"/>
      <c r="AR438" s="248"/>
      <c r="AS438" s="247"/>
      <c r="AT438" s="244"/>
      <c r="AU438" s="247"/>
      <c r="AV438" s="247"/>
      <c r="AW438" s="248"/>
      <c r="AX438" s="247"/>
      <c r="AY438" s="244"/>
      <c r="AZ438" s="247"/>
      <c r="BA438" s="247"/>
      <c r="BB438" s="248"/>
      <c r="BC438" s="247"/>
      <c r="BD438" s="244"/>
      <c r="BE438" s="247"/>
      <c r="BF438" s="247"/>
      <c r="BG438" s="248"/>
      <c r="BH438" s="247"/>
      <c r="BI438" s="249"/>
      <c r="BJ438" s="247"/>
      <c r="BK438" s="247"/>
      <c r="BL438" s="247"/>
      <c r="BM438" s="247"/>
      <c r="BN438" s="244"/>
      <c r="BO438" s="247"/>
      <c r="BP438" s="247"/>
      <c r="BQ438" s="247"/>
      <c r="BR438" s="247"/>
      <c r="BS438" s="244"/>
      <c r="BT438" s="244"/>
      <c r="BU438" s="244"/>
      <c r="BV438" s="244"/>
      <c r="BW438" s="197"/>
    </row>
    <row r="439" spans="1:75" s="224" customFormat="1" hidden="1" outlineLevel="2" x14ac:dyDescent="0.5">
      <c r="A439" s="330" t="s">
        <v>582</v>
      </c>
      <c r="B439" s="258"/>
      <c r="C439" s="331"/>
      <c r="D439" s="331"/>
      <c r="E439" s="331"/>
      <c r="F439" s="331"/>
      <c r="G439" s="332"/>
      <c r="H439" s="332"/>
      <c r="I439" s="332"/>
      <c r="J439" s="332"/>
      <c r="K439" s="331"/>
      <c r="L439" s="332"/>
      <c r="M439" s="332"/>
      <c r="N439" s="332"/>
      <c r="O439" s="332"/>
      <c r="P439" s="331"/>
      <c r="Q439" s="332"/>
      <c r="R439" s="332"/>
      <c r="S439" s="332"/>
      <c r="T439" s="332"/>
      <c r="U439" s="331"/>
      <c r="V439" s="332"/>
      <c r="W439" s="332" t="s">
        <v>279</v>
      </c>
      <c r="X439" s="332">
        <v>5800</v>
      </c>
      <c r="Y439" s="221" t="s">
        <v>279</v>
      </c>
      <c r="Z439" s="331">
        <v>5800</v>
      </c>
      <c r="AA439" s="221" t="s">
        <v>279</v>
      </c>
      <c r="AB439" s="221">
        <v>5000</v>
      </c>
      <c r="AC439" s="332" t="s">
        <v>279</v>
      </c>
      <c r="AD439" s="221" t="s">
        <v>279</v>
      </c>
      <c r="AE439" s="331">
        <v>5000</v>
      </c>
      <c r="AF439" s="221">
        <v>2200</v>
      </c>
      <c r="AG439" s="221" t="s">
        <v>279</v>
      </c>
      <c r="AH439" s="332" t="s">
        <v>279</v>
      </c>
      <c r="AI439" s="221" t="s">
        <v>279</v>
      </c>
      <c r="AJ439" s="331">
        <v>2200</v>
      </c>
      <c r="AK439" s="221" t="s">
        <v>279</v>
      </c>
      <c r="AL439" s="221" t="s">
        <v>279</v>
      </c>
      <c r="AM439" s="332" t="s">
        <v>279</v>
      </c>
      <c r="AN439" s="221" t="s">
        <v>279</v>
      </c>
      <c r="AO439" s="331" t="s">
        <v>279</v>
      </c>
      <c r="AP439" s="221" t="s">
        <v>279</v>
      </c>
      <c r="AQ439" s="221" t="s">
        <v>279</v>
      </c>
      <c r="AR439" s="333" t="s">
        <v>279</v>
      </c>
      <c r="AS439" s="221" t="s">
        <v>279</v>
      </c>
      <c r="AT439" s="331" t="s">
        <v>279</v>
      </c>
      <c r="AU439" s="221" t="s">
        <v>279</v>
      </c>
      <c r="AV439" s="221" t="s">
        <v>279</v>
      </c>
      <c r="AW439" s="333" t="s">
        <v>279</v>
      </c>
      <c r="AX439" s="221" t="s">
        <v>279</v>
      </c>
      <c r="AY439" s="331" t="s">
        <v>279</v>
      </c>
      <c r="AZ439" s="221" t="s">
        <v>279</v>
      </c>
      <c r="BA439" s="221" t="s">
        <v>279</v>
      </c>
      <c r="BB439" s="333" t="s">
        <v>279</v>
      </c>
      <c r="BC439" s="221" t="s">
        <v>279</v>
      </c>
      <c r="BD439" s="331" t="s">
        <v>279</v>
      </c>
      <c r="BE439" s="221" t="s">
        <v>279</v>
      </c>
      <c r="BF439" s="221" t="s">
        <v>279</v>
      </c>
      <c r="BG439" s="333" t="s">
        <v>279</v>
      </c>
      <c r="BH439" s="221" t="s">
        <v>279</v>
      </c>
      <c r="BI439" s="334" t="s">
        <v>279</v>
      </c>
      <c r="BJ439" s="221" t="s">
        <v>279</v>
      </c>
      <c r="BK439" s="221" t="s">
        <v>279</v>
      </c>
      <c r="BL439" s="221" t="s">
        <v>279</v>
      </c>
      <c r="BM439" s="221" t="s">
        <v>279</v>
      </c>
      <c r="BN439" s="331" t="s">
        <v>279</v>
      </c>
      <c r="BO439" s="221" t="s">
        <v>279</v>
      </c>
      <c r="BP439" s="221" t="s">
        <v>279</v>
      </c>
      <c r="BQ439" s="221" t="s">
        <v>279</v>
      </c>
      <c r="BR439" s="221" t="s">
        <v>279</v>
      </c>
      <c r="BS439" s="331" t="s">
        <v>279</v>
      </c>
      <c r="BT439" s="331" t="s">
        <v>279</v>
      </c>
      <c r="BU439" s="331" t="s">
        <v>279</v>
      </c>
      <c r="BV439" s="331" t="s">
        <v>279</v>
      </c>
      <c r="BW439" s="223"/>
    </row>
    <row r="440" spans="1:75" s="217" customFormat="1" hidden="1" outlineLevel="2" x14ac:dyDescent="0.5">
      <c r="A440" s="335" t="s">
        <v>583</v>
      </c>
      <c r="B440" s="336"/>
      <c r="C440" s="337"/>
      <c r="D440" s="337"/>
      <c r="E440" s="337"/>
      <c r="F440" s="337"/>
      <c r="G440" s="338"/>
      <c r="H440" s="338"/>
      <c r="I440" s="338"/>
      <c r="J440" s="338"/>
      <c r="K440" s="337"/>
      <c r="L440" s="338"/>
      <c r="M440" s="338"/>
      <c r="N440" s="338"/>
      <c r="O440" s="338"/>
      <c r="P440" s="337"/>
      <c r="Q440" s="338"/>
      <c r="R440" s="338"/>
      <c r="S440" s="338"/>
      <c r="T440" s="338"/>
      <c r="U440" s="337"/>
      <c r="V440" s="338"/>
      <c r="W440" s="338">
        <v>0</v>
      </c>
      <c r="X440" s="338">
        <v>1.6666666666666667</v>
      </c>
      <c r="Y440" s="214">
        <v>0</v>
      </c>
      <c r="Z440" s="337"/>
      <c r="AA440" s="214">
        <v>0</v>
      </c>
      <c r="AB440" s="214">
        <v>1.3392857142857142</v>
      </c>
      <c r="AC440" s="338">
        <v>0</v>
      </c>
      <c r="AD440" s="214">
        <v>0</v>
      </c>
      <c r="AE440" s="337">
        <v>1.3392857142857142</v>
      </c>
      <c r="AF440" s="214">
        <v>0.56027164685908326</v>
      </c>
      <c r="AG440" s="214">
        <v>0</v>
      </c>
      <c r="AH440" s="338">
        <v>0</v>
      </c>
      <c r="AI440" s="214">
        <v>0</v>
      </c>
      <c r="AJ440" s="337">
        <v>0.56027164685908326</v>
      </c>
      <c r="AK440" s="214">
        <v>0</v>
      </c>
      <c r="AL440" s="214">
        <v>0</v>
      </c>
      <c r="AM440" s="338">
        <v>0</v>
      </c>
      <c r="AN440" s="214">
        <v>0</v>
      </c>
      <c r="AO440" s="337">
        <v>0</v>
      </c>
      <c r="AP440" s="214">
        <v>0</v>
      </c>
      <c r="AQ440" s="214">
        <v>0</v>
      </c>
      <c r="AR440" s="339">
        <v>0</v>
      </c>
      <c r="AS440" s="214">
        <v>0</v>
      </c>
      <c r="AT440" s="337">
        <v>0</v>
      </c>
      <c r="AU440" s="214">
        <v>0</v>
      </c>
      <c r="AV440" s="214">
        <v>0</v>
      </c>
      <c r="AW440" s="339">
        <v>0</v>
      </c>
      <c r="AX440" s="214">
        <v>0</v>
      </c>
      <c r="AY440" s="337">
        <v>0</v>
      </c>
      <c r="AZ440" s="214">
        <v>0</v>
      </c>
      <c r="BA440" s="214">
        <v>0</v>
      </c>
      <c r="BB440" s="339">
        <v>0</v>
      </c>
      <c r="BC440" s="214">
        <v>0</v>
      </c>
      <c r="BD440" s="337">
        <v>0</v>
      </c>
      <c r="BE440" s="214">
        <v>0</v>
      </c>
      <c r="BF440" s="214">
        <v>0</v>
      </c>
      <c r="BG440" s="339">
        <v>0</v>
      </c>
      <c r="BH440" s="214">
        <v>0</v>
      </c>
      <c r="BI440" s="340">
        <v>0</v>
      </c>
      <c r="BJ440" s="341">
        <v>1</v>
      </c>
      <c r="BK440" s="341">
        <v>1</v>
      </c>
      <c r="BL440" s="341">
        <v>1</v>
      </c>
      <c r="BM440" s="341">
        <v>1</v>
      </c>
      <c r="BN440" s="337">
        <v>0</v>
      </c>
      <c r="BO440" s="341">
        <v>1</v>
      </c>
      <c r="BP440" s="341">
        <v>1</v>
      </c>
      <c r="BQ440" s="341">
        <v>1</v>
      </c>
      <c r="BR440" s="341">
        <v>1</v>
      </c>
      <c r="BS440" s="337">
        <v>0</v>
      </c>
      <c r="BT440" s="342">
        <v>1</v>
      </c>
      <c r="BU440" s="342">
        <v>1</v>
      </c>
      <c r="BV440" s="342">
        <v>1</v>
      </c>
      <c r="BW440" s="216"/>
    </row>
    <row r="441" spans="1:75" s="224" customFormat="1" hidden="1" outlineLevel="3" x14ac:dyDescent="0.5">
      <c r="A441" s="330" t="s">
        <v>584</v>
      </c>
      <c r="B441" s="258"/>
      <c r="C441" s="331"/>
      <c r="D441" s="331"/>
      <c r="E441" s="331"/>
      <c r="F441" s="331"/>
      <c r="G441" s="332"/>
      <c r="H441" s="332"/>
      <c r="I441" s="332"/>
      <c r="J441" s="332"/>
      <c r="K441" s="331"/>
      <c r="L441" s="332"/>
      <c r="M441" s="332"/>
      <c r="N441" s="332"/>
      <c r="O441" s="332"/>
      <c r="P441" s="331"/>
      <c r="Q441" s="332"/>
      <c r="R441" s="332"/>
      <c r="S441" s="332"/>
      <c r="T441" s="332"/>
      <c r="U441" s="331"/>
      <c r="V441" s="332"/>
      <c r="W441" s="332">
        <v>3400</v>
      </c>
      <c r="X441" s="332" t="s">
        <v>279</v>
      </c>
      <c r="Y441" s="221" t="s">
        <v>279</v>
      </c>
      <c r="Z441" s="331">
        <v>3400</v>
      </c>
      <c r="AA441" s="221" t="s">
        <v>279</v>
      </c>
      <c r="AB441" s="221" t="s">
        <v>279</v>
      </c>
      <c r="AC441" s="332" t="s">
        <v>279</v>
      </c>
      <c r="AD441" s="221" t="s">
        <v>279</v>
      </c>
      <c r="AE441" s="331" t="s">
        <v>279</v>
      </c>
      <c r="AF441" s="221" t="s">
        <v>279</v>
      </c>
      <c r="AG441" s="221" t="s">
        <v>279</v>
      </c>
      <c r="AH441" s="332" t="s">
        <v>279</v>
      </c>
      <c r="AI441" s="221" t="s">
        <v>279</v>
      </c>
      <c r="AJ441" s="331" t="s">
        <v>279</v>
      </c>
      <c r="AK441" s="221" t="s">
        <v>279</v>
      </c>
      <c r="AL441" s="221" t="s">
        <v>279</v>
      </c>
      <c r="AM441" s="332" t="s">
        <v>279</v>
      </c>
      <c r="AN441" s="221" t="s">
        <v>279</v>
      </c>
      <c r="AO441" s="331" t="s">
        <v>279</v>
      </c>
      <c r="AP441" s="221" t="s">
        <v>279</v>
      </c>
      <c r="AQ441" s="221" t="s">
        <v>279</v>
      </c>
      <c r="AR441" s="333" t="s">
        <v>279</v>
      </c>
      <c r="AS441" s="221" t="s">
        <v>279</v>
      </c>
      <c r="AT441" s="331" t="s">
        <v>279</v>
      </c>
      <c r="AU441" s="221" t="s">
        <v>279</v>
      </c>
      <c r="AV441" s="221" t="s">
        <v>279</v>
      </c>
      <c r="AW441" s="333" t="s">
        <v>279</v>
      </c>
      <c r="AX441" s="221" t="s">
        <v>279</v>
      </c>
      <c r="AY441" s="331" t="s">
        <v>279</v>
      </c>
      <c r="AZ441" s="221" t="s">
        <v>279</v>
      </c>
      <c r="BA441" s="221" t="s">
        <v>279</v>
      </c>
      <c r="BB441" s="333" t="s">
        <v>279</v>
      </c>
      <c r="BC441" s="221" t="s">
        <v>279</v>
      </c>
      <c r="BD441" s="331" t="s">
        <v>279</v>
      </c>
      <c r="BE441" s="221" t="s">
        <v>279</v>
      </c>
      <c r="BF441" s="221" t="s">
        <v>279</v>
      </c>
      <c r="BG441" s="333" t="s">
        <v>279</v>
      </c>
      <c r="BH441" s="221" t="s">
        <v>279</v>
      </c>
      <c r="BI441" s="334" t="s">
        <v>279</v>
      </c>
      <c r="BJ441" s="221" t="s">
        <v>279</v>
      </c>
      <c r="BK441" s="221" t="s">
        <v>279</v>
      </c>
      <c r="BL441" s="221" t="s">
        <v>279</v>
      </c>
      <c r="BM441" s="221" t="s">
        <v>279</v>
      </c>
      <c r="BN441" s="331" t="s">
        <v>279</v>
      </c>
      <c r="BO441" s="221" t="s">
        <v>279</v>
      </c>
      <c r="BP441" s="221" t="s">
        <v>279</v>
      </c>
      <c r="BQ441" s="221" t="s">
        <v>279</v>
      </c>
      <c r="BR441" s="221" t="s">
        <v>279</v>
      </c>
      <c r="BS441" s="331" t="s">
        <v>279</v>
      </c>
      <c r="BT441" s="331" t="s">
        <v>279</v>
      </c>
      <c r="BU441" s="331" t="s">
        <v>279</v>
      </c>
      <c r="BV441" s="331" t="s">
        <v>279</v>
      </c>
      <c r="BW441" s="223"/>
    </row>
    <row r="442" spans="1:75" s="224" customFormat="1" hidden="1" outlineLevel="2" x14ac:dyDescent="0.5">
      <c r="A442" s="330" t="s">
        <v>585</v>
      </c>
      <c r="B442" s="258"/>
      <c r="C442" s="331"/>
      <c r="D442" s="331"/>
      <c r="E442" s="331"/>
      <c r="F442" s="331"/>
      <c r="G442" s="332"/>
      <c r="H442" s="332"/>
      <c r="I442" s="332"/>
      <c r="J442" s="332"/>
      <c r="K442" s="331"/>
      <c r="L442" s="332"/>
      <c r="M442" s="332"/>
      <c r="N442" s="332"/>
      <c r="O442" s="332"/>
      <c r="P442" s="331"/>
      <c r="Q442" s="332"/>
      <c r="R442" s="332"/>
      <c r="S442" s="332"/>
      <c r="T442" s="332"/>
      <c r="U442" s="331"/>
      <c r="V442" s="332"/>
      <c r="W442" s="332" t="s">
        <v>279</v>
      </c>
      <c r="X442" s="332">
        <v>2000</v>
      </c>
      <c r="Y442" s="221" t="s">
        <v>279</v>
      </c>
      <c r="Z442" s="331">
        <v>2000</v>
      </c>
      <c r="AA442" s="221" t="s">
        <v>279</v>
      </c>
      <c r="AB442" s="221">
        <v>2100</v>
      </c>
      <c r="AC442" s="332" t="s">
        <v>279</v>
      </c>
      <c r="AD442" s="221" t="s">
        <v>279</v>
      </c>
      <c r="AE442" s="331">
        <v>2100</v>
      </c>
      <c r="AF442" s="221">
        <v>1100</v>
      </c>
      <c r="AG442" s="221" t="s">
        <v>279</v>
      </c>
      <c r="AH442" s="332" t="s">
        <v>279</v>
      </c>
      <c r="AI442" s="221" t="s">
        <v>279</v>
      </c>
      <c r="AJ442" s="331">
        <v>1100</v>
      </c>
      <c r="AK442" s="221" t="s">
        <v>279</v>
      </c>
      <c r="AL442" s="221" t="s">
        <v>279</v>
      </c>
      <c r="AM442" s="332" t="s">
        <v>279</v>
      </c>
      <c r="AN442" s="221" t="s">
        <v>279</v>
      </c>
      <c r="AO442" s="331" t="s">
        <v>279</v>
      </c>
      <c r="AP442" s="221" t="s">
        <v>279</v>
      </c>
      <c r="AQ442" s="221" t="s">
        <v>279</v>
      </c>
      <c r="AR442" s="333">
        <v>1400</v>
      </c>
      <c r="AS442" s="221" t="s">
        <v>279</v>
      </c>
      <c r="AT442" s="331">
        <v>1400</v>
      </c>
      <c r="AU442" s="221" t="s">
        <v>279</v>
      </c>
      <c r="AV442" s="221" t="s">
        <v>279</v>
      </c>
      <c r="AW442" s="333" t="s">
        <v>279</v>
      </c>
      <c r="AX442" s="221" t="s">
        <v>279</v>
      </c>
      <c r="AY442" s="331" t="s">
        <v>279</v>
      </c>
      <c r="AZ442" s="221" t="s">
        <v>279</v>
      </c>
      <c r="BA442" s="221" t="s">
        <v>279</v>
      </c>
      <c r="BB442" s="333" t="s">
        <v>279</v>
      </c>
      <c r="BC442" s="221" t="s">
        <v>279</v>
      </c>
      <c r="BD442" s="331" t="s">
        <v>279</v>
      </c>
      <c r="BE442" s="221" t="s">
        <v>279</v>
      </c>
      <c r="BF442" s="221" t="s">
        <v>279</v>
      </c>
      <c r="BG442" s="333" t="s">
        <v>279</v>
      </c>
      <c r="BH442" s="221" t="s">
        <v>279</v>
      </c>
      <c r="BI442" s="334" t="s">
        <v>279</v>
      </c>
      <c r="BJ442" s="221" t="s">
        <v>279</v>
      </c>
      <c r="BK442" s="221" t="s">
        <v>279</v>
      </c>
      <c r="BL442" s="221" t="s">
        <v>279</v>
      </c>
      <c r="BM442" s="221" t="s">
        <v>279</v>
      </c>
      <c r="BN442" s="331" t="s">
        <v>279</v>
      </c>
      <c r="BO442" s="221" t="s">
        <v>279</v>
      </c>
      <c r="BP442" s="221" t="s">
        <v>279</v>
      </c>
      <c r="BQ442" s="221" t="s">
        <v>279</v>
      </c>
      <c r="BR442" s="221" t="s">
        <v>279</v>
      </c>
      <c r="BS442" s="331" t="s">
        <v>279</v>
      </c>
      <c r="BT442" s="331" t="s">
        <v>279</v>
      </c>
      <c r="BU442" s="331" t="s">
        <v>279</v>
      </c>
      <c r="BV442" s="331" t="s">
        <v>279</v>
      </c>
      <c r="BW442" s="223"/>
    </row>
    <row r="443" spans="1:75" s="217" customFormat="1" hidden="1" outlineLevel="2" x14ac:dyDescent="0.5">
      <c r="A443" s="335" t="s">
        <v>586</v>
      </c>
      <c r="B443" s="336"/>
      <c r="C443" s="420"/>
      <c r="D443" s="420"/>
      <c r="E443" s="420"/>
      <c r="F443" s="420"/>
      <c r="G443" s="421"/>
      <c r="H443" s="421"/>
      <c r="I443" s="421"/>
      <c r="J443" s="421"/>
      <c r="K443" s="420"/>
      <c r="L443" s="421"/>
      <c r="M443" s="421"/>
      <c r="N443" s="421"/>
      <c r="O443" s="421"/>
      <c r="P443" s="420"/>
      <c r="Q443" s="421"/>
      <c r="R443" s="421"/>
      <c r="S443" s="421"/>
      <c r="T443" s="421"/>
      <c r="U443" s="420"/>
      <c r="V443" s="421"/>
      <c r="W443" s="421"/>
      <c r="X443" s="421">
        <v>0.57471264367816088</v>
      </c>
      <c r="Y443" s="422">
        <v>0</v>
      </c>
      <c r="Z443" s="420"/>
      <c r="AA443" s="422">
        <v>0</v>
      </c>
      <c r="AB443" s="422">
        <v>0.5625</v>
      </c>
      <c r="AC443" s="421">
        <v>0</v>
      </c>
      <c r="AD443" s="422">
        <v>0</v>
      </c>
      <c r="AE443" s="420">
        <v>0.5625</v>
      </c>
      <c r="AF443" s="422">
        <v>0.28013582342954163</v>
      </c>
      <c r="AG443" s="422">
        <v>0</v>
      </c>
      <c r="AH443" s="421">
        <v>0</v>
      </c>
      <c r="AI443" s="422">
        <v>0</v>
      </c>
      <c r="AJ443" s="420">
        <v>0.28013582342954163</v>
      </c>
      <c r="AK443" s="422">
        <v>0</v>
      </c>
      <c r="AL443" s="422">
        <v>0</v>
      </c>
      <c r="AM443" s="421">
        <v>0</v>
      </c>
      <c r="AN443" s="422">
        <v>0</v>
      </c>
      <c r="AO443" s="420">
        <v>0</v>
      </c>
      <c r="AP443" s="422">
        <v>0</v>
      </c>
      <c r="AQ443" s="422">
        <v>0</v>
      </c>
      <c r="AR443" s="441">
        <v>0.35</v>
      </c>
      <c r="AS443" s="422">
        <v>0</v>
      </c>
      <c r="AT443" s="420">
        <v>0.35</v>
      </c>
      <c r="AU443" s="422">
        <v>0</v>
      </c>
      <c r="AV443" s="422">
        <v>0</v>
      </c>
      <c r="AW443" s="441">
        <v>0</v>
      </c>
      <c r="AX443" s="422">
        <v>0</v>
      </c>
      <c r="AY443" s="420">
        <v>0</v>
      </c>
      <c r="AZ443" s="422">
        <v>0</v>
      </c>
      <c r="BA443" s="422">
        <v>0</v>
      </c>
      <c r="BB443" s="441">
        <v>0</v>
      </c>
      <c r="BC443" s="422">
        <v>0</v>
      </c>
      <c r="BD443" s="420">
        <v>0</v>
      </c>
      <c r="BE443" s="422">
        <v>0</v>
      </c>
      <c r="BF443" s="422">
        <v>0</v>
      </c>
      <c r="BG443" s="441">
        <v>0</v>
      </c>
      <c r="BH443" s="422">
        <v>0</v>
      </c>
      <c r="BI443" s="442">
        <v>0</v>
      </c>
      <c r="BJ443" s="443">
        <v>0.4</v>
      </c>
      <c r="BK443" s="443">
        <v>0.4</v>
      </c>
      <c r="BL443" s="443">
        <v>0.4</v>
      </c>
      <c r="BM443" s="443">
        <v>0.4</v>
      </c>
      <c r="BN443" s="420">
        <v>0</v>
      </c>
      <c r="BO443" s="443">
        <v>0.4</v>
      </c>
      <c r="BP443" s="443">
        <v>0.4</v>
      </c>
      <c r="BQ443" s="443">
        <v>0.4</v>
      </c>
      <c r="BR443" s="443">
        <v>0.4</v>
      </c>
      <c r="BS443" s="420">
        <v>0</v>
      </c>
      <c r="BT443" s="444">
        <v>0.4</v>
      </c>
      <c r="BU443" s="444">
        <v>0.4</v>
      </c>
      <c r="BV443" s="444">
        <v>0.4</v>
      </c>
      <c r="BW443" s="216"/>
    </row>
    <row r="444" spans="1:75" s="169" customFormat="1" ht="14.25" hidden="1" outlineLevel="2" x14ac:dyDescent="0.45">
      <c r="A444" s="360" t="s">
        <v>587</v>
      </c>
      <c r="B444" s="361"/>
      <c r="C444" s="362"/>
      <c r="D444" s="362"/>
      <c r="E444" s="362"/>
      <c r="F444" s="362"/>
      <c r="G444" s="346"/>
      <c r="H444" s="346"/>
      <c r="I444" s="346"/>
      <c r="J444" s="346"/>
      <c r="K444" s="362"/>
      <c r="L444" s="346"/>
      <c r="M444" s="346"/>
      <c r="N444" s="346"/>
      <c r="O444" s="346"/>
      <c r="P444" s="362"/>
      <c r="Q444" s="346"/>
      <c r="R444" s="346"/>
      <c r="S444" s="346"/>
      <c r="T444" s="346"/>
      <c r="U444" s="362"/>
      <c r="V444" s="346"/>
      <c r="W444" s="346">
        <v>3480</v>
      </c>
      <c r="X444" s="346">
        <v>3733.3333333333335</v>
      </c>
      <c r="Y444" s="346">
        <v>3733.3333333333335</v>
      </c>
      <c r="Z444" s="362">
        <v>3733.3333333333335</v>
      </c>
      <c r="AA444" s="346">
        <v>3733.3333333333335</v>
      </c>
      <c r="AB444" s="346">
        <v>3926.6666666666665</v>
      </c>
      <c r="AC444" s="346">
        <v>3926.6666666666665</v>
      </c>
      <c r="AD444" s="346">
        <v>3926.6666666666665</v>
      </c>
      <c r="AE444" s="362">
        <v>3926.6666666666665</v>
      </c>
      <c r="AF444" s="346">
        <v>4000</v>
      </c>
      <c r="AG444" s="346">
        <v>4000</v>
      </c>
      <c r="AH444" s="346">
        <v>4000</v>
      </c>
      <c r="AI444" s="346">
        <v>4000</v>
      </c>
      <c r="AJ444" s="362">
        <v>4000</v>
      </c>
      <c r="AK444" s="346">
        <v>4000</v>
      </c>
      <c r="AL444" s="346">
        <v>4000</v>
      </c>
      <c r="AM444" s="346">
        <v>4000</v>
      </c>
      <c r="AN444" s="346">
        <v>4000</v>
      </c>
      <c r="AO444" s="362">
        <v>4000</v>
      </c>
      <c r="AP444" s="346">
        <v>4000</v>
      </c>
      <c r="AQ444" s="346">
        <v>4000</v>
      </c>
      <c r="AR444" s="346">
        <v>4185.7142857142853</v>
      </c>
      <c r="AS444" s="346">
        <v>4100</v>
      </c>
      <c r="AT444" s="362">
        <v>4100</v>
      </c>
      <c r="AU444" s="346">
        <v>4100</v>
      </c>
      <c r="AV444" s="346">
        <v>4100</v>
      </c>
      <c r="AW444" s="346">
        <v>4100</v>
      </c>
      <c r="AX444" s="346">
        <v>4100</v>
      </c>
      <c r="AY444" s="362">
        <v>4100</v>
      </c>
      <c r="AZ444" s="346">
        <v>4100</v>
      </c>
      <c r="BA444" s="346">
        <v>4100</v>
      </c>
      <c r="BB444" s="346">
        <v>4100</v>
      </c>
      <c r="BC444" s="346">
        <v>4100</v>
      </c>
      <c r="BD444" s="362">
        <v>4100</v>
      </c>
      <c r="BE444" s="346">
        <v>4100</v>
      </c>
      <c r="BF444" s="346">
        <v>4100</v>
      </c>
      <c r="BG444" s="346">
        <v>4100</v>
      </c>
      <c r="BH444" s="346">
        <v>4300</v>
      </c>
      <c r="BI444" s="363">
        <v>4300</v>
      </c>
      <c r="BJ444" s="346">
        <v>4300</v>
      </c>
      <c r="BK444" s="346">
        <v>4300</v>
      </c>
      <c r="BL444" s="346">
        <v>4300</v>
      </c>
      <c r="BM444" s="346">
        <v>4300</v>
      </c>
      <c r="BN444" s="362">
        <v>4300</v>
      </c>
      <c r="BO444" s="346">
        <v>4300</v>
      </c>
      <c r="BP444" s="346">
        <v>4300</v>
      </c>
      <c r="BQ444" s="346">
        <v>4300</v>
      </c>
      <c r="BR444" s="346">
        <v>4300</v>
      </c>
      <c r="BS444" s="362">
        <v>4300</v>
      </c>
      <c r="BT444" s="362">
        <v>4300</v>
      </c>
      <c r="BU444" s="362">
        <v>4300</v>
      </c>
      <c r="BV444" s="362">
        <v>4300</v>
      </c>
      <c r="BW444" s="168"/>
    </row>
    <row r="445" spans="1:75" s="198" customFormat="1" ht="7.5" hidden="1" customHeight="1" outlineLevel="2" x14ac:dyDescent="0.45">
      <c r="A445" s="206"/>
      <c r="B445" s="207"/>
      <c r="C445" s="208"/>
      <c r="D445" s="208"/>
      <c r="E445" s="208"/>
      <c r="F445" s="208"/>
      <c r="G445" s="209"/>
      <c r="H445" s="209"/>
      <c r="I445" s="209"/>
      <c r="J445" s="209"/>
      <c r="K445" s="208"/>
      <c r="L445" s="209"/>
      <c r="M445" s="209"/>
      <c r="N445" s="209"/>
      <c r="O445" s="209"/>
      <c r="P445" s="208"/>
      <c r="Q445" s="209"/>
      <c r="R445" s="209"/>
      <c r="S445" s="209"/>
      <c r="T445" s="209"/>
      <c r="U445" s="208"/>
      <c r="V445" s="209"/>
      <c r="W445" s="209"/>
      <c r="X445" s="209"/>
      <c r="Y445" s="209"/>
      <c r="Z445" s="208"/>
      <c r="AA445" s="209"/>
      <c r="AB445" s="209"/>
      <c r="AC445" s="209"/>
      <c r="AD445" s="209"/>
      <c r="AE445" s="208"/>
      <c r="AF445" s="209"/>
      <c r="AG445" s="209"/>
      <c r="AH445" s="209"/>
      <c r="AI445" s="209"/>
      <c r="AJ445" s="208"/>
      <c r="AK445" s="209"/>
      <c r="AL445" s="209"/>
      <c r="AM445" s="209"/>
      <c r="AN445" s="209"/>
      <c r="AO445" s="208"/>
      <c r="AP445" s="209"/>
      <c r="AQ445" s="209"/>
      <c r="AR445" s="209"/>
      <c r="AS445" s="209"/>
      <c r="AT445" s="208"/>
      <c r="AU445" s="209"/>
      <c r="AV445" s="209"/>
      <c r="AW445" s="209"/>
      <c r="AX445" s="209"/>
      <c r="AY445" s="208"/>
      <c r="AZ445" s="209"/>
      <c r="BA445" s="209"/>
      <c r="BB445" s="209"/>
      <c r="BC445" s="209"/>
      <c r="BD445" s="208"/>
      <c r="BE445" s="209"/>
      <c r="BF445" s="209"/>
      <c r="BG445" s="209"/>
      <c r="BH445" s="209"/>
      <c r="BI445" s="210"/>
      <c r="BJ445" s="209"/>
      <c r="BK445" s="209"/>
      <c r="BL445" s="209"/>
      <c r="BM445" s="209"/>
      <c r="BN445" s="208"/>
      <c r="BO445" s="209"/>
      <c r="BP445" s="209"/>
      <c r="BQ445" s="209"/>
      <c r="BR445" s="209"/>
      <c r="BS445" s="208"/>
      <c r="BT445" s="208"/>
      <c r="BU445" s="208"/>
      <c r="BV445" s="208"/>
      <c r="BW445" s="197"/>
    </row>
    <row r="446" spans="1:75" s="370" customFormat="1" hidden="1" outlineLevel="2" x14ac:dyDescent="0.5">
      <c r="A446" s="364" t="s">
        <v>588</v>
      </c>
      <c r="B446" s="365"/>
      <c r="C446" s="366"/>
      <c r="D446" s="366"/>
      <c r="E446" s="366"/>
      <c r="F446" s="366"/>
      <c r="G446" s="367"/>
      <c r="H446" s="367"/>
      <c r="I446" s="367"/>
      <c r="J446" s="367"/>
      <c r="K446" s="366"/>
      <c r="L446" s="367"/>
      <c r="M446" s="367"/>
      <c r="N446" s="367"/>
      <c r="O446" s="367"/>
      <c r="P446" s="366"/>
      <c r="Q446" s="367"/>
      <c r="R446" s="367"/>
      <c r="S446" s="367"/>
      <c r="T446" s="367"/>
      <c r="U446" s="366"/>
      <c r="V446" s="367"/>
      <c r="W446" s="367">
        <v>795.51724137931035</v>
      </c>
      <c r="X446" s="367">
        <v>523.12384473197778</v>
      </c>
      <c r="Y446" s="367">
        <v>460.05357142857139</v>
      </c>
      <c r="Z446" s="366">
        <v>2197.5624082232007</v>
      </c>
      <c r="AA446" s="367">
        <v>509.85714285714283</v>
      </c>
      <c r="AB446" s="367">
        <v>548.87728459530024</v>
      </c>
      <c r="AC446" s="367">
        <v>497.4363327674024</v>
      </c>
      <c r="AD446" s="367">
        <v>534.09168081494056</v>
      </c>
      <c r="AE446" s="366">
        <v>2089.4983932270852</v>
      </c>
      <c r="AF446" s="367">
        <v>528.15811606391924</v>
      </c>
      <c r="AG446" s="367">
        <v>553.23333333333335</v>
      </c>
      <c r="AH446" s="367">
        <v>537.26666666666665</v>
      </c>
      <c r="AI446" s="367">
        <v>555.86666666666679</v>
      </c>
      <c r="AJ446" s="366">
        <v>2174.6669450824807</v>
      </c>
      <c r="AK446" s="367">
        <v>578.58333333333337</v>
      </c>
      <c r="AL446" s="367">
        <v>569.76666666666665</v>
      </c>
      <c r="AM446" s="367">
        <v>535.80000000000007</v>
      </c>
      <c r="AN446" s="367">
        <v>534.86666666666645</v>
      </c>
      <c r="AO446" s="366">
        <v>2219.0166666666669</v>
      </c>
      <c r="AP446" s="367">
        <v>465.63333333333333</v>
      </c>
      <c r="AQ446" s="367">
        <v>464.91666666666669</v>
      </c>
      <c r="AR446" s="367">
        <v>526.66104553119737</v>
      </c>
      <c r="AS446" s="367">
        <v>554.13793103448279</v>
      </c>
      <c r="AT446" s="366">
        <v>2009.3383902233461</v>
      </c>
      <c r="AU446" s="367">
        <v>713.7456445993032</v>
      </c>
      <c r="AV446" s="367">
        <v>718.48432055749129</v>
      </c>
      <c r="AW446" s="367">
        <v>724.19860627177707</v>
      </c>
      <c r="AX446" s="367">
        <v>717.7526132404181</v>
      </c>
      <c r="AY446" s="366">
        <v>2874.1811846689898</v>
      </c>
      <c r="AZ446" s="367">
        <v>842.22996515679449</v>
      </c>
      <c r="BA446" s="367">
        <v>896.13240418118471</v>
      </c>
      <c r="BB446" s="367">
        <v>832.85714285714289</v>
      </c>
      <c r="BC446" s="367">
        <v>770.92334494773479</v>
      </c>
      <c r="BD446" s="366">
        <v>3342.1428571428573</v>
      </c>
      <c r="BE446" s="367">
        <v>847.4912891986063</v>
      </c>
      <c r="BF446" s="367">
        <v>817.57839721254356</v>
      </c>
      <c r="BG446" s="367">
        <v>804.2508710801394</v>
      </c>
      <c r="BH446" s="367">
        <v>880.44217687074809</v>
      </c>
      <c r="BI446" s="368">
        <v>3349.6560846560851</v>
      </c>
      <c r="BJ446" s="367">
        <v>788.16689895470381</v>
      </c>
      <c r="BK446" s="367">
        <v>801.2268292682927</v>
      </c>
      <c r="BL446" s="367">
        <v>812.29337979094078</v>
      </c>
      <c r="BM446" s="367">
        <v>854.02891156462567</v>
      </c>
      <c r="BN446" s="366">
        <v>3255.7160195785627</v>
      </c>
      <c r="BO446" s="367">
        <v>811.81190592334497</v>
      </c>
      <c r="BP446" s="367">
        <v>825.26363414634147</v>
      </c>
      <c r="BQ446" s="367">
        <v>852.90804878048789</v>
      </c>
      <c r="BR446" s="367">
        <v>896.73035714285697</v>
      </c>
      <c r="BS446" s="366">
        <v>3386.7139459930313</v>
      </c>
      <c r="BT446" s="366">
        <v>3488.3153643728224</v>
      </c>
      <c r="BU446" s="366">
        <v>3592.9648253040073</v>
      </c>
      <c r="BV446" s="366">
        <v>3700.7537700631274</v>
      </c>
      <c r="BW446" s="369"/>
    </row>
    <row r="447" spans="1:75" s="177" customFormat="1" ht="14.25" hidden="1" outlineLevel="2" x14ac:dyDescent="0.45">
      <c r="A447" s="189" t="s">
        <v>589</v>
      </c>
      <c r="B447" s="171"/>
      <c r="C447" s="172"/>
      <c r="D447" s="172"/>
      <c r="E447" s="172"/>
      <c r="F447" s="172"/>
      <c r="G447" s="173"/>
      <c r="H447" s="173"/>
      <c r="I447" s="173"/>
      <c r="J447" s="173"/>
      <c r="K447" s="172"/>
      <c r="L447" s="173"/>
      <c r="M447" s="173"/>
      <c r="N447" s="173"/>
      <c r="O447" s="173"/>
      <c r="P447" s="172"/>
      <c r="Q447" s="173"/>
      <c r="R447" s="173"/>
      <c r="S447" s="173"/>
      <c r="T447" s="173"/>
      <c r="U447" s="172"/>
      <c r="V447" s="173"/>
      <c r="W447" s="173"/>
      <c r="X447" s="173"/>
      <c r="Y447" s="173"/>
      <c r="Z447" s="172"/>
      <c r="AA447" s="173"/>
      <c r="AB447" s="173">
        <v>-0.31003722352563035</v>
      </c>
      <c r="AC447" s="173">
        <v>-4.9104073965002271E-2</v>
      </c>
      <c r="AD447" s="173">
        <v>0.16093366943433107</v>
      </c>
      <c r="AE447" s="172">
        <v>-4.9174491969713241E-2</v>
      </c>
      <c r="AF447" s="173">
        <v>3.5894315619903194E-2</v>
      </c>
      <c r="AG447" s="173">
        <v>7.936288967113958E-3</v>
      </c>
      <c r="AH447" s="173">
        <v>8.0071219723084841E-2</v>
      </c>
      <c r="AI447" s="173">
        <v>4.0770127365588271E-2</v>
      </c>
      <c r="AJ447" s="172">
        <v>4.0760285880793834E-2</v>
      </c>
      <c r="AK447" s="173">
        <v>9.5473714661825859E-2</v>
      </c>
      <c r="AL447" s="173">
        <v>2.9884918961258E-2</v>
      </c>
      <c r="AM447" s="173">
        <v>-2.7298672291845572E-3</v>
      </c>
      <c r="AN447" s="173">
        <v>-3.7778843847446009E-2</v>
      </c>
      <c r="AO447" s="172">
        <v>2.0393799466384088E-2</v>
      </c>
      <c r="AP447" s="173">
        <v>-0.19521820538672052</v>
      </c>
      <c r="AQ447" s="173">
        <v>-0.18402269935061133</v>
      </c>
      <c r="AR447" s="173">
        <v>-1.7056652610680678E-2</v>
      </c>
      <c r="AS447" s="173">
        <v>3.6030034340925443E-2</v>
      </c>
      <c r="AT447" s="172">
        <v>-9.4491528429253568E-2</v>
      </c>
      <c r="AU447" s="173">
        <v>0.53284911861830464</v>
      </c>
      <c r="AV447" s="173">
        <v>0.54540452530738404</v>
      </c>
      <c r="AW447" s="173">
        <v>0.3750753210565263</v>
      </c>
      <c r="AX447" s="173">
        <v>0.2952598496560126</v>
      </c>
      <c r="AY447" s="172">
        <v>0.43041172091949775</v>
      </c>
      <c r="AZ447" s="173">
        <v>0.18001415704557111</v>
      </c>
      <c r="BA447" s="173">
        <v>0.24725394631555986</v>
      </c>
      <c r="BB447" s="173">
        <v>0.15003969304048681</v>
      </c>
      <c r="BC447" s="173">
        <v>7.4079467948250599E-2</v>
      </c>
      <c r="BD447" s="172">
        <v>0.16281564814702554</v>
      </c>
      <c r="BE447" s="173">
        <v>6.2468972364719821E-3</v>
      </c>
      <c r="BF447" s="173">
        <v>-8.7658929196314017E-2</v>
      </c>
      <c r="BG447" s="173">
        <v>-3.4347153077019632E-2</v>
      </c>
      <c r="BH447" s="173">
        <v>0.14206189583017248</v>
      </c>
      <c r="BI447" s="174">
        <v>2.2480270396492141E-3</v>
      </c>
      <c r="BJ447" s="190">
        <v>-7.0000000000000007E-2</v>
      </c>
      <c r="BK447" s="190">
        <v>-0.02</v>
      </c>
      <c r="BL447" s="190">
        <v>0.01</v>
      </c>
      <c r="BM447" s="190">
        <v>-0.03</v>
      </c>
      <c r="BN447" s="172">
        <v>-2.8044689575099313E-2</v>
      </c>
      <c r="BO447" s="190">
        <v>0.03</v>
      </c>
      <c r="BP447" s="190">
        <v>0.03</v>
      </c>
      <c r="BQ447" s="190">
        <v>0.05</v>
      </c>
      <c r="BR447" s="190">
        <v>0.05</v>
      </c>
      <c r="BS447" s="172">
        <v>4.0236287694227491E-2</v>
      </c>
      <c r="BT447" s="191">
        <v>0.03</v>
      </c>
      <c r="BU447" s="191">
        <v>0.03</v>
      </c>
      <c r="BV447" s="191">
        <v>0.03</v>
      </c>
      <c r="BW447" s="176"/>
    </row>
    <row r="448" spans="1:75" s="177" customFormat="1" ht="7.5" hidden="1" customHeight="1" outlineLevel="2" x14ac:dyDescent="0.45">
      <c r="A448" s="189"/>
      <c r="B448" s="171"/>
      <c r="C448" s="172"/>
      <c r="D448" s="172"/>
      <c r="E448" s="172"/>
      <c r="F448" s="172"/>
      <c r="G448" s="173"/>
      <c r="H448" s="173"/>
      <c r="I448" s="173"/>
      <c r="J448" s="173"/>
      <c r="K448" s="172"/>
      <c r="L448" s="173"/>
      <c r="M448" s="173"/>
      <c r="N448" s="173"/>
      <c r="O448" s="173"/>
      <c r="P448" s="172"/>
      <c r="Q448" s="173"/>
      <c r="R448" s="173"/>
      <c r="S448" s="173"/>
      <c r="T448" s="173"/>
      <c r="U448" s="172"/>
      <c r="V448" s="173"/>
      <c r="W448" s="173"/>
      <c r="X448" s="173"/>
      <c r="Y448" s="173"/>
      <c r="Z448" s="172"/>
      <c r="AA448" s="173"/>
      <c r="AB448" s="173"/>
      <c r="AC448" s="173"/>
      <c r="AD448" s="173"/>
      <c r="AE448" s="172"/>
      <c r="AF448" s="173"/>
      <c r="AG448" s="173"/>
      <c r="AH448" s="173"/>
      <c r="AI448" s="173"/>
      <c r="AJ448" s="172"/>
      <c r="AK448" s="173"/>
      <c r="AL448" s="173"/>
      <c r="AM448" s="173"/>
      <c r="AN448" s="173"/>
      <c r="AO448" s="172"/>
      <c r="AP448" s="173"/>
      <c r="AQ448" s="173"/>
      <c r="AR448" s="173"/>
      <c r="AS448" s="173"/>
      <c r="AT448" s="172"/>
      <c r="AU448" s="173"/>
      <c r="AV448" s="173"/>
      <c r="AW448" s="173"/>
      <c r="AX448" s="173"/>
      <c r="AY448" s="172"/>
      <c r="AZ448" s="173"/>
      <c r="BA448" s="173"/>
      <c r="BB448" s="173"/>
      <c r="BC448" s="173"/>
      <c r="BD448" s="172"/>
      <c r="BE448" s="173"/>
      <c r="BF448" s="173"/>
      <c r="BG448" s="173"/>
      <c r="BH448" s="173"/>
      <c r="BI448" s="174"/>
      <c r="BJ448" s="175"/>
      <c r="BK448" s="175"/>
      <c r="BL448" s="175"/>
      <c r="BM448" s="175"/>
      <c r="BN448" s="172"/>
      <c r="BO448" s="175"/>
      <c r="BP448" s="175"/>
      <c r="BQ448" s="175"/>
      <c r="BR448" s="175"/>
      <c r="BS448" s="172"/>
      <c r="BT448" s="172"/>
      <c r="BU448" s="172"/>
      <c r="BV448" s="172"/>
      <c r="BW448" s="176"/>
    </row>
    <row r="449" spans="1:75" s="198" customFormat="1" ht="14.25" hidden="1" outlineLevel="2" x14ac:dyDescent="0.45">
      <c r="A449" s="192" t="s">
        <v>590</v>
      </c>
      <c r="B449" s="193"/>
      <c r="C449" s="194"/>
      <c r="D449" s="194"/>
      <c r="E449" s="194"/>
      <c r="F449" s="194"/>
      <c r="G449" s="195"/>
      <c r="H449" s="195"/>
      <c r="I449" s="195"/>
      <c r="J449" s="195"/>
      <c r="K449" s="194"/>
      <c r="L449" s="195"/>
      <c r="M449" s="195"/>
      <c r="N449" s="195"/>
      <c r="O449" s="195"/>
      <c r="P449" s="194"/>
      <c r="Q449" s="195"/>
      <c r="R449" s="195"/>
      <c r="S449" s="195"/>
      <c r="T449" s="195"/>
      <c r="U449" s="194"/>
      <c r="V449" s="195"/>
      <c r="W449" s="195">
        <v>20.763000000000002</v>
      </c>
      <c r="X449" s="195">
        <v>28.300999999999998</v>
      </c>
      <c r="Y449" s="195">
        <v>25.762999999999998</v>
      </c>
      <c r="Z449" s="194">
        <v>74.826999999999998</v>
      </c>
      <c r="AA449" s="195">
        <v>28.552</v>
      </c>
      <c r="AB449" s="195">
        <v>31.533000000000001</v>
      </c>
      <c r="AC449" s="195">
        <v>29.298999999999999</v>
      </c>
      <c r="AD449" s="195">
        <v>31.457999999999998</v>
      </c>
      <c r="AE449" s="194">
        <v>120.842</v>
      </c>
      <c r="AF449" s="195">
        <v>31.399000000000001</v>
      </c>
      <c r="AG449" s="195">
        <v>33.194000000000003</v>
      </c>
      <c r="AH449" s="195">
        <v>32.235999999999997</v>
      </c>
      <c r="AI449" s="195">
        <v>33.352000000000004</v>
      </c>
      <c r="AJ449" s="194">
        <v>130.18100000000001</v>
      </c>
      <c r="AK449" s="195">
        <v>34.715000000000003</v>
      </c>
      <c r="AL449" s="195">
        <v>34.186</v>
      </c>
      <c r="AM449" s="195">
        <v>32.148000000000003</v>
      </c>
      <c r="AN449" s="195">
        <v>32.091999999999985</v>
      </c>
      <c r="AO449" s="194">
        <v>133.14099999999999</v>
      </c>
      <c r="AP449" s="195">
        <v>27.937999999999999</v>
      </c>
      <c r="AQ449" s="195">
        <v>27.895</v>
      </c>
      <c r="AR449" s="195">
        <v>31.231000000000002</v>
      </c>
      <c r="AS449" s="195">
        <v>32.14</v>
      </c>
      <c r="AT449" s="194">
        <v>119.20399999999999</v>
      </c>
      <c r="AU449" s="195">
        <v>40.969000000000001</v>
      </c>
      <c r="AV449" s="195">
        <v>41.241</v>
      </c>
      <c r="AW449" s="195">
        <v>41.569000000000003</v>
      </c>
      <c r="AX449" s="195">
        <v>41.198999999999998</v>
      </c>
      <c r="AY449" s="194">
        <v>164.97800000000001</v>
      </c>
      <c r="AZ449" s="195">
        <v>48.344000000000001</v>
      </c>
      <c r="BA449" s="195">
        <v>51.438000000000002</v>
      </c>
      <c r="BB449" s="195">
        <v>47.805999999999997</v>
      </c>
      <c r="BC449" s="195">
        <v>44.250999999999976</v>
      </c>
      <c r="BD449" s="194">
        <v>191.839</v>
      </c>
      <c r="BE449" s="195">
        <v>48.646000000000001</v>
      </c>
      <c r="BF449" s="195">
        <v>46.929000000000002</v>
      </c>
      <c r="BG449" s="195">
        <v>46.164000000000001</v>
      </c>
      <c r="BH449" s="195">
        <v>51.769999999999982</v>
      </c>
      <c r="BI449" s="196">
        <v>193.50899999999999</v>
      </c>
      <c r="BJ449" s="195">
        <v>47.447647317073169</v>
      </c>
      <c r="BK449" s="195">
        <v>48.233855121951223</v>
      </c>
      <c r="BL449" s="195">
        <v>48.900061463414637</v>
      </c>
      <c r="BM449" s="195">
        <v>51.412540476190465</v>
      </c>
      <c r="BN449" s="194">
        <v>195.99410437862949</v>
      </c>
      <c r="BO449" s="195">
        <v>48.871076736585366</v>
      </c>
      <c r="BP449" s="195">
        <v>49.680870775609755</v>
      </c>
      <c r="BQ449" s="195">
        <v>51.345064536585369</v>
      </c>
      <c r="BR449" s="195">
        <v>53.983167499999993</v>
      </c>
      <c r="BS449" s="194">
        <v>203.88017954878046</v>
      </c>
      <c r="BT449" s="194">
        <v>209.9965849352439</v>
      </c>
      <c r="BU449" s="194">
        <v>216.29648248330125</v>
      </c>
      <c r="BV449" s="194">
        <v>222.78537695780028</v>
      </c>
      <c r="BW449" s="197"/>
    </row>
    <row r="450" spans="1:75" s="177" customFormat="1" ht="14.25" hidden="1" outlineLevel="2" x14ac:dyDescent="0.45">
      <c r="A450" s="170" t="s">
        <v>185</v>
      </c>
      <c r="B450" s="171"/>
      <c r="C450" s="172"/>
      <c r="D450" s="172"/>
      <c r="E450" s="172"/>
      <c r="F450" s="172"/>
      <c r="G450" s="173"/>
      <c r="H450" s="173"/>
      <c r="I450" s="173"/>
      <c r="J450" s="173"/>
      <c r="K450" s="172"/>
      <c r="L450" s="173"/>
      <c r="M450" s="173"/>
      <c r="N450" s="173"/>
      <c r="O450" s="173"/>
      <c r="P450" s="172"/>
      <c r="Q450" s="173"/>
      <c r="R450" s="173"/>
      <c r="S450" s="173"/>
      <c r="T450" s="173"/>
      <c r="U450" s="172"/>
      <c r="V450" s="173"/>
      <c r="W450" s="173"/>
      <c r="X450" s="173"/>
      <c r="Y450" s="173"/>
      <c r="Z450" s="172"/>
      <c r="AA450" s="173"/>
      <c r="AB450" s="190" t="s">
        <v>186</v>
      </c>
      <c r="AC450" s="173">
        <v>3.526377159817673E-2</v>
      </c>
      <c r="AD450" s="173">
        <v>0.2210534487443232</v>
      </c>
      <c r="AE450" s="191" t="s">
        <v>186</v>
      </c>
      <c r="AF450" s="173">
        <v>9.9712804707200897E-2</v>
      </c>
      <c r="AG450" s="173">
        <v>5.2674975422573267E-2</v>
      </c>
      <c r="AH450" s="173">
        <v>0.10024232908972985</v>
      </c>
      <c r="AI450" s="173">
        <v>6.0207260474283375E-2</v>
      </c>
      <c r="AJ450" s="172">
        <v>7.7282732824680345E-2</v>
      </c>
      <c r="AK450" s="173">
        <v>0.10560845886811698</v>
      </c>
      <c r="AL450" s="173">
        <v>2.9884918961258E-2</v>
      </c>
      <c r="AM450" s="173">
        <v>-2.7298672291845572E-3</v>
      </c>
      <c r="AN450" s="173">
        <v>-3.7778843847446009E-2</v>
      </c>
      <c r="AO450" s="172">
        <v>2.2737573071339057E-2</v>
      </c>
      <c r="AP450" s="173">
        <v>-0.19521820538672052</v>
      </c>
      <c r="AQ450" s="173">
        <v>-0.18402269935061133</v>
      </c>
      <c r="AR450" s="173">
        <v>-2.8524324996889394E-2</v>
      </c>
      <c r="AS450" s="173">
        <v>1.4956998628947726E-3</v>
      </c>
      <c r="AT450" s="172">
        <v>-0.10467849873442436</v>
      </c>
      <c r="AU450" s="173">
        <v>0.46642565681151127</v>
      </c>
      <c r="AV450" s="173">
        <v>0.4784369958773973</v>
      </c>
      <c r="AW450" s="173">
        <v>0.33101725849316388</v>
      </c>
      <c r="AX450" s="173">
        <v>0.28186060983198491</v>
      </c>
      <c r="AY450" s="172">
        <v>0.38399718130264104</v>
      </c>
      <c r="AZ450" s="173">
        <v>0.18001415704557111</v>
      </c>
      <c r="BA450" s="173">
        <v>0.24725394631555986</v>
      </c>
      <c r="BB450" s="173">
        <v>0.15003969304048681</v>
      </c>
      <c r="BC450" s="173">
        <v>7.4079467948250599E-2</v>
      </c>
      <c r="BD450" s="172">
        <v>0.16281564814702554</v>
      </c>
      <c r="BE450" s="173">
        <v>6.2468972364719821E-3</v>
      </c>
      <c r="BF450" s="173">
        <v>-8.7658929196314017E-2</v>
      </c>
      <c r="BG450" s="173">
        <v>-3.4347153077019521E-2</v>
      </c>
      <c r="BH450" s="173">
        <v>0.16991706402115225</v>
      </c>
      <c r="BI450" s="174">
        <v>8.7052163532961302E-3</v>
      </c>
      <c r="BJ450" s="175">
        <v>-2.4634146341463437E-2</v>
      </c>
      <c r="BK450" s="175">
        <v>2.7804878048780513E-2</v>
      </c>
      <c r="BL450" s="175">
        <v>5.9268292682926882E-2</v>
      </c>
      <c r="BM450" s="175">
        <v>-6.904761904761747E-3</v>
      </c>
      <c r="BN450" s="172">
        <v>1.2842319368243871E-2</v>
      </c>
      <c r="BO450" s="175">
        <v>3.0000000000000027E-2</v>
      </c>
      <c r="BP450" s="175">
        <v>2.9999999999999805E-2</v>
      </c>
      <c r="BQ450" s="175">
        <v>5.0000000000000044E-2</v>
      </c>
      <c r="BR450" s="175">
        <v>5.0000000000000044E-2</v>
      </c>
      <c r="BS450" s="172">
        <v>4.0236287694227491E-2</v>
      </c>
      <c r="BT450" s="172">
        <v>3.0000000000000027E-2</v>
      </c>
      <c r="BU450" s="172">
        <v>3.0000000000000027E-2</v>
      </c>
      <c r="BV450" s="172">
        <v>3.0000000000000027E-2</v>
      </c>
      <c r="BW450" s="176"/>
    </row>
    <row r="451" spans="1:75" s="198" customFormat="1" ht="14.25" hidden="1" outlineLevel="1" x14ac:dyDescent="0.45">
      <c r="A451" s="206"/>
      <c r="B451" s="207"/>
      <c r="C451" s="208"/>
      <c r="D451" s="208"/>
      <c r="E451" s="208"/>
      <c r="F451" s="208"/>
      <c r="G451" s="209"/>
      <c r="H451" s="209"/>
      <c r="I451" s="209"/>
      <c r="J451" s="209"/>
      <c r="K451" s="208"/>
      <c r="L451" s="209"/>
      <c r="M451" s="209"/>
      <c r="N451" s="209"/>
      <c r="O451" s="209"/>
      <c r="P451" s="208"/>
      <c r="Q451" s="209"/>
      <c r="R451" s="209"/>
      <c r="S451" s="209"/>
      <c r="T451" s="209"/>
      <c r="U451" s="208"/>
      <c r="V451" s="209"/>
      <c r="W451" s="209"/>
      <c r="X451" s="209"/>
      <c r="Y451" s="209"/>
      <c r="Z451" s="208"/>
      <c r="AA451" s="209"/>
      <c r="AB451" s="209"/>
      <c r="AC451" s="209"/>
      <c r="AD451" s="209"/>
      <c r="AE451" s="208"/>
      <c r="AF451" s="209"/>
      <c r="AG451" s="209"/>
      <c r="AH451" s="209"/>
      <c r="AI451" s="209"/>
      <c r="AJ451" s="208"/>
      <c r="AK451" s="209"/>
      <c r="AL451" s="209"/>
      <c r="AM451" s="209"/>
      <c r="AN451" s="209"/>
      <c r="AO451" s="208"/>
      <c r="AP451" s="209"/>
      <c r="AQ451" s="209"/>
      <c r="AR451" s="209"/>
      <c r="AS451" s="209"/>
      <c r="AT451" s="208"/>
      <c r="AU451" s="209"/>
      <c r="AV451" s="209"/>
      <c r="AW451" s="209"/>
      <c r="AX451" s="209"/>
      <c r="AY451" s="208"/>
      <c r="AZ451" s="209"/>
      <c r="BA451" s="209"/>
      <c r="BB451" s="209"/>
      <c r="BC451" s="209"/>
      <c r="BD451" s="208"/>
      <c r="BE451" s="209"/>
      <c r="BF451" s="209"/>
      <c r="BG451" s="209"/>
      <c r="BH451" s="209"/>
      <c r="BI451" s="210"/>
      <c r="BJ451" s="209"/>
      <c r="BK451" s="209"/>
      <c r="BL451" s="209"/>
      <c r="BM451" s="209"/>
      <c r="BN451" s="208"/>
      <c r="BO451" s="209"/>
      <c r="BP451" s="209"/>
      <c r="BQ451" s="209"/>
      <c r="BR451" s="209"/>
      <c r="BS451" s="208"/>
      <c r="BT451" s="208"/>
      <c r="BU451" s="208"/>
      <c r="BV451" s="208"/>
      <c r="BW451" s="197"/>
    </row>
    <row r="452" spans="1:75" s="198" customFormat="1" ht="14.25" hidden="1" outlineLevel="1" x14ac:dyDescent="0.45">
      <c r="A452" s="239" t="s">
        <v>591</v>
      </c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  <c r="AA452" s="239"/>
      <c r="AB452" s="239"/>
      <c r="AC452" s="239"/>
      <c r="AD452" s="239"/>
      <c r="AE452" s="239"/>
      <c r="AF452" s="240"/>
      <c r="AG452" s="240"/>
      <c r="AH452" s="240"/>
      <c r="AI452" s="240"/>
      <c r="AJ452" s="240"/>
      <c r="AK452" s="239"/>
      <c r="AL452" s="239"/>
      <c r="AM452" s="239"/>
      <c r="AN452" s="239"/>
      <c r="AO452" s="239"/>
      <c r="AP452" s="239"/>
      <c r="AQ452" s="239"/>
      <c r="AR452" s="239"/>
      <c r="AS452" s="239"/>
      <c r="AT452" s="239"/>
      <c r="AU452" s="239"/>
      <c r="AV452" s="239"/>
      <c r="AW452" s="239"/>
      <c r="AX452" s="239"/>
      <c r="AY452" s="239"/>
      <c r="AZ452" s="239"/>
      <c r="BA452" s="239"/>
      <c r="BB452" s="239"/>
      <c r="BC452" s="239"/>
      <c r="BD452" s="239"/>
      <c r="BE452" s="239"/>
      <c r="BF452" s="239"/>
      <c r="BG452" s="239"/>
      <c r="BH452" s="239"/>
      <c r="BI452" s="241"/>
      <c r="BJ452" s="239"/>
      <c r="BK452" s="239"/>
      <c r="BL452" s="239"/>
      <c r="BM452" s="239"/>
      <c r="BN452" s="239"/>
      <c r="BO452" s="239"/>
      <c r="BP452" s="239"/>
      <c r="BQ452" s="239"/>
      <c r="BR452" s="239"/>
      <c r="BS452" s="239"/>
      <c r="BT452" s="239"/>
      <c r="BU452" s="239"/>
      <c r="BV452" s="239"/>
      <c r="BW452" s="197"/>
    </row>
    <row r="453" spans="1:75" s="198" customFormat="1" ht="14.25" hidden="1" outlineLevel="2" x14ac:dyDescent="0.45">
      <c r="A453" s="206" t="s">
        <v>590</v>
      </c>
      <c r="B453" s="295"/>
      <c r="C453" s="293"/>
      <c r="D453" s="293"/>
      <c r="E453" s="293"/>
      <c r="F453" s="293"/>
      <c r="G453" s="294"/>
      <c r="H453" s="294"/>
      <c r="I453" s="294"/>
      <c r="J453" s="294"/>
      <c r="K453" s="293"/>
      <c r="L453" s="294"/>
      <c r="M453" s="294"/>
      <c r="N453" s="294"/>
      <c r="O453" s="294"/>
      <c r="P453" s="293"/>
      <c r="Q453" s="294"/>
      <c r="R453" s="294"/>
      <c r="S453" s="294"/>
      <c r="T453" s="294"/>
      <c r="U453" s="293"/>
      <c r="V453" s="294"/>
      <c r="W453" s="294">
        <v>20.763000000000002</v>
      </c>
      <c r="X453" s="294">
        <v>28.300999999999998</v>
      </c>
      <c r="Y453" s="294">
        <v>25.762999999999998</v>
      </c>
      <c r="Z453" s="293">
        <v>74.826999999999998</v>
      </c>
      <c r="AA453" s="294">
        <v>28.552</v>
      </c>
      <c r="AB453" s="294">
        <v>31.533000000000001</v>
      </c>
      <c r="AC453" s="294">
        <v>29.298999999999999</v>
      </c>
      <c r="AD453" s="294">
        <v>31.457999999999998</v>
      </c>
      <c r="AE453" s="293">
        <v>120.842</v>
      </c>
      <c r="AF453" s="294">
        <v>31.399000000000001</v>
      </c>
      <c r="AG453" s="294">
        <v>33.194000000000003</v>
      </c>
      <c r="AH453" s="294">
        <v>32.235999999999997</v>
      </c>
      <c r="AI453" s="294">
        <v>33.352000000000004</v>
      </c>
      <c r="AJ453" s="293">
        <v>130.18100000000001</v>
      </c>
      <c r="AK453" s="294">
        <v>34.715000000000003</v>
      </c>
      <c r="AL453" s="294">
        <v>34.186</v>
      </c>
      <c r="AM453" s="294">
        <v>32.148000000000003</v>
      </c>
      <c r="AN453" s="294">
        <v>32.091999999999985</v>
      </c>
      <c r="AO453" s="293">
        <v>133.14099999999999</v>
      </c>
      <c r="AP453" s="294">
        <v>27.937999999999999</v>
      </c>
      <c r="AQ453" s="294">
        <v>27.895</v>
      </c>
      <c r="AR453" s="294">
        <v>31.231000000000002</v>
      </c>
      <c r="AS453" s="294">
        <v>32.14</v>
      </c>
      <c r="AT453" s="293">
        <v>119.20399999999999</v>
      </c>
      <c r="AU453" s="294">
        <v>40.969000000000001</v>
      </c>
      <c r="AV453" s="294">
        <v>41.241</v>
      </c>
      <c r="AW453" s="294">
        <v>41.569000000000003</v>
      </c>
      <c r="AX453" s="294">
        <v>41.198999999999998</v>
      </c>
      <c r="AY453" s="293">
        <v>164.97800000000001</v>
      </c>
      <c r="AZ453" s="294">
        <v>48.344000000000001</v>
      </c>
      <c r="BA453" s="294">
        <v>51.438000000000002</v>
      </c>
      <c r="BB453" s="294">
        <v>47.805999999999997</v>
      </c>
      <c r="BC453" s="294">
        <v>44.250999999999976</v>
      </c>
      <c r="BD453" s="293">
        <v>191.839</v>
      </c>
      <c r="BE453" s="294">
        <v>48.646000000000001</v>
      </c>
      <c r="BF453" s="294">
        <v>46.929000000000002</v>
      </c>
      <c r="BG453" s="294">
        <v>46.164000000000001</v>
      </c>
      <c r="BH453" s="294">
        <v>51.769999999999982</v>
      </c>
      <c r="BI453" s="297">
        <v>193.50899999999999</v>
      </c>
      <c r="BJ453" s="294">
        <v>47.447647317073169</v>
      </c>
      <c r="BK453" s="294">
        <v>48.233855121951223</v>
      </c>
      <c r="BL453" s="294">
        <v>48.900061463414637</v>
      </c>
      <c r="BM453" s="294">
        <v>51.412540476190465</v>
      </c>
      <c r="BN453" s="293">
        <v>195.99410437862949</v>
      </c>
      <c r="BO453" s="294">
        <v>48.871076736585366</v>
      </c>
      <c r="BP453" s="294">
        <v>49.680870775609755</v>
      </c>
      <c r="BQ453" s="294">
        <v>51.345064536585369</v>
      </c>
      <c r="BR453" s="294">
        <v>53.983167499999993</v>
      </c>
      <c r="BS453" s="293">
        <v>203.88017954878046</v>
      </c>
      <c r="BT453" s="293">
        <v>209.9965849352439</v>
      </c>
      <c r="BU453" s="293">
        <v>216.29648248330125</v>
      </c>
      <c r="BV453" s="293">
        <v>222.78537695780028</v>
      </c>
      <c r="BW453" s="197"/>
    </row>
    <row r="454" spans="1:75" s="123" customFormat="1" hidden="1" outlineLevel="2" x14ac:dyDescent="0.5">
      <c r="A454" s="445" t="s">
        <v>592</v>
      </c>
      <c r="B454" s="312"/>
      <c r="C454" s="309"/>
      <c r="D454" s="309"/>
      <c r="E454" s="309"/>
      <c r="F454" s="309"/>
      <c r="G454" s="310"/>
      <c r="H454" s="310"/>
      <c r="I454" s="310"/>
      <c r="J454" s="310"/>
      <c r="K454" s="309"/>
      <c r="L454" s="310"/>
      <c r="M454" s="310"/>
      <c r="N454" s="310"/>
      <c r="O454" s="310"/>
      <c r="P454" s="309"/>
      <c r="Q454" s="310"/>
      <c r="R454" s="310"/>
      <c r="S454" s="310"/>
      <c r="T454" s="310"/>
      <c r="U454" s="309"/>
      <c r="V454" s="310"/>
      <c r="W454" s="310"/>
      <c r="X454" s="310"/>
      <c r="Y454" s="310">
        <v>0</v>
      </c>
      <c r="Z454" s="309"/>
      <c r="AA454" s="310"/>
      <c r="AB454" s="310"/>
      <c r="AC454" s="310"/>
      <c r="AD454" s="310">
        <v>0</v>
      </c>
      <c r="AE454" s="309"/>
      <c r="AF454" s="310"/>
      <c r="AG454" s="310"/>
      <c r="AH454" s="310"/>
      <c r="AI454" s="310">
        <v>0</v>
      </c>
      <c r="AJ454" s="309"/>
      <c r="AK454" s="310"/>
      <c r="AL454" s="310"/>
      <c r="AM454" s="310"/>
      <c r="AN454" s="310">
        <v>0</v>
      </c>
      <c r="AO454" s="309"/>
      <c r="AP454" s="310"/>
      <c r="AQ454" s="310"/>
      <c r="AR454" s="310"/>
      <c r="AS454" s="310">
        <v>0</v>
      </c>
      <c r="AT454" s="309"/>
      <c r="AU454" s="310"/>
      <c r="AV454" s="310"/>
      <c r="AW454" s="310"/>
      <c r="AX454" s="310">
        <v>0</v>
      </c>
      <c r="AY454" s="309"/>
      <c r="AZ454" s="310"/>
      <c r="BA454" s="310"/>
      <c r="BB454" s="310"/>
      <c r="BC454" s="310">
        <v>0</v>
      </c>
      <c r="BD454" s="309"/>
      <c r="BE454" s="310"/>
      <c r="BF454" s="310"/>
      <c r="BG454" s="310"/>
      <c r="BH454" s="310">
        <v>0</v>
      </c>
      <c r="BI454" s="314"/>
      <c r="BJ454" s="316">
        <v>0</v>
      </c>
      <c r="BK454" s="316">
        <v>0</v>
      </c>
      <c r="BL454" s="316">
        <v>0</v>
      </c>
      <c r="BM454" s="316">
        <v>0</v>
      </c>
      <c r="BN454" s="309">
        <v>0</v>
      </c>
      <c r="BO454" s="316">
        <v>0</v>
      </c>
      <c r="BP454" s="316">
        <v>0</v>
      </c>
      <c r="BQ454" s="316">
        <v>0</v>
      </c>
      <c r="BR454" s="316">
        <v>0</v>
      </c>
      <c r="BS454" s="309">
        <v>0</v>
      </c>
      <c r="BT454" s="311">
        <v>0</v>
      </c>
      <c r="BU454" s="311">
        <v>0</v>
      </c>
      <c r="BV454" s="311">
        <v>0</v>
      </c>
      <c r="BW454" s="122"/>
    </row>
    <row r="455" spans="1:75" s="198" customFormat="1" ht="14.25" hidden="1" outlineLevel="1" collapsed="1" x14ac:dyDescent="0.45">
      <c r="A455" s="163" t="s">
        <v>593</v>
      </c>
      <c r="B455" s="295"/>
      <c r="C455" s="293"/>
      <c r="D455" s="293"/>
      <c r="E455" s="293"/>
      <c r="F455" s="293"/>
      <c r="G455" s="294"/>
      <c r="H455" s="294"/>
      <c r="I455" s="294"/>
      <c r="J455" s="294"/>
      <c r="K455" s="293"/>
      <c r="L455" s="294"/>
      <c r="M455" s="294"/>
      <c r="N455" s="294"/>
      <c r="O455" s="294"/>
      <c r="P455" s="293"/>
      <c r="Q455" s="294"/>
      <c r="R455" s="294"/>
      <c r="S455" s="294"/>
      <c r="T455" s="294"/>
      <c r="U455" s="293"/>
      <c r="V455" s="294"/>
      <c r="W455" s="294">
        <v>20.763000000000002</v>
      </c>
      <c r="X455" s="294">
        <v>28.300999999999998</v>
      </c>
      <c r="Y455" s="294">
        <v>25.762999999999998</v>
      </c>
      <c r="Z455" s="293">
        <v>74.826999999999998</v>
      </c>
      <c r="AA455" s="294">
        <v>28.552</v>
      </c>
      <c r="AB455" s="294">
        <v>31.533000000000001</v>
      </c>
      <c r="AC455" s="294">
        <v>29.298999999999999</v>
      </c>
      <c r="AD455" s="294">
        <v>31.457999999999998</v>
      </c>
      <c r="AE455" s="293">
        <v>120.842</v>
      </c>
      <c r="AF455" s="294">
        <v>31.399000000000001</v>
      </c>
      <c r="AG455" s="294">
        <v>33.194000000000003</v>
      </c>
      <c r="AH455" s="294">
        <v>32.235999999999997</v>
      </c>
      <c r="AI455" s="294">
        <v>33.352000000000004</v>
      </c>
      <c r="AJ455" s="293">
        <v>130.18100000000001</v>
      </c>
      <c r="AK455" s="294">
        <v>34.715000000000003</v>
      </c>
      <c r="AL455" s="294">
        <v>34.186</v>
      </c>
      <c r="AM455" s="294">
        <v>32.148000000000003</v>
      </c>
      <c r="AN455" s="294">
        <v>32.091999999999985</v>
      </c>
      <c r="AO455" s="293">
        <v>133.14099999999999</v>
      </c>
      <c r="AP455" s="294">
        <v>27.937999999999999</v>
      </c>
      <c r="AQ455" s="294">
        <v>27.895</v>
      </c>
      <c r="AR455" s="294">
        <v>31.231000000000002</v>
      </c>
      <c r="AS455" s="294">
        <v>32.14</v>
      </c>
      <c r="AT455" s="293">
        <v>119.20399999999999</v>
      </c>
      <c r="AU455" s="294">
        <v>40.969000000000001</v>
      </c>
      <c r="AV455" s="294">
        <v>41.241</v>
      </c>
      <c r="AW455" s="294">
        <v>41.569000000000003</v>
      </c>
      <c r="AX455" s="294">
        <v>41.198999999999998</v>
      </c>
      <c r="AY455" s="293">
        <v>164.97800000000001</v>
      </c>
      <c r="AZ455" s="294">
        <v>48.344000000000001</v>
      </c>
      <c r="BA455" s="294">
        <v>51.438000000000002</v>
      </c>
      <c r="BB455" s="294">
        <v>47.805999999999997</v>
      </c>
      <c r="BC455" s="294">
        <v>44.250999999999976</v>
      </c>
      <c r="BD455" s="293">
        <v>191.839</v>
      </c>
      <c r="BE455" s="294">
        <v>48.646000000000001</v>
      </c>
      <c r="BF455" s="294">
        <v>46.929000000000002</v>
      </c>
      <c r="BG455" s="294">
        <v>46.164000000000001</v>
      </c>
      <c r="BH455" s="294">
        <v>51.769999999999982</v>
      </c>
      <c r="BI455" s="297">
        <v>193.50899999999999</v>
      </c>
      <c r="BJ455" s="294">
        <v>47.447647317073169</v>
      </c>
      <c r="BK455" s="294">
        <v>48.233855121951223</v>
      </c>
      <c r="BL455" s="294">
        <v>48.900061463414637</v>
      </c>
      <c r="BM455" s="294">
        <v>51.412540476190465</v>
      </c>
      <c r="BN455" s="293">
        <v>195.99410437862949</v>
      </c>
      <c r="BO455" s="294">
        <v>48.871076736585366</v>
      </c>
      <c r="BP455" s="294">
        <v>49.680870775609755</v>
      </c>
      <c r="BQ455" s="294">
        <v>51.345064536585369</v>
      </c>
      <c r="BR455" s="294">
        <v>53.983167499999993</v>
      </c>
      <c r="BS455" s="293">
        <v>203.88017954878046</v>
      </c>
      <c r="BT455" s="293">
        <v>209.9965849352439</v>
      </c>
      <c r="BU455" s="293">
        <v>216.29648248330125</v>
      </c>
      <c r="BV455" s="293">
        <v>222.78537695780028</v>
      </c>
      <c r="BW455" s="197"/>
    </row>
    <row r="456" spans="1:75" s="205" customFormat="1" ht="14.45" hidden="1" customHeight="1" outlineLevel="1" x14ac:dyDescent="0.45">
      <c r="A456" s="199" t="s">
        <v>594</v>
      </c>
      <c r="B456" s="413"/>
      <c r="C456" s="446"/>
      <c r="D456" s="446"/>
      <c r="E456" s="446"/>
      <c r="F456" s="446"/>
      <c r="G456" s="447"/>
      <c r="H456" s="447"/>
      <c r="I456" s="447"/>
      <c r="J456" s="447"/>
      <c r="K456" s="446"/>
      <c r="L456" s="447"/>
      <c r="M456" s="447"/>
      <c r="N456" s="447"/>
      <c r="O456" s="447"/>
      <c r="P456" s="446"/>
      <c r="Q456" s="447"/>
      <c r="R456" s="447"/>
      <c r="S456" s="447"/>
      <c r="T456" s="447"/>
      <c r="U456" s="446"/>
      <c r="V456" s="447"/>
      <c r="W456" s="447"/>
      <c r="X456" s="447"/>
      <c r="Y456" s="447"/>
      <c r="Z456" s="446"/>
      <c r="AA456" s="447"/>
      <c r="AB456" s="448" t="s">
        <v>186</v>
      </c>
      <c r="AC456" s="447">
        <v>0.99800000000000111</v>
      </c>
      <c r="AD456" s="447">
        <v>5.6950000000000003</v>
      </c>
      <c r="AE456" s="449" t="s">
        <v>186</v>
      </c>
      <c r="AF456" s="447">
        <v>2.8470000000000013</v>
      </c>
      <c r="AG456" s="447">
        <v>1.6610000000000014</v>
      </c>
      <c r="AH456" s="447">
        <v>2.9369999999999976</v>
      </c>
      <c r="AI456" s="447">
        <v>1.8940000000000055</v>
      </c>
      <c r="AJ456" s="446">
        <v>9.3390000000000128</v>
      </c>
      <c r="AK456" s="447">
        <v>3.3160000000000025</v>
      </c>
      <c r="AL456" s="447">
        <v>0.99199999999999733</v>
      </c>
      <c r="AM456" s="447">
        <v>-8.7999999999993861E-2</v>
      </c>
      <c r="AN456" s="447">
        <v>-1.2600000000000193</v>
      </c>
      <c r="AO456" s="446">
        <v>2.9599999999999795</v>
      </c>
      <c r="AP456" s="447">
        <v>-6.7770000000000046</v>
      </c>
      <c r="AQ456" s="447">
        <v>-6.2910000000000004</v>
      </c>
      <c r="AR456" s="447">
        <v>-0.91700000000000159</v>
      </c>
      <c r="AS456" s="447">
        <v>4.800000000001603E-2</v>
      </c>
      <c r="AT456" s="446">
        <v>-13.936999999999998</v>
      </c>
      <c r="AU456" s="447">
        <v>13.031000000000002</v>
      </c>
      <c r="AV456" s="447">
        <v>13.346</v>
      </c>
      <c r="AW456" s="447">
        <v>10.338000000000001</v>
      </c>
      <c r="AX456" s="447">
        <v>9.0589999999999975</v>
      </c>
      <c r="AY456" s="446">
        <v>45.774000000000015</v>
      </c>
      <c r="AZ456" s="447">
        <v>7.375</v>
      </c>
      <c r="BA456" s="447">
        <v>10.197000000000003</v>
      </c>
      <c r="BB456" s="447">
        <v>6.2369999999999948</v>
      </c>
      <c r="BC456" s="447">
        <v>3.0519999999999783</v>
      </c>
      <c r="BD456" s="446">
        <v>26.86099999999999</v>
      </c>
      <c r="BE456" s="447">
        <v>0.3019999999999996</v>
      </c>
      <c r="BF456" s="447">
        <v>-4.5090000000000003</v>
      </c>
      <c r="BG456" s="447">
        <v>-1.6419999999999959</v>
      </c>
      <c r="BH456" s="447">
        <v>7.5190000000000055</v>
      </c>
      <c r="BI456" s="450">
        <v>1.6699999999999875</v>
      </c>
      <c r="BJ456" s="447">
        <v>-1.1983526829268314</v>
      </c>
      <c r="BK456" s="447">
        <v>1.3048551219512206</v>
      </c>
      <c r="BL456" s="447">
        <v>2.7360614634146359</v>
      </c>
      <c r="BM456" s="447">
        <v>-0.35745952380951707</v>
      </c>
      <c r="BN456" s="446">
        <v>2.4851043786295008</v>
      </c>
      <c r="BO456" s="447">
        <v>1.4234294195121961</v>
      </c>
      <c r="BP456" s="447">
        <v>1.4470156536585321</v>
      </c>
      <c r="BQ456" s="447">
        <v>2.4450030731707315</v>
      </c>
      <c r="BR456" s="447">
        <v>2.5706270238095286</v>
      </c>
      <c r="BS456" s="446">
        <v>7.8860751701509741</v>
      </c>
      <c r="BT456" s="446">
        <v>6.1164053864634411</v>
      </c>
      <c r="BU456" s="446">
        <v>6.2998975480573449</v>
      </c>
      <c r="BV456" s="446">
        <v>6.488894474499034</v>
      </c>
      <c r="BW456" s="204"/>
    </row>
    <row r="457" spans="1:75" s="177" customFormat="1" ht="14.25" hidden="1" outlineLevel="1" x14ac:dyDescent="0.45">
      <c r="A457" s="170" t="s">
        <v>595</v>
      </c>
      <c r="B457" s="378"/>
      <c r="C457" s="451"/>
      <c r="D457" s="451"/>
      <c r="E457" s="451"/>
      <c r="F457" s="451"/>
      <c r="G457" s="452"/>
      <c r="H457" s="452"/>
      <c r="I457" s="452"/>
      <c r="J457" s="452"/>
      <c r="K457" s="451"/>
      <c r="L457" s="452"/>
      <c r="M457" s="452"/>
      <c r="N457" s="452"/>
      <c r="O457" s="452"/>
      <c r="P457" s="451"/>
      <c r="Q457" s="452"/>
      <c r="R457" s="452"/>
      <c r="S457" s="452"/>
      <c r="T457" s="452"/>
      <c r="U457" s="451"/>
      <c r="V457" s="452"/>
      <c r="W457" s="452"/>
      <c r="X457" s="452"/>
      <c r="Y457" s="452"/>
      <c r="Z457" s="451"/>
      <c r="AA457" s="452"/>
      <c r="AB457" s="453" t="s">
        <v>186</v>
      </c>
      <c r="AC457" s="452">
        <v>3.526377159817673E-2</v>
      </c>
      <c r="AD457" s="452">
        <v>0.2210534487443232</v>
      </c>
      <c r="AE457" s="454" t="s">
        <v>186</v>
      </c>
      <c r="AF457" s="452">
        <v>9.9712804707200897E-2</v>
      </c>
      <c r="AG457" s="452">
        <v>5.2674975422573267E-2</v>
      </c>
      <c r="AH457" s="452">
        <v>0.10024232908972985</v>
      </c>
      <c r="AI457" s="452">
        <v>6.0207260474283375E-2</v>
      </c>
      <c r="AJ457" s="451">
        <v>7.7282732824680345E-2</v>
      </c>
      <c r="AK457" s="452">
        <v>0.10560845886811698</v>
      </c>
      <c r="AL457" s="452">
        <v>2.9884918961258E-2</v>
      </c>
      <c r="AM457" s="452">
        <v>-2.7298672291845572E-3</v>
      </c>
      <c r="AN457" s="452">
        <v>-3.7778843847446009E-2</v>
      </c>
      <c r="AO457" s="451">
        <v>2.2737573071339057E-2</v>
      </c>
      <c r="AP457" s="452">
        <v>-0.19521820538672052</v>
      </c>
      <c r="AQ457" s="452">
        <v>-0.18402269935061133</v>
      </c>
      <c r="AR457" s="452">
        <v>-2.8524324996889394E-2</v>
      </c>
      <c r="AS457" s="452">
        <v>1.4956998628947726E-3</v>
      </c>
      <c r="AT457" s="451">
        <v>-0.10467849873442436</v>
      </c>
      <c r="AU457" s="452">
        <v>0.46642565681151127</v>
      </c>
      <c r="AV457" s="452">
        <v>0.4784369958773973</v>
      </c>
      <c r="AW457" s="452">
        <v>0.33101725849316388</v>
      </c>
      <c r="AX457" s="452">
        <v>0.28186060983198491</v>
      </c>
      <c r="AY457" s="451">
        <v>0.38399718130264104</v>
      </c>
      <c r="AZ457" s="452">
        <v>0.18001415704557111</v>
      </c>
      <c r="BA457" s="452">
        <v>0.24725394631555986</v>
      </c>
      <c r="BB457" s="452">
        <v>0.15003969304048681</v>
      </c>
      <c r="BC457" s="452">
        <v>7.4079467948250599E-2</v>
      </c>
      <c r="BD457" s="451">
        <v>0.16281564814702554</v>
      </c>
      <c r="BE457" s="452">
        <v>6.2468972364719821E-3</v>
      </c>
      <c r="BF457" s="452">
        <v>-8.7658929196314017E-2</v>
      </c>
      <c r="BG457" s="452">
        <v>-3.4347153077019521E-2</v>
      </c>
      <c r="BH457" s="452">
        <v>0.16991706402115225</v>
      </c>
      <c r="BI457" s="455">
        <v>8.7052163532961302E-3</v>
      </c>
      <c r="BJ457" s="452">
        <v>-2.4634146341463437E-2</v>
      </c>
      <c r="BK457" s="452">
        <v>2.7804878048780513E-2</v>
      </c>
      <c r="BL457" s="452">
        <v>5.9268292682926882E-2</v>
      </c>
      <c r="BM457" s="452">
        <v>-6.904761904761747E-3</v>
      </c>
      <c r="BN457" s="451">
        <v>1.2842319368243871E-2</v>
      </c>
      <c r="BO457" s="452">
        <v>3.0000000000000027E-2</v>
      </c>
      <c r="BP457" s="452">
        <v>2.9999999999999805E-2</v>
      </c>
      <c r="BQ457" s="452">
        <v>5.0000000000000044E-2</v>
      </c>
      <c r="BR457" s="452">
        <v>5.0000000000000044E-2</v>
      </c>
      <c r="BS457" s="451">
        <v>4.0236287694227491E-2</v>
      </c>
      <c r="BT457" s="451">
        <v>3.0000000000000027E-2</v>
      </c>
      <c r="BU457" s="451">
        <v>3.0000000000000027E-2</v>
      </c>
      <c r="BV457" s="451">
        <v>3.0000000000000027E-2</v>
      </c>
      <c r="BW457" s="176"/>
    </row>
    <row r="458" spans="1:75" s="198" customFormat="1" ht="14.45" hidden="1" customHeight="1" outlineLevel="1" x14ac:dyDescent="0.45">
      <c r="A458" s="206"/>
      <c r="B458" s="295"/>
      <c r="C458" s="293"/>
      <c r="D458" s="293"/>
      <c r="E458" s="293"/>
      <c r="F458" s="293"/>
      <c r="G458" s="294"/>
      <c r="H458" s="294"/>
      <c r="I458" s="294"/>
      <c r="J458" s="294"/>
      <c r="K458" s="293"/>
      <c r="L458" s="294"/>
      <c r="M458" s="294"/>
      <c r="N458" s="294"/>
      <c r="O458" s="294"/>
      <c r="P458" s="293"/>
      <c r="Q458" s="294"/>
      <c r="R458" s="294"/>
      <c r="S458" s="294"/>
      <c r="T458" s="294"/>
      <c r="U458" s="293"/>
      <c r="V458" s="294"/>
      <c r="W458" s="294"/>
      <c r="X458" s="294"/>
      <c r="Y458" s="294"/>
      <c r="Z458" s="293"/>
      <c r="AA458" s="294"/>
      <c r="AB458" s="294"/>
      <c r="AC458" s="294"/>
      <c r="AD458" s="294"/>
      <c r="AE458" s="293"/>
      <c r="AF458" s="294"/>
      <c r="AG458" s="294"/>
      <c r="AH458" s="294"/>
      <c r="AI458" s="294"/>
      <c r="AJ458" s="293"/>
      <c r="AK458" s="294"/>
      <c r="AL458" s="294"/>
      <c r="AM458" s="294"/>
      <c r="AN458" s="294"/>
      <c r="AO458" s="293"/>
      <c r="AP458" s="294"/>
      <c r="AQ458" s="294"/>
      <c r="AR458" s="294"/>
      <c r="AS458" s="294"/>
      <c r="AT458" s="293"/>
      <c r="AU458" s="294"/>
      <c r="AV458" s="294"/>
      <c r="AW458" s="294"/>
      <c r="AX458" s="294"/>
      <c r="AY458" s="293"/>
      <c r="AZ458" s="294"/>
      <c r="BA458" s="294"/>
      <c r="BB458" s="294"/>
      <c r="BC458" s="294"/>
      <c r="BD458" s="293"/>
      <c r="BE458" s="294"/>
      <c r="BF458" s="294"/>
      <c r="BG458" s="294"/>
      <c r="BH458" s="294"/>
      <c r="BI458" s="297"/>
      <c r="BJ458" s="294"/>
      <c r="BK458" s="294"/>
      <c r="BL458" s="294"/>
      <c r="BM458" s="294"/>
      <c r="BN458" s="293"/>
      <c r="BO458" s="294"/>
      <c r="BP458" s="294"/>
      <c r="BQ458" s="294"/>
      <c r="BR458" s="294"/>
      <c r="BS458" s="293"/>
      <c r="BT458" s="293"/>
      <c r="BU458" s="293"/>
      <c r="BV458" s="293"/>
      <c r="BW458" s="197"/>
    </row>
    <row r="459" spans="1:75" s="198" customFormat="1" ht="14.25" hidden="1" outlineLevel="2" x14ac:dyDescent="0.45">
      <c r="A459" s="396" t="s">
        <v>596</v>
      </c>
      <c r="B459" s="243"/>
      <c r="C459" s="293"/>
      <c r="D459" s="293"/>
      <c r="E459" s="293"/>
      <c r="F459" s="293"/>
      <c r="G459" s="294"/>
      <c r="H459" s="294"/>
      <c r="I459" s="294"/>
      <c r="J459" s="294"/>
      <c r="K459" s="293"/>
      <c r="L459" s="294"/>
      <c r="M459" s="294"/>
      <c r="N459" s="294"/>
      <c r="O459" s="294"/>
      <c r="P459" s="293"/>
      <c r="Q459" s="294"/>
      <c r="R459" s="294"/>
      <c r="S459" s="294"/>
      <c r="T459" s="294"/>
      <c r="U459" s="293"/>
      <c r="V459" s="294"/>
      <c r="W459" s="294">
        <v>6.0359999999999996</v>
      </c>
      <c r="X459" s="294">
        <v>9.6950000000000003</v>
      </c>
      <c r="Y459" s="295">
        <v>7.8650000000000002</v>
      </c>
      <c r="Z459" s="397">
        <v>23.596</v>
      </c>
      <c r="AA459" s="295">
        <v>10.629</v>
      </c>
      <c r="AB459" s="295">
        <v>12.817</v>
      </c>
      <c r="AC459" s="294">
        <v>11.103999999999999</v>
      </c>
      <c r="AD459" s="295">
        <v>12.518000000000001</v>
      </c>
      <c r="AE459" s="397">
        <v>47.067999999999998</v>
      </c>
      <c r="AF459" s="197">
        <v>13.627000000000001</v>
      </c>
      <c r="AG459" s="295">
        <v>12.839</v>
      </c>
      <c r="AH459" s="398">
        <v>13.589</v>
      </c>
      <c r="AI459" s="295">
        <v>11.716999999999999</v>
      </c>
      <c r="AJ459" s="397">
        <v>51.771999999999998</v>
      </c>
      <c r="AK459" s="197">
        <v>14.871</v>
      </c>
      <c r="AL459" s="295">
        <v>14.489000000000001</v>
      </c>
      <c r="AM459" s="398">
        <v>13.445</v>
      </c>
      <c r="AN459" s="295">
        <v>13.484000000000002</v>
      </c>
      <c r="AO459" s="397">
        <v>56.289000000000001</v>
      </c>
      <c r="AP459" s="197">
        <v>11.891999999999999</v>
      </c>
      <c r="AQ459" s="295">
        <v>11.938000000000001</v>
      </c>
      <c r="AR459" s="398">
        <v>13.641</v>
      </c>
      <c r="AS459" s="295">
        <v>13.912000000000006</v>
      </c>
      <c r="AT459" s="397">
        <v>51.383000000000003</v>
      </c>
      <c r="AU459" s="197">
        <v>20.423999999999999</v>
      </c>
      <c r="AV459" s="295">
        <v>20.609000000000002</v>
      </c>
      <c r="AW459" s="398">
        <v>20.890999999999998</v>
      </c>
      <c r="AX459" s="295">
        <v>20.818999999999996</v>
      </c>
      <c r="AY459" s="397">
        <v>82.742999999999995</v>
      </c>
      <c r="AZ459" s="197">
        <v>25.760999999999999</v>
      </c>
      <c r="BA459" s="295">
        <v>28.143999999999998</v>
      </c>
      <c r="BB459" s="398">
        <v>25.831</v>
      </c>
      <c r="BC459" s="295">
        <v>23.804999999999993</v>
      </c>
      <c r="BD459" s="397">
        <v>103.541</v>
      </c>
      <c r="BE459" s="197">
        <v>25.960999999999999</v>
      </c>
      <c r="BF459" s="295">
        <v>25.648</v>
      </c>
      <c r="BG459" s="398">
        <v>24.47</v>
      </c>
      <c r="BH459" s="295">
        <v>26.833000000000013</v>
      </c>
      <c r="BI459" s="399">
        <v>102.91200000000001</v>
      </c>
      <c r="BJ459" s="295">
        <v>25.558711163414632</v>
      </c>
      <c r="BK459" s="295">
        <v>26.409373367317073</v>
      </c>
      <c r="BL459" s="295">
        <v>26.898296351219514</v>
      </c>
      <c r="BM459" s="295">
        <v>26.699137064285733</v>
      </c>
      <c r="BN459" s="397">
        <v>105.56551794623695</v>
      </c>
      <c r="BO459" s="295">
        <v>26.569827881999998</v>
      </c>
      <c r="BP459" s="295">
        <v>27.251335439112193</v>
      </c>
      <c r="BQ459" s="295">
        <v>29.270112459512198</v>
      </c>
      <c r="BR459" s="295">
        <v>28.08807708500002</v>
      </c>
      <c r="BS459" s="397">
        <v>111.17935286562441</v>
      </c>
      <c r="BT459" s="397">
        <v>114.7247300365284</v>
      </c>
      <c r="BU459" s="397">
        <v>118.38276842010757</v>
      </c>
      <c r="BV459" s="397">
        <v>122.15703684966859</v>
      </c>
      <c r="BW459" s="400"/>
    </row>
    <row r="460" spans="1:75" s="123" customFormat="1" hidden="1" outlineLevel="2" x14ac:dyDescent="0.5">
      <c r="A460" s="354" t="s">
        <v>597</v>
      </c>
      <c r="B460" s="251"/>
      <c r="C460" s="299"/>
      <c r="D460" s="299"/>
      <c r="E460" s="299"/>
      <c r="F460" s="299"/>
      <c r="G460" s="300"/>
      <c r="H460" s="300"/>
      <c r="I460" s="300"/>
      <c r="J460" s="300"/>
      <c r="K460" s="299"/>
      <c r="L460" s="300"/>
      <c r="M460" s="300"/>
      <c r="N460" s="300"/>
      <c r="O460" s="300"/>
      <c r="P460" s="299"/>
      <c r="Q460" s="300"/>
      <c r="R460" s="300"/>
      <c r="S460" s="300"/>
      <c r="T460" s="300"/>
      <c r="U460" s="299"/>
      <c r="V460" s="300"/>
      <c r="W460" s="300"/>
      <c r="X460" s="300"/>
      <c r="Y460" s="119">
        <v>0</v>
      </c>
      <c r="Z460" s="401"/>
      <c r="AA460" s="119"/>
      <c r="AB460" s="119"/>
      <c r="AC460" s="300"/>
      <c r="AD460" s="119">
        <v>0</v>
      </c>
      <c r="AE460" s="401"/>
      <c r="AF460" s="119"/>
      <c r="AG460" s="119"/>
      <c r="AH460" s="300"/>
      <c r="AI460" s="119">
        <v>0</v>
      </c>
      <c r="AJ460" s="401"/>
      <c r="AK460" s="119"/>
      <c r="AL460" s="119"/>
      <c r="AM460" s="300"/>
      <c r="AN460" s="119">
        <v>0</v>
      </c>
      <c r="AO460" s="401"/>
      <c r="AP460" s="119"/>
      <c r="AQ460" s="119"/>
      <c r="AR460" s="300"/>
      <c r="AS460" s="119">
        <v>0</v>
      </c>
      <c r="AT460" s="401"/>
      <c r="AU460" s="119"/>
      <c r="AV460" s="119"/>
      <c r="AW460" s="300"/>
      <c r="AX460" s="119">
        <v>0</v>
      </c>
      <c r="AY460" s="401"/>
      <c r="AZ460" s="119"/>
      <c r="BA460" s="119"/>
      <c r="BB460" s="300"/>
      <c r="BC460" s="119">
        <v>0</v>
      </c>
      <c r="BD460" s="401"/>
      <c r="BE460" s="119"/>
      <c r="BF460" s="119"/>
      <c r="BG460" s="456"/>
      <c r="BH460" s="119"/>
      <c r="BI460" s="402"/>
      <c r="BJ460" s="302">
        <v>0</v>
      </c>
      <c r="BK460" s="302">
        <v>0</v>
      </c>
      <c r="BL460" s="302">
        <v>0</v>
      </c>
      <c r="BM460" s="302">
        <v>0</v>
      </c>
      <c r="BN460" s="401">
        <v>0</v>
      </c>
      <c r="BO460" s="302">
        <v>0</v>
      </c>
      <c r="BP460" s="302">
        <v>0</v>
      </c>
      <c r="BQ460" s="302">
        <v>0</v>
      </c>
      <c r="BR460" s="302">
        <v>0</v>
      </c>
      <c r="BS460" s="401">
        <v>0</v>
      </c>
      <c r="BT460" s="403">
        <v>0</v>
      </c>
      <c r="BU460" s="403">
        <v>0</v>
      </c>
      <c r="BV460" s="403">
        <v>0</v>
      </c>
      <c r="BW460" s="122"/>
    </row>
    <row r="461" spans="1:75" s="123" customFormat="1" hidden="1" outlineLevel="2" x14ac:dyDescent="0.5">
      <c r="A461" s="354" t="s">
        <v>598</v>
      </c>
      <c r="B461" s="251"/>
      <c r="C461" s="299"/>
      <c r="D461" s="299"/>
      <c r="E461" s="299"/>
      <c r="F461" s="299"/>
      <c r="G461" s="300"/>
      <c r="H461" s="300"/>
      <c r="I461" s="300"/>
      <c r="J461" s="300"/>
      <c r="K461" s="299"/>
      <c r="L461" s="300"/>
      <c r="M461" s="300"/>
      <c r="N461" s="300"/>
      <c r="O461" s="300"/>
      <c r="P461" s="299"/>
      <c r="Q461" s="300"/>
      <c r="R461" s="300"/>
      <c r="S461" s="300"/>
      <c r="T461" s="300"/>
      <c r="U461" s="299"/>
      <c r="V461" s="300"/>
      <c r="W461" s="300"/>
      <c r="X461" s="300"/>
      <c r="Y461" s="119">
        <v>0</v>
      </c>
      <c r="Z461" s="401"/>
      <c r="AA461" s="119"/>
      <c r="AB461" s="119"/>
      <c r="AC461" s="300"/>
      <c r="AD461" s="119">
        <v>0</v>
      </c>
      <c r="AE461" s="401"/>
      <c r="AF461" s="119"/>
      <c r="AG461" s="119"/>
      <c r="AH461" s="300"/>
      <c r="AI461" s="119">
        <v>0</v>
      </c>
      <c r="AJ461" s="401"/>
      <c r="AK461" s="119"/>
      <c r="AL461" s="119"/>
      <c r="AM461" s="300"/>
      <c r="AN461" s="119">
        <v>0</v>
      </c>
      <c r="AO461" s="401"/>
      <c r="AP461" s="119"/>
      <c r="AQ461" s="119"/>
      <c r="AR461" s="300"/>
      <c r="AS461" s="119">
        <v>0</v>
      </c>
      <c r="AT461" s="401"/>
      <c r="AU461" s="119"/>
      <c r="AV461" s="119"/>
      <c r="AW461" s="300"/>
      <c r="AX461" s="119">
        <v>0</v>
      </c>
      <c r="AY461" s="401"/>
      <c r="AZ461" s="119"/>
      <c r="BA461" s="119"/>
      <c r="BB461" s="300"/>
      <c r="BC461" s="119">
        <v>0</v>
      </c>
      <c r="BD461" s="401"/>
      <c r="BE461" s="119"/>
      <c r="BF461" s="119"/>
      <c r="BG461" s="300"/>
      <c r="BH461" s="119"/>
      <c r="BI461" s="402"/>
      <c r="BJ461" s="302">
        <v>0</v>
      </c>
      <c r="BK461" s="302">
        <v>0</v>
      </c>
      <c r="BL461" s="302">
        <v>0</v>
      </c>
      <c r="BM461" s="302">
        <v>0</v>
      </c>
      <c r="BN461" s="401">
        <v>0</v>
      </c>
      <c r="BO461" s="302">
        <v>0</v>
      </c>
      <c r="BP461" s="302">
        <v>0</v>
      </c>
      <c r="BQ461" s="302">
        <v>0</v>
      </c>
      <c r="BR461" s="302">
        <v>0</v>
      </c>
      <c r="BS461" s="401">
        <v>0</v>
      </c>
      <c r="BT461" s="403">
        <v>0</v>
      </c>
      <c r="BU461" s="403">
        <v>0</v>
      </c>
      <c r="BV461" s="403">
        <v>0</v>
      </c>
      <c r="BW461" s="404"/>
    </row>
    <row r="462" spans="1:75" s="123" customFormat="1" hidden="1" outlineLevel="2" x14ac:dyDescent="0.5">
      <c r="A462" s="354" t="s">
        <v>599</v>
      </c>
      <c r="B462" s="251"/>
      <c r="C462" s="299"/>
      <c r="D462" s="299"/>
      <c r="E462" s="299"/>
      <c r="F462" s="299"/>
      <c r="G462" s="300"/>
      <c r="H462" s="300"/>
      <c r="I462" s="300"/>
      <c r="J462" s="300"/>
      <c r="K462" s="299"/>
      <c r="L462" s="300"/>
      <c r="M462" s="300"/>
      <c r="N462" s="300"/>
      <c r="O462" s="300"/>
      <c r="P462" s="299"/>
      <c r="Q462" s="300"/>
      <c r="R462" s="300"/>
      <c r="S462" s="300"/>
      <c r="T462" s="300"/>
      <c r="U462" s="299"/>
      <c r="V462" s="300"/>
      <c r="W462" s="300"/>
      <c r="X462" s="300"/>
      <c r="Y462" s="119">
        <v>0</v>
      </c>
      <c r="Z462" s="401"/>
      <c r="AA462" s="119"/>
      <c r="AB462" s="119"/>
      <c r="AC462" s="300"/>
      <c r="AD462" s="119">
        <v>0</v>
      </c>
      <c r="AE462" s="401"/>
      <c r="AF462" s="119"/>
      <c r="AG462" s="119"/>
      <c r="AH462" s="300"/>
      <c r="AI462" s="119">
        <v>0</v>
      </c>
      <c r="AJ462" s="401"/>
      <c r="AK462" s="119"/>
      <c r="AL462" s="119"/>
      <c r="AM462" s="300"/>
      <c r="AN462" s="119">
        <v>0</v>
      </c>
      <c r="AO462" s="401"/>
      <c r="AP462" s="119"/>
      <c r="AQ462" s="119"/>
      <c r="AR462" s="300"/>
      <c r="AS462" s="119">
        <v>0</v>
      </c>
      <c r="AT462" s="401"/>
      <c r="AU462" s="119"/>
      <c r="AV462" s="119"/>
      <c r="AW462" s="300"/>
      <c r="AX462" s="119">
        <v>0</v>
      </c>
      <c r="AY462" s="401"/>
      <c r="AZ462" s="119"/>
      <c r="BA462" s="119"/>
      <c r="BB462" s="300"/>
      <c r="BC462" s="119">
        <v>0</v>
      </c>
      <c r="BD462" s="401"/>
      <c r="BE462" s="119"/>
      <c r="BF462" s="119"/>
      <c r="BG462" s="300"/>
      <c r="BH462" s="119"/>
      <c r="BI462" s="402"/>
      <c r="BJ462" s="302">
        <v>0</v>
      </c>
      <c r="BK462" s="302">
        <v>0</v>
      </c>
      <c r="BL462" s="302">
        <v>0</v>
      </c>
      <c r="BM462" s="302">
        <v>0</v>
      </c>
      <c r="BN462" s="401">
        <v>0</v>
      </c>
      <c r="BO462" s="302">
        <v>0</v>
      </c>
      <c r="BP462" s="302">
        <v>0</v>
      </c>
      <c r="BQ462" s="302">
        <v>0</v>
      </c>
      <c r="BR462" s="302">
        <v>0</v>
      </c>
      <c r="BS462" s="401">
        <v>0</v>
      </c>
      <c r="BT462" s="403">
        <v>0</v>
      </c>
      <c r="BU462" s="403">
        <v>0</v>
      </c>
      <c r="BV462" s="403">
        <v>0</v>
      </c>
      <c r="BW462" s="404"/>
    </row>
    <row r="463" spans="1:75" s="123" customFormat="1" hidden="1" outlineLevel="2" x14ac:dyDescent="0.5">
      <c r="A463" s="354" t="s">
        <v>600</v>
      </c>
      <c r="B463" s="251"/>
      <c r="C463" s="299"/>
      <c r="D463" s="299"/>
      <c r="E463" s="299"/>
      <c r="F463" s="299"/>
      <c r="G463" s="300"/>
      <c r="H463" s="300"/>
      <c r="I463" s="300"/>
      <c r="J463" s="300"/>
      <c r="K463" s="299"/>
      <c r="L463" s="300"/>
      <c r="M463" s="300"/>
      <c r="N463" s="300"/>
      <c r="O463" s="300"/>
      <c r="P463" s="299"/>
      <c r="Q463" s="300"/>
      <c r="R463" s="300"/>
      <c r="S463" s="300"/>
      <c r="T463" s="300"/>
      <c r="U463" s="299"/>
      <c r="V463" s="300"/>
      <c r="W463" s="300"/>
      <c r="X463" s="300"/>
      <c r="Y463" s="119">
        <v>0</v>
      </c>
      <c r="Z463" s="401"/>
      <c r="AA463" s="119"/>
      <c r="AB463" s="119"/>
      <c r="AC463" s="300"/>
      <c r="AD463" s="119">
        <v>0</v>
      </c>
      <c r="AE463" s="401"/>
      <c r="AF463" s="119"/>
      <c r="AG463" s="119"/>
      <c r="AH463" s="300"/>
      <c r="AI463" s="119">
        <v>0</v>
      </c>
      <c r="AJ463" s="401"/>
      <c r="AK463" s="119"/>
      <c r="AL463" s="119"/>
      <c r="AM463" s="300"/>
      <c r="AN463" s="119">
        <v>0</v>
      </c>
      <c r="AO463" s="401"/>
      <c r="AP463" s="119"/>
      <c r="AQ463" s="119"/>
      <c r="AR463" s="300"/>
      <c r="AS463" s="119">
        <v>0</v>
      </c>
      <c r="AT463" s="401"/>
      <c r="AU463" s="119"/>
      <c r="AV463" s="119"/>
      <c r="AW463" s="300"/>
      <c r="AX463" s="119">
        <v>0</v>
      </c>
      <c r="AY463" s="401"/>
      <c r="AZ463" s="119"/>
      <c r="BA463" s="119"/>
      <c r="BB463" s="300"/>
      <c r="BC463" s="119">
        <v>0</v>
      </c>
      <c r="BD463" s="401"/>
      <c r="BE463" s="119"/>
      <c r="BF463" s="119"/>
      <c r="BG463" s="300"/>
      <c r="BH463" s="119"/>
      <c r="BI463" s="402"/>
      <c r="BJ463" s="119">
        <v>0</v>
      </c>
      <c r="BK463" s="119">
        <v>0</v>
      </c>
      <c r="BL463" s="119">
        <v>0</v>
      </c>
      <c r="BM463" s="119">
        <v>0</v>
      </c>
      <c r="BN463" s="401">
        <v>0</v>
      </c>
      <c r="BO463" s="119">
        <v>0</v>
      </c>
      <c r="BP463" s="119">
        <v>0</v>
      </c>
      <c r="BQ463" s="119">
        <v>0</v>
      </c>
      <c r="BR463" s="119">
        <v>0</v>
      </c>
      <c r="BS463" s="401">
        <v>0</v>
      </c>
      <c r="BT463" s="401">
        <v>0</v>
      </c>
      <c r="BU463" s="401">
        <v>0</v>
      </c>
      <c r="BV463" s="401">
        <v>0</v>
      </c>
      <c r="BW463" s="404"/>
    </row>
    <row r="464" spans="1:75" s="123" customFormat="1" hidden="1" outlineLevel="2" x14ac:dyDescent="0.5">
      <c r="A464" s="354" t="s">
        <v>601</v>
      </c>
      <c r="B464" s="251"/>
      <c r="C464" s="299"/>
      <c r="D464" s="299"/>
      <c r="E464" s="299"/>
      <c r="F464" s="299"/>
      <c r="G464" s="300"/>
      <c r="H464" s="300"/>
      <c r="I464" s="300"/>
      <c r="J464" s="300"/>
      <c r="K464" s="299"/>
      <c r="L464" s="300"/>
      <c r="M464" s="300"/>
      <c r="N464" s="300"/>
      <c r="O464" s="300"/>
      <c r="P464" s="299"/>
      <c r="Q464" s="300"/>
      <c r="R464" s="300"/>
      <c r="S464" s="300"/>
      <c r="T464" s="300"/>
      <c r="U464" s="299"/>
      <c r="V464" s="300"/>
      <c r="W464" s="300"/>
      <c r="X464" s="300"/>
      <c r="Y464" s="119">
        <v>0</v>
      </c>
      <c r="Z464" s="401"/>
      <c r="AA464" s="119"/>
      <c r="AB464" s="119"/>
      <c r="AC464" s="300"/>
      <c r="AD464" s="119">
        <v>0</v>
      </c>
      <c r="AE464" s="401"/>
      <c r="AF464" s="119"/>
      <c r="AG464" s="119"/>
      <c r="AH464" s="300"/>
      <c r="AI464" s="119">
        <v>0</v>
      </c>
      <c r="AJ464" s="401"/>
      <c r="AK464" s="119"/>
      <c r="AL464" s="119"/>
      <c r="AM464" s="300"/>
      <c r="AN464" s="119">
        <v>0</v>
      </c>
      <c r="AO464" s="401"/>
      <c r="AP464" s="119"/>
      <c r="AQ464" s="119"/>
      <c r="AR464" s="300"/>
      <c r="AS464" s="119">
        <v>0</v>
      </c>
      <c r="AT464" s="401"/>
      <c r="AU464" s="119"/>
      <c r="AV464" s="119"/>
      <c r="AW464" s="300"/>
      <c r="AX464" s="119">
        <v>0</v>
      </c>
      <c r="AY464" s="401"/>
      <c r="AZ464" s="119"/>
      <c r="BA464" s="119"/>
      <c r="BB464" s="300"/>
      <c r="BC464" s="119">
        <v>0</v>
      </c>
      <c r="BD464" s="401"/>
      <c r="BE464" s="119"/>
      <c r="BF464" s="119"/>
      <c r="BG464" s="300"/>
      <c r="BH464" s="119"/>
      <c r="BI464" s="402"/>
      <c r="BJ464" s="302">
        <v>0</v>
      </c>
      <c r="BK464" s="302">
        <v>0</v>
      </c>
      <c r="BL464" s="302">
        <v>0</v>
      </c>
      <c r="BM464" s="302">
        <v>0</v>
      </c>
      <c r="BN464" s="401">
        <v>0</v>
      </c>
      <c r="BO464" s="302">
        <v>0</v>
      </c>
      <c r="BP464" s="302">
        <v>0</v>
      </c>
      <c r="BQ464" s="302">
        <v>0</v>
      </c>
      <c r="BR464" s="302">
        <v>0</v>
      </c>
      <c r="BS464" s="401">
        <v>0</v>
      </c>
      <c r="BT464" s="403">
        <v>0</v>
      </c>
      <c r="BU464" s="403">
        <v>0</v>
      </c>
      <c r="BV464" s="403">
        <v>0</v>
      </c>
      <c r="BW464" s="404"/>
    </row>
    <row r="465" spans="1:75" s="123" customFormat="1" hidden="1" outlineLevel="2" x14ac:dyDescent="0.5">
      <c r="A465" s="354" t="s">
        <v>602</v>
      </c>
      <c r="B465" s="251"/>
      <c r="C465" s="299"/>
      <c r="D465" s="299"/>
      <c r="E465" s="299"/>
      <c r="F465" s="299"/>
      <c r="G465" s="300"/>
      <c r="H465" s="300"/>
      <c r="I465" s="300"/>
      <c r="J465" s="300"/>
      <c r="K465" s="299"/>
      <c r="L465" s="300"/>
      <c r="M465" s="300"/>
      <c r="N465" s="300"/>
      <c r="O465" s="300"/>
      <c r="P465" s="299"/>
      <c r="Q465" s="300"/>
      <c r="R465" s="300"/>
      <c r="S465" s="300"/>
      <c r="T465" s="300"/>
      <c r="U465" s="299"/>
      <c r="V465" s="300"/>
      <c r="W465" s="300"/>
      <c r="X465" s="300"/>
      <c r="Y465" s="119">
        <v>0</v>
      </c>
      <c r="Z465" s="401"/>
      <c r="AA465" s="119"/>
      <c r="AB465" s="119"/>
      <c r="AC465" s="300"/>
      <c r="AD465" s="119">
        <v>0</v>
      </c>
      <c r="AE465" s="401"/>
      <c r="AF465" s="119"/>
      <c r="AG465" s="119"/>
      <c r="AH465" s="300"/>
      <c r="AI465" s="119">
        <v>0</v>
      </c>
      <c r="AJ465" s="401"/>
      <c r="AK465" s="119"/>
      <c r="AL465" s="119"/>
      <c r="AM465" s="300"/>
      <c r="AN465" s="119">
        <v>0</v>
      </c>
      <c r="AO465" s="401"/>
      <c r="AP465" s="119"/>
      <c r="AQ465" s="119"/>
      <c r="AR465" s="300"/>
      <c r="AS465" s="119">
        <v>0</v>
      </c>
      <c r="AT465" s="401"/>
      <c r="AU465" s="119"/>
      <c r="AV465" s="119"/>
      <c r="AW465" s="300"/>
      <c r="AX465" s="119">
        <v>0</v>
      </c>
      <c r="AY465" s="401"/>
      <c r="AZ465" s="119"/>
      <c r="BA465" s="119"/>
      <c r="BB465" s="300"/>
      <c r="BC465" s="119">
        <v>0</v>
      </c>
      <c r="BD465" s="401"/>
      <c r="BE465" s="119"/>
      <c r="BF465" s="119"/>
      <c r="BG465" s="300"/>
      <c r="BH465" s="119"/>
      <c r="BI465" s="402"/>
      <c r="BJ465" s="302">
        <v>0</v>
      </c>
      <c r="BK465" s="302">
        <v>0</v>
      </c>
      <c r="BL465" s="302">
        <v>0</v>
      </c>
      <c r="BM465" s="302">
        <v>0</v>
      </c>
      <c r="BN465" s="401">
        <v>0</v>
      </c>
      <c r="BO465" s="302">
        <v>0</v>
      </c>
      <c r="BP465" s="302">
        <v>0</v>
      </c>
      <c r="BQ465" s="302">
        <v>0</v>
      </c>
      <c r="BR465" s="302">
        <v>0</v>
      </c>
      <c r="BS465" s="401">
        <v>0</v>
      </c>
      <c r="BT465" s="403">
        <v>0</v>
      </c>
      <c r="BU465" s="403">
        <v>0</v>
      </c>
      <c r="BV465" s="403">
        <v>0</v>
      </c>
      <c r="BW465" s="404"/>
    </row>
    <row r="466" spans="1:75" s="123" customFormat="1" hidden="1" outlineLevel="2" x14ac:dyDescent="0.5">
      <c r="A466" s="405" t="s">
        <v>603</v>
      </c>
      <c r="B466" s="274"/>
      <c r="C466" s="309"/>
      <c r="D466" s="309"/>
      <c r="E466" s="309"/>
      <c r="F466" s="309"/>
      <c r="G466" s="310"/>
      <c r="H466" s="310"/>
      <c r="I466" s="310"/>
      <c r="J466" s="310"/>
      <c r="K466" s="309"/>
      <c r="L466" s="310"/>
      <c r="M466" s="310"/>
      <c r="N466" s="310"/>
      <c r="O466" s="310"/>
      <c r="P466" s="309"/>
      <c r="Q466" s="310"/>
      <c r="R466" s="310"/>
      <c r="S466" s="310"/>
      <c r="T466" s="310"/>
      <c r="U466" s="309"/>
      <c r="V466" s="310"/>
      <c r="W466" s="316">
        <v>3.4</v>
      </c>
      <c r="X466" s="316">
        <v>1.8</v>
      </c>
      <c r="Y466" s="312">
        <v>1.5999999999999996</v>
      </c>
      <c r="Z466" s="408">
        <v>6.8</v>
      </c>
      <c r="AA466" s="357">
        <v>1.4</v>
      </c>
      <c r="AB466" s="357">
        <v>0.5</v>
      </c>
      <c r="AC466" s="316">
        <v>0.2</v>
      </c>
      <c r="AD466" s="312">
        <v>0.39999999999999991</v>
      </c>
      <c r="AE466" s="408">
        <v>2.5</v>
      </c>
      <c r="AF466" s="357">
        <v>0.2</v>
      </c>
      <c r="AG466" s="357">
        <v>0.2</v>
      </c>
      <c r="AH466" s="310"/>
      <c r="AI466" s="312">
        <v>0</v>
      </c>
      <c r="AJ466" s="408">
        <v>0.4</v>
      </c>
      <c r="AK466" s="312"/>
      <c r="AL466" s="312"/>
      <c r="AM466" s="310"/>
      <c r="AN466" s="312">
        <v>0</v>
      </c>
      <c r="AO466" s="406"/>
      <c r="AP466" s="312"/>
      <c r="AQ466" s="312"/>
      <c r="AR466" s="310"/>
      <c r="AS466" s="312">
        <v>0</v>
      </c>
      <c r="AT466" s="406"/>
      <c r="AU466" s="312"/>
      <c r="AV466" s="312"/>
      <c r="AW466" s="310"/>
      <c r="AX466" s="312">
        <v>0</v>
      </c>
      <c r="AY466" s="406"/>
      <c r="AZ466" s="312"/>
      <c r="BA466" s="312"/>
      <c r="BB466" s="310"/>
      <c r="BC466" s="312">
        <v>0</v>
      </c>
      <c r="BD466" s="406"/>
      <c r="BE466" s="312"/>
      <c r="BF466" s="312"/>
      <c r="BG466" s="310"/>
      <c r="BH466" s="312"/>
      <c r="BI466" s="407"/>
      <c r="BJ466" s="357">
        <v>0</v>
      </c>
      <c r="BK466" s="357">
        <v>0</v>
      </c>
      <c r="BL466" s="357">
        <v>0</v>
      </c>
      <c r="BM466" s="357">
        <v>0</v>
      </c>
      <c r="BN466" s="406">
        <v>0</v>
      </c>
      <c r="BO466" s="357">
        <v>0</v>
      </c>
      <c r="BP466" s="357">
        <v>0</v>
      </c>
      <c r="BQ466" s="357">
        <v>0</v>
      </c>
      <c r="BR466" s="357">
        <v>0</v>
      </c>
      <c r="BS466" s="406">
        <v>0</v>
      </c>
      <c r="BT466" s="408">
        <v>0</v>
      </c>
      <c r="BU466" s="408">
        <v>0</v>
      </c>
      <c r="BV466" s="408">
        <v>0</v>
      </c>
      <c r="BW466" s="404"/>
    </row>
    <row r="467" spans="1:75" s="198" customFormat="1" ht="14.25" hidden="1" outlineLevel="1" collapsed="1" x14ac:dyDescent="0.45">
      <c r="A467" s="292" t="s">
        <v>604</v>
      </c>
      <c r="B467" s="243"/>
      <c r="C467" s="293"/>
      <c r="D467" s="293"/>
      <c r="E467" s="293"/>
      <c r="F467" s="293"/>
      <c r="G467" s="294"/>
      <c r="H467" s="294"/>
      <c r="I467" s="294"/>
      <c r="J467" s="294"/>
      <c r="K467" s="293"/>
      <c r="L467" s="294"/>
      <c r="M467" s="294"/>
      <c r="N467" s="294"/>
      <c r="O467" s="294"/>
      <c r="P467" s="293"/>
      <c r="Q467" s="294"/>
      <c r="R467" s="294"/>
      <c r="S467" s="294"/>
      <c r="T467" s="294"/>
      <c r="U467" s="293"/>
      <c r="V467" s="294"/>
      <c r="W467" s="294">
        <v>9.4359999999999999</v>
      </c>
      <c r="X467" s="294">
        <v>11.495000000000001</v>
      </c>
      <c r="Y467" s="295">
        <v>9.4649999999999999</v>
      </c>
      <c r="Z467" s="397">
        <v>30.396000000000001</v>
      </c>
      <c r="AA467" s="295">
        <v>12.029</v>
      </c>
      <c r="AB467" s="295">
        <v>13.317</v>
      </c>
      <c r="AC467" s="294">
        <v>11.303999999999998</v>
      </c>
      <c r="AD467" s="295">
        <v>12.918000000000001</v>
      </c>
      <c r="AE467" s="397">
        <v>49.567999999999998</v>
      </c>
      <c r="AF467" s="295">
        <v>13.827</v>
      </c>
      <c r="AG467" s="295">
        <v>13.039</v>
      </c>
      <c r="AH467" s="294">
        <v>13.589</v>
      </c>
      <c r="AI467" s="295">
        <v>11.716999999999999</v>
      </c>
      <c r="AJ467" s="397">
        <v>52.171999999999997</v>
      </c>
      <c r="AK467" s="295">
        <v>14.871</v>
      </c>
      <c r="AL467" s="295">
        <v>14.489000000000001</v>
      </c>
      <c r="AM467" s="294">
        <v>13.445</v>
      </c>
      <c r="AN467" s="295">
        <v>13.484000000000002</v>
      </c>
      <c r="AO467" s="397">
        <v>56.289000000000001</v>
      </c>
      <c r="AP467" s="295">
        <v>11.891999999999999</v>
      </c>
      <c r="AQ467" s="295">
        <v>11.938000000000001</v>
      </c>
      <c r="AR467" s="294">
        <v>13.641</v>
      </c>
      <c r="AS467" s="295">
        <v>13.912000000000006</v>
      </c>
      <c r="AT467" s="397">
        <v>51.383000000000003</v>
      </c>
      <c r="AU467" s="295">
        <v>20.423999999999999</v>
      </c>
      <c r="AV467" s="295">
        <v>20.609000000000002</v>
      </c>
      <c r="AW467" s="294">
        <v>20.890999999999998</v>
      </c>
      <c r="AX467" s="295">
        <v>20.818999999999996</v>
      </c>
      <c r="AY467" s="397">
        <v>82.742999999999995</v>
      </c>
      <c r="AZ467" s="295">
        <v>25.760999999999999</v>
      </c>
      <c r="BA467" s="295">
        <v>28.143999999999998</v>
      </c>
      <c r="BB467" s="294">
        <v>25.831</v>
      </c>
      <c r="BC467" s="295">
        <v>23.804999999999993</v>
      </c>
      <c r="BD467" s="397">
        <v>103.541</v>
      </c>
      <c r="BE467" s="295">
        <v>25.960999999999999</v>
      </c>
      <c r="BF467" s="295">
        <v>25.648</v>
      </c>
      <c r="BG467" s="294">
        <v>24.47</v>
      </c>
      <c r="BH467" s="295">
        <v>26.833000000000013</v>
      </c>
      <c r="BI467" s="399">
        <v>102.91200000000001</v>
      </c>
      <c r="BJ467" s="295">
        <v>25.558711163414632</v>
      </c>
      <c r="BK467" s="295">
        <v>26.409373367317073</v>
      </c>
      <c r="BL467" s="295">
        <v>26.898296351219514</v>
      </c>
      <c r="BM467" s="295">
        <v>26.699137064285733</v>
      </c>
      <c r="BN467" s="397">
        <v>105.56551794623695</v>
      </c>
      <c r="BO467" s="295">
        <v>26.569827881999998</v>
      </c>
      <c r="BP467" s="295">
        <v>27.251335439112193</v>
      </c>
      <c r="BQ467" s="295">
        <v>29.270112459512198</v>
      </c>
      <c r="BR467" s="295">
        <v>28.08807708500002</v>
      </c>
      <c r="BS467" s="397">
        <v>111.17935286562441</v>
      </c>
      <c r="BT467" s="397">
        <v>114.7247300365284</v>
      </c>
      <c r="BU467" s="397">
        <v>118.38276842010757</v>
      </c>
      <c r="BV467" s="397">
        <v>122.15703684966859</v>
      </c>
      <c r="BW467" s="400"/>
    </row>
    <row r="468" spans="1:75" s="205" customFormat="1" ht="14.25" hidden="1" outlineLevel="1" x14ac:dyDescent="0.45">
      <c r="A468" s="409" t="s">
        <v>605</v>
      </c>
      <c r="B468" s="410"/>
      <c r="C468" s="446"/>
      <c r="D468" s="446"/>
      <c r="E468" s="446"/>
      <c r="F468" s="446"/>
      <c r="G468" s="447"/>
      <c r="H468" s="447"/>
      <c r="I468" s="447"/>
      <c r="J468" s="447"/>
      <c r="K468" s="446"/>
      <c r="L468" s="447"/>
      <c r="M468" s="447"/>
      <c r="N468" s="447"/>
      <c r="O468" s="447"/>
      <c r="P468" s="446"/>
      <c r="Q468" s="447"/>
      <c r="R468" s="447"/>
      <c r="S468" s="447"/>
      <c r="T468" s="447"/>
      <c r="U468" s="446"/>
      <c r="V468" s="447"/>
      <c r="W468" s="447"/>
      <c r="X468" s="447"/>
      <c r="Y468" s="202"/>
      <c r="Z468" s="201"/>
      <c r="AA468" s="202"/>
      <c r="AB468" s="457" t="s">
        <v>186</v>
      </c>
      <c r="AC468" s="447">
        <v>-0.1910000000000025</v>
      </c>
      <c r="AD468" s="202">
        <v>3.4530000000000012</v>
      </c>
      <c r="AE468" s="458" t="s">
        <v>186</v>
      </c>
      <c r="AF468" s="459">
        <v>1.798</v>
      </c>
      <c r="AG468" s="202">
        <v>-0.27800000000000047</v>
      </c>
      <c r="AH468" s="460">
        <v>2.2850000000000019</v>
      </c>
      <c r="AI468" s="202">
        <v>-1.2010000000000023</v>
      </c>
      <c r="AJ468" s="201">
        <v>2.6039999999999992</v>
      </c>
      <c r="AK468" s="459">
        <v>1.0440000000000005</v>
      </c>
      <c r="AL468" s="202">
        <v>1.4500000000000011</v>
      </c>
      <c r="AM468" s="460">
        <v>-0.14400000000000013</v>
      </c>
      <c r="AN468" s="202">
        <v>1.767000000000003</v>
      </c>
      <c r="AO468" s="201">
        <v>4.1170000000000044</v>
      </c>
      <c r="AP468" s="459">
        <v>-2.979000000000001</v>
      </c>
      <c r="AQ468" s="202">
        <v>-2.5510000000000002</v>
      </c>
      <c r="AR468" s="460">
        <v>0.19599999999999973</v>
      </c>
      <c r="AS468" s="202">
        <v>0.42800000000000438</v>
      </c>
      <c r="AT468" s="201">
        <v>-4.9059999999999988</v>
      </c>
      <c r="AU468" s="459">
        <v>8.532</v>
      </c>
      <c r="AV468" s="202">
        <v>8.6710000000000012</v>
      </c>
      <c r="AW468" s="460">
        <v>7.2499999999999982</v>
      </c>
      <c r="AX468" s="202">
        <v>6.9069999999999894</v>
      </c>
      <c r="AY468" s="201">
        <v>31.359999999999992</v>
      </c>
      <c r="AZ468" s="459">
        <v>5.3369999999999997</v>
      </c>
      <c r="BA468" s="202">
        <v>7.5349999999999966</v>
      </c>
      <c r="BB468" s="460">
        <v>4.9400000000000013</v>
      </c>
      <c r="BC468" s="202">
        <v>2.9859999999999971</v>
      </c>
      <c r="BD468" s="201">
        <v>20.798000000000002</v>
      </c>
      <c r="BE468" s="447">
        <v>0.19999999999999929</v>
      </c>
      <c r="BF468" s="202">
        <v>-2.4959999999999987</v>
      </c>
      <c r="BG468" s="460">
        <v>-1.3610000000000007</v>
      </c>
      <c r="BH468" s="202">
        <v>3.02800000000002</v>
      </c>
      <c r="BI468" s="203">
        <v>-0.62899999999999068</v>
      </c>
      <c r="BJ468" s="202">
        <v>-0.40228883658536674</v>
      </c>
      <c r="BK468" s="202">
        <v>0.7613733673170735</v>
      </c>
      <c r="BL468" s="202">
        <v>2.4282963512195153</v>
      </c>
      <c r="BM468" s="202">
        <v>-0.13386293571427998</v>
      </c>
      <c r="BN468" s="201">
        <v>2.6535179462369456</v>
      </c>
      <c r="BO468" s="202">
        <v>1.0111167185853667</v>
      </c>
      <c r="BP468" s="202">
        <v>0.84196207179511973</v>
      </c>
      <c r="BQ468" s="202">
        <v>2.3718161082926841</v>
      </c>
      <c r="BR468" s="202">
        <v>1.388940020714287</v>
      </c>
      <c r="BS468" s="201">
        <v>5.6138349193874575</v>
      </c>
      <c r="BT468" s="201">
        <v>3.5453771709039898</v>
      </c>
      <c r="BU468" s="201">
        <v>3.6580383835791679</v>
      </c>
      <c r="BV468" s="201">
        <v>3.7742684295610189</v>
      </c>
      <c r="BW468" s="204"/>
    </row>
    <row r="469" spans="1:75" s="177" customFormat="1" ht="14.25" hidden="1" outlineLevel="1" x14ac:dyDescent="0.45">
      <c r="A469" s="373" t="s">
        <v>606</v>
      </c>
      <c r="B469" s="374"/>
      <c r="C469" s="451"/>
      <c r="D469" s="451"/>
      <c r="E469" s="451"/>
      <c r="F469" s="451"/>
      <c r="G469" s="452"/>
      <c r="H469" s="452"/>
      <c r="I469" s="452"/>
      <c r="J469" s="452"/>
      <c r="K469" s="451"/>
      <c r="L469" s="452"/>
      <c r="M469" s="452"/>
      <c r="N469" s="452"/>
      <c r="O469" s="452"/>
      <c r="P469" s="451"/>
      <c r="Q469" s="452"/>
      <c r="R469" s="452"/>
      <c r="S469" s="452"/>
      <c r="T469" s="452"/>
      <c r="U469" s="451"/>
      <c r="V469" s="452"/>
      <c r="W469" s="452"/>
      <c r="X469" s="452"/>
      <c r="Y469" s="173"/>
      <c r="Z469" s="172"/>
      <c r="AA469" s="173"/>
      <c r="AB469" s="190" t="s">
        <v>186</v>
      </c>
      <c r="AC469" s="452">
        <v>-1.6615919965202508E-2</v>
      </c>
      <c r="AD469" s="173">
        <v>0.36481774960380364</v>
      </c>
      <c r="AE469" s="191" t="s">
        <v>186</v>
      </c>
      <c r="AF469" s="461">
        <v>0.14947210906974817</v>
      </c>
      <c r="AG469" s="173">
        <v>-2.0875572576406154E-2</v>
      </c>
      <c r="AH469" s="462">
        <v>0.20214083510261882</v>
      </c>
      <c r="AI469" s="173">
        <v>-9.2971048149868563E-2</v>
      </c>
      <c r="AJ469" s="172">
        <v>5.2533892834086604E-2</v>
      </c>
      <c r="AK469" s="461">
        <v>7.5504447819483733E-2</v>
      </c>
      <c r="AL469" s="173">
        <v>0.11120484699746913</v>
      </c>
      <c r="AM469" s="462">
        <v>-1.0596806240341428E-2</v>
      </c>
      <c r="AN469" s="173">
        <v>0.15080652044038612</v>
      </c>
      <c r="AO469" s="172">
        <v>7.8912060108870641E-2</v>
      </c>
      <c r="AP469" s="461">
        <v>-0.20032277587250358</v>
      </c>
      <c r="AQ469" s="173">
        <v>-0.17606460073158947</v>
      </c>
      <c r="AR469" s="462">
        <v>1.4577910003718886E-2</v>
      </c>
      <c r="AS469" s="173">
        <v>3.1741323049540471E-2</v>
      </c>
      <c r="AT469" s="172">
        <v>-8.7157348682691094E-2</v>
      </c>
      <c r="AU469" s="461">
        <v>0.71745711402623624</v>
      </c>
      <c r="AV469" s="173">
        <v>0.72633606969341602</v>
      </c>
      <c r="AW469" s="462">
        <v>0.53148596143977711</v>
      </c>
      <c r="AX469" s="173">
        <v>0.49647786083956191</v>
      </c>
      <c r="AY469" s="172">
        <v>0.61031858785979787</v>
      </c>
      <c r="AZ469" s="461">
        <v>0.26131022326674502</v>
      </c>
      <c r="BA469" s="173">
        <v>0.36561696346256478</v>
      </c>
      <c r="BB469" s="462">
        <v>0.23646546359676424</v>
      </c>
      <c r="BC469" s="173">
        <v>0.14342667755415706</v>
      </c>
      <c r="BD469" s="172">
        <v>0.25135661022684697</v>
      </c>
      <c r="BE469" s="452">
        <v>7.7636737704280812E-3</v>
      </c>
      <c r="BF469" s="173">
        <v>-8.8686753837407539E-2</v>
      </c>
      <c r="BG469" s="462">
        <v>-5.2688629940768839E-2</v>
      </c>
      <c r="BH469" s="173">
        <v>0.12720016803192702</v>
      </c>
      <c r="BI469" s="174">
        <v>-6.0748882085356337E-3</v>
      </c>
      <c r="BJ469" s="173">
        <v>-1.5495891398072725E-2</v>
      </c>
      <c r="BK469" s="173">
        <v>2.9685486872936373E-2</v>
      </c>
      <c r="BL469" s="173">
        <v>9.9235649825072159E-2</v>
      </c>
      <c r="BM469" s="173">
        <v>-4.9887428060328975E-3</v>
      </c>
      <c r="BN469" s="172">
        <v>2.5784339496238928E-2</v>
      </c>
      <c r="BO469" s="173">
        <v>3.9560551865099658E-2</v>
      </c>
      <c r="BP469" s="173">
        <v>3.1881183248258838E-2</v>
      </c>
      <c r="BQ469" s="173">
        <v>8.8177187035310078E-2</v>
      </c>
      <c r="BR469" s="173">
        <v>5.2021906826801967E-2</v>
      </c>
      <c r="BS469" s="172">
        <v>5.3178680203572748E-2</v>
      </c>
      <c r="BT469" s="172">
        <v>3.1888809203531432E-2</v>
      </c>
      <c r="BU469" s="172">
        <v>3.1885351854081145E-2</v>
      </c>
      <c r="BV469" s="172">
        <v>3.1881907138437526E-2</v>
      </c>
      <c r="BW469" s="176"/>
    </row>
    <row r="470" spans="1:75" s="217" customFormat="1" hidden="1" outlineLevel="1" x14ac:dyDescent="0.5">
      <c r="A470" s="433" t="s">
        <v>607</v>
      </c>
      <c r="B470" s="336"/>
      <c r="C470" s="420"/>
      <c r="D470" s="420"/>
      <c r="E470" s="420"/>
      <c r="F470" s="420"/>
      <c r="G470" s="421"/>
      <c r="H470" s="421"/>
      <c r="I470" s="421"/>
      <c r="J470" s="421"/>
      <c r="K470" s="420"/>
      <c r="L470" s="421"/>
      <c r="M470" s="421"/>
      <c r="N470" s="421"/>
      <c r="O470" s="421"/>
      <c r="P470" s="420"/>
      <c r="Q470" s="421"/>
      <c r="R470" s="421"/>
      <c r="S470" s="421"/>
      <c r="T470" s="421"/>
      <c r="U470" s="420"/>
      <c r="V470" s="421"/>
      <c r="W470" s="421">
        <v>0.45446226460530748</v>
      </c>
      <c r="X470" s="421">
        <v>0.40616939330765706</v>
      </c>
      <c r="Y470" s="422">
        <v>0.36738733843108334</v>
      </c>
      <c r="Z470" s="423">
        <v>0.40621700723001058</v>
      </c>
      <c r="AA470" s="422">
        <v>0.42130148500980669</v>
      </c>
      <c r="AB470" s="422">
        <v>0.42231947483588622</v>
      </c>
      <c r="AC470" s="421">
        <v>0.38581521553636638</v>
      </c>
      <c r="AD470" s="422">
        <v>0.41064276177760828</v>
      </c>
      <c r="AE470" s="423">
        <v>0.41018851061716949</v>
      </c>
      <c r="AF470" s="216">
        <v>0.44036434281346537</v>
      </c>
      <c r="AG470" s="422">
        <v>0.39281195396758445</v>
      </c>
      <c r="AH470" s="434">
        <v>0.42154733837945157</v>
      </c>
      <c r="AI470" s="422">
        <v>0.3513132645718397</v>
      </c>
      <c r="AJ470" s="423">
        <v>0.4007650886074004</v>
      </c>
      <c r="AK470" s="216">
        <v>0.42837390177156848</v>
      </c>
      <c r="AL470" s="422">
        <v>0.42382846779383376</v>
      </c>
      <c r="AM470" s="434">
        <v>0.41822197337314915</v>
      </c>
      <c r="AN470" s="422">
        <v>0.42016701981802346</v>
      </c>
      <c r="AO470" s="423">
        <v>0.42277735633651548</v>
      </c>
      <c r="AP470" s="216">
        <v>0.42565681151120338</v>
      </c>
      <c r="AQ470" s="422">
        <v>0.42796200035848719</v>
      </c>
      <c r="AR470" s="434">
        <v>0.43677756075694019</v>
      </c>
      <c r="AS470" s="422">
        <v>0.43285625388923477</v>
      </c>
      <c r="AT470" s="423">
        <v>0.4310509714439113</v>
      </c>
      <c r="AU470" s="216">
        <v>0.49852327369474481</v>
      </c>
      <c r="AV470" s="422">
        <v>0.49972115128149175</v>
      </c>
      <c r="AW470" s="434">
        <v>0.50256200534051809</v>
      </c>
      <c r="AX470" s="422">
        <v>0.50532779921842752</v>
      </c>
      <c r="AY470" s="423">
        <v>0.50153959921928981</v>
      </c>
      <c r="AZ470" s="216">
        <v>0.53286860830713223</v>
      </c>
      <c r="BA470" s="422">
        <v>0.54714413468641854</v>
      </c>
      <c r="BB470" s="434">
        <v>0.54032966573233487</v>
      </c>
      <c r="BC470" s="422">
        <v>0.53795394454362622</v>
      </c>
      <c r="BD470" s="423">
        <v>0.53972862660877086</v>
      </c>
      <c r="BE470" s="421">
        <v>0.53367183324425438</v>
      </c>
      <c r="BF470" s="422">
        <v>0.54652773338447436</v>
      </c>
      <c r="BG470" s="434">
        <v>0.53006671865522914</v>
      </c>
      <c r="BH470" s="422">
        <v>0.51831176356963538</v>
      </c>
      <c r="BI470" s="424">
        <v>0.53182022541587215</v>
      </c>
      <c r="BJ470" s="422">
        <v>0.53867183324425438</v>
      </c>
      <c r="BK470" s="422">
        <v>0.54752773338447436</v>
      </c>
      <c r="BL470" s="422">
        <v>0.55006671865522916</v>
      </c>
      <c r="BM470" s="422">
        <v>0.51931176356963538</v>
      </c>
      <c r="BN470" s="423">
        <v>0.53861578275998101</v>
      </c>
      <c r="BO470" s="422">
        <v>0.54367183324425439</v>
      </c>
      <c r="BP470" s="422">
        <v>0.54852773338447436</v>
      </c>
      <c r="BQ470" s="422">
        <v>0.57006671865522918</v>
      </c>
      <c r="BR470" s="422">
        <v>0.52031176356963538</v>
      </c>
      <c r="BS470" s="423">
        <v>0.54531712259466392</v>
      </c>
      <c r="BT470" s="423">
        <v>0.54631712259466392</v>
      </c>
      <c r="BU470" s="423">
        <v>0.54731712259466392</v>
      </c>
      <c r="BV470" s="423">
        <v>0.54831712259466392</v>
      </c>
      <c r="BW470" s="216"/>
    </row>
    <row r="471" spans="1:75" s="224" customFormat="1" hidden="1" outlineLevel="1" x14ac:dyDescent="0.5">
      <c r="A471" s="330" t="s">
        <v>608</v>
      </c>
      <c r="B471" s="258"/>
      <c r="C471" s="252"/>
      <c r="D471" s="252"/>
      <c r="E471" s="252"/>
      <c r="F471" s="252"/>
      <c r="G471" s="253"/>
      <c r="H471" s="253"/>
      <c r="I471" s="253"/>
      <c r="J471" s="253"/>
      <c r="K471" s="252"/>
      <c r="L471" s="253"/>
      <c r="M471" s="253"/>
      <c r="N471" s="253"/>
      <c r="O471" s="253"/>
      <c r="P471" s="252"/>
      <c r="Q471" s="253"/>
      <c r="R471" s="253"/>
      <c r="S471" s="253"/>
      <c r="T471" s="253"/>
      <c r="U471" s="252"/>
      <c r="V471" s="253"/>
      <c r="W471" s="253">
        <v>4544.6226460530752</v>
      </c>
      <c r="X471" s="253">
        <v>4061.6939330765704</v>
      </c>
      <c r="Y471" s="254">
        <v>3673.8733843108334</v>
      </c>
      <c r="Z471" s="425">
        <v>4062.1700723001059</v>
      </c>
      <c r="AA471" s="254">
        <v>4213.0148500980667</v>
      </c>
      <c r="AB471" s="254">
        <v>-321.42789769421256</v>
      </c>
      <c r="AC471" s="253">
        <v>-203.54177771290671</v>
      </c>
      <c r="AD471" s="254">
        <v>432.55423346524935</v>
      </c>
      <c r="AE471" s="425">
        <v>39.715033871589036</v>
      </c>
      <c r="AF471" s="254">
        <v>190.62857803658684</v>
      </c>
      <c r="AG471" s="254">
        <v>-295.07520868301771</v>
      </c>
      <c r="AH471" s="253">
        <v>357.32122843085187</v>
      </c>
      <c r="AI471" s="254">
        <v>-593.29497205768575</v>
      </c>
      <c r="AJ471" s="425">
        <v>-94.234220097690894</v>
      </c>
      <c r="AK471" s="254">
        <v>-119.90441041896894</v>
      </c>
      <c r="AL471" s="254">
        <v>310.16513826249314</v>
      </c>
      <c r="AM471" s="253">
        <v>-33.253650063024274</v>
      </c>
      <c r="AN471" s="254">
        <v>688.53755246183755</v>
      </c>
      <c r="AO471" s="425">
        <v>220.12267729115075</v>
      </c>
      <c r="AP471" s="254">
        <v>-27.170902603650958</v>
      </c>
      <c r="AQ471" s="254">
        <v>41.335325646534301</v>
      </c>
      <c r="AR471" s="253">
        <v>185.55587383791038</v>
      </c>
      <c r="AS471" s="254">
        <v>126.89234071211308</v>
      </c>
      <c r="AT471" s="425">
        <v>82.736151073958268</v>
      </c>
      <c r="AU471" s="254">
        <v>728.66462183541421</v>
      </c>
      <c r="AV471" s="254">
        <v>717.59150923004552</v>
      </c>
      <c r="AW471" s="253">
        <v>657.84444583577908</v>
      </c>
      <c r="AX471" s="254">
        <v>724.71545329192759</v>
      </c>
      <c r="AY471" s="425">
        <v>704.88627775378507</v>
      </c>
      <c r="AZ471" s="254">
        <v>343.45334612387421</v>
      </c>
      <c r="BA471" s="254">
        <v>474.22983404926788</v>
      </c>
      <c r="BB471" s="253">
        <v>377.67660391816781</v>
      </c>
      <c r="BC471" s="254">
        <v>326.26145325198695</v>
      </c>
      <c r="BD471" s="425">
        <v>381.89027389481043</v>
      </c>
      <c r="BE471" s="253">
        <v>8.0322493712214893</v>
      </c>
      <c r="BF471" s="254">
        <v>-6.1640130194418052</v>
      </c>
      <c r="BG471" s="253">
        <v>-102.62947077105733</v>
      </c>
      <c r="BH471" s="254">
        <v>-196.42180973990841</v>
      </c>
      <c r="BI471" s="426">
        <v>-79.084011928987067</v>
      </c>
      <c r="BJ471" s="256">
        <v>50</v>
      </c>
      <c r="BK471" s="256">
        <v>10</v>
      </c>
      <c r="BL471" s="256">
        <v>200</v>
      </c>
      <c r="BM471" s="256">
        <v>10</v>
      </c>
      <c r="BN471" s="425">
        <v>67.955573441088603</v>
      </c>
      <c r="BO471" s="256">
        <v>50</v>
      </c>
      <c r="BP471" s="256">
        <v>10</v>
      </c>
      <c r="BQ471" s="256">
        <v>200</v>
      </c>
      <c r="BR471" s="256">
        <v>10</v>
      </c>
      <c r="BS471" s="425">
        <v>67.013398346829064</v>
      </c>
      <c r="BT471" s="427">
        <v>10</v>
      </c>
      <c r="BU471" s="427">
        <v>10</v>
      </c>
      <c r="BV471" s="427">
        <v>10</v>
      </c>
      <c r="BW471" s="223"/>
    </row>
    <row r="472" spans="1:75" s="198" customFormat="1" ht="14.25" hidden="1" outlineLevel="1" x14ac:dyDescent="0.45">
      <c r="A472" s="292"/>
      <c r="B472" s="243"/>
      <c r="C472" s="293"/>
      <c r="D472" s="293"/>
      <c r="E472" s="293"/>
      <c r="F472" s="293"/>
      <c r="G472" s="294"/>
      <c r="H472" s="294"/>
      <c r="I472" s="294"/>
      <c r="J472" s="294"/>
      <c r="K472" s="293"/>
      <c r="L472" s="294"/>
      <c r="M472" s="294"/>
      <c r="N472" s="294"/>
      <c r="O472" s="294"/>
      <c r="P472" s="293"/>
      <c r="Q472" s="294"/>
      <c r="R472" s="294"/>
      <c r="S472" s="294"/>
      <c r="T472" s="294"/>
      <c r="U472" s="293"/>
      <c r="V472" s="294"/>
      <c r="W472" s="294"/>
      <c r="X472" s="294"/>
      <c r="Y472" s="295"/>
      <c r="Z472" s="397"/>
      <c r="AA472" s="295"/>
      <c r="AB472" s="295"/>
      <c r="AC472" s="294"/>
      <c r="AD472" s="295"/>
      <c r="AE472" s="397"/>
      <c r="AF472" s="295"/>
      <c r="AG472" s="295"/>
      <c r="AH472" s="294"/>
      <c r="AI472" s="295"/>
      <c r="AJ472" s="397"/>
      <c r="AK472" s="295"/>
      <c r="AL472" s="295"/>
      <c r="AM472" s="294"/>
      <c r="AN472" s="295"/>
      <c r="AO472" s="397"/>
      <c r="AP472" s="295"/>
      <c r="AQ472" s="295"/>
      <c r="AR472" s="294"/>
      <c r="AS472" s="295"/>
      <c r="AT472" s="397"/>
      <c r="AU472" s="295"/>
      <c r="AV472" s="295"/>
      <c r="AW472" s="294"/>
      <c r="AX472" s="295"/>
      <c r="AY472" s="397"/>
      <c r="AZ472" s="295"/>
      <c r="BA472" s="295"/>
      <c r="BB472" s="294"/>
      <c r="BC472" s="295"/>
      <c r="BD472" s="397"/>
      <c r="BE472" s="295"/>
      <c r="BF472" s="295"/>
      <c r="BG472" s="294"/>
      <c r="BH472" s="295"/>
      <c r="BI472" s="399"/>
      <c r="BJ472" s="295"/>
      <c r="BK472" s="295"/>
      <c r="BL472" s="295"/>
      <c r="BM472" s="295"/>
      <c r="BN472" s="397"/>
      <c r="BO472" s="295"/>
      <c r="BP472" s="295"/>
      <c r="BQ472" s="295"/>
      <c r="BR472" s="295"/>
      <c r="BS472" s="397"/>
      <c r="BT472" s="397"/>
      <c r="BU472" s="397"/>
      <c r="BV472" s="397"/>
      <c r="BW472" s="400"/>
    </row>
    <row r="473" spans="1:75" s="198" customFormat="1" ht="14.25" hidden="1" outlineLevel="2" x14ac:dyDescent="0.45">
      <c r="A473" s="463" t="s">
        <v>609</v>
      </c>
      <c r="B473" s="295"/>
      <c r="C473" s="293"/>
      <c r="D473" s="293"/>
      <c r="E473" s="293"/>
      <c r="F473" s="293"/>
      <c r="G473" s="294"/>
      <c r="H473" s="294"/>
      <c r="I473" s="294"/>
      <c r="J473" s="294"/>
      <c r="K473" s="293"/>
      <c r="L473" s="294"/>
      <c r="M473" s="294"/>
      <c r="N473" s="294"/>
      <c r="O473" s="294"/>
      <c r="P473" s="293"/>
      <c r="Q473" s="294"/>
      <c r="R473" s="294"/>
      <c r="S473" s="294"/>
      <c r="T473" s="294"/>
      <c r="U473" s="293"/>
      <c r="V473" s="294"/>
      <c r="W473" s="294">
        <v>12.250999999999999</v>
      </c>
      <c r="X473" s="294">
        <v>11.994999999999999</v>
      </c>
      <c r="Y473" s="294">
        <v>12.217000000000002</v>
      </c>
      <c r="Z473" s="293">
        <v>36.463000000000001</v>
      </c>
      <c r="AA473" s="294">
        <v>13.791</v>
      </c>
      <c r="AB473" s="294">
        <v>12.939</v>
      </c>
      <c r="AC473" s="294">
        <v>12.071</v>
      </c>
      <c r="AD473" s="294">
        <v>12.909999999999997</v>
      </c>
      <c r="AE473" s="293">
        <v>51.710999999999999</v>
      </c>
      <c r="AF473" s="197">
        <v>13.707000000000001</v>
      </c>
      <c r="AG473" s="294">
        <v>13.367000000000001</v>
      </c>
      <c r="AH473" s="398">
        <v>13.367000000000001</v>
      </c>
      <c r="AI473" s="294">
        <v>12.632999999999996</v>
      </c>
      <c r="AJ473" s="293">
        <v>53.073999999999998</v>
      </c>
      <c r="AK473" s="197">
        <v>13.776999999999999</v>
      </c>
      <c r="AL473" s="294">
        <v>13.569000000000001</v>
      </c>
      <c r="AM473" s="398">
        <v>12.62</v>
      </c>
      <c r="AN473" s="294">
        <v>12.542999999999999</v>
      </c>
      <c r="AO473" s="293">
        <v>52.509</v>
      </c>
      <c r="AP473" s="197">
        <v>14.925000000000001</v>
      </c>
      <c r="AQ473" s="294">
        <v>10.365</v>
      </c>
      <c r="AR473" s="398">
        <v>11.433</v>
      </c>
      <c r="AS473" s="294">
        <v>13.567</v>
      </c>
      <c r="AT473" s="293">
        <v>50.29</v>
      </c>
      <c r="AU473" s="197">
        <v>14.682</v>
      </c>
      <c r="AV473" s="294">
        <v>15.196</v>
      </c>
      <c r="AW473" s="398">
        <v>18.611999999999998</v>
      </c>
      <c r="AX473" s="294">
        <v>17.946000000000012</v>
      </c>
      <c r="AY473" s="293">
        <v>66.436000000000007</v>
      </c>
      <c r="AZ473" s="197">
        <v>17.776</v>
      </c>
      <c r="BA473" s="294">
        <v>24.597999999999999</v>
      </c>
      <c r="BB473" s="398">
        <v>18.643999999999998</v>
      </c>
      <c r="BC473" s="294">
        <v>17.917000000000009</v>
      </c>
      <c r="BD473" s="293">
        <v>78.935000000000002</v>
      </c>
      <c r="BE473" s="197">
        <v>19.29</v>
      </c>
      <c r="BF473" s="294">
        <v>17.652999999999999</v>
      </c>
      <c r="BG473" s="398">
        <v>19.507000000000001</v>
      </c>
      <c r="BH473" s="294">
        <v>22.132999999999996</v>
      </c>
      <c r="BI473" s="297">
        <v>78.582999999999998</v>
      </c>
      <c r="BJ473" s="294">
        <v>20.47547497317073</v>
      </c>
      <c r="BK473" s="294">
        <v>19.349685890243904</v>
      </c>
      <c r="BL473" s="294">
        <v>20.712046646829272</v>
      </c>
      <c r="BM473" s="294">
        <v>22.237239607142858</v>
      </c>
      <c r="BN473" s="397">
        <v>82.774447117386771</v>
      </c>
      <c r="BO473" s="294">
        <v>21.334094606048779</v>
      </c>
      <c r="BP473" s="294">
        <v>20.923793882463414</v>
      </c>
      <c r="BQ473" s="294">
        <v>21.798994043707321</v>
      </c>
      <c r="BR473" s="294">
        <v>23.619017425000003</v>
      </c>
      <c r="BS473" s="397">
        <v>87.675899957219514</v>
      </c>
      <c r="BT473" s="397">
        <v>90.936166710741844</v>
      </c>
      <c r="BU473" s="397">
        <v>94.313141159514018</v>
      </c>
      <c r="BV473" s="397">
        <v>97.810891525172835</v>
      </c>
      <c r="BW473" s="400"/>
    </row>
    <row r="474" spans="1:75" s="123" customFormat="1" hidden="1" outlineLevel="2" x14ac:dyDescent="0.5">
      <c r="A474" s="184" t="s">
        <v>610</v>
      </c>
      <c r="B474" s="119"/>
      <c r="C474" s="299"/>
      <c r="D474" s="299"/>
      <c r="E474" s="299"/>
      <c r="F474" s="299"/>
      <c r="G474" s="300"/>
      <c r="H474" s="300"/>
      <c r="I474" s="300"/>
      <c r="J474" s="300"/>
      <c r="K474" s="299"/>
      <c r="L474" s="300"/>
      <c r="M474" s="300"/>
      <c r="N474" s="300"/>
      <c r="O474" s="300"/>
      <c r="P474" s="299"/>
      <c r="Q474" s="300"/>
      <c r="R474" s="300"/>
      <c r="S474" s="300"/>
      <c r="T474" s="300"/>
      <c r="U474" s="299"/>
      <c r="V474" s="300"/>
      <c r="W474" s="300"/>
      <c r="X474" s="300"/>
      <c r="Y474" s="300">
        <v>0</v>
      </c>
      <c r="Z474" s="299"/>
      <c r="AA474" s="300"/>
      <c r="AB474" s="300"/>
      <c r="AC474" s="300"/>
      <c r="AD474" s="300">
        <v>0</v>
      </c>
      <c r="AE474" s="299"/>
      <c r="AF474" s="119"/>
      <c r="AG474" s="300"/>
      <c r="AH474" s="300"/>
      <c r="AI474" s="300">
        <v>0</v>
      </c>
      <c r="AJ474" s="299"/>
      <c r="AK474" s="119"/>
      <c r="AL474" s="300"/>
      <c r="AM474" s="300"/>
      <c r="AN474" s="300">
        <v>0</v>
      </c>
      <c r="AO474" s="299"/>
      <c r="AP474" s="119"/>
      <c r="AQ474" s="300"/>
      <c r="AR474" s="300"/>
      <c r="AS474" s="300">
        <v>0</v>
      </c>
      <c r="AT474" s="299"/>
      <c r="AU474" s="119"/>
      <c r="AV474" s="300"/>
      <c r="AW474" s="300"/>
      <c r="AX474" s="300">
        <v>0</v>
      </c>
      <c r="AY474" s="299"/>
      <c r="AZ474" s="119"/>
      <c r="BA474" s="300"/>
      <c r="BB474" s="300"/>
      <c r="BC474" s="300">
        <v>0</v>
      </c>
      <c r="BD474" s="299"/>
      <c r="BE474" s="119"/>
      <c r="BF474" s="300"/>
      <c r="BG474" s="300"/>
      <c r="BH474" s="300">
        <v>0</v>
      </c>
      <c r="BI474" s="304"/>
      <c r="BJ474" s="307">
        <v>0</v>
      </c>
      <c r="BK474" s="307">
        <v>0</v>
      </c>
      <c r="BL474" s="307">
        <v>0</v>
      </c>
      <c r="BM474" s="307">
        <v>0</v>
      </c>
      <c r="BN474" s="401">
        <v>0</v>
      </c>
      <c r="BO474" s="307">
        <v>0</v>
      </c>
      <c r="BP474" s="307">
        <v>0</v>
      </c>
      <c r="BQ474" s="307">
        <v>0</v>
      </c>
      <c r="BR474" s="307">
        <v>0</v>
      </c>
      <c r="BS474" s="401">
        <v>0</v>
      </c>
      <c r="BT474" s="403">
        <v>0</v>
      </c>
      <c r="BU474" s="403">
        <v>0</v>
      </c>
      <c r="BV474" s="403">
        <v>0</v>
      </c>
      <c r="BW474" s="122"/>
    </row>
    <row r="475" spans="1:75" s="123" customFormat="1" hidden="1" outlineLevel="2" x14ac:dyDescent="0.5">
      <c r="A475" s="184" t="s">
        <v>611</v>
      </c>
      <c r="B475" s="119"/>
      <c r="C475" s="299"/>
      <c r="D475" s="299"/>
      <c r="E475" s="299"/>
      <c r="F475" s="299"/>
      <c r="G475" s="300"/>
      <c r="H475" s="300"/>
      <c r="I475" s="300"/>
      <c r="J475" s="300"/>
      <c r="K475" s="299"/>
      <c r="L475" s="300"/>
      <c r="M475" s="300"/>
      <c r="N475" s="300"/>
      <c r="O475" s="300"/>
      <c r="P475" s="299"/>
      <c r="Q475" s="300"/>
      <c r="R475" s="300"/>
      <c r="S475" s="300"/>
      <c r="T475" s="300"/>
      <c r="U475" s="299"/>
      <c r="V475" s="300"/>
      <c r="W475" s="307">
        <v>3.7</v>
      </c>
      <c r="X475" s="300"/>
      <c r="Y475" s="300">
        <v>0</v>
      </c>
      <c r="Z475" s="305">
        <v>3.7</v>
      </c>
      <c r="AA475" s="300"/>
      <c r="AB475" s="300"/>
      <c r="AC475" s="300"/>
      <c r="AD475" s="300">
        <v>0</v>
      </c>
      <c r="AE475" s="299"/>
      <c r="AF475" s="119"/>
      <c r="AG475" s="300"/>
      <c r="AH475" s="300"/>
      <c r="AI475" s="300">
        <v>0</v>
      </c>
      <c r="AJ475" s="299"/>
      <c r="AK475" s="119"/>
      <c r="AL475" s="300"/>
      <c r="AM475" s="300"/>
      <c r="AN475" s="300">
        <v>0</v>
      </c>
      <c r="AO475" s="299"/>
      <c r="AP475" s="119"/>
      <c r="AQ475" s="300"/>
      <c r="AR475" s="300"/>
      <c r="AS475" s="300">
        <v>0</v>
      </c>
      <c r="AT475" s="299"/>
      <c r="AU475" s="119"/>
      <c r="AV475" s="300"/>
      <c r="AW475" s="300"/>
      <c r="AX475" s="300">
        <v>0</v>
      </c>
      <c r="AY475" s="299"/>
      <c r="AZ475" s="119"/>
      <c r="BA475" s="300"/>
      <c r="BB475" s="300"/>
      <c r="BC475" s="300">
        <v>0</v>
      </c>
      <c r="BD475" s="299"/>
      <c r="BE475" s="119"/>
      <c r="BF475" s="300"/>
      <c r="BG475" s="300"/>
      <c r="BH475" s="300">
        <v>0</v>
      </c>
      <c r="BI475" s="304"/>
      <c r="BJ475" s="307">
        <v>0</v>
      </c>
      <c r="BK475" s="307">
        <v>0</v>
      </c>
      <c r="BL475" s="307">
        <v>0</v>
      </c>
      <c r="BM475" s="307">
        <v>0</v>
      </c>
      <c r="BN475" s="401">
        <v>0</v>
      </c>
      <c r="BO475" s="307">
        <v>0</v>
      </c>
      <c r="BP475" s="307">
        <v>0</v>
      </c>
      <c r="BQ475" s="307">
        <v>0</v>
      </c>
      <c r="BR475" s="307">
        <v>0</v>
      </c>
      <c r="BS475" s="401">
        <v>0</v>
      </c>
      <c r="BT475" s="403">
        <v>0</v>
      </c>
      <c r="BU475" s="403">
        <v>0</v>
      </c>
      <c r="BV475" s="403">
        <v>0</v>
      </c>
      <c r="BW475" s="404"/>
    </row>
    <row r="476" spans="1:75" s="123" customFormat="1" hidden="1" outlineLevel="2" x14ac:dyDescent="0.5">
      <c r="A476" s="184" t="s">
        <v>612</v>
      </c>
      <c r="B476" s="119"/>
      <c r="C476" s="299"/>
      <c r="D476" s="299"/>
      <c r="E476" s="299"/>
      <c r="F476" s="299"/>
      <c r="G476" s="300"/>
      <c r="H476" s="300"/>
      <c r="I476" s="300"/>
      <c r="J476" s="300"/>
      <c r="K476" s="299"/>
      <c r="L476" s="300"/>
      <c r="M476" s="300"/>
      <c r="N476" s="300"/>
      <c r="O476" s="300"/>
      <c r="P476" s="299"/>
      <c r="Q476" s="300"/>
      <c r="R476" s="300"/>
      <c r="S476" s="300"/>
      <c r="T476" s="300"/>
      <c r="U476" s="299"/>
      <c r="V476" s="300"/>
      <c r="W476" s="300"/>
      <c r="X476" s="300"/>
      <c r="Y476" s="300">
        <v>0</v>
      </c>
      <c r="Z476" s="299"/>
      <c r="AA476" s="300"/>
      <c r="AB476" s="300"/>
      <c r="AC476" s="300"/>
      <c r="AD476" s="300">
        <v>0</v>
      </c>
      <c r="AE476" s="299"/>
      <c r="AF476" s="119"/>
      <c r="AG476" s="300"/>
      <c r="AH476" s="300"/>
      <c r="AI476" s="300">
        <v>0</v>
      </c>
      <c r="AJ476" s="299"/>
      <c r="AK476" s="119"/>
      <c r="AL476" s="300"/>
      <c r="AM476" s="300"/>
      <c r="AN476" s="300">
        <v>0</v>
      </c>
      <c r="AO476" s="299"/>
      <c r="AP476" s="119"/>
      <c r="AQ476" s="300"/>
      <c r="AR476" s="300"/>
      <c r="AS476" s="300">
        <v>0</v>
      </c>
      <c r="AT476" s="299"/>
      <c r="AU476" s="119"/>
      <c r="AV476" s="300"/>
      <c r="AW476" s="300"/>
      <c r="AX476" s="300">
        <v>0</v>
      </c>
      <c r="AY476" s="299"/>
      <c r="AZ476" s="119"/>
      <c r="BA476" s="300"/>
      <c r="BB476" s="300"/>
      <c r="BC476" s="300">
        <v>0</v>
      </c>
      <c r="BD476" s="299"/>
      <c r="BE476" s="119"/>
      <c r="BF476" s="300"/>
      <c r="BG476" s="300"/>
      <c r="BH476" s="300">
        <v>0</v>
      </c>
      <c r="BI476" s="304"/>
      <c r="BJ476" s="307">
        <v>0</v>
      </c>
      <c r="BK476" s="307">
        <v>0</v>
      </c>
      <c r="BL476" s="307">
        <v>0</v>
      </c>
      <c r="BM476" s="307">
        <v>0</v>
      </c>
      <c r="BN476" s="401">
        <v>0</v>
      </c>
      <c r="BO476" s="307">
        <v>0</v>
      </c>
      <c r="BP476" s="307">
        <v>0</v>
      </c>
      <c r="BQ476" s="307">
        <v>0</v>
      </c>
      <c r="BR476" s="307">
        <v>0</v>
      </c>
      <c r="BS476" s="401">
        <v>0</v>
      </c>
      <c r="BT476" s="403">
        <v>0</v>
      </c>
      <c r="BU476" s="403">
        <v>0</v>
      </c>
      <c r="BV476" s="403">
        <v>0</v>
      </c>
      <c r="BW476" s="404"/>
    </row>
    <row r="477" spans="1:75" s="123" customFormat="1" hidden="1" outlineLevel="2" x14ac:dyDescent="0.5">
      <c r="A477" s="184" t="s">
        <v>613</v>
      </c>
      <c r="B477" s="119"/>
      <c r="C477" s="299"/>
      <c r="D477" s="299"/>
      <c r="E477" s="299"/>
      <c r="F477" s="299"/>
      <c r="G477" s="300"/>
      <c r="H477" s="300"/>
      <c r="I477" s="300"/>
      <c r="J477" s="300"/>
      <c r="K477" s="299"/>
      <c r="L477" s="300"/>
      <c r="M477" s="300"/>
      <c r="N477" s="300"/>
      <c r="O477" s="300"/>
      <c r="P477" s="299"/>
      <c r="Q477" s="300"/>
      <c r="R477" s="300"/>
      <c r="S477" s="300"/>
      <c r="T477" s="300"/>
      <c r="U477" s="299"/>
      <c r="V477" s="300"/>
      <c r="W477" s="300"/>
      <c r="X477" s="300"/>
      <c r="Y477" s="300">
        <v>0</v>
      </c>
      <c r="Z477" s="299"/>
      <c r="AA477" s="300"/>
      <c r="AB477" s="300"/>
      <c r="AC477" s="300"/>
      <c r="AD477" s="300">
        <v>0</v>
      </c>
      <c r="AE477" s="299"/>
      <c r="AF477" s="119"/>
      <c r="AG477" s="300"/>
      <c r="AH477" s="300"/>
      <c r="AI477" s="300">
        <v>0</v>
      </c>
      <c r="AJ477" s="299"/>
      <c r="AK477" s="119"/>
      <c r="AL477" s="300"/>
      <c r="AM477" s="300"/>
      <c r="AN477" s="300">
        <v>0</v>
      </c>
      <c r="AO477" s="299"/>
      <c r="AP477" s="119"/>
      <c r="AQ477" s="300"/>
      <c r="AR477" s="300"/>
      <c r="AS477" s="300">
        <v>0</v>
      </c>
      <c r="AT477" s="299"/>
      <c r="AU477" s="119"/>
      <c r="AV477" s="300"/>
      <c r="AW477" s="300"/>
      <c r="AX477" s="300">
        <v>0</v>
      </c>
      <c r="AY477" s="299"/>
      <c r="AZ477" s="119"/>
      <c r="BA477" s="300"/>
      <c r="BB477" s="300"/>
      <c r="BC477" s="300">
        <v>0</v>
      </c>
      <c r="BD477" s="299"/>
      <c r="BE477" s="119"/>
      <c r="BF477" s="300"/>
      <c r="BG477" s="300"/>
      <c r="BH477" s="300">
        <v>0</v>
      </c>
      <c r="BI477" s="304"/>
      <c r="BJ477" s="307">
        <v>0</v>
      </c>
      <c r="BK477" s="307">
        <v>0</v>
      </c>
      <c r="BL477" s="307">
        <v>0</v>
      </c>
      <c r="BM477" s="307">
        <v>0</v>
      </c>
      <c r="BN477" s="401">
        <v>0</v>
      </c>
      <c r="BO477" s="307">
        <v>0</v>
      </c>
      <c r="BP477" s="307">
        <v>0</v>
      </c>
      <c r="BQ477" s="307">
        <v>0</v>
      </c>
      <c r="BR477" s="307">
        <v>0</v>
      </c>
      <c r="BS477" s="401">
        <v>0</v>
      </c>
      <c r="BT477" s="403">
        <v>0</v>
      </c>
      <c r="BU477" s="403">
        <v>0</v>
      </c>
      <c r="BV477" s="403">
        <v>0</v>
      </c>
      <c r="BW477" s="404"/>
    </row>
    <row r="478" spans="1:75" s="123" customFormat="1" hidden="1" outlineLevel="2" x14ac:dyDescent="0.5">
      <c r="A478" s="184" t="s">
        <v>614</v>
      </c>
      <c r="B478" s="119"/>
      <c r="C478" s="299"/>
      <c r="D478" s="299"/>
      <c r="E478" s="299"/>
      <c r="F478" s="299"/>
      <c r="G478" s="300"/>
      <c r="H478" s="300"/>
      <c r="I478" s="300"/>
      <c r="J478" s="300"/>
      <c r="K478" s="299"/>
      <c r="L478" s="300"/>
      <c r="M478" s="300"/>
      <c r="N478" s="300"/>
      <c r="O478" s="300"/>
      <c r="P478" s="299"/>
      <c r="Q478" s="300"/>
      <c r="R478" s="300"/>
      <c r="S478" s="300"/>
      <c r="T478" s="300"/>
      <c r="U478" s="299"/>
      <c r="V478" s="300"/>
      <c r="W478" s="300"/>
      <c r="X478" s="300"/>
      <c r="Y478" s="300">
        <v>0</v>
      </c>
      <c r="Z478" s="299"/>
      <c r="AA478" s="300"/>
      <c r="AB478" s="300"/>
      <c r="AC478" s="300"/>
      <c r="AD478" s="300">
        <v>0</v>
      </c>
      <c r="AE478" s="299"/>
      <c r="AF478" s="119"/>
      <c r="AG478" s="300"/>
      <c r="AH478" s="300"/>
      <c r="AI478" s="300">
        <v>0</v>
      </c>
      <c r="AJ478" s="299"/>
      <c r="AK478" s="119"/>
      <c r="AL478" s="300"/>
      <c r="AM478" s="300"/>
      <c r="AN478" s="300">
        <v>0</v>
      </c>
      <c r="AO478" s="299"/>
      <c r="AP478" s="119"/>
      <c r="AQ478" s="300"/>
      <c r="AR478" s="300"/>
      <c r="AS478" s="300">
        <v>0</v>
      </c>
      <c r="AT478" s="299"/>
      <c r="AU478" s="119"/>
      <c r="AV478" s="300"/>
      <c r="AW478" s="300"/>
      <c r="AX478" s="300">
        <v>0</v>
      </c>
      <c r="AY478" s="299"/>
      <c r="AZ478" s="119"/>
      <c r="BA478" s="300"/>
      <c r="BB478" s="300"/>
      <c r="BC478" s="300">
        <v>0</v>
      </c>
      <c r="BD478" s="299"/>
      <c r="BE478" s="119"/>
      <c r="BF478" s="300"/>
      <c r="BG478" s="300"/>
      <c r="BH478" s="300">
        <v>0</v>
      </c>
      <c r="BI478" s="304"/>
      <c r="BJ478" s="307">
        <v>0</v>
      </c>
      <c r="BK478" s="307">
        <v>0</v>
      </c>
      <c r="BL478" s="307">
        <v>0</v>
      </c>
      <c r="BM478" s="307">
        <v>0</v>
      </c>
      <c r="BN478" s="401">
        <v>0</v>
      </c>
      <c r="BO478" s="307">
        <v>0</v>
      </c>
      <c r="BP478" s="307">
        <v>0</v>
      </c>
      <c r="BQ478" s="307">
        <v>0</v>
      </c>
      <c r="BR478" s="307">
        <v>0</v>
      </c>
      <c r="BS478" s="401">
        <v>0</v>
      </c>
      <c r="BT478" s="403">
        <v>0</v>
      </c>
      <c r="BU478" s="403">
        <v>0</v>
      </c>
      <c r="BV478" s="403">
        <v>0</v>
      </c>
      <c r="BW478" s="404"/>
    </row>
    <row r="479" spans="1:75" s="123" customFormat="1" hidden="1" outlineLevel="2" x14ac:dyDescent="0.5">
      <c r="A479" s="184" t="s">
        <v>615</v>
      </c>
      <c r="B479" s="119"/>
      <c r="C479" s="299"/>
      <c r="D479" s="299"/>
      <c r="E479" s="299"/>
      <c r="F479" s="299"/>
      <c r="G479" s="300"/>
      <c r="H479" s="300"/>
      <c r="I479" s="300"/>
      <c r="J479" s="300"/>
      <c r="K479" s="299"/>
      <c r="L479" s="300"/>
      <c r="M479" s="300"/>
      <c r="N479" s="300"/>
      <c r="O479" s="300"/>
      <c r="P479" s="299"/>
      <c r="Q479" s="300"/>
      <c r="R479" s="300"/>
      <c r="S479" s="300"/>
      <c r="T479" s="300"/>
      <c r="U479" s="299"/>
      <c r="V479" s="300"/>
      <c r="W479" s="300"/>
      <c r="X479" s="300"/>
      <c r="Y479" s="300">
        <v>0</v>
      </c>
      <c r="Z479" s="299"/>
      <c r="AA479" s="300"/>
      <c r="AB479" s="300"/>
      <c r="AC479" s="300"/>
      <c r="AD479" s="300">
        <v>0</v>
      </c>
      <c r="AE479" s="299"/>
      <c r="AF479" s="119"/>
      <c r="AG479" s="300"/>
      <c r="AH479" s="300"/>
      <c r="AI479" s="300">
        <v>0</v>
      </c>
      <c r="AJ479" s="299"/>
      <c r="AK479" s="119"/>
      <c r="AL479" s="300"/>
      <c r="AM479" s="300"/>
      <c r="AN479" s="300">
        <v>0</v>
      </c>
      <c r="AO479" s="299"/>
      <c r="AP479" s="119"/>
      <c r="AQ479" s="300"/>
      <c r="AR479" s="300"/>
      <c r="AS479" s="300">
        <v>0</v>
      </c>
      <c r="AT479" s="299"/>
      <c r="AU479" s="119"/>
      <c r="AV479" s="300"/>
      <c r="AW479" s="300"/>
      <c r="AX479" s="300">
        <v>0</v>
      </c>
      <c r="AY479" s="299"/>
      <c r="AZ479" s="119"/>
      <c r="BA479" s="300"/>
      <c r="BB479" s="300"/>
      <c r="BC479" s="300">
        <v>0</v>
      </c>
      <c r="BD479" s="299"/>
      <c r="BE479" s="119"/>
      <c r="BF479" s="300"/>
      <c r="BG479" s="300"/>
      <c r="BH479" s="300">
        <v>0</v>
      </c>
      <c r="BI479" s="304"/>
      <c r="BJ479" s="307">
        <v>0</v>
      </c>
      <c r="BK479" s="307">
        <v>0</v>
      </c>
      <c r="BL479" s="307">
        <v>0</v>
      </c>
      <c r="BM479" s="307">
        <v>0</v>
      </c>
      <c r="BN479" s="401">
        <v>0</v>
      </c>
      <c r="BO479" s="307">
        <v>0</v>
      </c>
      <c r="BP479" s="307">
        <v>0</v>
      </c>
      <c r="BQ479" s="307">
        <v>0</v>
      </c>
      <c r="BR479" s="307">
        <v>0</v>
      </c>
      <c r="BS479" s="401">
        <v>0</v>
      </c>
      <c r="BT479" s="403">
        <v>0</v>
      </c>
      <c r="BU479" s="403">
        <v>0</v>
      </c>
      <c r="BV479" s="403">
        <v>0</v>
      </c>
      <c r="BW479" s="404"/>
    </row>
    <row r="480" spans="1:75" s="123" customFormat="1" hidden="1" outlineLevel="2" x14ac:dyDescent="0.5">
      <c r="A480" s="184" t="s">
        <v>616</v>
      </c>
      <c r="B480" s="119"/>
      <c r="C480" s="299"/>
      <c r="D480" s="299"/>
      <c r="E480" s="299"/>
      <c r="F480" s="299"/>
      <c r="G480" s="300"/>
      <c r="H480" s="300"/>
      <c r="I480" s="300"/>
      <c r="J480" s="300"/>
      <c r="K480" s="299"/>
      <c r="L480" s="300"/>
      <c r="M480" s="300"/>
      <c r="N480" s="300"/>
      <c r="O480" s="300"/>
      <c r="P480" s="299"/>
      <c r="Q480" s="300"/>
      <c r="R480" s="300"/>
      <c r="S480" s="300"/>
      <c r="T480" s="300"/>
      <c r="U480" s="299"/>
      <c r="V480" s="300"/>
      <c r="W480" s="300"/>
      <c r="X480" s="300"/>
      <c r="Y480" s="300">
        <v>0</v>
      </c>
      <c r="Z480" s="299"/>
      <c r="AA480" s="300"/>
      <c r="AB480" s="300"/>
      <c r="AC480" s="300"/>
      <c r="AD480" s="300">
        <v>0</v>
      </c>
      <c r="AE480" s="299"/>
      <c r="AF480" s="119"/>
      <c r="AG480" s="300"/>
      <c r="AH480" s="300"/>
      <c r="AI480" s="300">
        <v>0</v>
      </c>
      <c r="AJ480" s="299"/>
      <c r="AK480" s="119"/>
      <c r="AL480" s="300"/>
      <c r="AM480" s="300"/>
      <c r="AN480" s="300">
        <v>0</v>
      </c>
      <c r="AO480" s="299"/>
      <c r="AP480" s="119"/>
      <c r="AQ480" s="300"/>
      <c r="AR480" s="300"/>
      <c r="AS480" s="300">
        <v>0</v>
      </c>
      <c r="AT480" s="299"/>
      <c r="AU480" s="119"/>
      <c r="AV480" s="300"/>
      <c r="AW480" s="300"/>
      <c r="AX480" s="300">
        <v>0</v>
      </c>
      <c r="AY480" s="299"/>
      <c r="AZ480" s="119"/>
      <c r="BA480" s="307">
        <v>3.5</v>
      </c>
      <c r="BB480" s="300"/>
      <c r="BC480" s="300">
        <v>0</v>
      </c>
      <c r="BD480" s="305">
        <v>3.5</v>
      </c>
      <c r="BE480" s="119"/>
      <c r="BF480" s="300"/>
      <c r="BG480" s="300"/>
      <c r="BH480" s="300">
        <v>0</v>
      </c>
      <c r="BI480" s="304"/>
      <c r="BJ480" s="307">
        <v>0</v>
      </c>
      <c r="BK480" s="307">
        <v>0</v>
      </c>
      <c r="BL480" s="307">
        <v>0</v>
      </c>
      <c r="BM480" s="307">
        <v>0</v>
      </c>
      <c r="BN480" s="401">
        <v>0</v>
      </c>
      <c r="BO480" s="307">
        <v>0</v>
      </c>
      <c r="BP480" s="307">
        <v>0</v>
      </c>
      <c r="BQ480" s="307">
        <v>0</v>
      </c>
      <c r="BR480" s="307">
        <v>0</v>
      </c>
      <c r="BS480" s="401">
        <v>0</v>
      </c>
      <c r="BT480" s="403">
        <v>0</v>
      </c>
      <c r="BU480" s="403">
        <v>0</v>
      </c>
      <c r="BV480" s="403">
        <v>0</v>
      </c>
      <c r="BW480" s="404"/>
    </row>
    <row r="481" spans="1:75" s="123" customFormat="1" hidden="1" outlineLevel="2" x14ac:dyDescent="0.5">
      <c r="A481" s="184" t="s">
        <v>617</v>
      </c>
      <c r="B481" s="119"/>
      <c r="C481" s="299"/>
      <c r="D481" s="299"/>
      <c r="E481" s="299"/>
      <c r="F481" s="299"/>
      <c r="G481" s="300"/>
      <c r="H481" s="300"/>
      <c r="I481" s="300"/>
      <c r="J481" s="300"/>
      <c r="K481" s="299"/>
      <c r="L481" s="300"/>
      <c r="M481" s="300"/>
      <c r="N481" s="300"/>
      <c r="O481" s="300"/>
      <c r="P481" s="299"/>
      <c r="Q481" s="300"/>
      <c r="R481" s="300"/>
      <c r="S481" s="300"/>
      <c r="T481" s="300"/>
      <c r="U481" s="299"/>
      <c r="V481" s="300"/>
      <c r="W481" s="300"/>
      <c r="X481" s="300"/>
      <c r="Y481" s="300">
        <v>0</v>
      </c>
      <c r="Z481" s="299"/>
      <c r="AA481" s="300"/>
      <c r="AB481" s="300"/>
      <c r="AC481" s="300"/>
      <c r="AD481" s="300">
        <v>0</v>
      </c>
      <c r="AE481" s="299"/>
      <c r="AF481" s="119"/>
      <c r="AG481" s="300"/>
      <c r="AH481" s="300"/>
      <c r="AI481" s="300">
        <v>0</v>
      </c>
      <c r="AJ481" s="299"/>
      <c r="AK481" s="119"/>
      <c r="AL481" s="300"/>
      <c r="AM481" s="300"/>
      <c r="AN481" s="300">
        <v>0</v>
      </c>
      <c r="AO481" s="299"/>
      <c r="AP481" s="119"/>
      <c r="AQ481" s="300"/>
      <c r="AR481" s="300"/>
      <c r="AS481" s="300">
        <v>0</v>
      </c>
      <c r="AT481" s="299"/>
      <c r="AU481" s="119"/>
      <c r="AV481" s="300"/>
      <c r="AW481" s="300"/>
      <c r="AX481" s="300">
        <v>0</v>
      </c>
      <c r="AY481" s="299"/>
      <c r="AZ481" s="119"/>
      <c r="BA481" s="300"/>
      <c r="BB481" s="300"/>
      <c r="BC481" s="300">
        <v>0</v>
      </c>
      <c r="BD481" s="299"/>
      <c r="BE481" s="119"/>
      <c r="BF481" s="300"/>
      <c r="BG481" s="300"/>
      <c r="BH481" s="300">
        <v>0</v>
      </c>
      <c r="BI481" s="304"/>
      <c r="BJ481" s="307">
        <v>0</v>
      </c>
      <c r="BK481" s="307">
        <v>0</v>
      </c>
      <c r="BL481" s="307">
        <v>0</v>
      </c>
      <c r="BM481" s="307">
        <v>0</v>
      </c>
      <c r="BN481" s="401">
        <v>0</v>
      </c>
      <c r="BO481" s="307">
        <v>0</v>
      </c>
      <c r="BP481" s="307">
        <v>0</v>
      </c>
      <c r="BQ481" s="307">
        <v>0</v>
      </c>
      <c r="BR481" s="307">
        <v>0</v>
      </c>
      <c r="BS481" s="401">
        <v>0</v>
      </c>
      <c r="BT481" s="403">
        <v>0</v>
      </c>
      <c r="BU481" s="403">
        <v>0</v>
      </c>
      <c r="BV481" s="403">
        <v>0</v>
      </c>
      <c r="BW481" s="404"/>
    </row>
    <row r="482" spans="1:75" s="123" customFormat="1" hidden="1" outlineLevel="2" x14ac:dyDescent="0.5">
      <c r="A482" s="184" t="s">
        <v>618</v>
      </c>
      <c r="B482" s="119"/>
      <c r="C482" s="299"/>
      <c r="D482" s="299"/>
      <c r="E482" s="299"/>
      <c r="F482" s="299"/>
      <c r="G482" s="300"/>
      <c r="H482" s="300"/>
      <c r="I482" s="300"/>
      <c r="J482" s="300"/>
      <c r="K482" s="299"/>
      <c r="L482" s="300"/>
      <c r="M482" s="300"/>
      <c r="N482" s="300"/>
      <c r="O482" s="300"/>
      <c r="P482" s="299"/>
      <c r="Q482" s="300"/>
      <c r="R482" s="300"/>
      <c r="S482" s="300"/>
      <c r="T482" s="300"/>
      <c r="U482" s="299"/>
      <c r="V482" s="300"/>
      <c r="W482" s="300"/>
      <c r="X482" s="300"/>
      <c r="Y482" s="300">
        <v>0</v>
      </c>
      <c r="Z482" s="299"/>
      <c r="AA482" s="300"/>
      <c r="AB482" s="300"/>
      <c r="AC482" s="300"/>
      <c r="AD482" s="300">
        <v>0</v>
      </c>
      <c r="AE482" s="299"/>
      <c r="AF482" s="119"/>
      <c r="AG482" s="300"/>
      <c r="AH482" s="300"/>
      <c r="AI482" s="300">
        <v>0</v>
      </c>
      <c r="AJ482" s="299"/>
      <c r="AK482" s="119"/>
      <c r="AL482" s="300"/>
      <c r="AM482" s="300"/>
      <c r="AN482" s="300">
        <v>0</v>
      </c>
      <c r="AO482" s="299"/>
      <c r="AP482" s="119"/>
      <c r="AQ482" s="300"/>
      <c r="AR482" s="300"/>
      <c r="AS482" s="300">
        <v>0</v>
      </c>
      <c r="AT482" s="299"/>
      <c r="AU482" s="119"/>
      <c r="AV482" s="300"/>
      <c r="AW482" s="300"/>
      <c r="AX482" s="300">
        <v>0</v>
      </c>
      <c r="AY482" s="299"/>
      <c r="AZ482" s="119"/>
      <c r="BA482" s="300"/>
      <c r="BB482" s="300"/>
      <c r="BC482" s="300">
        <v>0</v>
      </c>
      <c r="BD482" s="299"/>
      <c r="BE482" s="119"/>
      <c r="BF482" s="300"/>
      <c r="BG482" s="300"/>
      <c r="BH482" s="300">
        <v>0</v>
      </c>
      <c r="BI482" s="304"/>
      <c r="BJ482" s="307">
        <v>0</v>
      </c>
      <c r="BK482" s="307">
        <v>0</v>
      </c>
      <c r="BL482" s="307">
        <v>0</v>
      </c>
      <c r="BM482" s="307">
        <v>0</v>
      </c>
      <c r="BN482" s="401">
        <v>0</v>
      </c>
      <c r="BO482" s="307">
        <v>0</v>
      </c>
      <c r="BP482" s="307">
        <v>0</v>
      </c>
      <c r="BQ482" s="307">
        <v>0</v>
      </c>
      <c r="BR482" s="307">
        <v>0</v>
      </c>
      <c r="BS482" s="401">
        <v>0</v>
      </c>
      <c r="BT482" s="403">
        <v>0</v>
      </c>
      <c r="BU482" s="403">
        <v>0</v>
      </c>
      <c r="BV482" s="403">
        <v>0</v>
      </c>
      <c r="BW482" s="404"/>
    </row>
    <row r="483" spans="1:75" s="123" customFormat="1" hidden="1" outlineLevel="2" x14ac:dyDescent="0.5">
      <c r="A483" s="184" t="s">
        <v>619</v>
      </c>
      <c r="B483" s="119"/>
      <c r="C483" s="299"/>
      <c r="D483" s="299"/>
      <c r="E483" s="299"/>
      <c r="F483" s="299"/>
      <c r="G483" s="300"/>
      <c r="H483" s="300"/>
      <c r="I483" s="300"/>
      <c r="J483" s="300"/>
      <c r="K483" s="299"/>
      <c r="L483" s="300"/>
      <c r="M483" s="300"/>
      <c r="N483" s="300"/>
      <c r="O483" s="300"/>
      <c r="P483" s="299"/>
      <c r="Q483" s="300"/>
      <c r="R483" s="300"/>
      <c r="S483" s="300"/>
      <c r="T483" s="300"/>
      <c r="U483" s="299"/>
      <c r="V483" s="300"/>
      <c r="W483" s="300"/>
      <c r="X483" s="300"/>
      <c r="Y483" s="300">
        <v>0</v>
      </c>
      <c r="Z483" s="299"/>
      <c r="AA483" s="300"/>
      <c r="AB483" s="300"/>
      <c r="AC483" s="300"/>
      <c r="AD483" s="300">
        <v>0</v>
      </c>
      <c r="AE483" s="299"/>
      <c r="AF483" s="119"/>
      <c r="AG483" s="300"/>
      <c r="AH483" s="300"/>
      <c r="AI483" s="300">
        <v>0</v>
      </c>
      <c r="AJ483" s="299"/>
      <c r="AK483" s="119"/>
      <c r="AL483" s="300"/>
      <c r="AM483" s="300"/>
      <c r="AN483" s="300">
        <v>0</v>
      </c>
      <c r="AO483" s="299"/>
      <c r="AP483" s="119"/>
      <c r="AQ483" s="300"/>
      <c r="AR483" s="300"/>
      <c r="AS483" s="300">
        <v>0</v>
      </c>
      <c r="AT483" s="299"/>
      <c r="AU483" s="119"/>
      <c r="AV483" s="300"/>
      <c r="AW483" s="300"/>
      <c r="AX483" s="300">
        <v>0</v>
      </c>
      <c r="AY483" s="299"/>
      <c r="AZ483" s="119"/>
      <c r="BA483" s="300"/>
      <c r="BB483" s="300"/>
      <c r="BC483" s="300">
        <v>0</v>
      </c>
      <c r="BD483" s="299"/>
      <c r="BE483" s="119"/>
      <c r="BF483" s="300"/>
      <c r="BG483" s="300"/>
      <c r="BH483" s="300">
        <v>0</v>
      </c>
      <c r="BI483" s="304"/>
      <c r="BJ483" s="307">
        <v>0</v>
      </c>
      <c r="BK483" s="307">
        <v>0</v>
      </c>
      <c r="BL483" s="307">
        <v>0</v>
      </c>
      <c r="BM483" s="307">
        <v>0</v>
      </c>
      <c r="BN483" s="401">
        <v>0</v>
      </c>
      <c r="BO483" s="307">
        <v>0</v>
      </c>
      <c r="BP483" s="307">
        <v>0</v>
      </c>
      <c r="BQ483" s="307">
        <v>0</v>
      </c>
      <c r="BR483" s="307">
        <v>0</v>
      </c>
      <c r="BS483" s="401">
        <v>0</v>
      </c>
      <c r="BT483" s="403">
        <v>0</v>
      </c>
      <c r="BU483" s="403">
        <v>0</v>
      </c>
      <c r="BV483" s="403">
        <v>0</v>
      </c>
      <c r="BW483" s="404"/>
    </row>
    <row r="484" spans="1:75" s="123" customFormat="1" hidden="1" outlineLevel="2" x14ac:dyDescent="0.5">
      <c r="A484" s="184" t="s">
        <v>620</v>
      </c>
      <c r="B484" s="119"/>
      <c r="C484" s="299"/>
      <c r="D484" s="299"/>
      <c r="E484" s="299"/>
      <c r="F484" s="299"/>
      <c r="G484" s="300"/>
      <c r="H484" s="300"/>
      <c r="I484" s="300"/>
      <c r="J484" s="300"/>
      <c r="K484" s="299"/>
      <c r="L484" s="300"/>
      <c r="M484" s="300"/>
      <c r="N484" s="300"/>
      <c r="O484" s="300"/>
      <c r="P484" s="299"/>
      <c r="Q484" s="300"/>
      <c r="R484" s="300"/>
      <c r="S484" s="300"/>
      <c r="T484" s="300"/>
      <c r="U484" s="299"/>
      <c r="V484" s="300"/>
      <c r="W484" s="300"/>
      <c r="X484" s="300"/>
      <c r="Y484" s="300">
        <v>0</v>
      </c>
      <c r="Z484" s="299"/>
      <c r="AA484" s="300"/>
      <c r="AB484" s="300"/>
      <c r="AC484" s="300"/>
      <c r="AD484" s="300">
        <v>0</v>
      </c>
      <c r="AE484" s="299"/>
      <c r="AF484" s="119"/>
      <c r="AG484" s="300"/>
      <c r="AH484" s="300"/>
      <c r="AI484" s="300">
        <v>0</v>
      </c>
      <c r="AJ484" s="299"/>
      <c r="AK484" s="119"/>
      <c r="AL484" s="300"/>
      <c r="AM484" s="300"/>
      <c r="AN484" s="300">
        <v>0</v>
      </c>
      <c r="AO484" s="299"/>
      <c r="AP484" s="119"/>
      <c r="AQ484" s="300"/>
      <c r="AR484" s="300"/>
      <c r="AS484" s="300">
        <v>0</v>
      </c>
      <c r="AT484" s="299"/>
      <c r="AU484" s="119"/>
      <c r="AV484" s="300"/>
      <c r="AW484" s="300"/>
      <c r="AX484" s="300">
        <v>0</v>
      </c>
      <c r="AY484" s="299"/>
      <c r="AZ484" s="119"/>
      <c r="BA484" s="300"/>
      <c r="BB484" s="300"/>
      <c r="BC484" s="300">
        <v>0</v>
      </c>
      <c r="BD484" s="299"/>
      <c r="BE484" s="119"/>
      <c r="BF484" s="300"/>
      <c r="BG484" s="300"/>
      <c r="BH484" s="300">
        <v>0</v>
      </c>
      <c r="BI484" s="304"/>
      <c r="BJ484" s="307">
        <v>0</v>
      </c>
      <c r="BK484" s="307">
        <v>0</v>
      </c>
      <c r="BL484" s="307">
        <v>0</v>
      </c>
      <c r="BM484" s="307">
        <v>0</v>
      </c>
      <c r="BN484" s="401">
        <v>0</v>
      </c>
      <c r="BO484" s="307">
        <v>0</v>
      </c>
      <c r="BP484" s="307">
        <v>0</v>
      </c>
      <c r="BQ484" s="307">
        <v>0</v>
      </c>
      <c r="BR484" s="307">
        <v>0</v>
      </c>
      <c r="BS484" s="401">
        <v>0</v>
      </c>
      <c r="BT484" s="403">
        <v>0</v>
      </c>
      <c r="BU484" s="403">
        <v>0</v>
      </c>
      <c r="BV484" s="403">
        <v>0</v>
      </c>
      <c r="BW484" s="404"/>
    </row>
    <row r="485" spans="1:75" s="123" customFormat="1" hidden="1" outlineLevel="2" x14ac:dyDescent="0.5">
      <c r="A485" s="184" t="s">
        <v>621</v>
      </c>
      <c r="B485" s="119"/>
      <c r="C485" s="299"/>
      <c r="D485" s="299"/>
      <c r="E485" s="299"/>
      <c r="F485" s="299"/>
      <c r="G485" s="300"/>
      <c r="H485" s="300"/>
      <c r="I485" s="300"/>
      <c r="J485" s="300"/>
      <c r="K485" s="299"/>
      <c r="L485" s="300"/>
      <c r="M485" s="300"/>
      <c r="N485" s="300"/>
      <c r="O485" s="300"/>
      <c r="P485" s="299"/>
      <c r="Q485" s="300"/>
      <c r="R485" s="300"/>
      <c r="S485" s="300"/>
      <c r="T485" s="300"/>
      <c r="U485" s="299"/>
      <c r="V485" s="300"/>
      <c r="W485" s="300"/>
      <c r="X485" s="300"/>
      <c r="Y485" s="300">
        <v>0</v>
      </c>
      <c r="Z485" s="299"/>
      <c r="AA485" s="300"/>
      <c r="AB485" s="300"/>
      <c r="AC485" s="300"/>
      <c r="AD485" s="300">
        <v>0</v>
      </c>
      <c r="AE485" s="299"/>
      <c r="AF485" s="119"/>
      <c r="AG485" s="300"/>
      <c r="AH485" s="300"/>
      <c r="AI485" s="300">
        <v>0</v>
      </c>
      <c r="AJ485" s="299"/>
      <c r="AK485" s="119"/>
      <c r="AL485" s="300"/>
      <c r="AM485" s="300"/>
      <c r="AN485" s="300">
        <v>0</v>
      </c>
      <c r="AO485" s="299"/>
      <c r="AP485" s="119"/>
      <c r="AQ485" s="300"/>
      <c r="AR485" s="300"/>
      <c r="AS485" s="300">
        <v>0</v>
      </c>
      <c r="AT485" s="299"/>
      <c r="AU485" s="119"/>
      <c r="AV485" s="300"/>
      <c r="AW485" s="300"/>
      <c r="AX485" s="300">
        <v>0</v>
      </c>
      <c r="AY485" s="299"/>
      <c r="AZ485" s="119"/>
      <c r="BA485" s="300"/>
      <c r="BB485" s="300"/>
      <c r="BC485" s="300">
        <v>0</v>
      </c>
      <c r="BD485" s="299"/>
      <c r="BE485" s="119"/>
      <c r="BF485" s="300"/>
      <c r="BG485" s="300"/>
      <c r="BH485" s="300">
        <v>0</v>
      </c>
      <c r="BI485" s="304"/>
      <c r="BJ485" s="307">
        <v>0</v>
      </c>
      <c r="BK485" s="307">
        <v>0</v>
      </c>
      <c r="BL485" s="307">
        <v>0</v>
      </c>
      <c r="BM485" s="307">
        <v>0</v>
      </c>
      <c r="BN485" s="401">
        <v>0</v>
      </c>
      <c r="BO485" s="307">
        <v>0</v>
      </c>
      <c r="BP485" s="307">
        <v>0</v>
      </c>
      <c r="BQ485" s="307">
        <v>0</v>
      </c>
      <c r="BR485" s="307">
        <v>0</v>
      </c>
      <c r="BS485" s="401">
        <v>0</v>
      </c>
      <c r="BT485" s="403">
        <v>0</v>
      </c>
      <c r="BU485" s="403">
        <v>0</v>
      </c>
      <c r="BV485" s="403">
        <v>0</v>
      </c>
      <c r="BW485" s="404"/>
    </row>
    <row r="486" spans="1:75" s="123" customFormat="1" hidden="1" outlineLevel="2" x14ac:dyDescent="0.5">
      <c r="A486" s="184" t="s">
        <v>622</v>
      </c>
      <c r="B486" s="119"/>
      <c r="C486" s="299"/>
      <c r="D486" s="299"/>
      <c r="E486" s="299"/>
      <c r="F486" s="299"/>
      <c r="G486" s="300"/>
      <c r="H486" s="300"/>
      <c r="I486" s="300"/>
      <c r="J486" s="300"/>
      <c r="K486" s="299"/>
      <c r="L486" s="300"/>
      <c r="M486" s="300"/>
      <c r="N486" s="300"/>
      <c r="O486" s="300"/>
      <c r="P486" s="299"/>
      <c r="Q486" s="300"/>
      <c r="R486" s="300"/>
      <c r="S486" s="300"/>
      <c r="T486" s="300"/>
      <c r="U486" s="299"/>
      <c r="V486" s="300"/>
      <c r="W486" s="300"/>
      <c r="X486" s="300"/>
      <c r="Y486" s="300">
        <v>0</v>
      </c>
      <c r="Z486" s="299"/>
      <c r="AA486" s="300"/>
      <c r="AB486" s="300"/>
      <c r="AC486" s="300"/>
      <c r="AD486" s="300">
        <v>0</v>
      </c>
      <c r="AE486" s="299"/>
      <c r="AF486" s="119"/>
      <c r="AG486" s="300"/>
      <c r="AH486" s="300"/>
      <c r="AI486" s="300">
        <v>0</v>
      </c>
      <c r="AJ486" s="299"/>
      <c r="AK486" s="119"/>
      <c r="AL486" s="300"/>
      <c r="AM486" s="300"/>
      <c r="AN486" s="300">
        <v>0</v>
      </c>
      <c r="AO486" s="299"/>
      <c r="AP486" s="119"/>
      <c r="AQ486" s="300"/>
      <c r="AR486" s="300"/>
      <c r="AS486" s="300">
        <v>0</v>
      </c>
      <c r="AT486" s="299"/>
      <c r="AU486" s="119"/>
      <c r="AV486" s="300"/>
      <c r="AW486" s="300"/>
      <c r="AX486" s="300">
        <v>0</v>
      </c>
      <c r="AY486" s="299"/>
      <c r="AZ486" s="119"/>
      <c r="BA486" s="300"/>
      <c r="BB486" s="300"/>
      <c r="BC486" s="300">
        <v>0</v>
      </c>
      <c r="BD486" s="299"/>
      <c r="BE486" s="119"/>
      <c r="BF486" s="300"/>
      <c r="BG486" s="300"/>
      <c r="BH486" s="300">
        <v>0</v>
      </c>
      <c r="BI486" s="304"/>
      <c r="BJ486" s="307">
        <v>0</v>
      </c>
      <c r="BK486" s="307">
        <v>0</v>
      </c>
      <c r="BL486" s="307">
        <v>0</v>
      </c>
      <c r="BM486" s="307">
        <v>0</v>
      </c>
      <c r="BN486" s="401">
        <v>0</v>
      </c>
      <c r="BO486" s="307">
        <v>0</v>
      </c>
      <c r="BP486" s="307">
        <v>0</v>
      </c>
      <c r="BQ486" s="307">
        <v>0</v>
      </c>
      <c r="BR486" s="307">
        <v>0</v>
      </c>
      <c r="BS486" s="401">
        <v>0</v>
      </c>
      <c r="BT486" s="403">
        <v>0</v>
      </c>
      <c r="BU486" s="403">
        <v>0</v>
      </c>
      <c r="BV486" s="403">
        <v>0</v>
      </c>
      <c r="BW486" s="404"/>
    </row>
    <row r="487" spans="1:75" s="123" customFormat="1" hidden="1" outlineLevel="2" x14ac:dyDescent="0.5">
      <c r="A487" s="184" t="s">
        <v>623</v>
      </c>
      <c r="B487" s="119"/>
      <c r="C487" s="299"/>
      <c r="D487" s="299"/>
      <c r="E487" s="299"/>
      <c r="F487" s="299"/>
      <c r="G487" s="300"/>
      <c r="H487" s="300"/>
      <c r="I487" s="300"/>
      <c r="J487" s="300"/>
      <c r="K487" s="299"/>
      <c r="L487" s="300"/>
      <c r="M487" s="300"/>
      <c r="N487" s="300"/>
      <c r="O487" s="300"/>
      <c r="P487" s="299"/>
      <c r="Q487" s="300"/>
      <c r="R487" s="300"/>
      <c r="S487" s="300"/>
      <c r="T487" s="300"/>
      <c r="U487" s="299"/>
      <c r="V487" s="300"/>
      <c r="W487" s="300"/>
      <c r="X487" s="300"/>
      <c r="Y487" s="300">
        <v>0</v>
      </c>
      <c r="Z487" s="299"/>
      <c r="AA487" s="300"/>
      <c r="AB487" s="300"/>
      <c r="AC487" s="300"/>
      <c r="AD487" s="300">
        <v>0</v>
      </c>
      <c r="AE487" s="299"/>
      <c r="AF487" s="119"/>
      <c r="AG487" s="300"/>
      <c r="AH487" s="300"/>
      <c r="AI487" s="300">
        <v>0</v>
      </c>
      <c r="AJ487" s="299"/>
      <c r="AK487" s="119"/>
      <c r="AL487" s="300"/>
      <c r="AM487" s="300"/>
      <c r="AN487" s="300">
        <v>0</v>
      </c>
      <c r="AO487" s="299"/>
      <c r="AP487" s="119"/>
      <c r="AQ487" s="300"/>
      <c r="AR487" s="300"/>
      <c r="AS487" s="300">
        <v>0</v>
      </c>
      <c r="AT487" s="299"/>
      <c r="AU487" s="119"/>
      <c r="AV487" s="300"/>
      <c r="AW487" s="300"/>
      <c r="AX487" s="300">
        <v>0</v>
      </c>
      <c r="AY487" s="299"/>
      <c r="AZ487" s="119"/>
      <c r="BA487" s="300"/>
      <c r="BB487" s="300"/>
      <c r="BC487" s="300">
        <v>0</v>
      </c>
      <c r="BD487" s="299"/>
      <c r="BE487" s="119"/>
      <c r="BF487" s="300"/>
      <c r="BG487" s="300"/>
      <c r="BH487" s="300">
        <v>0</v>
      </c>
      <c r="BI487" s="304"/>
      <c r="BJ487" s="307">
        <v>0</v>
      </c>
      <c r="BK487" s="307">
        <v>0</v>
      </c>
      <c r="BL487" s="307">
        <v>0</v>
      </c>
      <c r="BM487" s="307">
        <v>0</v>
      </c>
      <c r="BN487" s="401">
        <v>0</v>
      </c>
      <c r="BO487" s="307">
        <v>0</v>
      </c>
      <c r="BP487" s="307">
        <v>0</v>
      </c>
      <c r="BQ487" s="307">
        <v>0</v>
      </c>
      <c r="BR487" s="307">
        <v>0</v>
      </c>
      <c r="BS487" s="401">
        <v>0</v>
      </c>
      <c r="BT487" s="403">
        <v>0</v>
      </c>
      <c r="BU487" s="403">
        <v>0</v>
      </c>
      <c r="BV487" s="403">
        <v>0</v>
      </c>
      <c r="BW487" s="404"/>
    </row>
    <row r="488" spans="1:75" s="123" customFormat="1" hidden="1" outlineLevel="2" x14ac:dyDescent="0.5">
      <c r="A488" s="184" t="s">
        <v>624</v>
      </c>
      <c r="B488" s="119"/>
      <c r="C488" s="299"/>
      <c r="D488" s="299"/>
      <c r="E488" s="299"/>
      <c r="F488" s="299"/>
      <c r="G488" s="300"/>
      <c r="H488" s="300"/>
      <c r="I488" s="300"/>
      <c r="J488" s="300"/>
      <c r="K488" s="299"/>
      <c r="L488" s="300"/>
      <c r="M488" s="300"/>
      <c r="N488" s="300"/>
      <c r="O488" s="300"/>
      <c r="P488" s="299"/>
      <c r="Q488" s="300"/>
      <c r="R488" s="300"/>
      <c r="S488" s="300"/>
      <c r="T488" s="300"/>
      <c r="U488" s="299"/>
      <c r="V488" s="300"/>
      <c r="W488" s="300"/>
      <c r="X488" s="300"/>
      <c r="Y488" s="300">
        <v>0</v>
      </c>
      <c r="Z488" s="299"/>
      <c r="AA488" s="300"/>
      <c r="AB488" s="300"/>
      <c r="AC488" s="300"/>
      <c r="AD488" s="300">
        <v>0</v>
      </c>
      <c r="AE488" s="299"/>
      <c r="AF488" s="119"/>
      <c r="AG488" s="300"/>
      <c r="AH488" s="300"/>
      <c r="AI488" s="300">
        <v>0</v>
      </c>
      <c r="AJ488" s="299"/>
      <c r="AK488" s="119"/>
      <c r="AL488" s="300"/>
      <c r="AM488" s="300"/>
      <c r="AN488" s="300">
        <v>0</v>
      </c>
      <c r="AO488" s="299"/>
      <c r="AP488" s="302">
        <v>1.6</v>
      </c>
      <c r="AQ488" s="300"/>
      <c r="AR488" s="300"/>
      <c r="AS488" s="300">
        <v>0</v>
      </c>
      <c r="AT488" s="305">
        <v>1.6</v>
      </c>
      <c r="AU488" s="119"/>
      <c r="AV488" s="300"/>
      <c r="AW488" s="300"/>
      <c r="AX488" s="300">
        <v>0</v>
      </c>
      <c r="AY488" s="299"/>
      <c r="AZ488" s="119"/>
      <c r="BA488" s="307">
        <v>0.2</v>
      </c>
      <c r="BB488" s="300"/>
      <c r="BC488" s="300">
        <v>0</v>
      </c>
      <c r="BD488" s="305">
        <v>0.2</v>
      </c>
      <c r="BE488" s="119"/>
      <c r="BF488" s="300"/>
      <c r="BG488" s="300"/>
      <c r="BH488" s="300">
        <v>0</v>
      </c>
      <c r="BI488" s="304"/>
      <c r="BJ488" s="307">
        <v>0</v>
      </c>
      <c r="BK488" s="307">
        <v>0</v>
      </c>
      <c r="BL488" s="307">
        <v>0</v>
      </c>
      <c r="BM488" s="307">
        <v>0</v>
      </c>
      <c r="BN488" s="401">
        <v>0</v>
      </c>
      <c r="BO488" s="307">
        <v>0</v>
      </c>
      <c r="BP488" s="307">
        <v>0</v>
      </c>
      <c r="BQ488" s="307">
        <v>0</v>
      </c>
      <c r="BR488" s="307">
        <v>0</v>
      </c>
      <c r="BS488" s="401">
        <v>0</v>
      </c>
      <c r="BT488" s="403">
        <v>0</v>
      </c>
      <c r="BU488" s="403">
        <v>0</v>
      </c>
      <c r="BV488" s="403">
        <v>0</v>
      </c>
      <c r="BW488" s="404"/>
    </row>
    <row r="489" spans="1:75" s="123" customFormat="1" hidden="1" outlineLevel="2" x14ac:dyDescent="0.5">
      <c r="A489" s="184" t="s">
        <v>625</v>
      </c>
      <c r="B489" s="119"/>
      <c r="C489" s="299"/>
      <c r="D489" s="299"/>
      <c r="E489" s="299"/>
      <c r="F489" s="299"/>
      <c r="G489" s="300"/>
      <c r="H489" s="300"/>
      <c r="I489" s="300"/>
      <c r="J489" s="300"/>
      <c r="K489" s="299"/>
      <c r="L489" s="300"/>
      <c r="M489" s="300"/>
      <c r="N489" s="300"/>
      <c r="O489" s="300"/>
      <c r="P489" s="299"/>
      <c r="Q489" s="300"/>
      <c r="R489" s="300"/>
      <c r="S489" s="300"/>
      <c r="T489" s="300"/>
      <c r="U489" s="299"/>
      <c r="V489" s="300"/>
      <c r="W489" s="300"/>
      <c r="X489" s="300"/>
      <c r="Y489" s="300">
        <v>0</v>
      </c>
      <c r="Z489" s="299"/>
      <c r="AA489" s="300"/>
      <c r="AB489" s="300"/>
      <c r="AC489" s="300"/>
      <c r="AD489" s="300">
        <v>0</v>
      </c>
      <c r="AE489" s="299"/>
      <c r="AF489" s="119"/>
      <c r="AG489" s="300"/>
      <c r="AH489" s="300"/>
      <c r="AI489" s="300">
        <v>0</v>
      </c>
      <c r="AJ489" s="299"/>
      <c r="AK489" s="119"/>
      <c r="AL489" s="300"/>
      <c r="AM489" s="300"/>
      <c r="AN489" s="300">
        <v>0</v>
      </c>
      <c r="AO489" s="299"/>
      <c r="AP489" s="119"/>
      <c r="AQ489" s="300"/>
      <c r="AR489" s="300"/>
      <c r="AS489" s="300">
        <v>0</v>
      </c>
      <c r="AT489" s="299"/>
      <c r="AU489" s="119"/>
      <c r="AV489" s="300"/>
      <c r="AW489" s="300"/>
      <c r="AX489" s="300">
        <v>0</v>
      </c>
      <c r="AY489" s="299"/>
      <c r="AZ489" s="119"/>
      <c r="BA489" s="300"/>
      <c r="BB489" s="300"/>
      <c r="BC489" s="300">
        <v>0</v>
      </c>
      <c r="BD489" s="299"/>
      <c r="BE489" s="119"/>
      <c r="BF489" s="300"/>
      <c r="BG489" s="300"/>
      <c r="BH489" s="300">
        <v>0</v>
      </c>
      <c r="BI489" s="304"/>
      <c r="BJ489" s="307">
        <v>0</v>
      </c>
      <c r="BK489" s="307">
        <v>0</v>
      </c>
      <c r="BL489" s="307">
        <v>0</v>
      </c>
      <c r="BM489" s="307">
        <v>0</v>
      </c>
      <c r="BN489" s="401">
        <v>0</v>
      </c>
      <c r="BO489" s="307">
        <v>0</v>
      </c>
      <c r="BP489" s="307">
        <v>0</v>
      </c>
      <c r="BQ489" s="307">
        <v>0</v>
      </c>
      <c r="BR489" s="307">
        <v>0</v>
      </c>
      <c r="BS489" s="401">
        <v>0</v>
      </c>
      <c r="BT489" s="403">
        <v>0</v>
      </c>
      <c r="BU489" s="403">
        <v>0</v>
      </c>
      <c r="BV489" s="403">
        <v>0</v>
      </c>
      <c r="BW489" s="404"/>
    </row>
    <row r="490" spans="1:75" s="123" customFormat="1" hidden="1" outlineLevel="2" x14ac:dyDescent="0.5">
      <c r="A490" s="184" t="s">
        <v>626</v>
      </c>
      <c r="B490" s="119"/>
      <c r="C490" s="299"/>
      <c r="D490" s="299"/>
      <c r="E490" s="299"/>
      <c r="F490" s="299"/>
      <c r="G490" s="300"/>
      <c r="H490" s="300"/>
      <c r="I490" s="300"/>
      <c r="J490" s="300"/>
      <c r="K490" s="299"/>
      <c r="L490" s="300"/>
      <c r="M490" s="300"/>
      <c r="N490" s="300"/>
      <c r="O490" s="300"/>
      <c r="P490" s="299"/>
      <c r="Q490" s="300"/>
      <c r="R490" s="300"/>
      <c r="S490" s="300"/>
      <c r="T490" s="300"/>
      <c r="U490" s="299"/>
      <c r="V490" s="300"/>
      <c r="W490" s="300"/>
      <c r="X490" s="300"/>
      <c r="Y490" s="300">
        <v>0</v>
      </c>
      <c r="Z490" s="299"/>
      <c r="AA490" s="300"/>
      <c r="AB490" s="300"/>
      <c r="AC490" s="300"/>
      <c r="AD490" s="300">
        <v>0</v>
      </c>
      <c r="AE490" s="299"/>
      <c r="AF490" s="119"/>
      <c r="AG490" s="300"/>
      <c r="AH490" s="300"/>
      <c r="AI490" s="300">
        <v>0</v>
      </c>
      <c r="AJ490" s="299"/>
      <c r="AK490" s="119"/>
      <c r="AL490" s="300"/>
      <c r="AM490" s="300"/>
      <c r="AN490" s="300">
        <v>0</v>
      </c>
      <c r="AO490" s="299"/>
      <c r="AP490" s="119"/>
      <c r="AQ490" s="300"/>
      <c r="AR490" s="300"/>
      <c r="AS490" s="300">
        <v>0</v>
      </c>
      <c r="AT490" s="299"/>
      <c r="AU490" s="119"/>
      <c r="AV490" s="300"/>
      <c r="AW490" s="300"/>
      <c r="AX490" s="300">
        <v>0</v>
      </c>
      <c r="AY490" s="299"/>
      <c r="AZ490" s="119"/>
      <c r="BA490" s="300"/>
      <c r="BB490" s="300"/>
      <c r="BC490" s="300">
        <v>0</v>
      </c>
      <c r="BD490" s="299"/>
      <c r="BE490" s="119"/>
      <c r="BF490" s="300"/>
      <c r="BG490" s="300"/>
      <c r="BH490" s="300">
        <v>0</v>
      </c>
      <c r="BI490" s="304"/>
      <c r="BJ490" s="307">
        <v>0</v>
      </c>
      <c r="BK490" s="307">
        <v>0</v>
      </c>
      <c r="BL490" s="307">
        <v>0</v>
      </c>
      <c r="BM490" s="307">
        <v>0</v>
      </c>
      <c r="BN490" s="401">
        <v>0</v>
      </c>
      <c r="BO490" s="307">
        <v>0</v>
      </c>
      <c r="BP490" s="307">
        <v>0</v>
      </c>
      <c r="BQ490" s="307">
        <v>0</v>
      </c>
      <c r="BR490" s="307">
        <v>0</v>
      </c>
      <c r="BS490" s="401">
        <v>0</v>
      </c>
      <c r="BT490" s="403">
        <v>0</v>
      </c>
      <c r="BU490" s="403">
        <v>0</v>
      </c>
      <c r="BV490" s="403">
        <v>0</v>
      </c>
      <c r="BW490" s="404"/>
    </row>
    <row r="491" spans="1:75" s="123" customFormat="1" hidden="1" outlineLevel="2" x14ac:dyDescent="0.5">
      <c r="A491" s="184" t="s">
        <v>627</v>
      </c>
      <c r="B491" s="119"/>
      <c r="C491" s="299"/>
      <c r="D491" s="299"/>
      <c r="E491" s="299"/>
      <c r="F491" s="299"/>
      <c r="G491" s="300"/>
      <c r="H491" s="300"/>
      <c r="I491" s="300"/>
      <c r="J491" s="300"/>
      <c r="K491" s="299"/>
      <c r="L491" s="300"/>
      <c r="M491" s="300"/>
      <c r="N491" s="300"/>
      <c r="O491" s="300"/>
      <c r="P491" s="299"/>
      <c r="Q491" s="300"/>
      <c r="R491" s="300"/>
      <c r="S491" s="300"/>
      <c r="T491" s="300"/>
      <c r="U491" s="299"/>
      <c r="V491" s="300"/>
      <c r="W491" s="300"/>
      <c r="X491" s="300"/>
      <c r="Y491" s="300">
        <v>0</v>
      </c>
      <c r="Z491" s="299"/>
      <c r="AA491" s="300"/>
      <c r="AB491" s="300"/>
      <c r="AC491" s="300"/>
      <c r="AD491" s="300">
        <v>0</v>
      </c>
      <c r="AE491" s="299"/>
      <c r="AF491" s="119"/>
      <c r="AG491" s="300"/>
      <c r="AH491" s="300"/>
      <c r="AI491" s="300">
        <v>0</v>
      </c>
      <c r="AJ491" s="299"/>
      <c r="AK491" s="119"/>
      <c r="AL491" s="300"/>
      <c r="AM491" s="300"/>
      <c r="AN491" s="300">
        <v>0</v>
      </c>
      <c r="AO491" s="299"/>
      <c r="AP491" s="119"/>
      <c r="AQ491" s="300"/>
      <c r="AR491" s="300"/>
      <c r="AS491" s="300">
        <v>0</v>
      </c>
      <c r="AT491" s="299"/>
      <c r="AU491" s="119"/>
      <c r="AV491" s="300"/>
      <c r="AW491" s="300"/>
      <c r="AX491" s="300">
        <v>0</v>
      </c>
      <c r="AY491" s="299"/>
      <c r="AZ491" s="119"/>
      <c r="BA491" s="300"/>
      <c r="BB491" s="300"/>
      <c r="BC491" s="300">
        <v>0</v>
      </c>
      <c r="BD491" s="299"/>
      <c r="BE491" s="119"/>
      <c r="BF491" s="300"/>
      <c r="BG491" s="300"/>
      <c r="BH491" s="300">
        <v>0</v>
      </c>
      <c r="BI491" s="304"/>
      <c r="BJ491" s="307">
        <v>0</v>
      </c>
      <c r="BK491" s="307">
        <v>0</v>
      </c>
      <c r="BL491" s="307">
        <v>0</v>
      </c>
      <c r="BM491" s="307">
        <v>0</v>
      </c>
      <c r="BN491" s="401">
        <v>0</v>
      </c>
      <c r="BO491" s="307">
        <v>0</v>
      </c>
      <c r="BP491" s="307">
        <v>0</v>
      </c>
      <c r="BQ491" s="307">
        <v>0</v>
      </c>
      <c r="BR491" s="307">
        <v>0</v>
      </c>
      <c r="BS491" s="401">
        <v>0</v>
      </c>
      <c r="BT491" s="403">
        <v>0</v>
      </c>
      <c r="BU491" s="403">
        <v>0</v>
      </c>
      <c r="BV491" s="403">
        <v>0</v>
      </c>
      <c r="BW491" s="404"/>
    </row>
    <row r="492" spans="1:75" s="123" customFormat="1" hidden="1" outlineLevel="2" x14ac:dyDescent="0.5">
      <c r="A492" s="184" t="s">
        <v>628</v>
      </c>
      <c r="B492" s="119"/>
      <c r="C492" s="299"/>
      <c r="D492" s="299"/>
      <c r="E492" s="299"/>
      <c r="F492" s="299"/>
      <c r="G492" s="300"/>
      <c r="H492" s="300"/>
      <c r="I492" s="300"/>
      <c r="J492" s="300"/>
      <c r="K492" s="299"/>
      <c r="L492" s="300"/>
      <c r="M492" s="300"/>
      <c r="N492" s="300"/>
      <c r="O492" s="300"/>
      <c r="P492" s="299"/>
      <c r="Q492" s="300"/>
      <c r="R492" s="300"/>
      <c r="S492" s="300"/>
      <c r="T492" s="300"/>
      <c r="U492" s="299"/>
      <c r="V492" s="300"/>
      <c r="W492" s="300"/>
      <c r="X492" s="300"/>
      <c r="Y492" s="300">
        <v>0</v>
      </c>
      <c r="Z492" s="299"/>
      <c r="AA492" s="300"/>
      <c r="AB492" s="300"/>
      <c r="AC492" s="300"/>
      <c r="AD492" s="300">
        <v>0</v>
      </c>
      <c r="AE492" s="299"/>
      <c r="AF492" s="119"/>
      <c r="AG492" s="300"/>
      <c r="AH492" s="300"/>
      <c r="AI492" s="300">
        <v>0</v>
      </c>
      <c r="AJ492" s="299"/>
      <c r="AK492" s="119"/>
      <c r="AL492" s="300"/>
      <c r="AM492" s="300"/>
      <c r="AN492" s="300">
        <v>0</v>
      </c>
      <c r="AO492" s="299"/>
      <c r="AP492" s="119"/>
      <c r="AQ492" s="300"/>
      <c r="AR492" s="300"/>
      <c r="AS492" s="300">
        <v>0</v>
      </c>
      <c r="AT492" s="299"/>
      <c r="AU492" s="119"/>
      <c r="AV492" s="300"/>
      <c r="AW492" s="300"/>
      <c r="AX492" s="300">
        <v>0</v>
      </c>
      <c r="AY492" s="299"/>
      <c r="AZ492" s="119"/>
      <c r="BA492" s="300"/>
      <c r="BB492" s="300"/>
      <c r="BC492" s="300">
        <v>0</v>
      </c>
      <c r="BD492" s="299"/>
      <c r="BE492" s="119"/>
      <c r="BF492" s="300"/>
      <c r="BG492" s="300"/>
      <c r="BH492" s="300">
        <v>0</v>
      </c>
      <c r="BI492" s="304"/>
      <c r="BJ492" s="307">
        <v>0</v>
      </c>
      <c r="BK492" s="307">
        <v>0</v>
      </c>
      <c r="BL492" s="307">
        <v>0</v>
      </c>
      <c r="BM492" s="307">
        <v>0</v>
      </c>
      <c r="BN492" s="401">
        <v>0</v>
      </c>
      <c r="BO492" s="307">
        <v>0</v>
      </c>
      <c r="BP492" s="307">
        <v>0</v>
      </c>
      <c r="BQ492" s="307">
        <v>0</v>
      </c>
      <c r="BR492" s="307">
        <v>0</v>
      </c>
      <c r="BS492" s="401">
        <v>0</v>
      </c>
      <c r="BT492" s="403">
        <v>0</v>
      </c>
      <c r="BU492" s="403">
        <v>0</v>
      </c>
      <c r="BV492" s="403">
        <v>0</v>
      </c>
      <c r="BW492" s="404"/>
    </row>
    <row r="493" spans="1:75" s="123" customFormat="1" hidden="1" outlineLevel="2" x14ac:dyDescent="0.5">
      <c r="A493" s="184" t="s">
        <v>629</v>
      </c>
      <c r="B493" s="119"/>
      <c r="C493" s="299"/>
      <c r="D493" s="299"/>
      <c r="E493" s="299"/>
      <c r="F493" s="299"/>
      <c r="G493" s="300"/>
      <c r="H493" s="300"/>
      <c r="I493" s="300"/>
      <c r="J493" s="300"/>
      <c r="K493" s="299"/>
      <c r="L493" s="300"/>
      <c r="M493" s="300"/>
      <c r="N493" s="300"/>
      <c r="O493" s="300"/>
      <c r="P493" s="299"/>
      <c r="Q493" s="300"/>
      <c r="R493" s="300"/>
      <c r="S493" s="300"/>
      <c r="T493" s="300"/>
      <c r="U493" s="299"/>
      <c r="V493" s="300"/>
      <c r="W493" s="300"/>
      <c r="X493" s="300"/>
      <c r="Y493" s="300">
        <v>0</v>
      </c>
      <c r="Z493" s="299"/>
      <c r="AA493" s="300"/>
      <c r="AB493" s="300"/>
      <c r="AC493" s="300"/>
      <c r="AD493" s="300">
        <v>0</v>
      </c>
      <c r="AE493" s="299"/>
      <c r="AF493" s="119"/>
      <c r="AG493" s="300"/>
      <c r="AH493" s="300"/>
      <c r="AI493" s="300">
        <v>0</v>
      </c>
      <c r="AJ493" s="299"/>
      <c r="AK493" s="119"/>
      <c r="AL493" s="300"/>
      <c r="AM493" s="300"/>
      <c r="AN493" s="300">
        <v>0</v>
      </c>
      <c r="AO493" s="299"/>
      <c r="AP493" s="119"/>
      <c r="AQ493" s="300"/>
      <c r="AR493" s="300"/>
      <c r="AS493" s="300">
        <v>0</v>
      </c>
      <c r="AT493" s="299"/>
      <c r="AU493" s="119"/>
      <c r="AV493" s="300"/>
      <c r="AW493" s="300"/>
      <c r="AX493" s="300">
        <v>0</v>
      </c>
      <c r="AY493" s="299"/>
      <c r="AZ493" s="119"/>
      <c r="BA493" s="300"/>
      <c r="BB493" s="300"/>
      <c r="BC493" s="300">
        <v>0</v>
      </c>
      <c r="BD493" s="299"/>
      <c r="BE493" s="119"/>
      <c r="BF493" s="300"/>
      <c r="BG493" s="300"/>
      <c r="BH493" s="300">
        <v>0</v>
      </c>
      <c r="BI493" s="304"/>
      <c r="BJ493" s="307">
        <v>0</v>
      </c>
      <c r="BK493" s="307">
        <v>0</v>
      </c>
      <c r="BL493" s="307">
        <v>0</v>
      </c>
      <c r="BM493" s="307">
        <v>0</v>
      </c>
      <c r="BN493" s="401">
        <v>0</v>
      </c>
      <c r="BO493" s="307">
        <v>0</v>
      </c>
      <c r="BP493" s="307">
        <v>0</v>
      </c>
      <c r="BQ493" s="307">
        <v>0</v>
      </c>
      <c r="BR493" s="307">
        <v>0</v>
      </c>
      <c r="BS493" s="401">
        <v>0</v>
      </c>
      <c r="BT493" s="403">
        <v>0</v>
      </c>
      <c r="BU493" s="403">
        <v>0</v>
      </c>
      <c r="BV493" s="403">
        <v>0</v>
      </c>
      <c r="BW493" s="404"/>
    </row>
    <row r="494" spans="1:75" s="123" customFormat="1" hidden="1" outlineLevel="2" x14ac:dyDescent="0.5">
      <c r="A494" s="184" t="s">
        <v>630</v>
      </c>
      <c r="B494" s="119"/>
      <c r="C494" s="299"/>
      <c r="D494" s="299"/>
      <c r="E494" s="299"/>
      <c r="F494" s="299"/>
      <c r="G494" s="300"/>
      <c r="H494" s="300"/>
      <c r="I494" s="300"/>
      <c r="J494" s="300"/>
      <c r="K494" s="299"/>
      <c r="L494" s="300"/>
      <c r="M494" s="300"/>
      <c r="N494" s="300"/>
      <c r="O494" s="300"/>
      <c r="P494" s="299"/>
      <c r="Q494" s="300"/>
      <c r="R494" s="300"/>
      <c r="S494" s="300"/>
      <c r="T494" s="300"/>
      <c r="U494" s="299"/>
      <c r="V494" s="300"/>
      <c r="W494" s="300"/>
      <c r="X494" s="300"/>
      <c r="Y494" s="300">
        <v>0</v>
      </c>
      <c r="Z494" s="299"/>
      <c r="AA494" s="300"/>
      <c r="AB494" s="300"/>
      <c r="AC494" s="300"/>
      <c r="AD494" s="300">
        <v>0</v>
      </c>
      <c r="AE494" s="299"/>
      <c r="AF494" s="119"/>
      <c r="AG494" s="300"/>
      <c r="AH494" s="300"/>
      <c r="AI494" s="300">
        <v>0</v>
      </c>
      <c r="AJ494" s="299"/>
      <c r="AK494" s="119"/>
      <c r="AL494" s="300"/>
      <c r="AM494" s="300"/>
      <c r="AN494" s="300">
        <v>0</v>
      </c>
      <c r="AO494" s="299"/>
      <c r="AP494" s="119"/>
      <c r="AQ494" s="300"/>
      <c r="AR494" s="300"/>
      <c r="AS494" s="300">
        <v>1.3</v>
      </c>
      <c r="AT494" s="305">
        <v>1.3</v>
      </c>
      <c r="AU494" s="302">
        <v>0.5</v>
      </c>
      <c r="AV494" s="300"/>
      <c r="AW494" s="300">
        <v>0.30000000000000004</v>
      </c>
      <c r="AX494" s="300">
        <v>0.59999999999999987</v>
      </c>
      <c r="AY494" s="305">
        <v>1.4</v>
      </c>
      <c r="AZ494" s="119"/>
      <c r="BA494" s="300"/>
      <c r="BB494" s="300"/>
      <c r="BC494" s="300">
        <v>0</v>
      </c>
      <c r="BD494" s="299"/>
      <c r="BE494" s="119"/>
      <c r="BF494" s="300"/>
      <c r="BG494" s="300"/>
      <c r="BH494" s="300">
        <v>0</v>
      </c>
      <c r="BI494" s="304"/>
      <c r="BJ494" s="307">
        <v>0</v>
      </c>
      <c r="BK494" s="307">
        <v>0</v>
      </c>
      <c r="BL494" s="307">
        <v>0</v>
      </c>
      <c r="BM494" s="307">
        <v>0</v>
      </c>
      <c r="BN494" s="401">
        <v>0</v>
      </c>
      <c r="BO494" s="307">
        <v>0</v>
      </c>
      <c r="BP494" s="307">
        <v>0</v>
      </c>
      <c r="BQ494" s="307">
        <v>0</v>
      </c>
      <c r="BR494" s="307">
        <v>0</v>
      </c>
      <c r="BS494" s="401">
        <v>0</v>
      </c>
      <c r="BT494" s="403">
        <v>0</v>
      </c>
      <c r="BU494" s="403">
        <v>0</v>
      </c>
      <c r="BV494" s="403">
        <v>0</v>
      </c>
      <c r="BW494" s="404"/>
    </row>
    <row r="495" spans="1:75" s="123" customFormat="1" hidden="1" outlineLevel="2" x14ac:dyDescent="0.5">
      <c r="A495" s="184" t="s">
        <v>631</v>
      </c>
      <c r="B495" s="119"/>
      <c r="C495" s="299"/>
      <c r="D495" s="299"/>
      <c r="E495" s="299"/>
      <c r="F495" s="299"/>
      <c r="G495" s="300"/>
      <c r="H495" s="300"/>
      <c r="I495" s="300"/>
      <c r="J495" s="300"/>
      <c r="K495" s="299"/>
      <c r="L495" s="300"/>
      <c r="M495" s="300"/>
      <c r="N495" s="300"/>
      <c r="O495" s="300"/>
      <c r="P495" s="299"/>
      <c r="Q495" s="300"/>
      <c r="R495" s="300"/>
      <c r="S495" s="300"/>
      <c r="T495" s="300"/>
      <c r="U495" s="299"/>
      <c r="V495" s="300"/>
      <c r="W495" s="300"/>
      <c r="X495" s="300"/>
      <c r="Y495" s="300">
        <v>0</v>
      </c>
      <c r="Z495" s="299"/>
      <c r="AA495" s="300"/>
      <c r="AB495" s="300"/>
      <c r="AC495" s="300"/>
      <c r="AD495" s="300">
        <v>0</v>
      </c>
      <c r="AE495" s="299"/>
      <c r="AF495" s="119"/>
      <c r="AG495" s="300"/>
      <c r="AH495" s="300"/>
      <c r="AI495" s="300">
        <v>0</v>
      </c>
      <c r="AJ495" s="299"/>
      <c r="AK495" s="119"/>
      <c r="AL495" s="300"/>
      <c r="AM495" s="300"/>
      <c r="AN495" s="300">
        <v>0</v>
      </c>
      <c r="AO495" s="299"/>
      <c r="AP495" s="119"/>
      <c r="AQ495" s="300"/>
      <c r="AR495" s="300"/>
      <c r="AS495" s="300">
        <v>0</v>
      </c>
      <c r="AT495" s="299"/>
      <c r="AU495" s="119"/>
      <c r="AV495" s="300"/>
      <c r="AW495" s="300"/>
      <c r="AX495" s="300">
        <v>0</v>
      </c>
      <c r="AY495" s="299"/>
      <c r="AZ495" s="119"/>
      <c r="BA495" s="300"/>
      <c r="BB495" s="300"/>
      <c r="BC495" s="300">
        <v>0</v>
      </c>
      <c r="BD495" s="299"/>
      <c r="BE495" s="119"/>
      <c r="BF495" s="300"/>
      <c r="BG495" s="300"/>
      <c r="BH495" s="300">
        <v>0</v>
      </c>
      <c r="BI495" s="304"/>
      <c r="BJ495" s="307">
        <v>0</v>
      </c>
      <c r="BK495" s="307">
        <v>0</v>
      </c>
      <c r="BL495" s="307">
        <v>0</v>
      </c>
      <c r="BM495" s="307">
        <v>0</v>
      </c>
      <c r="BN495" s="401">
        <v>0</v>
      </c>
      <c r="BO495" s="307">
        <v>0</v>
      </c>
      <c r="BP495" s="307">
        <v>0</v>
      </c>
      <c r="BQ495" s="307">
        <v>0</v>
      </c>
      <c r="BR495" s="307">
        <v>0</v>
      </c>
      <c r="BS495" s="401">
        <v>0</v>
      </c>
      <c r="BT495" s="403">
        <v>0</v>
      </c>
      <c r="BU495" s="403">
        <v>0</v>
      </c>
      <c r="BV495" s="403">
        <v>0</v>
      </c>
      <c r="BW495" s="404"/>
    </row>
    <row r="496" spans="1:75" s="123" customFormat="1" hidden="1" outlineLevel="2" x14ac:dyDescent="0.5">
      <c r="A496" s="445" t="s">
        <v>632</v>
      </c>
      <c r="B496" s="312"/>
      <c r="C496" s="309"/>
      <c r="D496" s="309"/>
      <c r="E496" s="309"/>
      <c r="F496" s="309"/>
      <c r="G496" s="310"/>
      <c r="H496" s="310"/>
      <c r="I496" s="310"/>
      <c r="J496" s="310"/>
      <c r="K496" s="309"/>
      <c r="L496" s="310"/>
      <c r="M496" s="310"/>
      <c r="N496" s="310"/>
      <c r="O496" s="310"/>
      <c r="P496" s="309"/>
      <c r="Q496" s="310"/>
      <c r="R496" s="310"/>
      <c r="S496" s="310"/>
      <c r="T496" s="310"/>
      <c r="U496" s="309"/>
      <c r="V496" s="310"/>
      <c r="W496" s="310"/>
      <c r="X496" s="310"/>
      <c r="Y496" s="310">
        <v>0</v>
      </c>
      <c r="Z496" s="309"/>
      <c r="AA496" s="310"/>
      <c r="AB496" s="310"/>
      <c r="AC496" s="310"/>
      <c r="AD496" s="310">
        <v>0</v>
      </c>
      <c r="AE496" s="309"/>
      <c r="AF496" s="312"/>
      <c r="AG496" s="310"/>
      <c r="AH496" s="310"/>
      <c r="AI496" s="310">
        <v>0</v>
      </c>
      <c r="AJ496" s="309"/>
      <c r="AK496" s="312"/>
      <c r="AL496" s="310"/>
      <c r="AM496" s="310"/>
      <c r="AN496" s="310">
        <v>0</v>
      </c>
      <c r="AO496" s="309"/>
      <c r="AP496" s="312"/>
      <c r="AQ496" s="310"/>
      <c r="AR496" s="310"/>
      <c r="AS496" s="310">
        <v>0</v>
      </c>
      <c r="AT496" s="309"/>
      <c r="AU496" s="312"/>
      <c r="AV496" s="310"/>
      <c r="AW496" s="310"/>
      <c r="AX496" s="310">
        <v>0</v>
      </c>
      <c r="AY496" s="309"/>
      <c r="AZ496" s="312"/>
      <c r="BA496" s="310"/>
      <c r="BB496" s="310"/>
      <c r="BC496" s="310">
        <v>0</v>
      </c>
      <c r="BD496" s="309"/>
      <c r="BE496" s="312"/>
      <c r="BF496" s="310"/>
      <c r="BG496" s="310"/>
      <c r="BH496" s="310">
        <v>0</v>
      </c>
      <c r="BI496" s="314"/>
      <c r="BJ496" s="316">
        <v>0</v>
      </c>
      <c r="BK496" s="316">
        <v>0</v>
      </c>
      <c r="BL496" s="316">
        <v>0</v>
      </c>
      <c r="BM496" s="316">
        <v>0</v>
      </c>
      <c r="BN496" s="406">
        <v>0</v>
      </c>
      <c r="BO496" s="316">
        <v>0</v>
      </c>
      <c r="BP496" s="316">
        <v>0</v>
      </c>
      <c r="BQ496" s="316">
        <v>0</v>
      </c>
      <c r="BR496" s="316">
        <v>0</v>
      </c>
      <c r="BS496" s="406">
        <v>0</v>
      </c>
      <c r="BT496" s="408">
        <v>0</v>
      </c>
      <c r="BU496" s="408">
        <v>0</v>
      </c>
      <c r="BV496" s="408">
        <v>0</v>
      </c>
      <c r="BW496" s="404"/>
    </row>
    <row r="497" spans="1:75" s="198" customFormat="1" ht="14.25" hidden="1" outlineLevel="1" collapsed="1" x14ac:dyDescent="0.45">
      <c r="A497" s="463" t="s">
        <v>633</v>
      </c>
      <c r="B497" s="295"/>
      <c r="C497" s="293"/>
      <c r="D497" s="293"/>
      <c r="E497" s="293"/>
      <c r="F497" s="293"/>
      <c r="G497" s="294"/>
      <c r="H497" s="294"/>
      <c r="I497" s="294"/>
      <c r="J497" s="294"/>
      <c r="K497" s="293"/>
      <c r="L497" s="294"/>
      <c r="M497" s="294"/>
      <c r="N497" s="294"/>
      <c r="O497" s="294"/>
      <c r="P497" s="293"/>
      <c r="Q497" s="294"/>
      <c r="R497" s="294"/>
      <c r="S497" s="294"/>
      <c r="T497" s="294"/>
      <c r="U497" s="293"/>
      <c r="V497" s="294"/>
      <c r="W497" s="294">
        <v>8.5509999999999984</v>
      </c>
      <c r="X497" s="294">
        <v>11.994999999999999</v>
      </c>
      <c r="Y497" s="294">
        <v>12.217000000000002</v>
      </c>
      <c r="Z497" s="293">
        <v>32.762999999999998</v>
      </c>
      <c r="AA497" s="294">
        <v>13.791</v>
      </c>
      <c r="AB497" s="294">
        <v>12.939</v>
      </c>
      <c r="AC497" s="294">
        <v>12.071</v>
      </c>
      <c r="AD497" s="294">
        <v>12.909999999999997</v>
      </c>
      <c r="AE497" s="293">
        <v>51.710999999999999</v>
      </c>
      <c r="AF497" s="197">
        <v>13.707000000000001</v>
      </c>
      <c r="AG497" s="294">
        <v>13.367000000000001</v>
      </c>
      <c r="AH497" s="398">
        <v>13.367000000000001</v>
      </c>
      <c r="AI497" s="294">
        <v>12.632999999999996</v>
      </c>
      <c r="AJ497" s="293">
        <v>53.073999999999998</v>
      </c>
      <c r="AK497" s="197">
        <v>13.776999999999999</v>
      </c>
      <c r="AL497" s="294">
        <v>13.569000000000001</v>
      </c>
      <c r="AM497" s="398">
        <v>12.62</v>
      </c>
      <c r="AN497" s="294">
        <v>12.542999999999999</v>
      </c>
      <c r="AO497" s="293">
        <v>52.509</v>
      </c>
      <c r="AP497" s="197">
        <v>13.325000000000001</v>
      </c>
      <c r="AQ497" s="294">
        <v>10.365</v>
      </c>
      <c r="AR497" s="398">
        <v>11.433</v>
      </c>
      <c r="AS497" s="294">
        <v>12.266999999999999</v>
      </c>
      <c r="AT497" s="293">
        <v>47.39</v>
      </c>
      <c r="AU497" s="197">
        <v>14.182</v>
      </c>
      <c r="AV497" s="294">
        <v>15.196</v>
      </c>
      <c r="AW497" s="398">
        <v>18.311999999999998</v>
      </c>
      <c r="AX497" s="294">
        <v>17.346000000000011</v>
      </c>
      <c r="AY497" s="293">
        <v>65.036000000000001</v>
      </c>
      <c r="AZ497" s="197">
        <v>17.776</v>
      </c>
      <c r="BA497" s="294">
        <v>20.898</v>
      </c>
      <c r="BB497" s="398">
        <v>18.643999999999998</v>
      </c>
      <c r="BC497" s="294">
        <v>17.917000000000009</v>
      </c>
      <c r="BD497" s="293">
        <v>75.234999999999999</v>
      </c>
      <c r="BE497" s="197">
        <v>19.29</v>
      </c>
      <c r="BF497" s="294">
        <v>17.652999999999999</v>
      </c>
      <c r="BG497" s="398">
        <v>19.507000000000001</v>
      </c>
      <c r="BH497" s="294">
        <v>22.132999999999996</v>
      </c>
      <c r="BI497" s="297">
        <v>78.582999999999998</v>
      </c>
      <c r="BJ497" s="294">
        <v>20.47547497317073</v>
      </c>
      <c r="BK497" s="294">
        <v>19.349685890243904</v>
      </c>
      <c r="BL497" s="294">
        <v>20.712046646829272</v>
      </c>
      <c r="BM497" s="294">
        <v>22.237239607142858</v>
      </c>
      <c r="BN497" s="397">
        <v>82.774447117386771</v>
      </c>
      <c r="BO497" s="294">
        <v>21.334094606048779</v>
      </c>
      <c r="BP497" s="294">
        <v>20.923793882463414</v>
      </c>
      <c r="BQ497" s="294">
        <v>21.798994043707321</v>
      </c>
      <c r="BR497" s="294">
        <v>23.619017425000003</v>
      </c>
      <c r="BS497" s="397">
        <v>87.675899957219514</v>
      </c>
      <c r="BT497" s="397">
        <v>90.936166710741844</v>
      </c>
      <c r="BU497" s="397">
        <v>94.313141159514018</v>
      </c>
      <c r="BV497" s="397">
        <v>97.810891525172835</v>
      </c>
      <c r="BW497" s="400"/>
    </row>
    <row r="498" spans="1:75" s="205" customFormat="1" ht="14.25" hidden="1" outlineLevel="1" x14ac:dyDescent="0.45">
      <c r="A498" s="409" t="s">
        <v>634</v>
      </c>
      <c r="B498" s="410"/>
      <c r="C498" s="446"/>
      <c r="D498" s="446"/>
      <c r="E498" s="446"/>
      <c r="F498" s="446"/>
      <c r="G498" s="447"/>
      <c r="H498" s="447"/>
      <c r="I498" s="447"/>
      <c r="J498" s="447"/>
      <c r="K498" s="446"/>
      <c r="L498" s="447"/>
      <c r="M498" s="447"/>
      <c r="N498" s="447"/>
      <c r="O498" s="447"/>
      <c r="P498" s="446"/>
      <c r="Q498" s="447"/>
      <c r="R498" s="447"/>
      <c r="S498" s="447"/>
      <c r="T498" s="447"/>
      <c r="U498" s="446"/>
      <c r="V498" s="447"/>
      <c r="W498" s="447"/>
      <c r="X498" s="447"/>
      <c r="Y498" s="202"/>
      <c r="Z498" s="201"/>
      <c r="AA498" s="202"/>
      <c r="AB498" s="457" t="s">
        <v>186</v>
      </c>
      <c r="AC498" s="447">
        <v>7.6000000000000512E-2</v>
      </c>
      <c r="AD498" s="202">
        <v>0.69299999999999429</v>
      </c>
      <c r="AE498" s="458" t="s">
        <v>186</v>
      </c>
      <c r="AF498" s="459">
        <v>-8.3999999999999631E-2</v>
      </c>
      <c r="AG498" s="202">
        <v>0.42800000000000082</v>
      </c>
      <c r="AH498" s="460">
        <v>1.2960000000000012</v>
      </c>
      <c r="AI498" s="202">
        <v>-0.27700000000000102</v>
      </c>
      <c r="AJ498" s="201">
        <v>1.3629999999999995</v>
      </c>
      <c r="AK498" s="459">
        <v>6.9999999999998508E-2</v>
      </c>
      <c r="AL498" s="202">
        <v>0.20199999999999996</v>
      </c>
      <c r="AM498" s="460">
        <v>-0.74700000000000166</v>
      </c>
      <c r="AN498" s="202">
        <v>-8.9999999999996305E-2</v>
      </c>
      <c r="AO498" s="201">
        <v>-0.56499999999999773</v>
      </c>
      <c r="AP498" s="459">
        <v>-0.45199999999999818</v>
      </c>
      <c r="AQ498" s="202">
        <v>-3.2040000000000006</v>
      </c>
      <c r="AR498" s="460">
        <v>-1.1869999999999994</v>
      </c>
      <c r="AS498" s="202">
        <v>-0.2759999999999998</v>
      </c>
      <c r="AT498" s="201">
        <v>-5.1189999999999998</v>
      </c>
      <c r="AU498" s="459">
        <v>0.85699999999999932</v>
      </c>
      <c r="AV498" s="202">
        <v>4.8309999999999995</v>
      </c>
      <c r="AW498" s="460">
        <v>6.8789999999999978</v>
      </c>
      <c r="AX498" s="202">
        <v>5.0790000000000113</v>
      </c>
      <c r="AY498" s="201">
        <v>17.646000000000001</v>
      </c>
      <c r="AZ498" s="459">
        <v>3.5939999999999994</v>
      </c>
      <c r="BA498" s="202">
        <v>5.702</v>
      </c>
      <c r="BB498" s="460">
        <v>0.33200000000000074</v>
      </c>
      <c r="BC498" s="202">
        <v>0.57099999999999795</v>
      </c>
      <c r="BD498" s="201">
        <v>10.198999999999998</v>
      </c>
      <c r="BE498" s="447">
        <v>1.5139999999999993</v>
      </c>
      <c r="BF498" s="202">
        <v>-3.245000000000001</v>
      </c>
      <c r="BG498" s="460">
        <v>0.8630000000000031</v>
      </c>
      <c r="BH498" s="202">
        <v>4.2159999999999869</v>
      </c>
      <c r="BI498" s="203">
        <v>3.347999999999999</v>
      </c>
      <c r="BJ498" s="202">
        <v>1.1854749731707308</v>
      </c>
      <c r="BK498" s="202">
        <v>1.6966858902439057</v>
      </c>
      <c r="BL498" s="202">
        <v>1.2050466468292704</v>
      </c>
      <c r="BM498" s="202">
        <v>0.10423960714286196</v>
      </c>
      <c r="BN498" s="201">
        <v>4.1914471173867724</v>
      </c>
      <c r="BO498" s="202">
        <v>0.85861963287804954</v>
      </c>
      <c r="BP498" s="202">
        <v>1.5741079922195098</v>
      </c>
      <c r="BQ498" s="202">
        <v>1.086947396878049</v>
      </c>
      <c r="BR498" s="202">
        <v>1.3817778178571452</v>
      </c>
      <c r="BS498" s="201">
        <v>4.9014528398327428</v>
      </c>
      <c r="BT498" s="201">
        <v>3.2602667535223304</v>
      </c>
      <c r="BU498" s="201">
        <v>3.3769744487721738</v>
      </c>
      <c r="BV498" s="201">
        <v>3.4977503656588169</v>
      </c>
      <c r="BW498" s="204"/>
    </row>
    <row r="499" spans="1:75" s="177" customFormat="1" ht="14.25" hidden="1" outlineLevel="1" x14ac:dyDescent="0.45">
      <c r="A499" s="373" t="s">
        <v>635</v>
      </c>
      <c r="B499" s="374"/>
      <c r="C499" s="451"/>
      <c r="D499" s="451"/>
      <c r="E499" s="451"/>
      <c r="F499" s="451"/>
      <c r="G499" s="452"/>
      <c r="H499" s="452"/>
      <c r="I499" s="452"/>
      <c r="J499" s="452"/>
      <c r="K499" s="451"/>
      <c r="L499" s="452"/>
      <c r="M499" s="452"/>
      <c r="N499" s="452"/>
      <c r="O499" s="452"/>
      <c r="P499" s="451"/>
      <c r="Q499" s="452"/>
      <c r="R499" s="452"/>
      <c r="S499" s="452"/>
      <c r="T499" s="452"/>
      <c r="U499" s="451"/>
      <c r="V499" s="452"/>
      <c r="W499" s="452"/>
      <c r="X499" s="452"/>
      <c r="Y499" s="173"/>
      <c r="Z499" s="172"/>
      <c r="AA499" s="173"/>
      <c r="AB499" s="190" t="s">
        <v>186</v>
      </c>
      <c r="AC499" s="452">
        <v>6.3359733222176917E-3</v>
      </c>
      <c r="AD499" s="173">
        <v>5.6724236719325027E-2</v>
      </c>
      <c r="AE499" s="191" t="s">
        <v>186</v>
      </c>
      <c r="AF499" s="461">
        <v>-6.0909288666521899E-3</v>
      </c>
      <c r="AG499" s="173">
        <v>3.3078290439755742E-2</v>
      </c>
      <c r="AH499" s="462">
        <v>0.10736475851213667</v>
      </c>
      <c r="AI499" s="173">
        <v>-2.1456235476374985E-2</v>
      </c>
      <c r="AJ499" s="172">
        <v>2.6358028272514433E-2</v>
      </c>
      <c r="AK499" s="461">
        <v>5.106879696505251E-3</v>
      </c>
      <c r="AL499" s="173">
        <v>1.5111842597441472E-2</v>
      </c>
      <c r="AM499" s="462">
        <v>-5.5883893169746512E-2</v>
      </c>
      <c r="AN499" s="173">
        <v>-7.1241985276653264E-3</v>
      </c>
      <c r="AO499" s="172">
        <v>-1.0645513810905505E-2</v>
      </c>
      <c r="AP499" s="461">
        <v>-3.2808303694563223E-2</v>
      </c>
      <c r="AQ499" s="173">
        <v>-0.23612646473579491</v>
      </c>
      <c r="AR499" s="462">
        <v>-9.4057052297939703E-2</v>
      </c>
      <c r="AS499" s="173">
        <v>-2.2004305190145845E-2</v>
      </c>
      <c r="AT499" s="172">
        <v>-9.7488049667675991E-2</v>
      </c>
      <c r="AU499" s="461">
        <v>6.4315196998123714E-2</v>
      </c>
      <c r="AV499" s="173">
        <v>0.46608779546550894</v>
      </c>
      <c r="AW499" s="462">
        <v>0.6016793492521646</v>
      </c>
      <c r="AX499" s="173">
        <v>0.41403766202005476</v>
      </c>
      <c r="AY499" s="172">
        <v>0.37235703734965186</v>
      </c>
      <c r="AZ499" s="461">
        <v>0.25341982795092366</v>
      </c>
      <c r="BA499" s="173">
        <v>0.37523032376941301</v>
      </c>
      <c r="BB499" s="462">
        <v>1.8130187854958457E-2</v>
      </c>
      <c r="BC499" s="173">
        <v>3.2918252046581165E-2</v>
      </c>
      <c r="BD499" s="172">
        <v>0.15682083768989474</v>
      </c>
      <c r="BE499" s="452">
        <v>8.5171017101710156E-2</v>
      </c>
      <c r="BF499" s="173">
        <v>-0.15527801703512301</v>
      </c>
      <c r="BG499" s="462">
        <v>4.6288350139455314E-2</v>
      </c>
      <c r="BH499" s="173">
        <v>0.23530725009767184</v>
      </c>
      <c r="BI499" s="174">
        <v>4.4500564896657213E-2</v>
      </c>
      <c r="BJ499" s="173">
        <v>6.1455415923832524E-2</v>
      </c>
      <c r="BK499" s="173">
        <v>9.611317567800981E-2</v>
      </c>
      <c r="BL499" s="173">
        <v>6.1775088267251199E-2</v>
      </c>
      <c r="BM499" s="173">
        <v>4.709691733739696E-3</v>
      </c>
      <c r="BN499" s="172">
        <v>5.3337835376439768E-2</v>
      </c>
      <c r="BO499" s="173">
        <v>4.1934052030690783E-2</v>
      </c>
      <c r="BP499" s="173">
        <v>8.1350570812788847E-2</v>
      </c>
      <c r="BQ499" s="173">
        <v>5.2478995215301305E-2</v>
      </c>
      <c r="BR499" s="173">
        <v>6.2138010034901159E-2</v>
      </c>
      <c r="BS499" s="172">
        <v>5.9214564524746827E-2</v>
      </c>
      <c r="BT499" s="172">
        <v>3.7185438131951187E-2</v>
      </c>
      <c r="BU499" s="172">
        <v>3.7135658681478834E-2</v>
      </c>
      <c r="BV499" s="172">
        <v>3.7086564212117423E-2</v>
      </c>
      <c r="BW499" s="176"/>
    </row>
    <row r="500" spans="1:75" s="217" customFormat="1" hidden="1" outlineLevel="1" x14ac:dyDescent="0.5">
      <c r="A500" s="433" t="s">
        <v>636</v>
      </c>
      <c r="B500" s="336"/>
      <c r="C500" s="420"/>
      <c r="D500" s="420"/>
      <c r="E500" s="420"/>
      <c r="F500" s="420"/>
      <c r="G500" s="421"/>
      <c r="H500" s="421"/>
      <c r="I500" s="421"/>
      <c r="J500" s="421"/>
      <c r="K500" s="420"/>
      <c r="L500" s="421"/>
      <c r="M500" s="421"/>
      <c r="N500" s="421"/>
      <c r="O500" s="421"/>
      <c r="P500" s="420"/>
      <c r="Q500" s="421"/>
      <c r="R500" s="421"/>
      <c r="S500" s="421"/>
      <c r="T500" s="421"/>
      <c r="U500" s="420"/>
      <c r="V500" s="421"/>
      <c r="W500" s="421">
        <v>0.4118383663247121</v>
      </c>
      <c r="X500" s="421">
        <v>0.42383661354722446</v>
      </c>
      <c r="Y500" s="422">
        <v>0.47420719636688285</v>
      </c>
      <c r="Z500" s="423">
        <v>0.437849973939888</v>
      </c>
      <c r="AA500" s="422">
        <v>0.48301344914541888</v>
      </c>
      <c r="AB500" s="422">
        <v>0.4103320331081724</v>
      </c>
      <c r="AC500" s="421">
        <v>0.41199358339875081</v>
      </c>
      <c r="AD500" s="422">
        <v>0.41038845444719935</v>
      </c>
      <c r="AE500" s="423">
        <v>0.42792241108223961</v>
      </c>
      <c r="AF500" s="216">
        <v>0.43654256504984235</v>
      </c>
      <c r="AG500" s="422">
        <v>0.4026932578176779</v>
      </c>
      <c r="AH500" s="434">
        <v>0.41466062786946278</v>
      </c>
      <c r="AI500" s="422">
        <v>0.37877788438474436</v>
      </c>
      <c r="AJ500" s="423">
        <v>0.40769390310413955</v>
      </c>
      <c r="AK500" s="216">
        <v>0.39686014691055732</v>
      </c>
      <c r="AL500" s="422">
        <v>0.39691686655355995</v>
      </c>
      <c r="AM500" s="434">
        <v>0.39255941271618755</v>
      </c>
      <c r="AN500" s="422">
        <v>0.39084507042253536</v>
      </c>
      <c r="AO500" s="423">
        <v>0.39438640238544104</v>
      </c>
      <c r="AP500" s="216">
        <v>0.47694895840790325</v>
      </c>
      <c r="AQ500" s="422">
        <v>0.37157196630220474</v>
      </c>
      <c r="AR500" s="434">
        <v>0.3660785757740706</v>
      </c>
      <c r="AS500" s="422">
        <v>0.38167392657125077</v>
      </c>
      <c r="AT500" s="423">
        <v>0.39755377336330999</v>
      </c>
      <c r="AU500" s="216">
        <v>0.34616417291122559</v>
      </c>
      <c r="AV500" s="422">
        <v>0.36846827186537667</v>
      </c>
      <c r="AW500" s="434">
        <v>0.44052058024008267</v>
      </c>
      <c r="AX500" s="422">
        <v>0.42102963664166632</v>
      </c>
      <c r="AY500" s="423">
        <v>0.39421013710919028</v>
      </c>
      <c r="AZ500" s="216">
        <v>0.3676981631639914</v>
      </c>
      <c r="BA500" s="422">
        <v>0.4062755161553715</v>
      </c>
      <c r="BB500" s="434">
        <v>0.38999288792201814</v>
      </c>
      <c r="BC500" s="422">
        <v>0.40489480463718375</v>
      </c>
      <c r="BD500" s="423">
        <v>0.39217781577260097</v>
      </c>
      <c r="BE500" s="421">
        <v>0.39653825597171399</v>
      </c>
      <c r="BF500" s="422">
        <v>0.37616399241407228</v>
      </c>
      <c r="BG500" s="434">
        <v>0.42255870375184129</v>
      </c>
      <c r="BH500" s="422">
        <v>0.42752559397334372</v>
      </c>
      <c r="BI500" s="424">
        <v>0.40609480695988304</v>
      </c>
      <c r="BJ500" s="422">
        <v>0.43153825597171402</v>
      </c>
      <c r="BK500" s="422">
        <v>0.4011639924140723</v>
      </c>
      <c r="BL500" s="422">
        <v>0.42355870375184129</v>
      </c>
      <c r="BM500" s="422">
        <v>0.43252559397334372</v>
      </c>
      <c r="BN500" s="423">
        <v>0.42233131134128238</v>
      </c>
      <c r="BO500" s="422">
        <v>0.43653825597171403</v>
      </c>
      <c r="BP500" s="422">
        <v>0.42116399241407232</v>
      </c>
      <c r="BQ500" s="422">
        <v>0.42455870375184129</v>
      </c>
      <c r="BR500" s="422">
        <v>0.43752559397334373</v>
      </c>
      <c r="BS500" s="423">
        <v>0.43003640741959492</v>
      </c>
      <c r="BT500" s="423">
        <v>0.43303640741959493</v>
      </c>
      <c r="BU500" s="423">
        <v>0.43603640741959493</v>
      </c>
      <c r="BV500" s="423">
        <v>0.43903640741959493</v>
      </c>
      <c r="BW500" s="216"/>
    </row>
    <row r="501" spans="1:75" s="224" customFormat="1" hidden="1" outlineLevel="1" x14ac:dyDescent="0.5">
      <c r="A501" s="330" t="s">
        <v>637</v>
      </c>
      <c r="B501" s="258"/>
      <c r="C501" s="252"/>
      <c r="D501" s="252"/>
      <c r="E501" s="252"/>
      <c r="F501" s="252"/>
      <c r="G501" s="253"/>
      <c r="H501" s="253"/>
      <c r="I501" s="253"/>
      <c r="J501" s="253"/>
      <c r="K501" s="252"/>
      <c r="L501" s="253"/>
      <c r="M501" s="253"/>
      <c r="N501" s="253"/>
      <c r="O501" s="253"/>
      <c r="P501" s="252"/>
      <c r="Q501" s="253"/>
      <c r="R501" s="253"/>
      <c r="S501" s="253"/>
      <c r="T501" s="253"/>
      <c r="U501" s="252"/>
      <c r="V501" s="253"/>
      <c r="W501" s="253"/>
      <c r="X501" s="253"/>
      <c r="Y501" s="254"/>
      <c r="Z501" s="425"/>
      <c r="AA501" s="254"/>
      <c r="AB501" s="254">
        <v>15.063332165397014</v>
      </c>
      <c r="AC501" s="253">
        <v>118.43030148473655</v>
      </c>
      <c r="AD501" s="254">
        <v>638.18741919683509</v>
      </c>
      <c r="AE501" s="425">
        <v>99.275628576483982</v>
      </c>
      <c r="AF501" s="254">
        <v>464.70884095576537</v>
      </c>
      <c r="AG501" s="254">
        <v>76.387752904945046</v>
      </c>
      <c r="AH501" s="253">
        <v>-26.670444707119767</v>
      </c>
      <c r="AI501" s="254">
        <v>316.10570062454991</v>
      </c>
      <c r="AJ501" s="425">
        <v>202.28507978100052</v>
      </c>
      <c r="AK501" s="254">
        <v>396.82418139285028</v>
      </c>
      <c r="AL501" s="254">
        <v>57.763912641179417</v>
      </c>
      <c r="AM501" s="253">
        <v>221.01215153275234</v>
      </c>
      <c r="AN501" s="254">
        <v>-120.67186037791001</v>
      </c>
      <c r="AO501" s="425">
        <v>133.07500718698518</v>
      </c>
      <c r="AP501" s="254">
        <v>-800.88811497345921</v>
      </c>
      <c r="AQ501" s="254">
        <v>253.44900251355219</v>
      </c>
      <c r="AR501" s="253">
        <v>264.80836942116946</v>
      </c>
      <c r="AS501" s="254">
        <v>91.711438512845916</v>
      </c>
      <c r="AT501" s="425">
        <v>-31.673709778689553</v>
      </c>
      <c r="AU501" s="254">
        <v>1307.8478549667766</v>
      </c>
      <c r="AV501" s="254">
        <v>31.03694436828064</v>
      </c>
      <c r="AW501" s="253">
        <v>-744.42004466012065</v>
      </c>
      <c r="AX501" s="254">
        <v>-393.55710070415552</v>
      </c>
      <c r="AY501" s="425">
        <v>33.436362541197084</v>
      </c>
      <c r="AZ501" s="254">
        <v>-215.33990252765813</v>
      </c>
      <c r="BA501" s="254">
        <v>-378.07244289994821</v>
      </c>
      <c r="BB501" s="253">
        <v>505.27692318064533</v>
      </c>
      <c r="BC501" s="254">
        <v>161.3483200448257</v>
      </c>
      <c r="BD501" s="425">
        <v>20.323213365893157</v>
      </c>
      <c r="BE501" s="253">
        <v>-288.40092807722596</v>
      </c>
      <c r="BF501" s="254">
        <v>301.1152374129922</v>
      </c>
      <c r="BG501" s="253">
        <v>-325.65815829823151</v>
      </c>
      <c r="BH501" s="254">
        <v>-226.30789336159972</v>
      </c>
      <c r="BI501" s="426">
        <v>-139.16991187282068</v>
      </c>
      <c r="BJ501" s="256">
        <v>-350</v>
      </c>
      <c r="BK501" s="256">
        <v>-250</v>
      </c>
      <c r="BL501" s="256">
        <v>-10</v>
      </c>
      <c r="BM501" s="256">
        <v>-50</v>
      </c>
      <c r="BN501" s="425">
        <v>-162.36504381399342</v>
      </c>
      <c r="BO501" s="256">
        <v>-50</v>
      </c>
      <c r="BP501" s="256">
        <v>-200</v>
      </c>
      <c r="BQ501" s="256">
        <v>-10</v>
      </c>
      <c r="BR501" s="256">
        <v>-50</v>
      </c>
      <c r="BS501" s="425">
        <v>-77.050960783125461</v>
      </c>
      <c r="BT501" s="427">
        <v>-30</v>
      </c>
      <c r="BU501" s="427">
        <v>-30</v>
      </c>
      <c r="BV501" s="427">
        <v>-30</v>
      </c>
      <c r="BW501" s="223"/>
    </row>
    <row r="502" spans="1:75" s="123" customFormat="1" hidden="1" outlineLevel="1" x14ac:dyDescent="0.5">
      <c r="A502" s="184"/>
      <c r="B502" s="119"/>
      <c r="C502" s="299"/>
      <c r="D502" s="299"/>
      <c r="E502" s="299"/>
      <c r="F502" s="299"/>
      <c r="G502" s="300"/>
      <c r="H502" s="300"/>
      <c r="I502" s="300"/>
      <c r="J502" s="300"/>
      <c r="K502" s="299"/>
      <c r="L502" s="300"/>
      <c r="M502" s="300"/>
      <c r="N502" s="300"/>
      <c r="O502" s="300"/>
      <c r="P502" s="299"/>
      <c r="Q502" s="300"/>
      <c r="R502" s="300"/>
      <c r="S502" s="300"/>
      <c r="T502" s="300"/>
      <c r="U502" s="299"/>
      <c r="V502" s="300"/>
      <c r="W502" s="300"/>
      <c r="X502" s="300"/>
      <c r="Y502" s="300"/>
      <c r="Z502" s="299"/>
      <c r="AA502" s="300"/>
      <c r="AB502" s="300"/>
      <c r="AC502" s="300"/>
      <c r="AD502" s="300"/>
      <c r="AE502" s="299"/>
      <c r="AF502" s="119"/>
      <c r="AG502" s="300"/>
      <c r="AH502" s="300"/>
      <c r="AI502" s="300"/>
      <c r="AJ502" s="299"/>
      <c r="AK502" s="119"/>
      <c r="AL502" s="300"/>
      <c r="AM502" s="300"/>
      <c r="AN502" s="300"/>
      <c r="AO502" s="299"/>
      <c r="AP502" s="119"/>
      <c r="AQ502" s="300"/>
      <c r="AR502" s="300"/>
      <c r="AS502" s="300"/>
      <c r="AT502" s="299"/>
      <c r="AU502" s="119"/>
      <c r="AV502" s="300"/>
      <c r="AW502" s="300"/>
      <c r="AX502" s="300"/>
      <c r="AY502" s="299"/>
      <c r="AZ502" s="119"/>
      <c r="BA502" s="300"/>
      <c r="BB502" s="300"/>
      <c r="BC502" s="300"/>
      <c r="BD502" s="299"/>
      <c r="BE502" s="119"/>
      <c r="BF502" s="300"/>
      <c r="BG502" s="300"/>
      <c r="BH502" s="300"/>
      <c r="BI502" s="304"/>
      <c r="BJ502" s="300"/>
      <c r="BK502" s="300"/>
      <c r="BL502" s="300"/>
      <c r="BM502" s="300"/>
      <c r="BN502" s="401"/>
      <c r="BO502" s="300"/>
      <c r="BP502" s="300"/>
      <c r="BQ502" s="300"/>
      <c r="BR502" s="300"/>
      <c r="BS502" s="401"/>
      <c r="BT502" s="401"/>
      <c r="BU502" s="401"/>
      <c r="BV502" s="401"/>
      <c r="BW502" s="404"/>
    </row>
    <row r="503" spans="1:75" s="198" customFormat="1" ht="14.25" hidden="1" outlineLevel="1" x14ac:dyDescent="0.45">
      <c r="A503" s="463" t="s">
        <v>638</v>
      </c>
      <c r="B503" s="295"/>
      <c r="C503" s="293"/>
      <c r="D503" s="293"/>
      <c r="E503" s="293"/>
      <c r="F503" s="293"/>
      <c r="G503" s="294"/>
      <c r="H503" s="294"/>
      <c r="I503" s="294"/>
      <c r="J503" s="294"/>
      <c r="K503" s="293"/>
      <c r="L503" s="294"/>
      <c r="M503" s="294"/>
      <c r="N503" s="294"/>
      <c r="O503" s="294"/>
      <c r="P503" s="293"/>
      <c r="Q503" s="294"/>
      <c r="R503" s="294"/>
      <c r="S503" s="294"/>
      <c r="T503" s="294"/>
      <c r="U503" s="293"/>
      <c r="V503" s="294"/>
      <c r="W503" s="294">
        <v>-6.2149999999999999</v>
      </c>
      <c r="X503" s="294">
        <v>-2.2999999999999989</v>
      </c>
      <c r="Y503" s="294">
        <v>-4.3520000000000021</v>
      </c>
      <c r="Z503" s="293">
        <v>-12.867000000000001</v>
      </c>
      <c r="AA503" s="294">
        <v>-3.1620000000000008</v>
      </c>
      <c r="AB503" s="294">
        <v>-0.12199999999999989</v>
      </c>
      <c r="AC503" s="294">
        <v>-0.96700000000000053</v>
      </c>
      <c r="AD503" s="294">
        <v>-0.39199999999999591</v>
      </c>
      <c r="AE503" s="293">
        <v>-4.6430000000000007</v>
      </c>
      <c r="AF503" s="197">
        <v>-8.0000000000000071E-2</v>
      </c>
      <c r="AG503" s="294">
        <v>-0.52800000000000047</v>
      </c>
      <c r="AH503" s="398">
        <v>0.22199999999999953</v>
      </c>
      <c r="AI503" s="294">
        <v>-0.91599999999999682</v>
      </c>
      <c r="AJ503" s="293">
        <v>-1.3019999999999996</v>
      </c>
      <c r="AK503" s="197">
        <v>1.0940000000000012</v>
      </c>
      <c r="AL503" s="294">
        <v>0.91999999999999993</v>
      </c>
      <c r="AM503" s="398">
        <v>0.82500000000000107</v>
      </c>
      <c r="AN503" s="294">
        <v>0.9410000000000025</v>
      </c>
      <c r="AO503" s="293">
        <v>3.7800000000000011</v>
      </c>
      <c r="AP503" s="197">
        <v>-3.0330000000000013</v>
      </c>
      <c r="AQ503" s="294">
        <v>1.5730000000000004</v>
      </c>
      <c r="AR503" s="398">
        <v>2.2080000000000002</v>
      </c>
      <c r="AS503" s="294">
        <v>0.34500000000000597</v>
      </c>
      <c r="AT503" s="293">
        <v>1.0930000000000035</v>
      </c>
      <c r="AU503" s="197">
        <v>5.7419999999999991</v>
      </c>
      <c r="AV503" s="294">
        <v>5.413000000000002</v>
      </c>
      <c r="AW503" s="398">
        <v>2.2789999999999999</v>
      </c>
      <c r="AX503" s="294">
        <v>2.8729999999999833</v>
      </c>
      <c r="AY503" s="293">
        <v>16.306999999999988</v>
      </c>
      <c r="AZ503" s="197">
        <v>7.9849999999999994</v>
      </c>
      <c r="BA503" s="294">
        <v>3.5459999999999994</v>
      </c>
      <c r="BB503" s="398">
        <v>7.1870000000000012</v>
      </c>
      <c r="BC503" s="294">
        <v>5.8879999999999839</v>
      </c>
      <c r="BD503" s="293">
        <v>24.605999999999995</v>
      </c>
      <c r="BE503" s="197">
        <v>6.6709999999999994</v>
      </c>
      <c r="BF503" s="294">
        <v>7.995000000000001</v>
      </c>
      <c r="BG503" s="398">
        <v>4.9629999999999974</v>
      </c>
      <c r="BH503" s="294">
        <v>4.7000000000000171</v>
      </c>
      <c r="BI503" s="297">
        <v>24.329000000000008</v>
      </c>
      <c r="BJ503" s="294">
        <v>5.0832361902439018</v>
      </c>
      <c r="BK503" s="294">
        <v>7.0596874770731688</v>
      </c>
      <c r="BL503" s="294">
        <v>6.1862497043902422</v>
      </c>
      <c r="BM503" s="294">
        <v>4.4618974571428751</v>
      </c>
      <c r="BN503" s="397">
        <v>22.791070828850181</v>
      </c>
      <c r="BO503" s="294">
        <v>5.235733275951219</v>
      </c>
      <c r="BP503" s="294">
        <v>6.3275415566487787</v>
      </c>
      <c r="BQ503" s="294">
        <v>7.4711184158048773</v>
      </c>
      <c r="BR503" s="294">
        <v>4.469059660000017</v>
      </c>
      <c r="BS503" s="397">
        <v>23.503452908404896</v>
      </c>
      <c r="BT503" s="397">
        <v>23.788563325786555</v>
      </c>
      <c r="BU503" s="397">
        <v>24.069627260593549</v>
      </c>
      <c r="BV503" s="397">
        <v>24.346145324495751</v>
      </c>
      <c r="BW503" s="197"/>
    </row>
    <row r="504" spans="1:75" s="123" customFormat="1" hidden="1" outlineLevel="1" x14ac:dyDescent="0.5">
      <c r="A504" s="464" t="s">
        <v>639</v>
      </c>
      <c r="B504" s="119"/>
      <c r="C504" s="299"/>
      <c r="D504" s="299"/>
      <c r="E504" s="299"/>
      <c r="F504" s="299"/>
      <c r="G504" s="300"/>
      <c r="H504" s="300"/>
      <c r="I504" s="300"/>
      <c r="J504" s="300"/>
      <c r="K504" s="299"/>
      <c r="L504" s="300"/>
      <c r="M504" s="300"/>
      <c r="N504" s="300"/>
      <c r="O504" s="300"/>
      <c r="P504" s="299"/>
      <c r="Q504" s="300"/>
      <c r="R504" s="300"/>
      <c r="S504" s="300"/>
      <c r="T504" s="300"/>
      <c r="U504" s="299"/>
      <c r="V504" s="300"/>
      <c r="W504" s="300">
        <v>-2.7000000000000135E-2</v>
      </c>
      <c r="X504" s="300">
        <v>-1.4000000000001123E-2</v>
      </c>
      <c r="Y504" s="300">
        <v>4.8000000000002707E-2</v>
      </c>
      <c r="Z504" s="299">
        <v>7.0000000000014495E-3</v>
      </c>
      <c r="AA504" s="300">
        <v>-1.999999999999913E-2</v>
      </c>
      <c r="AB504" s="300">
        <v>-2.0000000000000129E-2</v>
      </c>
      <c r="AC504" s="300">
        <v>4.8000000000000542E-2</v>
      </c>
      <c r="AD504" s="300">
        <v>1.8999999999995687E-2</v>
      </c>
      <c r="AE504" s="299">
        <v>2.7000000000000579E-2</v>
      </c>
      <c r="AF504" s="122">
        <v>-9.9999999999999534E-3</v>
      </c>
      <c r="AG504" s="300">
        <v>-9.9999999999995648E-3</v>
      </c>
      <c r="AH504" s="429">
        <v>4.7184478546569153E-16</v>
      </c>
      <c r="AI504" s="300">
        <v>-3.219646771412954E-15</v>
      </c>
      <c r="AJ504" s="299">
        <v>-2.0000000000000462E-2</v>
      </c>
      <c r="AK504" s="122">
        <v>-1.1102230246251565E-15</v>
      </c>
      <c r="AL504" s="300">
        <v>1.1102230246251565E-16</v>
      </c>
      <c r="AM504" s="429">
        <v>-1.1102230246251565E-15</v>
      </c>
      <c r="AN504" s="300">
        <v>-3.1086244689504383E-15</v>
      </c>
      <c r="AO504" s="299">
        <v>-1.3322676295501878E-15</v>
      </c>
      <c r="AP504" s="122">
        <v>-1.6999999999998794E-2</v>
      </c>
      <c r="AQ504" s="300">
        <v>-4.4408920985006262E-16</v>
      </c>
      <c r="AR504" s="429">
        <v>0</v>
      </c>
      <c r="AS504" s="300">
        <v>4.299999999999371E-2</v>
      </c>
      <c r="AT504" s="299">
        <v>2.5999999999996248E-2</v>
      </c>
      <c r="AU504" s="122">
        <v>8.8817841970012523E-16</v>
      </c>
      <c r="AV504" s="300">
        <v>-1.7763568394002505E-15</v>
      </c>
      <c r="AW504" s="429">
        <v>4.0000000000000258E-2</v>
      </c>
      <c r="AX504" s="300">
        <v>1.5765166949677223E-14</v>
      </c>
      <c r="AY504" s="299">
        <v>4.0000000000012026E-2</v>
      </c>
      <c r="AZ504" s="122">
        <v>8.8817841970012523E-16</v>
      </c>
      <c r="BA504" s="300">
        <v>-2.3999999999999133E-2</v>
      </c>
      <c r="BB504" s="429">
        <v>-8.8817841970012523E-16</v>
      </c>
      <c r="BC504" s="300">
        <v>1.4210854715202004E-14</v>
      </c>
      <c r="BD504" s="299">
        <v>-2.3999999999994692E-2</v>
      </c>
      <c r="BE504" s="122">
        <v>8.8817841970012523E-16</v>
      </c>
      <c r="BF504" s="300">
        <v>-8.8817841970012523E-16</v>
      </c>
      <c r="BG504" s="429">
        <v>2.6645352591003757E-15</v>
      </c>
      <c r="BH504" s="300">
        <v>-1.7763568394002505E-14</v>
      </c>
      <c r="BI504" s="304">
        <v>-7.1054273576010019E-15</v>
      </c>
      <c r="BJ504" s="300">
        <v>0</v>
      </c>
      <c r="BK504" s="300">
        <v>0</v>
      </c>
      <c r="BL504" s="300">
        <v>0</v>
      </c>
      <c r="BM504" s="300">
        <v>0</v>
      </c>
      <c r="BN504" s="401">
        <v>0</v>
      </c>
      <c r="BO504" s="300">
        <v>0</v>
      </c>
      <c r="BP504" s="300">
        <v>0</v>
      </c>
      <c r="BQ504" s="300">
        <v>0</v>
      </c>
      <c r="BR504" s="300">
        <v>0</v>
      </c>
      <c r="BS504" s="401">
        <v>0</v>
      </c>
      <c r="BT504" s="401">
        <v>0</v>
      </c>
      <c r="BU504" s="401">
        <v>0</v>
      </c>
      <c r="BV504" s="401">
        <v>0</v>
      </c>
      <c r="BW504" s="122"/>
    </row>
    <row r="505" spans="1:75" s="123" customFormat="1" hidden="1" outlineLevel="1" x14ac:dyDescent="0.5">
      <c r="A505" s="464" t="s">
        <v>640</v>
      </c>
      <c r="B505" s="119"/>
      <c r="C505" s="299"/>
      <c r="D505" s="299"/>
      <c r="E505" s="299"/>
      <c r="F505" s="299"/>
      <c r="G505" s="300"/>
      <c r="H505" s="300"/>
      <c r="I505" s="300"/>
      <c r="J505" s="300"/>
      <c r="K505" s="299"/>
      <c r="L505" s="300"/>
      <c r="M505" s="300"/>
      <c r="N505" s="300"/>
      <c r="O505" s="300"/>
      <c r="P505" s="299"/>
      <c r="Q505" s="300"/>
      <c r="R505" s="300"/>
      <c r="S505" s="300"/>
      <c r="T505" s="300"/>
      <c r="U505" s="299"/>
      <c r="V505" s="300"/>
      <c r="W505" s="300">
        <v>3.7</v>
      </c>
      <c r="X505" s="300">
        <v>0</v>
      </c>
      <c r="Y505" s="300">
        <v>0</v>
      </c>
      <c r="Z505" s="299">
        <v>3.7</v>
      </c>
      <c r="AA505" s="300">
        <v>0</v>
      </c>
      <c r="AB505" s="300">
        <v>0</v>
      </c>
      <c r="AC505" s="300">
        <v>0</v>
      </c>
      <c r="AD505" s="300">
        <v>0</v>
      </c>
      <c r="AE505" s="299">
        <v>0</v>
      </c>
      <c r="AF505" s="122">
        <v>0</v>
      </c>
      <c r="AG505" s="300">
        <v>0</v>
      </c>
      <c r="AH505" s="429">
        <v>0</v>
      </c>
      <c r="AI505" s="300">
        <v>0</v>
      </c>
      <c r="AJ505" s="299">
        <v>0</v>
      </c>
      <c r="AK505" s="122">
        <v>0</v>
      </c>
      <c r="AL505" s="300">
        <v>0</v>
      </c>
      <c r="AM505" s="429">
        <v>0</v>
      </c>
      <c r="AN505" s="300">
        <v>0</v>
      </c>
      <c r="AO505" s="299">
        <v>0</v>
      </c>
      <c r="AP505" s="122">
        <v>0</v>
      </c>
      <c r="AQ505" s="300">
        <v>0</v>
      </c>
      <c r="AR505" s="429">
        <v>0</v>
      </c>
      <c r="AS505" s="300">
        <v>0</v>
      </c>
      <c r="AT505" s="299">
        <v>0</v>
      </c>
      <c r="AU505" s="122">
        <v>0</v>
      </c>
      <c r="AV505" s="300">
        <v>0</v>
      </c>
      <c r="AW505" s="429">
        <v>0</v>
      </c>
      <c r="AX505" s="300">
        <v>0</v>
      </c>
      <c r="AY505" s="299">
        <v>0</v>
      </c>
      <c r="AZ505" s="122">
        <v>0</v>
      </c>
      <c r="BA505" s="300">
        <v>0</v>
      </c>
      <c r="BB505" s="429">
        <v>0</v>
      </c>
      <c r="BC505" s="300">
        <v>0</v>
      </c>
      <c r="BD505" s="299">
        <v>0</v>
      </c>
      <c r="BE505" s="122">
        <v>0</v>
      </c>
      <c r="BF505" s="300">
        <v>0</v>
      </c>
      <c r="BG505" s="429">
        <v>0</v>
      </c>
      <c r="BH505" s="300">
        <v>0</v>
      </c>
      <c r="BI505" s="304">
        <v>0</v>
      </c>
      <c r="BJ505" s="300">
        <v>0</v>
      </c>
      <c r="BK505" s="300">
        <v>0</v>
      </c>
      <c r="BL505" s="300">
        <v>0</v>
      </c>
      <c r="BM505" s="300">
        <v>0</v>
      </c>
      <c r="BN505" s="401">
        <v>0</v>
      </c>
      <c r="BO505" s="300">
        <v>0</v>
      </c>
      <c r="BP505" s="300">
        <v>0</v>
      </c>
      <c r="BQ505" s="300">
        <v>0</v>
      </c>
      <c r="BR505" s="300">
        <v>0</v>
      </c>
      <c r="BS505" s="401">
        <v>0</v>
      </c>
      <c r="BT505" s="401">
        <v>0</v>
      </c>
      <c r="BU505" s="401">
        <v>0</v>
      </c>
      <c r="BV505" s="401">
        <v>0</v>
      </c>
      <c r="BW505" s="404"/>
    </row>
    <row r="506" spans="1:75" s="123" customFormat="1" hidden="1" outlineLevel="1" x14ac:dyDescent="0.5">
      <c r="A506" s="464" t="s">
        <v>641</v>
      </c>
      <c r="B506" s="119"/>
      <c r="C506" s="299"/>
      <c r="D506" s="299"/>
      <c r="E506" s="299"/>
      <c r="F506" s="299"/>
      <c r="G506" s="300"/>
      <c r="H506" s="300"/>
      <c r="I506" s="300"/>
      <c r="J506" s="300"/>
      <c r="K506" s="299"/>
      <c r="L506" s="300"/>
      <c r="M506" s="300"/>
      <c r="N506" s="300"/>
      <c r="O506" s="300"/>
      <c r="P506" s="299"/>
      <c r="Q506" s="300"/>
      <c r="R506" s="300"/>
      <c r="S506" s="300"/>
      <c r="T506" s="300"/>
      <c r="U506" s="299"/>
      <c r="V506" s="300"/>
      <c r="W506" s="300">
        <v>0</v>
      </c>
      <c r="X506" s="300">
        <v>0</v>
      </c>
      <c r="Y506" s="300">
        <v>0</v>
      </c>
      <c r="Z506" s="299">
        <v>0</v>
      </c>
      <c r="AA506" s="300">
        <v>0</v>
      </c>
      <c r="AB506" s="300">
        <v>0</v>
      </c>
      <c r="AC506" s="300">
        <v>0</v>
      </c>
      <c r="AD506" s="300">
        <v>0</v>
      </c>
      <c r="AE506" s="299">
        <v>0</v>
      </c>
      <c r="AF506" s="122">
        <v>0</v>
      </c>
      <c r="AG506" s="300">
        <v>0</v>
      </c>
      <c r="AH506" s="429">
        <v>0</v>
      </c>
      <c r="AI506" s="300">
        <v>0</v>
      </c>
      <c r="AJ506" s="299">
        <v>0</v>
      </c>
      <c r="AK506" s="122">
        <v>0</v>
      </c>
      <c r="AL506" s="300">
        <v>0</v>
      </c>
      <c r="AM506" s="429">
        <v>0</v>
      </c>
      <c r="AN506" s="300">
        <v>0</v>
      </c>
      <c r="AO506" s="299">
        <v>0</v>
      </c>
      <c r="AP506" s="122">
        <v>0</v>
      </c>
      <c r="AQ506" s="300">
        <v>0</v>
      </c>
      <c r="AR506" s="429">
        <v>0</v>
      </c>
      <c r="AS506" s="300">
        <v>0</v>
      </c>
      <c r="AT506" s="299">
        <v>0</v>
      </c>
      <c r="AU506" s="122">
        <v>0</v>
      </c>
      <c r="AV506" s="300">
        <v>0</v>
      </c>
      <c r="AW506" s="429">
        <v>0</v>
      </c>
      <c r="AX506" s="300">
        <v>0</v>
      </c>
      <c r="AY506" s="299">
        <v>0</v>
      </c>
      <c r="AZ506" s="122">
        <v>0</v>
      </c>
      <c r="BA506" s="300">
        <v>0</v>
      </c>
      <c r="BB506" s="429">
        <v>0</v>
      </c>
      <c r="BC506" s="300">
        <v>0</v>
      </c>
      <c r="BD506" s="299">
        <v>0</v>
      </c>
      <c r="BE506" s="122">
        <v>0</v>
      </c>
      <c r="BF506" s="300">
        <v>0</v>
      </c>
      <c r="BG506" s="429">
        <v>0</v>
      </c>
      <c r="BH506" s="300">
        <v>0</v>
      </c>
      <c r="BI506" s="304">
        <v>0</v>
      </c>
      <c r="BJ506" s="300">
        <v>0</v>
      </c>
      <c r="BK506" s="300">
        <v>0</v>
      </c>
      <c r="BL506" s="300">
        <v>0</v>
      </c>
      <c r="BM506" s="300">
        <v>0</v>
      </c>
      <c r="BN506" s="401">
        <v>0</v>
      </c>
      <c r="BO506" s="300">
        <v>0</v>
      </c>
      <c r="BP506" s="300">
        <v>0</v>
      </c>
      <c r="BQ506" s="300">
        <v>0</v>
      </c>
      <c r="BR506" s="300">
        <v>0</v>
      </c>
      <c r="BS506" s="401">
        <v>0</v>
      </c>
      <c r="BT506" s="401">
        <v>0</v>
      </c>
      <c r="BU506" s="401">
        <v>0</v>
      </c>
      <c r="BV506" s="401">
        <v>0</v>
      </c>
      <c r="BW506" s="404"/>
    </row>
    <row r="507" spans="1:75" s="123" customFormat="1" hidden="1" outlineLevel="1" x14ac:dyDescent="0.5">
      <c r="A507" s="464" t="s">
        <v>642</v>
      </c>
      <c r="B507" s="119"/>
      <c r="C507" s="299"/>
      <c r="D507" s="299"/>
      <c r="E507" s="299"/>
      <c r="F507" s="299"/>
      <c r="G507" s="300"/>
      <c r="H507" s="300"/>
      <c r="I507" s="300"/>
      <c r="J507" s="300"/>
      <c r="K507" s="299"/>
      <c r="L507" s="300"/>
      <c r="M507" s="300"/>
      <c r="N507" s="300"/>
      <c r="O507" s="300"/>
      <c r="P507" s="299"/>
      <c r="Q507" s="300"/>
      <c r="R507" s="300"/>
      <c r="S507" s="300"/>
      <c r="T507" s="300"/>
      <c r="U507" s="299"/>
      <c r="V507" s="300"/>
      <c r="W507" s="300">
        <v>0</v>
      </c>
      <c r="X507" s="300">
        <v>0</v>
      </c>
      <c r="Y507" s="300">
        <v>0</v>
      </c>
      <c r="Z507" s="299">
        <v>0</v>
      </c>
      <c r="AA507" s="300">
        <v>0</v>
      </c>
      <c r="AB507" s="300">
        <v>0</v>
      </c>
      <c r="AC507" s="300">
        <v>0</v>
      </c>
      <c r="AD507" s="300">
        <v>0</v>
      </c>
      <c r="AE507" s="299">
        <v>0</v>
      </c>
      <c r="AF507" s="122">
        <v>0</v>
      </c>
      <c r="AG507" s="300">
        <v>0</v>
      </c>
      <c r="AH507" s="429">
        <v>0</v>
      </c>
      <c r="AI507" s="300">
        <v>0</v>
      </c>
      <c r="AJ507" s="299">
        <v>0</v>
      </c>
      <c r="AK507" s="122">
        <v>0</v>
      </c>
      <c r="AL507" s="300">
        <v>0</v>
      </c>
      <c r="AM507" s="429">
        <v>0</v>
      </c>
      <c r="AN507" s="300">
        <v>0</v>
      </c>
      <c r="AO507" s="299">
        <v>0</v>
      </c>
      <c r="AP507" s="122">
        <v>0</v>
      </c>
      <c r="AQ507" s="300">
        <v>0</v>
      </c>
      <c r="AR507" s="429">
        <v>0</v>
      </c>
      <c r="AS507" s="300">
        <v>0</v>
      </c>
      <c r="AT507" s="299">
        <v>0</v>
      </c>
      <c r="AU507" s="122">
        <v>0</v>
      </c>
      <c r="AV507" s="300">
        <v>0</v>
      </c>
      <c r="AW507" s="429">
        <v>0</v>
      </c>
      <c r="AX507" s="300">
        <v>0</v>
      </c>
      <c r="AY507" s="299">
        <v>0</v>
      </c>
      <c r="AZ507" s="122">
        <v>0</v>
      </c>
      <c r="BA507" s="300">
        <v>0</v>
      </c>
      <c r="BB507" s="429">
        <v>0</v>
      </c>
      <c r="BC507" s="300">
        <v>0</v>
      </c>
      <c r="BD507" s="299">
        <v>0</v>
      </c>
      <c r="BE507" s="122">
        <v>0</v>
      </c>
      <c r="BF507" s="300">
        <v>0</v>
      </c>
      <c r="BG507" s="429">
        <v>0</v>
      </c>
      <c r="BH507" s="300">
        <v>0</v>
      </c>
      <c r="BI507" s="304">
        <v>0</v>
      </c>
      <c r="BJ507" s="300">
        <v>0</v>
      </c>
      <c r="BK507" s="300">
        <v>0</v>
      </c>
      <c r="BL507" s="300">
        <v>0</v>
      </c>
      <c r="BM507" s="300">
        <v>0</v>
      </c>
      <c r="BN507" s="401">
        <v>0</v>
      </c>
      <c r="BO507" s="300">
        <v>0</v>
      </c>
      <c r="BP507" s="300">
        <v>0</v>
      </c>
      <c r="BQ507" s="300">
        <v>0</v>
      </c>
      <c r="BR507" s="300">
        <v>0</v>
      </c>
      <c r="BS507" s="401">
        <v>0</v>
      </c>
      <c r="BT507" s="401">
        <v>0</v>
      </c>
      <c r="BU507" s="401">
        <v>0</v>
      </c>
      <c r="BV507" s="401">
        <v>0</v>
      </c>
      <c r="BW507" s="404"/>
    </row>
    <row r="508" spans="1:75" s="123" customFormat="1" hidden="1" outlineLevel="1" x14ac:dyDescent="0.5">
      <c r="A508" s="464" t="s">
        <v>643</v>
      </c>
      <c r="B508" s="119"/>
      <c r="C508" s="299"/>
      <c r="D508" s="299"/>
      <c r="E508" s="299"/>
      <c r="F508" s="299"/>
      <c r="G508" s="300"/>
      <c r="H508" s="300"/>
      <c r="I508" s="300"/>
      <c r="J508" s="300"/>
      <c r="K508" s="299"/>
      <c r="L508" s="300"/>
      <c r="M508" s="300"/>
      <c r="N508" s="300"/>
      <c r="O508" s="300"/>
      <c r="P508" s="299"/>
      <c r="Q508" s="300"/>
      <c r="R508" s="300"/>
      <c r="S508" s="300"/>
      <c r="T508" s="300"/>
      <c r="U508" s="299"/>
      <c r="V508" s="300"/>
      <c r="W508" s="300">
        <v>0</v>
      </c>
      <c r="X508" s="300">
        <v>0</v>
      </c>
      <c r="Y508" s="300">
        <v>0</v>
      </c>
      <c r="Z508" s="299">
        <v>0</v>
      </c>
      <c r="AA508" s="300">
        <v>0</v>
      </c>
      <c r="AB508" s="300">
        <v>0</v>
      </c>
      <c r="AC508" s="300">
        <v>0</v>
      </c>
      <c r="AD508" s="300">
        <v>0</v>
      </c>
      <c r="AE508" s="299">
        <v>0</v>
      </c>
      <c r="AF508" s="122">
        <v>0</v>
      </c>
      <c r="AG508" s="300">
        <v>0</v>
      </c>
      <c r="AH508" s="429">
        <v>0</v>
      </c>
      <c r="AI508" s="300">
        <v>0</v>
      </c>
      <c r="AJ508" s="299">
        <v>0</v>
      </c>
      <c r="AK508" s="122">
        <v>0</v>
      </c>
      <c r="AL508" s="300">
        <v>0</v>
      </c>
      <c r="AM508" s="429">
        <v>0</v>
      </c>
      <c r="AN508" s="300">
        <v>0</v>
      </c>
      <c r="AO508" s="299">
        <v>0</v>
      </c>
      <c r="AP508" s="122">
        <v>0</v>
      </c>
      <c r="AQ508" s="300">
        <v>0</v>
      </c>
      <c r="AR508" s="429">
        <v>0</v>
      </c>
      <c r="AS508" s="300">
        <v>0</v>
      </c>
      <c r="AT508" s="299">
        <v>0</v>
      </c>
      <c r="AU508" s="122">
        <v>0</v>
      </c>
      <c r="AV508" s="300">
        <v>0</v>
      </c>
      <c r="AW508" s="429">
        <v>0</v>
      </c>
      <c r="AX508" s="300">
        <v>0</v>
      </c>
      <c r="AY508" s="299">
        <v>0</v>
      </c>
      <c r="AZ508" s="122">
        <v>0</v>
      </c>
      <c r="BA508" s="300">
        <v>0</v>
      </c>
      <c r="BB508" s="429">
        <v>0</v>
      </c>
      <c r="BC508" s="300">
        <v>0</v>
      </c>
      <c r="BD508" s="299">
        <v>0</v>
      </c>
      <c r="BE508" s="122">
        <v>0</v>
      </c>
      <c r="BF508" s="300">
        <v>0</v>
      </c>
      <c r="BG508" s="429">
        <v>0</v>
      </c>
      <c r="BH508" s="300">
        <v>0</v>
      </c>
      <c r="BI508" s="304">
        <v>0</v>
      </c>
      <c r="BJ508" s="300">
        <v>0</v>
      </c>
      <c r="BK508" s="300">
        <v>0</v>
      </c>
      <c r="BL508" s="300">
        <v>0</v>
      </c>
      <c r="BM508" s="300">
        <v>0</v>
      </c>
      <c r="BN508" s="401">
        <v>0</v>
      </c>
      <c r="BO508" s="300">
        <v>0</v>
      </c>
      <c r="BP508" s="300">
        <v>0</v>
      </c>
      <c r="BQ508" s="300">
        <v>0</v>
      </c>
      <c r="BR508" s="300">
        <v>0</v>
      </c>
      <c r="BS508" s="401">
        <v>0</v>
      </c>
      <c r="BT508" s="401">
        <v>0</v>
      </c>
      <c r="BU508" s="401">
        <v>0</v>
      </c>
      <c r="BV508" s="401">
        <v>0</v>
      </c>
      <c r="BW508" s="404"/>
    </row>
    <row r="509" spans="1:75" s="123" customFormat="1" hidden="1" outlineLevel="1" x14ac:dyDescent="0.5">
      <c r="A509" s="464" t="s">
        <v>644</v>
      </c>
      <c r="B509" s="119"/>
      <c r="C509" s="299"/>
      <c r="D509" s="299"/>
      <c r="E509" s="299"/>
      <c r="F509" s="299"/>
      <c r="G509" s="300"/>
      <c r="H509" s="300"/>
      <c r="I509" s="300"/>
      <c r="J509" s="300"/>
      <c r="K509" s="299"/>
      <c r="L509" s="300"/>
      <c r="M509" s="300"/>
      <c r="N509" s="300"/>
      <c r="O509" s="300"/>
      <c r="P509" s="299"/>
      <c r="Q509" s="300"/>
      <c r="R509" s="300"/>
      <c r="S509" s="300"/>
      <c r="T509" s="300"/>
      <c r="U509" s="299"/>
      <c r="V509" s="300"/>
      <c r="W509" s="300">
        <v>0</v>
      </c>
      <c r="X509" s="300">
        <v>0</v>
      </c>
      <c r="Y509" s="300">
        <v>0</v>
      </c>
      <c r="Z509" s="299">
        <v>0</v>
      </c>
      <c r="AA509" s="300">
        <v>0</v>
      </c>
      <c r="AB509" s="300">
        <v>0</v>
      </c>
      <c r="AC509" s="300">
        <v>0</v>
      </c>
      <c r="AD509" s="300">
        <v>0</v>
      </c>
      <c r="AE509" s="299">
        <v>0</v>
      </c>
      <c r="AF509" s="122">
        <v>0</v>
      </c>
      <c r="AG509" s="300">
        <v>0</v>
      </c>
      <c r="AH509" s="429">
        <v>0</v>
      </c>
      <c r="AI509" s="300">
        <v>0</v>
      </c>
      <c r="AJ509" s="299">
        <v>0</v>
      </c>
      <c r="AK509" s="122">
        <v>0</v>
      </c>
      <c r="AL509" s="300">
        <v>0</v>
      </c>
      <c r="AM509" s="429">
        <v>0</v>
      </c>
      <c r="AN509" s="300">
        <v>0</v>
      </c>
      <c r="AO509" s="299">
        <v>0</v>
      </c>
      <c r="AP509" s="122">
        <v>0</v>
      </c>
      <c r="AQ509" s="300">
        <v>0</v>
      </c>
      <c r="AR509" s="429">
        <v>0</v>
      </c>
      <c r="AS509" s="300">
        <v>0</v>
      </c>
      <c r="AT509" s="299">
        <v>0</v>
      </c>
      <c r="AU509" s="122">
        <v>0</v>
      </c>
      <c r="AV509" s="300">
        <v>0</v>
      </c>
      <c r="AW509" s="429">
        <v>0</v>
      </c>
      <c r="AX509" s="300">
        <v>0</v>
      </c>
      <c r="AY509" s="299">
        <v>0</v>
      </c>
      <c r="AZ509" s="122">
        <v>0</v>
      </c>
      <c r="BA509" s="300">
        <v>0</v>
      </c>
      <c r="BB509" s="429">
        <v>0</v>
      </c>
      <c r="BC509" s="300">
        <v>0</v>
      </c>
      <c r="BD509" s="299">
        <v>0</v>
      </c>
      <c r="BE509" s="122">
        <v>0</v>
      </c>
      <c r="BF509" s="300">
        <v>0</v>
      </c>
      <c r="BG509" s="429">
        <v>0</v>
      </c>
      <c r="BH509" s="300">
        <v>0</v>
      </c>
      <c r="BI509" s="304">
        <v>0</v>
      </c>
      <c r="BJ509" s="300">
        <v>0</v>
      </c>
      <c r="BK509" s="300">
        <v>0</v>
      </c>
      <c r="BL509" s="300">
        <v>0</v>
      </c>
      <c r="BM509" s="300">
        <v>0</v>
      </c>
      <c r="BN509" s="401">
        <v>0</v>
      </c>
      <c r="BO509" s="300">
        <v>0</v>
      </c>
      <c r="BP509" s="300">
        <v>0</v>
      </c>
      <c r="BQ509" s="300">
        <v>0</v>
      </c>
      <c r="BR509" s="300">
        <v>0</v>
      </c>
      <c r="BS509" s="401">
        <v>0</v>
      </c>
      <c r="BT509" s="401">
        <v>0</v>
      </c>
      <c r="BU509" s="401">
        <v>0</v>
      </c>
      <c r="BV509" s="401">
        <v>0</v>
      </c>
      <c r="BW509" s="404"/>
    </row>
    <row r="510" spans="1:75" s="123" customFormat="1" hidden="1" outlineLevel="1" x14ac:dyDescent="0.5">
      <c r="A510" s="464" t="s">
        <v>645</v>
      </c>
      <c r="B510" s="119"/>
      <c r="C510" s="299"/>
      <c r="D510" s="299"/>
      <c r="E510" s="299"/>
      <c r="F510" s="299"/>
      <c r="G510" s="300"/>
      <c r="H510" s="300"/>
      <c r="I510" s="300"/>
      <c r="J510" s="300"/>
      <c r="K510" s="299"/>
      <c r="L510" s="300"/>
      <c r="M510" s="300"/>
      <c r="N510" s="300"/>
      <c r="O510" s="300"/>
      <c r="P510" s="299"/>
      <c r="Q510" s="300"/>
      <c r="R510" s="300"/>
      <c r="S510" s="300"/>
      <c r="T510" s="300"/>
      <c r="U510" s="299"/>
      <c r="V510" s="300"/>
      <c r="W510" s="300">
        <v>0</v>
      </c>
      <c r="X510" s="300">
        <v>0</v>
      </c>
      <c r="Y510" s="300">
        <v>0</v>
      </c>
      <c r="Z510" s="299">
        <v>0</v>
      </c>
      <c r="AA510" s="300">
        <v>0</v>
      </c>
      <c r="AB510" s="300">
        <v>0</v>
      </c>
      <c r="AC510" s="300">
        <v>0</v>
      </c>
      <c r="AD510" s="300">
        <v>0</v>
      </c>
      <c r="AE510" s="299">
        <v>0</v>
      </c>
      <c r="AF510" s="122">
        <v>0</v>
      </c>
      <c r="AG510" s="300">
        <v>0</v>
      </c>
      <c r="AH510" s="429">
        <v>0</v>
      </c>
      <c r="AI510" s="300">
        <v>0</v>
      </c>
      <c r="AJ510" s="299">
        <v>0</v>
      </c>
      <c r="AK510" s="122">
        <v>0</v>
      </c>
      <c r="AL510" s="300">
        <v>0</v>
      </c>
      <c r="AM510" s="429">
        <v>0</v>
      </c>
      <c r="AN510" s="300">
        <v>0</v>
      </c>
      <c r="AO510" s="299">
        <v>0</v>
      </c>
      <c r="AP510" s="122">
        <v>0</v>
      </c>
      <c r="AQ510" s="300">
        <v>0</v>
      </c>
      <c r="AR510" s="429">
        <v>0</v>
      </c>
      <c r="AS510" s="300">
        <v>0</v>
      </c>
      <c r="AT510" s="299">
        <v>0</v>
      </c>
      <c r="AU510" s="122">
        <v>0</v>
      </c>
      <c r="AV510" s="300">
        <v>0</v>
      </c>
      <c r="AW510" s="429">
        <v>0</v>
      </c>
      <c r="AX510" s="300">
        <v>0</v>
      </c>
      <c r="AY510" s="299">
        <v>0</v>
      </c>
      <c r="AZ510" s="122">
        <v>0</v>
      </c>
      <c r="BA510" s="300">
        <v>3.5</v>
      </c>
      <c r="BB510" s="429">
        <v>0</v>
      </c>
      <c r="BC510" s="300">
        <v>0</v>
      </c>
      <c r="BD510" s="299">
        <v>3.5</v>
      </c>
      <c r="BE510" s="122">
        <v>0</v>
      </c>
      <c r="BF510" s="300">
        <v>0</v>
      </c>
      <c r="BG510" s="429">
        <v>0</v>
      </c>
      <c r="BH510" s="300">
        <v>0</v>
      </c>
      <c r="BI510" s="304">
        <v>0</v>
      </c>
      <c r="BJ510" s="300">
        <v>0</v>
      </c>
      <c r="BK510" s="300">
        <v>0</v>
      </c>
      <c r="BL510" s="300">
        <v>0</v>
      </c>
      <c r="BM510" s="300">
        <v>0</v>
      </c>
      <c r="BN510" s="401">
        <v>0</v>
      </c>
      <c r="BO510" s="300">
        <v>0</v>
      </c>
      <c r="BP510" s="300">
        <v>0</v>
      </c>
      <c r="BQ510" s="300">
        <v>0</v>
      </c>
      <c r="BR510" s="300">
        <v>0</v>
      </c>
      <c r="BS510" s="401">
        <v>0</v>
      </c>
      <c r="BT510" s="401">
        <v>0</v>
      </c>
      <c r="BU510" s="401">
        <v>0</v>
      </c>
      <c r="BV510" s="401">
        <v>0</v>
      </c>
      <c r="BW510" s="404"/>
    </row>
    <row r="511" spans="1:75" s="123" customFormat="1" hidden="1" outlineLevel="1" x14ac:dyDescent="0.5">
      <c r="A511" s="464" t="s">
        <v>646</v>
      </c>
      <c r="B511" s="119"/>
      <c r="C511" s="299"/>
      <c r="D511" s="299"/>
      <c r="E511" s="299"/>
      <c r="F511" s="299"/>
      <c r="G511" s="300"/>
      <c r="H511" s="300"/>
      <c r="I511" s="300"/>
      <c r="J511" s="300"/>
      <c r="K511" s="299"/>
      <c r="L511" s="300"/>
      <c r="M511" s="300"/>
      <c r="N511" s="300"/>
      <c r="O511" s="300"/>
      <c r="P511" s="299"/>
      <c r="Q511" s="300"/>
      <c r="R511" s="300"/>
      <c r="S511" s="300"/>
      <c r="T511" s="300"/>
      <c r="U511" s="299"/>
      <c r="V511" s="300"/>
      <c r="W511" s="300">
        <v>0</v>
      </c>
      <c r="X511" s="300">
        <v>0</v>
      </c>
      <c r="Y511" s="300">
        <v>0</v>
      </c>
      <c r="Z511" s="299">
        <v>0</v>
      </c>
      <c r="AA511" s="300">
        <v>0</v>
      </c>
      <c r="AB511" s="300">
        <v>0</v>
      </c>
      <c r="AC511" s="300">
        <v>0</v>
      </c>
      <c r="AD511" s="300">
        <v>0</v>
      </c>
      <c r="AE511" s="299">
        <v>0</v>
      </c>
      <c r="AF511" s="122">
        <v>0</v>
      </c>
      <c r="AG511" s="300">
        <v>0</v>
      </c>
      <c r="AH511" s="429">
        <v>0</v>
      </c>
      <c r="AI511" s="300">
        <v>0</v>
      </c>
      <c r="AJ511" s="299">
        <v>0</v>
      </c>
      <c r="AK511" s="122">
        <v>0</v>
      </c>
      <c r="AL511" s="300">
        <v>0</v>
      </c>
      <c r="AM511" s="429">
        <v>0</v>
      </c>
      <c r="AN511" s="300">
        <v>0</v>
      </c>
      <c r="AO511" s="299">
        <v>0</v>
      </c>
      <c r="AP511" s="122">
        <v>0</v>
      </c>
      <c r="AQ511" s="300">
        <v>0</v>
      </c>
      <c r="AR511" s="429">
        <v>0</v>
      </c>
      <c r="AS511" s="300">
        <v>0</v>
      </c>
      <c r="AT511" s="299">
        <v>0</v>
      </c>
      <c r="AU511" s="122">
        <v>0</v>
      </c>
      <c r="AV511" s="300">
        <v>0</v>
      </c>
      <c r="AW511" s="429">
        <v>0</v>
      </c>
      <c r="AX511" s="300">
        <v>0</v>
      </c>
      <c r="AY511" s="299">
        <v>0</v>
      </c>
      <c r="AZ511" s="122">
        <v>0</v>
      </c>
      <c r="BA511" s="300">
        <v>0</v>
      </c>
      <c r="BB511" s="429">
        <v>0</v>
      </c>
      <c r="BC511" s="300">
        <v>0</v>
      </c>
      <c r="BD511" s="299">
        <v>0</v>
      </c>
      <c r="BE511" s="122">
        <v>0</v>
      </c>
      <c r="BF511" s="300">
        <v>0</v>
      </c>
      <c r="BG511" s="429">
        <v>0</v>
      </c>
      <c r="BH511" s="300">
        <v>0</v>
      </c>
      <c r="BI511" s="304">
        <v>0</v>
      </c>
      <c r="BJ511" s="300">
        <v>0</v>
      </c>
      <c r="BK511" s="300">
        <v>0</v>
      </c>
      <c r="BL511" s="300">
        <v>0</v>
      </c>
      <c r="BM511" s="300">
        <v>0</v>
      </c>
      <c r="BN511" s="401">
        <v>0</v>
      </c>
      <c r="BO511" s="300">
        <v>0</v>
      </c>
      <c r="BP511" s="300">
        <v>0</v>
      </c>
      <c r="BQ511" s="300">
        <v>0</v>
      </c>
      <c r="BR511" s="300">
        <v>0</v>
      </c>
      <c r="BS511" s="401">
        <v>0</v>
      </c>
      <c r="BT511" s="401">
        <v>0</v>
      </c>
      <c r="BU511" s="401">
        <v>0</v>
      </c>
      <c r="BV511" s="401">
        <v>0</v>
      </c>
      <c r="BW511" s="404"/>
    </row>
    <row r="512" spans="1:75" s="123" customFormat="1" hidden="1" outlineLevel="1" x14ac:dyDescent="0.5">
      <c r="A512" s="464" t="s">
        <v>647</v>
      </c>
      <c r="B512" s="119"/>
      <c r="C512" s="299"/>
      <c r="D512" s="299"/>
      <c r="E512" s="299"/>
      <c r="F512" s="299"/>
      <c r="G512" s="300"/>
      <c r="H512" s="300"/>
      <c r="I512" s="300"/>
      <c r="J512" s="300"/>
      <c r="K512" s="299"/>
      <c r="L512" s="300"/>
      <c r="M512" s="300"/>
      <c r="N512" s="300"/>
      <c r="O512" s="300"/>
      <c r="P512" s="299"/>
      <c r="Q512" s="300"/>
      <c r="R512" s="300"/>
      <c r="S512" s="300"/>
      <c r="T512" s="300"/>
      <c r="U512" s="299"/>
      <c r="V512" s="300"/>
      <c r="W512" s="300">
        <v>0</v>
      </c>
      <c r="X512" s="300">
        <v>0</v>
      </c>
      <c r="Y512" s="300">
        <v>0</v>
      </c>
      <c r="Z512" s="299">
        <v>0</v>
      </c>
      <c r="AA512" s="300">
        <v>0</v>
      </c>
      <c r="AB512" s="300">
        <v>0</v>
      </c>
      <c r="AC512" s="300">
        <v>0</v>
      </c>
      <c r="AD512" s="300">
        <v>0</v>
      </c>
      <c r="AE512" s="299">
        <v>0</v>
      </c>
      <c r="AF512" s="122">
        <v>0</v>
      </c>
      <c r="AG512" s="300">
        <v>0</v>
      </c>
      <c r="AH512" s="429">
        <v>0</v>
      </c>
      <c r="AI512" s="300">
        <v>0</v>
      </c>
      <c r="AJ512" s="299">
        <v>0</v>
      </c>
      <c r="AK512" s="122">
        <v>0</v>
      </c>
      <c r="AL512" s="300">
        <v>0</v>
      </c>
      <c r="AM512" s="429">
        <v>0</v>
      </c>
      <c r="AN512" s="300">
        <v>0</v>
      </c>
      <c r="AO512" s="299">
        <v>0</v>
      </c>
      <c r="AP512" s="122">
        <v>0</v>
      </c>
      <c r="AQ512" s="300">
        <v>0</v>
      </c>
      <c r="AR512" s="429">
        <v>0</v>
      </c>
      <c r="AS512" s="300">
        <v>0</v>
      </c>
      <c r="AT512" s="299">
        <v>0</v>
      </c>
      <c r="AU512" s="122">
        <v>0</v>
      </c>
      <c r="AV512" s="300">
        <v>0</v>
      </c>
      <c r="AW512" s="429">
        <v>0</v>
      </c>
      <c r="AX512" s="300">
        <v>0</v>
      </c>
      <c r="AY512" s="299">
        <v>0</v>
      </c>
      <c r="AZ512" s="122">
        <v>0</v>
      </c>
      <c r="BA512" s="300">
        <v>0</v>
      </c>
      <c r="BB512" s="429">
        <v>0</v>
      </c>
      <c r="BC512" s="300">
        <v>0</v>
      </c>
      <c r="BD512" s="299">
        <v>0</v>
      </c>
      <c r="BE512" s="122">
        <v>0</v>
      </c>
      <c r="BF512" s="300">
        <v>0</v>
      </c>
      <c r="BG512" s="429">
        <v>0</v>
      </c>
      <c r="BH512" s="300">
        <v>0</v>
      </c>
      <c r="BI512" s="304">
        <v>0</v>
      </c>
      <c r="BJ512" s="300">
        <v>0</v>
      </c>
      <c r="BK512" s="300">
        <v>0</v>
      </c>
      <c r="BL512" s="300">
        <v>0</v>
      </c>
      <c r="BM512" s="300">
        <v>0</v>
      </c>
      <c r="BN512" s="401">
        <v>0</v>
      </c>
      <c r="BO512" s="300">
        <v>0</v>
      </c>
      <c r="BP512" s="300">
        <v>0</v>
      </c>
      <c r="BQ512" s="300">
        <v>0</v>
      </c>
      <c r="BR512" s="300">
        <v>0</v>
      </c>
      <c r="BS512" s="401">
        <v>0</v>
      </c>
      <c r="BT512" s="401">
        <v>0</v>
      </c>
      <c r="BU512" s="401">
        <v>0</v>
      </c>
      <c r="BV512" s="401">
        <v>0</v>
      </c>
      <c r="BW512" s="404"/>
    </row>
    <row r="513" spans="1:75" s="123" customFormat="1" hidden="1" outlineLevel="1" x14ac:dyDescent="0.5">
      <c r="A513" s="464" t="s">
        <v>648</v>
      </c>
      <c r="B513" s="119"/>
      <c r="C513" s="299"/>
      <c r="D513" s="299"/>
      <c r="E513" s="299"/>
      <c r="F513" s="299"/>
      <c r="G513" s="300"/>
      <c r="H513" s="300"/>
      <c r="I513" s="300"/>
      <c r="J513" s="300"/>
      <c r="K513" s="299"/>
      <c r="L513" s="300"/>
      <c r="M513" s="300"/>
      <c r="N513" s="300"/>
      <c r="O513" s="300"/>
      <c r="P513" s="299"/>
      <c r="Q513" s="300"/>
      <c r="R513" s="300"/>
      <c r="S513" s="300"/>
      <c r="T513" s="300"/>
      <c r="U513" s="299"/>
      <c r="V513" s="300"/>
      <c r="W513" s="300">
        <v>0</v>
      </c>
      <c r="X513" s="300">
        <v>0</v>
      </c>
      <c r="Y513" s="300">
        <v>0</v>
      </c>
      <c r="Z513" s="299">
        <v>0</v>
      </c>
      <c r="AA513" s="300">
        <v>0</v>
      </c>
      <c r="AB513" s="300">
        <v>0</v>
      </c>
      <c r="AC513" s="300">
        <v>0</v>
      </c>
      <c r="AD513" s="300">
        <v>0</v>
      </c>
      <c r="AE513" s="299">
        <v>0</v>
      </c>
      <c r="AF513" s="122">
        <v>0</v>
      </c>
      <c r="AG513" s="300">
        <v>0</v>
      </c>
      <c r="AH513" s="429">
        <v>0</v>
      </c>
      <c r="AI513" s="300">
        <v>0</v>
      </c>
      <c r="AJ513" s="299">
        <v>0</v>
      </c>
      <c r="AK513" s="122">
        <v>0</v>
      </c>
      <c r="AL513" s="300">
        <v>0</v>
      </c>
      <c r="AM513" s="429">
        <v>0</v>
      </c>
      <c r="AN513" s="300">
        <v>0</v>
      </c>
      <c r="AO513" s="299">
        <v>0</v>
      </c>
      <c r="AP513" s="122">
        <v>0</v>
      </c>
      <c r="AQ513" s="300">
        <v>0</v>
      </c>
      <c r="AR513" s="429">
        <v>0</v>
      </c>
      <c r="AS513" s="300">
        <v>0</v>
      </c>
      <c r="AT513" s="299">
        <v>0</v>
      </c>
      <c r="AU513" s="122">
        <v>0</v>
      </c>
      <c r="AV513" s="300">
        <v>0</v>
      </c>
      <c r="AW513" s="429">
        <v>0</v>
      </c>
      <c r="AX513" s="300">
        <v>0</v>
      </c>
      <c r="AY513" s="299">
        <v>0</v>
      </c>
      <c r="AZ513" s="122">
        <v>0</v>
      </c>
      <c r="BA513" s="300">
        <v>0</v>
      </c>
      <c r="BB513" s="429">
        <v>0</v>
      </c>
      <c r="BC513" s="300">
        <v>0</v>
      </c>
      <c r="BD513" s="299">
        <v>0</v>
      </c>
      <c r="BE513" s="122">
        <v>0</v>
      </c>
      <c r="BF513" s="300">
        <v>0</v>
      </c>
      <c r="BG513" s="429">
        <v>0</v>
      </c>
      <c r="BH513" s="300">
        <v>0</v>
      </c>
      <c r="BI513" s="304">
        <v>0</v>
      </c>
      <c r="BJ513" s="300">
        <v>0</v>
      </c>
      <c r="BK513" s="300">
        <v>0</v>
      </c>
      <c r="BL513" s="300">
        <v>0</v>
      </c>
      <c r="BM513" s="300">
        <v>0</v>
      </c>
      <c r="BN513" s="401">
        <v>0</v>
      </c>
      <c r="BO513" s="300">
        <v>0</v>
      </c>
      <c r="BP513" s="300">
        <v>0</v>
      </c>
      <c r="BQ513" s="300">
        <v>0</v>
      </c>
      <c r="BR513" s="300">
        <v>0</v>
      </c>
      <c r="BS513" s="401">
        <v>0</v>
      </c>
      <c r="BT513" s="401">
        <v>0</v>
      </c>
      <c r="BU513" s="401">
        <v>0</v>
      </c>
      <c r="BV513" s="401">
        <v>0</v>
      </c>
      <c r="BW513" s="404"/>
    </row>
    <row r="514" spans="1:75" s="123" customFormat="1" hidden="1" outlineLevel="1" x14ac:dyDescent="0.5">
      <c r="A514" s="464" t="s">
        <v>649</v>
      </c>
      <c r="B514" s="119"/>
      <c r="C514" s="299"/>
      <c r="D514" s="299"/>
      <c r="E514" s="299"/>
      <c r="F514" s="299"/>
      <c r="G514" s="300"/>
      <c r="H514" s="300"/>
      <c r="I514" s="300"/>
      <c r="J514" s="300"/>
      <c r="K514" s="299"/>
      <c r="L514" s="300"/>
      <c r="M514" s="300"/>
      <c r="N514" s="300"/>
      <c r="O514" s="300"/>
      <c r="P514" s="299"/>
      <c r="Q514" s="300"/>
      <c r="R514" s="300"/>
      <c r="S514" s="300"/>
      <c r="T514" s="300"/>
      <c r="U514" s="299"/>
      <c r="V514" s="300"/>
      <c r="W514" s="300">
        <v>0</v>
      </c>
      <c r="X514" s="300">
        <v>0</v>
      </c>
      <c r="Y514" s="300">
        <v>0</v>
      </c>
      <c r="Z514" s="299">
        <v>0</v>
      </c>
      <c r="AA514" s="300">
        <v>0</v>
      </c>
      <c r="AB514" s="300">
        <v>0</v>
      </c>
      <c r="AC514" s="300">
        <v>0</v>
      </c>
      <c r="AD514" s="300">
        <v>0</v>
      </c>
      <c r="AE514" s="299">
        <v>0</v>
      </c>
      <c r="AF514" s="122">
        <v>0</v>
      </c>
      <c r="AG514" s="300">
        <v>0</v>
      </c>
      <c r="AH514" s="429">
        <v>0</v>
      </c>
      <c r="AI514" s="300">
        <v>0</v>
      </c>
      <c r="AJ514" s="299">
        <v>0</v>
      </c>
      <c r="AK514" s="122">
        <v>0</v>
      </c>
      <c r="AL514" s="300">
        <v>0</v>
      </c>
      <c r="AM514" s="429">
        <v>0</v>
      </c>
      <c r="AN514" s="300">
        <v>0</v>
      </c>
      <c r="AO514" s="299">
        <v>0</v>
      </c>
      <c r="AP514" s="122">
        <v>0</v>
      </c>
      <c r="AQ514" s="300">
        <v>0</v>
      </c>
      <c r="AR514" s="429">
        <v>0</v>
      </c>
      <c r="AS514" s="300">
        <v>0</v>
      </c>
      <c r="AT514" s="299">
        <v>0</v>
      </c>
      <c r="AU514" s="122">
        <v>0</v>
      </c>
      <c r="AV514" s="300">
        <v>0</v>
      </c>
      <c r="AW514" s="429">
        <v>0</v>
      </c>
      <c r="AX514" s="300">
        <v>0</v>
      </c>
      <c r="AY514" s="299">
        <v>0</v>
      </c>
      <c r="AZ514" s="122">
        <v>0</v>
      </c>
      <c r="BA514" s="300">
        <v>0</v>
      </c>
      <c r="BB514" s="429">
        <v>0</v>
      </c>
      <c r="BC514" s="300">
        <v>0</v>
      </c>
      <c r="BD514" s="299">
        <v>0</v>
      </c>
      <c r="BE514" s="122">
        <v>0</v>
      </c>
      <c r="BF514" s="300">
        <v>0</v>
      </c>
      <c r="BG514" s="429">
        <v>0</v>
      </c>
      <c r="BH514" s="300">
        <v>0</v>
      </c>
      <c r="BI514" s="304">
        <v>0</v>
      </c>
      <c r="BJ514" s="300">
        <v>0</v>
      </c>
      <c r="BK514" s="300">
        <v>0</v>
      </c>
      <c r="BL514" s="300">
        <v>0</v>
      </c>
      <c r="BM514" s="300">
        <v>0</v>
      </c>
      <c r="BN514" s="401">
        <v>0</v>
      </c>
      <c r="BO514" s="300">
        <v>0</v>
      </c>
      <c r="BP514" s="300">
        <v>0</v>
      </c>
      <c r="BQ514" s="300">
        <v>0</v>
      </c>
      <c r="BR514" s="300">
        <v>0</v>
      </c>
      <c r="BS514" s="401">
        <v>0</v>
      </c>
      <c r="BT514" s="401">
        <v>0</v>
      </c>
      <c r="BU514" s="401">
        <v>0</v>
      </c>
      <c r="BV514" s="401">
        <v>0</v>
      </c>
      <c r="BW514" s="404"/>
    </row>
    <row r="515" spans="1:75" s="123" customFormat="1" hidden="1" outlineLevel="1" x14ac:dyDescent="0.5">
      <c r="A515" s="464" t="s">
        <v>650</v>
      </c>
      <c r="B515" s="119"/>
      <c r="C515" s="299"/>
      <c r="D515" s="299"/>
      <c r="E515" s="299"/>
      <c r="F515" s="299"/>
      <c r="G515" s="300"/>
      <c r="H515" s="300"/>
      <c r="I515" s="300"/>
      <c r="J515" s="300"/>
      <c r="K515" s="299"/>
      <c r="L515" s="300"/>
      <c r="M515" s="300"/>
      <c r="N515" s="300"/>
      <c r="O515" s="300"/>
      <c r="P515" s="299"/>
      <c r="Q515" s="300"/>
      <c r="R515" s="300"/>
      <c r="S515" s="300"/>
      <c r="T515" s="300"/>
      <c r="U515" s="299"/>
      <c r="V515" s="300"/>
      <c r="W515" s="300">
        <v>0</v>
      </c>
      <c r="X515" s="300">
        <v>0</v>
      </c>
      <c r="Y515" s="300">
        <v>0</v>
      </c>
      <c r="Z515" s="299">
        <v>0</v>
      </c>
      <c r="AA515" s="300">
        <v>0</v>
      </c>
      <c r="AB515" s="300">
        <v>0</v>
      </c>
      <c r="AC515" s="300">
        <v>0</v>
      </c>
      <c r="AD515" s="300">
        <v>0</v>
      </c>
      <c r="AE515" s="299">
        <v>0</v>
      </c>
      <c r="AF515" s="122">
        <v>0</v>
      </c>
      <c r="AG515" s="300">
        <v>0</v>
      </c>
      <c r="AH515" s="429">
        <v>0</v>
      </c>
      <c r="AI515" s="300">
        <v>0</v>
      </c>
      <c r="AJ515" s="299">
        <v>0</v>
      </c>
      <c r="AK515" s="122">
        <v>0</v>
      </c>
      <c r="AL515" s="300">
        <v>0</v>
      </c>
      <c r="AM515" s="429">
        <v>0</v>
      </c>
      <c r="AN515" s="300">
        <v>0</v>
      </c>
      <c r="AO515" s="299">
        <v>0</v>
      </c>
      <c r="AP515" s="122">
        <v>0</v>
      </c>
      <c r="AQ515" s="300">
        <v>0</v>
      </c>
      <c r="AR515" s="429">
        <v>0</v>
      </c>
      <c r="AS515" s="300">
        <v>0</v>
      </c>
      <c r="AT515" s="299">
        <v>0</v>
      </c>
      <c r="AU515" s="122">
        <v>0</v>
      </c>
      <c r="AV515" s="300">
        <v>0</v>
      </c>
      <c r="AW515" s="429">
        <v>0</v>
      </c>
      <c r="AX515" s="300">
        <v>0</v>
      </c>
      <c r="AY515" s="299">
        <v>0</v>
      </c>
      <c r="AZ515" s="122">
        <v>0</v>
      </c>
      <c r="BA515" s="300">
        <v>0</v>
      </c>
      <c r="BB515" s="429">
        <v>0</v>
      </c>
      <c r="BC515" s="300">
        <v>0</v>
      </c>
      <c r="BD515" s="299">
        <v>0</v>
      </c>
      <c r="BE515" s="122">
        <v>0</v>
      </c>
      <c r="BF515" s="300">
        <v>0</v>
      </c>
      <c r="BG515" s="429">
        <v>0</v>
      </c>
      <c r="BH515" s="300">
        <v>0</v>
      </c>
      <c r="BI515" s="304">
        <v>0</v>
      </c>
      <c r="BJ515" s="300">
        <v>0</v>
      </c>
      <c r="BK515" s="300">
        <v>0</v>
      </c>
      <c r="BL515" s="300">
        <v>0</v>
      </c>
      <c r="BM515" s="300">
        <v>0</v>
      </c>
      <c r="BN515" s="401">
        <v>0</v>
      </c>
      <c r="BO515" s="300">
        <v>0</v>
      </c>
      <c r="BP515" s="300">
        <v>0</v>
      </c>
      <c r="BQ515" s="300">
        <v>0</v>
      </c>
      <c r="BR515" s="300">
        <v>0</v>
      </c>
      <c r="BS515" s="401">
        <v>0</v>
      </c>
      <c r="BT515" s="401">
        <v>0</v>
      </c>
      <c r="BU515" s="401">
        <v>0</v>
      </c>
      <c r="BV515" s="401">
        <v>0</v>
      </c>
      <c r="BW515" s="404"/>
    </row>
    <row r="516" spans="1:75" s="123" customFormat="1" hidden="1" outlineLevel="1" x14ac:dyDescent="0.5">
      <c r="A516" s="464" t="s">
        <v>651</v>
      </c>
      <c r="B516" s="119"/>
      <c r="C516" s="299"/>
      <c r="D516" s="299"/>
      <c r="E516" s="299"/>
      <c r="F516" s="299"/>
      <c r="G516" s="300"/>
      <c r="H516" s="300"/>
      <c r="I516" s="300"/>
      <c r="J516" s="300"/>
      <c r="K516" s="299"/>
      <c r="L516" s="300"/>
      <c r="M516" s="300"/>
      <c r="N516" s="300"/>
      <c r="O516" s="300"/>
      <c r="P516" s="299"/>
      <c r="Q516" s="300"/>
      <c r="R516" s="300"/>
      <c r="S516" s="300"/>
      <c r="T516" s="300"/>
      <c r="U516" s="299"/>
      <c r="V516" s="300"/>
      <c r="W516" s="300">
        <v>0</v>
      </c>
      <c r="X516" s="300">
        <v>0</v>
      </c>
      <c r="Y516" s="300">
        <v>0</v>
      </c>
      <c r="Z516" s="299">
        <v>0</v>
      </c>
      <c r="AA516" s="300">
        <v>0</v>
      </c>
      <c r="AB516" s="300">
        <v>0</v>
      </c>
      <c r="AC516" s="300">
        <v>0</v>
      </c>
      <c r="AD516" s="300">
        <v>0</v>
      </c>
      <c r="AE516" s="299">
        <v>0</v>
      </c>
      <c r="AF516" s="122">
        <v>0</v>
      </c>
      <c r="AG516" s="300">
        <v>0</v>
      </c>
      <c r="AH516" s="429">
        <v>0</v>
      </c>
      <c r="AI516" s="300">
        <v>0</v>
      </c>
      <c r="AJ516" s="299">
        <v>0</v>
      </c>
      <c r="AK516" s="122">
        <v>0</v>
      </c>
      <c r="AL516" s="300">
        <v>0</v>
      </c>
      <c r="AM516" s="429">
        <v>0</v>
      </c>
      <c r="AN516" s="300">
        <v>0</v>
      </c>
      <c r="AO516" s="299">
        <v>0</v>
      </c>
      <c r="AP516" s="122">
        <v>0</v>
      </c>
      <c r="AQ516" s="300">
        <v>0</v>
      </c>
      <c r="AR516" s="429">
        <v>0</v>
      </c>
      <c r="AS516" s="300">
        <v>0</v>
      </c>
      <c r="AT516" s="299">
        <v>0</v>
      </c>
      <c r="AU516" s="122">
        <v>0</v>
      </c>
      <c r="AV516" s="300">
        <v>0</v>
      </c>
      <c r="AW516" s="429">
        <v>0</v>
      </c>
      <c r="AX516" s="300">
        <v>0</v>
      </c>
      <c r="AY516" s="299">
        <v>0</v>
      </c>
      <c r="AZ516" s="122">
        <v>0</v>
      </c>
      <c r="BA516" s="300">
        <v>0</v>
      </c>
      <c r="BB516" s="429">
        <v>0</v>
      </c>
      <c r="BC516" s="300">
        <v>0</v>
      </c>
      <c r="BD516" s="299">
        <v>0</v>
      </c>
      <c r="BE516" s="122">
        <v>0</v>
      </c>
      <c r="BF516" s="300">
        <v>0</v>
      </c>
      <c r="BG516" s="429">
        <v>0</v>
      </c>
      <c r="BH516" s="300">
        <v>0</v>
      </c>
      <c r="BI516" s="304">
        <v>0</v>
      </c>
      <c r="BJ516" s="300">
        <v>0</v>
      </c>
      <c r="BK516" s="300">
        <v>0</v>
      </c>
      <c r="BL516" s="300">
        <v>0</v>
      </c>
      <c r="BM516" s="300">
        <v>0</v>
      </c>
      <c r="BN516" s="401">
        <v>0</v>
      </c>
      <c r="BO516" s="300">
        <v>0</v>
      </c>
      <c r="BP516" s="300">
        <v>0</v>
      </c>
      <c r="BQ516" s="300">
        <v>0</v>
      </c>
      <c r="BR516" s="300">
        <v>0</v>
      </c>
      <c r="BS516" s="401">
        <v>0</v>
      </c>
      <c r="BT516" s="401">
        <v>0</v>
      </c>
      <c r="BU516" s="401">
        <v>0</v>
      </c>
      <c r="BV516" s="401">
        <v>0</v>
      </c>
      <c r="BW516" s="404"/>
    </row>
    <row r="517" spans="1:75" s="123" customFormat="1" hidden="1" outlineLevel="1" x14ac:dyDescent="0.5">
      <c r="A517" s="464" t="s">
        <v>652</v>
      </c>
      <c r="B517" s="119"/>
      <c r="C517" s="299"/>
      <c r="D517" s="299"/>
      <c r="E517" s="299"/>
      <c r="F517" s="299"/>
      <c r="G517" s="300"/>
      <c r="H517" s="300"/>
      <c r="I517" s="300"/>
      <c r="J517" s="300"/>
      <c r="K517" s="299"/>
      <c r="L517" s="300"/>
      <c r="M517" s="300"/>
      <c r="N517" s="300"/>
      <c r="O517" s="300"/>
      <c r="P517" s="299"/>
      <c r="Q517" s="300"/>
      <c r="R517" s="300"/>
      <c r="S517" s="300"/>
      <c r="T517" s="300"/>
      <c r="U517" s="299"/>
      <c r="V517" s="300"/>
      <c r="W517" s="300">
        <v>0</v>
      </c>
      <c r="X517" s="300">
        <v>0</v>
      </c>
      <c r="Y517" s="300">
        <v>0</v>
      </c>
      <c r="Z517" s="299">
        <v>0</v>
      </c>
      <c r="AA517" s="300">
        <v>0</v>
      </c>
      <c r="AB517" s="300">
        <v>0</v>
      </c>
      <c r="AC517" s="300">
        <v>0</v>
      </c>
      <c r="AD517" s="300">
        <v>0</v>
      </c>
      <c r="AE517" s="299">
        <v>0</v>
      </c>
      <c r="AF517" s="122">
        <v>0</v>
      </c>
      <c r="AG517" s="300">
        <v>0</v>
      </c>
      <c r="AH517" s="429">
        <v>0</v>
      </c>
      <c r="AI517" s="300">
        <v>0</v>
      </c>
      <c r="AJ517" s="299">
        <v>0</v>
      </c>
      <c r="AK517" s="122">
        <v>0</v>
      </c>
      <c r="AL517" s="300">
        <v>0</v>
      </c>
      <c r="AM517" s="429">
        <v>0</v>
      </c>
      <c r="AN517" s="300">
        <v>0</v>
      </c>
      <c r="AO517" s="299">
        <v>0</v>
      </c>
      <c r="AP517" s="122">
        <v>0</v>
      </c>
      <c r="AQ517" s="300">
        <v>0</v>
      </c>
      <c r="AR517" s="429">
        <v>0</v>
      </c>
      <c r="AS517" s="300">
        <v>0</v>
      </c>
      <c r="AT517" s="299">
        <v>0</v>
      </c>
      <c r="AU517" s="122">
        <v>0</v>
      </c>
      <c r="AV517" s="300">
        <v>0</v>
      </c>
      <c r="AW517" s="429">
        <v>0</v>
      </c>
      <c r="AX517" s="300">
        <v>0</v>
      </c>
      <c r="AY517" s="299">
        <v>0</v>
      </c>
      <c r="AZ517" s="122">
        <v>0</v>
      </c>
      <c r="BA517" s="300">
        <v>0</v>
      </c>
      <c r="BB517" s="429">
        <v>0</v>
      </c>
      <c r="BC517" s="300">
        <v>0</v>
      </c>
      <c r="BD517" s="299">
        <v>0</v>
      </c>
      <c r="BE517" s="122">
        <v>0</v>
      </c>
      <c r="BF517" s="300">
        <v>0</v>
      </c>
      <c r="BG517" s="429">
        <v>0</v>
      </c>
      <c r="BH517" s="300">
        <v>0</v>
      </c>
      <c r="BI517" s="304">
        <v>0</v>
      </c>
      <c r="BJ517" s="300">
        <v>0</v>
      </c>
      <c r="BK517" s="300">
        <v>0</v>
      </c>
      <c r="BL517" s="300">
        <v>0</v>
      </c>
      <c r="BM517" s="300">
        <v>0</v>
      </c>
      <c r="BN517" s="401">
        <v>0</v>
      </c>
      <c r="BO517" s="300">
        <v>0</v>
      </c>
      <c r="BP517" s="300">
        <v>0</v>
      </c>
      <c r="BQ517" s="300">
        <v>0</v>
      </c>
      <c r="BR517" s="300">
        <v>0</v>
      </c>
      <c r="BS517" s="401">
        <v>0</v>
      </c>
      <c r="BT517" s="401">
        <v>0</v>
      </c>
      <c r="BU517" s="401">
        <v>0</v>
      </c>
      <c r="BV517" s="401">
        <v>0</v>
      </c>
      <c r="BW517" s="404"/>
    </row>
    <row r="518" spans="1:75" s="123" customFormat="1" hidden="1" outlineLevel="1" x14ac:dyDescent="0.5">
      <c r="A518" s="464" t="s">
        <v>653</v>
      </c>
      <c r="B518" s="119"/>
      <c r="C518" s="299"/>
      <c r="D518" s="299"/>
      <c r="E518" s="299"/>
      <c r="F518" s="299"/>
      <c r="G518" s="300"/>
      <c r="H518" s="300"/>
      <c r="I518" s="300"/>
      <c r="J518" s="300"/>
      <c r="K518" s="299"/>
      <c r="L518" s="300"/>
      <c r="M518" s="300"/>
      <c r="N518" s="300"/>
      <c r="O518" s="300"/>
      <c r="P518" s="299"/>
      <c r="Q518" s="300"/>
      <c r="R518" s="300"/>
      <c r="S518" s="300"/>
      <c r="T518" s="300"/>
      <c r="U518" s="299"/>
      <c r="V518" s="300"/>
      <c r="W518" s="300">
        <v>0</v>
      </c>
      <c r="X518" s="300">
        <v>0</v>
      </c>
      <c r="Y518" s="300">
        <v>0</v>
      </c>
      <c r="Z518" s="299">
        <v>0</v>
      </c>
      <c r="AA518" s="300">
        <v>0</v>
      </c>
      <c r="AB518" s="300">
        <v>0</v>
      </c>
      <c r="AC518" s="300">
        <v>0</v>
      </c>
      <c r="AD518" s="300">
        <v>0</v>
      </c>
      <c r="AE518" s="299">
        <v>0</v>
      </c>
      <c r="AF518" s="122">
        <v>0</v>
      </c>
      <c r="AG518" s="300">
        <v>0</v>
      </c>
      <c r="AH518" s="429">
        <v>0</v>
      </c>
      <c r="AI518" s="300">
        <v>0</v>
      </c>
      <c r="AJ518" s="299">
        <v>0</v>
      </c>
      <c r="AK518" s="122">
        <v>0</v>
      </c>
      <c r="AL518" s="300">
        <v>0</v>
      </c>
      <c r="AM518" s="429">
        <v>0</v>
      </c>
      <c r="AN518" s="300">
        <v>0</v>
      </c>
      <c r="AO518" s="299">
        <v>0</v>
      </c>
      <c r="AP518" s="122">
        <v>1.6</v>
      </c>
      <c r="AQ518" s="300">
        <v>0</v>
      </c>
      <c r="AR518" s="429">
        <v>0</v>
      </c>
      <c r="AS518" s="300">
        <v>0</v>
      </c>
      <c r="AT518" s="299">
        <v>1.6</v>
      </c>
      <c r="AU518" s="122">
        <v>0</v>
      </c>
      <c r="AV518" s="300">
        <v>0</v>
      </c>
      <c r="AW518" s="429">
        <v>0</v>
      </c>
      <c r="AX518" s="300">
        <v>0</v>
      </c>
      <c r="AY518" s="299">
        <v>0</v>
      </c>
      <c r="AZ518" s="122">
        <v>0</v>
      </c>
      <c r="BA518" s="300">
        <v>0.2</v>
      </c>
      <c r="BB518" s="429">
        <v>0</v>
      </c>
      <c r="BC518" s="300">
        <v>0</v>
      </c>
      <c r="BD518" s="299">
        <v>0.2</v>
      </c>
      <c r="BE518" s="122">
        <v>0</v>
      </c>
      <c r="BF518" s="300">
        <v>0</v>
      </c>
      <c r="BG518" s="429">
        <v>0</v>
      </c>
      <c r="BH518" s="300">
        <v>0</v>
      </c>
      <c r="BI518" s="304">
        <v>0</v>
      </c>
      <c r="BJ518" s="300">
        <v>0</v>
      </c>
      <c r="BK518" s="300">
        <v>0</v>
      </c>
      <c r="BL518" s="300">
        <v>0</v>
      </c>
      <c r="BM518" s="300">
        <v>0</v>
      </c>
      <c r="BN518" s="401">
        <v>0</v>
      </c>
      <c r="BO518" s="300">
        <v>0</v>
      </c>
      <c r="BP518" s="300">
        <v>0</v>
      </c>
      <c r="BQ518" s="300">
        <v>0</v>
      </c>
      <c r="BR518" s="300">
        <v>0</v>
      </c>
      <c r="BS518" s="401">
        <v>0</v>
      </c>
      <c r="BT518" s="401">
        <v>0</v>
      </c>
      <c r="BU518" s="401">
        <v>0</v>
      </c>
      <c r="BV518" s="401">
        <v>0</v>
      </c>
      <c r="BW518" s="404"/>
    </row>
    <row r="519" spans="1:75" s="123" customFormat="1" hidden="1" outlineLevel="1" x14ac:dyDescent="0.5">
      <c r="A519" s="464" t="s">
        <v>654</v>
      </c>
      <c r="B519" s="119"/>
      <c r="C519" s="299"/>
      <c r="D519" s="299"/>
      <c r="E519" s="299"/>
      <c r="F519" s="299"/>
      <c r="G519" s="300"/>
      <c r="H519" s="300"/>
      <c r="I519" s="300"/>
      <c r="J519" s="300"/>
      <c r="K519" s="299"/>
      <c r="L519" s="300"/>
      <c r="M519" s="300"/>
      <c r="N519" s="300"/>
      <c r="O519" s="300"/>
      <c r="P519" s="299"/>
      <c r="Q519" s="300"/>
      <c r="R519" s="300"/>
      <c r="S519" s="300"/>
      <c r="T519" s="300"/>
      <c r="U519" s="299"/>
      <c r="V519" s="300"/>
      <c r="W519" s="300">
        <v>0</v>
      </c>
      <c r="X519" s="300">
        <v>0</v>
      </c>
      <c r="Y519" s="300">
        <v>0</v>
      </c>
      <c r="Z519" s="299">
        <v>0</v>
      </c>
      <c r="AA519" s="300">
        <v>0</v>
      </c>
      <c r="AB519" s="300">
        <v>0</v>
      </c>
      <c r="AC519" s="300">
        <v>0</v>
      </c>
      <c r="AD519" s="300">
        <v>0</v>
      </c>
      <c r="AE519" s="299">
        <v>0</v>
      </c>
      <c r="AF519" s="122">
        <v>0</v>
      </c>
      <c r="AG519" s="300">
        <v>0</v>
      </c>
      <c r="AH519" s="429">
        <v>0</v>
      </c>
      <c r="AI519" s="300">
        <v>0</v>
      </c>
      <c r="AJ519" s="299">
        <v>0</v>
      </c>
      <c r="AK519" s="122">
        <v>0</v>
      </c>
      <c r="AL519" s="300">
        <v>0</v>
      </c>
      <c r="AM519" s="429">
        <v>0</v>
      </c>
      <c r="AN519" s="300">
        <v>0</v>
      </c>
      <c r="AO519" s="299">
        <v>0</v>
      </c>
      <c r="AP519" s="122">
        <v>0</v>
      </c>
      <c r="AQ519" s="300">
        <v>0</v>
      </c>
      <c r="AR519" s="429">
        <v>0</v>
      </c>
      <c r="AS519" s="300">
        <v>0</v>
      </c>
      <c r="AT519" s="299">
        <v>0</v>
      </c>
      <c r="AU519" s="122">
        <v>0</v>
      </c>
      <c r="AV519" s="300">
        <v>0</v>
      </c>
      <c r="AW519" s="429">
        <v>0</v>
      </c>
      <c r="AX519" s="300">
        <v>0</v>
      </c>
      <c r="AY519" s="299">
        <v>0</v>
      </c>
      <c r="AZ519" s="122">
        <v>0</v>
      </c>
      <c r="BA519" s="300">
        <v>0</v>
      </c>
      <c r="BB519" s="429">
        <v>0</v>
      </c>
      <c r="BC519" s="300">
        <v>0</v>
      </c>
      <c r="BD519" s="299">
        <v>0</v>
      </c>
      <c r="BE519" s="122">
        <v>0</v>
      </c>
      <c r="BF519" s="300">
        <v>0</v>
      </c>
      <c r="BG519" s="429">
        <v>0</v>
      </c>
      <c r="BH519" s="300">
        <v>0</v>
      </c>
      <c r="BI519" s="304">
        <v>0</v>
      </c>
      <c r="BJ519" s="300">
        <v>0</v>
      </c>
      <c r="BK519" s="300">
        <v>0</v>
      </c>
      <c r="BL519" s="300">
        <v>0</v>
      </c>
      <c r="BM519" s="300">
        <v>0</v>
      </c>
      <c r="BN519" s="401">
        <v>0</v>
      </c>
      <c r="BO519" s="300">
        <v>0</v>
      </c>
      <c r="BP519" s="300">
        <v>0</v>
      </c>
      <c r="BQ519" s="300">
        <v>0</v>
      </c>
      <c r="BR519" s="300">
        <v>0</v>
      </c>
      <c r="BS519" s="401">
        <v>0</v>
      </c>
      <c r="BT519" s="401">
        <v>0</v>
      </c>
      <c r="BU519" s="401">
        <v>0</v>
      </c>
      <c r="BV519" s="401">
        <v>0</v>
      </c>
      <c r="BW519" s="404"/>
    </row>
    <row r="520" spans="1:75" s="123" customFormat="1" hidden="1" outlineLevel="1" x14ac:dyDescent="0.5">
      <c r="A520" s="464" t="s">
        <v>655</v>
      </c>
      <c r="B520" s="119"/>
      <c r="C520" s="299"/>
      <c r="D520" s="299"/>
      <c r="E520" s="299"/>
      <c r="F520" s="299"/>
      <c r="G520" s="300"/>
      <c r="H520" s="300"/>
      <c r="I520" s="300"/>
      <c r="J520" s="300"/>
      <c r="K520" s="299"/>
      <c r="L520" s="300"/>
      <c r="M520" s="300"/>
      <c r="N520" s="300"/>
      <c r="O520" s="300"/>
      <c r="P520" s="299"/>
      <c r="Q520" s="300"/>
      <c r="R520" s="300"/>
      <c r="S520" s="300"/>
      <c r="T520" s="300"/>
      <c r="U520" s="299"/>
      <c r="V520" s="300"/>
      <c r="W520" s="300">
        <v>0</v>
      </c>
      <c r="X520" s="300">
        <v>0</v>
      </c>
      <c r="Y520" s="300">
        <v>0</v>
      </c>
      <c r="Z520" s="299">
        <v>0</v>
      </c>
      <c r="AA520" s="300">
        <v>0</v>
      </c>
      <c r="AB520" s="300">
        <v>0</v>
      </c>
      <c r="AC520" s="300">
        <v>0</v>
      </c>
      <c r="AD520" s="300">
        <v>0</v>
      </c>
      <c r="AE520" s="299">
        <v>0</v>
      </c>
      <c r="AF520" s="122">
        <v>0</v>
      </c>
      <c r="AG520" s="300">
        <v>0</v>
      </c>
      <c r="AH520" s="429">
        <v>0</v>
      </c>
      <c r="AI520" s="300">
        <v>0</v>
      </c>
      <c r="AJ520" s="299">
        <v>0</v>
      </c>
      <c r="AK520" s="122">
        <v>0</v>
      </c>
      <c r="AL520" s="300">
        <v>0</v>
      </c>
      <c r="AM520" s="429">
        <v>0</v>
      </c>
      <c r="AN520" s="300">
        <v>0</v>
      </c>
      <c r="AO520" s="299">
        <v>0</v>
      </c>
      <c r="AP520" s="122">
        <v>0</v>
      </c>
      <c r="AQ520" s="300">
        <v>0</v>
      </c>
      <c r="AR520" s="429">
        <v>0</v>
      </c>
      <c r="AS520" s="300">
        <v>0</v>
      </c>
      <c r="AT520" s="299">
        <v>0</v>
      </c>
      <c r="AU520" s="122">
        <v>0</v>
      </c>
      <c r="AV520" s="300">
        <v>0</v>
      </c>
      <c r="AW520" s="429">
        <v>0</v>
      </c>
      <c r="AX520" s="300">
        <v>0</v>
      </c>
      <c r="AY520" s="299">
        <v>0</v>
      </c>
      <c r="AZ520" s="122">
        <v>0</v>
      </c>
      <c r="BA520" s="300">
        <v>0</v>
      </c>
      <c r="BB520" s="429">
        <v>0</v>
      </c>
      <c r="BC520" s="300">
        <v>0</v>
      </c>
      <c r="BD520" s="299">
        <v>0</v>
      </c>
      <c r="BE520" s="122">
        <v>0</v>
      </c>
      <c r="BF520" s="300">
        <v>0</v>
      </c>
      <c r="BG520" s="429">
        <v>0</v>
      </c>
      <c r="BH520" s="300">
        <v>0</v>
      </c>
      <c r="BI520" s="304">
        <v>0</v>
      </c>
      <c r="BJ520" s="300">
        <v>0</v>
      </c>
      <c r="BK520" s="300">
        <v>0</v>
      </c>
      <c r="BL520" s="300">
        <v>0</v>
      </c>
      <c r="BM520" s="300">
        <v>0</v>
      </c>
      <c r="BN520" s="401">
        <v>0</v>
      </c>
      <c r="BO520" s="300">
        <v>0</v>
      </c>
      <c r="BP520" s="300">
        <v>0</v>
      </c>
      <c r="BQ520" s="300">
        <v>0</v>
      </c>
      <c r="BR520" s="300">
        <v>0</v>
      </c>
      <c r="BS520" s="401">
        <v>0</v>
      </c>
      <c r="BT520" s="401">
        <v>0</v>
      </c>
      <c r="BU520" s="401">
        <v>0</v>
      </c>
      <c r="BV520" s="401">
        <v>0</v>
      </c>
      <c r="BW520" s="404"/>
    </row>
    <row r="521" spans="1:75" s="123" customFormat="1" hidden="1" outlineLevel="1" x14ac:dyDescent="0.5">
      <c r="A521" s="464" t="s">
        <v>656</v>
      </c>
      <c r="B521" s="119"/>
      <c r="C521" s="299"/>
      <c r="D521" s="299"/>
      <c r="E521" s="299"/>
      <c r="F521" s="299"/>
      <c r="G521" s="300"/>
      <c r="H521" s="300"/>
      <c r="I521" s="300"/>
      <c r="J521" s="300"/>
      <c r="K521" s="299"/>
      <c r="L521" s="300"/>
      <c r="M521" s="300"/>
      <c r="N521" s="300"/>
      <c r="O521" s="300"/>
      <c r="P521" s="299"/>
      <c r="Q521" s="300"/>
      <c r="R521" s="300"/>
      <c r="S521" s="300"/>
      <c r="T521" s="300"/>
      <c r="U521" s="299"/>
      <c r="V521" s="300"/>
      <c r="W521" s="300">
        <v>0</v>
      </c>
      <c r="X521" s="300">
        <v>0</v>
      </c>
      <c r="Y521" s="300">
        <v>0</v>
      </c>
      <c r="Z521" s="299">
        <v>0</v>
      </c>
      <c r="AA521" s="300">
        <v>0</v>
      </c>
      <c r="AB521" s="300">
        <v>0</v>
      </c>
      <c r="AC521" s="300">
        <v>0</v>
      </c>
      <c r="AD521" s="300">
        <v>0</v>
      </c>
      <c r="AE521" s="299">
        <v>0</v>
      </c>
      <c r="AF521" s="122">
        <v>0</v>
      </c>
      <c r="AG521" s="300">
        <v>0</v>
      </c>
      <c r="AH521" s="429">
        <v>0</v>
      </c>
      <c r="AI521" s="300">
        <v>0</v>
      </c>
      <c r="AJ521" s="299">
        <v>0</v>
      </c>
      <c r="AK521" s="122">
        <v>0</v>
      </c>
      <c r="AL521" s="300">
        <v>0</v>
      </c>
      <c r="AM521" s="429">
        <v>0</v>
      </c>
      <c r="AN521" s="300">
        <v>0</v>
      </c>
      <c r="AO521" s="299">
        <v>0</v>
      </c>
      <c r="AP521" s="122">
        <v>0</v>
      </c>
      <c r="AQ521" s="300">
        <v>0</v>
      </c>
      <c r="AR521" s="429">
        <v>0</v>
      </c>
      <c r="AS521" s="300">
        <v>0</v>
      </c>
      <c r="AT521" s="299">
        <v>0</v>
      </c>
      <c r="AU521" s="122">
        <v>0</v>
      </c>
      <c r="AV521" s="300">
        <v>0</v>
      </c>
      <c r="AW521" s="429">
        <v>0</v>
      </c>
      <c r="AX521" s="300">
        <v>0</v>
      </c>
      <c r="AY521" s="299">
        <v>0</v>
      </c>
      <c r="AZ521" s="122">
        <v>0</v>
      </c>
      <c r="BA521" s="300">
        <v>0</v>
      </c>
      <c r="BB521" s="429">
        <v>0</v>
      </c>
      <c r="BC521" s="300">
        <v>0</v>
      </c>
      <c r="BD521" s="299">
        <v>0</v>
      </c>
      <c r="BE521" s="122">
        <v>0</v>
      </c>
      <c r="BF521" s="300">
        <v>0</v>
      </c>
      <c r="BG521" s="429">
        <v>0</v>
      </c>
      <c r="BH521" s="300">
        <v>0</v>
      </c>
      <c r="BI521" s="304">
        <v>0</v>
      </c>
      <c r="BJ521" s="300">
        <v>0</v>
      </c>
      <c r="BK521" s="300">
        <v>0</v>
      </c>
      <c r="BL521" s="300">
        <v>0</v>
      </c>
      <c r="BM521" s="300">
        <v>0</v>
      </c>
      <c r="BN521" s="401">
        <v>0</v>
      </c>
      <c r="BO521" s="300">
        <v>0</v>
      </c>
      <c r="BP521" s="300">
        <v>0</v>
      </c>
      <c r="BQ521" s="300">
        <v>0</v>
      </c>
      <c r="BR521" s="300">
        <v>0</v>
      </c>
      <c r="BS521" s="401">
        <v>0</v>
      </c>
      <c r="BT521" s="401">
        <v>0</v>
      </c>
      <c r="BU521" s="401">
        <v>0</v>
      </c>
      <c r="BV521" s="401">
        <v>0</v>
      </c>
      <c r="BW521" s="404"/>
    </row>
    <row r="522" spans="1:75" s="123" customFormat="1" hidden="1" outlineLevel="1" x14ac:dyDescent="0.5">
      <c r="A522" s="464" t="s">
        <v>657</v>
      </c>
      <c r="B522" s="119"/>
      <c r="C522" s="299"/>
      <c r="D522" s="299"/>
      <c r="E522" s="299"/>
      <c r="F522" s="299"/>
      <c r="G522" s="300"/>
      <c r="H522" s="300"/>
      <c r="I522" s="300"/>
      <c r="J522" s="300"/>
      <c r="K522" s="299"/>
      <c r="L522" s="300"/>
      <c r="M522" s="300"/>
      <c r="N522" s="300"/>
      <c r="O522" s="300"/>
      <c r="P522" s="299"/>
      <c r="Q522" s="300"/>
      <c r="R522" s="300"/>
      <c r="S522" s="300"/>
      <c r="T522" s="300"/>
      <c r="U522" s="299"/>
      <c r="V522" s="300"/>
      <c r="W522" s="300">
        <v>0</v>
      </c>
      <c r="X522" s="300">
        <v>0</v>
      </c>
      <c r="Y522" s="300">
        <v>0</v>
      </c>
      <c r="Z522" s="299">
        <v>0</v>
      </c>
      <c r="AA522" s="300">
        <v>0</v>
      </c>
      <c r="AB522" s="300">
        <v>0</v>
      </c>
      <c r="AC522" s="300">
        <v>0</v>
      </c>
      <c r="AD522" s="300">
        <v>0</v>
      </c>
      <c r="AE522" s="299">
        <v>0</v>
      </c>
      <c r="AF522" s="122">
        <v>0</v>
      </c>
      <c r="AG522" s="300">
        <v>0</v>
      </c>
      <c r="AH522" s="429">
        <v>0</v>
      </c>
      <c r="AI522" s="300">
        <v>0</v>
      </c>
      <c r="AJ522" s="299">
        <v>0</v>
      </c>
      <c r="AK522" s="122">
        <v>0</v>
      </c>
      <c r="AL522" s="300">
        <v>0</v>
      </c>
      <c r="AM522" s="429">
        <v>0</v>
      </c>
      <c r="AN522" s="300">
        <v>0</v>
      </c>
      <c r="AO522" s="299">
        <v>0</v>
      </c>
      <c r="AP522" s="122">
        <v>0</v>
      </c>
      <c r="AQ522" s="300">
        <v>0</v>
      </c>
      <c r="AR522" s="429">
        <v>0</v>
      </c>
      <c r="AS522" s="300">
        <v>0</v>
      </c>
      <c r="AT522" s="299">
        <v>0</v>
      </c>
      <c r="AU522" s="122">
        <v>0</v>
      </c>
      <c r="AV522" s="300">
        <v>0</v>
      </c>
      <c r="AW522" s="429">
        <v>0</v>
      </c>
      <c r="AX522" s="300">
        <v>0</v>
      </c>
      <c r="AY522" s="299">
        <v>0</v>
      </c>
      <c r="AZ522" s="122">
        <v>0</v>
      </c>
      <c r="BA522" s="300">
        <v>0</v>
      </c>
      <c r="BB522" s="429">
        <v>0</v>
      </c>
      <c r="BC522" s="300">
        <v>0</v>
      </c>
      <c r="BD522" s="299">
        <v>0</v>
      </c>
      <c r="BE522" s="122">
        <v>0</v>
      </c>
      <c r="BF522" s="300">
        <v>0</v>
      </c>
      <c r="BG522" s="429">
        <v>0</v>
      </c>
      <c r="BH522" s="300">
        <v>0</v>
      </c>
      <c r="BI522" s="304">
        <v>0</v>
      </c>
      <c r="BJ522" s="300">
        <v>0</v>
      </c>
      <c r="BK522" s="300">
        <v>0</v>
      </c>
      <c r="BL522" s="300">
        <v>0</v>
      </c>
      <c r="BM522" s="300">
        <v>0</v>
      </c>
      <c r="BN522" s="401">
        <v>0</v>
      </c>
      <c r="BO522" s="300">
        <v>0</v>
      </c>
      <c r="BP522" s="300">
        <v>0</v>
      </c>
      <c r="BQ522" s="300">
        <v>0</v>
      </c>
      <c r="BR522" s="300">
        <v>0</v>
      </c>
      <c r="BS522" s="401">
        <v>0</v>
      </c>
      <c r="BT522" s="401">
        <v>0</v>
      </c>
      <c r="BU522" s="401">
        <v>0</v>
      </c>
      <c r="BV522" s="401">
        <v>0</v>
      </c>
      <c r="BW522" s="404"/>
    </row>
    <row r="523" spans="1:75" s="123" customFormat="1" hidden="1" outlineLevel="1" x14ac:dyDescent="0.5">
      <c r="A523" s="464" t="s">
        <v>658</v>
      </c>
      <c r="B523" s="119"/>
      <c r="C523" s="299"/>
      <c r="D523" s="299"/>
      <c r="E523" s="299"/>
      <c r="F523" s="299"/>
      <c r="G523" s="300"/>
      <c r="H523" s="300"/>
      <c r="I523" s="300"/>
      <c r="J523" s="300"/>
      <c r="K523" s="299"/>
      <c r="L523" s="300"/>
      <c r="M523" s="300"/>
      <c r="N523" s="300"/>
      <c r="O523" s="300"/>
      <c r="P523" s="299"/>
      <c r="Q523" s="300"/>
      <c r="R523" s="300"/>
      <c r="S523" s="300"/>
      <c r="T523" s="300"/>
      <c r="U523" s="299"/>
      <c r="V523" s="300"/>
      <c r="W523" s="300">
        <v>0</v>
      </c>
      <c r="X523" s="300">
        <v>0</v>
      </c>
      <c r="Y523" s="300">
        <v>0</v>
      </c>
      <c r="Z523" s="299">
        <v>0</v>
      </c>
      <c r="AA523" s="300">
        <v>0</v>
      </c>
      <c r="AB523" s="300">
        <v>0</v>
      </c>
      <c r="AC523" s="300">
        <v>0</v>
      </c>
      <c r="AD523" s="300">
        <v>0</v>
      </c>
      <c r="AE523" s="299">
        <v>0</v>
      </c>
      <c r="AF523" s="122">
        <v>0</v>
      </c>
      <c r="AG523" s="300">
        <v>0</v>
      </c>
      <c r="AH523" s="429">
        <v>0</v>
      </c>
      <c r="AI523" s="300">
        <v>0</v>
      </c>
      <c r="AJ523" s="299">
        <v>0</v>
      </c>
      <c r="AK523" s="122">
        <v>0</v>
      </c>
      <c r="AL523" s="300">
        <v>0</v>
      </c>
      <c r="AM523" s="429">
        <v>0</v>
      </c>
      <c r="AN523" s="300">
        <v>0</v>
      </c>
      <c r="AO523" s="299">
        <v>0</v>
      </c>
      <c r="AP523" s="122">
        <v>0</v>
      </c>
      <c r="AQ523" s="300">
        <v>0</v>
      </c>
      <c r="AR523" s="429">
        <v>0</v>
      </c>
      <c r="AS523" s="300">
        <v>0</v>
      </c>
      <c r="AT523" s="299">
        <v>0</v>
      </c>
      <c r="AU523" s="122">
        <v>0</v>
      </c>
      <c r="AV523" s="300">
        <v>0</v>
      </c>
      <c r="AW523" s="429">
        <v>0</v>
      </c>
      <c r="AX523" s="300">
        <v>0</v>
      </c>
      <c r="AY523" s="299">
        <v>0</v>
      </c>
      <c r="AZ523" s="122">
        <v>0</v>
      </c>
      <c r="BA523" s="300">
        <v>0</v>
      </c>
      <c r="BB523" s="429">
        <v>0</v>
      </c>
      <c r="BC523" s="300">
        <v>0</v>
      </c>
      <c r="BD523" s="299">
        <v>0</v>
      </c>
      <c r="BE523" s="122">
        <v>0</v>
      </c>
      <c r="BF523" s="300">
        <v>0</v>
      </c>
      <c r="BG523" s="429">
        <v>0</v>
      </c>
      <c r="BH523" s="300">
        <v>0</v>
      </c>
      <c r="BI523" s="304">
        <v>0</v>
      </c>
      <c r="BJ523" s="300">
        <v>0</v>
      </c>
      <c r="BK523" s="300">
        <v>0</v>
      </c>
      <c r="BL523" s="300">
        <v>0</v>
      </c>
      <c r="BM523" s="300">
        <v>0</v>
      </c>
      <c r="BN523" s="401">
        <v>0</v>
      </c>
      <c r="BO523" s="300">
        <v>0</v>
      </c>
      <c r="BP523" s="300">
        <v>0</v>
      </c>
      <c r="BQ523" s="300">
        <v>0</v>
      </c>
      <c r="BR523" s="300">
        <v>0</v>
      </c>
      <c r="BS523" s="401">
        <v>0</v>
      </c>
      <c r="BT523" s="401">
        <v>0</v>
      </c>
      <c r="BU523" s="401">
        <v>0</v>
      </c>
      <c r="BV523" s="401">
        <v>0</v>
      </c>
      <c r="BW523" s="404"/>
    </row>
    <row r="524" spans="1:75" s="123" customFormat="1" hidden="1" outlineLevel="1" x14ac:dyDescent="0.5">
      <c r="A524" s="464" t="s">
        <v>659</v>
      </c>
      <c r="B524" s="119"/>
      <c r="C524" s="299"/>
      <c r="D524" s="299"/>
      <c r="E524" s="299"/>
      <c r="F524" s="299"/>
      <c r="G524" s="300"/>
      <c r="H524" s="300"/>
      <c r="I524" s="300"/>
      <c r="J524" s="300"/>
      <c r="K524" s="299"/>
      <c r="L524" s="300"/>
      <c r="M524" s="300"/>
      <c r="N524" s="300"/>
      <c r="O524" s="300"/>
      <c r="P524" s="299"/>
      <c r="Q524" s="300"/>
      <c r="R524" s="300"/>
      <c r="S524" s="300"/>
      <c r="T524" s="300"/>
      <c r="U524" s="299"/>
      <c r="V524" s="300"/>
      <c r="W524" s="300">
        <v>0</v>
      </c>
      <c r="X524" s="300">
        <v>0</v>
      </c>
      <c r="Y524" s="300">
        <v>0</v>
      </c>
      <c r="Z524" s="299">
        <v>0</v>
      </c>
      <c r="AA524" s="300">
        <v>0</v>
      </c>
      <c r="AB524" s="300">
        <v>0</v>
      </c>
      <c r="AC524" s="300">
        <v>0</v>
      </c>
      <c r="AD524" s="300">
        <v>0</v>
      </c>
      <c r="AE524" s="299">
        <v>0</v>
      </c>
      <c r="AF524" s="122">
        <v>0</v>
      </c>
      <c r="AG524" s="300">
        <v>0</v>
      </c>
      <c r="AH524" s="429">
        <v>0</v>
      </c>
      <c r="AI524" s="300">
        <v>0</v>
      </c>
      <c r="AJ524" s="299">
        <v>0</v>
      </c>
      <c r="AK524" s="122">
        <v>0</v>
      </c>
      <c r="AL524" s="300">
        <v>0</v>
      </c>
      <c r="AM524" s="429">
        <v>0</v>
      </c>
      <c r="AN524" s="300">
        <v>0</v>
      </c>
      <c r="AO524" s="299">
        <v>0</v>
      </c>
      <c r="AP524" s="122">
        <v>0</v>
      </c>
      <c r="AQ524" s="300">
        <v>0</v>
      </c>
      <c r="AR524" s="429">
        <v>0</v>
      </c>
      <c r="AS524" s="300">
        <v>1.3</v>
      </c>
      <c r="AT524" s="299">
        <v>1.3</v>
      </c>
      <c r="AU524" s="122">
        <v>0.5</v>
      </c>
      <c r="AV524" s="300">
        <v>0</v>
      </c>
      <c r="AW524" s="429">
        <v>0.30000000000000004</v>
      </c>
      <c r="AX524" s="300">
        <v>0.59999999999999987</v>
      </c>
      <c r="AY524" s="299">
        <v>1.4</v>
      </c>
      <c r="AZ524" s="122">
        <v>0</v>
      </c>
      <c r="BA524" s="300">
        <v>0</v>
      </c>
      <c r="BB524" s="429">
        <v>0</v>
      </c>
      <c r="BC524" s="300">
        <v>0</v>
      </c>
      <c r="BD524" s="299">
        <v>0</v>
      </c>
      <c r="BE524" s="122">
        <v>0</v>
      </c>
      <c r="BF524" s="300">
        <v>0</v>
      </c>
      <c r="BG524" s="429">
        <v>0</v>
      </c>
      <c r="BH524" s="300">
        <v>0</v>
      </c>
      <c r="BI524" s="304">
        <v>0</v>
      </c>
      <c r="BJ524" s="300">
        <v>0</v>
      </c>
      <c r="BK524" s="300">
        <v>0</v>
      </c>
      <c r="BL524" s="300">
        <v>0</v>
      </c>
      <c r="BM524" s="300">
        <v>0</v>
      </c>
      <c r="BN524" s="401">
        <v>0</v>
      </c>
      <c r="BO524" s="300">
        <v>0</v>
      </c>
      <c r="BP524" s="300">
        <v>0</v>
      </c>
      <c r="BQ524" s="300">
        <v>0</v>
      </c>
      <c r="BR524" s="300">
        <v>0</v>
      </c>
      <c r="BS524" s="401">
        <v>0</v>
      </c>
      <c r="BT524" s="401">
        <v>0</v>
      </c>
      <c r="BU524" s="401">
        <v>0</v>
      </c>
      <c r="BV524" s="401">
        <v>0</v>
      </c>
      <c r="BW524" s="404"/>
    </row>
    <row r="525" spans="1:75" s="123" customFormat="1" hidden="1" outlineLevel="1" x14ac:dyDescent="0.5">
      <c r="A525" s="464" t="s">
        <v>660</v>
      </c>
      <c r="B525" s="119"/>
      <c r="C525" s="299"/>
      <c r="D525" s="299"/>
      <c r="E525" s="299"/>
      <c r="F525" s="299"/>
      <c r="G525" s="300"/>
      <c r="H525" s="300"/>
      <c r="I525" s="300"/>
      <c r="J525" s="300"/>
      <c r="K525" s="299"/>
      <c r="L525" s="300"/>
      <c r="M525" s="300"/>
      <c r="N525" s="300"/>
      <c r="O525" s="300"/>
      <c r="P525" s="299"/>
      <c r="Q525" s="300"/>
      <c r="R525" s="300"/>
      <c r="S525" s="300"/>
      <c r="T525" s="300"/>
      <c r="U525" s="299"/>
      <c r="V525" s="300"/>
      <c r="W525" s="300">
        <v>0</v>
      </c>
      <c r="X525" s="300">
        <v>0</v>
      </c>
      <c r="Y525" s="300">
        <v>0</v>
      </c>
      <c r="Z525" s="299">
        <v>0</v>
      </c>
      <c r="AA525" s="300">
        <v>0</v>
      </c>
      <c r="AB525" s="300">
        <v>0</v>
      </c>
      <c r="AC525" s="300">
        <v>0</v>
      </c>
      <c r="AD525" s="300">
        <v>0</v>
      </c>
      <c r="AE525" s="299">
        <v>0</v>
      </c>
      <c r="AF525" s="122">
        <v>0</v>
      </c>
      <c r="AG525" s="300">
        <v>0</v>
      </c>
      <c r="AH525" s="429">
        <v>0</v>
      </c>
      <c r="AI525" s="300">
        <v>0</v>
      </c>
      <c r="AJ525" s="299">
        <v>0</v>
      </c>
      <c r="AK525" s="122">
        <v>0</v>
      </c>
      <c r="AL525" s="300">
        <v>0</v>
      </c>
      <c r="AM525" s="429">
        <v>0</v>
      </c>
      <c r="AN525" s="300">
        <v>0</v>
      </c>
      <c r="AO525" s="299">
        <v>0</v>
      </c>
      <c r="AP525" s="122">
        <v>0</v>
      </c>
      <c r="AQ525" s="300">
        <v>0</v>
      </c>
      <c r="AR525" s="429">
        <v>0</v>
      </c>
      <c r="AS525" s="300">
        <v>0</v>
      </c>
      <c r="AT525" s="299">
        <v>0</v>
      </c>
      <c r="AU525" s="122">
        <v>0</v>
      </c>
      <c r="AV525" s="300">
        <v>0</v>
      </c>
      <c r="AW525" s="429">
        <v>0</v>
      </c>
      <c r="AX525" s="300">
        <v>0</v>
      </c>
      <c r="AY525" s="299">
        <v>0</v>
      </c>
      <c r="AZ525" s="122">
        <v>0</v>
      </c>
      <c r="BA525" s="300">
        <v>0</v>
      </c>
      <c r="BB525" s="429">
        <v>0</v>
      </c>
      <c r="BC525" s="300">
        <v>0</v>
      </c>
      <c r="BD525" s="299">
        <v>0</v>
      </c>
      <c r="BE525" s="122">
        <v>0</v>
      </c>
      <c r="BF525" s="300">
        <v>0</v>
      </c>
      <c r="BG525" s="429">
        <v>0</v>
      </c>
      <c r="BH525" s="300">
        <v>0</v>
      </c>
      <c r="BI525" s="304">
        <v>0</v>
      </c>
      <c r="BJ525" s="300">
        <v>0</v>
      </c>
      <c r="BK525" s="300">
        <v>0</v>
      </c>
      <c r="BL525" s="300">
        <v>0</v>
      </c>
      <c r="BM525" s="300">
        <v>0</v>
      </c>
      <c r="BN525" s="401">
        <v>0</v>
      </c>
      <c r="BO525" s="300">
        <v>0</v>
      </c>
      <c r="BP525" s="300">
        <v>0</v>
      </c>
      <c r="BQ525" s="300">
        <v>0</v>
      </c>
      <c r="BR525" s="300">
        <v>0</v>
      </c>
      <c r="BS525" s="401">
        <v>0</v>
      </c>
      <c r="BT525" s="401">
        <v>0</v>
      </c>
      <c r="BU525" s="401">
        <v>0</v>
      </c>
      <c r="BV525" s="401">
        <v>0</v>
      </c>
      <c r="BW525" s="404"/>
    </row>
    <row r="526" spans="1:75" s="123" customFormat="1" hidden="1" outlineLevel="1" x14ac:dyDescent="0.5">
      <c r="A526" s="464" t="s">
        <v>661</v>
      </c>
      <c r="B526" s="119"/>
      <c r="C526" s="299"/>
      <c r="D526" s="299"/>
      <c r="E526" s="299"/>
      <c r="F526" s="299"/>
      <c r="G526" s="300"/>
      <c r="H526" s="300"/>
      <c r="I526" s="300"/>
      <c r="J526" s="300"/>
      <c r="K526" s="299"/>
      <c r="L526" s="300"/>
      <c r="M526" s="300"/>
      <c r="N526" s="300"/>
      <c r="O526" s="300"/>
      <c r="P526" s="299"/>
      <c r="Q526" s="300"/>
      <c r="R526" s="300"/>
      <c r="S526" s="300"/>
      <c r="T526" s="300"/>
      <c r="U526" s="299"/>
      <c r="V526" s="300"/>
      <c r="W526" s="300">
        <v>0</v>
      </c>
      <c r="X526" s="300">
        <v>0</v>
      </c>
      <c r="Y526" s="300">
        <v>0</v>
      </c>
      <c r="Z526" s="299">
        <v>0</v>
      </c>
      <c r="AA526" s="300">
        <v>0</v>
      </c>
      <c r="AB526" s="300">
        <v>0</v>
      </c>
      <c r="AC526" s="300">
        <v>0</v>
      </c>
      <c r="AD526" s="300">
        <v>0</v>
      </c>
      <c r="AE526" s="299">
        <v>0</v>
      </c>
      <c r="AF526" s="122">
        <v>0</v>
      </c>
      <c r="AG526" s="300">
        <v>0</v>
      </c>
      <c r="AH526" s="429">
        <v>0</v>
      </c>
      <c r="AI526" s="300">
        <v>0</v>
      </c>
      <c r="AJ526" s="299">
        <v>0</v>
      </c>
      <c r="AK526" s="122">
        <v>0</v>
      </c>
      <c r="AL526" s="300">
        <v>0</v>
      </c>
      <c r="AM526" s="429">
        <v>0</v>
      </c>
      <c r="AN526" s="300">
        <v>0</v>
      </c>
      <c r="AO526" s="299">
        <v>0</v>
      </c>
      <c r="AP526" s="122">
        <v>0</v>
      </c>
      <c r="AQ526" s="300">
        <v>0</v>
      </c>
      <c r="AR526" s="429">
        <v>0</v>
      </c>
      <c r="AS526" s="300">
        <v>0</v>
      </c>
      <c r="AT526" s="299">
        <v>0</v>
      </c>
      <c r="AU526" s="122">
        <v>0</v>
      </c>
      <c r="AV526" s="300">
        <v>0</v>
      </c>
      <c r="AW526" s="429">
        <v>0</v>
      </c>
      <c r="AX526" s="300">
        <v>0</v>
      </c>
      <c r="AY526" s="299">
        <v>0</v>
      </c>
      <c r="AZ526" s="122">
        <v>0</v>
      </c>
      <c r="BA526" s="300">
        <v>0</v>
      </c>
      <c r="BB526" s="429">
        <v>0</v>
      </c>
      <c r="BC526" s="300">
        <v>0</v>
      </c>
      <c r="BD526" s="299">
        <v>0</v>
      </c>
      <c r="BE526" s="122">
        <v>0</v>
      </c>
      <c r="BF526" s="300">
        <v>0</v>
      </c>
      <c r="BG526" s="429">
        <v>0</v>
      </c>
      <c r="BH526" s="300">
        <v>0</v>
      </c>
      <c r="BI526" s="304">
        <v>0</v>
      </c>
      <c r="BJ526" s="300">
        <v>0</v>
      </c>
      <c r="BK526" s="300">
        <v>0</v>
      </c>
      <c r="BL526" s="300">
        <v>0</v>
      </c>
      <c r="BM526" s="300">
        <v>0</v>
      </c>
      <c r="BN526" s="401">
        <v>0</v>
      </c>
      <c r="BO526" s="300">
        <v>0</v>
      </c>
      <c r="BP526" s="300">
        <v>0</v>
      </c>
      <c r="BQ526" s="300">
        <v>0</v>
      </c>
      <c r="BR526" s="300">
        <v>0</v>
      </c>
      <c r="BS526" s="401">
        <v>0</v>
      </c>
      <c r="BT526" s="401">
        <v>0</v>
      </c>
      <c r="BU526" s="401">
        <v>0</v>
      </c>
      <c r="BV526" s="401">
        <v>0</v>
      </c>
      <c r="BW526" s="404"/>
    </row>
    <row r="527" spans="1:75" s="123" customFormat="1" hidden="1" outlineLevel="1" x14ac:dyDescent="0.5">
      <c r="A527" s="464" t="s">
        <v>662</v>
      </c>
      <c r="B527" s="119"/>
      <c r="C527" s="299"/>
      <c r="D527" s="299"/>
      <c r="E527" s="299"/>
      <c r="F527" s="299"/>
      <c r="G527" s="300"/>
      <c r="H527" s="300"/>
      <c r="I527" s="300"/>
      <c r="J527" s="300"/>
      <c r="K527" s="299"/>
      <c r="L527" s="300"/>
      <c r="M527" s="300"/>
      <c r="N527" s="300"/>
      <c r="O527" s="300"/>
      <c r="P527" s="299"/>
      <c r="Q527" s="300"/>
      <c r="R527" s="300"/>
      <c r="S527" s="300"/>
      <c r="T527" s="300"/>
      <c r="U527" s="299"/>
      <c r="V527" s="300"/>
      <c r="W527" s="300">
        <v>0</v>
      </c>
      <c r="X527" s="300">
        <v>0</v>
      </c>
      <c r="Y527" s="300">
        <v>0</v>
      </c>
      <c r="Z527" s="299">
        <v>0</v>
      </c>
      <c r="AA527" s="300">
        <v>0</v>
      </c>
      <c r="AB527" s="300">
        <v>0</v>
      </c>
      <c r="AC527" s="300">
        <v>0</v>
      </c>
      <c r="AD527" s="300">
        <v>0</v>
      </c>
      <c r="AE527" s="299">
        <v>0</v>
      </c>
      <c r="AF527" s="122">
        <v>0</v>
      </c>
      <c r="AG527" s="300">
        <v>0</v>
      </c>
      <c r="AH527" s="429">
        <v>0</v>
      </c>
      <c r="AI527" s="300">
        <v>0</v>
      </c>
      <c r="AJ527" s="299">
        <v>0</v>
      </c>
      <c r="AK527" s="122">
        <v>0</v>
      </c>
      <c r="AL527" s="300">
        <v>0</v>
      </c>
      <c r="AM527" s="429">
        <v>0</v>
      </c>
      <c r="AN527" s="300">
        <v>0</v>
      </c>
      <c r="AO527" s="299">
        <v>0</v>
      </c>
      <c r="AP527" s="122">
        <v>0</v>
      </c>
      <c r="AQ527" s="300">
        <v>0</v>
      </c>
      <c r="AR527" s="429">
        <v>0</v>
      </c>
      <c r="AS527" s="300">
        <v>0</v>
      </c>
      <c r="AT527" s="299">
        <v>0</v>
      </c>
      <c r="AU527" s="122">
        <v>0</v>
      </c>
      <c r="AV527" s="300">
        <v>0</v>
      </c>
      <c r="AW527" s="429">
        <v>0</v>
      </c>
      <c r="AX527" s="300">
        <v>0</v>
      </c>
      <c r="AY527" s="299">
        <v>0</v>
      </c>
      <c r="AZ527" s="122">
        <v>0</v>
      </c>
      <c r="BA527" s="300">
        <v>0</v>
      </c>
      <c r="BB527" s="429">
        <v>0</v>
      </c>
      <c r="BC527" s="300">
        <v>0</v>
      </c>
      <c r="BD527" s="299">
        <v>0</v>
      </c>
      <c r="BE527" s="122">
        <v>0</v>
      </c>
      <c r="BF527" s="300">
        <v>0</v>
      </c>
      <c r="BG527" s="429">
        <v>0</v>
      </c>
      <c r="BH527" s="300">
        <v>0</v>
      </c>
      <c r="BI527" s="304">
        <v>0</v>
      </c>
      <c r="BJ527" s="300">
        <v>0</v>
      </c>
      <c r="BK527" s="300">
        <v>0</v>
      </c>
      <c r="BL527" s="300">
        <v>0</v>
      </c>
      <c r="BM527" s="300">
        <v>0</v>
      </c>
      <c r="BN527" s="401">
        <v>0</v>
      </c>
      <c r="BO527" s="300">
        <v>0</v>
      </c>
      <c r="BP527" s="300">
        <v>0</v>
      </c>
      <c r="BQ527" s="300">
        <v>0</v>
      </c>
      <c r="BR527" s="300">
        <v>0</v>
      </c>
      <c r="BS527" s="401">
        <v>0</v>
      </c>
      <c r="BT527" s="401">
        <v>0</v>
      </c>
      <c r="BU527" s="401">
        <v>0</v>
      </c>
      <c r="BV527" s="401">
        <v>0</v>
      </c>
      <c r="BW527" s="404"/>
    </row>
    <row r="528" spans="1:75" s="123" customFormat="1" hidden="1" outlineLevel="1" x14ac:dyDescent="0.5">
      <c r="A528" s="464" t="s">
        <v>663</v>
      </c>
      <c r="B528" s="119"/>
      <c r="C528" s="299"/>
      <c r="D528" s="299"/>
      <c r="E528" s="299"/>
      <c r="F528" s="299"/>
      <c r="G528" s="300"/>
      <c r="H528" s="300"/>
      <c r="I528" s="300"/>
      <c r="J528" s="300"/>
      <c r="K528" s="299"/>
      <c r="L528" s="300"/>
      <c r="M528" s="300"/>
      <c r="N528" s="300"/>
      <c r="O528" s="300"/>
      <c r="P528" s="299"/>
      <c r="Q528" s="300"/>
      <c r="R528" s="300"/>
      <c r="S528" s="300"/>
      <c r="T528" s="300"/>
      <c r="U528" s="299"/>
      <c r="V528" s="300"/>
      <c r="W528" s="300">
        <v>3.4</v>
      </c>
      <c r="X528" s="300">
        <v>1.8</v>
      </c>
      <c r="Y528" s="300">
        <v>1.5999999999999996</v>
      </c>
      <c r="Z528" s="299">
        <v>6.8</v>
      </c>
      <c r="AA528" s="300">
        <v>1.4</v>
      </c>
      <c r="AB528" s="300">
        <v>0.5</v>
      </c>
      <c r="AC528" s="300">
        <v>0.2</v>
      </c>
      <c r="AD528" s="300">
        <v>0.39999999999999991</v>
      </c>
      <c r="AE528" s="299">
        <v>2.5</v>
      </c>
      <c r="AF528" s="122">
        <v>0.2</v>
      </c>
      <c r="AG528" s="300">
        <v>0.2</v>
      </c>
      <c r="AH528" s="429">
        <v>0</v>
      </c>
      <c r="AI528" s="300">
        <v>0</v>
      </c>
      <c r="AJ528" s="299">
        <v>0.4</v>
      </c>
      <c r="AK528" s="122">
        <v>0</v>
      </c>
      <c r="AL528" s="300">
        <v>0</v>
      </c>
      <c r="AM528" s="429">
        <v>0</v>
      </c>
      <c r="AN528" s="300">
        <v>0</v>
      </c>
      <c r="AO528" s="299">
        <v>0</v>
      </c>
      <c r="AP528" s="122">
        <v>0</v>
      </c>
      <c r="AQ528" s="300">
        <v>0</v>
      </c>
      <c r="AR528" s="429">
        <v>0</v>
      </c>
      <c r="AS528" s="300">
        <v>0</v>
      </c>
      <c r="AT528" s="299">
        <v>0</v>
      </c>
      <c r="AU528" s="122">
        <v>0</v>
      </c>
      <c r="AV528" s="300">
        <v>0</v>
      </c>
      <c r="AW528" s="429">
        <v>0</v>
      </c>
      <c r="AX528" s="300">
        <v>0</v>
      </c>
      <c r="AY528" s="299">
        <v>0</v>
      </c>
      <c r="AZ528" s="122">
        <v>0</v>
      </c>
      <c r="BA528" s="300">
        <v>0</v>
      </c>
      <c r="BB528" s="429">
        <v>0</v>
      </c>
      <c r="BC528" s="300">
        <v>0</v>
      </c>
      <c r="BD528" s="299">
        <v>0</v>
      </c>
      <c r="BE528" s="122">
        <v>0</v>
      </c>
      <c r="BF528" s="300">
        <v>0</v>
      </c>
      <c r="BG528" s="429">
        <v>0</v>
      </c>
      <c r="BH528" s="300">
        <v>0</v>
      </c>
      <c r="BI528" s="304">
        <v>0</v>
      </c>
      <c r="BJ528" s="300">
        <v>0</v>
      </c>
      <c r="BK528" s="300">
        <v>0</v>
      </c>
      <c r="BL528" s="300">
        <v>0</v>
      </c>
      <c r="BM528" s="300">
        <v>0</v>
      </c>
      <c r="BN528" s="401">
        <v>0</v>
      </c>
      <c r="BO528" s="300">
        <v>0</v>
      </c>
      <c r="BP528" s="300">
        <v>0</v>
      </c>
      <c r="BQ528" s="300">
        <v>0</v>
      </c>
      <c r="BR528" s="300">
        <v>0</v>
      </c>
      <c r="BS528" s="401">
        <v>0</v>
      </c>
      <c r="BT528" s="401">
        <v>0</v>
      </c>
      <c r="BU528" s="401">
        <v>0</v>
      </c>
      <c r="BV528" s="401">
        <v>0</v>
      </c>
      <c r="BW528" s="404"/>
    </row>
    <row r="529" spans="1:75" s="198" customFormat="1" ht="14.25" hidden="1" outlineLevel="1" x14ac:dyDescent="0.45">
      <c r="A529" s="465" t="s">
        <v>664</v>
      </c>
      <c r="B529" s="277"/>
      <c r="C529" s="325"/>
      <c r="D529" s="325"/>
      <c r="E529" s="325"/>
      <c r="F529" s="325"/>
      <c r="G529" s="326"/>
      <c r="H529" s="326"/>
      <c r="I529" s="326"/>
      <c r="J529" s="326"/>
      <c r="K529" s="325"/>
      <c r="L529" s="326"/>
      <c r="M529" s="326"/>
      <c r="N529" s="326"/>
      <c r="O529" s="326"/>
      <c r="P529" s="325"/>
      <c r="Q529" s="326"/>
      <c r="R529" s="326"/>
      <c r="S529" s="326"/>
      <c r="T529" s="326"/>
      <c r="U529" s="325"/>
      <c r="V529" s="326"/>
      <c r="W529" s="326">
        <v>0.85799999999999998</v>
      </c>
      <c r="X529" s="326">
        <v>-0.51400000000000001</v>
      </c>
      <c r="Y529" s="327">
        <v>-2.7039999999999997</v>
      </c>
      <c r="Z529" s="325">
        <v>-2.36</v>
      </c>
      <c r="AA529" s="327">
        <v>-1.782</v>
      </c>
      <c r="AB529" s="327">
        <v>0.35799999999999998</v>
      </c>
      <c r="AC529" s="326">
        <v>-0.71899999999999997</v>
      </c>
      <c r="AD529" s="327">
        <v>2.6999999999999691E-2</v>
      </c>
      <c r="AE529" s="325">
        <v>-2.1160000000000001</v>
      </c>
      <c r="AF529" s="327">
        <v>0.11</v>
      </c>
      <c r="AG529" s="327">
        <v>-0.33800000000000002</v>
      </c>
      <c r="AH529" s="326">
        <v>0.222</v>
      </c>
      <c r="AI529" s="327">
        <v>-0.91600000000000004</v>
      </c>
      <c r="AJ529" s="325">
        <v>-0.92200000000000004</v>
      </c>
      <c r="AK529" s="327">
        <v>1.0940000000000001</v>
      </c>
      <c r="AL529" s="327">
        <v>0.92</v>
      </c>
      <c r="AM529" s="326">
        <v>0.82499999999999996</v>
      </c>
      <c r="AN529" s="327">
        <v>0.94099999999999939</v>
      </c>
      <c r="AO529" s="325">
        <v>3.78</v>
      </c>
      <c r="AP529" s="327">
        <v>-1.45</v>
      </c>
      <c r="AQ529" s="327">
        <v>1.573</v>
      </c>
      <c r="AR529" s="326">
        <v>2.2080000000000002</v>
      </c>
      <c r="AS529" s="327">
        <v>1.6879999999999997</v>
      </c>
      <c r="AT529" s="325">
        <v>4.0190000000000001</v>
      </c>
      <c r="AU529" s="327">
        <v>6.242</v>
      </c>
      <c r="AV529" s="327">
        <v>5.4130000000000003</v>
      </c>
      <c r="AW529" s="326">
        <v>2.6190000000000002</v>
      </c>
      <c r="AX529" s="327">
        <v>3.472999999999999</v>
      </c>
      <c r="AY529" s="325">
        <v>17.747</v>
      </c>
      <c r="AZ529" s="327">
        <v>7.9850000000000003</v>
      </c>
      <c r="BA529" s="327">
        <v>7.2220000000000004</v>
      </c>
      <c r="BB529" s="326">
        <v>7.1870000000000003</v>
      </c>
      <c r="BC529" s="327">
        <v>5.8879999999999981</v>
      </c>
      <c r="BD529" s="325">
        <v>28.282</v>
      </c>
      <c r="BE529" s="327">
        <v>6.6710000000000003</v>
      </c>
      <c r="BF529" s="327">
        <v>7.9950000000000001</v>
      </c>
      <c r="BG529" s="326">
        <v>4.9630000000000001</v>
      </c>
      <c r="BH529" s="327">
        <v>4.6999999999999993</v>
      </c>
      <c r="BI529" s="329">
        <v>24.329000000000001</v>
      </c>
      <c r="BJ529" s="327">
        <v>5.0832361902439018</v>
      </c>
      <c r="BK529" s="327">
        <v>7.0596874770731688</v>
      </c>
      <c r="BL529" s="327">
        <v>6.1862497043902422</v>
      </c>
      <c r="BM529" s="327">
        <v>4.4618974571428751</v>
      </c>
      <c r="BN529" s="325">
        <v>22.791070828850181</v>
      </c>
      <c r="BO529" s="327">
        <v>5.235733275951219</v>
      </c>
      <c r="BP529" s="327">
        <v>6.3275415566487787</v>
      </c>
      <c r="BQ529" s="327">
        <v>7.4711184158048773</v>
      </c>
      <c r="BR529" s="327">
        <v>4.469059660000017</v>
      </c>
      <c r="BS529" s="325">
        <v>23.503452908404896</v>
      </c>
      <c r="BT529" s="325">
        <v>23.788563325786555</v>
      </c>
      <c r="BU529" s="325">
        <v>24.069627260593549</v>
      </c>
      <c r="BV529" s="325">
        <v>24.346145324495751</v>
      </c>
      <c r="BW529" s="197"/>
    </row>
    <row r="530" spans="1:75" s="205" customFormat="1" ht="14.25" hidden="1" outlineLevel="1" x14ac:dyDescent="0.45">
      <c r="A530" s="409" t="s">
        <v>665</v>
      </c>
      <c r="B530" s="410"/>
      <c r="C530" s="446"/>
      <c r="D530" s="446"/>
      <c r="E530" s="446"/>
      <c r="F530" s="446"/>
      <c r="G530" s="447"/>
      <c r="H530" s="447"/>
      <c r="I530" s="447"/>
      <c r="J530" s="447"/>
      <c r="K530" s="446"/>
      <c r="L530" s="447"/>
      <c r="M530" s="447"/>
      <c r="N530" s="447"/>
      <c r="O530" s="447"/>
      <c r="P530" s="446"/>
      <c r="Q530" s="447"/>
      <c r="R530" s="447"/>
      <c r="S530" s="447"/>
      <c r="T530" s="447"/>
      <c r="U530" s="446"/>
      <c r="V530" s="447"/>
      <c r="W530" s="447"/>
      <c r="X530" s="447"/>
      <c r="Y530" s="202"/>
      <c r="Z530" s="201"/>
      <c r="AA530" s="202"/>
      <c r="AB530" s="457" t="s">
        <v>186</v>
      </c>
      <c r="AC530" s="447">
        <v>-0.20499999999999996</v>
      </c>
      <c r="AD530" s="202">
        <v>2.7309999999999994</v>
      </c>
      <c r="AE530" s="458" t="s">
        <v>186</v>
      </c>
      <c r="AF530" s="459">
        <v>1.8920000000000001</v>
      </c>
      <c r="AG530" s="202">
        <v>-0.69599999999999995</v>
      </c>
      <c r="AH530" s="460">
        <v>0.94099999999999995</v>
      </c>
      <c r="AI530" s="202">
        <v>-0.94299999999999973</v>
      </c>
      <c r="AJ530" s="201">
        <v>1.194</v>
      </c>
      <c r="AK530" s="459">
        <v>0.9840000000000001</v>
      </c>
      <c r="AL530" s="202">
        <v>1.258</v>
      </c>
      <c r="AM530" s="460">
        <v>0.60299999999999998</v>
      </c>
      <c r="AN530" s="202">
        <v>1.8569999999999993</v>
      </c>
      <c r="AO530" s="201">
        <v>4.702</v>
      </c>
      <c r="AP530" s="459">
        <v>-2.544</v>
      </c>
      <c r="AQ530" s="202">
        <v>0.65299999999999991</v>
      </c>
      <c r="AR530" s="460">
        <v>1.3830000000000002</v>
      </c>
      <c r="AS530" s="202">
        <v>0.74700000000000033</v>
      </c>
      <c r="AT530" s="201">
        <v>0.23900000000000032</v>
      </c>
      <c r="AU530" s="459">
        <v>7.6920000000000002</v>
      </c>
      <c r="AV530" s="202">
        <v>3.8400000000000003</v>
      </c>
      <c r="AW530" s="460">
        <v>0.41100000000000003</v>
      </c>
      <c r="AX530" s="202">
        <v>1.7849999999999993</v>
      </c>
      <c r="AY530" s="201">
        <v>13.728</v>
      </c>
      <c r="AZ530" s="459">
        <v>1.7430000000000003</v>
      </c>
      <c r="BA530" s="202">
        <v>1.8090000000000002</v>
      </c>
      <c r="BB530" s="460">
        <v>4.5679999999999996</v>
      </c>
      <c r="BC530" s="202">
        <v>2.4149999999999991</v>
      </c>
      <c r="BD530" s="201">
        <v>10.535</v>
      </c>
      <c r="BE530" s="447">
        <v>-1.3140000000000001</v>
      </c>
      <c r="BF530" s="202">
        <v>0.77299999999999969</v>
      </c>
      <c r="BG530" s="460">
        <v>-2.2240000000000002</v>
      </c>
      <c r="BH530" s="202">
        <v>-1.1879999999999988</v>
      </c>
      <c r="BI530" s="203">
        <v>-3.9529999999999994</v>
      </c>
      <c r="BJ530" s="202">
        <v>-1.5877638097560984</v>
      </c>
      <c r="BK530" s="202">
        <v>-0.93531252292683131</v>
      </c>
      <c r="BL530" s="202">
        <v>1.2232497043902422</v>
      </c>
      <c r="BM530" s="202">
        <v>-0.23810254285712418</v>
      </c>
      <c r="BN530" s="201">
        <v>-1.5379291711498198</v>
      </c>
      <c r="BO530" s="202">
        <v>0.15249708570731713</v>
      </c>
      <c r="BP530" s="202">
        <v>-0.73214592042439008</v>
      </c>
      <c r="BQ530" s="202">
        <v>1.2848687114146351</v>
      </c>
      <c r="BR530" s="202">
        <v>7.1622028571418639E-3</v>
      </c>
      <c r="BS530" s="201">
        <v>0.71238207955471466</v>
      </c>
      <c r="BT530" s="201">
        <v>0.28511041738165943</v>
      </c>
      <c r="BU530" s="201">
        <v>0.2810639348069941</v>
      </c>
      <c r="BV530" s="201">
        <v>0.27651806390220202</v>
      </c>
      <c r="BW530" s="204"/>
    </row>
    <row r="531" spans="1:75" s="177" customFormat="1" ht="14.25" hidden="1" outlineLevel="1" x14ac:dyDescent="0.45">
      <c r="A531" s="373" t="s">
        <v>666</v>
      </c>
      <c r="B531" s="374"/>
      <c r="C531" s="451"/>
      <c r="D531" s="451"/>
      <c r="E531" s="451"/>
      <c r="F531" s="451"/>
      <c r="G531" s="452"/>
      <c r="H531" s="452"/>
      <c r="I531" s="452"/>
      <c r="J531" s="452"/>
      <c r="K531" s="451"/>
      <c r="L531" s="452"/>
      <c r="M531" s="452"/>
      <c r="N531" s="452"/>
      <c r="O531" s="452"/>
      <c r="P531" s="451"/>
      <c r="Q531" s="452"/>
      <c r="R531" s="452"/>
      <c r="S531" s="452"/>
      <c r="T531" s="452"/>
      <c r="U531" s="451"/>
      <c r="V531" s="452"/>
      <c r="W531" s="452"/>
      <c r="X531" s="452"/>
      <c r="Y531" s="173"/>
      <c r="Z531" s="172"/>
      <c r="AA531" s="173"/>
      <c r="AB531" s="190" t="s">
        <v>186</v>
      </c>
      <c r="AC531" s="452">
        <v>-0.39883268482490264</v>
      </c>
      <c r="AD531" s="173">
        <v>1.0099852071005917</v>
      </c>
      <c r="AE531" s="191" t="s">
        <v>186</v>
      </c>
      <c r="AF531" s="461">
        <v>1.0617283950617284</v>
      </c>
      <c r="AG531" s="173">
        <v>-1.9441340782122905</v>
      </c>
      <c r="AH531" s="462">
        <v>1.3087621696801113</v>
      </c>
      <c r="AI531" s="173">
        <v>-34.925925925926315</v>
      </c>
      <c r="AJ531" s="172">
        <v>0.56427221172022679</v>
      </c>
      <c r="AK531" s="461">
        <v>8.9454545454545453</v>
      </c>
      <c r="AL531" s="173">
        <v>3.7218934911242605</v>
      </c>
      <c r="AM531" s="462">
        <v>2.7162162162162158</v>
      </c>
      <c r="AN531" s="173">
        <v>2.0272925764192133</v>
      </c>
      <c r="AO531" s="172">
        <v>5.0997830802603037</v>
      </c>
      <c r="AP531" s="461">
        <v>-2.3254113345521024</v>
      </c>
      <c r="AQ531" s="173">
        <v>0.70978260869565202</v>
      </c>
      <c r="AR531" s="462">
        <v>1.6763636363636367</v>
      </c>
      <c r="AS531" s="173">
        <v>0.79383634431455974</v>
      </c>
      <c r="AT531" s="172">
        <v>6.3227513227513299E-2</v>
      </c>
      <c r="AU531" s="461">
        <v>5.3048275862068968</v>
      </c>
      <c r="AV531" s="173">
        <v>2.4411951684678961</v>
      </c>
      <c r="AW531" s="462">
        <v>0.18614130434782616</v>
      </c>
      <c r="AX531" s="173">
        <v>1.0574644549763033</v>
      </c>
      <c r="AY531" s="172">
        <v>3.4157750684249812</v>
      </c>
      <c r="AZ531" s="461">
        <v>0.27923742390259543</v>
      </c>
      <c r="BA531" s="173">
        <v>0.3341954553851838</v>
      </c>
      <c r="BB531" s="462">
        <v>1.744177166857579</v>
      </c>
      <c r="BC531" s="173">
        <v>0.69536423841059603</v>
      </c>
      <c r="BD531" s="172">
        <v>0.59362145714768699</v>
      </c>
      <c r="BE531" s="452">
        <v>-0.16455854727614272</v>
      </c>
      <c r="BF531" s="173">
        <v>0.10703406258654113</v>
      </c>
      <c r="BG531" s="462">
        <v>-0.30944761374704333</v>
      </c>
      <c r="BH531" s="173">
        <v>-0.20176630434782594</v>
      </c>
      <c r="BI531" s="174">
        <v>-0.13977087900431373</v>
      </c>
      <c r="BJ531" s="173">
        <v>-0.23800986505113153</v>
      </c>
      <c r="BK531" s="173">
        <v>-0.11698718235482564</v>
      </c>
      <c r="BL531" s="173">
        <v>0.2464738473484267</v>
      </c>
      <c r="BM531" s="173">
        <v>-5.0660115501515834E-2</v>
      </c>
      <c r="BN531" s="172">
        <v>-6.3213825934062995E-2</v>
      </c>
      <c r="BO531" s="173">
        <v>3.0000000000000027E-2</v>
      </c>
      <c r="BP531" s="173">
        <v>-0.10370797897245243</v>
      </c>
      <c r="BQ531" s="173">
        <v>0.2076975183369647</v>
      </c>
      <c r="BR531" s="173">
        <v>1.6051921690123372E-3</v>
      </c>
      <c r="BS531" s="172">
        <v>3.1257069266483972E-2</v>
      </c>
      <c r="BT531" s="172">
        <v>1.2130575813382061E-2</v>
      </c>
      <c r="BU531" s="172">
        <v>1.1815086558939925E-2</v>
      </c>
      <c r="BV531" s="172">
        <v>1.1488257001591062E-2</v>
      </c>
      <c r="BW531" s="176"/>
    </row>
    <row r="532" spans="1:75" s="217" customFormat="1" hidden="1" outlineLevel="1" x14ac:dyDescent="0.5">
      <c r="A532" s="433" t="s">
        <v>667</v>
      </c>
      <c r="B532" s="336"/>
      <c r="C532" s="420"/>
      <c r="D532" s="420"/>
      <c r="E532" s="420"/>
      <c r="F532" s="420"/>
      <c r="G532" s="421"/>
      <c r="H532" s="421"/>
      <c r="I532" s="421"/>
      <c r="J532" s="421"/>
      <c r="K532" s="420"/>
      <c r="L532" s="421"/>
      <c r="M532" s="421"/>
      <c r="N532" s="421"/>
      <c r="O532" s="421"/>
      <c r="P532" s="420"/>
      <c r="Q532" s="421"/>
      <c r="R532" s="421"/>
      <c r="S532" s="421"/>
      <c r="T532" s="421"/>
      <c r="U532" s="420"/>
      <c r="V532" s="421"/>
      <c r="W532" s="421">
        <v>4.1323508163560174E-2</v>
      </c>
      <c r="X532" s="421">
        <v>-1.8161902406275399E-2</v>
      </c>
      <c r="Y532" s="422">
        <v>-0.10495672087877964</v>
      </c>
      <c r="Z532" s="423">
        <v>-3.1539417589907387E-2</v>
      </c>
      <c r="AA532" s="422">
        <v>-6.2412440459512469E-2</v>
      </c>
      <c r="AB532" s="422">
        <v>1.1353185551644308E-2</v>
      </c>
      <c r="AC532" s="421">
        <v>-2.4540086692378577E-2</v>
      </c>
      <c r="AD532" s="422">
        <v>8.5828724012968697E-4</v>
      </c>
      <c r="AE532" s="423">
        <v>-1.7510468214693566E-2</v>
      </c>
      <c r="AF532" s="216">
        <v>3.5032962833211247E-3</v>
      </c>
      <c r="AG532" s="422">
        <v>-1.0182563113815749E-2</v>
      </c>
      <c r="AH532" s="434">
        <v>6.8867105099888332E-3</v>
      </c>
      <c r="AI532" s="422">
        <v>-2.746461981290477E-2</v>
      </c>
      <c r="AJ532" s="423">
        <v>-7.0824467472211765E-3</v>
      </c>
      <c r="AK532" s="216">
        <v>3.1513754861011087E-2</v>
      </c>
      <c r="AL532" s="422">
        <v>2.6911601240273798E-2</v>
      </c>
      <c r="AM532" s="434">
        <v>2.5662560656961549E-2</v>
      </c>
      <c r="AN532" s="422">
        <v>2.9321949395487969E-2</v>
      </c>
      <c r="AO532" s="423">
        <v>2.8390953951074424E-2</v>
      </c>
      <c r="AP532" s="216">
        <v>-5.190063712506264E-2</v>
      </c>
      <c r="AQ532" s="422">
        <v>5.6390034056282484E-2</v>
      </c>
      <c r="AR532" s="434">
        <v>7.0698984982869584E-2</v>
      </c>
      <c r="AS532" s="422">
        <v>5.2520224019912874E-2</v>
      </c>
      <c r="AT532" s="423">
        <v>3.3715311566725949E-2</v>
      </c>
      <c r="AU532" s="216">
        <v>0.15235910078351925</v>
      </c>
      <c r="AV532" s="422">
        <v>0.13125287941611505</v>
      </c>
      <c r="AW532" s="434">
        <v>6.3003680627390604E-2</v>
      </c>
      <c r="AX532" s="422">
        <v>8.4298162576761551E-2</v>
      </c>
      <c r="AY532" s="423">
        <v>0.10757191868006642</v>
      </c>
      <c r="AZ532" s="216">
        <v>0.16517044514314083</v>
      </c>
      <c r="BA532" s="422">
        <v>0.14040203740425367</v>
      </c>
      <c r="BB532" s="434">
        <v>0.15033677781031671</v>
      </c>
      <c r="BC532" s="422">
        <v>0.13305913990644283</v>
      </c>
      <c r="BD532" s="423">
        <v>0.14742570593049381</v>
      </c>
      <c r="BE532" s="421">
        <v>0.13713357727254039</v>
      </c>
      <c r="BF532" s="422">
        <v>0.17036374097040208</v>
      </c>
      <c r="BG532" s="434">
        <v>0.10750801490338792</v>
      </c>
      <c r="BH532" s="422">
        <v>9.0786169596291308E-2</v>
      </c>
      <c r="BI532" s="424">
        <v>0.12572541845598914</v>
      </c>
      <c r="BJ532" s="422">
        <v>0.10713357727254039</v>
      </c>
      <c r="BK532" s="422">
        <v>0.14636374097040206</v>
      </c>
      <c r="BL532" s="422">
        <v>0.12650801490338787</v>
      </c>
      <c r="BM532" s="422">
        <v>8.6786169596291651E-2</v>
      </c>
      <c r="BN532" s="423">
        <v>0.11628447141869865</v>
      </c>
      <c r="BO532" s="422">
        <v>0.10713357727254039</v>
      </c>
      <c r="BP532" s="422">
        <v>0.12736374097040207</v>
      </c>
      <c r="BQ532" s="422">
        <v>0.14550801490338791</v>
      </c>
      <c r="BR532" s="422">
        <v>8.278616959629162E-2</v>
      </c>
      <c r="BS532" s="423">
        <v>0.11528071517506903</v>
      </c>
      <c r="BT532" s="423">
        <v>0.11328071517506902</v>
      </c>
      <c r="BU532" s="423">
        <v>0.111280715175069</v>
      </c>
      <c r="BV532" s="423">
        <v>0.10928071517506899</v>
      </c>
      <c r="BW532" s="216"/>
    </row>
    <row r="533" spans="1:75" s="224" customFormat="1" hidden="1" outlineLevel="1" x14ac:dyDescent="0.5">
      <c r="A533" s="435" t="s">
        <v>668</v>
      </c>
      <c r="B533" s="258"/>
      <c r="C533" s="252"/>
      <c r="D533" s="252"/>
      <c r="E533" s="252"/>
      <c r="F533" s="252"/>
      <c r="G533" s="253"/>
      <c r="H533" s="253"/>
      <c r="I533" s="253"/>
      <c r="J533" s="253"/>
      <c r="K533" s="252"/>
      <c r="L533" s="253"/>
      <c r="M533" s="253"/>
      <c r="N533" s="253"/>
      <c r="O533" s="253"/>
      <c r="P533" s="252"/>
      <c r="Q533" s="253"/>
      <c r="R533" s="253"/>
      <c r="S533" s="253"/>
      <c r="T533" s="253"/>
      <c r="U533" s="252"/>
      <c r="V533" s="253"/>
      <c r="W533" s="253"/>
      <c r="X533" s="253"/>
      <c r="Y533" s="254"/>
      <c r="Z533" s="425"/>
      <c r="AA533" s="254"/>
      <c r="AB533" s="254">
        <v>-299.70322611915867</v>
      </c>
      <c r="AC533" s="253">
        <v>-63.781842861031777</v>
      </c>
      <c r="AD533" s="254">
        <v>1058.1500811890933</v>
      </c>
      <c r="AE533" s="425">
        <v>140.28949375213821</v>
      </c>
      <c r="AF533" s="223">
        <v>659.15736742833587</v>
      </c>
      <c r="AG533" s="254">
        <v>-215.35748665460056</v>
      </c>
      <c r="AH533" s="350">
        <v>314.26797202367408</v>
      </c>
      <c r="AI533" s="254">
        <v>-283.22907053034459</v>
      </c>
      <c r="AJ533" s="425">
        <v>104.28021467472389</v>
      </c>
      <c r="AK533" s="223">
        <v>280.10458577689963</v>
      </c>
      <c r="AL533" s="254">
        <v>370.94164354089548</v>
      </c>
      <c r="AM533" s="350">
        <v>187.75850146972715</v>
      </c>
      <c r="AN533" s="254">
        <v>567.86569208392746</v>
      </c>
      <c r="AO533" s="425">
        <v>354.73400698295603</v>
      </c>
      <c r="AP533" s="223">
        <v>-834.14391986073724</v>
      </c>
      <c r="AQ533" s="254">
        <v>294.78432816008689</v>
      </c>
      <c r="AR533" s="350">
        <v>450.36424325908035</v>
      </c>
      <c r="AS533" s="254">
        <v>231.98274624424906</v>
      </c>
      <c r="AT533" s="425">
        <v>53.243576156515246</v>
      </c>
      <c r="AU533" s="223">
        <v>2042.5973790858188</v>
      </c>
      <c r="AV533" s="254">
        <v>748.62845359832568</v>
      </c>
      <c r="AW533" s="350">
        <v>-76.953043554789801</v>
      </c>
      <c r="AX533" s="254">
        <v>317.77938556848676</v>
      </c>
      <c r="AY533" s="425">
        <v>738.56607113340465</v>
      </c>
      <c r="AZ533" s="223">
        <v>128.11344359621586</v>
      </c>
      <c r="BA533" s="254">
        <v>91.491579881386173</v>
      </c>
      <c r="BB533" s="350">
        <v>873.33097182926099</v>
      </c>
      <c r="BC533" s="254">
        <v>487.60977329681282</v>
      </c>
      <c r="BD533" s="425">
        <v>398.53787250427388</v>
      </c>
      <c r="BE533" s="253">
        <v>-280.36867870600446</v>
      </c>
      <c r="BF533" s="254">
        <v>299.61703566148412</v>
      </c>
      <c r="BG533" s="350">
        <v>-428.2876290692879</v>
      </c>
      <c r="BH533" s="254">
        <v>-422.72970310151521</v>
      </c>
      <c r="BI533" s="426">
        <v>-217.00287474504671</v>
      </c>
      <c r="BJ533" s="254">
        <v>-300</v>
      </c>
      <c r="BK533" s="254">
        <v>-240.00000000000023</v>
      </c>
      <c r="BL533" s="254">
        <v>189.99999999999949</v>
      </c>
      <c r="BM533" s="254">
        <v>-39.999999999996568</v>
      </c>
      <c r="BN533" s="425">
        <v>-94.409470372904948</v>
      </c>
      <c r="BO533" s="254">
        <v>0</v>
      </c>
      <c r="BP533" s="254">
        <v>-189.99999999999989</v>
      </c>
      <c r="BQ533" s="254">
        <v>190.00000000000045</v>
      </c>
      <c r="BR533" s="254">
        <v>-40.000000000000313</v>
      </c>
      <c r="BS533" s="425">
        <v>-10.03756243629611</v>
      </c>
      <c r="BT533" s="425">
        <v>-20.000000000000156</v>
      </c>
      <c r="BU533" s="425">
        <v>-20.000000000000156</v>
      </c>
      <c r="BV533" s="425">
        <v>-20.000000000000156</v>
      </c>
      <c r="BW533" s="223"/>
    </row>
    <row r="534" spans="1:75" s="198" customFormat="1" ht="14.25" collapsed="1" x14ac:dyDescent="0.45">
      <c r="A534" s="292"/>
      <c r="B534" s="243"/>
      <c r="C534" s="293"/>
      <c r="D534" s="293"/>
      <c r="E534" s="293"/>
      <c r="F534" s="293"/>
      <c r="G534" s="294"/>
      <c r="H534" s="294"/>
      <c r="I534" s="294"/>
      <c r="J534" s="294"/>
      <c r="K534" s="293"/>
      <c r="L534" s="294"/>
      <c r="M534" s="294"/>
      <c r="N534" s="294"/>
      <c r="O534" s="294"/>
      <c r="P534" s="293"/>
      <c r="Q534" s="294"/>
      <c r="R534" s="294"/>
      <c r="S534" s="294"/>
      <c r="T534" s="294"/>
      <c r="U534" s="293"/>
      <c r="V534" s="294"/>
      <c r="W534" s="294"/>
      <c r="X534" s="294"/>
      <c r="Y534" s="295"/>
      <c r="Z534" s="293"/>
      <c r="AA534" s="295"/>
      <c r="AB534" s="295"/>
      <c r="AC534" s="294"/>
      <c r="AD534" s="295"/>
      <c r="AE534" s="293"/>
      <c r="AF534" s="295"/>
      <c r="AG534" s="295"/>
      <c r="AH534" s="294"/>
      <c r="AI534" s="295"/>
      <c r="AJ534" s="293"/>
      <c r="AK534" s="295"/>
      <c r="AL534" s="295"/>
      <c r="AM534" s="294"/>
      <c r="AN534" s="295"/>
      <c r="AO534" s="293"/>
      <c r="AP534" s="295"/>
      <c r="AQ534" s="295"/>
      <c r="AR534" s="294"/>
      <c r="AS534" s="295"/>
      <c r="AT534" s="293"/>
      <c r="AU534" s="295"/>
      <c r="AV534" s="295"/>
      <c r="AW534" s="294"/>
      <c r="AX534" s="295"/>
      <c r="AY534" s="293"/>
      <c r="AZ534" s="295"/>
      <c r="BA534" s="295"/>
      <c r="BB534" s="294"/>
      <c r="BC534" s="295"/>
      <c r="BD534" s="293"/>
      <c r="BE534" s="295"/>
      <c r="BF534" s="295"/>
      <c r="BG534" s="294"/>
      <c r="BH534" s="295"/>
      <c r="BI534" s="297"/>
      <c r="BJ534" s="295"/>
      <c r="BK534" s="295"/>
      <c r="BL534" s="295"/>
      <c r="BM534" s="295"/>
      <c r="BN534" s="293"/>
      <c r="BO534" s="295"/>
      <c r="BP534" s="295"/>
      <c r="BQ534" s="295"/>
      <c r="BR534" s="295"/>
      <c r="BS534" s="293"/>
      <c r="BT534" s="293"/>
      <c r="BU534" s="293"/>
      <c r="BV534" s="293"/>
      <c r="BW534" s="197"/>
    </row>
    <row r="535" spans="1:75" s="198" customFormat="1" ht="14.25" x14ac:dyDescent="0.45">
      <c r="A535" s="239" t="s">
        <v>669</v>
      </c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  <c r="AA535" s="239"/>
      <c r="AB535" s="239"/>
      <c r="AC535" s="239"/>
      <c r="AD535" s="239"/>
      <c r="AE535" s="239"/>
      <c r="AF535" s="240"/>
      <c r="AG535" s="240"/>
      <c r="AH535" s="240"/>
      <c r="AI535" s="240"/>
      <c r="AJ535" s="240"/>
      <c r="AK535" s="239"/>
      <c r="AL535" s="239"/>
      <c r="AM535" s="239"/>
      <c r="AN535" s="239"/>
      <c r="AO535" s="239"/>
      <c r="AP535" s="239"/>
      <c r="AQ535" s="239"/>
      <c r="AR535" s="239"/>
      <c r="AS535" s="239"/>
      <c r="AT535" s="239"/>
      <c r="AU535" s="239"/>
      <c r="AV535" s="239"/>
      <c r="AW535" s="239"/>
      <c r="AX535" s="239"/>
      <c r="AY535" s="239"/>
      <c r="AZ535" s="239"/>
      <c r="BA535" s="239"/>
      <c r="BB535" s="239"/>
      <c r="BC535" s="239"/>
      <c r="BD535" s="239"/>
      <c r="BE535" s="239"/>
      <c r="BF535" s="239"/>
      <c r="BG535" s="239"/>
      <c r="BH535" s="239"/>
      <c r="BI535" s="241"/>
      <c r="BJ535" s="239"/>
      <c r="BK535" s="239"/>
      <c r="BL535" s="239"/>
      <c r="BM535" s="239"/>
      <c r="BN535" s="239"/>
      <c r="BO535" s="239"/>
      <c r="BP535" s="239"/>
      <c r="BQ535" s="239"/>
      <c r="BR535" s="239"/>
      <c r="BS535" s="239"/>
      <c r="BT535" s="239"/>
      <c r="BU535" s="239"/>
      <c r="BV535" s="239"/>
      <c r="BW535" s="197"/>
    </row>
    <row r="536" spans="1:75" s="224" customFormat="1" hidden="1" outlineLevel="1" x14ac:dyDescent="0.5">
      <c r="A536" s="466" t="s">
        <v>240</v>
      </c>
      <c r="B536" s="258"/>
      <c r="C536" s="252"/>
      <c r="D536" s="252"/>
      <c r="E536" s="252"/>
      <c r="F536" s="252">
        <v>3</v>
      </c>
      <c r="G536" s="253">
        <v>5</v>
      </c>
      <c r="H536" s="253">
        <v>5</v>
      </c>
      <c r="I536" s="253">
        <v>5</v>
      </c>
      <c r="J536" s="253">
        <v>5</v>
      </c>
      <c r="K536" s="252">
        <v>5</v>
      </c>
      <c r="L536" s="253">
        <v>5</v>
      </c>
      <c r="M536" s="253">
        <v>6</v>
      </c>
      <c r="N536" s="253">
        <v>6</v>
      </c>
      <c r="O536" s="253">
        <v>7</v>
      </c>
      <c r="P536" s="252">
        <v>7</v>
      </c>
      <c r="Q536" s="253">
        <v>7</v>
      </c>
      <c r="R536" s="253">
        <v>7</v>
      </c>
      <c r="S536" s="253">
        <v>9</v>
      </c>
      <c r="T536" s="253">
        <v>10</v>
      </c>
      <c r="U536" s="252">
        <v>10</v>
      </c>
      <c r="V536" s="253">
        <v>10</v>
      </c>
      <c r="W536" s="253">
        <v>10</v>
      </c>
      <c r="X536" s="253">
        <v>13</v>
      </c>
      <c r="Y536" s="254">
        <v>14</v>
      </c>
      <c r="Z536" s="252">
        <v>14</v>
      </c>
      <c r="AA536" s="254">
        <v>14</v>
      </c>
      <c r="AB536" s="254">
        <v>14</v>
      </c>
      <c r="AC536" s="253">
        <v>15</v>
      </c>
      <c r="AD536" s="254">
        <v>16</v>
      </c>
      <c r="AE536" s="252">
        <v>16</v>
      </c>
      <c r="AF536" s="254">
        <v>17</v>
      </c>
      <c r="AG536" s="254">
        <v>18</v>
      </c>
      <c r="AH536" s="253">
        <v>20</v>
      </c>
      <c r="AI536" s="254">
        <v>20</v>
      </c>
      <c r="AJ536" s="252">
        <v>20</v>
      </c>
      <c r="AK536" s="254">
        <v>20</v>
      </c>
      <c r="AL536" s="254">
        <v>20</v>
      </c>
      <c r="AM536" s="253">
        <v>21</v>
      </c>
      <c r="AN536" s="254">
        <v>22</v>
      </c>
      <c r="AO536" s="252">
        <v>22</v>
      </c>
      <c r="AP536" s="254">
        <v>22</v>
      </c>
      <c r="AQ536" s="254">
        <v>24</v>
      </c>
      <c r="AR536" s="253">
        <v>24</v>
      </c>
      <c r="AS536" s="254">
        <v>24</v>
      </c>
      <c r="AT536" s="252">
        <v>24</v>
      </c>
      <c r="AU536" s="254">
        <v>24</v>
      </c>
      <c r="AV536" s="254">
        <v>25</v>
      </c>
      <c r="AW536" s="253">
        <v>26</v>
      </c>
      <c r="AX536" s="254">
        <v>27</v>
      </c>
      <c r="AY536" s="252">
        <v>27</v>
      </c>
      <c r="AZ536" s="254">
        <v>27</v>
      </c>
      <c r="BA536" s="254">
        <v>28</v>
      </c>
      <c r="BB536" s="253">
        <v>28</v>
      </c>
      <c r="BC536" s="254">
        <v>28</v>
      </c>
      <c r="BD536" s="252">
        <v>28</v>
      </c>
      <c r="BE536" s="254">
        <v>27</v>
      </c>
      <c r="BF536" s="254">
        <v>28</v>
      </c>
      <c r="BG536" s="253">
        <v>28</v>
      </c>
      <c r="BH536" s="254">
        <v>31</v>
      </c>
      <c r="BI536" s="260">
        <v>31</v>
      </c>
      <c r="BJ536" s="254">
        <v>33</v>
      </c>
      <c r="BK536" s="254">
        <v>35</v>
      </c>
      <c r="BL536" s="254">
        <v>37</v>
      </c>
      <c r="BM536" s="254">
        <v>38</v>
      </c>
      <c r="BN536" s="252">
        <v>38</v>
      </c>
      <c r="BO536" s="254">
        <v>39</v>
      </c>
      <c r="BP536" s="254">
        <v>40</v>
      </c>
      <c r="BQ536" s="254">
        <v>41</v>
      </c>
      <c r="BR536" s="254">
        <v>41</v>
      </c>
      <c r="BS536" s="252">
        <v>41</v>
      </c>
      <c r="BT536" s="252">
        <v>42</v>
      </c>
      <c r="BU536" s="252">
        <v>42</v>
      </c>
      <c r="BV536" s="252">
        <v>42</v>
      </c>
      <c r="BW536" s="223"/>
    </row>
    <row r="537" spans="1:75" s="224" customFormat="1" hidden="1" outlineLevel="1" x14ac:dyDescent="0.5">
      <c r="A537" s="466" t="s">
        <v>324</v>
      </c>
      <c r="B537" s="258"/>
      <c r="C537" s="252"/>
      <c r="D537" s="252"/>
      <c r="E537" s="252"/>
      <c r="F537" s="252">
        <v>65</v>
      </c>
      <c r="G537" s="253">
        <v>62</v>
      </c>
      <c r="H537" s="253">
        <v>62</v>
      </c>
      <c r="I537" s="253">
        <v>62</v>
      </c>
      <c r="J537" s="253">
        <v>62</v>
      </c>
      <c r="K537" s="252">
        <v>62</v>
      </c>
      <c r="L537" s="253">
        <v>61</v>
      </c>
      <c r="M537" s="253">
        <v>59</v>
      </c>
      <c r="N537" s="253">
        <v>59</v>
      </c>
      <c r="O537" s="253">
        <v>57</v>
      </c>
      <c r="P537" s="252">
        <v>57</v>
      </c>
      <c r="Q537" s="253">
        <v>57</v>
      </c>
      <c r="R537" s="253">
        <v>57</v>
      </c>
      <c r="S537" s="253">
        <v>54</v>
      </c>
      <c r="T537" s="253">
        <v>53</v>
      </c>
      <c r="U537" s="252">
        <v>53</v>
      </c>
      <c r="V537" s="253">
        <v>53</v>
      </c>
      <c r="W537" s="253">
        <v>53</v>
      </c>
      <c r="X537" s="253">
        <v>51</v>
      </c>
      <c r="Y537" s="254">
        <v>50</v>
      </c>
      <c r="Z537" s="252">
        <v>50</v>
      </c>
      <c r="AA537" s="254">
        <v>50</v>
      </c>
      <c r="AB537" s="254">
        <v>50</v>
      </c>
      <c r="AC537" s="253">
        <v>48</v>
      </c>
      <c r="AD537" s="254">
        <v>47</v>
      </c>
      <c r="AE537" s="252">
        <v>47</v>
      </c>
      <c r="AF537" s="254">
        <v>46</v>
      </c>
      <c r="AG537" s="254">
        <v>44</v>
      </c>
      <c r="AH537" s="253">
        <v>43</v>
      </c>
      <c r="AI537" s="254">
        <v>43</v>
      </c>
      <c r="AJ537" s="252">
        <v>43</v>
      </c>
      <c r="AK537" s="254">
        <v>43</v>
      </c>
      <c r="AL537" s="254">
        <v>43</v>
      </c>
      <c r="AM537" s="253">
        <v>42</v>
      </c>
      <c r="AN537" s="254">
        <v>40</v>
      </c>
      <c r="AO537" s="252">
        <v>40</v>
      </c>
      <c r="AP537" s="254">
        <v>41</v>
      </c>
      <c r="AQ537" s="254">
        <v>38</v>
      </c>
      <c r="AR537" s="253">
        <v>38</v>
      </c>
      <c r="AS537" s="254">
        <v>38</v>
      </c>
      <c r="AT537" s="252">
        <v>38</v>
      </c>
      <c r="AU537" s="254">
        <v>38</v>
      </c>
      <c r="AV537" s="254">
        <v>37</v>
      </c>
      <c r="AW537" s="253">
        <v>36</v>
      </c>
      <c r="AX537" s="254">
        <v>36</v>
      </c>
      <c r="AY537" s="252">
        <v>36</v>
      </c>
      <c r="AZ537" s="254">
        <v>36</v>
      </c>
      <c r="BA537" s="254">
        <v>35</v>
      </c>
      <c r="BB537" s="253">
        <v>35</v>
      </c>
      <c r="BC537" s="254">
        <v>35</v>
      </c>
      <c r="BD537" s="252">
        <v>35</v>
      </c>
      <c r="BE537" s="254">
        <v>36</v>
      </c>
      <c r="BF537" s="254">
        <v>36</v>
      </c>
      <c r="BG537" s="253">
        <v>36</v>
      </c>
      <c r="BH537" s="254">
        <v>35</v>
      </c>
      <c r="BI537" s="260">
        <v>35</v>
      </c>
      <c r="BJ537" s="254">
        <v>35</v>
      </c>
      <c r="BK537" s="254">
        <v>35</v>
      </c>
      <c r="BL537" s="254">
        <v>35</v>
      </c>
      <c r="BM537" s="254">
        <v>35</v>
      </c>
      <c r="BN537" s="252">
        <v>35</v>
      </c>
      <c r="BO537" s="254">
        <v>35</v>
      </c>
      <c r="BP537" s="254">
        <v>35</v>
      </c>
      <c r="BQ537" s="254">
        <v>35</v>
      </c>
      <c r="BR537" s="254">
        <v>35</v>
      </c>
      <c r="BS537" s="252">
        <v>35</v>
      </c>
      <c r="BT537" s="252">
        <v>35</v>
      </c>
      <c r="BU537" s="252">
        <v>35</v>
      </c>
      <c r="BV537" s="252">
        <v>35</v>
      </c>
      <c r="BW537" s="223"/>
    </row>
    <row r="538" spans="1:75" s="224" customFormat="1" hidden="1" outlineLevel="1" x14ac:dyDescent="0.5">
      <c r="A538" s="466" t="s">
        <v>389</v>
      </c>
      <c r="B538" s="258"/>
      <c r="C538" s="252"/>
      <c r="D538" s="252"/>
      <c r="E538" s="252"/>
      <c r="F538" s="252">
        <v>0</v>
      </c>
      <c r="G538" s="253">
        <v>0</v>
      </c>
      <c r="H538" s="253">
        <v>0</v>
      </c>
      <c r="I538" s="253">
        <v>0</v>
      </c>
      <c r="J538" s="253">
        <v>0</v>
      </c>
      <c r="K538" s="252">
        <v>0</v>
      </c>
      <c r="L538" s="253">
        <v>0</v>
      </c>
      <c r="M538" s="253">
        <v>0</v>
      </c>
      <c r="N538" s="253">
        <v>0</v>
      </c>
      <c r="O538" s="253">
        <v>0</v>
      </c>
      <c r="P538" s="252">
        <v>0</v>
      </c>
      <c r="Q538" s="253">
        <v>0</v>
      </c>
      <c r="R538" s="253">
        <v>0</v>
      </c>
      <c r="S538" s="253">
        <v>0</v>
      </c>
      <c r="T538" s="253">
        <v>1</v>
      </c>
      <c r="U538" s="252">
        <v>1</v>
      </c>
      <c r="V538" s="253">
        <v>1</v>
      </c>
      <c r="W538" s="253">
        <v>1</v>
      </c>
      <c r="X538" s="253">
        <v>1</v>
      </c>
      <c r="Y538" s="254">
        <v>1</v>
      </c>
      <c r="Z538" s="252">
        <v>1</v>
      </c>
      <c r="AA538" s="254">
        <v>1</v>
      </c>
      <c r="AB538" s="254">
        <v>1</v>
      </c>
      <c r="AC538" s="253">
        <v>1</v>
      </c>
      <c r="AD538" s="254">
        <v>1</v>
      </c>
      <c r="AE538" s="252">
        <v>1</v>
      </c>
      <c r="AF538" s="254">
        <v>2</v>
      </c>
      <c r="AG538" s="254">
        <v>2</v>
      </c>
      <c r="AH538" s="253">
        <v>2</v>
      </c>
      <c r="AI538" s="254">
        <v>2</v>
      </c>
      <c r="AJ538" s="252">
        <v>2</v>
      </c>
      <c r="AK538" s="254">
        <v>2</v>
      </c>
      <c r="AL538" s="254">
        <v>2</v>
      </c>
      <c r="AM538" s="253">
        <v>2</v>
      </c>
      <c r="AN538" s="254">
        <v>2</v>
      </c>
      <c r="AO538" s="252">
        <v>2</v>
      </c>
      <c r="AP538" s="254">
        <v>2</v>
      </c>
      <c r="AQ538" s="254">
        <v>2</v>
      </c>
      <c r="AR538" s="253">
        <v>2</v>
      </c>
      <c r="AS538" s="254">
        <v>2</v>
      </c>
      <c r="AT538" s="252">
        <v>2</v>
      </c>
      <c r="AU538" s="254">
        <v>2</v>
      </c>
      <c r="AV538" s="254">
        <v>1</v>
      </c>
      <c r="AW538" s="253">
        <v>1</v>
      </c>
      <c r="AX538" s="254">
        <v>1</v>
      </c>
      <c r="AY538" s="252">
        <v>1</v>
      </c>
      <c r="AZ538" s="254">
        <v>1</v>
      </c>
      <c r="BA538" s="254">
        <v>1</v>
      </c>
      <c r="BB538" s="253">
        <v>1</v>
      </c>
      <c r="BC538" s="254">
        <v>1</v>
      </c>
      <c r="BD538" s="252">
        <v>1</v>
      </c>
      <c r="BE538" s="254">
        <v>1</v>
      </c>
      <c r="BF538" s="254">
        <v>1</v>
      </c>
      <c r="BG538" s="253">
        <v>1</v>
      </c>
      <c r="BH538" s="254">
        <v>1</v>
      </c>
      <c r="BI538" s="260">
        <v>1</v>
      </c>
      <c r="BJ538" s="254">
        <v>1</v>
      </c>
      <c r="BK538" s="254">
        <v>1</v>
      </c>
      <c r="BL538" s="254">
        <v>1</v>
      </c>
      <c r="BM538" s="254">
        <v>1</v>
      </c>
      <c r="BN538" s="252">
        <v>1</v>
      </c>
      <c r="BO538" s="254">
        <v>1</v>
      </c>
      <c r="BP538" s="254">
        <v>1</v>
      </c>
      <c r="BQ538" s="254">
        <v>1</v>
      </c>
      <c r="BR538" s="254">
        <v>1</v>
      </c>
      <c r="BS538" s="252">
        <v>1</v>
      </c>
      <c r="BT538" s="252">
        <v>1</v>
      </c>
      <c r="BU538" s="252">
        <v>1</v>
      </c>
      <c r="BV538" s="252">
        <v>1</v>
      </c>
      <c r="BW538" s="223"/>
    </row>
    <row r="539" spans="1:75" s="224" customFormat="1" hidden="1" outlineLevel="1" x14ac:dyDescent="0.5">
      <c r="A539" s="467" t="s">
        <v>417</v>
      </c>
      <c r="B539" s="265"/>
      <c r="C539" s="266"/>
      <c r="D539" s="266"/>
      <c r="E539" s="266"/>
      <c r="F539" s="266">
        <v>3</v>
      </c>
      <c r="G539" s="267">
        <v>3</v>
      </c>
      <c r="H539" s="267">
        <v>3</v>
      </c>
      <c r="I539" s="267">
        <v>3</v>
      </c>
      <c r="J539" s="267">
        <v>3</v>
      </c>
      <c r="K539" s="266">
        <v>3</v>
      </c>
      <c r="L539" s="267">
        <v>3</v>
      </c>
      <c r="M539" s="267">
        <v>3</v>
      </c>
      <c r="N539" s="267">
        <v>3</v>
      </c>
      <c r="O539" s="267">
        <v>3</v>
      </c>
      <c r="P539" s="266">
        <v>3</v>
      </c>
      <c r="Q539" s="267">
        <v>3</v>
      </c>
      <c r="R539" s="267">
        <v>3</v>
      </c>
      <c r="S539" s="267">
        <v>5</v>
      </c>
      <c r="T539" s="267">
        <v>5</v>
      </c>
      <c r="U539" s="266">
        <v>5</v>
      </c>
      <c r="V539" s="267">
        <v>5</v>
      </c>
      <c r="W539" s="267">
        <v>5</v>
      </c>
      <c r="X539" s="267">
        <v>5</v>
      </c>
      <c r="Y539" s="269">
        <v>5</v>
      </c>
      <c r="Z539" s="266">
        <v>5</v>
      </c>
      <c r="AA539" s="269">
        <v>5</v>
      </c>
      <c r="AB539" s="269">
        <v>5</v>
      </c>
      <c r="AC539" s="267">
        <v>5</v>
      </c>
      <c r="AD539" s="269">
        <v>4</v>
      </c>
      <c r="AE539" s="266">
        <v>4</v>
      </c>
      <c r="AF539" s="269">
        <v>4</v>
      </c>
      <c r="AG539" s="269">
        <v>6</v>
      </c>
      <c r="AH539" s="267">
        <v>6</v>
      </c>
      <c r="AI539" s="269">
        <v>6</v>
      </c>
      <c r="AJ539" s="266">
        <v>6</v>
      </c>
      <c r="AK539" s="269">
        <v>5</v>
      </c>
      <c r="AL539" s="269">
        <v>5</v>
      </c>
      <c r="AM539" s="267">
        <v>5</v>
      </c>
      <c r="AN539" s="269">
        <v>4</v>
      </c>
      <c r="AO539" s="266">
        <v>4</v>
      </c>
      <c r="AP539" s="269">
        <v>4</v>
      </c>
      <c r="AQ539" s="269">
        <v>4</v>
      </c>
      <c r="AR539" s="267">
        <v>4</v>
      </c>
      <c r="AS539" s="269">
        <v>4</v>
      </c>
      <c r="AT539" s="266">
        <v>4</v>
      </c>
      <c r="AU539" s="269">
        <v>4</v>
      </c>
      <c r="AV539" s="269">
        <v>3</v>
      </c>
      <c r="AW539" s="267">
        <v>3</v>
      </c>
      <c r="AX539" s="269">
        <v>3</v>
      </c>
      <c r="AY539" s="266">
        <v>3</v>
      </c>
      <c r="AZ539" s="269">
        <v>3</v>
      </c>
      <c r="BA539" s="269">
        <v>3</v>
      </c>
      <c r="BB539" s="267">
        <v>3</v>
      </c>
      <c r="BC539" s="269">
        <v>3</v>
      </c>
      <c r="BD539" s="266">
        <v>3</v>
      </c>
      <c r="BE539" s="269">
        <v>3</v>
      </c>
      <c r="BF539" s="269">
        <v>3</v>
      </c>
      <c r="BG539" s="267">
        <v>3</v>
      </c>
      <c r="BH539" s="269">
        <v>3</v>
      </c>
      <c r="BI539" s="271">
        <v>3</v>
      </c>
      <c r="BJ539" s="269">
        <v>3</v>
      </c>
      <c r="BK539" s="269">
        <v>3</v>
      </c>
      <c r="BL539" s="269">
        <v>3</v>
      </c>
      <c r="BM539" s="269">
        <v>3</v>
      </c>
      <c r="BN539" s="266">
        <v>3</v>
      </c>
      <c r="BO539" s="269">
        <v>3</v>
      </c>
      <c r="BP539" s="269">
        <v>3</v>
      </c>
      <c r="BQ539" s="269">
        <v>3</v>
      </c>
      <c r="BR539" s="269">
        <v>3</v>
      </c>
      <c r="BS539" s="266">
        <v>3</v>
      </c>
      <c r="BT539" s="266">
        <v>3</v>
      </c>
      <c r="BU539" s="266">
        <v>3</v>
      </c>
      <c r="BV539" s="266">
        <v>3</v>
      </c>
      <c r="BW539" s="223"/>
    </row>
    <row r="540" spans="1:75" s="224" customFormat="1" collapsed="1" x14ac:dyDescent="0.5">
      <c r="A540" s="261" t="s">
        <v>441</v>
      </c>
      <c r="B540" s="258"/>
      <c r="C540" s="252">
        <v>95</v>
      </c>
      <c r="D540" s="252">
        <v>91</v>
      </c>
      <c r="E540" s="252">
        <v>74</v>
      </c>
      <c r="F540" s="252">
        <v>71</v>
      </c>
      <c r="G540" s="253">
        <v>70</v>
      </c>
      <c r="H540" s="253">
        <v>70</v>
      </c>
      <c r="I540" s="253">
        <v>70</v>
      </c>
      <c r="J540" s="253">
        <v>70</v>
      </c>
      <c r="K540" s="252">
        <v>70</v>
      </c>
      <c r="L540" s="253">
        <v>69</v>
      </c>
      <c r="M540" s="253">
        <v>68</v>
      </c>
      <c r="N540" s="253">
        <v>68</v>
      </c>
      <c r="O540" s="253">
        <v>67</v>
      </c>
      <c r="P540" s="252">
        <v>67</v>
      </c>
      <c r="Q540" s="253">
        <v>67</v>
      </c>
      <c r="R540" s="253">
        <v>67</v>
      </c>
      <c r="S540" s="253">
        <v>68</v>
      </c>
      <c r="T540" s="253">
        <v>69</v>
      </c>
      <c r="U540" s="252">
        <v>69</v>
      </c>
      <c r="V540" s="253">
        <v>69</v>
      </c>
      <c r="W540" s="253">
        <v>69</v>
      </c>
      <c r="X540" s="253">
        <v>70</v>
      </c>
      <c r="Y540" s="254">
        <v>70</v>
      </c>
      <c r="Z540" s="252">
        <v>70</v>
      </c>
      <c r="AA540" s="254">
        <v>70</v>
      </c>
      <c r="AB540" s="254">
        <v>70</v>
      </c>
      <c r="AC540" s="253">
        <v>69</v>
      </c>
      <c r="AD540" s="254">
        <v>68</v>
      </c>
      <c r="AE540" s="252">
        <v>68</v>
      </c>
      <c r="AF540" s="254">
        <v>69</v>
      </c>
      <c r="AG540" s="254">
        <v>70</v>
      </c>
      <c r="AH540" s="253">
        <v>71</v>
      </c>
      <c r="AI540" s="254">
        <v>71</v>
      </c>
      <c r="AJ540" s="252">
        <v>71</v>
      </c>
      <c r="AK540" s="254">
        <v>70</v>
      </c>
      <c r="AL540" s="254">
        <v>70</v>
      </c>
      <c r="AM540" s="253">
        <v>70</v>
      </c>
      <c r="AN540" s="254">
        <v>68</v>
      </c>
      <c r="AO540" s="252">
        <v>68</v>
      </c>
      <c r="AP540" s="254">
        <v>69</v>
      </c>
      <c r="AQ540" s="254">
        <v>68</v>
      </c>
      <c r="AR540" s="253">
        <v>68</v>
      </c>
      <c r="AS540" s="254">
        <v>68</v>
      </c>
      <c r="AT540" s="252">
        <v>68</v>
      </c>
      <c r="AU540" s="254">
        <v>68</v>
      </c>
      <c r="AV540" s="254">
        <v>66</v>
      </c>
      <c r="AW540" s="253">
        <v>66</v>
      </c>
      <c r="AX540" s="254">
        <v>67</v>
      </c>
      <c r="AY540" s="252">
        <v>67</v>
      </c>
      <c r="AZ540" s="254">
        <v>67</v>
      </c>
      <c r="BA540" s="254">
        <v>67</v>
      </c>
      <c r="BB540" s="253">
        <v>67</v>
      </c>
      <c r="BC540" s="254">
        <v>67</v>
      </c>
      <c r="BD540" s="252">
        <v>67</v>
      </c>
      <c r="BE540" s="254">
        <v>67</v>
      </c>
      <c r="BF540" s="254">
        <v>68</v>
      </c>
      <c r="BG540" s="253">
        <v>68</v>
      </c>
      <c r="BH540" s="254">
        <v>70</v>
      </c>
      <c r="BI540" s="260">
        <v>70</v>
      </c>
      <c r="BJ540" s="254">
        <v>72</v>
      </c>
      <c r="BK540" s="254">
        <v>74</v>
      </c>
      <c r="BL540" s="254">
        <v>76</v>
      </c>
      <c r="BM540" s="254">
        <v>77</v>
      </c>
      <c r="BN540" s="252">
        <v>77</v>
      </c>
      <c r="BO540" s="254">
        <v>78</v>
      </c>
      <c r="BP540" s="254">
        <v>79</v>
      </c>
      <c r="BQ540" s="254">
        <v>80</v>
      </c>
      <c r="BR540" s="254">
        <v>80</v>
      </c>
      <c r="BS540" s="252">
        <v>80</v>
      </c>
      <c r="BT540" s="252">
        <v>81</v>
      </c>
      <c r="BU540" s="252">
        <v>81</v>
      </c>
      <c r="BV540" s="252">
        <v>81</v>
      </c>
      <c r="BW540" s="223"/>
    </row>
    <row r="541" spans="1:75" s="224" customFormat="1" x14ac:dyDescent="0.5">
      <c r="A541" s="261" t="s">
        <v>670</v>
      </c>
      <c r="B541" s="258"/>
      <c r="C541" s="252">
        <v>0</v>
      </c>
      <c r="D541" s="252">
        <v>0</v>
      </c>
      <c r="E541" s="252">
        <v>0</v>
      </c>
      <c r="F541" s="252">
        <v>0</v>
      </c>
      <c r="G541" s="253">
        <v>0</v>
      </c>
      <c r="H541" s="253">
        <v>0</v>
      </c>
      <c r="I541" s="253">
        <v>0</v>
      </c>
      <c r="J541" s="253">
        <v>0</v>
      </c>
      <c r="K541" s="252">
        <v>0</v>
      </c>
      <c r="L541" s="253">
        <v>0</v>
      </c>
      <c r="M541" s="253">
        <v>0</v>
      </c>
      <c r="N541" s="253">
        <v>0</v>
      </c>
      <c r="O541" s="253">
        <v>0</v>
      </c>
      <c r="P541" s="252">
        <v>0</v>
      </c>
      <c r="Q541" s="253">
        <v>0</v>
      </c>
      <c r="R541" s="253">
        <v>0</v>
      </c>
      <c r="S541" s="253">
        <v>0</v>
      </c>
      <c r="T541" s="253">
        <v>0</v>
      </c>
      <c r="U541" s="252">
        <v>0</v>
      </c>
      <c r="V541" s="253">
        <v>0</v>
      </c>
      <c r="W541" s="253">
        <v>15</v>
      </c>
      <c r="X541" s="253">
        <v>15</v>
      </c>
      <c r="Y541" s="254">
        <v>15</v>
      </c>
      <c r="Z541" s="252">
        <v>15</v>
      </c>
      <c r="AA541" s="254">
        <v>15</v>
      </c>
      <c r="AB541" s="254">
        <v>15</v>
      </c>
      <c r="AC541" s="253">
        <v>15</v>
      </c>
      <c r="AD541" s="254">
        <v>15</v>
      </c>
      <c r="AE541" s="252">
        <v>15</v>
      </c>
      <c r="AF541" s="254">
        <v>15</v>
      </c>
      <c r="AG541" s="254">
        <v>15</v>
      </c>
      <c r="AH541" s="253">
        <v>15</v>
      </c>
      <c r="AI541" s="254">
        <v>15</v>
      </c>
      <c r="AJ541" s="252">
        <v>15</v>
      </c>
      <c r="AK541" s="254">
        <v>15</v>
      </c>
      <c r="AL541" s="254">
        <v>15</v>
      </c>
      <c r="AM541" s="253">
        <v>15</v>
      </c>
      <c r="AN541" s="254">
        <v>15</v>
      </c>
      <c r="AO541" s="252">
        <v>15</v>
      </c>
      <c r="AP541" s="254">
        <v>15</v>
      </c>
      <c r="AQ541" s="254">
        <v>15</v>
      </c>
      <c r="AR541" s="253">
        <v>14</v>
      </c>
      <c r="AS541" s="254">
        <v>14</v>
      </c>
      <c r="AT541" s="252">
        <v>14</v>
      </c>
      <c r="AU541" s="254">
        <v>14</v>
      </c>
      <c r="AV541" s="254">
        <v>14</v>
      </c>
      <c r="AW541" s="253">
        <v>14</v>
      </c>
      <c r="AX541" s="254">
        <v>14</v>
      </c>
      <c r="AY541" s="252">
        <v>14</v>
      </c>
      <c r="AZ541" s="254">
        <v>14</v>
      </c>
      <c r="BA541" s="254">
        <v>14</v>
      </c>
      <c r="BB541" s="253">
        <v>14</v>
      </c>
      <c r="BC541" s="254">
        <v>14</v>
      </c>
      <c r="BD541" s="252">
        <v>14</v>
      </c>
      <c r="BE541" s="254">
        <v>14</v>
      </c>
      <c r="BF541" s="254">
        <v>14</v>
      </c>
      <c r="BG541" s="253">
        <v>14</v>
      </c>
      <c r="BH541" s="254">
        <v>14</v>
      </c>
      <c r="BI541" s="260">
        <v>14</v>
      </c>
      <c r="BJ541" s="254">
        <v>14</v>
      </c>
      <c r="BK541" s="254">
        <v>14</v>
      </c>
      <c r="BL541" s="254">
        <v>14</v>
      </c>
      <c r="BM541" s="254">
        <v>14</v>
      </c>
      <c r="BN541" s="252">
        <v>14</v>
      </c>
      <c r="BO541" s="254">
        <v>14</v>
      </c>
      <c r="BP541" s="254">
        <v>14</v>
      </c>
      <c r="BQ541" s="254">
        <v>14</v>
      </c>
      <c r="BR541" s="254">
        <v>14</v>
      </c>
      <c r="BS541" s="252">
        <v>14</v>
      </c>
      <c r="BT541" s="252">
        <v>14</v>
      </c>
      <c r="BU541" s="252">
        <v>14</v>
      </c>
      <c r="BV541" s="252">
        <v>14</v>
      </c>
      <c r="BW541" s="223"/>
    </row>
    <row r="542" spans="1:75" s="169" customFormat="1" ht="14.25" x14ac:dyDescent="0.45">
      <c r="A542" s="468" t="s">
        <v>178</v>
      </c>
      <c r="B542" s="359"/>
      <c r="C542" s="278">
        <v>95</v>
      </c>
      <c r="D542" s="278">
        <v>91</v>
      </c>
      <c r="E542" s="278">
        <v>74</v>
      </c>
      <c r="F542" s="278">
        <v>71</v>
      </c>
      <c r="G542" s="283">
        <v>70</v>
      </c>
      <c r="H542" s="283">
        <v>70</v>
      </c>
      <c r="I542" s="283">
        <v>70</v>
      </c>
      <c r="J542" s="283">
        <v>70</v>
      </c>
      <c r="K542" s="278">
        <v>70</v>
      </c>
      <c r="L542" s="283">
        <v>69</v>
      </c>
      <c r="M542" s="283">
        <v>68</v>
      </c>
      <c r="N542" s="283">
        <v>68</v>
      </c>
      <c r="O542" s="283">
        <v>67</v>
      </c>
      <c r="P542" s="278">
        <v>67</v>
      </c>
      <c r="Q542" s="283">
        <v>67</v>
      </c>
      <c r="R542" s="283">
        <v>67</v>
      </c>
      <c r="S542" s="283">
        <v>68</v>
      </c>
      <c r="T542" s="283">
        <v>69</v>
      </c>
      <c r="U542" s="278">
        <v>69</v>
      </c>
      <c r="V542" s="283">
        <v>69</v>
      </c>
      <c r="W542" s="283">
        <v>84</v>
      </c>
      <c r="X542" s="283">
        <v>85</v>
      </c>
      <c r="Y542" s="287">
        <v>85</v>
      </c>
      <c r="Z542" s="278">
        <v>85</v>
      </c>
      <c r="AA542" s="287">
        <v>85</v>
      </c>
      <c r="AB542" s="287">
        <v>85</v>
      </c>
      <c r="AC542" s="283">
        <v>84</v>
      </c>
      <c r="AD542" s="287">
        <v>83</v>
      </c>
      <c r="AE542" s="278">
        <v>83</v>
      </c>
      <c r="AF542" s="287">
        <v>84</v>
      </c>
      <c r="AG542" s="287">
        <v>85</v>
      </c>
      <c r="AH542" s="283">
        <v>86</v>
      </c>
      <c r="AI542" s="287">
        <v>86</v>
      </c>
      <c r="AJ542" s="278">
        <v>86</v>
      </c>
      <c r="AK542" s="287">
        <v>85</v>
      </c>
      <c r="AL542" s="287">
        <v>85</v>
      </c>
      <c r="AM542" s="283">
        <v>85</v>
      </c>
      <c r="AN542" s="287">
        <v>83</v>
      </c>
      <c r="AO542" s="278">
        <v>83</v>
      </c>
      <c r="AP542" s="287">
        <v>84</v>
      </c>
      <c r="AQ542" s="287">
        <v>83</v>
      </c>
      <c r="AR542" s="283">
        <v>82</v>
      </c>
      <c r="AS542" s="287">
        <v>82</v>
      </c>
      <c r="AT542" s="278">
        <v>82</v>
      </c>
      <c r="AU542" s="287">
        <v>82</v>
      </c>
      <c r="AV542" s="287">
        <v>80</v>
      </c>
      <c r="AW542" s="283">
        <v>80</v>
      </c>
      <c r="AX542" s="287">
        <v>81</v>
      </c>
      <c r="AY542" s="278">
        <v>81</v>
      </c>
      <c r="AZ542" s="287">
        <v>81</v>
      </c>
      <c r="BA542" s="287">
        <v>81</v>
      </c>
      <c r="BB542" s="283">
        <v>81</v>
      </c>
      <c r="BC542" s="287">
        <v>81</v>
      </c>
      <c r="BD542" s="278">
        <v>81</v>
      </c>
      <c r="BE542" s="287">
        <v>81</v>
      </c>
      <c r="BF542" s="287">
        <v>82</v>
      </c>
      <c r="BG542" s="283">
        <v>82</v>
      </c>
      <c r="BH542" s="287">
        <v>84</v>
      </c>
      <c r="BI542" s="437">
        <v>84</v>
      </c>
      <c r="BJ542" s="287">
        <v>86</v>
      </c>
      <c r="BK542" s="287">
        <v>88</v>
      </c>
      <c r="BL542" s="287">
        <v>90</v>
      </c>
      <c r="BM542" s="287">
        <v>91</v>
      </c>
      <c r="BN542" s="278">
        <v>91</v>
      </c>
      <c r="BO542" s="287">
        <v>92</v>
      </c>
      <c r="BP542" s="287">
        <v>93</v>
      </c>
      <c r="BQ542" s="287">
        <v>94</v>
      </c>
      <c r="BR542" s="287">
        <v>94</v>
      </c>
      <c r="BS542" s="278">
        <v>94</v>
      </c>
      <c r="BT542" s="278">
        <v>95</v>
      </c>
      <c r="BU542" s="278">
        <v>95</v>
      </c>
      <c r="BV542" s="278">
        <v>95</v>
      </c>
      <c r="BW542" s="168"/>
    </row>
    <row r="543" spans="1:75" s="224" customFormat="1" x14ac:dyDescent="0.5">
      <c r="A543" s="330" t="s">
        <v>671</v>
      </c>
      <c r="B543" s="258"/>
      <c r="C543" s="252"/>
      <c r="D543" s="252"/>
      <c r="E543" s="252">
        <v>10</v>
      </c>
      <c r="F543" s="252">
        <v>13</v>
      </c>
      <c r="G543" s="253">
        <v>14</v>
      </c>
      <c r="H543" s="253">
        <v>17</v>
      </c>
      <c r="I543" s="253">
        <v>17</v>
      </c>
      <c r="J543" s="253">
        <v>17</v>
      </c>
      <c r="K543" s="252">
        <v>17</v>
      </c>
      <c r="L543" s="253">
        <v>17</v>
      </c>
      <c r="M543" s="253">
        <v>17</v>
      </c>
      <c r="N543" s="253">
        <v>18</v>
      </c>
      <c r="O543" s="253">
        <v>17</v>
      </c>
      <c r="P543" s="252">
        <v>17</v>
      </c>
      <c r="Q543" s="253">
        <v>17</v>
      </c>
      <c r="R543" s="253">
        <v>15</v>
      </c>
      <c r="S543" s="253">
        <v>17</v>
      </c>
      <c r="T543" s="253">
        <v>17</v>
      </c>
      <c r="U543" s="252">
        <v>17</v>
      </c>
      <c r="V543" s="253">
        <v>19</v>
      </c>
      <c r="W543" s="253">
        <v>23</v>
      </c>
      <c r="X543" s="253">
        <v>28</v>
      </c>
      <c r="Y543" s="254">
        <v>28</v>
      </c>
      <c r="Z543" s="252">
        <v>28</v>
      </c>
      <c r="AA543" s="254">
        <v>28</v>
      </c>
      <c r="AB543" s="254">
        <v>28</v>
      </c>
      <c r="AC543" s="253">
        <v>31</v>
      </c>
      <c r="AD543" s="254">
        <v>32</v>
      </c>
      <c r="AE543" s="252">
        <v>32</v>
      </c>
      <c r="AF543" s="254">
        <v>32</v>
      </c>
      <c r="AG543" s="254">
        <v>36</v>
      </c>
      <c r="AH543" s="253">
        <v>37</v>
      </c>
      <c r="AI543" s="254">
        <v>39</v>
      </c>
      <c r="AJ543" s="252">
        <v>39</v>
      </c>
      <c r="AK543" s="254">
        <v>40</v>
      </c>
      <c r="AL543" s="254">
        <v>40</v>
      </c>
      <c r="AM543" s="253">
        <v>39</v>
      </c>
      <c r="AN543" s="254">
        <v>38</v>
      </c>
      <c r="AO543" s="252">
        <v>38</v>
      </c>
      <c r="AP543" s="254">
        <v>38</v>
      </c>
      <c r="AQ543" s="254">
        <v>38</v>
      </c>
      <c r="AR543" s="253">
        <v>38</v>
      </c>
      <c r="AS543" s="254">
        <v>38</v>
      </c>
      <c r="AT543" s="252">
        <v>38</v>
      </c>
      <c r="AU543" s="254">
        <v>38</v>
      </c>
      <c r="AV543" s="254">
        <v>38</v>
      </c>
      <c r="AW543" s="253">
        <v>38</v>
      </c>
      <c r="AX543" s="254">
        <v>38</v>
      </c>
      <c r="AY543" s="252">
        <v>38</v>
      </c>
      <c r="AZ543" s="254">
        <v>39</v>
      </c>
      <c r="BA543" s="254">
        <v>39</v>
      </c>
      <c r="BB543" s="253">
        <v>39</v>
      </c>
      <c r="BC543" s="254">
        <v>37</v>
      </c>
      <c r="BD543" s="252">
        <v>37</v>
      </c>
      <c r="BE543" s="254">
        <v>39</v>
      </c>
      <c r="BF543" s="254">
        <v>40</v>
      </c>
      <c r="BG543" s="253">
        <v>42</v>
      </c>
      <c r="BH543" s="254">
        <v>42</v>
      </c>
      <c r="BI543" s="260">
        <v>42</v>
      </c>
      <c r="BJ543" s="254">
        <v>42</v>
      </c>
      <c r="BK543" s="254">
        <v>42</v>
      </c>
      <c r="BL543" s="254">
        <v>42</v>
      </c>
      <c r="BM543" s="254">
        <v>42</v>
      </c>
      <c r="BN543" s="252">
        <v>42</v>
      </c>
      <c r="BO543" s="254">
        <v>42</v>
      </c>
      <c r="BP543" s="254">
        <v>42</v>
      </c>
      <c r="BQ543" s="254">
        <v>42</v>
      </c>
      <c r="BR543" s="254">
        <v>42</v>
      </c>
      <c r="BS543" s="252">
        <v>42</v>
      </c>
      <c r="BT543" s="252">
        <v>42</v>
      </c>
      <c r="BU543" s="252">
        <v>42</v>
      </c>
      <c r="BV543" s="252">
        <v>42</v>
      </c>
      <c r="BW543" s="223"/>
    </row>
    <row r="544" spans="1:75" s="169" customFormat="1" ht="14.25" x14ac:dyDescent="0.45">
      <c r="A544" s="343" t="s">
        <v>672</v>
      </c>
      <c r="B544" s="359"/>
      <c r="C544" s="278"/>
      <c r="D544" s="278"/>
      <c r="E544" s="278">
        <v>84</v>
      </c>
      <c r="F544" s="278">
        <v>84</v>
      </c>
      <c r="G544" s="283">
        <v>84</v>
      </c>
      <c r="H544" s="283">
        <v>87</v>
      </c>
      <c r="I544" s="283">
        <v>87</v>
      </c>
      <c r="J544" s="283">
        <v>87</v>
      </c>
      <c r="K544" s="278">
        <v>87</v>
      </c>
      <c r="L544" s="283">
        <v>86</v>
      </c>
      <c r="M544" s="283">
        <v>85</v>
      </c>
      <c r="N544" s="283">
        <v>86</v>
      </c>
      <c r="O544" s="283">
        <v>84</v>
      </c>
      <c r="P544" s="278">
        <v>84</v>
      </c>
      <c r="Q544" s="283">
        <v>84</v>
      </c>
      <c r="R544" s="283">
        <v>82</v>
      </c>
      <c r="S544" s="283">
        <v>85</v>
      </c>
      <c r="T544" s="283">
        <v>86</v>
      </c>
      <c r="U544" s="278">
        <v>86</v>
      </c>
      <c r="V544" s="283">
        <v>88</v>
      </c>
      <c r="W544" s="283">
        <v>107</v>
      </c>
      <c r="X544" s="283">
        <v>113</v>
      </c>
      <c r="Y544" s="287">
        <v>113</v>
      </c>
      <c r="Z544" s="278">
        <v>113</v>
      </c>
      <c r="AA544" s="287">
        <v>113</v>
      </c>
      <c r="AB544" s="287">
        <v>113</v>
      </c>
      <c r="AC544" s="283">
        <v>115</v>
      </c>
      <c r="AD544" s="287">
        <v>115</v>
      </c>
      <c r="AE544" s="278">
        <v>115</v>
      </c>
      <c r="AF544" s="287">
        <v>116</v>
      </c>
      <c r="AG544" s="287">
        <v>121</v>
      </c>
      <c r="AH544" s="283">
        <v>123</v>
      </c>
      <c r="AI544" s="287">
        <v>125</v>
      </c>
      <c r="AJ544" s="278">
        <v>125</v>
      </c>
      <c r="AK544" s="287">
        <v>125</v>
      </c>
      <c r="AL544" s="287">
        <v>125</v>
      </c>
      <c r="AM544" s="283">
        <v>124</v>
      </c>
      <c r="AN544" s="287">
        <v>121</v>
      </c>
      <c r="AO544" s="278">
        <v>121</v>
      </c>
      <c r="AP544" s="287">
        <v>122</v>
      </c>
      <c r="AQ544" s="287">
        <v>121</v>
      </c>
      <c r="AR544" s="283">
        <v>120</v>
      </c>
      <c r="AS544" s="287">
        <v>120</v>
      </c>
      <c r="AT544" s="278">
        <v>120</v>
      </c>
      <c r="AU544" s="287">
        <v>120</v>
      </c>
      <c r="AV544" s="287">
        <v>118</v>
      </c>
      <c r="AW544" s="283">
        <v>118</v>
      </c>
      <c r="AX544" s="287">
        <v>119</v>
      </c>
      <c r="AY544" s="278">
        <v>119</v>
      </c>
      <c r="AZ544" s="287">
        <v>120</v>
      </c>
      <c r="BA544" s="287">
        <v>120</v>
      </c>
      <c r="BB544" s="283">
        <v>120</v>
      </c>
      <c r="BC544" s="287">
        <v>118</v>
      </c>
      <c r="BD544" s="278">
        <v>118</v>
      </c>
      <c r="BE544" s="287">
        <v>120</v>
      </c>
      <c r="BF544" s="287">
        <v>122</v>
      </c>
      <c r="BG544" s="283">
        <v>124</v>
      </c>
      <c r="BH544" s="287">
        <v>126</v>
      </c>
      <c r="BI544" s="437">
        <v>126</v>
      </c>
      <c r="BJ544" s="287">
        <v>128</v>
      </c>
      <c r="BK544" s="287">
        <v>130</v>
      </c>
      <c r="BL544" s="287">
        <v>132</v>
      </c>
      <c r="BM544" s="287">
        <v>133</v>
      </c>
      <c r="BN544" s="278">
        <v>133</v>
      </c>
      <c r="BO544" s="287">
        <v>134</v>
      </c>
      <c r="BP544" s="287">
        <v>135</v>
      </c>
      <c r="BQ544" s="287">
        <v>136</v>
      </c>
      <c r="BR544" s="287">
        <v>136</v>
      </c>
      <c r="BS544" s="278">
        <v>136</v>
      </c>
      <c r="BT544" s="278">
        <v>137</v>
      </c>
      <c r="BU544" s="278">
        <v>137</v>
      </c>
      <c r="BV544" s="278">
        <v>137</v>
      </c>
      <c r="BW544" s="168"/>
    </row>
    <row r="545" spans="1:75" s="162" customFormat="1" ht="14.25" x14ac:dyDescent="0.45">
      <c r="A545" s="469"/>
      <c r="B545" s="470"/>
      <c r="C545" s="471"/>
      <c r="D545" s="471"/>
      <c r="E545" s="471"/>
      <c r="F545" s="471"/>
      <c r="G545" s="472"/>
      <c r="H545" s="472"/>
      <c r="I545" s="472"/>
      <c r="J545" s="472"/>
      <c r="K545" s="471"/>
      <c r="L545" s="472"/>
      <c r="M545" s="472"/>
      <c r="N545" s="472"/>
      <c r="O545" s="472"/>
      <c r="P545" s="471"/>
      <c r="Q545" s="472"/>
      <c r="R545" s="472"/>
      <c r="S545" s="472"/>
      <c r="T545" s="472"/>
      <c r="U545" s="471"/>
      <c r="V545" s="472"/>
      <c r="W545" s="472"/>
      <c r="X545" s="472"/>
      <c r="Y545" s="473"/>
      <c r="Z545" s="471"/>
      <c r="AA545" s="473"/>
      <c r="AB545" s="473"/>
      <c r="AC545" s="472"/>
      <c r="AD545" s="473"/>
      <c r="AE545" s="471"/>
      <c r="AF545" s="473"/>
      <c r="AG545" s="473"/>
      <c r="AH545" s="472"/>
      <c r="AI545" s="473"/>
      <c r="AJ545" s="471"/>
      <c r="AK545" s="473"/>
      <c r="AL545" s="473"/>
      <c r="AM545" s="472"/>
      <c r="AN545" s="473"/>
      <c r="AO545" s="471"/>
      <c r="AP545" s="473"/>
      <c r="AQ545" s="473"/>
      <c r="AR545" s="472"/>
      <c r="AS545" s="473"/>
      <c r="AT545" s="471"/>
      <c r="AU545" s="473"/>
      <c r="AV545" s="473"/>
      <c r="AW545" s="472"/>
      <c r="AX545" s="473"/>
      <c r="AY545" s="471"/>
      <c r="AZ545" s="473"/>
      <c r="BA545" s="473"/>
      <c r="BB545" s="472"/>
      <c r="BC545" s="473"/>
      <c r="BD545" s="471"/>
      <c r="BE545" s="473"/>
      <c r="BF545" s="473"/>
      <c r="BG545" s="472"/>
      <c r="BH545" s="473"/>
      <c r="BI545" s="474"/>
      <c r="BJ545" s="473"/>
      <c r="BK545" s="473"/>
      <c r="BL545" s="473"/>
      <c r="BM545" s="473"/>
      <c r="BN545" s="471"/>
      <c r="BO545" s="473"/>
      <c r="BP545" s="473"/>
      <c r="BQ545" s="473"/>
      <c r="BR545" s="473"/>
      <c r="BS545" s="471"/>
      <c r="BT545" s="471"/>
      <c r="BU545" s="471"/>
      <c r="BV545" s="471"/>
      <c r="BW545" s="161"/>
    </row>
    <row r="546" spans="1:75" s="123" customFormat="1" x14ac:dyDescent="0.5">
      <c r="A546" s="354" t="s">
        <v>181</v>
      </c>
      <c r="B546" s="251"/>
      <c r="C546" s="299">
        <v>625.68499999999995</v>
      </c>
      <c r="D546" s="299">
        <v>772.75199999999995</v>
      </c>
      <c r="E546" s="299">
        <v>958.08400000000006</v>
      </c>
      <c r="F546" s="299">
        <v>1193.046</v>
      </c>
      <c r="G546" s="300">
        <v>301.33699999999999</v>
      </c>
      <c r="H546" s="300">
        <v>382.09800000000001</v>
      </c>
      <c r="I546" s="300">
        <v>395.83199999999999</v>
      </c>
      <c r="J546" s="300">
        <v>471.69400000000002</v>
      </c>
      <c r="K546" s="299">
        <v>1550.9609999999998</v>
      </c>
      <c r="L546" s="300">
        <v>366.25400000000002</v>
      </c>
      <c r="M546" s="300">
        <v>433.76600000000002</v>
      </c>
      <c r="N546" s="300">
        <v>484.67500000000001</v>
      </c>
      <c r="O546" s="300">
        <v>582.72699999999998</v>
      </c>
      <c r="P546" s="299">
        <v>1867.422</v>
      </c>
      <c r="Q546" s="300">
        <v>422.44499999999999</v>
      </c>
      <c r="R546" s="300">
        <v>506.94200000000001</v>
      </c>
      <c r="S546" s="300">
        <v>532.41099999999994</v>
      </c>
      <c r="T546" s="300">
        <v>647.20800000000008</v>
      </c>
      <c r="U546" s="299">
        <v>2109.0059999999999</v>
      </c>
      <c r="V546" s="300">
        <v>455.45600000000002</v>
      </c>
      <c r="W546" s="307">
        <v>522.61800000000005</v>
      </c>
      <c r="X546" s="307">
        <v>521.02700000000004</v>
      </c>
      <c r="Y546" s="119">
        <v>560.94299999999976</v>
      </c>
      <c r="Z546" s="305">
        <v>2060.0439999999999</v>
      </c>
      <c r="AA546" s="302">
        <v>533.52800000000002</v>
      </c>
      <c r="AB546" s="302">
        <v>583.79300000000001</v>
      </c>
      <c r="AC546" s="307">
        <v>563.17399999999998</v>
      </c>
      <c r="AD546" s="119">
        <v>638.83699999999999</v>
      </c>
      <c r="AE546" s="305">
        <v>2319.3319999999999</v>
      </c>
      <c r="AF546" s="302">
        <v>526.00699999999995</v>
      </c>
      <c r="AG546" s="302">
        <v>607.60400000000004</v>
      </c>
      <c r="AH546" s="307">
        <v>604.322</v>
      </c>
      <c r="AI546" s="119">
        <v>637.53900000000021</v>
      </c>
      <c r="AJ546" s="305">
        <v>2375.4720000000002</v>
      </c>
      <c r="AK546" s="302">
        <v>563.70600000000002</v>
      </c>
      <c r="AL546" s="302">
        <v>672.32799999999997</v>
      </c>
      <c r="AM546" s="307">
        <v>645.37800000000004</v>
      </c>
      <c r="AN546" s="119">
        <v>632.88399999999956</v>
      </c>
      <c r="AO546" s="305">
        <v>2514.2959999999998</v>
      </c>
      <c r="AP546" s="302">
        <v>454.95699999999999</v>
      </c>
      <c r="AQ546" s="302">
        <v>681.38699999999994</v>
      </c>
      <c r="AR546" s="307">
        <v>812.78200000000004</v>
      </c>
      <c r="AS546" s="119">
        <v>780.29599999999982</v>
      </c>
      <c r="AT546" s="305">
        <v>2729.422</v>
      </c>
      <c r="AU546" s="302">
        <v>819.82299999999998</v>
      </c>
      <c r="AV546" s="302">
        <v>947.61800000000005</v>
      </c>
      <c r="AW546" s="307">
        <v>964.85900000000004</v>
      </c>
      <c r="AX546" s="119">
        <v>861.54199999999992</v>
      </c>
      <c r="AY546" s="305">
        <v>3593.8420000000001</v>
      </c>
      <c r="AZ546" s="302">
        <v>908.94799999999998</v>
      </c>
      <c r="BA546" s="302">
        <v>940.18200000000002</v>
      </c>
      <c r="BB546" s="307">
        <v>821.26</v>
      </c>
      <c r="BC546" s="119">
        <v>728.24799999999959</v>
      </c>
      <c r="BD546" s="305">
        <v>3398.6379999999999</v>
      </c>
      <c r="BE546" s="302">
        <v>690.51599999999996</v>
      </c>
      <c r="BF546" s="302">
        <v>753.55</v>
      </c>
      <c r="BG546" s="307">
        <v>705.06100000000004</v>
      </c>
      <c r="BH546" s="119">
        <v>686.49000000000024</v>
      </c>
      <c r="BI546" s="303">
        <v>2835.6170000000002</v>
      </c>
      <c r="BJ546" s="119">
        <v>676.85902205323191</v>
      </c>
      <c r="BK546" s="119">
        <v>795.63631854464234</v>
      </c>
      <c r="BL546" s="119">
        <v>809.15841850904303</v>
      </c>
      <c r="BM546" s="119">
        <v>765.73310175970482</v>
      </c>
      <c r="BN546" s="299">
        <v>3047.3868608666221</v>
      </c>
      <c r="BO546" s="119">
        <v>805.83871566395521</v>
      </c>
      <c r="BP546" s="119">
        <v>921.16824790927819</v>
      </c>
      <c r="BQ546" s="119">
        <v>931.43026368160463</v>
      </c>
      <c r="BR546" s="119">
        <v>842.84749011115866</v>
      </c>
      <c r="BS546" s="299">
        <v>3501.2847173659966</v>
      </c>
      <c r="BT546" s="299">
        <v>3708.4598102193422</v>
      </c>
      <c r="BU546" s="299">
        <v>3827.7949713492103</v>
      </c>
      <c r="BV546" s="299">
        <v>3907.1631377355448</v>
      </c>
      <c r="BW546" s="122"/>
    </row>
    <row r="547" spans="1:75" s="123" customFormat="1" x14ac:dyDescent="0.5">
      <c r="A547" s="354" t="s">
        <v>184</v>
      </c>
      <c r="B547" s="251"/>
      <c r="C547" s="299"/>
      <c r="D547" s="299"/>
      <c r="E547" s="299"/>
      <c r="F547" s="299"/>
      <c r="G547" s="300"/>
      <c r="H547" s="300"/>
      <c r="I547" s="300"/>
      <c r="J547" s="300"/>
      <c r="K547" s="299"/>
      <c r="L547" s="300"/>
      <c r="M547" s="300"/>
      <c r="N547" s="300"/>
      <c r="O547" s="300"/>
      <c r="P547" s="299"/>
      <c r="Q547" s="300"/>
      <c r="R547" s="300"/>
      <c r="S547" s="300"/>
      <c r="T547" s="300"/>
      <c r="U547" s="299"/>
      <c r="V547" s="300"/>
      <c r="W547" s="307">
        <v>20.763000000000002</v>
      </c>
      <c r="X547" s="307">
        <v>28.300999999999998</v>
      </c>
      <c r="Y547" s="119">
        <v>25.762999999999998</v>
      </c>
      <c r="Z547" s="305">
        <v>74.826999999999998</v>
      </c>
      <c r="AA547" s="302">
        <v>28.552</v>
      </c>
      <c r="AB547" s="302">
        <v>31.533000000000001</v>
      </c>
      <c r="AC547" s="307">
        <v>29.298999999999999</v>
      </c>
      <c r="AD547" s="119">
        <v>31.457999999999998</v>
      </c>
      <c r="AE547" s="305">
        <v>120.842</v>
      </c>
      <c r="AF547" s="302">
        <v>31.399000000000001</v>
      </c>
      <c r="AG547" s="302">
        <v>33.194000000000003</v>
      </c>
      <c r="AH547" s="307">
        <v>32.235999999999997</v>
      </c>
      <c r="AI547" s="119">
        <v>33.352000000000004</v>
      </c>
      <c r="AJ547" s="305">
        <v>130.18100000000001</v>
      </c>
      <c r="AK547" s="302">
        <v>34.715000000000003</v>
      </c>
      <c r="AL547" s="302">
        <v>34.186</v>
      </c>
      <c r="AM547" s="307">
        <v>32.148000000000003</v>
      </c>
      <c r="AN547" s="119">
        <v>32.091999999999985</v>
      </c>
      <c r="AO547" s="305">
        <v>133.14099999999999</v>
      </c>
      <c r="AP547" s="302">
        <v>27.937999999999999</v>
      </c>
      <c r="AQ547" s="302">
        <v>27.895</v>
      </c>
      <c r="AR547" s="307">
        <v>31.231000000000002</v>
      </c>
      <c r="AS547" s="119">
        <v>32.14</v>
      </c>
      <c r="AT547" s="305">
        <v>119.20399999999999</v>
      </c>
      <c r="AU547" s="302">
        <v>40.969000000000001</v>
      </c>
      <c r="AV547" s="302">
        <v>41.241</v>
      </c>
      <c r="AW547" s="307">
        <v>41.569000000000003</v>
      </c>
      <c r="AX547" s="119">
        <v>41.198999999999998</v>
      </c>
      <c r="AY547" s="305">
        <v>164.97800000000001</v>
      </c>
      <c r="AZ547" s="302">
        <v>48.344000000000001</v>
      </c>
      <c r="BA547" s="302">
        <v>51.438000000000002</v>
      </c>
      <c r="BB547" s="307">
        <v>47.805999999999997</v>
      </c>
      <c r="BC547" s="119">
        <v>44.250999999999976</v>
      </c>
      <c r="BD547" s="305">
        <v>191.839</v>
      </c>
      <c r="BE547" s="302">
        <v>48.646000000000001</v>
      </c>
      <c r="BF547" s="302">
        <v>46.929000000000002</v>
      </c>
      <c r="BG547" s="307">
        <v>46.164000000000001</v>
      </c>
      <c r="BH547" s="119">
        <v>51.769999999999982</v>
      </c>
      <c r="BI547" s="303">
        <v>193.50899999999999</v>
      </c>
      <c r="BJ547" s="119">
        <v>47.447647317073169</v>
      </c>
      <c r="BK547" s="119">
        <v>48.233855121951223</v>
      </c>
      <c r="BL547" s="119">
        <v>48.900061463414637</v>
      </c>
      <c r="BM547" s="119">
        <v>51.412540476190465</v>
      </c>
      <c r="BN547" s="299">
        <v>195.99410437862949</v>
      </c>
      <c r="BO547" s="119">
        <v>48.871076736585366</v>
      </c>
      <c r="BP547" s="119">
        <v>49.680870775609755</v>
      </c>
      <c r="BQ547" s="119">
        <v>51.345064536585369</v>
      </c>
      <c r="BR547" s="119">
        <v>53.983167499999993</v>
      </c>
      <c r="BS547" s="299">
        <v>203.88017954878046</v>
      </c>
      <c r="BT547" s="299">
        <v>209.9965849352439</v>
      </c>
      <c r="BU547" s="299">
        <v>216.29648248330125</v>
      </c>
      <c r="BV547" s="299">
        <v>222.78537695780028</v>
      </c>
      <c r="BW547" s="122"/>
    </row>
    <row r="548" spans="1:75" s="198" customFormat="1" ht="14.25" x14ac:dyDescent="0.45">
      <c r="A548" s="324" t="s">
        <v>187</v>
      </c>
      <c r="B548" s="277"/>
      <c r="C548" s="325">
        <v>625.68499999999995</v>
      </c>
      <c r="D548" s="325">
        <v>772.75199999999995</v>
      </c>
      <c r="E548" s="325">
        <v>958.08400000000006</v>
      </c>
      <c r="F548" s="325">
        <v>1193.046</v>
      </c>
      <c r="G548" s="326">
        <v>301.33699999999999</v>
      </c>
      <c r="H548" s="326">
        <v>382.09800000000001</v>
      </c>
      <c r="I548" s="326">
        <v>395.83199999999999</v>
      </c>
      <c r="J548" s="326">
        <v>471.69400000000002</v>
      </c>
      <c r="K548" s="325">
        <v>1550.9609999999998</v>
      </c>
      <c r="L548" s="326">
        <v>366.25400000000002</v>
      </c>
      <c r="M548" s="326">
        <v>433.76600000000002</v>
      </c>
      <c r="N548" s="326">
        <v>484.67500000000001</v>
      </c>
      <c r="O548" s="326">
        <v>582.72699999999998</v>
      </c>
      <c r="P548" s="325">
        <v>1867.422</v>
      </c>
      <c r="Q548" s="326">
        <v>422.44499999999999</v>
      </c>
      <c r="R548" s="326">
        <v>506.94200000000001</v>
      </c>
      <c r="S548" s="326">
        <v>532.41099999999994</v>
      </c>
      <c r="T548" s="326">
        <v>647.20800000000008</v>
      </c>
      <c r="U548" s="325">
        <v>2109.0059999999999</v>
      </c>
      <c r="V548" s="326">
        <v>455.45600000000002</v>
      </c>
      <c r="W548" s="326">
        <v>543.38100000000009</v>
      </c>
      <c r="X548" s="326">
        <v>549.32800000000009</v>
      </c>
      <c r="Y548" s="327">
        <v>586.70599999999979</v>
      </c>
      <c r="Z548" s="325">
        <v>2134.8710000000001</v>
      </c>
      <c r="AA548" s="327">
        <v>562.08000000000004</v>
      </c>
      <c r="AB548" s="327">
        <v>615.32600000000002</v>
      </c>
      <c r="AC548" s="326">
        <v>592.47299999999996</v>
      </c>
      <c r="AD548" s="327">
        <v>670.29499999999996</v>
      </c>
      <c r="AE548" s="325">
        <v>2440.174</v>
      </c>
      <c r="AF548" s="327">
        <v>557.40599999999995</v>
      </c>
      <c r="AG548" s="327">
        <v>640.798</v>
      </c>
      <c r="AH548" s="326">
        <v>636.55799999999999</v>
      </c>
      <c r="AI548" s="327">
        <v>670.89100000000019</v>
      </c>
      <c r="AJ548" s="325">
        <v>2505.6530000000002</v>
      </c>
      <c r="AK548" s="327">
        <v>598.42100000000005</v>
      </c>
      <c r="AL548" s="327">
        <v>706.51400000000001</v>
      </c>
      <c r="AM548" s="326">
        <v>677.52600000000007</v>
      </c>
      <c r="AN548" s="327">
        <v>664.97599999999954</v>
      </c>
      <c r="AO548" s="325">
        <v>2647.4369999999999</v>
      </c>
      <c r="AP548" s="327">
        <v>482.89499999999998</v>
      </c>
      <c r="AQ548" s="327">
        <v>709.28199999999993</v>
      </c>
      <c r="AR548" s="326">
        <v>844.01300000000003</v>
      </c>
      <c r="AS548" s="327">
        <v>812.43599999999981</v>
      </c>
      <c r="AT548" s="325">
        <v>2848.6260000000002</v>
      </c>
      <c r="AU548" s="327">
        <v>860.79200000000003</v>
      </c>
      <c r="AV548" s="327">
        <v>988.85900000000004</v>
      </c>
      <c r="AW548" s="326">
        <v>1006.428</v>
      </c>
      <c r="AX548" s="327">
        <v>902.74099999999987</v>
      </c>
      <c r="AY548" s="325">
        <v>3758.82</v>
      </c>
      <c r="AZ548" s="327">
        <v>957.29200000000003</v>
      </c>
      <c r="BA548" s="327">
        <v>991.62</v>
      </c>
      <c r="BB548" s="326">
        <v>869.06600000000003</v>
      </c>
      <c r="BC548" s="327">
        <v>772.49899999999957</v>
      </c>
      <c r="BD548" s="325">
        <v>3590.4769999999999</v>
      </c>
      <c r="BE548" s="327">
        <v>739.16199999999992</v>
      </c>
      <c r="BF548" s="327">
        <v>800.47899999999993</v>
      </c>
      <c r="BG548" s="326">
        <v>751.22500000000002</v>
      </c>
      <c r="BH548" s="327">
        <v>738.26000000000022</v>
      </c>
      <c r="BI548" s="329">
        <v>3029.1260000000002</v>
      </c>
      <c r="BJ548" s="327">
        <v>724.30666937030503</v>
      </c>
      <c r="BK548" s="327">
        <v>843.87017366659359</v>
      </c>
      <c r="BL548" s="327">
        <v>858.05847997245769</v>
      </c>
      <c r="BM548" s="327">
        <v>817.14564223589525</v>
      </c>
      <c r="BN548" s="325">
        <v>3243.3809652452514</v>
      </c>
      <c r="BO548" s="327">
        <v>854.70979240054055</v>
      </c>
      <c r="BP548" s="327">
        <v>970.84911868488791</v>
      </c>
      <c r="BQ548" s="327">
        <v>982.77532821819</v>
      </c>
      <c r="BR548" s="327">
        <v>896.8306576111587</v>
      </c>
      <c r="BS548" s="325">
        <v>3705.1648969147773</v>
      </c>
      <c r="BT548" s="325">
        <v>3918.4563951545861</v>
      </c>
      <c r="BU548" s="325">
        <v>4044.0914538325114</v>
      </c>
      <c r="BV548" s="325">
        <v>4129.9485146933448</v>
      </c>
      <c r="BW548" s="197"/>
    </row>
    <row r="549" spans="1:75" s="162" customFormat="1" ht="14.25" hidden="1" outlineLevel="1" x14ac:dyDescent="0.45">
      <c r="A549" s="469"/>
      <c r="B549" s="470"/>
      <c r="C549" s="471"/>
      <c r="D549" s="471"/>
      <c r="E549" s="471"/>
      <c r="F549" s="471"/>
      <c r="G549" s="472"/>
      <c r="H549" s="472"/>
      <c r="I549" s="472"/>
      <c r="J549" s="472"/>
      <c r="K549" s="471"/>
      <c r="L549" s="472"/>
      <c r="M549" s="472"/>
      <c r="N549" s="472"/>
      <c r="O549" s="472"/>
      <c r="P549" s="471"/>
      <c r="Q549" s="472"/>
      <c r="R549" s="472"/>
      <c r="S549" s="472"/>
      <c r="T549" s="472"/>
      <c r="U549" s="471"/>
      <c r="V549" s="472"/>
      <c r="W549" s="472"/>
      <c r="X549" s="472"/>
      <c r="Y549" s="473"/>
      <c r="Z549" s="471"/>
      <c r="AA549" s="473"/>
      <c r="AB549" s="473"/>
      <c r="AC549" s="472"/>
      <c r="AD549" s="473"/>
      <c r="AE549" s="471"/>
      <c r="AF549" s="473"/>
      <c r="AG549" s="473"/>
      <c r="AH549" s="472"/>
      <c r="AI549" s="473"/>
      <c r="AJ549" s="471"/>
      <c r="AK549" s="473"/>
      <c r="AL549" s="473"/>
      <c r="AM549" s="472"/>
      <c r="AN549" s="473"/>
      <c r="AO549" s="471"/>
      <c r="AP549" s="473"/>
      <c r="AQ549" s="473"/>
      <c r="AR549" s="472"/>
      <c r="AS549" s="473"/>
      <c r="AT549" s="471"/>
      <c r="AU549" s="473"/>
      <c r="AV549" s="473"/>
      <c r="AW549" s="472"/>
      <c r="AX549" s="473"/>
      <c r="AY549" s="471"/>
      <c r="AZ549" s="473"/>
      <c r="BA549" s="473"/>
      <c r="BB549" s="472"/>
      <c r="BC549" s="473"/>
      <c r="BD549" s="471"/>
      <c r="BE549" s="473"/>
      <c r="BF549" s="473"/>
      <c r="BG549" s="472"/>
      <c r="BH549" s="473"/>
      <c r="BI549" s="474"/>
      <c r="BJ549" s="473"/>
      <c r="BK549" s="473"/>
      <c r="BL549" s="473"/>
      <c r="BM549" s="473"/>
      <c r="BN549" s="471"/>
      <c r="BO549" s="473"/>
      <c r="BP549" s="473"/>
      <c r="BQ549" s="473"/>
      <c r="BR549" s="473"/>
      <c r="BS549" s="471"/>
      <c r="BT549" s="471"/>
      <c r="BU549" s="471"/>
      <c r="BV549" s="471"/>
      <c r="BW549" s="161"/>
    </row>
    <row r="550" spans="1:75" s="217" customFormat="1" hidden="1" outlineLevel="1" x14ac:dyDescent="0.5">
      <c r="A550" s="475" t="s">
        <v>673</v>
      </c>
      <c r="B550" s="336"/>
      <c r="C550" s="420">
        <v>1</v>
      </c>
      <c r="D550" s="420">
        <v>1</v>
      </c>
      <c r="E550" s="420">
        <v>1</v>
      </c>
      <c r="F550" s="420">
        <v>1</v>
      </c>
      <c r="G550" s="421">
        <v>1</v>
      </c>
      <c r="H550" s="421">
        <v>1</v>
      </c>
      <c r="I550" s="421">
        <v>1</v>
      </c>
      <c r="J550" s="421">
        <v>1</v>
      </c>
      <c r="K550" s="420">
        <v>1</v>
      </c>
      <c r="L550" s="421">
        <v>1</v>
      </c>
      <c r="M550" s="421">
        <v>1</v>
      </c>
      <c r="N550" s="421">
        <v>1</v>
      </c>
      <c r="O550" s="421">
        <v>1</v>
      </c>
      <c r="P550" s="420">
        <v>1</v>
      </c>
      <c r="Q550" s="421">
        <v>1</v>
      </c>
      <c r="R550" s="421">
        <v>1</v>
      </c>
      <c r="S550" s="421">
        <v>1</v>
      </c>
      <c r="T550" s="421">
        <v>1</v>
      </c>
      <c r="U550" s="420">
        <v>1</v>
      </c>
      <c r="V550" s="421">
        <v>1</v>
      </c>
      <c r="W550" s="421">
        <v>0.96178924180271297</v>
      </c>
      <c r="X550" s="421">
        <v>0.94848068913290418</v>
      </c>
      <c r="Y550" s="422">
        <v>0.95608873950496498</v>
      </c>
      <c r="Z550" s="420">
        <v>0.96495010705564865</v>
      </c>
      <c r="AA550" s="422">
        <v>0.9492029604326786</v>
      </c>
      <c r="AB550" s="422">
        <v>0.94875399381791115</v>
      </c>
      <c r="AC550" s="421">
        <v>0.95054795745966492</v>
      </c>
      <c r="AD550" s="422">
        <v>0.95306842509641276</v>
      </c>
      <c r="AE550" s="420">
        <v>0.95047812164214518</v>
      </c>
      <c r="AF550" s="422">
        <v>0.94366942587629121</v>
      </c>
      <c r="AG550" s="422">
        <v>0.94819896441624352</v>
      </c>
      <c r="AH550" s="421">
        <v>0.94935889581153643</v>
      </c>
      <c r="AI550" s="422">
        <v>0.95028700638404751</v>
      </c>
      <c r="AJ550" s="420">
        <v>0.94804508046405467</v>
      </c>
      <c r="AK550" s="422">
        <v>0.94198900105444161</v>
      </c>
      <c r="AL550" s="422">
        <v>0.95161313151614824</v>
      </c>
      <c r="AM550" s="421">
        <v>0.9525508984157065</v>
      </c>
      <c r="AN550" s="422">
        <v>0.95173961165515752</v>
      </c>
      <c r="AO550" s="420">
        <v>0.94970947372874215</v>
      </c>
      <c r="AP550" s="422">
        <v>0.94214477267314845</v>
      </c>
      <c r="AQ550" s="422">
        <v>0.96067149596352375</v>
      </c>
      <c r="AR550" s="421">
        <v>0.96299701544881422</v>
      </c>
      <c r="AS550" s="422">
        <v>0.96043996080922067</v>
      </c>
      <c r="AT550" s="420">
        <v>0.95815386084378917</v>
      </c>
      <c r="AU550" s="422">
        <v>0.95240545915854236</v>
      </c>
      <c r="AV550" s="422">
        <v>0.95829435743619673</v>
      </c>
      <c r="AW550" s="421">
        <v>0.9586964989050385</v>
      </c>
      <c r="AX550" s="422">
        <v>0.95436232540673349</v>
      </c>
      <c r="AY550" s="420">
        <v>0.9561090980680107</v>
      </c>
      <c r="AZ550" s="422">
        <v>0.94949921236153645</v>
      </c>
      <c r="BA550" s="422">
        <v>0.9481273068312458</v>
      </c>
      <c r="BB550" s="421">
        <v>0.94499151963142036</v>
      </c>
      <c r="BC550" s="422">
        <v>0.94271707795090998</v>
      </c>
      <c r="BD550" s="420">
        <v>0.94657005183433851</v>
      </c>
      <c r="BE550" s="422">
        <v>0.93418763410456707</v>
      </c>
      <c r="BF550" s="422">
        <v>0.94137385240587201</v>
      </c>
      <c r="BG550" s="421">
        <v>0.93854837099404309</v>
      </c>
      <c r="BH550" s="422">
        <v>0.92987565356378521</v>
      </c>
      <c r="BI550" s="442">
        <v>0.93611721664929093</v>
      </c>
      <c r="BJ550" s="422">
        <v>0.93449232304001428</v>
      </c>
      <c r="BK550" s="422">
        <v>0.9428420903746646</v>
      </c>
      <c r="BL550" s="422">
        <v>0.94301080566794904</v>
      </c>
      <c r="BM550" s="422">
        <v>0.93708276980402894</v>
      </c>
      <c r="BN550" s="420">
        <v>0.93957105055532408</v>
      </c>
      <c r="BO550" s="422">
        <v>0.94282143814062802</v>
      </c>
      <c r="BP550" s="422">
        <v>0.94882740292033496</v>
      </c>
      <c r="BQ550" s="422">
        <v>0.94775503305554487</v>
      </c>
      <c r="BR550" s="422">
        <v>0.93980673269601178</v>
      </c>
      <c r="BS550" s="420">
        <v>0.94497406047473143</v>
      </c>
      <c r="BT550" s="420">
        <v>0.94640833946884861</v>
      </c>
      <c r="BU550" s="420">
        <v>0.94651543246423842</v>
      </c>
      <c r="BV550" s="420">
        <v>0.94605613697962954</v>
      </c>
      <c r="BW550" s="216"/>
    </row>
    <row r="551" spans="1:75" s="217" customFormat="1" hidden="1" outlineLevel="1" x14ac:dyDescent="0.5">
      <c r="A551" s="475" t="s">
        <v>674</v>
      </c>
      <c r="B551" s="336"/>
      <c r="C551" s="420">
        <v>0</v>
      </c>
      <c r="D551" s="420">
        <v>0</v>
      </c>
      <c r="E551" s="420">
        <v>0</v>
      </c>
      <c r="F551" s="420">
        <v>0</v>
      </c>
      <c r="G551" s="421">
        <v>0</v>
      </c>
      <c r="H551" s="421">
        <v>0</v>
      </c>
      <c r="I551" s="421">
        <v>0</v>
      </c>
      <c r="J551" s="421">
        <v>0</v>
      </c>
      <c r="K551" s="420">
        <v>0</v>
      </c>
      <c r="L551" s="421">
        <v>0</v>
      </c>
      <c r="M551" s="421">
        <v>0</v>
      </c>
      <c r="N551" s="421">
        <v>0</v>
      </c>
      <c r="O551" s="421">
        <v>0</v>
      </c>
      <c r="P551" s="420">
        <v>0</v>
      </c>
      <c r="Q551" s="421">
        <v>0</v>
      </c>
      <c r="R551" s="421">
        <v>0</v>
      </c>
      <c r="S551" s="421">
        <v>0</v>
      </c>
      <c r="T551" s="421">
        <v>0</v>
      </c>
      <c r="U551" s="420">
        <v>0</v>
      </c>
      <c r="V551" s="421">
        <v>0</v>
      </c>
      <c r="W551" s="421">
        <v>3.8210758197286983E-2</v>
      </c>
      <c r="X551" s="421">
        <v>5.1519310867095783E-2</v>
      </c>
      <c r="Y551" s="422">
        <v>4.3911260495035007E-2</v>
      </c>
      <c r="Z551" s="420">
        <v>3.5049892944351201E-2</v>
      </c>
      <c r="AA551" s="422">
        <v>5.0797039567321373E-2</v>
      </c>
      <c r="AB551" s="422">
        <v>5.1246006182088841E-2</v>
      </c>
      <c r="AC551" s="421">
        <v>4.9452042540335174E-2</v>
      </c>
      <c r="AD551" s="422">
        <v>4.693157490358723E-2</v>
      </c>
      <c r="AE551" s="420">
        <v>4.9521878357854807E-2</v>
      </c>
      <c r="AF551" s="422">
        <v>5.633057412370876E-2</v>
      </c>
      <c r="AG551" s="422">
        <v>5.1801035583756511E-2</v>
      </c>
      <c r="AH551" s="421">
        <v>5.0641104188463577E-2</v>
      </c>
      <c r="AI551" s="422">
        <v>4.9712993615952508E-2</v>
      </c>
      <c r="AJ551" s="420">
        <v>5.1954919535945318E-2</v>
      </c>
      <c r="AK551" s="422">
        <v>5.8010998945558397E-2</v>
      </c>
      <c r="AL551" s="422">
        <v>4.8386868483851701E-2</v>
      </c>
      <c r="AM551" s="421">
        <v>4.7449101584293447E-2</v>
      </c>
      <c r="AN551" s="422">
        <v>4.8260388344842531E-2</v>
      </c>
      <c r="AO551" s="420">
        <v>5.0290526271257824E-2</v>
      </c>
      <c r="AP551" s="422">
        <v>5.785522732685159E-2</v>
      </c>
      <c r="AQ551" s="422">
        <v>3.9328504036476329E-2</v>
      </c>
      <c r="AR551" s="421">
        <v>3.7002984551185822E-2</v>
      </c>
      <c r="AS551" s="422">
        <v>3.9560039190779342E-2</v>
      </c>
      <c r="AT551" s="420">
        <v>4.1846139156210743E-2</v>
      </c>
      <c r="AU551" s="422">
        <v>4.7594540841457637E-2</v>
      </c>
      <c r="AV551" s="422">
        <v>4.1705642563803332E-2</v>
      </c>
      <c r="AW551" s="421">
        <v>4.1303501094961587E-2</v>
      </c>
      <c r="AX551" s="422">
        <v>4.5637674593266508E-2</v>
      </c>
      <c r="AY551" s="420">
        <v>4.3890901931989294E-2</v>
      </c>
      <c r="AZ551" s="422">
        <v>5.0500787638463496E-2</v>
      </c>
      <c r="BA551" s="422">
        <v>5.1872693168754161E-2</v>
      </c>
      <c r="BB551" s="421">
        <v>5.5008480368579596E-2</v>
      </c>
      <c r="BC551" s="422">
        <v>5.7282922049090031E-2</v>
      </c>
      <c r="BD551" s="420">
        <v>5.3429948165661559E-2</v>
      </c>
      <c r="BE551" s="422">
        <v>6.5812365895432948E-2</v>
      </c>
      <c r="BF551" s="422">
        <v>5.8626147594128021E-2</v>
      </c>
      <c r="BG551" s="421">
        <v>6.1451629005956937E-2</v>
      </c>
      <c r="BH551" s="422">
        <v>7.0124346436214832E-2</v>
      </c>
      <c r="BI551" s="442">
        <v>6.3882783350709071E-2</v>
      </c>
      <c r="BJ551" s="422">
        <v>6.5507676959985786E-2</v>
      </c>
      <c r="BK551" s="422">
        <v>5.7157909625335374E-2</v>
      </c>
      <c r="BL551" s="422">
        <v>5.6989194332050949E-2</v>
      </c>
      <c r="BM551" s="422">
        <v>6.2917230195971105E-2</v>
      </c>
      <c r="BN551" s="420">
        <v>6.0428949444675917E-2</v>
      </c>
      <c r="BO551" s="422">
        <v>5.7178561859372069E-2</v>
      </c>
      <c r="BP551" s="422">
        <v>5.1172597079665122E-2</v>
      </c>
      <c r="BQ551" s="422">
        <v>5.2244966944455122E-2</v>
      </c>
      <c r="BR551" s="422">
        <v>6.0193267303988197E-2</v>
      </c>
      <c r="BS551" s="420">
        <v>5.5025939525268561E-2</v>
      </c>
      <c r="BT551" s="420">
        <v>5.3591660531151421E-2</v>
      </c>
      <c r="BU551" s="420">
        <v>5.3484567535761592E-2</v>
      </c>
      <c r="BV551" s="420">
        <v>5.3943863020370471E-2</v>
      </c>
      <c r="BW551" s="216"/>
    </row>
    <row r="552" spans="1:75" s="162" customFormat="1" ht="14.25" hidden="1" outlineLevel="1" x14ac:dyDescent="0.45">
      <c r="A552" s="476" t="s">
        <v>675</v>
      </c>
      <c r="B552" s="477"/>
      <c r="C552" s="478">
        <v>1</v>
      </c>
      <c r="D552" s="478">
        <v>1</v>
      </c>
      <c r="E552" s="478">
        <v>1</v>
      </c>
      <c r="F552" s="478">
        <v>1</v>
      </c>
      <c r="G552" s="479">
        <v>1</v>
      </c>
      <c r="H552" s="479">
        <v>1</v>
      </c>
      <c r="I552" s="479">
        <v>1</v>
      </c>
      <c r="J552" s="479">
        <v>1</v>
      </c>
      <c r="K552" s="478">
        <v>1</v>
      </c>
      <c r="L552" s="479">
        <v>1</v>
      </c>
      <c r="M552" s="479">
        <v>1</v>
      </c>
      <c r="N552" s="479">
        <v>1</v>
      </c>
      <c r="O552" s="479">
        <v>1</v>
      </c>
      <c r="P552" s="478">
        <v>1</v>
      </c>
      <c r="Q552" s="479">
        <v>1</v>
      </c>
      <c r="R552" s="479">
        <v>1</v>
      </c>
      <c r="S552" s="479">
        <v>1</v>
      </c>
      <c r="T552" s="479">
        <v>1</v>
      </c>
      <c r="U552" s="478">
        <v>1</v>
      </c>
      <c r="V552" s="479">
        <v>1</v>
      </c>
      <c r="W552" s="479">
        <v>1</v>
      </c>
      <c r="X552" s="479">
        <v>1</v>
      </c>
      <c r="Y552" s="480">
        <v>1</v>
      </c>
      <c r="Z552" s="478">
        <v>0.99999999999999989</v>
      </c>
      <c r="AA552" s="480">
        <v>1</v>
      </c>
      <c r="AB552" s="480">
        <v>1</v>
      </c>
      <c r="AC552" s="479">
        <v>1</v>
      </c>
      <c r="AD552" s="480">
        <v>1</v>
      </c>
      <c r="AE552" s="478">
        <v>1</v>
      </c>
      <c r="AF552" s="480">
        <v>1</v>
      </c>
      <c r="AG552" s="480">
        <v>1</v>
      </c>
      <c r="AH552" s="479">
        <v>1</v>
      </c>
      <c r="AI552" s="480">
        <v>1</v>
      </c>
      <c r="AJ552" s="478">
        <v>1</v>
      </c>
      <c r="AK552" s="480">
        <v>1</v>
      </c>
      <c r="AL552" s="480">
        <v>0.99999999999999989</v>
      </c>
      <c r="AM552" s="479">
        <v>1</v>
      </c>
      <c r="AN552" s="480">
        <v>1</v>
      </c>
      <c r="AO552" s="478">
        <v>1</v>
      </c>
      <c r="AP552" s="480">
        <v>1</v>
      </c>
      <c r="AQ552" s="480">
        <v>1</v>
      </c>
      <c r="AR552" s="479">
        <v>1</v>
      </c>
      <c r="AS552" s="480">
        <v>1</v>
      </c>
      <c r="AT552" s="478">
        <v>0.99999999999999989</v>
      </c>
      <c r="AU552" s="480">
        <v>1</v>
      </c>
      <c r="AV552" s="480">
        <v>1</v>
      </c>
      <c r="AW552" s="479">
        <v>1</v>
      </c>
      <c r="AX552" s="480">
        <v>1</v>
      </c>
      <c r="AY552" s="478">
        <v>1</v>
      </c>
      <c r="AZ552" s="480">
        <v>1</v>
      </c>
      <c r="BA552" s="480">
        <v>1</v>
      </c>
      <c r="BB552" s="479">
        <v>1</v>
      </c>
      <c r="BC552" s="480">
        <v>1</v>
      </c>
      <c r="BD552" s="478">
        <v>1</v>
      </c>
      <c r="BE552" s="480">
        <v>1</v>
      </c>
      <c r="BF552" s="480">
        <v>1</v>
      </c>
      <c r="BG552" s="479">
        <v>1</v>
      </c>
      <c r="BH552" s="480">
        <v>1</v>
      </c>
      <c r="BI552" s="481">
        <v>1</v>
      </c>
      <c r="BJ552" s="480">
        <v>1</v>
      </c>
      <c r="BK552" s="480">
        <v>1</v>
      </c>
      <c r="BL552" s="480">
        <v>1</v>
      </c>
      <c r="BM552" s="480">
        <v>1</v>
      </c>
      <c r="BN552" s="478">
        <v>1</v>
      </c>
      <c r="BO552" s="480">
        <v>1</v>
      </c>
      <c r="BP552" s="480">
        <v>1</v>
      </c>
      <c r="BQ552" s="480">
        <v>1</v>
      </c>
      <c r="BR552" s="480">
        <v>1</v>
      </c>
      <c r="BS552" s="478">
        <v>1</v>
      </c>
      <c r="BT552" s="478">
        <v>1</v>
      </c>
      <c r="BU552" s="478">
        <v>1</v>
      </c>
      <c r="BV552" s="478">
        <v>1</v>
      </c>
      <c r="BW552" s="161"/>
    </row>
    <row r="553" spans="1:75" s="162" customFormat="1" ht="14.25" collapsed="1" x14ac:dyDescent="0.45">
      <c r="A553" s="469"/>
      <c r="B553" s="470"/>
      <c r="C553" s="471"/>
      <c r="D553" s="471"/>
      <c r="E553" s="471"/>
      <c r="F553" s="471"/>
      <c r="G553" s="472"/>
      <c r="H553" s="472"/>
      <c r="I553" s="472"/>
      <c r="J553" s="472"/>
      <c r="K553" s="471"/>
      <c r="L553" s="472"/>
      <c r="M553" s="472"/>
      <c r="N553" s="472"/>
      <c r="O553" s="472"/>
      <c r="P553" s="471"/>
      <c r="Q553" s="472"/>
      <c r="R553" s="472"/>
      <c r="S553" s="472"/>
      <c r="T553" s="472"/>
      <c r="U553" s="471"/>
      <c r="V553" s="472"/>
      <c r="W553" s="472"/>
      <c r="X553" s="472"/>
      <c r="Y553" s="473"/>
      <c r="Z553" s="471"/>
      <c r="AA553" s="473"/>
      <c r="AB553" s="473"/>
      <c r="AC553" s="472"/>
      <c r="AD553" s="473"/>
      <c r="AE553" s="471"/>
      <c r="AF553" s="473"/>
      <c r="AG553" s="473"/>
      <c r="AH553" s="472"/>
      <c r="AI553" s="473"/>
      <c r="AJ553" s="471"/>
      <c r="AK553" s="473"/>
      <c r="AL553" s="473"/>
      <c r="AM553" s="472"/>
      <c r="AN553" s="473"/>
      <c r="AO553" s="471"/>
      <c r="AP553" s="473"/>
      <c r="AQ553" s="473"/>
      <c r="AR553" s="472"/>
      <c r="AS553" s="473"/>
      <c r="AT553" s="471"/>
      <c r="AU553" s="473"/>
      <c r="AV553" s="473"/>
      <c r="AW553" s="472"/>
      <c r="AX553" s="473"/>
      <c r="AY553" s="471"/>
      <c r="AZ553" s="473"/>
      <c r="BA553" s="473"/>
      <c r="BB553" s="472"/>
      <c r="BC553" s="473"/>
      <c r="BD553" s="471"/>
      <c r="BE553" s="473"/>
      <c r="BF553" s="473"/>
      <c r="BG553" s="472"/>
      <c r="BH553" s="473"/>
      <c r="BI553" s="474"/>
      <c r="BJ553" s="473"/>
      <c r="BK553" s="473"/>
      <c r="BL553" s="473"/>
      <c r="BM553" s="473"/>
      <c r="BN553" s="471"/>
      <c r="BO553" s="473"/>
      <c r="BP553" s="473"/>
      <c r="BQ553" s="473"/>
      <c r="BR553" s="473"/>
      <c r="BS553" s="471"/>
      <c r="BT553" s="471"/>
      <c r="BU553" s="471"/>
      <c r="BV553" s="471"/>
      <c r="BW553" s="161"/>
    </row>
    <row r="554" spans="1:75" s="123" customFormat="1" hidden="1" outlineLevel="1" x14ac:dyDescent="0.5">
      <c r="A554" s="354" t="s">
        <v>676</v>
      </c>
      <c r="B554" s="251"/>
      <c r="C554" s="299">
        <v>213.05599999999993</v>
      </c>
      <c r="D554" s="299">
        <v>271.61999999999995</v>
      </c>
      <c r="E554" s="299">
        <v>356.34900000000005</v>
      </c>
      <c r="F554" s="299">
        <v>436.44900000000013</v>
      </c>
      <c r="G554" s="300">
        <v>101.87699999999998</v>
      </c>
      <c r="H554" s="300">
        <v>139.226</v>
      </c>
      <c r="I554" s="300">
        <v>140.79999999999998</v>
      </c>
      <c r="J554" s="300">
        <v>174.97700000000003</v>
      </c>
      <c r="K554" s="299">
        <v>556.87999999999977</v>
      </c>
      <c r="L554" s="300">
        <v>124.34900000000002</v>
      </c>
      <c r="M554" s="300">
        <v>167.90899999999999</v>
      </c>
      <c r="N554" s="300">
        <v>180.37299999999999</v>
      </c>
      <c r="O554" s="300">
        <v>218.14299999999997</v>
      </c>
      <c r="P554" s="299">
        <v>690.77399999999989</v>
      </c>
      <c r="Q554" s="300">
        <v>143.41800000000001</v>
      </c>
      <c r="R554" s="300">
        <v>194.26300000000003</v>
      </c>
      <c r="S554" s="300">
        <v>190.74999999999994</v>
      </c>
      <c r="T554" s="300">
        <v>224.26099999999997</v>
      </c>
      <c r="U554" s="299">
        <v>752.69199999999978</v>
      </c>
      <c r="V554" s="300">
        <v>127.47500000000002</v>
      </c>
      <c r="W554" s="307">
        <v>173.803</v>
      </c>
      <c r="X554" s="307">
        <v>166.124</v>
      </c>
      <c r="Y554" s="119">
        <v>188.78899999999999</v>
      </c>
      <c r="Z554" s="305">
        <v>656.19100000000003</v>
      </c>
      <c r="AA554" s="302">
        <v>159.62700000000001</v>
      </c>
      <c r="AB554" s="302">
        <v>192.99600000000001</v>
      </c>
      <c r="AC554" s="307">
        <v>203.221</v>
      </c>
      <c r="AD554" s="119">
        <v>246.15499999999997</v>
      </c>
      <c r="AE554" s="305">
        <v>801.99900000000002</v>
      </c>
      <c r="AF554" s="302">
        <v>195.70599999999999</v>
      </c>
      <c r="AG554" s="302">
        <v>255.505</v>
      </c>
      <c r="AH554" s="307">
        <v>236.43199999999999</v>
      </c>
      <c r="AI554" s="119">
        <v>246.16199999999992</v>
      </c>
      <c r="AJ554" s="305">
        <v>933.80499999999995</v>
      </c>
      <c r="AK554" s="302">
        <v>217.94300000000001</v>
      </c>
      <c r="AL554" s="302">
        <v>280.46899999999999</v>
      </c>
      <c r="AM554" s="307">
        <v>270.721</v>
      </c>
      <c r="AN554" s="119">
        <v>269.58899999999994</v>
      </c>
      <c r="AO554" s="305">
        <v>1038.722</v>
      </c>
      <c r="AP554" s="302">
        <v>187.762</v>
      </c>
      <c r="AQ554" s="302">
        <v>320.48099999999999</v>
      </c>
      <c r="AR554" s="307">
        <v>394.68900000000002</v>
      </c>
      <c r="AS554" s="119">
        <v>371.21599999999989</v>
      </c>
      <c r="AT554" s="305">
        <v>1274.1479999999999</v>
      </c>
      <c r="AU554" s="302">
        <v>386.553</v>
      </c>
      <c r="AV554" s="302">
        <v>467.06700000000001</v>
      </c>
      <c r="AW554" s="307">
        <v>484.363</v>
      </c>
      <c r="AX554" s="119">
        <v>434.68499999999995</v>
      </c>
      <c r="AY554" s="305">
        <v>1772.6679999999999</v>
      </c>
      <c r="AZ554" s="302">
        <v>472.822</v>
      </c>
      <c r="BA554" s="302">
        <v>495.07400000000001</v>
      </c>
      <c r="BB554" s="307">
        <v>394.947</v>
      </c>
      <c r="BC554" s="119">
        <v>345.60100000000011</v>
      </c>
      <c r="BD554" s="305">
        <v>1708.444</v>
      </c>
      <c r="BE554" s="302">
        <v>321.584</v>
      </c>
      <c r="BF554" s="302">
        <v>354.42500000000001</v>
      </c>
      <c r="BG554" s="307">
        <v>315.98</v>
      </c>
      <c r="BH554" s="119">
        <v>294.11799999999994</v>
      </c>
      <c r="BI554" s="303">
        <v>1286.107</v>
      </c>
      <c r="BJ554" s="119">
        <v>275.96591049097225</v>
      </c>
      <c r="BK554" s="119">
        <v>358.30716905765848</v>
      </c>
      <c r="BL554" s="119">
        <v>366.67807083223926</v>
      </c>
      <c r="BM554" s="119">
        <v>339.55470608277767</v>
      </c>
      <c r="BN554" s="299">
        <v>1340.5058564636474</v>
      </c>
      <c r="BO554" s="119">
        <v>340.64051071214095</v>
      </c>
      <c r="BP554" s="119">
        <v>419.44510817738092</v>
      </c>
      <c r="BQ554" s="119">
        <v>424.41533195946954</v>
      </c>
      <c r="BR554" s="119">
        <v>377.96434844825393</v>
      </c>
      <c r="BS554" s="299">
        <v>1562.4652992972453</v>
      </c>
      <c r="BT554" s="299">
        <v>1666.04356947869</v>
      </c>
      <c r="BU554" s="299">
        <v>1731.1388547469605</v>
      </c>
      <c r="BV554" s="299">
        <v>1778.7549826373622</v>
      </c>
      <c r="BW554" s="122"/>
    </row>
    <row r="555" spans="1:75" s="123" customFormat="1" hidden="1" outlineLevel="1" x14ac:dyDescent="0.5">
      <c r="A555" s="354" t="s">
        <v>677</v>
      </c>
      <c r="B555" s="251"/>
      <c r="C555" s="299"/>
      <c r="D555" s="299"/>
      <c r="E555" s="299"/>
      <c r="F555" s="299"/>
      <c r="G555" s="300"/>
      <c r="H555" s="300"/>
      <c r="I555" s="300"/>
      <c r="J555" s="300"/>
      <c r="K555" s="299"/>
      <c r="L555" s="300"/>
      <c r="M555" s="300"/>
      <c r="N555" s="300"/>
      <c r="O555" s="300"/>
      <c r="P555" s="299"/>
      <c r="Q555" s="300"/>
      <c r="R555" s="300"/>
      <c r="S555" s="300"/>
      <c r="T555" s="300"/>
      <c r="U555" s="299"/>
      <c r="V555" s="300"/>
      <c r="W555" s="307">
        <v>6.0359999999999996</v>
      </c>
      <c r="X555" s="307">
        <v>9.6950000000000003</v>
      </c>
      <c r="Y555" s="119">
        <v>7.8650000000000002</v>
      </c>
      <c r="Z555" s="305">
        <v>23.596</v>
      </c>
      <c r="AA555" s="302">
        <v>10.629</v>
      </c>
      <c r="AB555" s="302">
        <v>12.817</v>
      </c>
      <c r="AC555" s="307">
        <v>11.103999999999999</v>
      </c>
      <c r="AD555" s="119">
        <v>12.518000000000001</v>
      </c>
      <c r="AE555" s="305">
        <v>47.067999999999998</v>
      </c>
      <c r="AF555" s="302">
        <v>13.627000000000001</v>
      </c>
      <c r="AG555" s="302">
        <v>12.839</v>
      </c>
      <c r="AH555" s="307">
        <v>13.589</v>
      </c>
      <c r="AI555" s="119">
        <v>11.716999999999999</v>
      </c>
      <c r="AJ555" s="305">
        <v>51.771999999999998</v>
      </c>
      <c r="AK555" s="302">
        <v>14.871</v>
      </c>
      <c r="AL555" s="302">
        <v>14.489000000000001</v>
      </c>
      <c r="AM555" s="307">
        <v>13.445</v>
      </c>
      <c r="AN555" s="119">
        <v>13.484000000000002</v>
      </c>
      <c r="AO555" s="305">
        <v>56.289000000000001</v>
      </c>
      <c r="AP555" s="302">
        <v>11.891999999999999</v>
      </c>
      <c r="AQ555" s="302">
        <v>11.938000000000001</v>
      </c>
      <c r="AR555" s="307">
        <v>13.641</v>
      </c>
      <c r="AS555" s="119">
        <v>13.912000000000006</v>
      </c>
      <c r="AT555" s="305">
        <v>51.383000000000003</v>
      </c>
      <c r="AU555" s="302">
        <v>20.423999999999999</v>
      </c>
      <c r="AV555" s="302">
        <v>20.609000000000002</v>
      </c>
      <c r="AW555" s="307">
        <v>20.890999999999998</v>
      </c>
      <c r="AX555" s="119">
        <v>20.818999999999996</v>
      </c>
      <c r="AY555" s="305">
        <v>82.742999999999995</v>
      </c>
      <c r="AZ555" s="302">
        <v>25.760999999999999</v>
      </c>
      <c r="BA555" s="302">
        <v>28.143999999999998</v>
      </c>
      <c r="BB555" s="307">
        <v>25.831</v>
      </c>
      <c r="BC555" s="119">
        <v>23.804999999999993</v>
      </c>
      <c r="BD555" s="305">
        <v>103.541</v>
      </c>
      <c r="BE555" s="302">
        <v>25.960999999999999</v>
      </c>
      <c r="BF555" s="302">
        <v>25.648</v>
      </c>
      <c r="BG555" s="307">
        <v>24.47</v>
      </c>
      <c r="BH555" s="119">
        <v>26.833000000000013</v>
      </c>
      <c r="BI555" s="303">
        <v>102.91200000000001</v>
      </c>
      <c r="BJ555" s="119">
        <v>25.558711163414632</v>
      </c>
      <c r="BK555" s="119">
        <v>26.409373367317073</v>
      </c>
      <c r="BL555" s="119">
        <v>26.898296351219514</v>
      </c>
      <c r="BM555" s="119">
        <v>26.699137064285733</v>
      </c>
      <c r="BN555" s="299">
        <v>105.56551794623695</v>
      </c>
      <c r="BO555" s="119">
        <v>26.569827881999998</v>
      </c>
      <c r="BP555" s="119">
        <v>27.251335439112193</v>
      </c>
      <c r="BQ555" s="119">
        <v>29.270112459512198</v>
      </c>
      <c r="BR555" s="119">
        <v>28.08807708500002</v>
      </c>
      <c r="BS555" s="299">
        <v>111.17935286562441</v>
      </c>
      <c r="BT555" s="299">
        <v>114.7247300365284</v>
      </c>
      <c r="BU555" s="299">
        <v>118.38276842010757</v>
      </c>
      <c r="BV555" s="299">
        <v>122.15703684966859</v>
      </c>
      <c r="BW555" s="122"/>
    </row>
    <row r="556" spans="1:75" s="198" customFormat="1" ht="14.25" hidden="1" outlineLevel="1" x14ac:dyDescent="0.45">
      <c r="A556" s="324" t="s">
        <v>678</v>
      </c>
      <c r="B556" s="277"/>
      <c r="C556" s="325">
        <v>213.05599999999993</v>
      </c>
      <c r="D556" s="325">
        <v>271.61999999999995</v>
      </c>
      <c r="E556" s="325">
        <v>356.34900000000005</v>
      </c>
      <c r="F556" s="325">
        <v>436.44900000000013</v>
      </c>
      <c r="G556" s="326">
        <v>101.87699999999998</v>
      </c>
      <c r="H556" s="326">
        <v>139.226</v>
      </c>
      <c r="I556" s="326">
        <v>140.79999999999998</v>
      </c>
      <c r="J556" s="326">
        <v>174.97700000000003</v>
      </c>
      <c r="K556" s="325">
        <v>556.87999999999977</v>
      </c>
      <c r="L556" s="326">
        <v>124.34900000000002</v>
      </c>
      <c r="M556" s="326">
        <v>167.90899999999999</v>
      </c>
      <c r="N556" s="326">
        <v>180.37299999999999</v>
      </c>
      <c r="O556" s="326">
        <v>218.14299999999997</v>
      </c>
      <c r="P556" s="325">
        <v>690.77399999999989</v>
      </c>
      <c r="Q556" s="326">
        <v>143.41800000000001</v>
      </c>
      <c r="R556" s="326">
        <v>194.26300000000003</v>
      </c>
      <c r="S556" s="326">
        <v>190.74999999999994</v>
      </c>
      <c r="T556" s="326">
        <v>224.26099999999997</v>
      </c>
      <c r="U556" s="325">
        <v>752.69199999999978</v>
      </c>
      <c r="V556" s="326">
        <v>127.47500000000002</v>
      </c>
      <c r="W556" s="326">
        <v>179.839</v>
      </c>
      <c r="X556" s="326">
        <v>175.81899999999999</v>
      </c>
      <c r="Y556" s="327">
        <v>196.654</v>
      </c>
      <c r="Z556" s="325">
        <v>679.78700000000003</v>
      </c>
      <c r="AA556" s="327">
        <v>170.256</v>
      </c>
      <c r="AB556" s="327">
        <v>205.81300000000002</v>
      </c>
      <c r="AC556" s="326">
        <v>214.32499999999999</v>
      </c>
      <c r="AD556" s="327">
        <v>258.673</v>
      </c>
      <c r="AE556" s="325">
        <v>849.06700000000001</v>
      </c>
      <c r="AF556" s="327">
        <v>209.333</v>
      </c>
      <c r="AG556" s="327">
        <v>268.34399999999999</v>
      </c>
      <c r="AH556" s="326">
        <v>250.02099999999999</v>
      </c>
      <c r="AI556" s="327">
        <v>257.87899999999991</v>
      </c>
      <c r="AJ556" s="325">
        <v>985.577</v>
      </c>
      <c r="AK556" s="327">
        <v>232.81400000000002</v>
      </c>
      <c r="AL556" s="327">
        <v>294.95799999999997</v>
      </c>
      <c r="AM556" s="326">
        <v>284.166</v>
      </c>
      <c r="AN556" s="327">
        <v>283.07299999999992</v>
      </c>
      <c r="AO556" s="325">
        <v>1095.011</v>
      </c>
      <c r="AP556" s="327">
        <v>199.654</v>
      </c>
      <c r="AQ556" s="327">
        <v>332.41899999999998</v>
      </c>
      <c r="AR556" s="326">
        <v>408.33000000000004</v>
      </c>
      <c r="AS556" s="327">
        <v>385.12799999999993</v>
      </c>
      <c r="AT556" s="325">
        <v>1325.5309999999999</v>
      </c>
      <c r="AU556" s="327">
        <v>406.97699999999998</v>
      </c>
      <c r="AV556" s="327">
        <v>487.67599999999999</v>
      </c>
      <c r="AW556" s="326">
        <v>505.25400000000002</v>
      </c>
      <c r="AX556" s="327">
        <v>455.50399999999996</v>
      </c>
      <c r="AY556" s="325">
        <v>1855.4109999999998</v>
      </c>
      <c r="AZ556" s="327">
        <v>498.58300000000003</v>
      </c>
      <c r="BA556" s="327">
        <v>523.21799999999996</v>
      </c>
      <c r="BB556" s="326">
        <v>420.77800000000002</v>
      </c>
      <c r="BC556" s="327">
        <v>369.40600000000012</v>
      </c>
      <c r="BD556" s="325">
        <v>1811.9849999999999</v>
      </c>
      <c r="BE556" s="327">
        <v>347.54500000000002</v>
      </c>
      <c r="BF556" s="327">
        <v>380.07300000000004</v>
      </c>
      <c r="BG556" s="326">
        <v>340.45000000000005</v>
      </c>
      <c r="BH556" s="327">
        <v>320.95099999999996</v>
      </c>
      <c r="BI556" s="329">
        <v>1389.019</v>
      </c>
      <c r="BJ556" s="327">
        <v>301.52462165438686</v>
      </c>
      <c r="BK556" s="327">
        <v>384.71654242497556</v>
      </c>
      <c r="BL556" s="327">
        <v>393.57636718345879</v>
      </c>
      <c r="BM556" s="327">
        <v>366.25384314706338</v>
      </c>
      <c r="BN556" s="325">
        <v>1446.0713744098844</v>
      </c>
      <c r="BO556" s="327">
        <v>367.21033859414092</v>
      </c>
      <c r="BP556" s="327">
        <v>446.69644361649313</v>
      </c>
      <c r="BQ556" s="327">
        <v>453.68544441898172</v>
      </c>
      <c r="BR556" s="327">
        <v>406.05242553325394</v>
      </c>
      <c r="BS556" s="325">
        <v>1673.6446521628698</v>
      </c>
      <c r="BT556" s="325">
        <v>1780.7682995152184</v>
      </c>
      <c r="BU556" s="325">
        <v>1849.5216231670681</v>
      </c>
      <c r="BV556" s="325">
        <v>1900.9120194870309</v>
      </c>
      <c r="BW556" s="197"/>
    </row>
    <row r="557" spans="1:75" s="162" customFormat="1" ht="14.25" hidden="1" outlineLevel="1" x14ac:dyDescent="0.45">
      <c r="A557" s="469"/>
      <c r="B557" s="470"/>
      <c r="C557" s="471"/>
      <c r="D557" s="471"/>
      <c r="E557" s="471"/>
      <c r="F557" s="471"/>
      <c r="G557" s="472"/>
      <c r="H557" s="472"/>
      <c r="I557" s="472"/>
      <c r="J557" s="472"/>
      <c r="K557" s="471"/>
      <c r="L557" s="472"/>
      <c r="M557" s="472"/>
      <c r="N557" s="472"/>
      <c r="O557" s="472"/>
      <c r="P557" s="471"/>
      <c r="Q557" s="472"/>
      <c r="R557" s="472"/>
      <c r="S557" s="472"/>
      <c r="T557" s="472"/>
      <c r="U557" s="471"/>
      <c r="V557" s="472"/>
      <c r="W557" s="472"/>
      <c r="X557" s="472"/>
      <c r="Y557" s="473"/>
      <c r="Z557" s="471"/>
      <c r="AA557" s="473"/>
      <c r="AB557" s="473"/>
      <c r="AC557" s="472"/>
      <c r="AD557" s="473"/>
      <c r="AE557" s="471"/>
      <c r="AF557" s="473"/>
      <c r="AG557" s="473"/>
      <c r="AH557" s="472"/>
      <c r="AI557" s="473"/>
      <c r="AJ557" s="471"/>
      <c r="AK557" s="473"/>
      <c r="AL557" s="473"/>
      <c r="AM557" s="472"/>
      <c r="AN557" s="473"/>
      <c r="AO557" s="471"/>
      <c r="AP557" s="473"/>
      <c r="AQ557" s="473"/>
      <c r="AR557" s="472"/>
      <c r="AS557" s="473"/>
      <c r="AT557" s="471"/>
      <c r="AU557" s="473"/>
      <c r="AV557" s="473"/>
      <c r="AW557" s="472"/>
      <c r="AX557" s="473"/>
      <c r="AY557" s="471"/>
      <c r="AZ557" s="473"/>
      <c r="BA557" s="473"/>
      <c r="BB557" s="472"/>
      <c r="BC557" s="473"/>
      <c r="BD557" s="471"/>
      <c r="BE557" s="473"/>
      <c r="BF557" s="473"/>
      <c r="BG557" s="472"/>
      <c r="BH557" s="473"/>
      <c r="BI557" s="474"/>
      <c r="BJ557" s="473"/>
      <c r="BK557" s="473"/>
      <c r="BL557" s="473"/>
      <c r="BM557" s="473"/>
      <c r="BN557" s="471"/>
      <c r="BO557" s="473"/>
      <c r="BP557" s="473"/>
      <c r="BQ557" s="473"/>
      <c r="BR557" s="473"/>
      <c r="BS557" s="471"/>
      <c r="BT557" s="471"/>
      <c r="BU557" s="471"/>
      <c r="BV557" s="471"/>
      <c r="BW557" s="161"/>
    </row>
    <row r="558" spans="1:75" s="123" customFormat="1" hidden="1" outlineLevel="1" x14ac:dyDescent="0.5">
      <c r="A558" s="354" t="s">
        <v>487</v>
      </c>
      <c r="B558" s="251"/>
      <c r="C558" s="299">
        <v>238.88900000000001</v>
      </c>
      <c r="D558" s="299">
        <v>274.83600000000001</v>
      </c>
      <c r="E558" s="299">
        <v>329.50599999999997</v>
      </c>
      <c r="F558" s="299">
        <v>505.48500000000001</v>
      </c>
      <c r="G558" s="300">
        <v>101.366</v>
      </c>
      <c r="H558" s="300">
        <v>167.006</v>
      </c>
      <c r="I558" s="300">
        <v>116.94</v>
      </c>
      <c r="J558" s="300">
        <v>116.717</v>
      </c>
      <c r="K558" s="299">
        <v>502.029</v>
      </c>
      <c r="L558" s="300">
        <v>119.571</v>
      </c>
      <c r="M558" s="300">
        <v>118.974</v>
      </c>
      <c r="N558" s="300">
        <v>143.685</v>
      </c>
      <c r="O558" s="300">
        <v>142.81800000000001</v>
      </c>
      <c r="P558" s="299">
        <v>525.048</v>
      </c>
      <c r="Q558" s="300">
        <v>126.389</v>
      </c>
      <c r="R558" s="300">
        <v>137.84</v>
      </c>
      <c r="S558" s="300">
        <v>145.874</v>
      </c>
      <c r="T558" s="300">
        <v>157.02800000000002</v>
      </c>
      <c r="U558" s="299">
        <v>567.13099999999997</v>
      </c>
      <c r="V558" s="300">
        <v>138.94999999999999</v>
      </c>
      <c r="W558" s="307">
        <v>145.57300000000001</v>
      </c>
      <c r="X558" s="307">
        <v>148.43799999999999</v>
      </c>
      <c r="Y558" s="119">
        <v>157.327</v>
      </c>
      <c r="Z558" s="305">
        <v>590.28800000000001</v>
      </c>
      <c r="AA558" s="302">
        <v>149.56899999999999</v>
      </c>
      <c r="AB558" s="302">
        <v>180.751</v>
      </c>
      <c r="AC558" s="307">
        <v>159.09200000000001</v>
      </c>
      <c r="AD558" s="119">
        <v>176.64299999999992</v>
      </c>
      <c r="AE558" s="305">
        <v>666.05499999999995</v>
      </c>
      <c r="AF558" s="302">
        <v>147.47900000000001</v>
      </c>
      <c r="AG558" s="302">
        <v>173.154</v>
      </c>
      <c r="AH558" s="307">
        <v>194.42599999999999</v>
      </c>
      <c r="AI558" s="119">
        <v>155.70800000000008</v>
      </c>
      <c r="AJ558" s="305">
        <v>670.76700000000005</v>
      </c>
      <c r="AK558" s="302">
        <v>150.404</v>
      </c>
      <c r="AL558" s="302">
        <v>177.40799999999999</v>
      </c>
      <c r="AM558" s="307">
        <v>182.309</v>
      </c>
      <c r="AN558" s="119">
        <v>169.55000000000007</v>
      </c>
      <c r="AO558" s="305">
        <v>679.67100000000005</v>
      </c>
      <c r="AP558" s="302">
        <v>149.27600000000001</v>
      </c>
      <c r="AQ558" s="302">
        <v>185.48599999999999</v>
      </c>
      <c r="AR558" s="307">
        <v>285.67599999999999</v>
      </c>
      <c r="AS558" s="119">
        <v>187.94500000000005</v>
      </c>
      <c r="AT558" s="305">
        <v>808.38300000000004</v>
      </c>
      <c r="AU558" s="302">
        <v>204.40700000000001</v>
      </c>
      <c r="AV558" s="302">
        <v>223.49199999999999</v>
      </c>
      <c r="AW558" s="307">
        <v>214.10300000000001</v>
      </c>
      <c r="AX558" s="119">
        <v>219.79200000000003</v>
      </c>
      <c r="AY558" s="305">
        <v>861.79399999999998</v>
      </c>
      <c r="AZ558" s="302">
        <v>275.51900000000001</v>
      </c>
      <c r="BA558" s="302">
        <v>264.20600000000002</v>
      </c>
      <c r="BB558" s="307">
        <v>231.88399999999999</v>
      </c>
      <c r="BC558" s="119">
        <v>239.28399999999999</v>
      </c>
      <c r="BD558" s="305">
        <v>1010.893</v>
      </c>
      <c r="BE558" s="302">
        <v>229.01499999999999</v>
      </c>
      <c r="BF558" s="302">
        <v>211.08</v>
      </c>
      <c r="BG558" s="307">
        <v>269.70699999999999</v>
      </c>
      <c r="BH558" s="119">
        <v>234.56299999999999</v>
      </c>
      <c r="BI558" s="303">
        <v>944.36500000000001</v>
      </c>
      <c r="BJ558" s="119">
        <v>233.97559612432735</v>
      </c>
      <c r="BK558" s="119">
        <v>219.76330621791283</v>
      </c>
      <c r="BL558" s="119">
        <v>251.87950391734208</v>
      </c>
      <c r="BM558" s="119">
        <v>238.48678979347966</v>
      </c>
      <c r="BN558" s="299">
        <v>944.10519605306195</v>
      </c>
      <c r="BO558" s="119">
        <v>249.68979841863501</v>
      </c>
      <c r="BP558" s="119">
        <v>244.67267810442266</v>
      </c>
      <c r="BQ558" s="119">
        <v>287.0835294797609</v>
      </c>
      <c r="BR558" s="119">
        <v>245.29456406280687</v>
      </c>
      <c r="BS558" s="299">
        <v>1026.7405700656254</v>
      </c>
      <c r="BT558" s="299">
        <v>1049.5810105068665</v>
      </c>
      <c r="BU558" s="299">
        <v>1044.6271988658211</v>
      </c>
      <c r="BV558" s="299">
        <v>1026.9253094976702</v>
      </c>
      <c r="BW558" s="122"/>
    </row>
    <row r="559" spans="1:75" s="123" customFormat="1" hidden="1" outlineLevel="1" x14ac:dyDescent="0.5">
      <c r="A559" s="354" t="s">
        <v>609</v>
      </c>
      <c r="B559" s="251"/>
      <c r="C559" s="299"/>
      <c r="D559" s="299"/>
      <c r="E559" s="299"/>
      <c r="F559" s="299"/>
      <c r="G559" s="300"/>
      <c r="H559" s="300"/>
      <c r="I559" s="300"/>
      <c r="J559" s="300"/>
      <c r="K559" s="299"/>
      <c r="L559" s="300"/>
      <c r="M559" s="300"/>
      <c r="N559" s="300"/>
      <c r="O559" s="300"/>
      <c r="P559" s="299"/>
      <c r="Q559" s="300"/>
      <c r="R559" s="300"/>
      <c r="S559" s="300"/>
      <c r="T559" s="300"/>
      <c r="U559" s="299"/>
      <c r="V559" s="300"/>
      <c r="W559" s="307">
        <v>12.250999999999999</v>
      </c>
      <c r="X559" s="307">
        <v>11.994999999999999</v>
      </c>
      <c r="Y559" s="119">
        <v>12.217000000000002</v>
      </c>
      <c r="Z559" s="305">
        <v>36.463000000000001</v>
      </c>
      <c r="AA559" s="302">
        <v>13.791</v>
      </c>
      <c r="AB559" s="302">
        <v>12.939</v>
      </c>
      <c r="AC559" s="307">
        <v>12.071</v>
      </c>
      <c r="AD559" s="119">
        <v>12.909999999999997</v>
      </c>
      <c r="AE559" s="305">
        <v>51.710999999999999</v>
      </c>
      <c r="AF559" s="302">
        <v>13.707000000000001</v>
      </c>
      <c r="AG559" s="302">
        <v>13.367000000000001</v>
      </c>
      <c r="AH559" s="307">
        <v>13.367000000000001</v>
      </c>
      <c r="AI559" s="119">
        <v>12.632999999999996</v>
      </c>
      <c r="AJ559" s="305">
        <v>53.073999999999998</v>
      </c>
      <c r="AK559" s="302">
        <v>13.776999999999999</v>
      </c>
      <c r="AL559" s="302">
        <v>13.569000000000001</v>
      </c>
      <c r="AM559" s="307">
        <v>12.62</v>
      </c>
      <c r="AN559" s="119">
        <v>12.542999999999999</v>
      </c>
      <c r="AO559" s="305">
        <v>52.509</v>
      </c>
      <c r="AP559" s="302">
        <v>14.925000000000001</v>
      </c>
      <c r="AQ559" s="302">
        <v>10.365</v>
      </c>
      <c r="AR559" s="307">
        <v>11.433</v>
      </c>
      <c r="AS559" s="119">
        <v>13.567</v>
      </c>
      <c r="AT559" s="305">
        <v>50.29</v>
      </c>
      <c r="AU559" s="302">
        <v>14.682</v>
      </c>
      <c r="AV559" s="302">
        <v>15.196</v>
      </c>
      <c r="AW559" s="307">
        <v>18.611999999999998</v>
      </c>
      <c r="AX559" s="119">
        <v>17.946000000000012</v>
      </c>
      <c r="AY559" s="305">
        <v>66.436000000000007</v>
      </c>
      <c r="AZ559" s="302">
        <v>17.776</v>
      </c>
      <c r="BA559" s="302">
        <v>24.597999999999999</v>
      </c>
      <c r="BB559" s="307">
        <v>18.643999999999998</v>
      </c>
      <c r="BC559" s="119">
        <v>17.917000000000009</v>
      </c>
      <c r="BD559" s="305">
        <v>78.935000000000002</v>
      </c>
      <c r="BE559" s="302">
        <v>19.29</v>
      </c>
      <c r="BF559" s="302">
        <v>17.652999999999999</v>
      </c>
      <c r="BG559" s="307">
        <v>19.507000000000001</v>
      </c>
      <c r="BH559" s="119">
        <v>22.132999999999996</v>
      </c>
      <c r="BI559" s="303">
        <v>78.582999999999998</v>
      </c>
      <c r="BJ559" s="119">
        <v>20.47547497317073</v>
      </c>
      <c r="BK559" s="119">
        <v>19.349685890243904</v>
      </c>
      <c r="BL559" s="119">
        <v>20.712046646829272</v>
      </c>
      <c r="BM559" s="119">
        <v>22.237239607142858</v>
      </c>
      <c r="BN559" s="299">
        <v>82.774447117386771</v>
      </c>
      <c r="BO559" s="119">
        <v>21.334094606048779</v>
      </c>
      <c r="BP559" s="119">
        <v>20.923793882463414</v>
      </c>
      <c r="BQ559" s="119">
        <v>21.798994043707321</v>
      </c>
      <c r="BR559" s="119">
        <v>23.619017425000003</v>
      </c>
      <c r="BS559" s="299">
        <v>87.675899957219514</v>
      </c>
      <c r="BT559" s="299">
        <v>90.936166710741844</v>
      </c>
      <c r="BU559" s="299">
        <v>94.313141159514018</v>
      </c>
      <c r="BV559" s="299">
        <v>97.810891525172835</v>
      </c>
      <c r="BW559" s="122"/>
    </row>
    <row r="560" spans="1:75" s="198" customFormat="1" ht="14.25" hidden="1" outlineLevel="1" x14ac:dyDescent="0.45">
      <c r="A560" s="324" t="s">
        <v>679</v>
      </c>
      <c r="B560" s="277"/>
      <c r="C560" s="325">
        <v>238.88900000000001</v>
      </c>
      <c r="D560" s="325">
        <v>274.83600000000001</v>
      </c>
      <c r="E560" s="325">
        <v>329.50599999999997</v>
      </c>
      <c r="F560" s="325">
        <v>505.48500000000001</v>
      </c>
      <c r="G560" s="326">
        <v>101.366</v>
      </c>
      <c r="H560" s="326">
        <v>167.006</v>
      </c>
      <c r="I560" s="326">
        <v>116.94</v>
      </c>
      <c r="J560" s="326">
        <v>116.717</v>
      </c>
      <c r="K560" s="325">
        <v>502.029</v>
      </c>
      <c r="L560" s="326">
        <v>119.571</v>
      </c>
      <c r="M560" s="326">
        <v>118.974</v>
      </c>
      <c r="N560" s="326">
        <v>143.685</v>
      </c>
      <c r="O560" s="326">
        <v>142.81800000000001</v>
      </c>
      <c r="P560" s="325">
        <v>525.048</v>
      </c>
      <c r="Q560" s="326">
        <v>126.389</v>
      </c>
      <c r="R560" s="326">
        <v>137.84</v>
      </c>
      <c r="S560" s="326">
        <v>145.874</v>
      </c>
      <c r="T560" s="326">
        <v>157.02800000000002</v>
      </c>
      <c r="U560" s="325">
        <v>567.13099999999997</v>
      </c>
      <c r="V560" s="326">
        <v>138.94999999999999</v>
      </c>
      <c r="W560" s="326">
        <v>157.82400000000001</v>
      </c>
      <c r="X560" s="326">
        <v>160.43299999999999</v>
      </c>
      <c r="Y560" s="327">
        <v>169.54400000000001</v>
      </c>
      <c r="Z560" s="325">
        <v>626.75099999999998</v>
      </c>
      <c r="AA560" s="327">
        <v>163.35999999999999</v>
      </c>
      <c r="AB560" s="327">
        <v>193.69</v>
      </c>
      <c r="AC560" s="326">
        <v>171.16300000000001</v>
      </c>
      <c r="AD560" s="327">
        <v>189.55299999999991</v>
      </c>
      <c r="AE560" s="325">
        <v>717.76599999999996</v>
      </c>
      <c r="AF560" s="327">
        <v>161.18600000000001</v>
      </c>
      <c r="AG560" s="327">
        <v>186.52099999999999</v>
      </c>
      <c r="AH560" s="326">
        <v>207.79299999999998</v>
      </c>
      <c r="AI560" s="327">
        <v>168.34100000000007</v>
      </c>
      <c r="AJ560" s="325">
        <v>723.84100000000001</v>
      </c>
      <c r="AK560" s="327">
        <v>164.18099999999998</v>
      </c>
      <c r="AL560" s="327">
        <v>190.97699999999998</v>
      </c>
      <c r="AM560" s="326">
        <v>194.929</v>
      </c>
      <c r="AN560" s="327">
        <v>182.09300000000007</v>
      </c>
      <c r="AO560" s="325">
        <v>732.18000000000006</v>
      </c>
      <c r="AP560" s="327">
        <v>164.20100000000002</v>
      </c>
      <c r="AQ560" s="327">
        <v>195.851</v>
      </c>
      <c r="AR560" s="326">
        <v>297.10899999999998</v>
      </c>
      <c r="AS560" s="327">
        <v>201.51200000000006</v>
      </c>
      <c r="AT560" s="325">
        <v>858.673</v>
      </c>
      <c r="AU560" s="327">
        <v>219.089</v>
      </c>
      <c r="AV560" s="327">
        <v>238.68799999999999</v>
      </c>
      <c r="AW560" s="326">
        <v>232.715</v>
      </c>
      <c r="AX560" s="327">
        <v>237.73800000000006</v>
      </c>
      <c r="AY560" s="325">
        <v>928.23</v>
      </c>
      <c r="AZ560" s="327">
        <v>293.29500000000002</v>
      </c>
      <c r="BA560" s="327">
        <v>288.80400000000003</v>
      </c>
      <c r="BB560" s="326">
        <v>250.52799999999999</v>
      </c>
      <c r="BC560" s="327">
        <v>257.20100000000002</v>
      </c>
      <c r="BD560" s="325">
        <v>1089.828</v>
      </c>
      <c r="BE560" s="327">
        <v>248.30499999999998</v>
      </c>
      <c r="BF560" s="327">
        <v>228.733</v>
      </c>
      <c r="BG560" s="326">
        <v>289.214</v>
      </c>
      <c r="BH560" s="327">
        <v>256.69599999999997</v>
      </c>
      <c r="BI560" s="329">
        <v>1022.948</v>
      </c>
      <c r="BJ560" s="327">
        <v>254.45107109749807</v>
      </c>
      <c r="BK560" s="327">
        <v>239.11299210815673</v>
      </c>
      <c r="BL560" s="327">
        <v>272.59155056417137</v>
      </c>
      <c r="BM560" s="327">
        <v>260.7240294006225</v>
      </c>
      <c r="BN560" s="325">
        <v>1026.8796431704486</v>
      </c>
      <c r="BO560" s="327">
        <v>271.02389302468379</v>
      </c>
      <c r="BP560" s="327">
        <v>265.59647198688606</v>
      </c>
      <c r="BQ560" s="327">
        <v>308.88252352346819</v>
      </c>
      <c r="BR560" s="327">
        <v>268.91358148780688</v>
      </c>
      <c r="BS560" s="325">
        <v>1114.416470022845</v>
      </c>
      <c r="BT560" s="325">
        <v>1140.5171772176084</v>
      </c>
      <c r="BU560" s="325">
        <v>1138.9403400253352</v>
      </c>
      <c r="BV560" s="325">
        <v>1124.736201022843</v>
      </c>
      <c r="BW560" s="197"/>
    </row>
    <row r="561" spans="1:75" s="162" customFormat="1" ht="14.25" hidden="1" outlineLevel="1" x14ac:dyDescent="0.45">
      <c r="A561" s="469"/>
      <c r="B561" s="470"/>
      <c r="C561" s="471"/>
      <c r="D561" s="471"/>
      <c r="E561" s="471"/>
      <c r="F561" s="471"/>
      <c r="G561" s="472"/>
      <c r="H561" s="472"/>
      <c r="I561" s="472"/>
      <c r="J561" s="472"/>
      <c r="K561" s="471"/>
      <c r="L561" s="472"/>
      <c r="M561" s="472"/>
      <c r="N561" s="472"/>
      <c r="O561" s="472"/>
      <c r="P561" s="471"/>
      <c r="Q561" s="472"/>
      <c r="R561" s="472"/>
      <c r="S561" s="472"/>
      <c r="T561" s="472"/>
      <c r="U561" s="471"/>
      <c r="V561" s="472"/>
      <c r="W561" s="472"/>
      <c r="X561" s="472"/>
      <c r="Y561" s="473"/>
      <c r="Z561" s="471"/>
      <c r="AA561" s="473"/>
      <c r="AB561" s="473"/>
      <c r="AC561" s="472"/>
      <c r="AD561" s="473"/>
      <c r="AE561" s="471"/>
      <c r="AF561" s="473"/>
      <c r="AG561" s="473"/>
      <c r="AH561" s="472"/>
      <c r="AI561" s="473"/>
      <c r="AJ561" s="471"/>
      <c r="AK561" s="473"/>
      <c r="AL561" s="473"/>
      <c r="AM561" s="472"/>
      <c r="AN561" s="473"/>
      <c r="AO561" s="471"/>
      <c r="AP561" s="473"/>
      <c r="AQ561" s="473"/>
      <c r="AR561" s="472"/>
      <c r="AS561" s="473"/>
      <c r="AT561" s="471"/>
      <c r="AU561" s="473"/>
      <c r="AV561" s="473"/>
      <c r="AW561" s="472"/>
      <c r="AX561" s="473"/>
      <c r="AY561" s="471"/>
      <c r="AZ561" s="473"/>
      <c r="BA561" s="473"/>
      <c r="BB561" s="472"/>
      <c r="BC561" s="473"/>
      <c r="BD561" s="471"/>
      <c r="BE561" s="473"/>
      <c r="BF561" s="473"/>
      <c r="BG561" s="472"/>
      <c r="BH561" s="473"/>
      <c r="BI561" s="474"/>
      <c r="BJ561" s="473"/>
      <c r="BK561" s="473"/>
      <c r="BL561" s="473"/>
      <c r="BM561" s="473"/>
      <c r="BN561" s="471"/>
      <c r="BO561" s="473"/>
      <c r="BP561" s="473"/>
      <c r="BQ561" s="473"/>
      <c r="BR561" s="473"/>
      <c r="BS561" s="471"/>
      <c r="BT561" s="471"/>
      <c r="BU561" s="471"/>
      <c r="BV561" s="471"/>
      <c r="BW561" s="161"/>
    </row>
    <row r="562" spans="1:75" s="123" customFormat="1" collapsed="1" x14ac:dyDescent="0.5">
      <c r="A562" s="354" t="s">
        <v>680</v>
      </c>
      <c r="B562" s="251"/>
      <c r="C562" s="299">
        <v>-25.833000000000084</v>
      </c>
      <c r="D562" s="299">
        <v>-3.216000000000065</v>
      </c>
      <c r="E562" s="299">
        <v>26.843000000000075</v>
      </c>
      <c r="F562" s="299">
        <v>-69.035999999999888</v>
      </c>
      <c r="G562" s="300">
        <v>0.51099999999998147</v>
      </c>
      <c r="H562" s="300">
        <v>-27.78</v>
      </c>
      <c r="I562" s="300">
        <v>23.859999999999985</v>
      </c>
      <c r="J562" s="300">
        <v>58.260000000000034</v>
      </c>
      <c r="K562" s="299">
        <v>54.850999999999772</v>
      </c>
      <c r="L562" s="300">
        <v>4.77800000000002</v>
      </c>
      <c r="M562" s="300">
        <v>48.934999999999988</v>
      </c>
      <c r="N562" s="300">
        <v>36.687999999999988</v>
      </c>
      <c r="O562" s="300">
        <v>75.32499999999996</v>
      </c>
      <c r="P562" s="299">
        <v>165.72599999999989</v>
      </c>
      <c r="Q562" s="300">
        <v>17.029000000000011</v>
      </c>
      <c r="R562" s="300">
        <v>56.42300000000003</v>
      </c>
      <c r="S562" s="300">
        <v>44.875999999999948</v>
      </c>
      <c r="T562" s="300">
        <v>67.232999999999947</v>
      </c>
      <c r="U562" s="299">
        <v>185.56099999999981</v>
      </c>
      <c r="V562" s="300">
        <v>-11.474999999999966</v>
      </c>
      <c r="W562" s="300">
        <v>28.22999999999999</v>
      </c>
      <c r="X562" s="300">
        <v>17.686000000000007</v>
      </c>
      <c r="Y562" s="119">
        <v>31.461999999999989</v>
      </c>
      <c r="Z562" s="299">
        <v>65.90300000000002</v>
      </c>
      <c r="AA562" s="119">
        <v>10.058000000000021</v>
      </c>
      <c r="AB562" s="119">
        <v>12.245000000000005</v>
      </c>
      <c r="AC562" s="300">
        <v>44.128999999999991</v>
      </c>
      <c r="AD562" s="119">
        <v>69.512000000000057</v>
      </c>
      <c r="AE562" s="299">
        <v>135.94400000000007</v>
      </c>
      <c r="AF562" s="119">
        <v>48.226999999999975</v>
      </c>
      <c r="AG562" s="119">
        <v>82.350999999999999</v>
      </c>
      <c r="AH562" s="300">
        <v>42.006</v>
      </c>
      <c r="AI562" s="119">
        <v>90.453999999999837</v>
      </c>
      <c r="AJ562" s="299">
        <v>263.0379999999999</v>
      </c>
      <c r="AK562" s="119">
        <v>67.539000000000016</v>
      </c>
      <c r="AL562" s="119">
        <v>103.06100000000001</v>
      </c>
      <c r="AM562" s="300">
        <v>88.412000000000006</v>
      </c>
      <c r="AN562" s="119">
        <v>100.03899999999987</v>
      </c>
      <c r="AO562" s="299">
        <v>359.05099999999993</v>
      </c>
      <c r="AP562" s="119">
        <v>38.48599999999999</v>
      </c>
      <c r="AQ562" s="119">
        <v>134.995</v>
      </c>
      <c r="AR562" s="300">
        <v>109.01300000000003</v>
      </c>
      <c r="AS562" s="119">
        <v>183.27099999999984</v>
      </c>
      <c r="AT562" s="299">
        <v>465.76499999999987</v>
      </c>
      <c r="AU562" s="119">
        <v>182.14599999999999</v>
      </c>
      <c r="AV562" s="119">
        <v>243.57500000000002</v>
      </c>
      <c r="AW562" s="300">
        <v>270.26</v>
      </c>
      <c r="AX562" s="119">
        <v>214.89299999999992</v>
      </c>
      <c r="AY562" s="299">
        <v>910.87399999999991</v>
      </c>
      <c r="AZ562" s="119">
        <v>197.303</v>
      </c>
      <c r="BA562" s="119">
        <v>230.86799999999999</v>
      </c>
      <c r="BB562" s="300">
        <v>163.06300000000002</v>
      </c>
      <c r="BC562" s="119">
        <v>106.31700000000012</v>
      </c>
      <c r="BD562" s="299">
        <v>697.55099999999993</v>
      </c>
      <c r="BE562" s="119">
        <v>92.569000000000017</v>
      </c>
      <c r="BF562" s="119">
        <v>143.345</v>
      </c>
      <c r="BG562" s="300">
        <v>46.273000000000025</v>
      </c>
      <c r="BH562" s="119">
        <v>59.55499999999995</v>
      </c>
      <c r="BI562" s="304">
        <v>341.74199999999996</v>
      </c>
      <c r="BJ562" s="119">
        <v>41.990314366644895</v>
      </c>
      <c r="BK562" s="119">
        <v>138.54386283974566</v>
      </c>
      <c r="BL562" s="119">
        <v>114.79856691489718</v>
      </c>
      <c r="BM562" s="119">
        <v>101.06791628929801</v>
      </c>
      <c r="BN562" s="299">
        <v>396.40066041058577</v>
      </c>
      <c r="BO562" s="119">
        <v>90.950712293505944</v>
      </c>
      <c r="BP562" s="119">
        <v>174.77243007295826</v>
      </c>
      <c r="BQ562" s="119">
        <v>137.33180247970864</v>
      </c>
      <c r="BR562" s="119">
        <v>132.66978438544706</v>
      </c>
      <c r="BS562" s="299">
        <v>535.7247292316199</v>
      </c>
      <c r="BT562" s="299">
        <v>616.46255897182346</v>
      </c>
      <c r="BU562" s="299">
        <v>686.5116558811394</v>
      </c>
      <c r="BV562" s="299">
        <v>751.82967313969198</v>
      </c>
      <c r="BW562" s="122"/>
    </row>
    <row r="563" spans="1:75" s="123" customFormat="1" x14ac:dyDescent="0.5">
      <c r="A563" s="354" t="s">
        <v>681</v>
      </c>
      <c r="B563" s="251"/>
      <c r="C563" s="299"/>
      <c r="D563" s="299"/>
      <c r="E563" s="299"/>
      <c r="F563" s="299"/>
      <c r="G563" s="300"/>
      <c r="H563" s="300"/>
      <c r="I563" s="300"/>
      <c r="J563" s="300"/>
      <c r="K563" s="299"/>
      <c r="L563" s="300"/>
      <c r="M563" s="300"/>
      <c r="N563" s="300"/>
      <c r="O563" s="300"/>
      <c r="P563" s="299"/>
      <c r="Q563" s="300"/>
      <c r="R563" s="300"/>
      <c r="S563" s="300"/>
      <c r="T563" s="300"/>
      <c r="U563" s="299"/>
      <c r="V563" s="300"/>
      <c r="W563" s="300">
        <v>-6.2149999999999999</v>
      </c>
      <c r="X563" s="300">
        <v>-2.2999999999999989</v>
      </c>
      <c r="Y563" s="119">
        <v>-4.3520000000000021</v>
      </c>
      <c r="Z563" s="299">
        <v>-12.867000000000001</v>
      </c>
      <c r="AA563" s="119">
        <v>-3.1620000000000008</v>
      </c>
      <c r="AB563" s="119">
        <v>-0.12199999999999989</v>
      </c>
      <c r="AC563" s="300">
        <v>-0.96700000000000053</v>
      </c>
      <c r="AD563" s="119">
        <v>-0.39199999999999591</v>
      </c>
      <c r="AE563" s="299">
        <v>-4.6430000000000007</v>
      </c>
      <c r="AF563" s="119">
        <v>-8.0000000000000071E-2</v>
      </c>
      <c r="AG563" s="119">
        <v>-0.52800000000000047</v>
      </c>
      <c r="AH563" s="300">
        <v>0.22199999999999953</v>
      </c>
      <c r="AI563" s="119">
        <v>-0.91599999999999682</v>
      </c>
      <c r="AJ563" s="299">
        <v>-1.3019999999999996</v>
      </c>
      <c r="AK563" s="119">
        <v>1.0940000000000012</v>
      </c>
      <c r="AL563" s="119">
        <v>0.91999999999999993</v>
      </c>
      <c r="AM563" s="300">
        <v>0.82500000000000107</v>
      </c>
      <c r="AN563" s="119">
        <v>0.9410000000000025</v>
      </c>
      <c r="AO563" s="299">
        <v>3.7800000000000011</v>
      </c>
      <c r="AP563" s="119">
        <v>-3.0330000000000013</v>
      </c>
      <c r="AQ563" s="119">
        <v>1.5730000000000004</v>
      </c>
      <c r="AR563" s="300">
        <v>2.2080000000000002</v>
      </c>
      <c r="AS563" s="119">
        <v>0.34500000000000597</v>
      </c>
      <c r="AT563" s="299">
        <v>1.0930000000000035</v>
      </c>
      <c r="AU563" s="119">
        <v>5.7419999999999991</v>
      </c>
      <c r="AV563" s="119">
        <v>5.413000000000002</v>
      </c>
      <c r="AW563" s="300">
        <v>2.2789999999999999</v>
      </c>
      <c r="AX563" s="119">
        <v>2.8729999999999833</v>
      </c>
      <c r="AY563" s="299">
        <v>16.306999999999988</v>
      </c>
      <c r="AZ563" s="119">
        <v>7.9849999999999994</v>
      </c>
      <c r="BA563" s="119">
        <v>3.5459999999999994</v>
      </c>
      <c r="BB563" s="300">
        <v>7.1870000000000012</v>
      </c>
      <c r="BC563" s="119">
        <v>5.8879999999999839</v>
      </c>
      <c r="BD563" s="299">
        <v>24.605999999999995</v>
      </c>
      <c r="BE563" s="119">
        <v>6.6709999999999994</v>
      </c>
      <c r="BF563" s="119">
        <v>7.995000000000001</v>
      </c>
      <c r="BG563" s="300">
        <v>4.9629999999999974</v>
      </c>
      <c r="BH563" s="119">
        <v>4.7000000000000171</v>
      </c>
      <c r="BI563" s="304">
        <v>24.329000000000008</v>
      </c>
      <c r="BJ563" s="119">
        <v>5.0832361902439018</v>
      </c>
      <c r="BK563" s="119">
        <v>7.0596874770731688</v>
      </c>
      <c r="BL563" s="119">
        <v>6.1862497043902422</v>
      </c>
      <c r="BM563" s="119">
        <v>4.4618974571428751</v>
      </c>
      <c r="BN563" s="299">
        <v>22.791070828850188</v>
      </c>
      <c r="BO563" s="119">
        <v>5.235733275951219</v>
      </c>
      <c r="BP563" s="119">
        <v>6.3275415566487787</v>
      </c>
      <c r="BQ563" s="119">
        <v>7.4711184158048773</v>
      </c>
      <c r="BR563" s="119">
        <v>4.469059660000017</v>
      </c>
      <c r="BS563" s="299">
        <v>23.503452908404892</v>
      </c>
      <c r="BT563" s="299">
        <v>23.788563325786555</v>
      </c>
      <c r="BU563" s="299">
        <v>24.069627260593549</v>
      </c>
      <c r="BV563" s="299">
        <v>24.346145324495751</v>
      </c>
      <c r="BW563" s="122"/>
    </row>
    <row r="564" spans="1:75" s="198" customFormat="1" ht="14.25" x14ac:dyDescent="0.45">
      <c r="A564" s="324" t="s">
        <v>682</v>
      </c>
      <c r="B564" s="277"/>
      <c r="C564" s="325">
        <v>-25.833000000000084</v>
      </c>
      <c r="D564" s="325">
        <v>-3.216000000000065</v>
      </c>
      <c r="E564" s="325">
        <v>26.843000000000075</v>
      </c>
      <c r="F564" s="325">
        <v>-69.035999999999888</v>
      </c>
      <c r="G564" s="326">
        <v>0.51099999999998147</v>
      </c>
      <c r="H564" s="326">
        <v>-27.78</v>
      </c>
      <c r="I564" s="326">
        <v>23.859999999999985</v>
      </c>
      <c r="J564" s="326">
        <v>58.260000000000034</v>
      </c>
      <c r="K564" s="325">
        <v>54.850999999999772</v>
      </c>
      <c r="L564" s="326">
        <v>4.77800000000002</v>
      </c>
      <c r="M564" s="326">
        <v>48.934999999999988</v>
      </c>
      <c r="N564" s="326">
        <v>36.687999999999988</v>
      </c>
      <c r="O564" s="326">
        <v>75.32499999999996</v>
      </c>
      <c r="P564" s="325">
        <v>165.72599999999989</v>
      </c>
      <c r="Q564" s="326">
        <v>17.029000000000011</v>
      </c>
      <c r="R564" s="326">
        <v>56.42300000000003</v>
      </c>
      <c r="S564" s="326">
        <v>44.875999999999948</v>
      </c>
      <c r="T564" s="326">
        <v>67.232999999999947</v>
      </c>
      <c r="U564" s="325">
        <v>185.56099999999981</v>
      </c>
      <c r="V564" s="326">
        <v>-11.474999999999966</v>
      </c>
      <c r="W564" s="326">
        <v>22.01499999999999</v>
      </c>
      <c r="X564" s="326">
        <v>15.386000000000008</v>
      </c>
      <c r="Y564" s="327">
        <v>27.109999999999985</v>
      </c>
      <c r="Z564" s="325">
        <v>53.036000000000016</v>
      </c>
      <c r="AA564" s="327">
        <v>6.8960000000000203</v>
      </c>
      <c r="AB564" s="327">
        <v>12.123000000000005</v>
      </c>
      <c r="AC564" s="326">
        <v>43.161999999999992</v>
      </c>
      <c r="AD564" s="327">
        <v>69.120000000000061</v>
      </c>
      <c r="AE564" s="325">
        <v>131.30100000000007</v>
      </c>
      <c r="AF564" s="327">
        <v>48.146999999999977</v>
      </c>
      <c r="AG564" s="327">
        <v>81.822999999999993</v>
      </c>
      <c r="AH564" s="326">
        <v>42.228000000000002</v>
      </c>
      <c r="AI564" s="327">
        <v>89.53799999999984</v>
      </c>
      <c r="AJ564" s="325">
        <v>261.73599999999988</v>
      </c>
      <c r="AK564" s="327">
        <v>68.63300000000001</v>
      </c>
      <c r="AL564" s="327">
        <v>103.98100000000001</v>
      </c>
      <c r="AM564" s="326">
        <v>89.237000000000009</v>
      </c>
      <c r="AN564" s="327">
        <v>100.97999999999988</v>
      </c>
      <c r="AO564" s="325">
        <v>362.8309999999999</v>
      </c>
      <c r="AP564" s="327">
        <v>35.452999999999989</v>
      </c>
      <c r="AQ564" s="327">
        <v>136.56800000000001</v>
      </c>
      <c r="AR564" s="326">
        <v>111.22100000000003</v>
      </c>
      <c r="AS564" s="327">
        <v>183.61599999999984</v>
      </c>
      <c r="AT564" s="325">
        <v>466.85799999999989</v>
      </c>
      <c r="AU564" s="327">
        <v>187.88799999999998</v>
      </c>
      <c r="AV564" s="327">
        <v>248.98800000000003</v>
      </c>
      <c r="AW564" s="326">
        <v>272.53899999999999</v>
      </c>
      <c r="AX564" s="327">
        <v>217.76599999999991</v>
      </c>
      <c r="AY564" s="325">
        <v>927.18099999999993</v>
      </c>
      <c r="AZ564" s="327">
        <v>205.28800000000001</v>
      </c>
      <c r="BA564" s="327">
        <v>234.41399999999999</v>
      </c>
      <c r="BB564" s="326">
        <v>170.25000000000003</v>
      </c>
      <c r="BC564" s="327">
        <v>112.2050000000001</v>
      </c>
      <c r="BD564" s="325">
        <v>722.15699999999993</v>
      </c>
      <c r="BE564" s="327">
        <v>99.240000000000009</v>
      </c>
      <c r="BF564" s="327">
        <v>151.34</v>
      </c>
      <c r="BG564" s="326">
        <v>51.236000000000018</v>
      </c>
      <c r="BH564" s="327">
        <v>64.254999999999967</v>
      </c>
      <c r="BI564" s="329">
        <v>366.07099999999997</v>
      </c>
      <c r="BJ564" s="327">
        <v>47.073550556888797</v>
      </c>
      <c r="BK564" s="327">
        <v>145.60355031681883</v>
      </c>
      <c r="BL564" s="327">
        <v>120.98481661928741</v>
      </c>
      <c r="BM564" s="327">
        <v>105.52981374644088</v>
      </c>
      <c r="BN564" s="325">
        <v>419.19173123943597</v>
      </c>
      <c r="BO564" s="327">
        <v>96.186445569457163</v>
      </c>
      <c r="BP564" s="327">
        <v>181.09997162960704</v>
      </c>
      <c r="BQ564" s="327">
        <v>144.80292089551352</v>
      </c>
      <c r="BR564" s="327">
        <v>137.13884404544709</v>
      </c>
      <c r="BS564" s="325">
        <v>559.22818214002484</v>
      </c>
      <c r="BT564" s="325">
        <v>640.25112229760998</v>
      </c>
      <c r="BU564" s="325">
        <v>710.58128314173291</v>
      </c>
      <c r="BV564" s="325">
        <v>776.17581846418773</v>
      </c>
      <c r="BW564" s="197"/>
    </row>
    <row r="565" spans="1:75" s="162" customFormat="1" ht="14.25" hidden="1" outlineLevel="1" x14ac:dyDescent="0.45">
      <c r="A565" s="469"/>
      <c r="B565" s="470"/>
      <c r="C565" s="471"/>
      <c r="D565" s="471"/>
      <c r="E565" s="471"/>
      <c r="F565" s="471"/>
      <c r="G565" s="472"/>
      <c r="H565" s="472"/>
      <c r="I565" s="472"/>
      <c r="J565" s="472"/>
      <c r="K565" s="471"/>
      <c r="L565" s="472"/>
      <c r="M565" s="472"/>
      <c r="N565" s="472"/>
      <c r="O565" s="472"/>
      <c r="P565" s="471"/>
      <c r="Q565" s="472"/>
      <c r="R565" s="472"/>
      <c r="S565" s="472"/>
      <c r="T565" s="472"/>
      <c r="U565" s="471"/>
      <c r="V565" s="472"/>
      <c r="W565" s="472"/>
      <c r="X565" s="472"/>
      <c r="Y565" s="473"/>
      <c r="Z565" s="471"/>
      <c r="AA565" s="473"/>
      <c r="AB565" s="473"/>
      <c r="AC565" s="472"/>
      <c r="AD565" s="473"/>
      <c r="AE565" s="471"/>
      <c r="AF565" s="473"/>
      <c r="AG565" s="473"/>
      <c r="AH565" s="472"/>
      <c r="AI565" s="473"/>
      <c r="AJ565" s="471"/>
      <c r="AK565" s="473"/>
      <c r="AL565" s="473"/>
      <c r="AM565" s="472"/>
      <c r="AN565" s="473"/>
      <c r="AO565" s="471"/>
      <c r="AP565" s="473"/>
      <c r="AQ565" s="473"/>
      <c r="AR565" s="472"/>
      <c r="AS565" s="473"/>
      <c r="AT565" s="471"/>
      <c r="AU565" s="473"/>
      <c r="AV565" s="473"/>
      <c r="AW565" s="472"/>
      <c r="AX565" s="473"/>
      <c r="AY565" s="471"/>
      <c r="AZ565" s="473"/>
      <c r="BA565" s="473"/>
      <c r="BB565" s="472"/>
      <c r="BC565" s="473"/>
      <c r="BD565" s="471"/>
      <c r="BE565" s="473"/>
      <c r="BF565" s="473"/>
      <c r="BG565" s="472"/>
      <c r="BH565" s="473"/>
      <c r="BI565" s="474"/>
      <c r="BJ565" s="473"/>
      <c r="BK565" s="473"/>
      <c r="BL565" s="473"/>
      <c r="BM565" s="473"/>
      <c r="BN565" s="471"/>
      <c r="BO565" s="473"/>
      <c r="BP565" s="473"/>
      <c r="BQ565" s="473"/>
      <c r="BR565" s="473"/>
      <c r="BS565" s="471"/>
      <c r="BT565" s="471"/>
      <c r="BU565" s="471"/>
      <c r="BV565" s="471"/>
      <c r="BW565" s="161"/>
    </row>
    <row r="566" spans="1:75" s="217" customFormat="1" hidden="1" outlineLevel="1" x14ac:dyDescent="0.5">
      <c r="A566" s="475" t="s">
        <v>683</v>
      </c>
      <c r="B566" s="336"/>
      <c r="C566" s="420">
        <v>1</v>
      </c>
      <c r="D566" s="420">
        <v>1</v>
      </c>
      <c r="E566" s="420">
        <v>1</v>
      </c>
      <c r="F566" s="420">
        <v>1</v>
      </c>
      <c r="G566" s="421">
        <v>1</v>
      </c>
      <c r="H566" s="421">
        <v>1</v>
      </c>
      <c r="I566" s="421">
        <v>1</v>
      </c>
      <c r="J566" s="421">
        <v>1</v>
      </c>
      <c r="K566" s="420">
        <v>1</v>
      </c>
      <c r="L566" s="421">
        <v>1</v>
      </c>
      <c r="M566" s="421">
        <v>1</v>
      </c>
      <c r="N566" s="421">
        <v>1</v>
      </c>
      <c r="O566" s="421">
        <v>1</v>
      </c>
      <c r="P566" s="420">
        <v>1</v>
      </c>
      <c r="Q566" s="421">
        <v>1</v>
      </c>
      <c r="R566" s="421">
        <v>1</v>
      </c>
      <c r="S566" s="421">
        <v>1</v>
      </c>
      <c r="T566" s="421">
        <v>1</v>
      </c>
      <c r="U566" s="420">
        <v>1</v>
      </c>
      <c r="V566" s="421">
        <v>1</v>
      </c>
      <c r="W566" s="421">
        <v>1.2823075176016354</v>
      </c>
      <c r="X566" s="421">
        <v>1.1494865462108408</v>
      </c>
      <c r="Y566" s="422">
        <v>1.1605311693102178</v>
      </c>
      <c r="Z566" s="420">
        <v>1.2426087940266988</v>
      </c>
      <c r="AA566" s="422">
        <v>1.4585266821345695</v>
      </c>
      <c r="AB566" s="422">
        <v>1.0100635156314444</v>
      </c>
      <c r="AC566" s="421">
        <v>1.0224039664519715</v>
      </c>
      <c r="AD566" s="422">
        <v>1.0056712962962961</v>
      </c>
      <c r="AE566" s="420">
        <v>1.0353614976275884</v>
      </c>
      <c r="AF566" s="422">
        <v>1.001661578083785</v>
      </c>
      <c r="AG566" s="422">
        <v>1.006452953326082</v>
      </c>
      <c r="AH566" s="421">
        <v>0.99474282466609831</v>
      </c>
      <c r="AI566" s="422">
        <v>1.0102302932832987</v>
      </c>
      <c r="AJ566" s="420">
        <v>1.0049744781000705</v>
      </c>
      <c r="AK566" s="422">
        <v>0.98406014599390967</v>
      </c>
      <c r="AL566" s="422">
        <v>0.99115222973427841</v>
      </c>
      <c r="AM566" s="421">
        <v>0.99075495590394114</v>
      </c>
      <c r="AN566" s="422">
        <v>0.99068132303426415</v>
      </c>
      <c r="AO566" s="420">
        <v>0.98958192657187516</v>
      </c>
      <c r="AP566" s="422">
        <v>1.0855498829436157</v>
      </c>
      <c r="AQ566" s="422">
        <v>0.98848192841661287</v>
      </c>
      <c r="AR566" s="421">
        <v>0.98014763398998395</v>
      </c>
      <c r="AS566" s="422">
        <v>0.99812107877309164</v>
      </c>
      <c r="AT566" s="420">
        <v>0.99765881702787562</v>
      </c>
      <c r="AU566" s="422">
        <v>0.96943924039853535</v>
      </c>
      <c r="AV566" s="422">
        <v>0.97825999646569306</v>
      </c>
      <c r="AW566" s="421">
        <v>0.99163789402617608</v>
      </c>
      <c r="AX566" s="422">
        <v>0.98680693955897614</v>
      </c>
      <c r="AY566" s="420">
        <v>0.98241227980297263</v>
      </c>
      <c r="AZ566" s="422">
        <v>0.96110342543158878</v>
      </c>
      <c r="BA566" s="422">
        <v>0.98487291714658687</v>
      </c>
      <c r="BB566" s="421">
        <v>0.9577856093979441</v>
      </c>
      <c r="BC566" s="422">
        <v>0.94752462011496841</v>
      </c>
      <c r="BD566" s="420">
        <v>0.9659270767990894</v>
      </c>
      <c r="BE566" s="422">
        <v>0.93277912132204766</v>
      </c>
      <c r="BF566" s="422">
        <v>0.94717193075194928</v>
      </c>
      <c r="BG566" s="421">
        <v>0.90313451479428541</v>
      </c>
      <c r="BH566" s="422">
        <v>0.92685394132752286</v>
      </c>
      <c r="BI566" s="442">
        <v>0.93354021487634908</v>
      </c>
      <c r="BJ566" s="422">
        <v>0.89201502478338091</v>
      </c>
      <c r="BK566" s="422">
        <v>0.95151431773667616</v>
      </c>
      <c r="BL566" s="422">
        <v>0.9488675531586992</v>
      </c>
      <c r="BM566" s="422">
        <v>0.95771908147337792</v>
      </c>
      <c r="BN566" s="420">
        <v>0.94563091509113695</v>
      </c>
      <c r="BO566" s="422">
        <v>0.94556682862170593</v>
      </c>
      <c r="BP566" s="422">
        <v>0.96506050498124796</v>
      </c>
      <c r="BQ566" s="422">
        <v>0.94840491911626656</v>
      </c>
      <c r="BR566" s="422">
        <v>0.96741215305476103</v>
      </c>
      <c r="BS566" s="420">
        <v>0.95797162292775884</v>
      </c>
      <c r="BT566" s="420">
        <v>0.96284494865011916</v>
      </c>
      <c r="BU566" s="420">
        <v>0.96612684877629607</v>
      </c>
      <c r="BV566" s="420">
        <v>0.96863320816581322</v>
      </c>
      <c r="BW566" s="216"/>
    </row>
    <row r="567" spans="1:75" s="217" customFormat="1" hidden="1" outlineLevel="1" x14ac:dyDescent="0.5">
      <c r="A567" s="475" t="s">
        <v>684</v>
      </c>
      <c r="B567" s="336"/>
      <c r="C567" s="420">
        <v>0</v>
      </c>
      <c r="D567" s="420">
        <v>0</v>
      </c>
      <c r="E567" s="420">
        <v>0</v>
      </c>
      <c r="F567" s="420">
        <v>0</v>
      </c>
      <c r="G567" s="421">
        <v>0</v>
      </c>
      <c r="H567" s="421">
        <v>0</v>
      </c>
      <c r="I567" s="421">
        <v>0</v>
      </c>
      <c r="J567" s="421">
        <v>0</v>
      </c>
      <c r="K567" s="420">
        <v>0</v>
      </c>
      <c r="L567" s="421">
        <v>0</v>
      </c>
      <c r="M567" s="421">
        <v>0</v>
      </c>
      <c r="N567" s="421">
        <v>0</v>
      </c>
      <c r="O567" s="421">
        <v>0</v>
      </c>
      <c r="P567" s="420">
        <v>0</v>
      </c>
      <c r="Q567" s="421">
        <v>0</v>
      </c>
      <c r="R567" s="421">
        <v>0</v>
      </c>
      <c r="S567" s="421">
        <v>0</v>
      </c>
      <c r="T567" s="421">
        <v>0</v>
      </c>
      <c r="U567" s="420">
        <v>0</v>
      </c>
      <c r="V567" s="421">
        <v>0</v>
      </c>
      <c r="W567" s="421">
        <v>-0.28230751760163536</v>
      </c>
      <c r="X567" s="421">
        <v>-0.14948654621084087</v>
      </c>
      <c r="Y567" s="422">
        <v>-0.1605311693102178</v>
      </c>
      <c r="Z567" s="420">
        <v>-0.2426087940266988</v>
      </c>
      <c r="AA567" s="422">
        <v>-0.45852668213456954</v>
      </c>
      <c r="AB567" s="422">
        <v>-1.0063515631444349E-2</v>
      </c>
      <c r="AC567" s="421">
        <v>-2.2403966451971659E-2</v>
      </c>
      <c r="AD567" s="422">
        <v>-5.6712962962962316E-3</v>
      </c>
      <c r="AE567" s="420">
        <v>-3.5361497627588501E-2</v>
      </c>
      <c r="AF567" s="422">
        <v>-1.6615780837850771E-3</v>
      </c>
      <c r="AG567" s="422">
        <v>-6.4529533260819149E-3</v>
      </c>
      <c r="AH567" s="421">
        <v>5.2571753339016652E-3</v>
      </c>
      <c r="AI567" s="422">
        <v>-1.0230293283298693E-2</v>
      </c>
      <c r="AJ567" s="420">
        <v>-4.9744781000703011E-3</v>
      </c>
      <c r="AK567" s="422">
        <v>1.5939854006090381E-2</v>
      </c>
      <c r="AL567" s="422">
        <v>8.8477702657216214E-3</v>
      </c>
      <c r="AM567" s="421">
        <v>9.2450440960588215E-3</v>
      </c>
      <c r="AN567" s="422">
        <v>9.3186769657358261E-3</v>
      </c>
      <c r="AO567" s="420">
        <v>1.0418073428124945E-2</v>
      </c>
      <c r="AP567" s="422">
        <v>-8.5549882943615554E-2</v>
      </c>
      <c r="AQ567" s="422">
        <v>1.1518071583387033E-2</v>
      </c>
      <c r="AR567" s="421">
        <v>1.9852366010016088E-2</v>
      </c>
      <c r="AS567" s="422">
        <v>1.8789212269083645E-3</v>
      </c>
      <c r="AT567" s="420">
        <v>2.3411829721242941E-3</v>
      </c>
      <c r="AU567" s="422">
        <v>3.0560759601464701E-2</v>
      </c>
      <c r="AV567" s="422">
        <v>2.1740003534306881E-2</v>
      </c>
      <c r="AW567" s="421">
        <v>8.3621059738239294E-3</v>
      </c>
      <c r="AX567" s="422">
        <v>1.3193060441023781E-2</v>
      </c>
      <c r="AY567" s="420">
        <v>1.7587720197027323E-2</v>
      </c>
      <c r="AZ567" s="422">
        <v>3.8896574568411203E-2</v>
      </c>
      <c r="BA567" s="422">
        <v>1.5127082853413191E-2</v>
      </c>
      <c r="BB567" s="421">
        <v>4.2214390602055799E-2</v>
      </c>
      <c r="BC567" s="422">
        <v>5.2475379885031675E-2</v>
      </c>
      <c r="BD567" s="420">
        <v>3.4072923200910599E-2</v>
      </c>
      <c r="BE567" s="422">
        <v>6.7220878677952428E-2</v>
      </c>
      <c r="BF567" s="422">
        <v>5.2828069248050752E-2</v>
      </c>
      <c r="BG567" s="421">
        <v>9.6865485205714641E-2</v>
      </c>
      <c r="BH567" s="422">
        <v>7.3146058672477157E-2</v>
      </c>
      <c r="BI567" s="442">
        <v>6.6459785123650902E-2</v>
      </c>
      <c r="BJ567" s="422">
        <v>0.10798497521661908</v>
      </c>
      <c r="BK567" s="422">
        <v>4.8485682263323879E-2</v>
      </c>
      <c r="BL567" s="422">
        <v>5.1132446841300826E-2</v>
      </c>
      <c r="BM567" s="422">
        <v>4.2280918526622129E-2</v>
      </c>
      <c r="BN567" s="420">
        <v>5.4369084908863038E-2</v>
      </c>
      <c r="BO567" s="422">
        <v>5.44331713782941E-2</v>
      </c>
      <c r="BP567" s="422">
        <v>3.4939495018751973E-2</v>
      </c>
      <c r="BQ567" s="422">
        <v>5.1595080883733456E-2</v>
      </c>
      <c r="BR567" s="422">
        <v>3.2587846945238905E-2</v>
      </c>
      <c r="BS567" s="420">
        <v>4.2028377072241101E-2</v>
      </c>
      <c r="BT567" s="420">
        <v>3.7155051349880869E-2</v>
      </c>
      <c r="BU567" s="420">
        <v>3.3873151223704004E-2</v>
      </c>
      <c r="BV567" s="420">
        <v>3.1366791834186815E-2</v>
      </c>
      <c r="BW567" s="216"/>
    </row>
    <row r="568" spans="1:75" s="162" customFormat="1" ht="14.25" hidden="1" outlineLevel="1" x14ac:dyDescent="0.45">
      <c r="A568" s="476" t="s">
        <v>685</v>
      </c>
      <c r="B568" s="477"/>
      <c r="C568" s="478">
        <v>1</v>
      </c>
      <c r="D568" s="478">
        <v>1</v>
      </c>
      <c r="E568" s="478">
        <v>1</v>
      </c>
      <c r="F568" s="478">
        <v>1</v>
      </c>
      <c r="G568" s="479">
        <v>1</v>
      </c>
      <c r="H568" s="479">
        <v>1</v>
      </c>
      <c r="I568" s="479">
        <v>1</v>
      </c>
      <c r="J568" s="479">
        <v>1</v>
      </c>
      <c r="K568" s="478">
        <v>1</v>
      </c>
      <c r="L568" s="479">
        <v>1</v>
      </c>
      <c r="M568" s="479">
        <v>1</v>
      </c>
      <c r="N568" s="479">
        <v>1</v>
      </c>
      <c r="O568" s="479">
        <v>1</v>
      </c>
      <c r="P568" s="478">
        <v>1</v>
      </c>
      <c r="Q568" s="479">
        <v>1</v>
      </c>
      <c r="R568" s="479">
        <v>1</v>
      </c>
      <c r="S568" s="479">
        <v>1</v>
      </c>
      <c r="T568" s="479">
        <v>1</v>
      </c>
      <c r="U568" s="478">
        <v>1</v>
      </c>
      <c r="V568" s="479">
        <v>1</v>
      </c>
      <c r="W568" s="479">
        <v>1</v>
      </c>
      <c r="X568" s="479">
        <v>0.99999999999999989</v>
      </c>
      <c r="Y568" s="480">
        <v>1</v>
      </c>
      <c r="Z568" s="478">
        <v>1</v>
      </c>
      <c r="AA568" s="480">
        <v>1</v>
      </c>
      <c r="AB568" s="480">
        <v>1</v>
      </c>
      <c r="AC568" s="479">
        <v>0.99999999999999989</v>
      </c>
      <c r="AD568" s="480">
        <v>0.99999999999999989</v>
      </c>
      <c r="AE568" s="478">
        <v>1</v>
      </c>
      <c r="AF568" s="480">
        <v>0.99999999999999989</v>
      </c>
      <c r="AG568" s="480">
        <v>1</v>
      </c>
      <c r="AH568" s="479">
        <v>1</v>
      </c>
      <c r="AI568" s="480">
        <v>1</v>
      </c>
      <c r="AJ568" s="478">
        <v>1.0000000000000002</v>
      </c>
      <c r="AK568" s="480">
        <v>1</v>
      </c>
      <c r="AL568" s="480">
        <v>1</v>
      </c>
      <c r="AM568" s="479">
        <v>1</v>
      </c>
      <c r="AN568" s="480">
        <v>1</v>
      </c>
      <c r="AO568" s="478">
        <v>1</v>
      </c>
      <c r="AP568" s="480">
        <v>1</v>
      </c>
      <c r="AQ568" s="480">
        <v>0.99999999999999989</v>
      </c>
      <c r="AR568" s="479">
        <v>1</v>
      </c>
      <c r="AS568" s="480">
        <v>1</v>
      </c>
      <c r="AT568" s="478">
        <v>0.99999999999999989</v>
      </c>
      <c r="AU568" s="480">
        <v>1</v>
      </c>
      <c r="AV568" s="480">
        <v>0.99999999999999989</v>
      </c>
      <c r="AW568" s="479">
        <v>1</v>
      </c>
      <c r="AX568" s="480">
        <v>0.99999999999999989</v>
      </c>
      <c r="AY568" s="478">
        <v>1</v>
      </c>
      <c r="AZ568" s="480">
        <v>1</v>
      </c>
      <c r="BA568" s="480">
        <v>1</v>
      </c>
      <c r="BB568" s="479">
        <v>0.99999999999999989</v>
      </c>
      <c r="BC568" s="480">
        <v>1</v>
      </c>
      <c r="BD568" s="478">
        <v>1</v>
      </c>
      <c r="BE568" s="480">
        <v>1</v>
      </c>
      <c r="BF568" s="480">
        <v>1</v>
      </c>
      <c r="BG568" s="479">
        <v>1</v>
      </c>
      <c r="BH568" s="480">
        <v>1</v>
      </c>
      <c r="BI568" s="481">
        <v>1</v>
      </c>
      <c r="BJ568" s="480">
        <v>1</v>
      </c>
      <c r="BK568" s="480">
        <v>1</v>
      </c>
      <c r="BL568" s="480">
        <v>1</v>
      </c>
      <c r="BM568" s="480">
        <v>1</v>
      </c>
      <c r="BN568" s="478">
        <v>1</v>
      </c>
      <c r="BO568" s="480">
        <v>1</v>
      </c>
      <c r="BP568" s="480">
        <v>0.99999999999999989</v>
      </c>
      <c r="BQ568" s="480">
        <v>1</v>
      </c>
      <c r="BR568" s="480">
        <v>0.99999999999999989</v>
      </c>
      <c r="BS568" s="478">
        <v>0.99999999999999989</v>
      </c>
      <c r="BT568" s="478">
        <v>1</v>
      </c>
      <c r="BU568" s="478">
        <v>1</v>
      </c>
      <c r="BV568" s="478">
        <v>1</v>
      </c>
      <c r="BW568" s="161"/>
    </row>
    <row r="569" spans="1:75" s="162" customFormat="1" ht="14.25" collapsed="1" x14ac:dyDescent="0.45">
      <c r="A569" s="469"/>
      <c r="B569" s="470"/>
      <c r="C569" s="471"/>
      <c r="D569" s="471"/>
      <c r="E569" s="471"/>
      <c r="F569" s="471"/>
      <c r="G569" s="472"/>
      <c r="H569" s="472"/>
      <c r="I569" s="472"/>
      <c r="J569" s="472"/>
      <c r="K569" s="471"/>
      <c r="L569" s="472"/>
      <c r="M569" s="472"/>
      <c r="N569" s="472"/>
      <c r="O569" s="472"/>
      <c r="P569" s="471"/>
      <c r="Q569" s="472"/>
      <c r="R569" s="472"/>
      <c r="S569" s="472"/>
      <c r="T569" s="472"/>
      <c r="U569" s="471"/>
      <c r="V569" s="472"/>
      <c r="W569" s="472"/>
      <c r="X569" s="472"/>
      <c r="Y569" s="473"/>
      <c r="Z569" s="471"/>
      <c r="AA569" s="473"/>
      <c r="AB569" s="473"/>
      <c r="AC569" s="472"/>
      <c r="AD569" s="473"/>
      <c r="AE569" s="471"/>
      <c r="AF569" s="473"/>
      <c r="AG569" s="473"/>
      <c r="AH569" s="472"/>
      <c r="AI569" s="473"/>
      <c r="AJ569" s="471"/>
      <c r="AK569" s="473"/>
      <c r="AL569" s="473"/>
      <c r="AM569" s="472"/>
      <c r="AN569" s="473"/>
      <c r="AO569" s="471"/>
      <c r="AP569" s="473"/>
      <c r="AQ569" s="473"/>
      <c r="AR569" s="472"/>
      <c r="AS569" s="473"/>
      <c r="AT569" s="471"/>
      <c r="AU569" s="473"/>
      <c r="AV569" s="473"/>
      <c r="AW569" s="472"/>
      <c r="AX569" s="473"/>
      <c r="AY569" s="471"/>
      <c r="AZ569" s="473"/>
      <c r="BA569" s="473"/>
      <c r="BB569" s="472"/>
      <c r="BC569" s="473"/>
      <c r="BD569" s="471"/>
      <c r="BE569" s="473"/>
      <c r="BF569" s="473"/>
      <c r="BG569" s="472"/>
      <c r="BH569" s="473"/>
      <c r="BI569" s="474"/>
      <c r="BJ569" s="473"/>
      <c r="BK569" s="473"/>
      <c r="BL569" s="473"/>
      <c r="BM569" s="473"/>
      <c r="BN569" s="471"/>
      <c r="BO569" s="473"/>
      <c r="BP569" s="473"/>
      <c r="BQ569" s="473"/>
      <c r="BR569" s="473"/>
      <c r="BS569" s="471"/>
      <c r="BT569" s="471"/>
      <c r="BU569" s="471"/>
      <c r="BV569" s="471"/>
      <c r="BW569" s="161"/>
    </row>
    <row r="570" spans="1:75" s="217" customFormat="1" x14ac:dyDescent="0.5">
      <c r="A570" s="475" t="s">
        <v>686</v>
      </c>
      <c r="B570" s="336"/>
      <c r="C570" s="420">
        <v>-4.1287548846464413E-2</v>
      </c>
      <c r="D570" s="420">
        <v>-4.1617491769675979E-3</v>
      </c>
      <c r="E570" s="420">
        <v>2.8017376346959215E-2</v>
      </c>
      <c r="F570" s="420">
        <v>-5.7865329584944655E-2</v>
      </c>
      <c r="G570" s="421">
        <v>1.6957758257365723E-3</v>
      </c>
      <c r="H570" s="421">
        <v>-7.2703861313066276E-2</v>
      </c>
      <c r="I570" s="421">
        <v>6.0278097778855642E-2</v>
      </c>
      <c r="J570" s="421">
        <v>0.12351227702705574</v>
      </c>
      <c r="K570" s="420">
        <v>3.5365815130103062E-2</v>
      </c>
      <c r="L570" s="421">
        <v>1.3045591310948193E-2</v>
      </c>
      <c r="M570" s="421">
        <v>0.11281428235500243</v>
      </c>
      <c r="N570" s="421">
        <v>7.569608500541597E-2</v>
      </c>
      <c r="O570" s="421">
        <v>0.12926293101229214</v>
      </c>
      <c r="P570" s="420">
        <v>8.874587532973259E-2</v>
      </c>
      <c r="Q570" s="421">
        <v>4.0310572973996643E-2</v>
      </c>
      <c r="R570" s="421">
        <v>0.11130070106639424</v>
      </c>
      <c r="S570" s="421">
        <v>8.4288266020048339E-2</v>
      </c>
      <c r="T570" s="421">
        <v>0.10388159602477093</v>
      </c>
      <c r="U570" s="420">
        <v>8.7985050777475177E-2</v>
      </c>
      <c r="V570" s="421">
        <v>-2.5194530316869173E-2</v>
      </c>
      <c r="W570" s="421">
        <v>5.4016509190268965E-2</v>
      </c>
      <c r="X570" s="421">
        <v>3.3944498077834749E-2</v>
      </c>
      <c r="Y570" s="422">
        <v>5.6087695184715743E-2</v>
      </c>
      <c r="Z570" s="420">
        <v>3.1991064268530198E-2</v>
      </c>
      <c r="AA570" s="422">
        <v>1.8851869067790294E-2</v>
      </c>
      <c r="AB570" s="422">
        <v>2.0974900349952818E-2</v>
      </c>
      <c r="AC570" s="421">
        <v>7.8357665659281137E-2</v>
      </c>
      <c r="AD570" s="422">
        <v>0.108810228587261</v>
      </c>
      <c r="AE570" s="420">
        <v>5.8613428349197132E-2</v>
      </c>
      <c r="AF570" s="422">
        <v>9.1685091643267061E-2</v>
      </c>
      <c r="AG570" s="422">
        <v>0.13553399911784647</v>
      </c>
      <c r="AH570" s="421">
        <v>6.9509301332733212E-2</v>
      </c>
      <c r="AI570" s="422">
        <v>0.14187994773653032</v>
      </c>
      <c r="AJ570" s="420">
        <v>0.11073083580863081</v>
      </c>
      <c r="AK570" s="422">
        <v>0.11981245542889381</v>
      </c>
      <c r="AL570" s="422">
        <v>0.15328976332980332</v>
      </c>
      <c r="AM570" s="421">
        <v>0.13699258419097024</v>
      </c>
      <c r="AN570" s="422">
        <v>0.15806846120300078</v>
      </c>
      <c r="AO570" s="420">
        <v>0.14280379080267397</v>
      </c>
      <c r="AP570" s="422">
        <v>8.4592609851040848E-2</v>
      </c>
      <c r="AQ570" s="422">
        <v>0.19811795646233346</v>
      </c>
      <c r="AR570" s="421">
        <v>0.13412329505328616</v>
      </c>
      <c r="AS570" s="422">
        <v>0.23487368895906155</v>
      </c>
      <c r="AT570" s="420">
        <v>0.17064601956018521</v>
      </c>
      <c r="AU570" s="422">
        <v>0.22217722605977142</v>
      </c>
      <c r="AV570" s="422">
        <v>0.25703922888758973</v>
      </c>
      <c r="AW570" s="421">
        <v>0.28010310314771381</v>
      </c>
      <c r="AX570" s="422">
        <v>0.24942835056213156</v>
      </c>
      <c r="AY570" s="420">
        <v>0.25345410287931408</v>
      </c>
      <c r="AZ570" s="422">
        <v>0.21706742299889542</v>
      </c>
      <c r="BA570" s="422">
        <v>0.2455567113601409</v>
      </c>
      <c r="BB570" s="421">
        <v>0.19855222463044592</v>
      </c>
      <c r="BC570" s="422">
        <v>0.14599010227285236</v>
      </c>
      <c r="BD570" s="420">
        <v>0.20524427726636374</v>
      </c>
      <c r="BE570" s="422">
        <v>0.13405771915495082</v>
      </c>
      <c r="BF570" s="422">
        <v>0.19022626235817133</v>
      </c>
      <c r="BG570" s="421">
        <v>6.5629782387623237E-2</v>
      </c>
      <c r="BH570" s="422">
        <v>8.6752902445774785E-2</v>
      </c>
      <c r="BI570" s="442">
        <v>0.12051768627427467</v>
      </c>
      <c r="BJ570" s="422">
        <v>6.2037016569962404E-2</v>
      </c>
      <c r="BK570" s="422">
        <v>0.17412963638106235</v>
      </c>
      <c r="BL570" s="422">
        <v>0.14187403144915089</v>
      </c>
      <c r="BM570" s="422">
        <v>0.1319884383436439</v>
      </c>
      <c r="BN570" s="420">
        <v>0.13007887692272077</v>
      </c>
      <c r="BO570" s="422">
        <v>0.11286465954737464</v>
      </c>
      <c r="BP570" s="422">
        <v>0.1897291080859865</v>
      </c>
      <c r="BQ570" s="422">
        <v>0.14744185134900603</v>
      </c>
      <c r="BR570" s="422">
        <v>0.15740663161724541</v>
      </c>
      <c r="BS570" s="420">
        <v>0.15300804489691533</v>
      </c>
      <c r="BT570" s="420">
        <v>0.16623142504417809</v>
      </c>
      <c r="BU570" s="420">
        <v>0.17934911901489847</v>
      </c>
      <c r="BV570" s="420">
        <v>0.19242341479895977</v>
      </c>
      <c r="BW570" s="216"/>
    </row>
    <row r="571" spans="1:75" s="217" customFormat="1" x14ac:dyDescent="0.5">
      <c r="A571" s="475" t="s">
        <v>687</v>
      </c>
      <c r="B571" s="336"/>
      <c r="C571" s="420"/>
      <c r="D571" s="420"/>
      <c r="E571" s="420"/>
      <c r="F571" s="420"/>
      <c r="G571" s="421"/>
      <c r="H571" s="421"/>
      <c r="I571" s="421"/>
      <c r="J571" s="421"/>
      <c r="K571" s="420"/>
      <c r="L571" s="421"/>
      <c r="M571" s="421"/>
      <c r="N571" s="421"/>
      <c r="O571" s="421"/>
      <c r="P571" s="420"/>
      <c r="Q571" s="421"/>
      <c r="R571" s="421"/>
      <c r="S571" s="421"/>
      <c r="T571" s="421"/>
      <c r="U571" s="420"/>
      <c r="V571" s="421"/>
      <c r="W571" s="421">
        <v>-0.29933053990271152</v>
      </c>
      <c r="X571" s="421">
        <v>-8.126921310201049E-2</v>
      </c>
      <c r="Y571" s="422">
        <v>-0.16892442650312472</v>
      </c>
      <c r="Z571" s="420">
        <v>-0.1719566466649739</v>
      </c>
      <c r="AA571" s="422">
        <v>-0.1107453068086299</v>
      </c>
      <c r="AB571" s="422">
        <v>-3.8689626740240346E-3</v>
      </c>
      <c r="AC571" s="421">
        <v>-3.3004539404075245E-2</v>
      </c>
      <c r="AD571" s="422">
        <v>-1.2461059190031024E-2</v>
      </c>
      <c r="AE571" s="420">
        <v>-3.8422071796229793E-2</v>
      </c>
      <c r="AF571" s="422">
        <v>-2.5478518424153656E-3</v>
      </c>
      <c r="AG571" s="422">
        <v>-1.5906489124540592E-2</v>
      </c>
      <c r="AH571" s="421">
        <v>6.8867105099888184E-3</v>
      </c>
      <c r="AI571" s="422">
        <v>-2.7464619812904673E-2</v>
      </c>
      <c r="AJ571" s="420">
        <v>-1.0001459506379574E-2</v>
      </c>
      <c r="AK571" s="422">
        <v>3.1513754861011121E-2</v>
      </c>
      <c r="AL571" s="422">
        <v>2.6911601240273794E-2</v>
      </c>
      <c r="AM571" s="421">
        <v>2.5662560656961583E-2</v>
      </c>
      <c r="AN571" s="422">
        <v>2.9321949395488066E-2</v>
      </c>
      <c r="AO571" s="420">
        <v>2.8390953951074435E-2</v>
      </c>
      <c r="AP571" s="422">
        <v>-0.10856181544849314</v>
      </c>
      <c r="AQ571" s="422">
        <v>5.6390034056282505E-2</v>
      </c>
      <c r="AR571" s="421">
        <v>7.0698984982869584E-2</v>
      </c>
      <c r="AS571" s="422">
        <v>1.0734287492221717E-2</v>
      </c>
      <c r="AT571" s="420">
        <v>9.1691553974699129E-3</v>
      </c>
      <c r="AU571" s="422">
        <v>0.14015475115331102</v>
      </c>
      <c r="AV571" s="422">
        <v>0.13125287941611508</v>
      </c>
      <c r="AW571" s="421">
        <v>5.4824508648271542E-2</v>
      </c>
      <c r="AX571" s="422">
        <v>6.9734702298599086E-2</v>
      </c>
      <c r="AY571" s="420">
        <v>9.8843482161257781E-2</v>
      </c>
      <c r="AZ571" s="422">
        <v>0.1651704451431408</v>
      </c>
      <c r="BA571" s="422">
        <v>6.8937361483727963E-2</v>
      </c>
      <c r="BB571" s="421">
        <v>0.15033677781031674</v>
      </c>
      <c r="BC571" s="422">
        <v>0.1330591399064425</v>
      </c>
      <c r="BD571" s="420">
        <v>0.12826380454443567</v>
      </c>
      <c r="BE571" s="422">
        <v>0.13713357727254039</v>
      </c>
      <c r="BF571" s="422">
        <v>0.17036374097040211</v>
      </c>
      <c r="BG571" s="421">
        <v>0.10750801490338786</v>
      </c>
      <c r="BH571" s="422">
        <v>9.0786169596291655E-2</v>
      </c>
      <c r="BI571" s="442">
        <v>0.12572541845598917</v>
      </c>
      <c r="BJ571" s="422">
        <v>0.10713357727254039</v>
      </c>
      <c r="BK571" s="422">
        <v>0.14636374097040206</v>
      </c>
      <c r="BL571" s="422">
        <v>0.12650801490338787</v>
      </c>
      <c r="BM571" s="422">
        <v>8.6786169596291651E-2</v>
      </c>
      <c r="BN571" s="420">
        <v>0.11628447141869869</v>
      </c>
      <c r="BO571" s="422">
        <v>0.10713357727254039</v>
      </c>
      <c r="BP571" s="422">
        <v>0.12736374097040207</v>
      </c>
      <c r="BQ571" s="422">
        <v>0.14550801490338791</v>
      </c>
      <c r="BR571" s="422">
        <v>8.278616959629162E-2</v>
      </c>
      <c r="BS571" s="420">
        <v>0.11528071517506902</v>
      </c>
      <c r="BT571" s="420">
        <v>0.11328071517506902</v>
      </c>
      <c r="BU571" s="420">
        <v>0.111280715175069</v>
      </c>
      <c r="BV571" s="420">
        <v>0.10928071517506899</v>
      </c>
      <c r="BW571" s="216"/>
    </row>
    <row r="572" spans="1:75" s="162" customFormat="1" ht="14.25" x14ac:dyDescent="0.45">
      <c r="A572" s="476" t="s">
        <v>688</v>
      </c>
      <c r="B572" s="477"/>
      <c r="C572" s="478">
        <v>-4.1287548846464413E-2</v>
      </c>
      <c r="D572" s="478">
        <v>-4.1617491769675979E-3</v>
      </c>
      <c r="E572" s="478">
        <v>2.8017376346959215E-2</v>
      </c>
      <c r="F572" s="478">
        <v>-5.7865329584944655E-2</v>
      </c>
      <c r="G572" s="479">
        <v>1.6957758257365723E-3</v>
      </c>
      <c r="H572" s="479">
        <v>-7.2703861313066276E-2</v>
      </c>
      <c r="I572" s="479">
        <v>6.0278097778855642E-2</v>
      </c>
      <c r="J572" s="479">
        <v>0.12351227702705574</v>
      </c>
      <c r="K572" s="478">
        <v>3.5365815130103062E-2</v>
      </c>
      <c r="L572" s="479">
        <v>1.3045591310948193E-2</v>
      </c>
      <c r="M572" s="479">
        <v>0.11281428235500243</v>
      </c>
      <c r="N572" s="479">
        <v>7.569608500541597E-2</v>
      </c>
      <c r="O572" s="479">
        <v>0.12926293101229214</v>
      </c>
      <c r="P572" s="478">
        <v>8.874587532973259E-2</v>
      </c>
      <c r="Q572" s="479">
        <v>4.0310572973996643E-2</v>
      </c>
      <c r="R572" s="479">
        <v>0.11130070106639424</v>
      </c>
      <c r="S572" s="479">
        <v>8.4288266020048339E-2</v>
      </c>
      <c r="T572" s="479">
        <v>0.10388159602477093</v>
      </c>
      <c r="U572" s="478">
        <v>8.7985050777475177E-2</v>
      </c>
      <c r="V572" s="479">
        <v>-2.5194530316869173E-2</v>
      </c>
      <c r="W572" s="479">
        <v>4.0514850537652192E-2</v>
      </c>
      <c r="X572" s="479">
        <v>2.800876707540851E-2</v>
      </c>
      <c r="Y572" s="480">
        <v>4.6207129294740461E-2</v>
      </c>
      <c r="Z572" s="478">
        <v>2.4842718834065389E-2</v>
      </c>
      <c r="AA572" s="480">
        <v>1.226871619698267E-2</v>
      </c>
      <c r="AB572" s="480">
        <v>1.970175159183913E-2</v>
      </c>
      <c r="AC572" s="479">
        <v>7.2850577157102511E-2</v>
      </c>
      <c r="AD572" s="480">
        <v>0.10311877606128654</v>
      </c>
      <c r="AE572" s="478">
        <v>5.3808048114601693E-2</v>
      </c>
      <c r="AF572" s="480">
        <v>8.6376895835351575E-2</v>
      </c>
      <c r="AG572" s="480">
        <v>0.12768922499758112</v>
      </c>
      <c r="AH572" s="479">
        <v>6.6338024186327088E-2</v>
      </c>
      <c r="AI572" s="480">
        <v>0.13346132233104904</v>
      </c>
      <c r="AJ572" s="478">
        <v>0.10445819912014946</v>
      </c>
      <c r="AK572" s="480">
        <v>0.11469015960335617</v>
      </c>
      <c r="AL572" s="480">
        <v>0.14717471982154637</v>
      </c>
      <c r="AM572" s="479">
        <v>0.13171007459492329</v>
      </c>
      <c r="AN572" s="480">
        <v>0.15185510454512635</v>
      </c>
      <c r="AO572" s="478">
        <v>0.13704990902521946</v>
      </c>
      <c r="AP572" s="480">
        <v>7.3417616666148933E-2</v>
      </c>
      <c r="AQ572" s="480">
        <v>0.19254400929390569</v>
      </c>
      <c r="AR572" s="479">
        <v>0.13177640628758092</v>
      </c>
      <c r="AS572" s="480">
        <v>0.22600672545283554</v>
      </c>
      <c r="AT572" s="478">
        <v>0.16388883623192368</v>
      </c>
      <c r="AU572" s="480">
        <v>0.21827340402791845</v>
      </c>
      <c r="AV572" s="480">
        <v>0.25179322835712675</v>
      </c>
      <c r="AW572" s="479">
        <v>0.27079830847313469</v>
      </c>
      <c r="AX572" s="480">
        <v>0.24122755031620358</v>
      </c>
      <c r="AY572" s="478">
        <v>0.24666810328773389</v>
      </c>
      <c r="AZ572" s="480">
        <v>0.21444658474112394</v>
      </c>
      <c r="BA572" s="480">
        <v>0.23639499001633688</v>
      </c>
      <c r="BB572" s="479">
        <v>0.19589996617057856</v>
      </c>
      <c r="BC572" s="480">
        <v>0.14524937896359758</v>
      </c>
      <c r="BD572" s="478">
        <v>0.201131214599063</v>
      </c>
      <c r="BE572" s="480">
        <v>0.13426014865482805</v>
      </c>
      <c r="BF572" s="480">
        <v>0.18906179924770047</v>
      </c>
      <c r="BG572" s="479">
        <v>6.8203267995607192E-2</v>
      </c>
      <c r="BH572" s="480">
        <v>8.7035732668707427E-2</v>
      </c>
      <c r="BI572" s="481">
        <v>0.12085037070098766</v>
      </c>
      <c r="BJ572" s="480">
        <v>6.499118750047328E-2</v>
      </c>
      <c r="BK572" s="480">
        <v>0.17254259584051329</v>
      </c>
      <c r="BL572" s="480">
        <v>0.14099833454611491</v>
      </c>
      <c r="BM572" s="480">
        <v>0.12914443679548659</v>
      </c>
      <c r="BN572" s="478">
        <v>0.12924529548989888</v>
      </c>
      <c r="BO572" s="480">
        <v>0.11253696450500189</v>
      </c>
      <c r="BP572" s="480">
        <v>0.18653771028285532</v>
      </c>
      <c r="BQ572" s="480">
        <v>0.14734081812782873</v>
      </c>
      <c r="BR572" s="480">
        <v>0.15291498220047106</v>
      </c>
      <c r="BS572" s="478">
        <v>0.15093206313319116</v>
      </c>
      <c r="BT572" s="478">
        <v>0.16339370857598928</v>
      </c>
      <c r="BU572" s="478">
        <v>0.17570850987267561</v>
      </c>
      <c r="BV572" s="478">
        <v>0.18793837639930483</v>
      </c>
      <c r="BW572" s="161"/>
    </row>
    <row r="573" spans="1:75" s="162" customFormat="1" ht="14.25" x14ac:dyDescent="0.45">
      <c r="A573" s="469"/>
      <c r="B573" s="470"/>
      <c r="C573" s="471"/>
      <c r="D573" s="471"/>
      <c r="E573" s="471"/>
      <c r="F573" s="471"/>
      <c r="G573" s="472"/>
      <c r="H573" s="472"/>
      <c r="I573" s="472"/>
      <c r="J573" s="472"/>
      <c r="K573" s="471"/>
      <c r="L573" s="472"/>
      <c r="M573" s="472"/>
      <c r="N573" s="472"/>
      <c r="O573" s="472"/>
      <c r="P573" s="471"/>
      <c r="Q573" s="472"/>
      <c r="R573" s="472"/>
      <c r="S573" s="472"/>
      <c r="T573" s="472"/>
      <c r="U573" s="471"/>
      <c r="V573" s="472"/>
      <c r="W573" s="472"/>
      <c r="X573" s="472"/>
      <c r="Y573" s="473"/>
      <c r="Z573" s="471"/>
      <c r="AA573" s="473"/>
      <c r="AB573" s="473"/>
      <c r="AC573" s="472"/>
      <c r="AD573" s="473"/>
      <c r="AE573" s="471"/>
      <c r="AF573" s="473"/>
      <c r="AG573" s="473"/>
      <c r="AH573" s="472"/>
      <c r="AI573" s="473"/>
      <c r="AJ573" s="471"/>
      <c r="AK573" s="473"/>
      <c r="AL573" s="473"/>
      <c r="AM573" s="472"/>
      <c r="AN573" s="473"/>
      <c r="AO573" s="471"/>
      <c r="AP573" s="473"/>
      <c r="AQ573" s="473"/>
      <c r="AR573" s="472"/>
      <c r="AS573" s="473"/>
      <c r="AT573" s="471"/>
      <c r="AU573" s="473"/>
      <c r="AV573" s="473"/>
      <c r="AW573" s="472"/>
      <c r="AX573" s="473"/>
      <c r="AY573" s="471"/>
      <c r="AZ573" s="473"/>
      <c r="BA573" s="473"/>
      <c r="BB573" s="472"/>
      <c r="BC573" s="473"/>
      <c r="BD573" s="471"/>
      <c r="BE573" s="473"/>
      <c r="BF573" s="473"/>
      <c r="BG573" s="472"/>
      <c r="BH573" s="473"/>
      <c r="BI573" s="474"/>
      <c r="BJ573" s="473"/>
      <c r="BK573" s="473"/>
      <c r="BL573" s="473"/>
      <c r="BM573" s="473"/>
      <c r="BN573" s="471"/>
      <c r="BO573" s="473"/>
      <c r="BP573" s="473"/>
      <c r="BQ573" s="473"/>
      <c r="BR573" s="473"/>
      <c r="BS573" s="471"/>
      <c r="BT573" s="471"/>
      <c r="BU573" s="471"/>
      <c r="BV573" s="471"/>
      <c r="BW573" s="161"/>
    </row>
    <row r="574" spans="1:75" s="123" customFormat="1" x14ac:dyDescent="0.5">
      <c r="A574" s="354" t="s">
        <v>689</v>
      </c>
      <c r="B574" s="251"/>
      <c r="C574" s="299"/>
      <c r="D574" s="299"/>
      <c r="E574" s="299">
        <v>49.219000000000072</v>
      </c>
      <c r="F574" s="299">
        <v>68.674000000000078</v>
      </c>
      <c r="G574" s="300">
        <v>4.6009999999999813</v>
      </c>
      <c r="H574" s="300">
        <v>34.18</v>
      </c>
      <c r="I574" s="300">
        <v>23.859999999999985</v>
      </c>
      <c r="J574" s="300">
        <v>58.260000000000034</v>
      </c>
      <c r="K574" s="299">
        <v>120.90099999999977</v>
      </c>
      <c r="L574" s="300">
        <v>13.978000000000019</v>
      </c>
      <c r="M574" s="300">
        <v>48.934999999999988</v>
      </c>
      <c r="N574" s="300">
        <v>36.687999999999988</v>
      </c>
      <c r="O574" s="300">
        <v>73.82499999999996</v>
      </c>
      <c r="P574" s="299">
        <v>173.42599999999987</v>
      </c>
      <c r="Q574" s="300">
        <v>18.597000000000012</v>
      </c>
      <c r="R574" s="300">
        <v>61.897000000000034</v>
      </c>
      <c r="S574" s="300">
        <v>49.951999999999948</v>
      </c>
      <c r="T574" s="300">
        <v>74.160999999999945</v>
      </c>
      <c r="U574" s="299">
        <v>204.6069999999998</v>
      </c>
      <c r="V574" s="300">
        <v>0.71000000000003372</v>
      </c>
      <c r="W574" s="307">
        <v>32.317</v>
      </c>
      <c r="X574" s="307">
        <v>18.66</v>
      </c>
      <c r="Y574" s="119">
        <v>53.586999999999961</v>
      </c>
      <c r="Z574" s="305">
        <v>105.274</v>
      </c>
      <c r="AA574" s="302">
        <v>10.058</v>
      </c>
      <c r="AB574" s="302">
        <v>39.549999999999997</v>
      </c>
      <c r="AC574" s="307">
        <v>48.723999999999997</v>
      </c>
      <c r="AD574" s="119">
        <v>75.081999999999994</v>
      </c>
      <c r="AE574" s="305">
        <v>173.41399999999999</v>
      </c>
      <c r="AF574" s="302">
        <v>49.048000000000002</v>
      </c>
      <c r="AG574" s="302">
        <v>75.804000000000002</v>
      </c>
      <c r="AH574" s="307">
        <v>60.853000000000002</v>
      </c>
      <c r="AI574" s="119">
        <v>102.40099999999998</v>
      </c>
      <c r="AJ574" s="305">
        <v>288.10599999999999</v>
      </c>
      <c r="AK574" s="302">
        <v>69.400000000000006</v>
      </c>
      <c r="AL574" s="302">
        <v>104.093</v>
      </c>
      <c r="AM574" s="307">
        <v>86.936000000000007</v>
      </c>
      <c r="AN574" s="119">
        <v>114.88600000000002</v>
      </c>
      <c r="AO574" s="305">
        <v>375.315</v>
      </c>
      <c r="AP574" s="302">
        <v>49.517000000000003</v>
      </c>
      <c r="AQ574" s="302">
        <v>153.35</v>
      </c>
      <c r="AR574" s="307">
        <v>223.10300000000001</v>
      </c>
      <c r="AS574" s="119">
        <v>190.553</v>
      </c>
      <c r="AT574" s="305">
        <v>616.52300000000002</v>
      </c>
      <c r="AU574" s="302">
        <v>188.01</v>
      </c>
      <c r="AV574" s="302">
        <v>257.24200000000002</v>
      </c>
      <c r="AW574" s="307">
        <v>276.09100000000001</v>
      </c>
      <c r="AX574" s="119">
        <v>223.5379999999999</v>
      </c>
      <c r="AY574" s="305">
        <v>944.88099999999997</v>
      </c>
      <c r="AZ574" s="302">
        <v>228.54499999999999</v>
      </c>
      <c r="BA574" s="302">
        <v>237.512</v>
      </c>
      <c r="BB574" s="307">
        <v>173.16200000000001</v>
      </c>
      <c r="BC574" s="119">
        <v>122.32499999999993</v>
      </c>
      <c r="BD574" s="305">
        <v>761.54399999999998</v>
      </c>
      <c r="BE574" s="302">
        <v>103.721</v>
      </c>
      <c r="BF574" s="302">
        <v>153.369</v>
      </c>
      <c r="BG574" s="307">
        <v>50.2</v>
      </c>
      <c r="BH574" s="119">
        <v>62.168000000000006</v>
      </c>
      <c r="BI574" s="303">
        <v>369.45800000000003</v>
      </c>
      <c r="BJ574" s="119">
        <v>45.490314366644895</v>
      </c>
      <c r="BK574" s="119">
        <v>142.04386283974566</v>
      </c>
      <c r="BL574" s="119">
        <v>118.29856691489718</v>
      </c>
      <c r="BM574" s="119">
        <v>104.56791628929801</v>
      </c>
      <c r="BN574" s="299">
        <v>410.40066041058577</v>
      </c>
      <c r="BO574" s="119">
        <v>94.450712293505944</v>
      </c>
      <c r="BP574" s="119">
        <v>178.27243007295826</v>
      </c>
      <c r="BQ574" s="119">
        <v>140.83180247970864</v>
      </c>
      <c r="BR574" s="119">
        <v>136.16978438544706</v>
      </c>
      <c r="BS574" s="299">
        <v>549.7247292316199</v>
      </c>
      <c r="BT574" s="299">
        <v>630.46255897182346</v>
      </c>
      <c r="BU574" s="299">
        <v>700.5116558811394</v>
      </c>
      <c r="BV574" s="299">
        <v>765.82967313969198</v>
      </c>
      <c r="BW574" s="122"/>
    </row>
    <row r="575" spans="1:75" s="123" customFormat="1" x14ac:dyDescent="0.5">
      <c r="A575" s="354" t="s">
        <v>690</v>
      </c>
      <c r="B575" s="251"/>
      <c r="C575" s="299"/>
      <c r="D575" s="299"/>
      <c r="E575" s="299"/>
      <c r="F575" s="299"/>
      <c r="G575" s="300"/>
      <c r="H575" s="300"/>
      <c r="I575" s="300"/>
      <c r="J575" s="300"/>
      <c r="K575" s="299"/>
      <c r="L575" s="300"/>
      <c r="M575" s="300"/>
      <c r="N575" s="300"/>
      <c r="O575" s="300"/>
      <c r="P575" s="299"/>
      <c r="Q575" s="300"/>
      <c r="R575" s="300"/>
      <c r="S575" s="300"/>
      <c r="T575" s="300"/>
      <c r="U575" s="299"/>
      <c r="V575" s="300"/>
      <c r="W575" s="307">
        <v>0.85799999999999998</v>
      </c>
      <c r="X575" s="307">
        <v>-0.51400000000000001</v>
      </c>
      <c r="Y575" s="119">
        <v>-2.7039999999999997</v>
      </c>
      <c r="Z575" s="305">
        <v>-2.36</v>
      </c>
      <c r="AA575" s="302">
        <v>-1.782</v>
      </c>
      <c r="AB575" s="302">
        <v>0.35799999999999998</v>
      </c>
      <c r="AC575" s="307">
        <v>-0.71899999999999997</v>
      </c>
      <c r="AD575" s="119">
        <v>2.6999999999999691E-2</v>
      </c>
      <c r="AE575" s="305">
        <v>-2.1160000000000001</v>
      </c>
      <c r="AF575" s="302">
        <v>0.11</v>
      </c>
      <c r="AG575" s="302">
        <v>-0.33800000000000002</v>
      </c>
      <c r="AH575" s="307">
        <v>0.222</v>
      </c>
      <c r="AI575" s="119">
        <v>-0.91600000000000004</v>
      </c>
      <c r="AJ575" s="305">
        <v>-0.92200000000000004</v>
      </c>
      <c r="AK575" s="302">
        <v>1.0940000000000001</v>
      </c>
      <c r="AL575" s="302">
        <v>0.92</v>
      </c>
      <c r="AM575" s="307">
        <v>0.82499999999999996</v>
      </c>
      <c r="AN575" s="119">
        <v>0.94099999999999939</v>
      </c>
      <c r="AO575" s="305">
        <v>3.78</v>
      </c>
      <c r="AP575" s="302">
        <v>-1.45</v>
      </c>
      <c r="AQ575" s="302">
        <v>1.573</v>
      </c>
      <c r="AR575" s="307">
        <v>2.2080000000000002</v>
      </c>
      <c r="AS575" s="119">
        <v>1.6879999999999997</v>
      </c>
      <c r="AT575" s="305">
        <v>4.0190000000000001</v>
      </c>
      <c r="AU575" s="302">
        <v>6.242</v>
      </c>
      <c r="AV575" s="302">
        <v>5.4130000000000003</v>
      </c>
      <c r="AW575" s="307">
        <v>2.6190000000000002</v>
      </c>
      <c r="AX575" s="119">
        <v>3.472999999999999</v>
      </c>
      <c r="AY575" s="305">
        <v>17.747</v>
      </c>
      <c r="AZ575" s="302">
        <v>7.9850000000000003</v>
      </c>
      <c r="BA575" s="302">
        <v>7.2220000000000004</v>
      </c>
      <c r="BB575" s="307">
        <v>7.1870000000000003</v>
      </c>
      <c r="BC575" s="119">
        <v>5.8879999999999981</v>
      </c>
      <c r="BD575" s="305">
        <v>28.282</v>
      </c>
      <c r="BE575" s="302">
        <v>6.6710000000000003</v>
      </c>
      <c r="BF575" s="302">
        <v>7.9950000000000001</v>
      </c>
      <c r="BG575" s="307">
        <v>4.9630000000000001</v>
      </c>
      <c r="BH575" s="119">
        <v>4.6999999999999993</v>
      </c>
      <c r="BI575" s="303">
        <v>24.329000000000001</v>
      </c>
      <c r="BJ575" s="119">
        <v>5.0832361902439018</v>
      </c>
      <c r="BK575" s="119">
        <v>7.0596874770731688</v>
      </c>
      <c r="BL575" s="119">
        <v>6.1862497043902422</v>
      </c>
      <c r="BM575" s="119">
        <v>4.4618974571428751</v>
      </c>
      <c r="BN575" s="299">
        <v>22.791070828850188</v>
      </c>
      <c r="BO575" s="119">
        <v>5.235733275951219</v>
      </c>
      <c r="BP575" s="119">
        <v>6.3275415566487787</v>
      </c>
      <c r="BQ575" s="119">
        <v>7.4711184158048773</v>
      </c>
      <c r="BR575" s="119">
        <v>4.469059660000017</v>
      </c>
      <c r="BS575" s="299">
        <v>23.503452908404892</v>
      </c>
      <c r="BT575" s="299">
        <v>23.788563325786555</v>
      </c>
      <c r="BU575" s="299">
        <v>24.069627260593549</v>
      </c>
      <c r="BV575" s="299">
        <v>24.346145324495751</v>
      </c>
      <c r="BW575" s="122"/>
    </row>
    <row r="576" spans="1:75" s="198" customFormat="1" ht="14.25" x14ac:dyDescent="0.45">
      <c r="A576" s="324" t="s">
        <v>691</v>
      </c>
      <c r="B576" s="277"/>
      <c r="C576" s="325"/>
      <c r="D576" s="325"/>
      <c r="E576" s="325">
        <v>49.219000000000072</v>
      </c>
      <c r="F576" s="325">
        <v>68.674000000000078</v>
      </c>
      <c r="G576" s="326">
        <v>4.6009999999999813</v>
      </c>
      <c r="H576" s="326">
        <v>34.18</v>
      </c>
      <c r="I576" s="326">
        <v>23.859999999999985</v>
      </c>
      <c r="J576" s="326">
        <v>58.260000000000034</v>
      </c>
      <c r="K576" s="325">
        <v>120.90099999999977</v>
      </c>
      <c r="L576" s="326">
        <v>13.978000000000019</v>
      </c>
      <c r="M576" s="326">
        <v>48.934999999999988</v>
      </c>
      <c r="N576" s="326">
        <v>36.687999999999988</v>
      </c>
      <c r="O576" s="326">
        <v>73.82499999999996</v>
      </c>
      <c r="P576" s="325">
        <v>173.42599999999987</v>
      </c>
      <c r="Q576" s="326">
        <v>18.597000000000012</v>
      </c>
      <c r="R576" s="326">
        <v>61.897000000000034</v>
      </c>
      <c r="S576" s="326">
        <v>49.951999999999948</v>
      </c>
      <c r="T576" s="326">
        <v>74.160999999999945</v>
      </c>
      <c r="U576" s="325">
        <v>204.6069999999998</v>
      </c>
      <c r="V576" s="326">
        <v>0.71000000000003372</v>
      </c>
      <c r="W576" s="326">
        <v>33.174999999999997</v>
      </c>
      <c r="X576" s="326">
        <v>18.146000000000001</v>
      </c>
      <c r="Y576" s="327">
        <v>50.88299999999996</v>
      </c>
      <c r="Z576" s="325">
        <v>102.914</v>
      </c>
      <c r="AA576" s="327">
        <v>8.2759999999999998</v>
      </c>
      <c r="AB576" s="327">
        <v>39.907999999999994</v>
      </c>
      <c r="AC576" s="326">
        <v>48.004999999999995</v>
      </c>
      <c r="AD576" s="327">
        <v>75.108999999999995</v>
      </c>
      <c r="AE576" s="325">
        <v>171.29799999999997</v>
      </c>
      <c r="AF576" s="327">
        <v>49.158000000000001</v>
      </c>
      <c r="AG576" s="327">
        <v>75.466000000000008</v>
      </c>
      <c r="AH576" s="326">
        <v>61.075000000000003</v>
      </c>
      <c r="AI576" s="327">
        <v>101.48499999999999</v>
      </c>
      <c r="AJ576" s="325">
        <v>287.18399999999997</v>
      </c>
      <c r="AK576" s="327">
        <v>70.494</v>
      </c>
      <c r="AL576" s="327">
        <v>105.01300000000001</v>
      </c>
      <c r="AM576" s="326">
        <v>87.76100000000001</v>
      </c>
      <c r="AN576" s="327">
        <v>115.82700000000003</v>
      </c>
      <c r="AO576" s="325">
        <v>379.09499999999997</v>
      </c>
      <c r="AP576" s="327">
        <v>48.067</v>
      </c>
      <c r="AQ576" s="327">
        <v>154.923</v>
      </c>
      <c r="AR576" s="326">
        <v>225.31100000000001</v>
      </c>
      <c r="AS576" s="327">
        <v>192.24099999999999</v>
      </c>
      <c r="AT576" s="325">
        <v>620.54200000000003</v>
      </c>
      <c r="AU576" s="327">
        <v>194.25199999999998</v>
      </c>
      <c r="AV576" s="327">
        <v>262.65500000000003</v>
      </c>
      <c r="AW576" s="326">
        <v>278.71000000000004</v>
      </c>
      <c r="AX576" s="327">
        <v>227.01099999999991</v>
      </c>
      <c r="AY576" s="325">
        <v>962.62799999999993</v>
      </c>
      <c r="AZ576" s="327">
        <v>236.53</v>
      </c>
      <c r="BA576" s="327">
        <v>244.73400000000001</v>
      </c>
      <c r="BB576" s="326">
        <v>180.34900000000002</v>
      </c>
      <c r="BC576" s="327">
        <v>128.21299999999994</v>
      </c>
      <c r="BD576" s="325">
        <v>789.82600000000002</v>
      </c>
      <c r="BE576" s="327">
        <v>110.39200000000001</v>
      </c>
      <c r="BF576" s="327">
        <v>161.364</v>
      </c>
      <c r="BG576" s="326">
        <v>55.163000000000004</v>
      </c>
      <c r="BH576" s="327">
        <v>66.868000000000009</v>
      </c>
      <c r="BI576" s="329">
        <v>393.78700000000003</v>
      </c>
      <c r="BJ576" s="327">
        <v>50.573550556888797</v>
      </c>
      <c r="BK576" s="327">
        <v>149.10355031681883</v>
      </c>
      <c r="BL576" s="327">
        <v>124.48481661928741</v>
      </c>
      <c r="BM576" s="327">
        <v>109.02981374644088</v>
      </c>
      <c r="BN576" s="325">
        <v>433.19173123943597</v>
      </c>
      <c r="BO576" s="327">
        <v>99.686445569457163</v>
      </c>
      <c r="BP576" s="327">
        <v>184.59997162960704</v>
      </c>
      <c r="BQ576" s="327">
        <v>148.30292089551352</v>
      </c>
      <c r="BR576" s="327">
        <v>140.63884404544709</v>
      </c>
      <c r="BS576" s="325">
        <v>573.22818214002484</v>
      </c>
      <c r="BT576" s="325">
        <v>654.25112229760998</v>
      </c>
      <c r="BU576" s="325">
        <v>724.58128314173291</v>
      </c>
      <c r="BV576" s="325">
        <v>790.17581846418773</v>
      </c>
      <c r="BW576" s="197"/>
    </row>
    <row r="577" spans="1:75" s="162" customFormat="1" ht="14.25" hidden="1" outlineLevel="1" x14ac:dyDescent="0.45">
      <c r="A577" s="469"/>
      <c r="B577" s="470"/>
      <c r="C577" s="471"/>
      <c r="D577" s="471"/>
      <c r="E577" s="471"/>
      <c r="F577" s="471"/>
      <c r="G577" s="472"/>
      <c r="H577" s="472"/>
      <c r="I577" s="472"/>
      <c r="J577" s="472"/>
      <c r="K577" s="471"/>
      <c r="L577" s="472"/>
      <c r="M577" s="472"/>
      <c r="N577" s="472"/>
      <c r="O577" s="472"/>
      <c r="P577" s="471"/>
      <c r="Q577" s="472"/>
      <c r="R577" s="472"/>
      <c r="S577" s="472"/>
      <c r="T577" s="472"/>
      <c r="U577" s="471"/>
      <c r="V577" s="472"/>
      <c r="W577" s="472"/>
      <c r="X577" s="472"/>
      <c r="Y577" s="473"/>
      <c r="Z577" s="471"/>
      <c r="AA577" s="473"/>
      <c r="AB577" s="473"/>
      <c r="AC577" s="472"/>
      <c r="AD577" s="473"/>
      <c r="AE577" s="471"/>
      <c r="AF577" s="473"/>
      <c r="AG577" s="473"/>
      <c r="AH577" s="472"/>
      <c r="AI577" s="473"/>
      <c r="AJ577" s="471"/>
      <c r="AK577" s="473"/>
      <c r="AL577" s="473"/>
      <c r="AM577" s="472"/>
      <c r="AN577" s="473"/>
      <c r="AO577" s="471"/>
      <c r="AP577" s="473"/>
      <c r="AQ577" s="473"/>
      <c r="AR577" s="472"/>
      <c r="AS577" s="473"/>
      <c r="AT577" s="471"/>
      <c r="AU577" s="473"/>
      <c r="AV577" s="473"/>
      <c r="AW577" s="472"/>
      <c r="AX577" s="473"/>
      <c r="AY577" s="471"/>
      <c r="AZ577" s="473"/>
      <c r="BA577" s="473"/>
      <c r="BB577" s="472"/>
      <c r="BC577" s="473"/>
      <c r="BD577" s="471"/>
      <c r="BE577" s="473"/>
      <c r="BF577" s="473"/>
      <c r="BG577" s="472"/>
      <c r="BH577" s="473"/>
      <c r="BI577" s="474"/>
      <c r="BJ577" s="473"/>
      <c r="BK577" s="473"/>
      <c r="BL577" s="473"/>
      <c r="BM577" s="473"/>
      <c r="BN577" s="471"/>
      <c r="BO577" s="473"/>
      <c r="BP577" s="473"/>
      <c r="BQ577" s="473"/>
      <c r="BR577" s="473"/>
      <c r="BS577" s="471"/>
      <c r="BT577" s="471"/>
      <c r="BU577" s="471"/>
      <c r="BV577" s="471"/>
      <c r="BW577" s="161"/>
    </row>
    <row r="578" spans="1:75" s="217" customFormat="1" hidden="1" outlineLevel="1" x14ac:dyDescent="0.5">
      <c r="A578" s="475" t="s">
        <v>692</v>
      </c>
      <c r="B578" s="336"/>
      <c r="C578" s="420"/>
      <c r="D578" s="420"/>
      <c r="E578" s="420">
        <v>1</v>
      </c>
      <c r="F578" s="420">
        <v>1</v>
      </c>
      <c r="G578" s="421">
        <v>1</v>
      </c>
      <c r="H578" s="421">
        <v>1</v>
      </c>
      <c r="I578" s="421">
        <v>1</v>
      </c>
      <c r="J578" s="421">
        <v>1</v>
      </c>
      <c r="K578" s="420">
        <v>1</v>
      </c>
      <c r="L578" s="421">
        <v>1</v>
      </c>
      <c r="M578" s="421">
        <v>1</v>
      </c>
      <c r="N578" s="421">
        <v>1</v>
      </c>
      <c r="O578" s="421">
        <v>1</v>
      </c>
      <c r="P578" s="420">
        <v>1</v>
      </c>
      <c r="Q578" s="421">
        <v>1</v>
      </c>
      <c r="R578" s="421">
        <v>1</v>
      </c>
      <c r="S578" s="421">
        <v>1</v>
      </c>
      <c r="T578" s="421">
        <v>1</v>
      </c>
      <c r="U578" s="420">
        <v>1</v>
      </c>
      <c r="V578" s="421">
        <v>1</v>
      </c>
      <c r="W578" s="421">
        <v>0.9741371514694801</v>
      </c>
      <c r="X578" s="421">
        <v>1.0283258018296042</v>
      </c>
      <c r="Y578" s="422">
        <v>1.053141520743667</v>
      </c>
      <c r="Z578" s="420">
        <v>1.0229317682725383</v>
      </c>
      <c r="AA578" s="422">
        <v>1.2153214113098114</v>
      </c>
      <c r="AB578" s="422">
        <v>0.99102936754535442</v>
      </c>
      <c r="AC578" s="421">
        <v>1.014977606499323</v>
      </c>
      <c r="AD578" s="422">
        <v>0.99964052244071944</v>
      </c>
      <c r="AE578" s="420">
        <v>1.0123527420051608</v>
      </c>
      <c r="AF578" s="422">
        <v>0.99776231742544452</v>
      </c>
      <c r="AG578" s="422">
        <v>1.0044788381522805</v>
      </c>
      <c r="AH578" s="421">
        <v>0.99636512484650019</v>
      </c>
      <c r="AI578" s="422">
        <v>1.0090259644282407</v>
      </c>
      <c r="AJ578" s="420">
        <v>1.0032104852638031</v>
      </c>
      <c r="AK578" s="422">
        <v>0.98448094873322556</v>
      </c>
      <c r="AL578" s="422">
        <v>0.99123917991105859</v>
      </c>
      <c r="AM578" s="421">
        <v>0.99059946901243146</v>
      </c>
      <c r="AN578" s="422">
        <v>0.99187581479275122</v>
      </c>
      <c r="AO578" s="420">
        <v>0.9900288845803823</v>
      </c>
      <c r="AP578" s="422">
        <v>1.0301662263091103</v>
      </c>
      <c r="AQ578" s="422">
        <v>0.98984656894069956</v>
      </c>
      <c r="AR578" s="421">
        <v>0.99020021215120435</v>
      </c>
      <c r="AS578" s="422">
        <v>0.99121935487226975</v>
      </c>
      <c r="AT578" s="420">
        <v>0.99352340373415493</v>
      </c>
      <c r="AU578" s="422">
        <v>0.96786648271317677</v>
      </c>
      <c r="AV578" s="422">
        <v>0.9793912166149511</v>
      </c>
      <c r="AW578" s="421">
        <v>0.99060313587600002</v>
      </c>
      <c r="AX578" s="422">
        <v>0.98470118188105416</v>
      </c>
      <c r="AY578" s="420">
        <v>0.98156401018877493</v>
      </c>
      <c r="AZ578" s="422">
        <v>0.96624106878620042</v>
      </c>
      <c r="BA578" s="422">
        <v>0.9704904099961591</v>
      </c>
      <c r="BB578" s="421">
        <v>0.96014948793727706</v>
      </c>
      <c r="BC578" s="422">
        <v>0.95407641970782986</v>
      </c>
      <c r="BD578" s="420">
        <v>0.96419211319961606</v>
      </c>
      <c r="BE578" s="422">
        <v>0.9395698963693021</v>
      </c>
      <c r="BF578" s="422">
        <v>0.95045363278054584</v>
      </c>
      <c r="BG578" s="421">
        <v>0.91003027391548685</v>
      </c>
      <c r="BH578" s="422">
        <v>0.9297122689477777</v>
      </c>
      <c r="BI578" s="442">
        <v>0.93821786905103521</v>
      </c>
      <c r="BJ578" s="422">
        <v>0.89948824762608059</v>
      </c>
      <c r="BK578" s="422">
        <v>0.95265245219129546</v>
      </c>
      <c r="BL578" s="422">
        <v>0.95030518683005594</v>
      </c>
      <c r="BM578" s="422">
        <v>0.95907635440413175</v>
      </c>
      <c r="BN578" s="420">
        <v>0.94738802893665341</v>
      </c>
      <c r="BO578" s="422">
        <v>0.94747798212643475</v>
      </c>
      <c r="BP578" s="422">
        <v>0.96572295488027071</v>
      </c>
      <c r="BQ578" s="422">
        <v>0.94962258079145567</v>
      </c>
      <c r="BR578" s="422">
        <v>0.96822314851680757</v>
      </c>
      <c r="BS578" s="420">
        <v>0.95899808550818311</v>
      </c>
      <c r="BT578" s="420">
        <v>0.96364001143437794</v>
      </c>
      <c r="BU578" s="420">
        <v>0.96678132899565206</v>
      </c>
      <c r="BV578" s="420">
        <v>0.96918895167936714</v>
      </c>
      <c r="BW578" s="216"/>
    </row>
    <row r="579" spans="1:75" s="217" customFormat="1" hidden="1" outlineLevel="1" x14ac:dyDescent="0.5">
      <c r="A579" s="475" t="s">
        <v>693</v>
      </c>
      <c r="B579" s="336"/>
      <c r="C579" s="420"/>
      <c r="D579" s="420"/>
      <c r="E579" s="420">
        <v>0</v>
      </c>
      <c r="F579" s="420">
        <v>0</v>
      </c>
      <c r="G579" s="421">
        <v>0</v>
      </c>
      <c r="H579" s="421">
        <v>0</v>
      </c>
      <c r="I579" s="421">
        <v>0</v>
      </c>
      <c r="J579" s="421">
        <v>0</v>
      </c>
      <c r="K579" s="420">
        <v>0</v>
      </c>
      <c r="L579" s="421">
        <v>0</v>
      </c>
      <c r="M579" s="421">
        <v>0</v>
      </c>
      <c r="N579" s="421">
        <v>0</v>
      </c>
      <c r="O579" s="421">
        <v>0</v>
      </c>
      <c r="P579" s="420">
        <v>0</v>
      </c>
      <c r="Q579" s="421">
        <v>0</v>
      </c>
      <c r="R579" s="421">
        <v>0</v>
      </c>
      <c r="S579" s="421">
        <v>0</v>
      </c>
      <c r="T579" s="421">
        <v>0</v>
      </c>
      <c r="U579" s="420">
        <v>0</v>
      </c>
      <c r="V579" s="421">
        <v>0</v>
      </c>
      <c r="W579" s="421">
        <v>2.5862848530519972E-2</v>
      </c>
      <c r="X579" s="421">
        <v>-2.832580182960432E-2</v>
      </c>
      <c r="Y579" s="422">
        <v>-5.3141520743666883E-2</v>
      </c>
      <c r="Z579" s="420">
        <v>-2.2931768272538233E-2</v>
      </c>
      <c r="AA579" s="422">
        <v>-0.2153214113098115</v>
      </c>
      <c r="AB579" s="422">
        <v>8.9706324546456866E-3</v>
      </c>
      <c r="AC579" s="421">
        <v>-1.4977606499322988E-2</v>
      </c>
      <c r="AD579" s="422">
        <v>3.5947755928050822E-4</v>
      </c>
      <c r="AE579" s="420">
        <v>-1.2352742005160599E-2</v>
      </c>
      <c r="AF579" s="422">
        <v>2.2376825745555147E-3</v>
      </c>
      <c r="AG579" s="422">
        <v>-4.478838152280497E-3</v>
      </c>
      <c r="AH579" s="421">
        <v>3.6348751534997954E-3</v>
      </c>
      <c r="AI579" s="422">
        <v>-9.0259644282406279E-3</v>
      </c>
      <c r="AJ579" s="420">
        <v>-3.210485263802998E-3</v>
      </c>
      <c r="AK579" s="422">
        <v>1.5519051266774478E-2</v>
      </c>
      <c r="AL579" s="422">
        <v>8.7608200889413689E-3</v>
      </c>
      <c r="AM579" s="421">
        <v>9.4005309875685086E-3</v>
      </c>
      <c r="AN579" s="422">
        <v>8.1241852072487346E-3</v>
      </c>
      <c r="AO579" s="420">
        <v>9.9711154196177737E-3</v>
      </c>
      <c r="AP579" s="422">
        <v>-3.01662263091102E-2</v>
      </c>
      <c r="AQ579" s="422">
        <v>1.0153431059300427E-2</v>
      </c>
      <c r="AR579" s="421">
        <v>9.7997878487956647E-3</v>
      </c>
      <c r="AS579" s="422">
        <v>8.7806451277302969E-3</v>
      </c>
      <c r="AT579" s="420">
        <v>6.476596265845019E-3</v>
      </c>
      <c r="AU579" s="422">
        <v>3.2133517286823302E-2</v>
      </c>
      <c r="AV579" s="422">
        <v>2.0608783385048828E-2</v>
      </c>
      <c r="AW579" s="421">
        <v>9.3968641239998568E-3</v>
      </c>
      <c r="AX579" s="422">
        <v>1.5298818118945779E-2</v>
      </c>
      <c r="AY579" s="420">
        <v>1.8435989811225104E-2</v>
      </c>
      <c r="AZ579" s="422">
        <v>3.3758931213799519E-2</v>
      </c>
      <c r="BA579" s="422">
        <v>2.9509590003840905E-2</v>
      </c>
      <c r="BB579" s="421">
        <v>3.9850512062722832E-2</v>
      </c>
      <c r="BC579" s="422">
        <v>4.5923580292170071E-2</v>
      </c>
      <c r="BD579" s="420">
        <v>3.5807886800383881E-2</v>
      </c>
      <c r="BE579" s="422">
        <v>6.0430103630697875E-2</v>
      </c>
      <c r="BF579" s="422">
        <v>4.954636721945415E-2</v>
      </c>
      <c r="BG579" s="421">
        <v>8.996972608451316E-2</v>
      </c>
      <c r="BH579" s="422">
        <v>7.0287731052222274E-2</v>
      </c>
      <c r="BI579" s="442">
        <v>6.1782130948964793E-2</v>
      </c>
      <c r="BJ579" s="422">
        <v>0.10051175237391943</v>
      </c>
      <c r="BK579" s="422">
        <v>4.7347547808704586E-2</v>
      </c>
      <c r="BL579" s="422">
        <v>4.9694813169944112E-2</v>
      </c>
      <c r="BM579" s="422">
        <v>4.0923645595868287E-2</v>
      </c>
      <c r="BN579" s="420">
        <v>5.2611971063346523E-2</v>
      </c>
      <c r="BO579" s="422">
        <v>5.2522017873565252E-2</v>
      </c>
      <c r="BP579" s="422">
        <v>3.4277045119729246E-2</v>
      </c>
      <c r="BQ579" s="422">
        <v>5.0377419208544355E-2</v>
      </c>
      <c r="BR579" s="422">
        <v>3.1776851483192307E-2</v>
      </c>
      <c r="BS579" s="420">
        <v>4.100191449181681E-2</v>
      </c>
      <c r="BT579" s="420">
        <v>3.6359988565622149E-2</v>
      </c>
      <c r="BU579" s="420">
        <v>3.3218671004347999E-2</v>
      </c>
      <c r="BV579" s="420">
        <v>3.0811048320632917E-2</v>
      </c>
      <c r="BW579" s="216"/>
    </row>
    <row r="580" spans="1:75" s="162" customFormat="1" ht="14.25" hidden="1" outlineLevel="1" x14ac:dyDescent="0.45">
      <c r="A580" s="476" t="s">
        <v>694</v>
      </c>
      <c r="B580" s="477"/>
      <c r="C580" s="478"/>
      <c r="D580" s="478"/>
      <c r="E580" s="478">
        <v>1</v>
      </c>
      <c r="F580" s="478">
        <v>1</v>
      </c>
      <c r="G580" s="479">
        <v>1</v>
      </c>
      <c r="H580" s="479">
        <v>1</v>
      </c>
      <c r="I580" s="479">
        <v>1</v>
      </c>
      <c r="J580" s="479">
        <v>1</v>
      </c>
      <c r="K580" s="478">
        <v>1</v>
      </c>
      <c r="L580" s="479">
        <v>1</v>
      </c>
      <c r="M580" s="479">
        <v>1</v>
      </c>
      <c r="N580" s="479">
        <v>1</v>
      </c>
      <c r="O580" s="479">
        <v>1</v>
      </c>
      <c r="P580" s="478">
        <v>1</v>
      </c>
      <c r="Q580" s="479">
        <v>1</v>
      </c>
      <c r="R580" s="479">
        <v>1</v>
      </c>
      <c r="S580" s="479">
        <v>1</v>
      </c>
      <c r="T580" s="479">
        <v>1</v>
      </c>
      <c r="U580" s="478">
        <v>1</v>
      </c>
      <c r="V580" s="479">
        <v>1</v>
      </c>
      <c r="W580" s="479">
        <v>1</v>
      </c>
      <c r="X580" s="479">
        <v>0.99999999999999989</v>
      </c>
      <c r="Y580" s="480">
        <v>1</v>
      </c>
      <c r="Z580" s="478">
        <v>1</v>
      </c>
      <c r="AA580" s="480">
        <v>0.99999999999999989</v>
      </c>
      <c r="AB580" s="480">
        <v>1</v>
      </c>
      <c r="AC580" s="479">
        <v>1</v>
      </c>
      <c r="AD580" s="480">
        <v>1</v>
      </c>
      <c r="AE580" s="478">
        <v>1.0000000000000002</v>
      </c>
      <c r="AF580" s="480">
        <v>1</v>
      </c>
      <c r="AG580" s="480">
        <v>1</v>
      </c>
      <c r="AH580" s="479">
        <v>1</v>
      </c>
      <c r="AI580" s="480">
        <v>1</v>
      </c>
      <c r="AJ580" s="478">
        <v>1</v>
      </c>
      <c r="AK580" s="480">
        <v>1</v>
      </c>
      <c r="AL580" s="480">
        <v>1</v>
      </c>
      <c r="AM580" s="479">
        <v>1</v>
      </c>
      <c r="AN580" s="480">
        <v>1</v>
      </c>
      <c r="AO580" s="478">
        <v>1</v>
      </c>
      <c r="AP580" s="480">
        <v>1</v>
      </c>
      <c r="AQ580" s="480">
        <v>1</v>
      </c>
      <c r="AR580" s="479">
        <v>1</v>
      </c>
      <c r="AS580" s="480">
        <v>1</v>
      </c>
      <c r="AT580" s="478">
        <v>1</v>
      </c>
      <c r="AU580" s="480">
        <v>1</v>
      </c>
      <c r="AV580" s="480">
        <v>0.99999999999999989</v>
      </c>
      <c r="AW580" s="479">
        <v>0.99999999999999989</v>
      </c>
      <c r="AX580" s="480">
        <v>0.99999999999999989</v>
      </c>
      <c r="AY580" s="478">
        <v>1</v>
      </c>
      <c r="AZ580" s="480">
        <v>0.99999999999999989</v>
      </c>
      <c r="BA580" s="480">
        <v>1</v>
      </c>
      <c r="BB580" s="479">
        <v>0.99999999999999989</v>
      </c>
      <c r="BC580" s="480">
        <v>0.99999999999999989</v>
      </c>
      <c r="BD580" s="478">
        <v>1</v>
      </c>
      <c r="BE580" s="480">
        <v>1</v>
      </c>
      <c r="BF580" s="480">
        <v>1</v>
      </c>
      <c r="BG580" s="479">
        <v>1</v>
      </c>
      <c r="BH580" s="480">
        <v>1</v>
      </c>
      <c r="BI580" s="481">
        <v>1</v>
      </c>
      <c r="BJ580" s="480">
        <v>1</v>
      </c>
      <c r="BK580" s="480">
        <v>1</v>
      </c>
      <c r="BL580" s="480">
        <v>1</v>
      </c>
      <c r="BM580" s="480">
        <v>1</v>
      </c>
      <c r="BN580" s="478">
        <v>0.99999999999999989</v>
      </c>
      <c r="BO580" s="480">
        <v>1</v>
      </c>
      <c r="BP580" s="480">
        <v>1</v>
      </c>
      <c r="BQ580" s="480">
        <v>1</v>
      </c>
      <c r="BR580" s="480">
        <v>0.99999999999999989</v>
      </c>
      <c r="BS580" s="478">
        <v>0.99999999999999989</v>
      </c>
      <c r="BT580" s="478">
        <v>1</v>
      </c>
      <c r="BU580" s="478">
        <v>1</v>
      </c>
      <c r="BV580" s="478">
        <v>1</v>
      </c>
      <c r="BW580" s="161"/>
    </row>
    <row r="581" spans="1:75" s="162" customFormat="1" ht="14.25" collapsed="1" x14ac:dyDescent="0.45">
      <c r="A581" s="469"/>
      <c r="B581" s="470"/>
      <c r="C581" s="471"/>
      <c r="D581" s="471"/>
      <c r="E581" s="471"/>
      <c r="F581" s="471"/>
      <c r="G581" s="472"/>
      <c r="H581" s="472"/>
      <c r="I581" s="472"/>
      <c r="J581" s="472"/>
      <c r="K581" s="471"/>
      <c r="L581" s="472"/>
      <c r="M581" s="472"/>
      <c r="N581" s="472"/>
      <c r="O581" s="472"/>
      <c r="P581" s="471"/>
      <c r="Q581" s="472"/>
      <c r="R581" s="472"/>
      <c r="S581" s="472"/>
      <c r="T581" s="472"/>
      <c r="U581" s="471"/>
      <c r="V581" s="472"/>
      <c r="W581" s="472"/>
      <c r="X581" s="472"/>
      <c r="Y581" s="473"/>
      <c r="Z581" s="471"/>
      <c r="AA581" s="473"/>
      <c r="AB581" s="473"/>
      <c r="AC581" s="472"/>
      <c r="AD581" s="473"/>
      <c r="AE581" s="471"/>
      <c r="AF581" s="473"/>
      <c r="AG581" s="473"/>
      <c r="AH581" s="472"/>
      <c r="AI581" s="473"/>
      <c r="AJ581" s="471"/>
      <c r="AK581" s="473"/>
      <c r="AL581" s="473"/>
      <c r="AM581" s="472"/>
      <c r="AN581" s="473"/>
      <c r="AO581" s="471"/>
      <c r="AP581" s="473"/>
      <c r="AQ581" s="473"/>
      <c r="AR581" s="472"/>
      <c r="AS581" s="473"/>
      <c r="AT581" s="471"/>
      <c r="AU581" s="473"/>
      <c r="AV581" s="473"/>
      <c r="AW581" s="472"/>
      <c r="AX581" s="473"/>
      <c r="AY581" s="471"/>
      <c r="AZ581" s="473"/>
      <c r="BA581" s="473"/>
      <c r="BB581" s="472"/>
      <c r="BC581" s="473"/>
      <c r="BD581" s="471"/>
      <c r="BE581" s="473"/>
      <c r="BF581" s="473"/>
      <c r="BG581" s="472"/>
      <c r="BH581" s="473"/>
      <c r="BI581" s="474"/>
      <c r="BJ581" s="473"/>
      <c r="BK581" s="473"/>
      <c r="BL581" s="473"/>
      <c r="BM581" s="473"/>
      <c r="BN581" s="471"/>
      <c r="BO581" s="473"/>
      <c r="BP581" s="473"/>
      <c r="BQ581" s="473"/>
      <c r="BR581" s="473"/>
      <c r="BS581" s="471"/>
      <c r="BT581" s="471"/>
      <c r="BU581" s="471"/>
      <c r="BV581" s="471"/>
      <c r="BW581" s="161"/>
    </row>
    <row r="582" spans="1:75" s="217" customFormat="1" x14ac:dyDescent="0.5">
      <c r="A582" s="475" t="s">
        <v>695</v>
      </c>
      <c r="B582" s="336"/>
      <c r="C582" s="420">
        <v>-4.4054116688109969E-2</v>
      </c>
      <c r="D582" s="420">
        <v>1.0601072530384828E-2</v>
      </c>
      <c r="E582" s="420">
        <v>5.1372322259843679E-2</v>
      </c>
      <c r="F582" s="420">
        <v>5.7561904570318394E-2</v>
      </c>
      <c r="G582" s="421">
        <v>1.5268619519010216E-2</v>
      </c>
      <c r="H582" s="421">
        <v>8.9453490989222659E-2</v>
      </c>
      <c r="I582" s="421">
        <v>6.0278097778855642E-2</v>
      </c>
      <c r="J582" s="421">
        <v>0.12351227702705574</v>
      </c>
      <c r="K582" s="420">
        <v>7.795231472615996E-2</v>
      </c>
      <c r="L582" s="421">
        <v>3.8164770896700152E-2</v>
      </c>
      <c r="M582" s="421">
        <v>0.11281428235500243</v>
      </c>
      <c r="N582" s="421">
        <v>7.569608500541597E-2</v>
      </c>
      <c r="O582" s="421">
        <v>0.12668882684344462</v>
      </c>
      <c r="P582" s="420">
        <v>9.2869206853084016E-2</v>
      </c>
      <c r="Q582" s="421">
        <v>4.4022298760785457E-2</v>
      </c>
      <c r="R582" s="421">
        <v>0.12209878053110619</v>
      </c>
      <c r="S582" s="421">
        <v>9.3822253860269517E-2</v>
      </c>
      <c r="T582" s="421">
        <v>0.11458603725541083</v>
      </c>
      <c r="U582" s="420">
        <v>9.7015845379292337E-2</v>
      </c>
      <c r="V582" s="421">
        <v>1.558877257078694E-3</v>
      </c>
      <c r="W582" s="421">
        <v>6.1836752656816256E-2</v>
      </c>
      <c r="X582" s="421">
        <v>3.5813882965758007E-2</v>
      </c>
      <c r="Y582" s="422">
        <v>9.494776605998749E-2</v>
      </c>
      <c r="Z582" s="420">
        <v>5.1017574637082418E-2</v>
      </c>
      <c r="AA582" s="422">
        <v>1.8851869067790256E-2</v>
      </c>
      <c r="AB582" s="422">
        <v>6.7307005033985359E-2</v>
      </c>
      <c r="AC582" s="421">
        <v>8.6516778118308019E-2</v>
      </c>
      <c r="AD582" s="422">
        <v>0.11764079150025616</v>
      </c>
      <c r="AE582" s="420">
        <v>7.4665699908591412E-2</v>
      </c>
      <c r="AF582" s="422">
        <v>9.3245907373856254E-2</v>
      </c>
      <c r="AG582" s="422">
        <v>0.12437957066700359</v>
      </c>
      <c r="AH582" s="421">
        <v>0.1003727712075478</v>
      </c>
      <c r="AI582" s="422">
        <v>0.16038473164795261</v>
      </c>
      <c r="AJ582" s="420">
        <v>0.12104251524553555</v>
      </c>
      <c r="AK582" s="422">
        <v>0.12302368826435557</v>
      </c>
      <c r="AL582" s="422">
        <v>0.1548247284063731</v>
      </c>
      <c r="AM582" s="421">
        <v>0.13487357541570091</v>
      </c>
      <c r="AN582" s="422">
        <v>0.18152773652043677</v>
      </c>
      <c r="AO582" s="420">
        <v>0.14929561777394135</v>
      </c>
      <c r="AP582" s="422">
        <v>0.10883885729860185</v>
      </c>
      <c r="AQ582" s="422">
        <v>0.22492164043925358</v>
      </c>
      <c r="AR582" s="421">
        <v>0.27422953108732823</v>
      </c>
      <c r="AS582" s="422">
        <v>0.24414784709961285</v>
      </c>
      <c r="AT582" s="420">
        <v>0.22576685543953318</v>
      </c>
      <c r="AU582" s="422">
        <v>0.22932998952212855</v>
      </c>
      <c r="AV582" s="422">
        <v>0.27146170714359585</v>
      </c>
      <c r="AW582" s="421">
        <v>0.28614647321525738</v>
      </c>
      <c r="AX582" s="422">
        <v>0.25982458138740167</v>
      </c>
      <c r="AY582" s="420">
        <v>0.26300449641238954</v>
      </c>
      <c r="AZ582" s="422">
        <v>0.25143902621492098</v>
      </c>
      <c r="BA582" s="422">
        <v>0.25262342822985334</v>
      </c>
      <c r="BB582" s="421">
        <v>0.21084918296276453</v>
      </c>
      <c r="BC582" s="422">
        <v>0.16797162505080687</v>
      </c>
      <c r="BD582" s="420">
        <v>0.224073290535797</v>
      </c>
      <c r="BE582" s="422">
        <v>0.15020796042379903</v>
      </c>
      <c r="BF582" s="422">
        <v>0.20352863114590938</v>
      </c>
      <c r="BG582" s="421">
        <v>7.1199513233606737E-2</v>
      </c>
      <c r="BH582" s="422">
        <v>9.0559221547291277E-2</v>
      </c>
      <c r="BI582" s="442">
        <v>0.1302919258842079</v>
      </c>
      <c r="BJ582" s="422">
        <v>6.7207960423798993E-2</v>
      </c>
      <c r="BK582" s="422">
        <v>0.17852863114590931</v>
      </c>
      <c r="BL582" s="422">
        <v>0.1461995132336068</v>
      </c>
      <c r="BM582" s="422">
        <v>0.13655922154729119</v>
      </c>
      <c r="BN582" s="420">
        <v>0.13467297693010166</v>
      </c>
      <c r="BO582" s="422">
        <v>0.11720796042379908</v>
      </c>
      <c r="BP582" s="422">
        <v>0.19352863114590932</v>
      </c>
      <c r="BQ582" s="422">
        <v>0.15119951323360678</v>
      </c>
      <c r="BR582" s="422">
        <v>0.16155922154729124</v>
      </c>
      <c r="BS582" s="420">
        <v>0.15700657718723765</v>
      </c>
      <c r="BT582" s="420">
        <v>0.17000657718723769</v>
      </c>
      <c r="BU582" s="420">
        <v>0.18300657718723765</v>
      </c>
      <c r="BV582" s="420">
        <v>0.19600657718723771</v>
      </c>
      <c r="BW582" s="216"/>
    </row>
    <row r="583" spans="1:75" s="217" customFormat="1" x14ac:dyDescent="0.5">
      <c r="A583" s="475" t="s">
        <v>696</v>
      </c>
      <c r="B583" s="336"/>
      <c r="C583" s="420">
        <v>0</v>
      </c>
      <c r="D583" s="420">
        <v>0</v>
      </c>
      <c r="E583" s="420">
        <v>0</v>
      </c>
      <c r="F583" s="420">
        <v>0</v>
      </c>
      <c r="G583" s="421">
        <v>0</v>
      </c>
      <c r="H583" s="421">
        <v>0</v>
      </c>
      <c r="I583" s="421">
        <v>0</v>
      </c>
      <c r="J583" s="421">
        <v>0</v>
      </c>
      <c r="K583" s="420">
        <v>0</v>
      </c>
      <c r="L583" s="421">
        <v>0</v>
      </c>
      <c r="M583" s="421">
        <v>0</v>
      </c>
      <c r="N583" s="421">
        <v>0</v>
      </c>
      <c r="O583" s="421">
        <v>0</v>
      </c>
      <c r="P583" s="420">
        <v>0</v>
      </c>
      <c r="Q583" s="421">
        <v>0</v>
      </c>
      <c r="R583" s="421">
        <v>0</v>
      </c>
      <c r="S583" s="421">
        <v>0</v>
      </c>
      <c r="T583" s="421">
        <v>0</v>
      </c>
      <c r="U583" s="420">
        <v>0</v>
      </c>
      <c r="V583" s="421">
        <v>0</v>
      </c>
      <c r="W583" s="421">
        <v>4.1323508163560174E-2</v>
      </c>
      <c r="X583" s="421">
        <v>-1.8161902406275399E-2</v>
      </c>
      <c r="Y583" s="422">
        <v>-0.10495672087877964</v>
      </c>
      <c r="Z583" s="420">
        <v>-3.1539417589907387E-2</v>
      </c>
      <c r="AA583" s="422">
        <v>-6.2412440459512469E-2</v>
      </c>
      <c r="AB583" s="422">
        <v>1.1353185551644308E-2</v>
      </c>
      <c r="AC583" s="421">
        <v>-2.4540086692378577E-2</v>
      </c>
      <c r="AD583" s="422">
        <v>8.5828724012968697E-4</v>
      </c>
      <c r="AE583" s="420">
        <v>-1.7510468214693566E-2</v>
      </c>
      <c r="AF583" s="422">
        <v>3.5032962833211247E-3</v>
      </c>
      <c r="AG583" s="422">
        <v>-1.0182563113815749E-2</v>
      </c>
      <c r="AH583" s="421">
        <v>6.8867105099888332E-3</v>
      </c>
      <c r="AI583" s="422">
        <v>-2.746461981290477E-2</v>
      </c>
      <c r="AJ583" s="420">
        <v>-7.0824467472211765E-3</v>
      </c>
      <c r="AK583" s="422">
        <v>3.1513754861011087E-2</v>
      </c>
      <c r="AL583" s="422">
        <v>2.6911601240273798E-2</v>
      </c>
      <c r="AM583" s="421">
        <v>2.5662560656961549E-2</v>
      </c>
      <c r="AN583" s="422">
        <v>2.9321949395487969E-2</v>
      </c>
      <c r="AO583" s="420">
        <v>2.8390953951074424E-2</v>
      </c>
      <c r="AP583" s="422">
        <v>-5.190063712506264E-2</v>
      </c>
      <c r="AQ583" s="422">
        <v>5.6390034056282484E-2</v>
      </c>
      <c r="AR583" s="421">
        <v>7.0698984982869584E-2</v>
      </c>
      <c r="AS583" s="422">
        <v>5.2520224019912874E-2</v>
      </c>
      <c r="AT583" s="420">
        <v>3.3715311566725949E-2</v>
      </c>
      <c r="AU583" s="422">
        <v>0.15235910078351925</v>
      </c>
      <c r="AV583" s="422">
        <v>0.13125287941611505</v>
      </c>
      <c r="AW583" s="421">
        <v>6.3003680627390604E-2</v>
      </c>
      <c r="AX583" s="422">
        <v>8.4298162576761551E-2</v>
      </c>
      <c r="AY583" s="420">
        <v>0.10757191868006642</v>
      </c>
      <c r="AZ583" s="422">
        <v>0.16517044514314083</v>
      </c>
      <c r="BA583" s="422">
        <v>0.14040203740425367</v>
      </c>
      <c r="BB583" s="421">
        <v>0.15033677781031671</v>
      </c>
      <c r="BC583" s="422">
        <v>0.13305913990644283</v>
      </c>
      <c r="BD583" s="420">
        <v>0.14742570593049381</v>
      </c>
      <c r="BE583" s="422">
        <v>0.13713357727254039</v>
      </c>
      <c r="BF583" s="422">
        <v>0.17036374097040208</v>
      </c>
      <c r="BG583" s="421">
        <v>0.10750801490338792</v>
      </c>
      <c r="BH583" s="422">
        <v>9.0786169596291308E-2</v>
      </c>
      <c r="BI583" s="442">
        <v>0.12572541845598914</v>
      </c>
      <c r="BJ583" s="422">
        <v>0.10713357727254039</v>
      </c>
      <c r="BK583" s="422">
        <v>0.14636374097040206</v>
      </c>
      <c r="BL583" s="422">
        <v>0.12650801490338787</v>
      </c>
      <c r="BM583" s="422">
        <v>8.6786169596291651E-2</v>
      </c>
      <c r="BN583" s="420">
        <v>0.11628447141869865</v>
      </c>
      <c r="BO583" s="422">
        <v>0.10713357727254039</v>
      </c>
      <c r="BP583" s="422">
        <v>0.12736374097040207</v>
      </c>
      <c r="BQ583" s="422">
        <v>0.14550801490338791</v>
      </c>
      <c r="BR583" s="422">
        <v>8.278616959629162E-2</v>
      </c>
      <c r="BS583" s="420">
        <v>0.11528071517506903</v>
      </c>
      <c r="BT583" s="420">
        <v>0.11328071517506902</v>
      </c>
      <c r="BU583" s="420">
        <v>0.111280715175069</v>
      </c>
      <c r="BV583" s="420">
        <v>0.10928071517506899</v>
      </c>
      <c r="BW583" s="216"/>
    </row>
    <row r="584" spans="1:75" s="162" customFormat="1" ht="14.25" x14ac:dyDescent="0.45">
      <c r="A584" s="476" t="s">
        <v>697</v>
      </c>
      <c r="B584" s="477"/>
      <c r="C584" s="478">
        <v>-4.4054116688109969E-2</v>
      </c>
      <c r="D584" s="478">
        <v>1.0601072530384828E-2</v>
      </c>
      <c r="E584" s="478">
        <v>5.1372322259843679E-2</v>
      </c>
      <c r="F584" s="478">
        <v>5.7561904570318394E-2</v>
      </c>
      <c r="G584" s="479">
        <v>1.5268619519010216E-2</v>
      </c>
      <c r="H584" s="479">
        <v>8.9453490989222659E-2</v>
      </c>
      <c r="I584" s="479">
        <v>6.0278097778855642E-2</v>
      </c>
      <c r="J584" s="479">
        <v>0.12351227702705574</v>
      </c>
      <c r="K584" s="478">
        <v>7.795231472615996E-2</v>
      </c>
      <c r="L584" s="479">
        <v>3.8164770896700152E-2</v>
      </c>
      <c r="M584" s="479">
        <v>0.11281428235500243</v>
      </c>
      <c r="N584" s="479">
        <v>7.569608500541597E-2</v>
      </c>
      <c r="O584" s="479">
        <v>0.12668882684344462</v>
      </c>
      <c r="P584" s="478">
        <v>9.2869206853084016E-2</v>
      </c>
      <c r="Q584" s="479">
        <v>4.4022298760785457E-2</v>
      </c>
      <c r="R584" s="479">
        <v>0.12209878053110619</v>
      </c>
      <c r="S584" s="479">
        <v>9.3822253860269517E-2</v>
      </c>
      <c r="T584" s="479">
        <v>0.11458603725541083</v>
      </c>
      <c r="U584" s="478">
        <v>9.7015845379292337E-2</v>
      </c>
      <c r="V584" s="479">
        <v>1.558877257078694E-3</v>
      </c>
      <c r="W584" s="479">
        <v>6.1052926031642592E-2</v>
      </c>
      <c r="X584" s="479">
        <v>3.3033087699880524E-2</v>
      </c>
      <c r="Y584" s="480">
        <v>8.6220890727225608E-2</v>
      </c>
      <c r="Z584" s="478">
        <v>4.812861733928446E-2</v>
      </c>
      <c r="AA584" s="480">
        <v>1.4723882721320832E-2</v>
      </c>
      <c r="AB584" s="480">
        <v>6.4457254348377416E-2</v>
      </c>
      <c r="AC584" s="479">
        <v>8.1024789315293541E-2</v>
      </c>
      <c r="AD584" s="480">
        <v>0.11215504510302578</v>
      </c>
      <c r="AE584" s="478">
        <v>7.0106954257236204E-2</v>
      </c>
      <c r="AF584" s="480">
        <v>8.819065456776562E-2</v>
      </c>
      <c r="AG584" s="480">
        <v>0.11742921118927696</v>
      </c>
      <c r="AH584" s="479">
        <v>9.5652977419162871E-2</v>
      </c>
      <c r="AI584" s="480">
        <v>0.15105913313476899</v>
      </c>
      <c r="AJ584" s="478">
        <v>0.11439834352167348</v>
      </c>
      <c r="AK584" s="480">
        <v>0.11771876680348813</v>
      </c>
      <c r="AL584" s="480">
        <v>0.14863541274482889</v>
      </c>
      <c r="AM584" s="479">
        <v>0.12968545429290013</v>
      </c>
      <c r="AN584" s="480">
        <v>0.17418222612545464</v>
      </c>
      <c r="AO584" s="478">
        <v>0.14321436046067959</v>
      </c>
      <c r="AP584" s="480">
        <v>9.9539237308317569E-2</v>
      </c>
      <c r="AQ584" s="480">
        <v>0.21829733629425893</v>
      </c>
      <c r="AR584" s="479">
        <v>0.26670525595588995</v>
      </c>
      <c r="AS584" s="480">
        <v>0.23656878597921313</v>
      </c>
      <c r="AT584" s="478">
        <v>0.21773411148565322</v>
      </c>
      <c r="AU584" s="480">
        <v>0.22566659541445555</v>
      </c>
      <c r="AV584" s="480">
        <v>0.2656142078901037</v>
      </c>
      <c r="AW584" s="479">
        <v>0.27692989463727158</v>
      </c>
      <c r="AX584" s="480">
        <v>0.25180330123643835</v>
      </c>
      <c r="AY584" s="478">
        <v>0.25618024174876647</v>
      </c>
      <c r="AZ584" s="480">
        <v>0.24708239492234346</v>
      </c>
      <c r="BA584" s="480">
        <v>0.24680220245658629</v>
      </c>
      <c r="BB584" s="479">
        <v>0.2075204875118806</v>
      </c>
      <c r="BC584" s="480">
        <v>0.16597173588574191</v>
      </c>
      <c r="BD584" s="478">
        <v>0.21997801406331249</v>
      </c>
      <c r="BE584" s="480">
        <v>0.14934750433599131</v>
      </c>
      <c r="BF584" s="480">
        <v>0.20158430139953706</v>
      </c>
      <c r="BG584" s="479">
        <v>7.3430729807980363E-2</v>
      </c>
      <c r="BH584" s="480">
        <v>9.0575136130902664E-2</v>
      </c>
      <c r="BI584" s="481">
        <v>0.13000020467950166</v>
      </c>
      <c r="BJ584" s="480">
        <v>6.9823394834754499E-2</v>
      </c>
      <c r="BK584" s="480">
        <v>0.17669015326014884</v>
      </c>
      <c r="BL584" s="480">
        <v>0.14507731060857668</v>
      </c>
      <c r="BM584" s="480">
        <v>0.13342763898013413</v>
      </c>
      <c r="BN584" s="478">
        <v>0.13356177886019002</v>
      </c>
      <c r="BO584" s="480">
        <v>0.1166319216835898</v>
      </c>
      <c r="BP584" s="480">
        <v>0.19014280188013785</v>
      </c>
      <c r="BQ584" s="480">
        <v>0.15090216109148008</v>
      </c>
      <c r="BR584" s="480">
        <v>0.15681761417485376</v>
      </c>
      <c r="BS584" s="478">
        <v>0.15471057242751629</v>
      </c>
      <c r="BT584" s="478">
        <v>0.16696654404694461</v>
      </c>
      <c r="BU584" s="478">
        <v>0.1791703504763871</v>
      </c>
      <c r="BV584" s="478">
        <v>0.19132824916652977</v>
      </c>
      <c r="BW584" s="161"/>
    </row>
    <row r="585" spans="1:75" s="162" customFormat="1" ht="14.25" x14ac:dyDescent="0.45">
      <c r="A585" s="469"/>
      <c r="B585" s="470"/>
      <c r="C585" s="471"/>
      <c r="D585" s="471"/>
      <c r="E585" s="471"/>
      <c r="F585" s="471"/>
      <c r="G585" s="472"/>
      <c r="H585" s="472"/>
      <c r="I585" s="472"/>
      <c r="J585" s="472"/>
      <c r="K585" s="471"/>
      <c r="L585" s="472"/>
      <c r="M585" s="472"/>
      <c r="N585" s="472"/>
      <c r="O585" s="472"/>
      <c r="P585" s="471"/>
      <c r="Q585" s="472"/>
      <c r="R585" s="472"/>
      <c r="S585" s="472"/>
      <c r="T585" s="472"/>
      <c r="U585" s="471"/>
      <c r="V585" s="472"/>
      <c r="W585" s="472"/>
      <c r="X585" s="472"/>
      <c r="Y585" s="473"/>
      <c r="Z585" s="471"/>
      <c r="AA585" s="473"/>
      <c r="AB585" s="473"/>
      <c r="AC585" s="472"/>
      <c r="AD585" s="473"/>
      <c r="AE585" s="471"/>
      <c r="AF585" s="473"/>
      <c r="AG585" s="473"/>
      <c r="AH585" s="472"/>
      <c r="AI585" s="473"/>
      <c r="AJ585" s="471"/>
      <c r="AK585" s="473"/>
      <c r="AL585" s="473"/>
      <c r="AM585" s="472"/>
      <c r="AN585" s="473"/>
      <c r="AO585" s="471"/>
      <c r="AP585" s="473"/>
      <c r="AQ585" s="473"/>
      <c r="AR585" s="472"/>
      <c r="AS585" s="473"/>
      <c r="AT585" s="471"/>
      <c r="AU585" s="473"/>
      <c r="AV585" s="473"/>
      <c r="AW585" s="472"/>
      <c r="AX585" s="473"/>
      <c r="AY585" s="471"/>
      <c r="AZ585" s="473"/>
      <c r="BA585" s="473"/>
      <c r="BB585" s="472"/>
      <c r="BC585" s="473"/>
      <c r="BD585" s="471"/>
      <c r="BE585" s="473"/>
      <c r="BF585" s="473"/>
      <c r="BG585" s="472"/>
      <c r="BH585" s="473"/>
      <c r="BI585" s="474"/>
      <c r="BJ585" s="473"/>
      <c r="BK585" s="473"/>
      <c r="BL585" s="473"/>
      <c r="BM585" s="473"/>
      <c r="BN585" s="471"/>
      <c r="BO585" s="473"/>
      <c r="BP585" s="473"/>
      <c r="BQ585" s="473"/>
      <c r="BR585" s="473"/>
      <c r="BS585" s="471"/>
      <c r="BT585" s="471"/>
      <c r="BU585" s="471"/>
      <c r="BV585" s="471"/>
      <c r="BW585" s="161"/>
    </row>
    <row r="586" spans="1:75" s="169" customFormat="1" ht="14.25" x14ac:dyDescent="0.45">
      <c r="A586" s="482" t="s">
        <v>698</v>
      </c>
      <c r="B586" s="482"/>
      <c r="C586" s="483"/>
      <c r="D586" s="483"/>
      <c r="E586" s="483"/>
      <c r="F586" s="483"/>
      <c r="G586" s="483"/>
      <c r="H586" s="483"/>
      <c r="I586" s="483"/>
      <c r="J586" s="483"/>
      <c r="K586" s="483"/>
      <c r="L586" s="483"/>
      <c r="M586" s="483"/>
      <c r="N586" s="483"/>
      <c r="O586" s="483"/>
      <c r="P586" s="483"/>
      <c r="Q586" s="483"/>
      <c r="R586" s="483"/>
      <c r="S586" s="483"/>
      <c r="T586" s="483"/>
      <c r="U586" s="483"/>
      <c r="V586" s="483"/>
      <c r="W586" s="483"/>
      <c r="X586" s="483"/>
      <c r="Y586" s="483"/>
      <c r="Z586" s="483"/>
      <c r="AA586" s="483"/>
      <c r="AB586" s="483"/>
      <c r="AC586" s="483"/>
      <c r="AD586" s="483"/>
      <c r="AE586" s="483"/>
      <c r="AF586" s="483"/>
      <c r="AG586" s="483"/>
      <c r="AH586" s="483"/>
      <c r="AI586" s="483"/>
      <c r="AJ586" s="483"/>
      <c r="AK586" s="483"/>
      <c r="AL586" s="483"/>
      <c r="AM586" s="483"/>
      <c r="AN586" s="483"/>
      <c r="AO586" s="483"/>
      <c r="AP586" s="483"/>
      <c r="AQ586" s="483"/>
      <c r="AR586" s="483"/>
      <c r="AS586" s="483"/>
      <c r="AT586" s="483"/>
      <c r="AU586" s="483"/>
      <c r="AV586" s="483"/>
      <c r="AW586" s="483"/>
      <c r="AX586" s="483"/>
      <c r="AY586" s="483"/>
      <c r="AZ586" s="483"/>
      <c r="BA586" s="483"/>
      <c r="BB586" s="483"/>
      <c r="BC586" s="483"/>
      <c r="BD586" s="483"/>
      <c r="BE586" s="483"/>
      <c r="BF586" s="483"/>
      <c r="BG586" s="483"/>
      <c r="BH586" s="483"/>
      <c r="BI586" s="484"/>
      <c r="BJ586" s="483"/>
      <c r="BK586" s="483"/>
      <c r="BL586" s="483"/>
      <c r="BM586" s="483"/>
      <c r="BN586" s="483"/>
      <c r="BO586" s="483"/>
      <c r="BP586" s="483"/>
      <c r="BQ586" s="483"/>
      <c r="BR586" s="483"/>
      <c r="BS586" s="483"/>
      <c r="BT586" s="483"/>
      <c r="BU586" s="483"/>
      <c r="BV586" s="483"/>
      <c r="BW586" s="168"/>
    </row>
    <row r="587" spans="1:75" s="169" customFormat="1" ht="14.25" hidden="1" outlineLevel="1" x14ac:dyDescent="0.45">
      <c r="A587" s="206" t="s">
        <v>699</v>
      </c>
      <c r="B587" s="485"/>
      <c r="C587" s="293">
        <v>625.68499999999995</v>
      </c>
      <c r="D587" s="293">
        <v>772.75199999999995</v>
      </c>
      <c r="E587" s="293">
        <v>958.08400000000006</v>
      </c>
      <c r="F587" s="293">
        <v>1193.046</v>
      </c>
      <c r="G587" s="294">
        <v>301.33699999999999</v>
      </c>
      <c r="H587" s="294">
        <v>382.09800000000001</v>
      </c>
      <c r="I587" s="294">
        <v>395.83199999999999</v>
      </c>
      <c r="J587" s="294">
        <v>471.69400000000002</v>
      </c>
      <c r="K587" s="293">
        <v>1550.9609999999998</v>
      </c>
      <c r="L587" s="294">
        <v>366.25400000000002</v>
      </c>
      <c r="M587" s="294">
        <v>433.76600000000002</v>
      </c>
      <c r="N587" s="294">
        <v>484.67500000000001</v>
      </c>
      <c r="O587" s="294">
        <v>582.72699999999998</v>
      </c>
      <c r="P587" s="293">
        <v>1867.422</v>
      </c>
      <c r="Q587" s="294">
        <v>422.44499999999999</v>
      </c>
      <c r="R587" s="294">
        <v>506.94200000000001</v>
      </c>
      <c r="S587" s="294">
        <v>532.41099999999994</v>
      </c>
      <c r="T587" s="294">
        <v>647.20800000000008</v>
      </c>
      <c r="U587" s="293">
        <v>2109.0059999999999</v>
      </c>
      <c r="V587" s="294">
        <v>455.45600000000002</v>
      </c>
      <c r="W587" s="294">
        <v>543.38099999999997</v>
      </c>
      <c r="X587" s="294">
        <v>549.32799999999997</v>
      </c>
      <c r="Y587" s="294">
        <v>586.70600000000013</v>
      </c>
      <c r="Z587" s="293">
        <v>2134.8710000000001</v>
      </c>
      <c r="AA587" s="294">
        <v>562.08000000000004</v>
      </c>
      <c r="AB587" s="294">
        <v>615.32600000000002</v>
      </c>
      <c r="AC587" s="294">
        <v>592.47299999999996</v>
      </c>
      <c r="AD587" s="294">
        <v>670.29500000000007</v>
      </c>
      <c r="AE587" s="293">
        <v>2440.174</v>
      </c>
      <c r="AF587" s="294">
        <v>557.40599999999995</v>
      </c>
      <c r="AG587" s="294">
        <v>640.798</v>
      </c>
      <c r="AH587" s="294">
        <v>636.55799999999999</v>
      </c>
      <c r="AI587" s="294">
        <v>670.89099999999985</v>
      </c>
      <c r="AJ587" s="293">
        <v>2505.6529999999998</v>
      </c>
      <c r="AK587" s="294">
        <v>598.42100000000005</v>
      </c>
      <c r="AL587" s="294">
        <v>706.51400000000001</v>
      </c>
      <c r="AM587" s="294">
        <v>677.52599999999995</v>
      </c>
      <c r="AN587" s="294">
        <v>664.97600000000011</v>
      </c>
      <c r="AO587" s="293">
        <v>2647.4369999999999</v>
      </c>
      <c r="AP587" s="294">
        <v>482.89499999999998</v>
      </c>
      <c r="AQ587" s="294">
        <v>709.28200000000004</v>
      </c>
      <c r="AR587" s="294">
        <v>844.01300000000003</v>
      </c>
      <c r="AS587" s="294">
        <v>812.43600000000015</v>
      </c>
      <c r="AT587" s="293">
        <v>2848.6260000000002</v>
      </c>
      <c r="AU587" s="294">
        <v>860.79200000000003</v>
      </c>
      <c r="AV587" s="294">
        <v>988.85900000000004</v>
      </c>
      <c r="AW587" s="294">
        <v>1006.428</v>
      </c>
      <c r="AX587" s="294">
        <v>902.74099999999999</v>
      </c>
      <c r="AY587" s="293">
        <v>3758.82</v>
      </c>
      <c r="AZ587" s="294">
        <v>957.29200000000003</v>
      </c>
      <c r="BA587" s="294">
        <v>991.62</v>
      </c>
      <c r="BB587" s="294">
        <v>869.06600000000003</v>
      </c>
      <c r="BC587" s="294">
        <v>772.4989999999998</v>
      </c>
      <c r="BD587" s="293">
        <v>3590.4769999999999</v>
      </c>
      <c r="BE587" s="294">
        <v>739.16200000000003</v>
      </c>
      <c r="BF587" s="294">
        <v>800.47900000000004</v>
      </c>
      <c r="BG587" s="294">
        <v>751.22500000000002</v>
      </c>
      <c r="BH587" s="294">
        <v>738.26000000000022</v>
      </c>
      <c r="BI587" s="297">
        <v>3029.1260000000002</v>
      </c>
      <c r="BJ587" s="294">
        <v>724.30666937030503</v>
      </c>
      <c r="BK587" s="294">
        <v>843.87017366659359</v>
      </c>
      <c r="BL587" s="294">
        <v>858.05847997245769</v>
      </c>
      <c r="BM587" s="294">
        <v>817.14564223589525</v>
      </c>
      <c r="BN587" s="293">
        <v>3243.3809652452514</v>
      </c>
      <c r="BO587" s="294">
        <v>854.70979240054055</v>
      </c>
      <c r="BP587" s="294">
        <v>970.84911868488791</v>
      </c>
      <c r="BQ587" s="294">
        <v>982.77532821819</v>
      </c>
      <c r="BR587" s="294">
        <v>896.8306576111587</v>
      </c>
      <c r="BS587" s="293">
        <v>3705.1648969147768</v>
      </c>
      <c r="BT587" s="293">
        <v>3918.4563951545861</v>
      </c>
      <c r="BU587" s="293">
        <v>4044.0914538325114</v>
      </c>
      <c r="BV587" s="293">
        <v>4129.9485146933448</v>
      </c>
      <c r="BW587" s="247"/>
    </row>
    <row r="588" spans="1:75" s="224" customFormat="1" hidden="1" outlineLevel="1" x14ac:dyDescent="0.5">
      <c r="A588" s="445" t="s">
        <v>700</v>
      </c>
      <c r="B588" s="486"/>
      <c r="C588" s="309">
        <v>0</v>
      </c>
      <c r="D588" s="309">
        <v>0</v>
      </c>
      <c r="E588" s="309">
        <v>0</v>
      </c>
      <c r="F588" s="309">
        <v>0</v>
      </c>
      <c r="G588" s="310">
        <v>0</v>
      </c>
      <c r="H588" s="310">
        <v>0</v>
      </c>
      <c r="I588" s="310">
        <v>0</v>
      </c>
      <c r="J588" s="310">
        <v>0</v>
      </c>
      <c r="K588" s="309">
        <v>0</v>
      </c>
      <c r="L588" s="310">
        <v>0</v>
      </c>
      <c r="M588" s="310">
        <v>0</v>
      </c>
      <c r="N588" s="310">
        <v>0</v>
      </c>
      <c r="O588" s="310">
        <v>0</v>
      </c>
      <c r="P588" s="309">
        <v>0</v>
      </c>
      <c r="Q588" s="310">
        <v>0</v>
      </c>
      <c r="R588" s="310">
        <v>0</v>
      </c>
      <c r="S588" s="310">
        <v>0</v>
      </c>
      <c r="T588" s="310">
        <v>0</v>
      </c>
      <c r="U588" s="309">
        <v>0</v>
      </c>
      <c r="V588" s="310">
        <v>0</v>
      </c>
      <c r="W588" s="310">
        <v>0</v>
      </c>
      <c r="X588" s="310">
        <v>0</v>
      </c>
      <c r="Y588" s="310">
        <v>3.4409999999999998</v>
      </c>
      <c r="Z588" s="309">
        <v>3.4409999999999998</v>
      </c>
      <c r="AA588" s="310">
        <v>0</v>
      </c>
      <c r="AB588" s="310">
        <v>3.8130000000000002</v>
      </c>
      <c r="AC588" s="310">
        <v>0</v>
      </c>
      <c r="AD588" s="310">
        <v>-0.60599999999999998</v>
      </c>
      <c r="AE588" s="309">
        <v>3.2069999999999999</v>
      </c>
      <c r="AF588" s="310">
        <v>0</v>
      </c>
      <c r="AG588" s="310">
        <v>1.853</v>
      </c>
      <c r="AH588" s="310">
        <v>1.948</v>
      </c>
      <c r="AI588" s="310">
        <v>0.93200000000000005</v>
      </c>
      <c r="AJ588" s="309">
        <v>4.7329999999999997</v>
      </c>
      <c r="AK588" s="310">
        <v>0.41299999999999998</v>
      </c>
      <c r="AL588" s="310">
        <v>0</v>
      </c>
      <c r="AM588" s="310">
        <v>-0.80400000000000005</v>
      </c>
      <c r="AN588" s="310">
        <v>0</v>
      </c>
      <c r="AO588" s="309">
        <v>-0.39100000000000001</v>
      </c>
      <c r="AP588" s="310">
        <v>0</v>
      </c>
      <c r="AQ588" s="310">
        <v>0.40600000000000003</v>
      </c>
      <c r="AR588" s="310">
        <v>0.78100000000000003</v>
      </c>
      <c r="AS588" s="310">
        <v>0.186</v>
      </c>
      <c r="AT588" s="309">
        <v>1.373</v>
      </c>
      <c r="AU588" s="310">
        <v>0</v>
      </c>
      <c r="AV588" s="310">
        <v>0</v>
      </c>
      <c r="AW588" s="310">
        <v>0</v>
      </c>
      <c r="AX588" s="310">
        <v>-1.2</v>
      </c>
      <c r="AY588" s="309">
        <v>-1.2</v>
      </c>
      <c r="AZ588" s="310">
        <v>0</v>
      </c>
      <c r="BA588" s="310">
        <v>0</v>
      </c>
      <c r="BB588" s="310">
        <v>0</v>
      </c>
      <c r="BC588" s="310">
        <v>0</v>
      </c>
      <c r="BD588" s="309">
        <v>0</v>
      </c>
      <c r="BE588" s="310">
        <v>0</v>
      </c>
      <c r="BF588" s="310">
        <v>0</v>
      </c>
      <c r="BG588" s="310">
        <v>0</v>
      </c>
      <c r="BH588" s="310">
        <v>0</v>
      </c>
      <c r="BI588" s="314">
        <v>0</v>
      </c>
      <c r="BJ588" s="310">
        <v>0</v>
      </c>
      <c r="BK588" s="310">
        <v>0</v>
      </c>
      <c r="BL588" s="310">
        <v>0</v>
      </c>
      <c r="BM588" s="310">
        <v>0</v>
      </c>
      <c r="BN588" s="309">
        <v>0</v>
      </c>
      <c r="BO588" s="310">
        <v>0</v>
      </c>
      <c r="BP588" s="310">
        <v>0</v>
      </c>
      <c r="BQ588" s="310">
        <v>0</v>
      </c>
      <c r="BR588" s="310">
        <v>0</v>
      </c>
      <c r="BS588" s="309">
        <v>0</v>
      </c>
      <c r="BT588" s="309">
        <v>0</v>
      </c>
      <c r="BU588" s="309">
        <v>0</v>
      </c>
      <c r="BV588" s="309">
        <v>0</v>
      </c>
      <c r="BW588" s="487"/>
    </row>
    <row r="589" spans="1:75" s="169" customFormat="1" ht="14.25" collapsed="1" x14ac:dyDescent="0.45">
      <c r="A589" s="206" t="s">
        <v>701</v>
      </c>
      <c r="B589" s="485"/>
      <c r="C589" s="293">
        <v>625.68499999999995</v>
      </c>
      <c r="D589" s="293">
        <v>772.75199999999995</v>
      </c>
      <c r="E589" s="293">
        <v>958.08400000000006</v>
      </c>
      <c r="F589" s="293">
        <v>1193.046</v>
      </c>
      <c r="G589" s="294">
        <v>301.33699999999999</v>
      </c>
      <c r="H589" s="294">
        <v>382.09800000000001</v>
      </c>
      <c r="I589" s="294">
        <v>395.83199999999999</v>
      </c>
      <c r="J589" s="294">
        <v>471.69400000000002</v>
      </c>
      <c r="K589" s="293">
        <v>1550.9609999999998</v>
      </c>
      <c r="L589" s="294">
        <v>366.25400000000002</v>
      </c>
      <c r="M589" s="294">
        <v>433.76600000000002</v>
      </c>
      <c r="N589" s="294">
        <v>484.67500000000001</v>
      </c>
      <c r="O589" s="294">
        <v>582.72699999999998</v>
      </c>
      <c r="P589" s="293">
        <v>1867.422</v>
      </c>
      <c r="Q589" s="294">
        <v>422.44499999999999</v>
      </c>
      <c r="R589" s="294">
        <v>506.94200000000001</v>
      </c>
      <c r="S589" s="294">
        <v>532.41099999999994</v>
      </c>
      <c r="T589" s="294">
        <v>647.20800000000008</v>
      </c>
      <c r="U589" s="293">
        <v>2109.0059999999999</v>
      </c>
      <c r="V589" s="294">
        <v>455.45600000000002</v>
      </c>
      <c r="W589" s="294">
        <v>543.38099999999997</v>
      </c>
      <c r="X589" s="294">
        <v>549.32799999999997</v>
      </c>
      <c r="Y589" s="294">
        <v>590.14700000000016</v>
      </c>
      <c r="Z589" s="293">
        <v>2138.3119999999999</v>
      </c>
      <c r="AA589" s="294">
        <v>562.08000000000004</v>
      </c>
      <c r="AB589" s="294">
        <v>619.13900000000001</v>
      </c>
      <c r="AC589" s="294">
        <v>592.47299999999996</v>
      </c>
      <c r="AD589" s="294">
        <v>669.68900000000008</v>
      </c>
      <c r="AE589" s="293">
        <v>2443.3809999999999</v>
      </c>
      <c r="AF589" s="294">
        <v>557.40599999999995</v>
      </c>
      <c r="AG589" s="294">
        <v>642.65099999999995</v>
      </c>
      <c r="AH589" s="294">
        <v>638.50599999999997</v>
      </c>
      <c r="AI589" s="294">
        <v>671.82299999999987</v>
      </c>
      <c r="AJ589" s="293">
        <v>2510.386</v>
      </c>
      <c r="AK589" s="294">
        <v>598.83400000000006</v>
      </c>
      <c r="AL589" s="294">
        <v>706.51400000000001</v>
      </c>
      <c r="AM589" s="294">
        <v>676.72199999999998</v>
      </c>
      <c r="AN589" s="294">
        <v>664.97600000000011</v>
      </c>
      <c r="AO589" s="293">
        <v>2647.0459999999998</v>
      </c>
      <c r="AP589" s="294">
        <v>482.89499999999998</v>
      </c>
      <c r="AQ589" s="294">
        <v>709.68799999999999</v>
      </c>
      <c r="AR589" s="294">
        <v>844.79399999999998</v>
      </c>
      <c r="AS589" s="294">
        <v>812.62200000000018</v>
      </c>
      <c r="AT589" s="293">
        <v>2849.9990000000003</v>
      </c>
      <c r="AU589" s="294">
        <v>860.79200000000003</v>
      </c>
      <c r="AV589" s="294">
        <v>988.85900000000004</v>
      </c>
      <c r="AW589" s="294">
        <v>1006.428</v>
      </c>
      <c r="AX589" s="294">
        <v>901.54099999999994</v>
      </c>
      <c r="AY589" s="293">
        <v>3757.6200000000003</v>
      </c>
      <c r="AZ589" s="294">
        <v>957.29200000000003</v>
      </c>
      <c r="BA589" s="294">
        <v>991.62</v>
      </c>
      <c r="BB589" s="294">
        <v>869.06600000000003</v>
      </c>
      <c r="BC589" s="294">
        <v>772.4989999999998</v>
      </c>
      <c r="BD589" s="293">
        <v>3590.4769999999999</v>
      </c>
      <c r="BE589" s="294">
        <v>739.16200000000003</v>
      </c>
      <c r="BF589" s="294">
        <v>800.47900000000004</v>
      </c>
      <c r="BG589" s="294">
        <v>751.22500000000002</v>
      </c>
      <c r="BH589" s="294">
        <v>738.26000000000022</v>
      </c>
      <c r="BI589" s="297">
        <v>3029.1260000000002</v>
      </c>
      <c r="BJ589" s="294">
        <v>724.30666937030503</v>
      </c>
      <c r="BK589" s="294">
        <v>843.87017366659359</v>
      </c>
      <c r="BL589" s="294">
        <v>858.05847997245769</v>
      </c>
      <c r="BM589" s="294">
        <v>817.14564223589525</v>
      </c>
      <c r="BN589" s="293">
        <v>3243.3809652452514</v>
      </c>
      <c r="BO589" s="294">
        <v>854.70979240054055</v>
      </c>
      <c r="BP589" s="294">
        <v>970.84911868488791</v>
      </c>
      <c r="BQ589" s="294">
        <v>982.77532821819</v>
      </c>
      <c r="BR589" s="294">
        <v>896.8306576111587</v>
      </c>
      <c r="BS589" s="293">
        <v>3705.1648969147768</v>
      </c>
      <c r="BT589" s="293">
        <v>3918.4563951545861</v>
      </c>
      <c r="BU589" s="293">
        <v>4044.0914538325114</v>
      </c>
      <c r="BV589" s="293">
        <v>4129.9485146933448</v>
      </c>
      <c r="BW589" s="247"/>
    </row>
    <row r="590" spans="1:75" s="205" customFormat="1" ht="14.25" x14ac:dyDescent="0.45">
      <c r="A590" s="199" t="s">
        <v>188</v>
      </c>
      <c r="B590" s="413"/>
      <c r="C590" s="411"/>
      <c r="D590" s="411"/>
      <c r="E590" s="411"/>
      <c r="F590" s="411"/>
      <c r="G590" s="412"/>
      <c r="H590" s="412"/>
      <c r="I590" s="412"/>
      <c r="J590" s="412"/>
      <c r="K590" s="411"/>
      <c r="L590" s="412"/>
      <c r="M590" s="412"/>
      <c r="N590" s="412"/>
      <c r="O590" s="412"/>
      <c r="P590" s="411"/>
      <c r="Q590" s="412"/>
      <c r="R590" s="412"/>
      <c r="S590" s="412"/>
      <c r="T590" s="412"/>
      <c r="U590" s="411"/>
      <c r="V590" s="412"/>
      <c r="W590" s="412"/>
      <c r="X590" s="412"/>
      <c r="Y590" s="412"/>
      <c r="Z590" s="411"/>
      <c r="AA590" s="412"/>
      <c r="AB590" s="412"/>
      <c r="AC590" s="412"/>
      <c r="AD590" s="412"/>
      <c r="AE590" s="411"/>
      <c r="AF590" s="412"/>
      <c r="AG590" s="412"/>
      <c r="AH590" s="412"/>
      <c r="AI590" s="412"/>
      <c r="AJ590" s="411"/>
      <c r="AK590" s="412"/>
      <c r="AL590" s="412"/>
      <c r="AM590" s="412"/>
      <c r="AN590" s="412"/>
      <c r="AO590" s="411"/>
      <c r="AP590" s="412"/>
      <c r="AQ590" s="412"/>
      <c r="AR590" s="412"/>
      <c r="AS590" s="412"/>
      <c r="AT590" s="411"/>
      <c r="AU590" s="412"/>
      <c r="AV590" s="412"/>
      <c r="AW590" s="412"/>
      <c r="AX590" s="412"/>
      <c r="AY590" s="411"/>
      <c r="AZ590" s="412"/>
      <c r="BA590" s="412"/>
      <c r="BB590" s="412"/>
      <c r="BC590" s="412"/>
      <c r="BD590" s="411"/>
      <c r="BE590" s="412"/>
      <c r="BF590" s="412"/>
      <c r="BG590" s="412"/>
      <c r="BH590" s="412"/>
      <c r="BI590" s="488"/>
      <c r="BJ590" s="412" t="s">
        <v>189</v>
      </c>
      <c r="BK590" s="412" t="s">
        <v>189</v>
      </c>
      <c r="BL590" s="412" t="s">
        <v>189</v>
      </c>
      <c r="BM590" s="412" t="s">
        <v>189</v>
      </c>
      <c r="BN590" s="411" t="s">
        <v>189</v>
      </c>
      <c r="BO590" s="412" t="s">
        <v>189</v>
      </c>
      <c r="BP590" s="412" t="s">
        <v>189</v>
      </c>
      <c r="BQ590" s="412" t="s">
        <v>189</v>
      </c>
      <c r="BR590" s="412" t="s">
        <v>189</v>
      </c>
      <c r="BS590" s="411" t="s">
        <v>189</v>
      </c>
      <c r="BT590" s="411" t="s">
        <v>189</v>
      </c>
      <c r="BU590" s="411" t="s">
        <v>189</v>
      </c>
      <c r="BV590" s="411" t="s">
        <v>189</v>
      </c>
      <c r="BW590" s="204"/>
    </row>
    <row r="591" spans="1:75" s="205" customFormat="1" ht="14.25" x14ac:dyDescent="0.45">
      <c r="A591" s="199" t="s">
        <v>702</v>
      </c>
      <c r="B591" s="413"/>
      <c r="C591" s="411"/>
      <c r="D591" s="411">
        <v>147.06700000000001</v>
      </c>
      <c r="E591" s="411">
        <v>185.33200000000011</v>
      </c>
      <c r="F591" s="411">
        <v>234.96199999999999</v>
      </c>
      <c r="G591" s="412"/>
      <c r="H591" s="412"/>
      <c r="I591" s="412"/>
      <c r="J591" s="412"/>
      <c r="K591" s="411">
        <v>357.91499999999974</v>
      </c>
      <c r="L591" s="412">
        <v>64.91700000000003</v>
      </c>
      <c r="M591" s="412">
        <v>51.668000000000006</v>
      </c>
      <c r="N591" s="412">
        <v>88.843000000000018</v>
      </c>
      <c r="O591" s="412">
        <v>111.03299999999996</v>
      </c>
      <c r="P591" s="411">
        <v>316.46100000000024</v>
      </c>
      <c r="Q591" s="412">
        <v>56.190999999999974</v>
      </c>
      <c r="R591" s="412">
        <v>73.175999999999988</v>
      </c>
      <c r="S591" s="412">
        <v>47.735999999999933</v>
      </c>
      <c r="T591" s="412">
        <v>64.481000000000108</v>
      </c>
      <c r="U591" s="411">
        <v>241.58399999999983</v>
      </c>
      <c r="V591" s="412">
        <v>33.011000000000024</v>
      </c>
      <c r="W591" s="412">
        <v>36.438999999999965</v>
      </c>
      <c r="X591" s="412">
        <v>16.91700000000003</v>
      </c>
      <c r="Y591" s="412">
        <v>-57.060999999999922</v>
      </c>
      <c r="Z591" s="411">
        <v>29.30600000000004</v>
      </c>
      <c r="AA591" s="412">
        <v>106.62400000000002</v>
      </c>
      <c r="AB591" s="412">
        <v>75.758000000000038</v>
      </c>
      <c r="AC591" s="412">
        <v>43.144999999999982</v>
      </c>
      <c r="AD591" s="412">
        <v>79.541999999999916</v>
      </c>
      <c r="AE591" s="411">
        <v>305.06899999999996</v>
      </c>
      <c r="AF591" s="412">
        <v>-4.6740000000000919</v>
      </c>
      <c r="AG591" s="412">
        <v>23.511999999999944</v>
      </c>
      <c r="AH591" s="412">
        <v>46.033000000000015</v>
      </c>
      <c r="AI591" s="412">
        <v>2.1339999999997872</v>
      </c>
      <c r="AJ591" s="411">
        <v>67.005000000000109</v>
      </c>
      <c r="AK591" s="412">
        <v>41.428000000000111</v>
      </c>
      <c r="AL591" s="412">
        <v>63.863000000000056</v>
      </c>
      <c r="AM591" s="412">
        <v>38.216000000000008</v>
      </c>
      <c r="AN591" s="412">
        <v>-6.8469999999997526</v>
      </c>
      <c r="AO591" s="411">
        <v>136.65999999999985</v>
      </c>
      <c r="AP591" s="412">
        <v>-115.93900000000008</v>
      </c>
      <c r="AQ591" s="412">
        <v>3.1739999999999782</v>
      </c>
      <c r="AR591" s="412">
        <v>168.072</v>
      </c>
      <c r="AS591" s="412">
        <v>147.64600000000007</v>
      </c>
      <c r="AT591" s="411">
        <v>202.95300000000043</v>
      </c>
      <c r="AU591" s="412">
        <v>377.89700000000005</v>
      </c>
      <c r="AV591" s="412">
        <v>279.17100000000005</v>
      </c>
      <c r="AW591" s="412">
        <v>161.63400000000001</v>
      </c>
      <c r="AX591" s="412">
        <v>88.918999999999755</v>
      </c>
      <c r="AY591" s="411">
        <v>907.62100000000009</v>
      </c>
      <c r="AZ591" s="412">
        <v>96.5</v>
      </c>
      <c r="BA591" s="412">
        <v>2.7609999999999673</v>
      </c>
      <c r="BB591" s="412">
        <v>-137.36199999999997</v>
      </c>
      <c r="BC591" s="412">
        <v>-129.04200000000014</v>
      </c>
      <c r="BD591" s="411">
        <v>-167.14300000000048</v>
      </c>
      <c r="BE591" s="412">
        <v>-218.13</v>
      </c>
      <c r="BF591" s="412">
        <v>-191.14099999999996</v>
      </c>
      <c r="BG591" s="412">
        <v>-117.84100000000001</v>
      </c>
      <c r="BH591" s="412">
        <v>-34.238999999999578</v>
      </c>
      <c r="BI591" s="488">
        <v>-561.35099999999966</v>
      </c>
      <c r="BJ591" s="412">
        <v>-14.855330629695004</v>
      </c>
      <c r="BK591" s="412">
        <v>43.391173666593545</v>
      </c>
      <c r="BL591" s="412">
        <v>106.83347997245767</v>
      </c>
      <c r="BM591" s="412">
        <v>78.885642235895034</v>
      </c>
      <c r="BN591" s="411">
        <v>214.25496524525124</v>
      </c>
      <c r="BO591" s="412">
        <v>130.40312303023552</v>
      </c>
      <c r="BP591" s="412">
        <v>126.97894501829433</v>
      </c>
      <c r="BQ591" s="412">
        <v>124.71684824573231</v>
      </c>
      <c r="BR591" s="412">
        <v>79.685015375263447</v>
      </c>
      <c r="BS591" s="411">
        <v>461.78393166952537</v>
      </c>
      <c r="BT591" s="411">
        <v>213.29149823980924</v>
      </c>
      <c r="BU591" s="411">
        <v>125.63505867792537</v>
      </c>
      <c r="BV591" s="411">
        <v>85.857060860833371</v>
      </c>
      <c r="BW591" s="204"/>
    </row>
    <row r="592" spans="1:75" s="177" customFormat="1" ht="14.25" x14ac:dyDescent="0.45">
      <c r="A592" s="170" t="s">
        <v>703</v>
      </c>
      <c r="B592" s="378"/>
      <c r="C592" s="375"/>
      <c r="D592" s="375">
        <v>0.23504958565412304</v>
      </c>
      <c r="E592" s="375">
        <v>0.23983373708511935</v>
      </c>
      <c r="F592" s="375">
        <v>0.24524154458272962</v>
      </c>
      <c r="G592" s="381"/>
      <c r="H592" s="381"/>
      <c r="I592" s="381"/>
      <c r="J592" s="381"/>
      <c r="K592" s="375">
        <v>0.30000100582877742</v>
      </c>
      <c r="L592" s="381">
        <v>0.21542990074235835</v>
      </c>
      <c r="M592" s="381">
        <v>0.13522185407931997</v>
      </c>
      <c r="N592" s="381">
        <v>0.22444622971361583</v>
      </c>
      <c r="O592" s="381">
        <v>0.23539201261834997</v>
      </c>
      <c r="P592" s="375">
        <v>0.20404188113047339</v>
      </c>
      <c r="Q592" s="381">
        <v>0.15342085001119443</v>
      </c>
      <c r="R592" s="381">
        <v>0.16869925259241159</v>
      </c>
      <c r="S592" s="381">
        <v>9.8490741218342004E-2</v>
      </c>
      <c r="T592" s="381">
        <v>0.11065387394097081</v>
      </c>
      <c r="U592" s="375">
        <v>0.12936765230354985</v>
      </c>
      <c r="V592" s="381">
        <v>7.8142716803370815E-2</v>
      </c>
      <c r="W592" s="381">
        <v>7.18800178324146E-2</v>
      </c>
      <c r="X592" s="381">
        <v>3.1774324722817493E-2</v>
      </c>
      <c r="Y592" s="381">
        <v>-8.8164855811423748E-2</v>
      </c>
      <c r="Z592" s="375">
        <v>1.3895645626422981E-2</v>
      </c>
      <c r="AA592" s="381">
        <v>0.23410384318133914</v>
      </c>
      <c r="AB592" s="381">
        <v>0.13941967054424076</v>
      </c>
      <c r="AC592" s="381">
        <v>7.8541417877843411E-2</v>
      </c>
      <c r="AD592" s="381">
        <v>0.13478336753385145</v>
      </c>
      <c r="AE592" s="375">
        <v>0.14266814197366884</v>
      </c>
      <c r="AF592" s="381">
        <v>-8.3155422715629479E-3</v>
      </c>
      <c r="AG592" s="381">
        <v>3.797531733584858E-2</v>
      </c>
      <c r="AH592" s="381">
        <v>7.7696367598185878E-2</v>
      </c>
      <c r="AI592" s="381">
        <v>3.186553758535382E-3</v>
      </c>
      <c r="AJ592" s="375">
        <v>2.7423066644129745E-2</v>
      </c>
      <c r="AK592" s="381">
        <v>7.4322845466320953E-2</v>
      </c>
      <c r="AL592" s="381">
        <v>9.9374310473336225E-2</v>
      </c>
      <c r="AM592" s="381">
        <v>5.9852217520273809E-2</v>
      </c>
      <c r="AN592" s="381">
        <v>-1.01916725089789E-2</v>
      </c>
      <c r="AO592" s="375">
        <v>5.4437843423282173E-2</v>
      </c>
      <c r="AP592" s="381">
        <v>-0.19360791137443778</v>
      </c>
      <c r="AQ592" s="381">
        <v>4.4924799791652426E-3</v>
      </c>
      <c r="AR592" s="381">
        <v>0.24836195660847449</v>
      </c>
      <c r="AS592" s="381">
        <v>0.22203207333798525</v>
      </c>
      <c r="AT592" s="375">
        <v>7.6671504764178833E-2</v>
      </c>
      <c r="AU592" s="381">
        <v>0.78256556808415922</v>
      </c>
      <c r="AV592" s="381">
        <v>0.39337145337105883</v>
      </c>
      <c r="AW592" s="381">
        <v>0.19132948387417525</v>
      </c>
      <c r="AX592" s="381">
        <v>0.10942233904570609</v>
      </c>
      <c r="AY592" s="375">
        <v>0.31846362051355115</v>
      </c>
      <c r="AZ592" s="381">
        <v>0.11210606046524596</v>
      </c>
      <c r="BA592" s="381">
        <v>2.7921068625555989E-3</v>
      </c>
      <c r="BB592" s="381">
        <v>-0.13648467649946139</v>
      </c>
      <c r="BC592" s="381">
        <v>-0.14313492120713334</v>
      </c>
      <c r="BD592" s="375">
        <v>-4.4481081109851606E-2</v>
      </c>
      <c r="BE592" s="381">
        <v>-0.22786150934093252</v>
      </c>
      <c r="BF592" s="381">
        <v>-0.19275629777535741</v>
      </c>
      <c r="BG592" s="381">
        <v>-0.13559499508667927</v>
      </c>
      <c r="BH592" s="381">
        <v>-4.4322387472345737E-2</v>
      </c>
      <c r="BI592" s="379">
        <v>-0.15634440772075675</v>
      </c>
      <c r="BJ592" s="381">
        <v>-2.0097530216238169E-2</v>
      </c>
      <c r="BK592" s="381">
        <v>5.4206510934819763E-2</v>
      </c>
      <c r="BL592" s="381">
        <v>0.14221235977564328</v>
      </c>
      <c r="BM592" s="381">
        <v>0.10685346928710082</v>
      </c>
      <c r="BN592" s="375">
        <v>7.0731612103706265E-2</v>
      </c>
      <c r="BO592" s="381">
        <v>0.18003855071996622</v>
      </c>
      <c r="BP592" s="381">
        <v>0.15047213301374796</v>
      </c>
      <c r="BQ592" s="381">
        <v>0.14534772530857754</v>
      </c>
      <c r="BR592" s="381">
        <v>9.7516294839714579E-2</v>
      </c>
      <c r="BS592" s="375">
        <v>0.14237733297994093</v>
      </c>
      <c r="BT592" s="375">
        <v>5.7565993464262055E-2</v>
      </c>
      <c r="BU592" s="375">
        <v>3.2062385288574635E-2</v>
      </c>
      <c r="BV592" s="375">
        <v>2.1230247100240129E-2</v>
      </c>
      <c r="BW592" s="176"/>
    </row>
    <row r="593" spans="1:75" s="123" customFormat="1" x14ac:dyDescent="0.5">
      <c r="A593" s="184"/>
      <c r="B593" s="119"/>
      <c r="C593" s="299"/>
      <c r="D593" s="299"/>
      <c r="E593" s="299"/>
      <c r="F593" s="299"/>
      <c r="G593" s="300"/>
      <c r="H593" s="300"/>
      <c r="I593" s="300"/>
      <c r="J593" s="300"/>
      <c r="K593" s="299"/>
      <c r="L593" s="300"/>
      <c r="M593" s="300"/>
      <c r="N593" s="300"/>
      <c r="O593" s="300"/>
      <c r="P593" s="299"/>
      <c r="Q593" s="300"/>
      <c r="R593" s="300"/>
      <c r="S593" s="300"/>
      <c r="T593" s="300"/>
      <c r="U593" s="299"/>
      <c r="V593" s="300"/>
      <c r="W593" s="300"/>
      <c r="X593" s="300"/>
      <c r="Y593" s="300"/>
      <c r="Z593" s="299"/>
      <c r="AA593" s="300"/>
      <c r="AB593" s="300"/>
      <c r="AC593" s="300"/>
      <c r="AD593" s="300"/>
      <c r="AE593" s="299"/>
      <c r="AF593" s="300"/>
      <c r="AG593" s="300"/>
      <c r="AH593" s="300"/>
      <c r="AI593" s="300"/>
      <c r="AJ593" s="299"/>
      <c r="AK593" s="300"/>
      <c r="AL593" s="300"/>
      <c r="AM593" s="300"/>
      <c r="AN593" s="300"/>
      <c r="AO593" s="299"/>
      <c r="AP593" s="300"/>
      <c r="AQ593" s="300"/>
      <c r="AR593" s="300"/>
      <c r="AS593" s="300"/>
      <c r="AT593" s="299"/>
      <c r="AU593" s="300"/>
      <c r="AV593" s="300"/>
      <c r="AW593" s="300"/>
      <c r="AX593" s="300"/>
      <c r="AY593" s="299"/>
      <c r="AZ593" s="300"/>
      <c r="BA593" s="300"/>
      <c r="BB593" s="300"/>
      <c r="BC593" s="300"/>
      <c r="BD593" s="299"/>
      <c r="BE593" s="300"/>
      <c r="BF593" s="300"/>
      <c r="BG593" s="300"/>
      <c r="BH593" s="300"/>
      <c r="BI593" s="304"/>
      <c r="BJ593" s="300"/>
      <c r="BK593" s="300"/>
      <c r="BL593" s="300"/>
      <c r="BM593" s="300"/>
      <c r="BN593" s="299"/>
      <c r="BO593" s="300"/>
      <c r="BP593" s="300"/>
      <c r="BQ593" s="300"/>
      <c r="BR593" s="300"/>
      <c r="BS593" s="299"/>
      <c r="BT593" s="299"/>
      <c r="BU593" s="299"/>
      <c r="BV593" s="299"/>
      <c r="BW593" s="122"/>
    </row>
    <row r="594" spans="1:75" s="169" customFormat="1" ht="14.25" hidden="1" outlineLevel="1" x14ac:dyDescent="0.45">
      <c r="A594" s="206" t="s">
        <v>704</v>
      </c>
      <c r="B594" s="485"/>
      <c r="C594" s="293">
        <v>213.05599999999993</v>
      </c>
      <c r="D594" s="293">
        <v>271.61999999999995</v>
      </c>
      <c r="E594" s="293">
        <v>356.34900000000005</v>
      </c>
      <c r="F594" s="293">
        <v>436.44900000000007</v>
      </c>
      <c r="G594" s="294">
        <v>101.87699999999998</v>
      </c>
      <c r="H594" s="294">
        <v>139.226</v>
      </c>
      <c r="I594" s="294">
        <v>140.79999999999998</v>
      </c>
      <c r="J594" s="294">
        <v>174.97700000000003</v>
      </c>
      <c r="K594" s="293">
        <v>556.87999999999977</v>
      </c>
      <c r="L594" s="294">
        <v>124.34900000000002</v>
      </c>
      <c r="M594" s="294">
        <v>167.90899999999999</v>
      </c>
      <c r="N594" s="294">
        <v>180.37299999999999</v>
      </c>
      <c r="O594" s="294">
        <v>218.14299999999997</v>
      </c>
      <c r="P594" s="293">
        <v>690.77399999999989</v>
      </c>
      <c r="Q594" s="294">
        <v>143.41800000000001</v>
      </c>
      <c r="R594" s="294">
        <v>194.26300000000003</v>
      </c>
      <c r="S594" s="294">
        <v>190.74999999999994</v>
      </c>
      <c r="T594" s="294">
        <v>224.26099999999997</v>
      </c>
      <c r="U594" s="293">
        <v>752.69199999999978</v>
      </c>
      <c r="V594" s="294">
        <v>127.47500000000002</v>
      </c>
      <c r="W594" s="294">
        <v>179.839</v>
      </c>
      <c r="X594" s="294">
        <v>175.81899999999996</v>
      </c>
      <c r="Y594" s="294">
        <v>196.654</v>
      </c>
      <c r="Z594" s="293">
        <v>679.78700000000003</v>
      </c>
      <c r="AA594" s="294">
        <v>170.25600000000003</v>
      </c>
      <c r="AB594" s="294">
        <v>205.81300000000005</v>
      </c>
      <c r="AC594" s="294">
        <v>214.32499999999993</v>
      </c>
      <c r="AD594" s="294">
        <v>258.67300000000023</v>
      </c>
      <c r="AE594" s="293">
        <v>849.06700000000001</v>
      </c>
      <c r="AF594" s="294">
        <v>209.33299999999997</v>
      </c>
      <c r="AG594" s="294">
        <v>268.34399999999999</v>
      </c>
      <c r="AH594" s="294">
        <v>250.02100000000002</v>
      </c>
      <c r="AI594" s="294">
        <v>257.87899999999991</v>
      </c>
      <c r="AJ594" s="293">
        <v>985.57699999999977</v>
      </c>
      <c r="AK594" s="294">
        <v>232.81400000000002</v>
      </c>
      <c r="AL594" s="294">
        <v>294.95800000000003</v>
      </c>
      <c r="AM594" s="294">
        <v>284.16599999999994</v>
      </c>
      <c r="AN594" s="294">
        <v>283.07300000000032</v>
      </c>
      <c r="AO594" s="293">
        <v>1095.011</v>
      </c>
      <c r="AP594" s="294">
        <v>199.654</v>
      </c>
      <c r="AQ594" s="294">
        <v>332.41900000000004</v>
      </c>
      <c r="AR594" s="294">
        <v>408.33000000000004</v>
      </c>
      <c r="AS594" s="294">
        <v>385.12800000000016</v>
      </c>
      <c r="AT594" s="293">
        <v>1325.5310000000002</v>
      </c>
      <c r="AU594" s="294">
        <v>406.97700000000003</v>
      </c>
      <c r="AV594" s="294">
        <v>487.67600000000004</v>
      </c>
      <c r="AW594" s="294">
        <v>505.25400000000002</v>
      </c>
      <c r="AX594" s="294">
        <v>455.50399999999991</v>
      </c>
      <c r="AY594" s="293">
        <v>1855.4110000000001</v>
      </c>
      <c r="AZ594" s="294">
        <v>498.58300000000003</v>
      </c>
      <c r="BA594" s="294">
        <v>523.21800000000007</v>
      </c>
      <c r="BB594" s="294">
        <v>420.77800000000002</v>
      </c>
      <c r="BC594" s="294">
        <v>369.40599999999972</v>
      </c>
      <c r="BD594" s="293">
        <v>1811.9849999999999</v>
      </c>
      <c r="BE594" s="294">
        <v>347.54500000000002</v>
      </c>
      <c r="BF594" s="294">
        <v>380.07300000000004</v>
      </c>
      <c r="BG594" s="294">
        <v>340.45000000000005</v>
      </c>
      <c r="BH594" s="294">
        <v>320.95100000000025</v>
      </c>
      <c r="BI594" s="297">
        <v>1389.0190000000002</v>
      </c>
      <c r="BJ594" s="294">
        <v>301.52462165438686</v>
      </c>
      <c r="BK594" s="294">
        <v>384.71654242497556</v>
      </c>
      <c r="BL594" s="294">
        <v>393.57636718345879</v>
      </c>
      <c r="BM594" s="294">
        <v>366.25384314706338</v>
      </c>
      <c r="BN594" s="293">
        <v>1446.0713744098846</v>
      </c>
      <c r="BO594" s="294">
        <v>367.21033859414092</v>
      </c>
      <c r="BP594" s="294">
        <v>446.69644361649313</v>
      </c>
      <c r="BQ594" s="294">
        <v>453.68544441898172</v>
      </c>
      <c r="BR594" s="294">
        <v>406.05242553325394</v>
      </c>
      <c r="BS594" s="293">
        <v>1673.6446521628695</v>
      </c>
      <c r="BT594" s="293">
        <v>1780.7682995152184</v>
      </c>
      <c r="BU594" s="293">
        <v>1849.5216231670681</v>
      </c>
      <c r="BV594" s="293">
        <v>1900.9120194870309</v>
      </c>
      <c r="BW594" s="247"/>
    </row>
    <row r="595" spans="1:75" s="123" customFormat="1" hidden="1" outlineLevel="1" x14ac:dyDescent="0.5">
      <c r="A595" s="184" t="s">
        <v>705</v>
      </c>
      <c r="B595" s="119"/>
      <c r="C595" s="299"/>
      <c r="D595" s="299"/>
      <c r="E595" s="299"/>
      <c r="F595" s="299"/>
      <c r="G595" s="300"/>
      <c r="H595" s="300"/>
      <c r="I595" s="300"/>
      <c r="J595" s="300"/>
      <c r="K595" s="299"/>
      <c r="L595" s="300"/>
      <c r="M595" s="300"/>
      <c r="N595" s="300"/>
      <c r="O595" s="300"/>
      <c r="P595" s="299"/>
      <c r="Q595" s="300"/>
      <c r="R595" s="300"/>
      <c r="S595" s="300"/>
      <c r="T595" s="300"/>
      <c r="U595" s="299"/>
      <c r="V595" s="300"/>
      <c r="W595" s="300"/>
      <c r="X595" s="300"/>
      <c r="Y595" s="300"/>
      <c r="Z595" s="299"/>
      <c r="AA595" s="300"/>
      <c r="AB595" s="300"/>
      <c r="AC595" s="300"/>
      <c r="AD595" s="300"/>
      <c r="AE595" s="299"/>
      <c r="AF595" s="300"/>
      <c r="AG595" s="300"/>
      <c r="AH595" s="300"/>
      <c r="AI595" s="300"/>
      <c r="AJ595" s="299"/>
      <c r="AK595" s="300"/>
      <c r="AL595" s="300"/>
      <c r="AM595" s="300"/>
      <c r="AN595" s="300"/>
      <c r="AO595" s="299"/>
      <c r="AP595" s="300"/>
      <c r="AQ595" s="300"/>
      <c r="AR595" s="300"/>
      <c r="AS595" s="300"/>
      <c r="AT595" s="299"/>
      <c r="AU595" s="300"/>
      <c r="AV595" s="300"/>
      <c r="AW595" s="300"/>
      <c r="AX595" s="300"/>
      <c r="AY595" s="299"/>
      <c r="AZ595" s="300"/>
      <c r="BA595" s="300"/>
      <c r="BB595" s="300"/>
      <c r="BC595" s="300"/>
      <c r="BD595" s="299"/>
      <c r="BE595" s="300"/>
      <c r="BF595" s="300"/>
      <c r="BG595" s="300"/>
      <c r="BH595" s="300"/>
      <c r="BI595" s="304"/>
      <c r="BJ595" s="300">
        <v>0</v>
      </c>
      <c r="BK595" s="300">
        <v>0</v>
      </c>
      <c r="BL595" s="300">
        <v>0</v>
      </c>
      <c r="BM595" s="300">
        <v>0</v>
      </c>
      <c r="BN595" s="299">
        <v>0</v>
      </c>
      <c r="BO595" s="300">
        <v>0</v>
      </c>
      <c r="BP595" s="300">
        <v>0</v>
      </c>
      <c r="BQ595" s="300">
        <v>0</v>
      </c>
      <c r="BR595" s="300">
        <v>0</v>
      </c>
      <c r="BS595" s="299">
        <v>0</v>
      </c>
      <c r="BT595" s="299">
        <v>0</v>
      </c>
      <c r="BU595" s="299">
        <v>0</v>
      </c>
      <c r="BV595" s="299">
        <v>0</v>
      </c>
      <c r="BW595" s="122"/>
    </row>
    <row r="596" spans="1:75" s="169" customFormat="1" ht="14.25" hidden="1" outlineLevel="1" x14ac:dyDescent="0.45">
      <c r="A596" s="184" t="s">
        <v>706</v>
      </c>
      <c r="B596" s="489"/>
      <c r="C596" s="299"/>
      <c r="D596" s="299"/>
      <c r="E596" s="299">
        <v>0</v>
      </c>
      <c r="F596" s="299">
        <v>0</v>
      </c>
      <c r="G596" s="300">
        <v>0</v>
      </c>
      <c r="H596" s="300">
        <v>0</v>
      </c>
      <c r="I596" s="300">
        <v>0</v>
      </c>
      <c r="J596" s="300">
        <v>0</v>
      </c>
      <c r="K596" s="299">
        <v>0</v>
      </c>
      <c r="L596" s="300">
        <v>0</v>
      </c>
      <c r="M596" s="300">
        <v>0</v>
      </c>
      <c r="N596" s="300">
        <v>0</v>
      </c>
      <c r="O596" s="300">
        <v>0</v>
      </c>
      <c r="P596" s="299">
        <v>0</v>
      </c>
      <c r="Q596" s="300">
        <v>0</v>
      </c>
      <c r="R596" s="300">
        <v>0</v>
      </c>
      <c r="S596" s="300">
        <v>0</v>
      </c>
      <c r="T596" s="300">
        <v>0</v>
      </c>
      <c r="U596" s="299">
        <v>0</v>
      </c>
      <c r="V596" s="300">
        <v>0</v>
      </c>
      <c r="W596" s="300">
        <v>0</v>
      </c>
      <c r="X596" s="300">
        <v>0</v>
      </c>
      <c r="Y596" s="300">
        <v>2.1850000000000001</v>
      </c>
      <c r="Z596" s="299">
        <v>2.1850000000000001</v>
      </c>
      <c r="AA596" s="300">
        <v>0</v>
      </c>
      <c r="AB596" s="300">
        <v>0</v>
      </c>
      <c r="AC596" s="300">
        <v>0</v>
      </c>
      <c r="AD596" s="300">
        <v>0</v>
      </c>
      <c r="AE596" s="299">
        <v>0</v>
      </c>
      <c r="AF596" s="300">
        <v>0</v>
      </c>
      <c r="AG596" s="300">
        <v>0</v>
      </c>
      <c r="AH596" s="300">
        <v>0</v>
      </c>
      <c r="AI596" s="300">
        <v>3.8069999999999999</v>
      </c>
      <c r="AJ596" s="299">
        <v>3.8069999999999999</v>
      </c>
      <c r="AK596" s="300">
        <v>2.9929999999999999</v>
      </c>
      <c r="AL596" s="300">
        <v>1.9159999999999999</v>
      </c>
      <c r="AM596" s="300">
        <v>0</v>
      </c>
      <c r="AN596" s="300">
        <v>0</v>
      </c>
      <c r="AO596" s="299">
        <v>4.9089999999999998</v>
      </c>
      <c r="AP596" s="300">
        <v>2.35</v>
      </c>
      <c r="AQ596" s="300">
        <v>0</v>
      </c>
      <c r="AR596" s="300">
        <v>0</v>
      </c>
      <c r="AS596" s="300">
        <v>0</v>
      </c>
      <c r="AT596" s="299">
        <v>2.35</v>
      </c>
      <c r="AU596" s="300">
        <v>0</v>
      </c>
      <c r="AV596" s="300">
        <v>0</v>
      </c>
      <c r="AW596" s="300">
        <v>0</v>
      </c>
      <c r="AX596" s="300">
        <v>0</v>
      </c>
      <c r="AY596" s="299">
        <v>0</v>
      </c>
      <c r="AZ596" s="300">
        <v>0</v>
      </c>
      <c r="BA596" s="300">
        <v>0</v>
      </c>
      <c r="BB596" s="300">
        <v>10.926</v>
      </c>
      <c r="BC596" s="300">
        <v>0</v>
      </c>
      <c r="BD596" s="299">
        <v>10.926</v>
      </c>
      <c r="BE596" s="300">
        <v>0</v>
      </c>
      <c r="BF596" s="300">
        <v>0</v>
      </c>
      <c r="BG596" s="300">
        <v>0</v>
      </c>
      <c r="BH596" s="300">
        <v>0</v>
      </c>
      <c r="BI596" s="304">
        <v>0</v>
      </c>
      <c r="BJ596" s="300">
        <v>0</v>
      </c>
      <c r="BK596" s="300">
        <v>0</v>
      </c>
      <c r="BL596" s="300">
        <v>0</v>
      </c>
      <c r="BM596" s="300">
        <v>0</v>
      </c>
      <c r="BN596" s="299">
        <v>0</v>
      </c>
      <c r="BO596" s="300">
        <v>0</v>
      </c>
      <c r="BP596" s="300">
        <v>0</v>
      </c>
      <c r="BQ596" s="300">
        <v>0</v>
      </c>
      <c r="BR596" s="300">
        <v>0</v>
      </c>
      <c r="BS596" s="299">
        <v>0</v>
      </c>
      <c r="BT596" s="299">
        <v>0</v>
      </c>
      <c r="BU596" s="299">
        <v>0</v>
      </c>
      <c r="BV596" s="299">
        <v>0</v>
      </c>
      <c r="BW596" s="247"/>
    </row>
    <row r="597" spans="1:75" s="169" customFormat="1" ht="14.25" hidden="1" outlineLevel="1" x14ac:dyDescent="0.45">
      <c r="A597" s="184" t="s">
        <v>707</v>
      </c>
      <c r="B597" s="489"/>
      <c r="C597" s="299"/>
      <c r="D597" s="299"/>
      <c r="E597" s="299">
        <v>0</v>
      </c>
      <c r="F597" s="299">
        <v>0</v>
      </c>
      <c r="G597" s="300">
        <v>0</v>
      </c>
      <c r="H597" s="300">
        <v>0</v>
      </c>
      <c r="I597" s="300">
        <v>0</v>
      </c>
      <c r="J597" s="300">
        <v>0</v>
      </c>
      <c r="K597" s="299">
        <v>0</v>
      </c>
      <c r="L597" s="300">
        <v>0</v>
      </c>
      <c r="M597" s="300">
        <v>0</v>
      </c>
      <c r="N597" s="300">
        <v>0</v>
      </c>
      <c r="O597" s="300">
        <v>0</v>
      </c>
      <c r="P597" s="299">
        <v>0</v>
      </c>
      <c r="Q597" s="300">
        <v>1.379</v>
      </c>
      <c r="R597" s="300">
        <v>4.8440000000000003</v>
      </c>
      <c r="S597" s="300">
        <v>4.8010000000000002</v>
      </c>
      <c r="T597" s="300">
        <v>6.19</v>
      </c>
      <c r="U597" s="299">
        <v>17.213999999999999</v>
      </c>
      <c r="V597" s="300">
        <v>7.7290000000000001</v>
      </c>
      <c r="W597" s="300">
        <v>0</v>
      </c>
      <c r="X597" s="300">
        <v>0</v>
      </c>
      <c r="Y597" s="300">
        <v>0</v>
      </c>
      <c r="Z597" s="299">
        <v>7.7290000000000001</v>
      </c>
      <c r="AA597" s="300">
        <v>0</v>
      </c>
      <c r="AB597" s="300">
        <v>0</v>
      </c>
      <c r="AC597" s="300">
        <v>0</v>
      </c>
      <c r="AD597" s="300">
        <v>0</v>
      </c>
      <c r="AE597" s="299">
        <v>0</v>
      </c>
      <c r="AF597" s="300">
        <v>0</v>
      </c>
      <c r="AG597" s="300">
        <v>0</v>
      </c>
      <c r="AH597" s="300">
        <v>0</v>
      </c>
      <c r="AI597" s="300">
        <v>0</v>
      </c>
      <c r="AJ597" s="299">
        <v>0</v>
      </c>
      <c r="AK597" s="300">
        <v>0</v>
      </c>
      <c r="AL597" s="300">
        <v>0</v>
      </c>
      <c r="AM597" s="300">
        <v>0</v>
      </c>
      <c r="AN597" s="300">
        <v>0</v>
      </c>
      <c r="AO597" s="299">
        <v>0</v>
      </c>
      <c r="AP597" s="300">
        <v>0</v>
      </c>
      <c r="AQ597" s="300">
        <v>0</v>
      </c>
      <c r="AR597" s="300">
        <v>0</v>
      </c>
      <c r="AS597" s="300">
        <v>0</v>
      </c>
      <c r="AT597" s="299">
        <v>0</v>
      </c>
      <c r="AU597" s="300">
        <v>0</v>
      </c>
      <c r="AV597" s="300">
        <v>0</v>
      </c>
      <c r="AW597" s="300">
        <v>0</v>
      </c>
      <c r="AX597" s="300">
        <v>0</v>
      </c>
      <c r="AY597" s="299">
        <v>0</v>
      </c>
      <c r="AZ597" s="300">
        <v>0</v>
      </c>
      <c r="BA597" s="300">
        <v>0</v>
      </c>
      <c r="BB597" s="300">
        <v>0</v>
      </c>
      <c r="BC597" s="300">
        <v>0</v>
      </c>
      <c r="BD597" s="299">
        <v>0</v>
      </c>
      <c r="BE597" s="300">
        <v>0</v>
      </c>
      <c r="BF597" s="300">
        <v>0</v>
      </c>
      <c r="BG597" s="300">
        <v>0</v>
      </c>
      <c r="BH597" s="300">
        <v>0</v>
      </c>
      <c r="BI597" s="304">
        <v>0</v>
      </c>
      <c r="BJ597" s="300">
        <v>0</v>
      </c>
      <c r="BK597" s="300">
        <v>0</v>
      </c>
      <c r="BL597" s="300">
        <v>0</v>
      </c>
      <c r="BM597" s="300">
        <v>0</v>
      </c>
      <c r="BN597" s="299">
        <v>0</v>
      </c>
      <c r="BO597" s="300">
        <v>0</v>
      </c>
      <c r="BP597" s="300">
        <v>0</v>
      </c>
      <c r="BQ597" s="300">
        <v>0</v>
      </c>
      <c r="BR597" s="300">
        <v>0</v>
      </c>
      <c r="BS597" s="299">
        <v>0</v>
      </c>
      <c r="BT597" s="299">
        <v>0</v>
      </c>
      <c r="BU597" s="299">
        <v>0</v>
      </c>
      <c r="BV597" s="299">
        <v>0</v>
      </c>
      <c r="BW597" s="247"/>
    </row>
    <row r="598" spans="1:75" s="169" customFormat="1" ht="14.25" hidden="1" outlineLevel="1" x14ac:dyDescent="0.45">
      <c r="A598" s="184" t="s">
        <v>708</v>
      </c>
      <c r="B598" s="489"/>
      <c r="C598" s="299"/>
      <c r="D598" s="299"/>
      <c r="E598" s="299">
        <v>0</v>
      </c>
      <c r="F598" s="299">
        <v>0</v>
      </c>
      <c r="G598" s="300">
        <v>0</v>
      </c>
      <c r="H598" s="300">
        <v>0</v>
      </c>
      <c r="I598" s="300">
        <v>0</v>
      </c>
      <c r="J598" s="300">
        <v>0</v>
      </c>
      <c r="K598" s="299">
        <v>0</v>
      </c>
      <c r="L598" s="300">
        <v>0</v>
      </c>
      <c r="M598" s="300">
        <v>0</v>
      </c>
      <c r="N598" s="300">
        <v>0</v>
      </c>
      <c r="O598" s="300">
        <v>0</v>
      </c>
      <c r="P598" s="299">
        <v>0</v>
      </c>
      <c r="Q598" s="300">
        <v>0</v>
      </c>
      <c r="R598" s="300">
        <v>0</v>
      </c>
      <c r="S598" s="300">
        <v>0</v>
      </c>
      <c r="T598" s="300">
        <v>0</v>
      </c>
      <c r="U598" s="299">
        <v>0</v>
      </c>
      <c r="V598" s="300">
        <v>0</v>
      </c>
      <c r="W598" s="300">
        <v>0</v>
      </c>
      <c r="X598" s="300">
        <v>0</v>
      </c>
      <c r="Y598" s="300">
        <v>3.976</v>
      </c>
      <c r="Z598" s="299">
        <v>3.976</v>
      </c>
      <c r="AA598" s="300">
        <v>0</v>
      </c>
      <c r="AB598" s="300">
        <v>4.5759999999999996</v>
      </c>
      <c r="AC598" s="300">
        <v>3.552</v>
      </c>
      <c r="AD598" s="300">
        <v>-0.60599999999999998</v>
      </c>
      <c r="AE598" s="299">
        <v>7.5220000000000002</v>
      </c>
      <c r="AF598" s="300">
        <v>-0.254</v>
      </c>
      <c r="AG598" s="300">
        <v>-1.409</v>
      </c>
      <c r="AH598" s="300">
        <v>3.6859999999999999</v>
      </c>
      <c r="AI598" s="300">
        <v>-1.429</v>
      </c>
      <c r="AJ598" s="299">
        <v>0.59399999999999997</v>
      </c>
      <c r="AK598" s="300">
        <v>-1.6479999999999999</v>
      </c>
      <c r="AL598" s="300">
        <v>-0.32</v>
      </c>
      <c r="AM598" s="300">
        <v>-1.7949999999999999</v>
      </c>
      <c r="AN598" s="300">
        <v>0</v>
      </c>
      <c r="AO598" s="299">
        <v>-3.7629999999999999</v>
      </c>
      <c r="AP598" s="300">
        <v>0</v>
      </c>
      <c r="AQ598" s="300">
        <v>4.78</v>
      </c>
      <c r="AR598" s="300">
        <v>0.78100000000000003</v>
      </c>
      <c r="AS598" s="300">
        <v>0.36599999999999999</v>
      </c>
      <c r="AT598" s="299">
        <v>5.9269999999999996</v>
      </c>
      <c r="AU598" s="300">
        <v>0</v>
      </c>
      <c r="AV598" s="300">
        <v>0</v>
      </c>
      <c r="AW598" s="300">
        <v>0</v>
      </c>
      <c r="AX598" s="300">
        <v>-1.2</v>
      </c>
      <c r="AY598" s="299">
        <v>-1.2</v>
      </c>
      <c r="AZ598" s="300">
        <v>0</v>
      </c>
      <c r="BA598" s="300">
        <v>0</v>
      </c>
      <c r="BB598" s="300">
        <v>0</v>
      </c>
      <c r="BC598" s="300">
        <v>0</v>
      </c>
      <c r="BD598" s="299">
        <v>0</v>
      </c>
      <c r="BE598" s="300">
        <v>0</v>
      </c>
      <c r="BF598" s="300">
        <v>0</v>
      </c>
      <c r="BG598" s="300">
        <v>0</v>
      </c>
      <c r="BH598" s="300">
        <v>0</v>
      </c>
      <c r="BI598" s="304">
        <v>0</v>
      </c>
      <c r="BJ598" s="300">
        <v>0</v>
      </c>
      <c r="BK598" s="300">
        <v>0</v>
      </c>
      <c r="BL598" s="300">
        <v>0</v>
      </c>
      <c r="BM598" s="300">
        <v>0</v>
      </c>
      <c r="BN598" s="299">
        <v>0</v>
      </c>
      <c r="BO598" s="300">
        <v>0</v>
      </c>
      <c r="BP598" s="300">
        <v>0</v>
      </c>
      <c r="BQ598" s="300">
        <v>0</v>
      </c>
      <c r="BR598" s="300">
        <v>0</v>
      </c>
      <c r="BS598" s="299">
        <v>0</v>
      </c>
      <c r="BT598" s="299">
        <v>0</v>
      </c>
      <c r="BU598" s="299">
        <v>0</v>
      </c>
      <c r="BV598" s="299">
        <v>0</v>
      </c>
      <c r="BW598" s="247"/>
    </row>
    <row r="599" spans="1:75" s="169" customFormat="1" ht="14.25" hidden="1" outlineLevel="1" x14ac:dyDescent="0.45">
      <c r="A599" s="184" t="s">
        <v>709</v>
      </c>
      <c r="B599" s="489"/>
      <c r="C599" s="299"/>
      <c r="D599" s="299"/>
      <c r="E599" s="299">
        <v>0</v>
      </c>
      <c r="F599" s="299">
        <v>0</v>
      </c>
      <c r="G599" s="300">
        <v>0</v>
      </c>
      <c r="H599" s="300">
        <v>0</v>
      </c>
      <c r="I599" s="300">
        <v>0</v>
      </c>
      <c r="J599" s="300">
        <v>0</v>
      </c>
      <c r="K599" s="299">
        <v>0</v>
      </c>
      <c r="L599" s="300">
        <v>0</v>
      </c>
      <c r="M599" s="300">
        <v>0</v>
      </c>
      <c r="N599" s="300">
        <v>0</v>
      </c>
      <c r="O599" s="300">
        <v>0</v>
      </c>
      <c r="P599" s="299">
        <v>0</v>
      </c>
      <c r="Q599" s="300">
        <v>0</v>
      </c>
      <c r="R599" s="300">
        <v>0</v>
      </c>
      <c r="S599" s="300">
        <v>0</v>
      </c>
      <c r="T599" s="300">
        <v>0</v>
      </c>
      <c r="U599" s="299">
        <v>0</v>
      </c>
      <c r="V599" s="300">
        <v>0</v>
      </c>
      <c r="W599" s="300">
        <v>0</v>
      </c>
      <c r="X599" s="300">
        <v>0</v>
      </c>
      <c r="Y599" s="300">
        <v>0</v>
      </c>
      <c r="Z599" s="299">
        <v>0</v>
      </c>
      <c r="AA599" s="300">
        <v>0</v>
      </c>
      <c r="AB599" s="300">
        <v>0</v>
      </c>
      <c r="AC599" s="300">
        <v>0.497</v>
      </c>
      <c r="AD599" s="300">
        <v>1.24</v>
      </c>
      <c r="AE599" s="299">
        <v>1.7370000000000001</v>
      </c>
      <c r="AF599" s="300">
        <v>0</v>
      </c>
      <c r="AG599" s="300">
        <v>0</v>
      </c>
      <c r="AH599" s="300">
        <v>1.478</v>
      </c>
      <c r="AI599" s="300">
        <v>0</v>
      </c>
      <c r="AJ599" s="299">
        <v>1.478</v>
      </c>
      <c r="AK599" s="300">
        <v>0</v>
      </c>
      <c r="AL599" s="300">
        <v>0</v>
      </c>
      <c r="AM599" s="300">
        <v>0</v>
      </c>
      <c r="AN599" s="300">
        <v>0</v>
      </c>
      <c r="AO599" s="299">
        <v>0</v>
      </c>
      <c r="AP599" s="300">
        <v>0</v>
      </c>
      <c r="AQ599" s="300">
        <v>0</v>
      </c>
      <c r="AR599" s="300">
        <v>0</v>
      </c>
      <c r="AS599" s="300">
        <v>0</v>
      </c>
      <c r="AT599" s="299">
        <v>0</v>
      </c>
      <c r="AU599" s="300">
        <v>0</v>
      </c>
      <c r="AV599" s="300">
        <v>0</v>
      </c>
      <c r="AW599" s="300">
        <v>0</v>
      </c>
      <c r="AX599" s="300">
        <v>0</v>
      </c>
      <c r="AY599" s="299">
        <v>0</v>
      </c>
      <c r="AZ599" s="300">
        <v>0</v>
      </c>
      <c r="BA599" s="300">
        <v>0</v>
      </c>
      <c r="BB599" s="300">
        <v>0</v>
      </c>
      <c r="BC599" s="300">
        <v>0</v>
      </c>
      <c r="BD599" s="299">
        <v>0</v>
      </c>
      <c r="BE599" s="300">
        <v>0</v>
      </c>
      <c r="BF599" s="300">
        <v>0</v>
      </c>
      <c r="BG599" s="300">
        <v>0</v>
      </c>
      <c r="BH599" s="300">
        <v>0</v>
      </c>
      <c r="BI599" s="304">
        <v>0</v>
      </c>
      <c r="BJ599" s="300">
        <v>0</v>
      </c>
      <c r="BK599" s="300">
        <v>0</v>
      </c>
      <c r="BL599" s="300">
        <v>0</v>
      </c>
      <c r="BM599" s="300">
        <v>0</v>
      </c>
      <c r="BN599" s="299">
        <v>0</v>
      </c>
      <c r="BO599" s="300">
        <v>0</v>
      </c>
      <c r="BP599" s="300">
        <v>0</v>
      </c>
      <c r="BQ599" s="300">
        <v>0</v>
      </c>
      <c r="BR599" s="300">
        <v>0</v>
      </c>
      <c r="BS599" s="299">
        <v>0</v>
      </c>
      <c r="BT599" s="299">
        <v>0</v>
      </c>
      <c r="BU599" s="299">
        <v>0</v>
      </c>
      <c r="BV599" s="299">
        <v>0</v>
      </c>
      <c r="BW599" s="247"/>
    </row>
    <row r="600" spans="1:75" s="169" customFormat="1" ht="14.25" hidden="1" outlineLevel="1" x14ac:dyDescent="0.45">
      <c r="A600" s="184" t="s">
        <v>710</v>
      </c>
      <c r="B600" s="489"/>
      <c r="C600" s="299"/>
      <c r="D600" s="299"/>
      <c r="E600" s="299">
        <v>0</v>
      </c>
      <c r="F600" s="299">
        <v>3.25</v>
      </c>
      <c r="G600" s="300">
        <v>0</v>
      </c>
      <c r="H600" s="300">
        <v>0</v>
      </c>
      <c r="I600" s="300">
        <v>0</v>
      </c>
      <c r="J600" s="300">
        <v>0</v>
      </c>
      <c r="K600" s="299">
        <v>0</v>
      </c>
      <c r="L600" s="300">
        <v>0</v>
      </c>
      <c r="M600" s="300">
        <v>0</v>
      </c>
      <c r="N600" s="300">
        <v>0</v>
      </c>
      <c r="O600" s="300">
        <v>0</v>
      </c>
      <c r="P600" s="299">
        <v>0</v>
      </c>
      <c r="Q600" s="300">
        <v>0</v>
      </c>
      <c r="R600" s="300">
        <v>0</v>
      </c>
      <c r="S600" s="300">
        <v>0</v>
      </c>
      <c r="T600" s="300">
        <v>0</v>
      </c>
      <c r="U600" s="299">
        <v>0</v>
      </c>
      <c r="V600" s="300">
        <v>0</v>
      </c>
      <c r="W600" s="300">
        <v>0</v>
      </c>
      <c r="X600" s="300">
        <v>0</v>
      </c>
      <c r="Y600" s="300">
        <v>0</v>
      </c>
      <c r="Z600" s="299">
        <v>0</v>
      </c>
      <c r="AA600" s="300">
        <v>0</v>
      </c>
      <c r="AB600" s="300">
        <v>0</v>
      </c>
      <c r="AC600" s="300">
        <v>0</v>
      </c>
      <c r="AD600" s="300">
        <v>-2.202</v>
      </c>
      <c r="AE600" s="299">
        <v>-2.202</v>
      </c>
      <c r="AF600" s="300">
        <v>0</v>
      </c>
      <c r="AG600" s="300">
        <v>0</v>
      </c>
      <c r="AH600" s="300">
        <v>0</v>
      </c>
      <c r="AI600" s="300">
        <v>0</v>
      </c>
      <c r="AJ600" s="299">
        <v>0</v>
      </c>
      <c r="AK600" s="300">
        <v>0</v>
      </c>
      <c r="AL600" s="300">
        <v>0</v>
      </c>
      <c r="AM600" s="300">
        <v>0</v>
      </c>
      <c r="AN600" s="300">
        <v>0</v>
      </c>
      <c r="AO600" s="299">
        <v>0</v>
      </c>
      <c r="AP600" s="300">
        <v>0</v>
      </c>
      <c r="AQ600" s="300">
        <v>0</v>
      </c>
      <c r="AR600" s="300">
        <v>0</v>
      </c>
      <c r="AS600" s="300">
        <v>0</v>
      </c>
      <c r="AT600" s="299">
        <v>0</v>
      </c>
      <c r="AU600" s="300">
        <v>0</v>
      </c>
      <c r="AV600" s="300">
        <v>0</v>
      </c>
      <c r="AW600" s="300">
        <v>0</v>
      </c>
      <c r="AX600" s="300">
        <v>0</v>
      </c>
      <c r="AY600" s="299">
        <v>0</v>
      </c>
      <c r="AZ600" s="300">
        <v>0</v>
      </c>
      <c r="BA600" s="300">
        <v>0</v>
      </c>
      <c r="BB600" s="300">
        <v>0</v>
      </c>
      <c r="BC600" s="300">
        <v>0</v>
      </c>
      <c r="BD600" s="299">
        <v>0</v>
      </c>
      <c r="BE600" s="300">
        <v>0</v>
      </c>
      <c r="BF600" s="300">
        <v>0</v>
      </c>
      <c r="BG600" s="300">
        <v>0</v>
      </c>
      <c r="BH600" s="300">
        <v>0</v>
      </c>
      <c r="BI600" s="304">
        <v>0</v>
      </c>
      <c r="BJ600" s="300">
        <v>0</v>
      </c>
      <c r="BK600" s="300">
        <v>0</v>
      </c>
      <c r="BL600" s="300">
        <v>0</v>
      </c>
      <c r="BM600" s="300">
        <v>0</v>
      </c>
      <c r="BN600" s="299">
        <v>0</v>
      </c>
      <c r="BO600" s="300">
        <v>0</v>
      </c>
      <c r="BP600" s="300">
        <v>0</v>
      </c>
      <c r="BQ600" s="300">
        <v>0</v>
      </c>
      <c r="BR600" s="300">
        <v>0</v>
      </c>
      <c r="BS600" s="299">
        <v>0</v>
      </c>
      <c r="BT600" s="299">
        <v>0</v>
      </c>
      <c r="BU600" s="299">
        <v>0</v>
      </c>
      <c r="BV600" s="299">
        <v>0</v>
      </c>
      <c r="BW600" s="247"/>
    </row>
    <row r="601" spans="1:75" s="169" customFormat="1" ht="14.25" hidden="1" outlineLevel="1" x14ac:dyDescent="0.45">
      <c r="A601" s="445" t="s">
        <v>711</v>
      </c>
      <c r="B601" s="486"/>
      <c r="C601" s="309">
        <v>-12.78</v>
      </c>
      <c r="D601" s="309"/>
      <c r="E601" s="309">
        <v>0</v>
      </c>
      <c r="F601" s="309">
        <v>0</v>
      </c>
      <c r="G601" s="310">
        <v>0</v>
      </c>
      <c r="H601" s="310">
        <v>0</v>
      </c>
      <c r="I601" s="310">
        <v>0</v>
      </c>
      <c r="J601" s="310">
        <v>0</v>
      </c>
      <c r="K601" s="309">
        <v>0</v>
      </c>
      <c r="L601" s="310">
        <v>0</v>
      </c>
      <c r="M601" s="310">
        <v>0</v>
      </c>
      <c r="N601" s="310">
        <v>0</v>
      </c>
      <c r="O601" s="310">
        <v>0</v>
      </c>
      <c r="P601" s="309">
        <v>0</v>
      </c>
      <c r="Q601" s="310">
        <v>0</v>
      </c>
      <c r="R601" s="310">
        <v>0</v>
      </c>
      <c r="S601" s="310">
        <v>0</v>
      </c>
      <c r="T601" s="310">
        <v>0</v>
      </c>
      <c r="U601" s="309">
        <v>0</v>
      </c>
      <c r="V601" s="310">
        <v>0</v>
      </c>
      <c r="W601" s="310">
        <v>3.4009999999999998</v>
      </c>
      <c r="X601" s="310">
        <v>1.786</v>
      </c>
      <c r="Y601" s="310">
        <v>1.6479999999999999</v>
      </c>
      <c r="Z601" s="309">
        <v>6.835</v>
      </c>
      <c r="AA601" s="310">
        <v>1.38</v>
      </c>
      <c r="AB601" s="310">
        <v>0.48</v>
      </c>
      <c r="AC601" s="310">
        <v>0.248</v>
      </c>
      <c r="AD601" s="310">
        <v>0.41899999999999998</v>
      </c>
      <c r="AE601" s="309">
        <v>2.5270000000000001</v>
      </c>
      <c r="AF601" s="310">
        <v>0.19</v>
      </c>
      <c r="AG601" s="310">
        <v>0.19</v>
      </c>
      <c r="AH601" s="310">
        <v>0</v>
      </c>
      <c r="AI601" s="310">
        <v>0</v>
      </c>
      <c r="AJ601" s="309">
        <v>0.38</v>
      </c>
      <c r="AK601" s="310">
        <v>0</v>
      </c>
      <c r="AL601" s="310">
        <v>0</v>
      </c>
      <c r="AM601" s="310">
        <v>0</v>
      </c>
      <c r="AN601" s="310">
        <v>0</v>
      </c>
      <c r="AO601" s="309">
        <v>0</v>
      </c>
      <c r="AP601" s="310">
        <v>0</v>
      </c>
      <c r="AQ601" s="310">
        <v>0</v>
      </c>
      <c r="AR601" s="310">
        <v>0</v>
      </c>
      <c r="AS601" s="310">
        <v>0</v>
      </c>
      <c r="AT601" s="309">
        <v>0</v>
      </c>
      <c r="AU601" s="310">
        <v>0</v>
      </c>
      <c r="AV601" s="310">
        <v>0</v>
      </c>
      <c r="AW601" s="310">
        <v>0</v>
      </c>
      <c r="AX601" s="310">
        <v>0</v>
      </c>
      <c r="AY601" s="309">
        <v>0</v>
      </c>
      <c r="AZ601" s="310">
        <v>0</v>
      </c>
      <c r="BA601" s="310">
        <v>0</v>
      </c>
      <c r="BB601" s="310">
        <v>0</v>
      </c>
      <c r="BC601" s="310">
        <v>0</v>
      </c>
      <c r="BD601" s="309">
        <v>0</v>
      </c>
      <c r="BE601" s="310">
        <v>0</v>
      </c>
      <c r="BF601" s="310">
        <v>0</v>
      </c>
      <c r="BG601" s="310">
        <v>0</v>
      </c>
      <c r="BH601" s="310">
        <v>0</v>
      </c>
      <c r="BI601" s="314">
        <v>0</v>
      </c>
      <c r="BJ601" s="310">
        <v>0</v>
      </c>
      <c r="BK601" s="310">
        <v>0</v>
      </c>
      <c r="BL601" s="310">
        <v>0</v>
      </c>
      <c r="BM601" s="310">
        <v>0</v>
      </c>
      <c r="BN601" s="309">
        <v>0</v>
      </c>
      <c r="BO601" s="310">
        <v>0</v>
      </c>
      <c r="BP601" s="310">
        <v>0</v>
      </c>
      <c r="BQ601" s="310">
        <v>0</v>
      </c>
      <c r="BR601" s="310">
        <v>0</v>
      </c>
      <c r="BS601" s="309">
        <v>0</v>
      </c>
      <c r="BT601" s="309">
        <v>0</v>
      </c>
      <c r="BU601" s="309">
        <v>0</v>
      </c>
      <c r="BV601" s="309">
        <v>0</v>
      </c>
      <c r="BW601" s="247"/>
    </row>
    <row r="602" spans="1:75" s="169" customFormat="1" ht="14.25" collapsed="1" x14ac:dyDescent="0.45">
      <c r="A602" s="206" t="s">
        <v>192</v>
      </c>
      <c r="B602" s="485"/>
      <c r="C602" s="293">
        <v>200.27599999999993</v>
      </c>
      <c r="D602" s="293">
        <v>271.61999999999995</v>
      </c>
      <c r="E602" s="293">
        <v>356.34900000000005</v>
      </c>
      <c r="F602" s="293">
        <v>439.69900000000007</v>
      </c>
      <c r="G602" s="294">
        <v>101.87699999999998</v>
      </c>
      <c r="H602" s="294">
        <v>139.226</v>
      </c>
      <c r="I602" s="294">
        <v>140.79999999999998</v>
      </c>
      <c r="J602" s="294">
        <v>174.97700000000003</v>
      </c>
      <c r="K602" s="293">
        <v>556.87999999999977</v>
      </c>
      <c r="L602" s="294">
        <v>124.34900000000002</v>
      </c>
      <c r="M602" s="294">
        <v>167.90899999999999</v>
      </c>
      <c r="N602" s="294">
        <v>180.37299999999999</v>
      </c>
      <c r="O602" s="294">
        <v>218.14299999999997</v>
      </c>
      <c r="P602" s="293">
        <v>690.77399999999989</v>
      </c>
      <c r="Q602" s="294">
        <v>144.797</v>
      </c>
      <c r="R602" s="294">
        <v>199.10700000000003</v>
      </c>
      <c r="S602" s="294">
        <v>195.55099999999993</v>
      </c>
      <c r="T602" s="294">
        <v>230.45099999999996</v>
      </c>
      <c r="U602" s="293">
        <v>769.90599999999972</v>
      </c>
      <c r="V602" s="294">
        <v>135.20400000000004</v>
      </c>
      <c r="W602" s="294">
        <v>183.24</v>
      </c>
      <c r="X602" s="294">
        <v>177.60499999999996</v>
      </c>
      <c r="Y602" s="294">
        <v>204.46299999999999</v>
      </c>
      <c r="Z602" s="293">
        <v>700.51200000000006</v>
      </c>
      <c r="AA602" s="294">
        <v>171.63600000000002</v>
      </c>
      <c r="AB602" s="294">
        <v>210.86900000000003</v>
      </c>
      <c r="AC602" s="294">
        <v>218.62199999999993</v>
      </c>
      <c r="AD602" s="294">
        <v>257.52400000000023</v>
      </c>
      <c r="AE602" s="293">
        <v>858.65100000000007</v>
      </c>
      <c r="AF602" s="294">
        <v>209.26899999999998</v>
      </c>
      <c r="AG602" s="294">
        <v>267.125</v>
      </c>
      <c r="AH602" s="294">
        <v>255.18500000000003</v>
      </c>
      <c r="AI602" s="294">
        <v>260.25699999999995</v>
      </c>
      <c r="AJ602" s="293">
        <v>991.83599999999979</v>
      </c>
      <c r="AK602" s="294">
        <v>234.15900000000002</v>
      </c>
      <c r="AL602" s="294">
        <v>296.55400000000003</v>
      </c>
      <c r="AM602" s="294">
        <v>282.37099999999992</v>
      </c>
      <c r="AN602" s="294">
        <v>283.07300000000032</v>
      </c>
      <c r="AO602" s="293">
        <v>1096.1570000000002</v>
      </c>
      <c r="AP602" s="294">
        <v>202.00399999999999</v>
      </c>
      <c r="AQ602" s="294">
        <v>337.19900000000001</v>
      </c>
      <c r="AR602" s="294">
        <v>409.11100000000005</v>
      </c>
      <c r="AS602" s="294">
        <v>385.49400000000014</v>
      </c>
      <c r="AT602" s="293">
        <v>1333.808</v>
      </c>
      <c r="AU602" s="294">
        <v>406.97700000000003</v>
      </c>
      <c r="AV602" s="294">
        <v>487.67600000000004</v>
      </c>
      <c r="AW602" s="294">
        <v>505.25400000000002</v>
      </c>
      <c r="AX602" s="294">
        <v>454.30399999999992</v>
      </c>
      <c r="AY602" s="293">
        <v>1854.211</v>
      </c>
      <c r="AZ602" s="294">
        <v>498.58300000000003</v>
      </c>
      <c r="BA602" s="294">
        <v>523.21800000000007</v>
      </c>
      <c r="BB602" s="294">
        <v>431.70400000000001</v>
      </c>
      <c r="BC602" s="294">
        <v>369.40599999999972</v>
      </c>
      <c r="BD602" s="293">
        <v>1822.9109999999998</v>
      </c>
      <c r="BE602" s="294">
        <v>347.54500000000002</v>
      </c>
      <c r="BF602" s="294">
        <v>380.07300000000004</v>
      </c>
      <c r="BG602" s="294">
        <v>340.45000000000005</v>
      </c>
      <c r="BH602" s="294">
        <v>320.95100000000025</v>
      </c>
      <c r="BI602" s="297">
        <v>1389.0190000000002</v>
      </c>
      <c r="BJ602" s="294">
        <v>301.52462165438686</v>
      </c>
      <c r="BK602" s="294">
        <v>384.71654242497556</v>
      </c>
      <c r="BL602" s="294">
        <v>393.57636718345879</v>
      </c>
      <c r="BM602" s="294">
        <v>366.25384314706338</v>
      </c>
      <c r="BN602" s="293">
        <v>1446.0713744098846</v>
      </c>
      <c r="BO602" s="294">
        <v>367.21033859414092</v>
      </c>
      <c r="BP602" s="294">
        <v>446.69644361649313</v>
      </c>
      <c r="BQ602" s="294">
        <v>453.68544441898172</v>
      </c>
      <c r="BR602" s="294">
        <v>406.05242553325394</v>
      </c>
      <c r="BS602" s="293">
        <v>1673.6446521628695</v>
      </c>
      <c r="BT602" s="293">
        <v>1780.7682995152184</v>
      </c>
      <c r="BU602" s="293">
        <v>1849.5216231670681</v>
      </c>
      <c r="BV602" s="293">
        <v>1900.9120194870309</v>
      </c>
      <c r="BW602" s="247"/>
    </row>
    <row r="603" spans="1:75" s="198" customFormat="1" ht="14.25" x14ac:dyDescent="0.45">
      <c r="A603" s="199" t="s">
        <v>193</v>
      </c>
      <c r="B603" s="490"/>
      <c r="C603" s="411"/>
      <c r="D603" s="411"/>
      <c r="E603" s="411"/>
      <c r="F603" s="411"/>
      <c r="G603" s="412"/>
      <c r="H603" s="412"/>
      <c r="I603" s="412"/>
      <c r="J603" s="412"/>
      <c r="K603" s="411"/>
      <c r="L603" s="412"/>
      <c r="M603" s="412"/>
      <c r="N603" s="412"/>
      <c r="O603" s="412"/>
      <c r="P603" s="411"/>
      <c r="Q603" s="412"/>
      <c r="R603" s="412"/>
      <c r="S603" s="412"/>
      <c r="T603" s="412"/>
      <c r="U603" s="411"/>
      <c r="V603" s="412"/>
      <c r="W603" s="412"/>
      <c r="X603" s="412"/>
      <c r="Y603" s="412"/>
      <c r="Z603" s="411"/>
      <c r="AA603" s="412"/>
      <c r="AB603" s="412"/>
      <c r="AC603" s="412"/>
      <c r="AD603" s="412"/>
      <c r="AE603" s="411"/>
      <c r="AF603" s="412"/>
      <c r="AG603" s="412"/>
      <c r="AH603" s="412"/>
      <c r="AI603" s="412"/>
      <c r="AJ603" s="411"/>
      <c r="AK603" s="412"/>
      <c r="AL603" s="412"/>
      <c r="AM603" s="412"/>
      <c r="AN603" s="412"/>
      <c r="AO603" s="411"/>
      <c r="AP603" s="412"/>
      <c r="AQ603" s="412"/>
      <c r="AR603" s="412"/>
      <c r="AS603" s="412"/>
      <c r="AT603" s="411"/>
      <c r="AU603" s="412"/>
      <c r="AV603" s="412"/>
      <c r="AW603" s="412"/>
      <c r="AX603" s="412"/>
      <c r="AY603" s="411"/>
      <c r="AZ603" s="412"/>
      <c r="BA603" s="412"/>
      <c r="BB603" s="412"/>
      <c r="BC603" s="412"/>
      <c r="BD603" s="411"/>
      <c r="BE603" s="412"/>
      <c r="BF603" s="412"/>
      <c r="BG603" s="412"/>
      <c r="BH603" s="412"/>
      <c r="BI603" s="488"/>
      <c r="BJ603" s="412" t="s">
        <v>189</v>
      </c>
      <c r="BK603" s="412" t="s">
        <v>189</v>
      </c>
      <c r="BL603" s="412" t="s">
        <v>189</v>
      </c>
      <c r="BM603" s="412" t="s">
        <v>189</v>
      </c>
      <c r="BN603" s="411" t="s">
        <v>189</v>
      </c>
      <c r="BO603" s="412" t="s">
        <v>189</v>
      </c>
      <c r="BP603" s="412" t="s">
        <v>189</v>
      </c>
      <c r="BQ603" s="412" t="s">
        <v>189</v>
      </c>
      <c r="BR603" s="412" t="s">
        <v>189</v>
      </c>
      <c r="BS603" s="411" t="s">
        <v>189</v>
      </c>
      <c r="BT603" s="411" t="s">
        <v>189</v>
      </c>
      <c r="BU603" s="411" t="s">
        <v>189</v>
      </c>
      <c r="BV603" s="411" t="s">
        <v>189</v>
      </c>
      <c r="BW603" s="295"/>
    </row>
    <row r="604" spans="1:75" s="169" customFormat="1" ht="14.25" x14ac:dyDescent="0.45">
      <c r="A604" s="199" t="s">
        <v>712</v>
      </c>
      <c r="B604" s="490"/>
      <c r="C604" s="411"/>
      <c r="D604" s="411">
        <v>71.344000000000023</v>
      </c>
      <c r="E604" s="411">
        <v>84.729000000000099</v>
      </c>
      <c r="F604" s="411">
        <v>83.350000000000023</v>
      </c>
      <c r="G604" s="412"/>
      <c r="H604" s="412"/>
      <c r="I604" s="412"/>
      <c r="J604" s="412"/>
      <c r="K604" s="411">
        <v>117.1809999999997</v>
      </c>
      <c r="L604" s="412">
        <v>22.472000000000037</v>
      </c>
      <c r="M604" s="412">
        <v>28.682999999999993</v>
      </c>
      <c r="N604" s="412">
        <v>39.573000000000008</v>
      </c>
      <c r="O604" s="412">
        <v>43.16599999999994</v>
      </c>
      <c r="P604" s="411">
        <v>133.89400000000012</v>
      </c>
      <c r="Q604" s="412">
        <v>20.447999999999979</v>
      </c>
      <c r="R604" s="412">
        <v>31.198000000000036</v>
      </c>
      <c r="S604" s="412">
        <v>15.17799999999994</v>
      </c>
      <c r="T604" s="412">
        <v>12.307999999999993</v>
      </c>
      <c r="U604" s="411">
        <v>79.131999999999834</v>
      </c>
      <c r="V604" s="412">
        <v>-9.5929999999999609</v>
      </c>
      <c r="W604" s="412">
        <v>-15.867000000000019</v>
      </c>
      <c r="X604" s="412">
        <v>-17.94599999999997</v>
      </c>
      <c r="Y604" s="412">
        <v>-25.987999999999971</v>
      </c>
      <c r="Z604" s="411">
        <v>-69.393999999999664</v>
      </c>
      <c r="AA604" s="412">
        <v>36.431999999999988</v>
      </c>
      <c r="AB604" s="412">
        <v>27.629000000000019</v>
      </c>
      <c r="AC604" s="412">
        <v>41.016999999999967</v>
      </c>
      <c r="AD604" s="412">
        <v>53.061000000000234</v>
      </c>
      <c r="AE604" s="411">
        <v>158.13900000000001</v>
      </c>
      <c r="AF604" s="412">
        <v>37.632999999999953</v>
      </c>
      <c r="AG604" s="412">
        <v>56.255999999999972</v>
      </c>
      <c r="AH604" s="412">
        <v>36.563000000000102</v>
      </c>
      <c r="AI604" s="412">
        <v>2.7329999999997199</v>
      </c>
      <c r="AJ604" s="411">
        <v>133.18499999999972</v>
      </c>
      <c r="AK604" s="412">
        <v>24.890000000000043</v>
      </c>
      <c r="AL604" s="412">
        <v>29.42900000000003</v>
      </c>
      <c r="AM604" s="412">
        <v>27.185999999999893</v>
      </c>
      <c r="AN604" s="412">
        <v>22.816000000000372</v>
      </c>
      <c r="AO604" s="411">
        <v>104.32100000000037</v>
      </c>
      <c r="AP604" s="412">
        <v>-32.15500000000003</v>
      </c>
      <c r="AQ604" s="412">
        <v>40.644999999999982</v>
      </c>
      <c r="AR604" s="412">
        <v>126.74000000000012</v>
      </c>
      <c r="AS604" s="412">
        <v>102.42099999999982</v>
      </c>
      <c r="AT604" s="411">
        <v>237.65099999999984</v>
      </c>
      <c r="AU604" s="412">
        <v>204.97300000000004</v>
      </c>
      <c r="AV604" s="412">
        <v>150.47700000000003</v>
      </c>
      <c r="AW604" s="412">
        <v>96.142999999999972</v>
      </c>
      <c r="AX604" s="412">
        <v>68.809999999999775</v>
      </c>
      <c r="AY604" s="411">
        <v>520.40300000000002</v>
      </c>
      <c r="AZ604" s="412">
        <v>91.605999999999995</v>
      </c>
      <c r="BA604" s="412">
        <v>35.54200000000003</v>
      </c>
      <c r="BB604" s="412">
        <v>-73.550000000000011</v>
      </c>
      <c r="BC604" s="412">
        <v>-84.898000000000195</v>
      </c>
      <c r="BD604" s="411">
        <v>-31.300000000000182</v>
      </c>
      <c r="BE604" s="412">
        <v>-151.03800000000001</v>
      </c>
      <c r="BF604" s="412">
        <v>-143.14500000000004</v>
      </c>
      <c r="BG604" s="412">
        <v>-91.253999999999962</v>
      </c>
      <c r="BH604" s="412">
        <v>-48.454999999999472</v>
      </c>
      <c r="BI604" s="488">
        <v>-433.8919999999996</v>
      </c>
      <c r="BJ604" s="412">
        <v>-46.020378345613153</v>
      </c>
      <c r="BK604" s="412">
        <v>4.6435424249755215</v>
      </c>
      <c r="BL604" s="412">
        <v>53.12636718345874</v>
      </c>
      <c r="BM604" s="412">
        <v>45.302843147063129</v>
      </c>
      <c r="BN604" s="411">
        <v>57.052374409884351</v>
      </c>
      <c r="BO604" s="412">
        <v>65.685716939754059</v>
      </c>
      <c r="BP604" s="412">
        <v>61.97990119151757</v>
      </c>
      <c r="BQ604" s="412">
        <v>60.109077235522932</v>
      </c>
      <c r="BR604" s="412">
        <v>39.79858238619056</v>
      </c>
      <c r="BS604" s="411">
        <v>227.57327775298495</v>
      </c>
      <c r="BT604" s="411">
        <v>107.12364735234883</v>
      </c>
      <c r="BU604" s="411">
        <v>68.753323651849769</v>
      </c>
      <c r="BV604" s="411">
        <v>51.390396319962747</v>
      </c>
      <c r="BW604" s="247"/>
    </row>
    <row r="605" spans="1:75" s="169" customFormat="1" ht="14.25" x14ac:dyDescent="0.45">
      <c r="A605" s="170" t="s">
        <v>713</v>
      </c>
      <c r="B605" s="491"/>
      <c r="C605" s="375"/>
      <c r="D605" s="375">
        <v>0.35622840480137441</v>
      </c>
      <c r="E605" s="375">
        <v>0.31193947426551838</v>
      </c>
      <c r="F605" s="375">
        <v>0.2338999127260073</v>
      </c>
      <c r="G605" s="492"/>
      <c r="H605" s="492"/>
      <c r="I605" s="492"/>
      <c r="J605" s="492"/>
      <c r="K605" s="375">
        <v>0.2665027666653772</v>
      </c>
      <c r="L605" s="492">
        <v>0.22057971868036996</v>
      </c>
      <c r="M605" s="492">
        <v>0.20601755419246404</v>
      </c>
      <c r="N605" s="492">
        <v>0.28105823863636381</v>
      </c>
      <c r="O605" s="492">
        <v>0.24669527995107887</v>
      </c>
      <c r="P605" s="375">
        <v>0.24043600057463044</v>
      </c>
      <c r="Q605" s="492">
        <v>0.16444040563253415</v>
      </c>
      <c r="R605" s="492">
        <v>0.18580302425718709</v>
      </c>
      <c r="S605" s="492">
        <v>8.4147849179200485E-2</v>
      </c>
      <c r="T605" s="492">
        <v>5.6421705028352864E-2</v>
      </c>
      <c r="U605" s="375">
        <v>0.11455555652065641</v>
      </c>
      <c r="V605" s="492">
        <v>-6.6251372611310755E-2</v>
      </c>
      <c r="W605" s="492">
        <v>-7.9690819509108279E-2</v>
      </c>
      <c r="X605" s="492">
        <v>-9.1771456039600796E-2</v>
      </c>
      <c r="Y605" s="492">
        <v>-0.11277017674039158</v>
      </c>
      <c r="Z605" s="375">
        <v>-9.013308118133867E-2</v>
      </c>
      <c r="AA605" s="492">
        <v>0.26945948344723503</v>
      </c>
      <c r="AB605" s="492">
        <v>0.15078039729316761</v>
      </c>
      <c r="AC605" s="492">
        <v>0.2309450747445172</v>
      </c>
      <c r="AD605" s="492">
        <v>0.25951394628857161</v>
      </c>
      <c r="AE605" s="375">
        <v>0.22574773879676568</v>
      </c>
      <c r="AF605" s="492">
        <v>0.21926052809433894</v>
      </c>
      <c r="AG605" s="492">
        <v>0.26678174601292737</v>
      </c>
      <c r="AH605" s="492">
        <v>0.16724300390628621</v>
      </c>
      <c r="AI605" s="492">
        <v>1.0612603097186035E-2</v>
      </c>
      <c r="AJ605" s="375">
        <v>0.15510958468574509</v>
      </c>
      <c r="AK605" s="492">
        <v>0.11893782643392026</v>
      </c>
      <c r="AL605" s="492">
        <v>0.11016939635002343</v>
      </c>
      <c r="AM605" s="492">
        <v>0.10653447498873314</v>
      </c>
      <c r="AN605" s="492">
        <v>8.766719050784566E-2</v>
      </c>
      <c r="AO605" s="375">
        <v>0.10517968696437752</v>
      </c>
      <c r="AP605" s="492">
        <v>-0.13732122190477425</v>
      </c>
      <c r="AQ605" s="492">
        <v>0.13705766909230688</v>
      </c>
      <c r="AR605" s="492">
        <v>0.44884212613901631</v>
      </c>
      <c r="AS605" s="492">
        <v>0.36181832954750082</v>
      </c>
      <c r="AT605" s="375">
        <v>0.21680379726626731</v>
      </c>
      <c r="AU605" s="492">
        <v>1.0146977287578465</v>
      </c>
      <c r="AV605" s="492">
        <v>0.4462557718142699</v>
      </c>
      <c r="AW605" s="492">
        <v>0.23500468088122783</v>
      </c>
      <c r="AX605" s="492">
        <v>0.1784982386236873</v>
      </c>
      <c r="AY605" s="375">
        <v>0.39016335184674267</v>
      </c>
      <c r="AZ605" s="492">
        <v>0.22508888708698516</v>
      </c>
      <c r="BA605" s="492">
        <v>7.2880354989788287E-2</v>
      </c>
      <c r="BB605" s="492">
        <v>-0.145570346795869</v>
      </c>
      <c r="BC605" s="492">
        <v>-0.18687486792984476</v>
      </c>
      <c r="BD605" s="375">
        <v>-1.6880495261866191E-2</v>
      </c>
      <c r="BE605" s="492">
        <v>-0.30293451641953295</v>
      </c>
      <c r="BF605" s="492">
        <v>-0.27358577113172711</v>
      </c>
      <c r="BG605" s="492">
        <v>-0.21138094620388037</v>
      </c>
      <c r="BH605" s="492">
        <v>-0.13117004055158688</v>
      </c>
      <c r="BI605" s="379">
        <v>-0.23802149419253027</v>
      </c>
      <c r="BJ605" s="492">
        <v>-0.13241559609723386</v>
      </c>
      <c r="BK605" s="492">
        <v>1.2217501440448419E-2</v>
      </c>
      <c r="BL605" s="492">
        <v>0.15604748768823251</v>
      </c>
      <c r="BM605" s="492">
        <v>0.14115189903462855</v>
      </c>
      <c r="BN605" s="375">
        <v>4.1073861775745568E-2</v>
      </c>
      <c r="BO605" s="492">
        <v>0.21784528433981176</v>
      </c>
      <c r="BP605" s="492">
        <v>0.16110537072526432</v>
      </c>
      <c r="BQ605" s="492">
        <v>0.15272532155749108</v>
      </c>
      <c r="BR605" s="492">
        <v>0.10866393112552286</v>
      </c>
      <c r="BS605" s="375">
        <v>0.1573734753209215</v>
      </c>
      <c r="BT605" s="375">
        <v>6.4006207777685509E-2</v>
      </c>
      <c r="BU605" s="375">
        <v>3.8608798051136928E-2</v>
      </c>
      <c r="BV605" s="375">
        <v>2.7785777509301779E-2</v>
      </c>
      <c r="BW605" s="247"/>
    </row>
    <row r="606" spans="1:75" s="169" customFormat="1" ht="14.25" x14ac:dyDescent="0.45">
      <c r="A606" s="211" t="s">
        <v>194</v>
      </c>
      <c r="B606" s="493"/>
      <c r="C606" s="420">
        <v>0.32009078050456691</v>
      </c>
      <c r="D606" s="420">
        <v>0.3514969873905211</v>
      </c>
      <c r="E606" s="420">
        <v>0.37193920366063937</v>
      </c>
      <c r="F606" s="420">
        <v>0.36855158979620239</v>
      </c>
      <c r="G606" s="421">
        <v>0.33808327553536399</v>
      </c>
      <c r="H606" s="421">
        <v>0.3643724908269606</v>
      </c>
      <c r="I606" s="421">
        <v>0.3557064613270276</v>
      </c>
      <c r="J606" s="421">
        <v>0.37095447472301962</v>
      </c>
      <c r="K606" s="420">
        <v>0.35905480537550577</v>
      </c>
      <c r="L606" s="421">
        <v>0.33951574590311645</v>
      </c>
      <c r="M606" s="421">
        <v>0.38709580741690214</v>
      </c>
      <c r="N606" s="421">
        <v>0.37215247330685508</v>
      </c>
      <c r="O606" s="421">
        <v>0.37434853713660082</v>
      </c>
      <c r="P606" s="420">
        <v>0.369907819443061</v>
      </c>
      <c r="Q606" s="421">
        <v>0.34275941246789521</v>
      </c>
      <c r="R606" s="421">
        <v>0.39276090755944471</v>
      </c>
      <c r="S606" s="421">
        <v>0.36729331287294958</v>
      </c>
      <c r="T606" s="421">
        <v>0.35606945526013267</v>
      </c>
      <c r="U606" s="420">
        <v>0.36505633459553921</v>
      </c>
      <c r="V606" s="421">
        <v>0.29685414178317998</v>
      </c>
      <c r="W606" s="421">
        <v>0.33722194924003601</v>
      </c>
      <c r="X606" s="421">
        <v>0.32331321177875511</v>
      </c>
      <c r="Y606" s="421">
        <v>0.34646113595426214</v>
      </c>
      <c r="Z606" s="420">
        <v>0.32760046242082547</v>
      </c>
      <c r="AA606" s="421">
        <v>0.30535866780529464</v>
      </c>
      <c r="AB606" s="421">
        <v>0.34058426298456407</v>
      </c>
      <c r="AC606" s="421">
        <v>0.36899909362958305</v>
      </c>
      <c r="AD606" s="421">
        <v>0.38454267577935458</v>
      </c>
      <c r="AE606" s="420">
        <v>0.35141920150807432</v>
      </c>
      <c r="AF606" s="421">
        <v>0.375433705414007</v>
      </c>
      <c r="AG606" s="421">
        <v>0.41566106642641187</v>
      </c>
      <c r="AH606" s="421">
        <v>0.39965951768659974</v>
      </c>
      <c r="AI606" s="421">
        <v>0.38738923793915958</v>
      </c>
      <c r="AJ606" s="420">
        <v>0.39509302553471848</v>
      </c>
      <c r="AK606" s="421">
        <v>0.39102489170621574</v>
      </c>
      <c r="AL606" s="421">
        <v>0.41974256702627272</v>
      </c>
      <c r="AM606" s="421">
        <v>0.41726292332745196</v>
      </c>
      <c r="AN606" s="421">
        <v>0.42568904742426833</v>
      </c>
      <c r="AO606" s="420">
        <v>0.41410576166791219</v>
      </c>
      <c r="AP606" s="421">
        <v>0.4183186821151596</v>
      </c>
      <c r="AQ606" s="421">
        <v>0.47513696159439078</v>
      </c>
      <c r="AR606" s="421">
        <v>0.48427308906076516</v>
      </c>
      <c r="AS606" s="421">
        <v>0.47438292342565186</v>
      </c>
      <c r="AT606" s="420">
        <v>0.46800297122911266</v>
      </c>
      <c r="AU606" s="421">
        <v>0.47279365979237725</v>
      </c>
      <c r="AV606" s="421">
        <v>0.4931704115551358</v>
      </c>
      <c r="AW606" s="421">
        <v>0.50202697063277257</v>
      </c>
      <c r="AX606" s="421">
        <v>0.5039194002269447</v>
      </c>
      <c r="AY606" s="420">
        <v>0.49345356901442933</v>
      </c>
      <c r="AZ606" s="421">
        <v>0.52082645629546676</v>
      </c>
      <c r="BA606" s="421">
        <v>0.52763962001573195</v>
      </c>
      <c r="BB606" s="421">
        <v>0.49674478117887477</v>
      </c>
      <c r="BC606" s="421">
        <v>0.47819608827972571</v>
      </c>
      <c r="BD606" s="420">
        <v>0.50770719322251612</v>
      </c>
      <c r="BE606" s="421">
        <v>0.47018786138897833</v>
      </c>
      <c r="BF606" s="421">
        <v>0.47480695933309935</v>
      </c>
      <c r="BG606" s="421">
        <v>0.45319311790741795</v>
      </c>
      <c r="BH606" s="421">
        <v>0.43473979356866166</v>
      </c>
      <c r="BI606" s="442">
        <v>0.45855438169293722</v>
      </c>
      <c r="BJ606" s="421">
        <v>0.416294139492772</v>
      </c>
      <c r="BK606" s="421">
        <v>0.4558954142832094</v>
      </c>
      <c r="BL606" s="421">
        <v>0.45868245156914245</v>
      </c>
      <c r="BM606" s="421">
        <v>0.44821121745801645</v>
      </c>
      <c r="BN606" s="420">
        <v>0.44585307427816717</v>
      </c>
      <c r="BO606" s="421">
        <v>0.42963160345079565</v>
      </c>
      <c r="BP606" s="421">
        <v>0.46010902726222597</v>
      </c>
      <c r="BQ606" s="421">
        <v>0.46163699005502218</v>
      </c>
      <c r="BR606" s="421">
        <v>0.45276376547478286</v>
      </c>
      <c r="BS606" s="420">
        <v>0.45170584811393494</v>
      </c>
      <c r="BT606" s="420">
        <v>0.45445658186148213</v>
      </c>
      <c r="BU606" s="420">
        <v>0.45733921803729494</v>
      </c>
      <c r="BV606" s="420">
        <v>0.46027499198211591</v>
      </c>
      <c r="BW606" s="247"/>
    </row>
    <row r="607" spans="1:75" s="169" customFormat="1" ht="14.25" x14ac:dyDescent="0.45">
      <c r="A607" s="218" t="s">
        <v>196</v>
      </c>
      <c r="B607" s="494"/>
      <c r="C607" s="252"/>
      <c r="D607" s="252">
        <v>314.06206885954191</v>
      </c>
      <c r="E607" s="252">
        <v>204.42216270118274</v>
      </c>
      <c r="F607" s="252">
        <v>-33.876138644369782</v>
      </c>
      <c r="G607" s="253"/>
      <c r="H607" s="253"/>
      <c r="I607" s="253"/>
      <c r="J607" s="253"/>
      <c r="K607" s="252">
        <v>-94.967844206966248</v>
      </c>
      <c r="L607" s="253">
        <v>14.324703677524585</v>
      </c>
      <c r="M607" s="253">
        <v>227.23316589941533</v>
      </c>
      <c r="N607" s="253">
        <v>164.4601197982748</v>
      </c>
      <c r="O607" s="253">
        <v>33.940624135812001</v>
      </c>
      <c r="P607" s="252">
        <v>108.53014067555233</v>
      </c>
      <c r="Q607" s="253">
        <v>32.436665647787578</v>
      </c>
      <c r="R607" s="253">
        <v>56.651001425425676</v>
      </c>
      <c r="S607" s="253">
        <v>-48.59160433905496</v>
      </c>
      <c r="T607" s="253">
        <v>-182.79081876468152</v>
      </c>
      <c r="U607" s="252">
        <v>-48.514848475217917</v>
      </c>
      <c r="V607" s="253">
        <v>-459.05270684715225</v>
      </c>
      <c r="W607" s="253">
        <v>-555.38958319408698</v>
      </c>
      <c r="X607" s="253">
        <v>-439.80101094194481</v>
      </c>
      <c r="Y607" s="253">
        <v>-96.083193058705277</v>
      </c>
      <c r="Z607" s="252">
        <v>-374.55872174713744</v>
      </c>
      <c r="AA607" s="253">
        <v>85.045260221146563</v>
      </c>
      <c r="AB607" s="253">
        <v>33.623137445280562</v>
      </c>
      <c r="AC607" s="253">
        <v>456.85881850827946</v>
      </c>
      <c r="AD607" s="253">
        <v>380.81539825092437</v>
      </c>
      <c r="AE607" s="252">
        <v>238.18739087248852</v>
      </c>
      <c r="AF607" s="253">
        <v>700.75037608712364</v>
      </c>
      <c r="AG607" s="253">
        <v>750.76803441847801</v>
      </c>
      <c r="AH607" s="253">
        <v>306.60424057016689</v>
      </c>
      <c r="AI607" s="253">
        <v>28.465621598049996</v>
      </c>
      <c r="AJ607" s="252">
        <v>436.73824026644161</v>
      </c>
      <c r="AK607" s="253">
        <v>155.91186292208735</v>
      </c>
      <c r="AL607" s="253">
        <v>40.815005998608434</v>
      </c>
      <c r="AM607" s="253">
        <v>176.03405640852222</v>
      </c>
      <c r="AN607" s="253">
        <v>382.9980948510875</v>
      </c>
      <c r="AO607" s="252">
        <v>190.1273613319371</v>
      </c>
      <c r="AP607" s="253">
        <v>272.93790408943863</v>
      </c>
      <c r="AQ607" s="253">
        <v>553.94394568118071</v>
      </c>
      <c r="AR607" s="253">
        <v>670.10165733313204</v>
      </c>
      <c r="AS607" s="253">
        <v>486.93876001383529</v>
      </c>
      <c r="AT607" s="252">
        <v>538.97209561200475</v>
      </c>
      <c r="AU607" s="253">
        <v>544.74977677217646</v>
      </c>
      <c r="AV607" s="253">
        <v>180.33449960745017</v>
      </c>
      <c r="AW607" s="253">
        <v>177.53881572007413</v>
      </c>
      <c r="AX607" s="253">
        <v>295.36476801292844</v>
      </c>
      <c r="AY607" s="252">
        <v>254.50597785316666</v>
      </c>
      <c r="AZ607" s="253">
        <v>480.32796503089503</v>
      </c>
      <c r="BA607" s="253">
        <v>344.69208460596144</v>
      </c>
      <c r="BB607" s="253">
        <v>-52.821894538978007</v>
      </c>
      <c r="BC607" s="253">
        <v>-257.23311947218997</v>
      </c>
      <c r="BD607" s="252">
        <v>142.53624208086791</v>
      </c>
      <c r="BE607" s="253">
        <v>-506.38594906488419</v>
      </c>
      <c r="BF607" s="253">
        <v>-528.32660682632593</v>
      </c>
      <c r="BG607" s="253">
        <v>-435.51663271456817</v>
      </c>
      <c r="BH607" s="253">
        <v>-434.56294711064049</v>
      </c>
      <c r="BI607" s="260">
        <v>-491.52811529578901</v>
      </c>
      <c r="BJ607" s="253">
        <v>-538.93721896206341</v>
      </c>
      <c r="BK607" s="253">
        <v>-189.11545049889955</v>
      </c>
      <c r="BL607" s="253">
        <v>54.893336617244934</v>
      </c>
      <c r="BM607" s="253">
        <v>134.71423889354796</v>
      </c>
      <c r="BN607" s="252">
        <v>-127.01307414770046</v>
      </c>
      <c r="BO607" s="253">
        <v>133.37463958023653</v>
      </c>
      <c r="BP607" s="253">
        <v>42.136129790165676</v>
      </c>
      <c r="BQ607" s="253">
        <v>29.54538485879732</v>
      </c>
      <c r="BR607" s="253">
        <v>45.525480167664114</v>
      </c>
      <c r="BS607" s="252">
        <v>58.527738357677663</v>
      </c>
      <c r="BT607" s="252">
        <v>27.50733747547196</v>
      </c>
      <c r="BU607" s="252">
        <v>28.826361758128026</v>
      </c>
      <c r="BV607" s="252">
        <v>29.357739448209742</v>
      </c>
      <c r="BW607" s="247"/>
    </row>
    <row r="608" spans="1:75" s="198" customFormat="1" ht="14.25" x14ac:dyDescent="0.45">
      <c r="A608" s="295"/>
      <c r="B608" s="295"/>
      <c r="C608" s="293"/>
      <c r="D608" s="293"/>
      <c r="E608" s="293"/>
      <c r="F608" s="293"/>
      <c r="G608" s="294"/>
      <c r="H608" s="294"/>
      <c r="I608" s="294"/>
      <c r="J608" s="294"/>
      <c r="K608" s="293"/>
      <c r="L608" s="294"/>
      <c r="M608" s="294"/>
      <c r="N608" s="294"/>
      <c r="O608" s="294"/>
      <c r="P608" s="293"/>
      <c r="Q608" s="294"/>
      <c r="R608" s="294"/>
      <c r="S608" s="294"/>
      <c r="T608" s="294"/>
      <c r="U608" s="293"/>
      <c r="V608" s="294"/>
      <c r="W608" s="294"/>
      <c r="X608" s="294"/>
      <c r="Y608" s="294"/>
      <c r="Z608" s="293"/>
      <c r="AA608" s="294"/>
      <c r="AB608" s="294"/>
      <c r="AC608" s="294"/>
      <c r="AD608" s="294"/>
      <c r="AE608" s="293"/>
      <c r="AF608" s="294"/>
      <c r="AG608" s="294"/>
      <c r="AH608" s="294"/>
      <c r="AI608" s="294"/>
      <c r="AJ608" s="293"/>
      <c r="AK608" s="294"/>
      <c r="AL608" s="294"/>
      <c r="AM608" s="294"/>
      <c r="AN608" s="294"/>
      <c r="AO608" s="293"/>
      <c r="AP608" s="294"/>
      <c r="AQ608" s="294"/>
      <c r="AR608" s="294"/>
      <c r="AS608" s="294"/>
      <c r="AT608" s="293"/>
      <c r="AU608" s="294"/>
      <c r="AV608" s="294"/>
      <c r="AW608" s="294"/>
      <c r="AX608" s="294"/>
      <c r="AY608" s="293"/>
      <c r="AZ608" s="294"/>
      <c r="BA608" s="294"/>
      <c r="BB608" s="294"/>
      <c r="BC608" s="294"/>
      <c r="BD608" s="293"/>
      <c r="BE608" s="294"/>
      <c r="BF608" s="294"/>
      <c r="BG608" s="294"/>
      <c r="BH608" s="294"/>
      <c r="BI608" s="297"/>
      <c r="BJ608" s="294"/>
      <c r="BK608" s="294"/>
      <c r="BL608" s="294"/>
      <c r="BM608" s="294"/>
      <c r="BN608" s="293"/>
      <c r="BO608" s="294"/>
      <c r="BP608" s="294"/>
      <c r="BQ608" s="294"/>
      <c r="BR608" s="294"/>
      <c r="BS608" s="293"/>
      <c r="BT608" s="293"/>
      <c r="BU608" s="293"/>
      <c r="BV608" s="293"/>
      <c r="BW608" s="197"/>
    </row>
    <row r="609" spans="1:75" s="123" customFormat="1" outlineLevel="2" x14ac:dyDescent="0.5">
      <c r="A609" s="184" t="s">
        <v>714</v>
      </c>
      <c r="B609" s="119"/>
      <c r="C609" s="305">
        <v>43.6</v>
      </c>
      <c r="D609" s="305">
        <v>56.1</v>
      </c>
      <c r="E609" s="305">
        <v>66.900000000000006</v>
      </c>
      <c r="F609" s="305">
        <v>98.8</v>
      </c>
      <c r="G609" s="300"/>
      <c r="H609" s="300"/>
      <c r="I609" s="300"/>
      <c r="J609" s="300"/>
      <c r="K609" s="305">
        <v>83</v>
      </c>
      <c r="L609" s="300"/>
      <c r="M609" s="300"/>
      <c r="N609" s="300"/>
      <c r="O609" s="300"/>
      <c r="P609" s="305">
        <v>114.7</v>
      </c>
      <c r="Q609" s="300"/>
      <c r="R609" s="300"/>
      <c r="S609" s="300"/>
      <c r="T609" s="300"/>
      <c r="U609" s="305">
        <v>107.7</v>
      </c>
      <c r="V609" s="300"/>
      <c r="W609" s="300"/>
      <c r="X609" s="300"/>
      <c r="Y609" s="300"/>
      <c r="Z609" s="305">
        <v>79.8</v>
      </c>
      <c r="AA609" s="300"/>
      <c r="AB609" s="300"/>
      <c r="AC609" s="300"/>
      <c r="AD609" s="300"/>
      <c r="AE609" s="305">
        <v>106.6</v>
      </c>
      <c r="AF609" s="300"/>
      <c r="AG609" s="300"/>
      <c r="AH609" s="300"/>
      <c r="AI609" s="300"/>
      <c r="AJ609" s="305">
        <v>97</v>
      </c>
      <c r="AK609" s="300"/>
      <c r="AL609" s="300"/>
      <c r="AM609" s="300"/>
      <c r="AN609" s="300"/>
      <c r="AO609" s="305">
        <v>107.6</v>
      </c>
      <c r="AP609" s="300"/>
      <c r="AQ609" s="300"/>
      <c r="AR609" s="300"/>
      <c r="AS609" s="300"/>
      <c r="AT609" s="305">
        <v>58.8</v>
      </c>
      <c r="AU609" s="300"/>
      <c r="AV609" s="300"/>
      <c r="AW609" s="300"/>
      <c r="AX609" s="300"/>
      <c r="AY609" s="305">
        <v>40</v>
      </c>
      <c r="AZ609" s="300"/>
      <c r="BA609" s="300"/>
      <c r="BB609" s="300"/>
      <c r="BC609" s="300"/>
      <c r="BD609" s="305">
        <v>71</v>
      </c>
      <c r="BE609" s="300"/>
      <c r="BF609" s="300"/>
      <c r="BG609" s="300"/>
      <c r="BH609" s="300"/>
      <c r="BI609" s="303">
        <v>107</v>
      </c>
      <c r="BJ609" s="300"/>
      <c r="BK609" s="300"/>
      <c r="BL609" s="300"/>
      <c r="BM609" s="300"/>
      <c r="BN609" s="299"/>
      <c r="BO609" s="300"/>
      <c r="BP609" s="300"/>
      <c r="BQ609" s="300"/>
      <c r="BR609" s="300"/>
      <c r="BS609" s="299"/>
      <c r="BT609" s="299"/>
      <c r="BU609" s="299"/>
      <c r="BV609" s="299"/>
      <c r="BW609" s="122"/>
    </row>
    <row r="610" spans="1:75" s="123" customFormat="1" outlineLevel="2" x14ac:dyDescent="0.5">
      <c r="A610" s="445" t="s">
        <v>715</v>
      </c>
      <c r="B610" s="312"/>
      <c r="C610" s="309">
        <v>195.28900000000002</v>
      </c>
      <c r="D610" s="309">
        <v>218.73600000000002</v>
      </c>
      <c r="E610" s="309">
        <v>262.60599999999999</v>
      </c>
      <c r="F610" s="309">
        <v>406.685</v>
      </c>
      <c r="G610" s="310"/>
      <c r="H610" s="310"/>
      <c r="I610" s="310"/>
      <c r="J610" s="310"/>
      <c r="K610" s="309">
        <v>419.029</v>
      </c>
      <c r="L610" s="310"/>
      <c r="M610" s="310"/>
      <c r="N610" s="310"/>
      <c r="O610" s="310"/>
      <c r="P610" s="309">
        <v>410.34800000000001</v>
      </c>
      <c r="Q610" s="310"/>
      <c r="R610" s="310"/>
      <c r="S610" s="310"/>
      <c r="T610" s="310"/>
      <c r="U610" s="309">
        <v>459.43099999999998</v>
      </c>
      <c r="V610" s="310"/>
      <c r="W610" s="310"/>
      <c r="X610" s="310"/>
      <c r="Y610" s="310"/>
      <c r="Z610" s="309">
        <v>546.95100000000002</v>
      </c>
      <c r="AA610" s="310"/>
      <c r="AB610" s="310"/>
      <c r="AC610" s="310"/>
      <c r="AD610" s="310"/>
      <c r="AE610" s="309">
        <v>611.16599999999994</v>
      </c>
      <c r="AF610" s="310"/>
      <c r="AG610" s="310"/>
      <c r="AH610" s="310"/>
      <c r="AI610" s="310"/>
      <c r="AJ610" s="309">
        <v>626.84100000000001</v>
      </c>
      <c r="AK610" s="310"/>
      <c r="AL610" s="310"/>
      <c r="AM610" s="310"/>
      <c r="AN610" s="310"/>
      <c r="AO610" s="309">
        <v>624.57999999999993</v>
      </c>
      <c r="AP610" s="310"/>
      <c r="AQ610" s="310"/>
      <c r="AR610" s="310"/>
      <c r="AS610" s="310"/>
      <c r="AT610" s="309">
        <v>799.87300000000005</v>
      </c>
      <c r="AU610" s="310"/>
      <c r="AV610" s="310"/>
      <c r="AW610" s="310"/>
      <c r="AX610" s="310"/>
      <c r="AY610" s="309">
        <v>888.23</v>
      </c>
      <c r="AZ610" s="310"/>
      <c r="BA610" s="310"/>
      <c r="BB610" s="310"/>
      <c r="BC610" s="310"/>
      <c r="BD610" s="309">
        <v>1018.828</v>
      </c>
      <c r="BE610" s="310"/>
      <c r="BF610" s="310"/>
      <c r="BG610" s="310"/>
      <c r="BH610" s="310"/>
      <c r="BI610" s="314">
        <v>915.94799999999998</v>
      </c>
      <c r="BJ610" s="310"/>
      <c r="BK610" s="310"/>
      <c r="BL610" s="310"/>
      <c r="BM610" s="310"/>
      <c r="BN610" s="309"/>
      <c r="BO610" s="310"/>
      <c r="BP610" s="310"/>
      <c r="BQ610" s="310"/>
      <c r="BR610" s="310"/>
      <c r="BS610" s="309"/>
      <c r="BT610" s="309"/>
      <c r="BU610" s="309"/>
      <c r="BV610" s="309"/>
      <c r="BW610" s="122"/>
    </row>
    <row r="611" spans="1:75" s="169" customFormat="1" ht="14.25" outlineLevel="1" x14ac:dyDescent="0.45">
      <c r="A611" s="206" t="s">
        <v>716</v>
      </c>
      <c r="B611" s="485"/>
      <c r="C611" s="293">
        <v>238.88900000000001</v>
      </c>
      <c r="D611" s="293">
        <v>274.83600000000001</v>
      </c>
      <c r="E611" s="293">
        <v>329.50599999999997</v>
      </c>
      <c r="F611" s="293">
        <v>505.48500000000001</v>
      </c>
      <c r="G611" s="294">
        <v>101.366</v>
      </c>
      <c r="H611" s="294">
        <v>167.006</v>
      </c>
      <c r="I611" s="294">
        <v>116.94</v>
      </c>
      <c r="J611" s="294">
        <v>116.717</v>
      </c>
      <c r="K611" s="293">
        <v>502.029</v>
      </c>
      <c r="L611" s="294">
        <v>119.571</v>
      </c>
      <c r="M611" s="294">
        <v>118.974</v>
      </c>
      <c r="N611" s="294">
        <v>143.685</v>
      </c>
      <c r="O611" s="294">
        <v>142.81800000000001</v>
      </c>
      <c r="P611" s="293">
        <v>525.048</v>
      </c>
      <c r="Q611" s="294">
        <v>126.389</v>
      </c>
      <c r="R611" s="294">
        <v>137.84</v>
      </c>
      <c r="S611" s="294">
        <v>145.874</v>
      </c>
      <c r="T611" s="294">
        <v>157.02800000000002</v>
      </c>
      <c r="U611" s="293">
        <v>567.13099999999997</v>
      </c>
      <c r="V611" s="294">
        <v>138.94999999999999</v>
      </c>
      <c r="W611" s="294">
        <v>157.82400000000001</v>
      </c>
      <c r="X611" s="294">
        <v>160.43299999999999</v>
      </c>
      <c r="Y611" s="294">
        <v>169.54399999999998</v>
      </c>
      <c r="Z611" s="293">
        <v>626.75099999999998</v>
      </c>
      <c r="AA611" s="294">
        <v>163.36000000000001</v>
      </c>
      <c r="AB611" s="294">
        <v>193.69</v>
      </c>
      <c r="AC611" s="294">
        <v>171.16300000000001</v>
      </c>
      <c r="AD611" s="294">
        <v>189.553</v>
      </c>
      <c r="AE611" s="293">
        <v>717.76599999999996</v>
      </c>
      <c r="AF611" s="294">
        <v>161.18600000000001</v>
      </c>
      <c r="AG611" s="294">
        <v>186.52099999999999</v>
      </c>
      <c r="AH611" s="294">
        <v>207.79300000000001</v>
      </c>
      <c r="AI611" s="294">
        <v>168.34100000000001</v>
      </c>
      <c r="AJ611" s="293">
        <v>723.84100000000001</v>
      </c>
      <c r="AK611" s="294">
        <v>164.18100000000001</v>
      </c>
      <c r="AL611" s="294">
        <v>190.977</v>
      </c>
      <c r="AM611" s="294">
        <v>194.929</v>
      </c>
      <c r="AN611" s="294">
        <v>182.09299999999996</v>
      </c>
      <c r="AO611" s="293">
        <v>732.18</v>
      </c>
      <c r="AP611" s="294">
        <v>164.20099999999999</v>
      </c>
      <c r="AQ611" s="294">
        <v>195.851</v>
      </c>
      <c r="AR611" s="294">
        <v>297.10899999999998</v>
      </c>
      <c r="AS611" s="294">
        <v>201.51199999999994</v>
      </c>
      <c r="AT611" s="293">
        <v>858.673</v>
      </c>
      <c r="AU611" s="294">
        <v>219.089</v>
      </c>
      <c r="AV611" s="294">
        <v>238.68799999999999</v>
      </c>
      <c r="AW611" s="294">
        <v>232.715</v>
      </c>
      <c r="AX611" s="294">
        <v>237.73800000000006</v>
      </c>
      <c r="AY611" s="293">
        <v>928.23</v>
      </c>
      <c r="AZ611" s="294">
        <v>293.29500000000002</v>
      </c>
      <c r="BA611" s="294">
        <v>288.80399999999997</v>
      </c>
      <c r="BB611" s="294">
        <v>250.52799999999999</v>
      </c>
      <c r="BC611" s="294">
        <v>257.20100000000002</v>
      </c>
      <c r="BD611" s="293">
        <v>1089.828</v>
      </c>
      <c r="BE611" s="294">
        <v>248.30500000000001</v>
      </c>
      <c r="BF611" s="294">
        <v>228.733</v>
      </c>
      <c r="BG611" s="294">
        <v>289.214</v>
      </c>
      <c r="BH611" s="294">
        <v>256.69600000000003</v>
      </c>
      <c r="BI611" s="297">
        <v>1022.948</v>
      </c>
      <c r="BJ611" s="294">
        <v>254.45107109749807</v>
      </c>
      <c r="BK611" s="294">
        <v>239.11299210815673</v>
      </c>
      <c r="BL611" s="294">
        <v>272.59155056417137</v>
      </c>
      <c r="BM611" s="294">
        <v>260.7240294006225</v>
      </c>
      <c r="BN611" s="293">
        <v>1026.8796431704486</v>
      </c>
      <c r="BO611" s="294">
        <v>271.02389302468379</v>
      </c>
      <c r="BP611" s="294">
        <v>265.59647198688606</v>
      </c>
      <c r="BQ611" s="294">
        <v>308.88252352346819</v>
      </c>
      <c r="BR611" s="294">
        <v>268.91358148780688</v>
      </c>
      <c r="BS611" s="293">
        <v>1114.416470022845</v>
      </c>
      <c r="BT611" s="293">
        <v>1140.5171772176084</v>
      </c>
      <c r="BU611" s="293">
        <v>1138.9403400253352</v>
      </c>
      <c r="BV611" s="293">
        <v>1124.736201022843</v>
      </c>
      <c r="BW611" s="247"/>
    </row>
    <row r="612" spans="1:75" s="123" customFormat="1" outlineLevel="1" x14ac:dyDescent="0.5">
      <c r="A612" s="184" t="s">
        <v>717</v>
      </c>
      <c r="B612" s="119"/>
      <c r="C612" s="299"/>
      <c r="D612" s="299"/>
      <c r="E612" s="299"/>
      <c r="F612" s="299"/>
      <c r="G612" s="300"/>
      <c r="H612" s="300"/>
      <c r="I612" s="300"/>
      <c r="J612" s="300"/>
      <c r="K612" s="299"/>
      <c r="L612" s="300"/>
      <c r="M612" s="300"/>
      <c r="N612" s="300"/>
      <c r="O612" s="300"/>
      <c r="P612" s="299"/>
      <c r="Q612" s="300"/>
      <c r="R612" s="300"/>
      <c r="S612" s="300"/>
      <c r="T612" s="300"/>
      <c r="U612" s="299"/>
      <c r="V612" s="300"/>
      <c r="W612" s="300"/>
      <c r="X612" s="300"/>
      <c r="Y612" s="300"/>
      <c r="Z612" s="299"/>
      <c r="AA612" s="300"/>
      <c r="AB612" s="300"/>
      <c r="AC612" s="300"/>
      <c r="AD612" s="300"/>
      <c r="AE612" s="299"/>
      <c r="AF612" s="300"/>
      <c r="AG612" s="300"/>
      <c r="AH612" s="300"/>
      <c r="AI612" s="300"/>
      <c r="AJ612" s="299"/>
      <c r="AK612" s="300"/>
      <c r="AL612" s="300"/>
      <c r="AM612" s="300"/>
      <c r="AN612" s="300"/>
      <c r="AO612" s="299"/>
      <c r="AP612" s="300"/>
      <c r="AQ612" s="300"/>
      <c r="AR612" s="300"/>
      <c r="AS612" s="300"/>
      <c r="AT612" s="299"/>
      <c r="AU612" s="300"/>
      <c r="AV612" s="300"/>
      <c r="AW612" s="300"/>
      <c r="AX612" s="300"/>
      <c r="AY612" s="299"/>
      <c r="AZ612" s="300"/>
      <c r="BA612" s="300"/>
      <c r="BB612" s="300"/>
      <c r="BC612" s="300"/>
      <c r="BD612" s="299"/>
      <c r="BE612" s="300"/>
      <c r="BF612" s="300"/>
      <c r="BG612" s="300"/>
      <c r="BH612" s="300"/>
      <c r="BI612" s="304"/>
      <c r="BJ612" s="300">
        <v>0</v>
      </c>
      <c r="BK612" s="300">
        <v>0</v>
      </c>
      <c r="BL612" s="300">
        <v>0</v>
      </c>
      <c r="BM612" s="300">
        <v>0</v>
      </c>
      <c r="BN612" s="299">
        <v>0</v>
      </c>
      <c r="BO612" s="300">
        <v>0</v>
      </c>
      <c r="BP612" s="300">
        <v>0</v>
      </c>
      <c r="BQ612" s="300">
        <v>0</v>
      </c>
      <c r="BR612" s="300">
        <v>0</v>
      </c>
      <c r="BS612" s="299">
        <v>0</v>
      </c>
      <c r="BT612" s="299">
        <v>0</v>
      </c>
      <c r="BU612" s="299">
        <v>0</v>
      </c>
      <c r="BV612" s="299">
        <v>0</v>
      </c>
      <c r="BW612" s="122"/>
    </row>
    <row r="613" spans="1:75" s="169" customFormat="1" ht="14.25" outlineLevel="1" x14ac:dyDescent="0.45">
      <c r="A613" s="184" t="s">
        <v>718</v>
      </c>
      <c r="B613" s="489"/>
      <c r="C613" s="299"/>
      <c r="D613" s="299"/>
      <c r="E613" s="299">
        <v>6.35</v>
      </c>
      <c r="F613" s="299">
        <v>115.05500000000001</v>
      </c>
      <c r="G613" s="300">
        <v>3.323</v>
      </c>
      <c r="H613" s="300">
        <v>59.832000000000001</v>
      </c>
      <c r="I613" s="300">
        <v>0</v>
      </c>
      <c r="J613" s="300">
        <v>0</v>
      </c>
      <c r="K613" s="299">
        <v>63.155000000000001</v>
      </c>
      <c r="L613" s="300">
        <v>0</v>
      </c>
      <c r="M613" s="300">
        <v>0</v>
      </c>
      <c r="N613" s="300">
        <v>0</v>
      </c>
      <c r="O613" s="300">
        <v>0</v>
      </c>
      <c r="P613" s="299">
        <v>0</v>
      </c>
      <c r="Q613" s="300">
        <v>0</v>
      </c>
      <c r="R613" s="300">
        <v>0</v>
      </c>
      <c r="S613" s="300">
        <v>0</v>
      </c>
      <c r="T613" s="300">
        <v>0</v>
      </c>
      <c r="U613" s="299">
        <v>0</v>
      </c>
      <c r="V613" s="300">
        <v>0</v>
      </c>
      <c r="W613" s="300">
        <v>3.6720000000000002</v>
      </c>
      <c r="X613" s="300">
        <v>0</v>
      </c>
      <c r="Y613" s="300">
        <v>0</v>
      </c>
      <c r="Z613" s="299">
        <v>3.6720000000000002</v>
      </c>
      <c r="AA613" s="300">
        <v>0</v>
      </c>
      <c r="AB613" s="300">
        <v>23.872</v>
      </c>
      <c r="AC613" s="300">
        <v>0</v>
      </c>
      <c r="AD613" s="300">
        <v>0</v>
      </c>
      <c r="AE613" s="299">
        <v>23.872</v>
      </c>
      <c r="AF613" s="300">
        <v>0</v>
      </c>
      <c r="AG613" s="300">
        <v>0</v>
      </c>
      <c r="AH613" s="300">
        <v>0</v>
      </c>
      <c r="AI613" s="300">
        <v>0</v>
      </c>
      <c r="AJ613" s="299">
        <v>0</v>
      </c>
      <c r="AK613" s="300">
        <v>0</v>
      </c>
      <c r="AL613" s="300">
        <v>0</v>
      </c>
      <c r="AM613" s="300">
        <v>0</v>
      </c>
      <c r="AN613" s="300">
        <v>0</v>
      </c>
      <c r="AO613" s="299">
        <v>0</v>
      </c>
      <c r="AP613" s="300">
        <v>0</v>
      </c>
      <c r="AQ613" s="300">
        <v>0</v>
      </c>
      <c r="AR613" s="300">
        <v>111.218</v>
      </c>
      <c r="AS613" s="300">
        <v>5.8659999999999997</v>
      </c>
      <c r="AT613" s="299">
        <v>117.084</v>
      </c>
      <c r="AU613" s="300">
        <v>5.8639999999999999</v>
      </c>
      <c r="AV613" s="300">
        <v>5.8639999999999999</v>
      </c>
      <c r="AW613" s="300">
        <v>5.8310000000000004</v>
      </c>
      <c r="AX613" s="300">
        <v>5.8689999999999998</v>
      </c>
      <c r="AY613" s="299">
        <v>23.428000000000001</v>
      </c>
      <c r="AZ613" s="300">
        <v>5.8579999999999997</v>
      </c>
      <c r="BA613" s="300">
        <v>4.3209999999999997</v>
      </c>
      <c r="BB613" s="300">
        <v>4.1360000000000001</v>
      </c>
      <c r="BC613" s="300">
        <v>3.7570000000000001</v>
      </c>
      <c r="BD613" s="299">
        <v>18.071999999999999</v>
      </c>
      <c r="BE613" s="300">
        <v>3.5310000000000001</v>
      </c>
      <c r="BF613" s="300">
        <v>2.024</v>
      </c>
      <c r="BG613" s="300">
        <v>1.972</v>
      </c>
      <c r="BH613" s="300">
        <v>2.113</v>
      </c>
      <c r="BI613" s="304">
        <v>9.64</v>
      </c>
      <c r="BJ613" s="300">
        <v>3.5</v>
      </c>
      <c r="BK613" s="300">
        <v>3.5</v>
      </c>
      <c r="BL613" s="300">
        <v>3.5</v>
      </c>
      <c r="BM613" s="300">
        <v>3.5</v>
      </c>
      <c r="BN613" s="299">
        <v>14</v>
      </c>
      <c r="BO613" s="300">
        <v>3.5</v>
      </c>
      <c r="BP613" s="300">
        <v>3.5</v>
      </c>
      <c r="BQ613" s="300">
        <v>3.5</v>
      </c>
      <c r="BR613" s="300">
        <v>3.5</v>
      </c>
      <c r="BS613" s="299">
        <v>14</v>
      </c>
      <c r="BT613" s="299">
        <v>14</v>
      </c>
      <c r="BU613" s="299">
        <v>14</v>
      </c>
      <c r="BV613" s="299">
        <v>14</v>
      </c>
      <c r="BW613" s="247"/>
    </row>
    <row r="614" spans="1:75" s="169" customFormat="1" ht="14.25" outlineLevel="1" x14ac:dyDescent="0.45">
      <c r="A614" s="184" t="s">
        <v>719</v>
      </c>
      <c r="B614" s="489"/>
      <c r="C614" s="299">
        <v>4.62</v>
      </c>
      <c r="D614" s="299">
        <v>4.7930000000000001</v>
      </c>
      <c r="E614" s="299">
        <v>10.715</v>
      </c>
      <c r="F614" s="299">
        <v>4.258</v>
      </c>
      <c r="G614" s="300">
        <v>0</v>
      </c>
      <c r="H614" s="300">
        <v>0</v>
      </c>
      <c r="I614" s="300">
        <v>0</v>
      </c>
      <c r="J614" s="300">
        <v>0</v>
      </c>
      <c r="K614" s="299">
        <v>0</v>
      </c>
      <c r="L614" s="300">
        <v>0</v>
      </c>
      <c r="M614" s="300">
        <v>0</v>
      </c>
      <c r="N614" s="300">
        <v>0</v>
      </c>
      <c r="O614" s="300">
        <v>0</v>
      </c>
      <c r="P614" s="299">
        <v>0</v>
      </c>
      <c r="Q614" s="300">
        <v>0</v>
      </c>
      <c r="R614" s="300">
        <v>0</v>
      </c>
      <c r="S614" s="300">
        <v>0</v>
      </c>
      <c r="T614" s="300">
        <v>0</v>
      </c>
      <c r="U614" s="299">
        <v>0</v>
      </c>
      <c r="V614" s="300">
        <v>0</v>
      </c>
      <c r="W614" s="300">
        <v>0</v>
      </c>
      <c r="X614" s="300">
        <v>0</v>
      </c>
      <c r="Y614" s="300">
        <v>0</v>
      </c>
      <c r="Z614" s="299">
        <v>0</v>
      </c>
      <c r="AA614" s="300">
        <v>0</v>
      </c>
      <c r="AB614" s="300">
        <v>0</v>
      </c>
      <c r="AC614" s="300">
        <v>0</v>
      </c>
      <c r="AD614" s="300">
        <v>0</v>
      </c>
      <c r="AE614" s="299">
        <v>0</v>
      </c>
      <c r="AF614" s="300">
        <v>0</v>
      </c>
      <c r="AG614" s="300">
        <v>0</v>
      </c>
      <c r="AH614" s="300">
        <v>0</v>
      </c>
      <c r="AI614" s="300">
        <v>0</v>
      </c>
      <c r="AJ614" s="299">
        <v>0</v>
      </c>
      <c r="AK614" s="300">
        <v>0</v>
      </c>
      <c r="AL614" s="300">
        <v>0</v>
      </c>
      <c r="AM614" s="300">
        <v>0</v>
      </c>
      <c r="AN614" s="300">
        <v>0</v>
      </c>
      <c r="AO614" s="299">
        <v>0</v>
      </c>
      <c r="AP614" s="300">
        <v>0</v>
      </c>
      <c r="AQ614" s="300">
        <v>0</v>
      </c>
      <c r="AR614" s="300">
        <v>0</v>
      </c>
      <c r="AS614" s="300">
        <v>0</v>
      </c>
      <c r="AT614" s="299">
        <v>0</v>
      </c>
      <c r="AU614" s="300">
        <v>0</v>
      </c>
      <c r="AV614" s="300">
        <v>0</v>
      </c>
      <c r="AW614" s="300">
        <v>0</v>
      </c>
      <c r="AX614" s="300">
        <v>0</v>
      </c>
      <c r="AY614" s="299">
        <v>0</v>
      </c>
      <c r="AZ614" s="300">
        <v>0</v>
      </c>
      <c r="BA614" s="300">
        <v>0</v>
      </c>
      <c r="BB614" s="300">
        <v>0</v>
      </c>
      <c r="BC614" s="300">
        <v>0</v>
      </c>
      <c r="BD614" s="299">
        <v>0</v>
      </c>
      <c r="BE614" s="300">
        <v>0</v>
      </c>
      <c r="BF614" s="300">
        <v>0</v>
      </c>
      <c r="BG614" s="300">
        <v>0</v>
      </c>
      <c r="BH614" s="300">
        <v>0</v>
      </c>
      <c r="BI614" s="304">
        <v>0</v>
      </c>
      <c r="BJ614" s="300">
        <v>0</v>
      </c>
      <c r="BK614" s="300">
        <v>0</v>
      </c>
      <c r="BL614" s="300">
        <v>0</v>
      </c>
      <c r="BM614" s="300">
        <v>0</v>
      </c>
      <c r="BN614" s="299">
        <v>0</v>
      </c>
      <c r="BO614" s="300">
        <v>0</v>
      </c>
      <c r="BP614" s="300">
        <v>0</v>
      </c>
      <c r="BQ614" s="300">
        <v>0</v>
      </c>
      <c r="BR614" s="300">
        <v>0</v>
      </c>
      <c r="BS614" s="299">
        <v>0</v>
      </c>
      <c r="BT614" s="299">
        <v>0</v>
      </c>
      <c r="BU614" s="299">
        <v>0</v>
      </c>
      <c r="BV614" s="299">
        <v>0</v>
      </c>
      <c r="BW614" s="247"/>
    </row>
    <row r="615" spans="1:75" s="169" customFormat="1" ht="14.25" outlineLevel="1" x14ac:dyDescent="0.45">
      <c r="A615" s="184" t="s">
        <v>720</v>
      </c>
      <c r="B615" s="489"/>
      <c r="C615" s="299"/>
      <c r="D615" s="299"/>
      <c r="E615" s="299">
        <v>0</v>
      </c>
      <c r="F615" s="299">
        <v>0</v>
      </c>
      <c r="G615" s="300">
        <v>0</v>
      </c>
      <c r="H615" s="300">
        <v>0</v>
      </c>
      <c r="I615" s="300">
        <v>0</v>
      </c>
      <c r="J615" s="300">
        <v>0</v>
      </c>
      <c r="K615" s="299">
        <v>0</v>
      </c>
      <c r="L615" s="300">
        <v>0</v>
      </c>
      <c r="M615" s="300">
        <v>0</v>
      </c>
      <c r="N615" s="300">
        <v>0</v>
      </c>
      <c r="O615" s="300">
        <v>0</v>
      </c>
      <c r="P615" s="299">
        <v>0</v>
      </c>
      <c r="Q615" s="300">
        <v>0</v>
      </c>
      <c r="R615" s="300">
        <v>0</v>
      </c>
      <c r="S615" s="300">
        <v>0</v>
      </c>
      <c r="T615" s="300">
        <v>0</v>
      </c>
      <c r="U615" s="299">
        <v>0</v>
      </c>
      <c r="V615" s="300">
        <v>0</v>
      </c>
      <c r="W615" s="300">
        <v>0</v>
      </c>
      <c r="X615" s="300">
        <v>0</v>
      </c>
      <c r="Y615" s="300">
        <v>0</v>
      </c>
      <c r="Z615" s="299">
        <v>0</v>
      </c>
      <c r="AA615" s="300">
        <v>0</v>
      </c>
      <c r="AB615" s="300">
        <v>0</v>
      </c>
      <c r="AC615" s="300">
        <v>0</v>
      </c>
      <c r="AD615" s="300">
        <v>0</v>
      </c>
      <c r="AE615" s="299">
        <v>0</v>
      </c>
      <c r="AF615" s="300">
        <v>0</v>
      </c>
      <c r="AG615" s="300">
        <v>0</v>
      </c>
      <c r="AH615" s="300">
        <v>0</v>
      </c>
      <c r="AI615" s="300">
        <v>0</v>
      </c>
      <c r="AJ615" s="299">
        <v>0</v>
      </c>
      <c r="AK615" s="300">
        <v>0</v>
      </c>
      <c r="AL615" s="300">
        <v>0</v>
      </c>
      <c r="AM615" s="300">
        <v>0</v>
      </c>
      <c r="AN615" s="300">
        <v>0</v>
      </c>
      <c r="AO615" s="299">
        <v>0</v>
      </c>
      <c r="AP615" s="300">
        <v>0</v>
      </c>
      <c r="AQ615" s="300">
        <v>0</v>
      </c>
      <c r="AR615" s="300">
        <v>0</v>
      </c>
      <c r="AS615" s="300">
        <v>0</v>
      </c>
      <c r="AT615" s="299">
        <v>0</v>
      </c>
      <c r="AU615" s="300">
        <v>0</v>
      </c>
      <c r="AV615" s="300">
        <v>0</v>
      </c>
      <c r="AW615" s="300">
        <v>0</v>
      </c>
      <c r="AX615" s="300">
        <v>0</v>
      </c>
      <c r="AY615" s="299">
        <v>0</v>
      </c>
      <c r="AZ615" s="300">
        <v>11.717000000000001</v>
      </c>
      <c r="BA615" s="300">
        <v>0</v>
      </c>
      <c r="BB615" s="300">
        <v>0</v>
      </c>
      <c r="BC615" s="300">
        <v>2.6749999999999998</v>
      </c>
      <c r="BD615" s="299">
        <v>14.391999999999999</v>
      </c>
      <c r="BE615" s="300">
        <v>0</v>
      </c>
      <c r="BF615" s="300">
        <v>0</v>
      </c>
      <c r="BG615" s="300">
        <v>0</v>
      </c>
      <c r="BH615" s="300">
        <v>0</v>
      </c>
      <c r="BI615" s="304">
        <v>0</v>
      </c>
      <c r="BJ615" s="300">
        <v>0</v>
      </c>
      <c r="BK615" s="300">
        <v>0</v>
      </c>
      <c r="BL615" s="300">
        <v>0</v>
      </c>
      <c r="BM615" s="300">
        <v>0</v>
      </c>
      <c r="BN615" s="299">
        <v>0</v>
      </c>
      <c r="BO615" s="300">
        <v>0</v>
      </c>
      <c r="BP615" s="300">
        <v>0</v>
      </c>
      <c r="BQ615" s="300">
        <v>0</v>
      </c>
      <c r="BR615" s="300">
        <v>0</v>
      </c>
      <c r="BS615" s="299">
        <v>0</v>
      </c>
      <c r="BT615" s="299">
        <v>0</v>
      </c>
      <c r="BU615" s="299">
        <v>0</v>
      </c>
      <c r="BV615" s="299">
        <v>0</v>
      </c>
      <c r="BW615" s="247"/>
    </row>
    <row r="616" spans="1:75" s="169" customFormat="1" ht="14.25" outlineLevel="1" x14ac:dyDescent="0.45">
      <c r="A616" s="184" t="s">
        <v>721</v>
      </c>
      <c r="B616" s="489"/>
      <c r="C616" s="299"/>
      <c r="D616" s="299"/>
      <c r="E616" s="299">
        <v>0</v>
      </c>
      <c r="F616" s="299">
        <v>0</v>
      </c>
      <c r="G616" s="300">
        <v>0</v>
      </c>
      <c r="H616" s="300">
        <v>0</v>
      </c>
      <c r="I616" s="300">
        <v>0</v>
      </c>
      <c r="J616" s="300">
        <v>0</v>
      </c>
      <c r="K616" s="299">
        <v>0</v>
      </c>
      <c r="L616" s="300">
        <v>0</v>
      </c>
      <c r="M616" s="300">
        <v>0</v>
      </c>
      <c r="N616" s="300">
        <v>0</v>
      </c>
      <c r="O616" s="300">
        <v>0</v>
      </c>
      <c r="P616" s="299">
        <v>0</v>
      </c>
      <c r="Q616" s="300">
        <v>0</v>
      </c>
      <c r="R616" s="300">
        <v>0</v>
      </c>
      <c r="S616" s="300">
        <v>0</v>
      </c>
      <c r="T616" s="300">
        <v>0</v>
      </c>
      <c r="U616" s="299">
        <v>0</v>
      </c>
      <c r="V616" s="300">
        <v>0</v>
      </c>
      <c r="W616" s="300">
        <v>0</v>
      </c>
      <c r="X616" s="300">
        <v>0</v>
      </c>
      <c r="Y616" s="300">
        <v>0</v>
      </c>
      <c r="Z616" s="299">
        <v>0</v>
      </c>
      <c r="AA616" s="300">
        <v>0</v>
      </c>
      <c r="AB616" s="300">
        <v>0</v>
      </c>
      <c r="AC616" s="300">
        <v>0</v>
      </c>
      <c r="AD616" s="300">
        <v>0</v>
      </c>
      <c r="AE616" s="299">
        <v>0</v>
      </c>
      <c r="AF616" s="300">
        <v>0</v>
      </c>
      <c r="AG616" s="300">
        <v>0</v>
      </c>
      <c r="AH616" s="300">
        <v>0</v>
      </c>
      <c r="AI616" s="300">
        <v>0</v>
      </c>
      <c r="AJ616" s="299">
        <v>0</v>
      </c>
      <c r="AK616" s="300">
        <v>0</v>
      </c>
      <c r="AL616" s="300">
        <v>0</v>
      </c>
      <c r="AM616" s="300">
        <v>0</v>
      </c>
      <c r="AN616" s="300">
        <v>0</v>
      </c>
      <c r="AO616" s="299">
        <v>0</v>
      </c>
      <c r="AP616" s="300">
        <v>0</v>
      </c>
      <c r="AQ616" s="300">
        <v>0</v>
      </c>
      <c r="AR616" s="300">
        <v>0</v>
      </c>
      <c r="AS616" s="300">
        <v>0</v>
      </c>
      <c r="AT616" s="299">
        <v>0</v>
      </c>
      <c r="AU616" s="300">
        <v>0</v>
      </c>
      <c r="AV616" s="300">
        <v>0</v>
      </c>
      <c r="AW616" s="300">
        <v>0</v>
      </c>
      <c r="AX616" s="300">
        <v>0</v>
      </c>
      <c r="AY616" s="299">
        <v>0</v>
      </c>
      <c r="AZ616" s="300">
        <v>7.1840000000000002</v>
      </c>
      <c r="BA616" s="300">
        <v>0.28499999999999998</v>
      </c>
      <c r="BB616" s="300">
        <v>0</v>
      </c>
      <c r="BC616" s="300">
        <v>0</v>
      </c>
      <c r="BD616" s="299">
        <v>7.4690000000000003</v>
      </c>
      <c r="BE616" s="300">
        <v>0</v>
      </c>
      <c r="BF616" s="300">
        <v>0</v>
      </c>
      <c r="BG616" s="300">
        <v>0</v>
      </c>
      <c r="BH616" s="300">
        <v>0</v>
      </c>
      <c r="BI616" s="304">
        <v>0</v>
      </c>
      <c r="BJ616" s="300">
        <v>0</v>
      </c>
      <c r="BK616" s="300">
        <v>0</v>
      </c>
      <c r="BL616" s="300">
        <v>0</v>
      </c>
      <c r="BM616" s="300">
        <v>0</v>
      </c>
      <c r="BN616" s="299">
        <v>0</v>
      </c>
      <c r="BO616" s="300">
        <v>0</v>
      </c>
      <c r="BP616" s="300">
        <v>0</v>
      </c>
      <c r="BQ616" s="300">
        <v>0</v>
      </c>
      <c r="BR616" s="300">
        <v>0</v>
      </c>
      <c r="BS616" s="299">
        <v>0</v>
      </c>
      <c r="BT616" s="299">
        <v>0</v>
      </c>
      <c r="BU616" s="299">
        <v>0</v>
      </c>
      <c r="BV616" s="299">
        <v>0</v>
      </c>
      <c r="BW616" s="247"/>
    </row>
    <row r="617" spans="1:75" s="169" customFormat="1" ht="14.25" outlineLevel="1" x14ac:dyDescent="0.45">
      <c r="A617" s="184" t="s">
        <v>722</v>
      </c>
      <c r="B617" s="489"/>
      <c r="C617" s="299"/>
      <c r="D617" s="299"/>
      <c r="E617" s="299">
        <v>0</v>
      </c>
      <c r="F617" s="299">
        <v>0</v>
      </c>
      <c r="G617" s="300">
        <v>0</v>
      </c>
      <c r="H617" s="300">
        <v>0</v>
      </c>
      <c r="I617" s="300">
        <v>0</v>
      </c>
      <c r="J617" s="300">
        <v>0</v>
      </c>
      <c r="K617" s="299">
        <v>0</v>
      </c>
      <c r="L617" s="300">
        <v>0</v>
      </c>
      <c r="M617" s="300">
        <v>0</v>
      </c>
      <c r="N617" s="300">
        <v>0</v>
      </c>
      <c r="O617" s="300">
        <v>0</v>
      </c>
      <c r="P617" s="299">
        <v>0</v>
      </c>
      <c r="Q617" s="300">
        <v>0</v>
      </c>
      <c r="R617" s="300">
        <v>0</v>
      </c>
      <c r="S617" s="300">
        <v>0</v>
      </c>
      <c r="T617" s="300">
        <v>0</v>
      </c>
      <c r="U617" s="299">
        <v>0</v>
      </c>
      <c r="V617" s="300">
        <v>0</v>
      </c>
      <c r="W617" s="300">
        <v>0</v>
      </c>
      <c r="X617" s="300">
        <v>0</v>
      </c>
      <c r="Y617" s="300">
        <v>0</v>
      </c>
      <c r="Z617" s="299">
        <v>0</v>
      </c>
      <c r="AA617" s="300">
        <v>0</v>
      </c>
      <c r="AB617" s="300">
        <v>0</v>
      </c>
      <c r="AC617" s="300">
        <v>0</v>
      </c>
      <c r="AD617" s="300">
        <v>0</v>
      </c>
      <c r="AE617" s="299">
        <v>0</v>
      </c>
      <c r="AF617" s="300">
        <v>0</v>
      </c>
      <c r="AG617" s="300">
        <v>0</v>
      </c>
      <c r="AH617" s="300">
        <v>0</v>
      </c>
      <c r="AI617" s="300">
        <v>0</v>
      </c>
      <c r="AJ617" s="299">
        <v>0</v>
      </c>
      <c r="AK617" s="300">
        <v>0</v>
      </c>
      <c r="AL617" s="300">
        <v>0</v>
      </c>
      <c r="AM617" s="300">
        <v>0</v>
      </c>
      <c r="AN617" s="300">
        <v>0</v>
      </c>
      <c r="AO617" s="299">
        <v>0</v>
      </c>
      <c r="AP617" s="300">
        <v>0</v>
      </c>
      <c r="AQ617" s="300">
        <v>0</v>
      </c>
      <c r="AR617" s="300">
        <v>0</v>
      </c>
      <c r="AS617" s="300">
        <v>0</v>
      </c>
      <c r="AT617" s="299">
        <v>0</v>
      </c>
      <c r="AU617" s="300">
        <v>0</v>
      </c>
      <c r="AV617" s="300">
        <v>0</v>
      </c>
      <c r="AW617" s="300">
        <v>0</v>
      </c>
      <c r="AX617" s="300">
        <v>0</v>
      </c>
      <c r="AY617" s="299">
        <v>0</v>
      </c>
      <c r="AZ617" s="300">
        <v>0</v>
      </c>
      <c r="BA617" s="300">
        <v>0</v>
      </c>
      <c r="BB617" s="300">
        <v>0</v>
      </c>
      <c r="BC617" s="300">
        <v>4.47</v>
      </c>
      <c r="BD617" s="299">
        <v>4.47</v>
      </c>
      <c r="BE617" s="300">
        <v>0</v>
      </c>
      <c r="BF617" s="300">
        <v>0</v>
      </c>
      <c r="BG617" s="300">
        <v>0</v>
      </c>
      <c r="BH617" s="300">
        <v>0</v>
      </c>
      <c r="BI617" s="304">
        <v>0</v>
      </c>
      <c r="BJ617" s="300">
        <v>0</v>
      </c>
      <c r="BK617" s="300">
        <v>0</v>
      </c>
      <c r="BL617" s="300">
        <v>0</v>
      </c>
      <c r="BM617" s="300">
        <v>0</v>
      </c>
      <c r="BN617" s="299">
        <v>0</v>
      </c>
      <c r="BO617" s="300">
        <v>0</v>
      </c>
      <c r="BP617" s="300">
        <v>0</v>
      </c>
      <c r="BQ617" s="300">
        <v>0</v>
      </c>
      <c r="BR617" s="300">
        <v>0</v>
      </c>
      <c r="BS617" s="299">
        <v>0</v>
      </c>
      <c r="BT617" s="299">
        <v>0</v>
      </c>
      <c r="BU617" s="299">
        <v>0</v>
      </c>
      <c r="BV617" s="299">
        <v>0</v>
      </c>
      <c r="BW617" s="247"/>
    </row>
    <row r="618" spans="1:75" s="169" customFormat="1" ht="14.25" outlineLevel="1" x14ac:dyDescent="0.45">
      <c r="A618" s="184" t="s">
        <v>723</v>
      </c>
      <c r="B618" s="489"/>
      <c r="C618" s="299"/>
      <c r="D618" s="299"/>
      <c r="E618" s="299">
        <v>0</v>
      </c>
      <c r="F618" s="299">
        <v>0</v>
      </c>
      <c r="G618" s="300">
        <v>0</v>
      </c>
      <c r="H618" s="300">
        <v>0</v>
      </c>
      <c r="I618" s="300">
        <v>0</v>
      </c>
      <c r="J618" s="300">
        <v>0</v>
      </c>
      <c r="K618" s="299">
        <v>0</v>
      </c>
      <c r="L618" s="300">
        <v>0</v>
      </c>
      <c r="M618" s="300">
        <v>0</v>
      </c>
      <c r="N618" s="300">
        <v>0</v>
      </c>
      <c r="O618" s="300">
        <v>0</v>
      </c>
      <c r="P618" s="299">
        <v>0</v>
      </c>
      <c r="Q618" s="300">
        <v>0</v>
      </c>
      <c r="R618" s="300">
        <v>0</v>
      </c>
      <c r="S618" s="300">
        <v>0</v>
      </c>
      <c r="T618" s="300">
        <v>0</v>
      </c>
      <c r="U618" s="299">
        <v>0</v>
      </c>
      <c r="V618" s="300">
        <v>0</v>
      </c>
      <c r="W618" s="300">
        <v>0</v>
      </c>
      <c r="X618" s="300">
        <v>0</v>
      </c>
      <c r="Y618" s="300">
        <v>0</v>
      </c>
      <c r="Z618" s="299">
        <v>0</v>
      </c>
      <c r="AA618" s="300">
        <v>0</v>
      </c>
      <c r="AB618" s="300">
        <v>0</v>
      </c>
      <c r="AC618" s="300">
        <v>0</v>
      </c>
      <c r="AD618" s="300">
        <v>0</v>
      </c>
      <c r="AE618" s="299">
        <v>0</v>
      </c>
      <c r="AF618" s="300">
        <v>0</v>
      </c>
      <c r="AG618" s="300">
        <v>0</v>
      </c>
      <c r="AH618" s="300">
        <v>0</v>
      </c>
      <c r="AI618" s="300">
        <v>0</v>
      </c>
      <c r="AJ618" s="299">
        <v>0</v>
      </c>
      <c r="AK618" s="300">
        <v>0</v>
      </c>
      <c r="AL618" s="300">
        <v>0</v>
      </c>
      <c r="AM618" s="300">
        <v>0</v>
      </c>
      <c r="AN618" s="300">
        <v>0</v>
      </c>
      <c r="AO618" s="299">
        <v>0</v>
      </c>
      <c r="AP618" s="300">
        <v>0</v>
      </c>
      <c r="AQ618" s="300">
        <v>0</v>
      </c>
      <c r="AR618" s="300">
        <v>0</v>
      </c>
      <c r="AS618" s="300">
        <v>0</v>
      </c>
      <c r="AT618" s="299">
        <v>0</v>
      </c>
      <c r="AU618" s="300">
        <v>0</v>
      </c>
      <c r="AV618" s="300">
        <v>0</v>
      </c>
      <c r="AW618" s="300">
        <v>0</v>
      </c>
      <c r="AX618" s="300">
        <v>0</v>
      </c>
      <c r="AY618" s="299">
        <v>0</v>
      </c>
      <c r="AZ618" s="300">
        <v>0</v>
      </c>
      <c r="BA618" s="300">
        <v>3.4830000000000001</v>
      </c>
      <c r="BB618" s="300">
        <v>0</v>
      </c>
      <c r="BC618" s="300">
        <v>0</v>
      </c>
      <c r="BD618" s="299">
        <v>3.4830000000000001</v>
      </c>
      <c r="BE618" s="300">
        <v>0</v>
      </c>
      <c r="BF618" s="300">
        <v>0</v>
      </c>
      <c r="BG618" s="300">
        <v>0</v>
      </c>
      <c r="BH618" s="300">
        <v>0</v>
      </c>
      <c r="BI618" s="304">
        <v>0</v>
      </c>
      <c r="BJ618" s="300">
        <v>0</v>
      </c>
      <c r="BK618" s="300">
        <v>0</v>
      </c>
      <c r="BL618" s="300">
        <v>0</v>
      </c>
      <c r="BM618" s="300">
        <v>0</v>
      </c>
      <c r="BN618" s="299">
        <v>0</v>
      </c>
      <c r="BO618" s="300">
        <v>0</v>
      </c>
      <c r="BP618" s="300">
        <v>0</v>
      </c>
      <c r="BQ618" s="300">
        <v>0</v>
      </c>
      <c r="BR618" s="300">
        <v>0</v>
      </c>
      <c r="BS618" s="299">
        <v>0</v>
      </c>
      <c r="BT618" s="299">
        <v>0</v>
      </c>
      <c r="BU618" s="299">
        <v>0</v>
      </c>
      <c r="BV618" s="299">
        <v>0</v>
      </c>
      <c r="BW618" s="247"/>
    </row>
    <row r="619" spans="1:75" s="169" customFormat="1" ht="14.25" outlineLevel="1" x14ac:dyDescent="0.45">
      <c r="A619" s="184" t="s">
        <v>724</v>
      </c>
      <c r="B619" s="489"/>
      <c r="C619" s="299"/>
      <c r="D619" s="299"/>
      <c r="E619" s="299">
        <v>0</v>
      </c>
      <c r="F619" s="299">
        <v>0</v>
      </c>
      <c r="G619" s="300">
        <v>0.76700000000000002</v>
      </c>
      <c r="H619" s="300">
        <v>2.1280000000000001</v>
      </c>
      <c r="I619" s="300">
        <v>0</v>
      </c>
      <c r="J619" s="300">
        <v>0</v>
      </c>
      <c r="K619" s="299">
        <v>2.895</v>
      </c>
      <c r="L619" s="300">
        <v>0</v>
      </c>
      <c r="M619" s="300">
        <v>0</v>
      </c>
      <c r="N619" s="300">
        <v>0</v>
      </c>
      <c r="O619" s="300">
        <v>0</v>
      </c>
      <c r="P619" s="299">
        <v>0</v>
      </c>
      <c r="Q619" s="300">
        <v>0</v>
      </c>
      <c r="R619" s="300">
        <v>0</v>
      </c>
      <c r="S619" s="300">
        <v>0</v>
      </c>
      <c r="T619" s="300">
        <v>0</v>
      </c>
      <c r="U619" s="299">
        <v>0</v>
      </c>
      <c r="V619" s="300">
        <v>0</v>
      </c>
      <c r="W619" s="300">
        <v>0</v>
      </c>
      <c r="X619" s="300">
        <v>0</v>
      </c>
      <c r="Y619" s="300">
        <v>0</v>
      </c>
      <c r="Z619" s="299">
        <v>0</v>
      </c>
      <c r="AA619" s="300">
        <v>0</v>
      </c>
      <c r="AB619" s="300">
        <v>0</v>
      </c>
      <c r="AC619" s="300">
        <v>0</v>
      </c>
      <c r="AD619" s="300">
        <v>0</v>
      </c>
      <c r="AE619" s="299">
        <v>0</v>
      </c>
      <c r="AF619" s="300">
        <v>0</v>
      </c>
      <c r="AG619" s="300">
        <v>0</v>
      </c>
      <c r="AH619" s="300">
        <v>0</v>
      </c>
      <c r="AI619" s="300">
        <v>0</v>
      </c>
      <c r="AJ619" s="299">
        <v>0</v>
      </c>
      <c r="AK619" s="300">
        <v>0</v>
      </c>
      <c r="AL619" s="300">
        <v>0</v>
      </c>
      <c r="AM619" s="300">
        <v>0</v>
      </c>
      <c r="AN619" s="300">
        <v>0</v>
      </c>
      <c r="AO619" s="299">
        <v>0</v>
      </c>
      <c r="AP619" s="300">
        <v>0</v>
      </c>
      <c r="AQ619" s="300">
        <v>0</v>
      </c>
      <c r="AR619" s="300">
        <v>0</v>
      </c>
      <c r="AS619" s="300">
        <v>0</v>
      </c>
      <c r="AT619" s="299">
        <v>0</v>
      </c>
      <c r="AU619" s="300">
        <v>0</v>
      </c>
      <c r="AV619" s="300">
        <v>0</v>
      </c>
      <c r="AW619" s="300">
        <v>0</v>
      </c>
      <c r="AX619" s="300">
        <v>0</v>
      </c>
      <c r="AY619" s="299">
        <v>0</v>
      </c>
      <c r="AZ619" s="300">
        <v>0</v>
      </c>
      <c r="BA619" s="300">
        <v>0</v>
      </c>
      <c r="BB619" s="300">
        <v>0</v>
      </c>
      <c r="BC619" s="300">
        <v>0</v>
      </c>
      <c r="BD619" s="299">
        <v>0</v>
      </c>
      <c r="BE619" s="300">
        <v>0</v>
      </c>
      <c r="BF619" s="300">
        <v>0</v>
      </c>
      <c r="BG619" s="300">
        <v>0</v>
      </c>
      <c r="BH619" s="300">
        <v>0</v>
      </c>
      <c r="BI619" s="304">
        <v>0</v>
      </c>
      <c r="BJ619" s="300">
        <v>0</v>
      </c>
      <c r="BK619" s="300">
        <v>0</v>
      </c>
      <c r="BL619" s="300">
        <v>0</v>
      </c>
      <c r="BM619" s="300">
        <v>0</v>
      </c>
      <c r="BN619" s="299">
        <v>0</v>
      </c>
      <c r="BO619" s="300">
        <v>0</v>
      </c>
      <c r="BP619" s="300">
        <v>0</v>
      </c>
      <c r="BQ619" s="300">
        <v>0</v>
      </c>
      <c r="BR619" s="300">
        <v>0</v>
      </c>
      <c r="BS619" s="299">
        <v>0</v>
      </c>
      <c r="BT619" s="299">
        <v>0</v>
      </c>
      <c r="BU619" s="299">
        <v>0</v>
      </c>
      <c r="BV619" s="299">
        <v>0</v>
      </c>
      <c r="BW619" s="247"/>
    </row>
    <row r="620" spans="1:75" s="169" customFormat="1" ht="14.25" outlineLevel="1" x14ac:dyDescent="0.45">
      <c r="A620" s="184" t="s">
        <v>725</v>
      </c>
      <c r="B620" s="489"/>
      <c r="C620" s="299">
        <v>0</v>
      </c>
      <c r="D620" s="299">
        <v>2.351</v>
      </c>
      <c r="E620" s="299">
        <v>0</v>
      </c>
      <c r="F620" s="299">
        <v>10.755000000000001</v>
      </c>
      <c r="G620" s="300">
        <v>0</v>
      </c>
      <c r="H620" s="300">
        <v>0</v>
      </c>
      <c r="I620" s="300">
        <v>0</v>
      </c>
      <c r="J620" s="300">
        <v>0</v>
      </c>
      <c r="K620" s="299">
        <v>0</v>
      </c>
      <c r="L620" s="300">
        <v>0</v>
      </c>
      <c r="M620" s="300">
        <v>0</v>
      </c>
      <c r="N620" s="300">
        <v>0</v>
      </c>
      <c r="O620" s="300">
        <v>0</v>
      </c>
      <c r="P620" s="299">
        <v>0</v>
      </c>
      <c r="Q620" s="300">
        <v>0</v>
      </c>
      <c r="R620" s="300">
        <v>0</v>
      </c>
      <c r="S620" s="300">
        <v>0</v>
      </c>
      <c r="T620" s="300">
        <v>0</v>
      </c>
      <c r="U620" s="299">
        <v>0</v>
      </c>
      <c r="V620" s="300">
        <v>0</v>
      </c>
      <c r="W620" s="300">
        <v>0</v>
      </c>
      <c r="X620" s="300">
        <v>0</v>
      </c>
      <c r="Y620" s="300">
        <v>0</v>
      </c>
      <c r="Z620" s="299">
        <v>0</v>
      </c>
      <c r="AA620" s="300">
        <v>0</v>
      </c>
      <c r="AB620" s="300">
        <v>0</v>
      </c>
      <c r="AC620" s="300">
        <v>0</v>
      </c>
      <c r="AD620" s="300">
        <v>0</v>
      </c>
      <c r="AE620" s="299">
        <v>0</v>
      </c>
      <c r="AF620" s="300">
        <v>0</v>
      </c>
      <c r="AG620" s="300">
        <v>0</v>
      </c>
      <c r="AH620" s="300">
        <v>0</v>
      </c>
      <c r="AI620" s="300">
        <v>0</v>
      </c>
      <c r="AJ620" s="299">
        <v>0</v>
      </c>
      <c r="AK620" s="300">
        <v>0</v>
      </c>
      <c r="AL620" s="300">
        <v>0</v>
      </c>
      <c r="AM620" s="300">
        <v>0</v>
      </c>
      <c r="AN620" s="300">
        <v>0</v>
      </c>
      <c r="AO620" s="299">
        <v>0</v>
      </c>
      <c r="AP620" s="300">
        <v>0</v>
      </c>
      <c r="AQ620" s="300">
        <v>0</v>
      </c>
      <c r="AR620" s="300">
        <v>0</v>
      </c>
      <c r="AS620" s="300">
        <v>0</v>
      </c>
      <c r="AT620" s="299">
        <v>0</v>
      </c>
      <c r="AU620" s="300">
        <v>0</v>
      </c>
      <c r="AV620" s="300">
        <v>0</v>
      </c>
      <c r="AW620" s="300">
        <v>0</v>
      </c>
      <c r="AX620" s="300">
        <v>0</v>
      </c>
      <c r="AY620" s="299">
        <v>0</v>
      </c>
      <c r="AZ620" s="300">
        <v>0</v>
      </c>
      <c r="BA620" s="300">
        <v>0</v>
      </c>
      <c r="BB620" s="300">
        <v>0</v>
      </c>
      <c r="BC620" s="300">
        <v>0</v>
      </c>
      <c r="BD620" s="299">
        <v>0</v>
      </c>
      <c r="BE620" s="300">
        <v>0</v>
      </c>
      <c r="BF620" s="300">
        <v>0</v>
      </c>
      <c r="BG620" s="300">
        <v>0</v>
      </c>
      <c r="BH620" s="300">
        <v>0</v>
      </c>
      <c r="BI620" s="304">
        <v>0</v>
      </c>
      <c r="BJ620" s="300">
        <v>0</v>
      </c>
      <c r="BK620" s="300">
        <v>0</v>
      </c>
      <c r="BL620" s="300">
        <v>0</v>
      </c>
      <c r="BM620" s="300">
        <v>0</v>
      </c>
      <c r="BN620" s="299">
        <v>0</v>
      </c>
      <c r="BO620" s="300">
        <v>0</v>
      </c>
      <c r="BP620" s="300">
        <v>0</v>
      </c>
      <c r="BQ620" s="300">
        <v>0</v>
      </c>
      <c r="BR620" s="300">
        <v>0</v>
      </c>
      <c r="BS620" s="299">
        <v>0</v>
      </c>
      <c r="BT620" s="299">
        <v>0</v>
      </c>
      <c r="BU620" s="299">
        <v>0</v>
      </c>
      <c r="BV620" s="299">
        <v>0</v>
      </c>
      <c r="BW620" s="247"/>
    </row>
    <row r="621" spans="1:75" s="169" customFormat="1" ht="14.25" outlineLevel="1" x14ac:dyDescent="0.45">
      <c r="A621" s="184" t="s">
        <v>726</v>
      </c>
      <c r="B621" s="489"/>
      <c r="C621" s="299"/>
      <c r="D621" s="299"/>
      <c r="E621" s="299">
        <v>0</v>
      </c>
      <c r="F621" s="299">
        <v>4.7779999999999996</v>
      </c>
      <c r="G621" s="300">
        <v>0</v>
      </c>
      <c r="H621" s="300">
        <v>0</v>
      </c>
      <c r="I621" s="300">
        <v>0</v>
      </c>
      <c r="J621" s="300">
        <v>0</v>
      </c>
      <c r="K621" s="299">
        <v>0</v>
      </c>
      <c r="L621" s="300">
        <v>0</v>
      </c>
      <c r="M621" s="300">
        <v>0</v>
      </c>
      <c r="N621" s="300">
        <v>0</v>
      </c>
      <c r="O621" s="300">
        <v>0</v>
      </c>
      <c r="P621" s="299">
        <v>0</v>
      </c>
      <c r="Q621" s="300">
        <v>0</v>
      </c>
      <c r="R621" s="300">
        <v>0</v>
      </c>
      <c r="S621" s="300">
        <v>0</v>
      </c>
      <c r="T621" s="300">
        <v>0</v>
      </c>
      <c r="U621" s="299">
        <v>0</v>
      </c>
      <c r="V621" s="300">
        <v>0</v>
      </c>
      <c r="W621" s="300">
        <v>0</v>
      </c>
      <c r="X621" s="300">
        <v>0</v>
      </c>
      <c r="Y621" s="300">
        <v>0</v>
      </c>
      <c r="Z621" s="299">
        <v>0</v>
      </c>
      <c r="AA621" s="300">
        <v>0</v>
      </c>
      <c r="AB621" s="300">
        <v>0</v>
      </c>
      <c r="AC621" s="300">
        <v>0</v>
      </c>
      <c r="AD621" s="300">
        <v>0</v>
      </c>
      <c r="AE621" s="299">
        <v>0</v>
      </c>
      <c r="AF621" s="300">
        <v>0</v>
      </c>
      <c r="AG621" s="300">
        <v>0</v>
      </c>
      <c r="AH621" s="300">
        <v>0</v>
      </c>
      <c r="AI621" s="300">
        <v>0</v>
      </c>
      <c r="AJ621" s="299">
        <v>0</v>
      </c>
      <c r="AK621" s="300">
        <v>0</v>
      </c>
      <c r="AL621" s="300">
        <v>0</v>
      </c>
      <c r="AM621" s="300">
        <v>0</v>
      </c>
      <c r="AN621" s="300">
        <v>0</v>
      </c>
      <c r="AO621" s="299">
        <v>0</v>
      </c>
      <c r="AP621" s="300">
        <v>0</v>
      </c>
      <c r="AQ621" s="300">
        <v>0</v>
      </c>
      <c r="AR621" s="300">
        <v>0</v>
      </c>
      <c r="AS621" s="300">
        <v>0</v>
      </c>
      <c r="AT621" s="299">
        <v>0</v>
      </c>
      <c r="AU621" s="300">
        <v>0</v>
      </c>
      <c r="AV621" s="300">
        <v>0</v>
      </c>
      <c r="AW621" s="300">
        <v>0</v>
      </c>
      <c r="AX621" s="300">
        <v>0</v>
      </c>
      <c r="AY621" s="299">
        <v>0</v>
      </c>
      <c r="AZ621" s="300">
        <v>0</v>
      </c>
      <c r="BA621" s="300">
        <v>0</v>
      </c>
      <c r="BB621" s="300">
        <v>0</v>
      </c>
      <c r="BC621" s="300">
        <v>0</v>
      </c>
      <c r="BD621" s="299">
        <v>0</v>
      </c>
      <c r="BE621" s="300">
        <v>0</v>
      </c>
      <c r="BF621" s="300">
        <v>0</v>
      </c>
      <c r="BG621" s="300">
        <v>0</v>
      </c>
      <c r="BH621" s="300">
        <v>0</v>
      </c>
      <c r="BI621" s="304">
        <v>0</v>
      </c>
      <c r="BJ621" s="300">
        <v>0</v>
      </c>
      <c r="BK621" s="300">
        <v>0</v>
      </c>
      <c r="BL621" s="300">
        <v>0</v>
      </c>
      <c r="BM621" s="300">
        <v>0</v>
      </c>
      <c r="BN621" s="299">
        <v>0</v>
      </c>
      <c r="BO621" s="300">
        <v>0</v>
      </c>
      <c r="BP621" s="300">
        <v>0</v>
      </c>
      <c r="BQ621" s="300">
        <v>0</v>
      </c>
      <c r="BR621" s="300">
        <v>0</v>
      </c>
      <c r="BS621" s="299">
        <v>0</v>
      </c>
      <c r="BT621" s="299">
        <v>0</v>
      </c>
      <c r="BU621" s="299">
        <v>0</v>
      </c>
      <c r="BV621" s="299">
        <v>0</v>
      </c>
      <c r="BW621" s="247"/>
    </row>
    <row r="622" spans="1:75" s="169" customFormat="1" ht="14.25" outlineLevel="1" x14ac:dyDescent="0.45">
      <c r="A622" s="184" t="s">
        <v>727</v>
      </c>
      <c r="B622" s="489"/>
      <c r="C622" s="299">
        <v>2.6040000000000001</v>
      </c>
      <c r="D622" s="299">
        <v>0.35199999999999998</v>
      </c>
      <c r="E622" s="299">
        <v>1.58</v>
      </c>
      <c r="F622" s="299">
        <v>0</v>
      </c>
      <c r="G622" s="300">
        <v>0</v>
      </c>
      <c r="H622" s="300">
        <v>0</v>
      </c>
      <c r="I622" s="300">
        <v>0</v>
      </c>
      <c r="J622" s="300">
        <v>0</v>
      </c>
      <c r="K622" s="299">
        <v>0</v>
      </c>
      <c r="L622" s="300">
        <v>0</v>
      </c>
      <c r="M622" s="300">
        <v>0</v>
      </c>
      <c r="N622" s="300">
        <v>0</v>
      </c>
      <c r="O622" s="300">
        <v>0</v>
      </c>
      <c r="P622" s="299">
        <v>0</v>
      </c>
      <c r="Q622" s="300">
        <v>0</v>
      </c>
      <c r="R622" s="300">
        <v>0</v>
      </c>
      <c r="S622" s="300">
        <v>0</v>
      </c>
      <c r="T622" s="300">
        <v>0</v>
      </c>
      <c r="U622" s="299">
        <v>0</v>
      </c>
      <c r="V622" s="300">
        <v>0</v>
      </c>
      <c r="W622" s="300">
        <v>0</v>
      </c>
      <c r="X622" s="300">
        <v>0</v>
      </c>
      <c r="Y622" s="300">
        <v>0</v>
      </c>
      <c r="Z622" s="299">
        <v>0</v>
      </c>
      <c r="AA622" s="300">
        <v>0</v>
      </c>
      <c r="AB622" s="300">
        <v>0</v>
      </c>
      <c r="AC622" s="300">
        <v>0</v>
      </c>
      <c r="AD622" s="300">
        <v>0</v>
      </c>
      <c r="AE622" s="299">
        <v>0</v>
      </c>
      <c r="AF622" s="300">
        <v>0</v>
      </c>
      <c r="AG622" s="300">
        <v>0</v>
      </c>
      <c r="AH622" s="300">
        <v>0</v>
      </c>
      <c r="AI622" s="300">
        <v>0</v>
      </c>
      <c r="AJ622" s="299">
        <v>0</v>
      </c>
      <c r="AK622" s="300">
        <v>0</v>
      </c>
      <c r="AL622" s="300">
        <v>0</v>
      </c>
      <c r="AM622" s="300">
        <v>0</v>
      </c>
      <c r="AN622" s="300">
        <v>0</v>
      </c>
      <c r="AO622" s="299">
        <v>0</v>
      </c>
      <c r="AP622" s="300">
        <v>0</v>
      </c>
      <c r="AQ622" s="300">
        <v>0</v>
      </c>
      <c r="AR622" s="300">
        <v>0</v>
      </c>
      <c r="AS622" s="300">
        <v>0</v>
      </c>
      <c r="AT622" s="299">
        <v>0</v>
      </c>
      <c r="AU622" s="300">
        <v>0</v>
      </c>
      <c r="AV622" s="300">
        <v>0</v>
      </c>
      <c r="AW622" s="300">
        <v>0</v>
      </c>
      <c r="AX622" s="300">
        <v>0</v>
      </c>
      <c r="AY622" s="299">
        <v>0</v>
      </c>
      <c r="AZ622" s="300">
        <v>0</v>
      </c>
      <c r="BA622" s="300">
        <v>0</v>
      </c>
      <c r="BB622" s="300">
        <v>0</v>
      </c>
      <c r="BC622" s="300">
        <v>0</v>
      </c>
      <c r="BD622" s="299">
        <v>0</v>
      </c>
      <c r="BE622" s="300">
        <v>0</v>
      </c>
      <c r="BF622" s="300">
        <v>0</v>
      </c>
      <c r="BG622" s="300">
        <v>0</v>
      </c>
      <c r="BH622" s="300">
        <v>0</v>
      </c>
      <c r="BI622" s="304">
        <v>0</v>
      </c>
      <c r="BJ622" s="300">
        <v>0</v>
      </c>
      <c r="BK622" s="300">
        <v>0</v>
      </c>
      <c r="BL622" s="300">
        <v>0</v>
      </c>
      <c r="BM622" s="300">
        <v>0</v>
      </c>
      <c r="BN622" s="299">
        <v>0</v>
      </c>
      <c r="BO622" s="300">
        <v>0</v>
      </c>
      <c r="BP622" s="300">
        <v>0</v>
      </c>
      <c r="BQ622" s="300">
        <v>0</v>
      </c>
      <c r="BR622" s="300">
        <v>0</v>
      </c>
      <c r="BS622" s="299">
        <v>0</v>
      </c>
      <c r="BT622" s="299">
        <v>0</v>
      </c>
      <c r="BU622" s="299">
        <v>0</v>
      </c>
      <c r="BV622" s="299">
        <v>0</v>
      </c>
      <c r="BW622" s="247"/>
    </row>
    <row r="623" spans="1:75" s="169" customFormat="1" ht="14.25" outlineLevel="1" x14ac:dyDescent="0.45">
      <c r="A623" s="184" t="s">
        <v>728</v>
      </c>
      <c r="B623" s="489"/>
      <c r="C623" s="299">
        <v>1.5209999999999999</v>
      </c>
      <c r="D623" s="299">
        <v>1.7969999999999999</v>
      </c>
      <c r="E623" s="299">
        <v>0.621</v>
      </c>
      <c r="F623" s="299">
        <v>0</v>
      </c>
      <c r="G623" s="300">
        <v>0</v>
      </c>
      <c r="H623" s="300">
        <v>0</v>
      </c>
      <c r="I623" s="300">
        <v>0</v>
      </c>
      <c r="J623" s="300">
        <v>0</v>
      </c>
      <c r="K623" s="299">
        <v>0</v>
      </c>
      <c r="L623" s="300">
        <v>0</v>
      </c>
      <c r="M623" s="300">
        <v>0</v>
      </c>
      <c r="N623" s="300">
        <v>0</v>
      </c>
      <c r="O623" s="300">
        <v>0</v>
      </c>
      <c r="P623" s="299">
        <v>0</v>
      </c>
      <c r="Q623" s="300">
        <v>0</v>
      </c>
      <c r="R623" s="300">
        <v>0</v>
      </c>
      <c r="S623" s="300">
        <v>0</v>
      </c>
      <c r="T623" s="300">
        <v>0</v>
      </c>
      <c r="U623" s="299">
        <v>0</v>
      </c>
      <c r="V623" s="300">
        <v>0</v>
      </c>
      <c r="W623" s="300">
        <v>0</v>
      </c>
      <c r="X623" s="300">
        <v>0</v>
      </c>
      <c r="Y623" s="300">
        <v>0</v>
      </c>
      <c r="Z623" s="299">
        <v>0</v>
      </c>
      <c r="AA623" s="300">
        <v>0</v>
      </c>
      <c r="AB623" s="300">
        <v>0</v>
      </c>
      <c r="AC623" s="300">
        <v>0</v>
      </c>
      <c r="AD623" s="300">
        <v>0</v>
      </c>
      <c r="AE623" s="299">
        <v>0</v>
      </c>
      <c r="AF623" s="300">
        <v>0</v>
      </c>
      <c r="AG623" s="300">
        <v>0</v>
      </c>
      <c r="AH623" s="300">
        <v>0</v>
      </c>
      <c r="AI623" s="300">
        <v>0</v>
      </c>
      <c r="AJ623" s="299">
        <v>0</v>
      </c>
      <c r="AK623" s="300">
        <v>0</v>
      </c>
      <c r="AL623" s="300">
        <v>0</v>
      </c>
      <c r="AM623" s="300">
        <v>0</v>
      </c>
      <c r="AN623" s="300">
        <v>0</v>
      </c>
      <c r="AO623" s="299">
        <v>0</v>
      </c>
      <c r="AP623" s="300">
        <v>0</v>
      </c>
      <c r="AQ623" s="300">
        <v>0</v>
      </c>
      <c r="AR623" s="300">
        <v>0</v>
      </c>
      <c r="AS623" s="300">
        <v>0</v>
      </c>
      <c r="AT623" s="299">
        <v>0</v>
      </c>
      <c r="AU623" s="300">
        <v>0</v>
      </c>
      <c r="AV623" s="300">
        <v>0</v>
      </c>
      <c r="AW623" s="300">
        <v>0</v>
      </c>
      <c r="AX623" s="300">
        <v>0</v>
      </c>
      <c r="AY623" s="299">
        <v>0</v>
      </c>
      <c r="AZ623" s="300">
        <v>0</v>
      </c>
      <c r="BA623" s="300">
        <v>0</v>
      </c>
      <c r="BB623" s="300">
        <v>0</v>
      </c>
      <c r="BC623" s="300">
        <v>0</v>
      </c>
      <c r="BD623" s="299">
        <v>0</v>
      </c>
      <c r="BE623" s="300">
        <v>0</v>
      </c>
      <c r="BF623" s="300">
        <v>0</v>
      </c>
      <c r="BG623" s="300">
        <v>0</v>
      </c>
      <c r="BH623" s="300">
        <v>0</v>
      </c>
      <c r="BI623" s="304">
        <v>0</v>
      </c>
      <c r="BJ623" s="300">
        <v>0</v>
      </c>
      <c r="BK623" s="300">
        <v>0</v>
      </c>
      <c r="BL623" s="300">
        <v>0</v>
      </c>
      <c r="BM623" s="300">
        <v>0</v>
      </c>
      <c r="BN623" s="299">
        <v>0</v>
      </c>
      <c r="BO623" s="300">
        <v>0</v>
      </c>
      <c r="BP623" s="300">
        <v>0</v>
      </c>
      <c r="BQ623" s="300">
        <v>0</v>
      </c>
      <c r="BR623" s="300">
        <v>0</v>
      </c>
      <c r="BS623" s="299">
        <v>0</v>
      </c>
      <c r="BT623" s="299">
        <v>0</v>
      </c>
      <c r="BU623" s="299">
        <v>0</v>
      </c>
      <c r="BV623" s="299">
        <v>0</v>
      </c>
      <c r="BW623" s="247"/>
    </row>
    <row r="624" spans="1:75" s="169" customFormat="1" ht="14.25" outlineLevel="1" x14ac:dyDescent="0.45">
      <c r="A624" s="184" t="s">
        <v>729</v>
      </c>
      <c r="B624" s="489"/>
      <c r="C624" s="299"/>
      <c r="D624" s="299"/>
      <c r="E624" s="299">
        <v>0</v>
      </c>
      <c r="F624" s="299">
        <v>0</v>
      </c>
      <c r="G624" s="300">
        <v>0</v>
      </c>
      <c r="H624" s="300">
        <v>0</v>
      </c>
      <c r="I624" s="300">
        <v>0</v>
      </c>
      <c r="J624" s="300">
        <v>0</v>
      </c>
      <c r="K624" s="299">
        <v>0</v>
      </c>
      <c r="L624" s="300">
        <v>0</v>
      </c>
      <c r="M624" s="300">
        <v>0</v>
      </c>
      <c r="N624" s="300">
        <v>0</v>
      </c>
      <c r="O624" s="300">
        <v>0</v>
      </c>
      <c r="P624" s="299">
        <v>0</v>
      </c>
      <c r="Q624" s="300">
        <v>0</v>
      </c>
      <c r="R624" s="300">
        <v>0</v>
      </c>
      <c r="S624" s="300">
        <v>0</v>
      </c>
      <c r="T624" s="300">
        <v>0</v>
      </c>
      <c r="U624" s="299">
        <v>0</v>
      </c>
      <c r="V624" s="300">
        <v>1.415</v>
      </c>
      <c r="W624" s="300">
        <v>3.3090000000000002</v>
      </c>
      <c r="X624" s="300">
        <v>0.97399999999999998</v>
      </c>
      <c r="Y624" s="300">
        <v>0</v>
      </c>
      <c r="Z624" s="299">
        <v>5.6980000000000004</v>
      </c>
      <c r="AA624" s="300">
        <v>0</v>
      </c>
      <c r="AB624" s="300">
        <v>0</v>
      </c>
      <c r="AC624" s="300">
        <v>1.0289999999999999</v>
      </c>
      <c r="AD624" s="300">
        <v>-0.08</v>
      </c>
      <c r="AE624" s="299">
        <v>0.94899999999999995</v>
      </c>
      <c r="AF624" s="300">
        <v>0</v>
      </c>
      <c r="AG624" s="300">
        <v>1.7210000000000001</v>
      </c>
      <c r="AH624" s="300">
        <v>7.5640000000000001</v>
      </c>
      <c r="AI624" s="300">
        <v>0.69199999999999995</v>
      </c>
      <c r="AJ624" s="299">
        <v>9.9770000000000003</v>
      </c>
      <c r="AK624" s="300">
        <v>0</v>
      </c>
      <c r="AL624" s="300">
        <v>0</v>
      </c>
      <c r="AM624" s="300">
        <v>1.075</v>
      </c>
      <c r="AN624" s="300">
        <v>0</v>
      </c>
      <c r="AO624" s="299">
        <v>1.075</v>
      </c>
      <c r="AP624" s="300">
        <v>4.1429999999999998</v>
      </c>
      <c r="AQ624" s="300">
        <v>2.8839999999999999</v>
      </c>
      <c r="AR624" s="300">
        <v>0</v>
      </c>
      <c r="AS624" s="300">
        <v>0</v>
      </c>
      <c r="AT624" s="299">
        <v>7.0270000000000001</v>
      </c>
      <c r="AU624" s="300">
        <v>0</v>
      </c>
      <c r="AV624" s="300">
        <v>0.44900000000000001</v>
      </c>
      <c r="AW624" s="300">
        <v>0</v>
      </c>
      <c r="AX624" s="300">
        <v>0</v>
      </c>
      <c r="AY624" s="299">
        <v>0.44900000000000001</v>
      </c>
      <c r="AZ624" s="300">
        <v>0</v>
      </c>
      <c r="BA624" s="300">
        <v>0</v>
      </c>
      <c r="BB624" s="300">
        <v>0</v>
      </c>
      <c r="BC624" s="300">
        <v>0</v>
      </c>
      <c r="BD624" s="299">
        <v>0</v>
      </c>
      <c r="BE624" s="300">
        <v>7.6210000000000004</v>
      </c>
      <c r="BF624" s="300">
        <v>0</v>
      </c>
      <c r="BG624" s="300">
        <v>0</v>
      </c>
      <c r="BH624" s="300">
        <v>0</v>
      </c>
      <c r="BI624" s="304">
        <v>7.6210000000000004</v>
      </c>
      <c r="BJ624" s="300">
        <v>0</v>
      </c>
      <c r="BK624" s="300">
        <v>0</v>
      </c>
      <c r="BL624" s="300">
        <v>0</v>
      </c>
      <c r="BM624" s="300">
        <v>0</v>
      </c>
      <c r="BN624" s="299">
        <v>0</v>
      </c>
      <c r="BO624" s="300">
        <v>0</v>
      </c>
      <c r="BP624" s="300">
        <v>0</v>
      </c>
      <c r="BQ624" s="300">
        <v>0</v>
      </c>
      <c r="BR624" s="300">
        <v>0</v>
      </c>
      <c r="BS624" s="299">
        <v>0</v>
      </c>
      <c r="BT624" s="299">
        <v>0</v>
      </c>
      <c r="BU624" s="299">
        <v>0</v>
      </c>
      <c r="BV624" s="299">
        <v>0</v>
      </c>
      <c r="BW624" s="247"/>
    </row>
    <row r="625" spans="1:75" s="169" customFormat="1" ht="14.25" outlineLevel="1" x14ac:dyDescent="0.45">
      <c r="A625" s="184" t="s">
        <v>730</v>
      </c>
      <c r="B625" s="489"/>
      <c r="C625" s="299"/>
      <c r="D625" s="299"/>
      <c r="E625" s="299">
        <v>0</v>
      </c>
      <c r="F625" s="299">
        <v>0</v>
      </c>
      <c r="G625" s="300">
        <v>0</v>
      </c>
      <c r="H625" s="300">
        <v>0</v>
      </c>
      <c r="I625" s="300">
        <v>0</v>
      </c>
      <c r="J625" s="300">
        <v>0</v>
      </c>
      <c r="K625" s="299">
        <v>0</v>
      </c>
      <c r="L625" s="300">
        <v>0</v>
      </c>
      <c r="M625" s="300">
        <v>0</v>
      </c>
      <c r="N625" s="300">
        <v>0</v>
      </c>
      <c r="O625" s="300">
        <v>0</v>
      </c>
      <c r="P625" s="299">
        <v>0</v>
      </c>
      <c r="Q625" s="300">
        <v>0</v>
      </c>
      <c r="R625" s="300">
        <v>0</v>
      </c>
      <c r="S625" s="300">
        <v>0</v>
      </c>
      <c r="T625" s="300">
        <v>0</v>
      </c>
      <c r="U625" s="299">
        <v>0</v>
      </c>
      <c r="V625" s="300">
        <v>0</v>
      </c>
      <c r="W625" s="300">
        <v>0</v>
      </c>
      <c r="X625" s="300">
        <v>0</v>
      </c>
      <c r="Y625" s="300">
        <v>0</v>
      </c>
      <c r="Z625" s="299">
        <v>0</v>
      </c>
      <c r="AA625" s="300">
        <v>0</v>
      </c>
      <c r="AB625" s="300">
        <v>0</v>
      </c>
      <c r="AC625" s="300">
        <v>0</v>
      </c>
      <c r="AD625" s="300">
        <v>0</v>
      </c>
      <c r="AE625" s="299">
        <v>0</v>
      </c>
      <c r="AF625" s="300">
        <v>0</v>
      </c>
      <c r="AG625" s="300">
        <v>0</v>
      </c>
      <c r="AH625" s="300">
        <v>0</v>
      </c>
      <c r="AI625" s="300">
        <v>8.4969999999999999</v>
      </c>
      <c r="AJ625" s="299">
        <v>8.4969999999999999</v>
      </c>
      <c r="AK625" s="300">
        <v>0</v>
      </c>
      <c r="AL625" s="300">
        <v>0</v>
      </c>
      <c r="AM625" s="300">
        <v>-0.33300000000000002</v>
      </c>
      <c r="AN625" s="300">
        <v>0</v>
      </c>
      <c r="AO625" s="299">
        <v>-0.33300000000000002</v>
      </c>
      <c r="AP625" s="300">
        <v>0</v>
      </c>
      <c r="AQ625" s="300">
        <v>0</v>
      </c>
      <c r="AR625" s="300">
        <v>0</v>
      </c>
      <c r="AS625" s="300">
        <v>0</v>
      </c>
      <c r="AT625" s="299">
        <v>0</v>
      </c>
      <c r="AU625" s="300">
        <v>0</v>
      </c>
      <c r="AV625" s="300">
        <v>0</v>
      </c>
      <c r="AW625" s="300">
        <v>0</v>
      </c>
      <c r="AX625" s="300">
        <v>0</v>
      </c>
      <c r="AY625" s="299">
        <v>0</v>
      </c>
      <c r="AZ625" s="300">
        <v>0</v>
      </c>
      <c r="BA625" s="300">
        <v>0</v>
      </c>
      <c r="BB625" s="300">
        <v>0</v>
      </c>
      <c r="BC625" s="300">
        <v>0</v>
      </c>
      <c r="BD625" s="299">
        <v>0</v>
      </c>
      <c r="BE625" s="300">
        <v>0</v>
      </c>
      <c r="BF625" s="300">
        <v>0</v>
      </c>
      <c r="BG625" s="300">
        <v>0</v>
      </c>
      <c r="BH625" s="300">
        <v>0</v>
      </c>
      <c r="BI625" s="304">
        <v>0</v>
      </c>
      <c r="BJ625" s="300">
        <v>0</v>
      </c>
      <c r="BK625" s="300">
        <v>0</v>
      </c>
      <c r="BL625" s="300">
        <v>0</v>
      </c>
      <c r="BM625" s="300">
        <v>0</v>
      </c>
      <c r="BN625" s="299">
        <v>0</v>
      </c>
      <c r="BO625" s="300">
        <v>0</v>
      </c>
      <c r="BP625" s="300">
        <v>0</v>
      </c>
      <c r="BQ625" s="300">
        <v>0</v>
      </c>
      <c r="BR625" s="300">
        <v>0</v>
      </c>
      <c r="BS625" s="299">
        <v>0</v>
      </c>
      <c r="BT625" s="299">
        <v>0</v>
      </c>
      <c r="BU625" s="299">
        <v>0</v>
      </c>
      <c r="BV625" s="299">
        <v>0</v>
      </c>
      <c r="BW625" s="247"/>
    </row>
    <row r="626" spans="1:75" s="169" customFormat="1" ht="14.25" outlineLevel="1" x14ac:dyDescent="0.45">
      <c r="A626" s="184" t="s">
        <v>731</v>
      </c>
      <c r="B626" s="489"/>
      <c r="C626" s="299">
        <v>2.3039999999999998</v>
      </c>
      <c r="D626" s="299">
        <v>2.1150000000000002</v>
      </c>
      <c r="E626" s="299">
        <v>0</v>
      </c>
      <c r="F626" s="299">
        <v>0</v>
      </c>
      <c r="G626" s="300">
        <v>0</v>
      </c>
      <c r="H626" s="300">
        <v>0</v>
      </c>
      <c r="I626" s="300">
        <v>0</v>
      </c>
      <c r="J626" s="300">
        <v>0</v>
      </c>
      <c r="K626" s="299">
        <v>0</v>
      </c>
      <c r="L626" s="300">
        <v>0</v>
      </c>
      <c r="M626" s="300">
        <v>0</v>
      </c>
      <c r="N626" s="300">
        <v>0</v>
      </c>
      <c r="O626" s="300">
        <v>0</v>
      </c>
      <c r="P626" s="299">
        <v>0</v>
      </c>
      <c r="Q626" s="300">
        <v>0</v>
      </c>
      <c r="R626" s="300">
        <v>0</v>
      </c>
      <c r="S626" s="300">
        <v>0</v>
      </c>
      <c r="T626" s="300">
        <v>0</v>
      </c>
      <c r="U626" s="299">
        <v>0</v>
      </c>
      <c r="V626" s="300">
        <v>0</v>
      </c>
      <c r="W626" s="300">
        <v>0</v>
      </c>
      <c r="X626" s="300">
        <v>0</v>
      </c>
      <c r="Y626" s="300">
        <v>10.558</v>
      </c>
      <c r="Z626" s="299">
        <v>10.558</v>
      </c>
      <c r="AA626" s="300">
        <v>0</v>
      </c>
      <c r="AB626" s="300">
        <v>0</v>
      </c>
      <c r="AC626" s="300">
        <v>0</v>
      </c>
      <c r="AD626" s="300">
        <v>0</v>
      </c>
      <c r="AE626" s="299">
        <v>0</v>
      </c>
      <c r="AF626" s="300">
        <v>0</v>
      </c>
      <c r="AG626" s="300">
        <v>0</v>
      </c>
      <c r="AH626" s="300">
        <v>0</v>
      </c>
      <c r="AI626" s="300">
        <v>0</v>
      </c>
      <c r="AJ626" s="299">
        <v>0</v>
      </c>
      <c r="AK626" s="300">
        <v>0.48299999999999998</v>
      </c>
      <c r="AL626" s="300">
        <v>0.629</v>
      </c>
      <c r="AM626" s="300">
        <v>1.0309999999999999</v>
      </c>
      <c r="AN626" s="300">
        <v>14.847</v>
      </c>
      <c r="AO626" s="299">
        <v>16.989999999999998</v>
      </c>
      <c r="AP626" s="300">
        <v>6.1210000000000004</v>
      </c>
      <c r="AQ626" s="300">
        <v>1.339</v>
      </c>
      <c r="AR626" s="300">
        <v>2.0910000000000002</v>
      </c>
      <c r="AS626" s="300">
        <v>0.95</v>
      </c>
      <c r="AT626" s="299">
        <v>10.500999999999999</v>
      </c>
      <c r="AU626" s="300">
        <v>0</v>
      </c>
      <c r="AV626" s="300">
        <v>7.3540000000000001</v>
      </c>
      <c r="AW626" s="300">
        <v>0</v>
      </c>
      <c r="AX626" s="300">
        <v>2.2759999999999998</v>
      </c>
      <c r="AY626" s="299">
        <v>9.6300000000000008</v>
      </c>
      <c r="AZ626" s="300">
        <v>5.923</v>
      </c>
      <c r="BA626" s="300">
        <v>2.2309999999999999</v>
      </c>
      <c r="BB626" s="300">
        <v>0</v>
      </c>
      <c r="BC626" s="300">
        <v>5.1059999999999999</v>
      </c>
      <c r="BD626" s="299">
        <v>13.26</v>
      </c>
      <c r="BE626" s="300">
        <v>0</v>
      </c>
      <c r="BF626" s="300">
        <v>0</v>
      </c>
      <c r="BG626" s="300">
        <v>3.5310000000000001</v>
      </c>
      <c r="BH626" s="300">
        <v>0</v>
      </c>
      <c r="BI626" s="304">
        <v>3.5310000000000001</v>
      </c>
      <c r="BJ626" s="300">
        <v>0</v>
      </c>
      <c r="BK626" s="300">
        <v>0</v>
      </c>
      <c r="BL626" s="300">
        <v>0</v>
      </c>
      <c r="BM626" s="300">
        <v>0</v>
      </c>
      <c r="BN626" s="299">
        <v>0</v>
      </c>
      <c r="BO626" s="300">
        <v>0</v>
      </c>
      <c r="BP626" s="300">
        <v>0</v>
      </c>
      <c r="BQ626" s="300">
        <v>0</v>
      </c>
      <c r="BR626" s="300">
        <v>0</v>
      </c>
      <c r="BS626" s="299">
        <v>0</v>
      </c>
      <c r="BT626" s="299">
        <v>0</v>
      </c>
      <c r="BU626" s="299">
        <v>0</v>
      </c>
      <c r="BV626" s="299">
        <v>0</v>
      </c>
      <c r="BW626" s="247"/>
    </row>
    <row r="627" spans="1:75" s="169" customFormat="1" ht="14.25" outlineLevel="1" x14ac:dyDescent="0.45">
      <c r="A627" s="184" t="s">
        <v>732</v>
      </c>
      <c r="B627" s="489"/>
      <c r="C627" s="299"/>
      <c r="D627" s="299"/>
      <c r="E627" s="299">
        <v>0</v>
      </c>
      <c r="F627" s="299">
        <v>0</v>
      </c>
      <c r="G627" s="300">
        <v>0</v>
      </c>
      <c r="H627" s="300">
        <v>0</v>
      </c>
      <c r="I627" s="300">
        <v>0</v>
      </c>
      <c r="J627" s="300">
        <v>0</v>
      </c>
      <c r="K627" s="299">
        <v>0</v>
      </c>
      <c r="L627" s="300">
        <v>0</v>
      </c>
      <c r="M627" s="300">
        <v>0</v>
      </c>
      <c r="N627" s="300">
        <v>0</v>
      </c>
      <c r="O627" s="300">
        <v>0</v>
      </c>
      <c r="P627" s="299">
        <v>0</v>
      </c>
      <c r="Q627" s="300">
        <v>0</v>
      </c>
      <c r="R627" s="300">
        <v>0</v>
      </c>
      <c r="S627" s="300">
        <v>0</v>
      </c>
      <c r="T627" s="300">
        <v>0</v>
      </c>
      <c r="U627" s="299">
        <v>0</v>
      </c>
      <c r="V627" s="300">
        <v>0</v>
      </c>
      <c r="W627" s="300">
        <v>0</v>
      </c>
      <c r="X627" s="300">
        <v>0</v>
      </c>
      <c r="Y627" s="300">
        <v>4.7670000000000003</v>
      </c>
      <c r="Z627" s="299">
        <v>4.7670000000000003</v>
      </c>
      <c r="AA627" s="300">
        <v>0</v>
      </c>
      <c r="AB627" s="300">
        <v>0</v>
      </c>
      <c r="AC627" s="300">
        <v>0</v>
      </c>
      <c r="AD627" s="300">
        <v>0</v>
      </c>
      <c r="AE627" s="299">
        <v>0</v>
      </c>
      <c r="AF627" s="300">
        <v>0</v>
      </c>
      <c r="AG627" s="300">
        <v>0</v>
      </c>
      <c r="AH627" s="300">
        <v>0</v>
      </c>
      <c r="AI627" s="300">
        <v>0</v>
      </c>
      <c r="AJ627" s="299">
        <v>0</v>
      </c>
      <c r="AK627" s="300">
        <v>0</v>
      </c>
      <c r="AL627" s="300">
        <v>0</v>
      </c>
      <c r="AM627" s="300">
        <v>0</v>
      </c>
      <c r="AN627" s="300">
        <v>0</v>
      </c>
      <c r="AO627" s="299">
        <v>0</v>
      </c>
      <c r="AP627" s="300">
        <v>0</v>
      </c>
      <c r="AQ627" s="300">
        <v>0</v>
      </c>
      <c r="AR627" s="300">
        <v>0</v>
      </c>
      <c r="AS627" s="300">
        <v>0</v>
      </c>
      <c r="AT627" s="299">
        <v>0</v>
      </c>
      <c r="AU627" s="300">
        <v>0</v>
      </c>
      <c r="AV627" s="300">
        <v>0</v>
      </c>
      <c r="AW627" s="300">
        <v>0</v>
      </c>
      <c r="AX627" s="300">
        <v>0</v>
      </c>
      <c r="AY627" s="299">
        <v>0</v>
      </c>
      <c r="AZ627" s="300">
        <v>0</v>
      </c>
      <c r="BA627" s="300">
        <v>0</v>
      </c>
      <c r="BB627" s="300">
        <v>0</v>
      </c>
      <c r="BC627" s="300">
        <v>0</v>
      </c>
      <c r="BD627" s="299">
        <v>0</v>
      </c>
      <c r="BE627" s="300">
        <v>0</v>
      </c>
      <c r="BF627" s="300">
        <v>0</v>
      </c>
      <c r="BG627" s="300">
        <v>0</v>
      </c>
      <c r="BH627" s="300">
        <v>0</v>
      </c>
      <c r="BI627" s="304">
        <v>0</v>
      </c>
      <c r="BJ627" s="300">
        <v>0</v>
      </c>
      <c r="BK627" s="300">
        <v>0</v>
      </c>
      <c r="BL627" s="300">
        <v>0</v>
      </c>
      <c r="BM627" s="300">
        <v>0</v>
      </c>
      <c r="BN627" s="299">
        <v>0</v>
      </c>
      <c r="BO627" s="300">
        <v>0</v>
      </c>
      <c r="BP627" s="300">
        <v>0</v>
      </c>
      <c r="BQ627" s="300">
        <v>0</v>
      </c>
      <c r="BR627" s="300">
        <v>0</v>
      </c>
      <c r="BS627" s="299">
        <v>0</v>
      </c>
      <c r="BT627" s="299">
        <v>0</v>
      </c>
      <c r="BU627" s="299">
        <v>0</v>
      </c>
      <c r="BV627" s="299">
        <v>0</v>
      </c>
      <c r="BW627" s="247"/>
    </row>
    <row r="628" spans="1:75" s="169" customFormat="1" ht="14.25" outlineLevel="1" x14ac:dyDescent="0.45">
      <c r="A628" s="184" t="s">
        <v>733</v>
      </c>
      <c r="B628" s="489"/>
      <c r="C628" s="299"/>
      <c r="D628" s="299"/>
      <c r="E628" s="299">
        <v>0</v>
      </c>
      <c r="F628" s="299">
        <v>0</v>
      </c>
      <c r="G628" s="300">
        <v>0</v>
      </c>
      <c r="H628" s="300">
        <v>0</v>
      </c>
      <c r="I628" s="300">
        <v>0</v>
      </c>
      <c r="J628" s="300">
        <v>0</v>
      </c>
      <c r="K628" s="299">
        <v>0</v>
      </c>
      <c r="L628" s="300">
        <v>0</v>
      </c>
      <c r="M628" s="300">
        <v>0</v>
      </c>
      <c r="N628" s="300">
        <v>0</v>
      </c>
      <c r="O628" s="300">
        <v>0</v>
      </c>
      <c r="P628" s="299">
        <v>0</v>
      </c>
      <c r="Q628" s="300">
        <v>0</v>
      </c>
      <c r="R628" s="300">
        <v>0</v>
      </c>
      <c r="S628" s="300">
        <v>0</v>
      </c>
      <c r="T628" s="300">
        <v>0</v>
      </c>
      <c r="U628" s="299">
        <v>0</v>
      </c>
      <c r="V628" s="300">
        <v>2.069</v>
      </c>
      <c r="W628" s="300">
        <v>0.77800000000000002</v>
      </c>
      <c r="X628" s="300">
        <v>0</v>
      </c>
      <c r="Y628" s="300">
        <v>0</v>
      </c>
      <c r="Z628" s="299">
        <v>2.847</v>
      </c>
      <c r="AA628" s="300">
        <v>0</v>
      </c>
      <c r="AB628" s="300">
        <v>0</v>
      </c>
      <c r="AC628" s="300">
        <v>0</v>
      </c>
      <c r="AD628" s="300">
        <v>0</v>
      </c>
      <c r="AE628" s="299">
        <v>0</v>
      </c>
      <c r="AF628" s="300">
        <v>0</v>
      </c>
      <c r="AG628" s="300">
        <v>0</v>
      </c>
      <c r="AH628" s="300">
        <v>0</v>
      </c>
      <c r="AI628" s="300">
        <v>0</v>
      </c>
      <c r="AJ628" s="299">
        <v>0</v>
      </c>
      <c r="AK628" s="300">
        <v>0</v>
      </c>
      <c r="AL628" s="300">
        <v>0</v>
      </c>
      <c r="AM628" s="300">
        <v>0</v>
      </c>
      <c r="AN628" s="300">
        <v>0</v>
      </c>
      <c r="AO628" s="299">
        <v>0</v>
      </c>
      <c r="AP628" s="300">
        <v>0</v>
      </c>
      <c r="AQ628" s="300">
        <v>0</v>
      </c>
      <c r="AR628" s="300">
        <v>0</v>
      </c>
      <c r="AS628" s="300">
        <v>0</v>
      </c>
      <c r="AT628" s="299">
        <v>0</v>
      </c>
      <c r="AU628" s="300">
        <v>0</v>
      </c>
      <c r="AV628" s="300">
        <v>0</v>
      </c>
      <c r="AW628" s="300">
        <v>0</v>
      </c>
      <c r="AX628" s="300">
        <v>0</v>
      </c>
      <c r="AY628" s="299">
        <v>0</v>
      </c>
      <c r="AZ628" s="300">
        <v>0</v>
      </c>
      <c r="BA628" s="300">
        <v>0</v>
      </c>
      <c r="BB628" s="300">
        <v>0</v>
      </c>
      <c r="BC628" s="300">
        <v>0</v>
      </c>
      <c r="BD628" s="299">
        <v>0</v>
      </c>
      <c r="BE628" s="300">
        <v>0</v>
      </c>
      <c r="BF628" s="300">
        <v>0</v>
      </c>
      <c r="BG628" s="300">
        <v>0</v>
      </c>
      <c r="BH628" s="300">
        <v>0</v>
      </c>
      <c r="BI628" s="304">
        <v>0</v>
      </c>
      <c r="BJ628" s="300">
        <v>0</v>
      </c>
      <c r="BK628" s="300">
        <v>0</v>
      </c>
      <c r="BL628" s="300">
        <v>0</v>
      </c>
      <c r="BM628" s="300">
        <v>0</v>
      </c>
      <c r="BN628" s="299">
        <v>0</v>
      </c>
      <c r="BO628" s="300">
        <v>0</v>
      </c>
      <c r="BP628" s="300">
        <v>0</v>
      </c>
      <c r="BQ628" s="300">
        <v>0</v>
      </c>
      <c r="BR628" s="300">
        <v>0</v>
      </c>
      <c r="BS628" s="299">
        <v>0</v>
      </c>
      <c r="BT628" s="299">
        <v>0</v>
      </c>
      <c r="BU628" s="299">
        <v>0</v>
      </c>
      <c r="BV628" s="299">
        <v>0</v>
      </c>
      <c r="BW628" s="247"/>
    </row>
    <row r="629" spans="1:75" s="169" customFormat="1" ht="14.25" outlineLevel="1" x14ac:dyDescent="0.45">
      <c r="A629" s="184" t="s">
        <v>734</v>
      </c>
      <c r="B629" s="489"/>
      <c r="C629" s="299"/>
      <c r="D629" s="299"/>
      <c r="E629" s="299">
        <v>0</v>
      </c>
      <c r="F629" s="299">
        <v>0</v>
      </c>
      <c r="G629" s="300">
        <v>0</v>
      </c>
      <c r="H629" s="300">
        <v>0</v>
      </c>
      <c r="I629" s="300">
        <v>0</v>
      </c>
      <c r="J629" s="300">
        <v>0</v>
      </c>
      <c r="K629" s="299">
        <v>0</v>
      </c>
      <c r="L629" s="300">
        <v>0</v>
      </c>
      <c r="M629" s="300">
        <v>0</v>
      </c>
      <c r="N629" s="300">
        <v>0</v>
      </c>
      <c r="O629" s="300">
        <v>0</v>
      </c>
      <c r="P629" s="299">
        <v>0</v>
      </c>
      <c r="Q629" s="300">
        <v>0</v>
      </c>
      <c r="R629" s="300">
        <v>0</v>
      </c>
      <c r="S629" s="300">
        <v>0</v>
      </c>
      <c r="T629" s="300">
        <v>0</v>
      </c>
      <c r="U629" s="299">
        <v>0</v>
      </c>
      <c r="V629" s="300">
        <v>0</v>
      </c>
      <c r="W629" s="300">
        <v>0</v>
      </c>
      <c r="X629" s="300">
        <v>0</v>
      </c>
      <c r="Y629" s="300">
        <v>0</v>
      </c>
      <c r="Z629" s="299">
        <v>0</v>
      </c>
      <c r="AA629" s="300">
        <v>0</v>
      </c>
      <c r="AB629" s="300">
        <v>0</v>
      </c>
      <c r="AC629" s="300">
        <v>0</v>
      </c>
      <c r="AD629" s="300">
        <v>0</v>
      </c>
      <c r="AE629" s="299">
        <v>0</v>
      </c>
      <c r="AF629" s="300">
        <v>0</v>
      </c>
      <c r="AG629" s="300">
        <v>0</v>
      </c>
      <c r="AH629" s="300">
        <v>0</v>
      </c>
      <c r="AI629" s="300">
        <v>0</v>
      </c>
      <c r="AJ629" s="299">
        <v>0</v>
      </c>
      <c r="AK629" s="300">
        <v>0</v>
      </c>
      <c r="AL629" s="300">
        <v>0</v>
      </c>
      <c r="AM629" s="300">
        <v>-1.196</v>
      </c>
      <c r="AN629" s="300">
        <v>0</v>
      </c>
      <c r="AO629" s="299">
        <v>-1.196</v>
      </c>
      <c r="AP629" s="300">
        <v>0</v>
      </c>
      <c r="AQ629" s="300">
        <v>9.3520000000000003</v>
      </c>
      <c r="AR629" s="300">
        <v>0</v>
      </c>
      <c r="AS629" s="300">
        <v>0</v>
      </c>
      <c r="AT629" s="299">
        <v>9.3520000000000003</v>
      </c>
      <c r="AU629" s="300">
        <v>0</v>
      </c>
      <c r="AV629" s="300">
        <v>0</v>
      </c>
      <c r="AW629" s="300">
        <v>0</v>
      </c>
      <c r="AX629" s="300">
        <v>0</v>
      </c>
      <c r="AY629" s="299">
        <v>0</v>
      </c>
      <c r="AZ629" s="300">
        <v>0</v>
      </c>
      <c r="BA629" s="300">
        <v>0</v>
      </c>
      <c r="BB629" s="300">
        <v>0</v>
      </c>
      <c r="BC629" s="300">
        <v>0</v>
      </c>
      <c r="BD629" s="299">
        <v>0</v>
      </c>
      <c r="BE629" s="300">
        <v>0</v>
      </c>
      <c r="BF629" s="300">
        <v>0</v>
      </c>
      <c r="BG629" s="300">
        <v>0</v>
      </c>
      <c r="BH629" s="300">
        <v>0</v>
      </c>
      <c r="BI629" s="304">
        <v>0</v>
      </c>
      <c r="BJ629" s="300">
        <v>0</v>
      </c>
      <c r="BK629" s="300">
        <v>0</v>
      </c>
      <c r="BL629" s="300">
        <v>0</v>
      </c>
      <c r="BM629" s="300">
        <v>0</v>
      </c>
      <c r="BN629" s="299">
        <v>0</v>
      </c>
      <c r="BO629" s="300">
        <v>0</v>
      </c>
      <c r="BP629" s="300">
        <v>0</v>
      </c>
      <c r="BQ629" s="300">
        <v>0</v>
      </c>
      <c r="BR629" s="300">
        <v>0</v>
      </c>
      <c r="BS629" s="299">
        <v>0</v>
      </c>
      <c r="BT629" s="299">
        <v>0</v>
      </c>
      <c r="BU629" s="299">
        <v>0</v>
      </c>
      <c r="BV629" s="299">
        <v>0</v>
      </c>
      <c r="BW629" s="247"/>
    </row>
    <row r="630" spans="1:75" s="169" customFormat="1" ht="14.25" outlineLevel="1" x14ac:dyDescent="0.45">
      <c r="A630" s="184" t="s">
        <v>735</v>
      </c>
      <c r="B630" s="489"/>
      <c r="C630" s="299"/>
      <c r="D630" s="299"/>
      <c r="E630" s="299">
        <v>3.11</v>
      </c>
      <c r="F630" s="299">
        <v>-0.38600000000000001</v>
      </c>
      <c r="G630" s="300">
        <v>0</v>
      </c>
      <c r="H630" s="300">
        <v>0</v>
      </c>
      <c r="I630" s="300">
        <v>0</v>
      </c>
      <c r="J630" s="300">
        <v>0</v>
      </c>
      <c r="K630" s="299">
        <v>0</v>
      </c>
      <c r="L630" s="300">
        <v>0</v>
      </c>
      <c r="M630" s="300">
        <v>0</v>
      </c>
      <c r="N630" s="300">
        <v>0</v>
      </c>
      <c r="O630" s="300">
        <v>0</v>
      </c>
      <c r="P630" s="299">
        <v>0</v>
      </c>
      <c r="Q630" s="300">
        <v>0</v>
      </c>
      <c r="R630" s="300">
        <v>0</v>
      </c>
      <c r="S630" s="300">
        <v>0</v>
      </c>
      <c r="T630" s="300">
        <v>0</v>
      </c>
      <c r="U630" s="299">
        <v>0</v>
      </c>
      <c r="V630" s="300">
        <v>0</v>
      </c>
      <c r="W630" s="300">
        <v>0</v>
      </c>
      <c r="X630" s="300">
        <v>0</v>
      </c>
      <c r="Y630" s="300">
        <v>0</v>
      </c>
      <c r="Z630" s="299">
        <v>0</v>
      </c>
      <c r="AA630" s="300">
        <v>0</v>
      </c>
      <c r="AB630" s="300">
        <v>0</v>
      </c>
      <c r="AC630" s="300">
        <v>0</v>
      </c>
      <c r="AD630" s="300">
        <v>4.4169999999999998</v>
      </c>
      <c r="AE630" s="299">
        <v>4.4169999999999998</v>
      </c>
      <c r="AF630" s="300">
        <v>0</v>
      </c>
      <c r="AG630" s="300">
        <v>0</v>
      </c>
      <c r="AH630" s="300">
        <v>3.411</v>
      </c>
      <c r="AI630" s="300">
        <v>0</v>
      </c>
      <c r="AJ630" s="299">
        <v>3.411</v>
      </c>
      <c r="AK630" s="300">
        <v>0</v>
      </c>
      <c r="AL630" s="300">
        <v>0</v>
      </c>
      <c r="AM630" s="300">
        <v>0</v>
      </c>
      <c r="AN630" s="300">
        <v>0</v>
      </c>
      <c r="AO630" s="299">
        <v>0</v>
      </c>
      <c r="AP630" s="300">
        <v>0</v>
      </c>
      <c r="AQ630" s="300">
        <v>0</v>
      </c>
      <c r="AR630" s="300">
        <v>0</v>
      </c>
      <c r="AS630" s="300">
        <v>0</v>
      </c>
      <c r="AT630" s="299">
        <v>0</v>
      </c>
      <c r="AU630" s="300">
        <v>0</v>
      </c>
      <c r="AV630" s="300">
        <v>0</v>
      </c>
      <c r="AW630" s="300">
        <v>0</v>
      </c>
      <c r="AX630" s="300">
        <v>0</v>
      </c>
      <c r="AY630" s="299">
        <v>0</v>
      </c>
      <c r="AZ630" s="300">
        <v>0</v>
      </c>
      <c r="BA630" s="300">
        <v>0</v>
      </c>
      <c r="BB630" s="300">
        <v>0</v>
      </c>
      <c r="BC630" s="300">
        <v>0</v>
      </c>
      <c r="BD630" s="299">
        <v>0</v>
      </c>
      <c r="BE630" s="300">
        <v>0</v>
      </c>
      <c r="BF630" s="300">
        <v>0</v>
      </c>
      <c r="BG630" s="300">
        <v>0</v>
      </c>
      <c r="BH630" s="300">
        <v>0</v>
      </c>
      <c r="BI630" s="304">
        <v>0</v>
      </c>
      <c r="BJ630" s="300">
        <v>0</v>
      </c>
      <c r="BK630" s="300">
        <v>0</v>
      </c>
      <c r="BL630" s="300">
        <v>0</v>
      </c>
      <c r="BM630" s="300">
        <v>0</v>
      </c>
      <c r="BN630" s="299">
        <v>0</v>
      </c>
      <c r="BO630" s="300">
        <v>0</v>
      </c>
      <c r="BP630" s="300">
        <v>0</v>
      </c>
      <c r="BQ630" s="300">
        <v>0</v>
      </c>
      <c r="BR630" s="300">
        <v>0</v>
      </c>
      <c r="BS630" s="299">
        <v>0</v>
      </c>
      <c r="BT630" s="299">
        <v>0</v>
      </c>
      <c r="BU630" s="299">
        <v>0</v>
      </c>
      <c r="BV630" s="299">
        <v>0</v>
      </c>
      <c r="BW630" s="247"/>
    </row>
    <row r="631" spans="1:75" s="169" customFormat="1" ht="14.25" outlineLevel="1" x14ac:dyDescent="0.45">
      <c r="A631" s="184" t="s">
        <v>736</v>
      </c>
      <c r="B631" s="489"/>
      <c r="C631" s="299"/>
      <c r="D631" s="299"/>
      <c r="E631" s="299">
        <v>0</v>
      </c>
      <c r="F631" s="299">
        <v>0</v>
      </c>
      <c r="G631" s="300">
        <v>0</v>
      </c>
      <c r="H631" s="300">
        <v>0</v>
      </c>
      <c r="I631" s="300">
        <v>0</v>
      </c>
      <c r="J631" s="300">
        <v>0</v>
      </c>
      <c r="K631" s="299">
        <v>0</v>
      </c>
      <c r="L631" s="300">
        <v>0</v>
      </c>
      <c r="M631" s="300">
        <v>0</v>
      </c>
      <c r="N631" s="300">
        <v>0</v>
      </c>
      <c r="O631" s="300">
        <v>0</v>
      </c>
      <c r="P631" s="299">
        <v>0</v>
      </c>
      <c r="Q631" s="300">
        <v>0</v>
      </c>
      <c r="R631" s="300">
        <v>0</v>
      </c>
      <c r="S631" s="300">
        <v>0</v>
      </c>
      <c r="T631" s="300">
        <v>0</v>
      </c>
      <c r="U631" s="299">
        <v>0</v>
      </c>
      <c r="V631" s="300">
        <v>0</v>
      </c>
      <c r="W631" s="300">
        <v>0</v>
      </c>
      <c r="X631" s="300">
        <v>0</v>
      </c>
      <c r="Y631" s="300">
        <v>0</v>
      </c>
      <c r="Z631" s="299">
        <v>0</v>
      </c>
      <c r="AA631" s="300">
        <v>0</v>
      </c>
      <c r="AB631" s="300">
        <v>0</v>
      </c>
      <c r="AC631" s="300">
        <v>0.33600000000000002</v>
      </c>
      <c r="AD631" s="300">
        <v>2.7730000000000001</v>
      </c>
      <c r="AE631" s="299">
        <v>3.109</v>
      </c>
      <c r="AF631" s="300">
        <v>-0.84</v>
      </c>
      <c r="AG631" s="300">
        <v>0</v>
      </c>
      <c r="AH631" s="300">
        <v>2.4079999999999999</v>
      </c>
      <c r="AI631" s="300">
        <v>0</v>
      </c>
      <c r="AJ631" s="299">
        <v>1.5680000000000001</v>
      </c>
      <c r="AK631" s="300">
        <v>0</v>
      </c>
      <c r="AL631" s="300">
        <v>0</v>
      </c>
      <c r="AM631" s="300">
        <v>0</v>
      </c>
      <c r="AN631" s="300">
        <v>0</v>
      </c>
      <c r="AO631" s="299">
        <v>0</v>
      </c>
      <c r="AP631" s="300">
        <v>0</v>
      </c>
      <c r="AQ631" s="300">
        <v>0</v>
      </c>
      <c r="AR631" s="300">
        <v>0</v>
      </c>
      <c r="AS631" s="300">
        <v>0</v>
      </c>
      <c r="AT631" s="299">
        <v>0</v>
      </c>
      <c r="AU631" s="300">
        <v>0</v>
      </c>
      <c r="AV631" s="300">
        <v>0</v>
      </c>
      <c r="AW631" s="300">
        <v>0</v>
      </c>
      <c r="AX631" s="300">
        <v>0</v>
      </c>
      <c r="AY631" s="299">
        <v>0</v>
      </c>
      <c r="AZ631" s="300">
        <v>0</v>
      </c>
      <c r="BA631" s="300">
        <v>0</v>
      </c>
      <c r="BB631" s="300">
        <v>0</v>
      </c>
      <c r="BC631" s="300">
        <v>0</v>
      </c>
      <c r="BD631" s="299">
        <v>0</v>
      </c>
      <c r="BE631" s="300">
        <v>0</v>
      </c>
      <c r="BF631" s="300">
        <v>0</v>
      </c>
      <c r="BG631" s="300">
        <v>0</v>
      </c>
      <c r="BH631" s="300">
        <v>0</v>
      </c>
      <c r="BI631" s="304">
        <v>0</v>
      </c>
      <c r="BJ631" s="300">
        <v>0</v>
      </c>
      <c r="BK631" s="300">
        <v>0</v>
      </c>
      <c r="BL631" s="300">
        <v>0</v>
      </c>
      <c r="BM631" s="300">
        <v>0</v>
      </c>
      <c r="BN631" s="299">
        <v>0</v>
      </c>
      <c r="BO631" s="300">
        <v>0</v>
      </c>
      <c r="BP631" s="300">
        <v>0</v>
      </c>
      <c r="BQ631" s="300">
        <v>0</v>
      </c>
      <c r="BR631" s="300">
        <v>0</v>
      </c>
      <c r="BS631" s="299">
        <v>0</v>
      </c>
      <c r="BT631" s="299">
        <v>0</v>
      </c>
      <c r="BU631" s="299">
        <v>0</v>
      </c>
      <c r="BV631" s="299">
        <v>0</v>
      </c>
      <c r="BW631" s="247"/>
    </row>
    <row r="632" spans="1:75" s="169" customFormat="1" ht="14.25" outlineLevel="1" x14ac:dyDescent="0.45">
      <c r="A632" s="184" t="s">
        <v>737</v>
      </c>
      <c r="B632" s="489"/>
      <c r="C632" s="299"/>
      <c r="D632" s="299"/>
      <c r="E632" s="299">
        <v>0</v>
      </c>
      <c r="F632" s="299">
        <v>0</v>
      </c>
      <c r="G632" s="300">
        <v>0</v>
      </c>
      <c r="H632" s="300">
        <v>0</v>
      </c>
      <c r="I632" s="300">
        <v>0</v>
      </c>
      <c r="J632" s="300">
        <v>0</v>
      </c>
      <c r="K632" s="299">
        <v>0</v>
      </c>
      <c r="L632" s="300">
        <v>0</v>
      </c>
      <c r="M632" s="300">
        <v>0</v>
      </c>
      <c r="N632" s="300">
        <v>0</v>
      </c>
      <c r="O632" s="300">
        <v>0</v>
      </c>
      <c r="P632" s="299">
        <v>0</v>
      </c>
      <c r="Q632" s="300">
        <v>0</v>
      </c>
      <c r="R632" s="300">
        <v>0</v>
      </c>
      <c r="S632" s="300">
        <v>0</v>
      </c>
      <c r="T632" s="300">
        <v>0</v>
      </c>
      <c r="U632" s="299">
        <v>0</v>
      </c>
      <c r="V632" s="300">
        <v>0</v>
      </c>
      <c r="W632" s="300">
        <v>0</v>
      </c>
      <c r="X632" s="300">
        <v>0</v>
      </c>
      <c r="Y632" s="300">
        <v>0.63900000000000001</v>
      </c>
      <c r="Z632" s="299">
        <v>0.63900000000000001</v>
      </c>
      <c r="AA632" s="300">
        <v>0</v>
      </c>
      <c r="AB632" s="300">
        <v>0.157</v>
      </c>
      <c r="AC632" s="300">
        <v>0</v>
      </c>
      <c r="AD632" s="300">
        <v>2.8000000000000001E-2</v>
      </c>
      <c r="AE632" s="299">
        <v>0.185</v>
      </c>
      <c r="AF632" s="300">
        <v>0</v>
      </c>
      <c r="AG632" s="300">
        <v>0.34499999999999997</v>
      </c>
      <c r="AH632" s="300">
        <v>0.3</v>
      </c>
      <c r="AI632" s="300">
        <v>0.38</v>
      </c>
      <c r="AJ632" s="299">
        <v>1.0249999999999999</v>
      </c>
      <c r="AK632" s="300">
        <v>3.3000000000000002E-2</v>
      </c>
      <c r="AL632" s="300">
        <v>0</v>
      </c>
      <c r="AM632" s="300">
        <v>-0.25800000000000001</v>
      </c>
      <c r="AN632" s="300">
        <v>0</v>
      </c>
      <c r="AO632" s="299">
        <v>-0.22500000000000001</v>
      </c>
      <c r="AP632" s="300">
        <v>0</v>
      </c>
      <c r="AQ632" s="300">
        <v>0</v>
      </c>
      <c r="AR632" s="300">
        <v>0</v>
      </c>
      <c r="AS632" s="300">
        <v>1.4430000000000001</v>
      </c>
      <c r="AT632" s="299">
        <v>1.4430000000000001</v>
      </c>
      <c r="AU632" s="300">
        <v>0.5</v>
      </c>
      <c r="AV632" s="300">
        <v>0</v>
      </c>
      <c r="AW632" s="300">
        <v>0.34</v>
      </c>
      <c r="AX632" s="300">
        <v>2.2999999999999998</v>
      </c>
      <c r="AY632" s="299">
        <v>3.14</v>
      </c>
      <c r="AZ632" s="300">
        <v>0.56000000000000005</v>
      </c>
      <c r="BA632" s="300">
        <v>0</v>
      </c>
      <c r="BB632" s="300">
        <v>0</v>
      </c>
      <c r="BC632" s="300">
        <v>0</v>
      </c>
      <c r="BD632" s="299">
        <v>0.56000000000000005</v>
      </c>
      <c r="BE632" s="300">
        <v>0</v>
      </c>
      <c r="BF632" s="300">
        <v>0</v>
      </c>
      <c r="BG632" s="300">
        <v>-1.5760000000000001</v>
      </c>
      <c r="BH632" s="300">
        <v>0</v>
      </c>
      <c r="BI632" s="304">
        <v>-1.5760000000000001</v>
      </c>
      <c r="BJ632" s="300">
        <v>0</v>
      </c>
      <c r="BK632" s="300">
        <v>0</v>
      </c>
      <c r="BL632" s="300">
        <v>0</v>
      </c>
      <c r="BM632" s="300">
        <v>0</v>
      </c>
      <c r="BN632" s="299">
        <v>0</v>
      </c>
      <c r="BO632" s="300">
        <v>0</v>
      </c>
      <c r="BP632" s="300">
        <v>0</v>
      </c>
      <c r="BQ632" s="300">
        <v>0</v>
      </c>
      <c r="BR632" s="300">
        <v>0</v>
      </c>
      <c r="BS632" s="299">
        <v>0</v>
      </c>
      <c r="BT632" s="299">
        <v>0</v>
      </c>
      <c r="BU632" s="299">
        <v>0</v>
      </c>
      <c r="BV632" s="299">
        <v>0</v>
      </c>
      <c r="BW632" s="247"/>
    </row>
    <row r="633" spans="1:75" s="169" customFormat="1" ht="14.25" outlineLevel="1" x14ac:dyDescent="0.45">
      <c r="A633" s="184" t="s">
        <v>738</v>
      </c>
      <c r="B633" s="489"/>
      <c r="C633" s="299"/>
      <c r="D633" s="299"/>
      <c r="E633" s="299">
        <v>0</v>
      </c>
      <c r="F633" s="299">
        <v>0</v>
      </c>
      <c r="G633" s="300">
        <v>0</v>
      </c>
      <c r="H633" s="300">
        <v>0</v>
      </c>
      <c r="I633" s="300">
        <v>0</v>
      </c>
      <c r="J633" s="300">
        <v>0</v>
      </c>
      <c r="K633" s="299">
        <v>0</v>
      </c>
      <c r="L633" s="300">
        <v>0</v>
      </c>
      <c r="M633" s="300">
        <v>0</v>
      </c>
      <c r="N633" s="300">
        <v>0</v>
      </c>
      <c r="O633" s="300">
        <v>0</v>
      </c>
      <c r="P633" s="299">
        <v>0</v>
      </c>
      <c r="Q633" s="300">
        <v>0</v>
      </c>
      <c r="R633" s="300">
        <v>0</v>
      </c>
      <c r="S633" s="300">
        <v>0</v>
      </c>
      <c r="T633" s="300">
        <v>0</v>
      </c>
      <c r="U633" s="299">
        <v>0</v>
      </c>
      <c r="V633" s="300">
        <v>0</v>
      </c>
      <c r="W633" s="300">
        <v>0</v>
      </c>
      <c r="X633" s="300">
        <v>0</v>
      </c>
      <c r="Y633" s="300">
        <v>0</v>
      </c>
      <c r="Z633" s="299">
        <v>0</v>
      </c>
      <c r="AA633" s="300">
        <v>0</v>
      </c>
      <c r="AB633" s="300">
        <v>-1.3</v>
      </c>
      <c r="AC633" s="300">
        <v>-0.81899999999999995</v>
      </c>
      <c r="AD633" s="300">
        <v>0</v>
      </c>
      <c r="AE633" s="299">
        <v>-2.1190000000000002</v>
      </c>
      <c r="AF633" s="300">
        <v>0</v>
      </c>
      <c r="AG633" s="300">
        <v>0</v>
      </c>
      <c r="AH633" s="300">
        <v>0</v>
      </c>
      <c r="AI633" s="300">
        <v>0</v>
      </c>
      <c r="AJ633" s="299">
        <v>0</v>
      </c>
      <c r="AK633" s="300">
        <v>0</v>
      </c>
      <c r="AL633" s="300">
        <v>0</v>
      </c>
      <c r="AM633" s="300">
        <v>0</v>
      </c>
      <c r="AN633" s="300">
        <v>0</v>
      </c>
      <c r="AO633" s="299">
        <v>0</v>
      </c>
      <c r="AP633" s="300">
        <v>0</v>
      </c>
      <c r="AQ633" s="300">
        <v>0</v>
      </c>
      <c r="AR633" s="300">
        <v>0</v>
      </c>
      <c r="AS633" s="300">
        <v>0</v>
      </c>
      <c r="AT633" s="299">
        <v>0</v>
      </c>
      <c r="AU633" s="300">
        <v>0</v>
      </c>
      <c r="AV633" s="300">
        <v>0</v>
      </c>
      <c r="AW633" s="300">
        <v>0</v>
      </c>
      <c r="AX633" s="300">
        <v>0</v>
      </c>
      <c r="AY633" s="299">
        <v>0</v>
      </c>
      <c r="AZ633" s="300">
        <v>0</v>
      </c>
      <c r="BA633" s="300">
        <v>0</v>
      </c>
      <c r="BB633" s="300">
        <v>-0.77500000000000002</v>
      </c>
      <c r="BC633" s="300">
        <v>0</v>
      </c>
      <c r="BD633" s="299">
        <v>-0.77500000000000002</v>
      </c>
      <c r="BE633" s="300">
        <v>0</v>
      </c>
      <c r="BF633" s="300">
        <v>0</v>
      </c>
      <c r="BG633" s="300">
        <v>0</v>
      </c>
      <c r="BH633" s="300">
        <v>0</v>
      </c>
      <c r="BI633" s="304">
        <v>0</v>
      </c>
      <c r="BJ633" s="300">
        <v>0</v>
      </c>
      <c r="BK633" s="300">
        <v>0</v>
      </c>
      <c r="BL633" s="300">
        <v>0</v>
      </c>
      <c r="BM633" s="300">
        <v>0</v>
      </c>
      <c r="BN633" s="299">
        <v>0</v>
      </c>
      <c r="BO633" s="300">
        <v>0</v>
      </c>
      <c r="BP633" s="300">
        <v>0</v>
      </c>
      <c r="BQ633" s="300">
        <v>0</v>
      </c>
      <c r="BR633" s="300">
        <v>0</v>
      </c>
      <c r="BS633" s="299">
        <v>0</v>
      </c>
      <c r="BT633" s="299">
        <v>0</v>
      </c>
      <c r="BU633" s="299">
        <v>0</v>
      </c>
      <c r="BV633" s="299">
        <v>0</v>
      </c>
      <c r="BW633" s="247"/>
    </row>
    <row r="634" spans="1:75" s="169" customFormat="1" ht="14.25" outlineLevel="1" x14ac:dyDescent="0.45">
      <c r="A634" s="445" t="s">
        <v>739</v>
      </c>
      <c r="B634" s="486"/>
      <c r="C634" s="309"/>
      <c r="D634" s="309"/>
      <c r="E634" s="309">
        <v>0</v>
      </c>
      <c r="F634" s="309">
        <v>0</v>
      </c>
      <c r="G634" s="310">
        <v>0</v>
      </c>
      <c r="H634" s="310">
        <v>0</v>
      </c>
      <c r="I634" s="310">
        <v>0</v>
      </c>
      <c r="J634" s="310">
        <v>0</v>
      </c>
      <c r="K634" s="309">
        <v>0</v>
      </c>
      <c r="L634" s="310">
        <v>9.1999999999999993</v>
      </c>
      <c r="M634" s="310">
        <v>0</v>
      </c>
      <c r="N634" s="310">
        <v>0</v>
      </c>
      <c r="O634" s="310">
        <v>-1.5</v>
      </c>
      <c r="P634" s="309">
        <v>7.7</v>
      </c>
      <c r="Q634" s="310">
        <v>0.189</v>
      </c>
      <c r="R634" s="310">
        <v>0.63</v>
      </c>
      <c r="S634" s="310">
        <v>0.27500000000000002</v>
      </c>
      <c r="T634" s="310">
        <v>0.73799999999999999</v>
      </c>
      <c r="U634" s="309">
        <v>1.8320000000000001</v>
      </c>
      <c r="V634" s="310">
        <v>0.97199999999999998</v>
      </c>
      <c r="W634" s="310">
        <v>0</v>
      </c>
      <c r="X634" s="310">
        <v>0</v>
      </c>
      <c r="Y634" s="310">
        <v>0</v>
      </c>
      <c r="Z634" s="309">
        <v>0.97199999999999998</v>
      </c>
      <c r="AA634" s="310">
        <v>0</v>
      </c>
      <c r="AB634" s="310">
        <v>0</v>
      </c>
      <c r="AC634" s="310">
        <v>0</v>
      </c>
      <c r="AD634" s="310">
        <v>0</v>
      </c>
      <c r="AE634" s="309">
        <v>0</v>
      </c>
      <c r="AF634" s="310">
        <v>1.915</v>
      </c>
      <c r="AG634" s="310">
        <v>-7.2039999999999997</v>
      </c>
      <c r="AH634" s="310">
        <v>0</v>
      </c>
      <c r="AI634" s="310">
        <v>0</v>
      </c>
      <c r="AJ634" s="309">
        <v>-5.2889999999999997</v>
      </c>
      <c r="AK634" s="310">
        <v>0</v>
      </c>
      <c r="AL634" s="310">
        <v>-1.1930000000000001</v>
      </c>
      <c r="AM634" s="310">
        <v>0</v>
      </c>
      <c r="AN634" s="310">
        <v>0</v>
      </c>
      <c r="AO634" s="309">
        <v>-1.1930000000000001</v>
      </c>
      <c r="AP634" s="310">
        <v>0</v>
      </c>
      <c r="AQ634" s="310">
        <v>0</v>
      </c>
      <c r="AR634" s="310">
        <v>0</v>
      </c>
      <c r="AS634" s="310">
        <v>0</v>
      </c>
      <c r="AT634" s="309">
        <v>0</v>
      </c>
      <c r="AU634" s="310">
        <v>0</v>
      </c>
      <c r="AV634" s="310">
        <v>0</v>
      </c>
      <c r="AW634" s="310">
        <v>0</v>
      </c>
      <c r="AX634" s="310">
        <v>0</v>
      </c>
      <c r="AY634" s="309">
        <v>0</v>
      </c>
      <c r="AZ634" s="310">
        <v>0</v>
      </c>
      <c r="BA634" s="310">
        <v>0</v>
      </c>
      <c r="BB634" s="310">
        <v>-4.1879999999999997</v>
      </c>
      <c r="BC634" s="310">
        <v>0</v>
      </c>
      <c r="BD634" s="309">
        <v>-4.1879999999999997</v>
      </c>
      <c r="BE634" s="310">
        <v>0</v>
      </c>
      <c r="BF634" s="310">
        <v>8</v>
      </c>
      <c r="BG634" s="310">
        <v>0</v>
      </c>
      <c r="BH634" s="310">
        <v>0.5</v>
      </c>
      <c r="BI634" s="314">
        <v>8.5</v>
      </c>
      <c r="BJ634" s="310">
        <v>0</v>
      </c>
      <c r="BK634" s="310">
        <v>0</v>
      </c>
      <c r="BL634" s="310">
        <v>0</v>
      </c>
      <c r="BM634" s="310">
        <v>0</v>
      </c>
      <c r="BN634" s="309">
        <v>0</v>
      </c>
      <c r="BO634" s="310">
        <v>0</v>
      </c>
      <c r="BP634" s="310">
        <v>0</v>
      </c>
      <c r="BQ634" s="310">
        <v>0</v>
      </c>
      <c r="BR634" s="310">
        <v>0</v>
      </c>
      <c r="BS634" s="309">
        <v>0</v>
      </c>
      <c r="BT634" s="309">
        <v>0</v>
      </c>
      <c r="BU634" s="309">
        <v>0</v>
      </c>
      <c r="BV634" s="309">
        <v>0</v>
      </c>
      <c r="BW634" s="247"/>
    </row>
    <row r="635" spans="1:75" s="169" customFormat="1" ht="14.25" x14ac:dyDescent="0.45">
      <c r="A635" s="206" t="s">
        <v>740</v>
      </c>
      <c r="B635" s="485"/>
      <c r="C635" s="293">
        <v>227.84</v>
      </c>
      <c r="D635" s="293">
        <v>263.428</v>
      </c>
      <c r="E635" s="293">
        <v>307.13</v>
      </c>
      <c r="F635" s="293">
        <v>371.02499999999998</v>
      </c>
      <c r="G635" s="294">
        <v>97.275999999999996</v>
      </c>
      <c r="H635" s="294">
        <v>105.04599999999999</v>
      </c>
      <c r="I635" s="294">
        <v>116.94</v>
      </c>
      <c r="J635" s="294">
        <v>116.717</v>
      </c>
      <c r="K635" s="293">
        <v>435.97899999999998</v>
      </c>
      <c r="L635" s="294">
        <v>110.371</v>
      </c>
      <c r="M635" s="294">
        <v>118.974</v>
      </c>
      <c r="N635" s="294">
        <v>143.685</v>
      </c>
      <c r="O635" s="294">
        <v>144.31800000000001</v>
      </c>
      <c r="P635" s="293">
        <v>517.34799999999996</v>
      </c>
      <c r="Q635" s="294">
        <v>126.2</v>
      </c>
      <c r="R635" s="294">
        <v>137.21</v>
      </c>
      <c r="S635" s="294">
        <v>145.59899999999999</v>
      </c>
      <c r="T635" s="294">
        <v>156.29000000000002</v>
      </c>
      <c r="U635" s="293">
        <v>565.29899999999998</v>
      </c>
      <c r="V635" s="294">
        <v>134.494</v>
      </c>
      <c r="W635" s="294">
        <v>150.065</v>
      </c>
      <c r="X635" s="294">
        <v>159.459</v>
      </c>
      <c r="Y635" s="294">
        <v>153.57999999999998</v>
      </c>
      <c r="Z635" s="293">
        <v>597.59799999999996</v>
      </c>
      <c r="AA635" s="294">
        <v>163.36000000000001</v>
      </c>
      <c r="AB635" s="294">
        <v>170.96100000000001</v>
      </c>
      <c r="AC635" s="294">
        <v>170.61700000000002</v>
      </c>
      <c r="AD635" s="294">
        <v>182.41499999999999</v>
      </c>
      <c r="AE635" s="293">
        <v>687.35299999999995</v>
      </c>
      <c r="AF635" s="294">
        <v>160.11100000000002</v>
      </c>
      <c r="AG635" s="294">
        <v>191.65899999999999</v>
      </c>
      <c r="AH635" s="294">
        <v>194.11</v>
      </c>
      <c r="AI635" s="294">
        <v>158.77200000000002</v>
      </c>
      <c r="AJ635" s="293">
        <v>704.65200000000004</v>
      </c>
      <c r="AK635" s="294">
        <v>163.66500000000002</v>
      </c>
      <c r="AL635" s="294">
        <v>191.541</v>
      </c>
      <c r="AM635" s="294">
        <v>194.61</v>
      </c>
      <c r="AN635" s="294">
        <v>167.24599999999995</v>
      </c>
      <c r="AO635" s="293">
        <v>717.0619999999999</v>
      </c>
      <c r="AP635" s="294">
        <v>153.93699999999998</v>
      </c>
      <c r="AQ635" s="294">
        <v>182.27600000000001</v>
      </c>
      <c r="AR635" s="294">
        <v>183.79999999999998</v>
      </c>
      <c r="AS635" s="294">
        <v>193.25299999999993</v>
      </c>
      <c r="AT635" s="293">
        <v>713.26599999999996</v>
      </c>
      <c r="AU635" s="294">
        <v>212.72499999999999</v>
      </c>
      <c r="AV635" s="294">
        <v>225.02099999999999</v>
      </c>
      <c r="AW635" s="294">
        <v>226.54400000000001</v>
      </c>
      <c r="AX635" s="294">
        <v>227.29300000000006</v>
      </c>
      <c r="AY635" s="293">
        <v>891.58299999999997</v>
      </c>
      <c r="AZ635" s="294">
        <v>262.053</v>
      </c>
      <c r="BA635" s="294">
        <v>278.48399999999998</v>
      </c>
      <c r="BB635" s="294">
        <v>251.35499999999999</v>
      </c>
      <c r="BC635" s="294">
        <v>241.19300000000001</v>
      </c>
      <c r="BD635" s="293">
        <v>1033.085</v>
      </c>
      <c r="BE635" s="294">
        <v>237.15300000000002</v>
      </c>
      <c r="BF635" s="294">
        <v>218.709</v>
      </c>
      <c r="BG635" s="294">
        <v>285.28699999999998</v>
      </c>
      <c r="BH635" s="294">
        <v>254.08300000000003</v>
      </c>
      <c r="BI635" s="297">
        <v>995.23199999999997</v>
      </c>
      <c r="BJ635" s="294">
        <v>250.95107109749807</v>
      </c>
      <c r="BK635" s="294">
        <v>235.61299210815673</v>
      </c>
      <c r="BL635" s="294">
        <v>269.09155056417137</v>
      </c>
      <c r="BM635" s="294">
        <v>257.2240294006225</v>
      </c>
      <c r="BN635" s="293">
        <v>1012.8796431704486</v>
      </c>
      <c r="BO635" s="294">
        <v>267.52389302468379</v>
      </c>
      <c r="BP635" s="294">
        <v>262.09647198688606</v>
      </c>
      <c r="BQ635" s="294">
        <v>305.38252352346819</v>
      </c>
      <c r="BR635" s="294">
        <v>265.41358148780688</v>
      </c>
      <c r="BS635" s="293">
        <v>1100.416470022845</v>
      </c>
      <c r="BT635" s="293">
        <v>1126.5171772176084</v>
      </c>
      <c r="BU635" s="293">
        <v>1124.9403400253352</v>
      </c>
      <c r="BV635" s="293">
        <v>1110.736201022843</v>
      </c>
      <c r="BW635" s="247"/>
    </row>
    <row r="636" spans="1:75" s="169" customFormat="1" ht="14.25" x14ac:dyDescent="0.45">
      <c r="A636" s="199" t="s">
        <v>741</v>
      </c>
      <c r="B636" s="490"/>
      <c r="C636" s="411"/>
      <c r="D636" s="411">
        <v>35.587999999999994</v>
      </c>
      <c r="E636" s="411">
        <v>43.701999999999998</v>
      </c>
      <c r="F636" s="411">
        <v>63.894999999999982</v>
      </c>
      <c r="G636" s="412"/>
      <c r="H636" s="412"/>
      <c r="I636" s="412"/>
      <c r="J636" s="412"/>
      <c r="K636" s="411">
        <v>64.954000000000008</v>
      </c>
      <c r="L636" s="412">
        <v>13.094999999999999</v>
      </c>
      <c r="M636" s="412">
        <v>13.928000000000011</v>
      </c>
      <c r="N636" s="412">
        <v>26.745000000000005</v>
      </c>
      <c r="O636" s="412">
        <v>27.601000000000013</v>
      </c>
      <c r="P636" s="411">
        <v>81.368999999999971</v>
      </c>
      <c r="Q636" s="412">
        <v>15.829000000000008</v>
      </c>
      <c r="R636" s="412">
        <v>18.236000000000004</v>
      </c>
      <c r="S636" s="412">
        <v>1.9139999999999873</v>
      </c>
      <c r="T636" s="412">
        <v>11.972000000000008</v>
      </c>
      <c r="U636" s="411">
        <v>47.951000000000022</v>
      </c>
      <c r="V636" s="412">
        <v>8.2939999999999969</v>
      </c>
      <c r="W636" s="412">
        <v>12.85499999999999</v>
      </c>
      <c r="X636" s="412">
        <v>13.860000000000014</v>
      </c>
      <c r="Y636" s="412">
        <v>-2.7100000000000364</v>
      </c>
      <c r="Z636" s="411">
        <v>32.298999999999978</v>
      </c>
      <c r="AA636" s="412">
        <v>28.866000000000014</v>
      </c>
      <c r="AB636" s="412">
        <v>20.896000000000015</v>
      </c>
      <c r="AC636" s="412">
        <v>11.158000000000015</v>
      </c>
      <c r="AD636" s="412">
        <v>28.835000000000008</v>
      </c>
      <c r="AE636" s="411">
        <v>89.754999999999995</v>
      </c>
      <c r="AF636" s="412">
        <v>-3.2489999999999952</v>
      </c>
      <c r="AG636" s="412">
        <v>20.697999999999979</v>
      </c>
      <c r="AH636" s="412">
        <v>23.492999999999995</v>
      </c>
      <c r="AI636" s="412">
        <v>-23.642999999999972</v>
      </c>
      <c r="AJ636" s="411">
        <v>17.299000000000092</v>
      </c>
      <c r="AK636" s="412">
        <v>3.554000000000002</v>
      </c>
      <c r="AL636" s="412">
        <v>-0.117999999999995</v>
      </c>
      <c r="AM636" s="412">
        <v>0.5</v>
      </c>
      <c r="AN636" s="412">
        <v>8.4739999999999327</v>
      </c>
      <c r="AO636" s="411">
        <v>12.409999999999854</v>
      </c>
      <c r="AP636" s="412">
        <v>-9.7280000000000371</v>
      </c>
      <c r="AQ636" s="412">
        <v>-9.2649999999999864</v>
      </c>
      <c r="AR636" s="412">
        <v>-10.810000000000031</v>
      </c>
      <c r="AS636" s="412">
        <v>26.006999999999977</v>
      </c>
      <c r="AT636" s="411">
        <v>-3.7959999999999354</v>
      </c>
      <c r="AU636" s="412">
        <v>58.788000000000011</v>
      </c>
      <c r="AV636" s="412">
        <v>42.744999999999976</v>
      </c>
      <c r="AW636" s="412">
        <v>42.744000000000028</v>
      </c>
      <c r="AX636" s="412">
        <v>34.040000000000134</v>
      </c>
      <c r="AY636" s="411">
        <v>178.31700000000001</v>
      </c>
      <c r="AZ636" s="412">
        <v>49.328000000000003</v>
      </c>
      <c r="BA636" s="412">
        <v>53.462999999999994</v>
      </c>
      <c r="BB636" s="412">
        <v>24.810999999999979</v>
      </c>
      <c r="BC636" s="412">
        <v>13.899999999999949</v>
      </c>
      <c r="BD636" s="411">
        <v>141.50200000000007</v>
      </c>
      <c r="BE636" s="412">
        <v>-24.899999999999977</v>
      </c>
      <c r="BF636" s="412">
        <v>-59.774999999999977</v>
      </c>
      <c r="BG636" s="412">
        <v>33.931999999999988</v>
      </c>
      <c r="BH636" s="412">
        <v>12.890000000000015</v>
      </c>
      <c r="BI636" s="488">
        <v>-37.853000000000065</v>
      </c>
      <c r="BJ636" s="412">
        <v>13.798071097498052</v>
      </c>
      <c r="BK636" s="412">
        <v>16.903992108156729</v>
      </c>
      <c r="BL636" s="412">
        <v>-16.195449435828607</v>
      </c>
      <c r="BM636" s="412">
        <v>3.1410294006224717</v>
      </c>
      <c r="BN636" s="411">
        <v>17.647643170448646</v>
      </c>
      <c r="BO636" s="412">
        <v>16.572821927185714</v>
      </c>
      <c r="BP636" s="412">
        <v>26.483479878729327</v>
      </c>
      <c r="BQ636" s="412">
        <v>36.290972959296823</v>
      </c>
      <c r="BR636" s="412">
        <v>8.1895520871843814</v>
      </c>
      <c r="BS636" s="411">
        <v>87.536826852396416</v>
      </c>
      <c r="BT636" s="411">
        <v>26.100707194763345</v>
      </c>
      <c r="BU636" s="411">
        <v>-1.5768371922731603</v>
      </c>
      <c r="BV636" s="411">
        <v>-14.204139002492184</v>
      </c>
      <c r="BW636" s="247"/>
    </row>
    <row r="637" spans="1:75" s="169" customFormat="1" ht="14.25" x14ac:dyDescent="0.45">
      <c r="A637" s="170" t="s">
        <v>742</v>
      </c>
      <c r="B637" s="491"/>
      <c r="C637" s="375"/>
      <c r="D637" s="375">
        <v>0.15619733146067416</v>
      </c>
      <c r="E637" s="375">
        <v>0.16589732298768545</v>
      </c>
      <c r="F637" s="375">
        <v>0.20803894116497901</v>
      </c>
      <c r="G637" s="492"/>
      <c r="H637" s="492"/>
      <c r="I637" s="492"/>
      <c r="J637" s="492"/>
      <c r="K637" s="375">
        <v>0.17506637019068805</v>
      </c>
      <c r="L637" s="492">
        <v>0.134616966158148</v>
      </c>
      <c r="M637" s="492">
        <v>0.13258953220493885</v>
      </c>
      <c r="N637" s="492">
        <v>0.22870702924576713</v>
      </c>
      <c r="O637" s="492">
        <v>0.2364779766443621</v>
      </c>
      <c r="P637" s="375">
        <v>0.18663513609600457</v>
      </c>
      <c r="Q637" s="492">
        <v>0.14341629594730509</v>
      </c>
      <c r="R637" s="492">
        <v>0.15327718661220091</v>
      </c>
      <c r="S637" s="492">
        <v>1.3320805929637691E-2</v>
      </c>
      <c r="T637" s="492">
        <v>8.2955695062292945E-2</v>
      </c>
      <c r="U637" s="375">
        <v>9.2686160959354336E-2</v>
      </c>
      <c r="V637" s="492">
        <v>6.5721077654516513E-2</v>
      </c>
      <c r="W637" s="492">
        <v>9.3688506668610172E-2</v>
      </c>
      <c r="X637" s="492">
        <v>9.5192961490120132E-2</v>
      </c>
      <c r="Y637" s="492">
        <v>-1.7339561072365672E-2</v>
      </c>
      <c r="Z637" s="375">
        <v>5.7136135036502722E-2</v>
      </c>
      <c r="AA637" s="492">
        <v>0.21462667479590181</v>
      </c>
      <c r="AB637" s="492">
        <v>0.13924632659181024</v>
      </c>
      <c r="AC637" s="492">
        <v>6.9974099925372846E-2</v>
      </c>
      <c r="AD637" s="492">
        <v>0.18775231149889327</v>
      </c>
      <c r="AE637" s="375">
        <v>0.15019293906606124</v>
      </c>
      <c r="AF637" s="492">
        <v>-1.9888589618021535E-2</v>
      </c>
      <c r="AG637" s="492">
        <v>0.12106854779745069</v>
      </c>
      <c r="AH637" s="492">
        <v>0.13769436808758795</v>
      </c>
      <c r="AI637" s="492">
        <v>-0.12961105172272003</v>
      </c>
      <c r="AJ637" s="375">
        <v>2.5167563100764845E-2</v>
      </c>
      <c r="AK637" s="492">
        <v>2.2197100761346844E-2</v>
      </c>
      <c r="AL637" s="492">
        <v>-6.156768009850655E-4</v>
      </c>
      <c r="AM637" s="492">
        <v>2.5758590489928235E-3</v>
      </c>
      <c r="AN637" s="492">
        <v>5.3372131106240062E-2</v>
      </c>
      <c r="AO637" s="375">
        <v>1.7611530230524863E-2</v>
      </c>
      <c r="AP637" s="492">
        <v>-5.9438487153637198E-2</v>
      </c>
      <c r="AQ637" s="492">
        <v>-4.8370844884385034E-2</v>
      </c>
      <c r="AR637" s="492">
        <v>-5.5546991418735092E-2</v>
      </c>
      <c r="AS637" s="492">
        <v>0.15550147686641225</v>
      </c>
      <c r="AT637" s="375">
        <v>-5.2938239650126562E-3</v>
      </c>
      <c r="AU637" s="492">
        <v>0.38189649012258275</v>
      </c>
      <c r="AV637" s="492">
        <v>0.23450701134543195</v>
      </c>
      <c r="AW637" s="492">
        <v>0.23255712731229616</v>
      </c>
      <c r="AX637" s="492">
        <v>0.17614215561983593</v>
      </c>
      <c r="AY637" s="375">
        <v>0.25000070100074878</v>
      </c>
      <c r="AZ637" s="492">
        <v>0.23188623810083442</v>
      </c>
      <c r="BA637" s="492">
        <v>0.2375911581585719</v>
      </c>
      <c r="BB637" s="492">
        <v>0.10951956352849757</v>
      </c>
      <c r="BC637" s="492">
        <v>6.1154545014584505E-2</v>
      </c>
      <c r="BD637" s="375">
        <v>0.15870872369706479</v>
      </c>
      <c r="BE637" s="492">
        <v>-9.5018946548980465E-2</v>
      </c>
      <c r="BF637" s="492">
        <v>-0.21464428836127025</v>
      </c>
      <c r="BG637" s="492">
        <v>0.13499631994589323</v>
      </c>
      <c r="BH637" s="492">
        <v>5.344267868470487E-2</v>
      </c>
      <c r="BI637" s="379">
        <v>-3.6640741081324424E-2</v>
      </c>
      <c r="BJ637" s="492">
        <v>5.8182148644537746E-2</v>
      </c>
      <c r="BK637" s="492">
        <v>7.7289878826005021E-2</v>
      </c>
      <c r="BL637" s="492">
        <v>-5.6768971021562864E-2</v>
      </c>
      <c r="BM637" s="492">
        <v>1.2362217860393931E-2</v>
      </c>
      <c r="BN637" s="375">
        <v>1.773219025357764E-2</v>
      </c>
      <c r="BO637" s="492">
        <v>6.6040052567645446E-2</v>
      </c>
      <c r="BP637" s="492">
        <v>0.11240245982094343</v>
      </c>
      <c r="BQ637" s="492">
        <v>0.13486478071574526</v>
      </c>
      <c r="BR637" s="492">
        <v>3.1838207753247083E-2</v>
      </c>
      <c r="BS637" s="375">
        <v>8.64237201750786E-2</v>
      </c>
      <c r="BT637" s="375">
        <v>2.3718935426531251E-2</v>
      </c>
      <c r="BU637" s="375">
        <v>-1.3997453604460697E-3</v>
      </c>
      <c r="BV637" s="375">
        <v>-1.2626570936350556E-2</v>
      </c>
      <c r="BW637" s="247"/>
    </row>
    <row r="638" spans="1:75" s="169" customFormat="1" ht="14.25" x14ac:dyDescent="0.45">
      <c r="A638" s="211" t="s">
        <v>743</v>
      </c>
      <c r="B638" s="493"/>
      <c r="C638" s="420">
        <v>0.36414489719267684</v>
      </c>
      <c r="D638" s="420">
        <v>0.34089591486013626</v>
      </c>
      <c r="E638" s="420">
        <v>0.32056688140079576</v>
      </c>
      <c r="F638" s="420">
        <v>0.31098968522588394</v>
      </c>
      <c r="G638" s="421">
        <v>0.32281465601635378</v>
      </c>
      <c r="H638" s="421">
        <v>0.27491899983773793</v>
      </c>
      <c r="I638" s="421">
        <v>0.29542836354817192</v>
      </c>
      <c r="J638" s="421">
        <v>0.2474421976959639</v>
      </c>
      <c r="K638" s="420">
        <v>0.28110249064934584</v>
      </c>
      <c r="L638" s="421">
        <v>0.30135097500641628</v>
      </c>
      <c r="M638" s="421">
        <v>0.27428152506189973</v>
      </c>
      <c r="N638" s="421">
        <v>0.29645638830143911</v>
      </c>
      <c r="O638" s="421">
        <v>0.24765971029315617</v>
      </c>
      <c r="P638" s="420">
        <v>0.27703861258997697</v>
      </c>
      <c r="Q638" s="421">
        <v>0.29873711370710981</v>
      </c>
      <c r="R638" s="421">
        <v>0.27066212702833858</v>
      </c>
      <c r="S638" s="421">
        <v>0.27347105901268004</v>
      </c>
      <c r="T638" s="421">
        <v>0.24148341800472181</v>
      </c>
      <c r="U638" s="420">
        <v>0.2680404892162469</v>
      </c>
      <c r="V638" s="421">
        <v>0.29529526452610128</v>
      </c>
      <c r="W638" s="421">
        <v>0.27616902320839337</v>
      </c>
      <c r="X638" s="421">
        <v>0.29028012407887455</v>
      </c>
      <c r="Y638" s="421">
        <v>0.26024024522703654</v>
      </c>
      <c r="Z638" s="420">
        <v>0.27947184508154094</v>
      </c>
      <c r="AA638" s="421">
        <v>0.29063478508397383</v>
      </c>
      <c r="AB638" s="421">
        <v>0.27612700863618672</v>
      </c>
      <c r="AC638" s="421">
        <v>0.2879743043142895</v>
      </c>
      <c r="AD638" s="421">
        <v>0.27238763067632882</v>
      </c>
      <c r="AE638" s="420">
        <v>0.28131224725083809</v>
      </c>
      <c r="AF638" s="421">
        <v>0.28724305084624141</v>
      </c>
      <c r="AG638" s="421">
        <v>0.29823185523713491</v>
      </c>
      <c r="AH638" s="421">
        <v>0.30400654026743684</v>
      </c>
      <c r="AI638" s="421">
        <v>0.23633010480439051</v>
      </c>
      <c r="AJ638" s="420">
        <v>0.28069468201304504</v>
      </c>
      <c r="AK638" s="421">
        <v>0.27330612490272765</v>
      </c>
      <c r="AL638" s="421">
        <v>0.27110715428144383</v>
      </c>
      <c r="AM638" s="421">
        <v>0.28757746903455189</v>
      </c>
      <c r="AN638" s="421">
        <v>0.25150682129881369</v>
      </c>
      <c r="AO638" s="420">
        <v>0.27089140120723249</v>
      </c>
      <c r="AP638" s="421">
        <v>0.31877944480684206</v>
      </c>
      <c r="AQ638" s="421">
        <v>0.25683962530013194</v>
      </c>
      <c r="AR638" s="421">
        <v>0.21756783310487526</v>
      </c>
      <c r="AS638" s="421">
        <v>0.23781413744643867</v>
      </c>
      <c r="AT638" s="420">
        <v>0.25026885974345953</v>
      </c>
      <c r="AU638" s="421">
        <v>0.2471270643779217</v>
      </c>
      <c r="AV638" s="421">
        <v>0.2275562036650321</v>
      </c>
      <c r="AW638" s="421">
        <v>0.22509707599550094</v>
      </c>
      <c r="AX638" s="421">
        <v>0.25211609899050635</v>
      </c>
      <c r="AY638" s="420">
        <v>0.2372733272656628</v>
      </c>
      <c r="AZ638" s="421">
        <v>0.27374406137312335</v>
      </c>
      <c r="BA638" s="421">
        <v>0.2808374175591456</v>
      </c>
      <c r="BB638" s="421">
        <v>0.2892242936669942</v>
      </c>
      <c r="BC638" s="421">
        <v>0.31222435239398377</v>
      </c>
      <c r="BD638" s="420">
        <v>0.28772917915920365</v>
      </c>
      <c r="BE638" s="421">
        <v>0.32084035705298702</v>
      </c>
      <c r="BF638" s="421">
        <v>0.27322265793356226</v>
      </c>
      <c r="BG638" s="421">
        <v>0.37976238809943752</v>
      </c>
      <c r="BH638" s="421">
        <v>0.34416465743775898</v>
      </c>
      <c r="BI638" s="442">
        <v>0.32855417701343553</v>
      </c>
      <c r="BJ638" s="421">
        <v>0.34647074465801753</v>
      </c>
      <c r="BK638" s="421">
        <v>0.27920526102306059</v>
      </c>
      <c r="BL638" s="421">
        <v>0.31360514096056574</v>
      </c>
      <c r="BM638" s="421">
        <v>0.31478357847788235</v>
      </c>
      <c r="BN638" s="420">
        <v>0.31229129541797712</v>
      </c>
      <c r="BO638" s="421">
        <v>0.31299968176720588</v>
      </c>
      <c r="BP638" s="421">
        <v>0.26996622538208809</v>
      </c>
      <c r="BQ638" s="421">
        <v>0.3107348289635421</v>
      </c>
      <c r="BR638" s="421">
        <v>0.29594615129992907</v>
      </c>
      <c r="BS638" s="420">
        <v>0.29699527568641865</v>
      </c>
      <c r="BT638" s="420">
        <v>0.28749003781453752</v>
      </c>
      <c r="BU638" s="420">
        <v>0.27816886756090786</v>
      </c>
      <c r="BV638" s="420">
        <v>0.26894674281558617</v>
      </c>
      <c r="BW638" s="247"/>
    </row>
    <row r="639" spans="1:75" s="169" customFormat="1" ht="14.25" x14ac:dyDescent="0.45">
      <c r="A639" s="218" t="s">
        <v>744</v>
      </c>
      <c r="B639" s="494"/>
      <c r="C639" s="252"/>
      <c r="D639" s="252">
        <v>232.48982332540581</v>
      </c>
      <c r="E639" s="252">
        <v>203.29033459340508</v>
      </c>
      <c r="F639" s="252">
        <v>95.771961749118176</v>
      </c>
      <c r="G639" s="253"/>
      <c r="H639" s="253"/>
      <c r="I639" s="253"/>
      <c r="J639" s="253"/>
      <c r="K639" s="252">
        <v>298.87194576538099</v>
      </c>
      <c r="L639" s="253">
        <v>214.63681009937508</v>
      </c>
      <c r="M639" s="253">
        <v>6.3747477583819823</v>
      </c>
      <c r="N639" s="253">
        <v>-10.280247532671872</v>
      </c>
      <c r="O639" s="253">
        <v>-2.175125971922709</v>
      </c>
      <c r="P639" s="252">
        <v>40.638780593688637</v>
      </c>
      <c r="Q639" s="253">
        <v>26.138612993064637</v>
      </c>
      <c r="R639" s="253">
        <v>36.193980335611499</v>
      </c>
      <c r="S639" s="253">
        <v>229.8532928875907</v>
      </c>
      <c r="T639" s="253">
        <v>61.762922884343595</v>
      </c>
      <c r="U639" s="252">
        <v>89.981233737300713</v>
      </c>
      <c r="V639" s="253">
        <v>34.418491810085385</v>
      </c>
      <c r="W639" s="253">
        <v>-55.068961800547875</v>
      </c>
      <c r="X639" s="253">
        <v>-168.09065066194506</v>
      </c>
      <c r="Y639" s="253">
        <v>-187.56827222314726</v>
      </c>
      <c r="Z639" s="252">
        <v>-114.31355865294034</v>
      </c>
      <c r="AA639" s="253">
        <v>46.604794421274406</v>
      </c>
      <c r="AB639" s="253">
        <v>0.42014572206650058</v>
      </c>
      <c r="AC639" s="253">
        <v>23.058197645850488</v>
      </c>
      <c r="AD639" s="253">
        <v>-121.47385449292281</v>
      </c>
      <c r="AE639" s="252">
        <v>-18.404021692971504</v>
      </c>
      <c r="AF639" s="253">
        <v>33.917342377324246</v>
      </c>
      <c r="AG639" s="253">
        <v>-221.04846600948193</v>
      </c>
      <c r="AH639" s="253">
        <v>-160.32235953147344</v>
      </c>
      <c r="AI639" s="253">
        <v>360.57525871938304</v>
      </c>
      <c r="AJ639" s="252">
        <v>6.1756523779304962</v>
      </c>
      <c r="AK639" s="253">
        <v>139.36925943513756</v>
      </c>
      <c r="AL639" s="253">
        <v>271.24700955691083</v>
      </c>
      <c r="AM639" s="253">
        <v>164.29071232884951</v>
      </c>
      <c r="AN639" s="253">
        <v>-151.76716494423175</v>
      </c>
      <c r="AO639" s="252">
        <v>98.032808058125525</v>
      </c>
      <c r="AP639" s="253">
        <v>-454.73319904114408</v>
      </c>
      <c r="AQ639" s="253">
        <v>142.67528981311895</v>
      </c>
      <c r="AR639" s="253">
        <v>700.09635929676631</v>
      </c>
      <c r="AS639" s="253">
        <v>136.92683852375015</v>
      </c>
      <c r="AT639" s="252">
        <v>206.22541463772959</v>
      </c>
      <c r="AU639" s="253">
        <v>716.52380428920355</v>
      </c>
      <c r="AV639" s="253">
        <v>292.83421635099836</v>
      </c>
      <c r="AW639" s="253">
        <v>-75.29242890625676</v>
      </c>
      <c r="AX639" s="253">
        <v>-143.01961544067683</v>
      </c>
      <c r="AY639" s="252">
        <v>129.95532477796723</v>
      </c>
      <c r="AZ639" s="253">
        <v>-266.16996995201646</v>
      </c>
      <c r="BA639" s="253">
        <v>-532.812138941135</v>
      </c>
      <c r="BB639" s="253">
        <v>-641.27217671493258</v>
      </c>
      <c r="BC639" s="253">
        <v>-601.0825340347742</v>
      </c>
      <c r="BD639" s="252">
        <v>-504.55851893540847</v>
      </c>
      <c r="BE639" s="253">
        <v>-470.96295679863675</v>
      </c>
      <c r="BF639" s="253">
        <v>76.147596255833335</v>
      </c>
      <c r="BG639" s="253">
        <v>-905.38094432443313</v>
      </c>
      <c r="BH639" s="253">
        <v>-319.40305043775209</v>
      </c>
      <c r="BI639" s="260">
        <v>-408.24997854231879</v>
      </c>
      <c r="BJ639" s="253">
        <v>-256.30387605030501</v>
      </c>
      <c r="BK639" s="253">
        <v>-59.826030894983283</v>
      </c>
      <c r="BL639" s="253">
        <v>661.57247138871776</v>
      </c>
      <c r="BM639" s="253">
        <v>293.81078959876629</v>
      </c>
      <c r="BN639" s="252">
        <v>162.62881595458413</v>
      </c>
      <c r="BO639" s="253">
        <v>334.71062890811641</v>
      </c>
      <c r="BP639" s="253">
        <v>92.390356409725044</v>
      </c>
      <c r="BQ639" s="253">
        <v>28.703119970236447</v>
      </c>
      <c r="BR639" s="253">
        <v>188.37427177953282</v>
      </c>
      <c r="BS639" s="252">
        <v>152.96019731558474</v>
      </c>
      <c r="BT639" s="252">
        <v>95.052378718811227</v>
      </c>
      <c r="BU639" s="252">
        <v>93.211702536296627</v>
      </c>
      <c r="BV639" s="252">
        <v>92.221247453216918</v>
      </c>
      <c r="BW639" s="247"/>
    </row>
    <row r="640" spans="1:75" s="169" customFormat="1" ht="14.25" x14ac:dyDescent="0.45">
      <c r="A640" s="247"/>
      <c r="B640" s="247"/>
      <c r="C640" s="244"/>
      <c r="D640" s="244"/>
      <c r="E640" s="244"/>
      <c r="F640" s="244"/>
      <c r="G640" s="245"/>
      <c r="H640" s="245"/>
      <c r="I640" s="245"/>
      <c r="J640" s="245"/>
      <c r="K640" s="244"/>
      <c r="L640" s="245"/>
      <c r="M640" s="245"/>
      <c r="N640" s="245"/>
      <c r="O640" s="245"/>
      <c r="P640" s="244"/>
      <c r="Q640" s="245"/>
      <c r="R640" s="245"/>
      <c r="S640" s="245"/>
      <c r="T640" s="245"/>
      <c r="U640" s="244"/>
      <c r="V640" s="245"/>
      <c r="W640" s="245"/>
      <c r="X640" s="245"/>
      <c r="Y640" s="245"/>
      <c r="Z640" s="244"/>
      <c r="AA640" s="245"/>
      <c r="AB640" s="245"/>
      <c r="AC640" s="245"/>
      <c r="AD640" s="245"/>
      <c r="AE640" s="244"/>
      <c r="AF640" s="245"/>
      <c r="AG640" s="245"/>
      <c r="AH640" s="245"/>
      <c r="AI640" s="245"/>
      <c r="AJ640" s="244"/>
      <c r="AK640" s="245"/>
      <c r="AL640" s="245"/>
      <c r="AM640" s="245"/>
      <c r="AN640" s="245"/>
      <c r="AO640" s="244"/>
      <c r="AP640" s="245"/>
      <c r="AQ640" s="245"/>
      <c r="AR640" s="245"/>
      <c r="AS640" s="245"/>
      <c r="AT640" s="244"/>
      <c r="AU640" s="245"/>
      <c r="AV640" s="245"/>
      <c r="AW640" s="245"/>
      <c r="AX640" s="245"/>
      <c r="AY640" s="244"/>
      <c r="AZ640" s="245"/>
      <c r="BA640" s="245"/>
      <c r="BB640" s="245"/>
      <c r="BC640" s="245"/>
      <c r="BD640" s="244"/>
      <c r="BE640" s="245"/>
      <c r="BF640" s="245"/>
      <c r="BG640" s="245"/>
      <c r="BH640" s="245"/>
      <c r="BI640" s="249"/>
      <c r="BJ640" s="245"/>
      <c r="BK640" s="245"/>
      <c r="BL640" s="245"/>
      <c r="BM640" s="245"/>
      <c r="BN640" s="244"/>
      <c r="BO640" s="245"/>
      <c r="BP640" s="245"/>
      <c r="BQ640" s="245"/>
      <c r="BR640" s="245"/>
      <c r="BS640" s="244"/>
      <c r="BT640" s="244"/>
      <c r="BU640" s="244"/>
      <c r="BV640" s="244"/>
      <c r="BW640" s="168"/>
    </row>
    <row r="641" spans="1:75" s="169" customFormat="1" ht="14.25" x14ac:dyDescent="0.45">
      <c r="A641" s="206" t="s">
        <v>745</v>
      </c>
      <c r="B641" s="485"/>
      <c r="C641" s="293">
        <v>-25.833000000000084</v>
      </c>
      <c r="D641" s="293">
        <v>-3.216000000000065</v>
      </c>
      <c r="E641" s="293">
        <v>26.843000000000075</v>
      </c>
      <c r="F641" s="293">
        <v>-69.035999999999945</v>
      </c>
      <c r="G641" s="294">
        <v>0.51099999999998147</v>
      </c>
      <c r="H641" s="294">
        <v>-27.78</v>
      </c>
      <c r="I641" s="294">
        <v>23.859999999999985</v>
      </c>
      <c r="J641" s="294">
        <v>58.260000000000034</v>
      </c>
      <c r="K641" s="293">
        <v>54.850999999999772</v>
      </c>
      <c r="L641" s="294">
        <v>4.77800000000002</v>
      </c>
      <c r="M641" s="294">
        <v>48.934999999999988</v>
      </c>
      <c r="N641" s="294">
        <v>36.687999999999988</v>
      </c>
      <c r="O641" s="294">
        <v>75.32499999999996</v>
      </c>
      <c r="P641" s="293">
        <v>165.72599999999989</v>
      </c>
      <c r="Q641" s="294">
        <v>17.029000000000011</v>
      </c>
      <c r="R641" s="294">
        <v>56.42300000000003</v>
      </c>
      <c r="S641" s="294">
        <v>44.875999999999948</v>
      </c>
      <c r="T641" s="294">
        <v>67.232999999999947</v>
      </c>
      <c r="U641" s="293">
        <v>185.56099999999981</v>
      </c>
      <c r="V641" s="294">
        <v>-11.474999999999966</v>
      </c>
      <c r="W641" s="294">
        <v>22.014999999999986</v>
      </c>
      <c r="X641" s="294">
        <v>15.385999999999967</v>
      </c>
      <c r="Y641" s="294">
        <v>27.110000000000014</v>
      </c>
      <c r="Z641" s="293">
        <v>53.036000000000058</v>
      </c>
      <c r="AA641" s="294">
        <v>6.896000000000015</v>
      </c>
      <c r="AB641" s="294">
        <v>12.123000000000047</v>
      </c>
      <c r="AC641" s="294">
        <v>43.161999999999921</v>
      </c>
      <c r="AD641" s="294">
        <v>69.120000000000232</v>
      </c>
      <c r="AE641" s="293">
        <v>131.30100000000004</v>
      </c>
      <c r="AF641" s="294">
        <v>48.146999999999963</v>
      </c>
      <c r="AG641" s="294">
        <v>81.823000000000008</v>
      </c>
      <c r="AH641" s="294">
        <v>42.228000000000009</v>
      </c>
      <c r="AI641" s="294">
        <v>89.537999999999897</v>
      </c>
      <c r="AJ641" s="293">
        <v>261.73599999999976</v>
      </c>
      <c r="AK641" s="294">
        <v>68.63300000000001</v>
      </c>
      <c r="AL641" s="294">
        <v>103.98100000000002</v>
      </c>
      <c r="AM641" s="294">
        <v>89.236999999999938</v>
      </c>
      <c r="AN641" s="294">
        <v>100.98000000000036</v>
      </c>
      <c r="AO641" s="293">
        <v>362.83100000000002</v>
      </c>
      <c r="AP641" s="294">
        <v>35.453000000000003</v>
      </c>
      <c r="AQ641" s="294">
        <v>136.56800000000004</v>
      </c>
      <c r="AR641" s="294">
        <v>111.22100000000006</v>
      </c>
      <c r="AS641" s="294">
        <v>183.61600000000021</v>
      </c>
      <c r="AT641" s="293">
        <v>466.85800000000017</v>
      </c>
      <c r="AU641" s="294">
        <v>187.88800000000003</v>
      </c>
      <c r="AV641" s="294">
        <v>248.98800000000006</v>
      </c>
      <c r="AW641" s="294">
        <v>272.53899999999999</v>
      </c>
      <c r="AX641" s="294">
        <v>217.76599999999985</v>
      </c>
      <c r="AY641" s="293">
        <v>927.18100000000004</v>
      </c>
      <c r="AZ641" s="294">
        <v>205.28800000000001</v>
      </c>
      <c r="BA641" s="294">
        <v>234.4140000000001</v>
      </c>
      <c r="BB641" s="294">
        <v>170.25000000000003</v>
      </c>
      <c r="BC641" s="294">
        <v>112.2049999999997</v>
      </c>
      <c r="BD641" s="293">
        <v>722.15699999999993</v>
      </c>
      <c r="BE641" s="294">
        <v>99.240000000000009</v>
      </c>
      <c r="BF641" s="294">
        <v>151.34000000000003</v>
      </c>
      <c r="BG641" s="294">
        <v>51.236000000000047</v>
      </c>
      <c r="BH641" s="294">
        <v>64.255000000000223</v>
      </c>
      <c r="BI641" s="297">
        <v>366.07100000000025</v>
      </c>
      <c r="BJ641" s="294">
        <v>47.07355055688879</v>
      </c>
      <c r="BK641" s="294">
        <v>145.60355031681883</v>
      </c>
      <c r="BL641" s="294">
        <v>120.98481661928741</v>
      </c>
      <c r="BM641" s="294">
        <v>105.52981374644088</v>
      </c>
      <c r="BN641" s="293">
        <v>419.19173123943597</v>
      </c>
      <c r="BO641" s="294">
        <v>96.186445569457135</v>
      </c>
      <c r="BP641" s="294">
        <v>181.09997162960707</v>
      </c>
      <c r="BQ641" s="294">
        <v>144.80292089551352</v>
      </c>
      <c r="BR641" s="294">
        <v>137.13884404544706</v>
      </c>
      <c r="BS641" s="293">
        <v>559.2281821400245</v>
      </c>
      <c r="BT641" s="293">
        <v>640.25112229760998</v>
      </c>
      <c r="BU641" s="293">
        <v>710.58128314173291</v>
      </c>
      <c r="BV641" s="293">
        <v>776.17581846418784</v>
      </c>
      <c r="BW641" s="247"/>
    </row>
    <row r="642" spans="1:75" s="123" customFormat="1" x14ac:dyDescent="0.5">
      <c r="A642" s="184" t="s">
        <v>746</v>
      </c>
      <c r="B642" s="119"/>
      <c r="C642" s="299"/>
      <c r="D642" s="299"/>
      <c r="E642" s="299"/>
      <c r="F642" s="299"/>
      <c r="G642" s="300"/>
      <c r="H642" s="300"/>
      <c r="I642" s="300"/>
      <c r="J642" s="300"/>
      <c r="K642" s="299"/>
      <c r="L642" s="300"/>
      <c r="M642" s="300"/>
      <c r="N642" s="300"/>
      <c r="O642" s="300"/>
      <c r="P642" s="299"/>
      <c r="Q642" s="300"/>
      <c r="R642" s="300"/>
      <c r="S642" s="300"/>
      <c r="T642" s="300"/>
      <c r="U642" s="299"/>
      <c r="V642" s="300"/>
      <c r="W642" s="300"/>
      <c r="X642" s="300"/>
      <c r="Y642" s="300"/>
      <c r="Z642" s="299"/>
      <c r="AA642" s="300"/>
      <c r="AB642" s="300"/>
      <c r="AC642" s="300"/>
      <c r="AD642" s="300"/>
      <c r="AE642" s="299"/>
      <c r="AF642" s="300"/>
      <c r="AG642" s="300"/>
      <c r="AH642" s="300"/>
      <c r="AI642" s="300"/>
      <c r="AJ642" s="299"/>
      <c r="AK642" s="300"/>
      <c r="AL642" s="300"/>
      <c r="AM642" s="300"/>
      <c r="AN642" s="300"/>
      <c r="AO642" s="299"/>
      <c r="AP642" s="300"/>
      <c r="AQ642" s="300"/>
      <c r="AR642" s="300"/>
      <c r="AS642" s="300"/>
      <c r="AT642" s="299"/>
      <c r="AU642" s="300"/>
      <c r="AV642" s="300"/>
      <c r="AW642" s="300"/>
      <c r="AX642" s="300"/>
      <c r="AY642" s="299"/>
      <c r="AZ642" s="300"/>
      <c r="BA642" s="300"/>
      <c r="BB642" s="300"/>
      <c r="BC642" s="300"/>
      <c r="BD642" s="299"/>
      <c r="BE642" s="300"/>
      <c r="BF642" s="300"/>
      <c r="BG642" s="300"/>
      <c r="BH642" s="300"/>
      <c r="BI642" s="304"/>
      <c r="BJ642" s="300">
        <v>0</v>
      </c>
      <c r="BK642" s="300">
        <v>0</v>
      </c>
      <c r="BL642" s="300">
        <v>0</v>
      </c>
      <c r="BM642" s="300">
        <v>0</v>
      </c>
      <c r="BN642" s="299">
        <v>0</v>
      </c>
      <c r="BO642" s="300">
        <v>0</v>
      </c>
      <c r="BP642" s="300">
        <v>0</v>
      </c>
      <c r="BQ642" s="300">
        <v>0</v>
      </c>
      <c r="BR642" s="300">
        <v>0</v>
      </c>
      <c r="BS642" s="299">
        <v>0</v>
      </c>
      <c r="BT642" s="299">
        <v>0</v>
      </c>
      <c r="BU642" s="299">
        <v>0</v>
      </c>
      <c r="BV642" s="299">
        <v>0</v>
      </c>
      <c r="BW642" s="122"/>
    </row>
    <row r="643" spans="1:75" s="169" customFormat="1" ht="14.25" x14ac:dyDescent="0.45">
      <c r="A643" s="184" t="s">
        <v>747</v>
      </c>
      <c r="B643" s="489"/>
      <c r="C643" s="299"/>
      <c r="D643" s="299"/>
      <c r="E643" s="299">
        <v>6.35</v>
      </c>
      <c r="F643" s="299">
        <v>115.05500000000001</v>
      </c>
      <c r="G643" s="300">
        <v>3.323</v>
      </c>
      <c r="H643" s="300">
        <v>59.832000000000001</v>
      </c>
      <c r="I643" s="300">
        <v>0</v>
      </c>
      <c r="J643" s="300">
        <v>0</v>
      </c>
      <c r="K643" s="299">
        <v>63.155000000000001</v>
      </c>
      <c r="L643" s="300">
        <v>0</v>
      </c>
      <c r="M643" s="300">
        <v>0</v>
      </c>
      <c r="N643" s="300">
        <v>0</v>
      </c>
      <c r="O643" s="300">
        <v>0</v>
      </c>
      <c r="P643" s="299">
        <v>0</v>
      </c>
      <c r="Q643" s="300">
        <v>0</v>
      </c>
      <c r="R643" s="300">
        <v>0</v>
      </c>
      <c r="S643" s="300">
        <v>0</v>
      </c>
      <c r="T643" s="300">
        <v>0</v>
      </c>
      <c r="U643" s="299">
        <v>0</v>
      </c>
      <c r="V643" s="300">
        <v>0</v>
      </c>
      <c r="W643" s="300">
        <v>3.6720000000000002</v>
      </c>
      <c r="X643" s="300">
        <v>0</v>
      </c>
      <c r="Y643" s="300">
        <v>0</v>
      </c>
      <c r="Z643" s="299">
        <v>3.6720000000000002</v>
      </c>
      <c r="AA643" s="300">
        <v>0</v>
      </c>
      <c r="AB643" s="300">
        <v>23.872</v>
      </c>
      <c r="AC643" s="300">
        <v>0</v>
      </c>
      <c r="AD643" s="300">
        <v>0</v>
      </c>
      <c r="AE643" s="299">
        <v>23.872</v>
      </c>
      <c r="AF643" s="300">
        <v>0</v>
      </c>
      <c r="AG643" s="300">
        <v>0</v>
      </c>
      <c r="AH643" s="300">
        <v>0</v>
      </c>
      <c r="AI643" s="300">
        <v>0</v>
      </c>
      <c r="AJ643" s="299">
        <v>0</v>
      </c>
      <c r="AK643" s="300">
        <v>0</v>
      </c>
      <c r="AL643" s="300">
        <v>0</v>
      </c>
      <c r="AM643" s="300">
        <v>0</v>
      </c>
      <c r="AN643" s="300">
        <v>0</v>
      </c>
      <c r="AO643" s="299">
        <v>0</v>
      </c>
      <c r="AP643" s="300">
        <v>0</v>
      </c>
      <c r="AQ643" s="300">
        <v>0</v>
      </c>
      <c r="AR643" s="300">
        <v>111.218</v>
      </c>
      <c r="AS643" s="300">
        <v>5.8659999999999997</v>
      </c>
      <c r="AT643" s="299">
        <v>117.084</v>
      </c>
      <c r="AU643" s="300">
        <v>5.8639999999999999</v>
      </c>
      <c r="AV643" s="300">
        <v>5.8639999999999999</v>
      </c>
      <c r="AW643" s="300">
        <v>5.8310000000000004</v>
      </c>
      <c r="AX643" s="300">
        <v>5.8689999999999998</v>
      </c>
      <c r="AY643" s="299">
        <v>23.428000000000001</v>
      </c>
      <c r="AZ643" s="300">
        <v>5.8579999999999997</v>
      </c>
      <c r="BA643" s="300">
        <v>4.3209999999999997</v>
      </c>
      <c r="BB643" s="300">
        <v>4.1360000000000001</v>
      </c>
      <c r="BC643" s="300">
        <v>3.7570000000000001</v>
      </c>
      <c r="BD643" s="299">
        <v>18.071999999999999</v>
      </c>
      <c r="BE643" s="300">
        <v>3.5310000000000001</v>
      </c>
      <c r="BF643" s="300">
        <v>2.024</v>
      </c>
      <c r="BG643" s="300">
        <v>1.972</v>
      </c>
      <c r="BH643" s="300">
        <v>2.113</v>
      </c>
      <c r="BI643" s="304">
        <v>9.64</v>
      </c>
      <c r="BJ643" s="300">
        <v>3.5</v>
      </c>
      <c r="BK643" s="300">
        <v>3.5</v>
      </c>
      <c r="BL643" s="300">
        <v>3.5</v>
      </c>
      <c r="BM643" s="300">
        <v>3.5</v>
      </c>
      <c r="BN643" s="299">
        <v>14</v>
      </c>
      <c r="BO643" s="300">
        <v>3.5</v>
      </c>
      <c r="BP643" s="300">
        <v>3.5</v>
      </c>
      <c r="BQ643" s="300">
        <v>3.5</v>
      </c>
      <c r="BR643" s="300">
        <v>3.5</v>
      </c>
      <c r="BS643" s="299">
        <v>14</v>
      </c>
      <c r="BT643" s="299">
        <v>14</v>
      </c>
      <c r="BU643" s="299">
        <v>14</v>
      </c>
      <c r="BV643" s="299">
        <v>14</v>
      </c>
      <c r="BW643" s="247"/>
    </row>
    <row r="644" spans="1:75" s="169" customFormat="1" ht="14.25" x14ac:dyDescent="0.45">
      <c r="A644" s="184" t="s">
        <v>748</v>
      </c>
      <c r="B644" s="489"/>
      <c r="C644" s="299">
        <v>4.62</v>
      </c>
      <c r="D644" s="299">
        <v>4.7930000000000001</v>
      </c>
      <c r="E644" s="299">
        <v>10.715</v>
      </c>
      <c r="F644" s="299">
        <v>4.258</v>
      </c>
      <c r="G644" s="300">
        <v>0</v>
      </c>
      <c r="H644" s="300">
        <v>0</v>
      </c>
      <c r="I644" s="300">
        <v>0</v>
      </c>
      <c r="J644" s="300">
        <v>0</v>
      </c>
      <c r="K644" s="299">
        <v>0</v>
      </c>
      <c r="L644" s="300">
        <v>0</v>
      </c>
      <c r="M644" s="300">
        <v>0</v>
      </c>
      <c r="N644" s="300">
        <v>0</v>
      </c>
      <c r="O644" s="300">
        <v>0</v>
      </c>
      <c r="P644" s="299">
        <v>0</v>
      </c>
      <c r="Q644" s="300">
        <v>0</v>
      </c>
      <c r="R644" s="300">
        <v>0</v>
      </c>
      <c r="S644" s="300">
        <v>0</v>
      </c>
      <c r="T644" s="300">
        <v>0</v>
      </c>
      <c r="U644" s="299">
        <v>0</v>
      </c>
      <c r="V644" s="300">
        <v>0</v>
      </c>
      <c r="W644" s="300">
        <v>0</v>
      </c>
      <c r="X644" s="300">
        <v>0</v>
      </c>
      <c r="Y644" s="300">
        <v>0</v>
      </c>
      <c r="Z644" s="299">
        <v>0</v>
      </c>
      <c r="AA644" s="300">
        <v>0</v>
      </c>
      <c r="AB644" s="300">
        <v>0</v>
      </c>
      <c r="AC644" s="300">
        <v>0</v>
      </c>
      <c r="AD644" s="300">
        <v>0</v>
      </c>
      <c r="AE644" s="299">
        <v>0</v>
      </c>
      <c r="AF644" s="300">
        <v>0</v>
      </c>
      <c r="AG644" s="300">
        <v>0</v>
      </c>
      <c r="AH644" s="300">
        <v>0</v>
      </c>
      <c r="AI644" s="300">
        <v>0</v>
      </c>
      <c r="AJ644" s="299">
        <v>0</v>
      </c>
      <c r="AK644" s="300">
        <v>0</v>
      </c>
      <c r="AL644" s="300">
        <v>0</v>
      </c>
      <c r="AM644" s="300">
        <v>0</v>
      </c>
      <c r="AN644" s="300">
        <v>0</v>
      </c>
      <c r="AO644" s="299">
        <v>0</v>
      </c>
      <c r="AP644" s="300">
        <v>0</v>
      </c>
      <c r="AQ644" s="300">
        <v>0</v>
      </c>
      <c r="AR644" s="300">
        <v>0</v>
      </c>
      <c r="AS644" s="300">
        <v>0</v>
      </c>
      <c r="AT644" s="299">
        <v>0</v>
      </c>
      <c r="AU644" s="300">
        <v>0</v>
      </c>
      <c r="AV644" s="300">
        <v>0</v>
      </c>
      <c r="AW644" s="300">
        <v>0</v>
      </c>
      <c r="AX644" s="300">
        <v>0</v>
      </c>
      <c r="AY644" s="299">
        <v>0</v>
      </c>
      <c r="AZ644" s="300">
        <v>0</v>
      </c>
      <c r="BA644" s="300">
        <v>0</v>
      </c>
      <c r="BB644" s="300">
        <v>0</v>
      </c>
      <c r="BC644" s="300">
        <v>0</v>
      </c>
      <c r="BD644" s="299">
        <v>0</v>
      </c>
      <c r="BE644" s="300">
        <v>0</v>
      </c>
      <c r="BF644" s="300">
        <v>0</v>
      </c>
      <c r="BG644" s="300">
        <v>0</v>
      </c>
      <c r="BH644" s="300">
        <v>0</v>
      </c>
      <c r="BI644" s="304">
        <v>0</v>
      </c>
      <c r="BJ644" s="300">
        <v>0</v>
      </c>
      <c r="BK644" s="300">
        <v>0</v>
      </c>
      <c r="BL644" s="300">
        <v>0</v>
      </c>
      <c r="BM644" s="300">
        <v>0</v>
      </c>
      <c r="BN644" s="299">
        <v>0</v>
      </c>
      <c r="BO644" s="300">
        <v>0</v>
      </c>
      <c r="BP644" s="300">
        <v>0</v>
      </c>
      <c r="BQ644" s="300">
        <v>0</v>
      </c>
      <c r="BR644" s="300">
        <v>0</v>
      </c>
      <c r="BS644" s="299">
        <v>0</v>
      </c>
      <c r="BT644" s="299">
        <v>0</v>
      </c>
      <c r="BU644" s="299">
        <v>0</v>
      </c>
      <c r="BV644" s="299">
        <v>0</v>
      </c>
      <c r="BW644" s="247"/>
    </row>
    <row r="645" spans="1:75" s="169" customFormat="1" ht="14.25" x14ac:dyDescent="0.45">
      <c r="A645" s="184" t="s">
        <v>749</v>
      </c>
      <c r="B645" s="489"/>
      <c r="C645" s="299"/>
      <c r="D645" s="299"/>
      <c r="E645" s="299">
        <v>0</v>
      </c>
      <c r="F645" s="299">
        <v>0</v>
      </c>
      <c r="G645" s="300">
        <v>0</v>
      </c>
      <c r="H645" s="300">
        <v>0</v>
      </c>
      <c r="I645" s="300">
        <v>0</v>
      </c>
      <c r="J645" s="300">
        <v>0</v>
      </c>
      <c r="K645" s="299">
        <v>0</v>
      </c>
      <c r="L645" s="300">
        <v>0</v>
      </c>
      <c r="M645" s="300">
        <v>0</v>
      </c>
      <c r="N645" s="300">
        <v>0</v>
      </c>
      <c r="O645" s="300">
        <v>0</v>
      </c>
      <c r="P645" s="299">
        <v>0</v>
      </c>
      <c r="Q645" s="300">
        <v>0</v>
      </c>
      <c r="R645" s="300">
        <v>0</v>
      </c>
      <c r="S645" s="300">
        <v>0</v>
      </c>
      <c r="T645" s="300">
        <v>0</v>
      </c>
      <c r="U645" s="299">
        <v>0</v>
      </c>
      <c r="V645" s="300">
        <v>0</v>
      </c>
      <c r="W645" s="300">
        <v>0</v>
      </c>
      <c r="X645" s="300">
        <v>0</v>
      </c>
      <c r="Y645" s="300">
        <v>0</v>
      </c>
      <c r="Z645" s="299">
        <v>0</v>
      </c>
      <c r="AA645" s="300">
        <v>0</v>
      </c>
      <c r="AB645" s="300">
        <v>0</v>
      </c>
      <c r="AC645" s="300">
        <v>0</v>
      </c>
      <c r="AD645" s="300">
        <v>0</v>
      </c>
      <c r="AE645" s="299">
        <v>0</v>
      </c>
      <c r="AF645" s="300">
        <v>0</v>
      </c>
      <c r="AG645" s="300">
        <v>0</v>
      </c>
      <c r="AH645" s="300">
        <v>0</v>
      </c>
      <c r="AI645" s="300">
        <v>0</v>
      </c>
      <c r="AJ645" s="299">
        <v>0</v>
      </c>
      <c r="AK645" s="300">
        <v>0</v>
      </c>
      <c r="AL645" s="300">
        <v>0</v>
      </c>
      <c r="AM645" s="300">
        <v>0</v>
      </c>
      <c r="AN645" s="300">
        <v>0</v>
      </c>
      <c r="AO645" s="299">
        <v>0</v>
      </c>
      <c r="AP645" s="300">
        <v>0</v>
      </c>
      <c r="AQ645" s="300">
        <v>0</v>
      </c>
      <c r="AR645" s="300">
        <v>0</v>
      </c>
      <c r="AS645" s="300">
        <v>0</v>
      </c>
      <c r="AT645" s="299">
        <v>0</v>
      </c>
      <c r="AU645" s="300">
        <v>0</v>
      </c>
      <c r="AV645" s="300">
        <v>0</v>
      </c>
      <c r="AW645" s="300">
        <v>0</v>
      </c>
      <c r="AX645" s="300">
        <v>0</v>
      </c>
      <c r="AY645" s="299">
        <v>0</v>
      </c>
      <c r="AZ645" s="300">
        <v>11.717000000000001</v>
      </c>
      <c r="BA645" s="300">
        <v>0</v>
      </c>
      <c r="BB645" s="300">
        <v>0</v>
      </c>
      <c r="BC645" s="300">
        <v>2.6749999999999998</v>
      </c>
      <c r="BD645" s="299">
        <v>14.391999999999999</v>
      </c>
      <c r="BE645" s="300">
        <v>0</v>
      </c>
      <c r="BF645" s="300">
        <v>0</v>
      </c>
      <c r="BG645" s="300">
        <v>0</v>
      </c>
      <c r="BH645" s="300">
        <v>0</v>
      </c>
      <c r="BI645" s="304">
        <v>0</v>
      </c>
      <c r="BJ645" s="300">
        <v>0</v>
      </c>
      <c r="BK645" s="300">
        <v>0</v>
      </c>
      <c r="BL645" s="300">
        <v>0</v>
      </c>
      <c r="BM645" s="300">
        <v>0</v>
      </c>
      <c r="BN645" s="299">
        <v>0</v>
      </c>
      <c r="BO645" s="300">
        <v>0</v>
      </c>
      <c r="BP645" s="300">
        <v>0</v>
      </c>
      <c r="BQ645" s="300">
        <v>0</v>
      </c>
      <c r="BR645" s="300">
        <v>0</v>
      </c>
      <c r="BS645" s="299">
        <v>0</v>
      </c>
      <c r="BT645" s="299">
        <v>0</v>
      </c>
      <c r="BU645" s="299">
        <v>0</v>
      </c>
      <c r="BV645" s="299">
        <v>0</v>
      </c>
      <c r="BW645" s="247"/>
    </row>
    <row r="646" spans="1:75" s="169" customFormat="1" ht="14.25" x14ac:dyDescent="0.45">
      <c r="A646" s="184" t="s">
        <v>750</v>
      </c>
      <c r="B646" s="489"/>
      <c r="C646" s="299"/>
      <c r="D646" s="299"/>
      <c r="E646" s="299">
        <v>0</v>
      </c>
      <c r="F646" s="299">
        <v>0</v>
      </c>
      <c r="G646" s="300">
        <v>0</v>
      </c>
      <c r="H646" s="300">
        <v>0</v>
      </c>
      <c r="I646" s="300">
        <v>0</v>
      </c>
      <c r="J646" s="300">
        <v>0</v>
      </c>
      <c r="K646" s="299">
        <v>0</v>
      </c>
      <c r="L646" s="300">
        <v>0</v>
      </c>
      <c r="M646" s="300">
        <v>0</v>
      </c>
      <c r="N646" s="300">
        <v>0</v>
      </c>
      <c r="O646" s="300">
        <v>0</v>
      </c>
      <c r="P646" s="299">
        <v>0</v>
      </c>
      <c r="Q646" s="300">
        <v>0</v>
      </c>
      <c r="R646" s="300">
        <v>0</v>
      </c>
      <c r="S646" s="300">
        <v>0</v>
      </c>
      <c r="T646" s="300">
        <v>0</v>
      </c>
      <c r="U646" s="299">
        <v>0</v>
      </c>
      <c r="V646" s="300">
        <v>0</v>
      </c>
      <c r="W646" s="300">
        <v>0</v>
      </c>
      <c r="X646" s="300">
        <v>0</v>
      </c>
      <c r="Y646" s="300">
        <v>0</v>
      </c>
      <c r="Z646" s="299">
        <v>0</v>
      </c>
      <c r="AA646" s="300">
        <v>0</v>
      </c>
      <c r="AB646" s="300">
        <v>0</v>
      </c>
      <c r="AC646" s="300">
        <v>0</v>
      </c>
      <c r="AD646" s="300">
        <v>0</v>
      </c>
      <c r="AE646" s="299">
        <v>0</v>
      </c>
      <c r="AF646" s="300">
        <v>0</v>
      </c>
      <c r="AG646" s="300">
        <v>0</v>
      </c>
      <c r="AH646" s="300">
        <v>0</v>
      </c>
      <c r="AI646" s="300">
        <v>0</v>
      </c>
      <c r="AJ646" s="299">
        <v>0</v>
      </c>
      <c r="AK646" s="300">
        <v>0</v>
      </c>
      <c r="AL646" s="300">
        <v>0</v>
      </c>
      <c r="AM646" s="300">
        <v>0</v>
      </c>
      <c r="AN646" s="300">
        <v>0</v>
      </c>
      <c r="AO646" s="299">
        <v>0</v>
      </c>
      <c r="AP646" s="300">
        <v>0</v>
      </c>
      <c r="AQ646" s="300">
        <v>0</v>
      </c>
      <c r="AR646" s="300">
        <v>0</v>
      </c>
      <c r="AS646" s="300">
        <v>0</v>
      </c>
      <c r="AT646" s="299">
        <v>0</v>
      </c>
      <c r="AU646" s="300">
        <v>0</v>
      </c>
      <c r="AV646" s="300">
        <v>0</v>
      </c>
      <c r="AW646" s="300">
        <v>0</v>
      </c>
      <c r="AX646" s="300">
        <v>0</v>
      </c>
      <c r="AY646" s="299">
        <v>0</v>
      </c>
      <c r="AZ646" s="300">
        <v>7.1840000000000002</v>
      </c>
      <c r="BA646" s="300">
        <v>0.28499999999999998</v>
      </c>
      <c r="BB646" s="300">
        <v>0</v>
      </c>
      <c r="BC646" s="300">
        <v>0</v>
      </c>
      <c r="BD646" s="299">
        <v>7.4690000000000003</v>
      </c>
      <c r="BE646" s="300">
        <v>0</v>
      </c>
      <c r="BF646" s="300">
        <v>0</v>
      </c>
      <c r="BG646" s="300">
        <v>0</v>
      </c>
      <c r="BH646" s="300">
        <v>0</v>
      </c>
      <c r="BI646" s="304">
        <v>0</v>
      </c>
      <c r="BJ646" s="300">
        <v>0</v>
      </c>
      <c r="BK646" s="300">
        <v>0</v>
      </c>
      <c r="BL646" s="300">
        <v>0</v>
      </c>
      <c r="BM646" s="300">
        <v>0</v>
      </c>
      <c r="BN646" s="299">
        <v>0</v>
      </c>
      <c r="BO646" s="300">
        <v>0</v>
      </c>
      <c r="BP646" s="300">
        <v>0</v>
      </c>
      <c r="BQ646" s="300">
        <v>0</v>
      </c>
      <c r="BR646" s="300">
        <v>0</v>
      </c>
      <c r="BS646" s="299">
        <v>0</v>
      </c>
      <c r="BT646" s="299">
        <v>0</v>
      </c>
      <c r="BU646" s="299">
        <v>0</v>
      </c>
      <c r="BV646" s="299">
        <v>0</v>
      </c>
      <c r="BW646" s="247"/>
    </row>
    <row r="647" spans="1:75" s="169" customFormat="1" ht="14.25" x14ac:dyDescent="0.45">
      <c r="A647" s="184" t="s">
        <v>751</v>
      </c>
      <c r="B647" s="489"/>
      <c r="C647" s="299"/>
      <c r="D647" s="299"/>
      <c r="E647" s="299">
        <v>0</v>
      </c>
      <c r="F647" s="299">
        <v>0</v>
      </c>
      <c r="G647" s="300">
        <v>0</v>
      </c>
      <c r="H647" s="300">
        <v>0</v>
      </c>
      <c r="I647" s="300">
        <v>0</v>
      </c>
      <c r="J647" s="300">
        <v>0</v>
      </c>
      <c r="K647" s="299">
        <v>0</v>
      </c>
      <c r="L647" s="300">
        <v>0</v>
      </c>
      <c r="M647" s="300">
        <v>0</v>
      </c>
      <c r="N647" s="300">
        <v>0</v>
      </c>
      <c r="O647" s="300">
        <v>0</v>
      </c>
      <c r="P647" s="299">
        <v>0</v>
      </c>
      <c r="Q647" s="300">
        <v>0</v>
      </c>
      <c r="R647" s="300">
        <v>0</v>
      </c>
      <c r="S647" s="300">
        <v>0</v>
      </c>
      <c r="T647" s="300">
        <v>0</v>
      </c>
      <c r="U647" s="299">
        <v>0</v>
      </c>
      <c r="V647" s="300">
        <v>0</v>
      </c>
      <c r="W647" s="300">
        <v>0</v>
      </c>
      <c r="X647" s="300">
        <v>0</v>
      </c>
      <c r="Y647" s="300">
        <v>0</v>
      </c>
      <c r="Z647" s="299">
        <v>0</v>
      </c>
      <c r="AA647" s="300">
        <v>0</v>
      </c>
      <c r="AB647" s="300">
        <v>0</v>
      </c>
      <c r="AC647" s="300">
        <v>0</v>
      </c>
      <c r="AD647" s="300">
        <v>0</v>
      </c>
      <c r="AE647" s="299">
        <v>0</v>
      </c>
      <c r="AF647" s="300">
        <v>0</v>
      </c>
      <c r="AG647" s="300">
        <v>0</v>
      </c>
      <c r="AH647" s="300">
        <v>0</v>
      </c>
      <c r="AI647" s="300">
        <v>0</v>
      </c>
      <c r="AJ647" s="299">
        <v>0</v>
      </c>
      <c r="AK647" s="300">
        <v>0</v>
      </c>
      <c r="AL647" s="300">
        <v>0</v>
      </c>
      <c r="AM647" s="300">
        <v>0</v>
      </c>
      <c r="AN647" s="300">
        <v>0</v>
      </c>
      <c r="AO647" s="299">
        <v>0</v>
      </c>
      <c r="AP647" s="300">
        <v>0</v>
      </c>
      <c r="AQ647" s="300">
        <v>0</v>
      </c>
      <c r="AR647" s="300">
        <v>0</v>
      </c>
      <c r="AS647" s="300">
        <v>0</v>
      </c>
      <c r="AT647" s="299">
        <v>0</v>
      </c>
      <c r="AU647" s="300">
        <v>0</v>
      </c>
      <c r="AV647" s="300">
        <v>0</v>
      </c>
      <c r="AW647" s="300">
        <v>0</v>
      </c>
      <c r="AX647" s="300">
        <v>0</v>
      </c>
      <c r="AY647" s="299">
        <v>0</v>
      </c>
      <c r="AZ647" s="300">
        <v>0</v>
      </c>
      <c r="BA647" s="300">
        <v>0</v>
      </c>
      <c r="BB647" s="300">
        <v>0</v>
      </c>
      <c r="BC647" s="300">
        <v>4.47</v>
      </c>
      <c r="BD647" s="299">
        <v>4.47</v>
      </c>
      <c r="BE647" s="300">
        <v>0</v>
      </c>
      <c r="BF647" s="300">
        <v>0</v>
      </c>
      <c r="BG647" s="300">
        <v>0</v>
      </c>
      <c r="BH647" s="300">
        <v>0</v>
      </c>
      <c r="BI647" s="304">
        <v>0</v>
      </c>
      <c r="BJ647" s="300">
        <v>0</v>
      </c>
      <c r="BK647" s="300">
        <v>0</v>
      </c>
      <c r="BL647" s="300">
        <v>0</v>
      </c>
      <c r="BM647" s="300">
        <v>0</v>
      </c>
      <c r="BN647" s="299">
        <v>0</v>
      </c>
      <c r="BO647" s="300">
        <v>0</v>
      </c>
      <c r="BP647" s="300">
        <v>0</v>
      </c>
      <c r="BQ647" s="300">
        <v>0</v>
      </c>
      <c r="BR647" s="300">
        <v>0</v>
      </c>
      <c r="BS647" s="299">
        <v>0</v>
      </c>
      <c r="BT647" s="299">
        <v>0</v>
      </c>
      <c r="BU647" s="299">
        <v>0</v>
      </c>
      <c r="BV647" s="299">
        <v>0</v>
      </c>
      <c r="BW647" s="247"/>
    </row>
    <row r="648" spans="1:75" s="169" customFormat="1" ht="14.25" x14ac:dyDescent="0.45">
      <c r="A648" s="184" t="s">
        <v>752</v>
      </c>
      <c r="B648" s="489"/>
      <c r="C648" s="299"/>
      <c r="D648" s="299"/>
      <c r="E648" s="299">
        <v>0</v>
      </c>
      <c r="F648" s="299">
        <v>0</v>
      </c>
      <c r="G648" s="300">
        <v>0</v>
      </c>
      <c r="H648" s="300">
        <v>0</v>
      </c>
      <c r="I648" s="300">
        <v>0</v>
      </c>
      <c r="J648" s="300">
        <v>0</v>
      </c>
      <c r="K648" s="299">
        <v>0</v>
      </c>
      <c r="L648" s="300">
        <v>0</v>
      </c>
      <c r="M648" s="300">
        <v>0</v>
      </c>
      <c r="N648" s="300">
        <v>0</v>
      </c>
      <c r="O648" s="300">
        <v>0</v>
      </c>
      <c r="P648" s="299">
        <v>0</v>
      </c>
      <c r="Q648" s="300">
        <v>0</v>
      </c>
      <c r="R648" s="300">
        <v>0</v>
      </c>
      <c r="S648" s="300">
        <v>0</v>
      </c>
      <c r="T648" s="300">
        <v>0</v>
      </c>
      <c r="U648" s="299">
        <v>0</v>
      </c>
      <c r="V648" s="300">
        <v>0</v>
      </c>
      <c r="W648" s="300">
        <v>0</v>
      </c>
      <c r="X648" s="300">
        <v>0</v>
      </c>
      <c r="Y648" s="300">
        <v>0</v>
      </c>
      <c r="Z648" s="299">
        <v>0</v>
      </c>
      <c r="AA648" s="300">
        <v>0</v>
      </c>
      <c r="AB648" s="300">
        <v>0</v>
      </c>
      <c r="AC648" s="300">
        <v>0</v>
      </c>
      <c r="AD648" s="300">
        <v>0</v>
      </c>
      <c r="AE648" s="299">
        <v>0</v>
      </c>
      <c r="AF648" s="300">
        <v>0</v>
      </c>
      <c r="AG648" s="300">
        <v>0</v>
      </c>
      <c r="AH648" s="300">
        <v>0</v>
      </c>
      <c r="AI648" s="300">
        <v>0</v>
      </c>
      <c r="AJ648" s="299">
        <v>0</v>
      </c>
      <c r="AK648" s="300">
        <v>0</v>
      </c>
      <c r="AL648" s="300">
        <v>0</v>
      </c>
      <c r="AM648" s="300">
        <v>0</v>
      </c>
      <c r="AN648" s="300">
        <v>0</v>
      </c>
      <c r="AO648" s="299">
        <v>0</v>
      </c>
      <c r="AP648" s="300">
        <v>0</v>
      </c>
      <c r="AQ648" s="300">
        <v>0</v>
      </c>
      <c r="AR648" s="300">
        <v>0</v>
      </c>
      <c r="AS648" s="300">
        <v>0</v>
      </c>
      <c r="AT648" s="299">
        <v>0</v>
      </c>
      <c r="AU648" s="300">
        <v>0</v>
      </c>
      <c r="AV648" s="300">
        <v>0</v>
      </c>
      <c r="AW648" s="300">
        <v>0</v>
      </c>
      <c r="AX648" s="300">
        <v>0</v>
      </c>
      <c r="AY648" s="299">
        <v>0</v>
      </c>
      <c r="AZ648" s="300">
        <v>0</v>
      </c>
      <c r="BA648" s="300">
        <v>3.4830000000000001</v>
      </c>
      <c r="BB648" s="300">
        <v>0</v>
      </c>
      <c r="BC648" s="300">
        <v>0</v>
      </c>
      <c r="BD648" s="299">
        <v>3.4830000000000001</v>
      </c>
      <c r="BE648" s="300">
        <v>0</v>
      </c>
      <c r="BF648" s="300">
        <v>0</v>
      </c>
      <c r="BG648" s="300">
        <v>0</v>
      </c>
      <c r="BH648" s="300">
        <v>0</v>
      </c>
      <c r="BI648" s="304">
        <v>0</v>
      </c>
      <c r="BJ648" s="300">
        <v>0</v>
      </c>
      <c r="BK648" s="300">
        <v>0</v>
      </c>
      <c r="BL648" s="300">
        <v>0</v>
      </c>
      <c r="BM648" s="300">
        <v>0</v>
      </c>
      <c r="BN648" s="299">
        <v>0</v>
      </c>
      <c r="BO648" s="300">
        <v>0</v>
      </c>
      <c r="BP648" s="300">
        <v>0</v>
      </c>
      <c r="BQ648" s="300">
        <v>0</v>
      </c>
      <c r="BR648" s="300">
        <v>0</v>
      </c>
      <c r="BS648" s="299">
        <v>0</v>
      </c>
      <c r="BT648" s="299">
        <v>0</v>
      </c>
      <c r="BU648" s="299">
        <v>0</v>
      </c>
      <c r="BV648" s="299">
        <v>0</v>
      </c>
      <c r="BW648" s="247"/>
    </row>
    <row r="649" spans="1:75" s="169" customFormat="1" ht="14.25" x14ac:dyDescent="0.45">
      <c r="A649" s="184" t="s">
        <v>753</v>
      </c>
      <c r="B649" s="489"/>
      <c r="C649" s="299"/>
      <c r="D649" s="299"/>
      <c r="E649" s="299">
        <v>0</v>
      </c>
      <c r="F649" s="299">
        <v>0</v>
      </c>
      <c r="G649" s="300">
        <v>0.76700000000000002</v>
      </c>
      <c r="H649" s="300">
        <v>2.1280000000000001</v>
      </c>
      <c r="I649" s="300">
        <v>0</v>
      </c>
      <c r="J649" s="300">
        <v>0</v>
      </c>
      <c r="K649" s="299">
        <v>2.895</v>
      </c>
      <c r="L649" s="300">
        <v>0</v>
      </c>
      <c r="M649" s="300">
        <v>0</v>
      </c>
      <c r="N649" s="300">
        <v>0</v>
      </c>
      <c r="O649" s="300">
        <v>0</v>
      </c>
      <c r="P649" s="299">
        <v>0</v>
      </c>
      <c r="Q649" s="300">
        <v>0</v>
      </c>
      <c r="R649" s="300">
        <v>0</v>
      </c>
      <c r="S649" s="300">
        <v>0</v>
      </c>
      <c r="T649" s="300">
        <v>0</v>
      </c>
      <c r="U649" s="299">
        <v>0</v>
      </c>
      <c r="V649" s="300">
        <v>0</v>
      </c>
      <c r="W649" s="300">
        <v>0</v>
      </c>
      <c r="X649" s="300">
        <v>0</v>
      </c>
      <c r="Y649" s="300">
        <v>0</v>
      </c>
      <c r="Z649" s="299">
        <v>0</v>
      </c>
      <c r="AA649" s="300">
        <v>0</v>
      </c>
      <c r="AB649" s="300">
        <v>0</v>
      </c>
      <c r="AC649" s="300">
        <v>0</v>
      </c>
      <c r="AD649" s="300">
        <v>0</v>
      </c>
      <c r="AE649" s="299">
        <v>0</v>
      </c>
      <c r="AF649" s="300">
        <v>0</v>
      </c>
      <c r="AG649" s="300">
        <v>0</v>
      </c>
      <c r="AH649" s="300">
        <v>0</v>
      </c>
      <c r="AI649" s="300">
        <v>0</v>
      </c>
      <c r="AJ649" s="299">
        <v>0</v>
      </c>
      <c r="AK649" s="300">
        <v>0</v>
      </c>
      <c r="AL649" s="300">
        <v>0</v>
      </c>
      <c r="AM649" s="300">
        <v>0</v>
      </c>
      <c r="AN649" s="300">
        <v>0</v>
      </c>
      <c r="AO649" s="299">
        <v>0</v>
      </c>
      <c r="AP649" s="300">
        <v>0</v>
      </c>
      <c r="AQ649" s="300">
        <v>0</v>
      </c>
      <c r="AR649" s="300">
        <v>0</v>
      </c>
      <c r="AS649" s="300">
        <v>0</v>
      </c>
      <c r="AT649" s="299">
        <v>0</v>
      </c>
      <c r="AU649" s="300">
        <v>0</v>
      </c>
      <c r="AV649" s="300">
        <v>0</v>
      </c>
      <c r="AW649" s="300">
        <v>0</v>
      </c>
      <c r="AX649" s="300">
        <v>0</v>
      </c>
      <c r="AY649" s="299">
        <v>0</v>
      </c>
      <c r="AZ649" s="300">
        <v>0</v>
      </c>
      <c r="BA649" s="300">
        <v>0</v>
      </c>
      <c r="BB649" s="300">
        <v>0</v>
      </c>
      <c r="BC649" s="300">
        <v>0</v>
      </c>
      <c r="BD649" s="299">
        <v>0</v>
      </c>
      <c r="BE649" s="300">
        <v>0</v>
      </c>
      <c r="BF649" s="300">
        <v>0</v>
      </c>
      <c r="BG649" s="300">
        <v>0</v>
      </c>
      <c r="BH649" s="300">
        <v>0</v>
      </c>
      <c r="BI649" s="304">
        <v>0</v>
      </c>
      <c r="BJ649" s="300">
        <v>0</v>
      </c>
      <c r="BK649" s="300">
        <v>0</v>
      </c>
      <c r="BL649" s="300">
        <v>0</v>
      </c>
      <c r="BM649" s="300">
        <v>0</v>
      </c>
      <c r="BN649" s="299">
        <v>0</v>
      </c>
      <c r="BO649" s="300">
        <v>0</v>
      </c>
      <c r="BP649" s="300">
        <v>0</v>
      </c>
      <c r="BQ649" s="300">
        <v>0</v>
      </c>
      <c r="BR649" s="300">
        <v>0</v>
      </c>
      <c r="BS649" s="299">
        <v>0</v>
      </c>
      <c r="BT649" s="299">
        <v>0</v>
      </c>
      <c r="BU649" s="299">
        <v>0</v>
      </c>
      <c r="BV649" s="299">
        <v>0</v>
      </c>
      <c r="BW649" s="247"/>
    </row>
    <row r="650" spans="1:75" s="169" customFormat="1" ht="14.25" x14ac:dyDescent="0.45">
      <c r="A650" s="184" t="s">
        <v>754</v>
      </c>
      <c r="B650" s="489"/>
      <c r="C650" s="299">
        <v>0</v>
      </c>
      <c r="D650" s="299">
        <v>2.351</v>
      </c>
      <c r="E650" s="299">
        <v>0</v>
      </c>
      <c r="F650" s="299">
        <v>10.755000000000001</v>
      </c>
      <c r="G650" s="300">
        <v>0</v>
      </c>
      <c r="H650" s="300">
        <v>0</v>
      </c>
      <c r="I650" s="300">
        <v>0</v>
      </c>
      <c r="J650" s="300">
        <v>0</v>
      </c>
      <c r="K650" s="299">
        <v>0</v>
      </c>
      <c r="L650" s="300">
        <v>0</v>
      </c>
      <c r="M650" s="300">
        <v>0</v>
      </c>
      <c r="N650" s="300">
        <v>0</v>
      </c>
      <c r="O650" s="300">
        <v>0</v>
      </c>
      <c r="P650" s="299">
        <v>0</v>
      </c>
      <c r="Q650" s="300">
        <v>0</v>
      </c>
      <c r="R650" s="300">
        <v>0</v>
      </c>
      <c r="S650" s="300">
        <v>0</v>
      </c>
      <c r="T650" s="300">
        <v>0</v>
      </c>
      <c r="U650" s="299">
        <v>0</v>
      </c>
      <c r="V650" s="300">
        <v>0</v>
      </c>
      <c r="W650" s="300">
        <v>0</v>
      </c>
      <c r="X650" s="300">
        <v>0</v>
      </c>
      <c r="Y650" s="300">
        <v>0</v>
      </c>
      <c r="Z650" s="299">
        <v>0</v>
      </c>
      <c r="AA650" s="300">
        <v>0</v>
      </c>
      <c r="AB650" s="300">
        <v>0</v>
      </c>
      <c r="AC650" s="300">
        <v>0</v>
      </c>
      <c r="AD650" s="300">
        <v>0</v>
      </c>
      <c r="AE650" s="299">
        <v>0</v>
      </c>
      <c r="AF650" s="300">
        <v>0</v>
      </c>
      <c r="AG650" s="300">
        <v>0</v>
      </c>
      <c r="AH650" s="300">
        <v>0</v>
      </c>
      <c r="AI650" s="300">
        <v>0</v>
      </c>
      <c r="AJ650" s="299">
        <v>0</v>
      </c>
      <c r="AK650" s="300">
        <v>0</v>
      </c>
      <c r="AL650" s="300">
        <v>0</v>
      </c>
      <c r="AM650" s="300">
        <v>0</v>
      </c>
      <c r="AN650" s="300">
        <v>0</v>
      </c>
      <c r="AO650" s="299">
        <v>0</v>
      </c>
      <c r="AP650" s="300">
        <v>0</v>
      </c>
      <c r="AQ650" s="300">
        <v>0</v>
      </c>
      <c r="AR650" s="300">
        <v>0</v>
      </c>
      <c r="AS650" s="300">
        <v>0</v>
      </c>
      <c r="AT650" s="299">
        <v>0</v>
      </c>
      <c r="AU650" s="300">
        <v>0</v>
      </c>
      <c r="AV650" s="300">
        <v>0</v>
      </c>
      <c r="AW650" s="300">
        <v>0</v>
      </c>
      <c r="AX650" s="300">
        <v>0</v>
      </c>
      <c r="AY650" s="299">
        <v>0</v>
      </c>
      <c r="AZ650" s="300">
        <v>0</v>
      </c>
      <c r="BA650" s="300">
        <v>0</v>
      </c>
      <c r="BB650" s="300">
        <v>0</v>
      </c>
      <c r="BC650" s="300">
        <v>0</v>
      </c>
      <c r="BD650" s="299">
        <v>0</v>
      </c>
      <c r="BE650" s="300">
        <v>0</v>
      </c>
      <c r="BF650" s="300">
        <v>0</v>
      </c>
      <c r="BG650" s="300">
        <v>0</v>
      </c>
      <c r="BH650" s="300">
        <v>0</v>
      </c>
      <c r="BI650" s="304">
        <v>0</v>
      </c>
      <c r="BJ650" s="300">
        <v>0</v>
      </c>
      <c r="BK650" s="300">
        <v>0</v>
      </c>
      <c r="BL650" s="300">
        <v>0</v>
      </c>
      <c r="BM650" s="300">
        <v>0</v>
      </c>
      <c r="BN650" s="299">
        <v>0</v>
      </c>
      <c r="BO650" s="300">
        <v>0</v>
      </c>
      <c r="BP650" s="300">
        <v>0</v>
      </c>
      <c r="BQ650" s="300">
        <v>0</v>
      </c>
      <c r="BR650" s="300">
        <v>0</v>
      </c>
      <c r="BS650" s="299">
        <v>0</v>
      </c>
      <c r="BT650" s="299">
        <v>0</v>
      </c>
      <c r="BU650" s="299">
        <v>0</v>
      </c>
      <c r="BV650" s="299">
        <v>0</v>
      </c>
      <c r="BW650" s="247"/>
    </row>
    <row r="651" spans="1:75" s="169" customFormat="1" ht="14.25" x14ac:dyDescent="0.45">
      <c r="A651" s="184" t="s">
        <v>755</v>
      </c>
      <c r="B651" s="489"/>
      <c r="C651" s="299"/>
      <c r="D651" s="299"/>
      <c r="E651" s="299">
        <v>0</v>
      </c>
      <c r="F651" s="299">
        <v>4.7779999999999996</v>
      </c>
      <c r="G651" s="300">
        <v>0</v>
      </c>
      <c r="H651" s="300">
        <v>0</v>
      </c>
      <c r="I651" s="300">
        <v>0</v>
      </c>
      <c r="J651" s="300">
        <v>0</v>
      </c>
      <c r="K651" s="299">
        <v>0</v>
      </c>
      <c r="L651" s="300">
        <v>0</v>
      </c>
      <c r="M651" s="300">
        <v>0</v>
      </c>
      <c r="N651" s="300">
        <v>0</v>
      </c>
      <c r="O651" s="300">
        <v>0</v>
      </c>
      <c r="P651" s="299">
        <v>0</v>
      </c>
      <c r="Q651" s="300">
        <v>0</v>
      </c>
      <c r="R651" s="300">
        <v>0</v>
      </c>
      <c r="S651" s="300">
        <v>0</v>
      </c>
      <c r="T651" s="300">
        <v>0</v>
      </c>
      <c r="U651" s="299">
        <v>0</v>
      </c>
      <c r="V651" s="300">
        <v>0</v>
      </c>
      <c r="W651" s="300">
        <v>0</v>
      </c>
      <c r="X651" s="300">
        <v>0</v>
      </c>
      <c r="Y651" s="300">
        <v>0</v>
      </c>
      <c r="Z651" s="299">
        <v>0</v>
      </c>
      <c r="AA651" s="300">
        <v>0</v>
      </c>
      <c r="AB651" s="300">
        <v>0</v>
      </c>
      <c r="AC651" s="300">
        <v>0</v>
      </c>
      <c r="AD651" s="300">
        <v>0</v>
      </c>
      <c r="AE651" s="299">
        <v>0</v>
      </c>
      <c r="AF651" s="300">
        <v>0</v>
      </c>
      <c r="AG651" s="300">
        <v>0</v>
      </c>
      <c r="AH651" s="300">
        <v>0</v>
      </c>
      <c r="AI651" s="300">
        <v>0</v>
      </c>
      <c r="AJ651" s="299">
        <v>0</v>
      </c>
      <c r="AK651" s="300">
        <v>0</v>
      </c>
      <c r="AL651" s="300">
        <v>0</v>
      </c>
      <c r="AM651" s="300">
        <v>0</v>
      </c>
      <c r="AN651" s="300">
        <v>0</v>
      </c>
      <c r="AO651" s="299">
        <v>0</v>
      </c>
      <c r="AP651" s="300">
        <v>0</v>
      </c>
      <c r="AQ651" s="300">
        <v>0</v>
      </c>
      <c r="AR651" s="300">
        <v>0</v>
      </c>
      <c r="AS651" s="300">
        <v>0</v>
      </c>
      <c r="AT651" s="299">
        <v>0</v>
      </c>
      <c r="AU651" s="300">
        <v>0</v>
      </c>
      <c r="AV651" s="300">
        <v>0</v>
      </c>
      <c r="AW651" s="300">
        <v>0</v>
      </c>
      <c r="AX651" s="300">
        <v>0</v>
      </c>
      <c r="AY651" s="299">
        <v>0</v>
      </c>
      <c r="AZ651" s="300">
        <v>0</v>
      </c>
      <c r="BA651" s="300">
        <v>0</v>
      </c>
      <c r="BB651" s="300">
        <v>0</v>
      </c>
      <c r="BC651" s="300">
        <v>0</v>
      </c>
      <c r="BD651" s="299">
        <v>0</v>
      </c>
      <c r="BE651" s="300">
        <v>0</v>
      </c>
      <c r="BF651" s="300">
        <v>0</v>
      </c>
      <c r="BG651" s="300">
        <v>0</v>
      </c>
      <c r="BH651" s="300">
        <v>0</v>
      </c>
      <c r="BI651" s="304">
        <v>0</v>
      </c>
      <c r="BJ651" s="300">
        <v>0</v>
      </c>
      <c r="BK651" s="300">
        <v>0</v>
      </c>
      <c r="BL651" s="300">
        <v>0</v>
      </c>
      <c r="BM651" s="300">
        <v>0</v>
      </c>
      <c r="BN651" s="299">
        <v>0</v>
      </c>
      <c r="BO651" s="300">
        <v>0</v>
      </c>
      <c r="BP651" s="300">
        <v>0</v>
      </c>
      <c r="BQ651" s="300">
        <v>0</v>
      </c>
      <c r="BR651" s="300">
        <v>0</v>
      </c>
      <c r="BS651" s="299">
        <v>0</v>
      </c>
      <c r="BT651" s="299">
        <v>0</v>
      </c>
      <c r="BU651" s="299">
        <v>0</v>
      </c>
      <c r="BV651" s="299">
        <v>0</v>
      </c>
      <c r="BW651" s="247"/>
    </row>
    <row r="652" spans="1:75" s="169" customFormat="1" ht="14.25" x14ac:dyDescent="0.45">
      <c r="A652" s="184" t="s">
        <v>756</v>
      </c>
      <c r="B652" s="489"/>
      <c r="C652" s="299">
        <v>2.6040000000000001</v>
      </c>
      <c r="D652" s="299">
        <v>0.35199999999999998</v>
      </c>
      <c r="E652" s="299">
        <v>1.58</v>
      </c>
      <c r="F652" s="299">
        <v>0</v>
      </c>
      <c r="G652" s="300">
        <v>0</v>
      </c>
      <c r="H652" s="300">
        <v>0</v>
      </c>
      <c r="I652" s="300">
        <v>0</v>
      </c>
      <c r="J652" s="300">
        <v>0</v>
      </c>
      <c r="K652" s="299">
        <v>0</v>
      </c>
      <c r="L652" s="300">
        <v>0</v>
      </c>
      <c r="M652" s="300">
        <v>0</v>
      </c>
      <c r="N652" s="300">
        <v>0</v>
      </c>
      <c r="O652" s="300">
        <v>0</v>
      </c>
      <c r="P652" s="299">
        <v>0</v>
      </c>
      <c r="Q652" s="300">
        <v>0</v>
      </c>
      <c r="R652" s="300">
        <v>0</v>
      </c>
      <c r="S652" s="300">
        <v>0</v>
      </c>
      <c r="T652" s="300">
        <v>0</v>
      </c>
      <c r="U652" s="299">
        <v>0</v>
      </c>
      <c r="V652" s="300">
        <v>0</v>
      </c>
      <c r="W652" s="300">
        <v>0</v>
      </c>
      <c r="X652" s="300">
        <v>0</v>
      </c>
      <c r="Y652" s="300">
        <v>0</v>
      </c>
      <c r="Z652" s="299">
        <v>0</v>
      </c>
      <c r="AA652" s="300">
        <v>0</v>
      </c>
      <c r="AB652" s="300">
        <v>0</v>
      </c>
      <c r="AC652" s="300">
        <v>0</v>
      </c>
      <c r="AD652" s="300">
        <v>0</v>
      </c>
      <c r="AE652" s="299">
        <v>0</v>
      </c>
      <c r="AF652" s="300">
        <v>0</v>
      </c>
      <c r="AG652" s="300">
        <v>0</v>
      </c>
      <c r="AH652" s="300">
        <v>0</v>
      </c>
      <c r="AI652" s="300">
        <v>0</v>
      </c>
      <c r="AJ652" s="299">
        <v>0</v>
      </c>
      <c r="AK652" s="300">
        <v>0</v>
      </c>
      <c r="AL652" s="300">
        <v>0</v>
      </c>
      <c r="AM652" s="300">
        <v>0</v>
      </c>
      <c r="AN652" s="300">
        <v>0</v>
      </c>
      <c r="AO652" s="299">
        <v>0</v>
      </c>
      <c r="AP652" s="300">
        <v>0</v>
      </c>
      <c r="AQ652" s="300">
        <v>0</v>
      </c>
      <c r="AR652" s="300">
        <v>0</v>
      </c>
      <c r="AS652" s="300">
        <v>0</v>
      </c>
      <c r="AT652" s="299">
        <v>0</v>
      </c>
      <c r="AU652" s="300">
        <v>0</v>
      </c>
      <c r="AV652" s="300">
        <v>0</v>
      </c>
      <c r="AW652" s="300">
        <v>0</v>
      </c>
      <c r="AX652" s="300">
        <v>0</v>
      </c>
      <c r="AY652" s="299">
        <v>0</v>
      </c>
      <c r="AZ652" s="300">
        <v>0</v>
      </c>
      <c r="BA652" s="300">
        <v>0</v>
      </c>
      <c r="BB652" s="300">
        <v>0</v>
      </c>
      <c r="BC652" s="300">
        <v>0</v>
      </c>
      <c r="BD652" s="299">
        <v>0</v>
      </c>
      <c r="BE652" s="300">
        <v>0</v>
      </c>
      <c r="BF652" s="300">
        <v>0</v>
      </c>
      <c r="BG652" s="300">
        <v>0</v>
      </c>
      <c r="BH652" s="300">
        <v>0</v>
      </c>
      <c r="BI652" s="304">
        <v>0</v>
      </c>
      <c r="BJ652" s="300">
        <v>0</v>
      </c>
      <c r="BK652" s="300">
        <v>0</v>
      </c>
      <c r="BL652" s="300">
        <v>0</v>
      </c>
      <c r="BM652" s="300">
        <v>0</v>
      </c>
      <c r="BN652" s="299">
        <v>0</v>
      </c>
      <c r="BO652" s="300">
        <v>0</v>
      </c>
      <c r="BP652" s="300">
        <v>0</v>
      </c>
      <c r="BQ652" s="300">
        <v>0</v>
      </c>
      <c r="BR652" s="300">
        <v>0</v>
      </c>
      <c r="BS652" s="299">
        <v>0</v>
      </c>
      <c r="BT652" s="299">
        <v>0</v>
      </c>
      <c r="BU652" s="299">
        <v>0</v>
      </c>
      <c r="BV652" s="299">
        <v>0</v>
      </c>
      <c r="BW652" s="247"/>
    </row>
    <row r="653" spans="1:75" s="169" customFormat="1" ht="14.25" x14ac:dyDescent="0.45">
      <c r="A653" s="184" t="s">
        <v>757</v>
      </c>
      <c r="B653" s="489"/>
      <c r="C653" s="299">
        <v>1.5209999999999999</v>
      </c>
      <c r="D653" s="299">
        <v>1.7969999999999999</v>
      </c>
      <c r="E653" s="299">
        <v>0.621</v>
      </c>
      <c r="F653" s="299">
        <v>0</v>
      </c>
      <c r="G653" s="300">
        <v>0</v>
      </c>
      <c r="H653" s="300">
        <v>0</v>
      </c>
      <c r="I653" s="300">
        <v>0</v>
      </c>
      <c r="J653" s="300">
        <v>0</v>
      </c>
      <c r="K653" s="299">
        <v>0</v>
      </c>
      <c r="L653" s="300">
        <v>0</v>
      </c>
      <c r="M653" s="300">
        <v>0</v>
      </c>
      <c r="N653" s="300">
        <v>0</v>
      </c>
      <c r="O653" s="300">
        <v>0</v>
      </c>
      <c r="P653" s="299">
        <v>0</v>
      </c>
      <c r="Q653" s="300">
        <v>0</v>
      </c>
      <c r="R653" s="300">
        <v>0</v>
      </c>
      <c r="S653" s="300">
        <v>0</v>
      </c>
      <c r="T653" s="300">
        <v>0</v>
      </c>
      <c r="U653" s="299">
        <v>0</v>
      </c>
      <c r="V653" s="300">
        <v>0</v>
      </c>
      <c r="W653" s="300">
        <v>0</v>
      </c>
      <c r="X653" s="300">
        <v>0</v>
      </c>
      <c r="Y653" s="300">
        <v>0</v>
      </c>
      <c r="Z653" s="299">
        <v>0</v>
      </c>
      <c r="AA653" s="300">
        <v>0</v>
      </c>
      <c r="AB653" s="300">
        <v>0</v>
      </c>
      <c r="AC653" s="300">
        <v>0</v>
      </c>
      <c r="AD653" s="300">
        <v>0</v>
      </c>
      <c r="AE653" s="299">
        <v>0</v>
      </c>
      <c r="AF653" s="300">
        <v>0</v>
      </c>
      <c r="AG653" s="300">
        <v>0</v>
      </c>
      <c r="AH653" s="300">
        <v>0</v>
      </c>
      <c r="AI653" s="300">
        <v>0</v>
      </c>
      <c r="AJ653" s="299">
        <v>0</v>
      </c>
      <c r="AK653" s="300">
        <v>0</v>
      </c>
      <c r="AL653" s="300">
        <v>0</v>
      </c>
      <c r="AM653" s="300">
        <v>0</v>
      </c>
      <c r="AN653" s="300">
        <v>0</v>
      </c>
      <c r="AO653" s="299">
        <v>0</v>
      </c>
      <c r="AP653" s="300">
        <v>0</v>
      </c>
      <c r="AQ653" s="300">
        <v>0</v>
      </c>
      <c r="AR653" s="300">
        <v>0</v>
      </c>
      <c r="AS653" s="300">
        <v>0</v>
      </c>
      <c r="AT653" s="299">
        <v>0</v>
      </c>
      <c r="AU653" s="300">
        <v>0</v>
      </c>
      <c r="AV653" s="300">
        <v>0</v>
      </c>
      <c r="AW653" s="300">
        <v>0</v>
      </c>
      <c r="AX653" s="300">
        <v>0</v>
      </c>
      <c r="AY653" s="299">
        <v>0</v>
      </c>
      <c r="AZ653" s="300">
        <v>0</v>
      </c>
      <c r="BA653" s="300">
        <v>0</v>
      </c>
      <c r="BB653" s="300">
        <v>0</v>
      </c>
      <c r="BC653" s="300">
        <v>0</v>
      </c>
      <c r="BD653" s="299">
        <v>0</v>
      </c>
      <c r="BE653" s="300">
        <v>0</v>
      </c>
      <c r="BF653" s="300">
        <v>0</v>
      </c>
      <c r="BG653" s="300">
        <v>0</v>
      </c>
      <c r="BH653" s="300">
        <v>0</v>
      </c>
      <c r="BI653" s="304">
        <v>0</v>
      </c>
      <c r="BJ653" s="300">
        <v>0</v>
      </c>
      <c r="BK653" s="300">
        <v>0</v>
      </c>
      <c r="BL653" s="300">
        <v>0</v>
      </c>
      <c r="BM653" s="300">
        <v>0</v>
      </c>
      <c r="BN653" s="299">
        <v>0</v>
      </c>
      <c r="BO653" s="300">
        <v>0</v>
      </c>
      <c r="BP653" s="300">
        <v>0</v>
      </c>
      <c r="BQ653" s="300">
        <v>0</v>
      </c>
      <c r="BR653" s="300">
        <v>0</v>
      </c>
      <c r="BS653" s="299">
        <v>0</v>
      </c>
      <c r="BT653" s="299">
        <v>0</v>
      </c>
      <c r="BU653" s="299">
        <v>0</v>
      </c>
      <c r="BV653" s="299">
        <v>0</v>
      </c>
      <c r="BW653" s="247"/>
    </row>
    <row r="654" spans="1:75" s="169" customFormat="1" ht="14.25" x14ac:dyDescent="0.45">
      <c r="A654" s="184" t="s">
        <v>758</v>
      </c>
      <c r="B654" s="489"/>
      <c r="C654" s="299"/>
      <c r="D654" s="299"/>
      <c r="E654" s="299">
        <v>0</v>
      </c>
      <c r="F654" s="299">
        <v>0</v>
      </c>
      <c r="G654" s="300">
        <v>0</v>
      </c>
      <c r="H654" s="300">
        <v>0</v>
      </c>
      <c r="I654" s="300">
        <v>0</v>
      </c>
      <c r="J654" s="300">
        <v>0</v>
      </c>
      <c r="K654" s="299">
        <v>0</v>
      </c>
      <c r="L654" s="300">
        <v>0</v>
      </c>
      <c r="M654" s="300">
        <v>0</v>
      </c>
      <c r="N654" s="300">
        <v>0</v>
      </c>
      <c r="O654" s="300">
        <v>0</v>
      </c>
      <c r="P654" s="299">
        <v>0</v>
      </c>
      <c r="Q654" s="300">
        <v>0</v>
      </c>
      <c r="R654" s="300">
        <v>0</v>
      </c>
      <c r="S654" s="300">
        <v>0</v>
      </c>
      <c r="T654" s="300">
        <v>0</v>
      </c>
      <c r="U654" s="299">
        <v>0</v>
      </c>
      <c r="V654" s="300">
        <v>1.415</v>
      </c>
      <c r="W654" s="300">
        <v>3.3090000000000002</v>
      </c>
      <c r="X654" s="300">
        <v>0.97399999999999998</v>
      </c>
      <c r="Y654" s="300">
        <v>0</v>
      </c>
      <c r="Z654" s="299">
        <v>5.6980000000000004</v>
      </c>
      <c r="AA654" s="300">
        <v>0</v>
      </c>
      <c r="AB654" s="300">
        <v>0</v>
      </c>
      <c r="AC654" s="300">
        <v>1.0289999999999999</v>
      </c>
      <c r="AD654" s="300">
        <v>-0.08</v>
      </c>
      <c r="AE654" s="299">
        <v>0.94899999999999995</v>
      </c>
      <c r="AF654" s="300">
        <v>0</v>
      </c>
      <c r="AG654" s="300">
        <v>1.7210000000000001</v>
      </c>
      <c r="AH654" s="300">
        <v>7.5640000000000001</v>
      </c>
      <c r="AI654" s="300">
        <v>0.69199999999999995</v>
      </c>
      <c r="AJ654" s="299">
        <v>9.9770000000000003</v>
      </c>
      <c r="AK654" s="300">
        <v>0</v>
      </c>
      <c r="AL654" s="300">
        <v>0</v>
      </c>
      <c r="AM654" s="300">
        <v>1.075</v>
      </c>
      <c r="AN654" s="300">
        <v>0</v>
      </c>
      <c r="AO654" s="299">
        <v>1.075</v>
      </c>
      <c r="AP654" s="300">
        <v>4.1429999999999998</v>
      </c>
      <c r="AQ654" s="300">
        <v>2.8839999999999999</v>
      </c>
      <c r="AR654" s="300">
        <v>0</v>
      </c>
      <c r="AS654" s="300">
        <v>0</v>
      </c>
      <c r="AT654" s="299">
        <v>7.0270000000000001</v>
      </c>
      <c r="AU654" s="300">
        <v>0</v>
      </c>
      <c r="AV654" s="300">
        <v>0.44900000000000001</v>
      </c>
      <c r="AW654" s="300">
        <v>0</v>
      </c>
      <c r="AX654" s="300">
        <v>0</v>
      </c>
      <c r="AY654" s="299">
        <v>0.44900000000000001</v>
      </c>
      <c r="AZ654" s="300">
        <v>0</v>
      </c>
      <c r="BA654" s="300">
        <v>0</v>
      </c>
      <c r="BB654" s="300">
        <v>0</v>
      </c>
      <c r="BC654" s="300">
        <v>0</v>
      </c>
      <c r="BD654" s="299">
        <v>0</v>
      </c>
      <c r="BE654" s="300">
        <v>7.6210000000000004</v>
      </c>
      <c r="BF654" s="300">
        <v>0</v>
      </c>
      <c r="BG654" s="300">
        <v>0</v>
      </c>
      <c r="BH654" s="300">
        <v>0</v>
      </c>
      <c r="BI654" s="304">
        <v>7.6210000000000004</v>
      </c>
      <c r="BJ654" s="300">
        <v>0</v>
      </c>
      <c r="BK654" s="300">
        <v>0</v>
      </c>
      <c r="BL654" s="300">
        <v>0</v>
      </c>
      <c r="BM654" s="300">
        <v>0</v>
      </c>
      <c r="BN654" s="299">
        <v>0</v>
      </c>
      <c r="BO654" s="300">
        <v>0</v>
      </c>
      <c r="BP654" s="300">
        <v>0</v>
      </c>
      <c r="BQ654" s="300">
        <v>0</v>
      </c>
      <c r="BR654" s="300">
        <v>0</v>
      </c>
      <c r="BS654" s="299">
        <v>0</v>
      </c>
      <c r="BT654" s="299">
        <v>0</v>
      </c>
      <c r="BU654" s="299">
        <v>0</v>
      </c>
      <c r="BV654" s="299">
        <v>0</v>
      </c>
      <c r="BW654" s="247"/>
    </row>
    <row r="655" spans="1:75" s="169" customFormat="1" ht="14.25" x14ac:dyDescent="0.45">
      <c r="A655" s="184" t="s">
        <v>759</v>
      </c>
      <c r="B655" s="489"/>
      <c r="C655" s="299"/>
      <c r="D655" s="299"/>
      <c r="E655" s="299">
        <v>0</v>
      </c>
      <c r="F655" s="299">
        <v>0</v>
      </c>
      <c r="G655" s="300">
        <v>0</v>
      </c>
      <c r="H655" s="300">
        <v>0</v>
      </c>
      <c r="I655" s="300">
        <v>0</v>
      </c>
      <c r="J655" s="300">
        <v>0</v>
      </c>
      <c r="K655" s="299">
        <v>0</v>
      </c>
      <c r="L655" s="300">
        <v>0</v>
      </c>
      <c r="M655" s="300">
        <v>0</v>
      </c>
      <c r="N655" s="300">
        <v>0</v>
      </c>
      <c r="O655" s="300">
        <v>0</v>
      </c>
      <c r="P655" s="299">
        <v>0</v>
      </c>
      <c r="Q655" s="300">
        <v>0</v>
      </c>
      <c r="R655" s="300">
        <v>0</v>
      </c>
      <c r="S655" s="300">
        <v>0</v>
      </c>
      <c r="T655" s="300">
        <v>0</v>
      </c>
      <c r="U655" s="299">
        <v>0</v>
      </c>
      <c r="V655" s="300">
        <v>0</v>
      </c>
      <c r="W655" s="300">
        <v>0</v>
      </c>
      <c r="X655" s="300">
        <v>0</v>
      </c>
      <c r="Y655" s="300">
        <v>0</v>
      </c>
      <c r="Z655" s="299">
        <v>0</v>
      </c>
      <c r="AA655" s="300">
        <v>0</v>
      </c>
      <c r="AB655" s="300">
        <v>0</v>
      </c>
      <c r="AC655" s="300">
        <v>0</v>
      </c>
      <c r="AD655" s="300">
        <v>0</v>
      </c>
      <c r="AE655" s="299">
        <v>0</v>
      </c>
      <c r="AF655" s="300">
        <v>0</v>
      </c>
      <c r="AG655" s="300">
        <v>0</v>
      </c>
      <c r="AH655" s="300">
        <v>0</v>
      </c>
      <c r="AI655" s="300">
        <v>8.4969999999999999</v>
      </c>
      <c r="AJ655" s="299">
        <v>8.4969999999999999</v>
      </c>
      <c r="AK655" s="300">
        <v>0</v>
      </c>
      <c r="AL655" s="300">
        <v>0</v>
      </c>
      <c r="AM655" s="300">
        <v>-1.5289999999999999</v>
      </c>
      <c r="AN655" s="300">
        <v>0</v>
      </c>
      <c r="AO655" s="299">
        <v>-1.5289999999999999</v>
      </c>
      <c r="AP655" s="300">
        <v>0</v>
      </c>
      <c r="AQ655" s="300">
        <v>0</v>
      </c>
      <c r="AR655" s="300">
        <v>0</v>
      </c>
      <c r="AS655" s="300">
        <v>0</v>
      </c>
      <c r="AT655" s="299">
        <v>0</v>
      </c>
      <c r="AU655" s="300">
        <v>0</v>
      </c>
      <c r="AV655" s="300">
        <v>0</v>
      </c>
      <c r="AW655" s="300">
        <v>0</v>
      </c>
      <c r="AX655" s="300">
        <v>0</v>
      </c>
      <c r="AY655" s="299">
        <v>0</v>
      </c>
      <c r="AZ655" s="300">
        <v>0</v>
      </c>
      <c r="BA655" s="300">
        <v>0</v>
      </c>
      <c r="BB655" s="300">
        <v>0</v>
      </c>
      <c r="BC655" s="300">
        <v>0</v>
      </c>
      <c r="BD655" s="299">
        <v>0</v>
      </c>
      <c r="BE655" s="300">
        <v>0</v>
      </c>
      <c r="BF655" s="300">
        <v>0</v>
      </c>
      <c r="BG655" s="300">
        <v>0</v>
      </c>
      <c r="BH655" s="300">
        <v>0</v>
      </c>
      <c r="BI655" s="304">
        <v>0</v>
      </c>
      <c r="BJ655" s="300">
        <v>0</v>
      </c>
      <c r="BK655" s="300">
        <v>0</v>
      </c>
      <c r="BL655" s="300">
        <v>0</v>
      </c>
      <c r="BM655" s="300">
        <v>0</v>
      </c>
      <c r="BN655" s="299">
        <v>0</v>
      </c>
      <c r="BO655" s="300">
        <v>0</v>
      </c>
      <c r="BP655" s="300">
        <v>0</v>
      </c>
      <c r="BQ655" s="300">
        <v>0</v>
      </c>
      <c r="BR655" s="300">
        <v>0</v>
      </c>
      <c r="BS655" s="299">
        <v>0</v>
      </c>
      <c r="BT655" s="299">
        <v>0</v>
      </c>
      <c r="BU655" s="299">
        <v>0</v>
      </c>
      <c r="BV655" s="299">
        <v>0</v>
      </c>
      <c r="BW655" s="247"/>
    </row>
    <row r="656" spans="1:75" s="169" customFormat="1" ht="14.25" x14ac:dyDescent="0.45">
      <c r="A656" s="184" t="s">
        <v>760</v>
      </c>
      <c r="B656" s="489"/>
      <c r="C656" s="299">
        <v>2.3039999999999998</v>
      </c>
      <c r="D656" s="299">
        <v>2.1150000000000002</v>
      </c>
      <c r="E656" s="299">
        <v>0</v>
      </c>
      <c r="F656" s="299">
        <v>0</v>
      </c>
      <c r="G656" s="300">
        <v>0</v>
      </c>
      <c r="H656" s="300">
        <v>0</v>
      </c>
      <c r="I656" s="300">
        <v>0</v>
      </c>
      <c r="J656" s="300">
        <v>0</v>
      </c>
      <c r="K656" s="299">
        <v>0</v>
      </c>
      <c r="L656" s="300">
        <v>0</v>
      </c>
      <c r="M656" s="300">
        <v>0</v>
      </c>
      <c r="N656" s="300">
        <v>0</v>
      </c>
      <c r="O656" s="300">
        <v>0</v>
      </c>
      <c r="P656" s="299">
        <v>0</v>
      </c>
      <c r="Q656" s="300">
        <v>0</v>
      </c>
      <c r="R656" s="300">
        <v>0</v>
      </c>
      <c r="S656" s="300">
        <v>0</v>
      </c>
      <c r="T656" s="300">
        <v>0</v>
      </c>
      <c r="U656" s="299">
        <v>0</v>
      </c>
      <c r="V656" s="300">
        <v>0</v>
      </c>
      <c r="W656" s="300">
        <v>0</v>
      </c>
      <c r="X656" s="300">
        <v>0</v>
      </c>
      <c r="Y656" s="300">
        <v>12.743</v>
      </c>
      <c r="Z656" s="299">
        <v>12.743</v>
      </c>
      <c r="AA656" s="300">
        <v>0</v>
      </c>
      <c r="AB656" s="300">
        <v>0</v>
      </c>
      <c r="AC656" s="300">
        <v>0</v>
      </c>
      <c r="AD656" s="300">
        <v>0</v>
      </c>
      <c r="AE656" s="299">
        <v>0</v>
      </c>
      <c r="AF656" s="300">
        <v>0</v>
      </c>
      <c r="AG656" s="300">
        <v>0</v>
      </c>
      <c r="AH656" s="300">
        <v>0</v>
      </c>
      <c r="AI656" s="300">
        <v>3.8069999999999999</v>
      </c>
      <c r="AJ656" s="299">
        <v>3.8069999999999999</v>
      </c>
      <c r="AK656" s="300">
        <v>3.476</v>
      </c>
      <c r="AL656" s="300">
        <v>2.5449999999999999</v>
      </c>
      <c r="AM656" s="300">
        <v>1.0309999999999999</v>
      </c>
      <c r="AN656" s="300">
        <v>14.847</v>
      </c>
      <c r="AO656" s="299">
        <v>21.899000000000001</v>
      </c>
      <c r="AP656" s="300">
        <v>8.4710000000000001</v>
      </c>
      <c r="AQ656" s="300">
        <v>1.339</v>
      </c>
      <c r="AR656" s="300">
        <v>2.0910000000000002</v>
      </c>
      <c r="AS656" s="300">
        <v>0.95</v>
      </c>
      <c r="AT656" s="299">
        <v>12.851000000000001</v>
      </c>
      <c r="AU656" s="300">
        <v>0</v>
      </c>
      <c r="AV656" s="300">
        <v>7.3540000000000001</v>
      </c>
      <c r="AW656" s="300">
        <v>0</v>
      </c>
      <c r="AX656" s="300">
        <v>2.2759999999999998</v>
      </c>
      <c r="AY656" s="299">
        <v>9.6300000000000008</v>
      </c>
      <c r="AZ656" s="300">
        <v>5.923</v>
      </c>
      <c r="BA656" s="300">
        <v>2.2309999999999999</v>
      </c>
      <c r="BB656" s="300">
        <v>10.926</v>
      </c>
      <c r="BC656" s="300">
        <v>5.1059999999999999</v>
      </c>
      <c r="BD656" s="299">
        <v>24.186</v>
      </c>
      <c r="BE656" s="300">
        <v>0</v>
      </c>
      <c r="BF656" s="300">
        <v>0</v>
      </c>
      <c r="BG656" s="300">
        <v>3.5310000000000001</v>
      </c>
      <c r="BH656" s="300">
        <v>0</v>
      </c>
      <c r="BI656" s="304">
        <v>3.5310000000000001</v>
      </c>
      <c r="BJ656" s="300">
        <v>0</v>
      </c>
      <c r="BK656" s="300">
        <v>0</v>
      </c>
      <c r="BL656" s="300">
        <v>0</v>
      </c>
      <c r="BM656" s="300">
        <v>0</v>
      </c>
      <c r="BN656" s="299">
        <v>0</v>
      </c>
      <c r="BO656" s="300">
        <v>0</v>
      </c>
      <c r="BP656" s="300">
        <v>0</v>
      </c>
      <c r="BQ656" s="300">
        <v>0</v>
      </c>
      <c r="BR656" s="300">
        <v>0</v>
      </c>
      <c r="BS656" s="299">
        <v>0</v>
      </c>
      <c r="BT656" s="299">
        <v>0</v>
      </c>
      <c r="BU656" s="299">
        <v>0</v>
      </c>
      <c r="BV656" s="299">
        <v>0</v>
      </c>
      <c r="BW656" s="247"/>
    </row>
    <row r="657" spans="1:75" s="169" customFormat="1" ht="14.25" x14ac:dyDescent="0.45">
      <c r="A657" s="184" t="s">
        <v>761</v>
      </c>
      <c r="B657" s="489"/>
      <c r="C657" s="299"/>
      <c r="D657" s="299"/>
      <c r="E657" s="299">
        <v>0</v>
      </c>
      <c r="F657" s="299">
        <v>0</v>
      </c>
      <c r="G657" s="300">
        <v>0</v>
      </c>
      <c r="H657" s="300">
        <v>0</v>
      </c>
      <c r="I657" s="300">
        <v>0</v>
      </c>
      <c r="J657" s="300">
        <v>0</v>
      </c>
      <c r="K657" s="299">
        <v>0</v>
      </c>
      <c r="L657" s="300">
        <v>0</v>
      </c>
      <c r="M657" s="300">
        <v>0</v>
      </c>
      <c r="N657" s="300">
        <v>0</v>
      </c>
      <c r="O657" s="300">
        <v>0</v>
      </c>
      <c r="P657" s="299">
        <v>0</v>
      </c>
      <c r="Q657" s="300">
        <v>0</v>
      </c>
      <c r="R657" s="300">
        <v>0</v>
      </c>
      <c r="S657" s="300">
        <v>0</v>
      </c>
      <c r="T657" s="300">
        <v>0</v>
      </c>
      <c r="U657" s="299">
        <v>0</v>
      </c>
      <c r="V657" s="300">
        <v>0</v>
      </c>
      <c r="W657" s="300">
        <v>0</v>
      </c>
      <c r="X657" s="300">
        <v>0</v>
      </c>
      <c r="Y657" s="300">
        <v>4.7670000000000003</v>
      </c>
      <c r="Z657" s="299">
        <v>4.7670000000000003</v>
      </c>
      <c r="AA657" s="300">
        <v>0</v>
      </c>
      <c r="AB657" s="300">
        <v>0</v>
      </c>
      <c r="AC657" s="300">
        <v>0</v>
      </c>
      <c r="AD657" s="300">
        <v>0</v>
      </c>
      <c r="AE657" s="299">
        <v>0</v>
      </c>
      <c r="AF657" s="300">
        <v>0</v>
      </c>
      <c r="AG657" s="300">
        <v>0</v>
      </c>
      <c r="AH657" s="300">
        <v>0</v>
      </c>
      <c r="AI657" s="300">
        <v>0</v>
      </c>
      <c r="AJ657" s="299">
        <v>0</v>
      </c>
      <c r="AK657" s="300">
        <v>0</v>
      </c>
      <c r="AL657" s="300">
        <v>0</v>
      </c>
      <c r="AM657" s="300">
        <v>0</v>
      </c>
      <c r="AN657" s="300">
        <v>0</v>
      </c>
      <c r="AO657" s="299">
        <v>0</v>
      </c>
      <c r="AP657" s="300">
        <v>0</v>
      </c>
      <c r="AQ657" s="300">
        <v>0</v>
      </c>
      <c r="AR657" s="300">
        <v>0</v>
      </c>
      <c r="AS657" s="300">
        <v>0</v>
      </c>
      <c r="AT657" s="299">
        <v>0</v>
      </c>
      <c r="AU657" s="300">
        <v>0</v>
      </c>
      <c r="AV657" s="300">
        <v>0</v>
      </c>
      <c r="AW657" s="300">
        <v>0</v>
      </c>
      <c r="AX657" s="300">
        <v>0</v>
      </c>
      <c r="AY657" s="299">
        <v>0</v>
      </c>
      <c r="AZ657" s="300">
        <v>0</v>
      </c>
      <c r="BA657" s="300">
        <v>0</v>
      </c>
      <c r="BB657" s="300">
        <v>0</v>
      </c>
      <c r="BC657" s="300">
        <v>0</v>
      </c>
      <c r="BD657" s="299">
        <v>0</v>
      </c>
      <c r="BE657" s="300">
        <v>0</v>
      </c>
      <c r="BF657" s="300">
        <v>0</v>
      </c>
      <c r="BG657" s="300">
        <v>0</v>
      </c>
      <c r="BH657" s="300">
        <v>0</v>
      </c>
      <c r="BI657" s="304">
        <v>0</v>
      </c>
      <c r="BJ657" s="300">
        <v>0</v>
      </c>
      <c r="BK657" s="300">
        <v>0</v>
      </c>
      <c r="BL657" s="300">
        <v>0</v>
      </c>
      <c r="BM657" s="300">
        <v>0</v>
      </c>
      <c r="BN657" s="299">
        <v>0</v>
      </c>
      <c r="BO657" s="300">
        <v>0</v>
      </c>
      <c r="BP657" s="300">
        <v>0</v>
      </c>
      <c r="BQ657" s="300">
        <v>0</v>
      </c>
      <c r="BR657" s="300">
        <v>0</v>
      </c>
      <c r="BS657" s="299">
        <v>0</v>
      </c>
      <c r="BT657" s="299">
        <v>0</v>
      </c>
      <c r="BU657" s="299">
        <v>0</v>
      </c>
      <c r="BV657" s="299">
        <v>0</v>
      </c>
      <c r="BW657" s="247"/>
    </row>
    <row r="658" spans="1:75" s="169" customFormat="1" ht="14.25" x14ac:dyDescent="0.45">
      <c r="A658" s="184" t="s">
        <v>762</v>
      </c>
      <c r="B658" s="489"/>
      <c r="C658" s="299"/>
      <c r="D658" s="299"/>
      <c r="E658" s="299">
        <v>0</v>
      </c>
      <c r="F658" s="299">
        <v>0</v>
      </c>
      <c r="G658" s="300">
        <v>0</v>
      </c>
      <c r="H658" s="300">
        <v>0</v>
      </c>
      <c r="I658" s="300">
        <v>0</v>
      </c>
      <c r="J658" s="300">
        <v>0</v>
      </c>
      <c r="K658" s="299">
        <v>0</v>
      </c>
      <c r="L658" s="300">
        <v>0</v>
      </c>
      <c r="M658" s="300">
        <v>0</v>
      </c>
      <c r="N658" s="300">
        <v>0</v>
      </c>
      <c r="O658" s="300">
        <v>0</v>
      </c>
      <c r="P658" s="299">
        <v>0</v>
      </c>
      <c r="Q658" s="300">
        <v>0</v>
      </c>
      <c r="R658" s="300">
        <v>0</v>
      </c>
      <c r="S658" s="300">
        <v>0</v>
      </c>
      <c r="T658" s="300">
        <v>0</v>
      </c>
      <c r="U658" s="299">
        <v>0</v>
      </c>
      <c r="V658" s="300">
        <v>2.069</v>
      </c>
      <c r="W658" s="300">
        <v>0.77800000000000002</v>
      </c>
      <c r="X658" s="300">
        <v>0</v>
      </c>
      <c r="Y658" s="300">
        <v>0</v>
      </c>
      <c r="Z658" s="299">
        <v>2.847</v>
      </c>
      <c r="AA658" s="300">
        <v>0</v>
      </c>
      <c r="AB658" s="300">
        <v>0</v>
      </c>
      <c r="AC658" s="300">
        <v>0</v>
      </c>
      <c r="AD658" s="300">
        <v>0</v>
      </c>
      <c r="AE658" s="299">
        <v>0</v>
      </c>
      <c r="AF658" s="300">
        <v>0</v>
      </c>
      <c r="AG658" s="300">
        <v>0</v>
      </c>
      <c r="AH658" s="300">
        <v>0</v>
      </c>
      <c r="AI658" s="300">
        <v>0</v>
      </c>
      <c r="AJ658" s="299">
        <v>0</v>
      </c>
      <c r="AK658" s="300">
        <v>0</v>
      </c>
      <c r="AL658" s="300">
        <v>0</v>
      </c>
      <c r="AM658" s="300">
        <v>0</v>
      </c>
      <c r="AN658" s="300">
        <v>0</v>
      </c>
      <c r="AO658" s="299">
        <v>0</v>
      </c>
      <c r="AP658" s="300">
        <v>0</v>
      </c>
      <c r="AQ658" s="300">
        <v>0</v>
      </c>
      <c r="AR658" s="300">
        <v>0</v>
      </c>
      <c r="AS658" s="300">
        <v>0</v>
      </c>
      <c r="AT658" s="299">
        <v>0</v>
      </c>
      <c r="AU658" s="300">
        <v>0</v>
      </c>
      <c r="AV658" s="300">
        <v>0</v>
      </c>
      <c r="AW658" s="300">
        <v>0</v>
      </c>
      <c r="AX658" s="300">
        <v>0</v>
      </c>
      <c r="AY658" s="299">
        <v>0</v>
      </c>
      <c r="AZ658" s="300">
        <v>0</v>
      </c>
      <c r="BA658" s="300">
        <v>0</v>
      </c>
      <c r="BB658" s="300">
        <v>0</v>
      </c>
      <c r="BC658" s="300">
        <v>0</v>
      </c>
      <c r="BD658" s="299">
        <v>0</v>
      </c>
      <c r="BE658" s="300">
        <v>0</v>
      </c>
      <c r="BF658" s="300">
        <v>0</v>
      </c>
      <c r="BG658" s="300">
        <v>0</v>
      </c>
      <c r="BH658" s="300">
        <v>0</v>
      </c>
      <c r="BI658" s="304">
        <v>0</v>
      </c>
      <c r="BJ658" s="300">
        <v>0</v>
      </c>
      <c r="BK658" s="300">
        <v>0</v>
      </c>
      <c r="BL658" s="300">
        <v>0</v>
      </c>
      <c r="BM658" s="300">
        <v>0</v>
      </c>
      <c r="BN658" s="299">
        <v>0</v>
      </c>
      <c r="BO658" s="300">
        <v>0</v>
      </c>
      <c r="BP658" s="300">
        <v>0</v>
      </c>
      <c r="BQ658" s="300">
        <v>0</v>
      </c>
      <c r="BR658" s="300">
        <v>0</v>
      </c>
      <c r="BS658" s="299">
        <v>0</v>
      </c>
      <c r="BT658" s="299">
        <v>0</v>
      </c>
      <c r="BU658" s="299">
        <v>0</v>
      </c>
      <c r="BV658" s="299">
        <v>0</v>
      </c>
      <c r="BW658" s="247"/>
    </row>
    <row r="659" spans="1:75" s="169" customFormat="1" ht="14.25" x14ac:dyDescent="0.45">
      <c r="A659" s="184" t="s">
        <v>763</v>
      </c>
      <c r="B659" s="489"/>
      <c r="C659" s="299"/>
      <c r="D659" s="299"/>
      <c r="E659" s="299">
        <v>0</v>
      </c>
      <c r="F659" s="299">
        <v>0</v>
      </c>
      <c r="G659" s="300">
        <v>0</v>
      </c>
      <c r="H659" s="300">
        <v>0</v>
      </c>
      <c r="I659" s="300">
        <v>0</v>
      </c>
      <c r="J659" s="300">
        <v>0</v>
      </c>
      <c r="K659" s="299">
        <v>0</v>
      </c>
      <c r="L659" s="300">
        <v>0</v>
      </c>
      <c r="M659" s="300">
        <v>0</v>
      </c>
      <c r="N659" s="300">
        <v>0</v>
      </c>
      <c r="O659" s="300">
        <v>0</v>
      </c>
      <c r="P659" s="299">
        <v>0</v>
      </c>
      <c r="Q659" s="300">
        <v>0</v>
      </c>
      <c r="R659" s="300">
        <v>0</v>
      </c>
      <c r="S659" s="300">
        <v>0</v>
      </c>
      <c r="T659" s="300">
        <v>0</v>
      </c>
      <c r="U659" s="299">
        <v>0</v>
      </c>
      <c r="V659" s="300">
        <v>0</v>
      </c>
      <c r="W659" s="300">
        <v>0</v>
      </c>
      <c r="X659" s="300">
        <v>0</v>
      </c>
      <c r="Y659" s="300">
        <v>0</v>
      </c>
      <c r="Z659" s="299">
        <v>0</v>
      </c>
      <c r="AA659" s="300">
        <v>0</v>
      </c>
      <c r="AB659" s="300">
        <v>0</v>
      </c>
      <c r="AC659" s="300">
        <v>0</v>
      </c>
      <c r="AD659" s="300">
        <v>0</v>
      </c>
      <c r="AE659" s="299">
        <v>0</v>
      </c>
      <c r="AF659" s="300">
        <v>0</v>
      </c>
      <c r="AG659" s="300">
        <v>0</v>
      </c>
      <c r="AH659" s="300">
        <v>0</v>
      </c>
      <c r="AI659" s="300">
        <v>0</v>
      </c>
      <c r="AJ659" s="299">
        <v>0</v>
      </c>
      <c r="AK659" s="300">
        <v>0</v>
      </c>
      <c r="AL659" s="300">
        <v>0</v>
      </c>
      <c r="AM659" s="300">
        <v>0</v>
      </c>
      <c r="AN659" s="300">
        <v>0</v>
      </c>
      <c r="AO659" s="299">
        <v>0</v>
      </c>
      <c r="AP659" s="300">
        <v>0</v>
      </c>
      <c r="AQ659" s="300">
        <v>9.3520000000000003</v>
      </c>
      <c r="AR659" s="300">
        <v>0</v>
      </c>
      <c r="AS659" s="300">
        <v>0</v>
      </c>
      <c r="AT659" s="299">
        <v>9.3520000000000003</v>
      </c>
      <c r="AU659" s="300">
        <v>0</v>
      </c>
      <c r="AV659" s="300">
        <v>0</v>
      </c>
      <c r="AW659" s="300">
        <v>0</v>
      </c>
      <c r="AX659" s="300">
        <v>0</v>
      </c>
      <c r="AY659" s="299">
        <v>0</v>
      </c>
      <c r="AZ659" s="300">
        <v>0</v>
      </c>
      <c r="BA659" s="300">
        <v>0</v>
      </c>
      <c r="BB659" s="300">
        <v>0</v>
      </c>
      <c r="BC659" s="300">
        <v>0</v>
      </c>
      <c r="BD659" s="299">
        <v>0</v>
      </c>
      <c r="BE659" s="300">
        <v>0</v>
      </c>
      <c r="BF659" s="300">
        <v>0</v>
      </c>
      <c r="BG659" s="300">
        <v>0</v>
      </c>
      <c r="BH659" s="300">
        <v>0</v>
      </c>
      <c r="BI659" s="304">
        <v>0</v>
      </c>
      <c r="BJ659" s="300">
        <v>0</v>
      </c>
      <c r="BK659" s="300">
        <v>0</v>
      </c>
      <c r="BL659" s="300">
        <v>0</v>
      </c>
      <c r="BM659" s="300">
        <v>0</v>
      </c>
      <c r="BN659" s="299">
        <v>0</v>
      </c>
      <c r="BO659" s="300">
        <v>0</v>
      </c>
      <c r="BP659" s="300">
        <v>0</v>
      </c>
      <c r="BQ659" s="300">
        <v>0</v>
      </c>
      <c r="BR659" s="300">
        <v>0</v>
      </c>
      <c r="BS659" s="299">
        <v>0</v>
      </c>
      <c r="BT659" s="299">
        <v>0</v>
      </c>
      <c r="BU659" s="299">
        <v>0</v>
      </c>
      <c r="BV659" s="299">
        <v>0</v>
      </c>
      <c r="BW659" s="247"/>
    </row>
    <row r="660" spans="1:75" s="169" customFormat="1" ht="14.25" x14ac:dyDescent="0.45">
      <c r="A660" s="184" t="s">
        <v>764</v>
      </c>
      <c r="B660" s="489"/>
      <c r="C660" s="299"/>
      <c r="D660" s="299"/>
      <c r="E660" s="299">
        <v>3.11</v>
      </c>
      <c r="F660" s="299">
        <v>-0.38600000000000001</v>
      </c>
      <c r="G660" s="300">
        <v>0</v>
      </c>
      <c r="H660" s="300">
        <v>0</v>
      </c>
      <c r="I660" s="300">
        <v>0</v>
      </c>
      <c r="J660" s="300">
        <v>0</v>
      </c>
      <c r="K660" s="299">
        <v>0</v>
      </c>
      <c r="L660" s="300">
        <v>0</v>
      </c>
      <c r="M660" s="300">
        <v>0</v>
      </c>
      <c r="N660" s="300">
        <v>0</v>
      </c>
      <c r="O660" s="300">
        <v>0</v>
      </c>
      <c r="P660" s="299">
        <v>0</v>
      </c>
      <c r="Q660" s="300">
        <v>0</v>
      </c>
      <c r="R660" s="300">
        <v>0</v>
      </c>
      <c r="S660" s="300">
        <v>0</v>
      </c>
      <c r="T660" s="300">
        <v>0</v>
      </c>
      <c r="U660" s="299">
        <v>0</v>
      </c>
      <c r="V660" s="300">
        <v>0</v>
      </c>
      <c r="W660" s="300">
        <v>0</v>
      </c>
      <c r="X660" s="300">
        <v>0</v>
      </c>
      <c r="Y660" s="300">
        <v>0</v>
      </c>
      <c r="Z660" s="299">
        <v>0</v>
      </c>
      <c r="AA660" s="300">
        <v>0</v>
      </c>
      <c r="AB660" s="300">
        <v>0</v>
      </c>
      <c r="AC660" s="300">
        <v>0</v>
      </c>
      <c r="AD660" s="300">
        <v>4.4169999999999998</v>
      </c>
      <c r="AE660" s="299">
        <v>4.4169999999999998</v>
      </c>
      <c r="AF660" s="300">
        <v>0</v>
      </c>
      <c r="AG660" s="300">
        <v>0</v>
      </c>
      <c r="AH660" s="300">
        <v>3.411</v>
      </c>
      <c r="AI660" s="300">
        <v>0</v>
      </c>
      <c r="AJ660" s="299">
        <v>3.411</v>
      </c>
      <c r="AK660" s="300">
        <v>0</v>
      </c>
      <c r="AL660" s="300">
        <v>0</v>
      </c>
      <c r="AM660" s="300">
        <v>0</v>
      </c>
      <c r="AN660" s="300">
        <v>0</v>
      </c>
      <c r="AO660" s="299">
        <v>0</v>
      </c>
      <c r="AP660" s="300">
        <v>0</v>
      </c>
      <c r="AQ660" s="300">
        <v>0</v>
      </c>
      <c r="AR660" s="300">
        <v>0</v>
      </c>
      <c r="AS660" s="300">
        <v>0</v>
      </c>
      <c r="AT660" s="299">
        <v>0</v>
      </c>
      <c r="AU660" s="300">
        <v>0</v>
      </c>
      <c r="AV660" s="300">
        <v>0</v>
      </c>
      <c r="AW660" s="300">
        <v>0</v>
      </c>
      <c r="AX660" s="300">
        <v>0</v>
      </c>
      <c r="AY660" s="299">
        <v>0</v>
      </c>
      <c r="AZ660" s="300">
        <v>0</v>
      </c>
      <c r="BA660" s="300">
        <v>0</v>
      </c>
      <c r="BB660" s="300">
        <v>0</v>
      </c>
      <c r="BC660" s="300">
        <v>0</v>
      </c>
      <c r="BD660" s="299">
        <v>0</v>
      </c>
      <c r="BE660" s="300">
        <v>0</v>
      </c>
      <c r="BF660" s="300">
        <v>0</v>
      </c>
      <c r="BG660" s="300">
        <v>0</v>
      </c>
      <c r="BH660" s="300">
        <v>0</v>
      </c>
      <c r="BI660" s="304">
        <v>0</v>
      </c>
      <c r="BJ660" s="300">
        <v>0</v>
      </c>
      <c r="BK660" s="300">
        <v>0</v>
      </c>
      <c r="BL660" s="300">
        <v>0</v>
      </c>
      <c r="BM660" s="300">
        <v>0</v>
      </c>
      <c r="BN660" s="299">
        <v>0</v>
      </c>
      <c r="BO660" s="300">
        <v>0</v>
      </c>
      <c r="BP660" s="300">
        <v>0</v>
      </c>
      <c r="BQ660" s="300">
        <v>0</v>
      </c>
      <c r="BR660" s="300">
        <v>0</v>
      </c>
      <c r="BS660" s="299">
        <v>0</v>
      </c>
      <c r="BT660" s="299">
        <v>0</v>
      </c>
      <c r="BU660" s="299">
        <v>0</v>
      </c>
      <c r="BV660" s="299">
        <v>0</v>
      </c>
      <c r="BW660" s="247"/>
    </row>
    <row r="661" spans="1:75" s="169" customFormat="1" ht="14.25" x14ac:dyDescent="0.45">
      <c r="A661" s="184" t="s">
        <v>765</v>
      </c>
      <c r="B661" s="489"/>
      <c r="C661" s="299"/>
      <c r="D661" s="299"/>
      <c r="E661" s="299">
        <v>0</v>
      </c>
      <c r="F661" s="299">
        <v>0</v>
      </c>
      <c r="G661" s="300">
        <v>0</v>
      </c>
      <c r="H661" s="300">
        <v>0</v>
      </c>
      <c r="I661" s="300">
        <v>0</v>
      </c>
      <c r="J661" s="300">
        <v>0</v>
      </c>
      <c r="K661" s="299">
        <v>0</v>
      </c>
      <c r="L661" s="300">
        <v>0</v>
      </c>
      <c r="M661" s="300">
        <v>0</v>
      </c>
      <c r="N661" s="300">
        <v>0</v>
      </c>
      <c r="O661" s="300">
        <v>0</v>
      </c>
      <c r="P661" s="299">
        <v>0</v>
      </c>
      <c r="Q661" s="300">
        <v>0</v>
      </c>
      <c r="R661" s="300">
        <v>0</v>
      </c>
      <c r="S661" s="300">
        <v>0</v>
      </c>
      <c r="T661" s="300">
        <v>0</v>
      </c>
      <c r="U661" s="299">
        <v>0</v>
      </c>
      <c r="V661" s="300">
        <v>0</v>
      </c>
      <c r="W661" s="300">
        <v>0</v>
      </c>
      <c r="X661" s="300">
        <v>0</v>
      </c>
      <c r="Y661" s="300">
        <v>0</v>
      </c>
      <c r="Z661" s="299">
        <v>0</v>
      </c>
      <c r="AA661" s="300">
        <v>0</v>
      </c>
      <c r="AB661" s="300">
        <v>0</v>
      </c>
      <c r="AC661" s="300">
        <v>0.83299999999999996</v>
      </c>
      <c r="AD661" s="300">
        <v>4.0129999999999999</v>
      </c>
      <c r="AE661" s="299">
        <v>4.8460000000000001</v>
      </c>
      <c r="AF661" s="300">
        <v>-0.84</v>
      </c>
      <c r="AG661" s="300">
        <v>0</v>
      </c>
      <c r="AH661" s="300">
        <v>3.8860000000000001</v>
      </c>
      <c r="AI661" s="300">
        <v>0</v>
      </c>
      <c r="AJ661" s="299">
        <v>3.0459999999999998</v>
      </c>
      <c r="AK661" s="300">
        <v>0</v>
      </c>
      <c r="AL661" s="300">
        <v>0</v>
      </c>
      <c r="AM661" s="300">
        <v>0</v>
      </c>
      <c r="AN661" s="300">
        <v>0</v>
      </c>
      <c r="AO661" s="299">
        <v>0</v>
      </c>
      <c r="AP661" s="300">
        <v>0</v>
      </c>
      <c r="AQ661" s="300">
        <v>0</v>
      </c>
      <c r="AR661" s="300">
        <v>0</v>
      </c>
      <c r="AS661" s="300">
        <v>0</v>
      </c>
      <c r="AT661" s="299">
        <v>0</v>
      </c>
      <c r="AU661" s="300">
        <v>0</v>
      </c>
      <c r="AV661" s="300">
        <v>0</v>
      </c>
      <c r="AW661" s="300">
        <v>0</v>
      </c>
      <c r="AX661" s="300">
        <v>0</v>
      </c>
      <c r="AY661" s="299">
        <v>0</v>
      </c>
      <c r="AZ661" s="300">
        <v>0</v>
      </c>
      <c r="BA661" s="300">
        <v>0</v>
      </c>
      <c r="BB661" s="300">
        <v>0</v>
      </c>
      <c r="BC661" s="300">
        <v>0</v>
      </c>
      <c r="BD661" s="299">
        <v>0</v>
      </c>
      <c r="BE661" s="300">
        <v>0</v>
      </c>
      <c r="BF661" s="300">
        <v>0</v>
      </c>
      <c r="BG661" s="300">
        <v>0</v>
      </c>
      <c r="BH661" s="300">
        <v>0</v>
      </c>
      <c r="BI661" s="304">
        <v>0</v>
      </c>
      <c r="BJ661" s="300">
        <v>0</v>
      </c>
      <c r="BK661" s="300">
        <v>0</v>
      </c>
      <c r="BL661" s="300">
        <v>0</v>
      </c>
      <c r="BM661" s="300">
        <v>0</v>
      </c>
      <c r="BN661" s="299">
        <v>0</v>
      </c>
      <c r="BO661" s="300">
        <v>0</v>
      </c>
      <c r="BP661" s="300">
        <v>0</v>
      </c>
      <c r="BQ661" s="300">
        <v>0</v>
      </c>
      <c r="BR661" s="300">
        <v>0</v>
      </c>
      <c r="BS661" s="299">
        <v>0</v>
      </c>
      <c r="BT661" s="299">
        <v>0</v>
      </c>
      <c r="BU661" s="299">
        <v>0</v>
      </c>
      <c r="BV661" s="299">
        <v>0</v>
      </c>
      <c r="BW661" s="247"/>
    </row>
    <row r="662" spans="1:75" s="169" customFormat="1" ht="14.25" x14ac:dyDescent="0.45">
      <c r="A662" s="184" t="s">
        <v>766</v>
      </c>
      <c r="B662" s="489"/>
      <c r="C662" s="299"/>
      <c r="D662" s="299"/>
      <c r="E662" s="299">
        <v>0</v>
      </c>
      <c r="F662" s="299">
        <v>0</v>
      </c>
      <c r="G662" s="300">
        <v>0</v>
      </c>
      <c r="H662" s="300">
        <v>0</v>
      </c>
      <c r="I662" s="300">
        <v>0</v>
      </c>
      <c r="J662" s="300">
        <v>0</v>
      </c>
      <c r="K662" s="299">
        <v>0</v>
      </c>
      <c r="L662" s="300">
        <v>0</v>
      </c>
      <c r="M662" s="300">
        <v>0</v>
      </c>
      <c r="N662" s="300">
        <v>0</v>
      </c>
      <c r="O662" s="300">
        <v>0</v>
      </c>
      <c r="P662" s="299">
        <v>0</v>
      </c>
      <c r="Q662" s="300">
        <v>0</v>
      </c>
      <c r="R662" s="300">
        <v>0</v>
      </c>
      <c r="S662" s="300">
        <v>0</v>
      </c>
      <c r="T662" s="300">
        <v>0</v>
      </c>
      <c r="U662" s="299">
        <v>0</v>
      </c>
      <c r="V662" s="300">
        <v>0</v>
      </c>
      <c r="W662" s="300">
        <v>0</v>
      </c>
      <c r="X662" s="300">
        <v>0</v>
      </c>
      <c r="Y662" s="300">
        <v>4.6150000000000002</v>
      </c>
      <c r="Z662" s="299">
        <v>4.6150000000000002</v>
      </c>
      <c r="AA662" s="300">
        <v>0</v>
      </c>
      <c r="AB662" s="300">
        <v>4.7329999999999997</v>
      </c>
      <c r="AC662" s="300">
        <v>3.552</v>
      </c>
      <c r="AD662" s="300">
        <v>-0.57799999999999996</v>
      </c>
      <c r="AE662" s="299">
        <v>7.7069999999999999</v>
      </c>
      <c r="AF662" s="300">
        <v>-0.254</v>
      </c>
      <c r="AG662" s="300">
        <v>-1.0640000000000001</v>
      </c>
      <c r="AH662" s="300">
        <v>3.9860000000000002</v>
      </c>
      <c r="AI662" s="300">
        <v>-1.0489999999999999</v>
      </c>
      <c r="AJ662" s="299">
        <v>1.619</v>
      </c>
      <c r="AK662" s="300">
        <v>-1.615</v>
      </c>
      <c r="AL662" s="300">
        <v>-0.32</v>
      </c>
      <c r="AM662" s="300">
        <v>-2.0529999999999999</v>
      </c>
      <c r="AN662" s="300">
        <v>0</v>
      </c>
      <c r="AO662" s="299">
        <v>-3.988</v>
      </c>
      <c r="AP662" s="300">
        <v>0</v>
      </c>
      <c r="AQ662" s="300">
        <v>4.78</v>
      </c>
      <c r="AR662" s="300">
        <v>0.78100000000000003</v>
      </c>
      <c r="AS662" s="300">
        <v>1.8089999999999999</v>
      </c>
      <c r="AT662" s="299">
        <v>7.37</v>
      </c>
      <c r="AU662" s="300">
        <v>0.5</v>
      </c>
      <c r="AV662" s="300">
        <v>0</v>
      </c>
      <c r="AW662" s="300">
        <v>0.34</v>
      </c>
      <c r="AX662" s="300">
        <v>1.1000000000000001</v>
      </c>
      <c r="AY662" s="299">
        <v>1.94</v>
      </c>
      <c r="AZ662" s="300">
        <v>0.56000000000000005</v>
      </c>
      <c r="BA662" s="300">
        <v>0</v>
      </c>
      <c r="BB662" s="300">
        <v>0</v>
      </c>
      <c r="BC662" s="300">
        <v>0</v>
      </c>
      <c r="BD662" s="299">
        <v>0.56000000000000005</v>
      </c>
      <c r="BE662" s="300">
        <v>0</v>
      </c>
      <c r="BF662" s="300">
        <v>0</v>
      </c>
      <c r="BG662" s="300">
        <v>-1.5760000000000001</v>
      </c>
      <c r="BH662" s="300">
        <v>0</v>
      </c>
      <c r="BI662" s="304">
        <v>-1.5760000000000001</v>
      </c>
      <c r="BJ662" s="300">
        <v>0</v>
      </c>
      <c r="BK662" s="300">
        <v>0</v>
      </c>
      <c r="BL662" s="300">
        <v>0</v>
      </c>
      <c r="BM662" s="300">
        <v>0</v>
      </c>
      <c r="BN662" s="299">
        <v>0</v>
      </c>
      <c r="BO662" s="300">
        <v>0</v>
      </c>
      <c r="BP662" s="300">
        <v>0</v>
      </c>
      <c r="BQ662" s="300">
        <v>0</v>
      </c>
      <c r="BR662" s="300">
        <v>0</v>
      </c>
      <c r="BS662" s="299">
        <v>0</v>
      </c>
      <c r="BT662" s="299">
        <v>0</v>
      </c>
      <c r="BU662" s="299">
        <v>0</v>
      </c>
      <c r="BV662" s="299">
        <v>0</v>
      </c>
      <c r="BW662" s="247"/>
    </row>
    <row r="663" spans="1:75" s="169" customFormat="1" ht="14.25" x14ac:dyDescent="0.45">
      <c r="A663" s="184" t="s">
        <v>767</v>
      </c>
      <c r="B663" s="489"/>
      <c r="C663" s="299"/>
      <c r="D663" s="299"/>
      <c r="E663" s="299">
        <v>0</v>
      </c>
      <c r="F663" s="299">
        <v>0</v>
      </c>
      <c r="G663" s="300">
        <v>0</v>
      </c>
      <c r="H663" s="300">
        <v>0</v>
      </c>
      <c r="I663" s="300">
        <v>0</v>
      </c>
      <c r="J663" s="300">
        <v>0</v>
      </c>
      <c r="K663" s="299">
        <v>0</v>
      </c>
      <c r="L663" s="300">
        <v>0</v>
      </c>
      <c r="M663" s="300">
        <v>0</v>
      </c>
      <c r="N663" s="300">
        <v>0</v>
      </c>
      <c r="O663" s="300">
        <v>0</v>
      </c>
      <c r="P663" s="299">
        <v>0</v>
      </c>
      <c r="Q663" s="300">
        <v>0</v>
      </c>
      <c r="R663" s="300">
        <v>0</v>
      </c>
      <c r="S663" s="300">
        <v>0</v>
      </c>
      <c r="T663" s="300">
        <v>0</v>
      </c>
      <c r="U663" s="299">
        <v>0</v>
      </c>
      <c r="V663" s="300">
        <v>0</v>
      </c>
      <c r="W663" s="300">
        <v>0</v>
      </c>
      <c r="X663" s="300">
        <v>0</v>
      </c>
      <c r="Y663" s="300">
        <v>0</v>
      </c>
      <c r="Z663" s="299">
        <v>0</v>
      </c>
      <c r="AA663" s="300">
        <v>0</v>
      </c>
      <c r="AB663" s="300">
        <v>-1.3</v>
      </c>
      <c r="AC663" s="300">
        <v>-0.81899999999999995</v>
      </c>
      <c r="AD663" s="300">
        <v>0</v>
      </c>
      <c r="AE663" s="299">
        <v>-2.1190000000000002</v>
      </c>
      <c r="AF663" s="300">
        <v>0</v>
      </c>
      <c r="AG663" s="300">
        <v>0</v>
      </c>
      <c r="AH663" s="300">
        <v>0</v>
      </c>
      <c r="AI663" s="300">
        <v>0</v>
      </c>
      <c r="AJ663" s="299">
        <v>0</v>
      </c>
      <c r="AK663" s="300">
        <v>0</v>
      </c>
      <c r="AL663" s="300">
        <v>0</v>
      </c>
      <c r="AM663" s="300">
        <v>0</v>
      </c>
      <c r="AN663" s="300">
        <v>0</v>
      </c>
      <c r="AO663" s="299">
        <v>0</v>
      </c>
      <c r="AP663" s="300">
        <v>0</v>
      </c>
      <c r="AQ663" s="300">
        <v>0</v>
      </c>
      <c r="AR663" s="300">
        <v>0</v>
      </c>
      <c r="AS663" s="300">
        <v>0</v>
      </c>
      <c r="AT663" s="299">
        <v>0</v>
      </c>
      <c r="AU663" s="300">
        <v>0</v>
      </c>
      <c r="AV663" s="300">
        <v>0</v>
      </c>
      <c r="AW663" s="300">
        <v>0</v>
      </c>
      <c r="AX663" s="300">
        <v>0</v>
      </c>
      <c r="AY663" s="299">
        <v>0</v>
      </c>
      <c r="AZ663" s="300">
        <v>0</v>
      </c>
      <c r="BA663" s="300">
        <v>0</v>
      </c>
      <c r="BB663" s="300">
        <v>-0.77500000000000002</v>
      </c>
      <c r="BC663" s="300">
        <v>0</v>
      </c>
      <c r="BD663" s="299">
        <v>-0.77500000000000002</v>
      </c>
      <c r="BE663" s="300">
        <v>0</v>
      </c>
      <c r="BF663" s="300">
        <v>0</v>
      </c>
      <c r="BG663" s="300">
        <v>0</v>
      </c>
      <c r="BH663" s="300">
        <v>0</v>
      </c>
      <c r="BI663" s="304">
        <v>0</v>
      </c>
      <c r="BJ663" s="300">
        <v>0</v>
      </c>
      <c r="BK663" s="300">
        <v>0</v>
      </c>
      <c r="BL663" s="300">
        <v>0</v>
      </c>
      <c r="BM663" s="300">
        <v>0</v>
      </c>
      <c r="BN663" s="299">
        <v>0</v>
      </c>
      <c r="BO663" s="300">
        <v>0</v>
      </c>
      <c r="BP663" s="300">
        <v>0</v>
      </c>
      <c r="BQ663" s="300">
        <v>0</v>
      </c>
      <c r="BR663" s="300">
        <v>0</v>
      </c>
      <c r="BS663" s="299">
        <v>0</v>
      </c>
      <c r="BT663" s="299">
        <v>0</v>
      </c>
      <c r="BU663" s="299">
        <v>0</v>
      </c>
      <c r="BV663" s="299">
        <v>0</v>
      </c>
      <c r="BW663" s="247"/>
    </row>
    <row r="664" spans="1:75" s="169" customFormat="1" ht="14.25" x14ac:dyDescent="0.45">
      <c r="A664" s="184" t="s">
        <v>768</v>
      </c>
      <c r="B664" s="489"/>
      <c r="C664" s="299"/>
      <c r="D664" s="299"/>
      <c r="E664" s="299">
        <v>0</v>
      </c>
      <c r="F664" s="299">
        <v>0</v>
      </c>
      <c r="G664" s="300">
        <v>0</v>
      </c>
      <c r="H664" s="300">
        <v>0</v>
      </c>
      <c r="I664" s="300">
        <v>0</v>
      </c>
      <c r="J664" s="300">
        <v>0</v>
      </c>
      <c r="K664" s="299">
        <v>0</v>
      </c>
      <c r="L664" s="300">
        <v>9.1999999999999993</v>
      </c>
      <c r="M664" s="300">
        <v>0</v>
      </c>
      <c r="N664" s="300">
        <v>0</v>
      </c>
      <c r="O664" s="300">
        <v>-1.5</v>
      </c>
      <c r="P664" s="299">
        <v>7.7</v>
      </c>
      <c r="Q664" s="300">
        <v>1.5680000000000001</v>
      </c>
      <c r="R664" s="300">
        <v>5.4740000000000002</v>
      </c>
      <c r="S664" s="300">
        <v>5.0759999999999996</v>
      </c>
      <c r="T664" s="300">
        <v>6.9279999999999999</v>
      </c>
      <c r="U664" s="299">
        <v>19.045999999999999</v>
      </c>
      <c r="V664" s="300">
        <v>8.7010000000000005</v>
      </c>
      <c r="W664" s="300">
        <v>0</v>
      </c>
      <c r="X664" s="300">
        <v>0</v>
      </c>
      <c r="Y664" s="300">
        <v>0</v>
      </c>
      <c r="Z664" s="299">
        <v>8.7010000000000005</v>
      </c>
      <c r="AA664" s="300">
        <v>0</v>
      </c>
      <c r="AB664" s="300">
        <v>0</v>
      </c>
      <c r="AC664" s="300">
        <v>0</v>
      </c>
      <c r="AD664" s="300">
        <v>0</v>
      </c>
      <c r="AE664" s="299">
        <v>0</v>
      </c>
      <c r="AF664" s="300">
        <v>1.915</v>
      </c>
      <c r="AG664" s="300">
        <v>-7.2039999999999997</v>
      </c>
      <c r="AH664" s="300">
        <v>0</v>
      </c>
      <c r="AI664" s="300">
        <v>0</v>
      </c>
      <c r="AJ664" s="299">
        <v>-5.2889999999999997</v>
      </c>
      <c r="AK664" s="300">
        <v>0</v>
      </c>
      <c r="AL664" s="300">
        <v>-1.1930000000000001</v>
      </c>
      <c r="AM664" s="300">
        <v>0</v>
      </c>
      <c r="AN664" s="300">
        <v>0</v>
      </c>
      <c r="AO664" s="299">
        <v>-1.1930000000000001</v>
      </c>
      <c r="AP664" s="300">
        <v>0</v>
      </c>
      <c r="AQ664" s="300">
        <v>0</v>
      </c>
      <c r="AR664" s="300">
        <v>0</v>
      </c>
      <c r="AS664" s="300">
        <v>0</v>
      </c>
      <c r="AT664" s="299">
        <v>0</v>
      </c>
      <c r="AU664" s="300">
        <v>0</v>
      </c>
      <c r="AV664" s="300">
        <v>0</v>
      </c>
      <c r="AW664" s="300">
        <v>0</v>
      </c>
      <c r="AX664" s="300">
        <v>0</v>
      </c>
      <c r="AY664" s="299">
        <v>0</v>
      </c>
      <c r="AZ664" s="300">
        <v>0</v>
      </c>
      <c r="BA664" s="300">
        <v>0</v>
      </c>
      <c r="BB664" s="300">
        <v>-4.1879999999999997</v>
      </c>
      <c r="BC664" s="300">
        <v>0</v>
      </c>
      <c r="BD664" s="299">
        <v>-4.1879999999999997</v>
      </c>
      <c r="BE664" s="300">
        <v>0</v>
      </c>
      <c r="BF664" s="300">
        <v>8</v>
      </c>
      <c r="BG664" s="300">
        <v>0</v>
      </c>
      <c r="BH664" s="300">
        <v>0.5</v>
      </c>
      <c r="BI664" s="304">
        <v>8.5</v>
      </c>
      <c r="BJ664" s="300">
        <v>0</v>
      </c>
      <c r="BK664" s="300">
        <v>0</v>
      </c>
      <c r="BL664" s="300">
        <v>0</v>
      </c>
      <c r="BM664" s="300">
        <v>0</v>
      </c>
      <c r="BN664" s="299">
        <v>0</v>
      </c>
      <c r="BO664" s="300">
        <v>0</v>
      </c>
      <c r="BP664" s="300">
        <v>0</v>
      </c>
      <c r="BQ664" s="300">
        <v>0</v>
      </c>
      <c r="BR664" s="300">
        <v>0</v>
      </c>
      <c r="BS664" s="299">
        <v>0</v>
      </c>
      <c r="BT664" s="299">
        <v>0</v>
      </c>
      <c r="BU664" s="299">
        <v>0</v>
      </c>
      <c r="BV664" s="299">
        <v>0</v>
      </c>
      <c r="BW664" s="247"/>
    </row>
    <row r="665" spans="1:75" s="169" customFormat="1" ht="14.25" x14ac:dyDescent="0.45">
      <c r="A665" s="184" t="s">
        <v>769</v>
      </c>
      <c r="B665" s="489"/>
      <c r="C665" s="299"/>
      <c r="D665" s="299"/>
      <c r="E665" s="299">
        <v>0</v>
      </c>
      <c r="F665" s="299">
        <v>3.25</v>
      </c>
      <c r="G665" s="300">
        <v>0</v>
      </c>
      <c r="H665" s="300">
        <v>0</v>
      </c>
      <c r="I665" s="300">
        <v>0</v>
      </c>
      <c r="J665" s="300">
        <v>0</v>
      </c>
      <c r="K665" s="299">
        <v>0</v>
      </c>
      <c r="L665" s="300">
        <v>0</v>
      </c>
      <c r="M665" s="300">
        <v>0</v>
      </c>
      <c r="N665" s="300">
        <v>0</v>
      </c>
      <c r="O665" s="300">
        <v>0</v>
      </c>
      <c r="P665" s="299">
        <v>0</v>
      </c>
      <c r="Q665" s="300">
        <v>0</v>
      </c>
      <c r="R665" s="300">
        <v>0</v>
      </c>
      <c r="S665" s="300">
        <v>0</v>
      </c>
      <c r="T665" s="300">
        <v>0</v>
      </c>
      <c r="U665" s="299">
        <v>0</v>
      </c>
      <c r="V665" s="300">
        <v>0</v>
      </c>
      <c r="W665" s="300">
        <v>0</v>
      </c>
      <c r="X665" s="300">
        <v>0</v>
      </c>
      <c r="Y665" s="300">
        <v>0</v>
      </c>
      <c r="Z665" s="299">
        <v>0</v>
      </c>
      <c r="AA665" s="300">
        <v>0</v>
      </c>
      <c r="AB665" s="300">
        <v>0</v>
      </c>
      <c r="AC665" s="300">
        <v>0</v>
      </c>
      <c r="AD665" s="300">
        <v>-2.202</v>
      </c>
      <c r="AE665" s="299">
        <v>-2.202</v>
      </c>
      <c r="AF665" s="300">
        <v>0</v>
      </c>
      <c r="AG665" s="300">
        <v>0</v>
      </c>
      <c r="AH665" s="300">
        <v>0</v>
      </c>
      <c r="AI665" s="300">
        <v>0</v>
      </c>
      <c r="AJ665" s="299">
        <v>0</v>
      </c>
      <c r="AK665" s="300">
        <v>0</v>
      </c>
      <c r="AL665" s="300">
        <v>0</v>
      </c>
      <c r="AM665" s="300">
        <v>0</v>
      </c>
      <c r="AN665" s="300">
        <v>0</v>
      </c>
      <c r="AO665" s="299">
        <v>0</v>
      </c>
      <c r="AP665" s="300">
        <v>0</v>
      </c>
      <c r="AQ665" s="300">
        <v>0</v>
      </c>
      <c r="AR665" s="300">
        <v>0</v>
      </c>
      <c r="AS665" s="300">
        <v>0</v>
      </c>
      <c r="AT665" s="299">
        <v>0</v>
      </c>
      <c r="AU665" s="300">
        <v>0</v>
      </c>
      <c r="AV665" s="300">
        <v>0</v>
      </c>
      <c r="AW665" s="300">
        <v>0</v>
      </c>
      <c r="AX665" s="300">
        <v>0</v>
      </c>
      <c r="AY665" s="299">
        <v>0</v>
      </c>
      <c r="AZ665" s="300">
        <v>0</v>
      </c>
      <c r="BA665" s="300">
        <v>0</v>
      </c>
      <c r="BB665" s="300">
        <v>0</v>
      </c>
      <c r="BC665" s="300">
        <v>0</v>
      </c>
      <c r="BD665" s="299">
        <v>0</v>
      </c>
      <c r="BE665" s="300">
        <v>0</v>
      </c>
      <c r="BF665" s="300">
        <v>0</v>
      </c>
      <c r="BG665" s="300">
        <v>0</v>
      </c>
      <c r="BH665" s="300">
        <v>0</v>
      </c>
      <c r="BI665" s="304">
        <v>0</v>
      </c>
      <c r="BJ665" s="300">
        <v>0</v>
      </c>
      <c r="BK665" s="300">
        <v>0</v>
      </c>
      <c r="BL665" s="300">
        <v>0</v>
      </c>
      <c r="BM665" s="300">
        <v>0</v>
      </c>
      <c r="BN665" s="299">
        <v>0</v>
      </c>
      <c r="BO665" s="300">
        <v>0</v>
      </c>
      <c r="BP665" s="300">
        <v>0</v>
      </c>
      <c r="BQ665" s="300">
        <v>0</v>
      </c>
      <c r="BR665" s="300">
        <v>0</v>
      </c>
      <c r="BS665" s="299">
        <v>0</v>
      </c>
      <c r="BT665" s="299">
        <v>0</v>
      </c>
      <c r="BU665" s="299">
        <v>0</v>
      </c>
      <c r="BV665" s="299">
        <v>0</v>
      </c>
      <c r="BW665" s="247"/>
    </row>
    <row r="666" spans="1:75" s="169" customFormat="1" ht="14.25" x14ac:dyDescent="0.45">
      <c r="A666" s="184" t="s">
        <v>770</v>
      </c>
      <c r="B666" s="489"/>
      <c r="C666" s="299">
        <v>-12.78</v>
      </c>
      <c r="D666" s="299"/>
      <c r="E666" s="299">
        <v>0</v>
      </c>
      <c r="F666" s="299">
        <v>0</v>
      </c>
      <c r="G666" s="300">
        <v>0</v>
      </c>
      <c r="H666" s="300">
        <v>0</v>
      </c>
      <c r="I666" s="300">
        <v>0</v>
      </c>
      <c r="J666" s="300">
        <v>0</v>
      </c>
      <c r="K666" s="299">
        <v>0</v>
      </c>
      <c r="L666" s="300">
        <v>0</v>
      </c>
      <c r="M666" s="300">
        <v>0</v>
      </c>
      <c r="N666" s="300">
        <v>0</v>
      </c>
      <c r="O666" s="300">
        <v>0</v>
      </c>
      <c r="P666" s="299">
        <v>0</v>
      </c>
      <c r="Q666" s="300">
        <v>0</v>
      </c>
      <c r="R666" s="300">
        <v>0</v>
      </c>
      <c r="S666" s="300">
        <v>0</v>
      </c>
      <c r="T666" s="300">
        <v>0</v>
      </c>
      <c r="U666" s="299">
        <v>0</v>
      </c>
      <c r="V666" s="300">
        <v>0</v>
      </c>
      <c r="W666" s="300">
        <v>3.4009999999999998</v>
      </c>
      <c r="X666" s="300">
        <v>1.786</v>
      </c>
      <c r="Y666" s="300">
        <v>1.6479999999999999</v>
      </c>
      <c r="Z666" s="299">
        <v>6.835</v>
      </c>
      <c r="AA666" s="300">
        <v>1.38</v>
      </c>
      <c r="AB666" s="300">
        <v>0.48</v>
      </c>
      <c r="AC666" s="300">
        <v>0.248</v>
      </c>
      <c r="AD666" s="300">
        <v>0.41899999999999998</v>
      </c>
      <c r="AE666" s="299">
        <v>2.5270000000000001</v>
      </c>
      <c r="AF666" s="300">
        <v>0.19</v>
      </c>
      <c r="AG666" s="300">
        <v>0.19</v>
      </c>
      <c r="AH666" s="300">
        <v>0</v>
      </c>
      <c r="AI666" s="300">
        <v>0</v>
      </c>
      <c r="AJ666" s="299">
        <v>0.38</v>
      </c>
      <c r="AK666" s="300">
        <v>0</v>
      </c>
      <c r="AL666" s="300">
        <v>0</v>
      </c>
      <c r="AM666" s="300">
        <v>0</v>
      </c>
      <c r="AN666" s="300">
        <v>0</v>
      </c>
      <c r="AO666" s="299">
        <v>0</v>
      </c>
      <c r="AP666" s="300">
        <v>0</v>
      </c>
      <c r="AQ666" s="300">
        <v>0</v>
      </c>
      <c r="AR666" s="300">
        <v>0</v>
      </c>
      <c r="AS666" s="300">
        <v>0</v>
      </c>
      <c r="AT666" s="299">
        <v>0</v>
      </c>
      <c r="AU666" s="300">
        <v>0</v>
      </c>
      <c r="AV666" s="300">
        <v>0</v>
      </c>
      <c r="AW666" s="300">
        <v>0</v>
      </c>
      <c r="AX666" s="300">
        <v>0</v>
      </c>
      <c r="AY666" s="299">
        <v>0</v>
      </c>
      <c r="AZ666" s="300">
        <v>0</v>
      </c>
      <c r="BA666" s="300">
        <v>0</v>
      </c>
      <c r="BB666" s="300">
        <v>0</v>
      </c>
      <c r="BC666" s="300">
        <v>0</v>
      </c>
      <c r="BD666" s="299">
        <v>0</v>
      </c>
      <c r="BE666" s="300">
        <v>0</v>
      </c>
      <c r="BF666" s="300">
        <v>0</v>
      </c>
      <c r="BG666" s="300">
        <v>0</v>
      </c>
      <c r="BH666" s="300">
        <v>0</v>
      </c>
      <c r="BI666" s="304">
        <v>0</v>
      </c>
      <c r="BJ666" s="300">
        <v>0</v>
      </c>
      <c r="BK666" s="300">
        <v>0</v>
      </c>
      <c r="BL666" s="300">
        <v>0</v>
      </c>
      <c r="BM666" s="300">
        <v>0</v>
      </c>
      <c r="BN666" s="299">
        <v>0</v>
      </c>
      <c r="BO666" s="300">
        <v>0</v>
      </c>
      <c r="BP666" s="300">
        <v>0</v>
      </c>
      <c r="BQ666" s="300">
        <v>0</v>
      </c>
      <c r="BR666" s="300">
        <v>0</v>
      </c>
      <c r="BS666" s="299">
        <v>0</v>
      </c>
      <c r="BT666" s="299">
        <v>0</v>
      </c>
      <c r="BU666" s="299">
        <v>0</v>
      </c>
      <c r="BV666" s="299">
        <v>0</v>
      </c>
      <c r="BW666" s="247"/>
    </row>
    <row r="667" spans="1:75" s="169" customFormat="1" ht="14.25" x14ac:dyDescent="0.45">
      <c r="A667" s="192" t="s">
        <v>771</v>
      </c>
      <c r="B667" s="495"/>
      <c r="C667" s="325">
        <v>-27.564000000000082</v>
      </c>
      <c r="D667" s="325">
        <v>8.1919999999999362</v>
      </c>
      <c r="E667" s="325">
        <v>49.219000000000072</v>
      </c>
      <c r="F667" s="325">
        <v>68.674000000000078</v>
      </c>
      <c r="G667" s="326">
        <v>4.6009999999999813</v>
      </c>
      <c r="H667" s="326">
        <v>34.18</v>
      </c>
      <c r="I667" s="326">
        <v>23.859999999999985</v>
      </c>
      <c r="J667" s="326">
        <v>58.260000000000034</v>
      </c>
      <c r="K667" s="325">
        <v>120.90099999999977</v>
      </c>
      <c r="L667" s="326">
        <v>13.978000000000019</v>
      </c>
      <c r="M667" s="326">
        <v>48.934999999999988</v>
      </c>
      <c r="N667" s="326">
        <v>36.687999999999988</v>
      </c>
      <c r="O667" s="326">
        <v>73.82499999999996</v>
      </c>
      <c r="P667" s="325">
        <v>173.42599999999987</v>
      </c>
      <c r="Q667" s="326">
        <v>18.597000000000012</v>
      </c>
      <c r="R667" s="326">
        <v>61.897000000000034</v>
      </c>
      <c r="S667" s="326">
        <v>49.951999999999948</v>
      </c>
      <c r="T667" s="326">
        <v>74.160999999999945</v>
      </c>
      <c r="U667" s="325">
        <v>204.6069999999998</v>
      </c>
      <c r="V667" s="326">
        <v>0.71000000000003372</v>
      </c>
      <c r="W667" s="326">
        <v>33.174999999999983</v>
      </c>
      <c r="X667" s="326">
        <v>18.145999999999969</v>
      </c>
      <c r="Y667" s="326">
        <v>50.883000000000024</v>
      </c>
      <c r="Z667" s="325">
        <v>102.91400000000003</v>
      </c>
      <c r="AA667" s="326">
        <v>8.276000000000014</v>
      </c>
      <c r="AB667" s="326">
        <v>39.908000000000044</v>
      </c>
      <c r="AC667" s="326">
        <v>48.00499999999991</v>
      </c>
      <c r="AD667" s="326">
        <v>75.109000000000236</v>
      </c>
      <c r="AE667" s="325">
        <v>171.29800000000006</v>
      </c>
      <c r="AF667" s="326">
        <v>49.157999999999959</v>
      </c>
      <c r="AG667" s="326">
        <v>75.466000000000022</v>
      </c>
      <c r="AH667" s="326">
        <v>61.07500000000001</v>
      </c>
      <c r="AI667" s="326">
        <v>101.48499999999989</v>
      </c>
      <c r="AJ667" s="325">
        <v>287.1839999999998</v>
      </c>
      <c r="AK667" s="326">
        <v>70.494000000000014</v>
      </c>
      <c r="AL667" s="326">
        <v>105.01300000000003</v>
      </c>
      <c r="AM667" s="326">
        <v>87.760999999999953</v>
      </c>
      <c r="AN667" s="326">
        <v>115.82700000000035</v>
      </c>
      <c r="AO667" s="325">
        <v>379.09500000000003</v>
      </c>
      <c r="AP667" s="326">
        <v>48.067000000000007</v>
      </c>
      <c r="AQ667" s="326">
        <v>154.92300000000003</v>
      </c>
      <c r="AR667" s="326">
        <v>225.31100000000009</v>
      </c>
      <c r="AS667" s="326">
        <v>192.24100000000018</v>
      </c>
      <c r="AT667" s="325">
        <v>620.54200000000026</v>
      </c>
      <c r="AU667" s="326">
        <v>194.25200000000004</v>
      </c>
      <c r="AV667" s="326">
        <v>262.65500000000009</v>
      </c>
      <c r="AW667" s="326">
        <v>278.70999999999998</v>
      </c>
      <c r="AX667" s="326">
        <v>227.01099999999985</v>
      </c>
      <c r="AY667" s="325">
        <v>962.62800000000004</v>
      </c>
      <c r="AZ667" s="326">
        <v>236.53000000000003</v>
      </c>
      <c r="BA667" s="326">
        <v>244.73400000000009</v>
      </c>
      <c r="BB667" s="326">
        <v>180.34900000000002</v>
      </c>
      <c r="BC667" s="326">
        <v>128.21299999999971</v>
      </c>
      <c r="BD667" s="325">
        <v>789.82600000000002</v>
      </c>
      <c r="BE667" s="326">
        <v>110.39200000000001</v>
      </c>
      <c r="BF667" s="326">
        <v>161.36400000000003</v>
      </c>
      <c r="BG667" s="326">
        <v>55.163000000000046</v>
      </c>
      <c r="BH667" s="326">
        <v>66.868000000000222</v>
      </c>
      <c r="BI667" s="329">
        <v>393.78700000000021</v>
      </c>
      <c r="BJ667" s="326">
        <v>50.57355055688879</v>
      </c>
      <c r="BK667" s="326">
        <v>149.10355031681883</v>
      </c>
      <c r="BL667" s="326">
        <v>124.48481661928741</v>
      </c>
      <c r="BM667" s="326">
        <v>109.02981374644088</v>
      </c>
      <c r="BN667" s="325">
        <v>433.19173123943597</v>
      </c>
      <c r="BO667" s="326">
        <v>99.686445569457135</v>
      </c>
      <c r="BP667" s="326">
        <v>184.59997162960707</v>
      </c>
      <c r="BQ667" s="326">
        <v>148.30292089551352</v>
      </c>
      <c r="BR667" s="326">
        <v>140.63884404544706</v>
      </c>
      <c r="BS667" s="325">
        <v>573.2281821400245</v>
      </c>
      <c r="BT667" s="325">
        <v>654.25112229760998</v>
      </c>
      <c r="BU667" s="325">
        <v>724.58128314173291</v>
      </c>
      <c r="BV667" s="325">
        <v>790.17581846418784</v>
      </c>
      <c r="BW667" s="247"/>
    </row>
    <row r="668" spans="1:75" s="169" customFormat="1" ht="14.25" x14ac:dyDescent="0.45">
      <c r="A668" s="199" t="s">
        <v>198</v>
      </c>
      <c r="B668" s="490"/>
      <c r="C668" s="411"/>
      <c r="D668" s="411"/>
      <c r="E668" s="411"/>
      <c r="F668" s="411"/>
      <c r="G668" s="412"/>
      <c r="H668" s="412"/>
      <c r="I668" s="412"/>
      <c r="J668" s="412"/>
      <c r="K668" s="411"/>
      <c r="L668" s="412"/>
      <c r="M668" s="412"/>
      <c r="N668" s="412"/>
      <c r="O668" s="412"/>
      <c r="P668" s="411"/>
      <c r="Q668" s="412"/>
      <c r="R668" s="412"/>
      <c r="S668" s="412"/>
      <c r="T668" s="412"/>
      <c r="U668" s="411"/>
      <c r="V668" s="412"/>
      <c r="W668" s="412"/>
      <c r="X668" s="412"/>
      <c r="Y668" s="412"/>
      <c r="Z668" s="411"/>
      <c r="AA668" s="412"/>
      <c r="AB668" s="412"/>
      <c r="AC668" s="412"/>
      <c r="AD668" s="412"/>
      <c r="AE668" s="411"/>
      <c r="AF668" s="412"/>
      <c r="AG668" s="412"/>
      <c r="AH668" s="412"/>
      <c r="AI668" s="412"/>
      <c r="AJ668" s="411"/>
      <c r="AK668" s="412"/>
      <c r="AL668" s="412"/>
      <c r="AM668" s="412"/>
      <c r="AN668" s="412"/>
      <c r="AO668" s="411"/>
      <c r="AP668" s="412"/>
      <c r="AQ668" s="412"/>
      <c r="AR668" s="412"/>
      <c r="AS668" s="412"/>
      <c r="AT668" s="411"/>
      <c r="AU668" s="412"/>
      <c r="AV668" s="412"/>
      <c r="AW668" s="412"/>
      <c r="AX668" s="412"/>
      <c r="AY668" s="411"/>
      <c r="AZ668" s="412"/>
      <c r="BA668" s="412"/>
      <c r="BB668" s="412"/>
      <c r="BC668" s="412"/>
      <c r="BD668" s="411"/>
      <c r="BE668" s="412"/>
      <c r="BF668" s="412"/>
      <c r="BG668" s="412"/>
      <c r="BH668" s="412"/>
      <c r="BI668" s="488"/>
      <c r="BJ668" s="412" t="s">
        <v>189</v>
      </c>
      <c r="BK668" s="412" t="s">
        <v>189</v>
      </c>
      <c r="BL668" s="412" t="s">
        <v>189</v>
      </c>
      <c r="BM668" s="412" t="s">
        <v>189</v>
      </c>
      <c r="BN668" s="411" t="s">
        <v>189</v>
      </c>
      <c r="BO668" s="412" t="s">
        <v>189</v>
      </c>
      <c r="BP668" s="412" t="s">
        <v>189</v>
      </c>
      <c r="BQ668" s="412" t="s">
        <v>189</v>
      </c>
      <c r="BR668" s="412" t="s">
        <v>189</v>
      </c>
      <c r="BS668" s="411" t="s">
        <v>189</v>
      </c>
      <c r="BT668" s="411" t="s">
        <v>189</v>
      </c>
      <c r="BU668" s="411" t="s">
        <v>189</v>
      </c>
      <c r="BV668" s="411" t="s">
        <v>189</v>
      </c>
      <c r="BW668" s="247"/>
    </row>
    <row r="669" spans="1:75" s="169" customFormat="1" ht="14.25" x14ac:dyDescent="0.45">
      <c r="A669" s="199" t="s">
        <v>772</v>
      </c>
      <c r="B669" s="490"/>
      <c r="C669" s="411"/>
      <c r="D669" s="411">
        <v>35.756000000000014</v>
      </c>
      <c r="E669" s="411">
        <v>41.027000000000136</v>
      </c>
      <c r="F669" s="411">
        <v>19.455000000000005</v>
      </c>
      <c r="G669" s="412"/>
      <c r="H669" s="412"/>
      <c r="I669" s="412"/>
      <c r="J669" s="412"/>
      <c r="K669" s="411">
        <v>52.226999999999691</v>
      </c>
      <c r="L669" s="412">
        <v>9.377000000000038</v>
      </c>
      <c r="M669" s="412">
        <v>14.754999999999988</v>
      </c>
      <c r="N669" s="412">
        <v>12.828000000000003</v>
      </c>
      <c r="O669" s="412">
        <v>15.564999999999927</v>
      </c>
      <c r="P669" s="411">
        <v>52.525000000000105</v>
      </c>
      <c r="Q669" s="412">
        <v>4.6189999999999927</v>
      </c>
      <c r="R669" s="412">
        <v>12.962000000000046</v>
      </c>
      <c r="S669" s="412">
        <v>13.26399999999996</v>
      </c>
      <c r="T669" s="412">
        <v>0.33599999999998431</v>
      </c>
      <c r="U669" s="411">
        <v>31.180999999999926</v>
      </c>
      <c r="V669" s="412">
        <v>-17.886999999999979</v>
      </c>
      <c r="W669" s="412">
        <v>-28.722000000000051</v>
      </c>
      <c r="X669" s="412">
        <v>-31.80599999999998</v>
      </c>
      <c r="Y669" s="412">
        <v>-23.277999999999921</v>
      </c>
      <c r="Z669" s="411">
        <v>-101.69299999999977</v>
      </c>
      <c r="AA669" s="412">
        <v>7.5659999999999803</v>
      </c>
      <c r="AB669" s="412">
        <v>6.7330000000000609</v>
      </c>
      <c r="AC669" s="412">
        <v>29.858999999999941</v>
      </c>
      <c r="AD669" s="412">
        <v>24.226000000000212</v>
      </c>
      <c r="AE669" s="411">
        <v>68.384000000000029</v>
      </c>
      <c r="AF669" s="412">
        <v>40.881999999999948</v>
      </c>
      <c r="AG669" s="412">
        <v>35.557999999999979</v>
      </c>
      <c r="AH669" s="412">
        <v>13.0700000000001</v>
      </c>
      <c r="AI669" s="412">
        <v>26.37599999999965</v>
      </c>
      <c r="AJ669" s="411">
        <v>115.88599999999974</v>
      </c>
      <c r="AK669" s="412">
        <v>21.336000000000055</v>
      </c>
      <c r="AL669" s="412">
        <v>29.547000000000011</v>
      </c>
      <c r="AM669" s="412">
        <v>26.685999999999943</v>
      </c>
      <c r="AN669" s="412">
        <v>14.342000000000468</v>
      </c>
      <c r="AO669" s="411">
        <v>91.911000000000229</v>
      </c>
      <c r="AP669" s="412">
        <v>-22.427000000000007</v>
      </c>
      <c r="AQ669" s="412">
        <v>49.91</v>
      </c>
      <c r="AR669" s="412">
        <v>137.55000000000013</v>
      </c>
      <c r="AS669" s="412">
        <v>76.413999999999831</v>
      </c>
      <c r="AT669" s="411">
        <v>241.44700000000023</v>
      </c>
      <c r="AU669" s="412">
        <v>146.18500000000003</v>
      </c>
      <c r="AV669" s="412">
        <v>107.73200000000006</v>
      </c>
      <c r="AW669" s="412">
        <v>53.398999999999887</v>
      </c>
      <c r="AX669" s="412">
        <v>34.769999999999669</v>
      </c>
      <c r="AY669" s="411">
        <v>342.08599999999979</v>
      </c>
      <c r="AZ669" s="412">
        <v>42.277999999999992</v>
      </c>
      <c r="BA669" s="412">
        <v>-17.920999999999992</v>
      </c>
      <c r="BB669" s="412">
        <v>-98.360999999999962</v>
      </c>
      <c r="BC669" s="412">
        <v>-98.798000000000144</v>
      </c>
      <c r="BD669" s="411">
        <v>-172.80200000000002</v>
      </c>
      <c r="BE669" s="412">
        <v>-126.13800000000002</v>
      </c>
      <c r="BF669" s="412">
        <v>-83.370000000000061</v>
      </c>
      <c r="BG669" s="412">
        <v>-125.18599999999998</v>
      </c>
      <c r="BH669" s="412">
        <v>-61.344999999999487</v>
      </c>
      <c r="BI669" s="488">
        <v>-396.03899999999982</v>
      </c>
      <c r="BJ669" s="412">
        <v>-59.81844944311122</v>
      </c>
      <c r="BK669" s="412">
        <v>-12.260449683181207</v>
      </c>
      <c r="BL669" s="412">
        <v>69.321816619287375</v>
      </c>
      <c r="BM669" s="412">
        <v>42.161813746440657</v>
      </c>
      <c r="BN669" s="411">
        <v>39.404731239435762</v>
      </c>
      <c r="BO669" s="412">
        <v>49.112895012568345</v>
      </c>
      <c r="BP669" s="412">
        <v>35.496421312788243</v>
      </c>
      <c r="BQ669" s="412">
        <v>23.818104276226109</v>
      </c>
      <c r="BR669" s="412">
        <v>31.609030299006179</v>
      </c>
      <c r="BS669" s="411">
        <v>140.03645090058853</v>
      </c>
      <c r="BT669" s="411">
        <v>81.022940157585481</v>
      </c>
      <c r="BU669" s="411">
        <v>70.330160844122929</v>
      </c>
      <c r="BV669" s="411">
        <v>65.594535322454931</v>
      </c>
      <c r="BW669" s="247"/>
    </row>
    <row r="670" spans="1:75" s="169" customFormat="1" ht="14.25" x14ac:dyDescent="0.45">
      <c r="A670" s="170" t="s">
        <v>773</v>
      </c>
      <c r="B670" s="491"/>
      <c r="C670" s="375"/>
      <c r="D670" s="375">
        <v>1.2971992453925378</v>
      </c>
      <c r="E670" s="375">
        <v>5.008178710937556</v>
      </c>
      <c r="F670" s="375">
        <v>0.39527418273430937</v>
      </c>
      <c r="G670" s="492"/>
      <c r="H670" s="492"/>
      <c r="I670" s="492"/>
      <c r="J670" s="492"/>
      <c r="K670" s="375">
        <v>0.76050615953635492</v>
      </c>
      <c r="L670" s="492">
        <v>2.0380352097370302</v>
      </c>
      <c r="M670" s="492">
        <v>0.43168519602106459</v>
      </c>
      <c r="N670" s="492">
        <v>0.53763621123218819</v>
      </c>
      <c r="O670" s="492">
        <v>0.2671644352900775</v>
      </c>
      <c r="P670" s="375">
        <v>0.43444636520789914</v>
      </c>
      <c r="Q670" s="492">
        <v>0.33044784661611004</v>
      </c>
      <c r="R670" s="492">
        <v>0.26488198630836934</v>
      </c>
      <c r="S670" s="492">
        <v>0.36153510684692436</v>
      </c>
      <c r="T670" s="492">
        <v>4.5513037588891248E-3</v>
      </c>
      <c r="U670" s="375">
        <v>0.17979426383587205</v>
      </c>
      <c r="V670" s="492">
        <v>-0.96182179921492539</v>
      </c>
      <c r="W670" s="492">
        <v>-0.46402895132235866</v>
      </c>
      <c r="X670" s="492">
        <v>-0.6367312620115313</v>
      </c>
      <c r="Y670" s="492">
        <v>-0.31388465635576568</v>
      </c>
      <c r="Z670" s="375">
        <v>-0.49701623111623683</v>
      </c>
      <c r="AA670" s="492">
        <v>10.656338028168481</v>
      </c>
      <c r="AB670" s="492">
        <v>0.20295403165034109</v>
      </c>
      <c r="AC670" s="492">
        <v>1.6454866086189788</v>
      </c>
      <c r="AD670" s="492">
        <v>0.4761118644734037</v>
      </c>
      <c r="AE670" s="375">
        <v>0.66447713624968419</v>
      </c>
      <c r="AF670" s="492">
        <v>4.9398260028999363</v>
      </c>
      <c r="AG670" s="492">
        <v>0.89099929838628689</v>
      </c>
      <c r="AH670" s="492">
        <v>0.27226330590563741</v>
      </c>
      <c r="AI670" s="492">
        <v>0.3511696334660237</v>
      </c>
      <c r="AJ670" s="375">
        <v>0.67651694707468679</v>
      </c>
      <c r="AK670" s="492">
        <v>0.43402904918833296</v>
      </c>
      <c r="AL670" s="492">
        <v>0.39152731031192856</v>
      </c>
      <c r="AM670" s="492">
        <v>0.43693819074907791</v>
      </c>
      <c r="AN670" s="492">
        <v>0.14132137754348406</v>
      </c>
      <c r="AO670" s="375">
        <v>0.32004220290824104</v>
      </c>
      <c r="AP670" s="492">
        <v>-0.31814055096887683</v>
      </c>
      <c r="AQ670" s="492">
        <v>0.47527448982506915</v>
      </c>
      <c r="AR670" s="492">
        <v>1.567324893745516</v>
      </c>
      <c r="AS670" s="492">
        <v>0.65972527994336039</v>
      </c>
      <c r="AT670" s="375">
        <v>0.63690367849747487</v>
      </c>
      <c r="AU670" s="492">
        <v>3.0412757193084659</v>
      </c>
      <c r="AV670" s="492">
        <v>0.69539061340149644</v>
      </c>
      <c r="AW670" s="492">
        <v>0.23700130042474554</v>
      </c>
      <c r="AX670" s="492">
        <v>0.18086672458008257</v>
      </c>
      <c r="AY670" s="375">
        <v>0.55126969649113144</v>
      </c>
      <c r="AZ670" s="492">
        <v>0.21764512077095732</v>
      </c>
      <c r="BA670" s="492">
        <v>-6.8230187889055882E-2</v>
      </c>
      <c r="BB670" s="492">
        <v>-0.35291521653331404</v>
      </c>
      <c r="BC670" s="492">
        <v>-0.43521239058900318</v>
      </c>
      <c r="BD670" s="375">
        <v>-0.17951067286636169</v>
      </c>
      <c r="BE670" s="492">
        <v>-0.53328541834016829</v>
      </c>
      <c r="BF670" s="492">
        <v>-0.34065556890338089</v>
      </c>
      <c r="BG670" s="492">
        <v>-0.69413193308529553</v>
      </c>
      <c r="BH670" s="492">
        <v>-0.47846162245637824</v>
      </c>
      <c r="BI670" s="379">
        <v>-0.5014256304553153</v>
      </c>
      <c r="BJ670" s="492">
        <v>-0.54187304735045305</v>
      </c>
      <c r="BK670" s="492">
        <v>-7.5980080335026456E-2</v>
      </c>
      <c r="BL670" s="492">
        <v>1.2566723459436093</v>
      </c>
      <c r="BM670" s="492">
        <v>0.63052302665610638</v>
      </c>
      <c r="BN670" s="375">
        <v>0.10006610487252177</v>
      </c>
      <c r="BO670" s="492">
        <v>0.97111819264741173</v>
      </c>
      <c r="BP670" s="492">
        <v>0.23806556743527962</v>
      </c>
      <c r="BQ670" s="492">
        <v>0.19133340854788061</v>
      </c>
      <c r="BR670" s="492">
        <v>0.28991180680649387</v>
      </c>
      <c r="BS670" s="375">
        <v>0.32326667570482059</v>
      </c>
      <c r="BT670" s="375">
        <v>0.14134500480263146</v>
      </c>
      <c r="BU670" s="375">
        <v>0.10749719556786741</v>
      </c>
      <c r="BV670" s="375">
        <v>9.0527504434066763E-2</v>
      </c>
      <c r="BW670" s="247"/>
    </row>
    <row r="671" spans="1:75" s="169" customFormat="1" ht="14.25" x14ac:dyDescent="0.45">
      <c r="A671" s="211" t="s">
        <v>774</v>
      </c>
      <c r="B671" s="493"/>
      <c r="C671" s="420">
        <v>-4.4054116688109969E-2</v>
      </c>
      <c r="D671" s="420">
        <v>1.0601072530384828E-2</v>
      </c>
      <c r="E671" s="420">
        <v>5.1372322259843679E-2</v>
      </c>
      <c r="F671" s="420">
        <v>5.7561904570318394E-2</v>
      </c>
      <c r="G671" s="421">
        <v>1.5268619519010216E-2</v>
      </c>
      <c r="H671" s="421">
        <v>8.9453490989222659E-2</v>
      </c>
      <c r="I671" s="421">
        <v>6.0278097778855642E-2</v>
      </c>
      <c r="J671" s="421">
        <v>0.12351227702705574</v>
      </c>
      <c r="K671" s="420">
        <v>7.795231472615996E-2</v>
      </c>
      <c r="L671" s="421">
        <v>3.8164770896700152E-2</v>
      </c>
      <c r="M671" s="421">
        <v>0.11281428235500243</v>
      </c>
      <c r="N671" s="421">
        <v>7.569608500541597E-2</v>
      </c>
      <c r="O671" s="421">
        <v>0.12668882684344462</v>
      </c>
      <c r="P671" s="420">
        <v>9.2869206853084016E-2</v>
      </c>
      <c r="Q671" s="421">
        <v>4.4022298760785457E-2</v>
      </c>
      <c r="R671" s="421">
        <v>0.12209878053110619</v>
      </c>
      <c r="S671" s="421">
        <v>9.3822253860269517E-2</v>
      </c>
      <c r="T671" s="421">
        <v>0.11458603725541083</v>
      </c>
      <c r="U671" s="420">
        <v>9.7015845379292337E-2</v>
      </c>
      <c r="V671" s="421">
        <v>1.558877257078694E-3</v>
      </c>
      <c r="W671" s="421">
        <v>6.1052926031642592E-2</v>
      </c>
      <c r="X671" s="421">
        <v>3.3033087699880524E-2</v>
      </c>
      <c r="Y671" s="421">
        <v>8.6220890727225608E-2</v>
      </c>
      <c r="Z671" s="420">
        <v>4.812861733928446E-2</v>
      </c>
      <c r="AA671" s="421">
        <v>1.4723882721320832E-2</v>
      </c>
      <c r="AB671" s="421">
        <v>6.4457254348377416E-2</v>
      </c>
      <c r="AC671" s="421">
        <v>8.1024789315293541E-2</v>
      </c>
      <c r="AD671" s="421">
        <v>0.11215504510302578</v>
      </c>
      <c r="AE671" s="420">
        <v>7.0106954257236204E-2</v>
      </c>
      <c r="AF671" s="421">
        <v>8.819065456776562E-2</v>
      </c>
      <c r="AG671" s="421">
        <v>0.11742921118927696</v>
      </c>
      <c r="AH671" s="421">
        <v>9.5652977419162871E-2</v>
      </c>
      <c r="AI671" s="421">
        <v>0.15105913313476899</v>
      </c>
      <c r="AJ671" s="420">
        <v>0.11439834352167348</v>
      </c>
      <c r="AK671" s="421">
        <v>0.11771876680348813</v>
      </c>
      <c r="AL671" s="421">
        <v>0.14863541274482889</v>
      </c>
      <c r="AM671" s="421">
        <v>0.12968545429290013</v>
      </c>
      <c r="AN671" s="421">
        <v>0.17418222612545464</v>
      </c>
      <c r="AO671" s="420">
        <v>0.14321436046067959</v>
      </c>
      <c r="AP671" s="421">
        <v>9.9539237308317569E-2</v>
      </c>
      <c r="AQ671" s="421">
        <v>0.21829733629425893</v>
      </c>
      <c r="AR671" s="421">
        <v>0.26670525595588995</v>
      </c>
      <c r="AS671" s="421">
        <v>0.23656878597921313</v>
      </c>
      <c r="AT671" s="420">
        <v>0.21773411148565322</v>
      </c>
      <c r="AU671" s="421">
        <v>0.22566659541445555</v>
      </c>
      <c r="AV671" s="421">
        <v>0.2656142078901037</v>
      </c>
      <c r="AW671" s="421">
        <v>0.27692989463727158</v>
      </c>
      <c r="AX671" s="421">
        <v>0.25180330123643835</v>
      </c>
      <c r="AY671" s="420">
        <v>0.25618024174876647</v>
      </c>
      <c r="AZ671" s="421">
        <v>0.24708239492234346</v>
      </c>
      <c r="BA671" s="421">
        <v>0.24680220245658629</v>
      </c>
      <c r="BB671" s="421">
        <v>0.2075204875118806</v>
      </c>
      <c r="BC671" s="421">
        <v>0.16597173588574191</v>
      </c>
      <c r="BD671" s="420">
        <v>0.21997801406331249</v>
      </c>
      <c r="BE671" s="421">
        <v>0.14934750433599131</v>
      </c>
      <c r="BF671" s="421">
        <v>0.20158430139953706</v>
      </c>
      <c r="BG671" s="421">
        <v>7.3430729807980363E-2</v>
      </c>
      <c r="BH671" s="421">
        <v>9.0575136130902664E-2</v>
      </c>
      <c r="BI671" s="442">
        <v>0.13000020467950166</v>
      </c>
      <c r="BJ671" s="421">
        <v>6.9823394834754499E-2</v>
      </c>
      <c r="BK671" s="421">
        <v>0.17669015326014884</v>
      </c>
      <c r="BL671" s="421">
        <v>0.14507731060857668</v>
      </c>
      <c r="BM671" s="421">
        <v>0.13342763898013413</v>
      </c>
      <c r="BN671" s="420">
        <v>0.13356177886019002</v>
      </c>
      <c r="BO671" s="421">
        <v>0.1166319216835898</v>
      </c>
      <c r="BP671" s="421">
        <v>0.19014280188013785</v>
      </c>
      <c r="BQ671" s="421">
        <v>0.15090216109148008</v>
      </c>
      <c r="BR671" s="421">
        <v>0.15681761417485376</v>
      </c>
      <c r="BS671" s="420">
        <v>0.15471057242751629</v>
      </c>
      <c r="BT671" s="420">
        <v>0.16696654404694461</v>
      </c>
      <c r="BU671" s="420">
        <v>0.1791703504763871</v>
      </c>
      <c r="BV671" s="420">
        <v>0.19132824916652977</v>
      </c>
      <c r="BW671" s="247"/>
    </row>
    <row r="672" spans="1:75" s="169" customFormat="1" ht="14.25" x14ac:dyDescent="0.45">
      <c r="A672" s="218" t="s">
        <v>775</v>
      </c>
      <c r="B672" s="494"/>
      <c r="C672" s="252"/>
      <c r="D672" s="252">
        <v>546.55189218494797</v>
      </c>
      <c r="E672" s="252">
        <v>407.7124972945885</v>
      </c>
      <c r="F672" s="252">
        <v>61.895823104747144</v>
      </c>
      <c r="G672" s="253"/>
      <c r="H672" s="253"/>
      <c r="I672" s="253"/>
      <c r="J672" s="253"/>
      <c r="K672" s="252">
        <v>203.90410155841568</v>
      </c>
      <c r="L672" s="253">
        <v>228.96151377689938</v>
      </c>
      <c r="M672" s="253">
        <v>233.60791365779772</v>
      </c>
      <c r="N672" s="253">
        <v>154.17987226560328</v>
      </c>
      <c r="O672" s="253">
        <v>31.765498163888878</v>
      </c>
      <c r="P672" s="252">
        <v>149.16892126924057</v>
      </c>
      <c r="Q672" s="253">
        <v>58.575278640853043</v>
      </c>
      <c r="R672" s="253">
        <v>92.844981761037587</v>
      </c>
      <c r="S672" s="253">
        <v>181.26168854853546</v>
      </c>
      <c r="T672" s="253">
        <v>-121.02789588033791</v>
      </c>
      <c r="U672" s="252">
        <v>41.466385262083207</v>
      </c>
      <c r="V672" s="253">
        <v>-424.63421503706763</v>
      </c>
      <c r="W672" s="253">
        <v>-610.45854499463599</v>
      </c>
      <c r="X672" s="253">
        <v>-607.89166160388993</v>
      </c>
      <c r="Y672" s="253">
        <v>-283.65146528185227</v>
      </c>
      <c r="Z672" s="252">
        <v>-488.87228040007875</v>
      </c>
      <c r="AA672" s="253">
        <v>131.6500546424214</v>
      </c>
      <c r="AB672" s="253">
        <v>34.043283167348243</v>
      </c>
      <c r="AC672" s="253">
        <v>479.91701615413018</v>
      </c>
      <c r="AD672" s="253">
        <v>259.34154375800171</v>
      </c>
      <c r="AE672" s="252">
        <v>219.78336917951742</v>
      </c>
      <c r="AF672" s="253">
        <v>734.66771846444794</v>
      </c>
      <c r="AG672" s="253">
        <v>529.71956840899543</v>
      </c>
      <c r="AH672" s="253">
        <v>146.28188103869331</v>
      </c>
      <c r="AI672" s="253">
        <v>389.04088031743208</v>
      </c>
      <c r="AJ672" s="252">
        <v>442.91389264437277</v>
      </c>
      <c r="AK672" s="253">
        <v>295.28112235722506</v>
      </c>
      <c r="AL672" s="253">
        <v>312.06201555551928</v>
      </c>
      <c r="AM672" s="253">
        <v>340.32476873737255</v>
      </c>
      <c r="AN672" s="253">
        <v>231.23092990685657</v>
      </c>
      <c r="AO672" s="252">
        <v>288.16016939006107</v>
      </c>
      <c r="AP672" s="253">
        <v>-181.79529495170559</v>
      </c>
      <c r="AQ672" s="253">
        <v>696.61923549430048</v>
      </c>
      <c r="AR672" s="253">
        <v>1370.1980166298983</v>
      </c>
      <c r="AS672" s="253">
        <v>623.8655985375849</v>
      </c>
      <c r="AT672" s="252">
        <v>745.1975102497363</v>
      </c>
      <c r="AU672" s="253">
        <v>1261.2735810613799</v>
      </c>
      <c r="AV672" s="253">
        <v>473.16871595844771</v>
      </c>
      <c r="AW672" s="253">
        <v>102.24638681381626</v>
      </c>
      <c r="AX672" s="253">
        <v>152.34515257225218</v>
      </c>
      <c r="AY672" s="252">
        <v>384.46130263113247</v>
      </c>
      <c r="AZ672" s="253">
        <v>214.15799507887911</v>
      </c>
      <c r="BA672" s="253">
        <v>-188.1200543351741</v>
      </c>
      <c r="BB672" s="253">
        <v>-694.09407125390976</v>
      </c>
      <c r="BC672" s="253">
        <v>-858.3156535069644</v>
      </c>
      <c r="BD672" s="252">
        <v>-362.02227685453977</v>
      </c>
      <c r="BE672" s="253">
        <v>-977.34890586352151</v>
      </c>
      <c r="BF672" s="253">
        <v>-452.17901057049232</v>
      </c>
      <c r="BG672" s="253">
        <v>-1340.8975770390025</v>
      </c>
      <c r="BH672" s="253">
        <v>-753.96599754839247</v>
      </c>
      <c r="BI672" s="260">
        <v>-899.77809383810836</v>
      </c>
      <c r="BJ672" s="253">
        <v>-795.24109501236808</v>
      </c>
      <c r="BK672" s="253">
        <v>-248.94148139388227</v>
      </c>
      <c r="BL672" s="253">
        <v>716.46580800596314</v>
      </c>
      <c r="BM672" s="253">
        <v>428.52502849231462</v>
      </c>
      <c r="BN672" s="252">
        <v>35.615741806883648</v>
      </c>
      <c r="BO672" s="253">
        <v>468.08526848835299</v>
      </c>
      <c r="BP672" s="253">
        <v>134.52648619989017</v>
      </c>
      <c r="BQ672" s="253">
        <v>58.24850482903404</v>
      </c>
      <c r="BR672" s="253">
        <v>233.89975194719636</v>
      </c>
      <c r="BS672" s="252">
        <v>211.48793567326268</v>
      </c>
      <c r="BT672" s="252">
        <v>122.55971619428318</v>
      </c>
      <c r="BU672" s="252">
        <v>122.03806429442493</v>
      </c>
      <c r="BV672" s="252">
        <v>121.57898690142666</v>
      </c>
      <c r="BW672" s="247"/>
    </row>
    <row r="673" spans="1:75" s="169" customFormat="1" ht="14.25" x14ac:dyDescent="0.45">
      <c r="A673" s="247"/>
      <c r="B673" s="247"/>
      <c r="C673" s="244"/>
      <c r="D673" s="244"/>
      <c r="E673" s="244"/>
      <c r="F673" s="244"/>
      <c r="G673" s="245"/>
      <c r="H673" s="245"/>
      <c r="I673" s="245"/>
      <c r="J673" s="245"/>
      <c r="K673" s="244"/>
      <c r="L673" s="245"/>
      <c r="M673" s="245"/>
      <c r="N673" s="245"/>
      <c r="O673" s="245"/>
      <c r="P673" s="244"/>
      <c r="Q673" s="245"/>
      <c r="R673" s="245"/>
      <c r="S673" s="245"/>
      <c r="T673" s="245"/>
      <c r="U673" s="244"/>
      <c r="V673" s="245"/>
      <c r="W673" s="245"/>
      <c r="X673" s="245"/>
      <c r="Y673" s="245"/>
      <c r="Z673" s="244"/>
      <c r="AA673" s="245"/>
      <c r="AB673" s="245"/>
      <c r="AC673" s="245"/>
      <c r="AD673" s="245"/>
      <c r="AE673" s="244"/>
      <c r="AF673" s="245"/>
      <c r="AG673" s="245"/>
      <c r="AH673" s="245"/>
      <c r="AI673" s="245"/>
      <c r="AJ673" s="244"/>
      <c r="AK673" s="245"/>
      <c r="AL673" s="245"/>
      <c r="AM673" s="245"/>
      <c r="AN673" s="245"/>
      <c r="AO673" s="244"/>
      <c r="AP673" s="245"/>
      <c r="AQ673" s="245"/>
      <c r="AR673" s="245"/>
      <c r="AS673" s="245"/>
      <c r="AT673" s="244"/>
      <c r="AU673" s="245"/>
      <c r="AV673" s="245"/>
      <c r="AW673" s="245"/>
      <c r="AX673" s="245"/>
      <c r="AY673" s="244"/>
      <c r="AZ673" s="245"/>
      <c r="BA673" s="245"/>
      <c r="BB673" s="245"/>
      <c r="BC673" s="245"/>
      <c r="BD673" s="244"/>
      <c r="BE673" s="245"/>
      <c r="BF673" s="245"/>
      <c r="BG673" s="245"/>
      <c r="BH673" s="245"/>
      <c r="BI673" s="249"/>
      <c r="BJ673" s="245"/>
      <c r="BK673" s="245"/>
      <c r="BL673" s="245"/>
      <c r="BM673" s="245"/>
      <c r="BN673" s="244"/>
      <c r="BO673" s="245"/>
      <c r="BP673" s="245"/>
      <c r="BQ673" s="245"/>
      <c r="BR673" s="245"/>
      <c r="BS673" s="244"/>
      <c r="BT673" s="244"/>
      <c r="BU673" s="244"/>
      <c r="BV673" s="244"/>
      <c r="BW673" s="168"/>
    </row>
    <row r="674" spans="1:75" s="169" customFormat="1" ht="14.25" x14ac:dyDescent="0.45">
      <c r="A674" s="206" t="s">
        <v>776</v>
      </c>
      <c r="B674" s="485"/>
      <c r="C674" s="293">
        <v>0</v>
      </c>
      <c r="D674" s="293">
        <v>0</v>
      </c>
      <c r="E674" s="293">
        <v>0</v>
      </c>
      <c r="F674" s="293">
        <v>0</v>
      </c>
      <c r="G674" s="294">
        <v>0</v>
      </c>
      <c r="H674" s="294">
        <v>0</v>
      </c>
      <c r="I674" s="294">
        <v>0</v>
      </c>
      <c r="J674" s="294">
        <v>0</v>
      </c>
      <c r="K674" s="293">
        <v>0</v>
      </c>
      <c r="L674" s="294">
        <v>0</v>
      </c>
      <c r="M674" s="294">
        <v>0</v>
      </c>
      <c r="N674" s="294">
        <v>0</v>
      </c>
      <c r="O674" s="294">
        <v>0</v>
      </c>
      <c r="P674" s="293">
        <v>0</v>
      </c>
      <c r="Q674" s="294">
        <v>0</v>
      </c>
      <c r="R674" s="294">
        <v>0</v>
      </c>
      <c r="S674" s="294">
        <v>0</v>
      </c>
      <c r="T674" s="294">
        <v>0</v>
      </c>
      <c r="U674" s="293">
        <v>0</v>
      </c>
      <c r="V674" s="294">
        <v>0</v>
      </c>
      <c r="W674" s="294">
        <v>0</v>
      </c>
      <c r="X674" s="294">
        <v>0</v>
      </c>
      <c r="Y674" s="294">
        <v>0</v>
      </c>
      <c r="Z674" s="293">
        <v>0</v>
      </c>
      <c r="AA674" s="294">
        <v>0</v>
      </c>
      <c r="AB674" s="294">
        <v>0</v>
      </c>
      <c r="AC674" s="294">
        <v>0</v>
      </c>
      <c r="AD674" s="294">
        <v>0</v>
      </c>
      <c r="AE674" s="293">
        <v>0</v>
      </c>
      <c r="AF674" s="294">
        <v>0</v>
      </c>
      <c r="AG674" s="294">
        <v>0</v>
      </c>
      <c r="AH674" s="294">
        <v>0</v>
      </c>
      <c r="AI674" s="294">
        <v>0</v>
      </c>
      <c r="AJ674" s="293">
        <v>0</v>
      </c>
      <c r="AK674" s="294">
        <v>0</v>
      </c>
      <c r="AL674" s="294">
        <v>0</v>
      </c>
      <c r="AM674" s="294">
        <v>0</v>
      </c>
      <c r="AN674" s="294">
        <v>0</v>
      </c>
      <c r="AO674" s="293">
        <v>0</v>
      </c>
      <c r="AP674" s="294">
        <v>0</v>
      </c>
      <c r="AQ674" s="294">
        <v>0</v>
      </c>
      <c r="AR674" s="294">
        <v>0</v>
      </c>
      <c r="AS674" s="294">
        <v>0</v>
      </c>
      <c r="AT674" s="293">
        <v>0</v>
      </c>
      <c r="AU674" s="294">
        <v>0</v>
      </c>
      <c r="AV674" s="294">
        <v>0</v>
      </c>
      <c r="AW674" s="294">
        <v>0</v>
      </c>
      <c r="AX674" s="294">
        <v>0</v>
      </c>
      <c r="AY674" s="293">
        <v>0</v>
      </c>
      <c r="AZ674" s="294">
        <v>0</v>
      </c>
      <c r="BA674" s="294">
        <v>0</v>
      </c>
      <c r="BB674" s="294">
        <v>0</v>
      </c>
      <c r="BC674" s="294">
        <v>0</v>
      </c>
      <c r="BD674" s="293">
        <v>0</v>
      </c>
      <c r="BE674" s="294">
        <v>0</v>
      </c>
      <c r="BF674" s="294">
        <v>0</v>
      </c>
      <c r="BG674" s="294">
        <v>0</v>
      </c>
      <c r="BH674" s="294">
        <v>0</v>
      </c>
      <c r="BI674" s="297">
        <v>0</v>
      </c>
      <c r="BJ674" s="294"/>
      <c r="BK674" s="294"/>
      <c r="BL674" s="294"/>
      <c r="BM674" s="294"/>
      <c r="BN674" s="293"/>
      <c r="BO674" s="294"/>
      <c r="BP674" s="294"/>
      <c r="BQ674" s="294"/>
      <c r="BR674" s="294"/>
      <c r="BS674" s="293"/>
      <c r="BT674" s="293"/>
      <c r="BU674" s="293"/>
      <c r="BV674" s="293"/>
      <c r="BW674" s="247"/>
    </row>
    <row r="675" spans="1:75" s="169" customFormat="1" ht="14.25" x14ac:dyDescent="0.45">
      <c r="A675" s="247"/>
      <c r="B675" s="247"/>
      <c r="C675" s="244"/>
      <c r="D675" s="244"/>
      <c r="E675" s="244"/>
      <c r="F675" s="244"/>
      <c r="G675" s="245"/>
      <c r="H675" s="245"/>
      <c r="I675" s="245"/>
      <c r="J675" s="245"/>
      <c r="K675" s="244"/>
      <c r="L675" s="245"/>
      <c r="M675" s="245"/>
      <c r="N675" s="245"/>
      <c r="O675" s="245"/>
      <c r="P675" s="244"/>
      <c r="Q675" s="245"/>
      <c r="R675" s="245"/>
      <c r="S675" s="245"/>
      <c r="T675" s="245"/>
      <c r="U675" s="244"/>
      <c r="V675" s="245"/>
      <c r="W675" s="245"/>
      <c r="X675" s="245"/>
      <c r="Y675" s="245"/>
      <c r="Z675" s="244"/>
      <c r="AA675" s="245"/>
      <c r="AB675" s="245"/>
      <c r="AC675" s="245"/>
      <c r="AD675" s="245"/>
      <c r="AE675" s="244"/>
      <c r="AF675" s="245"/>
      <c r="AG675" s="245"/>
      <c r="AH675" s="245"/>
      <c r="AI675" s="245"/>
      <c r="AJ675" s="244"/>
      <c r="AK675" s="245"/>
      <c r="AL675" s="245"/>
      <c r="AM675" s="245"/>
      <c r="AN675" s="245"/>
      <c r="AO675" s="244"/>
      <c r="AP675" s="245"/>
      <c r="AQ675" s="245"/>
      <c r="AR675" s="245"/>
      <c r="AS675" s="245"/>
      <c r="AT675" s="244"/>
      <c r="AU675" s="245"/>
      <c r="AV675" s="245"/>
      <c r="AW675" s="245"/>
      <c r="AX675" s="245"/>
      <c r="AY675" s="244"/>
      <c r="AZ675" s="245"/>
      <c r="BA675" s="245"/>
      <c r="BB675" s="245"/>
      <c r="BC675" s="245"/>
      <c r="BD675" s="244"/>
      <c r="BE675" s="245"/>
      <c r="BF675" s="245"/>
      <c r="BG675" s="245"/>
      <c r="BH675" s="245"/>
      <c r="BI675" s="249"/>
      <c r="BJ675" s="245"/>
      <c r="BK675" s="245"/>
      <c r="BL675" s="245"/>
      <c r="BM675" s="245"/>
      <c r="BN675" s="244"/>
      <c r="BO675" s="245"/>
      <c r="BP675" s="245"/>
      <c r="BQ675" s="245"/>
      <c r="BR675" s="245"/>
      <c r="BS675" s="244"/>
      <c r="BT675" s="244"/>
      <c r="BU675" s="244"/>
      <c r="BV675" s="244"/>
      <c r="BW675" s="168"/>
    </row>
    <row r="676" spans="1:75" s="169" customFormat="1" ht="14.25" x14ac:dyDescent="0.45">
      <c r="A676" s="482" t="s">
        <v>777</v>
      </c>
      <c r="B676" s="482"/>
      <c r="C676" s="483"/>
      <c r="D676" s="483"/>
      <c r="E676" s="483"/>
      <c r="F676" s="483"/>
      <c r="G676" s="483"/>
      <c r="H676" s="483"/>
      <c r="I676" s="483"/>
      <c r="J676" s="483"/>
      <c r="K676" s="483"/>
      <c r="L676" s="483"/>
      <c r="M676" s="483"/>
      <c r="N676" s="483"/>
      <c r="O676" s="483"/>
      <c r="P676" s="483"/>
      <c r="Q676" s="483"/>
      <c r="R676" s="483"/>
      <c r="S676" s="483"/>
      <c r="T676" s="483"/>
      <c r="U676" s="483"/>
      <c r="V676" s="483"/>
      <c r="W676" s="483"/>
      <c r="X676" s="483"/>
      <c r="Y676" s="483"/>
      <c r="Z676" s="483"/>
      <c r="AA676" s="483"/>
      <c r="AB676" s="483"/>
      <c r="AC676" s="483"/>
      <c r="AD676" s="483"/>
      <c r="AE676" s="483"/>
      <c r="AF676" s="483"/>
      <c r="AG676" s="483"/>
      <c r="AH676" s="483"/>
      <c r="AI676" s="483"/>
      <c r="AJ676" s="483"/>
      <c r="AK676" s="483"/>
      <c r="AL676" s="483"/>
      <c r="AM676" s="483"/>
      <c r="AN676" s="483"/>
      <c r="AO676" s="483"/>
      <c r="AP676" s="483"/>
      <c r="AQ676" s="483"/>
      <c r="AR676" s="483"/>
      <c r="AS676" s="483"/>
      <c r="AT676" s="483"/>
      <c r="AU676" s="483"/>
      <c r="AV676" s="483"/>
      <c r="AW676" s="483"/>
      <c r="AX676" s="483"/>
      <c r="AY676" s="483"/>
      <c r="AZ676" s="483"/>
      <c r="BA676" s="483"/>
      <c r="BB676" s="483"/>
      <c r="BC676" s="483"/>
      <c r="BD676" s="483"/>
      <c r="BE676" s="483"/>
      <c r="BF676" s="483"/>
      <c r="BG676" s="483"/>
      <c r="BH676" s="483"/>
      <c r="BI676" s="484"/>
      <c r="BJ676" s="483"/>
      <c r="BK676" s="483"/>
      <c r="BL676" s="483"/>
      <c r="BM676" s="483"/>
      <c r="BN676" s="483"/>
      <c r="BO676" s="483"/>
      <c r="BP676" s="483"/>
      <c r="BQ676" s="483"/>
      <c r="BR676" s="483"/>
      <c r="BS676" s="483"/>
      <c r="BT676" s="483"/>
      <c r="BU676" s="483"/>
      <c r="BV676" s="483"/>
      <c r="BW676" s="168"/>
    </row>
    <row r="677" spans="1:75" s="123" customFormat="1" hidden="1" outlineLevel="1" x14ac:dyDescent="0.5">
      <c r="A677" s="496" t="s">
        <v>778</v>
      </c>
      <c r="B677" s="119"/>
      <c r="C677" s="299"/>
      <c r="D677" s="299"/>
      <c r="E677" s="299"/>
      <c r="F677" s="299"/>
      <c r="G677" s="300"/>
      <c r="H677" s="300"/>
      <c r="I677" s="300"/>
      <c r="J677" s="300"/>
      <c r="K677" s="299">
        <v>5.6999999999999993</v>
      </c>
      <c r="L677" s="300">
        <v>2.1</v>
      </c>
      <c r="M677" s="300">
        <v>4.3</v>
      </c>
      <c r="N677" s="300">
        <v>5.1000000000000005</v>
      </c>
      <c r="O677" s="300">
        <v>6.1120000000000001</v>
      </c>
      <c r="P677" s="299">
        <v>17.612000000000002</v>
      </c>
      <c r="Q677" s="300">
        <v>5.7519999999999998</v>
      </c>
      <c r="R677" s="300">
        <v>7.5259999999999998</v>
      </c>
      <c r="S677" s="300">
        <v>11.211</v>
      </c>
      <c r="T677" s="300">
        <v>13.131999999999998</v>
      </c>
      <c r="U677" s="299">
        <v>37.621000000000002</v>
      </c>
      <c r="V677" s="300">
        <v>11.435</v>
      </c>
      <c r="W677" s="300">
        <v>11.634</v>
      </c>
      <c r="X677" s="300">
        <v>11.763</v>
      </c>
      <c r="Y677" s="300">
        <v>12.638999999999998</v>
      </c>
      <c r="Z677" s="299">
        <v>47.470999999999997</v>
      </c>
      <c r="AA677" s="300">
        <v>12.492999999999999</v>
      </c>
      <c r="AB677" s="300">
        <v>14.497</v>
      </c>
      <c r="AC677" s="300">
        <v>18.945</v>
      </c>
      <c r="AD677" s="300">
        <v>17.148999999999997</v>
      </c>
      <c r="AE677" s="299">
        <v>63.084000000000003</v>
      </c>
      <c r="AF677" s="300">
        <v>15.260000000000003</v>
      </c>
      <c r="AG677" s="300">
        <v>15.665999999999999</v>
      </c>
      <c r="AH677" s="300">
        <v>17.977</v>
      </c>
      <c r="AI677" s="300">
        <v>19.700000000000003</v>
      </c>
      <c r="AJ677" s="299">
        <v>68.603000000000009</v>
      </c>
      <c r="AK677" s="300">
        <v>21.400000000000002</v>
      </c>
      <c r="AL677" s="300">
        <v>24.793000000000003</v>
      </c>
      <c r="AM677" s="300">
        <v>22.042999999999999</v>
      </c>
      <c r="AN677" s="300">
        <v>20.272999999999989</v>
      </c>
      <c r="AO677" s="299">
        <v>88.508999999999986</v>
      </c>
      <c r="AP677" s="300">
        <v>19.823000000000004</v>
      </c>
      <c r="AQ677" s="300">
        <v>19.603999999999999</v>
      </c>
      <c r="AR677" s="300">
        <v>15.878999999999996</v>
      </c>
      <c r="AS677" s="300">
        <v>15.341999999999997</v>
      </c>
      <c r="AT677" s="299">
        <v>70.647999999999996</v>
      </c>
      <c r="AU677" s="300">
        <v>13.653</v>
      </c>
      <c r="AV677" s="300">
        <v>13.972</v>
      </c>
      <c r="AW677" s="300">
        <v>13.794999999999998</v>
      </c>
      <c r="AX677" s="300">
        <v>25.463000000000001</v>
      </c>
      <c r="AY677" s="299">
        <v>66.882999999999996</v>
      </c>
      <c r="AZ677" s="300">
        <v>22.036000000000001</v>
      </c>
      <c r="BA677" s="300">
        <v>32.656999999999996</v>
      </c>
      <c r="BB677" s="300">
        <v>43.957000000000001</v>
      </c>
      <c r="BC677" s="300">
        <v>53.08</v>
      </c>
      <c r="BD677" s="299">
        <v>151.73000000000002</v>
      </c>
      <c r="BE677" s="300">
        <v>56.44</v>
      </c>
      <c r="BF677" s="300">
        <v>59.163000000000004</v>
      </c>
      <c r="BG677" s="300">
        <v>59.787999999999997</v>
      </c>
      <c r="BH677" s="300">
        <v>62.507999999999996</v>
      </c>
      <c r="BI677" s="304">
        <v>237.899</v>
      </c>
      <c r="BJ677" s="300">
        <v>58.038901000000003</v>
      </c>
      <c r="BK677" s="300">
        <v>58.038901000000003</v>
      </c>
      <c r="BL677" s="300">
        <v>58.038901000000003</v>
      </c>
      <c r="BM677" s="300">
        <v>58.038901000000003</v>
      </c>
      <c r="BN677" s="299">
        <v>232.15560400000001</v>
      </c>
      <c r="BO677" s="300">
        <v>58.038901000000003</v>
      </c>
      <c r="BP677" s="300">
        <v>58.038901000000003</v>
      </c>
      <c r="BQ677" s="300">
        <v>58.038901000000003</v>
      </c>
      <c r="BR677" s="300">
        <v>58.038901000000003</v>
      </c>
      <c r="BS677" s="299">
        <v>232.15560400000001</v>
      </c>
      <c r="BT677" s="299">
        <v>232.15560400000001</v>
      </c>
      <c r="BU677" s="299">
        <v>232.15560400000001</v>
      </c>
      <c r="BV677" s="299">
        <v>232.15560400000001</v>
      </c>
      <c r="BW677" s="122"/>
    </row>
    <row r="678" spans="1:75" s="123" customFormat="1" hidden="1" outlineLevel="1" x14ac:dyDescent="0.5">
      <c r="A678" s="497" t="s">
        <v>779</v>
      </c>
      <c r="B678" s="312"/>
      <c r="C678" s="309"/>
      <c r="D678" s="309"/>
      <c r="E678" s="309"/>
      <c r="F678" s="309"/>
      <c r="G678" s="310"/>
      <c r="H678" s="310"/>
      <c r="I678" s="310"/>
      <c r="J678" s="310"/>
      <c r="K678" s="309">
        <v>0</v>
      </c>
      <c r="L678" s="310">
        <v>0</v>
      </c>
      <c r="M678" s="310">
        <v>0</v>
      </c>
      <c r="N678" s="310">
        <v>0</v>
      </c>
      <c r="O678" s="310">
        <v>-6.0999999999999999E-2</v>
      </c>
      <c r="P678" s="309">
        <v>-6.0999999999999999E-2</v>
      </c>
      <c r="Q678" s="310">
        <v>-0.10299999999999999</v>
      </c>
      <c r="R678" s="310">
        <v>-0.12</v>
      </c>
      <c r="S678" s="310">
        <v>-0.20799999999999999</v>
      </c>
      <c r="T678" s="310">
        <v>-1.5129999999999999</v>
      </c>
      <c r="U678" s="309">
        <v>-1.944</v>
      </c>
      <c r="V678" s="310">
        <v>-0.90700000000000003</v>
      </c>
      <c r="W678" s="310">
        <v>-0.72499999999999998</v>
      </c>
      <c r="X678" s="310">
        <v>-0.67200000000000004</v>
      </c>
      <c r="Y678" s="310">
        <v>-0.68499999999999961</v>
      </c>
      <c r="Z678" s="309">
        <v>-2.9889999999999999</v>
      </c>
      <c r="AA678" s="310">
        <v>-0.314</v>
      </c>
      <c r="AB678" s="310">
        <v>-9.5000000000000001E-2</v>
      </c>
      <c r="AC678" s="310">
        <v>-0.03</v>
      </c>
      <c r="AD678" s="310">
        <v>-7.4999999999999956E-2</v>
      </c>
      <c r="AE678" s="309">
        <v>-0.51400000000000001</v>
      </c>
      <c r="AF678" s="310">
        <v>-0.16200000000000001</v>
      </c>
      <c r="AG678" s="310">
        <v>-0.19900000000000001</v>
      </c>
      <c r="AH678" s="310">
        <v>-0.28199999999999997</v>
      </c>
      <c r="AI678" s="310">
        <v>-0.19099999999999995</v>
      </c>
      <c r="AJ678" s="309">
        <v>-0.83399999999999996</v>
      </c>
      <c r="AK678" s="310">
        <v>-0.28199999999999997</v>
      </c>
      <c r="AL678" s="310">
        <v>-0.28000000000000003</v>
      </c>
      <c r="AM678" s="310">
        <v>-0.47899999999999998</v>
      </c>
      <c r="AN678" s="310">
        <v>-0.29100000000000015</v>
      </c>
      <c r="AO678" s="309">
        <v>-1.3320000000000001</v>
      </c>
      <c r="AP678" s="310">
        <v>-0.19400000000000001</v>
      </c>
      <c r="AQ678" s="310">
        <v>-0.186</v>
      </c>
      <c r="AR678" s="310">
        <v>-0.223</v>
      </c>
      <c r="AS678" s="310">
        <v>-0.79499999999999993</v>
      </c>
      <c r="AT678" s="309">
        <v>-1.3979999999999999</v>
      </c>
      <c r="AU678" s="310">
        <v>-0.34499999999999997</v>
      </c>
      <c r="AV678" s="310">
        <v>-0.39100000000000001</v>
      </c>
      <c r="AW678" s="310">
        <v>-0.57199999999999995</v>
      </c>
      <c r="AX678" s="310">
        <v>-0.62800000000000011</v>
      </c>
      <c r="AY678" s="309">
        <v>-1.9359999999999999</v>
      </c>
      <c r="AZ678" s="310">
        <v>-1.181</v>
      </c>
      <c r="BA678" s="310">
        <v>-6.3929999999999998</v>
      </c>
      <c r="BB678" s="310">
        <v>-12.54</v>
      </c>
      <c r="BC678" s="310">
        <v>-18.406000000000006</v>
      </c>
      <c r="BD678" s="309">
        <v>-38.520000000000003</v>
      </c>
      <c r="BE678" s="310">
        <v>-16.623999999999999</v>
      </c>
      <c r="BF678" s="310">
        <v>-14.741</v>
      </c>
      <c r="BG678" s="310">
        <v>-5.1479999999999997</v>
      </c>
      <c r="BH678" s="310">
        <v>-3.0900000000000034</v>
      </c>
      <c r="BI678" s="314">
        <v>-39.603000000000002</v>
      </c>
      <c r="BJ678" s="310">
        <v>-1.23688</v>
      </c>
      <c r="BK678" s="310">
        <v>-1.3053918006531644</v>
      </c>
      <c r="BL678" s="310">
        <v>-1.6256070574047721</v>
      </c>
      <c r="BM678" s="310">
        <v>-1.9465349697718126</v>
      </c>
      <c r="BN678" s="309">
        <v>-6.1144138278297495</v>
      </c>
      <c r="BO678" s="310">
        <v>-1.9251983822717393</v>
      </c>
      <c r="BP678" s="310">
        <v>-1.7402528128427011</v>
      </c>
      <c r="BQ678" s="310">
        <v>-2.3477337098685549</v>
      </c>
      <c r="BR678" s="310">
        <v>-2.8852348102973999</v>
      </c>
      <c r="BS678" s="309">
        <v>-8.8984197152803954</v>
      </c>
      <c r="BT678" s="309">
        <v>-12.978464077450553</v>
      </c>
      <c r="BU678" s="309">
        <v>-21.823124647778869</v>
      </c>
      <c r="BV678" s="309">
        <v>-33.716949945426471</v>
      </c>
      <c r="BW678" s="122"/>
    </row>
    <row r="679" spans="1:75" s="169" customFormat="1" ht="14.25" collapsed="1" x14ac:dyDescent="0.45">
      <c r="A679" s="184" t="s">
        <v>780</v>
      </c>
      <c r="B679" s="489"/>
      <c r="C679" s="498">
        <v>3.2410000000000001</v>
      </c>
      <c r="D679" s="498">
        <v>3.15</v>
      </c>
      <c r="E679" s="498">
        <v>5.1340000000000003</v>
      </c>
      <c r="F679" s="498">
        <v>5.7760000000000007</v>
      </c>
      <c r="G679" s="499">
        <v>0.84</v>
      </c>
      <c r="H679" s="499">
        <v>1.1910000000000001</v>
      </c>
      <c r="I679" s="499">
        <v>2.165</v>
      </c>
      <c r="J679" s="499">
        <v>1.5369999999999999</v>
      </c>
      <c r="K679" s="498">
        <v>5.7329999999999997</v>
      </c>
      <c r="L679" s="499">
        <v>2.056</v>
      </c>
      <c r="M679" s="499">
        <v>4.3460000000000001</v>
      </c>
      <c r="N679" s="499">
        <v>5.21</v>
      </c>
      <c r="O679" s="499">
        <v>5.9390000000000001</v>
      </c>
      <c r="P679" s="498">
        <v>17.551000000000002</v>
      </c>
      <c r="Q679" s="499">
        <v>5.649</v>
      </c>
      <c r="R679" s="499">
        <v>7.4059999999999997</v>
      </c>
      <c r="S679" s="499">
        <v>11.003</v>
      </c>
      <c r="T679" s="499">
        <v>11.618999999999998</v>
      </c>
      <c r="U679" s="498">
        <v>35.677</v>
      </c>
      <c r="V679" s="499">
        <v>10.528</v>
      </c>
      <c r="W679" s="499">
        <v>10.909000000000001</v>
      </c>
      <c r="X679" s="499">
        <v>11.090999999999999</v>
      </c>
      <c r="Y679" s="499">
        <v>11.953999999999997</v>
      </c>
      <c r="Z679" s="498">
        <v>44.481999999999999</v>
      </c>
      <c r="AA679" s="499">
        <v>12.178999999999998</v>
      </c>
      <c r="AB679" s="499">
        <v>14.401999999999999</v>
      </c>
      <c r="AC679" s="499">
        <v>18.914999999999999</v>
      </c>
      <c r="AD679" s="499">
        <v>17.073999999999998</v>
      </c>
      <c r="AE679" s="498">
        <v>62.57</v>
      </c>
      <c r="AF679" s="499">
        <v>15.098000000000003</v>
      </c>
      <c r="AG679" s="499">
        <v>15.466999999999999</v>
      </c>
      <c r="AH679" s="499">
        <v>17.695</v>
      </c>
      <c r="AI679" s="499">
        <v>19.509000000000004</v>
      </c>
      <c r="AJ679" s="498">
        <v>67.769000000000005</v>
      </c>
      <c r="AK679" s="499">
        <v>21.118000000000002</v>
      </c>
      <c r="AL679" s="499">
        <v>24.513000000000002</v>
      </c>
      <c r="AM679" s="499">
        <v>21.564</v>
      </c>
      <c r="AN679" s="499">
        <v>19.981999999999989</v>
      </c>
      <c r="AO679" s="498">
        <v>87.176999999999992</v>
      </c>
      <c r="AP679" s="499">
        <v>19.629000000000005</v>
      </c>
      <c r="AQ679" s="499">
        <v>19.417999999999999</v>
      </c>
      <c r="AR679" s="499">
        <v>15.655999999999995</v>
      </c>
      <c r="AS679" s="499">
        <v>14.546999999999997</v>
      </c>
      <c r="AT679" s="498">
        <v>69.25</v>
      </c>
      <c r="AU679" s="499">
        <v>13.308</v>
      </c>
      <c r="AV679" s="499">
        <v>13.581</v>
      </c>
      <c r="AW679" s="499">
        <v>13.222999999999999</v>
      </c>
      <c r="AX679" s="499">
        <v>24.835000000000001</v>
      </c>
      <c r="AY679" s="498">
        <v>64.947000000000003</v>
      </c>
      <c r="AZ679" s="499">
        <v>20.855</v>
      </c>
      <c r="BA679" s="499">
        <v>26.263999999999996</v>
      </c>
      <c r="BB679" s="499">
        <v>31.417000000000002</v>
      </c>
      <c r="BC679" s="499">
        <v>34.673999999999992</v>
      </c>
      <c r="BD679" s="498">
        <v>113.21000000000001</v>
      </c>
      <c r="BE679" s="499">
        <v>39.816000000000003</v>
      </c>
      <c r="BF679" s="499">
        <v>44.422000000000004</v>
      </c>
      <c r="BG679" s="499">
        <v>54.64</v>
      </c>
      <c r="BH679" s="499">
        <v>59.417999999999992</v>
      </c>
      <c r="BI679" s="500">
        <v>198.29599999999999</v>
      </c>
      <c r="BJ679" s="499">
        <v>56.802021000000003</v>
      </c>
      <c r="BK679" s="499">
        <v>56.733509199346841</v>
      </c>
      <c r="BL679" s="499">
        <v>56.413293942595232</v>
      </c>
      <c r="BM679" s="499">
        <v>56.092366030228192</v>
      </c>
      <c r="BN679" s="498">
        <v>226.04119017217027</v>
      </c>
      <c r="BO679" s="499">
        <v>56.113702617728265</v>
      </c>
      <c r="BP679" s="499">
        <v>56.298648187157305</v>
      </c>
      <c r="BQ679" s="499">
        <v>55.691167290131446</v>
      </c>
      <c r="BR679" s="499">
        <v>55.153666189702605</v>
      </c>
      <c r="BS679" s="498">
        <v>223.25718428471961</v>
      </c>
      <c r="BT679" s="498">
        <v>219.17713992254946</v>
      </c>
      <c r="BU679" s="498">
        <v>210.33247935222113</v>
      </c>
      <c r="BV679" s="498">
        <v>198.43865405457353</v>
      </c>
      <c r="BW679" s="247"/>
    </row>
    <row r="680" spans="1:75" s="169" customFormat="1" ht="14.25" x14ac:dyDescent="0.45">
      <c r="A680" s="497" t="s">
        <v>781</v>
      </c>
      <c r="B680" s="486"/>
      <c r="C680" s="501">
        <v>0</v>
      </c>
      <c r="D680" s="501">
        <v>0</v>
      </c>
      <c r="E680" s="501">
        <v>0</v>
      </c>
      <c r="F680" s="501">
        <v>0</v>
      </c>
      <c r="G680" s="502">
        <v>0</v>
      </c>
      <c r="H680" s="502">
        <v>0</v>
      </c>
      <c r="I680" s="502">
        <v>0</v>
      </c>
      <c r="J680" s="502">
        <v>0</v>
      </c>
      <c r="K680" s="501">
        <v>0</v>
      </c>
      <c r="L680" s="502">
        <v>0</v>
      </c>
      <c r="M680" s="502">
        <v>1.5760000000000001</v>
      </c>
      <c r="N680" s="502">
        <v>2.3330000000000002</v>
      </c>
      <c r="O680" s="502">
        <v>2.9430000000000001</v>
      </c>
      <c r="P680" s="501">
        <v>6.8520000000000003</v>
      </c>
      <c r="Q680" s="502">
        <v>2.702</v>
      </c>
      <c r="R680" s="502">
        <v>4.4930000000000003</v>
      </c>
      <c r="S680" s="502">
        <v>6.415</v>
      </c>
      <c r="T680" s="502">
        <v>6.1930000000000014</v>
      </c>
      <c r="U680" s="501">
        <v>19.803000000000001</v>
      </c>
      <c r="V680" s="502">
        <v>6.4420000000000002</v>
      </c>
      <c r="W680" s="502">
        <v>6.4790000000000001</v>
      </c>
      <c r="X680" s="502">
        <v>6.6289999999999996</v>
      </c>
      <c r="Y680" s="502">
        <v>6.8540000000000001</v>
      </c>
      <c r="Z680" s="501">
        <v>26.404</v>
      </c>
      <c r="AA680" s="502">
        <v>6.7149999999999999</v>
      </c>
      <c r="AB680" s="502">
        <v>6.79</v>
      </c>
      <c r="AC680" s="502">
        <v>6.8789999999999996</v>
      </c>
      <c r="AD680" s="502">
        <v>7.5419999999999998</v>
      </c>
      <c r="AE680" s="501">
        <v>27.925999999999998</v>
      </c>
      <c r="AF680" s="502">
        <v>7.2720000000000002</v>
      </c>
      <c r="AG680" s="502">
        <v>9</v>
      </c>
      <c r="AH680" s="502">
        <v>11.282999999999999</v>
      </c>
      <c r="AI680" s="502">
        <v>11.661</v>
      </c>
      <c r="AJ680" s="501">
        <v>39.216000000000001</v>
      </c>
      <c r="AK680" s="502">
        <v>11.689</v>
      </c>
      <c r="AL680" s="502">
        <v>9.9179999999999993</v>
      </c>
      <c r="AM680" s="502">
        <v>9.6379999999999999</v>
      </c>
      <c r="AN680" s="502">
        <v>11.3</v>
      </c>
      <c r="AO680" s="501">
        <v>42.545000000000002</v>
      </c>
      <c r="AP680" s="502">
        <v>11.125</v>
      </c>
      <c r="AQ680" s="502">
        <v>11.113</v>
      </c>
      <c r="AR680" s="502">
        <v>7.3689999999999998</v>
      </c>
      <c r="AS680" s="502">
        <v>7.4480000000000004</v>
      </c>
      <c r="AT680" s="501">
        <v>37.055</v>
      </c>
      <c r="AU680" s="502">
        <v>5.9809999999999999</v>
      </c>
      <c r="AV680" s="502">
        <v>5.8650000000000002</v>
      </c>
      <c r="AW680" s="502">
        <v>4.0229999999999997</v>
      </c>
      <c r="AX680" s="502">
        <v>2.6080000000000001</v>
      </c>
      <c r="AY680" s="501">
        <v>18.477</v>
      </c>
      <c r="AZ680" s="502">
        <v>0</v>
      </c>
      <c r="BA680" s="502">
        <v>0</v>
      </c>
      <c r="BB680" s="502">
        <v>0</v>
      </c>
      <c r="BC680" s="502">
        <v>0</v>
      </c>
      <c r="BD680" s="501">
        <v>0</v>
      </c>
      <c r="BE680" s="502">
        <v>0</v>
      </c>
      <c r="BF680" s="502">
        <v>0</v>
      </c>
      <c r="BG680" s="502">
        <v>0</v>
      </c>
      <c r="BH680" s="502">
        <v>0</v>
      </c>
      <c r="BI680" s="503">
        <v>0</v>
      </c>
      <c r="BJ680" s="502">
        <v>0</v>
      </c>
      <c r="BK680" s="502">
        <v>0</v>
      </c>
      <c r="BL680" s="502">
        <v>0</v>
      </c>
      <c r="BM680" s="502">
        <v>0</v>
      </c>
      <c r="BN680" s="501">
        <v>0</v>
      </c>
      <c r="BO680" s="502">
        <v>0</v>
      </c>
      <c r="BP680" s="502">
        <v>0</v>
      </c>
      <c r="BQ680" s="502">
        <v>0</v>
      </c>
      <c r="BR680" s="502">
        <v>0</v>
      </c>
      <c r="BS680" s="501">
        <v>0</v>
      </c>
      <c r="BT680" s="501">
        <v>0</v>
      </c>
      <c r="BU680" s="501">
        <v>0</v>
      </c>
      <c r="BV680" s="501">
        <v>0</v>
      </c>
      <c r="BW680" s="247"/>
    </row>
    <row r="681" spans="1:75" s="169" customFormat="1" ht="14.25" x14ac:dyDescent="0.45">
      <c r="A681" s="504" t="s">
        <v>782</v>
      </c>
      <c r="B681" s="505"/>
      <c r="C681" s="506">
        <v>3.2410000000000001</v>
      </c>
      <c r="D681" s="506">
        <v>3.15</v>
      </c>
      <c r="E681" s="506">
        <v>5.1340000000000003</v>
      </c>
      <c r="F681" s="506">
        <v>5.7760000000000007</v>
      </c>
      <c r="G681" s="507">
        <v>0.84</v>
      </c>
      <c r="H681" s="507">
        <v>1.1910000000000001</v>
      </c>
      <c r="I681" s="507">
        <v>2.165</v>
      </c>
      <c r="J681" s="507">
        <v>1.5369999999999999</v>
      </c>
      <c r="K681" s="506">
        <v>5.7329999999999997</v>
      </c>
      <c r="L681" s="507">
        <v>2.056</v>
      </c>
      <c r="M681" s="507">
        <v>2.77</v>
      </c>
      <c r="N681" s="507">
        <v>2.8769999999999998</v>
      </c>
      <c r="O681" s="507">
        <v>2.996</v>
      </c>
      <c r="P681" s="506">
        <v>10.699000000000002</v>
      </c>
      <c r="Q681" s="507">
        <v>2.9470000000000001</v>
      </c>
      <c r="R681" s="507">
        <v>2.9129999999999994</v>
      </c>
      <c r="S681" s="507">
        <v>4.5880000000000001</v>
      </c>
      <c r="T681" s="507">
        <v>5.4259999999999966</v>
      </c>
      <c r="U681" s="506">
        <v>15.873999999999999</v>
      </c>
      <c r="V681" s="507">
        <v>4.0860000000000003</v>
      </c>
      <c r="W681" s="507">
        <v>4.4300000000000006</v>
      </c>
      <c r="X681" s="507">
        <v>4.4619999999999997</v>
      </c>
      <c r="Y681" s="507">
        <v>5.099999999999997</v>
      </c>
      <c r="Z681" s="506">
        <v>18.077999999999999</v>
      </c>
      <c r="AA681" s="507">
        <v>5.4639999999999986</v>
      </c>
      <c r="AB681" s="507">
        <v>7.6119999999999992</v>
      </c>
      <c r="AC681" s="507">
        <v>12.036</v>
      </c>
      <c r="AD681" s="507">
        <v>9.5319999999999983</v>
      </c>
      <c r="AE681" s="506">
        <v>34.644000000000005</v>
      </c>
      <c r="AF681" s="507">
        <v>7.8260000000000023</v>
      </c>
      <c r="AG681" s="507">
        <v>6.4669999999999987</v>
      </c>
      <c r="AH681" s="507">
        <v>6.4120000000000008</v>
      </c>
      <c r="AI681" s="507">
        <v>7.8480000000000043</v>
      </c>
      <c r="AJ681" s="506">
        <v>28.553000000000004</v>
      </c>
      <c r="AK681" s="507">
        <v>9.429000000000002</v>
      </c>
      <c r="AL681" s="507">
        <v>14.595000000000002</v>
      </c>
      <c r="AM681" s="507">
        <v>11.926</v>
      </c>
      <c r="AN681" s="507">
        <v>8.6819999999999879</v>
      </c>
      <c r="AO681" s="506">
        <v>44.631999999999991</v>
      </c>
      <c r="AP681" s="507">
        <v>8.5040000000000049</v>
      </c>
      <c r="AQ681" s="507">
        <v>8.3049999999999997</v>
      </c>
      <c r="AR681" s="507">
        <v>8.2869999999999955</v>
      </c>
      <c r="AS681" s="507">
        <v>7.0989999999999966</v>
      </c>
      <c r="AT681" s="506">
        <v>32.195</v>
      </c>
      <c r="AU681" s="507">
        <v>7.327</v>
      </c>
      <c r="AV681" s="507">
        <v>7.7159999999999993</v>
      </c>
      <c r="AW681" s="507">
        <v>9.1999999999999993</v>
      </c>
      <c r="AX681" s="507">
        <v>22.227</v>
      </c>
      <c r="AY681" s="506">
        <v>46.47</v>
      </c>
      <c r="AZ681" s="507">
        <v>20.855</v>
      </c>
      <c r="BA681" s="507">
        <v>26.263999999999996</v>
      </c>
      <c r="BB681" s="507">
        <v>31.417000000000002</v>
      </c>
      <c r="BC681" s="507">
        <v>34.673999999999992</v>
      </c>
      <c r="BD681" s="506">
        <v>113.21000000000001</v>
      </c>
      <c r="BE681" s="507">
        <v>39.816000000000003</v>
      </c>
      <c r="BF681" s="507">
        <v>44.422000000000004</v>
      </c>
      <c r="BG681" s="507">
        <v>54.64</v>
      </c>
      <c r="BH681" s="507">
        <v>59.417999999999992</v>
      </c>
      <c r="BI681" s="508">
        <v>198.29599999999999</v>
      </c>
      <c r="BJ681" s="507">
        <v>56.802021000000003</v>
      </c>
      <c r="BK681" s="507">
        <v>56.733509199346841</v>
      </c>
      <c r="BL681" s="507">
        <v>56.413293942595232</v>
      </c>
      <c r="BM681" s="507">
        <v>56.092366030228192</v>
      </c>
      <c r="BN681" s="506">
        <v>226.04119017217027</v>
      </c>
      <c r="BO681" s="507">
        <v>56.113702617728265</v>
      </c>
      <c r="BP681" s="507">
        <v>56.298648187157305</v>
      </c>
      <c r="BQ681" s="507">
        <v>55.691167290131446</v>
      </c>
      <c r="BR681" s="507">
        <v>55.153666189702605</v>
      </c>
      <c r="BS681" s="506">
        <v>223.25718428471961</v>
      </c>
      <c r="BT681" s="506">
        <v>219.17713992254946</v>
      </c>
      <c r="BU681" s="506">
        <v>210.33247935222113</v>
      </c>
      <c r="BV681" s="506">
        <v>198.43865405457353</v>
      </c>
      <c r="BW681" s="247"/>
    </row>
    <row r="682" spans="1:75" s="169" customFormat="1" ht="14.25" x14ac:dyDescent="0.45">
      <c r="A682" s="184" t="s">
        <v>783</v>
      </c>
      <c r="B682" s="489"/>
      <c r="C682" s="498">
        <v>0</v>
      </c>
      <c r="D682" s="498">
        <v>0</v>
      </c>
      <c r="E682" s="498">
        <v>0</v>
      </c>
      <c r="F682" s="498">
        <v>0</v>
      </c>
      <c r="G682" s="499">
        <v>0</v>
      </c>
      <c r="H682" s="499">
        <v>0</v>
      </c>
      <c r="I682" s="499">
        <v>0</v>
      </c>
      <c r="J682" s="499">
        <v>0</v>
      </c>
      <c r="K682" s="498">
        <v>0</v>
      </c>
      <c r="L682" s="499">
        <v>0</v>
      </c>
      <c r="M682" s="499">
        <v>0</v>
      </c>
      <c r="N682" s="499">
        <v>0</v>
      </c>
      <c r="O682" s="499">
        <v>0</v>
      </c>
      <c r="P682" s="498">
        <v>0</v>
      </c>
      <c r="Q682" s="499">
        <v>0</v>
      </c>
      <c r="R682" s="499">
        <v>0</v>
      </c>
      <c r="S682" s="499">
        <v>0</v>
      </c>
      <c r="T682" s="499">
        <v>0</v>
      </c>
      <c r="U682" s="498">
        <v>0</v>
      </c>
      <c r="V682" s="499">
        <v>0</v>
      </c>
      <c r="W682" s="499">
        <v>0</v>
      </c>
      <c r="X682" s="499">
        <v>0</v>
      </c>
      <c r="Y682" s="499">
        <v>0</v>
      </c>
      <c r="Z682" s="498">
        <v>0</v>
      </c>
      <c r="AA682" s="499">
        <v>0</v>
      </c>
      <c r="AB682" s="499">
        <v>0</v>
      </c>
      <c r="AC682" s="499">
        <v>0</v>
      </c>
      <c r="AD682" s="499">
        <v>0</v>
      </c>
      <c r="AE682" s="498">
        <v>0</v>
      </c>
      <c r="AF682" s="499">
        <v>0</v>
      </c>
      <c r="AG682" s="499">
        <v>0</v>
      </c>
      <c r="AH682" s="499">
        <v>0</v>
      </c>
      <c r="AI682" s="499">
        <v>0</v>
      </c>
      <c r="AJ682" s="498">
        <v>0</v>
      </c>
      <c r="AK682" s="499">
        <v>0</v>
      </c>
      <c r="AL682" s="499">
        <v>0</v>
      </c>
      <c r="AM682" s="499">
        <v>0</v>
      </c>
      <c r="AN682" s="499">
        <v>0</v>
      </c>
      <c r="AO682" s="498">
        <v>0</v>
      </c>
      <c r="AP682" s="499">
        <v>0</v>
      </c>
      <c r="AQ682" s="499">
        <v>0</v>
      </c>
      <c r="AR682" s="499">
        <v>0</v>
      </c>
      <c r="AS682" s="499">
        <v>0</v>
      </c>
      <c r="AT682" s="498">
        <v>0</v>
      </c>
      <c r="AU682" s="499">
        <v>0</v>
      </c>
      <c r="AV682" s="499">
        <v>0</v>
      </c>
      <c r="AW682" s="499">
        <v>0</v>
      </c>
      <c r="AX682" s="499">
        <v>2.778</v>
      </c>
      <c r="AY682" s="498">
        <v>2.778</v>
      </c>
      <c r="AZ682" s="499">
        <v>-0.34300000000000003</v>
      </c>
      <c r="BA682" s="499">
        <v>3.1949999999999998</v>
      </c>
      <c r="BB682" s="499">
        <v>1.9890000000000001</v>
      </c>
      <c r="BC682" s="499">
        <v>-4.8109999999999999</v>
      </c>
      <c r="BD682" s="498">
        <v>0.03</v>
      </c>
      <c r="BE682" s="499">
        <v>-0.65300000000000002</v>
      </c>
      <c r="BF682" s="499">
        <v>-0.186</v>
      </c>
      <c r="BG682" s="499">
        <v>5.3049999999999997</v>
      </c>
      <c r="BH682" s="499">
        <v>-3.387999999999999</v>
      </c>
      <c r="BI682" s="500">
        <v>1.0780000000000001</v>
      </c>
      <c r="BJ682" s="499">
        <v>0</v>
      </c>
      <c r="BK682" s="499">
        <v>0</v>
      </c>
      <c r="BL682" s="499">
        <v>0</v>
      </c>
      <c r="BM682" s="499">
        <v>0</v>
      </c>
      <c r="BN682" s="498">
        <v>0</v>
      </c>
      <c r="BO682" s="499">
        <v>0</v>
      </c>
      <c r="BP682" s="499">
        <v>0</v>
      </c>
      <c r="BQ682" s="499">
        <v>0</v>
      </c>
      <c r="BR682" s="499">
        <v>0</v>
      </c>
      <c r="BS682" s="498">
        <v>0</v>
      </c>
      <c r="BT682" s="498">
        <v>0</v>
      </c>
      <c r="BU682" s="498">
        <v>0</v>
      </c>
      <c r="BV682" s="498">
        <v>0</v>
      </c>
      <c r="BW682" s="247"/>
    </row>
    <row r="683" spans="1:75" s="169" customFormat="1" ht="14.25" x14ac:dyDescent="0.45">
      <c r="A683" s="497" t="s">
        <v>784</v>
      </c>
      <c r="B683" s="486"/>
      <c r="C683" s="309"/>
      <c r="D683" s="309"/>
      <c r="E683" s="309">
        <v>0</v>
      </c>
      <c r="F683" s="309">
        <v>0</v>
      </c>
      <c r="G683" s="310">
        <v>0</v>
      </c>
      <c r="H683" s="310">
        <v>0</v>
      </c>
      <c r="I683" s="310">
        <v>0</v>
      </c>
      <c r="J683" s="310">
        <v>0</v>
      </c>
      <c r="K683" s="309">
        <v>0</v>
      </c>
      <c r="L683" s="310">
        <v>0</v>
      </c>
      <c r="M683" s="310">
        <v>0</v>
      </c>
      <c r="N683" s="310">
        <v>0</v>
      </c>
      <c r="O683" s="310">
        <v>0</v>
      </c>
      <c r="P683" s="309">
        <v>0</v>
      </c>
      <c r="Q683" s="310">
        <v>0</v>
      </c>
      <c r="R683" s="310">
        <v>0</v>
      </c>
      <c r="S683" s="310">
        <v>0</v>
      </c>
      <c r="T683" s="310">
        <v>0</v>
      </c>
      <c r="U683" s="309">
        <v>0</v>
      </c>
      <c r="V683" s="310">
        <v>0</v>
      </c>
      <c r="W683" s="310">
        <v>0</v>
      </c>
      <c r="X683" s="310">
        <v>0</v>
      </c>
      <c r="Y683" s="310">
        <v>0</v>
      </c>
      <c r="Z683" s="309">
        <v>0</v>
      </c>
      <c r="AA683" s="310">
        <v>0</v>
      </c>
      <c r="AB683" s="310">
        <v>0</v>
      </c>
      <c r="AC683" s="310">
        <v>0</v>
      </c>
      <c r="AD683" s="310">
        <v>0</v>
      </c>
      <c r="AE683" s="309">
        <v>0</v>
      </c>
      <c r="AF683" s="310">
        <v>0</v>
      </c>
      <c r="AG683" s="310">
        <v>0</v>
      </c>
      <c r="AH683" s="310">
        <v>0</v>
      </c>
      <c r="AI683" s="310">
        <v>0</v>
      </c>
      <c r="AJ683" s="309">
        <v>0</v>
      </c>
      <c r="AK683" s="310">
        <v>0</v>
      </c>
      <c r="AL683" s="310">
        <v>0</v>
      </c>
      <c r="AM683" s="310">
        <v>0</v>
      </c>
      <c r="AN683" s="310">
        <v>0</v>
      </c>
      <c r="AO683" s="309">
        <v>0</v>
      </c>
      <c r="AP683" s="310">
        <v>0</v>
      </c>
      <c r="AQ683" s="310">
        <v>0</v>
      </c>
      <c r="AR683" s="310">
        <v>0</v>
      </c>
      <c r="AS683" s="310">
        <v>0</v>
      </c>
      <c r="AT683" s="309">
        <v>0</v>
      </c>
      <c r="AU683" s="310">
        <v>0</v>
      </c>
      <c r="AV683" s="310">
        <v>0</v>
      </c>
      <c r="AW683" s="310">
        <v>0</v>
      </c>
      <c r="AX683" s="310">
        <v>0</v>
      </c>
      <c r="AY683" s="309">
        <v>0</v>
      </c>
      <c r="AZ683" s="310">
        <v>-3.177</v>
      </c>
      <c r="BA683" s="310">
        <v>1.4530000000000001</v>
      </c>
      <c r="BB683" s="310">
        <v>0</v>
      </c>
      <c r="BC683" s="310">
        <v>0</v>
      </c>
      <c r="BD683" s="309">
        <v>-1.724</v>
      </c>
      <c r="BE683" s="310">
        <v>0</v>
      </c>
      <c r="BF683" s="310">
        <v>0</v>
      </c>
      <c r="BG683" s="310">
        <v>0</v>
      </c>
      <c r="BH683" s="310">
        <v>0</v>
      </c>
      <c r="BI683" s="314">
        <v>0</v>
      </c>
      <c r="BJ683" s="316">
        <v>0</v>
      </c>
      <c r="BK683" s="316">
        <v>0</v>
      </c>
      <c r="BL683" s="316">
        <v>0</v>
      </c>
      <c r="BM683" s="316">
        <v>0</v>
      </c>
      <c r="BN683" s="309">
        <v>0</v>
      </c>
      <c r="BO683" s="316">
        <v>0</v>
      </c>
      <c r="BP683" s="316">
        <v>0</v>
      </c>
      <c r="BQ683" s="316">
        <v>0</v>
      </c>
      <c r="BR683" s="316">
        <v>0</v>
      </c>
      <c r="BS683" s="309">
        <v>0</v>
      </c>
      <c r="BT683" s="311">
        <v>0</v>
      </c>
      <c r="BU683" s="311">
        <v>0</v>
      </c>
      <c r="BV683" s="311">
        <v>0</v>
      </c>
      <c r="BW683" s="247"/>
    </row>
    <row r="684" spans="1:75" s="169" customFormat="1" ht="14.25" x14ac:dyDescent="0.45">
      <c r="A684" s="184" t="s">
        <v>785</v>
      </c>
      <c r="B684" s="489"/>
      <c r="C684" s="299">
        <v>0</v>
      </c>
      <c r="D684" s="299">
        <v>0</v>
      </c>
      <c r="E684" s="299">
        <v>0</v>
      </c>
      <c r="F684" s="299">
        <v>0</v>
      </c>
      <c r="G684" s="300">
        <v>0</v>
      </c>
      <c r="H684" s="300">
        <v>0</v>
      </c>
      <c r="I684" s="300">
        <v>0</v>
      </c>
      <c r="J684" s="300">
        <v>0</v>
      </c>
      <c r="K684" s="299">
        <v>0</v>
      </c>
      <c r="L684" s="300">
        <v>0</v>
      </c>
      <c r="M684" s="300">
        <v>0</v>
      </c>
      <c r="N684" s="300">
        <v>0</v>
      </c>
      <c r="O684" s="300">
        <v>0</v>
      </c>
      <c r="P684" s="299">
        <v>0</v>
      </c>
      <c r="Q684" s="300">
        <v>0</v>
      </c>
      <c r="R684" s="300">
        <v>0</v>
      </c>
      <c r="S684" s="300">
        <v>0</v>
      </c>
      <c r="T684" s="300">
        <v>0</v>
      </c>
      <c r="U684" s="299">
        <v>0</v>
      </c>
      <c r="V684" s="300">
        <v>0</v>
      </c>
      <c r="W684" s="300">
        <v>0</v>
      </c>
      <c r="X684" s="300">
        <v>0</v>
      </c>
      <c r="Y684" s="300">
        <v>0</v>
      </c>
      <c r="Z684" s="299">
        <v>0</v>
      </c>
      <c r="AA684" s="300">
        <v>0</v>
      </c>
      <c r="AB684" s="300">
        <v>0</v>
      </c>
      <c r="AC684" s="300">
        <v>0</v>
      </c>
      <c r="AD684" s="300">
        <v>0</v>
      </c>
      <c r="AE684" s="299">
        <v>0</v>
      </c>
      <c r="AF684" s="300">
        <v>0</v>
      </c>
      <c r="AG684" s="300">
        <v>0</v>
      </c>
      <c r="AH684" s="300">
        <v>0</v>
      </c>
      <c r="AI684" s="300">
        <v>0</v>
      </c>
      <c r="AJ684" s="299">
        <v>0</v>
      </c>
      <c r="AK684" s="300">
        <v>0</v>
      </c>
      <c r="AL684" s="300">
        <v>0</v>
      </c>
      <c r="AM684" s="300">
        <v>0</v>
      </c>
      <c r="AN684" s="300">
        <v>0</v>
      </c>
      <c r="AO684" s="299">
        <v>0</v>
      </c>
      <c r="AP684" s="300">
        <v>0</v>
      </c>
      <c r="AQ684" s="300">
        <v>0</v>
      </c>
      <c r="AR684" s="300">
        <v>0</v>
      </c>
      <c r="AS684" s="300">
        <v>0</v>
      </c>
      <c r="AT684" s="299">
        <v>0</v>
      </c>
      <c r="AU684" s="300">
        <v>0</v>
      </c>
      <c r="AV684" s="300">
        <v>0</v>
      </c>
      <c r="AW684" s="300">
        <v>0</v>
      </c>
      <c r="AX684" s="300">
        <v>2.778</v>
      </c>
      <c r="AY684" s="299">
        <v>2.778</v>
      </c>
      <c r="AZ684" s="300">
        <v>2.8340000000000001</v>
      </c>
      <c r="BA684" s="300">
        <v>1.7419999999999998</v>
      </c>
      <c r="BB684" s="300">
        <v>1.9890000000000001</v>
      </c>
      <c r="BC684" s="300">
        <v>-4.8109999999999999</v>
      </c>
      <c r="BD684" s="299">
        <v>1.754</v>
      </c>
      <c r="BE684" s="300">
        <v>-0.65300000000000002</v>
      </c>
      <c r="BF684" s="300">
        <v>-0.186</v>
      </c>
      <c r="BG684" s="300">
        <v>5.3049999999999997</v>
      </c>
      <c r="BH684" s="300">
        <v>-3.387999999999999</v>
      </c>
      <c r="BI684" s="304">
        <v>1.0780000000000001</v>
      </c>
      <c r="BJ684" s="307">
        <v>0</v>
      </c>
      <c r="BK684" s="307">
        <v>0</v>
      </c>
      <c r="BL684" s="307">
        <v>0</v>
      </c>
      <c r="BM684" s="307">
        <v>0</v>
      </c>
      <c r="BN684" s="299">
        <v>0</v>
      </c>
      <c r="BO684" s="307">
        <v>0</v>
      </c>
      <c r="BP684" s="307">
        <v>0</v>
      </c>
      <c r="BQ684" s="307">
        <v>0</v>
      </c>
      <c r="BR684" s="307">
        <v>0</v>
      </c>
      <c r="BS684" s="299">
        <v>0</v>
      </c>
      <c r="BT684" s="305">
        <v>0</v>
      </c>
      <c r="BU684" s="305">
        <v>0</v>
      </c>
      <c r="BV684" s="305">
        <v>0</v>
      </c>
      <c r="BW684" s="247"/>
    </row>
    <row r="685" spans="1:75" s="169" customFormat="1" ht="14.25" x14ac:dyDescent="0.45">
      <c r="A685" s="184" t="s">
        <v>786</v>
      </c>
      <c r="B685" s="489"/>
      <c r="C685" s="498">
        <v>0</v>
      </c>
      <c r="D685" s="498">
        <v>0</v>
      </c>
      <c r="E685" s="498">
        <v>0</v>
      </c>
      <c r="F685" s="498">
        <v>0</v>
      </c>
      <c r="G685" s="499">
        <v>0</v>
      </c>
      <c r="H685" s="499">
        <v>0</v>
      </c>
      <c r="I685" s="499">
        <v>0</v>
      </c>
      <c r="J685" s="499">
        <v>0</v>
      </c>
      <c r="K685" s="498">
        <v>0</v>
      </c>
      <c r="L685" s="499">
        <v>0</v>
      </c>
      <c r="M685" s="499">
        <v>0</v>
      </c>
      <c r="N685" s="499">
        <v>0</v>
      </c>
      <c r="O685" s="499">
        <v>0</v>
      </c>
      <c r="P685" s="498">
        <v>0</v>
      </c>
      <c r="Q685" s="499">
        <v>0</v>
      </c>
      <c r="R685" s="499">
        <v>0</v>
      </c>
      <c r="S685" s="499">
        <v>0</v>
      </c>
      <c r="T685" s="499">
        <v>0</v>
      </c>
      <c r="U685" s="498">
        <v>0</v>
      </c>
      <c r="V685" s="499">
        <v>0</v>
      </c>
      <c r="W685" s="499">
        <v>0</v>
      </c>
      <c r="X685" s="499">
        <v>0</v>
      </c>
      <c r="Y685" s="499">
        <v>0</v>
      </c>
      <c r="Z685" s="498">
        <v>0</v>
      </c>
      <c r="AA685" s="499">
        <v>0</v>
      </c>
      <c r="AB685" s="499">
        <v>0</v>
      </c>
      <c r="AC685" s="499">
        <v>0</v>
      </c>
      <c r="AD685" s="499">
        <v>33.700000000000003</v>
      </c>
      <c r="AE685" s="498">
        <v>33.700000000000003</v>
      </c>
      <c r="AF685" s="499">
        <v>0</v>
      </c>
      <c r="AG685" s="499">
        <v>0</v>
      </c>
      <c r="AH685" s="499">
        <v>0</v>
      </c>
      <c r="AI685" s="499">
        <v>32.085999999999999</v>
      </c>
      <c r="AJ685" s="498">
        <v>32.085999999999999</v>
      </c>
      <c r="AK685" s="499">
        <v>0</v>
      </c>
      <c r="AL685" s="499">
        <v>0</v>
      </c>
      <c r="AM685" s="499">
        <v>0</v>
      </c>
      <c r="AN685" s="499">
        <v>0</v>
      </c>
      <c r="AO685" s="498">
        <v>0</v>
      </c>
      <c r="AP685" s="499">
        <v>20.459</v>
      </c>
      <c r="AQ685" s="499">
        <v>0</v>
      </c>
      <c r="AR685" s="499">
        <v>0</v>
      </c>
      <c r="AS685" s="499">
        <v>0</v>
      </c>
      <c r="AT685" s="498">
        <v>20.459</v>
      </c>
      <c r="AU685" s="499">
        <v>0</v>
      </c>
      <c r="AV685" s="499">
        <v>0</v>
      </c>
      <c r="AW685" s="499">
        <v>0</v>
      </c>
      <c r="AX685" s="499">
        <v>0</v>
      </c>
      <c r="AY685" s="498">
        <v>0</v>
      </c>
      <c r="AZ685" s="499">
        <v>0</v>
      </c>
      <c r="BA685" s="499">
        <v>0</v>
      </c>
      <c r="BB685" s="499">
        <v>0</v>
      </c>
      <c r="BC685" s="499">
        <v>0</v>
      </c>
      <c r="BD685" s="498">
        <v>0</v>
      </c>
      <c r="BE685" s="499">
        <v>0</v>
      </c>
      <c r="BF685" s="499">
        <v>0</v>
      </c>
      <c r="BG685" s="499">
        <v>0</v>
      </c>
      <c r="BH685" s="499">
        <v>0</v>
      </c>
      <c r="BI685" s="500">
        <v>0</v>
      </c>
      <c r="BJ685" s="509">
        <v>0</v>
      </c>
      <c r="BK685" s="509">
        <v>0</v>
      </c>
      <c r="BL685" s="509">
        <v>0</v>
      </c>
      <c r="BM685" s="509">
        <v>0</v>
      </c>
      <c r="BN685" s="498">
        <v>0</v>
      </c>
      <c r="BO685" s="509">
        <v>0</v>
      </c>
      <c r="BP685" s="509">
        <v>0</v>
      </c>
      <c r="BQ685" s="509">
        <v>0</v>
      </c>
      <c r="BR685" s="509">
        <v>0</v>
      </c>
      <c r="BS685" s="498">
        <v>0</v>
      </c>
      <c r="BT685" s="510">
        <v>0</v>
      </c>
      <c r="BU685" s="510">
        <v>0</v>
      </c>
      <c r="BV685" s="510">
        <v>0</v>
      </c>
      <c r="BW685" s="247"/>
    </row>
    <row r="686" spans="1:75" s="169" customFormat="1" ht="14.25" x14ac:dyDescent="0.45">
      <c r="A686" s="184" t="s">
        <v>787</v>
      </c>
      <c r="B686" s="489"/>
      <c r="C686" s="498">
        <v>0</v>
      </c>
      <c r="D686" s="498">
        <v>0</v>
      </c>
      <c r="E686" s="498">
        <v>0</v>
      </c>
      <c r="F686" s="498">
        <v>0</v>
      </c>
      <c r="G686" s="499">
        <v>0</v>
      </c>
      <c r="H686" s="499">
        <v>0</v>
      </c>
      <c r="I686" s="499">
        <v>0</v>
      </c>
      <c r="J686" s="499">
        <v>0</v>
      </c>
      <c r="K686" s="498">
        <v>0</v>
      </c>
      <c r="L686" s="499">
        <v>0</v>
      </c>
      <c r="M686" s="499">
        <v>0</v>
      </c>
      <c r="N686" s="499">
        <v>0</v>
      </c>
      <c r="O686" s="499">
        <v>0</v>
      </c>
      <c r="P686" s="498">
        <v>0</v>
      </c>
      <c r="Q686" s="499">
        <v>0</v>
      </c>
      <c r="R686" s="499">
        <v>0</v>
      </c>
      <c r="S686" s="499">
        <v>0</v>
      </c>
      <c r="T686" s="499">
        <v>0</v>
      </c>
      <c r="U686" s="498">
        <v>0</v>
      </c>
      <c r="V686" s="499">
        <v>0</v>
      </c>
      <c r="W686" s="499">
        <v>0</v>
      </c>
      <c r="X686" s="499">
        <v>0</v>
      </c>
      <c r="Y686" s="499">
        <v>0</v>
      </c>
      <c r="Z686" s="498">
        <v>0</v>
      </c>
      <c r="AA686" s="499">
        <v>0</v>
      </c>
      <c r="AB686" s="499">
        <v>0</v>
      </c>
      <c r="AC686" s="499">
        <v>4.88</v>
      </c>
      <c r="AD686" s="499">
        <v>0</v>
      </c>
      <c r="AE686" s="498">
        <v>4.88</v>
      </c>
      <c r="AF686" s="499">
        <v>0</v>
      </c>
      <c r="AG686" s="499">
        <v>0.91700000000000004</v>
      </c>
      <c r="AH686" s="499">
        <v>0</v>
      </c>
      <c r="AI686" s="499">
        <v>0</v>
      </c>
      <c r="AJ686" s="498">
        <v>0.91700000000000004</v>
      </c>
      <c r="AK686" s="499">
        <v>0</v>
      </c>
      <c r="AL686" s="499">
        <v>-0.95399999999999996</v>
      </c>
      <c r="AM686" s="499">
        <v>6.8570000000000002</v>
      </c>
      <c r="AN686" s="499">
        <v>0.56899999999999995</v>
      </c>
      <c r="AO686" s="498">
        <v>6.4720000000000004</v>
      </c>
      <c r="AP686" s="499">
        <v>0</v>
      </c>
      <c r="AQ686" s="499">
        <v>-0.152</v>
      </c>
      <c r="AR686" s="499">
        <v>0</v>
      </c>
      <c r="AS686" s="499">
        <v>0</v>
      </c>
      <c r="AT686" s="498">
        <v>-0.152</v>
      </c>
      <c r="AU686" s="499">
        <v>0.105</v>
      </c>
      <c r="AV686" s="499">
        <v>3.1659999999999999</v>
      </c>
      <c r="AW686" s="499">
        <v>18.513000000000002</v>
      </c>
      <c r="AX686" s="499">
        <v>7.3539999999999992</v>
      </c>
      <c r="AY686" s="498">
        <v>29.138000000000002</v>
      </c>
      <c r="AZ686" s="499">
        <v>146.11600000000001</v>
      </c>
      <c r="BA686" s="499">
        <v>23.462</v>
      </c>
      <c r="BB686" s="499">
        <v>0</v>
      </c>
      <c r="BC686" s="499">
        <v>0</v>
      </c>
      <c r="BD686" s="498">
        <v>169.578</v>
      </c>
      <c r="BE686" s="499">
        <v>0</v>
      </c>
      <c r="BF686" s="499">
        <v>0</v>
      </c>
      <c r="BG686" s="499">
        <v>0</v>
      </c>
      <c r="BH686" s="499">
        <v>0</v>
      </c>
      <c r="BI686" s="500">
        <v>0</v>
      </c>
      <c r="BJ686" s="509">
        <v>0</v>
      </c>
      <c r="BK686" s="509">
        <v>0</v>
      </c>
      <c r="BL686" s="509">
        <v>0</v>
      </c>
      <c r="BM686" s="509">
        <v>0</v>
      </c>
      <c r="BN686" s="498">
        <v>0</v>
      </c>
      <c r="BO686" s="509">
        <v>0</v>
      </c>
      <c r="BP686" s="509">
        <v>0</v>
      </c>
      <c r="BQ686" s="509">
        <v>0</v>
      </c>
      <c r="BR686" s="509">
        <v>0</v>
      </c>
      <c r="BS686" s="498">
        <v>0</v>
      </c>
      <c r="BT686" s="510">
        <v>0</v>
      </c>
      <c r="BU686" s="510">
        <v>0</v>
      </c>
      <c r="BV686" s="510">
        <v>0</v>
      </c>
      <c r="BW686" s="247"/>
    </row>
    <row r="687" spans="1:75" s="169" customFormat="1" ht="14.25" x14ac:dyDescent="0.45">
      <c r="A687" s="192" t="s">
        <v>788</v>
      </c>
      <c r="B687" s="495"/>
      <c r="C687" s="325">
        <v>-29.074000000000083</v>
      </c>
      <c r="D687" s="325">
        <v>-6.3660000000000654</v>
      </c>
      <c r="E687" s="325">
        <v>21.709000000000074</v>
      </c>
      <c r="F687" s="325">
        <v>-74.811999999999941</v>
      </c>
      <c r="G687" s="326">
        <v>-0.3290000000000185</v>
      </c>
      <c r="H687" s="326">
        <v>-28.971</v>
      </c>
      <c r="I687" s="326">
        <v>21.694999999999986</v>
      </c>
      <c r="J687" s="326">
        <v>56.723000000000035</v>
      </c>
      <c r="K687" s="325">
        <v>49.117999999999775</v>
      </c>
      <c r="L687" s="326">
        <v>2.72200000000002</v>
      </c>
      <c r="M687" s="326">
        <v>44.588999999999984</v>
      </c>
      <c r="N687" s="326">
        <v>31.477999999999987</v>
      </c>
      <c r="O687" s="326">
        <v>69.385999999999967</v>
      </c>
      <c r="P687" s="325">
        <v>148.1749999999999</v>
      </c>
      <c r="Q687" s="326">
        <v>11.38000000000001</v>
      </c>
      <c r="R687" s="326">
        <v>49.017000000000031</v>
      </c>
      <c r="S687" s="326">
        <v>33.872999999999948</v>
      </c>
      <c r="T687" s="326">
        <v>55.613999999999947</v>
      </c>
      <c r="U687" s="325">
        <v>149.88399999999982</v>
      </c>
      <c r="V687" s="326">
        <v>-22.002999999999965</v>
      </c>
      <c r="W687" s="326">
        <v>11.105999999999986</v>
      </c>
      <c r="X687" s="326">
        <v>4.294999999999968</v>
      </c>
      <c r="Y687" s="326">
        <v>15.156000000000017</v>
      </c>
      <c r="Z687" s="325">
        <v>8.5540000000000589</v>
      </c>
      <c r="AA687" s="326">
        <v>-5.2829999999999835</v>
      </c>
      <c r="AB687" s="326">
        <v>-2.278999999999952</v>
      </c>
      <c r="AC687" s="326">
        <v>19.366999999999923</v>
      </c>
      <c r="AD687" s="326">
        <v>18.346000000000231</v>
      </c>
      <c r="AE687" s="325">
        <v>30.15100000000005</v>
      </c>
      <c r="AF687" s="326">
        <v>33.048999999999964</v>
      </c>
      <c r="AG687" s="326">
        <v>65.439000000000007</v>
      </c>
      <c r="AH687" s="326">
        <v>24.533000000000008</v>
      </c>
      <c r="AI687" s="326">
        <v>37.942999999999898</v>
      </c>
      <c r="AJ687" s="325">
        <v>160.96399999999974</v>
      </c>
      <c r="AK687" s="326">
        <v>47.515000000000008</v>
      </c>
      <c r="AL687" s="326">
        <v>80.422000000000011</v>
      </c>
      <c r="AM687" s="326">
        <v>60.815999999999946</v>
      </c>
      <c r="AN687" s="326">
        <v>80.429000000000372</v>
      </c>
      <c r="AO687" s="325">
        <v>269.18200000000002</v>
      </c>
      <c r="AP687" s="326">
        <v>-4.6350000000000016</v>
      </c>
      <c r="AQ687" s="326">
        <v>117.30200000000004</v>
      </c>
      <c r="AR687" s="326">
        <v>95.565000000000069</v>
      </c>
      <c r="AS687" s="326">
        <v>169.06900000000022</v>
      </c>
      <c r="AT687" s="325">
        <v>377.30100000000016</v>
      </c>
      <c r="AU687" s="326">
        <v>174.47500000000005</v>
      </c>
      <c r="AV687" s="326">
        <v>232.24100000000007</v>
      </c>
      <c r="AW687" s="326">
        <v>240.80299999999997</v>
      </c>
      <c r="AX687" s="326">
        <v>182.79899999999984</v>
      </c>
      <c r="AY687" s="325">
        <v>830.31799999999998</v>
      </c>
      <c r="AZ687" s="326">
        <v>38.660000000000011</v>
      </c>
      <c r="BA687" s="326">
        <v>181.49300000000011</v>
      </c>
      <c r="BB687" s="326">
        <v>136.84400000000002</v>
      </c>
      <c r="BC687" s="326">
        <v>82.3419999999997</v>
      </c>
      <c r="BD687" s="325">
        <v>439.33899999999994</v>
      </c>
      <c r="BE687" s="326">
        <v>60.077000000000005</v>
      </c>
      <c r="BF687" s="326">
        <v>107.10400000000004</v>
      </c>
      <c r="BG687" s="326">
        <v>-8.7089999999999534</v>
      </c>
      <c r="BH687" s="326">
        <v>8.2250000000002288</v>
      </c>
      <c r="BI687" s="329">
        <v>166.69700000000026</v>
      </c>
      <c r="BJ687" s="326">
        <v>-9.7284704431112132</v>
      </c>
      <c r="BK687" s="326">
        <v>88.870041117471985</v>
      </c>
      <c r="BL687" s="326">
        <v>64.571522676692183</v>
      </c>
      <c r="BM687" s="326">
        <v>49.437447716212688</v>
      </c>
      <c r="BN687" s="325">
        <v>193.15054106726569</v>
      </c>
      <c r="BO687" s="326">
        <v>40.07274295172887</v>
      </c>
      <c r="BP687" s="326">
        <v>124.80132344244976</v>
      </c>
      <c r="BQ687" s="326">
        <v>89.111753605382077</v>
      </c>
      <c r="BR687" s="326">
        <v>81.985177855744453</v>
      </c>
      <c r="BS687" s="325">
        <v>335.97099785530486</v>
      </c>
      <c r="BT687" s="325">
        <v>421.0739823750605</v>
      </c>
      <c r="BU687" s="325">
        <v>500.24880378951178</v>
      </c>
      <c r="BV687" s="325">
        <v>577.73716440961425</v>
      </c>
      <c r="BW687" s="247"/>
    </row>
    <row r="688" spans="1:75" s="169" customFormat="1" ht="14.25" x14ac:dyDescent="0.45">
      <c r="A688" s="445" t="s">
        <v>789</v>
      </c>
      <c r="B688" s="486"/>
      <c r="C688" s="309"/>
      <c r="D688" s="309"/>
      <c r="E688" s="309"/>
      <c r="F688" s="309"/>
      <c r="G688" s="310"/>
      <c r="H688" s="310"/>
      <c r="I688" s="310"/>
      <c r="J688" s="310"/>
      <c r="K688" s="309"/>
      <c r="L688" s="310"/>
      <c r="M688" s="310"/>
      <c r="N688" s="310"/>
      <c r="O688" s="310"/>
      <c r="P688" s="309"/>
      <c r="Q688" s="310"/>
      <c r="R688" s="310"/>
      <c r="S688" s="310"/>
      <c r="T688" s="310"/>
      <c r="U688" s="309"/>
      <c r="V688" s="310"/>
      <c r="W688" s="310"/>
      <c r="X688" s="310"/>
      <c r="Y688" s="310"/>
      <c r="Z688" s="309"/>
      <c r="AA688" s="310"/>
      <c r="AB688" s="310"/>
      <c r="AC688" s="310"/>
      <c r="AD688" s="310"/>
      <c r="AE688" s="309"/>
      <c r="AF688" s="310"/>
      <c r="AG688" s="310"/>
      <c r="AH688" s="310"/>
      <c r="AI688" s="310"/>
      <c r="AJ688" s="309"/>
      <c r="AK688" s="310"/>
      <c r="AL688" s="310"/>
      <c r="AM688" s="310"/>
      <c r="AN688" s="310"/>
      <c r="AO688" s="309"/>
      <c r="AP688" s="310"/>
      <c r="AQ688" s="310"/>
      <c r="AR688" s="310"/>
      <c r="AS688" s="310"/>
      <c r="AT688" s="309"/>
      <c r="AU688" s="310"/>
      <c r="AV688" s="310"/>
      <c r="AW688" s="310"/>
      <c r="AX688" s="310"/>
      <c r="AY688" s="309"/>
      <c r="AZ688" s="310"/>
      <c r="BA688" s="310"/>
      <c r="BB688" s="310"/>
      <c r="BC688" s="310"/>
      <c r="BD688" s="309"/>
      <c r="BE688" s="310"/>
      <c r="BF688" s="310"/>
      <c r="BG688" s="310"/>
      <c r="BH688" s="310"/>
      <c r="BI688" s="314"/>
      <c r="BJ688" s="316">
        <v>0</v>
      </c>
      <c r="BK688" s="316">
        <v>0</v>
      </c>
      <c r="BL688" s="316">
        <v>0</v>
      </c>
      <c r="BM688" s="316">
        <v>0</v>
      </c>
      <c r="BN688" s="309">
        <v>0</v>
      </c>
      <c r="BO688" s="316">
        <v>0</v>
      </c>
      <c r="BP688" s="316">
        <v>0</v>
      </c>
      <c r="BQ688" s="316">
        <v>0</v>
      </c>
      <c r="BR688" s="316">
        <v>0</v>
      </c>
      <c r="BS688" s="309">
        <v>0</v>
      </c>
      <c r="BT688" s="311">
        <v>0</v>
      </c>
      <c r="BU688" s="311">
        <v>0</v>
      </c>
      <c r="BV688" s="311">
        <v>0</v>
      </c>
      <c r="BW688" s="247"/>
    </row>
    <row r="689" spans="1:75" s="169" customFormat="1" ht="14.25" x14ac:dyDescent="0.45">
      <c r="A689" s="192" t="s">
        <v>790</v>
      </c>
      <c r="B689" s="495"/>
      <c r="C689" s="325">
        <v>-30.805000000000081</v>
      </c>
      <c r="D689" s="325">
        <v>5.0419999999999359</v>
      </c>
      <c r="E689" s="325">
        <v>44.085000000000072</v>
      </c>
      <c r="F689" s="325">
        <v>62.898000000000074</v>
      </c>
      <c r="G689" s="326">
        <v>3.7609999999999815</v>
      </c>
      <c r="H689" s="326">
        <v>32.988999999999997</v>
      </c>
      <c r="I689" s="326">
        <v>21.694999999999986</v>
      </c>
      <c r="J689" s="326">
        <v>56.723000000000035</v>
      </c>
      <c r="K689" s="325">
        <v>115.16799999999976</v>
      </c>
      <c r="L689" s="326">
        <v>11.922000000000018</v>
      </c>
      <c r="M689" s="326">
        <v>46.164999999999985</v>
      </c>
      <c r="N689" s="326">
        <v>33.810999999999986</v>
      </c>
      <c r="O689" s="326">
        <v>70.828999999999965</v>
      </c>
      <c r="P689" s="325">
        <v>162.72699999999986</v>
      </c>
      <c r="Q689" s="326">
        <v>15.650000000000013</v>
      </c>
      <c r="R689" s="326">
        <v>58.984000000000037</v>
      </c>
      <c r="S689" s="326">
        <v>45.363999999999947</v>
      </c>
      <c r="T689" s="326">
        <v>68.734999999999943</v>
      </c>
      <c r="U689" s="325">
        <v>188.73299999999981</v>
      </c>
      <c r="V689" s="326">
        <v>-3.3759999999999666</v>
      </c>
      <c r="W689" s="326">
        <v>28.744999999999983</v>
      </c>
      <c r="X689" s="326">
        <v>13.683999999999969</v>
      </c>
      <c r="Y689" s="326">
        <v>45.78300000000003</v>
      </c>
      <c r="Z689" s="325">
        <v>84.836000000000027</v>
      </c>
      <c r="AA689" s="326">
        <v>2.8120000000000154</v>
      </c>
      <c r="AB689" s="326">
        <v>32.296000000000042</v>
      </c>
      <c r="AC689" s="326">
        <v>35.968999999999909</v>
      </c>
      <c r="AD689" s="326">
        <v>65.57700000000024</v>
      </c>
      <c r="AE689" s="325">
        <v>136.65400000000005</v>
      </c>
      <c r="AF689" s="326">
        <v>41.331999999999958</v>
      </c>
      <c r="AG689" s="326">
        <v>68.999000000000024</v>
      </c>
      <c r="AH689" s="326">
        <v>54.663000000000011</v>
      </c>
      <c r="AI689" s="326">
        <v>93.636999999999887</v>
      </c>
      <c r="AJ689" s="325">
        <v>258.6309999999998</v>
      </c>
      <c r="AK689" s="326">
        <v>61.065000000000012</v>
      </c>
      <c r="AL689" s="326">
        <v>90.418000000000035</v>
      </c>
      <c r="AM689" s="326">
        <v>75.834999999999951</v>
      </c>
      <c r="AN689" s="326">
        <v>107.14500000000037</v>
      </c>
      <c r="AO689" s="325">
        <v>334.46300000000002</v>
      </c>
      <c r="AP689" s="326">
        <v>39.563000000000002</v>
      </c>
      <c r="AQ689" s="326">
        <v>146.61800000000002</v>
      </c>
      <c r="AR689" s="326">
        <v>217.02400000000009</v>
      </c>
      <c r="AS689" s="326">
        <v>185.14200000000019</v>
      </c>
      <c r="AT689" s="325">
        <v>588.34700000000021</v>
      </c>
      <c r="AU689" s="326">
        <v>186.92500000000004</v>
      </c>
      <c r="AV689" s="326">
        <v>254.93900000000008</v>
      </c>
      <c r="AW689" s="326">
        <v>269.51</v>
      </c>
      <c r="AX689" s="326">
        <v>202.00599999999986</v>
      </c>
      <c r="AY689" s="325">
        <v>913.38</v>
      </c>
      <c r="AZ689" s="326">
        <v>212.84100000000004</v>
      </c>
      <c r="BA689" s="326">
        <v>216.72800000000009</v>
      </c>
      <c r="BB689" s="326">
        <v>146.94300000000001</v>
      </c>
      <c r="BC689" s="326">
        <v>98.34999999999971</v>
      </c>
      <c r="BD689" s="325">
        <v>674.86199999999997</v>
      </c>
      <c r="BE689" s="326">
        <v>71.229000000000013</v>
      </c>
      <c r="BF689" s="326">
        <v>117.12800000000004</v>
      </c>
      <c r="BG689" s="326">
        <v>-4.7819999999999538</v>
      </c>
      <c r="BH689" s="326">
        <v>10.838000000000228</v>
      </c>
      <c r="BI689" s="329">
        <v>194.41300000000021</v>
      </c>
      <c r="BJ689" s="326">
        <v>-6.2284704431112132</v>
      </c>
      <c r="BK689" s="326">
        <v>92.370041117471985</v>
      </c>
      <c r="BL689" s="326">
        <v>68.071522676692183</v>
      </c>
      <c r="BM689" s="326">
        <v>52.937447716212688</v>
      </c>
      <c r="BN689" s="325">
        <v>207.15054106726569</v>
      </c>
      <c r="BO689" s="326">
        <v>43.57274295172887</v>
      </c>
      <c r="BP689" s="326">
        <v>128.30132344244976</v>
      </c>
      <c r="BQ689" s="326">
        <v>92.611753605382077</v>
      </c>
      <c r="BR689" s="326">
        <v>85.485177855744453</v>
      </c>
      <c r="BS689" s="325">
        <v>349.97099785530486</v>
      </c>
      <c r="BT689" s="325">
        <v>435.0739823750605</v>
      </c>
      <c r="BU689" s="325">
        <v>514.24880378951184</v>
      </c>
      <c r="BV689" s="325">
        <v>591.73716440961425</v>
      </c>
      <c r="BW689" s="247"/>
    </row>
    <row r="690" spans="1:75" s="169" customFormat="1" ht="14.25" x14ac:dyDescent="0.45">
      <c r="A690" s="199" t="s">
        <v>791</v>
      </c>
      <c r="B690" s="490"/>
      <c r="C690" s="411"/>
      <c r="D690" s="411">
        <v>35.847000000000016</v>
      </c>
      <c r="E690" s="411">
        <v>39.043000000000134</v>
      </c>
      <c r="F690" s="411">
        <v>18.813000000000002</v>
      </c>
      <c r="G690" s="412"/>
      <c r="H690" s="412"/>
      <c r="I690" s="412"/>
      <c r="J690" s="412"/>
      <c r="K690" s="411">
        <v>52.26999999999969</v>
      </c>
      <c r="L690" s="412">
        <v>8.1610000000000369</v>
      </c>
      <c r="M690" s="412">
        <v>13.175999999999988</v>
      </c>
      <c r="N690" s="412">
        <v>12.116</v>
      </c>
      <c r="O690" s="412">
        <v>14.105999999999931</v>
      </c>
      <c r="P690" s="411">
        <v>47.559000000000097</v>
      </c>
      <c r="Q690" s="412">
        <v>3.7279999999999944</v>
      </c>
      <c r="R690" s="412">
        <v>12.819000000000052</v>
      </c>
      <c r="S690" s="412">
        <v>11.552999999999962</v>
      </c>
      <c r="T690" s="412">
        <v>-2.0940000000000225</v>
      </c>
      <c r="U690" s="411">
        <v>26.005999999999943</v>
      </c>
      <c r="V690" s="412">
        <v>-19.025999999999978</v>
      </c>
      <c r="W690" s="412">
        <v>-30.239000000000054</v>
      </c>
      <c r="X690" s="412">
        <v>-31.679999999999978</v>
      </c>
      <c r="Y690" s="412">
        <v>-22.951999999999913</v>
      </c>
      <c r="Z690" s="411">
        <v>-103.89699999999978</v>
      </c>
      <c r="AA690" s="412">
        <v>6.187999999999982</v>
      </c>
      <c r="AB690" s="412">
        <v>3.5510000000000588</v>
      </c>
      <c r="AC690" s="412">
        <v>22.28499999999994</v>
      </c>
      <c r="AD690" s="412">
        <v>19.79400000000021</v>
      </c>
      <c r="AE690" s="411">
        <v>51.818000000000026</v>
      </c>
      <c r="AF690" s="412">
        <v>38.519999999999939</v>
      </c>
      <c r="AG690" s="412">
        <v>36.702999999999982</v>
      </c>
      <c r="AH690" s="412">
        <v>18.694000000000102</v>
      </c>
      <c r="AI690" s="412">
        <v>28.059999999999647</v>
      </c>
      <c r="AJ690" s="411">
        <v>121.97699999999975</v>
      </c>
      <c r="AK690" s="412">
        <v>19.733000000000054</v>
      </c>
      <c r="AL690" s="412">
        <v>21.419000000000011</v>
      </c>
      <c r="AM690" s="412">
        <v>21.17199999999994</v>
      </c>
      <c r="AN690" s="412">
        <v>13.508000000000479</v>
      </c>
      <c r="AO690" s="411">
        <v>75.832000000000221</v>
      </c>
      <c r="AP690" s="412">
        <v>-21.50200000000001</v>
      </c>
      <c r="AQ690" s="412">
        <v>56.199999999999989</v>
      </c>
      <c r="AR690" s="412">
        <v>141.18900000000014</v>
      </c>
      <c r="AS690" s="412">
        <v>77.996999999999829</v>
      </c>
      <c r="AT690" s="411">
        <v>253.88400000000019</v>
      </c>
      <c r="AU690" s="412">
        <v>147.36200000000002</v>
      </c>
      <c r="AV690" s="412">
        <v>108.32100000000005</v>
      </c>
      <c r="AW690" s="412">
        <v>52.485999999999905</v>
      </c>
      <c r="AX690" s="412">
        <v>16.863999999999663</v>
      </c>
      <c r="AY690" s="411">
        <v>325.03299999999979</v>
      </c>
      <c r="AZ690" s="412">
        <v>25.915999999999997</v>
      </c>
      <c r="BA690" s="412">
        <v>-38.210999999999984</v>
      </c>
      <c r="BB690" s="412">
        <v>-122.56699999999998</v>
      </c>
      <c r="BC690" s="412">
        <v>-103.65600000000015</v>
      </c>
      <c r="BD690" s="411">
        <v>-238.51800000000003</v>
      </c>
      <c r="BE690" s="412">
        <v>-141.61200000000002</v>
      </c>
      <c r="BF690" s="412">
        <v>-99.600000000000051</v>
      </c>
      <c r="BG690" s="412">
        <v>-151.72499999999997</v>
      </c>
      <c r="BH690" s="412">
        <v>-87.511999999999489</v>
      </c>
      <c r="BI690" s="488">
        <v>-480.44899999999973</v>
      </c>
      <c r="BJ690" s="412">
        <v>-77.45747044311122</v>
      </c>
      <c r="BK690" s="412">
        <v>-24.757958882528058</v>
      </c>
      <c r="BL690" s="412">
        <v>72.853522676692137</v>
      </c>
      <c r="BM690" s="412">
        <v>42.09944771621246</v>
      </c>
      <c r="BN690" s="411">
        <v>12.737541067265482</v>
      </c>
      <c r="BO690" s="412">
        <v>49.801213394840083</v>
      </c>
      <c r="BP690" s="412">
        <v>35.931282324977772</v>
      </c>
      <c r="BQ690" s="412">
        <v>24.540230928689894</v>
      </c>
      <c r="BR690" s="412">
        <v>32.547730139531765</v>
      </c>
      <c r="BS690" s="411">
        <v>142.82045678803917</v>
      </c>
      <c r="BT690" s="411">
        <v>85.102984519755637</v>
      </c>
      <c r="BU690" s="411">
        <v>79.174821414451344</v>
      </c>
      <c r="BV690" s="411">
        <v>77.488360620102412</v>
      </c>
      <c r="BW690" s="247"/>
    </row>
    <row r="691" spans="1:75" s="169" customFormat="1" ht="14.25" x14ac:dyDescent="0.45">
      <c r="A691" s="170" t="s">
        <v>792</v>
      </c>
      <c r="B691" s="491"/>
      <c r="C691" s="375"/>
      <c r="D691" s="375">
        <v>1.163674728128548</v>
      </c>
      <c r="E691" s="375">
        <v>7.7435541451806102</v>
      </c>
      <c r="F691" s="375">
        <v>0.42674379040489896</v>
      </c>
      <c r="G691" s="492"/>
      <c r="H691" s="492"/>
      <c r="I691" s="492"/>
      <c r="J691" s="492"/>
      <c r="K691" s="375">
        <v>0.83102801360932976</v>
      </c>
      <c r="L691" s="492">
        <v>2.1699016219090872</v>
      </c>
      <c r="M691" s="492">
        <v>0.39940586256024702</v>
      </c>
      <c r="N691" s="492">
        <v>0.55846969347776021</v>
      </c>
      <c r="O691" s="492">
        <v>0.24868219240872169</v>
      </c>
      <c r="P691" s="375">
        <v>0.41295325090303026</v>
      </c>
      <c r="Q691" s="492">
        <v>0.31269921154168667</v>
      </c>
      <c r="R691" s="492">
        <v>0.27767789450882829</v>
      </c>
      <c r="S691" s="492">
        <v>0.34169353169086891</v>
      </c>
      <c r="T691" s="492">
        <v>-2.9564161572237735E-2</v>
      </c>
      <c r="U691" s="375">
        <v>0.15981367566537807</v>
      </c>
      <c r="V691" s="492">
        <v>-1.2157188498402534</v>
      </c>
      <c r="W691" s="492">
        <v>-0.51266445137664518</v>
      </c>
      <c r="X691" s="492">
        <v>-0.69835111542192085</v>
      </c>
      <c r="Y691" s="492">
        <v>-0.33392012802793236</v>
      </c>
      <c r="Z691" s="375">
        <v>-0.55049726332967674</v>
      </c>
      <c r="AA691" s="492">
        <v>1.8329383886256052</v>
      </c>
      <c r="AB691" s="492">
        <v>0.12353452774395768</v>
      </c>
      <c r="AC691" s="492">
        <v>1.6285442852966963</v>
      </c>
      <c r="AD691" s="492">
        <v>0.43234388310071847</v>
      </c>
      <c r="AE691" s="375">
        <v>0.61080201801122169</v>
      </c>
      <c r="AF691" s="492">
        <v>13.698435277382551</v>
      </c>
      <c r="AG691" s="492">
        <v>1.1364565271240998</v>
      </c>
      <c r="AH691" s="492">
        <v>0.51972531902471997</v>
      </c>
      <c r="AI691" s="492">
        <v>0.42789392622412659</v>
      </c>
      <c r="AJ691" s="375">
        <v>0.89259736268239287</v>
      </c>
      <c r="AK691" s="492">
        <v>0.47742669118358827</v>
      </c>
      <c r="AL691" s="492">
        <v>0.31042478876505464</v>
      </c>
      <c r="AM691" s="492">
        <v>0.38731866161754636</v>
      </c>
      <c r="AN691" s="492">
        <v>0.14425921377233886</v>
      </c>
      <c r="AO691" s="375">
        <v>0.29320537754561626</v>
      </c>
      <c r="AP691" s="492">
        <v>-0.35211659706869736</v>
      </c>
      <c r="AQ691" s="492">
        <v>0.62155765444933486</v>
      </c>
      <c r="AR691" s="492">
        <v>1.861792048526409</v>
      </c>
      <c r="AS691" s="492">
        <v>0.72795744085117886</v>
      </c>
      <c r="AT691" s="375">
        <v>0.75907947964348876</v>
      </c>
      <c r="AU691" s="492">
        <v>3.7247428152566799</v>
      </c>
      <c r="AV691" s="492">
        <v>0.73879741914362529</v>
      </c>
      <c r="AW691" s="492">
        <v>0.24184421999410155</v>
      </c>
      <c r="AX691" s="492">
        <v>9.1086841451424538E-2</v>
      </c>
      <c r="AY691" s="375">
        <v>0.55245118951910976</v>
      </c>
      <c r="AZ691" s="492">
        <v>0.13864384111274575</v>
      </c>
      <c r="BA691" s="492">
        <v>-0.14988291316746349</v>
      </c>
      <c r="BB691" s="492">
        <v>-0.45477718823049229</v>
      </c>
      <c r="BC691" s="492">
        <v>-0.51313327326911184</v>
      </c>
      <c r="BD691" s="375">
        <v>-0.26113775208565992</v>
      </c>
      <c r="BE691" s="492">
        <v>-0.66534173397042862</v>
      </c>
      <c r="BF691" s="492">
        <v>-0.4595622162341737</v>
      </c>
      <c r="BG691" s="492">
        <v>-1.0325432310487737</v>
      </c>
      <c r="BH691" s="492">
        <v>-0.88980172852058703</v>
      </c>
      <c r="BI691" s="379">
        <v>-0.71192184476233633</v>
      </c>
      <c r="BJ691" s="492">
        <v>-1.0874429016708254</v>
      </c>
      <c r="BK691" s="492">
        <v>-0.21137523805177283</v>
      </c>
      <c r="BL691" s="492">
        <v>15.234948280362367</v>
      </c>
      <c r="BM691" s="492">
        <v>3.8844295733725387</v>
      </c>
      <c r="BN691" s="375">
        <v>6.5517949248586671E-2</v>
      </c>
      <c r="BO691" s="492">
        <v>7.9957372921181653</v>
      </c>
      <c r="BP691" s="492">
        <v>0.38899281509772221</v>
      </c>
      <c r="BQ691" s="492">
        <v>0.3605065666775884</v>
      </c>
      <c r="BR691" s="492">
        <v>0.6148337621793516</v>
      </c>
      <c r="BS691" s="375">
        <v>0.68945249214513349</v>
      </c>
      <c r="BT691" s="375">
        <v>0.24317153433080008</v>
      </c>
      <c r="BU691" s="375">
        <v>0.18198013354473086</v>
      </c>
      <c r="BV691" s="375">
        <v>0.15068262687066802</v>
      </c>
      <c r="BW691" s="247"/>
    </row>
    <row r="692" spans="1:75" s="169" customFormat="1" ht="14.25" x14ac:dyDescent="0.45">
      <c r="A692" s="211" t="s">
        <v>793</v>
      </c>
      <c r="B692" s="493"/>
      <c r="C692" s="420">
        <v>-4.9234039492716118E-2</v>
      </c>
      <c r="D692" s="420">
        <v>6.5247323850341843E-3</v>
      </c>
      <c r="E692" s="420">
        <v>4.6013710697600699E-2</v>
      </c>
      <c r="F692" s="420">
        <v>5.2720515386665785E-2</v>
      </c>
      <c r="G692" s="421">
        <v>1.2481042819169175E-2</v>
      </c>
      <c r="H692" s="421">
        <v>8.6336489591675419E-2</v>
      </c>
      <c r="I692" s="421">
        <v>5.4808605671092754E-2</v>
      </c>
      <c r="J692" s="421">
        <v>0.12025380861321118</v>
      </c>
      <c r="K692" s="420">
        <v>7.4255896827837564E-2</v>
      </c>
      <c r="L692" s="421">
        <v>3.2551180328406017E-2</v>
      </c>
      <c r="M692" s="421">
        <v>0.10642835076976984</v>
      </c>
      <c r="N692" s="421">
        <v>6.9760148553154142E-2</v>
      </c>
      <c r="O692" s="421">
        <v>0.12154748278353322</v>
      </c>
      <c r="P692" s="420">
        <v>8.7139918026027247E-2</v>
      </c>
      <c r="Q692" s="421">
        <v>3.7046242706151131E-2</v>
      </c>
      <c r="R692" s="421">
        <v>0.11635256104248619</v>
      </c>
      <c r="S692" s="421">
        <v>8.5204851139439181E-2</v>
      </c>
      <c r="T692" s="421">
        <v>0.10620233371651762</v>
      </c>
      <c r="U692" s="420">
        <v>8.9489076844731508E-2</v>
      </c>
      <c r="V692" s="421">
        <v>-7.4123515773202387E-3</v>
      </c>
      <c r="W692" s="421">
        <v>5.2900267031787983E-2</v>
      </c>
      <c r="X692" s="421">
        <v>2.4910436023650659E-2</v>
      </c>
      <c r="Y692" s="421">
        <v>7.7578976085619381E-2</v>
      </c>
      <c r="Z692" s="420">
        <v>3.9674285137061401E-2</v>
      </c>
      <c r="AA692" s="421">
        <v>5.0028465698833176E-3</v>
      </c>
      <c r="AB692" s="421">
        <v>5.2162761512358359E-2</v>
      </c>
      <c r="AC692" s="421">
        <v>6.0709939524670173E-2</v>
      </c>
      <c r="AD692" s="421">
        <v>9.7921572550841107E-2</v>
      </c>
      <c r="AE692" s="420">
        <v>5.5928240417683552E-2</v>
      </c>
      <c r="AF692" s="421">
        <v>7.4150619117842223E-2</v>
      </c>
      <c r="AG692" s="421">
        <v>0.10736620654134207</v>
      </c>
      <c r="AH692" s="421">
        <v>8.5610785176646761E-2</v>
      </c>
      <c r="AI692" s="421">
        <v>0.13937748484347798</v>
      </c>
      <c r="AJ692" s="420">
        <v>0.10302439545153606</v>
      </c>
      <c r="AK692" s="421">
        <v>0.10197316785620056</v>
      </c>
      <c r="AL692" s="421">
        <v>0.12797764800131353</v>
      </c>
      <c r="AM692" s="421">
        <v>0.11206226485912968</v>
      </c>
      <c r="AN692" s="421">
        <v>0.16112611582974476</v>
      </c>
      <c r="AO692" s="420">
        <v>0.12635330100043599</v>
      </c>
      <c r="AP692" s="421">
        <v>8.1928783690036144E-2</v>
      </c>
      <c r="AQ692" s="421">
        <v>0.20659501076529407</v>
      </c>
      <c r="AR692" s="421">
        <v>0.25689576393771746</v>
      </c>
      <c r="AS692" s="421">
        <v>0.22783286694182553</v>
      </c>
      <c r="AT692" s="420">
        <v>0.20643761629390051</v>
      </c>
      <c r="AU692" s="421">
        <v>0.21715466686493373</v>
      </c>
      <c r="AV692" s="421">
        <v>0.25781127541944815</v>
      </c>
      <c r="AW692" s="421">
        <v>0.26778865452868955</v>
      </c>
      <c r="AX692" s="421">
        <v>0.22406745783053669</v>
      </c>
      <c r="AY692" s="420">
        <v>0.24307407348268317</v>
      </c>
      <c r="AZ692" s="421">
        <v>0.22233654934962377</v>
      </c>
      <c r="BA692" s="421">
        <v>0.21855952885177798</v>
      </c>
      <c r="BB692" s="421">
        <v>0.16908151970046004</v>
      </c>
      <c r="BC692" s="421">
        <v>0.12731408066547625</v>
      </c>
      <c r="BD692" s="420">
        <v>0.18795887008884893</v>
      </c>
      <c r="BE692" s="421">
        <v>9.6364531726468639E-2</v>
      </c>
      <c r="BF692" s="421">
        <v>0.14632238946930529</v>
      </c>
      <c r="BG692" s="421">
        <v>-6.3656028486804269E-3</v>
      </c>
      <c r="BH692" s="421">
        <v>1.4680464876872952E-2</v>
      </c>
      <c r="BI692" s="442">
        <v>6.41812192691886E-2</v>
      </c>
      <c r="BJ692" s="421">
        <v>-8.5992173018731109E-3</v>
      </c>
      <c r="BK692" s="421">
        <v>0.10946001411108844</v>
      </c>
      <c r="BL692" s="421">
        <v>7.9332031866729144E-2</v>
      </c>
      <c r="BM692" s="421">
        <v>6.4783369059356249E-2</v>
      </c>
      <c r="BN692" s="420">
        <v>6.3868704690261943E-2</v>
      </c>
      <c r="BO692" s="421">
        <v>5.0979576154556894E-2</v>
      </c>
      <c r="BP692" s="421">
        <v>0.13215372087502816</v>
      </c>
      <c r="BQ692" s="421">
        <v>9.4234919158268649E-2</v>
      </c>
      <c r="BR692" s="421">
        <v>9.5319196695892269E-2</v>
      </c>
      <c r="BS692" s="420">
        <v>9.4454904867181305E-2</v>
      </c>
      <c r="BT692" s="420">
        <v>0.11103198262281454</v>
      </c>
      <c r="BU692" s="420">
        <v>0.12716052781204235</v>
      </c>
      <c r="BV692" s="420">
        <v>0.14327954992764641</v>
      </c>
      <c r="BW692" s="247"/>
    </row>
    <row r="693" spans="1:75" s="169" customFormat="1" ht="14.25" x14ac:dyDescent="0.45">
      <c r="A693" s="218" t="s">
        <v>794</v>
      </c>
      <c r="B693" s="494"/>
      <c r="C693" s="252"/>
      <c r="D693" s="252">
        <v>557.58771877750303</v>
      </c>
      <c r="E693" s="252">
        <v>394.88978312566513</v>
      </c>
      <c r="F693" s="252">
        <v>67.068046890650862</v>
      </c>
      <c r="G693" s="253"/>
      <c r="H693" s="253"/>
      <c r="I693" s="253"/>
      <c r="J693" s="253"/>
      <c r="K693" s="252">
        <v>215.35381441171779</v>
      </c>
      <c r="L693" s="253">
        <v>200.70137509236841</v>
      </c>
      <c r="M693" s="253">
        <v>200.91861178094416</v>
      </c>
      <c r="N693" s="253">
        <v>149.51542882061386</v>
      </c>
      <c r="O693" s="253">
        <v>12.936741703220427</v>
      </c>
      <c r="P693" s="252">
        <v>128.84021198189683</v>
      </c>
      <c r="Q693" s="253">
        <v>44.950623777451142</v>
      </c>
      <c r="R693" s="253">
        <v>99.242102727163527</v>
      </c>
      <c r="S693" s="253">
        <v>154.44702586285038</v>
      </c>
      <c r="T693" s="253">
        <v>-153.45149067015603</v>
      </c>
      <c r="U693" s="252">
        <v>23.491588187042613</v>
      </c>
      <c r="V693" s="253">
        <v>-444.58594283471371</v>
      </c>
      <c r="W693" s="253">
        <v>-634.52294010698211</v>
      </c>
      <c r="X693" s="253">
        <v>-602.94415115788524</v>
      </c>
      <c r="Y693" s="253">
        <v>-286.23357630898238</v>
      </c>
      <c r="Z693" s="252">
        <v>-498.14791707670105</v>
      </c>
      <c r="AA693" s="253">
        <v>124.15198147203557</v>
      </c>
      <c r="AB693" s="253">
        <v>-7.3750551942962375</v>
      </c>
      <c r="AC693" s="253">
        <v>357.99503501019512</v>
      </c>
      <c r="AD693" s="253">
        <v>203.42596465221726</v>
      </c>
      <c r="AE693" s="252">
        <v>162.53955280622151</v>
      </c>
      <c r="AF693" s="253">
        <v>691.47772547958914</v>
      </c>
      <c r="AG693" s="253">
        <v>552.0344502898372</v>
      </c>
      <c r="AH693" s="253">
        <v>249.0084565197659</v>
      </c>
      <c r="AI693" s="253">
        <v>414.55912292636873</v>
      </c>
      <c r="AJ693" s="252">
        <v>470.96155033852511</v>
      </c>
      <c r="AK693" s="253">
        <v>278.22548738358336</v>
      </c>
      <c r="AL693" s="253">
        <v>206.11441459971459</v>
      </c>
      <c r="AM693" s="253">
        <v>264.51479682482915</v>
      </c>
      <c r="AN693" s="253">
        <v>217.48630986266781</v>
      </c>
      <c r="AO693" s="252">
        <v>233.28905548899922</v>
      </c>
      <c r="AP693" s="253">
        <v>-200.44384166164414</v>
      </c>
      <c r="AQ693" s="253">
        <v>786.17362763980543</v>
      </c>
      <c r="AR693" s="253">
        <v>1448.3349907858778</v>
      </c>
      <c r="AS693" s="253">
        <v>667.06751112080769</v>
      </c>
      <c r="AT693" s="252">
        <v>800.84315293464522</v>
      </c>
      <c r="AU693" s="253">
        <v>1352.2588317489758</v>
      </c>
      <c r="AV693" s="253">
        <v>512.16264654154077</v>
      </c>
      <c r="AW693" s="253">
        <v>108.92890590972092</v>
      </c>
      <c r="AX693" s="253">
        <v>-37.654091112888366</v>
      </c>
      <c r="AY693" s="252">
        <v>366.36457188782668</v>
      </c>
      <c r="AZ693" s="253">
        <v>51.81882484690037</v>
      </c>
      <c r="BA693" s="253">
        <v>-392.51746567670165</v>
      </c>
      <c r="BB693" s="253">
        <v>-987.07134828229516</v>
      </c>
      <c r="BC693" s="253">
        <v>-967.53377165060442</v>
      </c>
      <c r="BD693" s="252">
        <v>-551.15203393834247</v>
      </c>
      <c r="BE693" s="253">
        <v>-1259.7201762315512</v>
      </c>
      <c r="BF693" s="253">
        <v>-722.37139382472697</v>
      </c>
      <c r="BG693" s="253">
        <v>-1754.4712254914048</v>
      </c>
      <c r="BH693" s="253">
        <v>-1126.3361578860331</v>
      </c>
      <c r="BI693" s="260">
        <v>-1237.7765081966033</v>
      </c>
      <c r="BJ693" s="253">
        <v>-1049.6374902834175</v>
      </c>
      <c r="BK693" s="253">
        <v>-368.62375358216849</v>
      </c>
      <c r="BL693" s="253">
        <v>856.97634715409572</v>
      </c>
      <c r="BM693" s="253">
        <v>501.02904182483297</v>
      </c>
      <c r="BN693" s="252">
        <v>-3.1251457892665648</v>
      </c>
      <c r="BO693" s="253">
        <v>595.78793456430003</v>
      </c>
      <c r="BP693" s="253">
        <v>226.93706763939724</v>
      </c>
      <c r="BQ693" s="253">
        <v>149.02887291539506</v>
      </c>
      <c r="BR693" s="253">
        <v>305.35827636536021</v>
      </c>
      <c r="BS693" s="252">
        <v>305.86200176919363</v>
      </c>
      <c r="BT693" s="252">
        <v>165.77077755633232</v>
      </c>
      <c r="BU693" s="252">
        <v>161.28545189227808</v>
      </c>
      <c r="BV693" s="252">
        <v>161.19022115604065</v>
      </c>
      <c r="BW693" s="247"/>
    </row>
    <row r="694" spans="1:75" s="169" customFormat="1" ht="14.25" x14ac:dyDescent="0.45">
      <c r="A694" s="247"/>
      <c r="B694" s="247"/>
      <c r="C694" s="244"/>
      <c r="D694" s="244"/>
      <c r="E694" s="244"/>
      <c r="F694" s="244"/>
      <c r="G694" s="245"/>
      <c r="H694" s="245"/>
      <c r="I694" s="245"/>
      <c r="J694" s="245"/>
      <c r="K694" s="244"/>
      <c r="L694" s="245"/>
      <c r="M694" s="245"/>
      <c r="N694" s="245"/>
      <c r="O694" s="245"/>
      <c r="P694" s="244"/>
      <c r="Q694" s="245"/>
      <c r="R694" s="245"/>
      <c r="S694" s="245"/>
      <c r="T694" s="245"/>
      <c r="U694" s="244"/>
      <c r="V694" s="245"/>
      <c r="W694" s="245"/>
      <c r="X694" s="245"/>
      <c r="Y694" s="245"/>
      <c r="Z694" s="244"/>
      <c r="AA694" s="245"/>
      <c r="AB694" s="245"/>
      <c r="AC694" s="245"/>
      <c r="AD694" s="245"/>
      <c r="AE694" s="244"/>
      <c r="AF694" s="245"/>
      <c r="AG694" s="245"/>
      <c r="AH694" s="245"/>
      <c r="AI694" s="245"/>
      <c r="AJ694" s="244"/>
      <c r="AK694" s="245"/>
      <c r="AL694" s="245"/>
      <c r="AM694" s="245"/>
      <c r="AN694" s="245"/>
      <c r="AO694" s="244"/>
      <c r="AP694" s="245"/>
      <c r="AQ694" s="245"/>
      <c r="AR694" s="245"/>
      <c r="AS694" s="245"/>
      <c r="AT694" s="244"/>
      <c r="AU694" s="245"/>
      <c r="AV694" s="245"/>
      <c r="AW694" s="245"/>
      <c r="AX694" s="245"/>
      <c r="AY694" s="244"/>
      <c r="AZ694" s="245"/>
      <c r="BA694" s="245"/>
      <c r="BB694" s="245"/>
      <c r="BC694" s="245"/>
      <c r="BD694" s="244"/>
      <c r="BE694" s="245"/>
      <c r="BF694" s="245"/>
      <c r="BG694" s="245"/>
      <c r="BH694" s="245"/>
      <c r="BI694" s="249"/>
      <c r="BJ694" s="245"/>
      <c r="BK694" s="245"/>
      <c r="BL694" s="245"/>
      <c r="BM694" s="245"/>
      <c r="BN694" s="244"/>
      <c r="BO694" s="245"/>
      <c r="BP694" s="245"/>
      <c r="BQ694" s="245"/>
      <c r="BR694" s="245"/>
      <c r="BS694" s="244"/>
      <c r="BT694" s="244"/>
      <c r="BU694" s="244"/>
      <c r="BV694" s="244"/>
      <c r="BW694" s="168"/>
    </row>
    <row r="695" spans="1:75" s="217" customFormat="1" x14ac:dyDescent="0.5">
      <c r="A695" s="511" t="s">
        <v>795</v>
      </c>
      <c r="B695" s="511"/>
      <c r="C695" s="511"/>
      <c r="D695" s="511"/>
      <c r="E695" s="511"/>
      <c r="F695" s="511"/>
      <c r="G695" s="511"/>
      <c r="H695" s="511"/>
      <c r="I695" s="511"/>
      <c r="J695" s="511"/>
      <c r="K695" s="511"/>
      <c r="L695" s="511"/>
      <c r="M695" s="511"/>
      <c r="N695" s="511"/>
      <c r="O695" s="511"/>
      <c r="P695" s="511"/>
      <c r="Q695" s="511"/>
      <c r="R695" s="511"/>
      <c r="S695" s="511"/>
      <c r="T695" s="511"/>
      <c r="U695" s="511"/>
      <c r="V695" s="511"/>
      <c r="W695" s="511"/>
      <c r="X695" s="511"/>
      <c r="Y695" s="511"/>
      <c r="Z695" s="511"/>
      <c r="AA695" s="511"/>
      <c r="AB695" s="511"/>
      <c r="AC695" s="511"/>
      <c r="AD695" s="511"/>
      <c r="AE695" s="511"/>
      <c r="AF695" s="511"/>
      <c r="AG695" s="511"/>
      <c r="AH695" s="511"/>
      <c r="AI695" s="511"/>
      <c r="AJ695" s="511"/>
      <c r="AK695" s="511"/>
      <c r="AL695" s="511"/>
      <c r="AM695" s="511"/>
      <c r="AN695" s="511"/>
      <c r="AO695" s="511"/>
      <c r="AP695" s="511"/>
      <c r="AQ695" s="511"/>
      <c r="AR695" s="511"/>
      <c r="AS695" s="511"/>
      <c r="AT695" s="511"/>
      <c r="AU695" s="511"/>
      <c r="AV695" s="511"/>
      <c r="AW695" s="511"/>
      <c r="AX695" s="511"/>
      <c r="AY695" s="511"/>
      <c r="AZ695" s="511"/>
      <c r="BA695" s="511"/>
      <c r="BB695" s="511"/>
      <c r="BC695" s="511"/>
      <c r="BD695" s="511"/>
      <c r="BE695" s="511"/>
      <c r="BF695" s="511"/>
      <c r="BG695" s="511"/>
      <c r="BH695" s="511"/>
      <c r="BI695" s="512"/>
      <c r="BJ695" s="511"/>
      <c r="BK695" s="511"/>
      <c r="BL695" s="511"/>
      <c r="BM695" s="511"/>
      <c r="BN695" s="511"/>
      <c r="BO695" s="511"/>
      <c r="BP695" s="511"/>
      <c r="BQ695" s="511"/>
      <c r="BR695" s="511"/>
      <c r="BS695" s="511"/>
      <c r="BT695" s="511"/>
      <c r="BU695" s="511"/>
      <c r="BV695" s="511"/>
      <c r="BW695" s="216"/>
    </row>
    <row r="696" spans="1:75" s="123" customFormat="1" hidden="1" outlineLevel="1" x14ac:dyDescent="0.5">
      <c r="A696" s="464" t="s">
        <v>796</v>
      </c>
      <c r="B696" s="513"/>
      <c r="C696" s="401"/>
      <c r="D696" s="403">
        <v>27.8</v>
      </c>
      <c r="E696" s="403">
        <v>26.2</v>
      </c>
      <c r="F696" s="403">
        <v>24.3</v>
      </c>
      <c r="G696" s="122">
        <v>6.3414999999999999</v>
      </c>
      <c r="H696" s="122">
        <v>6.3094999999999999</v>
      </c>
      <c r="I696" s="122">
        <v>6.4424999999999999</v>
      </c>
      <c r="J696" s="122">
        <v>7.4065000000000003</v>
      </c>
      <c r="K696" s="403">
        <v>26.5</v>
      </c>
      <c r="L696" s="122">
        <v>7.449250000000001</v>
      </c>
      <c r="M696" s="122">
        <v>8.1472500000000014</v>
      </c>
      <c r="N696" s="122">
        <v>8.8262500000000017</v>
      </c>
      <c r="O696" s="122">
        <v>9.2772500000000004</v>
      </c>
      <c r="P696" s="403">
        <v>33.700000000000003</v>
      </c>
      <c r="Q696" s="122">
        <v>9.8802500000000002</v>
      </c>
      <c r="R696" s="122">
        <v>10.796250000000001</v>
      </c>
      <c r="S696" s="122">
        <v>11.132249999999999</v>
      </c>
      <c r="T696" s="122">
        <v>12.391250000000003</v>
      </c>
      <c r="U696" s="403">
        <v>44.2</v>
      </c>
      <c r="V696" s="122">
        <v>12.530250000000001</v>
      </c>
      <c r="W696" s="119">
        <v>13.63425</v>
      </c>
      <c r="X696" s="122">
        <v>15.012249999999998</v>
      </c>
      <c r="Y696" s="122">
        <v>15.72325</v>
      </c>
      <c r="Z696" s="403">
        <v>56.9</v>
      </c>
      <c r="AA696" s="122">
        <v>15.986249999999998</v>
      </c>
      <c r="AB696" s="122">
        <v>16.492249999999999</v>
      </c>
      <c r="AC696" s="122">
        <v>18.512249999999998</v>
      </c>
      <c r="AD696" s="122">
        <v>19.009250000000005</v>
      </c>
      <c r="AE696" s="403">
        <v>70</v>
      </c>
      <c r="AF696" s="122">
        <v>16.846</v>
      </c>
      <c r="AG696" s="122">
        <v>12.753</v>
      </c>
      <c r="AH696" s="122">
        <v>15.083999999999998</v>
      </c>
      <c r="AI696" s="122">
        <v>17.841000000000001</v>
      </c>
      <c r="AJ696" s="403">
        <v>62.6</v>
      </c>
      <c r="AK696" s="122">
        <v>18.324999999999999</v>
      </c>
      <c r="AL696" s="122">
        <v>16.073999999999998</v>
      </c>
      <c r="AM696" s="122">
        <v>13.951999999999995</v>
      </c>
      <c r="AN696" s="122">
        <v>15.349000000000011</v>
      </c>
      <c r="AO696" s="403">
        <v>63.7</v>
      </c>
      <c r="AP696" s="122">
        <v>15.270000000000001</v>
      </c>
      <c r="AQ696" s="122">
        <v>15.205000000000002</v>
      </c>
      <c r="AR696" s="122">
        <v>15.622999999999999</v>
      </c>
      <c r="AS696" s="122">
        <v>12.602000000000004</v>
      </c>
      <c r="AT696" s="403">
        <v>58.7</v>
      </c>
      <c r="AU696" s="122">
        <v>12.953499999999998</v>
      </c>
      <c r="AV696" s="122">
        <v>11.859499999999997</v>
      </c>
      <c r="AW696" s="122">
        <v>13.944500000000001</v>
      </c>
      <c r="AX696" s="122">
        <v>13.242500000000003</v>
      </c>
      <c r="AY696" s="403">
        <v>52</v>
      </c>
      <c r="AZ696" s="122">
        <v>13.1995</v>
      </c>
      <c r="BA696" s="122">
        <v>14.037500000000003</v>
      </c>
      <c r="BB696" s="122">
        <v>14.007500000000004</v>
      </c>
      <c r="BC696" s="122">
        <v>14.755499999999989</v>
      </c>
      <c r="BD696" s="403">
        <v>56</v>
      </c>
      <c r="BE696" s="122">
        <v>13.967749999999999</v>
      </c>
      <c r="BF696" s="122">
        <v>14.396749999999999</v>
      </c>
      <c r="BG696" s="122">
        <v>14.63175</v>
      </c>
      <c r="BH696" s="122">
        <v>21.003750000000011</v>
      </c>
      <c r="BI696" s="514">
        <v>64</v>
      </c>
      <c r="BJ696" s="119">
        <v>18.965902499999999</v>
      </c>
      <c r="BK696" s="119">
        <v>19.315036096874998</v>
      </c>
      <c r="BL696" s="119">
        <v>19.660241940785152</v>
      </c>
      <c r="BM696" s="119">
        <v>20.001564218951319</v>
      </c>
      <c r="BN696" s="401">
        <v>77.942744756611461</v>
      </c>
      <c r="BO696" s="119">
        <v>20.339046621488119</v>
      </c>
      <c r="BP696" s="119">
        <v>20.67273234699638</v>
      </c>
      <c r="BQ696" s="119">
        <v>21.00266410809267</v>
      </c>
      <c r="BR696" s="119">
        <v>21.328884136876628</v>
      </c>
      <c r="BS696" s="401">
        <v>83.34332721345379</v>
      </c>
      <c r="BT696" s="401">
        <v>86.60573676134706</v>
      </c>
      <c r="BU696" s="401">
        <v>91.708478607086434</v>
      </c>
      <c r="BV696" s="401">
        <v>96.58159706976754</v>
      </c>
      <c r="BW696" s="122"/>
    </row>
    <row r="697" spans="1:75" s="123" customFormat="1" hidden="1" outlineLevel="1" x14ac:dyDescent="0.5">
      <c r="A697" s="184" t="s">
        <v>797</v>
      </c>
      <c r="B697" s="513"/>
      <c r="C697" s="401"/>
      <c r="D697" s="403">
        <v>3.4</v>
      </c>
      <c r="E697" s="403">
        <v>2.8</v>
      </c>
      <c r="F697" s="403">
        <v>2.4</v>
      </c>
      <c r="G697" s="119">
        <v>0.27500000000000002</v>
      </c>
      <c r="H697" s="119">
        <v>0.27500000000000002</v>
      </c>
      <c r="I697" s="119">
        <v>0.27500000000000002</v>
      </c>
      <c r="J697" s="119">
        <v>0.27500000000000002</v>
      </c>
      <c r="K697" s="403">
        <v>1.1000000000000001</v>
      </c>
      <c r="L697" s="119">
        <v>0.17499999999999999</v>
      </c>
      <c r="M697" s="119">
        <v>0.17499999999999999</v>
      </c>
      <c r="N697" s="119">
        <v>0.17499999999999999</v>
      </c>
      <c r="O697" s="119">
        <v>0.17499999999999999</v>
      </c>
      <c r="P697" s="403">
        <v>0.7</v>
      </c>
      <c r="Q697" s="119">
        <v>7.4999999999999997E-2</v>
      </c>
      <c r="R697" s="119">
        <v>7.4999999999999997E-2</v>
      </c>
      <c r="S697" s="119">
        <v>7.4999999999999997E-2</v>
      </c>
      <c r="T697" s="119">
        <v>7.4999999999999997E-2</v>
      </c>
      <c r="U697" s="403">
        <v>0.3</v>
      </c>
      <c r="V697" s="119">
        <v>2.5000000000000001E-2</v>
      </c>
      <c r="W697" s="119">
        <v>2.5000000000000001E-2</v>
      </c>
      <c r="X697" s="119">
        <v>2.5000000000000001E-2</v>
      </c>
      <c r="Y697" s="119">
        <v>2.5000000000000001E-2</v>
      </c>
      <c r="Z697" s="403">
        <v>0.1</v>
      </c>
      <c r="AA697" s="119">
        <v>3.3750000000001279E-2</v>
      </c>
      <c r="AB697" s="119">
        <v>3.3750000000001279E-2</v>
      </c>
      <c r="AC697" s="119">
        <v>3.3750000000001279E-2</v>
      </c>
      <c r="AD697" s="119">
        <v>3.3750000000001279E-2</v>
      </c>
      <c r="AE697" s="401">
        <v>0.13500000000000512</v>
      </c>
      <c r="AF697" s="119">
        <v>0</v>
      </c>
      <c r="AG697" s="119">
        <v>0</v>
      </c>
      <c r="AH697" s="119">
        <v>0</v>
      </c>
      <c r="AI697" s="119">
        <v>0</v>
      </c>
      <c r="AJ697" s="401">
        <v>0</v>
      </c>
      <c r="AK697" s="119">
        <v>1.2000000000000455E-2</v>
      </c>
      <c r="AL697" s="119">
        <v>1.2000000000000455E-2</v>
      </c>
      <c r="AM697" s="119">
        <v>1.2000000000000455E-2</v>
      </c>
      <c r="AN697" s="119">
        <v>1.2000000000000455E-2</v>
      </c>
      <c r="AO697" s="401">
        <v>4.8000000000001819E-2</v>
      </c>
      <c r="AP697" s="119">
        <v>1.2000000000000455E-2</v>
      </c>
      <c r="AQ697" s="119">
        <v>1.2000000000000455E-2</v>
      </c>
      <c r="AR697" s="119">
        <v>1.2000000000000455E-2</v>
      </c>
      <c r="AS697" s="119">
        <v>1.2000000000000455E-2</v>
      </c>
      <c r="AT697" s="401">
        <v>4.8000000000001819E-2</v>
      </c>
      <c r="AU697" s="119">
        <v>1.4500000000001734E-2</v>
      </c>
      <c r="AV697" s="119">
        <v>1.4500000000001734E-2</v>
      </c>
      <c r="AW697" s="119">
        <v>1.4500000000001734E-2</v>
      </c>
      <c r="AX697" s="119">
        <v>1.4500000000001734E-2</v>
      </c>
      <c r="AY697" s="401">
        <v>5.8000000000006935E-2</v>
      </c>
      <c r="AZ697" s="119">
        <v>6.0499999999999332E-2</v>
      </c>
      <c r="BA697" s="119">
        <v>6.0499999999999332E-2</v>
      </c>
      <c r="BB697" s="119">
        <v>6.0499999999999332E-2</v>
      </c>
      <c r="BC697" s="119">
        <v>6.0499999999999332E-2</v>
      </c>
      <c r="BD697" s="401">
        <v>0.24199999999999733</v>
      </c>
      <c r="BE697" s="119">
        <v>9.8250000000000171E-2</v>
      </c>
      <c r="BF697" s="119">
        <v>9.8250000000000171E-2</v>
      </c>
      <c r="BG697" s="119">
        <v>9.8250000000000171E-2</v>
      </c>
      <c r="BH697" s="119">
        <v>9.8250000000000171E-2</v>
      </c>
      <c r="BI697" s="402">
        <v>0.39300000000000068</v>
      </c>
      <c r="BJ697" s="119">
        <v>9.4908750000000014E-2</v>
      </c>
      <c r="BK697" s="119">
        <v>9.4790114062500014E-2</v>
      </c>
      <c r="BL697" s="119">
        <v>9.4671626419921898E-2</v>
      </c>
      <c r="BM697" s="119">
        <v>9.4553286886896973E-2</v>
      </c>
      <c r="BN697" s="401">
        <v>0.37892377736931887</v>
      </c>
      <c r="BO697" s="119">
        <v>9.4435095278288361E-2</v>
      </c>
      <c r="BP697" s="119">
        <v>9.4317051409190514E-2</v>
      </c>
      <c r="BQ697" s="119">
        <v>9.4199155094929016E-2</v>
      </c>
      <c r="BR697" s="119">
        <v>9.4081406151060337E-2</v>
      </c>
      <c r="BS697" s="401">
        <v>0.37703270793346821</v>
      </c>
      <c r="BT697" s="401">
        <v>0.37585521757348611</v>
      </c>
      <c r="BU697" s="401">
        <v>0.37397594148561863</v>
      </c>
      <c r="BV697" s="401">
        <v>0.37210606177819056</v>
      </c>
      <c r="BW697" s="122"/>
    </row>
    <row r="698" spans="1:75" s="123" customFormat="1" hidden="1" outlineLevel="1" x14ac:dyDescent="0.5">
      <c r="A698" s="184" t="s">
        <v>798</v>
      </c>
      <c r="B698" s="513"/>
      <c r="C698" s="401"/>
      <c r="D698" s="406">
        <v>6.3000000000002387E-2</v>
      </c>
      <c r="E698" s="406">
        <v>0.18599999999999994</v>
      </c>
      <c r="F698" s="406">
        <v>4.8000000000001819E-2</v>
      </c>
      <c r="G698" s="312">
        <v>1.3499999999999623E-2</v>
      </c>
      <c r="H698" s="312">
        <v>1.3499999999999623E-2</v>
      </c>
      <c r="I698" s="312">
        <v>1.3499999999999623E-2</v>
      </c>
      <c r="J698" s="312">
        <v>1.3499999999999623E-2</v>
      </c>
      <c r="K698" s="406">
        <v>5.3999999999998494E-2</v>
      </c>
      <c r="L698" s="312">
        <v>1.574999999999882E-2</v>
      </c>
      <c r="M698" s="312">
        <v>1.574999999999882E-2</v>
      </c>
      <c r="N698" s="312">
        <v>1.574999999999882E-2</v>
      </c>
      <c r="O698" s="312">
        <v>1.574999999999882E-2</v>
      </c>
      <c r="P698" s="406">
        <v>6.2999999999995282E-2</v>
      </c>
      <c r="Q698" s="312">
        <v>2.3749999999999716E-2</v>
      </c>
      <c r="R698" s="312">
        <v>2.3749999999999716E-2</v>
      </c>
      <c r="S698" s="312">
        <v>2.3749999999999716E-2</v>
      </c>
      <c r="T698" s="312">
        <v>2.3749999999999716E-2</v>
      </c>
      <c r="U698" s="406">
        <v>9.4999999999998863E-2</v>
      </c>
      <c r="V698" s="312">
        <v>-1.2500000000006395E-3</v>
      </c>
      <c r="W698" s="312">
        <v>-1.2500000000006395E-3</v>
      </c>
      <c r="X698" s="312">
        <v>-1.2500000000006395E-3</v>
      </c>
      <c r="Y698" s="312">
        <v>-1.2500000000006395E-3</v>
      </c>
      <c r="Z698" s="406">
        <v>-5.000000000002558E-3</v>
      </c>
      <c r="AA698" s="312"/>
      <c r="AB698" s="312"/>
      <c r="AC698" s="312"/>
      <c r="AD698" s="312"/>
      <c r="AE698" s="406"/>
      <c r="AF698" s="357">
        <v>5.899</v>
      </c>
      <c r="AG698" s="357">
        <v>6.4409999999999998</v>
      </c>
      <c r="AH698" s="357">
        <v>7.9109999999999996</v>
      </c>
      <c r="AI698" s="312">
        <v>8.5970000000000013</v>
      </c>
      <c r="AJ698" s="408">
        <v>28.847999999999999</v>
      </c>
      <c r="AK698" s="357">
        <v>8.8520000000000003</v>
      </c>
      <c r="AL698" s="357">
        <v>9.2349999999999994</v>
      </c>
      <c r="AM698" s="357">
        <v>9.4710000000000001</v>
      </c>
      <c r="AN698" s="312">
        <v>9.4329999999999998</v>
      </c>
      <c r="AO698" s="408">
        <v>36.991</v>
      </c>
      <c r="AP698" s="357">
        <v>9.5879999999999992</v>
      </c>
      <c r="AQ698" s="357">
        <v>10.125</v>
      </c>
      <c r="AR698" s="302">
        <v>10.840999999999999</v>
      </c>
      <c r="AS698" s="312">
        <v>10.738</v>
      </c>
      <c r="AT698" s="408">
        <v>41.292000000000002</v>
      </c>
      <c r="AU698" s="357">
        <v>10.917999999999999</v>
      </c>
      <c r="AV698" s="357">
        <v>10.795999999999999</v>
      </c>
      <c r="AW698" s="302">
        <v>10.86</v>
      </c>
      <c r="AX698" s="312">
        <v>11.39</v>
      </c>
      <c r="AY698" s="408">
        <v>43.963999999999999</v>
      </c>
      <c r="AZ698" s="357">
        <v>11.497999999999999</v>
      </c>
      <c r="BA698" s="357">
        <v>12.872</v>
      </c>
      <c r="BB698" s="302">
        <v>13.964</v>
      </c>
      <c r="BC698" s="312">
        <v>14.012</v>
      </c>
      <c r="BD698" s="408">
        <v>52.345999999999997</v>
      </c>
      <c r="BE698" s="357">
        <v>13.704000000000001</v>
      </c>
      <c r="BF698" s="357">
        <v>13.641</v>
      </c>
      <c r="BG698" s="302">
        <v>13.724</v>
      </c>
      <c r="BH698" s="312">
        <v>13.526999999999994</v>
      </c>
      <c r="BI698" s="515">
        <v>54.595999999999997</v>
      </c>
      <c r="BJ698" s="302">
        <v>14</v>
      </c>
      <c r="BK698" s="302">
        <v>14</v>
      </c>
      <c r="BL698" s="302">
        <v>14</v>
      </c>
      <c r="BM698" s="302">
        <v>14</v>
      </c>
      <c r="BN698" s="401">
        <v>56</v>
      </c>
      <c r="BO698" s="302">
        <v>14</v>
      </c>
      <c r="BP698" s="302">
        <v>14</v>
      </c>
      <c r="BQ698" s="302">
        <v>14</v>
      </c>
      <c r="BR698" s="302">
        <v>14</v>
      </c>
      <c r="BS698" s="401">
        <v>56</v>
      </c>
      <c r="BT698" s="403">
        <v>55</v>
      </c>
      <c r="BU698" s="403">
        <v>55</v>
      </c>
      <c r="BV698" s="403">
        <v>55</v>
      </c>
      <c r="BW698" s="122"/>
    </row>
    <row r="699" spans="1:75" s="198" customFormat="1" ht="14.25" hidden="1" outlineLevel="1" x14ac:dyDescent="0.45">
      <c r="A699" s="516" t="s">
        <v>799</v>
      </c>
      <c r="B699" s="517"/>
      <c r="C699" s="518"/>
      <c r="D699" s="519">
        <v>31.263000000000002</v>
      </c>
      <c r="E699" s="519">
        <v>29.186</v>
      </c>
      <c r="F699" s="519">
        <v>26.748000000000001</v>
      </c>
      <c r="G699" s="520">
        <v>6.63</v>
      </c>
      <c r="H699" s="520">
        <v>6.5979999999999999</v>
      </c>
      <c r="I699" s="520">
        <v>6.7309999999999999</v>
      </c>
      <c r="J699" s="520">
        <v>7.6950000000000003</v>
      </c>
      <c r="K699" s="519">
        <v>27.654</v>
      </c>
      <c r="L699" s="520">
        <v>7.64</v>
      </c>
      <c r="M699" s="520">
        <v>8.338000000000001</v>
      </c>
      <c r="N699" s="520">
        <v>9.0170000000000012</v>
      </c>
      <c r="O699" s="520">
        <v>9.468</v>
      </c>
      <c r="P699" s="519">
        <v>34.463000000000001</v>
      </c>
      <c r="Q699" s="520">
        <v>9.9789999999999992</v>
      </c>
      <c r="R699" s="520">
        <v>10.895</v>
      </c>
      <c r="S699" s="520">
        <v>11.230999999999998</v>
      </c>
      <c r="T699" s="520">
        <v>12.490000000000002</v>
      </c>
      <c r="U699" s="519">
        <v>44.594999999999999</v>
      </c>
      <c r="V699" s="520">
        <v>12.554</v>
      </c>
      <c r="W699" s="327">
        <v>13.657999999999999</v>
      </c>
      <c r="X699" s="520">
        <v>15.035999999999998</v>
      </c>
      <c r="Y699" s="520">
        <v>15.747</v>
      </c>
      <c r="Z699" s="519">
        <v>56.994999999999997</v>
      </c>
      <c r="AA699" s="520">
        <v>16.02</v>
      </c>
      <c r="AB699" s="520">
        <v>16.526</v>
      </c>
      <c r="AC699" s="520">
        <v>18.545999999999999</v>
      </c>
      <c r="AD699" s="520">
        <v>19.043000000000006</v>
      </c>
      <c r="AE699" s="519">
        <v>70.135000000000005</v>
      </c>
      <c r="AF699" s="520">
        <v>22.745000000000001</v>
      </c>
      <c r="AG699" s="520">
        <v>19.193999999999999</v>
      </c>
      <c r="AH699" s="520">
        <v>22.994999999999997</v>
      </c>
      <c r="AI699" s="520">
        <v>26.438000000000002</v>
      </c>
      <c r="AJ699" s="519">
        <v>91.372</v>
      </c>
      <c r="AK699" s="520">
        <v>27.189</v>
      </c>
      <c r="AL699" s="520">
        <v>25.320999999999998</v>
      </c>
      <c r="AM699" s="520">
        <v>23.434999999999995</v>
      </c>
      <c r="AN699" s="520">
        <v>24.794000000000011</v>
      </c>
      <c r="AO699" s="519">
        <v>100.739</v>
      </c>
      <c r="AP699" s="520">
        <v>24.87</v>
      </c>
      <c r="AQ699" s="520">
        <v>25.342000000000002</v>
      </c>
      <c r="AR699" s="520">
        <v>26.475999999999999</v>
      </c>
      <c r="AS699" s="520">
        <v>23.352000000000004</v>
      </c>
      <c r="AT699" s="519">
        <v>100.04</v>
      </c>
      <c r="AU699" s="520">
        <v>23.885999999999999</v>
      </c>
      <c r="AV699" s="520">
        <v>22.669999999999998</v>
      </c>
      <c r="AW699" s="520">
        <v>24.819000000000003</v>
      </c>
      <c r="AX699" s="520">
        <v>24.647000000000006</v>
      </c>
      <c r="AY699" s="519">
        <v>96.022000000000006</v>
      </c>
      <c r="AZ699" s="520">
        <v>24.757999999999999</v>
      </c>
      <c r="BA699" s="520">
        <v>26.970000000000002</v>
      </c>
      <c r="BB699" s="520">
        <v>28.032000000000004</v>
      </c>
      <c r="BC699" s="520">
        <v>28.827999999999989</v>
      </c>
      <c r="BD699" s="519">
        <v>108.58799999999999</v>
      </c>
      <c r="BE699" s="520">
        <v>27.77</v>
      </c>
      <c r="BF699" s="520">
        <v>28.135999999999999</v>
      </c>
      <c r="BG699" s="520">
        <v>28.454000000000001</v>
      </c>
      <c r="BH699" s="520">
        <v>34.629000000000005</v>
      </c>
      <c r="BI699" s="521">
        <v>118.989</v>
      </c>
      <c r="BJ699" s="327">
        <v>33.06081125</v>
      </c>
      <c r="BK699" s="327">
        <v>33.409826210937496</v>
      </c>
      <c r="BL699" s="327">
        <v>33.754913567205072</v>
      </c>
      <c r="BM699" s="327">
        <v>34.096117505838215</v>
      </c>
      <c r="BN699" s="518">
        <v>134.32166853398078</v>
      </c>
      <c r="BO699" s="327">
        <v>34.433481716766408</v>
      </c>
      <c r="BP699" s="327">
        <v>34.767049398405575</v>
      </c>
      <c r="BQ699" s="327">
        <v>35.096863263187601</v>
      </c>
      <c r="BR699" s="327">
        <v>35.422965543027686</v>
      </c>
      <c r="BS699" s="518">
        <v>139.72035992138726</v>
      </c>
      <c r="BT699" s="518">
        <v>141.98159197892056</v>
      </c>
      <c r="BU699" s="518">
        <v>147.08245454857206</v>
      </c>
      <c r="BV699" s="518">
        <v>151.95370313154575</v>
      </c>
      <c r="BW699" s="197"/>
    </row>
    <row r="700" spans="1:75" s="198" customFormat="1" ht="14.25" collapsed="1" x14ac:dyDescent="0.45">
      <c r="A700" s="206"/>
      <c r="B700" s="522"/>
      <c r="C700" s="397"/>
      <c r="D700" s="397"/>
      <c r="E700" s="397"/>
      <c r="F700" s="397"/>
      <c r="G700" s="295"/>
      <c r="H700" s="295"/>
      <c r="I700" s="295"/>
      <c r="J700" s="295"/>
      <c r="K700" s="397"/>
      <c r="L700" s="295"/>
      <c r="M700" s="295"/>
      <c r="N700" s="295"/>
      <c r="O700" s="295"/>
      <c r="P700" s="397"/>
      <c r="Q700" s="295"/>
      <c r="R700" s="295"/>
      <c r="S700" s="295"/>
      <c r="T700" s="295"/>
      <c r="U700" s="397"/>
      <c r="V700" s="295"/>
      <c r="W700" s="295"/>
      <c r="X700" s="295"/>
      <c r="Y700" s="295"/>
      <c r="Z700" s="397"/>
      <c r="AA700" s="295"/>
      <c r="AB700" s="295"/>
      <c r="AC700" s="295"/>
      <c r="AD700" s="295"/>
      <c r="AE700" s="397"/>
      <c r="AF700" s="295"/>
      <c r="AG700" s="295"/>
      <c r="AH700" s="295"/>
      <c r="AI700" s="295"/>
      <c r="AJ700" s="397"/>
      <c r="AK700" s="295"/>
      <c r="AL700" s="295"/>
      <c r="AM700" s="295"/>
      <c r="AN700" s="295"/>
      <c r="AO700" s="397"/>
      <c r="AP700" s="295"/>
      <c r="AQ700" s="295"/>
      <c r="AR700" s="295"/>
      <c r="AS700" s="295"/>
      <c r="AT700" s="397"/>
      <c r="AU700" s="295"/>
      <c r="AV700" s="295"/>
      <c r="AW700" s="295"/>
      <c r="AX700" s="295"/>
      <c r="AY700" s="397"/>
      <c r="AZ700" s="295"/>
      <c r="BA700" s="295"/>
      <c r="BB700" s="295"/>
      <c r="BC700" s="295"/>
      <c r="BD700" s="397"/>
      <c r="BE700" s="295"/>
      <c r="BF700" s="295"/>
      <c r="BG700" s="295"/>
      <c r="BH700" s="295"/>
      <c r="BI700" s="399"/>
      <c r="BJ700" s="295"/>
      <c r="BK700" s="295"/>
      <c r="BL700" s="295"/>
      <c r="BM700" s="295"/>
      <c r="BN700" s="397"/>
      <c r="BO700" s="295"/>
      <c r="BP700" s="295"/>
      <c r="BQ700" s="295"/>
      <c r="BR700" s="295"/>
      <c r="BS700" s="397"/>
      <c r="BT700" s="397"/>
      <c r="BU700" s="397"/>
      <c r="BV700" s="397"/>
      <c r="BW700" s="197"/>
    </row>
    <row r="701" spans="1:75" s="198" customFormat="1" ht="14.25" x14ac:dyDescent="0.45">
      <c r="A701" s="239" t="s">
        <v>800</v>
      </c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  <c r="AA701" s="239"/>
      <c r="AB701" s="239"/>
      <c r="AC701" s="239"/>
      <c r="AD701" s="239"/>
      <c r="AE701" s="239"/>
      <c r="AF701" s="240"/>
      <c r="AG701" s="240"/>
      <c r="AH701" s="240"/>
      <c r="AI701" s="239"/>
      <c r="AJ701" s="239"/>
      <c r="AK701" s="239"/>
      <c r="AL701" s="239"/>
      <c r="AM701" s="239"/>
      <c r="AN701" s="239"/>
      <c r="AO701" s="239"/>
      <c r="AP701" s="240" t="s">
        <v>101</v>
      </c>
      <c r="AQ701" s="240" t="s">
        <v>101</v>
      </c>
      <c r="AR701" s="240" t="s">
        <v>101</v>
      </c>
      <c r="AS701" s="239"/>
      <c r="AT701" s="239"/>
      <c r="AU701" s="240"/>
      <c r="AV701" s="240"/>
      <c r="AW701" s="239"/>
      <c r="AX701" s="239"/>
      <c r="AY701" s="239"/>
      <c r="AZ701" s="240"/>
      <c r="BA701" s="240"/>
      <c r="BB701" s="239"/>
      <c r="BC701" s="239"/>
      <c r="BD701" s="239"/>
      <c r="BE701" s="240"/>
      <c r="BF701" s="240"/>
      <c r="BG701" s="239"/>
      <c r="BH701" s="239"/>
      <c r="BI701" s="241"/>
      <c r="BJ701" s="239"/>
      <c r="BK701" s="239"/>
      <c r="BL701" s="239"/>
      <c r="BM701" s="239"/>
      <c r="BN701" s="239"/>
      <c r="BO701" s="239"/>
      <c r="BP701" s="239"/>
      <c r="BQ701" s="239"/>
      <c r="BR701" s="239"/>
      <c r="BS701" s="239"/>
      <c r="BT701" s="239"/>
      <c r="BU701" s="239"/>
      <c r="BV701" s="239"/>
      <c r="BW701" s="197"/>
    </row>
    <row r="702" spans="1:75" s="123" customFormat="1" hidden="1" outlineLevel="1" x14ac:dyDescent="0.5">
      <c r="A702" s="464" t="s">
        <v>801</v>
      </c>
      <c r="B702" s="118"/>
      <c r="C702" s="299"/>
      <c r="D702" s="299"/>
      <c r="E702" s="299"/>
      <c r="F702" s="299"/>
      <c r="G702" s="300"/>
      <c r="H702" s="300"/>
      <c r="I702" s="300"/>
      <c r="J702" s="300"/>
      <c r="K702" s="299"/>
      <c r="L702" s="300"/>
      <c r="M702" s="300"/>
      <c r="N702" s="300"/>
      <c r="O702" s="300"/>
      <c r="P702" s="299"/>
      <c r="Q702" s="300"/>
      <c r="R702" s="300"/>
      <c r="S702" s="300"/>
      <c r="T702" s="300"/>
      <c r="U702" s="299"/>
      <c r="V702" s="300"/>
      <c r="W702" s="300"/>
      <c r="X702" s="300"/>
      <c r="Y702" s="300"/>
      <c r="Z702" s="299"/>
      <c r="AA702" s="300"/>
      <c r="AB702" s="300"/>
      <c r="AC702" s="300"/>
      <c r="AD702" s="300"/>
      <c r="AE702" s="299"/>
      <c r="AF702" s="307">
        <v>352.64600000000002</v>
      </c>
      <c r="AG702" s="307">
        <v>430.19600000000003</v>
      </c>
      <c r="AH702" s="307">
        <v>418.89499999999998</v>
      </c>
      <c r="AI702" s="300">
        <v>423.81600000000003</v>
      </c>
      <c r="AJ702" s="305">
        <v>1625.5530000000001</v>
      </c>
      <c r="AK702" s="307">
        <v>396.69799999999998</v>
      </c>
      <c r="AL702" s="307">
        <v>485.63900000000001</v>
      </c>
      <c r="AM702" s="307">
        <v>467.524</v>
      </c>
      <c r="AN702" s="300">
        <v>444.45600000000013</v>
      </c>
      <c r="AO702" s="305">
        <v>1794.317</v>
      </c>
      <c r="AP702" s="307">
        <v>312.52300000000002</v>
      </c>
      <c r="AQ702" s="307">
        <v>483.20499999999998</v>
      </c>
      <c r="AR702" s="307">
        <v>584.96</v>
      </c>
      <c r="AS702" s="300">
        <v>559.9699999999998</v>
      </c>
      <c r="AT702" s="305">
        <v>1940.6579999999999</v>
      </c>
      <c r="AU702" s="307">
        <v>580.01099999999997</v>
      </c>
      <c r="AV702" s="307">
        <v>699.72900000000004</v>
      </c>
      <c r="AW702" s="307">
        <v>706.75</v>
      </c>
      <c r="AX702" s="300">
        <v>613.04999999999995</v>
      </c>
      <c r="AY702" s="305">
        <v>2599.54</v>
      </c>
      <c r="AZ702" s="307">
        <v>662.52</v>
      </c>
      <c r="BA702" s="307">
        <v>699.72</v>
      </c>
      <c r="BB702" s="307">
        <v>597.52</v>
      </c>
      <c r="BC702" s="300">
        <v>532.75400000000013</v>
      </c>
      <c r="BD702" s="305">
        <v>2492.5140000000001</v>
      </c>
      <c r="BE702" s="307">
        <v>496.39100000000002</v>
      </c>
      <c r="BF702" s="307">
        <v>560.60199999999998</v>
      </c>
      <c r="BG702" s="307">
        <v>518.923</v>
      </c>
      <c r="BH702" s="300">
        <v>463.9860000000001</v>
      </c>
      <c r="BI702" s="303">
        <v>2039.902</v>
      </c>
      <c r="BJ702" s="300"/>
      <c r="BK702" s="300"/>
      <c r="BL702" s="300"/>
      <c r="BM702" s="300"/>
      <c r="BN702" s="299"/>
      <c r="BO702" s="300"/>
      <c r="BP702" s="300"/>
      <c r="BQ702" s="300"/>
      <c r="BR702" s="300"/>
      <c r="BS702" s="299"/>
      <c r="BT702" s="299"/>
      <c r="BU702" s="299"/>
      <c r="BV702" s="299"/>
      <c r="BW702" s="122"/>
    </row>
    <row r="703" spans="1:75" s="177" customFormat="1" ht="14.25" hidden="1" outlineLevel="1" x14ac:dyDescent="0.45">
      <c r="A703" s="523" t="s">
        <v>802</v>
      </c>
      <c r="B703" s="378"/>
      <c r="C703" s="451"/>
      <c r="D703" s="451"/>
      <c r="E703" s="451"/>
      <c r="F703" s="451"/>
      <c r="G703" s="452"/>
      <c r="H703" s="452"/>
      <c r="I703" s="452"/>
      <c r="J703" s="452"/>
      <c r="K703" s="451"/>
      <c r="L703" s="452"/>
      <c r="M703" s="452"/>
      <c r="N703" s="452"/>
      <c r="O703" s="452"/>
      <c r="P703" s="451"/>
      <c r="Q703" s="452"/>
      <c r="R703" s="452"/>
      <c r="S703" s="452"/>
      <c r="T703" s="452"/>
      <c r="U703" s="451"/>
      <c r="V703" s="452"/>
      <c r="W703" s="452"/>
      <c r="X703" s="452"/>
      <c r="Y703" s="452"/>
      <c r="Z703" s="451"/>
      <c r="AA703" s="452"/>
      <c r="AB703" s="452"/>
      <c r="AC703" s="452"/>
      <c r="AD703" s="452"/>
      <c r="AE703" s="451"/>
      <c r="AF703" s="452"/>
      <c r="AG703" s="452"/>
      <c r="AH703" s="452"/>
      <c r="AI703" s="452"/>
      <c r="AJ703" s="451"/>
      <c r="AK703" s="452">
        <v>0.12491847348332308</v>
      </c>
      <c r="AL703" s="452">
        <v>0.12887846469981112</v>
      </c>
      <c r="AM703" s="452">
        <v>0.11608875732582158</v>
      </c>
      <c r="AN703" s="452">
        <v>4.870037940993277E-2</v>
      </c>
      <c r="AO703" s="451">
        <v>0.10381943867717625</v>
      </c>
      <c r="AP703" s="453" t="s">
        <v>186</v>
      </c>
      <c r="AQ703" s="453" t="s">
        <v>186</v>
      </c>
      <c r="AR703" s="453" t="s">
        <v>186</v>
      </c>
      <c r="AS703" s="453" t="s">
        <v>186</v>
      </c>
      <c r="AT703" s="454" t="s">
        <v>186</v>
      </c>
      <c r="AU703" s="452">
        <v>0.85589860586260835</v>
      </c>
      <c r="AV703" s="452">
        <v>0.44809966784284105</v>
      </c>
      <c r="AW703" s="452">
        <v>0.20820227024070004</v>
      </c>
      <c r="AX703" s="452">
        <v>9.4790792363876886E-2</v>
      </c>
      <c r="AY703" s="451">
        <v>0.33951474190712649</v>
      </c>
      <c r="AZ703" s="452">
        <v>0.1422541986272674</v>
      </c>
      <c r="BA703" s="452">
        <v>-1.2862122335977055E-5</v>
      </c>
      <c r="BB703" s="452">
        <v>-0.15455252918287943</v>
      </c>
      <c r="BC703" s="452">
        <v>-0.13097789739825438</v>
      </c>
      <c r="BD703" s="451">
        <v>-4.1171130276895118E-2</v>
      </c>
      <c r="BE703" s="452">
        <v>-0.25075318480951514</v>
      </c>
      <c r="BF703" s="452">
        <v>-0.19881952781112455</v>
      </c>
      <c r="BG703" s="452">
        <v>-0.13153869326549739</v>
      </c>
      <c r="BH703" s="452">
        <v>-0.12908021338178599</v>
      </c>
      <c r="BI703" s="455">
        <v>-0.18158854875037811</v>
      </c>
      <c r="BJ703" s="452"/>
      <c r="BK703" s="452"/>
      <c r="BL703" s="452"/>
      <c r="BM703" s="452"/>
      <c r="BN703" s="451"/>
      <c r="BO703" s="452"/>
      <c r="BP703" s="452"/>
      <c r="BQ703" s="452"/>
      <c r="BR703" s="452"/>
      <c r="BS703" s="451"/>
      <c r="BT703" s="451"/>
      <c r="BU703" s="451"/>
      <c r="BV703" s="451"/>
      <c r="BW703" s="176"/>
    </row>
    <row r="704" spans="1:75" s="123" customFormat="1" hidden="1" outlineLevel="1" x14ac:dyDescent="0.5">
      <c r="A704" s="464" t="s">
        <v>803</v>
      </c>
      <c r="B704" s="118"/>
      <c r="C704" s="299"/>
      <c r="D704" s="299"/>
      <c r="E704" s="299"/>
      <c r="F704" s="299"/>
      <c r="G704" s="300"/>
      <c r="H704" s="300"/>
      <c r="I704" s="300"/>
      <c r="J704" s="300"/>
      <c r="K704" s="299"/>
      <c r="L704" s="300"/>
      <c r="M704" s="300"/>
      <c r="N704" s="300"/>
      <c r="O704" s="300"/>
      <c r="P704" s="299"/>
      <c r="Q704" s="300"/>
      <c r="R704" s="300"/>
      <c r="S704" s="300"/>
      <c r="T704" s="300"/>
      <c r="U704" s="299"/>
      <c r="V704" s="300"/>
      <c r="W704" s="300"/>
      <c r="X704" s="300"/>
      <c r="Y704" s="119"/>
      <c r="Z704" s="299"/>
      <c r="AA704" s="119"/>
      <c r="AB704" s="119"/>
      <c r="AC704" s="300"/>
      <c r="AD704" s="119"/>
      <c r="AE704" s="299"/>
      <c r="AF704" s="302">
        <v>204.76</v>
      </c>
      <c r="AG704" s="302">
        <v>210.602</v>
      </c>
      <c r="AH704" s="307">
        <v>217.66300000000001</v>
      </c>
      <c r="AI704" s="119">
        <v>247.07500000000005</v>
      </c>
      <c r="AJ704" s="305">
        <v>880.1</v>
      </c>
      <c r="AK704" s="302">
        <v>201.72300000000001</v>
      </c>
      <c r="AL704" s="302">
        <v>220.875</v>
      </c>
      <c r="AM704" s="307">
        <v>210.00200000000001</v>
      </c>
      <c r="AN704" s="119">
        <v>220.51999999999998</v>
      </c>
      <c r="AO704" s="305">
        <v>853.12</v>
      </c>
      <c r="AP704" s="302">
        <v>170.37200000000001</v>
      </c>
      <c r="AQ704" s="302">
        <v>226.077</v>
      </c>
      <c r="AR704" s="307">
        <v>259.053</v>
      </c>
      <c r="AS704" s="119">
        <v>252.46600000000001</v>
      </c>
      <c r="AT704" s="305">
        <v>907.96799999999996</v>
      </c>
      <c r="AU704" s="302">
        <v>280.78100000000001</v>
      </c>
      <c r="AV704" s="302">
        <v>289.13</v>
      </c>
      <c r="AW704" s="307">
        <v>299.678</v>
      </c>
      <c r="AX704" s="119">
        <v>289.69099999999992</v>
      </c>
      <c r="AY704" s="305">
        <v>1159.28</v>
      </c>
      <c r="AZ704" s="302">
        <v>294.77199999999999</v>
      </c>
      <c r="BA704" s="302">
        <v>291.89999999999998</v>
      </c>
      <c r="BB704" s="307">
        <v>271.54599999999999</v>
      </c>
      <c r="BC704" s="119">
        <v>239.74499999999989</v>
      </c>
      <c r="BD704" s="305">
        <v>1097.963</v>
      </c>
      <c r="BE704" s="302">
        <v>242.77099999999999</v>
      </c>
      <c r="BF704" s="302">
        <v>239.87700000000001</v>
      </c>
      <c r="BG704" s="307">
        <v>232.30199999999999</v>
      </c>
      <c r="BH704" s="119">
        <v>274.274</v>
      </c>
      <c r="BI704" s="303">
        <v>989.22400000000005</v>
      </c>
      <c r="BJ704" s="118"/>
      <c r="BK704" s="118"/>
      <c r="BL704" s="118"/>
      <c r="BM704" s="118"/>
      <c r="BN704" s="401"/>
      <c r="BO704" s="118"/>
      <c r="BP704" s="118"/>
      <c r="BQ704" s="118"/>
      <c r="BR704" s="118"/>
      <c r="BS704" s="401"/>
      <c r="BT704" s="401"/>
      <c r="BU704" s="401"/>
      <c r="BV704" s="401"/>
      <c r="BW704" s="122"/>
    </row>
    <row r="705" spans="1:75" s="177" customFormat="1" ht="14.25" hidden="1" outlineLevel="1" x14ac:dyDescent="0.45">
      <c r="A705" s="523" t="s">
        <v>804</v>
      </c>
      <c r="B705" s="378"/>
      <c r="C705" s="451"/>
      <c r="D705" s="451"/>
      <c r="E705" s="451"/>
      <c r="F705" s="451"/>
      <c r="G705" s="452"/>
      <c r="H705" s="452"/>
      <c r="I705" s="452"/>
      <c r="J705" s="452"/>
      <c r="K705" s="451"/>
      <c r="L705" s="452"/>
      <c r="M705" s="452"/>
      <c r="N705" s="452"/>
      <c r="O705" s="452"/>
      <c r="P705" s="451"/>
      <c r="Q705" s="452"/>
      <c r="R705" s="452"/>
      <c r="S705" s="452"/>
      <c r="T705" s="452"/>
      <c r="U705" s="451"/>
      <c r="V705" s="452"/>
      <c r="W705" s="452"/>
      <c r="X705" s="452"/>
      <c r="Y705" s="173"/>
      <c r="Z705" s="451"/>
      <c r="AA705" s="173"/>
      <c r="AB705" s="173"/>
      <c r="AC705" s="452"/>
      <c r="AD705" s="173"/>
      <c r="AE705" s="451"/>
      <c r="AF705" s="173"/>
      <c r="AG705" s="173"/>
      <c r="AH705" s="452"/>
      <c r="AI705" s="173"/>
      <c r="AJ705" s="451"/>
      <c r="AK705" s="173">
        <v>-1.4831998437194627E-2</v>
      </c>
      <c r="AL705" s="173">
        <v>4.8779213872612859E-2</v>
      </c>
      <c r="AM705" s="462">
        <v>-3.5196611275228218E-2</v>
      </c>
      <c r="AN705" s="173">
        <v>-0.10747748659313994</v>
      </c>
      <c r="AO705" s="451">
        <v>-3.0655607317350286E-2</v>
      </c>
      <c r="AP705" s="190" t="s">
        <v>186</v>
      </c>
      <c r="AQ705" s="190" t="s">
        <v>186</v>
      </c>
      <c r="AR705" s="453" t="s">
        <v>186</v>
      </c>
      <c r="AS705" s="190" t="s">
        <v>186</v>
      </c>
      <c r="AT705" s="454" t="s">
        <v>186</v>
      </c>
      <c r="AU705" s="173">
        <v>0.64804662738008578</v>
      </c>
      <c r="AV705" s="173">
        <v>0.27890055158198312</v>
      </c>
      <c r="AW705" s="452">
        <v>0.15682119103040693</v>
      </c>
      <c r="AX705" s="173">
        <v>0.14744559663479406</v>
      </c>
      <c r="AY705" s="451">
        <v>0.27678508493691401</v>
      </c>
      <c r="AZ705" s="173">
        <v>4.9828870187085261E-2</v>
      </c>
      <c r="BA705" s="173">
        <v>9.5804655345346212E-3</v>
      </c>
      <c r="BB705" s="452">
        <v>-9.3874091524903447E-2</v>
      </c>
      <c r="BC705" s="173">
        <v>-0.17241129341263639</v>
      </c>
      <c r="BD705" s="451">
        <v>-5.2892312469808855E-2</v>
      </c>
      <c r="BE705" s="173">
        <v>-0.17641092098299704</v>
      </c>
      <c r="BF705" s="173">
        <v>-0.17822199383350457</v>
      </c>
      <c r="BG705" s="452">
        <v>-0.14452063370478663</v>
      </c>
      <c r="BH705" s="173">
        <v>0.14402385868318479</v>
      </c>
      <c r="BI705" s="455">
        <v>-9.9037034945621993E-2</v>
      </c>
      <c r="BJ705" s="173"/>
      <c r="BK705" s="173"/>
      <c r="BL705" s="173"/>
      <c r="BM705" s="173"/>
      <c r="BN705" s="172"/>
      <c r="BO705" s="173"/>
      <c r="BP705" s="173"/>
      <c r="BQ705" s="173"/>
      <c r="BR705" s="173"/>
      <c r="BS705" s="172"/>
      <c r="BT705" s="172"/>
      <c r="BU705" s="172"/>
      <c r="BV705" s="172"/>
      <c r="BW705" s="176"/>
    </row>
    <row r="706" spans="1:75" s="198" customFormat="1" ht="14.25" hidden="1" outlineLevel="1" x14ac:dyDescent="0.45">
      <c r="A706" s="465" t="s">
        <v>187</v>
      </c>
      <c r="B706" s="277"/>
      <c r="C706" s="325"/>
      <c r="D706" s="325"/>
      <c r="E706" s="325"/>
      <c r="F706" s="325"/>
      <c r="G706" s="326"/>
      <c r="H706" s="326"/>
      <c r="I706" s="326"/>
      <c r="J706" s="326"/>
      <c r="K706" s="325"/>
      <c r="L706" s="326"/>
      <c r="M706" s="326"/>
      <c r="N706" s="326"/>
      <c r="O706" s="326"/>
      <c r="P706" s="325"/>
      <c r="Q706" s="326"/>
      <c r="R706" s="326"/>
      <c r="S706" s="326"/>
      <c r="T706" s="326"/>
      <c r="U706" s="325"/>
      <c r="V706" s="326"/>
      <c r="W706" s="326"/>
      <c r="X706" s="326"/>
      <c r="Y706" s="327"/>
      <c r="Z706" s="518"/>
      <c r="AA706" s="327"/>
      <c r="AB706" s="327"/>
      <c r="AC706" s="326"/>
      <c r="AD706" s="327"/>
      <c r="AE706" s="518"/>
      <c r="AF706" s="520">
        <v>557.40599999999995</v>
      </c>
      <c r="AG706" s="327">
        <v>640.798</v>
      </c>
      <c r="AH706" s="524">
        <v>636.55799999999999</v>
      </c>
      <c r="AI706" s="327">
        <v>670.89100000000008</v>
      </c>
      <c r="AJ706" s="518">
        <v>2505.6530000000002</v>
      </c>
      <c r="AK706" s="520">
        <v>598.42100000000005</v>
      </c>
      <c r="AL706" s="327">
        <v>706.51400000000001</v>
      </c>
      <c r="AM706" s="524">
        <v>677.52600000000007</v>
      </c>
      <c r="AN706" s="327">
        <v>664.97600000000011</v>
      </c>
      <c r="AO706" s="518">
        <v>2647.4369999999999</v>
      </c>
      <c r="AP706" s="520">
        <v>482.89500000000004</v>
      </c>
      <c r="AQ706" s="327">
        <v>709.28199999999993</v>
      </c>
      <c r="AR706" s="524">
        <v>844.01300000000003</v>
      </c>
      <c r="AS706" s="327">
        <v>812.43599999999981</v>
      </c>
      <c r="AT706" s="518">
        <v>2848.6259999999997</v>
      </c>
      <c r="AU706" s="327">
        <v>860.79199999999992</v>
      </c>
      <c r="AV706" s="327">
        <v>988.85900000000004</v>
      </c>
      <c r="AW706" s="524">
        <v>1006.428</v>
      </c>
      <c r="AX706" s="327">
        <v>902.74099999999987</v>
      </c>
      <c r="AY706" s="518">
        <v>3758.8199999999997</v>
      </c>
      <c r="AZ706" s="327">
        <v>957.29199999999992</v>
      </c>
      <c r="BA706" s="327">
        <v>991.62</v>
      </c>
      <c r="BB706" s="524">
        <v>869.06600000000003</v>
      </c>
      <c r="BC706" s="327">
        <v>772.49900000000002</v>
      </c>
      <c r="BD706" s="518">
        <v>3590.4769999999999</v>
      </c>
      <c r="BE706" s="327">
        <v>739.16200000000003</v>
      </c>
      <c r="BF706" s="327">
        <v>800.47900000000004</v>
      </c>
      <c r="BG706" s="326">
        <v>751.22500000000002</v>
      </c>
      <c r="BH706" s="327">
        <v>738.2600000000001</v>
      </c>
      <c r="BI706" s="525">
        <v>3029.1260000000002</v>
      </c>
      <c r="BJ706" s="327"/>
      <c r="BK706" s="327"/>
      <c r="BL706" s="327"/>
      <c r="BM706" s="327"/>
      <c r="BN706" s="518"/>
      <c r="BO706" s="327"/>
      <c r="BP706" s="327"/>
      <c r="BQ706" s="327"/>
      <c r="BR706" s="327"/>
      <c r="BS706" s="518"/>
      <c r="BT706" s="518"/>
      <c r="BU706" s="518"/>
      <c r="BV706" s="518"/>
      <c r="BW706" s="400"/>
    </row>
    <row r="707" spans="1:75" s="177" customFormat="1" ht="14.25" hidden="1" outlineLevel="1" x14ac:dyDescent="0.45">
      <c r="A707" s="373" t="s">
        <v>191</v>
      </c>
      <c r="B707" s="374"/>
      <c r="C707" s="375"/>
      <c r="D707" s="375"/>
      <c r="E707" s="375"/>
      <c r="F707" s="375"/>
      <c r="G707" s="381"/>
      <c r="H707" s="381"/>
      <c r="I707" s="381"/>
      <c r="J707" s="381"/>
      <c r="K707" s="375"/>
      <c r="L707" s="381"/>
      <c r="M707" s="381"/>
      <c r="N707" s="381"/>
      <c r="O707" s="381"/>
      <c r="P707" s="375"/>
      <c r="Q707" s="381"/>
      <c r="R707" s="381"/>
      <c r="S707" s="381"/>
      <c r="T707" s="381"/>
      <c r="U707" s="375"/>
      <c r="V707" s="381"/>
      <c r="W707" s="381"/>
      <c r="X707" s="381"/>
      <c r="Y707" s="378"/>
      <c r="Z707" s="417"/>
      <c r="AA707" s="378"/>
      <c r="AB707" s="378"/>
      <c r="AC707" s="381"/>
      <c r="AD707" s="378"/>
      <c r="AE707" s="417"/>
      <c r="AF707" s="378"/>
      <c r="AG707" s="378"/>
      <c r="AH707" s="381"/>
      <c r="AI707" s="378"/>
      <c r="AJ707" s="417"/>
      <c r="AK707" s="176">
        <v>7.3581913362970708E-2</v>
      </c>
      <c r="AL707" s="378">
        <v>0.1025533787558639</v>
      </c>
      <c r="AM707" s="376">
        <v>6.435862875024756E-2</v>
      </c>
      <c r="AN707" s="378">
        <v>-8.8166334024453175E-3</v>
      </c>
      <c r="AO707" s="417">
        <v>5.6585648531540356E-2</v>
      </c>
      <c r="AP707" s="176">
        <v>-0.19305138021560075</v>
      </c>
      <c r="AQ707" s="378">
        <v>3.9178275306646082E-3</v>
      </c>
      <c r="AR707" s="376">
        <v>0.24572783922683405</v>
      </c>
      <c r="AS707" s="378">
        <v>0.22175236399509113</v>
      </c>
      <c r="AT707" s="417">
        <v>7.5993876341533317E-2</v>
      </c>
      <c r="AU707" s="378">
        <v>0.78256556808415878</v>
      </c>
      <c r="AV707" s="378">
        <v>0.39416903290933658</v>
      </c>
      <c r="AW707" s="376">
        <v>0.19243187012522323</v>
      </c>
      <c r="AX707" s="378">
        <v>0.11115337085013466</v>
      </c>
      <c r="AY707" s="417">
        <v>0.31952035823586522</v>
      </c>
      <c r="AZ707" s="378">
        <v>0.11210606046524596</v>
      </c>
      <c r="BA707" s="378">
        <v>2.7921068625555989E-3</v>
      </c>
      <c r="BB707" s="376">
        <v>-0.13648467649946139</v>
      </c>
      <c r="BC707" s="378">
        <v>-0.14427393903677788</v>
      </c>
      <c r="BD707" s="417">
        <v>-4.4786129689636578E-2</v>
      </c>
      <c r="BE707" s="378">
        <v>-0.22786150934093241</v>
      </c>
      <c r="BF707" s="378">
        <v>-0.19275629777535741</v>
      </c>
      <c r="BG707" s="381">
        <v>-0.13559499508667927</v>
      </c>
      <c r="BH707" s="378">
        <v>-4.4322387472346181E-2</v>
      </c>
      <c r="BI707" s="418">
        <v>-0.15634440772075675</v>
      </c>
      <c r="BJ707" s="378"/>
      <c r="BK707" s="378"/>
      <c r="BL707" s="378"/>
      <c r="BM707" s="378"/>
      <c r="BN707" s="417"/>
      <c r="BO707" s="378"/>
      <c r="BP707" s="378"/>
      <c r="BQ707" s="378"/>
      <c r="BR707" s="378"/>
      <c r="BS707" s="417"/>
      <c r="BT707" s="417"/>
      <c r="BU707" s="417"/>
      <c r="BV707" s="417"/>
      <c r="BW707" s="176"/>
    </row>
    <row r="708" spans="1:75" s="162" customFormat="1" ht="14.25" hidden="1" outlineLevel="1" x14ac:dyDescent="0.45">
      <c r="A708" s="178"/>
      <c r="B708" s="179"/>
      <c r="C708" s="180"/>
      <c r="D708" s="180"/>
      <c r="E708" s="180"/>
      <c r="F708" s="180"/>
      <c r="G708" s="181"/>
      <c r="H708" s="181"/>
      <c r="I708" s="181"/>
      <c r="J708" s="181"/>
      <c r="K708" s="180"/>
      <c r="L708" s="181"/>
      <c r="M708" s="181"/>
      <c r="N708" s="181"/>
      <c r="O708" s="181"/>
      <c r="P708" s="180"/>
      <c r="Q708" s="181"/>
      <c r="R708" s="181"/>
      <c r="S708" s="181"/>
      <c r="T708" s="181"/>
      <c r="U708" s="180"/>
      <c r="V708" s="181"/>
      <c r="W708" s="181"/>
      <c r="X708" s="181"/>
      <c r="Y708" s="181"/>
      <c r="Z708" s="180"/>
      <c r="AA708" s="181"/>
      <c r="AB708" s="181"/>
      <c r="AC708" s="181"/>
      <c r="AD708" s="181"/>
      <c r="AE708" s="180"/>
      <c r="AF708" s="181"/>
      <c r="AG708" s="181"/>
      <c r="AH708" s="181"/>
      <c r="AI708" s="181"/>
      <c r="AJ708" s="180"/>
      <c r="AK708" s="181"/>
      <c r="AL708" s="181"/>
      <c r="AM708" s="181"/>
      <c r="AN708" s="181"/>
      <c r="AO708" s="180"/>
      <c r="AP708" s="181"/>
      <c r="AQ708" s="181"/>
      <c r="AR708" s="181"/>
      <c r="AS708" s="181"/>
      <c r="AT708" s="180"/>
      <c r="AU708" s="181"/>
      <c r="AV708" s="181"/>
      <c r="AW708" s="181"/>
      <c r="AX708" s="181"/>
      <c r="AY708" s="180"/>
      <c r="AZ708" s="181"/>
      <c r="BA708" s="181"/>
      <c r="BB708" s="181"/>
      <c r="BC708" s="181"/>
      <c r="BD708" s="180"/>
      <c r="BE708" s="181"/>
      <c r="BF708" s="181"/>
      <c r="BG708" s="181"/>
      <c r="BH708" s="181"/>
      <c r="BI708" s="182"/>
      <c r="BJ708" s="183"/>
      <c r="BK708" s="183"/>
      <c r="BL708" s="183"/>
      <c r="BM708" s="183"/>
      <c r="BN708" s="180"/>
      <c r="BO708" s="183"/>
      <c r="BP708" s="183"/>
      <c r="BQ708" s="183"/>
      <c r="BR708" s="183"/>
      <c r="BS708" s="180"/>
      <c r="BT708" s="180"/>
      <c r="BU708" s="180"/>
      <c r="BV708" s="180"/>
      <c r="BW708" s="161"/>
    </row>
    <row r="709" spans="1:75" s="217" customFormat="1" hidden="1" outlineLevel="1" x14ac:dyDescent="0.5">
      <c r="A709" s="526" t="s">
        <v>805</v>
      </c>
      <c r="B709" s="212"/>
      <c r="C709" s="213"/>
      <c r="D709" s="213"/>
      <c r="E709" s="213"/>
      <c r="F709" s="213"/>
      <c r="G709" s="214"/>
      <c r="H709" s="214"/>
      <c r="I709" s="214"/>
      <c r="J709" s="214"/>
      <c r="K709" s="213"/>
      <c r="L709" s="214"/>
      <c r="M709" s="214"/>
      <c r="N709" s="214"/>
      <c r="O709" s="214"/>
      <c r="P709" s="213"/>
      <c r="Q709" s="214"/>
      <c r="R709" s="214"/>
      <c r="S709" s="214"/>
      <c r="T709" s="214"/>
      <c r="U709" s="213"/>
      <c r="V709" s="214"/>
      <c r="W709" s="214"/>
      <c r="X709" s="214"/>
      <c r="Y709" s="214"/>
      <c r="Z709" s="213"/>
      <c r="AA709" s="214"/>
      <c r="AB709" s="214"/>
      <c r="AC709" s="214"/>
      <c r="AD709" s="214"/>
      <c r="AE709" s="213"/>
      <c r="AF709" s="214">
        <v>0.63265555089109204</v>
      </c>
      <c r="AG709" s="214">
        <v>0.67134416774084815</v>
      </c>
      <c r="AH709" s="214">
        <v>0.65806258031475529</v>
      </c>
      <c r="AI709" s="214">
        <v>0.63172109925457332</v>
      </c>
      <c r="AJ709" s="213">
        <v>0.64875423691947764</v>
      </c>
      <c r="AK709" s="214">
        <v>0.66290788591977878</v>
      </c>
      <c r="AL709" s="214">
        <v>0.68737349861432329</v>
      </c>
      <c r="AM709" s="214">
        <v>0.69004584325915164</v>
      </c>
      <c r="AN709" s="214">
        <v>0.66837900916724824</v>
      </c>
      <c r="AO709" s="213">
        <v>0.67775626011119439</v>
      </c>
      <c r="AP709" s="214">
        <v>0.64718624131539981</v>
      </c>
      <c r="AQ709" s="214">
        <v>0.68125935805504723</v>
      </c>
      <c r="AR709" s="214">
        <v>0.6930698934732048</v>
      </c>
      <c r="AS709" s="214">
        <v>0.6892481376994618</v>
      </c>
      <c r="AT709" s="213">
        <v>0.68126107112692225</v>
      </c>
      <c r="AU709" s="214">
        <v>0.67381086255448475</v>
      </c>
      <c r="AV709" s="214">
        <v>0.70761251098488265</v>
      </c>
      <c r="AW709" s="214">
        <v>0.70223602681960362</v>
      </c>
      <c r="AX709" s="214">
        <v>0.67909843465623032</v>
      </c>
      <c r="AY709" s="213">
        <v>0.6915840609552999</v>
      </c>
      <c r="AZ709" s="214">
        <v>0.69207723453241021</v>
      </c>
      <c r="BA709" s="214">
        <v>0.70563320626853032</v>
      </c>
      <c r="BB709" s="214">
        <v>0.68754271827456137</v>
      </c>
      <c r="BC709" s="214">
        <v>0.68965008368942893</v>
      </c>
      <c r="BD709" s="213">
        <v>0.69420135541879258</v>
      </c>
      <c r="BE709" s="214">
        <v>0.67155914400361494</v>
      </c>
      <c r="BF709" s="214">
        <v>0.70033317551116259</v>
      </c>
      <c r="BG709" s="214">
        <v>0.6907690771739492</v>
      </c>
      <c r="BH709" s="214">
        <v>0.62848589927667764</v>
      </c>
      <c r="BI709" s="215">
        <v>0.67342923338283056</v>
      </c>
      <c r="BJ709" s="214"/>
      <c r="BK709" s="214"/>
      <c r="BL709" s="214"/>
      <c r="BM709" s="214"/>
      <c r="BN709" s="213"/>
      <c r="BO709" s="214"/>
      <c r="BP709" s="214"/>
      <c r="BQ709" s="214"/>
      <c r="BR709" s="214"/>
      <c r="BS709" s="213"/>
      <c r="BT709" s="213"/>
      <c r="BU709" s="213"/>
      <c r="BV709" s="213"/>
      <c r="BW709" s="216"/>
    </row>
    <row r="710" spans="1:75" s="217" customFormat="1" hidden="1" outlineLevel="1" x14ac:dyDescent="0.5">
      <c r="A710" s="526" t="s">
        <v>806</v>
      </c>
      <c r="B710" s="212"/>
      <c r="C710" s="213"/>
      <c r="D710" s="213"/>
      <c r="E710" s="213"/>
      <c r="F710" s="213"/>
      <c r="G710" s="214"/>
      <c r="H710" s="214"/>
      <c r="I710" s="214"/>
      <c r="J710" s="214"/>
      <c r="K710" s="213"/>
      <c r="L710" s="214"/>
      <c r="M710" s="214"/>
      <c r="N710" s="214"/>
      <c r="O710" s="214"/>
      <c r="P710" s="213"/>
      <c r="Q710" s="214"/>
      <c r="R710" s="214"/>
      <c r="S710" s="214"/>
      <c r="T710" s="214"/>
      <c r="U710" s="213"/>
      <c r="V710" s="214"/>
      <c r="W710" s="214"/>
      <c r="X710" s="214"/>
      <c r="Y710" s="214"/>
      <c r="Z710" s="213"/>
      <c r="AA710" s="214"/>
      <c r="AB710" s="214"/>
      <c r="AC710" s="214"/>
      <c r="AD710" s="214"/>
      <c r="AE710" s="213"/>
      <c r="AF710" s="214">
        <v>0.36734444910890807</v>
      </c>
      <c r="AG710" s="214">
        <v>0.32865583225915185</v>
      </c>
      <c r="AH710" s="214">
        <v>0.34193741968524471</v>
      </c>
      <c r="AI710" s="214">
        <v>0.36827890074542663</v>
      </c>
      <c r="AJ710" s="213">
        <v>0.3512457630805223</v>
      </c>
      <c r="AK710" s="214">
        <v>0.33709211408022111</v>
      </c>
      <c r="AL710" s="214">
        <v>0.31262650138567671</v>
      </c>
      <c r="AM710" s="214">
        <v>0.30995415674084831</v>
      </c>
      <c r="AN710" s="214">
        <v>0.33162099083275176</v>
      </c>
      <c r="AO710" s="213">
        <v>0.32224373988880567</v>
      </c>
      <c r="AP710" s="214">
        <v>0.35281375868460019</v>
      </c>
      <c r="AQ710" s="214">
        <v>0.31874064194495283</v>
      </c>
      <c r="AR710" s="214">
        <v>0.3069301065267952</v>
      </c>
      <c r="AS710" s="214">
        <v>0.3107518623005382</v>
      </c>
      <c r="AT710" s="213">
        <v>0.31873892887307775</v>
      </c>
      <c r="AU710" s="214">
        <v>0.32618913744551531</v>
      </c>
      <c r="AV710" s="214">
        <v>0.29238748901511741</v>
      </c>
      <c r="AW710" s="214">
        <v>0.29776397318039644</v>
      </c>
      <c r="AX710" s="214">
        <v>0.32090156534376962</v>
      </c>
      <c r="AY710" s="213">
        <v>0.30841593904470022</v>
      </c>
      <c r="AZ710" s="214">
        <v>0.30792276546758984</v>
      </c>
      <c r="BA710" s="214">
        <v>0.29436679373146968</v>
      </c>
      <c r="BB710" s="214">
        <v>0.31245728172543857</v>
      </c>
      <c r="BC710" s="214">
        <v>0.31034991631057113</v>
      </c>
      <c r="BD710" s="213">
        <v>0.30579864458120748</v>
      </c>
      <c r="BE710" s="214">
        <v>0.32844085599638506</v>
      </c>
      <c r="BF710" s="214">
        <v>0.2996668244888373</v>
      </c>
      <c r="BG710" s="214">
        <v>0.30923092282605075</v>
      </c>
      <c r="BH710" s="214">
        <v>0.37151410072332236</v>
      </c>
      <c r="BI710" s="215">
        <v>0.32657076661716944</v>
      </c>
      <c r="BJ710" s="214"/>
      <c r="BK710" s="214"/>
      <c r="BL710" s="214"/>
      <c r="BM710" s="214"/>
      <c r="BN710" s="213"/>
      <c r="BO710" s="214"/>
      <c r="BP710" s="214"/>
      <c r="BQ710" s="214"/>
      <c r="BR710" s="214"/>
      <c r="BS710" s="213"/>
      <c r="BT710" s="213"/>
      <c r="BU710" s="213"/>
      <c r="BV710" s="213"/>
      <c r="BW710" s="216"/>
    </row>
    <row r="711" spans="1:75" s="162" customFormat="1" ht="14.25" hidden="1" outlineLevel="1" x14ac:dyDescent="0.45">
      <c r="A711" s="527" t="s">
        <v>675</v>
      </c>
      <c r="B711" s="528"/>
      <c r="C711" s="529"/>
      <c r="D711" s="529"/>
      <c r="E711" s="529"/>
      <c r="F711" s="529"/>
      <c r="G711" s="530"/>
      <c r="H711" s="530"/>
      <c r="I711" s="530"/>
      <c r="J711" s="530"/>
      <c r="K711" s="529"/>
      <c r="L711" s="530"/>
      <c r="M711" s="530"/>
      <c r="N711" s="530"/>
      <c r="O711" s="530"/>
      <c r="P711" s="529"/>
      <c r="Q711" s="530"/>
      <c r="R711" s="530"/>
      <c r="S711" s="530"/>
      <c r="T711" s="530"/>
      <c r="U711" s="529"/>
      <c r="V711" s="530"/>
      <c r="W711" s="530"/>
      <c r="X711" s="530"/>
      <c r="Y711" s="530"/>
      <c r="Z711" s="529"/>
      <c r="AA711" s="530"/>
      <c r="AB711" s="530"/>
      <c r="AC711" s="530"/>
      <c r="AD711" s="530"/>
      <c r="AE711" s="529"/>
      <c r="AF711" s="530">
        <v>1</v>
      </c>
      <c r="AG711" s="530">
        <v>1</v>
      </c>
      <c r="AH711" s="530">
        <v>1</v>
      </c>
      <c r="AI711" s="530">
        <v>1</v>
      </c>
      <c r="AJ711" s="529">
        <v>1</v>
      </c>
      <c r="AK711" s="530">
        <v>0.99999999999999989</v>
      </c>
      <c r="AL711" s="530">
        <v>1</v>
      </c>
      <c r="AM711" s="530">
        <v>1</v>
      </c>
      <c r="AN711" s="530">
        <v>1</v>
      </c>
      <c r="AO711" s="529">
        <v>1</v>
      </c>
      <c r="AP711" s="530">
        <v>1</v>
      </c>
      <c r="AQ711" s="530">
        <v>1</v>
      </c>
      <c r="AR711" s="530">
        <v>1</v>
      </c>
      <c r="AS711" s="530">
        <v>1</v>
      </c>
      <c r="AT711" s="529">
        <v>1</v>
      </c>
      <c r="AU711" s="530">
        <v>1</v>
      </c>
      <c r="AV711" s="530">
        <v>1</v>
      </c>
      <c r="AW711" s="530">
        <v>1</v>
      </c>
      <c r="AX711" s="530">
        <v>1</v>
      </c>
      <c r="AY711" s="529">
        <v>1</v>
      </c>
      <c r="AZ711" s="530">
        <v>1</v>
      </c>
      <c r="BA711" s="530">
        <v>1</v>
      </c>
      <c r="BB711" s="530">
        <v>1</v>
      </c>
      <c r="BC711" s="530">
        <v>1</v>
      </c>
      <c r="BD711" s="529">
        <v>1</v>
      </c>
      <c r="BE711" s="530">
        <v>1</v>
      </c>
      <c r="BF711" s="530">
        <v>0.99999999999999989</v>
      </c>
      <c r="BG711" s="530">
        <v>1</v>
      </c>
      <c r="BH711" s="530">
        <v>1</v>
      </c>
      <c r="BI711" s="531">
        <v>1</v>
      </c>
      <c r="BJ711" s="530"/>
      <c r="BK711" s="530"/>
      <c r="BL711" s="530"/>
      <c r="BM711" s="530"/>
      <c r="BN711" s="529"/>
      <c r="BO711" s="530"/>
      <c r="BP711" s="530"/>
      <c r="BQ711" s="530"/>
      <c r="BR711" s="530"/>
      <c r="BS711" s="529"/>
      <c r="BT711" s="529"/>
      <c r="BU711" s="529"/>
      <c r="BV711" s="529"/>
      <c r="BW711" s="161"/>
    </row>
    <row r="712" spans="1:75" s="162" customFormat="1" ht="14.25" collapsed="1" x14ac:dyDescent="0.45">
      <c r="A712" s="178"/>
      <c r="B712" s="179"/>
      <c r="C712" s="180"/>
      <c r="D712" s="180"/>
      <c r="E712" s="180"/>
      <c r="F712" s="180"/>
      <c r="G712" s="181"/>
      <c r="H712" s="181"/>
      <c r="I712" s="181"/>
      <c r="J712" s="181"/>
      <c r="K712" s="180"/>
      <c r="L712" s="181"/>
      <c r="M712" s="181"/>
      <c r="N712" s="181"/>
      <c r="O712" s="181"/>
      <c r="P712" s="180"/>
      <c r="Q712" s="181"/>
      <c r="R712" s="181"/>
      <c r="S712" s="181"/>
      <c r="T712" s="181"/>
      <c r="U712" s="180"/>
      <c r="V712" s="181"/>
      <c r="W712" s="181"/>
      <c r="X712" s="181"/>
      <c r="Y712" s="181"/>
      <c r="Z712" s="180"/>
      <c r="AA712" s="181"/>
      <c r="AB712" s="181"/>
      <c r="AC712" s="181"/>
      <c r="AD712" s="181"/>
      <c r="AE712" s="180"/>
      <c r="AF712" s="181"/>
      <c r="AG712" s="181"/>
      <c r="AH712" s="181"/>
      <c r="AI712" s="181"/>
      <c r="AJ712" s="180"/>
      <c r="AK712" s="181"/>
      <c r="AL712" s="181"/>
      <c r="AM712" s="181"/>
      <c r="AN712" s="181"/>
      <c r="AO712" s="180"/>
      <c r="AP712" s="181"/>
      <c r="AQ712" s="181"/>
      <c r="AR712" s="181"/>
      <c r="AS712" s="181"/>
      <c r="AT712" s="180"/>
      <c r="AU712" s="181"/>
      <c r="AV712" s="181"/>
      <c r="AW712" s="181"/>
      <c r="AX712" s="181"/>
      <c r="AY712" s="180"/>
      <c r="AZ712" s="181"/>
      <c r="BA712" s="181"/>
      <c r="BB712" s="181"/>
      <c r="BC712" s="181"/>
      <c r="BD712" s="180"/>
      <c r="BE712" s="181"/>
      <c r="BF712" s="181"/>
      <c r="BG712" s="181"/>
      <c r="BH712" s="181"/>
      <c r="BI712" s="182"/>
      <c r="BJ712" s="183"/>
      <c r="BK712" s="183"/>
      <c r="BL712" s="183"/>
      <c r="BM712" s="183"/>
      <c r="BN712" s="180"/>
      <c r="BO712" s="183"/>
      <c r="BP712" s="183"/>
      <c r="BQ712" s="183"/>
      <c r="BR712" s="183"/>
      <c r="BS712" s="180"/>
      <c r="BT712" s="180"/>
      <c r="BU712" s="180"/>
      <c r="BV712" s="180"/>
      <c r="BW712" s="161"/>
    </row>
    <row r="713" spans="1:75" s="217" customFormat="1" x14ac:dyDescent="0.5">
      <c r="A713" s="511" t="s">
        <v>807</v>
      </c>
      <c r="B713" s="511"/>
      <c r="C713" s="511"/>
      <c r="D713" s="511"/>
      <c r="E713" s="511"/>
      <c r="F713" s="511"/>
      <c r="G713" s="511"/>
      <c r="H713" s="511"/>
      <c r="I713" s="511"/>
      <c r="J713" s="511"/>
      <c r="K713" s="511"/>
      <c r="L713" s="511"/>
      <c r="M713" s="511"/>
      <c r="N713" s="511"/>
      <c r="O713" s="511"/>
      <c r="P713" s="511"/>
      <c r="Q713" s="511"/>
      <c r="R713" s="511"/>
      <c r="S713" s="511"/>
      <c r="T713" s="511"/>
      <c r="U713" s="511"/>
      <c r="V713" s="511"/>
      <c r="W713" s="511"/>
      <c r="X713" s="511"/>
      <c r="Y713" s="511"/>
      <c r="Z713" s="511"/>
      <c r="AA713" s="511"/>
      <c r="AB713" s="511"/>
      <c r="AC713" s="511"/>
      <c r="AD713" s="511"/>
      <c r="AE713" s="511"/>
      <c r="AF713" s="511"/>
      <c r="AG713" s="511"/>
      <c r="AH713" s="511"/>
      <c r="AI713" s="511"/>
      <c r="AJ713" s="511"/>
      <c r="AK713" s="511"/>
      <c r="AL713" s="511"/>
      <c r="AM713" s="511"/>
      <c r="AN713" s="511"/>
      <c r="AO713" s="511"/>
      <c r="AP713" s="511"/>
      <c r="AQ713" s="511"/>
      <c r="AR713" s="511"/>
      <c r="AS713" s="511"/>
      <c r="AT713" s="511"/>
      <c r="AU713" s="511"/>
      <c r="AV713" s="511"/>
      <c r="AW713" s="511"/>
      <c r="AX713" s="511"/>
      <c r="AY713" s="511"/>
      <c r="AZ713" s="511"/>
      <c r="BA713" s="511"/>
      <c r="BB713" s="511"/>
      <c r="BC713" s="511"/>
      <c r="BD713" s="511"/>
      <c r="BE713" s="511"/>
      <c r="BF713" s="511"/>
      <c r="BG713" s="511"/>
      <c r="BH713" s="511"/>
      <c r="BI713" s="512"/>
      <c r="BJ713" s="511"/>
      <c r="BK713" s="511"/>
      <c r="BL713" s="511"/>
      <c r="BM713" s="511"/>
      <c r="BN713" s="511"/>
      <c r="BO713" s="511"/>
      <c r="BP713" s="511"/>
      <c r="BQ713" s="511"/>
      <c r="BR713" s="511"/>
      <c r="BS713" s="511"/>
      <c r="BT713" s="511"/>
      <c r="BU713" s="511"/>
      <c r="BV713" s="511"/>
      <c r="BW713" s="216"/>
    </row>
    <row r="714" spans="1:75" s="198" customFormat="1" ht="14.25" hidden="1" outlineLevel="1" x14ac:dyDescent="0.45">
      <c r="A714" s="239" t="s">
        <v>808</v>
      </c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  <c r="AC714" s="239"/>
      <c r="AD714" s="239"/>
      <c r="AE714" s="239"/>
      <c r="AF714" s="240"/>
      <c r="AG714" s="240"/>
      <c r="AH714" s="240"/>
      <c r="AI714" s="239"/>
      <c r="AJ714" s="239"/>
      <c r="AK714" s="239"/>
      <c r="AL714" s="239"/>
      <c r="AM714" s="239"/>
      <c r="AN714" s="239"/>
      <c r="AO714" s="239"/>
      <c r="AP714" s="239"/>
      <c r="AQ714" s="239"/>
      <c r="AR714" s="239"/>
      <c r="AS714" s="239"/>
      <c r="AT714" s="239"/>
      <c r="AU714" s="239"/>
      <c r="AV714" s="239"/>
      <c r="AW714" s="239"/>
      <c r="AX714" s="239"/>
      <c r="AY714" s="239"/>
      <c r="AZ714" s="239"/>
      <c r="BA714" s="239"/>
      <c r="BB714" s="239"/>
      <c r="BC714" s="239"/>
      <c r="BD714" s="239"/>
      <c r="BE714" s="239"/>
      <c r="BF714" s="239"/>
      <c r="BG714" s="239"/>
      <c r="BH714" s="239"/>
      <c r="BI714" s="241"/>
      <c r="BJ714" s="239"/>
      <c r="BK714" s="239"/>
      <c r="BL714" s="239"/>
      <c r="BM714" s="239"/>
      <c r="BN714" s="239"/>
      <c r="BO714" s="239"/>
      <c r="BP714" s="239"/>
      <c r="BQ714" s="239"/>
      <c r="BR714" s="239"/>
      <c r="BS714" s="239"/>
      <c r="BT714" s="239"/>
      <c r="BU714" s="239"/>
      <c r="BV714" s="239"/>
      <c r="BW714" s="197"/>
    </row>
    <row r="715" spans="1:75" s="198" customFormat="1" ht="14.25" hidden="1" outlineLevel="2" x14ac:dyDescent="0.45">
      <c r="A715" s="242" t="s">
        <v>809</v>
      </c>
      <c r="B715" s="243"/>
      <c r="C715" s="532">
        <v>99</v>
      </c>
      <c r="D715" s="246">
        <v>95</v>
      </c>
      <c r="E715" s="246">
        <v>91</v>
      </c>
      <c r="F715" s="246">
        <v>74</v>
      </c>
      <c r="G715" s="288">
        <v>71</v>
      </c>
      <c r="H715" s="288">
        <v>70</v>
      </c>
      <c r="I715" s="288">
        <v>70</v>
      </c>
      <c r="J715" s="288">
        <v>70</v>
      </c>
      <c r="K715" s="246">
        <v>71</v>
      </c>
      <c r="L715" s="288">
        <v>70</v>
      </c>
      <c r="M715" s="288">
        <v>69</v>
      </c>
      <c r="N715" s="288">
        <v>68</v>
      </c>
      <c r="O715" s="288">
        <v>68</v>
      </c>
      <c r="P715" s="246">
        <v>70</v>
      </c>
      <c r="Q715" s="288">
        <v>67</v>
      </c>
      <c r="R715" s="288">
        <v>67</v>
      </c>
      <c r="S715" s="288">
        <v>67</v>
      </c>
      <c r="T715" s="288">
        <v>68</v>
      </c>
      <c r="U715" s="246">
        <v>67</v>
      </c>
      <c r="V715" s="288">
        <v>69</v>
      </c>
      <c r="W715" s="288">
        <v>69</v>
      </c>
      <c r="X715" s="288">
        <v>84</v>
      </c>
      <c r="Y715" s="168">
        <v>85</v>
      </c>
      <c r="Z715" s="246">
        <v>69</v>
      </c>
      <c r="AA715" s="168">
        <v>85</v>
      </c>
      <c r="AB715" s="168">
        <v>85</v>
      </c>
      <c r="AC715" s="288">
        <v>85</v>
      </c>
      <c r="AD715" s="168">
        <v>84</v>
      </c>
      <c r="AE715" s="246">
        <v>85</v>
      </c>
      <c r="AF715" s="168">
        <v>83</v>
      </c>
      <c r="AG715" s="168">
        <v>84</v>
      </c>
      <c r="AH715" s="288">
        <v>85</v>
      </c>
      <c r="AI715" s="168">
        <v>86</v>
      </c>
      <c r="AJ715" s="246">
        <v>83</v>
      </c>
      <c r="AK715" s="168">
        <v>86</v>
      </c>
      <c r="AL715" s="168">
        <v>85</v>
      </c>
      <c r="AM715" s="288">
        <v>85</v>
      </c>
      <c r="AN715" s="168">
        <v>85</v>
      </c>
      <c r="AO715" s="246">
        <v>86</v>
      </c>
      <c r="AP715" s="168">
        <v>83</v>
      </c>
      <c r="AQ715" s="168">
        <v>84</v>
      </c>
      <c r="AR715" s="289">
        <v>83</v>
      </c>
      <c r="AS715" s="168">
        <v>82</v>
      </c>
      <c r="AT715" s="246">
        <v>83</v>
      </c>
      <c r="AU715" s="168">
        <v>82</v>
      </c>
      <c r="AV715" s="168">
        <v>82</v>
      </c>
      <c r="AW715" s="289">
        <v>80</v>
      </c>
      <c r="AX715" s="168">
        <v>80</v>
      </c>
      <c r="AY715" s="246">
        <v>82</v>
      </c>
      <c r="AZ715" s="168">
        <v>81</v>
      </c>
      <c r="BA715" s="168">
        <v>81</v>
      </c>
      <c r="BB715" s="289">
        <v>81</v>
      </c>
      <c r="BC715" s="168">
        <v>81</v>
      </c>
      <c r="BD715" s="246">
        <v>81</v>
      </c>
      <c r="BE715" s="168">
        <v>81</v>
      </c>
      <c r="BF715" s="168">
        <v>81</v>
      </c>
      <c r="BG715" s="289">
        <v>82</v>
      </c>
      <c r="BH715" s="168">
        <v>82</v>
      </c>
      <c r="BI715" s="290">
        <v>81</v>
      </c>
      <c r="BJ715" s="247">
        <v>84</v>
      </c>
      <c r="BK715" s="247">
        <v>86</v>
      </c>
      <c r="BL715" s="247">
        <v>88</v>
      </c>
      <c r="BM715" s="247">
        <v>90</v>
      </c>
      <c r="BN715" s="244">
        <v>84</v>
      </c>
      <c r="BO715" s="247">
        <v>91</v>
      </c>
      <c r="BP715" s="247">
        <v>92</v>
      </c>
      <c r="BQ715" s="247">
        <v>93</v>
      </c>
      <c r="BR715" s="247">
        <v>94</v>
      </c>
      <c r="BS715" s="244">
        <v>91</v>
      </c>
      <c r="BT715" s="244">
        <v>94</v>
      </c>
      <c r="BU715" s="244">
        <v>95</v>
      </c>
      <c r="BV715" s="244">
        <v>95</v>
      </c>
      <c r="BW715" s="197"/>
    </row>
    <row r="716" spans="1:75" s="123" customFormat="1" hidden="1" outlineLevel="2" x14ac:dyDescent="0.5">
      <c r="A716" s="533" t="s">
        <v>810</v>
      </c>
      <c r="B716" s="251"/>
      <c r="C716" s="259">
        <v>0</v>
      </c>
      <c r="D716" s="259">
        <v>4</v>
      </c>
      <c r="E716" s="259">
        <v>5</v>
      </c>
      <c r="F716" s="259">
        <v>5</v>
      </c>
      <c r="G716" s="263">
        <v>2</v>
      </c>
      <c r="H716" s="263">
        <v>0</v>
      </c>
      <c r="I716" s="263">
        <v>0</v>
      </c>
      <c r="J716" s="350">
        <v>0</v>
      </c>
      <c r="K716" s="259">
        <v>2</v>
      </c>
      <c r="L716" s="350">
        <v>0</v>
      </c>
      <c r="M716" s="350">
        <v>1</v>
      </c>
      <c r="N716" s="350">
        <v>1</v>
      </c>
      <c r="O716" s="350">
        <v>1</v>
      </c>
      <c r="P716" s="534">
        <v>3</v>
      </c>
      <c r="Q716" s="350">
        <v>1</v>
      </c>
      <c r="R716" s="350">
        <v>0</v>
      </c>
      <c r="S716" s="350">
        <v>4</v>
      </c>
      <c r="T716" s="350">
        <v>3</v>
      </c>
      <c r="U716" s="534">
        <v>8</v>
      </c>
      <c r="V716" s="350">
        <v>0</v>
      </c>
      <c r="W716" s="350">
        <v>0</v>
      </c>
      <c r="X716" s="350">
        <v>4</v>
      </c>
      <c r="Y716" s="223">
        <v>2</v>
      </c>
      <c r="Z716" s="534">
        <v>6</v>
      </c>
      <c r="AA716" s="223">
        <v>0</v>
      </c>
      <c r="AB716" s="223">
        <v>1</v>
      </c>
      <c r="AC716" s="350">
        <v>1</v>
      </c>
      <c r="AD716" s="223">
        <v>1</v>
      </c>
      <c r="AE716" s="534">
        <v>3</v>
      </c>
      <c r="AF716" s="223">
        <v>3</v>
      </c>
      <c r="AG716" s="223">
        <v>3</v>
      </c>
      <c r="AH716" s="350">
        <v>2</v>
      </c>
      <c r="AI716" s="223">
        <v>0</v>
      </c>
      <c r="AJ716" s="534">
        <v>8</v>
      </c>
      <c r="AK716" s="223">
        <v>0</v>
      </c>
      <c r="AL716" s="223">
        <v>0</v>
      </c>
      <c r="AM716" s="350">
        <v>1</v>
      </c>
      <c r="AN716" s="223">
        <v>1</v>
      </c>
      <c r="AO716" s="534">
        <v>2</v>
      </c>
      <c r="AP716" s="223">
        <v>1</v>
      </c>
      <c r="AQ716" s="223">
        <v>2</v>
      </c>
      <c r="AR716" s="535">
        <v>0</v>
      </c>
      <c r="AS716" s="223">
        <v>0</v>
      </c>
      <c r="AT716" s="534">
        <v>3</v>
      </c>
      <c r="AU716" s="254">
        <v>0</v>
      </c>
      <c r="AV716" s="223">
        <v>1</v>
      </c>
      <c r="AW716" s="535">
        <v>1</v>
      </c>
      <c r="AX716" s="223">
        <v>1</v>
      </c>
      <c r="AY716" s="534">
        <v>3</v>
      </c>
      <c r="AZ716" s="254">
        <v>0</v>
      </c>
      <c r="BA716" s="223">
        <v>1</v>
      </c>
      <c r="BB716" s="535">
        <v>0</v>
      </c>
      <c r="BC716" s="223">
        <v>0</v>
      </c>
      <c r="BD716" s="534">
        <v>1</v>
      </c>
      <c r="BE716" s="254">
        <v>1</v>
      </c>
      <c r="BF716" s="223">
        <v>1</v>
      </c>
      <c r="BG716" s="535">
        <v>0</v>
      </c>
      <c r="BH716" s="223">
        <v>3</v>
      </c>
      <c r="BI716" s="536">
        <v>5</v>
      </c>
      <c r="BJ716" s="254">
        <v>2</v>
      </c>
      <c r="BK716" s="254">
        <v>2</v>
      </c>
      <c r="BL716" s="254">
        <v>2</v>
      </c>
      <c r="BM716" s="254">
        <v>1</v>
      </c>
      <c r="BN716" s="252">
        <v>7</v>
      </c>
      <c r="BO716" s="254">
        <v>1</v>
      </c>
      <c r="BP716" s="254">
        <v>1</v>
      </c>
      <c r="BQ716" s="254">
        <v>1</v>
      </c>
      <c r="BR716" s="254">
        <v>0</v>
      </c>
      <c r="BS716" s="252">
        <v>3</v>
      </c>
      <c r="BT716" s="252">
        <v>1</v>
      </c>
      <c r="BU716" s="252">
        <v>0</v>
      </c>
      <c r="BV716" s="252">
        <v>0</v>
      </c>
      <c r="BW716" s="122"/>
    </row>
    <row r="717" spans="1:75" s="123" customFormat="1" hidden="1" outlineLevel="2" x14ac:dyDescent="0.5">
      <c r="A717" s="533" t="s">
        <v>811</v>
      </c>
      <c r="B717" s="251"/>
      <c r="C717" s="259">
        <v>0</v>
      </c>
      <c r="D717" s="259">
        <v>0</v>
      </c>
      <c r="E717" s="259">
        <v>0</v>
      </c>
      <c r="F717" s="259">
        <v>0</v>
      </c>
      <c r="G717" s="263">
        <v>0</v>
      </c>
      <c r="H717" s="263">
        <v>0</v>
      </c>
      <c r="I717" s="263">
        <v>0</v>
      </c>
      <c r="J717" s="350">
        <v>0</v>
      </c>
      <c r="K717" s="259">
        <v>0</v>
      </c>
      <c r="L717" s="350">
        <v>0</v>
      </c>
      <c r="M717" s="350">
        <v>0</v>
      </c>
      <c r="N717" s="350">
        <v>0</v>
      </c>
      <c r="O717" s="350">
        <v>0</v>
      </c>
      <c r="P717" s="534">
        <v>0</v>
      </c>
      <c r="Q717" s="350">
        <v>0</v>
      </c>
      <c r="R717" s="350">
        <v>0</v>
      </c>
      <c r="S717" s="350">
        <v>0</v>
      </c>
      <c r="T717" s="350">
        <v>0</v>
      </c>
      <c r="U717" s="534">
        <v>0</v>
      </c>
      <c r="V717" s="350">
        <v>0</v>
      </c>
      <c r="W717" s="350">
        <v>15</v>
      </c>
      <c r="X717" s="350">
        <v>0</v>
      </c>
      <c r="Y717" s="223">
        <v>0</v>
      </c>
      <c r="Z717" s="534">
        <v>15</v>
      </c>
      <c r="AA717" s="223">
        <v>0</v>
      </c>
      <c r="AB717" s="223">
        <v>0</v>
      </c>
      <c r="AC717" s="350">
        <v>0</v>
      </c>
      <c r="AD717" s="223">
        <v>0</v>
      </c>
      <c r="AE717" s="534">
        <v>0</v>
      </c>
      <c r="AF717" s="223">
        <v>0</v>
      </c>
      <c r="AG717" s="223">
        <v>0</v>
      </c>
      <c r="AH717" s="350">
        <v>0</v>
      </c>
      <c r="AI717" s="223">
        <v>0</v>
      </c>
      <c r="AJ717" s="534">
        <v>0</v>
      </c>
      <c r="AK717" s="223">
        <v>0</v>
      </c>
      <c r="AL717" s="223">
        <v>0</v>
      </c>
      <c r="AM717" s="350">
        <v>0</v>
      </c>
      <c r="AN717" s="223">
        <v>0</v>
      </c>
      <c r="AO717" s="534">
        <v>0</v>
      </c>
      <c r="AP717" s="223">
        <v>0</v>
      </c>
      <c r="AQ717" s="223">
        <v>0</v>
      </c>
      <c r="AR717" s="535">
        <v>0</v>
      </c>
      <c r="AS717" s="223">
        <v>0</v>
      </c>
      <c r="AT717" s="534">
        <v>0</v>
      </c>
      <c r="AU717" s="254">
        <v>0</v>
      </c>
      <c r="AV717" s="223">
        <v>0</v>
      </c>
      <c r="AW717" s="535">
        <v>0</v>
      </c>
      <c r="AX717" s="223">
        <v>0</v>
      </c>
      <c r="AY717" s="534">
        <v>0</v>
      </c>
      <c r="AZ717" s="254">
        <v>0</v>
      </c>
      <c r="BA717" s="223">
        <v>0</v>
      </c>
      <c r="BB717" s="535">
        <v>0</v>
      </c>
      <c r="BC717" s="223">
        <v>0</v>
      </c>
      <c r="BD717" s="534">
        <v>0</v>
      </c>
      <c r="BE717" s="254">
        <v>0</v>
      </c>
      <c r="BF717" s="223">
        <v>0</v>
      </c>
      <c r="BG717" s="535">
        <v>0</v>
      </c>
      <c r="BH717" s="223">
        <v>0</v>
      </c>
      <c r="BI717" s="536">
        <v>0</v>
      </c>
      <c r="BJ717" s="254">
        <v>0</v>
      </c>
      <c r="BK717" s="254">
        <v>0</v>
      </c>
      <c r="BL717" s="254">
        <v>0</v>
      </c>
      <c r="BM717" s="254">
        <v>0</v>
      </c>
      <c r="BN717" s="252">
        <v>0</v>
      </c>
      <c r="BO717" s="254">
        <v>0</v>
      </c>
      <c r="BP717" s="254">
        <v>0</v>
      </c>
      <c r="BQ717" s="254">
        <v>0</v>
      </c>
      <c r="BR717" s="254">
        <v>0</v>
      </c>
      <c r="BS717" s="252">
        <v>0</v>
      </c>
      <c r="BT717" s="252">
        <v>0</v>
      </c>
      <c r="BU717" s="252">
        <v>0</v>
      </c>
      <c r="BV717" s="252">
        <v>0</v>
      </c>
      <c r="BW717" s="122"/>
    </row>
    <row r="718" spans="1:75" s="123" customFormat="1" hidden="1" outlineLevel="2" x14ac:dyDescent="0.5">
      <c r="A718" s="533" t="s">
        <v>812</v>
      </c>
      <c r="B718" s="251"/>
      <c r="C718" s="259">
        <v>-4</v>
      </c>
      <c r="D718" s="259">
        <v>-8</v>
      </c>
      <c r="E718" s="259">
        <v>-22</v>
      </c>
      <c r="F718" s="259">
        <v>-8</v>
      </c>
      <c r="G718" s="263">
        <v>-3</v>
      </c>
      <c r="H718" s="263">
        <v>0</v>
      </c>
      <c r="I718" s="263">
        <v>0</v>
      </c>
      <c r="J718" s="350">
        <v>0</v>
      </c>
      <c r="K718" s="259">
        <v>-3</v>
      </c>
      <c r="L718" s="350">
        <v>-1</v>
      </c>
      <c r="M718" s="350">
        <v>-2</v>
      </c>
      <c r="N718" s="350">
        <v>-1</v>
      </c>
      <c r="O718" s="350">
        <v>-2</v>
      </c>
      <c r="P718" s="534">
        <v>-6</v>
      </c>
      <c r="Q718" s="350">
        <v>-1</v>
      </c>
      <c r="R718" s="350">
        <v>0</v>
      </c>
      <c r="S718" s="350">
        <v>-3</v>
      </c>
      <c r="T718" s="350">
        <v>-2</v>
      </c>
      <c r="U718" s="534">
        <v>-6</v>
      </c>
      <c r="V718" s="350">
        <v>0</v>
      </c>
      <c r="W718" s="350">
        <v>0</v>
      </c>
      <c r="X718" s="350">
        <v>-3</v>
      </c>
      <c r="Y718" s="223">
        <v>-2</v>
      </c>
      <c r="Z718" s="534">
        <v>-5</v>
      </c>
      <c r="AA718" s="223">
        <v>0</v>
      </c>
      <c r="AB718" s="223">
        <v>-1</v>
      </c>
      <c r="AC718" s="350">
        <v>-2</v>
      </c>
      <c r="AD718" s="223">
        <v>-2</v>
      </c>
      <c r="AE718" s="534">
        <v>-5</v>
      </c>
      <c r="AF718" s="223">
        <v>-2</v>
      </c>
      <c r="AG718" s="223">
        <v>-2</v>
      </c>
      <c r="AH718" s="350">
        <v>-1</v>
      </c>
      <c r="AI718" s="223">
        <v>0</v>
      </c>
      <c r="AJ718" s="534">
        <v>-5</v>
      </c>
      <c r="AK718" s="223">
        <v>-1</v>
      </c>
      <c r="AL718" s="223">
        <v>0</v>
      </c>
      <c r="AM718" s="350">
        <v>-1</v>
      </c>
      <c r="AN718" s="223">
        <v>-3</v>
      </c>
      <c r="AO718" s="534">
        <v>-5</v>
      </c>
      <c r="AP718" s="223">
        <v>0</v>
      </c>
      <c r="AQ718" s="223">
        <v>-3</v>
      </c>
      <c r="AR718" s="535">
        <v>-1</v>
      </c>
      <c r="AS718" s="223">
        <v>0</v>
      </c>
      <c r="AT718" s="534">
        <v>-4</v>
      </c>
      <c r="AU718" s="254">
        <v>0</v>
      </c>
      <c r="AV718" s="223">
        <v>-3</v>
      </c>
      <c r="AW718" s="535">
        <v>-1</v>
      </c>
      <c r="AX718" s="223">
        <v>0</v>
      </c>
      <c r="AY718" s="534">
        <v>-4</v>
      </c>
      <c r="AZ718" s="254">
        <v>0</v>
      </c>
      <c r="BA718" s="223">
        <v>-1</v>
      </c>
      <c r="BB718" s="535">
        <v>0</v>
      </c>
      <c r="BC718" s="223">
        <v>0</v>
      </c>
      <c r="BD718" s="534">
        <v>-1</v>
      </c>
      <c r="BE718" s="254">
        <v>-1</v>
      </c>
      <c r="BF718" s="223">
        <v>0</v>
      </c>
      <c r="BG718" s="535">
        <v>0</v>
      </c>
      <c r="BH718" s="223">
        <v>-1</v>
      </c>
      <c r="BI718" s="536">
        <v>-2</v>
      </c>
      <c r="BJ718" s="254">
        <v>0</v>
      </c>
      <c r="BK718" s="254">
        <v>0</v>
      </c>
      <c r="BL718" s="254">
        <v>0</v>
      </c>
      <c r="BM718" s="254">
        <v>0</v>
      </c>
      <c r="BN718" s="252">
        <v>0</v>
      </c>
      <c r="BO718" s="254">
        <v>0</v>
      </c>
      <c r="BP718" s="254">
        <v>0</v>
      </c>
      <c r="BQ718" s="254">
        <v>0</v>
      </c>
      <c r="BR718" s="254">
        <v>0</v>
      </c>
      <c r="BS718" s="252">
        <v>0</v>
      </c>
      <c r="BT718" s="252">
        <v>0</v>
      </c>
      <c r="BU718" s="252">
        <v>0</v>
      </c>
      <c r="BV718" s="252">
        <v>0</v>
      </c>
      <c r="BW718" s="122"/>
    </row>
    <row r="719" spans="1:75" s="198" customFormat="1" ht="14.25" hidden="1" outlineLevel="2" x14ac:dyDescent="0.45">
      <c r="A719" s="537" t="s">
        <v>178</v>
      </c>
      <c r="B719" s="277"/>
      <c r="C719" s="278">
        <v>95</v>
      </c>
      <c r="D719" s="282">
        <v>91</v>
      </c>
      <c r="E719" s="282">
        <v>74</v>
      </c>
      <c r="F719" s="282">
        <v>71</v>
      </c>
      <c r="G719" s="281">
        <v>70</v>
      </c>
      <c r="H719" s="281">
        <v>70</v>
      </c>
      <c r="I719" s="281">
        <v>70</v>
      </c>
      <c r="J719" s="281">
        <v>70</v>
      </c>
      <c r="K719" s="282">
        <v>70</v>
      </c>
      <c r="L719" s="281">
        <v>69</v>
      </c>
      <c r="M719" s="281">
        <v>68</v>
      </c>
      <c r="N719" s="281">
        <v>68</v>
      </c>
      <c r="O719" s="281">
        <v>67</v>
      </c>
      <c r="P719" s="282">
        <v>67</v>
      </c>
      <c r="Q719" s="281">
        <v>67</v>
      </c>
      <c r="R719" s="281">
        <v>67</v>
      </c>
      <c r="S719" s="281">
        <v>68</v>
      </c>
      <c r="T719" s="281">
        <v>69</v>
      </c>
      <c r="U719" s="282">
        <v>69</v>
      </c>
      <c r="V719" s="281">
        <v>69</v>
      </c>
      <c r="W719" s="281">
        <v>84</v>
      </c>
      <c r="X719" s="281">
        <v>85</v>
      </c>
      <c r="Y719" s="284">
        <v>85</v>
      </c>
      <c r="Z719" s="282">
        <v>85</v>
      </c>
      <c r="AA719" s="284">
        <v>85</v>
      </c>
      <c r="AB719" s="284">
        <v>85</v>
      </c>
      <c r="AC719" s="281">
        <v>84</v>
      </c>
      <c r="AD719" s="284">
        <v>83</v>
      </c>
      <c r="AE719" s="282">
        <v>83</v>
      </c>
      <c r="AF719" s="284">
        <v>84</v>
      </c>
      <c r="AG719" s="284">
        <v>85</v>
      </c>
      <c r="AH719" s="281">
        <v>86</v>
      </c>
      <c r="AI719" s="284">
        <v>86</v>
      </c>
      <c r="AJ719" s="282">
        <v>86</v>
      </c>
      <c r="AK719" s="284">
        <v>85</v>
      </c>
      <c r="AL719" s="284">
        <v>85</v>
      </c>
      <c r="AM719" s="281">
        <v>85</v>
      </c>
      <c r="AN719" s="284">
        <v>83</v>
      </c>
      <c r="AO719" s="282">
        <v>83</v>
      </c>
      <c r="AP719" s="284">
        <v>84</v>
      </c>
      <c r="AQ719" s="284">
        <v>83</v>
      </c>
      <c r="AR719" s="285">
        <v>82</v>
      </c>
      <c r="AS719" s="284">
        <v>82</v>
      </c>
      <c r="AT719" s="282">
        <v>82</v>
      </c>
      <c r="AU719" s="284">
        <v>82</v>
      </c>
      <c r="AV719" s="284">
        <v>80</v>
      </c>
      <c r="AW719" s="285">
        <v>80</v>
      </c>
      <c r="AX719" s="284">
        <v>81</v>
      </c>
      <c r="AY719" s="282">
        <v>81</v>
      </c>
      <c r="AZ719" s="284">
        <v>81</v>
      </c>
      <c r="BA719" s="284">
        <v>81</v>
      </c>
      <c r="BB719" s="285">
        <v>81</v>
      </c>
      <c r="BC719" s="284">
        <v>81</v>
      </c>
      <c r="BD719" s="282">
        <v>81</v>
      </c>
      <c r="BE719" s="284">
        <v>81</v>
      </c>
      <c r="BF719" s="284">
        <v>82</v>
      </c>
      <c r="BG719" s="285">
        <v>82</v>
      </c>
      <c r="BH719" s="284">
        <v>84</v>
      </c>
      <c r="BI719" s="286">
        <v>84</v>
      </c>
      <c r="BJ719" s="287">
        <v>86</v>
      </c>
      <c r="BK719" s="287">
        <v>88</v>
      </c>
      <c r="BL719" s="287">
        <v>90</v>
      </c>
      <c r="BM719" s="287">
        <v>91</v>
      </c>
      <c r="BN719" s="278">
        <v>91</v>
      </c>
      <c r="BO719" s="287">
        <v>92</v>
      </c>
      <c r="BP719" s="287">
        <v>93</v>
      </c>
      <c r="BQ719" s="287">
        <v>94</v>
      </c>
      <c r="BR719" s="287">
        <v>94</v>
      </c>
      <c r="BS719" s="278">
        <v>94</v>
      </c>
      <c r="BT719" s="278">
        <v>95</v>
      </c>
      <c r="BU719" s="278">
        <v>95</v>
      </c>
      <c r="BV719" s="278">
        <v>95</v>
      </c>
      <c r="BW719" s="197"/>
    </row>
    <row r="720" spans="1:75" s="198" customFormat="1" ht="14.25" hidden="1" outlineLevel="2" x14ac:dyDescent="0.45">
      <c r="A720" s="168" t="s">
        <v>813</v>
      </c>
      <c r="B720" s="243"/>
      <c r="C720" s="244">
        <v>97</v>
      </c>
      <c r="D720" s="246">
        <v>93</v>
      </c>
      <c r="E720" s="246">
        <v>82.5</v>
      </c>
      <c r="F720" s="246">
        <v>72.5</v>
      </c>
      <c r="G720" s="288">
        <v>70.5</v>
      </c>
      <c r="H720" s="288">
        <v>70</v>
      </c>
      <c r="I720" s="288">
        <v>70</v>
      </c>
      <c r="J720" s="288">
        <v>70</v>
      </c>
      <c r="K720" s="246">
        <v>70.125</v>
      </c>
      <c r="L720" s="288">
        <v>69.5</v>
      </c>
      <c r="M720" s="288">
        <v>68.5</v>
      </c>
      <c r="N720" s="288">
        <v>68</v>
      </c>
      <c r="O720" s="288">
        <v>67.5</v>
      </c>
      <c r="P720" s="246">
        <v>68.375</v>
      </c>
      <c r="Q720" s="288">
        <v>67</v>
      </c>
      <c r="R720" s="288">
        <v>67</v>
      </c>
      <c r="S720" s="288">
        <v>67.5</v>
      </c>
      <c r="T720" s="288">
        <v>68.5</v>
      </c>
      <c r="U720" s="246">
        <v>67.5</v>
      </c>
      <c r="V720" s="288">
        <v>69</v>
      </c>
      <c r="W720" s="288">
        <v>76.5</v>
      </c>
      <c r="X720" s="288">
        <v>84.5</v>
      </c>
      <c r="Y720" s="168">
        <v>85</v>
      </c>
      <c r="Z720" s="246">
        <v>78.75</v>
      </c>
      <c r="AA720" s="168">
        <v>85</v>
      </c>
      <c r="AB720" s="168">
        <v>85</v>
      </c>
      <c r="AC720" s="288">
        <v>84.5</v>
      </c>
      <c r="AD720" s="168">
        <v>83.5</v>
      </c>
      <c r="AE720" s="246">
        <v>84.481132075471692</v>
      </c>
      <c r="AF720" s="168">
        <v>83.5</v>
      </c>
      <c r="AG720" s="168">
        <v>84.5</v>
      </c>
      <c r="AH720" s="288">
        <v>85.5</v>
      </c>
      <c r="AI720" s="168">
        <v>86</v>
      </c>
      <c r="AJ720" s="246">
        <v>84.875</v>
      </c>
      <c r="AK720" s="168">
        <v>85.5</v>
      </c>
      <c r="AL720" s="168">
        <v>85</v>
      </c>
      <c r="AM720" s="288">
        <v>85</v>
      </c>
      <c r="AN720" s="168">
        <v>84</v>
      </c>
      <c r="AO720" s="246">
        <v>84.875</v>
      </c>
      <c r="AP720" s="168">
        <v>83.5</v>
      </c>
      <c r="AQ720" s="168">
        <v>83.5</v>
      </c>
      <c r="AR720" s="289">
        <v>82.5</v>
      </c>
      <c r="AS720" s="168">
        <v>82</v>
      </c>
      <c r="AT720" s="246">
        <v>82.875</v>
      </c>
      <c r="AU720" s="168">
        <v>82</v>
      </c>
      <c r="AV720" s="168">
        <v>81</v>
      </c>
      <c r="AW720" s="289">
        <v>80</v>
      </c>
      <c r="AX720" s="168">
        <v>80.5</v>
      </c>
      <c r="AY720" s="246">
        <v>80.875</v>
      </c>
      <c r="AZ720" s="168">
        <v>81</v>
      </c>
      <c r="BA720" s="168">
        <v>81</v>
      </c>
      <c r="BB720" s="289">
        <v>81</v>
      </c>
      <c r="BC720" s="168">
        <v>81</v>
      </c>
      <c r="BD720" s="246">
        <v>81</v>
      </c>
      <c r="BE720" s="168">
        <v>81</v>
      </c>
      <c r="BF720" s="168">
        <v>81.5</v>
      </c>
      <c r="BG720" s="289">
        <v>82</v>
      </c>
      <c r="BH720" s="168">
        <v>83</v>
      </c>
      <c r="BI720" s="290">
        <v>81.896226415094333</v>
      </c>
      <c r="BJ720" s="247">
        <v>85</v>
      </c>
      <c r="BK720" s="247">
        <v>87</v>
      </c>
      <c r="BL720" s="247">
        <v>89</v>
      </c>
      <c r="BM720" s="247">
        <v>90.5</v>
      </c>
      <c r="BN720" s="244">
        <v>87.875</v>
      </c>
      <c r="BO720" s="247">
        <v>91.5</v>
      </c>
      <c r="BP720" s="247">
        <v>92.5</v>
      </c>
      <c r="BQ720" s="247">
        <v>93.5</v>
      </c>
      <c r="BR720" s="247">
        <v>94</v>
      </c>
      <c r="BS720" s="244">
        <v>92.875</v>
      </c>
      <c r="BT720" s="244">
        <v>94.5</v>
      </c>
      <c r="BU720" s="244">
        <v>95</v>
      </c>
      <c r="BV720" s="244">
        <v>95</v>
      </c>
      <c r="BW720" s="197"/>
    </row>
    <row r="721" spans="1:75" s="198" customFormat="1" ht="14.25" hidden="1" outlineLevel="2" x14ac:dyDescent="0.45">
      <c r="A721" s="292"/>
      <c r="B721" s="243"/>
      <c r="C721" s="244"/>
      <c r="D721" s="244"/>
      <c r="E721" s="244"/>
      <c r="F721" s="244"/>
      <c r="G721" s="245"/>
      <c r="H721" s="245"/>
      <c r="I721" s="245"/>
      <c r="J721" s="245"/>
      <c r="K721" s="244"/>
      <c r="L721" s="245"/>
      <c r="M721" s="245"/>
      <c r="N721" s="245"/>
      <c r="O721" s="245"/>
      <c r="P721" s="244"/>
      <c r="Q721" s="245"/>
      <c r="R721" s="245"/>
      <c r="S721" s="245"/>
      <c r="T721" s="245"/>
      <c r="U721" s="244"/>
      <c r="V721" s="245"/>
      <c r="W721" s="245"/>
      <c r="X721" s="245"/>
      <c r="Y721" s="247"/>
      <c r="Z721" s="244"/>
      <c r="AA721" s="247"/>
      <c r="AB721" s="247"/>
      <c r="AC721" s="245"/>
      <c r="AD721" s="247"/>
      <c r="AE721" s="244"/>
      <c r="AF721" s="247"/>
      <c r="AG721" s="247"/>
      <c r="AH721" s="245"/>
      <c r="AI721" s="247"/>
      <c r="AJ721" s="244"/>
      <c r="AK721" s="247"/>
      <c r="AL721" s="247"/>
      <c r="AM721" s="245"/>
      <c r="AN721" s="247"/>
      <c r="AO721" s="244"/>
      <c r="AP721" s="247"/>
      <c r="AQ721" s="247"/>
      <c r="AR721" s="248"/>
      <c r="AS721" s="247"/>
      <c r="AT721" s="244"/>
      <c r="AU721" s="247"/>
      <c r="AV721" s="247"/>
      <c r="AW721" s="248"/>
      <c r="AX721" s="247"/>
      <c r="AY721" s="244"/>
      <c r="AZ721" s="247"/>
      <c r="BA721" s="247"/>
      <c r="BB721" s="248"/>
      <c r="BC721" s="247"/>
      <c r="BD721" s="244"/>
      <c r="BE721" s="247"/>
      <c r="BF721" s="247"/>
      <c r="BG721" s="248"/>
      <c r="BH721" s="247"/>
      <c r="BI721" s="249"/>
      <c r="BJ721" s="247"/>
      <c r="BK721" s="247"/>
      <c r="BL721" s="247"/>
      <c r="BM721" s="247"/>
      <c r="BN721" s="244"/>
      <c r="BO721" s="247"/>
      <c r="BP721" s="247"/>
      <c r="BQ721" s="247"/>
      <c r="BR721" s="247"/>
      <c r="BS721" s="244"/>
      <c r="BT721" s="244"/>
      <c r="BU721" s="244"/>
      <c r="BV721" s="244"/>
      <c r="BW721" s="197"/>
    </row>
    <row r="722" spans="1:75" s="169" customFormat="1" ht="14.25" hidden="1" outlineLevel="2" x14ac:dyDescent="0.45">
      <c r="A722" s="242" t="s">
        <v>814</v>
      </c>
      <c r="B722" s="164"/>
      <c r="C722" s="165"/>
      <c r="D722" s="165"/>
      <c r="E722" s="165"/>
      <c r="F722" s="165"/>
      <c r="G722" s="166"/>
      <c r="H722" s="166"/>
      <c r="I722" s="166"/>
      <c r="J722" s="166"/>
      <c r="K722" s="165"/>
      <c r="L722" s="538">
        <v>554</v>
      </c>
      <c r="M722" s="538">
        <v>548</v>
      </c>
      <c r="N722" s="538">
        <v>564</v>
      </c>
      <c r="O722" s="538">
        <v>575</v>
      </c>
      <c r="P722" s="539">
        <v>554</v>
      </c>
      <c r="Q722" s="538">
        <v>607</v>
      </c>
      <c r="R722" s="538">
        <v>605</v>
      </c>
      <c r="S722" s="538">
        <v>605</v>
      </c>
      <c r="T722" s="538">
        <v>681</v>
      </c>
      <c r="U722" s="539">
        <v>607</v>
      </c>
      <c r="V722" s="538">
        <v>725</v>
      </c>
      <c r="W722" s="166">
        <v>725</v>
      </c>
      <c r="X722" s="538">
        <v>776</v>
      </c>
      <c r="Y722" s="538">
        <v>884</v>
      </c>
      <c r="Z722" s="539">
        <v>725</v>
      </c>
      <c r="AA722" s="538">
        <v>912</v>
      </c>
      <c r="AB722" s="538">
        <v>912</v>
      </c>
      <c r="AC722" s="538">
        <v>915</v>
      </c>
      <c r="AD722" s="538">
        <v>944</v>
      </c>
      <c r="AE722" s="539">
        <v>912</v>
      </c>
      <c r="AF722" s="538">
        <v>981</v>
      </c>
      <c r="AG722" s="538">
        <v>1012</v>
      </c>
      <c r="AH722" s="538">
        <v>1053</v>
      </c>
      <c r="AI722" s="538">
        <v>1089</v>
      </c>
      <c r="AJ722" s="539">
        <v>981</v>
      </c>
      <c r="AK722" s="538">
        <v>1089</v>
      </c>
      <c r="AL722" s="538">
        <v>1078</v>
      </c>
      <c r="AM722" s="538">
        <v>1074</v>
      </c>
      <c r="AN722" s="538">
        <v>1094</v>
      </c>
      <c r="AO722" s="539">
        <v>1089</v>
      </c>
      <c r="AP722" s="538">
        <v>1111</v>
      </c>
      <c r="AQ722" s="538">
        <v>1115</v>
      </c>
      <c r="AR722" s="538">
        <v>1160</v>
      </c>
      <c r="AS722" s="538">
        <v>1159</v>
      </c>
      <c r="AT722" s="539">
        <v>1111</v>
      </c>
      <c r="AU722" s="538">
        <v>1162</v>
      </c>
      <c r="AV722" s="538">
        <v>1162</v>
      </c>
      <c r="AW722" s="538">
        <v>1180</v>
      </c>
      <c r="AX722" s="538">
        <v>1217</v>
      </c>
      <c r="AY722" s="539">
        <v>1162</v>
      </c>
      <c r="AZ722" s="538">
        <v>1254</v>
      </c>
      <c r="BA722" s="538">
        <v>1254</v>
      </c>
      <c r="BB722" s="538">
        <v>1291</v>
      </c>
      <c r="BC722" s="538">
        <v>1291</v>
      </c>
      <c r="BD722" s="539">
        <v>1254</v>
      </c>
      <c r="BE722" s="538">
        <v>1286</v>
      </c>
      <c r="BF722" s="538">
        <v>1279</v>
      </c>
      <c r="BG722" s="538">
        <v>1315</v>
      </c>
      <c r="BH722" s="538">
        <v>1315</v>
      </c>
      <c r="BI722" s="540">
        <v>1286</v>
      </c>
      <c r="BJ722" s="166">
        <v>1378</v>
      </c>
      <c r="BK722" s="166">
        <v>1458.16</v>
      </c>
      <c r="BL722" s="166">
        <v>1539.2916363636364</v>
      </c>
      <c r="BM722" s="166">
        <v>1621.3504914285713</v>
      </c>
      <c r="BN722" s="165">
        <v>1378</v>
      </c>
      <c r="BO722" s="166">
        <v>1662.8234803397681</v>
      </c>
      <c r="BP722" s="166">
        <v>1704.5147481399713</v>
      </c>
      <c r="BQ722" s="166">
        <v>1746.4198173135089</v>
      </c>
      <c r="BR722" s="166">
        <v>1788.5344118329142</v>
      </c>
      <c r="BS722" s="165">
        <v>1662.8234803397681</v>
      </c>
      <c r="BT722" s="165">
        <v>1788.5344118329142</v>
      </c>
      <c r="BU722" s="165">
        <v>1830.8544433987556</v>
      </c>
      <c r="BV722" s="165">
        <v>1830.8544433987556</v>
      </c>
      <c r="BW722" s="168"/>
    </row>
    <row r="723" spans="1:75" s="123" customFormat="1" hidden="1" outlineLevel="2" x14ac:dyDescent="0.5">
      <c r="A723" s="541" t="s">
        <v>276</v>
      </c>
      <c r="B723" s="185"/>
      <c r="C723" s="186"/>
      <c r="D723" s="186"/>
      <c r="E723" s="186"/>
      <c r="F723" s="186"/>
      <c r="G723" s="187"/>
      <c r="H723" s="187"/>
      <c r="I723" s="187"/>
      <c r="J723" s="187"/>
      <c r="K723" s="186"/>
      <c r="L723" s="187">
        <v>0</v>
      </c>
      <c r="M723" s="542">
        <v>14</v>
      </c>
      <c r="N723" s="542">
        <v>11.399999999999999</v>
      </c>
      <c r="O723" s="542">
        <v>46.1</v>
      </c>
      <c r="P723" s="543">
        <v>71.500000000000014</v>
      </c>
      <c r="Q723" s="187">
        <v>0</v>
      </c>
      <c r="R723" s="187">
        <v>0</v>
      </c>
      <c r="S723" s="542">
        <v>91.199999999999989</v>
      </c>
      <c r="T723" s="542">
        <v>36.1</v>
      </c>
      <c r="U723" s="543">
        <v>127.29999999999998</v>
      </c>
      <c r="V723" s="187">
        <v>0</v>
      </c>
      <c r="W723" s="187">
        <v>0</v>
      </c>
      <c r="X723" s="542">
        <v>120.69999999999999</v>
      </c>
      <c r="Y723" s="542">
        <v>35.700000000000003</v>
      </c>
      <c r="Z723" s="543">
        <v>156.39999999999998</v>
      </c>
      <c r="AA723" s="187">
        <v>0</v>
      </c>
      <c r="AB723" s="187">
        <v>0</v>
      </c>
      <c r="AC723" s="542">
        <v>43.3</v>
      </c>
      <c r="AD723" s="542">
        <v>46.5</v>
      </c>
      <c r="AE723" s="543">
        <v>89.8</v>
      </c>
      <c r="AF723" s="542">
        <v>26</v>
      </c>
      <c r="AG723" s="542">
        <v>45.6</v>
      </c>
      <c r="AH723" s="542">
        <v>57.2</v>
      </c>
      <c r="AI723" s="187">
        <v>0</v>
      </c>
      <c r="AJ723" s="543">
        <v>128.79999999999998</v>
      </c>
      <c r="AK723" s="187">
        <v>0</v>
      </c>
      <c r="AL723" s="187">
        <v>0</v>
      </c>
      <c r="AM723" s="542">
        <v>32.9</v>
      </c>
      <c r="AN723" s="542">
        <v>33</v>
      </c>
      <c r="AO723" s="543">
        <v>65.900000000000006</v>
      </c>
      <c r="AP723" s="187">
        <v>0</v>
      </c>
      <c r="AQ723" s="542">
        <v>65.3</v>
      </c>
      <c r="AR723" s="187">
        <v>0</v>
      </c>
      <c r="AS723" s="187">
        <v>0</v>
      </c>
      <c r="AT723" s="543">
        <v>65.3</v>
      </c>
      <c r="AU723" s="187">
        <v>0</v>
      </c>
      <c r="AV723" s="542">
        <v>38</v>
      </c>
      <c r="AW723" s="187">
        <v>37.700000000000003</v>
      </c>
      <c r="AX723" s="187">
        <v>37.700000000000003</v>
      </c>
      <c r="AY723" s="186">
        <v>113.4</v>
      </c>
      <c r="AZ723" s="187">
        <v>0</v>
      </c>
      <c r="BA723" s="542">
        <v>42.1</v>
      </c>
      <c r="BB723" s="187">
        <v>0</v>
      </c>
      <c r="BC723" s="187">
        <v>0</v>
      </c>
      <c r="BD723" s="186">
        <v>42.1</v>
      </c>
      <c r="BE723" s="187">
        <v>-13</v>
      </c>
      <c r="BF723" s="187">
        <v>35.1</v>
      </c>
      <c r="BG723" s="187">
        <v>0</v>
      </c>
      <c r="BH723" s="187">
        <v>66.599999999999994</v>
      </c>
      <c r="BI723" s="188">
        <v>88.699999999999989</v>
      </c>
      <c r="BJ723" s="187">
        <v>80.160000000000011</v>
      </c>
      <c r="BK723" s="187">
        <v>81.131636363636389</v>
      </c>
      <c r="BL723" s="187">
        <v>82.058855064935059</v>
      </c>
      <c r="BM723" s="187">
        <v>41.472988911196907</v>
      </c>
      <c r="BN723" s="186">
        <v>284.82348033976837</v>
      </c>
      <c r="BO723" s="187">
        <v>41.691267800203214</v>
      </c>
      <c r="BP723" s="187">
        <v>41.905069173537584</v>
      </c>
      <c r="BQ723" s="187">
        <v>42.114594519405287</v>
      </c>
      <c r="BR723" s="187">
        <v>0</v>
      </c>
      <c r="BS723" s="186">
        <v>125.71093149314608</v>
      </c>
      <c r="BT723" s="186">
        <v>42.320031565841397</v>
      </c>
      <c r="BU723" s="186">
        <v>0</v>
      </c>
      <c r="BV723" s="186">
        <v>0</v>
      </c>
      <c r="BW723" s="122"/>
    </row>
    <row r="724" spans="1:75" s="123" customFormat="1" hidden="1" outlineLevel="2" x14ac:dyDescent="0.5">
      <c r="A724" s="541" t="s">
        <v>376</v>
      </c>
      <c r="B724" s="185"/>
      <c r="C724" s="186"/>
      <c r="D724" s="186"/>
      <c r="E724" s="186"/>
      <c r="F724" s="186"/>
      <c r="G724" s="187"/>
      <c r="H724" s="187"/>
      <c r="I724" s="187"/>
      <c r="J724" s="187"/>
      <c r="K724" s="186"/>
      <c r="L724" s="542">
        <v>-5.6</v>
      </c>
      <c r="M724" s="542">
        <v>1.8000000000000007</v>
      </c>
      <c r="N724" s="187">
        <v>0</v>
      </c>
      <c r="O724" s="542">
        <v>-14.3</v>
      </c>
      <c r="P724" s="543">
        <v>-18.099999999999998</v>
      </c>
      <c r="Q724" s="542">
        <v>-1.7999999999999998</v>
      </c>
      <c r="R724" s="187">
        <v>0</v>
      </c>
      <c r="S724" s="542">
        <v>-22</v>
      </c>
      <c r="T724" s="542">
        <v>-5.3999999999999995</v>
      </c>
      <c r="U724" s="543">
        <v>-29.199999999999996</v>
      </c>
      <c r="V724" s="187">
        <v>0</v>
      </c>
      <c r="W724" s="187">
        <v>0</v>
      </c>
      <c r="X724" s="542">
        <v>-16.100000000000001</v>
      </c>
      <c r="Y724" s="542">
        <v>-7.8000000000000007</v>
      </c>
      <c r="Z724" s="543">
        <v>-23.900000000000002</v>
      </c>
      <c r="AA724" s="187">
        <v>0</v>
      </c>
      <c r="AB724" s="187">
        <v>0</v>
      </c>
      <c r="AC724" s="542">
        <v>-14.6</v>
      </c>
      <c r="AD724" s="542">
        <v>-7.1</v>
      </c>
      <c r="AE724" s="543">
        <v>-21.7</v>
      </c>
      <c r="AF724" s="542">
        <v>-4.7</v>
      </c>
      <c r="AG724" s="542">
        <v>-12.7</v>
      </c>
      <c r="AH724" s="542">
        <v>-21.4</v>
      </c>
      <c r="AI724" s="187">
        <v>0</v>
      </c>
      <c r="AJ724" s="543">
        <v>-38.799999999999997</v>
      </c>
      <c r="AK724" s="542">
        <v>-2.6</v>
      </c>
      <c r="AL724" s="542">
        <v>-3.8</v>
      </c>
      <c r="AM724" s="542">
        <v>-13.3</v>
      </c>
      <c r="AN724" s="542">
        <v>-11.4</v>
      </c>
      <c r="AO724" s="543">
        <v>-31.1</v>
      </c>
      <c r="AP724" s="542">
        <v>4.4000000000000004</v>
      </c>
      <c r="AQ724" s="542">
        <v>-20.5</v>
      </c>
      <c r="AR724" s="187">
        <v>0</v>
      </c>
      <c r="AS724" s="542">
        <v>2.9</v>
      </c>
      <c r="AT724" s="543">
        <v>-13.200000000000001</v>
      </c>
      <c r="AU724" s="187">
        <v>0</v>
      </c>
      <c r="AV724" s="542">
        <v>-8.4</v>
      </c>
      <c r="AW724" s="187">
        <v>-1.5</v>
      </c>
      <c r="AX724" s="187">
        <v>0</v>
      </c>
      <c r="AY724" s="186">
        <v>-9.8999999999999986</v>
      </c>
      <c r="AZ724" s="187">
        <v>0</v>
      </c>
      <c r="BA724" s="542">
        <v>-4.8</v>
      </c>
      <c r="BB724" s="187">
        <v>0</v>
      </c>
      <c r="BC724" s="187">
        <v>-5.3</v>
      </c>
      <c r="BD724" s="186">
        <v>-10.1</v>
      </c>
      <c r="BE724" s="187">
        <v>5.7</v>
      </c>
      <c r="BF724" s="187">
        <v>1.5</v>
      </c>
      <c r="BG724" s="187">
        <v>0</v>
      </c>
      <c r="BH724" s="187">
        <v>-5.6000000000000005</v>
      </c>
      <c r="BI724" s="188">
        <v>1.6</v>
      </c>
      <c r="BJ724" s="187">
        <v>0</v>
      </c>
      <c r="BK724" s="187">
        <v>0</v>
      </c>
      <c r="BL724" s="187">
        <v>0</v>
      </c>
      <c r="BM724" s="187">
        <v>0</v>
      </c>
      <c r="BN724" s="186">
        <v>0</v>
      </c>
      <c r="BO724" s="187">
        <v>0</v>
      </c>
      <c r="BP724" s="187">
        <v>0</v>
      </c>
      <c r="BQ724" s="187">
        <v>0</v>
      </c>
      <c r="BR724" s="187">
        <v>0</v>
      </c>
      <c r="BS724" s="186">
        <v>0</v>
      </c>
      <c r="BT724" s="186">
        <v>0</v>
      </c>
      <c r="BU724" s="186">
        <v>0</v>
      </c>
      <c r="BV724" s="186">
        <v>0</v>
      </c>
      <c r="BW724" s="122"/>
    </row>
    <row r="725" spans="1:75" s="123" customFormat="1" hidden="1" outlineLevel="2" x14ac:dyDescent="0.5">
      <c r="A725" s="541" t="s">
        <v>399</v>
      </c>
      <c r="B725" s="185"/>
      <c r="C725" s="186"/>
      <c r="D725" s="186"/>
      <c r="E725" s="186"/>
      <c r="F725" s="186"/>
      <c r="G725" s="187"/>
      <c r="H725" s="187"/>
      <c r="I725" s="187"/>
      <c r="J725" s="187"/>
      <c r="K725" s="186"/>
      <c r="L725" s="187">
        <v>0</v>
      </c>
      <c r="M725" s="187">
        <v>0</v>
      </c>
      <c r="N725" s="187">
        <v>0</v>
      </c>
      <c r="O725" s="542">
        <v>0</v>
      </c>
      <c r="P725" s="186">
        <v>0</v>
      </c>
      <c r="Q725" s="187">
        <v>0</v>
      </c>
      <c r="R725" s="187">
        <v>0</v>
      </c>
      <c r="S725" s="187">
        <v>0</v>
      </c>
      <c r="T725" s="542">
        <v>12.8</v>
      </c>
      <c r="U725" s="543">
        <v>12.8</v>
      </c>
      <c r="V725" s="187">
        <v>0</v>
      </c>
      <c r="W725" s="187">
        <v>0</v>
      </c>
      <c r="X725" s="187">
        <v>0</v>
      </c>
      <c r="Y725" s="187">
        <v>0</v>
      </c>
      <c r="Z725" s="543">
        <v>0</v>
      </c>
      <c r="AA725" s="187">
        <v>0</v>
      </c>
      <c r="AB725" s="187">
        <v>0</v>
      </c>
      <c r="AC725" s="187">
        <v>0</v>
      </c>
      <c r="AD725" s="187">
        <v>0</v>
      </c>
      <c r="AE725" s="543">
        <v>0</v>
      </c>
      <c r="AF725" s="542">
        <v>8.1999999999999993</v>
      </c>
      <c r="AG725" s="187">
        <v>0</v>
      </c>
      <c r="AH725" s="187">
        <v>0</v>
      </c>
      <c r="AI725" s="187">
        <v>0</v>
      </c>
      <c r="AJ725" s="543">
        <v>8.1999999999999993</v>
      </c>
      <c r="AK725" s="542">
        <v>-4.5</v>
      </c>
      <c r="AL725" s="187">
        <v>0</v>
      </c>
      <c r="AM725" s="187">
        <v>0</v>
      </c>
      <c r="AN725" s="187">
        <v>0</v>
      </c>
      <c r="AO725" s="543">
        <v>-4.5</v>
      </c>
      <c r="AP725" s="187">
        <v>0</v>
      </c>
      <c r="AQ725" s="187">
        <v>0</v>
      </c>
      <c r="AR725" s="187">
        <v>0</v>
      </c>
      <c r="AS725" s="187">
        <v>0</v>
      </c>
      <c r="AT725" s="543">
        <v>0</v>
      </c>
      <c r="AU725" s="187">
        <v>0</v>
      </c>
      <c r="AV725" s="187">
        <v>-3.9</v>
      </c>
      <c r="AW725" s="187">
        <v>0</v>
      </c>
      <c r="AX725" s="187">
        <v>0</v>
      </c>
      <c r="AY725" s="186">
        <v>-3.9</v>
      </c>
      <c r="AZ725" s="187">
        <v>0</v>
      </c>
      <c r="BA725" s="187">
        <v>0</v>
      </c>
      <c r="BB725" s="187">
        <v>0</v>
      </c>
      <c r="BC725" s="187">
        <v>0</v>
      </c>
      <c r="BD725" s="186">
        <v>0</v>
      </c>
      <c r="BE725" s="187">
        <v>0</v>
      </c>
      <c r="BF725" s="187">
        <v>0</v>
      </c>
      <c r="BG725" s="187">
        <v>0</v>
      </c>
      <c r="BH725" s="187">
        <v>0</v>
      </c>
      <c r="BI725" s="188">
        <v>0</v>
      </c>
      <c r="BJ725" s="187">
        <v>0</v>
      </c>
      <c r="BK725" s="187">
        <v>0</v>
      </c>
      <c r="BL725" s="187">
        <v>0</v>
      </c>
      <c r="BM725" s="187">
        <v>0</v>
      </c>
      <c r="BN725" s="186">
        <v>0</v>
      </c>
      <c r="BO725" s="187">
        <v>0</v>
      </c>
      <c r="BP725" s="187">
        <v>0</v>
      </c>
      <c r="BQ725" s="187">
        <v>0</v>
      </c>
      <c r="BR725" s="187">
        <v>0</v>
      </c>
      <c r="BS725" s="186">
        <v>0</v>
      </c>
      <c r="BT725" s="186">
        <v>0</v>
      </c>
      <c r="BU725" s="186">
        <v>0</v>
      </c>
      <c r="BV725" s="186">
        <v>0</v>
      </c>
      <c r="BW725" s="122"/>
    </row>
    <row r="726" spans="1:75" s="123" customFormat="1" hidden="1" outlineLevel="2" x14ac:dyDescent="0.5">
      <c r="A726" s="541" t="s">
        <v>815</v>
      </c>
      <c r="B726" s="185"/>
      <c r="C726" s="186"/>
      <c r="D726" s="186"/>
      <c r="E726" s="186"/>
      <c r="F726" s="186"/>
      <c r="G726" s="187"/>
      <c r="H726" s="187"/>
      <c r="I726" s="187"/>
      <c r="J726" s="187"/>
      <c r="K726" s="186"/>
      <c r="L726" s="187">
        <v>0</v>
      </c>
      <c r="M726" s="187">
        <v>0</v>
      </c>
      <c r="N726" s="187">
        <v>0</v>
      </c>
      <c r="O726" s="542">
        <v>0</v>
      </c>
      <c r="P726" s="186">
        <v>0</v>
      </c>
      <c r="Q726" s="187">
        <v>0</v>
      </c>
      <c r="R726" s="187">
        <v>0</v>
      </c>
      <c r="S726" s="542">
        <v>6.7</v>
      </c>
      <c r="T726" s="542">
        <v>0</v>
      </c>
      <c r="U726" s="543">
        <v>6.7</v>
      </c>
      <c r="V726" s="187">
        <v>0</v>
      </c>
      <c r="W726" s="187">
        <v>0</v>
      </c>
      <c r="X726" s="187">
        <v>0</v>
      </c>
      <c r="Y726" s="187">
        <v>0</v>
      </c>
      <c r="Z726" s="543">
        <v>0</v>
      </c>
      <c r="AA726" s="187">
        <v>0</v>
      </c>
      <c r="AB726" s="187">
        <v>0</v>
      </c>
      <c r="AC726" s="187">
        <v>0</v>
      </c>
      <c r="AD726" s="542">
        <v>-2.5</v>
      </c>
      <c r="AE726" s="543">
        <v>-2.5</v>
      </c>
      <c r="AF726" s="187">
        <v>0</v>
      </c>
      <c r="AG726" s="542">
        <v>8.4</v>
      </c>
      <c r="AH726" s="187">
        <v>0</v>
      </c>
      <c r="AI726" s="187">
        <v>0</v>
      </c>
      <c r="AJ726" s="543">
        <v>8.4</v>
      </c>
      <c r="AK726" s="542">
        <v>-3.7</v>
      </c>
      <c r="AL726" s="187">
        <v>0</v>
      </c>
      <c r="AM726" s="187">
        <v>0</v>
      </c>
      <c r="AN726" s="542">
        <v>-4.7</v>
      </c>
      <c r="AO726" s="543">
        <v>-8.4</v>
      </c>
      <c r="AP726" s="187">
        <v>0</v>
      </c>
      <c r="AQ726" s="187">
        <v>0</v>
      </c>
      <c r="AR726" s="187">
        <v>0</v>
      </c>
      <c r="AS726" s="187">
        <v>0</v>
      </c>
      <c r="AT726" s="543">
        <v>0</v>
      </c>
      <c r="AU726" s="187">
        <v>0</v>
      </c>
      <c r="AV726" s="187">
        <v>-7.3</v>
      </c>
      <c r="AW726" s="187">
        <v>0</v>
      </c>
      <c r="AX726" s="187">
        <v>0</v>
      </c>
      <c r="AY726" s="186">
        <v>-7.3</v>
      </c>
      <c r="AZ726" s="187">
        <v>0</v>
      </c>
      <c r="BA726" s="187">
        <v>0</v>
      </c>
      <c r="BB726" s="187">
        <v>0</v>
      </c>
      <c r="BC726" s="187">
        <v>0</v>
      </c>
      <c r="BD726" s="186">
        <v>0</v>
      </c>
      <c r="BE726" s="187">
        <v>0</v>
      </c>
      <c r="BF726" s="187">
        <v>0</v>
      </c>
      <c r="BG726" s="187">
        <v>0</v>
      </c>
      <c r="BH726" s="187">
        <v>0</v>
      </c>
      <c r="BI726" s="188">
        <v>0</v>
      </c>
      <c r="BJ726" s="187">
        <v>0</v>
      </c>
      <c r="BK726" s="187">
        <v>0</v>
      </c>
      <c r="BL726" s="187">
        <v>0</v>
      </c>
      <c r="BM726" s="187">
        <v>0</v>
      </c>
      <c r="BN726" s="186">
        <v>0</v>
      </c>
      <c r="BO726" s="187">
        <v>0</v>
      </c>
      <c r="BP726" s="187">
        <v>0</v>
      </c>
      <c r="BQ726" s="187">
        <v>0</v>
      </c>
      <c r="BR726" s="187">
        <v>0</v>
      </c>
      <c r="BS726" s="186">
        <v>0</v>
      </c>
      <c r="BT726" s="186">
        <v>0</v>
      </c>
      <c r="BU726" s="186">
        <v>0</v>
      </c>
      <c r="BV726" s="186">
        <v>0</v>
      </c>
      <c r="BW726" s="122"/>
    </row>
    <row r="727" spans="1:75" s="123" customFormat="1" hidden="1" outlineLevel="2" x14ac:dyDescent="0.5">
      <c r="A727" s="541" t="s">
        <v>816</v>
      </c>
      <c r="B727" s="185"/>
      <c r="C727" s="186"/>
      <c r="D727" s="186"/>
      <c r="E727" s="186"/>
      <c r="F727" s="186"/>
      <c r="G727" s="187"/>
      <c r="H727" s="187"/>
      <c r="I727" s="187"/>
      <c r="J727" s="187"/>
      <c r="K727" s="186"/>
      <c r="L727" s="187">
        <v>0</v>
      </c>
      <c r="M727" s="187">
        <v>0</v>
      </c>
      <c r="N727" s="187">
        <v>0</v>
      </c>
      <c r="O727" s="542">
        <v>0</v>
      </c>
      <c r="P727" s="186">
        <v>0</v>
      </c>
      <c r="Q727" s="187">
        <v>0</v>
      </c>
      <c r="R727" s="187">
        <v>0</v>
      </c>
      <c r="S727" s="187">
        <v>0</v>
      </c>
      <c r="T727" s="542">
        <v>0</v>
      </c>
      <c r="U727" s="186">
        <v>0</v>
      </c>
      <c r="V727" s="187">
        <v>0</v>
      </c>
      <c r="W727" s="187">
        <v>51</v>
      </c>
      <c r="X727" s="542">
        <v>3.8</v>
      </c>
      <c r="Y727" s="542">
        <v>0</v>
      </c>
      <c r="Z727" s="543">
        <v>54.8</v>
      </c>
      <c r="AA727" s="187">
        <v>0</v>
      </c>
      <c r="AB727" s="542">
        <v>2.9</v>
      </c>
      <c r="AC727" s="187">
        <v>0</v>
      </c>
      <c r="AD727" s="187">
        <v>0</v>
      </c>
      <c r="AE727" s="543">
        <v>2.9</v>
      </c>
      <c r="AF727" s="542">
        <v>1.1000000000000001</v>
      </c>
      <c r="AG727" s="187">
        <v>0</v>
      </c>
      <c r="AH727" s="187">
        <v>0</v>
      </c>
      <c r="AI727" s="187">
        <v>0</v>
      </c>
      <c r="AJ727" s="543">
        <v>1.1000000000000001</v>
      </c>
      <c r="AK727" s="187">
        <v>0</v>
      </c>
      <c r="AL727" s="187">
        <v>0</v>
      </c>
      <c r="AM727" s="187">
        <v>0</v>
      </c>
      <c r="AN727" s="187">
        <v>0</v>
      </c>
      <c r="AO727" s="543">
        <v>0</v>
      </c>
      <c r="AP727" s="187">
        <v>0</v>
      </c>
      <c r="AQ727" s="187">
        <v>0</v>
      </c>
      <c r="AR727" s="542">
        <v>-1.4</v>
      </c>
      <c r="AS727" s="187">
        <v>0</v>
      </c>
      <c r="AT727" s="543">
        <v>-1.4</v>
      </c>
      <c r="AU727" s="187">
        <v>0</v>
      </c>
      <c r="AV727" s="187">
        <v>0</v>
      </c>
      <c r="AW727" s="187">
        <v>0</v>
      </c>
      <c r="AX727" s="187">
        <v>0</v>
      </c>
      <c r="AY727" s="186">
        <v>0</v>
      </c>
      <c r="AZ727" s="187">
        <v>0</v>
      </c>
      <c r="BA727" s="187">
        <v>0</v>
      </c>
      <c r="BB727" s="187">
        <v>0</v>
      </c>
      <c r="BC727" s="187">
        <v>0</v>
      </c>
      <c r="BD727" s="186">
        <v>0</v>
      </c>
      <c r="BE727" s="187">
        <v>0</v>
      </c>
      <c r="BF727" s="187">
        <v>0</v>
      </c>
      <c r="BG727" s="187">
        <v>0</v>
      </c>
      <c r="BH727" s="187">
        <v>2</v>
      </c>
      <c r="BI727" s="188">
        <v>2</v>
      </c>
      <c r="BJ727" s="187">
        <v>0</v>
      </c>
      <c r="BK727" s="187">
        <v>0</v>
      </c>
      <c r="BL727" s="187">
        <v>0</v>
      </c>
      <c r="BM727" s="187">
        <v>0</v>
      </c>
      <c r="BN727" s="186">
        <v>0</v>
      </c>
      <c r="BO727" s="187">
        <v>0</v>
      </c>
      <c r="BP727" s="187">
        <v>0</v>
      </c>
      <c r="BQ727" s="187">
        <v>0</v>
      </c>
      <c r="BR727" s="187">
        <v>0</v>
      </c>
      <c r="BS727" s="186">
        <v>0</v>
      </c>
      <c r="BT727" s="186">
        <v>0</v>
      </c>
      <c r="BU727" s="186">
        <v>0</v>
      </c>
      <c r="BV727" s="186">
        <v>0</v>
      </c>
      <c r="BW727" s="122"/>
    </row>
    <row r="728" spans="1:75" s="123" customFormat="1" hidden="1" outlineLevel="2" x14ac:dyDescent="0.5">
      <c r="A728" s="544" t="s">
        <v>817</v>
      </c>
      <c r="B728" s="545"/>
      <c r="C728" s="546"/>
      <c r="D728" s="546"/>
      <c r="E728" s="546"/>
      <c r="F728" s="546"/>
      <c r="G728" s="547"/>
      <c r="H728" s="547"/>
      <c r="I728" s="547"/>
      <c r="J728" s="547"/>
      <c r="K728" s="546"/>
      <c r="L728" s="547">
        <v>-5.6</v>
      </c>
      <c r="M728" s="547">
        <v>15.8</v>
      </c>
      <c r="N728" s="547">
        <v>11.399999999999999</v>
      </c>
      <c r="O728" s="548">
        <v>31.8</v>
      </c>
      <c r="P728" s="546">
        <v>53.40000000000002</v>
      </c>
      <c r="Q728" s="547">
        <v>-1.7999999999999998</v>
      </c>
      <c r="R728" s="547">
        <v>0</v>
      </c>
      <c r="S728" s="547">
        <v>75.899999999999991</v>
      </c>
      <c r="T728" s="548">
        <v>43.5</v>
      </c>
      <c r="U728" s="546">
        <v>117.6</v>
      </c>
      <c r="V728" s="547">
        <v>0</v>
      </c>
      <c r="W728" s="547">
        <v>51</v>
      </c>
      <c r="X728" s="548">
        <v>108.39999999999999</v>
      </c>
      <c r="Y728" s="548">
        <v>27.900000000000002</v>
      </c>
      <c r="Z728" s="549">
        <v>187.29999999999995</v>
      </c>
      <c r="AA728" s="547">
        <v>0</v>
      </c>
      <c r="AB728" s="548">
        <v>2.9</v>
      </c>
      <c r="AC728" s="547">
        <v>28.699999999999996</v>
      </c>
      <c r="AD728" s="547">
        <v>36.9</v>
      </c>
      <c r="AE728" s="549">
        <v>68.5</v>
      </c>
      <c r="AF728" s="548">
        <v>30.6</v>
      </c>
      <c r="AG728" s="547">
        <v>41.300000000000004</v>
      </c>
      <c r="AH728" s="547">
        <v>35.800000000000004</v>
      </c>
      <c r="AI728" s="547">
        <v>0</v>
      </c>
      <c r="AJ728" s="549">
        <v>107.69999999999999</v>
      </c>
      <c r="AK728" s="547">
        <v>-10.8</v>
      </c>
      <c r="AL728" s="547">
        <v>-3.8</v>
      </c>
      <c r="AM728" s="547">
        <v>19.599999999999998</v>
      </c>
      <c r="AN728" s="547">
        <v>16.900000000000002</v>
      </c>
      <c r="AO728" s="549">
        <v>21.900000000000006</v>
      </c>
      <c r="AP728" s="547">
        <v>4.4000000000000004</v>
      </c>
      <c r="AQ728" s="547">
        <v>44.8</v>
      </c>
      <c r="AR728" s="548">
        <v>-1.4</v>
      </c>
      <c r="AS728" s="547">
        <v>2.9</v>
      </c>
      <c r="AT728" s="549">
        <v>50.699999999999996</v>
      </c>
      <c r="AU728" s="547">
        <v>0</v>
      </c>
      <c r="AV728" s="547">
        <v>18.400000000000002</v>
      </c>
      <c r="AW728" s="547">
        <v>36.200000000000003</v>
      </c>
      <c r="AX728" s="547">
        <v>37.700000000000003</v>
      </c>
      <c r="AY728" s="546">
        <v>92.3</v>
      </c>
      <c r="AZ728" s="547">
        <v>0</v>
      </c>
      <c r="BA728" s="547">
        <v>37.300000000000004</v>
      </c>
      <c r="BB728" s="547">
        <v>0</v>
      </c>
      <c r="BC728" s="547">
        <v>-5.3</v>
      </c>
      <c r="BD728" s="546">
        <v>32</v>
      </c>
      <c r="BE728" s="547">
        <v>-7.3</v>
      </c>
      <c r="BF728" s="547">
        <v>36.6</v>
      </c>
      <c r="BG728" s="547">
        <v>0</v>
      </c>
      <c r="BH728" s="547">
        <v>62.999999999999993</v>
      </c>
      <c r="BI728" s="550">
        <v>92.299999999999983</v>
      </c>
      <c r="BJ728" s="547">
        <v>80.160000000000011</v>
      </c>
      <c r="BK728" s="547">
        <v>81.131636363636389</v>
      </c>
      <c r="BL728" s="547">
        <v>82.058855064935059</v>
      </c>
      <c r="BM728" s="547">
        <v>41.472988911196907</v>
      </c>
      <c r="BN728" s="546">
        <v>284.82348033976837</v>
      </c>
      <c r="BO728" s="547">
        <v>41.691267800203214</v>
      </c>
      <c r="BP728" s="547">
        <v>41.905069173537584</v>
      </c>
      <c r="BQ728" s="547">
        <v>42.114594519405287</v>
      </c>
      <c r="BR728" s="547">
        <v>0</v>
      </c>
      <c r="BS728" s="546">
        <v>125.71093149314608</v>
      </c>
      <c r="BT728" s="546">
        <v>42.320031565841397</v>
      </c>
      <c r="BU728" s="546">
        <v>0</v>
      </c>
      <c r="BV728" s="546">
        <v>0</v>
      </c>
      <c r="BW728" s="122"/>
    </row>
    <row r="729" spans="1:75" s="169" customFormat="1" ht="14.25" hidden="1" outlineLevel="2" x14ac:dyDescent="0.45">
      <c r="A729" s="276" t="s">
        <v>818</v>
      </c>
      <c r="B729" s="361"/>
      <c r="C729" s="362"/>
      <c r="D729" s="362"/>
      <c r="E729" s="362"/>
      <c r="F729" s="362"/>
      <c r="G729" s="346"/>
      <c r="H729" s="346"/>
      <c r="I729" s="346"/>
      <c r="J729" s="346"/>
      <c r="K729" s="551">
        <v>554</v>
      </c>
      <c r="L729" s="552">
        <v>548</v>
      </c>
      <c r="M729" s="552">
        <v>564</v>
      </c>
      <c r="N729" s="552">
        <v>575</v>
      </c>
      <c r="O729" s="552">
        <v>607</v>
      </c>
      <c r="P729" s="551">
        <v>607</v>
      </c>
      <c r="Q729" s="552">
        <v>605</v>
      </c>
      <c r="R729" s="553">
        <v>605</v>
      </c>
      <c r="S729" s="552">
        <v>681</v>
      </c>
      <c r="T729" s="552">
        <v>725</v>
      </c>
      <c r="U729" s="551">
        <v>725</v>
      </c>
      <c r="V729" s="553">
        <v>725</v>
      </c>
      <c r="W729" s="346">
        <v>776</v>
      </c>
      <c r="X729" s="552">
        <v>884</v>
      </c>
      <c r="Y729" s="552">
        <v>912</v>
      </c>
      <c r="Z729" s="551">
        <v>912</v>
      </c>
      <c r="AA729" s="553">
        <v>912</v>
      </c>
      <c r="AB729" s="552">
        <v>915</v>
      </c>
      <c r="AC729" s="552">
        <v>944</v>
      </c>
      <c r="AD729" s="552">
        <v>981</v>
      </c>
      <c r="AE729" s="551">
        <v>981</v>
      </c>
      <c r="AF729" s="552">
        <v>1012</v>
      </c>
      <c r="AG729" s="552">
        <v>1053</v>
      </c>
      <c r="AH729" s="552">
        <v>1089</v>
      </c>
      <c r="AI729" s="553">
        <v>1089</v>
      </c>
      <c r="AJ729" s="551">
        <v>1089</v>
      </c>
      <c r="AK729" s="552">
        <v>1078</v>
      </c>
      <c r="AL729" s="552">
        <v>1074</v>
      </c>
      <c r="AM729" s="552">
        <v>1094</v>
      </c>
      <c r="AN729" s="552">
        <v>1111</v>
      </c>
      <c r="AO729" s="551">
        <v>1111</v>
      </c>
      <c r="AP729" s="552">
        <v>1115</v>
      </c>
      <c r="AQ729" s="552">
        <v>1160</v>
      </c>
      <c r="AR729" s="552">
        <v>1159</v>
      </c>
      <c r="AS729" s="552">
        <v>1162</v>
      </c>
      <c r="AT729" s="551">
        <v>1162</v>
      </c>
      <c r="AU729" s="552">
        <v>1162</v>
      </c>
      <c r="AV729" s="552">
        <v>1180</v>
      </c>
      <c r="AW729" s="552">
        <v>1217</v>
      </c>
      <c r="AX729" s="553">
        <v>1254</v>
      </c>
      <c r="AY729" s="551">
        <v>1254</v>
      </c>
      <c r="AZ729" s="552">
        <v>1254</v>
      </c>
      <c r="BA729" s="552">
        <v>1291</v>
      </c>
      <c r="BB729" s="552">
        <v>1291</v>
      </c>
      <c r="BC729" s="553">
        <v>1286</v>
      </c>
      <c r="BD729" s="551">
        <v>1286</v>
      </c>
      <c r="BE729" s="552">
        <v>1279</v>
      </c>
      <c r="BF729" s="552">
        <v>1315</v>
      </c>
      <c r="BG729" s="552">
        <v>1315</v>
      </c>
      <c r="BH729" s="553">
        <v>1378</v>
      </c>
      <c r="BI729" s="554">
        <v>1378</v>
      </c>
      <c r="BJ729" s="346">
        <v>1458.16</v>
      </c>
      <c r="BK729" s="346">
        <v>1539.2916363636364</v>
      </c>
      <c r="BL729" s="346">
        <v>1621.3504914285713</v>
      </c>
      <c r="BM729" s="346">
        <v>1662.8234803397681</v>
      </c>
      <c r="BN729" s="362">
        <v>1662.8234803397681</v>
      </c>
      <c r="BO729" s="346">
        <v>1704.5147481399713</v>
      </c>
      <c r="BP729" s="346">
        <v>1746.4198173135089</v>
      </c>
      <c r="BQ729" s="346">
        <v>1788.5344118329142</v>
      </c>
      <c r="BR729" s="346">
        <v>1788.5344118329142</v>
      </c>
      <c r="BS729" s="362">
        <v>1788.5344118329142</v>
      </c>
      <c r="BT729" s="362">
        <v>1830.8544433987556</v>
      </c>
      <c r="BU729" s="362">
        <v>1830.8544433987556</v>
      </c>
      <c r="BV729" s="362">
        <v>1830.8544433987556</v>
      </c>
      <c r="BW729" s="168"/>
    </row>
    <row r="730" spans="1:75" s="198" customFormat="1" ht="14.25" hidden="1" outlineLevel="3" x14ac:dyDescent="0.45">
      <c r="A730" s="396" t="s">
        <v>819</v>
      </c>
      <c r="B730" s="207"/>
      <c r="C730" s="208"/>
      <c r="D730" s="208"/>
      <c r="E730" s="208"/>
      <c r="F730" s="208"/>
      <c r="G730" s="209"/>
      <c r="H730" s="209"/>
      <c r="I730" s="209"/>
      <c r="J730" s="209"/>
      <c r="K730" s="555">
        <v>0.55400000000000005</v>
      </c>
      <c r="L730" s="556">
        <v>0.54800000000000004</v>
      </c>
      <c r="M730" s="556">
        <v>0.56399999999999995</v>
      </c>
      <c r="N730" s="556">
        <v>0.57499999999999996</v>
      </c>
      <c r="O730" s="556">
        <v>0.60699999999999998</v>
      </c>
      <c r="P730" s="555">
        <v>0.60699999999999998</v>
      </c>
      <c r="Q730" s="556">
        <v>0.60499999999999998</v>
      </c>
      <c r="R730" s="556">
        <v>0.60499999999999998</v>
      </c>
      <c r="S730" s="556">
        <v>0.68100000000000005</v>
      </c>
      <c r="T730" s="556">
        <v>0.72499999999999998</v>
      </c>
      <c r="U730" s="555">
        <v>0.72499999999999998</v>
      </c>
      <c r="V730" s="556">
        <v>0.72499999999999998</v>
      </c>
      <c r="W730" s="209">
        <v>0.77600000000000002</v>
      </c>
      <c r="X730" s="556">
        <v>0.88400000000000001</v>
      </c>
      <c r="Y730" s="556">
        <v>0.91200000000000003</v>
      </c>
      <c r="Z730" s="555">
        <v>0.91200000000000003</v>
      </c>
      <c r="AA730" s="556">
        <v>0.91200000000000003</v>
      </c>
      <c r="AB730" s="556">
        <v>0.91500000000000004</v>
      </c>
      <c r="AC730" s="556">
        <v>0.94399999999999995</v>
      </c>
      <c r="AD730" s="556">
        <v>0.98099999999999998</v>
      </c>
      <c r="AE730" s="555">
        <v>0.98099999999999998</v>
      </c>
      <c r="AF730" s="556">
        <v>1.012</v>
      </c>
      <c r="AG730" s="556">
        <v>1.0529999999999999</v>
      </c>
      <c r="AH730" s="556">
        <v>1.089</v>
      </c>
      <c r="AI730" s="556">
        <v>1.089</v>
      </c>
      <c r="AJ730" s="555">
        <v>1.089</v>
      </c>
      <c r="AK730" s="556">
        <v>1.0780000000000001</v>
      </c>
      <c r="AL730" s="556">
        <v>1.0740000000000001</v>
      </c>
      <c r="AM730" s="556">
        <v>1.0940000000000001</v>
      </c>
      <c r="AN730" s="556">
        <v>1.111</v>
      </c>
      <c r="AO730" s="555">
        <v>1.111</v>
      </c>
      <c r="AP730" s="556">
        <v>1.115</v>
      </c>
      <c r="AQ730" s="556">
        <v>1.1599999999999999</v>
      </c>
      <c r="AR730" s="556">
        <v>1.159</v>
      </c>
      <c r="AS730" s="556">
        <v>1.1619999999999999</v>
      </c>
      <c r="AT730" s="555">
        <v>1.1619999999999999</v>
      </c>
      <c r="AU730" s="556">
        <v>1.1619999999999999</v>
      </c>
      <c r="AV730" s="556">
        <v>1.18</v>
      </c>
      <c r="AW730" s="556">
        <v>1.2170000000000001</v>
      </c>
      <c r="AX730" s="556">
        <v>1.254</v>
      </c>
      <c r="AY730" s="555">
        <v>1.254</v>
      </c>
      <c r="AZ730" s="556">
        <v>1.254</v>
      </c>
      <c r="BA730" s="209">
        <v>1.2909999999999999</v>
      </c>
      <c r="BB730" s="556">
        <v>1.2909999999999999</v>
      </c>
      <c r="BC730" s="556">
        <v>1.286</v>
      </c>
      <c r="BD730" s="555">
        <v>1.286</v>
      </c>
      <c r="BE730" s="556">
        <v>1.2789999999999999</v>
      </c>
      <c r="BF730" s="209">
        <v>1.3149999999999999</v>
      </c>
      <c r="BG730" s="556">
        <v>1.3149999999999999</v>
      </c>
      <c r="BH730" s="556">
        <v>1.3779999999999999</v>
      </c>
      <c r="BI730" s="557">
        <v>1.3779999999999999</v>
      </c>
      <c r="BJ730" s="209"/>
      <c r="BK730" s="209"/>
      <c r="BL730" s="209"/>
      <c r="BM730" s="209"/>
      <c r="BN730" s="208"/>
      <c r="BO730" s="209"/>
      <c r="BP730" s="209"/>
      <c r="BQ730" s="209"/>
      <c r="BR730" s="209"/>
      <c r="BS730" s="208"/>
      <c r="BT730" s="208"/>
      <c r="BU730" s="208"/>
      <c r="BV730" s="208"/>
      <c r="BW730" s="197"/>
    </row>
    <row r="731" spans="1:75" s="169" customFormat="1" ht="14.25" hidden="1" outlineLevel="2" collapsed="1" x14ac:dyDescent="0.45">
      <c r="A731" s="558" t="s">
        <v>820</v>
      </c>
      <c r="B731" s="247"/>
      <c r="C731" s="532">
        <v>660</v>
      </c>
      <c r="D731" s="532">
        <v>641</v>
      </c>
      <c r="E731" s="532">
        <v>580</v>
      </c>
      <c r="F731" s="532">
        <v>504</v>
      </c>
      <c r="G731" s="559">
        <v>510</v>
      </c>
      <c r="H731" s="559">
        <v>521</v>
      </c>
      <c r="I731" s="559">
        <v>521</v>
      </c>
      <c r="J731" s="245">
        <v>522</v>
      </c>
      <c r="K731" s="532">
        <v>522</v>
      </c>
      <c r="L731" s="559">
        <v>553</v>
      </c>
      <c r="M731" s="559">
        <v>556</v>
      </c>
      <c r="N731" s="559">
        <v>565</v>
      </c>
      <c r="O731" s="245">
        <v>567</v>
      </c>
      <c r="P731" s="532">
        <v>567</v>
      </c>
      <c r="Q731" s="559">
        <v>606</v>
      </c>
      <c r="R731" s="559">
        <v>605</v>
      </c>
      <c r="S731" s="559">
        <v>624</v>
      </c>
      <c r="T731" s="245">
        <v>641</v>
      </c>
      <c r="U731" s="532">
        <v>641</v>
      </c>
      <c r="V731" s="559">
        <v>725</v>
      </c>
      <c r="W731" s="559">
        <v>761</v>
      </c>
      <c r="X731" s="559">
        <v>816</v>
      </c>
      <c r="Y731" s="288">
        <v>802</v>
      </c>
      <c r="Z731" s="532">
        <v>802</v>
      </c>
      <c r="AA731" s="559">
        <v>912</v>
      </c>
      <c r="AB731" s="559">
        <v>913</v>
      </c>
      <c r="AC731" s="559">
        <v>918</v>
      </c>
      <c r="AD731" s="288">
        <v>916</v>
      </c>
      <c r="AE731" s="532">
        <v>916</v>
      </c>
      <c r="AF731" s="559">
        <v>984</v>
      </c>
      <c r="AG731" s="559">
        <v>1035</v>
      </c>
      <c r="AH731" s="559">
        <v>1069</v>
      </c>
      <c r="AI731" s="559">
        <v>1089</v>
      </c>
      <c r="AJ731" s="532">
        <v>1047</v>
      </c>
      <c r="AK731" s="559">
        <v>1084</v>
      </c>
      <c r="AL731" s="559">
        <v>1075</v>
      </c>
      <c r="AM731" s="559">
        <v>1074</v>
      </c>
      <c r="AN731" s="559">
        <v>1109</v>
      </c>
      <c r="AO731" s="532">
        <v>1088</v>
      </c>
      <c r="AP731" s="559">
        <v>1114</v>
      </c>
      <c r="AQ731" s="559">
        <v>1133</v>
      </c>
      <c r="AR731" s="559">
        <v>1159</v>
      </c>
      <c r="AS731" s="559">
        <v>1159</v>
      </c>
      <c r="AT731" s="532">
        <v>1141</v>
      </c>
      <c r="AU731" s="559">
        <v>1162</v>
      </c>
      <c r="AV731" s="559">
        <v>1183</v>
      </c>
      <c r="AW731" s="559">
        <v>1197</v>
      </c>
      <c r="AX731" s="559">
        <v>1246</v>
      </c>
      <c r="AY731" s="532">
        <v>1197</v>
      </c>
      <c r="AZ731" s="559">
        <v>1254</v>
      </c>
      <c r="BA731" s="559">
        <v>1286</v>
      </c>
      <c r="BB731" s="559">
        <v>1291</v>
      </c>
      <c r="BC731" s="559">
        <v>1291</v>
      </c>
      <c r="BD731" s="532">
        <v>1281</v>
      </c>
      <c r="BE731" s="559">
        <v>1285</v>
      </c>
      <c r="BF731" s="559">
        <v>1299</v>
      </c>
      <c r="BG731" s="559">
        <v>1315</v>
      </c>
      <c r="BH731" s="245"/>
      <c r="BI731" s="560">
        <v>1318</v>
      </c>
      <c r="BJ731" s="245"/>
      <c r="BK731" s="245"/>
      <c r="BL731" s="245"/>
      <c r="BM731" s="245"/>
      <c r="BN731" s="244"/>
      <c r="BO731" s="245"/>
      <c r="BP731" s="245"/>
      <c r="BQ731" s="245"/>
      <c r="BR731" s="245"/>
      <c r="BS731" s="244"/>
      <c r="BT731" s="244"/>
      <c r="BU731" s="244"/>
      <c r="BV731" s="244"/>
      <c r="BW731" s="168"/>
    </row>
    <row r="732" spans="1:75" s="198" customFormat="1" ht="14.25" hidden="1" outlineLevel="2" x14ac:dyDescent="0.45">
      <c r="A732" s="291"/>
      <c r="B732" s="243"/>
      <c r="C732" s="293"/>
      <c r="D732" s="293"/>
      <c r="E732" s="293"/>
      <c r="F732" s="293"/>
      <c r="G732" s="294"/>
      <c r="H732" s="294"/>
      <c r="I732" s="294"/>
      <c r="J732" s="294"/>
      <c r="K732" s="293"/>
      <c r="L732" s="294"/>
      <c r="M732" s="294"/>
      <c r="N732" s="294"/>
      <c r="O732" s="294"/>
      <c r="P732" s="293"/>
      <c r="Q732" s="294"/>
      <c r="R732" s="294"/>
      <c r="S732" s="294"/>
      <c r="T732" s="294"/>
      <c r="U732" s="293"/>
      <c r="V732" s="294"/>
      <c r="W732" s="294"/>
      <c r="X732" s="294"/>
      <c r="Y732" s="295"/>
      <c r="Z732" s="293"/>
      <c r="AA732" s="295"/>
      <c r="AB732" s="295"/>
      <c r="AC732" s="294"/>
      <c r="AD732" s="295"/>
      <c r="AE732" s="293"/>
      <c r="AF732" s="295"/>
      <c r="AG732" s="295"/>
      <c r="AH732" s="294"/>
      <c r="AI732" s="295"/>
      <c r="AJ732" s="293"/>
      <c r="AK732" s="295"/>
      <c r="AL732" s="295"/>
      <c r="AM732" s="294"/>
      <c r="AN732" s="295"/>
      <c r="AO732" s="293"/>
      <c r="AP732" s="295"/>
      <c r="AQ732" s="295"/>
      <c r="AR732" s="296"/>
      <c r="AS732" s="295"/>
      <c r="AT732" s="293"/>
      <c r="AU732" s="295"/>
      <c r="AV732" s="295"/>
      <c r="AW732" s="296"/>
      <c r="AX732" s="295"/>
      <c r="AY732" s="293"/>
      <c r="AZ732" s="295"/>
      <c r="BA732" s="295"/>
      <c r="BB732" s="296"/>
      <c r="BC732" s="295"/>
      <c r="BD732" s="293"/>
      <c r="BE732" s="295"/>
      <c r="BF732" s="295"/>
      <c r="BG732" s="296"/>
      <c r="BH732" s="295"/>
      <c r="BI732" s="297"/>
      <c r="BJ732" s="295"/>
      <c r="BK732" s="295"/>
      <c r="BL732" s="295"/>
      <c r="BM732" s="295"/>
      <c r="BN732" s="293"/>
      <c r="BO732" s="295"/>
      <c r="BP732" s="295"/>
      <c r="BQ732" s="295"/>
      <c r="BR732" s="295"/>
      <c r="BS732" s="293"/>
      <c r="BT732" s="293"/>
      <c r="BU732" s="293"/>
      <c r="BV732" s="293"/>
      <c r="BW732" s="197"/>
    </row>
    <row r="733" spans="1:75" s="169" customFormat="1" ht="14.25" hidden="1" outlineLevel="2" x14ac:dyDescent="0.45">
      <c r="A733" s="291" t="s">
        <v>821</v>
      </c>
      <c r="B733" s="561"/>
      <c r="C733" s="244"/>
      <c r="D733" s="244"/>
      <c r="E733" s="244">
        <v>970</v>
      </c>
      <c r="F733" s="244">
        <v>808</v>
      </c>
      <c r="G733" s="245">
        <v>768</v>
      </c>
      <c r="H733" s="245">
        <v>796</v>
      </c>
      <c r="I733" s="245">
        <v>796</v>
      </c>
      <c r="J733" s="245">
        <v>796</v>
      </c>
      <c r="K733" s="244">
        <v>768</v>
      </c>
      <c r="L733" s="245">
        <v>798</v>
      </c>
      <c r="M733" s="245">
        <v>792</v>
      </c>
      <c r="N733" s="245">
        <v>810</v>
      </c>
      <c r="O733" s="245">
        <v>821</v>
      </c>
      <c r="P733" s="244">
        <v>798</v>
      </c>
      <c r="Q733" s="245">
        <v>861</v>
      </c>
      <c r="R733" s="245">
        <v>857</v>
      </c>
      <c r="S733" s="245">
        <v>855</v>
      </c>
      <c r="T733" s="245">
        <v>958</v>
      </c>
      <c r="U733" s="244">
        <v>861</v>
      </c>
      <c r="V733" s="245">
        <v>1011</v>
      </c>
      <c r="W733" s="245">
        <v>1011</v>
      </c>
      <c r="X733" s="245">
        <v>1084</v>
      </c>
      <c r="Y733" s="247">
        <v>1208</v>
      </c>
      <c r="Z733" s="244">
        <v>1011</v>
      </c>
      <c r="AA733" s="247">
        <v>1242</v>
      </c>
      <c r="AB733" s="247">
        <v>1242</v>
      </c>
      <c r="AC733" s="245">
        <v>1248</v>
      </c>
      <c r="AD733" s="247">
        <v>1276</v>
      </c>
      <c r="AE733" s="244">
        <v>1242</v>
      </c>
      <c r="AF733" s="247">
        <v>1318</v>
      </c>
      <c r="AG733" s="247">
        <v>1358</v>
      </c>
      <c r="AH733" s="245">
        <v>1414</v>
      </c>
      <c r="AI733" s="247">
        <v>1467</v>
      </c>
      <c r="AJ733" s="244">
        <v>1318</v>
      </c>
      <c r="AK733" s="247">
        <v>1467</v>
      </c>
      <c r="AL733" s="247">
        <v>1454</v>
      </c>
      <c r="AM733" s="245">
        <v>1451</v>
      </c>
      <c r="AN733" s="247">
        <v>1480</v>
      </c>
      <c r="AO733" s="244">
        <v>1467</v>
      </c>
      <c r="AP733" s="247">
        <v>1497</v>
      </c>
      <c r="AQ733" s="247">
        <v>1502</v>
      </c>
      <c r="AR733" s="248">
        <v>1560</v>
      </c>
      <c r="AS733" s="247">
        <v>1558</v>
      </c>
      <c r="AT733" s="244">
        <v>1497</v>
      </c>
      <c r="AU733" s="247">
        <v>1559</v>
      </c>
      <c r="AV733" s="247">
        <v>1559</v>
      </c>
      <c r="AW733" s="248">
        <v>1580</v>
      </c>
      <c r="AX733" s="247">
        <v>1624</v>
      </c>
      <c r="AY733" s="244">
        <v>1559</v>
      </c>
      <c r="AZ733" s="247">
        <v>1672</v>
      </c>
      <c r="BA733" s="247">
        <v>1672</v>
      </c>
      <c r="BB733" s="248">
        <v>1737</v>
      </c>
      <c r="BC733" s="247">
        <v>1737</v>
      </c>
      <c r="BD733" s="244">
        <v>1672</v>
      </c>
      <c r="BE733" s="247">
        <v>1729</v>
      </c>
      <c r="BF733" s="247">
        <v>1733</v>
      </c>
      <c r="BG733" s="248">
        <v>1791</v>
      </c>
      <c r="BH733" s="247">
        <v>1791</v>
      </c>
      <c r="BI733" s="249">
        <v>1729</v>
      </c>
      <c r="BJ733" s="247"/>
      <c r="BK733" s="247"/>
      <c r="BL733" s="247"/>
      <c r="BM733" s="247"/>
      <c r="BN733" s="244"/>
      <c r="BO733" s="247"/>
      <c r="BP733" s="247"/>
      <c r="BQ733" s="247"/>
      <c r="BR733" s="247"/>
      <c r="BS733" s="244"/>
      <c r="BT733" s="244"/>
      <c r="BU733" s="244"/>
      <c r="BV733" s="244"/>
      <c r="BW733" s="168"/>
    </row>
    <row r="734" spans="1:75" s="224" customFormat="1" hidden="1" outlineLevel="2" x14ac:dyDescent="0.5">
      <c r="A734" s="330" t="s">
        <v>822</v>
      </c>
      <c r="B734" s="258"/>
      <c r="C734" s="252"/>
      <c r="D734" s="252"/>
      <c r="E734" s="252">
        <v>-162</v>
      </c>
      <c r="F734" s="252">
        <v>-40</v>
      </c>
      <c r="G734" s="253">
        <v>28</v>
      </c>
      <c r="H734" s="253">
        <v>0</v>
      </c>
      <c r="I734" s="253">
        <v>0</v>
      </c>
      <c r="J734" s="253">
        <v>2</v>
      </c>
      <c r="K734" s="252">
        <v>30</v>
      </c>
      <c r="L734" s="253">
        <v>-6</v>
      </c>
      <c r="M734" s="253">
        <v>18</v>
      </c>
      <c r="N734" s="253">
        <v>11</v>
      </c>
      <c r="O734" s="253">
        <v>40</v>
      </c>
      <c r="P734" s="252">
        <v>63</v>
      </c>
      <c r="Q734" s="253">
        <v>-4</v>
      </c>
      <c r="R734" s="253">
        <v>-2</v>
      </c>
      <c r="S734" s="253">
        <v>103</v>
      </c>
      <c r="T734" s="253">
        <v>53</v>
      </c>
      <c r="U734" s="252">
        <v>150</v>
      </c>
      <c r="V734" s="253">
        <v>0</v>
      </c>
      <c r="W734" s="253">
        <v>73</v>
      </c>
      <c r="X734" s="253">
        <v>124</v>
      </c>
      <c r="Y734" s="254">
        <v>34</v>
      </c>
      <c r="Z734" s="252">
        <v>231</v>
      </c>
      <c r="AA734" s="254">
        <v>0</v>
      </c>
      <c r="AB734" s="254">
        <v>6</v>
      </c>
      <c r="AC734" s="253">
        <v>28</v>
      </c>
      <c r="AD734" s="254">
        <v>42</v>
      </c>
      <c r="AE734" s="252">
        <v>76</v>
      </c>
      <c r="AF734" s="254">
        <v>40</v>
      </c>
      <c r="AG734" s="254">
        <v>56</v>
      </c>
      <c r="AH734" s="253">
        <v>53</v>
      </c>
      <c r="AI734" s="254">
        <v>0</v>
      </c>
      <c r="AJ734" s="252">
        <v>149</v>
      </c>
      <c r="AK734" s="254">
        <v>-13</v>
      </c>
      <c r="AL734" s="254">
        <v>-3</v>
      </c>
      <c r="AM734" s="253">
        <v>29</v>
      </c>
      <c r="AN734" s="254">
        <v>17</v>
      </c>
      <c r="AO734" s="252">
        <v>30</v>
      </c>
      <c r="AP734" s="254">
        <v>5</v>
      </c>
      <c r="AQ734" s="254">
        <v>58</v>
      </c>
      <c r="AR734" s="255">
        <v>-2</v>
      </c>
      <c r="AS734" s="254">
        <v>1</v>
      </c>
      <c r="AT734" s="252">
        <v>62</v>
      </c>
      <c r="AU734" s="254">
        <v>0</v>
      </c>
      <c r="AV734" s="254">
        <v>21</v>
      </c>
      <c r="AW734" s="255">
        <v>44</v>
      </c>
      <c r="AX734" s="254">
        <v>48</v>
      </c>
      <c r="AY734" s="252">
        <v>113</v>
      </c>
      <c r="AZ734" s="254">
        <v>0</v>
      </c>
      <c r="BA734" s="254">
        <v>65</v>
      </c>
      <c r="BB734" s="255">
        <v>0</v>
      </c>
      <c r="BC734" s="254">
        <v>-8</v>
      </c>
      <c r="BD734" s="252">
        <v>57</v>
      </c>
      <c r="BE734" s="254">
        <v>4</v>
      </c>
      <c r="BF734" s="254">
        <v>58</v>
      </c>
      <c r="BG734" s="255">
        <v>0</v>
      </c>
      <c r="BH734" s="254">
        <v>110</v>
      </c>
      <c r="BI734" s="260">
        <v>172</v>
      </c>
      <c r="BJ734" s="254"/>
      <c r="BK734" s="254"/>
      <c r="BL734" s="254"/>
      <c r="BM734" s="254"/>
      <c r="BN734" s="252"/>
      <c r="BO734" s="254"/>
      <c r="BP734" s="254"/>
      <c r="BQ734" s="254"/>
      <c r="BR734" s="254"/>
      <c r="BS734" s="252"/>
      <c r="BT734" s="252"/>
      <c r="BU734" s="252"/>
      <c r="BV734" s="252"/>
      <c r="BW734" s="223"/>
    </row>
    <row r="735" spans="1:75" s="169" customFormat="1" ht="14.25" hidden="1" outlineLevel="2" x14ac:dyDescent="0.45">
      <c r="A735" s="562" t="s">
        <v>823</v>
      </c>
      <c r="B735" s="287"/>
      <c r="C735" s="278"/>
      <c r="D735" s="279">
        <v>970</v>
      </c>
      <c r="E735" s="279">
        <v>808</v>
      </c>
      <c r="F735" s="279">
        <v>768</v>
      </c>
      <c r="G735" s="280">
        <v>796</v>
      </c>
      <c r="H735" s="280">
        <v>796</v>
      </c>
      <c r="I735" s="280">
        <v>796</v>
      </c>
      <c r="J735" s="283">
        <v>798</v>
      </c>
      <c r="K735" s="279">
        <v>798</v>
      </c>
      <c r="L735" s="280">
        <v>792</v>
      </c>
      <c r="M735" s="280">
        <v>810</v>
      </c>
      <c r="N735" s="280">
        <v>821</v>
      </c>
      <c r="O735" s="283">
        <v>861</v>
      </c>
      <c r="P735" s="279">
        <v>861</v>
      </c>
      <c r="Q735" s="280">
        <v>857</v>
      </c>
      <c r="R735" s="280">
        <v>855</v>
      </c>
      <c r="S735" s="280">
        <v>958</v>
      </c>
      <c r="T735" s="283">
        <v>1011</v>
      </c>
      <c r="U735" s="279">
        <v>1011</v>
      </c>
      <c r="V735" s="280">
        <v>1011</v>
      </c>
      <c r="W735" s="280">
        <v>1084</v>
      </c>
      <c r="X735" s="280">
        <v>1208</v>
      </c>
      <c r="Y735" s="281">
        <v>1242</v>
      </c>
      <c r="Z735" s="279">
        <v>1242</v>
      </c>
      <c r="AA735" s="280">
        <v>1242</v>
      </c>
      <c r="AB735" s="280">
        <v>1248</v>
      </c>
      <c r="AC735" s="280">
        <v>1276</v>
      </c>
      <c r="AD735" s="281">
        <v>1318</v>
      </c>
      <c r="AE735" s="279">
        <v>1318</v>
      </c>
      <c r="AF735" s="280">
        <v>1358</v>
      </c>
      <c r="AG735" s="280">
        <v>1414</v>
      </c>
      <c r="AH735" s="280">
        <v>1467</v>
      </c>
      <c r="AI735" s="281">
        <v>1467</v>
      </c>
      <c r="AJ735" s="279">
        <v>1467</v>
      </c>
      <c r="AK735" s="280">
        <v>1454</v>
      </c>
      <c r="AL735" s="280">
        <v>1451</v>
      </c>
      <c r="AM735" s="280">
        <v>1480</v>
      </c>
      <c r="AN735" s="281">
        <v>1497</v>
      </c>
      <c r="AO735" s="279">
        <v>1497</v>
      </c>
      <c r="AP735" s="280">
        <v>1502</v>
      </c>
      <c r="AQ735" s="280">
        <v>1560</v>
      </c>
      <c r="AR735" s="280">
        <v>1558</v>
      </c>
      <c r="AS735" s="281">
        <v>1559</v>
      </c>
      <c r="AT735" s="279">
        <v>1559</v>
      </c>
      <c r="AU735" s="280">
        <v>1559</v>
      </c>
      <c r="AV735" s="280">
        <v>1580</v>
      </c>
      <c r="AW735" s="280">
        <v>1624</v>
      </c>
      <c r="AX735" s="281">
        <v>1672</v>
      </c>
      <c r="AY735" s="279">
        <v>1672</v>
      </c>
      <c r="AZ735" s="280">
        <v>1672</v>
      </c>
      <c r="BA735" s="280">
        <v>1737</v>
      </c>
      <c r="BB735" s="280">
        <v>1737</v>
      </c>
      <c r="BC735" s="281">
        <v>1729</v>
      </c>
      <c r="BD735" s="279">
        <v>1729</v>
      </c>
      <c r="BE735" s="280">
        <v>1733</v>
      </c>
      <c r="BF735" s="280">
        <v>1791</v>
      </c>
      <c r="BG735" s="280">
        <v>1791</v>
      </c>
      <c r="BH735" s="283">
        <v>1901</v>
      </c>
      <c r="BI735" s="563">
        <v>1901</v>
      </c>
      <c r="BJ735" s="283"/>
      <c r="BK735" s="283"/>
      <c r="BL735" s="283"/>
      <c r="BM735" s="283"/>
      <c r="BN735" s="278"/>
      <c r="BO735" s="283"/>
      <c r="BP735" s="283"/>
      <c r="BQ735" s="283"/>
      <c r="BR735" s="283"/>
      <c r="BS735" s="278"/>
      <c r="BT735" s="278"/>
      <c r="BU735" s="278"/>
      <c r="BV735" s="278"/>
      <c r="BW735" s="168"/>
    </row>
    <row r="736" spans="1:75" s="177" customFormat="1" ht="14.25" hidden="1" outlineLevel="2" x14ac:dyDescent="0.45">
      <c r="A736" s="564" t="s">
        <v>824</v>
      </c>
      <c r="B736" s="378"/>
      <c r="C736" s="375"/>
      <c r="D736" s="375"/>
      <c r="E736" s="375"/>
      <c r="F736" s="375"/>
      <c r="G736" s="381">
        <v>3.6458333333333259E-2</v>
      </c>
      <c r="H736" s="381">
        <v>0</v>
      </c>
      <c r="I736" s="381">
        <v>0</v>
      </c>
      <c r="J736" s="381">
        <v>2.5125628140703071E-3</v>
      </c>
      <c r="K736" s="375"/>
      <c r="L736" s="381">
        <v>-7.5187969924812581E-3</v>
      </c>
      <c r="M736" s="381">
        <v>2.2727272727272707E-2</v>
      </c>
      <c r="N736" s="381">
        <v>1.3580246913580174E-2</v>
      </c>
      <c r="O736" s="381">
        <v>4.87210718635811E-2</v>
      </c>
      <c r="P736" s="375"/>
      <c r="Q736" s="381">
        <v>-4.6457607433216808E-3</v>
      </c>
      <c r="R736" s="381">
        <v>-2.333722287047868E-3</v>
      </c>
      <c r="S736" s="381">
        <v>0.12046783625730995</v>
      </c>
      <c r="T736" s="381">
        <v>5.5323590814196244E-2</v>
      </c>
      <c r="U736" s="375"/>
      <c r="V736" s="381">
        <v>0</v>
      </c>
      <c r="W736" s="381">
        <v>7.2205736894164207E-2</v>
      </c>
      <c r="X736" s="381">
        <v>0.11439114391143912</v>
      </c>
      <c r="Y736" s="376">
        <v>2.8145695364238499E-2</v>
      </c>
      <c r="Z736" s="375"/>
      <c r="AA736" s="376">
        <v>0</v>
      </c>
      <c r="AB736" s="376">
        <v>4.8309178743961567E-3</v>
      </c>
      <c r="AC736" s="381">
        <v>2.2435897435897356E-2</v>
      </c>
      <c r="AD736" s="376">
        <v>3.2915360501567292E-2</v>
      </c>
      <c r="AE736" s="375"/>
      <c r="AF736" s="376">
        <v>3.0349013657056112E-2</v>
      </c>
      <c r="AG736" s="376">
        <v>4.1237113402061931E-2</v>
      </c>
      <c r="AH736" s="381">
        <v>3.7482319660537389E-2</v>
      </c>
      <c r="AI736" s="376">
        <v>0</v>
      </c>
      <c r="AJ736" s="375"/>
      <c r="AK736" s="376">
        <v>-8.8616223585549214E-3</v>
      </c>
      <c r="AL736" s="376">
        <v>-2.0632737276479185E-3</v>
      </c>
      <c r="AM736" s="381">
        <v>1.9986216402481105E-2</v>
      </c>
      <c r="AN736" s="376">
        <v>1.1486486486486536E-2</v>
      </c>
      <c r="AO736" s="375"/>
      <c r="AP736" s="376">
        <v>3.3400133600534065E-3</v>
      </c>
      <c r="AQ736" s="376">
        <v>3.8615179760319585E-2</v>
      </c>
      <c r="AR736" s="381">
        <v>-1.2820512820512775E-3</v>
      </c>
      <c r="AS736" s="376">
        <v>6.4184852374848944E-4</v>
      </c>
      <c r="AT736" s="375"/>
      <c r="AU736" s="376">
        <v>0</v>
      </c>
      <c r="AV736" s="376">
        <v>1.347017318794097E-2</v>
      </c>
      <c r="AW736" s="381">
        <v>2.7848101265822711E-2</v>
      </c>
      <c r="AX736" s="376">
        <v>2.9556650246305383E-2</v>
      </c>
      <c r="AY736" s="375"/>
      <c r="AZ736" s="376">
        <v>0</v>
      </c>
      <c r="BA736" s="381">
        <v>3.8875598086124397E-2</v>
      </c>
      <c r="BB736" s="381">
        <v>0</v>
      </c>
      <c r="BC736" s="376">
        <v>-4.6056419113413849E-3</v>
      </c>
      <c r="BD736" s="375"/>
      <c r="BE736" s="376">
        <v>2.3134759976866093E-3</v>
      </c>
      <c r="BF736" s="381">
        <v>3.3467974610501994E-2</v>
      </c>
      <c r="BG736" s="381">
        <v>0</v>
      </c>
      <c r="BH736" s="381">
        <v>6.1418202121719778E-2</v>
      </c>
      <c r="BI736" s="379"/>
      <c r="BJ736" s="381"/>
      <c r="BK736" s="381"/>
      <c r="BL736" s="381"/>
      <c r="BM736" s="381"/>
      <c r="BN736" s="375"/>
      <c r="BO736" s="381"/>
      <c r="BP736" s="381"/>
      <c r="BQ736" s="381"/>
      <c r="BR736" s="381"/>
      <c r="BS736" s="375"/>
      <c r="BT736" s="375"/>
      <c r="BU736" s="375"/>
      <c r="BV736" s="375"/>
      <c r="BW736" s="176"/>
    </row>
    <row r="737" spans="1:75" s="177" customFormat="1" ht="14.25" hidden="1" outlineLevel="2" x14ac:dyDescent="0.45">
      <c r="A737" s="564" t="s">
        <v>825</v>
      </c>
      <c r="B737" s="378"/>
      <c r="C737" s="375"/>
      <c r="D737" s="375"/>
      <c r="E737" s="375">
        <v>-0.16701030927835048</v>
      </c>
      <c r="F737" s="375">
        <v>-4.9504950495049549E-2</v>
      </c>
      <c r="G737" s="381"/>
      <c r="H737" s="381"/>
      <c r="I737" s="381"/>
      <c r="J737" s="381"/>
      <c r="K737" s="375">
        <v>3.90625E-2</v>
      </c>
      <c r="L737" s="381">
        <v>-5.0251256281407253E-3</v>
      </c>
      <c r="M737" s="381">
        <v>1.7587939698492372E-2</v>
      </c>
      <c r="N737" s="381">
        <v>3.1407035175879505E-2</v>
      </c>
      <c r="O737" s="381">
        <v>7.8947368421052655E-2</v>
      </c>
      <c r="P737" s="375">
        <v>7.8947368421052655E-2</v>
      </c>
      <c r="Q737" s="381">
        <v>8.2070707070706961E-2</v>
      </c>
      <c r="R737" s="381">
        <v>5.555555555555558E-2</v>
      </c>
      <c r="S737" s="381">
        <v>0.16686967113276485</v>
      </c>
      <c r="T737" s="381">
        <v>0.17421602787456436</v>
      </c>
      <c r="U737" s="375">
        <v>0.17421602787456436</v>
      </c>
      <c r="V737" s="381">
        <v>0.17969661610268384</v>
      </c>
      <c r="W737" s="381">
        <v>0.26783625730994154</v>
      </c>
      <c r="X737" s="381">
        <v>0.26096033402922747</v>
      </c>
      <c r="Y737" s="376">
        <v>0.228486646884273</v>
      </c>
      <c r="Z737" s="375">
        <v>0.228486646884273</v>
      </c>
      <c r="AA737" s="376">
        <v>0.228486646884273</v>
      </c>
      <c r="AB737" s="376">
        <v>0.1512915129151291</v>
      </c>
      <c r="AC737" s="381">
        <v>5.6291390728476776E-2</v>
      </c>
      <c r="AD737" s="376">
        <v>6.1191626409017763E-2</v>
      </c>
      <c r="AE737" s="375">
        <v>6.1191626409017763E-2</v>
      </c>
      <c r="AF737" s="376">
        <v>9.3397745571658586E-2</v>
      </c>
      <c r="AG737" s="376">
        <v>0.13301282051282048</v>
      </c>
      <c r="AH737" s="381">
        <v>0.14968652037617547</v>
      </c>
      <c r="AI737" s="376">
        <v>0.11305007587253413</v>
      </c>
      <c r="AJ737" s="375">
        <v>0.11305007587253413</v>
      </c>
      <c r="AK737" s="376">
        <v>7.0692194403534581E-2</v>
      </c>
      <c r="AL737" s="376">
        <v>2.6166902404526127E-2</v>
      </c>
      <c r="AM737" s="381">
        <v>8.8616223585549214E-3</v>
      </c>
      <c r="AN737" s="376">
        <v>2.0449897750511203E-2</v>
      </c>
      <c r="AO737" s="375">
        <v>2.0449897750511203E-2</v>
      </c>
      <c r="AP737" s="376">
        <v>3.3012379642365808E-2</v>
      </c>
      <c r="AQ737" s="376">
        <v>7.5120606478290775E-2</v>
      </c>
      <c r="AR737" s="381">
        <v>5.270270270270272E-2</v>
      </c>
      <c r="AS737" s="376">
        <v>4.1416165664662552E-2</v>
      </c>
      <c r="AT737" s="375">
        <v>4.1416165664662552E-2</v>
      </c>
      <c r="AU737" s="376">
        <v>3.7949400798934718E-2</v>
      </c>
      <c r="AV737" s="376">
        <v>1.2820512820512775E-2</v>
      </c>
      <c r="AW737" s="381">
        <v>4.2362002567394086E-2</v>
      </c>
      <c r="AX737" s="376">
        <v>7.2482360487492015E-2</v>
      </c>
      <c r="AY737" s="375">
        <v>7.2482360487492015E-2</v>
      </c>
      <c r="AZ737" s="376">
        <v>7.2482360487492015E-2</v>
      </c>
      <c r="BA737" s="381">
        <v>9.9367088607595022E-2</v>
      </c>
      <c r="BB737" s="381">
        <v>6.9581280788177269E-2</v>
      </c>
      <c r="BC737" s="376">
        <v>3.4090909090909172E-2</v>
      </c>
      <c r="BD737" s="375">
        <v>3.4090909090909172E-2</v>
      </c>
      <c r="BE737" s="376">
        <v>3.6483253588516673E-2</v>
      </c>
      <c r="BF737" s="381">
        <v>3.1088082901554515E-2</v>
      </c>
      <c r="BG737" s="381">
        <v>3.1088082901554515E-2</v>
      </c>
      <c r="BH737" s="381">
        <v>9.9479467900520424E-2</v>
      </c>
      <c r="BI737" s="379">
        <v>9.9479467900520424E-2</v>
      </c>
      <c r="BJ737" s="381"/>
      <c r="BK737" s="381"/>
      <c r="BL737" s="381"/>
      <c r="BM737" s="381"/>
      <c r="BN737" s="375"/>
      <c r="BO737" s="381"/>
      <c r="BP737" s="381"/>
      <c r="BQ737" s="381"/>
      <c r="BR737" s="381"/>
      <c r="BS737" s="375"/>
      <c r="BT737" s="375"/>
      <c r="BU737" s="375"/>
      <c r="BV737" s="375"/>
      <c r="BW737" s="176"/>
    </row>
    <row r="738" spans="1:75" s="169" customFormat="1" ht="14.25" hidden="1" outlineLevel="2" x14ac:dyDescent="0.45">
      <c r="A738" s="558" t="s">
        <v>826</v>
      </c>
      <c r="B738" s="247"/>
      <c r="C738" s="532">
        <v>1042</v>
      </c>
      <c r="D738" s="532">
        <v>1014</v>
      </c>
      <c r="E738" s="532">
        <v>913</v>
      </c>
      <c r="F738" s="532">
        <v>784</v>
      </c>
      <c r="G738" s="559">
        <v>783</v>
      </c>
      <c r="H738" s="559">
        <v>796</v>
      </c>
      <c r="I738" s="559">
        <v>796</v>
      </c>
      <c r="J738" s="245">
        <v>793</v>
      </c>
      <c r="K738" s="532">
        <v>793</v>
      </c>
      <c r="L738" s="559">
        <v>783</v>
      </c>
      <c r="M738" s="559">
        <v>799</v>
      </c>
      <c r="N738" s="559">
        <v>814</v>
      </c>
      <c r="O738" s="245">
        <v>813</v>
      </c>
      <c r="P738" s="532">
        <v>813</v>
      </c>
      <c r="Q738" s="559">
        <v>846</v>
      </c>
      <c r="R738" s="559">
        <v>855</v>
      </c>
      <c r="S738" s="559">
        <v>886</v>
      </c>
      <c r="T738" s="245">
        <v>904</v>
      </c>
      <c r="U738" s="532">
        <v>904</v>
      </c>
      <c r="V738" s="559">
        <v>1011</v>
      </c>
      <c r="W738" s="559">
        <v>1062</v>
      </c>
      <c r="X738" s="559">
        <v>1146</v>
      </c>
      <c r="Y738" s="288">
        <v>1108</v>
      </c>
      <c r="Z738" s="532">
        <v>1108</v>
      </c>
      <c r="AA738" s="559">
        <v>1242</v>
      </c>
      <c r="AB738" s="559">
        <v>1243</v>
      </c>
      <c r="AC738" s="559">
        <v>1250</v>
      </c>
      <c r="AD738" s="288">
        <v>1248</v>
      </c>
      <c r="AE738" s="532">
        <v>1248</v>
      </c>
      <c r="AF738" s="559">
        <v>1323</v>
      </c>
      <c r="AG738" s="559">
        <v>1392</v>
      </c>
      <c r="AH738" s="559">
        <v>1439</v>
      </c>
      <c r="AI738" s="559">
        <v>1467</v>
      </c>
      <c r="AJ738" s="532">
        <v>1409</v>
      </c>
      <c r="AK738" s="559">
        <v>1461</v>
      </c>
      <c r="AL738" s="559">
        <v>1451</v>
      </c>
      <c r="AM738" s="559">
        <v>1462</v>
      </c>
      <c r="AN738" s="559">
        <v>1497</v>
      </c>
      <c r="AO738" s="532">
        <v>1468</v>
      </c>
      <c r="AP738" s="559">
        <v>1501</v>
      </c>
      <c r="AQ738" s="559">
        <v>1525</v>
      </c>
      <c r="AR738" s="559">
        <v>1559</v>
      </c>
      <c r="AS738" s="559">
        <v>1558</v>
      </c>
      <c r="AT738" s="532">
        <v>1536</v>
      </c>
      <c r="AU738" s="559">
        <v>1559</v>
      </c>
      <c r="AV738" s="559">
        <v>1588</v>
      </c>
      <c r="AW738" s="559">
        <v>1600</v>
      </c>
      <c r="AX738" s="559">
        <v>1662</v>
      </c>
      <c r="AY738" s="532">
        <v>1602</v>
      </c>
      <c r="AZ738" s="559">
        <v>1672</v>
      </c>
      <c r="BA738" s="559">
        <v>1728</v>
      </c>
      <c r="BB738" s="559">
        <v>1737</v>
      </c>
      <c r="BC738" s="559">
        <v>1737</v>
      </c>
      <c r="BD738" s="532">
        <v>1719</v>
      </c>
      <c r="BE738" s="559">
        <v>1729</v>
      </c>
      <c r="BF738" s="559">
        <v>1765</v>
      </c>
      <c r="BG738" s="559">
        <v>1791</v>
      </c>
      <c r="BH738" s="245"/>
      <c r="BI738" s="560">
        <v>1796</v>
      </c>
      <c r="BJ738" s="245"/>
      <c r="BK738" s="245"/>
      <c r="BL738" s="245"/>
      <c r="BM738" s="245"/>
      <c r="BN738" s="244"/>
      <c r="BO738" s="245"/>
      <c r="BP738" s="245"/>
      <c r="BQ738" s="245"/>
      <c r="BR738" s="245"/>
      <c r="BS738" s="244"/>
      <c r="BT738" s="244"/>
      <c r="BU738" s="244"/>
      <c r="BV738" s="244"/>
      <c r="BW738" s="168"/>
    </row>
    <row r="739" spans="1:75" s="198" customFormat="1" ht="14.25" hidden="1" outlineLevel="2" x14ac:dyDescent="0.45">
      <c r="A739" s="292"/>
      <c r="B739" s="243"/>
      <c r="C739" s="293"/>
      <c r="D739" s="293"/>
      <c r="E739" s="293"/>
      <c r="F739" s="293"/>
      <c r="G739" s="294"/>
      <c r="H739" s="294"/>
      <c r="I739" s="294"/>
      <c r="J739" s="294"/>
      <c r="K739" s="293"/>
      <c r="L739" s="294"/>
      <c r="M739" s="294"/>
      <c r="N739" s="294"/>
      <c r="O739" s="294"/>
      <c r="P739" s="293"/>
      <c r="Q739" s="294"/>
      <c r="R739" s="294"/>
      <c r="S739" s="294"/>
      <c r="T739" s="294"/>
      <c r="U739" s="293"/>
      <c r="V739" s="294"/>
      <c r="W739" s="294"/>
      <c r="X739" s="294"/>
      <c r="Y739" s="295"/>
      <c r="Z739" s="293"/>
      <c r="AA739" s="295"/>
      <c r="AB739" s="295"/>
      <c r="AC739" s="294"/>
      <c r="AD739" s="295"/>
      <c r="AE739" s="293"/>
      <c r="AF739" s="295"/>
      <c r="AG739" s="295"/>
      <c r="AH739" s="294"/>
      <c r="AI739" s="295"/>
      <c r="AJ739" s="293"/>
      <c r="AK739" s="295"/>
      <c r="AL739" s="295"/>
      <c r="AM739" s="294"/>
      <c r="AN739" s="295"/>
      <c r="AO739" s="293"/>
      <c r="AP739" s="295"/>
      <c r="AQ739" s="295"/>
      <c r="AR739" s="296"/>
      <c r="AS739" s="295"/>
      <c r="AT739" s="293"/>
      <c r="AU739" s="295"/>
      <c r="AV739" s="295"/>
      <c r="AW739" s="296"/>
      <c r="AX739" s="295"/>
      <c r="AY739" s="293"/>
      <c r="AZ739" s="295"/>
      <c r="BA739" s="295"/>
      <c r="BB739" s="296"/>
      <c r="BC739" s="295"/>
      <c r="BD739" s="293"/>
      <c r="BE739" s="295"/>
      <c r="BF739" s="295"/>
      <c r="BG739" s="296"/>
      <c r="BH739" s="295"/>
      <c r="BI739" s="297"/>
      <c r="BJ739" s="295"/>
      <c r="BK739" s="295"/>
      <c r="BL739" s="295"/>
      <c r="BM739" s="295"/>
      <c r="BN739" s="293"/>
      <c r="BO739" s="295"/>
      <c r="BP739" s="295"/>
      <c r="BQ739" s="295"/>
      <c r="BR739" s="295"/>
      <c r="BS739" s="293"/>
      <c r="BT739" s="293"/>
      <c r="BU739" s="293"/>
      <c r="BV739" s="293"/>
      <c r="BW739" s="197"/>
    </row>
    <row r="740" spans="1:75" s="169" customFormat="1" ht="14.25" hidden="1" outlineLevel="2" x14ac:dyDescent="0.45">
      <c r="A740" s="291" t="s">
        <v>827</v>
      </c>
      <c r="B740" s="561"/>
      <c r="C740" s="244"/>
      <c r="D740" s="244"/>
      <c r="E740" s="244"/>
      <c r="F740" s="244"/>
      <c r="G740" s="245"/>
      <c r="H740" s="245"/>
      <c r="I740" s="245"/>
      <c r="J740" s="245"/>
      <c r="K740" s="244"/>
      <c r="L740" s="245"/>
      <c r="M740" s="245"/>
      <c r="N740" s="245"/>
      <c r="O740" s="245"/>
      <c r="P740" s="244"/>
      <c r="Q740" s="245"/>
      <c r="R740" s="245"/>
      <c r="S740" s="245"/>
      <c r="T740" s="245"/>
      <c r="U740" s="244"/>
      <c r="V740" s="245"/>
      <c r="W740" s="245"/>
      <c r="X740" s="245"/>
      <c r="Y740" s="247"/>
      <c r="Z740" s="244"/>
      <c r="AA740" s="247"/>
      <c r="AB740" s="247"/>
      <c r="AC740" s="245"/>
      <c r="AD740" s="247"/>
      <c r="AE740" s="244"/>
      <c r="AF740" s="247"/>
      <c r="AG740" s="247"/>
      <c r="AH740" s="245"/>
      <c r="AI740" s="247"/>
      <c r="AJ740" s="244"/>
      <c r="AK740" s="247"/>
      <c r="AL740" s="247"/>
      <c r="AM740" s="245"/>
      <c r="AN740" s="247"/>
      <c r="AO740" s="244"/>
      <c r="AP740" s="247"/>
      <c r="AQ740" s="247"/>
      <c r="AR740" s="248"/>
      <c r="AS740" s="247"/>
      <c r="AT740" s="244">
        <v>1735</v>
      </c>
      <c r="AU740" s="247"/>
      <c r="AV740" s="247"/>
      <c r="AW740" s="248"/>
      <c r="AX740" s="247"/>
      <c r="AY740" s="244">
        <v>1825</v>
      </c>
      <c r="AZ740" s="247"/>
      <c r="BA740" s="247"/>
      <c r="BB740" s="248"/>
      <c r="BC740" s="247"/>
      <c r="BD740" s="244">
        <v>1981</v>
      </c>
      <c r="BE740" s="247"/>
      <c r="BF740" s="247"/>
      <c r="BG740" s="248"/>
      <c r="BH740" s="247"/>
      <c r="BI740" s="249">
        <v>2034</v>
      </c>
      <c r="BJ740" s="247"/>
      <c r="BK740" s="247"/>
      <c r="BL740" s="247"/>
      <c r="BM740" s="247"/>
      <c r="BN740" s="244"/>
      <c r="BO740" s="247"/>
      <c r="BP740" s="247"/>
      <c r="BQ740" s="247"/>
      <c r="BR740" s="247"/>
      <c r="BS740" s="244"/>
      <c r="BT740" s="244"/>
      <c r="BU740" s="244"/>
      <c r="BV740" s="244"/>
      <c r="BW740" s="168"/>
    </row>
    <row r="741" spans="1:75" s="224" customFormat="1" hidden="1" outlineLevel="2" x14ac:dyDescent="0.5">
      <c r="A741" s="330" t="s">
        <v>828</v>
      </c>
      <c r="B741" s="258"/>
      <c r="C741" s="252"/>
      <c r="D741" s="252"/>
      <c r="E741" s="252"/>
      <c r="F741" s="252"/>
      <c r="G741" s="253"/>
      <c r="H741" s="253"/>
      <c r="I741" s="253"/>
      <c r="J741" s="253"/>
      <c r="K741" s="252"/>
      <c r="L741" s="253"/>
      <c r="M741" s="253"/>
      <c r="N741" s="253"/>
      <c r="O741" s="253"/>
      <c r="P741" s="252"/>
      <c r="Q741" s="253"/>
      <c r="R741" s="253"/>
      <c r="S741" s="253"/>
      <c r="T741" s="253"/>
      <c r="U741" s="252"/>
      <c r="V741" s="253"/>
      <c r="W741" s="253"/>
      <c r="X741" s="253"/>
      <c r="Y741" s="254"/>
      <c r="Z741" s="252"/>
      <c r="AA741" s="254"/>
      <c r="AB741" s="254"/>
      <c r="AC741" s="253"/>
      <c r="AD741" s="254"/>
      <c r="AE741" s="252"/>
      <c r="AF741" s="254"/>
      <c r="AG741" s="254"/>
      <c r="AH741" s="253"/>
      <c r="AI741" s="254"/>
      <c r="AJ741" s="252"/>
      <c r="AK741" s="254"/>
      <c r="AL741" s="254"/>
      <c r="AM741" s="253"/>
      <c r="AN741" s="254"/>
      <c r="AO741" s="252"/>
      <c r="AP741" s="254"/>
      <c r="AQ741" s="254"/>
      <c r="AR741" s="255"/>
      <c r="AS741" s="254"/>
      <c r="AT741" s="252">
        <v>90</v>
      </c>
      <c r="AU741" s="254"/>
      <c r="AV741" s="254"/>
      <c r="AW741" s="255"/>
      <c r="AX741" s="254"/>
      <c r="AY741" s="252">
        <v>156</v>
      </c>
      <c r="AZ741" s="254"/>
      <c r="BA741" s="254"/>
      <c r="BB741" s="255"/>
      <c r="BC741" s="254"/>
      <c r="BD741" s="252">
        <v>53</v>
      </c>
      <c r="BE741" s="254"/>
      <c r="BF741" s="254"/>
      <c r="BG741" s="255"/>
      <c r="BH741" s="254"/>
      <c r="BI741" s="260">
        <v>81</v>
      </c>
      <c r="BJ741" s="254"/>
      <c r="BK741" s="254"/>
      <c r="BL741" s="254"/>
      <c r="BM741" s="254"/>
      <c r="BN741" s="252"/>
      <c r="BO741" s="254"/>
      <c r="BP741" s="254"/>
      <c r="BQ741" s="254"/>
      <c r="BR741" s="254"/>
      <c r="BS741" s="252"/>
      <c r="BT741" s="252"/>
      <c r="BU741" s="252"/>
      <c r="BV741" s="252"/>
      <c r="BW741" s="223"/>
    </row>
    <row r="742" spans="1:75" s="169" customFormat="1" ht="14.25" hidden="1" outlineLevel="2" x14ac:dyDescent="0.45">
      <c r="A742" s="343" t="s">
        <v>829</v>
      </c>
      <c r="B742" s="359"/>
      <c r="C742" s="278"/>
      <c r="D742" s="278"/>
      <c r="E742" s="278"/>
      <c r="F742" s="278"/>
      <c r="G742" s="283"/>
      <c r="H742" s="283"/>
      <c r="I742" s="283"/>
      <c r="J742" s="283"/>
      <c r="K742" s="278"/>
      <c r="L742" s="283"/>
      <c r="M742" s="283"/>
      <c r="N742" s="283"/>
      <c r="O742" s="283"/>
      <c r="P742" s="278"/>
      <c r="Q742" s="283"/>
      <c r="R742" s="283"/>
      <c r="S742" s="283"/>
      <c r="T742" s="283"/>
      <c r="U742" s="278"/>
      <c r="V742" s="283"/>
      <c r="W742" s="283"/>
      <c r="X742" s="283"/>
      <c r="Y742" s="287"/>
      <c r="Z742" s="278"/>
      <c r="AA742" s="287"/>
      <c r="AB742" s="287"/>
      <c r="AC742" s="283"/>
      <c r="AD742" s="287"/>
      <c r="AE742" s="278"/>
      <c r="AF742" s="287"/>
      <c r="AG742" s="287"/>
      <c r="AH742" s="283"/>
      <c r="AI742" s="287"/>
      <c r="AJ742" s="278"/>
      <c r="AK742" s="287"/>
      <c r="AL742" s="287"/>
      <c r="AM742" s="283"/>
      <c r="AN742" s="287"/>
      <c r="AO742" s="279">
        <v>1735</v>
      </c>
      <c r="AP742" s="287"/>
      <c r="AQ742" s="287"/>
      <c r="AR742" s="436"/>
      <c r="AS742" s="287"/>
      <c r="AT742" s="279">
        <v>1825</v>
      </c>
      <c r="AU742" s="287"/>
      <c r="AV742" s="287"/>
      <c r="AW742" s="436"/>
      <c r="AX742" s="287"/>
      <c r="AY742" s="279">
        <v>1981</v>
      </c>
      <c r="AZ742" s="287"/>
      <c r="BA742" s="287"/>
      <c r="BB742" s="436"/>
      <c r="BC742" s="287"/>
      <c r="BD742" s="279">
        <v>2034</v>
      </c>
      <c r="BE742" s="287"/>
      <c r="BF742" s="287"/>
      <c r="BG742" s="436"/>
      <c r="BH742" s="287"/>
      <c r="BI742" s="563">
        <v>2115</v>
      </c>
      <c r="BJ742" s="287"/>
      <c r="BK742" s="287"/>
      <c r="BL742" s="287"/>
      <c r="BM742" s="287"/>
      <c r="BN742" s="278"/>
      <c r="BO742" s="287"/>
      <c r="BP742" s="287"/>
      <c r="BQ742" s="287"/>
      <c r="BR742" s="287"/>
      <c r="BS742" s="278"/>
      <c r="BT742" s="278"/>
      <c r="BU742" s="278"/>
      <c r="BV742" s="278"/>
      <c r="BW742" s="168"/>
    </row>
    <row r="743" spans="1:75" s="198" customFormat="1" ht="14.25" hidden="1" outlineLevel="2" x14ac:dyDescent="0.45">
      <c r="A743" s="292"/>
      <c r="B743" s="243"/>
      <c r="C743" s="293"/>
      <c r="D743" s="293"/>
      <c r="E743" s="293"/>
      <c r="F743" s="293"/>
      <c r="G743" s="294"/>
      <c r="H743" s="294"/>
      <c r="I743" s="294"/>
      <c r="J743" s="294"/>
      <c r="K743" s="293"/>
      <c r="L743" s="294"/>
      <c r="M743" s="294"/>
      <c r="N743" s="294"/>
      <c r="O743" s="294"/>
      <c r="P743" s="293"/>
      <c r="Q743" s="294"/>
      <c r="R743" s="294"/>
      <c r="S743" s="294"/>
      <c r="T743" s="294"/>
      <c r="U743" s="293"/>
      <c r="V743" s="294"/>
      <c r="W743" s="294"/>
      <c r="X743" s="294"/>
      <c r="Y743" s="295"/>
      <c r="Z743" s="293"/>
      <c r="AA743" s="295"/>
      <c r="AB743" s="295"/>
      <c r="AC743" s="294"/>
      <c r="AD743" s="295"/>
      <c r="AE743" s="293"/>
      <c r="AF743" s="295"/>
      <c r="AG743" s="295"/>
      <c r="AH743" s="294"/>
      <c r="AI743" s="295"/>
      <c r="AJ743" s="293"/>
      <c r="AK743" s="295"/>
      <c r="AL743" s="295"/>
      <c r="AM743" s="294"/>
      <c r="AN743" s="295"/>
      <c r="AO743" s="293"/>
      <c r="AP743" s="295"/>
      <c r="AQ743" s="295"/>
      <c r="AR743" s="296"/>
      <c r="AS743" s="295"/>
      <c r="AT743" s="293"/>
      <c r="AU743" s="295"/>
      <c r="AV743" s="295"/>
      <c r="AW743" s="296"/>
      <c r="AX743" s="295"/>
      <c r="AY743" s="293"/>
      <c r="AZ743" s="295"/>
      <c r="BA743" s="295"/>
      <c r="BB743" s="296"/>
      <c r="BC743" s="295"/>
      <c r="BD743" s="293"/>
      <c r="BE743" s="295"/>
      <c r="BF743" s="295"/>
      <c r="BG743" s="296"/>
      <c r="BH743" s="295"/>
      <c r="BI743" s="297"/>
      <c r="BJ743" s="295"/>
      <c r="BK743" s="295"/>
      <c r="BL743" s="295"/>
      <c r="BM743" s="295"/>
      <c r="BN743" s="293"/>
      <c r="BO743" s="295"/>
      <c r="BP743" s="295"/>
      <c r="BQ743" s="295"/>
      <c r="BR743" s="295"/>
      <c r="BS743" s="293"/>
      <c r="BT743" s="293"/>
      <c r="BU743" s="293"/>
      <c r="BV743" s="293"/>
      <c r="BW743" s="197"/>
    </row>
    <row r="744" spans="1:75" s="224" customFormat="1" hidden="1" outlineLevel="2" x14ac:dyDescent="0.5">
      <c r="A744" s="435" t="s">
        <v>830</v>
      </c>
      <c r="B744" s="258"/>
      <c r="C744" s="252"/>
      <c r="D744" s="252"/>
      <c r="E744" s="252"/>
      <c r="F744" s="252"/>
      <c r="G744" s="253"/>
      <c r="H744" s="253"/>
      <c r="I744" s="253"/>
      <c r="J744" s="253"/>
      <c r="K744" s="252">
        <v>17700.000000000025</v>
      </c>
      <c r="L744" s="253">
        <v>17700.000000000029</v>
      </c>
      <c r="M744" s="253">
        <v>17083.333333333358</v>
      </c>
      <c r="N744" s="253">
        <v>18983.333333333358</v>
      </c>
      <c r="O744" s="253">
        <v>22857.142857142877</v>
      </c>
      <c r="P744" s="252">
        <v>22857.142857142877</v>
      </c>
      <c r="Q744" s="253">
        <v>22857.142857142877</v>
      </c>
      <c r="R744" s="253">
        <v>22857.142857142877</v>
      </c>
      <c r="S744" s="253">
        <v>27911.111111111124</v>
      </c>
      <c r="T744" s="253">
        <v>28730.000000000011</v>
      </c>
      <c r="U744" s="252">
        <v>28730.000000000011</v>
      </c>
      <c r="V744" s="253">
        <v>28730.000000000011</v>
      </c>
      <c r="W744" s="253">
        <v>28730.000000000011</v>
      </c>
      <c r="X744" s="253">
        <v>31384.615384615394</v>
      </c>
      <c r="Y744" s="254">
        <v>31692.857142857152</v>
      </c>
      <c r="Z744" s="252">
        <v>31692.857142857152</v>
      </c>
      <c r="AA744" s="254">
        <v>31692.857142857152</v>
      </c>
      <c r="AB744" s="254">
        <v>31692.857142857152</v>
      </c>
      <c r="AC744" s="253">
        <v>32466.666666666675</v>
      </c>
      <c r="AD744" s="254">
        <v>33343.750000000007</v>
      </c>
      <c r="AE744" s="252">
        <v>33343.750000000007</v>
      </c>
      <c r="AF744" s="254">
        <v>32911.76470588235</v>
      </c>
      <c r="AG744" s="254">
        <v>33616.666666666664</v>
      </c>
      <c r="AH744" s="253">
        <v>33115.000000000007</v>
      </c>
      <c r="AI744" s="254">
        <v>33115.000000000007</v>
      </c>
      <c r="AJ744" s="252">
        <v>33115.000000000007</v>
      </c>
      <c r="AK744" s="254">
        <v>33115.000000000007</v>
      </c>
      <c r="AL744" s="254">
        <v>33115.000000000007</v>
      </c>
      <c r="AM744" s="253">
        <v>33104.761904761908</v>
      </c>
      <c r="AN744" s="254">
        <v>33100</v>
      </c>
      <c r="AO744" s="259">
        <v>33100</v>
      </c>
      <c r="AP744" s="254">
        <v>33100</v>
      </c>
      <c r="AQ744" s="254">
        <v>33062.5</v>
      </c>
      <c r="AR744" s="253">
        <v>33062.5</v>
      </c>
      <c r="AS744" s="254">
        <v>33000</v>
      </c>
      <c r="AT744" s="259">
        <v>33000</v>
      </c>
      <c r="AU744" s="254">
        <v>33000</v>
      </c>
      <c r="AV744" s="254">
        <v>33200</v>
      </c>
      <c r="AW744" s="253">
        <v>33373.076923076922</v>
      </c>
      <c r="AX744" s="254">
        <v>33500</v>
      </c>
      <c r="AY744" s="259">
        <v>33500</v>
      </c>
      <c r="AZ744" s="254">
        <v>33500</v>
      </c>
      <c r="BA744" s="254">
        <v>33807.142857142855</v>
      </c>
      <c r="BB744" s="253">
        <v>33807.142857142855</v>
      </c>
      <c r="BC744" s="254">
        <v>33800</v>
      </c>
      <c r="BD744" s="259">
        <v>33800</v>
      </c>
      <c r="BE744" s="254">
        <v>34570.370370370372</v>
      </c>
      <c r="BF744" s="254">
        <v>34589.285714285717</v>
      </c>
      <c r="BG744" s="253">
        <v>34589.285714285717</v>
      </c>
      <c r="BH744" s="254">
        <v>33400.000000000007</v>
      </c>
      <c r="BI744" s="257">
        <v>33400</v>
      </c>
      <c r="BJ744" s="254">
        <v>33804.848484848495</v>
      </c>
      <c r="BK744" s="254">
        <v>34191.189610389614</v>
      </c>
      <c r="BL744" s="254">
        <v>34560.824092664094</v>
      </c>
      <c r="BM744" s="254">
        <v>34742.723166836011</v>
      </c>
      <c r="BN744" s="252">
        <v>34742.723166836011</v>
      </c>
      <c r="BO744" s="254">
        <v>34920.890977947987</v>
      </c>
      <c r="BP744" s="254">
        <v>35095.495432837735</v>
      </c>
      <c r="BQ744" s="254">
        <v>35266.692971534496</v>
      </c>
      <c r="BR744" s="254">
        <v>35266.692971534496</v>
      </c>
      <c r="BS744" s="252">
        <v>35266.692971534496</v>
      </c>
      <c r="BT744" s="252">
        <v>35434.629604732283</v>
      </c>
      <c r="BU744" s="252">
        <v>35434.629604732283</v>
      </c>
      <c r="BV744" s="252">
        <v>35434.629604732283</v>
      </c>
      <c r="BW744" s="223"/>
    </row>
    <row r="745" spans="1:75" s="224" customFormat="1" hidden="1" outlineLevel="2" x14ac:dyDescent="0.5">
      <c r="A745" s="435" t="s">
        <v>831</v>
      </c>
      <c r="B745" s="258"/>
      <c r="C745" s="252"/>
      <c r="D745" s="252"/>
      <c r="E745" s="252"/>
      <c r="F745" s="252"/>
      <c r="G745" s="253"/>
      <c r="H745" s="253"/>
      <c r="I745" s="253"/>
      <c r="J745" s="253"/>
      <c r="K745" s="252">
        <v>7335.4838709677415</v>
      </c>
      <c r="L745" s="253">
        <v>7363.9344262295081</v>
      </c>
      <c r="M745" s="253">
        <v>7644.0677966101694</v>
      </c>
      <c r="N745" s="253">
        <v>7644.0677966101694</v>
      </c>
      <c r="O745" s="253">
        <v>7661.4035087719294</v>
      </c>
      <c r="P745" s="252">
        <v>7661.4035087719294</v>
      </c>
      <c r="Q745" s="253">
        <v>7629.8245614035086</v>
      </c>
      <c r="R745" s="253">
        <v>7629.8245614035086</v>
      </c>
      <c r="S745" s="253">
        <v>7646.2962962962965</v>
      </c>
      <c r="T745" s="253">
        <v>7688.6792452830186</v>
      </c>
      <c r="U745" s="252">
        <v>7688.6792452830186</v>
      </c>
      <c r="V745" s="253">
        <v>7688.6792452830196</v>
      </c>
      <c r="W745" s="253">
        <v>7688.6792452830196</v>
      </c>
      <c r="X745" s="253">
        <v>7674.50980392157</v>
      </c>
      <c r="Y745" s="254">
        <v>7672</v>
      </c>
      <c r="Z745" s="252">
        <v>7672</v>
      </c>
      <c r="AA745" s="254">
        <v>7672.0000000000009</v>
      </c>
      <c r="AB745" s="254">
        <v>7672.0000000000009</v>
      </c>
      <c r="AC745" s="253">
        <v>7687.5000000000009</v>
      </c>
      <c r="AD745" s="254">
        <v>7700.0000000000009</v>
      </c>
      <c r="AE745" s="252">
        <v>7700.0000000000009</v>
      </c>
      <c r="AF745" s="254">
        <v>7765.217391304348</v>
      </c>
      <c r="AG745" s="254">
        <v>7829.545454545455</v>
      </c>
      <c r="AH745" s="253">
        <v>7513.9534883720926</v>
      </c>
      <c r="AI745" s="254">
        <v>7513.9534883720926</v>
      </c>
      <c r="AJ745" s="252">
        <v>7513.9534883720926</v>
      </c>
      <c r="AK745" s="254">
        <v>7453.4883720930229</v>
      </c>
      <c r="AL745" s="254">
        <v>7365.1162790697672</v>
      </c>
      <c r="AM745" s="253">
        <v>7223.8095238095239</v>
      </c>
      <c r="AN745" s="254">
        <v>7300</v>
      </c>
      <c r="AO745" s="259">
        <v>7300</v>
      </c>
      <c r="AP745" s="254">
        <v>7229.2682926829266</v>
      </c>
      <c r="AQ745" s="254">
        <v>7260.5263157894733</v>
      </c>
      <c r="AR745" s="253">
        <v>7260.5263157894733</v>
      </c>
      <c r="AS745" s="254">
        <v>7300</v>
      </c>
      <c r="AT745" s="259">
        <v>7300</v>
      </c>
      <c r="AU745" s="254">
        <v>7300</v>
      </c>
      <c r="AV745" s="254">
        <v>7270.27027027027</v>
      </c>
      <c r="AW745" s="253">
        <v>7430.5555555555557</v>
      </c>
      <c r="AX745" s="254">
        <v>7500</v>
      </c>
      <c r="AY745" s="259">
        <v>7500</v>
      </c>
      <c r="AZ745" s="254">
        <v>7500</v>
      </c>
      <c r="BA745" s="254">
        <v>7577.1428571428569</v>
      </c>
      <c r="BB745" s="253">
        <v>7577.1428571428569</v>
      </c>
      <c r="BC745" s="254">
        <v>7400</v>
      </c>
      <c r="BD745" s="259">
        <v>7400</v>
      </c>
      <c r="BE745" s="254">
        <v>7352.7777777777774</v>
      </c>
      <c r="BF745" s="254">
        <v>7394.4444444444443</v>
      </c>
      <c r="BG745" s="253">
        <v>7394.4444444444443</v>
      </c>
      <c r="BH745" s="254">
        <v>7400</v>
      </c>
      <c r="BI745" s="257">
        <v>7400</v>
      </c>
      <c r="BJ745" s="254">
        <v>7400</v>
      </c>
      <c r="BK745" s="254">
        <v>7400</v>
      </c>
      <c r="BL745" s="254">
        <v>7400</v>
      </c>
      <c r="BM745" s="254">
        <v>7400</v>
      </c>
      <c r="BN745" s="252">
        <v>7400</v>
      </c>
      <c r="BO745" s="254">
        <v>7400</v>
      </c>
      <c r="BP745" s="254">
        <v>7400</v>
      </c>
      <c r="BQ745" s="254">
        <v>7400</v>
      </c>
      <c r="BR745" s="254">
        <v>7400</v>
      </c>
      <c r="BS745" s="252">
        <v>7400</v>
      </c>
      <c r="BT745" s="252">
        <v>7400</v>
      </c>
      <c r="BU745" s="252">
        <v>7400</v>
      </c>
      <c r="BV745" s="252">
        <v>7400</v>
      </c>
      <c r="BW745" s="223"/>
    </row>
    <row r="746" spans="1:75" s="224" customFormat="1" hidden="1" outlineLevel="2" x14ac:dyDescent="0.5">
      <c r="A746" s="435" t="s">
        <v>832</v>
      </c>
      <c r="B746" s="258"/>
      <c r="C746" s="252"/>
      <c r="D746" s="252"/>
      <c r="E746" s="252"/>
      <c r="F746" s="252"/>
      <c r="G746" s="253"/>
      <c r="H746" s="253"/>
      <c r="I746" s="253"/>
      <c r="J746" s="253"/>
      <c r="K746" s="252">
        <v>0</v>
      </c>
      <c r="L746" s="253">
        <v>0</v>
      </c>
      <c r="M746" s="253">
        <v>0</v>
      </c>
      <c r="N746" s="253">
        <v>0</v>
      </c>
      <c r="O746" s="253">
        <v>0</v>
      </c>
      <c r="P746" s="252">
        <v>0</v>
      </c>
      <c r="Q746" s="253">
        <v>0</v>
      </c>
      <c r="R746" s="253">
        <v>0</v>
      </c>
      <c r="S746" s="253">
        <v>0</v>
      </c>
      <c r="T746" s="253">
        <v>12900.000000000002</v>
      </c>
      <c r="U746" s="252">
        <v>12900.000000000002</v>
      </c>
      <c r="V746" s="253">
        <v>12900.000000000002</v>
      </c>
      <c r="W746" s="253">
        <v>12900.000000000002</v>
      </c>
      <c r="X746" s="253">
        <v>12900.000000000002</v>
      </c>
      <c r="Y746" s="254">
        <v>12900.000000000002</v>
      </c>
      <c r="Z746" s="252">
        <v>12900.000000000002</v>
      </c>
      <c r="AA746" s="254">
        <v>12900.000000000002</v>
      </c>
      <c r="AB746" s="254">
        <v>12900.000000000002</v>
      </c>
      <c r="AC746" s="253">
        <v>12900.000000000002</v>
      </c>
      <c r="AD746" s="254">
        <v>12900.000000000002</v>
      </c>
      <c r="AE746" s="252">
        <v>12900.000000000002</v>
      </c>
      <c r="AF746" s="254">
        <v>10550</v>
      </c>
      <c r="AG746" s="254">
        <v>10550</v>
      </c>
      <c r="AH746" s="253">
        <v>10550</v>
      </c>
      <c r="AI746" s="254">
        <v>10550</v>
      </c>
      <c r="AJ746" s="252">
        <v>10550</v>
      </c>
      <c r="AK746" s="254">
        <v>8300</v>
      </c>
      <c r="AL746" s="254">
        <v>8300</v>
      </c>
      <c r="AM746" s="253">
        <v>8300</v>
      </c>
      <c r="AN746" s="254">
        <v>8300</v>
      </c>
      <c r="AO746" s="259">
        <v>8300</v>
      </c>
      <c r="AP746" s="254">
        <v>8300</v>
      </c>
      <c r="AQ746" s="254">
        <v>8300</v>
      </c>
      <c r="AR746" s="253">
        <v>8300</v>
      </c>
      <c r="AS746" s="254">
        <v>8300</v>
      </c>
      <c r="AT746" s="259">
        <v>8300</v>
      </c>
      <c r="AU746" s="254">
        <v>8300</v>
      </c>
      <c r="AV746" s="254">
        <v>12700.000000000002</v>
      </c>
      <c r="AW746" s="253">
        <v>12700.000000000002</v>
      </c>
      <c r="AX746" s="254">
        <v>12800</v>
      </c>
      <c r="AY746" s="259">
        <v>12800</v>
      </c>
      <c r="AZ746" s="254">
        <v>12800</v>
      </c>
      <c r="BA746" s="254">
        <v>12800</v>
      </c>
      <c r="BB746" s="253">
        <v>12800</v>
      </c>
      <c r="BC746" s="254">
        <v>12800</v>
      </c>
      <c r="BD746" s="259">
        <v>12800</v>
      </c>
      <c r="BE746" s="254">
        <v>12800</v>
      </c>
      <c r="BF746" s="254">
        <v>12800</v>
      </c>
      <c r="BG746" s="253">
        <v>12800</v>
      </c>
      <c r="BH746" s="254">
        <v>12800</v>
      </c>
      <c r="BI746" s="257">
        <v>12800</v>
      </c>
      <c r="BJ746" s="254">
        <v>12800</v>
      </c>
      <c r="BK746" s="254">
        <v>12800</v>
      </c>
      <c r="BL746" s="254">
        <v>12800</v>
      </c>
      <c r="BM746" s="254">
        <v>12800</v>
      </c>
      <c r="BN746" s="252">
        <v>12800</v>
      </c>
      <c r="BO746" s="254">
        <v>12800</v>
      </c>
      <c r="BP746" s="254">
        <v>12800</v>
      </c>
      <c r="BQ746" s="254">
        <v>12800</v>
      </c>
      <c r="BR746" s="254">
        <v>12800</v>
      </c>
      <c r="BS746" s="252">
        <v>12800</v>
      </c>
      <c r="BT746" s="252">
        <v>12800</v>
      </c>
      <c r="BU746" s="252">
        <v>12800</v>
      </c>
      <c r="BV746" s="252">
        <v>12800</v>
      </c>
      <c r="BW746" s="223"/>
    </row>
    <row r="747" spans="1:75" s="224" customFormat="1" hidden="1" outlineLevel="2" x14ac:dyDescent="0.5">
      <c r="A747" s="435" t="s">
        <v>833</v>
      </c>
      <c r="B747" s="258"/>
      <c r="C747" s="252"/>
      <c r="D747" s="252"/>
      <c r="E747" s="252"/>
      <c r="F747" s="252"/>
      <c r="G747" s="253"/>
      <c r="H747" s="253"/>
      <c r="I747" s="253"/>
      <c r="J747" s="253"/>
      <c r="K747" s="252">
        <v>3800.0000000000005</v>
      </c>
      <c r="L747" s="253">
        <v>3800.0000000000005</v>
      </c>
      <c r="M747" s="253">
        <v>3800.0000000000005</v>
      </c>
      <c r="N747" s="253">
        <v>3800.0000000000005</v>
      </c>
      <c r="O747" s="253">
        <v>3800.0000000000005</v>
      </c>
      <c r="P747" s="252">
        <v>3800.0000000000005</v>
      </c>
      <c r="Q747" s="253">
        <v>3800.0000000000005</v>
      </c>
      <c r="R747" s="253">
        <v>3800.0000000000005</v>
      </c>
      <c r="S747" s="253">
        <v>3620</v>
      </c>
      <c r="T747" s="253">
        <v>3620</v>
      </c>
      <c r="U747" s="252">
        <v>3620</v>
      </c>
      <c r="V747" s="253">
        <v>3620</v>
      </c>
      <c r="W747" s="253">
        <v>3620</v>
      </c>
      <c r="X747" s="253">
        <v>3620</v>
      </c>
      <c r="Y747" s="254">
        <v>3620</v>
      </c>
      <c r="Z747" s="252">
        <v>3620</v>
      </c>
      <c r="AA747" s="254">
        <v>3620</v>
      </c>
      <c r="AB747" s="254">
        <v>3620</v>
      </c>
      <c r="AC747" s="253">
        <v>3620</v>
      </c>
      <c r="AD747" s="254">
        <v>3900</v>
      </c>
      <c r="AE747" s="252">
        <v>3900</v>
      </c>
      <c r="AF747" s="254">
        <v>3900</v>
      </c>
      <c r="AG747" s="254">
        <v>4000</v>
      </c>
      <c r="AH747" s="253">
        <v>4000</v>
      </c>
      <c r="AI747" s="254">
        <v>4000</v>
      </c>
      <c r="AJ747" s="252">
        <v>4000</v>
      </c>
      <c r="AK747" s="254">
        <v>4060</v>
      </c>
      <c r="AL747" s="254">
        <v>4060</v>
      </c>
      <c r="AM747" s="253">
        <v>4060</v>
      </c>
      <c r="AN747" s="254">
        <v>3900</v>
      </c>
      <c r="AO747" s="259">
        <v>3900</v>
      </c>
      <c r="AP747" s="254">
        <v>3900</v>
      </c>
      <c r="AQ747" s="254">
        <v>3900</v>
      </c>
      <c r="AR747" s="253">
        <v>3900</v>
      </c>
      <c r="AS747" s="254">
        <v>3900</v>
      </c>
      <c r="AT747" s="259">
        <v>3900</v>
      </c>
      <c r="AU747" s="254">
        <v>3900</v>
      </c>
      <c r="AV747" s="254">
        <v>2766.6666666666665</v>
      </c>
      <c r="AW747" s="253">
        <v>2766.6666666666665</v>
      </c>
      <c r="AX747" s="254">
        <v>2800</v>
      </c>
      <c r="AY747" s="259">
        <v>2800</v>
      </c>
      <c r="AZ747" s="254">
        <v>2800</v>
      </c>
      <c r="BA747" s="254">
        <v>2800</v>
      </c>
      <c r="BB747" s="253">
        <v>2800</v>
      </c>
      <c r="BC747" s="254">
        <v>2800</v>
      </c>
      <c r="BD747" s="259">
        <v>2800</v>
      </c>
      <c r="BE747" s="254">
        <v>2800</v>
      </c>
      <c r="BF747" s="254">
        <v>2800</v>
      </c>
      <c r="BG747" s="253">
        <v>2800</v>
      </c>
      <c r="BH747" s="254">
        <v>2800</v>
      </c>
      <c r="BI747" s="257">
        <v>2800</v>
      </c>
      <c r="BJ747" s="254">
        <v>2800</v>
      </c>
      <c r="BK747" s="254">
        <v>2800</v>
      </c>
      <c r="BL747" s="254">
        <v>2800</v>
      </c>
      <c r="BM747" s="254">
        <v>2800</v>
      </c>
      <c r="BN747" s="252">
        <v>2800</v>
      </c>
      <c r="BO747" s="254">
        <v>2800</v>
      </c>
      <c r="BP747" s="254">
        <v>2800</v>
      </c>
      <c r="BQ747" s="254">
        <v>2800</v>
      </c>
      <c r="BR747" s="254">
        <v>2800</v>
      </c>
      <c r="BS747" s="252">
        <v>2800</v>
      </c>
      <c r="BT747" s="252">
        <v>2800</v>
      </c>
      <c r="BU747" s="252">
        <v>2800</v>
      </c>
      <c r="BV747" s="252">
        <v>2800</v>
      </c>
      <c r="BW747" s="223"/>
    </row>
    <row r="748" spans="1:75" s="224" customFormat="1" hidden="1" outlineLevel="2" x14ac:dyDescent="0.5">
      <c r="A748" s="435" t="s">
        <v>834</v>
      </c>
      <c r="B748" s="258"/>
      <c r="C748" s="252"/>
      <c r="D748" s="252"/>
      <c r="E748" s="252"/>
      <c r="F748" s="252"/>
      <c r="G748" s="253"/>
      <c r="H748" s="253"/>
      <c r="I748" s="253"/>
      <c r="J748" s="253"/>
      <c r="K748" s="252">
        <v>0</v>
      </c>
      <c r="L748" s="253">
        <v>0</v>
      </c>
      <c r="M748" s="253">
        <v>0</v>
      </c>
      <c r="N748" s="253">
        <v>0</v>
      </c>
      <c r="O748" s="253">
        <v>0</v>
      </c>
      <c r="P748" s="252">
        <v>0</v>
      </c>
      <c r="Q748" s="253">
        <v>0</v>
      </c>
      <c r="R748" s="253">
        <v>0</v>
      </c>
      <c r="S748" s="253">
        <v>0</v>
      </c>
      <c r="T748" s="253">
        <v>0</v>
      </c>
      <c r="U748" s="252">
        <v>0</v>
      </c>
      <c r="V748" s="253">
        <v>0</v>
      </c>
      <c r="W748" s="253">
        <v>3480</v>
      </c>
      <c r="X748" s="253">
        <v>3733.3333333333335</v>
      </c>
      <c r="Y748" s="254">
        <v>3733.3333333333335</v>
      </c>
      <c r="Z748" s="252">
        <v>3733.3333333333335</v>
      </c>
      <c r="AA748" s="254">
        <v>3733.3333333333335</v>
      </c>
      <c r="AB748" s="254">
        <v>3926.6666666666665</v>
      </c>
      <c r="AC748" s="253">
        <v>3926.6666666666665</v>
      </c>
      <c r="AD748" s="254">
        <v>3926.6666666666665</v>
      </c>
      <c r="AE748" s="252">
        <v>3926.6666666666665</v>
      </c>
      <c r="AF748" s="254">
        <v>4000</v>
      </c>
      <c r="AG748" s="254">
        <v>4000</v>
      </c>
      <c r="AH748" s="253">
        <v>4000</v>
      </c>
      <c r="AI748" s="254">
        <v>4000</v>
      </c>
      <c r="AJ748" s="252">
        <v>4000</v>
      </c>
      <c r="AK748" s="254">
        <v>4000</v>
      </c>
      <c r="AL748" s="254">
        <v>4000</v>
      </c>
      <c r="AM748" s="253">
        <v>4000</v>
      </c>
      <c r="AN748" s="254">
        <v>4000</v>
      </c>
      <c r="AO748" s="259">
        <v>4000</v>
      </c>
      <c r="AP748" s="254">
        <v>4000</v>
      </c>
      <c r="AQ748" s="254">
        <v>4000</v>
      </c>
      <c r="AR748" s="253">
        <v>4185.7142857142853</v>
      </c>
      <c r="AS748" s="254">
        <v>4100</v>
      </c>
      <c r="AT748" s="259">
        <v>4100</v>
      </c>
      <c r="AU748" s="254">
        <v>4100</v>
      </c>
      <c r="AV748" s="254">
        <v>4100</v>
      </c>
      <c r="AW748" s="253">
        <v>4100</v>
      </c>
      <c r="AX748" s="254">
        <v>4100</v>
      </c>
      <c r="AY748" s="259">
        <v>4100</v>
      </c>
      <c r="AZ748" s="254">
        <v>4100</v>
      </c>
      <c r="BA748" s="254">
        <v>4100</v>
      </c>
      <c r="BB748" s="253">
        <v>4100</v>
      </c>
      <c r="BC748" s="254">
        <v>4100</v>
      </c>
      <c r="BD748" s="259">
        <v>4100</v>
      </c>
      <c r="BE748" s="254">
        <v>4100</v>
      </c>
      <c r="BF748" s="254">
        <v>4100</v>
      </c>
      <c r="BG748" s="253">
        <v>4100</v>
      </c>
      <c r="BH748" s="254">
        <v>4300</v>
      </c>
      <c r="BI748" s="257">
        <v>4300</v>
      </c>
      <c r="BJ748" s="254">
        <v>4300</v>
      </c>
      <c r="BK748" s="254">
        <v>4300</v>
      </c>
      <c r="BL748" s="254">
        <v>4300</v>
      </c>
      <c r="BM748" s="254">
        <v>4300</v>
      </c>
      <c r="BN748" s="252">
        <v>4300</v>
      </c>
      <c r="BO748" s="254">
        <v>4300</v>
      </c>
      <c r="BP748" s="254">
        <v>4300</v>
      </c>
      <c r="BQ748" s="254">
        <v>4300</v>
      </c>
      <c r="BR748" s="254">
        <v>4300</v>
      </c>
      <c r="BS748" s="252">
        <v>4300</v>
      </c>
      <c r="BT748" s="252">
        <v>4300</v>
      </c>
      <c r="BU748" s="252">
        <v>4300</v>
      </c>
      <c r="BV748" s="252">
        <v>4300</v>
      </c>
      <c r="BW748" s="223"/>
    </row>
    <row r="749" spans="1:75" s="169" customFormat="1" ht="14.25" hidden="1" outlineLevel="2" x14ac:dyDescent="0.45">
      <c r="A749" s="276" t="s">
        <v>835</v>
      </c>
      <c r="B749" s="359"/>
      <c r="C749" s="278"/>
      <c r="D749" s="278"/>
      <c r="E749" s="278"/>
      <c r="F749" s="278"/>
      <c r="G749" s="283"/>
      <c r="H749" s="283"/>
      <c r="I749" s="283"/>
      <c r="J749" s="283"/>
      <c r="K749" s="278">
        <v>7914.2857142857147</v>
      </c>
      <c r="L749" s="283">
        <v>7942.028985507246</v>
      </c>
      <c r="M749" s="283">
        <v>8294.1176470588234</v>
      </c>
      <c r="N749" s="283">
        <v>8455.8823529411766</v>
      </c>
      <c r="O749" s="283">
        <v>9059.7014925373132</v>
      </c>
      <c r="P749" s="278">
        <v>9059.7014925373132</v>
      </c>
      <c r="Q749" s="283">
        <v>9029.8507462686575</v>
      </c>
      <c r="R749" s="283">
        <v>9029.8507462686575</v>
      </c>
      <c r="S749" s="283">
        <v>10014.705882352941</v>
      </c>
      <c r="T749" s="283">
        <v>10507.246376811594</v>
      </c>
      <c r="U749" s="278">
        <v>10507.246376811594</v>
      </c>
      <c r="V749" s="283">
        <v>10507.246376811594</v>
      </c>
      <c r="W749" s="283">
        <v>9238.0952380952385</v>
      </c>
      <c r="X749" s="283">
        <v>10400</v>
      </c>
      <c r="Y749" s="287">
        <v>10729.411764705883</v>
      </c>
      <c r="Z749" s="278">
        <v>10729.411764705883</v>
      </c>
      <c r="AA749" s="287">
        <v>10729.411764705883</v>
      </c>
      <c r="AB749" s="287">
        <v>10764.705882352941</v>
      </c>
      <c r="AC749" s="283">
        <v>11238.095238095239</v>
      </c>
      <c r="AD749" s="287">
        <v>11819.277108433735</v>
      </c>
      <c r="AE749" s="278">
        <v>11819.277108433735</v>
      </c>
      <c r="AF749" s="287">
        <v>12047.619047619048</v>
      </c>
      <c r="AG749" s="287">
        <v>12388.235294117647</v>
      </c>
      <c r="AH749" s="283">
        <v>12662.790697674418</v>
      </c>
      <c r="AI749" s="287">
        <v>12662.790697674418</v>
      </c>
      <c r="AJ749" s="278">
        <v>12662.790697674418</v>
      </c>
      <c r="AK749" s="287">
        <v>12682.35294117647</v>
      </c>
      <c r="AL749" s="287">
        <v>12635.294117647059</v>
      </c>
      <c r="AM749" s="283">
        <v>12870.588235294117</v>
      </c>
      <c r="AN749" s="287">
        <v>13385.542168674699</v>
      </c>
      <c r="AO749" s="278">
        <v>13385.542168674699</v>
      </c>
      <c r="AP749" s="287">
        <v>13273.809523809523</v>
      </c>
      <c r="AQ749" s="287">
        <v>13975.903614457831</v>
      </c>
      <c r="AR749" s="436">
        <v>14134.146341463415</v>
      </c>
      <c r="AS749" s="287">
        <v>14170.731707317073</v>
      </c>
      <c r="AT749" s="278">
        <v>14170.731707317073</v>
      </c>
      <c r="AU749" s="287">
        <v>14170.731707317073</v>
      </c>
      <c r="AV749" s="287">
        <v>14750</v>
      </c>
      <c r="AW749" s="436">
        <v>15212.5</v>
      </c>
      <c r="AX749" s="287">
        <v>15481.481481481482</v>
      </c>
      <c r="AY749" s="278">
        <v>15481.481481481482</v>
      </c>
      <c r="AZ749" s="287">
        <v>15481.481481481482</v>
      </c>
      <c r="BA749" s="287">
        <v>15938.271604938273</v>
      </c>
      <c r="BB749" s="436">
        <v>15938.271604938273</v>
      </c>
      <c r="BC749" s="287">
        <v>15876.543209876543</v>
      </c>
      <c r="BD749" s="278">
        <v>15876.543209876543</v>
      </c>
      <c r="BE749" s="287">
        <v>15790.123456790123</v>
      </c>
      <c r="BF749" s="287">
        <v>16036.585365853658</v>
      </c>
      <c r="BG749" s="436">
        <v>16036.585365853658</v>
      </c>
      <c r="BH749" s="287">
        <v>16404.761904761905</v>
      </c>
      <c r="BI749" s="437">
        <v>16404.761904761905</v>
      </c>
      <c r="BJ749" s="287">
        <v>16955.348837209302</v>
      </c>
      <c r="BK749" s="287">
        <v>17491.950413223141</v>
      </c>
      <c r="BL749" s="287">
        <v>18015.005460317458</v>
      </c>
      <c r="BM749" s="287">
        <v>18272.785498239209</v>
      </c>
      <c r="BN749" s="278">
        <v>18272.785498239209</v>
      </c>
      <c r="BO749" s="287">
        <v>18527.334218912732</v>
      </c>
      <c r="BP749" s="287">
        <v>18778.707713048483</v>
      </c>
      <c r="BQ749" s="287">
        <v>19026.961828009727</v>
      </c>
      <c r="BR749" s="287">
        <v>19026.961828009727</v>
      </c>
      <c r="BS749" s="278">
        <v>19026.961828009727</v>
      </c>
      <c r="BT749" s="278">
        <v>19272.152035776373</v>
      </c>
      <c r="BU749" s="278">
        <v>19272.152035776373</v>
      </c>
      <c r="BV749" s="278">
        <v>19272.152035776373</v>
      </c>
      <c r="BW749" s="168"/>
    </row>
    <row r="750" spans="1:75" s="169" customFormat="1" ht="14.25" hidden="1" outlineLevel="2" x14ac:dyDescent="0.45">
      <c r="A750" s="291" t="s">
        <v>836</v>
      </c>
      <c r="B750" s="561"/>
      <c r="C750" s="244"/>
      <c r="D750" s="244">
        <v>10659.34065934066</v>
      </c>
      <c r="E750" s="244">
        <v>10918.918918918918</v>
      </c>
      <c r="F750" s="244">
        <v>10816.901408450703</v>
      </c>
      <c r="G750" s="245">
        <v>11371.428571428571</v>
      </c>
      <c r="H750" s="245">
        <v>11371.428571428571</v>
      </c>
      <c r="I750" s="245">
        <v>11371.428571428571</v>
      </c>
      <c r="J750" s="245">
        <v>11400</v>
      </c>
      <c r="K750" s="244">
        <v>11400</v>
      </c>
      <c r="L750" s="245">
        <v>11478.260869565218</v>
      </c>
      <c r="M750" s="245">
        <v>11911.764705882353</v>
      </c>
      <c r="N750" s="245">
        <v>12073.529411764706</v>
      </c>
      <c r="O750" s="245">
        <v>12850.746268656716</v>
      </c>
      <c r="P750" s="244">
        <v>12850.746268656716</v>
      </c>
      <c r="Q750" s="245">
        <v>12791.044776119403</v>
      </c>
      <c r="R750" s="245">
        <v>12761.194029850747</v>
      </c>
      <c r="S750" s="245">
        <v>14088.235294117647</v>
      </c>
      <c r="T750" s="245">
        <v>14652.173913043478</v>
      </c>
      <c r="U750" s="244">
        <v>14652.173913043478</v>
      </c>
      <c r="V750" s="245">
        <v>14652.173913043478</v>
      </c>
      <c r="W750" s="245">
        <v>12904.761904761905</v>
      </c>
      <c r="X750" s="245">
        <v>14211.764705882353</v>
      </c>
      <c r="Y750" s="247">
        <v>14611.764705882353</v>
      </c>
      <c r="Z750" s="244">
        <v>14611.764705882353</v>
      </c>
      <c r="AA750" s="247">
        <v>14611.764705882353</v>
      </c>
      <c r="AB750" s="247">
        <v>14682.35294117647</v>
      </c>
      <c r="AC750" s="245">
        <v>15190.476190476191</v>
      </c>
      <c r="AD750" s="247">
        <v>15879.518072289156</v>
      </c>
      <c r="AE750" s="244">
        <v>15879.518072289156</v>
      </c>
      <c r="AF750" s="247">
        <v>16166.666666666666</v>
      </c>
      <c r="AG750" s="247">
        <v>16635.294117647059</v>
      </c>
      <c r="AH750" s="245">
        <v>17058.139534883721</v>
      </c>
      <c r="AI750" s="247">
        <v>17058.139534883721</v>
      </c>
      <c r="AJ750" s="244">
        <v>17058.139534883721</v>
      </c>
      <c r="AK750" s="247">
        <v>17105.882352941175</v>
      </c>
      <c r="AL750" s="247">
        <v>17070.588235294119</v>
      </c>
      <c r="AM750" s="245">
        <v>17411.764705882353</v>
      </c>
      <c r="AN750" s="247">
        <v>18036.144578313251</v>
      </c>
      <c r="AO750" s="244">
        <v>18036.144578313251</v>
      </c>
      <c r="AP750" s="247">
        <v>17880.952380952382</v>
      </c>
      <c r="AQ750" s="247">
        <v>18795.180722891568</v>
      </c>
      <c r="AR750" s="248">
        <v>19000</v>
      </c>
      <c r="AS750" s="247">
        <v>19012.195121951219</v>
      </c>
      <c r="AT750" s="244">
        <v>19012.195121951219</v>
      </c>
      <c r="AU750" s="247">
        <v>19012.195121951219</v>
      </c>
      <c r="AV750" s="247">
        <v>19750</v>
      </c>
      <c r="AW750" s="248">
        <v>20300</v>
      </c>
      <c r="AX750" s="247">
        <v>20641.975308641977</v>
      </c>
      <c r="AY750" s="244">
        <v>20641.975308641977</v>
      </c>
      <c r="AZ750" s="247">
        <v>20641.975308641977</v>
      </c>
      <c r="BA750" s="247">
        <v>21444.444444444445</v>
      </c>
      <c r="BB750" s="248">
        <v>21444.444444444445</v>
      </c>
      <c r="BC750" s="247">
        <v>21345.679012345678</v>
      </c>
      <c r="BD750" s="244">
        <v>21345.679012345678</v>
      </c>
      <c r="BE750" s="247">
        <v>21395.061728395063</v>
      </c>
      <c r="BF750" s="247">
        <v>21841.463414634145</v>
      </c>
      <c r="BG750" s="248">
        <v>21841.463414634145</v>
      </c>
      <c r="BH750" s="247">
        <v>22630.952380952382</v>
      </c>
      <c r="BI750" s="249">
        <v>22630.952380952382</v>
      </c>
      <c r="BJ750" s="247"/>
      <c r="BK750" s="247"/>
      <c r="BL750" s="247"/>
      <c r="BM750" s="247"/>
      <c r="BN750" s="244"/>
      <c r="BO750" s="247"/>
      <c r="BP750" s="247"/>
      <c r="BQ750" s="247"/>
      <c r="BR750" s="247"/>
      <c r="BS750" s="244"/>
      <c r="BT750" s="244"/>
      <c r="BU750" s="244"/>
      <c r="BV750" s="244"/>
      <c r="BW750" s="168"/>
    </row>
    <row r="751" spans="1:75" s="169" customFormat="1" ht="14.25" hidden="1" outlineLevel="2" x14ac:dyDescent="0.45">
      <c r="A751" s="291" t="s">
        <v>837</v>
      </c>
      <c r="B751" s="561"/>
      <c r="C751" s="244"/>
      <c r="D751" s="244"/>
      <c r="E751" s="244"/>
      <c r="F751" s="244"/>
      <c r="G751" s="245"/>
      <c r="H751" s="245"/>
      <c r="I751" s="245"/>
      <c r="J751" s="245"/>
      <c r="K751" s="244"/>
      <c r="L751" s="245"/>
      <c r="M751" s="245"/>
      <c r="N751" s="245"/>
      <c r="O751" s="245"/>
      <c r="P751" s="244"/>
      <c r="Q751" s="245"/>
      <c r="R751" s="245"/>
      <c r="S751" s="245"/>
      <c r="T751" s="245"/>
      <c r="U751" s="244"/>
      <c r="V751" s="245"/>
      <c r="W751" s="245"/>
      <c r="X751" s="245"/>
      <c r="Y751" s="247"/>
      <c r="Z751" s="244"/>
      <c r="AA751" s="247"/>
      <c r="AB751" s="247"/>
      <c r="AC751" s="245"/>
      <c r="AD751" s="247"/>
      <c r="AE751" s="244"/>
      <c r="AF751" s="247"/>
      <c r="AG751" s="247"/>
      <c r="AH751" s="245"/>
      <c r="AI751" s="247"/>
      <c r="AJ751" s="244"/>
      <c r="AK751" s="247"/>
      <c r="AL751" s="247"/>
      <c r="AM751" s="245"/>
      <c r="AN751" s="247"/>
      <c r="AO751" s="244">
        <v>20903.614457831325</v>
      </c>
      <c r="AP751" s="247"/>
      <c r="AQ751" s="247"/>
      <c r="AR751" s="248"/>
      <c r="AS751" s="247"/>
      <c r="AT751" s="244">
        <v>22256.09756097561</v>
      </c>
      <c r="AU751" s="247"/>
      <c r="AV751" s="247"/>
      <c r="AW751" s="248"/>
      <c r="AX751" s="247"/>
      <c r="AY751" s="244">
        <v>24456.790123456791</v>
      </c>
      <c r="AZ751" s="247"/>
      <c r="BA751" s="247"/>
      <c r="BB751" s="248"/>
      <c r="BC751" s="247"/>
      <c r="BD751" s="244">
        <v>25111.111111111109</v>
      </c>
      <c r="BE751" s="247"/>
      <c r="BF751" s="247"/>
      <c r="BG751" s="248"/>
      <c r="BH751" s="247"/>
      <c r="BI751" s="249">
        <v>25178.571428571428</v>
      </c>
      <c r="BJ751" s="247"/>
      <c r="BK751" s="247"/>
      <c r="BL751" s="247"/>
      <c r="BM751" s="247"/>
      <c r="BN751" s="244"/>
      <c r="BO751" s="247"/>
      <c r="BP751" s="247"/>
      <c r="BQ751" s="247"/>
      <c r="BR751" s="247"/>
      <c r="BS751" s="244"/>
      <c r="BT751" s="244"/>
      <c r="BU751" s="244"/>
      <c r="BV751" s="244"/>
      <c r="BW751" s="168"/>
    </row>
    <row r="752" spans="1:75" s="573" customFormat="1" ht="14.25" hidden="1" outlineLevel="2" x14ac:dyDescent="0.45">
      <c r="A752" s="565" t="s">
        <v>838</v>
      </c>
      <c r="B752" s="566"/>
      <c r="C752" s="567"/>
      <c r="D752" s="567"/>
      <c r="E752" s="567"/>
      <c r="F752" s="567"/>
      <c r="G752" s="568"/>
      <c r="H752" s="568"/>
      <c r="I752" s="568"/>
      <c r="J752" s="568"/>
      <c r="K752" s="567"/>
      <c r="L752" s="568"/>
      <c r="M752" s="568"/>
      <c r="N752" s="568"/>
      <c r="O752" s="568"/>
      <c r="P752" s="567"/>
      <c r="Q752" s="568"/>
      <c r="R752" s="568"/>
      <c r="S752" s="568"/>
      <c r="T752" s="568"/>
      <c r="U752" s="567"/>
      <c r="V752" s="568"/>
      <c r="W752" s="568"/>
      <c r="X752" s="568"/>
      <c r="Y752" s="569"/>
      <c r="Z752" s="567">
        <v>2182.3146929824561</v>
      </c>
      <c r="AA752" s="569">
        <v>554.8026315789474</v>
      </c>
      <c r="AB752" s="569">
        <v>616.64043715846992</v>
      </c>
      <c r="AC752" s="568">
        <v>583.9756355932202</v>
      </c>
      <c r="AD752" s="569">
        <v>624.86748216106014</v>
      </c>
      <c r="AE752" s="567">
        <v>2277.7512742099898</v>
      </c>
      <c r="AF752" s="569">
        <v>508.10869565217382</v>
      </c>
      <c r="AG752" s="569">
        <v>572.55270655270658</v>
      </c>
      <c r="AH752" s="568">
        <v>541.19191919191917</v>
      </c>
      <c r="AI752" s="569">
        <v>569.50505050505058</v>
      </c>
      <c r="AJ752" s="567">
        <v>2136.5041322314055</v>
      </c>
      <c r="AK752" s="569">
        <v>503.54452690166977</v>
      </c>
      <c r="AL752" s="569">
        <v>607.64804469273747</v>
      </c>
      <c r="AM752" s="568">
        <v>563.82632541133455</v>
      </c>
      <c r="AN752" s="569">
        <v>552.45364536453599</v>
      </c>
      <c r="AO752" s="567">
        <v>2183.6516651665165</v>
      </c>
      <c r="AP752" s="569">
        <v>422.14798206278027</v>
      </c>
      <c r="AQ752" s="569">
        <v>566.96724137931028</v>
      </c>
      <c r="AR752" s="570">
        <v>674.04055220017267</v>
      </c>
      <c r="AS752" s="569">
        <v>646.76075731497406</v>
      </c>
      <c r="AT752" s="567">
        <v>2290.1256454388986</v>
      </c>
      <c r="AU752" s="569">
        <v>687.17039586919111</v>
      </c>
      <c r="AV752" s="569">
        <v>780.13474576271199</v>
      </c>
      <c r="AW752" s="570">
        <v>763.53985209531641</v>
      </c>
      <c r="AX752" s="569">
        <v>663.1108452950557</v>
      </c>
      <c r="AY752" s="567">
        <v>2774.9760765550241</v>
      </c>
      <c r="AZ752" s="569">
        <v>707.56937799043067</v>
      </c>
      <c r="BA752" s="569">
        <v>714.65530596436872</v>
      </c>
      <c r="BB752" s="570">
        <v>623.59876065065839</v>
      </c>
      <c r="BC752" s="569">
        <v>556.37558320373216</v>
      </c>
      <c r="BD752" s="567">
        <v>2589.7954898911353</v>
      </c>
      <c r="BE752" s="569">
        <v>533.35574667709136</v>
      </c>
      <c r="BF752" s="569">
        <v>563.86235741444852</v>
      </c>
      <c r="BG752" s="570">
        <v>524.88593155893534</v>
      </c>
      <c r="BH752" s="569">
        <v>486.40058055152411</v>
      </c>
      <c r="BI752" s="571">
        <v>2020.410740203193</v>
      </c>
      <c r="BJ752" s="569"/>
      <c r="BK752" s="569"/>
      <c r="BL752" s="569"/>
      <c r="BM752" s="569"/>
      <c r="BN752" s="567"/>
      <c r="BO752" s="569"/>
      <c r="BP752" s="569"/>
      <c r="BQ752" s="569"/>
      <c r="BR752" s="569"/>
      <c r="BS752" s="567"/>
      <c r="BT752" s="567"/>
      <c r="BU752" s="567"/>
      <c r="BV752" s="567"/>
      <c r="BW752" s="572"/>
    </row>
    <row r="753" spans="1:75" s="198" customFormat="1" ht="14.25" hidden="1" outlineLevel="1" x14ac:dyDescent="0.45">
      <c r="A753" s="292"/>
      <c r="B753" s="243"/>
      <c r="C753" s="293"/>
      <c r="D753" s="293"/>
      <c r="E753" s="293"/>
      <c r="F753" s="293"/>
      <c r="G753" s="294"/>
      <c r="H753" s="294"/>
      <c r="I753" s="294"/>
      <c r="J753" s="294"/>
      <c r="K753" s="293"/>
      <c r="L753" s="294"/>
      <c r="M753" s="294"/>
      <c r="N753" s="294"/>
      <c r="O753" s="294"/>
      <c r="P753" s="293"/>
      <c r="Q753" s="294"/>
      <c r="R753" s="294"/>
      <c r="S753" s="294"/>
      <c r="T753" s="294"/>
      <c r="U753" s="293"/>
      <c r="V753" s="294"/>
      <c r="W753" s="294"/>
      <c r="X753" s="294"/>
      <c r="Y753" s="295"/>
      <c r="Z753" s="293"/>
      <c r="AA753" s="295"/>
      <c r="AB753" s="295"/>
      <c r="AC753" s="294"/>
      <c r="AD753" s="295"/>
      <c r="AE753" s="293"/>
      <c r="AF753" s="295"/>
      <c r="AG753" s="295"/>
      <c r="AH753" s="294"/>
      <c r="AI753" s="295"/>
      <c r="AJ753" s="293"/>
      <c r="AK753" s="295"/>
      <c r="AL753" s="295"/>
      <c r="AM753" s="294"/>
      <c r="AN753" s="295"/>
      <c r="AO753" s="293"/>
      <c r="AP753" s="295"/>
      <c r="AQ753" s="295"/>
      <c r="AR753" s="296"/>
      <c r="AS753" s="295"/>
      <c r="AT753" s="293"/>
      <c r="AU753" s="295"/>
      <c r="AV753" s="295"/>
      <c r="AW753" s="296"/>
      <c r="AX753" s="295"/>
      <c r="AY753" s="293"/>
      <c r="AZ753" s="295"/>
      <c r="BA753" s="295"/>
      <c r="BB753" s="296"/>
      <c r="BC753" s="295"/>
      <c r="BD753" s="293"/>
      <c r="BE753" s="295"/>
      <c r="BF753" s="295"/>
      <c r="BG753" s="296"/>
      <c r="BH753" s="295"/>
      <c r="BI753" s="297"/>
      <c r="BJ753" s="295"/>
      <c r="BK753" s="295"/>
      <c r="BL753" s="295"/>
      <c r="BM753" s="295"/>
      <c r="BN753" s="293"/>
      <c r="BO753" s="295"/>
      <c r="BP753" s="295"/>
      <c r="BQ753" s="295"/>
      <c r="BR753" s="295"/>
      <c r="BS753" s="293"/>
      <c r="BT753" s="293"/>
      <c r="BU753" s="293"/>
      <c r="BV753" s="293"/>
      <c r="BW753" s="197"/>
    </row>
    <row r="754" spans="1:75" s="217" customFormat="1" hidden="1" outlineLevel="1" x14ac:dyDescent="0.5">
      <c r="A754" s="511" t="s">
        <v>839</v>
      </c>
      <c r="B754" s="511"/>
      <c r="C754" s="511"/>
      <c r="D754" s="511"/>
      <c r="E754" s="511"/>
      <c r="F754" s="511"/>
      <c r="G754" s="511"/>
      <c r="H754" s="511"/>
      <c r="I754" s="511"/>
      <c r="J754" s="511"/>
      <c r="K754" s="511"/>
      <c r="L754" s="511"/>
      <c r="M754" s="511"/>
      <c r="N754" s="511"/>
      <c r="O754" s="511"/>
      <c r="P754" s="511"/>
      <c r="Q754" s="511"/>
      <c r="R754" s="511"/>
      <c r="S754" s="511"/>
      <c r="T754" s="511"/>
      <c r="U754" s="511"/>
      <c r="V754" s="511"/>
      <c r="W754" s="511"/>
      <c r="X754" s="511"/>
      <c r="Y754" s="511"/>
      <c r="Z754" s="511"/>
      <c r="AA754" s="511"/>
      <c r="AB754" s="511"/>
      <c r="AC754" s="511"/>
      <c r="AD754" s="511"/>
      <c r="AE754" s="511"/>
      <c r="AF754" s="511"/>
      <c r="AG754" s="511"/>
      <c r="AH754" s="511"/>
      <c r="AI754" s="511"/>
      <c r="AJ754" s="511"/>
      <c r="AK754" s="511"/>
      <c r="AL754" s="511"/>
      <c r="AM754" s="511"/>
      <c r="AN754" s="511"/>
      <c r="AO754" s="511"/>
      <c r="AP754" s="511"/>
      <c r="AQ754" s="511"/>
      <c r="AR754" s="511"/>
      <c r="AS754" s="511"/>
      <c r="AT754" s="511"/>
      <c r="AU754" s="511"/>
      <c r="AV754" s="511"/>
      <c r="AW754" s="511"/>
      <c r="AX754" s="511"/>
      <c r="AY754" s="511"/>
      <c r="AZ754" s="511"/>
      <c r="BA754" s="511"/>
      <c r="BB754" s="511"/>
      <c r="BC754" s="511"/>
      <c r="BD754" s="511"/>
      <c r="BE754" s="511"/>
      <c r="BF754" s="511"/>
      <c r="BG754" s="511"/>
      <c r="BH754" s="511"/>
      <c r="BI754" s="512"/>
      <c r="BJ754" s="511"/>
      <c r="BK754" s="511"/>
      <c r="BL754" s="511"/>
      <c r="BM754" s="511"/>
      <c r="BN754" s="511"/>
      <c r="BO754" s="511"/>
      <c r="BP754" s="511"/>
      <c r="BQ754" s="511"/>
      <c r="BR754" s="511"/>
      <c r="BS754" s="511"/>
      <c r="BT754" s="511"/>
      <c r="BU754" s="511"/>
      <c r="BV754" s="511"/>
      <c r="BW754" s="216"/>
    </row>
    <row r="755" spans="1:75" s="224" customFormat="1" hidden="1" outlineLevel="3" x14ac:dyDescent="0.5">
      <c r="A755" s="349" t="s">
        <v>840</v>
      </c>
      <c r="B755" s="219"/>
      <c r="C755" s="220"/>
      <c r="D755" s="220"/>
      <c r="E755" s="574">
        <v>1</v>
      </c>
      <c r="F755" s="259">
        <v>1</v>
      </c>
      <c r="G755" s="221"/>
      <c r="H755" s="221"/>
      <c r="I755" s="221"/>
      <c r="J755" s="221"/>
      <c r="K755" s="259">
        <v>1</v>
      </c>
      <c r="L755" s="221"/>
      <c r="M755" s="221"/>
      <c r="N755" s="221"/>
      <c r="O755" s="221"/>
      <c r="P755" s="259">
        <v>1</v>
      </c>
      <c r="Q755" s="221"/>
      <c r="R755" s="221"/>
      <c r="S755" s="221"/>
      <c r="T755" s="221"/>
      <c r="U755" s="259">
        <v>1</v>
      </c>
      <c r="V755" s="221"/>
      <c r="W755" s="221"/>
      <c r="X755" s="221"/>
      <c r="Y755" s="221"/>
      <c r="Z755" s="259">
        <v>1</v>
      </c>
      <c r="AA755" s="221"/>
      <c r="AB755" s="221"/>
      <c r="AC755" s="221"/>
      <c r="AD755" s="221"/>
      <c r="AE755" s="259">
        <v>1</v>
      </c>
      <c r="AF755" s="221"/>
      <c r="AG755" s="221"/>
      <c r="AH755" s="221"/>
      <c r="AI755" s="221"/>
      <c r="AJ755" s="259">
        <v>1</v>
      </c>
      <c r="AK755" s="221"/>
      <c r="AL755" s="221"/>
      <c r="AM755" s="221"/>
      <c r="AN755" s="221"/>
      <c r="AO755" s="259">
        <v>1</v>
      </c>
      <c r="AP755" s="221"/>
      <c r="AQ755" s="221"/>
      <c r="AR755" s="221"/>
      <c r="AS755" s="221"/>
      <c r="AT755" s="259">
        <v>1</v>
      </c>
      <c r="AU755" s="221"/>
      <c r="AV755" s="221"/>
      <c r="AW755" s="221"/>
      <c r="AX755" s="221"/>
      <c r="AY755" s="259">
        <v>1</v>
      </c>
      <c r="AZ755" s="221"/>
      <c r="BA755" s="221"/>
      <c r="BB755" s="221"/>
      <c r="BC755" s="221"/>
      <c r="BD755" s="259">
        <v>1</v>
      </c>
      <c r="BE755" s="221"/>
      <c r="BF755" s="221"/>
      <c r="BG755" s="221"/>
      <c r="BH755" s="221"/>
      <c r="BI755" s="257">
        <v>1</v>
      </c>
      <c r="BJ755" s="221"/>
      <c r="BK755" s="221"/>
      <c r="BL755" s="221"/>
      <c r="BM755" s="221"/>
      <c r="BN755" s="220"/>
      <c r="BO755" s="221"/>
      <c r="BP755" s="221"/>
      <c r="BQ755" s="221"/>
      <c r="BR755" s="221"/>
      <c r="BS755" s="220"/>
      <c r="BT755" s="220"/>
      <c r="BU755" s="220"/>
      <c r="BV755" s="220"/>
      <c r="BW755" s="223"/>
    </row>
    <row r="756" spans="1:75" s="224" customFormat="1" hidden="1" outlineLevel="3" x14ac:dyDescent="0.5">
      <c r="A756" s="349" t="s">
        <v>841</v>
      </c>
      <c r="B756" s="219"/>
      <c r="C756" s="220"/>
      <c r="D756" s="220"/>
      <c r="E756" s="574">
        <v>1</v>
      </c>
      <c r="F756" s="259">
        <v>1</v>
      </c>
      <c r="G756" s="221"/>
      <c r="H756" s="221"/>
      <c r="I756" s="221"/>
      <c r="J756" s="221"/>
      <c r="K756" s="259">
        <v>1</v>
      </c>
      <c r="L756" s="221"/>
      <c r="M756" s="221"/>
      <c r="N756" s="221"/>
      <c r="O756" s="221"/>
      <c r="P756" s="259">
        <v>1</v>
      </c>
      <c r="Q756" s="221"/>
      <c r="R756" s="221"/>
      <c r="S756" s="221"/>
      <c r="T756" s="221"/>
      <c r="U756" s="259">
        <v>1</v>
      </c>
      <c r="V756" s="221"/>
      <c r="W756" s="221"/>
      <c r="X756" s="221"/>
      <c r="Y756" s="221"/>
      <c r="Z756" s="259">
        <v>2</v>
      </c>
      <c r="AA756" s="221"/>
      <c r="AB756" s="221"/>
      <c r="AC756" s="221"/>
      <c r="AD756" s="221"/>
      <c r="AE756" s="259">
        <v>2</v>
      </c>
      <c r="AF756" s="221"/>
      <c r="AG756" s="221"/>
      <c r="AH756" s="221"/>
      <c r="AI756" s="221"/>
      <c r="AJ756" s="259">
        <v>2</v>
      </c>
      <c r="AK756" s="221"/>
      <c r="AL756" s="221"/>
      <c r="AM756" s="221"/>
      <c r="AN756" s="221"/>
      <c r="AO756" s="259">
        <v>2</v>
      </c>
      <c r="AP756" s="221"/>
      <c r="AQ756" s="221"/>
      <c r="AR756" s="221"/>
      <c r="AS756" s="221"/>
      <c r="AT756" s="259">
        <v>2</v>
      </c>
      <c r="AU756" s="221"/>
      <c r="AV756" s="221"/>
      <c r="AW756" s="221"/>
      <c r="AX756" s="221"/>
      <c r="AY756" s="259">
        <v>2</v>
      </c>
      <c r="AZ756" s="221"/>
      <c r="BA756" s="221"/>
      <c r="BB756" s="221"/>
      <c r="BC756" s="221"/>
      <c r="BD756" s="259">
        <v>2</v>
      </c>
      <c r="BE756" s="221"/>
      <c r="BF756" s="221"/>
      <c r="BG756" s="221"/>
      <c r="BH756" s="221"/>
      <c r="BI756" s="257">
        <v>2</v>
      </c>
      <c r="BJ756" s="221"/>
      <c r="BK756" s="221"/>
      <c r="BL756" s="221"/>
      <c r="BM756" s="221"/>
      <c r="BN756" s="220"/>
      <c r="BO756" s="221"/>
      <c r="BP756" s="221"/>
      <c r="BQ756" s="221"/>
      <c r="BR756" s="221"/>
      <c r="BS756" s="220"/>
      <c r="BT756" s="220"/>
      <c r="BU756" s="220"/>
      <c r="BV756" s="220"/>
      <c r="BW756" s="223"/>
    </row>
    <row r="757" spans="1:75" s="224" customFormat="1" hidden="1" outlineLevel="3" x14ac:dyDescent="0.5">
      <c r="A757" s="349" t="s">
        <v>842</v>
      </c>
      <c r="B757" s="219"/>
      <c r="C757" s="220"/>
      <c r="D757" s="220"/>
      <c r="E757" s="574">
        <v>17</v>
      </c>
      <c r="F757" s="259">
        <v>17</v>
      </c>
      <c r="G757" s="221"/>
      <c r="H757" s="221"/>
      <c r="I757" s="221"/>
      <c r="J757" s="221"/>
      <c r="K757" s="259">
        <v>17</v>
      </c>
      <c r="L757" s="221"/>
      <c r="M757" s="221"/>
      <c r="N757" s="221"/>
      <c r="O757" s="221"/>
      <c r="P757" s="259">
        <v>16</v>
      </c>
      <c r="Q757" s="221"/>
      <c r="R757" s="221"/>
      <c r="S757" s="221"/>
      <c r="T757" s="221"/>
      <c r="U757" s="259">
        <v>17</v>
      </c>
      <c r="V757" s="221"/>
      <c r="W757" s="221"/>
      <c r="X757" s="221"/>
      <c r="Y757" s="221"/>
      <c r="Z757" s="259">
        <v>19</v>
      </c>
      <c r="AA757" s="221"/>
      <c r="AB757" s="221"/>
      <c r="AC757" s="221"/>
      <c r="AD757" s="221"/>
      <c r="AE757" s="259">
        <v>19</v>
      </c>
      <c r="AF757" s="221"/>
      <c r="AG757" s="221"/>
      <c r="AH757" s="221"/>
      <c r="AI757" s="221"/>
      <c r="AJ757" s="259">
        <v>20</v>
      </c>
      <c r="AK757" s="221"/>
      <c r="AL757" s="221"/>
      <c r="AM757" s="221"/>
      <c r="AN757" s="221"/>
      <c r="AO757" s="259">
        <v>20</v>
      </c>
      <c r="AP757" s="221"/>
      <c r="AQ757" s="221"/>
      <c r="AR757" s="221"/>
      <c r="AS757" s="221"/>
      <c r="AT757" s="259">
        <v>20</v>
      </c>
      <c r="AU757" s="221"/>
      <c r="AV757" s="221"/>
      <c r="AW757" s="221"/>
      <c r="AX757" s="221"/>
      <c r="AY757" s="259">
        <v>19</v>
      </c>
      <c r="AZ757" s="221"/>
      <c r="BA757" s="221"/>
      <c r="BB757" s="221"/>
      <c r="BC757" s="221"/>
      <c r="BD757" s="259">
        <v>19</v>
      </c>
      <c r="BE757" s="221"/>
      <c r="BF757" s="221"/>
      <c r="BG757" s="221"/>
      <c r="BH757" s="221"/>
      <c r="BI757" s="257">
        <v>19</v>
      </c>
      <c r="BJ757" s="221"/>
      <c r="BK757" s="221"/>
      <c r="BL757" s="221"/>
      <c r="BM757" s="221"/>
      <c r="BN757" s="220"/>
      <c r="BO757" s="221"/>
      <c r="BP757" s="221"/>
      <c r="BQ757" s="221"/>
      <c r="BR757" s="221"/>
      <c r="BS757" s="220"/>
      <c r="BT757" s="220"/>
      <c r="BU757" s="220"/>
      <c r="BV757" s="220"/>
      <c r="BW757" s="223"/>
    </row>
    <row r="758" spans="1:75" s="224" customFormat="1" hidden="1" outlineLevel="3" x14ac:dyDescent="0.5">
      <c r="A758" s="349" t="s">
        <v>843</v>
      </c>
      <c r="B758" s="219"/>
      <c r="C758" s="220"/>
      <c r="D758" s="220"/>
      <c r="E758" s="574">
        <v>1</v>
      </c>
      <c r="F758" s="259">
        <v>1</v>
      </c>
      <c r="G758" s="221"/>
      <c r="H758" s="221"/>
      <c r="I758" s="221"/>
      <c r="J758" s="221"/>
      <c r="K758" s="259">
        <v>1</v>
      </c>
      <c r="L758" s="221"/>
      <c r="M758" s="221"/>
      <c r="N758" s="221"/>
      <c r="O758" s="221"/>
      <c r="P758" s="259">
        <v>1</v>
      </c>
      <c r="Q758" s="221"/>
      <c r="R758" s="221"/>
      <c r="S758" s="221"/>
      <c r="T758" s="221"/>
      <c r="U758" s="259">
        <v>1</v>
      </c>
      <c r="V758" s="221"/>
      <c r="W758" s="221"/>
      <c r="X758" s="221"/>
      <c r="Y758" s="221"/>
      <c r="Z758" s="259">
        <v>2</v>
      </c>
      <c r="AA758" s="221"/>
      <c r="AB758" s="221"/>
      <c r="AC758" s="221"/>
      <c r="AD758" s="221"/>
      <c r="AE758" s="259">
        <v>2</v>
      </c>
      <c r="AF758" s="221"/>
      <c r="AG758" s="221"/>
      <c r="AH758" s="221"/>
      <c r="AI758" s="221"/>
      <c r="AJ758" s="259">
        <v>2</v>
      </c>
      <c r="AK758" s="221"/>
      <c r="AL758" s="221"/>
      <c r="AM758" s="221"/>
      <c r="AN758" s="221"/>
      <c r="AO758" s="259">
        <v>2</v>
      </c>
      <c r="AP758" s="221"/>
      <c r="AQ758" s="221"/>
      <c r="AR758" s="221"/>
      <c r="AS758" s="221"/>
      <c r="AT758" s="259">
        <v>2</v>
      </c>
      <c r="AU758" s="221"/>
      <c r="AV758" s="221"/>
      <c r="AW758" s="221"/>
      <c r="AX758" s="221"/>
      <c r="AY758" s="259">
        <v>2</v>
      </c>
      <c r="AZ758" s="221"/>
      <c r="BA758" s="221"/>
      <c r="BB758" s="221"/>
      <c r="BC758" s="221"/>
      <c r="BD758" s="259">
        <v>2</v>
      </c>
      <c r="BE758" s="221"/>
      <c r="BF758" s="221"/>
      <c r="BG758" s="221"/>
      <c r="BH758" s="221"/>
      <c r="BI758" s="257">
        <v>2</v>
      </c>
      <c r="BJ758" s="221"/>
      <c r="BK758" s="221"/>
      <c r="BL758" s="221"/>
      <c r="BM758" s="221"/>
      <c r="BN758" s="220"/>
      <c r="BO758" s="221"/>
      <c r="BP758" s="221"/>
      <c r="BQ758" s="221"/>
      <c r="BR758" s="221"/>
      <c r="BS758" s="220"/>
      <c r="BT758" s="220"/>
      <c r="BU758" s="220"/>
      <c r="BV758" s="220"/>
      <c r="BW758" s="223"/>
    </row>
    <row r="759" spans="1:75" s="224" customFormat="1" hidden="1" outlineLevel="3" x14ac:dyDescent="0.5">
      <c r="A759" s="349" t="s">
        <v>844</v>
      </c>
      <c r="B759" s="219"/>
      <c r="C759" s="220"/>
      <c r="D759" s="220"/>
      <c r="E759" s="574">
        <v>3</v>
      </c>
      <c r="F759" s="259">
        <v>2</v>
      </c>
      <c r="G759" s="221"/>
      <c r="H759" s="221"/>
      <c r="I759" s="221"/>
      <c r="J759" s="221"/>
      <c r="K759" s="259">
        <v>2</v>
      </c>
      <c r="L759" s="221"/>
      <c r="M759" s="221"/>
      <c r="N759" s="221"/>
      <c r="O759" s="221"/>
      <c r="P759" s="259">
        <v>2</v>
      </c>
      <c r="Q759" s="221"/>
      <c r="R759" s="221"/>
      <c r="S759" s="221"/>
      <c r="T759" s="221"/>
      <c r="U759" s="259">
        <v>3</v>
      </c>
      <c r="V759" s="221"/>
      <c r="W759" s="221"/>
      <c r="X759" s="221"/>
      <c r="Y759" s="221"/>
      <c r="Z759" s="259">
        <v>4</v>
      </c>
      <c r="AA759" s="221"/>
      <c r="AB759" s="221"/>
      <c r="AC759" s="221"/>
      <c r="AD759" s="221"/>
      <c r="AE759" s="259">
        <v>4</v>
      </c>
      <c r="AF759" s="221"/>
      <c r="AG759" s="221"/>
      <c r="AH759" s="221"/>
      <c r="AI759" s="221"/>
      <c r="AJ759" s="259">
        <v>4</v>
      </c>
      <c r="AK759" s="221"/>
      <c r="AL759" s="221"/>
      <c r="AM759" s="221"/>
      <c r="AN759" s="221"/>
      <c r="AO759" s="259">
        <v>4</v>
      </c>
      <c r="AP759" s="221"/>
      <c r="AQ759" s="221"/>
      <c r="AR759" s="221"/>
      <c r="AS759" s="221"/>
      <c r="AT759" s="259">
        <v>3</v>
      </c>
      <c r="AU759" s="221"/>
      <c r="AV759" s="221"/>
      <c r="AW759" s="221"/>
      <c r="AX759" s="221"/>
      <c r="AY759" s="259">
        <v>3</v>
      </c>
      <c r="AZ759" s="221"/>
      <c r="BA759" s="221"/>
      <c r="BB759" s="221"/>
      <c r="BC759" s="221"/>
      <c r="BD759" s="259">
        <v>3</v>
      </c>
      <c r="BE759" s="221"/>
      <c r="BF759" s="221"/>
      <c r="BG759" s="221"/>
      <c r="BH759" s="221"/>
      <c r="BI759" s="257">
        <v>3</v>
      </c>
      <c r="BJ759" s="221"/>
      <c r="BK759" s="221"/>
      <c r="BL759" s="221"/>
      <c r="BM759" s="221"/>
      <c r="BN759" s="220"/>
      <c r="BO759" s="221"/>
      <c r="BP759" s="221"/>
      <c r="BQ759" s="221"/>
      <c r="BR759" s="221"/>
      <c r="BS759" s="220"/>
      <c r="BT759" s="220"/>
      <c r="BU759" s="220"/>
      <c r="BV759" s="220"/>
      <c r="BW759" s="223"/>
    </row>
    <row r="760" spans="1:75" s="224" customFormat="1" hidden="1" outlineLevel="3" x14ac:dyDescent="0.5">
      <c r="A760" s="349" t="s">
        <v>845</v>
      </c>
      <c r="B760" s="219"/>
      <c r="C760" s="220"/>
      <c r="D760" s="220"/>
      <c r="E760" s="574">
        <v>4</v>
      </c>
      <c r="F760" s="259">
        <v>4</v>
      </c>
      <c r="G760" s="221"/>
      <c r="H760" s="221"/>
      <c r="I760" s="221"/>
      <c r="J760" s="221"/>
      <c r="K760" s="259">
        <v>4</v>
      </c>
      <c r="L760" s="221"/>
      <c r="M760" s="221"/>
      <c r="N760" s="221"/>
      <c r="O760" s="221"/>
      <c r="P760" s="259">
        <v>4</v>
      </c>
      <c r="Q760" s="221"/>
      <c r="R760" s="221"/>
      <c r="S760" s="221"/>
      <c r="T760" s="221"/>
      <c r="U760" s="259">
        <v>5</v>
      </c>
      <c r="V760" s="221"/>
      <c r="W760" s="221"/>
      <c r="X760" s="221"/>
      <c r="Y760" s="221"/>
      <c r="Z760" s="259">
        <v>6</v>
      </c>
      <c r="AA760" s="221"/>
      <c r="AB760" s="221"/>
      <c r="AC760" s="221"/>
      <c r="AD760" s="221"/>
      <c r="AE760" s="259">
        <v>5</v>
      </c>
      <c r="AF760" s="221"/>
      <c r="AG760" s="221"/>
      <c r="AH760" s="221"/>
      <c r="AI760" s="221"/>
      <c r="AJ760" s="259">
        <v>5</v>
      </c>
      <c r="AK760" s="221"/>
      <c r="AL760" s="221"/>
      <c r="AM760" s="221"/>
      <c r="AN760" s="221"/>
      <c r="AO760" s="259">
        <v>5</v>
      </c>
      <c r="AP760" s="221"/>
      <c r="AQ760" s="221"/>
      <c r="AR760" s="221"/>
      <c r="AS760" s="221"/>
      <c r="AT760" s="259">
        <v>5</v>
      </c>
      <c r="AU760" s="221"/>
      <c r="AV760" s="221"/>
      <c r="AW760" s="221"/>
      <c r="AX760" s="221"/>
      <c r="AY760" s="259">
        <v>6</v>
      </c>
      <c r="AZ760" s="221"/>
      <c r="BA760" s="221"/>
      <c r="BB760" s="221"/>
      <c r="BC760" s="221"/>
      <c r="BD760" s="259">
        <v>6</v>
      </c>
      <c r="BE760" s="221"/>
      <c r="BF760" s="221"/>
      <c r="BG760" s="221"/>
      <c r="BH760" s="221"/>
      <c r="BI760" s="257">
        <v>6</v>
      </c>
      <c r="BJ760" s="221"/>
      <c r="BK760" s="221"/>
      <c r="BL760" s="221"/>
      <c r="BM760" s="221"/>
      <c r="BN760" s="220"/>
      <c r="BO760" s="221"/>
      <c r="BP760" s="221"/>
      <c r="BQ760" s="221"/>
      <c r="BR760" s="221"/>
      <c r="BS760" s="220"/>
      <c r="BT760" s="220"/>
      <c r="BU760" s="220"/>
      <c r="BV760" s="220"/>
      <c r="BW760" s="223"/>
    </row>
    <row r="761" spans="1:75" s="224" customFormat="1" hidden="1" outlineLevel="3" x14ac:dyDescent="0.5">
      <c r="A761" s="349" t="s">
        <v>846</v>
      </c>
      <c r="B761" s="219"/>
      <c r="C761" s="220"/>
      <c r="D761" s="220"/>
      <c r="E761" s="574">
        <v>1</v>
      </c>
      <c r="F761" s="259">
        <v>1</v>
      </c>
      <c r="G761" s="221"/>
      <c r="H761" s="221"/>
      <c r="I761" s="221"/>
      <c r="J761" s="221"/>
      <c r="K761" s="259">
        <v>1</v>
      </c>
      <c r="L761" s="221"/>
      <c r="M761" s="221"/>
      <c r="N761" s="221"/>
      <c r="O761" s="221"/>
      <c r="P761" s="259">
        <v>1</v>
      </c>
      <c r="Q761" s="221"/>
      <c r="R761" s="221"/>
      <c r="S761" s="221"/>
      <c r="T761" s="221"/>
      <c r="U761" s="259">
        <v>1</v>
      </c>
      <c r="V761" s="221"/>
      <c r="W761" s="221"/>
      <c r="X761" s="221"/>
      <c r="Y761" s="221"/>
      <c r="Z761" s="259">
        <v>2</v>
      </c>
      <c r="AA761" s="221"/>
      <c r="AB761" s="221"/>
      <c r="AC761" s="221"/>
      <c r="AD761" s="221"/>
      <c r="AE761" s="259">
        <v>2</v>
      </c>
      <c r="AF761" s="221"/>
      <c r="AG761" s="221"/>
      <c r="AH761" s="221"/>
      <c r="AI761" s="221"/>
      <c r="AJ761" s="259">
        <v>2</v>
      </c>
      <c r="AK761" s="221"/>
      <c r="AL761" s="221"/>
      <c r="AM761" s="221"/>
      <c r="AN761" s="221"/>
      <c r="AO761" s="259">
        <v>2</v>
      </c>
      <c r="AP761" s="221"/>
      <c r="AQ761" s="221"/>
      <c r="AR761" s="221"/>
      <c r="AS761" s="221"/>
      <c r="AT761" s="259">
        <v>2</v>
      </c>
      <c r="AU761" s="221"/>
      <c r="AV761" s="221"/>
      <c r="AW761" s="221"/>
      <c r="AX761" s="221"/>
      <c r="AY761" s="259">
        <v>2</v>
      </c>
      <c r="AZ761" s="221"/>
      <c r="BA761" s="221"/>
      <c r="BB761" s="221"/>
      <c r="BC761" s="221"/>
      <c r="BD761" s="259">
        <v>2</v>
      </c>
      <c r="BE761" s="221"/>
      <c r="BF761" s="221"/>
      <c r="BG761" s="221"/>
      <c r="BH761" s="221"/>
      <c r="BI761" s="257">
        <v>2</v>
      </c>
      <c r="BJ761" s="221"/>
      <c r="BK761" s="221"/>
      <c r="BL761" s="221"/>
      <c r="BM761" s="221"/>
      <c r="BN761" s="220"/>
      <c r="BO761" s="221"/>
      <c r="BP761" s="221"/>
      <c r="BQ761" s="221"/>
      <c r="BR761" s="221"/>
      <c r="BS761" s="220"/>
      <c r="BT761" s="220"/>
      <c r="BU761" s="220"/>
      <c r="BV761" s="220"/>
      <c r="BW761" s="223"/>
    </row>
    <row r="762" spans="1:75" s="224" customFormat="1" hidden="1" outlineLevel="3" x14ac:dyDescent="0.5">
      <c r="A762" s="349" t="s">
        <v>847</v>
      </c>
      <c r="B762" s="219"/>
      <c r="C762" s="220"/>
      <c r="D762" s="220"/>
      <c r="E762" s="574">
        <v>5</v>
      </c>
      <c r="F762" s="259">
        <v>3</v>
      </c>
      <c r="G762" s="221"/>
      <c r="H762" s="221"/>
      <c r="I762" s="221"/>
      <c r="J762" s="221"/>
      <c r="K762" s="259">
        <v>3</v>
      </c>
      <c r="L762" s="221"/>
      <c r="M762" s="221"/>
      <c r="N762" s="221"/>
      <c r="O762" s="221"/>
      <c r="P762" s="259">
        <v>3</v>
      </c>
      <c r="Q762" s="221"/>
      <c r="R762" s="221"/>
      <c r="S762" s="221"/>
      <c r="T762" s="221"/>
      <c r="U762" s="259">
        <v>2</v>
      </c>
      <c r="V762" s="221"/>
      <c r="W762" s="221"/>
      <c r="X762" s="221"/>
      <c r="Y762" s="221"/>
      <c r="Z762" s="259">
        <v>3</v>
      </c>
      <c r="AA762" s="221"/>
      <c r="AB762" s="221"/>
      <c r="AC762" s="221"/>
      <c r="AD762" s="221"/>
      <c r="AE762" s="259">
        <v>3</v>
      </c>
      <c r="AF762" s="221"/>
      <c r="AG762" s="221"/>
      <c r="AH762" s="221"/>
      <c r="AI762" s="221"/>
      <c r="AJ762" s="259">
        <v>3</v>
      </c>
      <c r="AK762" s="221"/>
      <c r="AL762" s="221"/>
      <c r="AM762" s="221"/>
      <c r="AN762" s="221"/>
      <c r="AO762" s="259">
        <v>3</v>
      </c>
      <c r="AP762" s="221"/>
      <c r="AQ762" s="221"/>
      <c r="AR762" s="221"/>
      <c r="AS762" s="221"/>
      <c r="AT762" s="259">
        <v>3</v>
      </c>
      <c r="AU762" s="221"/>
      <c r="AV762" s="221"/>
      <c r="AW762" s="221"/>
      <c r="AX762" s="221"/>
      <c r="AY762" s="259">
        <v>3</v>
      </c>
      <c r="AZ762" s="221"/>
      <c r="BA762" s="221"/>
      <c r="BB762" s="221"/>
      <c r="BC762" s="221"/>
      <c r="BD762" s="259">
        <v>3</v>
      </c>
      <c r="BE762" s="221"/>
      <c r="BF762" s="221"/>
      <c r="BG762" s="221"/>
      <c r="BH762" s="221"/>
      <c r="BI762" s="257">
        <v>3</v>
      </c>
      <c r="BJ762" s="221"/>
      <c r="BK762" s="221"/>
      <c r="BL762" s="221"/>
      <c r="BM762" s="221"/>
      <c r="BN762" s="220"/>
      <c r="BO762" s="221"/>
      <c r="BP762" s="221"/>
      <c r="BQ762" s="221"/>
      <c r="BR762" s="221"/>
      <c r="BS762" s="220"/>
      <c r="BT762" s="220"/>
      <c r="BU762" s="220"/>
      <c r="BV762" s="220"/>
      <c r="BW762" s="223"/>
    </row>
    <row r="763" spans="1:75" s="224" customFormat="1" hidden="1" outlineLevel="3" x14ac:dyDescent="0.5">
      <c r="A763" s="349" t="s">
        <v>848</v>
      </c>
      <c r="B763" s="219"/>
      <c r="C763" s="220"/>
      <c r="D763" s="220"/>
      <c r="E763" s="574">
        <v>1</v>
      </c>
      <c r="F763" s="259">
        <v>1</v>
      </c>
      <c r="G763" s="221"/>
      <c r="H763" s="221"/>
      <c r="I763" s="221"/>
      <c r="J763" s="221"/>
      <c r="K763" s="259">
        <v>1</v>
      </c>
      <c r="L763" s="221"/>
      <c r="M763" s="221"/>
      <c r="N763" s="221"/>
      <c r="O763" s="221"/>
      <c r="P763" s="259">
        <v>1</v>
      </c>
      <c r="Q763" s="221"/>
      <c r="R763" s="221"/>
      <c r="S763" s="221"/>
      <c r="T763" s="221"/>
      <c r="U763" s="259">
        <v>1</v>
      </c>
      <c r="V763" s="221"/>
      <c r="W763" s="221"/>
      <c r="X763" s="221"/>
      <c r="Y763" s="221"/>
      <c r="Z763" s="259">
        <v>1</v>
      </c>
      <c r="AA763" s="221"/>
      <c r="AB763" s="221"/>
      <c r="AC763" s="221"/>
      <c r="AD763" s="221"/>
      <c r="AE763" s="259">
        <v>1</v>
      </c>
      <c r="AF763" s="221"/>
      <c r="AG763" s="221"/>
      <c r="AH763" s="221"/>
      <c r="AI763" s="221"/>
      <c r="AJ763" s="259">
        <v>1</v>
      </c>
      <c r="AK763" s="221"/>
      <c r="AL763" s="221"/>
      <c r="AM763" s="221"/>
      <c r="AN763" s="221"/>
      <c r="AO763" s="259">
        <v>1</v>
      </c>
      <c r="AP763" s="221"/>
      <c r="AQ763" s="221"/>
      <c r="AR763" s="221"/>
      <c r="AS763" s="221"/>
      <c r="AT763" s="259">
        <v>1</v>
      </c>
      <c r="AU763" s="221"/>
      <c r="AV763" s="221"/>
      <c r="AW763" s="221"/>
      <c r="AX763" s="221"/>
      <c r="AY763" s="259">
        <v>1</v>
      </c>
      <c r="AZ763" s="221"/>
      <c r="BA763" s="221"/>
      <c r="BB763" s="221"/>
      <c r="BC763" s="221"/>
      <c r="BD763" s="259">
        <v>1</v>
      </c>
      <c r="BE763" s="221"/>
      <c r="BF763" s="221"/>
      <c r="BG763" s="221"/>
      <c r="BH763" s="221"/>
      <c r="BI763" s="257">
        <v>1</v>
      </c>
      <c r="BJ763" s="221"/>
      <c r="BK763" s="221"/>
      <c r="BL763" s="221"/>
      <c r="BM763" s="221"/>
      <c r="BN763" s="220"/>
      <c r="BO763" s="221"/>
      <c r="BP763" s="221"/>
      <c r="BQ763" s="221"/>
      <c r="BR763" s="221"/>
      <c r="BS763" s="220"/>
      <c r="BT763" s="220"/>
      <c r="BU763" s="220"/>
      <c r="BV763" s="220"/>
      <c r="BW763" s="223"/>
    </row>
    <row r="764" spans="1:75" s="224" customFormat="1" hidden="1" outlineLevel="3" x14ac:dyDescent="0.5">
      <c r="A764" s="349" t="s">
        <v>849</v>
      </c>
      <c r="B764" s="219"/>
      <c r="C764" s="220"/>
      <c r="D764" s="220"/>
      <c r="E764" s="220"/>
      <c r="F764" s="252"/>
      <c r="G764" s="221"/>
      <c r="H764" s="221"/>
      <c r="I764" s="221"/>
      <c r="J764" s="221"/>
      <c r="K764" s="252"/>
      <c r="L764" s="221"/>
      <c r="M764" s="221"/>
      <c r="N764" s="221"/>
      <c r="O764" s="221"/>
      <c r="P764" s="252"/>
      <c r="Q764" s="221"/>
      <c r="R764" s="221"/>
      <c r="S764" s="221"/>
      <c r="T764" s="221"/>
      <c r="U764" s="252"/>
      <c r="V764" s="221"/>
      <c r="W764" s="221"/>
      <c r="X764" s="221"/>
      <c r="Y764" s="221"/>
      <c r="Z764" s="259">
        <v>1</v>
      </c>
      <c r="AA764" s="221"/>
      <c r="AB764" s="221"/>
      <c r="AC764" s="221"/>
      <c r="AD764" s="221"/>
      <c r="AE764" s="259">
        <v>1</v>
      </c>
      <c r="AF764" s="221"/>
      <c r="AG764" s="221"/>
      <c r="AH764" s="221"/>
      <c r="AI764" s="221"/>
      <c r="AJ764" s="259">
        <v>1</v>
      </c>
      <c r="AK764" s="221"/>
      <c r="AL764" s="221"/>
      <c r="AM764" s="221"/>
      <c r="AN764" s="221"/>
      <c r="AO764" s="259">
        <v>1</v>
      </c>
      <c r="AP764" s="221"/>
      <c r="AQ764" s="221"/>
      <c r="AR764" s="221"/>
      <c r="AS764" s="221"/>
      <c r="AT764" s="259">
        <v>1</v>
      </c>
      <c r="AU764" s="221"/>
      <c r="AV764" s="221"/>
      <c r="AW764" s="221"/>
      <c r="AX764" s="221"/>
      <c r="AY764" s="259">
        <v>1</v>
      </c>
      <c r="AZ764" s="221"/>
      <c r="BA764" s="221"/>
      <c r="BB764" s="221"/>
      <c r="BC764" s="221"/>
      <c r="BD764" s="259">
        <v>1</v>
      </c>
      <c r="BE764" s="221"/>
      <c r="BF764" s="221"/>
      <c r="BG764" s="221"/>
      <c r="BH764" s="221"/>
      <c r="BI764" s="257">
        <v>1</v>
      </c>
      <c r="BJ764" s="221"/>
      <c r="BK764" s="221"/>
      <c r="BL764" s="221"/>
      <c r="BM764" s="221"/>
      <c r="BN764" s="220"/>
      <c r="BO764" s="221"/>
      <c r="BP764" s="221"/>
      <c r="BQ764" s="221"/>
      <c r="BR764" s="221"/>
      <c r="BS764" s="220"/>
      <c r="BT764" s="220"/>
      <c r="BU764" s="220"/>
      <c r="BV764" s="220"/>
      <c r="BW764" s="223"/>
    </row>
    <row r="765" spans="1:75" s="224" customFormat="1" hidden="1" outlineLevel="3" x14ac:dyDescent="0.5">
      <c r="A765" s="349" t="s">
        <v>850</v>
      </c>
      <c r="B765" s="219"/>
      <c r="C765" s="220"/>
      <c r="D765" s="220"/>
      <c r="E765" s="574">
        <v>1</v>
      </c>
      <c r="F765" s="259">
        <v>1</v>
      </c>
      <c r="G765" s="221"/>
      <c r="H765" s="221"/>
      <c r="I765" s="221"/>
      <c r="J765" s="221"/>
      <c r="K765" s="259">
        <v>1</v>
      </c>
      <c r="L765" s="221"/>
      <c r="M765" s="221"/>
      <c r="N765" s="221"/>
      <c r="O765" s="221"/>
      <c r="P765" s="259">
        <v>1</v>
      </c>
      <c r="Q765" s="221"/>
      <c r="R765" s="221"/>
      <c r="S765" s="221"/>
      <c r="T765" s="221"/>
      <c r="U765" s="259">
        <v>1</v>
      </c>
      <c r="V765" s="221"/>
      <c r="W765" s="221"/>
      <c r="X765" s="221"/>
      <c r="Y765" s="221"/>
      <c r="Z765" s="259">
        <v>1</v>
      </c>
      <c r="AA765" s="221"/>
      <c r="AB765" s="221"/>
      <c r="AC765" s="221"/>
      <c r="AD765" s="221"/>
      <c r="AE765" s="259">
        <v>1</v>
      </c>
      <c r="AF765" s="221"/>
      <c r="AG765" s="221"/>
      <c r="AH765" s="221"/>
      <c r="AI765" s="221"/>
      <c r="AJ765" s="259">
        <v>1</v>
      </c>
      <c r="AK765" s="221"/>
      <c r="AL765" s="221"/>
      <c r="AM765" s="221"/>
      <c r="AN765" s="221"/>
      <c r="AO765" s="259">
        <v>1</v>
      </c>
      <c r="AP765" s="221"/>
      <c r="AQ765" s="221"/>
      <c r="AR765" s="221"/>
      <c r="AS765" s="221"/>
      <c r="AT765" s="259">
        <v>1</v>
      </c>
      <c r="AU765" s="221"/>
      <c r="AV765" s="221"/>
      <c r="AW765" s="221"/>
      <c r="AX765" s="221"/>
      <c r="AY765" s="259">
        <v>1</v>
      </c>
      <c r="AZ765" s="221"/>
      <c r="BA765" s="221"/>
      <c r="BB765" s="221"/>
      <c r="BC765" s="221"/>
      <c r="BD765" s="259">
        <v>1</v>
      </c>
      <c r="BE765" s="221"/>
      <c r="BF765" s="221"/>
      <c r="BG765" s="221"/>
      <c r="BH765" s="221"/>
      <c r="BI765" s="257">
        <v>1</v>
      </c>
      <c r="BJ765" s="221"/>
      <c r="BK765" s="221"/>
      <c r="BL765" s="221"/>
      <c r="BM765" s="221"/>
      <c r="BN765" s="220"/>
      <c r="BO765" s="221"/>
      <c r="BP765" s="221"/>
      <c r="BQ765" s="221"/>
      <c r="BR765" s="221"/>
      <c r="BS765" s="220"/>
      <c r="BT765" s="220"/>
      <c r="BU765" s="220"/>
      <c r="BV765" s="220"/>
      <c r="BW765" s="223"/>
    </row>
    <row r="766" spans="1:75" s="224" customFormat="1" hidden="1" outlineLevel="3" x14ac:dyDescent="0.5">
      <c r="A766" s="349" t="s">
        <v>851</v>
      </c>
      <c r="B766" s="219"/>
      <c r="C766" s="220"/>
      <c r="D766" s="220"/>
      <c r="E766" s="574">
        <v>1</v>
      </c>
      <c r="F766" s="259">
        <v>1</v>
      </c>
      <c r="G766" s="221"/>
      <c r="H766" s="221"/>
      <c r="I766" s="221"/>
      <c r="J766" s="221"/>
      <c r="K766" s="259">
        <v>1</v>
      </c>
      <c r="L766" s="221"/>
      <c r="M766" s="221"/>
      <c r="N766" s="221"/>
      <c r="O766" s="221"/>
      <c r="P766" s="259">
        <v>1</v>
      </c>
      <c r="Q766" s="221"/>
      <c r="R766" s="221"/>
      <c r="S766" s="221"/>
      <c r="T766" s="221"/>
      <c r="U766" s="259">
        <v>1</v>
      </c>
      <c r="V766" s="221"/>
      <c r="W766" s="221"/>
      <c r="X766" s="221"/>
      <c r="Y766" s="221"/>
      <c r="Z766" s="259">
        <v>1</v>
      </c>
      <c r="AA766" s="221"/>
      <c r="AB766" s="221"/>
      <c r="AC766" s="221"/>
      <c r="AD766" s="221"/>
      <c r="AE766" s="259">
        <v>1</v>
      </c>
      <c r="AF766" s="221"/>
      <c r="AG766" s="221"/>
      <c r="AH766" s="221"/>
      <c r="AI766" s="221"/>
      <c r="AJ766" s="259">
        <v>1</v>
      </c>
      <c r="AK766" s="221"/>
      <c r="AL766" s="221"/>
      <c r="AM766" s="221"/>
      <c r="AN766" s="221"/>
      <c r="AO766" s="259">
        <v>1</v>
      </c>
      <c r="AP766" s="221"/>
      <c r="AQ766" s="221"/>
      <c r="AR766" s="221"/>
      <c r="AS766" s="221"/>
      <c r="AT766" s="259">
        <v>1</v>
      </c>
      <c r="AU766" s="221"/>
      <c r="AV766" s="221"/>
      <c r="AW766" s="221"/>
      <c r="AX766" s="221"/>
      <c r="AY766" s="259">
        <v>1</v>
      </c>
      <c r="AZ766" s="221"/>
      <c r="BA766" s="221"/>
      <c r="BB766" s="221"/>
      <c r="BC766" s="221"/>
      <c r="BD766" s="259">
        <v>1</v>
      </c>
      <c r="BE766" s="221"/>
      <c r="BF766" s="221"/>
      <c r="BG766" s="221"/>
      <c r="BH766" s="221"/>
      <c r="BI766" s="257">
        <v>1</v>
      </c>
      <c r="BJ766" s="221"/>
      <c r="BK766" s="221"/>
      <c r="BL766" s="221"/>
      <c r="BM766" s="221"/>
      <c r="BN766" s="220"/>
      <c r="BO766" s="221"/>
      <c r="BP766" s="221"/>
      <c r="BQ766" s="221"/>
      <c r="BR766" s="221"/>
      <c r="BS766" s="220"/>
      <c r="BT766" s="220"/>
      <c r="BU766" s="220"/>
      <c r="BV766" s="220"/>
      <c r="BW766" s="223"/>
    </row>
    <row r="767" spans="1:75" s="224" customFormat="1" hidden="1" outlineLevel="3" x14ac:dyDescent="0.5">
      <c r="A767" s="349" t="s">
        <v>852</v>
      </c>
      <c r="B767" s="219"/>
      <c r="C767" s="220"/>
      <c r="D767" s="220"/>
      <c r="E767" s="574">
        <v>2</v>
      </c>
      <c r="F767" s="259">
        <v>2</v>
      </c>
      <c r="G767" s="221"/>
      <c r="H767" s="221"/>
      <c r="I767" s="221"/>
      <c r="J767" s="221"/>
      <c r="K767" s="259">
        <v>1</v>
      </c>
      <c r="L767" s="221"/>
      <c r="M767" s="221"/>
      <c r="N767" s="221"/>
      <c r="O767" s="221"/>
      <c r="P767" s="259">
        <v>1</v>
      </c>
      <c r="Q767" s="221"/>
      <c r="R767" s="221"/>
      <c r="S767" s="221"/>
      <c r="T767" s="221"/>
      <c r="U767" s="259">
        <v>1</v>
      </c>
      <c r="V767" s="221"/>
      <c r="W767" s="221"/>
      <c r="X767" s="221"/>
      <c r="Y767" s="221"/>
      <c r="Z767" s="259">
        <v>2</v>
      </c>
      <c r="AA767" s="221"/>
      <c r="AB767" s="221"/>
      <c r="AC767" s="221"/>
      <c r="AD767" s="221"/>
      <c r="AE767" s="259">
        <v>2</v>
      </c>
      <c r="AF767" s="221"/>
      <c r="AG767" s="221"/>
      <c r="AH767" s="221"/>
      <c r="AI767" s="221"/>
      <c r="AJ767" s="259">
        <v>2</v>
      </c>
      <c r="AK767" s="221"/>
      <c r="AL767" s="221"/>
      <c r="AM767" s="221"/>
      <c r="AN767" s="221"/>
      <c r="AO767" s="259">
        <v>2</v>
      </c>
      <c r="AP767" s="221"/>
      <c r="AQ767" s="221"/>
      <c r="AR767" s="221"/>
      <c r="AS767" s="221"/>
      <c r="AT767" s="259">
        <v>2</v>
      </c>
      <c r="AU767" s="221"/>
      <c r="AV767" s="221"/>
      <c r="AW767" s="221"/>
      <c r="AX767" s="221"/>
      <c r="AY767" s="259">
        <v>2</v>
      </c>
      <c r="AZ767" s="221"/>
      <c r="BA767" s="221"/>
      <c r="BB767" s="221"/>
      <c r="BC767" s="221"/>
      <c r="BD767" s="259">
        <v>2</v>
      </c>
      <c r="BE767" s="221"/>
      <c r="BF767" s="221"/>
      <c r="BG767" s="221"/>
      <c r="BH767" s="221"/>
      <c r="BI767" s="257">
        <v>2</v>
      </c>
      <c r="BJ767" s="221"/>
      <c r="BK767" s="221"/>
      <c r="BL767" s="221"/>
      <c r="BM767" s="221"/>
      <c r="BN767" s="220"/>
      <c r="BO767" s="221"/>
      <c r="BP767" s="221"/>
      <c r="BQ767" s="221"/>
      <c r="BR767" s="221"/>
      <c r="BS767" s="220"/>
      <c r="BT767" s="220"/>
      <c r="BU767" s="220"/>
      <c r="BV767" s="220"/>
      <c r="BW767" s="223"/>
    </row>
    <row r="768" spans="1:75" s="224" customFormat="1" hidden="1" outlineLevel="3" x14ac:dyDescent="0.5">
      <c r="A768" s="349" t="s">
        <v>853</v>
      </c>
      <c r="B768" s="219"/>
      <c r="C768" s="220"/>
      <c r="D768" s="220"/>
      <c r="E768" s="574">
        <v>1</v>
      </c>
      <c r="F768" s="259">
        <v>1</v>
      </c>
      <c r="G768" s="221"/>
      <c r="H768" s="221"/>
      <c r="I768" s="221"/>
      <c r="J768" s="221"/>
      <c r="K768" s="259">
        <v>1</v>
      </c>
      <c r="L768" s="221"/>
      <c r="M768" s="221"/>
      <c r="N768" s="221"/>
      <c r="O768" s="221"/>
      <c r="P768" s="259">
        <v>1</v>
      </c>
      <c r="Q768" s="221"/>
      <c r="R768" s="221"/>
      <c r="S768" s="221"/>
      <c r="T768" s="221"/>
      <c r="U768" s="259">
        <v>1</v>
      </c>
      <c r="V768" s="221"/>
      <c r="W768" s="221"/>
      <c r="X768" s="221"/>
      <c r="Y768" s="221"/>
      <c r="Z768" s="259">
        <v>1</v>
      </c>
      <c r="AA768" s="221"/>
      <c r="AB768" s="221"/>
      <c r="AC768" s="221"/>
      <c r="AD768" s="221"/>
      <c r="AE768" s="259">
        <v>1</v>
      </c>
      <c r="AF768" s="221"/>
      <c r="AG768" s="221"/>
      <c r="AH768" s="221"/>
      <c r="AI768" s="221"/>
      <c r="AJ768" s="259">
        <v>1</v>
      </c>
      <c r="AK768" s="221"/>
      <c r="AL768" s="221"/>
      <c r="AM768" s="221"/>
      <c r="AN768" s="221"/>
      <c r="AO768" s="259">
        <v>1</v>
      </c>
      <c r="AP768" s="221"/>
      <c r="AQ768" s="221"/>
      <c r="AR768" s="221"/>
      <c r="AS768" s="221"/>
      <c r="AT768" s="259">
        <v>1</v>
      </c>
      <c r="AU768" s="221"/>
      <c r="AV768" s="221"/>
      <c r="AW768" s="221"/>
      <c r="AX768" s="221"/>
      <c r="AY768" s="259">
        <v>1</v>
      </c>
      <c r="AZ768" s="221"/>
      <c r="BA768" s="221"/>
      <c r="BB768" s="221"/>
      <c r="BC768" s="221"/>
      <c r="BD768" s="259">
        <v>1</v>
      </c>
      <c r="BE768" s="221"/>
      <c r="BF768" s="221"/>
      <c r="BG768" s="221"/>
      <c r="BH768" s="221"/>
      <c r="BI768" s="257">
        <v>1</v>
      </c>
      <c r="BJ768" s="221"/>
      <c r="BK768" s="221"/>
      <c r="BL768" s="221"/>
      <c r="BM768" s="221"/>
      <c r="BN768" s="220"/>
      <c r="BO768" s="221"/>
      <c r="BP768" s="221"/>
      <c r="BQ768" s="221"/>
      <c r="BR768" s="221"/>
      <c r="BS768" s="220"/>
      <c r="BT768" s="220"/>
      <c r="BU768" s="220"/>
      <c r="BV768" s="220"/>
      <c r="BW768" s="223"/>
    </row>
    <row r="769" spans="1:75" s="224" customFormat="1" hidden="1" outlineLevel="3" x14ac:dyDescent="0.5">
      <c r="A769" s="349" t="s">
        <v>854</v>
      </c>
      <c r="B769" s="219"/>
      <c r="C769" s="220"/>
      <c r="D769" s="220"/>
      <c r="E769" s="574">
        <v>1</v>
      </c>
      <c r="F769" s="259">
        <v>1</v>
      </c>
      <c r="G769" s="221"/>
      <c r="H769" s="221"/>
      <c r="I769" s="221"/>
      <c r="J769" s="221"/>
      <c r="K769" s="259">
        <v>1</v>
      </c>
      <c r="L769" s="221"/>
      <c r="M769" s="221"/>
      <c r="N769" s="221"/>
      <c r="O769" s="221"/>
      <c r="P769" s="259">
        <v>1</v>
      </c>
      <c r="Q769" s="221"/>
      <c r="R769" s="221"/>
      <c r="S769" s="221"/>
      <c r="T769" s="221"/>
      <c r="U769" s="259">
        <v>1</v>
      </c>
      <c r="V769" s="221"/>
      <c r="W769" s="221"/>
      <c r="X769" s="221"/>
      <c r="Y769" s="221"/>
      <c r="Z769" s="259">
        <v>1</v>
      </c>
      <c r="AA769" s="221"/>
      <c r="AB769" s="221"/>
      <c r="AC769" s="221"/>
      <c r="AD769" s="221"/>
      <c r="AE769" s="259">
        <v>1</v>
      </c>
      <c r="AF769" s="221"/>
      <c r="AG769" s="221"/>
      <c r="AH769" s="221"/>
      <c r="AI769" s="221"/>
      <c r="AJ769" s="259">
        <v>1</v>
      </c>
      <c r="AK769" s="221"/>
      <c r="AL769" s="221"/>
      <c r="AM769" s="221"/>
      <c r="AN769" s="221"/>
      <c r="AO769" s="259">
        <v>1</v>
      </c>
      <c r="AP769" s="221"/>
      <c r="AQ769" s="221"/>
      <c r="AR769" s="221"/>
      <c r="AS769" s="221"/>
      <c r="AT769" s="259">
        <v>1</v>
      </c>
      <c r="AU769" s="221"/>
      <c r="AV769" s="221"/>
      <c r="AW769" s="221"/>
      <c r="AX769" s="221"/>
      <c r="AY769" s="259">
        <v>1</v>
      </c>
      <c r="AZ769" s="221"/>
      <c r="BA769" s="221"/>
      <c r="BB769" s="221"/>
      <c r="BC769" s="221"/>
      <c r="BD769" s="259">
        <v>1</v>
      </c>
      <c r="BE769" s="221"/>
      <c r="BF769" s="221"/>
      <c r="BG769" s="221"/>
      <c r="BH769" s="221"/>
      <c r="BI769" s="257">
        <v>1</v>
      </c>
      <c r="BJ769" s="221"/>
      <c r="BK769" s="221"/>
      <c r="BL769" s="221"/>
      <c r="BM769" s="221"/>
      <c r="BN769" s="220"/>
      <c r="BO769" s="221"/>
      <c r="BP769" s="221"/>
      <c r="BQ769" s="221"/>
      <c r="BR769" s="221"/>
      <c r="BS769" s="220"/>
      <c r="BT769" s="220"/>
      <c r="BU769" s="220"/>
      <c r="BV769" s="220"/>
      <c r="BW769" s="223"/>
    </row>
    <row r="770" spans="1:75" s="224" customFormat="1" hidden="1" outlineLevel="3" x14ac:dyDescent="0.5">
      <c r="A770" s="349" t="s">
        <v>855</v>
      </c>
      <c r="B770" s="219"/>
      <c r="C770" s="220"/>
      <c r="D770" s="220"/>
      <c r="E770" s="574">
        <v>2</v>
      </c>
      <c r="F770" s="259">
        <v>2</v>
      </c>
      <c r="G770" s="221"/>
      <c r="H770" s="221"/>
      <c r="I770" s="221"/>
      <c r="J770" s="221"/>
      <c r="K770" s="259">
        <v>2</v>
      </c>
      <c r="L770" s="221"/>
      <c r="M770" s="221"/>
      <c r="N770" s="221"/>
      <c r="O770" s="221"/>
      <c r="P770" s="259">
        <v>2</v>
      </c>
      <c r="Q770" s="221"/>
      <c r="R770" s="221"/>
      <c r="S770" s="221"/>
      <c r="T770" s="221"/>
      <c r="U770" s="259">
        <v>2</v>
      </c>
      <c r="V770" s="221"/>
      <c r="W770" s="221"/>
      <c r="X770" s="221"/>
      <c r="Y770" s="221"/>
      <c r="Z770" s="259">
        <v>1</v>
      </c>
      <c r="AA770" s="221"/>
      <c r="AB770" s="221"/>
      <c r="AC770" s="221"/>
      <c r="AD770" s="221"/>
      <c r="AE770" s="259">
        <v>1</v>
      </c>
      <c r="AF770" s="221"/>
      <c r="AG770" s="221"/>
      <c r="AH770" s="221"/>
      <c r="AI770" s="221"/>
      <c r="AJ770" s="259">
        <v>1</v>
      </c>
      <c r="AK770" s="221"/>
      <c r="AL770" s="221"/>
      <c r="AM770" s="221"/>
      <c r="AN770" s="221"/>
      <c r="AO770" s="259">
        <v>1</v>
      </c>
      <c r="AP770" s="221"/>
      <c r="AQ770" s="221"/>
      <c r="AR770" s="221"/>
      <c r="AS770" s="221"/>
      <c r="AT770" s="259">
        <v>1</v>
      </c>
      <c r="AU770" s="221"/>
      <c r="AV770" s="221"/>
      <c r="AW770" s="221"/>
      <c r="AX770" s="221"/>
      <c r="AY770" s="259">
        <v>1</v>
      </c>
      <c r="AZ770" s="221"/>
      <c r="BA770" s="221"/>
      <c r="BB770" s="221"/>
      <c r="BC770" s="221"/>
      <c r="BD770" s="259">
        <v>1</v>
      </c>
      <c r="BE770" s="221"/>
      <c r="BF770" s="221"/>
      <c r="BG770" s="221"/>
      <c r="BH770" s="221"/>
      <c r="BI770" s="257">
        <v>1</v>
      </c>
      <c r="BJ770" s="221"/>
      <c r="BK770" s="221"/>
      <c r="BL770" s="221"/>
      <c r="BM770" s="221"/>
      <c r="BN770" s="220"/>
      <c r="BO770" s="221"/>
      <c r="BP770" s="221"/>
      <c r="BQ770" s="221"/>
      <c r="BR770" s="221"/>
      <c r="BS770" s="220"/>
      <c r="BT770" s="220"/>
      <c r="BU770" s="220"/>
      <c r="BV770" s="220"/>
      <c r="BW770" s="223"/>
    </row>
    <row r="771" spans="1:75" s="224" customFormat="1" hidden="1" outlineLevel="3" x14ac:dyDescent="0.5">
      <c r="A771" s="349" t="s">
        <v>856</v>
      </c>
      <c r="B771" s="219"/>
      <c r="C771" s="220"/>
      <c r="D771" s="220"/>
      <c r="E771" s="220"/>
      <c r="F771" s="252"/>
      <c r="G771" s="221"/>
      <c r="H771" s="221"/>
      <c r="I771" s="221"/>
      <c r="J771" s="221"/>
      <c r="K771" s="252"/>
      <c r="L771" s="221"/>
      <c r="M771" s="221"/>
      <c r="N771" s="221"/>
      <c r="O771" s="221"/>
      <c r="P771" s="252"/>
      <c r="Q771" s="221"/>
      <c r="R771" s="221"/>
      <c r="S771" s="221"/>
      <c r="T771" s="221"/>
      <c r="U771" s="252"/>
      <c r="V771" s="221"/>
      <c r="W771" s="221"/>
      <c r="X771" s="221"/>
      <c r="Y771" s="221"/>
      <c r="Z771" s="259">
        <v>1</v>
      </c>
      <c r="AA771" s="221"/>
      <c r="AB771" s="221"/>
      <c r="AC771" s="221"/>
      <c r="AD771" s="221"/>
      <c r="AE771" s="259">
        <v>1</v>
      </c>
      <c r="AF771" s="221"/>
      <c r="AG771" s="221"/>
      <c r="AH771" s="221"/>
      <c r="AI771" s="221"/>
      <c r="AJ771" s="259">
        <v>1</v>
      </c>
      <c r="AK771" s="221"/>
      <c r="AL771" s="221"/>
      <c r="AM771" s="221"/>
      <c r="AN771" s="221"/>
      <c r="AO771" s="259">
        <v>1</v>
      </c>
      <c r="AP771" s="221"/>
      <c r="AQ771" s="221"/>
      <c r="AR771" s="221"/>
      <c r="AS771" s="221"/>
      <c r="AT771" s="259">
        <v>1</v>
      </c>
      <c r="AU771" s="221"/>
      <c r="AV771" s="221"/>
      <c r="AW771" s="221"/>
      <c r="AX771" s="221"/>
      <c r="AY771" s="259">
        <v>1</v>
      </c>
      <c r="AZ771" s="221"/>
      <c r="BA771" s="221"/>
      <c r="BB771" s="221"/>
      <c r="BC771" s="221"/>
      <c r="BD771" s="259">
        <v>1</v>
      </c>
      <c r="BE771" s="221"/>
      <c r="BF771" s="221"/>
      <c r="BG771" s="221"/>
      <c r="BH771" s="221"/>
      <c r="BI771" s="257">
        <v>1</v>
      </c>
      <c r="BJ771" s="221"/>
      <c r="BK771" s="221"/>
      <c r="BL771" s="221"/>
      <c r="BM771" s="221"/>
      <c r="BN771" s="220"/>
      <c r="BO771" s="221"/>
      <c r="BP771" s="221"/>
      <c r="BQ771" s="221"/>
      <c r="BR771" s="221"/>
      <c r="BS771" s="220"/>
      <c r="BT771" s="220"/>
      <c r="BU771" s="220"/>
      <c r="BV771" s="220"/>
      <c r="BW771" s="223"/>
    </row>
    <row r="772" spans="1:75" s="224" customFormat="1" hidden="1" outlineLevel="3" x14ac:dyDescent="0.5">
      <c r="A772" s="349" t="s">
        <v>857</v>
      </c>
      <c r="B772" s="219"/>
      <c r="C772" s="220"/>
      <c r="D772" s="220"/>
      <c r="E772" s="574">
        <v>2</v>
      </c>
      <c r="F772" s="259">
        <v>2</v>
      </c>
      <c r="G772" s="221"/>
      <c r="H772" s="221"/>
      <c r="I772" s="221"/>
      <c r="J772" s="221"/>
      <c r="K772" s="259">
        <v>2</v>
      </c>
      <c r="L772" s="221"/>
      <c r="M772" s="221"/>
      <c r="N772" s="221"/>
      <c r="O772" s="221"/>
      <c r="P772" s="259">
        <v>2</v>
      </c>
      <c r="Q772" s="221"/>
      <c r="R772" s="221"/>
      <c r="S772" s="221"/>
      <c r="T772" s="221"/>
      <c r="U772" s="259">
        <v>2</v>
      </c>
      <c r="V772" s="221"/>
      <c r="W772" s="221"/>
      <c r="X772" s="221"/>
      <c r="Y772" s="221"/>
      <c r="Z772" s="259">
        <v>2</v>
      </c>
      <c r="AA772" s="221"/>
      <c r="AB772" s="221"/>
      <c r="AC772" s="221"/>
      <c r="AD772" s="221"/>
      <c r="AE772" s="259">
        <v>2</v>
      </c>
      <c r="AF772" s="221"/>
      <c r="AG772" s="221"/>
      <c r="AH772" s="221"/>
      <c r="AI772" s="221"/>
      <c r="AJ772" s="259">
        <v>2</v>
      </c>
      <c r="AK772" s="221"/>
      <c r="AL772" s="221"/>
      <c r="AM772" s="221"/>
      <c r="AN772" s="221"/>
      <c r="AO772" s="259">
        <v>2</v>
      </c>
      <c r="AP772" s="221"/>
      <c r="AQ772" s="221"/>
      <c r="AR772" s="221"/>
      <c r="AS772" s="221"/>
      <c r="AT772" s="259">
        <v>2</v>
      </c>
      <c r="AU772" s="221"/>
      <c r="AV772" s="221"/>
      <c r="AW772" s="221"/>
      <c r="AX772" s="221"/>
      <c r="AY772" s="259">
        <v>2</v>
      </c>
      <c r="AZ772" s="221"/>
      <c r="BA772" s="221"/>
      <c r="BB772" s="221"/>
      <c r="BC772" s="221"/>
      <c r="BD772" s="259">
        <v>2</v>
      </c>
      <c r="BE772" s="221"/>
      <c r="BF772" s="221"/>
      <c r="BG772" s="221"/>
      <c r="BH772" s="221"/>
      <c r="BI772" s="257">
        <v>2</v>
      </c>
      <c r="BJ772" s="221"/>
      <c r="BK772" s="221"/>
      <c r="BL772" s="221"/>
      <c r="BM772" s="221"/>
      <c r="BN772" s="220"/>
      <c r="BO772" s="221"/>
      <c r="BP772" s="221"/>
      <c r="BQ772" s="221"/>
      <c r="BR772" s="221"/>
      <c r="BS772" s="220"/>
      <c r="BT772" s="220"/>
      <c r="BU772" s="220"/>
      <c r="BV772" s="220"/>
      <c r="BW772" s="223"/>
    </row>
    <row r="773" spans="1:75" s="224" customFormat="1" hidden="1" outlineLevel="3" x14ac:dyDescent="0.5">
      <c r="A773" s="349" t="s">
        <v>858</v>
      </c>
      <c r="B773" s="219"/>
      <c r="C773" s="220"/>
      <c r="D773" s="220"/>
      <c r="E773" s="574">
        <v>3</v>
      </c>
      <c r="F773" s="259">
        <v>3</v>
      </c>
      <c r="G773" s="221"/>
      <c r="H773" s="221"/>
      <c r="I773" s="221"/>
      <c r="J773" s="221"/>
      <c r="K773" s="259">
        <v>3</v>
      </c>
      <c r="L773" s="221"/>
      <c r="M773" s="221"/>
      <c r="N773" s="221"/>
      <c r="O773" s="221"/>
      <c r="P773" s="259">
        <v>2</v>
      </c>
      <c r="Q773" s="221"/>
      <c r="R773" s="221"/>
      <c r="S773" s="221"/>
      <c r="T773" s="221"/>
      <c r="U773" s="259">
        <v>2</v>
      </c>
      <c r="V773" s="221"/>
      <c r="W773" s="221"/>
      <c r="X773" s="221"/>
      <c r="Y773" s="221"/>
      <c r="Z773" s="259">
        <v>5</v>
      </c>
      <c r="AA773" s="221"/>
      <c r="AB773" s="221"/>
      <c r="AC773" s="221"/>
      <c r="AD773" s="221"/>
      <c r="AE773" s="259">
        <v>5</v>
      </c>
      <c r="AF773" s="221"/>
      <c r="AG773" s="221"/>
      <c r="AH773" s="221"/>
      <c r="AI773" s="221"/>
      <c r="AJ773" s="259">
        <v>5</v>
      </c>
      <c r="AK773" s="221"/>
      <c r="AL773" s="221"/>
      <c r="AM773" s="221"/>
      <c r="AN773" s="221"/>
      <c r="AO773" s="259">
        <v>5</v>
      </c>
      <c r="AP773" s="221"/>
      <c r="AQ773" s="221"/>
      <c r="AR773" s="221"/>
      <c r="AS773" s="221"/>
      <c r="AT773" s="259">
        <v>4</v>
      </c>
      <c r="AU773" s="221"/>
      <c r="AV773" s="221"/>
      <c r="AW773" s="221"/>
      <c r="AX773" s="221"/>
      <c r="AY773" s="259">
        <v>4</v>
      </c>
      <c r="AZ773" s="221"/>
      <c r="BA773" s="221"/>
      <c r="BB773" s="221"/>
      <c r="BC773" s="221"/>
      <c r="BD773" s="259">
        <v>4</v>
      </c>
      <c r="BE773" s="221"/>
      <c r="BF773" s="221"/>
      <c r="BG773" s="221"/>
      <c r="BH773" s="221"/>
      <c r="BI773" s="257">
        <v>4</v>
      </c>
      <c r="BJ773" s="221"/>
      <c r="BK773" s="221"/>
      <c r="BL773" s="221"/>
      <c r="BM773" s="221"/>
      <c r="BN773" s="220"/>
      <c r="BO773" s="221"/>
      <c r="BP773" s="221"/>
      <c r="BQ773" s="221"/>
      <c r="BR773" s="221"/>
      <c r="BS773" s="220"/>
      <c r="BT773" s="220"/>
      <c r="BU773" s="220"/>
      <c r="BV773" s="220"/>
      <c r="BW773" s="223"/>
    </row>
    <row r="774" spans="1:75" s="224" customFormat="1" hidden="1" outlineLevel="3" x14ac:dyDescent="0.5">
      <c r="A774" s="349" t="s">
        <v>859</v>
      </c>
      <c r="B774" s="219"/>
      <c r="C774" s="220"/>
      <c r="D774" s="220"/>
      <c r="E774" s="574">
        <v>2</v>
      </c>
      <c r="F774" s="259">
        <v>2</v>
      </c>
      <c r="G774" s="221"/>
      <c r="H774" s="221"/>
      <c r="I774" s="221"/>
      <c r="J774" s="221"/>
      <c r="K774" s="259">
        <v>2</v>
      </c>
      <c r="L774" s="221"/>
      <c r="M774" s="221"/>
      <c r="N774" s="221"/>
      <c r="O774" s="221"/>
      <c r="P774" s="259">
        <v>2</v>
      </c>
      <c r="Q774" s="221"/>
      <c r="R774" s="221"/>
      <c r="S774" s="221"/>
      <c r="T774" s="221"/>
      <c r="U774" s="259">
        <v>2</v>
      </c>
      <c r="V774" s="221"/>
      <c r="W774" s="221"/>
      <c r="X774" s="221"/>
      <c r="Y774" s="221"/>
      <c r="Z774" s="259">
        <v>2</v>
      </c>
      <c r="AA774" s="221"/>
      <c r="AB774" s="221"/>
      <c r="AC774" s="221"/>
      <c r="AD774" s="221"/>
      <c r="AE774" s="259">
        <v>2</v>
      </c>
      <c r="AF774" s="221"/>
      <c r="AG774" s="221"/>
      <c r="AH774" s="221"/>
      <c r="AI774" s="221"/>
      <c r="AJ774" s="259">
        <v>2</v>
      </c>
      <c r="AK774" s="221"/>
      <c r="AL774" s="221"/>
      <c r="AM774" s="221"/>
      <c r="AN774" s="221"/>
      <c r="AO774" s="259">
        <v>1</v>
      </c>
      <c r="AP774" s="221"/>
      <c r="AQ774" s="221"/>
      <c r="AR774" s="221"/>
      <c r="AS774" s="221"/>
      <c r="AT774" s="259">
        <v>2</v>
      </c>
      <c r="AU774" s="221"/>
      <c r="AV774" s="221"/>
      <c r="AW774" s="221"/>
      <c r="AX774" s="221"/>
      <c r="AY774" s="259">
        <v>2</v>
      </c>
      <c r="AZ774" s="221"/>
      <c r="BA774" s="221"/>
      <c r="BB774" s="221"/>
      <c r="BC774" s="221"/>
      <c r="BD774" s="259">
        <v>2</v>
      </c>
      <c r="BE774" s="221"/>
      <c r="BF774" s="221"/>
      <c r="BG774" s="221"/>
      <c r="BH774" s="221"/>
      <c r="BI774" s="257">
        <v>2</v>
      </c>
      <c r="BJ774" s="221"/>
      <c r="BK774" s="221"/>
      <c r="BL774" s="221"/>
      <c r="BM774" s="221"/>
      <c r="BN774" s="220"/>
      <c r="BO774" s="221"/>
      <c r="BP774" s="221"/>
      <c r="BQ774" s="221"/>
      <c r="BR774" s="221"/>
      <c r="BS774" s="220"/>
      <c r="BT774" s="220"/>
      <c r="BU774" s="220"/>
      <c r="BV774" s="220"/>
      <c r="BW774" s="223"/>
    </row>
    <row r="775" spans="1:75" s="224" customFormat="1" hidden="1" outlineLevel="3" x14ac:dyDescent="0.5">
      <c r="A775" s="349" t="s">
        <v>860</v>
      </c>
      <c r="B775" s="219"/>
      <c r="C775" s="220"/>
      <c r="D775" s="220"/>
      <c r="E775" s="574">
        <v>3</v>
      </c>
      <c r="F775" s="259">
        <v>3</v>
      </c>
      <c r="G775" s="221"/>
      <c r="H775" s="221"/>
      <c r="I775" s="221"/>
      <c r="J775" s="221"/>
      <c r="K775" s="259">
        <v>3</v>
      </c>
      <c r="L775" s="221"/>
      <c r="M775" s="221"/>
      <c r="N775" s="221"/>
      <c r="O775" s="221"/>
      <c r="P775" s="259">
        <v>3</v>
      </c>
      <c r="Q775" s="221"/>
      <c r="R775" s="221"/>
      <c r="S775" s="221"/>
      <c r="T775" s="221"/>
      <c r="U775" s="259">
        <v>3</v>
      </c>
      <c r="V775" s="221"/>
      <c r="W775" s="221"/>
      <c r="X775" s="221"/>
      <c r="Y775" s="221"/>
      <c r="Z775" s="259">
        <v>3</v>
      </c>
      <c r="AA775" s="221"/>
      <c r="AB775" s="221"/>
      <c r="AC775" s="221"/>
      <c r="AD775" s="221"/>
      <c r="AE775" s="259">
        <v>3</v>
      </c>
      <c r="AF775" s="221"/>
      <c r="AG775" s="221"/>
      <c r="AH775" s="221"/>
      <c r="AI775" s="221"/>
      <c r="AJ775" s="259">
        <v>3</v>
      </c>
      <c r="AK775" s="221"/>
      <c r="AL775" s="221"/>
      <c r="AM775" s="221"/>
      <c r="AN775" s="221"/>
      <c r="AO775" s="259">
        <v>3</v>
      </c>
      <c r="AP775" s="221"/>
      <c r="AQ775" s="221"/>
      <c r="AR775" s="221"/>
      <c r="AS775" s="221"/>
      <c r="AT775" s="259">
        <v>3</v>
      </c>
      <c r="AU775" s="221"/>
      <c r="AV775" s="221"/>
      <c r="AW775" s="221"/>
      <c r="AX775" s="221"/>
      <c r="AY775" s="259">
        <v>3</v>
      </c>
      <c r="AZ775" s="221"/>
      <c r="BA775" s="221"/>
      <c r="BB775" s="221"/>
      <c r="BC775" s="221"/>
      <c r="BD775" s="259">
        <v>3</v>
      </c>
      <c r="BE775" s="221"/>
      <c r="BF775" s="221"/>
      <c r="BG775" s="221"/>
      <c r="BH775" s="221"/>
      <c r="BI775" s="257">
        <v>3</v>
      </c>
      <c r="BJ775" s="221"/>
      <c r="BK775" s="221"/>
      <c r="BL775" s="221"/>
      <c r="BM775" s="221"/>
      <c r="BN775" s="220"/>
      <c r="BO775" s="221"/>
      <c r="BP775" s="221"/>
      <c r="BQ775" s="221"/>
      <c r="BR775" s="221"/>
      <c r="BS775" s="220"/>
      <c r="BT775" s="220"/>
      <c r="BU775" s="220"/>
      <c r="BV775" s="220"/>
      <c r="BW775" s="223"/>
    </row>
    <row r="776" spans="1:75" s="224" customFormat="1" hidden="1" outlineLevel="3" x14ac:dyDescent="0.5">
      <c r="A776" s="349" t="s">
        <v>861</v>
      </c>
      <c r="B776" s="219"/>
      <c r="C776" s="220"/>
      <c r="D776" s="220"/>
      <c r="E776" s="574">
        <v>1</v>
      </c>
      <c r="F776" s="259">
        <v>1</v>
      </c>
      <c r="G776" s="221"/>
      <c r="H776" s="221"/>
      <c r="I776" s="221"/>
      <c r="J776" s="221"/>
      <c r="K776" s="259">
        <v>1</v>
      </c>
      <c r="L776" s="221"/>
      <c r="M776" s="221"/>
      <c r="N776" s="221"/>
      <c r="O776" s="221"/>
      <c r="P776" s="259">
        <v>1</v>
      </c>
      <c r="Q776" s="221"/>
      <c r="R776" s="221"/>
      <c r="S776" s="221"/>
      <c r="T776" s="221"/>
      <c r="U776" s="259">
        <v>1</v>
      </c>
      <c r="V776" s="221"/>
      <c r="W776" s="221"/>
      <c r="X776" s="221"/>
      <c r="Y776" s="221"/>
      <c r="Z776" s="259">
        <v>1</v>
      </c>
      <c r="AA776" s="221"/>
      <c r="AB776" s="221"/>
      <c r="AC776" s="221"/>
      <c r="AD776" s="221"/>
      <c r="AE776" s="259">
        <v>1</v>
      </c>
      <c r="AF776" s="221"/>
      <c r="AG776" s="221"/>
      <c r="AH776" s="221"/>
      <c r="AI776" s="221"/>
      <c r="AJ776" s="259">
        <v>1</v>
      </c>
      <c r="AK776" s="221"/>
      <c r="AL776" s="221"/>
      <c r="AM776" s="221"/>
      <c r="AN776" s="221"/>
      <c r="AO776" s="259">
        <v>1</v>
      </c>
      <c r="AP776" s="221"/>
      <c r="AQ776" s="221"/>
      <c r="AR776" s="221"/>
      <c r="AS776" s="221"/>
      <c r="AT776" s="259">
        <v>1</v>
      </c>
      <c r="AU776" s="221"/>
      <c r="AV776" s="221"/>
      <c r="AW776" s="221"/>
      <c r="AX776" s="221"/>
      <c r="AY776" s="259">
        <v>1</v>
      </c>
      <c r="AZ776" s="221"/>
      <c r="BA776" s="221"/>
      <c r="BB776" s="221"/>
      <c r="BC776" s="221"/>
      <c r="BD776" s="259">
        <v>1</v>
      </c>
      <c r="BE776" s="221"/>
      <c r="BF776" s="221"/>
      <c r="BG776" s="221"/>
      <c r="BH776" s="221"/>
      <c r="BI776" s="257">
        <v>1</v>
      </c>
      <c r="BJ776" s="221"/>
      <c r="BK776" s="221"/>
      <c r="BL776" s="221"/>
      <c r="BM776" s="221"/>
      <c r="BN776" s="220"/>
      <c r="BO776" s="221"/>
      <c r="BP776" s="221"/>
      <c r="BQ776" s="221"/>
      <c r="BR776" s="221"/>
      <c r="BS776" s="220"/>
      <c r="BT776" s="220"/>
      <c r="BU776" s="220"/>
      <c r="BV776" s="220"/>
      <c r="BW776" s="223"/>
    </row>
    <row r="777" spans="1:75" s="224" customFormat="1" hidden="1" outlineLevel="3" x14ac:dyDescent="0.5">
      <c r="A777" s="349" t="s">
        <v>862</v>
      </c>
      <c r="B777" s="219"/>
      <c r="C777" s="220"/>
      <c r="D777" s="220"/>
      <c r="E777" s="574">
        <v>1</v>
      </c>
      <c r="F777" s="259">
        <v>1</v>
      </c>
      <c r="G777" s="221"/>
      <c r="H777" s="221"/>
      <c r="I777" s="221"/>
      <c r="J777" s="221"/>
      <c r="K777" s="259">
        <v>1</v>
      </c>
      <c r="L777" s="221"/>
      <c r="M777" s="221"/>
      <c r="N777" s="221"/>
      <c r="O777" s="221"/>
      <c r="P777" s="259">
        <v>1</v>
      </c>
      <c r="Q777" s="221"/>
      <c r="R777" s="221"/>
      <c r="S777" s="221"/>
      <c r="T777" s="221"/>
      <c r="U777" s="259">
        <v>1</v>
      </c>
      <c r="V777" s="221"/>
      <c r="W777" s="221"/>
      <c r="X777" s="221"/>
      <c r="Y777" s="221"/>
      <c r="Z777" s="259">
        <v>1</v>
      </c>
      <c r="AA777" s="221"/>
      <c r="AB777" s="221"/>
      <c r="AC777" s="221"/>
      <c r="AD777" s="221"/>
      <c r="AE777" s="259">
        <v>1</v>
      </c>
      <c r="AF777" s="221"/>
      <c r="AG777" s="221"/>
      <c r="AH777" s="221"/>
      <c r="AI777" s="221"/>
      <c r="AJ777" s="259">
        <v>2</v>
      </c>
      <c r="AK777" s="221"/>
      <c r="AL777" s="221"/>
      <c r="AM777" s="221"/>
      <c r="AN777" s="221"/>
      <c r="AO777" s="259">
        <v>1</v>
      </c>
      <c r="AP777" s="221"/>
      <c r="AQ777" s="221"/>
      <c r="AR777" s="221"/>
      <c r="AS777" s="221"/>
      <c r="AT777" s="259">
        <v>1</v>
      </c>
      <c r="AU777" s="221"/>
      <c r="AV777" s="221"/>
      <c r="AW777" s="221"/>
      <c r="AX777" s="221"/>
      <c r="AY777" s="259">
        <v>1</v>
      </c>
      <c r="AZ777" s="221"/>
      <c r="BA777" s="221"/>
      <c r="BB777" s="221"/>
      <c r="BC777" s="221"/>
      <c r="BD777" s="259">
        <v>1</v>
      </c>
      <c r="BE777" s="221"/>
      <c r="BF777" s="221"/>
      <c r="BG777" s="221"/>
      <c r="BH777" s="221"/>
      <c r="BI777" s="257">
        <v>1</v>
      </c>
      <c r="BJ777" s="221"/>
      <c r="BK777" s="221"/>
      <c r="BL777" s="221"/>
      <c r="BM777" s="221"/>
      <c r="BN777" s="220"/>
      <c r="BO777" s="221"/>
      <c r="BP777" s="221"/>
      <c r="BQ777" s="221"/>
      <c r="BR777" s="221"/>
      <c r="BS777" s="220"/>
      <c r="BT777" s="220"/>
      <c r="BU777" s="220"/>
      <c r="BV777" s="220"/>
      <c r="BW777" s="223"/>
    </row>
    <row r="778" spans="1:75" s="224" customFormat="1" hidden="1" outlineLevel="3" x14ac:dyDescent="0.5">
      <c r="A778" s="349" t="s">
        <v>863</v>
      </c>
      <c r="B778" s="219"/>
      <c r="C778" s="220"/>
      <c r="D778" s="220"/>
      <c r="E778" s="574">
        <v>2</v>
      </c>
      <c r="F778" s="259">
        <v>2</v>
      </c>
      <c r="G778" s="221"/>
      <c r="H778" s="221"/>
      <c r="I778" s="221"/>
      <c r="J778" s="221"/>
      <c r="K778" s="259">
        <v>2</v>
      </c>
      <c r="L778" s="221"/>
      <c r="M778" s="221"/>
      <c r="N778" s="221"/>
      <c r="O778" s="221"/>
      <c r="P778" s="259">
        <v>2</v>
      </c>
      <c r="Q778" s="221"/>
      <c r="R778" s="221"/>
      <c r="S778" s="221"/>
      <c r="T778" s="221"/>
      <c r="U778" s="259">
        <v>2</v>
      </c>
      <c r="V778" s="221"/>
      <c r="W778" s="221"/>
      <c r="X778" s="221"/>
      <c r="Y778" s="221"/>
      <c r="Z778" s="259">
        <v>2</v>
      </c>
      <c r="AA778" s="221"/>
      <c r="AB778" s="221"/>
      <c r="AC778" s="221"/>
      <c r="AD778" s="221"/>
      <c r="AE778" s="259">
        <v>2</v>
      </c>
      <c r="AF778" s="221"/>
      <c r="AG778" s="221"/>
      <c r="AH778" s="221"/>
      <c r="AI778" s="221"/>
      <c r="AJ778" s="259">
        <v>2</v>
      </c>
      <c r="AK778" s="221"/>
      <c r="AL778" s="221"/>
      <c r="AM778" s="221"/>
      <c r="AN778" s="221"/>
      <c r="AO778" s="259">
        <v>2</v>
      </c>
      <c r="AP778" s="221"/>
      <c r="AQ778" s="221"/>
      <c r="AR778" s="221"/>
      <c r="AS778" s="221"/>
      <c r="AT778" s="259">
        <v>2</v>
      </c>
      <c r="AU778" s="221"/>
      <c r="AV778" s="221"/>
      <c r="AW778" s="221"/>
      <c r="AX778" s="221"/>
      <c r="AY778" s="259">
        <v>2</v>
      </c>
      <c r="AZ778" s="221"/>
      <c r="BA778" s="221"/>
      <c r="BB778" s="221"/>
      <c r="BC778" s="221"/>
      <c r="BD778" s="259">
        <v>2</v>
      </c>
      <c r="BE778" s="221"/>
      <c r="BF778" s="221"/>
      <c r="BG778" s="221"/>
      <c r="BH778" s="221"/>
      <c r="BI778" s="257">
        <v>2</v>
      </c>
      <c r="BJ778" s="221"/>
      <c r="BK778" s="221"/>
      <c r="BL778" s="221"/>
      <c r="BM778" s="221"/>
      <c r="BN778" s="220"/>
      <c r="BO778" s="221"/>
      <c r="BP778" s="221"/>
      <c r="BQ778" s="221"/>
      <c r="BR778" s="221"/>
      <c r="BS778" s="220"/>
      <c r="BT778" s="220"/>
      <c r="BU778" s="220"/>
      <c r="BV778" s="220"/>
      <c r="BW778" s="223"/>
    </row>
    <row r="779" spans="1:75" s="224" customFormat="1" hidden="1" outlineLevel="3" x14ac:dyDescent="0.5">
      <c r="A779" s="349" t="s">
        <v>864</v>
      </c>
      <c r="B779" s="219"/>
      <c r="C779" s="220"/>
      <c r="D779" s="220"/>
      <c r="E779" s="574">
        <v>1</v>
      </c>
      <c r="F779" s="259">
        <v>1</v>
      </c>
      <c r="G779" s="221"/>
      <c r="H779" s="221"/>
      <c r="I779" s="221"/>
      <c r="J779" s="221"/>
      <c r="K779" s="259">
        <v>1</v>
      </c>
      <c r="L779" s="221"/>
      <c r="M779" s="221"/>
      <c r="N779" s="221"/>
      <c r="O779" s="221"/>
      <c r="P779" s="252"/>
      <c r="Q779" s="221"/>
      <c r="R779" s="221"/>
      <c r="S779" s="221"/>
      <c r="T779" s="221"/>
      <c r="U779" s="252"/>
      <c r="V779" s="221"/>
      <c r="W779" s="221"/>
      <c r="X779" s="221"/>
      <c r="Y779" s="221"/>
      <c r="Z779" s="252"/>
      <c r="AA779" s="221"/>
      <c r="AB779" s="221"/>
      <c r="AC779" s="221"/>
      <c r="AD779" s="221"/>
      <c r="AE779" s="252"/>
      <c r="AF779" s="221"/>
      <c r="AG779" s="221"/>
      <c r="AH779" s="221"/>
      <c r="AI779" s="221"/>
      <c r="AJ779" s="252"/>
      <c r="AK779" s="221"/>
      <c r="AL779" s="221"/>
      <c r="AM779" s="221"/>
      <c r="AN779" s="221"/>
      <c r="AO779" s="252"/>
      <c r="AP779" s="221"/>
      <c r="AQ779" s="221"/>
      <c r="AR779" s="221"/>
      <c r="AS779" s="221"/>
      <c r="AT779" s="252"/>
      <c r="AU779" s="221"/>
      <c r="AV779" s="221"/>
      <c r="AW779" s="221"/>
      <c r="AX779" s="221"/>
      <c r="AY779" s="252"/>
      <c r="AZ779" s="221"/>
      <c r="BA779" s="221"/>
      <c r="BB779" s="221"/>
      <c r="BC779" s="221"/>
      <c r="BD779" s="252"/>
      <c r="BE779" s="221"/>
      <c r="BF779" s="221"/>
      <c r="BG779" s="221"/>
      <c r="BH779" s="221"/>
      <c r="BI779" s="260"/>
      <c r="BJ779" s="221"/>
      <c r="BK779" s="221"/>
      <c r="BL779" s="221"/>
      <c r="BM779" s="221"/>
      <c r="BN779" s="220"/>
      <c r="BO779" s="221"/>
      <c r="BP779" s="221"/>
      <c r="BQ779" s="221"/>
      <c r="BR779" s="221"/>
      <c r="BS779" s="220"/>
      <c r="BT779" s="220"/>
      <c r="BU779" s="220"/>
      <c r="BV779" s="220"/>
      <c r="BW779" s="223"/>
    </row>
    <row r="780" spans="1:75" s="224" customFormat="1" hidden="1" outlineLevel="3" x14ac:dyDescent="0.5">
      <c r="A780" s="349" t="s">
        <v>865</v>
      </c>
      <c r="B780" s="219"/>
      <c r="C780" s="220"/>
      <c r="D780" s="220"/>
      <c r="E780" s="574">
        <v>1</v>
      </c>
      <c r="F780" s="259">
        <v>1</v>
      </c>
      <c r="G780" s="221"/>
      <c r="H780" s="221"/>
      <c r="I780" s="221"/>
      <c r="J780" s="221"/>
      <c r="K780" s="259">
        <v>1</v>
      </c>
      <c r="L780" s="221"/>
      <c r="M780" s="221"/>
      <c r="N780" s="221"/>
      <c r="O780" s="221"/>
      <c r="P780" s="259">
        <v>1</v>
      </c>
      <c r="Q780" s="221"/>
      <c r="R780" s="221"/>
      <c r="S780" s="221"/>
      <c r="T780" s="221"/>
      <c r="U780" s="259">
        <v>1</v>
      </c>
      <c r="V780" s="221"/>
      <c r="W780" s="221"/>
      <c r="X780" s="221"/>
      <c r="Y780" s="221"/>
      <c r="Z780" s="259">
        <v>1</v>
      </c>
      <c r="AA780" s="221"/>
      <c r="AB780" s="221"/>
      <c r="AC780" s="221"/>
      <c r="AD780" s="221"/>
      <c r="AE780" s="259">
        <v>1</v>
      </c>
      <c r="AF780" s="221"/>
      <c r="AG780" s="221"/>
      <c r="AH780" s="221"/>
      <c r="AI780" s="221"/>
      <c r="AJ780" s="259">
        <v>1</v>
      </c>
      <c r="AK780" s="221"/>
      <c r="AL780" s="221"/>
      <c r="AM780" s="221"/>
      <c r="AN780" s="221"/>
      <c r="AO780" s="259">
        <v>1</v>
      </c>
      <c r="AP780" s="221"/>
      <c r="AQ780" s="221"/>
      <c r="AR780" s="221"/>
      <c r="AS780" s="221"/>
      <c r="AT780" s="259">
        <v>1</v>
      </c>
      <c r="AU780" s="221"/>
      <c r="AV780" s="221"/>
      <c r="AW780" s="221"/>
      <c r="AX780" s="221"/>
      <c r="AY780" s="259">
        <v>1</v>
      </c>
      <c r="AZ780" s="221"/>
      <c r="BA780" s="221"/>
      <c r="BB780" s="221"/>
      <c r="BC780" s="221"/>
      <c r="BD780" s="259">
        <v>1</v>
      </c>
      <c r="BE780" s="221"/>
      <c r="BF780" s="221"/>
      <c r="BG780" s="221"/>
      <c r="BH780" s="221"/>
      <c r="BI780" s="257">
        <v>1</v>
      </c>
      <c r="BJ780" s="221"/>
      <c r="BK780" s="221"/>
      <c r="BL780" s="221"/>
      <c r="BM780" s="221"/>
      <c r="BN780" s="220"/>
      <c r="BO780" s="221"/>
      <c r="BP780" s="221"/>
      <c r="BQ780" s="221"/>
      <c r="BR780" s="221"/>
      <c r="BS780" s="220"/>
      <c r="BT780" s="220"/>
      <c r="BU780" s="220"/>
      <c r="BV780" s="220"/>
      <c r="BW780" s="223"/>
    </row>
    <row r="781" spans="1:75" s="224" customFormat="1" hidden="1" outlineLevel="3" x14ac:dyDescent="0.5">
      <c r="A781" s="349" t="s">
        <v>866</v>
      </c>
      <c r="B781" s="219"/>
      <c r="C781" s="220"/>
      <c r="D781" s="220"/>
      <c r="E781" s="574">
        <v>5</v>
      </c>
      <c r="F781" s="259">
        <v>6</v>
      </c>
      <c r="G781" s="221"/>
      <c r="H781" s="221"/>
      <c r="I781" s="221"/>
      <c r="J781" s="221"/>
      <c r="K781" s="259">
        <v>6</v>
      </c>
      <c r="L781" s="221"/>
      <c r="M781" s="221"/>
      <c r="N781" s="221"/>
      <c r="O781" s="221"/>
      <c r="P781" s="259">
        <v>6</v>
      </c>
      <c r="Q781" s="221"/>
      <c r="R781" s="221"/>
      <c r="S781" s="221"/>
      <c r="T781" s="221"/>
      <c r="U781" s="259">
        <v>6</v>
      </c>
      <c r="V781" s="221"/>
      <c r="W781" s="221"/>
      <c r="X781" s="221"/>
      <c r="Y781" s="221"/>
      <c r="Z781" s="259">
        <v>7</v>
      </c>
      <c r="AA781" s="221"/>
      <c r="AB781" s="221"/>
      <c r="AC781" s="221"/>
      <c r="AD781" s="221"/>
      <c r="AE781" s="259">
        <v>7</v>
      </c>
      <c r="AF781" s="221"/>
      <c r="AG781" s="221"/>
      <c r="AH781" s="221"/>
      <c r="AI781" s="221"/>
      <c r="AJ781" s="259">
        <v>9</v>
      </c>
      <c r="AK781" s="221"/>
      <c r="AL781" s="221"/>
      <c r="AM781" s="221"/>
      <c r="AN781" s="221"/>
      <c r="AO781" s="259">
        <v>8</v>
      </c>
      <c r="AP781" s="221"/>
      <c r="AQ781" s="221"/>
      <c r="AR781" s="221"/>
      <c r="AS781" s="221"/>
      <c r="AT781" s="259">
        <v>8</v>
      </c>
      <c r="AU781" s="221"/>
      <c r="AV781" s="221"/>
      <c r="AW781" s="221"/>
      <c r="AX781" s="221"/>
      <c r="AY781" s="259">
        <v>7</v>
      </c>
      <c r="AZ781" s="221"/>
      <c r="BA781" s="221"/>
      <c r="BB781" s="221"/>
      <c r="BC781" s="221"/>
      <c r="BD781" s="259">
        <v>7</v>
      </c>
      <c r="BE781" s="221"/>
      <c r="BF781" s="221"/>
      <c r="BG781" s="221"/>
      <c r="BH781" s="221"/>
      <c r="BI781" s="257">
        <v>7</v>
      </c>
      <c r="BJ781" s="221"/>
      <c r="BK781" s="221"/>
      <c r="BL781" s="221"/>
      <c r="BM781" s="221"/>
      <c r="BN781" s="220"/>
      <c r="BO781" s="221"/>
      <c r="BP781" s="221"/>
      <c r="BQ781" s="221"/>
      <c r="BR781" s="221"/>
      <c r="BS781" s="220"/>
      <c r="BT781" s="220"/>
      <c r="BU781" s="220"/>
      <c r="BV781" s="220"/>
      <c r="BW781" s="223"/>
    </row>
    <row r="782" spans="1:75" s="224" customFormat="1" hidden="1" outlineLevel="3" x14ac:dyDescent="0.5">
      <c r="A782" s="349" t="s">
        <v>867</v>
      </c>
      <c r="B782" s="219"/>
      <c r="C782" s="220"/>
      <c r="D782" s="220"/>
      <c r="E782" s="574">
        <v>1</v>
      </c>
      <c r="F782" s="259">
        <v>1</v>
      </c>
      <c r="G782" s="221"/>
      <c r="H782" s="221"/>
      <c r="I782" s="221"/>
      <c r="J782" s="221"/>
      <c r="K782" s="259">
        <v>1</v>
      </c>
      <c r="L782" s="221"/>
      <c r="M782" s="221"/>
      <c r="N782" s="221"/>
      <c r="O782" s="221"/>
      <c r="P782" s="259">
        <v>1</v>
      </c>
      <c r="Q782" s="221"/>
      <c r="R782" s="221"/>
      <c r="S782" s="221"/>
      <c r="T782" s="221"/>
      <c r="U782" s="259">
        <v>1</v>
      </c>
      <c r="V782" s="221"/>
      <c r="W782" s="221"/>
      <c r="X782" s="221"/>
      <c r="Y782" s="221"/>
      <c r="Z782" s="259">
        <v>1</v>
      </c>
      <c r="AA782" s="221"/>
      <c r="AB782" s="221"/>
      <c r="AC782" s="221"/>
      <c r="AD782" s="221"/>
      <c r="AE782" s="259">
        <v>1</v>
      </c>
      <c r="AF782" s="221"/>
      <c r="AG782" s="221"/>
      <c r="AH782" s="221"/>
      <c r="AI782" s="221"/>
      <c r="AJ782" s="259">
        <v>1</v>
      </c>
      <c r="AK782" s="221"/>
      <c r="AL782" s="221"/>
      <c r="AM782" s="221"/>
      <c r="AN782" s="221"/>
      <c r="AO782" s="259">
        <v>1</v>
      </c>
      <c r="AP782" s="221"/>
      <c r="AQ782" s="221"/>
      <c r="AR782" s="221"/>
      <c r="AS782" s="221"/>
      <c r="AT782" s="259">
        <v>1</v>
      </c>
      <c r="AU782" s="221"/>
      <c r="AV782" s="221"/>
      <c r="AW782" s="221"/>
      <c r="AX782" s="221"/>
      <c r="AY782" s="259">
        <v>1</v>
      </c>
      <c r="AZ782" s="221"/>
      <c r="BA782" s="221"/>
      <c r="BB782" s="221"/>
      <c r="BC782" s="221"/>
      <c r="BD782" s="259">
        <v>1</v>
      </c>
      <c r="BE782" s="221"/>
      <c r="BF782" s="221"/>
      <c r="BG782" s="221"/>
      <c r="BH782" s="221"/>
      <c r="BI782" s="257">
        <v>1</v>
      </c>
      <c r="BJ782" s="221"/>
      <c r="BK782" s="221"/>
      <c r="BL782" s="221"/>
      <c r="BM782" s="221"/>
      <c r="BN782" s="220"/>
      <c r="BO782" s="221"/>
      <c r="BP782" s="221"/>
      <c r="BQ782" s="221"/>
      <c r="BR782" s="221"/>
      <c r="BS782" s="220"/>
      <c r="BT782" s="220"/>
      <c r="BU782" s="220"/>
      <c r="BV782" s="220"/>
      <c r="BW782" s="223"/>
    </row>
    <row r="783" spans="1:75" s="224" customFormat="1" hidden="1" outlineLevel="3" x14ac:dyDescent="0.5">
      <c r="A783" s="349" t="s">
        <v>868</v>
      </c>
      <c r="B783" s="219"/>
      <c r="C783" s="220"/>
      <c r="D783" s="220"/>
      <c r="E783" s="574">
        <v>2</v>
      </c>
      <c r="F783" s="259">
        <v>2</v>
      </c>
      <c r="G783" s="221"/>
      <c r="H783" s="221"/>
      <c r="I783" s="221"/>
      <c r="J783" s="221"/>
      <c r="K783" s="259">
        <v>2</v>
      </c>
      <c r="L783" s="221"/>
      <c r="M783" s="221"/>
      <c r="N783" s="221"/>
      <c r="O783" s="221"/>
      <c r="P783" s="259">
        <v>2</v>
      </c>
      <c r="Q783" s="221"/>
      <c r="R783" s="221"/>
      <c r="S783" s="221"/>
      <c r="T783" s="221"/>
      <c r="U783" s="259">
        <v>2</v>
      </c>
      <c r="V783" s="221"/>
      <c r="W783" s="221"/>
      <c r="X783" s="221"/>
      <c r="Y783" s="221"/>
      <c r="Z783" s="259">
        <v>2</v>
      </c>
      <c r="AA783" s="221"/>
      <c r="AB783" s="221"/>
      <c r="AC783" s="221"/>
      <c r="AD783" s="221"/>
      <c r="AE783" s="259">
        <v>2</v>
      </c>
      <c r="AF783" s="221"/>
      <c r="AG783" s="221"/>
      <c r="AH783" s="221"/>
      <c r="AI783" s="221"/>
      <c r="AJ783" s="259">
        <v>2</v>
      </c>
      <c r="AK783" s="221"/>
      <c r="AL783" s="221"/>
      <c r="AM783" s="221"/>
      <c r="AN783" s="221"/>
      <c r="AO783" s="259">
        <v>2</v>
      </c>
      <c r="AP783" s="221"/>
      <c r="AQ783" s="221"/>
      <c r="AR783" s="221"/>
      <c r="AS783" s="221"/>
      <c r="AT783" s="259">
        <v>2</v>
      </c>
      <c r="AU783" s="221"/>
      <c r="AV783" s="221"/>
      <c r="AW783" s="221"/>
      <c r="AX783" s="221"/>
      <c r="AY783" s="259">
        <v>2</v>
      </c>
      <c r="AZ783" s="221"/>
      <c r="BA783" s="221"/>
      <c r="BB783" s="221"/>
      <c r="BC783" s="221"/>
      <c r="BD783" s="259">
        <v>2</v>
      </c>
      <c r="BE783" s="221"/>
      <c r="BF783" s="221"/>
      <c r="BG783" s="221"/>
      <c r="BH783" s="221"/>
      <c r="BI783" s="257">
        <v>2</v>
      </c>
      <c r="BJ783" s="221"/>
      <c r="BK783" s="221"/>
      <c r="BL783" s="221"/>
      <c r="BM783" s="221"/>
      <c r="BN783" s="220"/>
      <c r="BO783" s="221"/>
      <c r="BP783" s="221"/>
      <c r="BQ783" s="221"/>
      <c r="BR783" s="221"/>
      <c r="BS783" s="220"/>
      <c r="BT783" s="220"/>
      <c r="BU783" s="220"/>
      <c r="BV783" s="220"/>
      <c r="BW783" s="223"/>
    </row>
    <row r="784" spans="1:75" s="224" customFormat="1" hidden="1" outlineLevel="3" x14ac:dyDescent="0.5">
      <c r="A784" s="349" t="s">
        <v>869</v>
      </c>
      <c r="B784" s="219"/>
      <c r="C784" s="220"/>
      <c r="D784" s="220"/>
      <c r="E784" s="574">
        <v>1</v>
      </c>
      <c r="F784" s="259">
        <v>1</v>
      </c>
      <c r="G784" s="221"/>
      <c r="H784" s="221"/>
      <c r="I784" s="221"/>
      <c r="J784" s="221"/>
      <c r="K784" s="259">
        <v>1</v>
      </c>
      <c r="L784" s="221"/>
      <c r="M784" s="221"/>
      <c r="N784" s="221"/>
      <c r="O784" s="221"/>
      <c r="P784" s="259">
        <v>1</v>
      </c>
      <c r="Q784" s="221"/>
      <c r="R784" s="221"/>
      <c r="S784" s="221"/>
      <c r="T784" s="221"/>
      <c r="U784" s="259">
        <v>1</v>
      </c>
      <c r="V784" s="221"/>
      <c r="W784" s="221"/>
      <c r="X784" s="221"/>
      <c r="Y784" s="221"/>
      <c r="Z784" s="259">
        <v>1</v>
      </c>
      <c r="AA784" s="221"/>
      <c r="AB784" s="221"/>
      <c r="AC784" s="221"/>
      <c r="AD784" s="221"/>
      <c r="AE784" s="259">
        <v>1</v>
      </c>
      <c r="AF784" s="221"/>
      <c r="AG784" s="221"/>
      <c r="AH784" s="221"/>
      <c r="AI784" s="221"/>
      <c r="AJ784" s="259">
        <v>1</v>
      </c>
      <c r="AK784" s="221"/>
      <c r="AL784" s="221"/>
      <c r="AM784" s="221"/>
      <c r="AN784" s="221"/>
      <c r="AO784" s="259">
        <v>1</v>
      </c>
      <c r="AP784" s="221"/>
      <c r="AQ784" s="221"/>
      <c r="AR784" s="221"/>
      <c r="AS784" s="221"/>
      <c r="AT784" s="259">
        <v>1</v>
      </c>
      <c r="AU784" s="221"/>
      <c r="AV784" s="221"/>
      <c r="AW784" s="221"/>
      <c r="AX784" s="221"/>
      <c r="AY784" s="259">
        <v>1</v>
      </c>
      <c r="AZ784" s="221"/>
      <c r="BA784" s="221"/>
      <c r="BB784" s="221"/>
      <c r="BC784" s="221"/>
      <c r="BD784" s="259">
        <v>1</v>
      </c>
      <c r="BE784" s="221"/>
      <c r="BF784" s="221"/>
      <c r="BG784" s="221"/>
      <c r="BH784" s="221"/>
      <c r="BI784" s="257">
        <v>1</v>
      </c>
      <c r="BJ784" s="221"/>
      <c r="BK784" s="221"/>
      <c r="BL784" s="221"/>
      <c r="BM784" s="221"/>
      <c r="BN784" s="220"/>
      <c r="BO784" s="221"/>
      <c r="BP784" s="221"/>
      <c r="BQ784" s="221"/>
      <c r="BR784" s="221"/>
      <c r="BS784" s="220"/>
      <c r="BT784" s="220"/>
      <c r="BU784" s="220"/>
      <c r="BV784" s="220"/>
      <c r="BW784" s="223"/>
    </row>
    <row r="785" spans="1:75" s="224" customFormat="1" hidden="1" outlineLevel="3" x14ac:dyDescent="0.5">
      <c r="A785" s="349" t="s">
        <v>870</v>
      </c>
      <c r="B785" s="219"/>
      <c r="C785" s="220"/>
      <c r="D785" s="220"/>
      <c r="E785" s="574">
        <v>1</v>
      </c>
      <c r="F785" s="252"/>
      <c r="G785" s="221"/>
      <c r="H785" s="221"/>
      <c r="I785" s="221"/>
      <c r="J785" s="221"/>
      <c r="K785" s="252"/>
      <c r="L785" s="221"/>
      <c r="M785" s="221"/>
      <c r="N785" s="221"/>
      <c r="O785" s="221"/>
      <c r="P785" s="252"/>
      <c r="Q785" s="221"/>
      <c r="R785" s="221"/>
      <c r="S785" s="221"/>
      <c r="T785" s="221"/>
      <c r="U785" s="252"/>
      <c r="V785" s="221"/>
      <c r="W785" s="221"/>
      <c r="X785" s="221"/>
      <c r="Y785" s="221"/>
      <c r="Z785" s="252"/>
      <c r="AA785" s="221"/>
      <c r="AB785" s="221"/>
      <c r="AC785" s="221"/>
      <c r="AD785" s="221"/>
      <c r="AE785" s="252"/>
      <c r="AF785" s="221"/>
      <c r="AG785" s="221"/>
      <c r="AH785" s="221"/>
      <c r="AI785" s="221"/>
      <c r="AJ785" s="252"/>
      <c r="AK785" s="221"/>
      <c r="AL785" s="221"/>
      <c r="AM785" s="221"/>
      <c r="AN785" s="221"/>
      <c r="AO785" s="252"/>
      <c r="AP785" s="221"/>
      <c r="AQ785" s="221"/>
      <c r="AR785" s="221"/>
      <c r="AS785" s="221"/>
      <c r="AT785" s="252"/>
      <c r="AU785" s="221"/>
      <c r="AV785" s="221"/>
      <c r="AW785" s="221"/>
      <c r="AX785" s="221"/>
      <c r="AY785" s="252"/>
      <c r="AZ785" s="221"/>
      <c r="BA785" s="221"/>
      <c r="BB785" s="221"/>
      <c r="BC785" s="221"/>
      <c r="BD785" s="252"/>
      <c r="BE785" s="221"/>
      <c r="BF785" s="221"/>
      <c r="BG785" s="221"/>
      <c r="BH785" s="221"/>
      <c r="BI785" s="260"/>
      <c r="BJ785" s="221"/>
      <c r="BK785" s="221"/>
      <c r="BL785" s="221"/>
      <c r="BM785" s="221"/>
      <c r="BN785" s="220"/>
      <c r="BO785" s="221"/>
      <c r="BP785" s="221"/>
      <c r="BQ785" s="221"/>
      <c r="BR785" s="221"/>
      <c r="BS785" s="220"/>
      <c r="BT785" s="220"/>
      <c r="BU785" s="220"/>
      <c r="BV785" s="220"/>
      <c r="BW785" s="223"/>
    </row>
    <row r="786" spans="1:75" s="224" customFormat="1" hidden="1" outlineLevel="3" x14ac:dyDescent="0.5">
      <c r="A786" s="351" t="s">
        <v>871</v>
      </c>
      <c r="B786" s="575"/>
      <c r="C786" s="576"/>
      <c r="D786" s="576"/>
      <c r="E786" s="577">
        <v>1</v>
      </c>
      <c r="F786" s="268">
        <v>1</v>
      </c>
      <c r="G786" s="578"/>
      <c r="H786" s="578"/>
      <c r="I786" s="578"/>
      <c r="J786" s="578"/>
      <c r="K786" s="268">
        <v>1</v>
      </c>
      <c r="L786" s="578"/>
      <c r="M786" s="578"/>
      <c r="N786" s="578"/>
      <c r="O786" s="578"/>
      <c r="P786" s="268">
        <v>1</v>
      </c>
      <c r="Q786" s="578"/>
      <c r="R786" s="578"/>
      <c r="S786" s="578"/>
      <c r="T786" s="578"/>
      <c r="U786" s="268">
        <v>1</v>
      </c>
      <c r="V786" s="578"/>
      <c r="W786" s="578"/>
      <c r="X786" s="578"/>
      <c r="Y786" s="578"/>
      <c r="Z786" s="268">
        <v>2</v>
      </c>
      <c r="AA786" s="578"/>
      <c r="AB786" s="578"/>
      <c r="AC786" s="578"/>
      <c r="AD786" s="578"/>
      <c r="AE786" s="268">
        <v>2</v>
      </c>
      <c r="AF786" s="578"/>
      <c r="AG786" s="578"/>
      <c r="AH786" s="578"/>
      <c r="AI786" s="578"/>
      <c r="AJ786" s="268">
        <v>1</v>
      </c>
      <c r="AK786" s="578"/>
      <c r="AL786" s="578"/>
      <c r="AM786" s="578"/>
      <c r="AN786" s="578"/>
      <c r="AO786" s="268">
        <v>1</v>
      </c>
      <c r="AP786" s="578"/>
      <c r="AQ786" s="578"/>
      <c r="AR786" s="578"/>
      <c r="AS786" s="578"/>
      <c r="AT786" s="268">
        <v>1</v>
      </c>
      <c r="AU786" s="578"/>
      <c r="AV786" s="578"/>
      <c r="AW786" s="578"/>
      <c r="AX786" s="578"/>
      <c r="AY786" s="268">
        <v>1</v>
      </c>
      <c r="AZ786" s="578"/>
      <c r="BA786" s="578"/>
      <c r="BB786" s="578"/>
      <c r="BC786" s="578"/>
      <c r="BD786" s="268">
        <v>1</v>
      </c>
      <c r="BE786" s="578"/>
      <c r="BF786" s="578"/>
      <c r="BG786" s="578"/>
      <c r="BH786" s="578"/>
      <c r="BI786" s="579">
        <v>1</v>
      </c>
      <c r="BJ786" s="578"/>
      <c r="BK786" s="578"/>
      <c r="BL786" s="578"/>
      <c r="BM786" s="578"/>
      <c r="BN786" s="576"/>
      <c r="BO786" s="578"/>
      <c r="BP786" s="578"/>
      <c r="BQ786" s="578"/>
      <c r="BR786" s="578"/>
      <c r="BS786" s="576"/>
      <c r="BT786" s="576"/>
      <c r="BU786" s="576"/>
      <c r="BV786" s="576"/>
      <c r="BW786" s="223"/>
    </row>
    <row r="787" spans="1:75" s="224" customFormat="1" hidden="1" outlineLevel="2" collapsed="1" x14ac:dyDescent="0.5">
      <c r="A787" s="533" t="s">
        <v>872</v>
      </c>
      <c r="B787" s="219"/>
      <c r="C787" s="220"/>
      <c r="D787" s="220"/>
      <c r="E787" s="220">
        <v>69</v>
      </c>
      <c r="F787" s="580">
        <v>66</v>
      </c>
      <c r="G787" s="221"/>
      <c r="H787" s="221"/>
      <c r="I787" s="221"/>
      <c r="J787" s="221">
        <v>65</v>
      </c>
      <c r="K787" s="580">
        <v>65</v>
      </c>
      <c r="L787" s="221"/>
      <c r="M787" s="221"/>
      <c r="N787" s="221"/>
      <c r="O787" s="221">
        <v>62</v>
      </c>
      <c r="P787" s="580">
        <v>62</v>
      </c>
      <c r="Q787" s="221"/>
      <c r="R787" s="221"/>
      <c r="S787" s="221"/>
      <c r="T787" s="221">
        <v>64</v>
      </c>
      <c r="U787" s="580">
        <v>64</v>
      </c>
      <c r="V787" s="221"/>
      <c r="W787" s="221">
        <v>78</v>
      </c>
      <c r="X787" s="221">
        <v>79</v>
      </c>
      <c r="Y787" s="221">
        <v>79</v>
      </c>
      <c r="Z787" s="580">
        <v>79</v>
      </c>
      <c r="AA787" s="221">
        <v>79</v>
      </c>
      <c r="AB787" s="221">
        <v>79</v>
      </c>
      <c r="AC787" s="221">
        <v>79</v>
      </c>
      <c r="AD787" s="221">
        <v>78</v>
      </c>
      <c r="AE787" s="580">
        <v>78</v>
      </c>
      <c r="AF787" s="221">
        <v>79</v>
      </c>
      <c r="AG787" s="221">
        <v>80</v>
      </c>
      <c r="AH787" s="221">
        <v>81</v>
      </c>
      <c r="AI787" s="221">
        <v>81</v>
      </c>
      <c r="AJ787" s="580">
        <v>81</v>
      </c>
      <c r="AK787" s="221">
        <v>80</v>
      </c>
      <c r="AL787" s="221">
        <v>80</v>
      </c>
      <c r="AM787" s="221">
        <v>80</v>
      </c>
      <c r="AN787" s="221">
        <v>78</v>
      </c>
      <c r="AO787" s="580">
        <v>78</v>
      </c>
      <c r="AP787" s="221">
        <v>79</v>
      </c>
      <c r="AQ787" s="221">
        <v>78</v>
      </c>
      <c r="AR787" s="221">
        <v>77</v>
      </c>
      <c r="AS787" s="221">
        <v>77</v>
      </c>
      <c r="AT787" s="220">
        <v>77</v>
      </c>
      <c r="AU787" s="221">
        <v>77</v>
      </c>
      <c r="AV787" s="221">
        <v>75</v>
      </c>
      <c r="AW787" s="221">
        <v>75</v>
      </c>
      <c r="AX787" s="221">
        <v>76</v>
      </c>
      <c r="AY787" s="220">
        <v>76</v>
      </c>
      <c r="AZ787" s="221">
        <v>76</v>
      </c>
      <c r="BA787" s="221">
        <v>76</v>
      </c>
      <c r="BB787" s="221">
        <v>76</v>
      </c>
      <c r="BC787" s="221">
        <v>76</v>
      </c>
      <c r="BD787" s="220">
        <v>76</v>
      </c>
      <c r="BE787" s="221">
        <v>76</v>
      </c>
      <c r="BF787" s="221">
        <v>76</v>
      </c>
      <c r="BG787" s="221">
        <v>76</v>
      </c>
      <c r="BH787" s="221">
        <v>76</v>
      </c>
      <c r="BI787" s="222">
        <v>76</v>
      </c>
      <c r="BJ787" s="221"/>
      <c r="BK787" s="221"/>
      <c r="BL787" s="221"/>
      <c r="BM787" s="221"/>
      <c r="BN787" s="220"/>
      <c r="BO787" s="221"/>
      <c r="BP787" s="221"/>
      <c r="BQ787" s="221"/>
      <c r="BR787" s="221"/>
      <c r="BS787" s="220"/>
      <c r="BT787" s="220"/>
      <c r="BU787" s="220"/>
      <c r="BV787" s="220"/>
      <c r="BW787" s="223"/>
    </row>
    <row r="788" spans="1:75" s="224" customFormat="1" hidden="1" outlineLevel="3" x14ac:dyDescent="0.5">
      <c r="A788" s="349" t="s">
        <v>873</v>
      </c>
      <c r="B788" s="219"/>
      <c r="C788" s="220"/>
      <c r="D788" s="220"/>
      <c r="E788" s="574">
        <v>2</v>
      </c>
      <c r="F788" s="259">
        <v>2</v>
      </c>
      <c r="G788" s="221"/>
      <c r="H788" s="221"/>
      <c r="I788" s="221"/>
      <c r="J788" s="221"/>
      <c r="K788" s="259">
        <v>2</v>
      </c>
      <c r="L788" s="221"/>
      <c r="M788" s="221"/>
      <c r="N788" s="221"/>
      <c r="O788" s="221"/>
      <c r="P788" s="259">
        <v>2</v>
      </c>
      <c r="Q788" s="221"/>
      <c r="R788" s="221"/>
      <c r="S788" s="221"/>
      <c r="T788" s="221"/>
      <c r="U788" s="259">
        <v>2</v>
      </c>
      <c r="V788" s="221"/>
      <c r="W788" s="221"/>
      <c r="X788" s="221"/>
      <c r="Y788" s="221"/>
      <c r="Z788" s="259">
        <v>2</v>
      </c>
      <c r="AA788" s="221"/>
      <c r="AB788" s="221"/>
      <c r="AC788" s="221"/>
      <c r="AD788" s="221"/>
      <c r="AE788" s="259">
        <v>2</v>
      </c>
      <c r="AF788" s="221"/>
      <c r="AG788" s="221"/>
      <c r="AH788" s="221"/>
      <c r="AI788" s="221"/>
      <c r="AJ788" s="259">
        <v>2</v>
      </c>
      <c r="AK788" s="221"/>
      <c r="AL788" s="221"/>
      <c r="AM788" s="221"/>
      <c r="AN788" s="221"/>
      <c r="AO788" s="259">
        <v>2</v>
      </c>
      <c r="AP788" s="221"/>
      <c r="AQ788" s="221"/>
      <c r="AR788" s="221"/>
      <c r="AS788" s="221"/>
      <c r="AT788" s="259">
        <v>2</v>
      </c>
      <c r="AU788" s="221"/>
      <c r="AV788" s="221"/>
      <c r="AW788" s="221"/>
      <c r="AX788" s="221"/>
      <c r="AY788" s="259">
        <v>2</v>
      </c>
      <c r="AZ788" s="221"/>
      <c r="BA788" s="221"/>
      <c r="BB788" s="221"/>
      <c r="BC788" s="221"/>
      <c r="BD788" s="259">
        <v>2</v>
      </c>
      <c r="BE788" s="221"/>
      <c r="BF788" s="221"/>
      <c r="BG788" s="221"/>
      <c r="BH788" s="221"/>
      <c r="BI788" s="260"/>
      <c r="BJ788" s="221"/>
      <c r="BK788" s="221"/>
      <c r="BL788" s="221"/>
      <c r="BM788" s="221"/>
      <c r="BN788" s="220"/>
      <c r="BO788" s="221"/>
      <c r="BP788" s="221"/>
      <c r="BQ788" s="221"/>
      <c r="BR788" s="221"/>
      <c r="BS788" s="220"/>
      <c r="BT788" s="220"/>
      <c r="BU788" s="220"/>
      <c r="BV788" s="220"/>
      <c r="BW788" s="223"/>
    </row>
    <row r="789" spans="1:75" s="224" customFormat="1" hidden="1" outlineLevel="3" x14ac:dyDescent="0.5">
      <c r="A789" s="349" t="s">
        <v>874</v>
      </c>
      <c r="B789" s="219"/>
      <c r="C789" s="220"/>
      <c r="D789" s="220"/>
      <c r="E789" s="574">
        <v>1</v>
      </c>
      <c r="F789" s="259">
        <v>1</v>
      </c>
      <c r="G789" s="221"/>
      <c r="H789" s="221"/>
      <c r="I789" s="221"/>
      <c r="J789" s="221"/>
      <c r="K789" s="259">
        <v>1</v>
      </c>
      <c r="L789" s="221"/>
      <c r="M789" s="221"/>
      <c r="N789" s="221"/>
      <c r="O789" s="221"/>
      <c r="P789" s="259">
        <v>1</v>
      </c>
      <c r="Q789" s="221"/>
      <c r="R789" s="221"/>
      <c r="S789" s="221"/>
      <c r="T789" s="221"/>
      <c r="U789" s="259">
        <v>1</v>
      </c>
      <c r="V789" s="221"/>
      <c r="W789" s="221"/>
      <c r="X789" s="221"/>
      <c r="Y789" s="221"/>
      <c r="Z789" s="259">
        <v>1</v>
      </c>
      <c r="AA789" s="221"/>
      <c r="AB789" s="221"/>
      <c r="AC789" s="221"/>
      <c r="AD789" s="221"/>
      <c r="AE789" s="259">
        <v>1</v>
      </c>
      <c r="AF789" s="221"/>
      <c r="AG789" s="221"/>
      <c r="AH789" s="221"/>
      <c r="AI789" s="221"/>
      <c r="AJ789" s="259">
        <v>1</v>
      </c>
      <c r="AK789" s="221"/>
      <c r="AL789" s="221"/>
      <c r="AM789" s="221"/>
      <c r="AN789" s="221"/>
      <c r="AO789" s="259">
        <v>1</v>
      </c>
      <c r="AP789" s="221"/>
      <c r="AQ789" s="221"/>
      <c r="AR789" s="221"/>
      <c r="AS789" s="221"/>
      <c r="AT789" s="259">
        <v>1</v>
      </c>
      <c r="AU789" s="221"/>
      <c r="AV789" s="221"/>
      <c r="AW789" s="221"/>
      <c r="AX789" s="221"/>
      <c r="AY789" s="259">
        <v>1</v>
      </c>
      <c r="AZ789" s="221"/>
      <c r="BA789" s="221"/>
      <c r="BB789" s="221"/>
      <c r="BC789" s="221"/>
      <c r="BD789" s="259">
        <v>1</v>
      </c>
      <c r="BE789" s="221"/>
      <c r="BF789" s="221"/>
      <c r="BG789" s="221"/>
      <c r="BH789" s="221"/>
      <c r="BI789" s="260"/>
      <c r="BJ789" s="221"/>
      <c r="BK789" s="221"/>
      <c r="BL789" s="221"/>
      <c r="BM789" s="221"/>
      <c r="BN789" s="220"/>
      <c r="BO789" s="221"/>
      <c r="BP789" s="221"/>
      <c r="BQ789" s="221"/>
      <c r="BR789" s="221"/>
      <c r="BS789" s="220"/>
      <c r="BT789" s="220"/>
      <c r="BU789" s="220"/>
      <c r="BV789" s="220"/>
      <c r="BW789" s="223"/>
    </row>
    <row r="790" spans="1:75" s="224" customFormat="1" hidden="1" outlineLevel="3" x14ac:dyDescent="0.5">
      <c r="A790" s="351" t="s">
        <v>875</v>
      </c>
      <c r="B790" s="575"/>
      <c r="C790" s="576"/>
      <c r="D790" s="576"/>
      <c r="E790" s="577">
        <v>2</v>
      </c>
      <c r="F790" s="268">
        <v>2</v>
      </c>
      <c r="G790" s="578"/>
      <c r="H790" s="578"/>
      <c r="I790" s="578"/>
      <c r="J790" s="578"/>
      <c r="K790" s="268">
        <v>2</v>
      </c>
      <c r="L790" s="578"/>
      <c r="M790" s="578"/>
      <c r="N790" s="578"/>
      <c r="O790" s="578"/>
      <c r="P790" s="268">
        <v>2</v>
      </c>
      <c r="Q790" s="578"/>
      <c r="R790" s="578"/>
      <c r="S790" s="578"/>
      <c r="T790" s="578"/>
      <c r="U790" s="268">
        <v>2</v>
      </c>
      <c r="V790" s="578"/>
      <c r="W790" s="578"/>
      <c r="X790" s="578"/>
      <c r="Y790" s="578"/>
      <c r="Z790" s="268">
        <v>2</v>
      </c>
      <c r="AA790" s="578"/>
      <c r="AB790" s="578"/>
      <c r="AC790" s="578"/>
      <c r="AD790" s="578"/>
      <c r="AE790" s="268">
        <v>1</v>
      </c>
      <c r="AF790" s="578"/>
      <c r="AG790" s="578"/>
      <c r="AH790" s="578"/>
      <c r="AI790" s="578"/>
      <c r="AJ790" s="268">
        <v>1</v>
      </c>
      <c r="AK790" s="578"/>
      <c r="AL790" s="578"/>
      <c r="AM790" s="578"/>
      <c r="AN790" s="578"/>
      <c r="AO790" s="268">
        <v>1</v>
      </c>
      <c r="AP790" s="578"/>
      <c r="AQ790" s="578"/>
      <c r="AR790" s="578"/>
      <c r="AS790" s="578"/>
      <c r="AT790" s="268">
        <v>1</v>
      </c>
      <c r="AU790" s="578"/>
      <c r="AV790" s="578"/>
      <c r="AW790" s="578"/>
      <c r="AX790" s="578"/>
      <c r="AY790" s="268">
        <v>1</v>
      </c>
      <c r="AZ790" s="578"/>
      <c r="BA790" s="578"/>
      <c r="BB790" s="578"/>
      <c r="BC790" s="578"/>
      <c r="BD790" s="268">
        <v>1</v>
      </c>
      <c r="BE790" s="578"/>
      <c r="BF790" s="578"/>
      <c r="BG790" s="578"/>
      <c r="BH790" s="578"/>
      <c r="BI790" s="271"/>
      <c r="BJ790" s="578"/>
      <c r="BK790" s="578"/>
      <c r="BL790" s="578"/>
      <c r="BM790" s="578"/>
      <c r="BN790" s="576"/>
      <c r="BO790" s="578"/>
      <c r="BP790" s="578"/>
      <c r="BQ790" s="578"/>
      <c r="BR790" s="578"/>
      <c r="BS790" s="576"/>
      <c r="BT790" s="576"/>
      <c r="BU790" s="576"/>
      <c r="BV790" s="576"/>
      <c r="BW790" s="223"/>
    </row>
    <row r="791" spans="1:75" s="224" customFormat="1" hidden="1" outlineLevel="2" collapsed="1" x14ac:dyDescent="0.5">
      <c r="A791" s="533" t="s">
        <v>876</v>
      </c>
      <c r="B791" s="219"/>
      <c r="C791" s="220"/>
      <c r="D791" s="220"/>
      <c r="E791" s="220">
        <v>5</v>
      </c>
      <c r="F791" s="580">
        <v>5</v>
      </c>
      <c r="G791" s="221"/>
      <c r="H791" s="221"/>
      <c r="I791" s="221"/>
      <c r="J791" s="221">
        <v>5</v>
      </c>
      <c r="K791" s="580">
        <v>5</v>
      </c>
      <c r="L791" s="221"/>
      <c r="M791" s="221"/>
      <c r="N791" s="221"/>
      <c r="O791" s="221">
        <v>5</v>
      </c>
      <c r="P791" s="580">
        <v>5</v>
      </c>
      <c r="Q791" s="221"/>
      <c r="R791" s="221"/>
      <c r="S791" s="221"/>
      <c r="T791" s="221">
        <v>5</v>
      </c>
      <c r="U791" s="580">
        <v>5</v>
      </c>
      <c r="V791" s="221"/>
      <c r="W791" s="581">
        <v>5</v>
      </c>
      <c r="X791" s="581">
        <v>5</v>
      </c>
      <c r="Y791" s="221">
        <v>5</v>
      </c>
      <c r="Z791" s="580">
        <v>5</v>
      </c>
      <c r="AA791" s="581">
        <v>5</v>
      </c>
      <c r="AB791" s="581">
        <v>5</v>
      </c>
      <c r="AC791" s="581">
        <v>4</v>
      </c>
      <c r="AD791" s="221">
        <v>4</v>
      </c>
      <c r="AE791" s="580">
        <v>4</v>
      </c>
      <c r="AF791" s="581">
        <v>4</v>
      </c>
      <c r="AG791" s="581">
        <v>4</v>
      </c>
      <c r="AH791" s="581">
        <v>4</v>
      </c>
      <c r="AI791" s="221">
        <v>4</v>
      </c>
      <c r="AJ791" s="580">
        <v>4</v>
      </c>
      <c r="AK791" s="581">
        <v>4</v>
      </c>
      <c r="AL791" s="581">
        <v>4</v>
      </c>
      <c r="AM791" s="581">
        <v>4</v>
      </c>
      <c r="AN791" s="221">
        <v>4</v>
      </c>
      <c r="AO791" s="580">
        <v>4</v>
      </c>
      <c r="AP791" s="581">
        <v>4</v>
      </c>
      <c r="AQ791" s="581">
        <v>4</v>
      </c>
      <c r="AR791" s="581">
        <v>4</v>
      </c>
      <c r="AS791" s="221">
        <v>4</v>
      </c>
      <c r="AT791" s="220">
        <v>4</v>
      </c>
      <c r="AU791" s="581">
        <v>4</v>
      </c>
      <c r="AV791" s="581">
        <v>4</v>
      </c>
      <c r="AW791" s="581">
        <v>4</v>
      </c>
      <c r="AX791" s="221">
        <v>4</v>
      </c>
      <c r="AY791" s="220">
        <v>4</v>
      </c>
      <c r="AZ791" s="581">
        <v>4</v>
      </c>
      <c r="BA791" s="581">
        <v>4</v>
      </c>
      <c r="BB791" s="581">
        <v>4</v>
      </c>
      <c r="BC791" s="221">
        <v>4</v>
      </c>
      <c r="BD791" s="220">
        <v>4</v>
      </c>
      <c r="BE791" s="581">
        <v>4</v>
      </c>
      <c r="BF791" s="581">
        <v>4</v>
      </c>
      <c r="BG791" s="581">
        <v>4</v>
      </c>
      <c r="BH791" s="221">
        <v>4</v>
      </c>
      <c r="BI791" s="582">
        <v>4</v>
      </c>
      <c r="BJ791" s="221"/>
      <c r="BK791" s="221"/>
      <c r="BL791" s="221"/>
      <c r="BM791" s="221"/>
      <c r="BN791" s="220"/>
      <c r="BO791" s="221"/>
      <c r="BP791" s="221"/>
      <c r="BQ791" s="221"/>
      <c r="BR791" s="221"/>
      <c r="BS791" s="220"/>
      <c r="BT791" s="220"/>
      <c r="BU791" s="220"/>
      <c r="BV791" s="220"/>
      <c r="BW791" s="223"/>
    </row>
    <row r="792" spans="1:75" s="224" customFormat="1" hidden="1" outlineLevel="3" x14ac:dyDescent="0.5">
      <c r="A792" s="349" t="s">
        <v>877</v>
      </c>
      <c r="B792" s="219"/>
      <c r="C792" s="220"/>
      <c r="D792" s="220"/>
      <c r="E792" s="220"/>
      <c r="F792" s="252"/>
      <c r="G792" s="221"/>
      <c r="H792" s="221"/>
      <c r="I792" s="221"/>
      <c r="J792" s="221">
        <v>0</v>
      </c>
      <c r="K792" s="252"/>
      <c r="L792" s="221"/>
      <c r="M792" s="221"/>
      <c r="N792" s="221"/>
      <c r="O792" s="221">
        <v>0</v>
      </c>
      <c r="P792" s="252"/>
      <c r="Q792" s="221"/>
      <c r="R792" s="221"/>
      <c r="S792" s="221"/>
      <c r="T792" s="221">
        <v>0</v>
      </c>
      <c r="U792" s="252"/>
      <c r="V792" s="221"/>
      <c r="W792" s="581">
        <v>1</v>
      </c>
      <c r="X792" s="581">
        <v>1</v>
      </c>
      <c r="Y792" s="221">
        <v>1</v>
      </c>
      <c r="Z792" s="259">
        <v>1</v>
      </c>
      <c r="AA792" s="581">
        <v>1</v>
      </c>
      <c r="AB792" s="581">
        <v>1</v>
      </c>
      <c r="AC792" s="581">
        <v>1</v>
      </c>
      <c r="AD792" s="221">
        <v>1</v>
      </c>
      <c r="AE792" s="259">
        <v>1</v>
      </c>
      <c r="AF792" s="581">
        <v>1</v>
      </c>
      <c r="AG792" s="581">
        <v>1</v>
      </c>
      <c r="AH792" s="581">
        <v>1</v>
      </c>
      <c r="AI792" s="221">
        <v>1</v>
      </c>
      <c r="AJ792" s="259">
        <v>1</v>
      </c>
      <c r="AK792" s="581">
        <v>1</v>
      </c>
      <c r="AL792" s="581">
        <v>1</v>
      </c>
      <c r="AM792" s="581">
        <v>1</v>
      </c>
      <c r="AN792" s="221">
        <v>1</v>
      </c>
      <c r="AO792" s="259">
        <v>1</v>
      </c>
      <c r="AP792" s="581">
        <v>1</v>
      </c>
      <c r="AQ792" s="581">
        <v>1</v>
      </c>
      <c r="AR792" s="581">
        <v>1</v>
      </c>
      <c r="AS792" s="221">
        <v>1</v>
      </c>
      <c r="AT792" s="259">
        <v>1</v>
      </c>
      <c r="AU792" s="581">
        <v>1</v>
      </c>
      <c r="AV792" s="581">
        <v>1</v>
      </c>
      <c r="AW792" s="581">
        <v>1</v>
      </c>
      <c r="AX792" s="221">
        <v>1</v>
      </c>
      <c r="AY792" s="259">
        <v>1</v>
      </c>
      <c r="AZ792" s="581">
        <v>1</v>
      </c>
      <c r="BA792" s="581">
        <v>1</v>
      </c>
      <c r="BB792" s="581">
        <v>1</v>
      </c>
      <c r="BC792" s="221">
        <v>1</v>
      </c>
      <c r="BD792" s="259">
        <v>1</v>
      </c>
      <c r="BE792" s="581">
        <v>1</v>
      </c>
      <c r="BF792" s="581">
        <v>2</v>
      </c>
      <c r="BG792" s="581">
        <v>2</v>
      </c>
      <c r="BH792" s="221">
        <v>2</v>
      </c>
      <c r="BI792" s="257">
        <v>2</v>
      </c>
      <c r="BJ792" s="221"/>
      <c r="BK792" s="221"/>
      <c r="BL792" s="221"/>
      <c r="BM792" s="221"/>
      <c r="BN792" s="220"/>
      <c r="BO792" s="221"/>
      <c r="BP792" s="221"/>
      <c r="BQ792" s="221"/>
      <c r="BR792" s="221"/>
      <c r="BS792" s="220"/>
      <c r="BT792" s="220"/>
      <c r="BU792" s="220"/>
      <c r="BV792" s="220"/>
      <c r="BW792" s="223"/>
    </row>
    <row r="793" spans="1:75" s="224" customFormat="1" hidden="1" outlineLevel="3" x14ac:dyDescent="0.5">
      <c r="A793" s="351" t="s">
        <v>878</v>
      </c>
      <c r="B793" s="575"/>
      <c r="C793" s="576"/>
      <c r="D793" s="576"/>
      <c r="E793" s="576"/>
      <c r="F793" s="266"/>
      <c r="G793" s="578"/>
      <c r="H793" s="578"/>
      <c r="I793" s="578"/>
      <c r="J793" s="578">
        <v>0</v>
      </c>
      <c r="K793" s="266"/>
      <c r="L793" s="578"/>
      <c r="M793" s="578"/>
      <c r="N793" s="578"/>
      <c r="O793" s="578">
        <v>0</v>
      </c>
      <c r="P793" s="266"/>
      <c r="Q793" s="578"/>
      <c r="R793" s="578"/>
      <c r="S793" s="578"/>
      <c r="T793" s="578">
        <v>0</v>
      </c>
      <c r="U793" s="266"/>
      <c r="V793" s="578"/>
      <c r="W793" s="578"/>
      <c r="X793" s="578"/>
      <c r="Y793" s="578">
        <v>0</v>
      </c>
      <c r="Z793" s="266"/>
      <c r="AA793" s="578"/>
      <c r="AB793" s="578"/>
      <c r="AC793" s="578"/>
      <c r="AD793" s="578">
        <v>0</v>
      </c>
      <c r="AE793" s="266"/>
      <c r="AF793" s="578"/>
      <c r="AG793" s="578"/>
      <c r="AH793" s="578"/>
      <c r="AI793" s="578">
        <v>0</v>
      </c>
      <c r="AJ793" s="266"/>
      <c r="AK793" s="578"/>
      <c r="AL793" s="578"/>
      <c r="AM793" s="578"/>
      <c r="AN793" s="578">
        <v>0</v>
      </c>
      <c r="AO793" s="266"/>
      <c r="AP793" s="578"/>
      <c r="AQ793" s="578"/>
      <c r="AR793" s="578"/>
      <c r="AS793" s="578">
        <v>0</v>
      </c>
      <c r="AT793" s="266"/>
      <c r="AU793" s="578"/>
      <c r="AV793" s="578"/>
      <c r="AW793" s="578"/>
      <c r="AX793" s="578">
        <v>0</v>
      </c>
      <c r="AY793" s="266"/>
      <c r="AZ793" s="578"/>
      <c r="BA793" s="578"/>
      <c r="BB793" s="578"/>
      <c r="BC793" s="578">
        <v>0</v>
      </c>
      <c r="BD793" s="266"/>
      <c r="BE793" s="578"/>
      <c r="BF793" s="578"/>
      <c r="BG793" s="578"/>
      <c r="BH793" s="578">
        <v>2</v>
      </c>
      <c r="BI793" s="579">
        <v>2</v>
      </c>
      <c r="BJ793" s="578"/>
      <c r="BK793" s="578"/>
      <c r="BL793" s="578"/>
      <c r="BM793" s="578"/>
      <c r="BN793" s="576"/>
      <c r="BO793" s="578"/>
      <c r="BP793" s="578"/>
      <c r="BQ793" s="578"/>
      <c r="BR793" s="578"/>
      <c r="BS793" s="576"/>
      <c r="BT793" s="576"/>
      <c r="BU793" s="576"/>
      <c r="BV793" s="576"/>
      <c r="BW793" s="223"/>
    </row>
    <row r="794" spans="1:75" s="224" customFormat="1" hidden="1" outlineLevel="2" collapsed="1" x14ac:dyDescent="0.5">
      <c r="A794" s="533" t="s">
        <v>879</v>
      </c>
      <c r="B794" s="219"/>
      <c r="C794" s="220"/>
      <c r="D794" s="220"/>
      <c r="E794" s="220">
        <v>0</v>
      </c>
      <c r="F794" s="252">
        <v>0</v>
      </c>
      <c r="G794" s="253"/>
      <c r="H794" s="253"/>
      <c r="I794" s="253"/>
      <c r="J794" s="253">
        <v>0</v>
      </c>
      <c r="K794" s="252">
        <v>0</v>
      </c>
      <c r="L794" s="253"/>
      <c r="M794" s="253"/>
      <c r="N794" s="253"/>
      <c r="O794" s="253">
        <v>0</v>
      </c>
      <c r="P794" s="252">
        <v>0</v>
      </c>
      <c r="Q794" s="221"/>
      <c r="R794" s="221"/>
      <c r="S794" s="221"/>
      <c r="T794" s="221">
        <v>0</v>
      </c>
      <c r="U794" s="252">
        <v>0</v>
      </c>
      <c r="V794" s="221"/>
      <c r="W794" s="221">
        <v>1</v>
      </c>
      <c r="X794" s="221">
        <v>1</v>
      </c>
      <c r="Y794" s="221">
        <v>1</v>
      </c>
      <c r="Z794" s="252">
        <v>1</v>
      </c>
      <c r="AA794" s="221">
        <v>1</v>
      </c>
      <c r="AB794" s="221">
        <v>1</v>
      </c>
      <c r="AC794" s="221">
        <v>1</v>
      </c>
      <c r="AD794" s="221">
        <v>1</v>
      </c>
      <c r="AE794" s="252">
        <v>1</v>
      </c>
      <c r="AF794" s="221">
        <v>1</v>
      </c>
      <c r="AG794" s="221">
        <v>1</v>
      </c>
      <c r="AH794" s="221">
        <v>1</v>
      </c>
      <c r="AI794" s="221">
        <v>1</v>
      </c>
      <c r="AJ794" s="252">
        <v>1</v>
      </c>
      <c r="AK794" s="221">
        <v>1</v>
      </c>
      <c r="AL794" s="221">
        <v>1</v>
      </c>
      <c r="AM794" s="221">
        <v>1</v>
      </c>
      <c r="AN794" s="221">
        <v>1</v>
      </c>
      <c r="AO794" s="252">
        <v>1</v>
      </c>
      <c r="AP794" s="221">
        <v>1</v>
      </c>
      <c r="AQ794" s="221">
        <v>1</v>
      </c>
      <c r="AR794" s="221">
        <v>1</v>
      </c>
      <c r="AS794" s="221">
        <v>1</v>
      </c>
      <c r="AT794" s="252">
        <v>1</v>
      </c>
      <c r="AU794" s="221">
        <v>1</v>
      </c>
      <c r="AV794" s="221">
        <v>1</v>
      </c>
      <c r="AW794" s="221">
        <v>1</v>
      </c>
      <c r="AX794" s="221">
        <v>1</v>
      </c>
      <c r="AY794" s="252">
        <v>1</v>
      </c>
      <c r="AZ794" s="221">
        <v>1</v>
      </c>
      <c r="BA794" s="221">
        <v>1</v>
      </c>
      <c r="BB794" s="221">
        <v>1</v>
      </c>
      <c r="BC794" s="221">
        <v>1</v>
      </c>
      <c r="BD794" s="252">
        <v>1</v>
      </c>
      <c r="BE794" s="221">
        <v>1</v>
      </c>
      <c r="BF794" s="221">
        <v>2</v>
      </c>
      <c r="BG794" s="221">
        <v>2</v>
      </c>
      <c r="BH794" s="221">
        <v>4</v>
      </c>
      <c r="BI794" s="260">
        <v>4</v>
      </c>
      <c r="BJ794" s="221"/>
      <c r="BK794" s="221"/>
      <c r="BL794" s="221"/>
      <c r="BM794" s="221"/>
      <c r="BN794" s="220"/>
      <c r="BO794" s="221"/>
      <c r="BP794" s="221"/>
      <c r="BQ794" s="221"/>
      <c r="BR794" s="221"/>
      <c r="BS794" s="220"/>
      <c r="BT794" s="220"/>
      <c r="BU794" s="220"/>
      <c r="BV794" s="220"/>
      <c r="BW794" s="223"/>
    </row>
    <row r="795" spans="1:75" s="224" customFormat="1" hidden="1" outlineLevel="2" x14ac:dyDescent="0.5">
      <c r="A795" s="562" t="s">
        <v>880</v>
      </c>
      <c r="B795" s="361"/>
      <c r="C795" s="362"/>
      <c r="D795" s="362"/>
      <c r="E795" s="362">
        <v>74</v>
      </c>
      <c r="F795" s="278">
        <v>71</v>
      </c>
      <c r="G795" s="283">
        <v>70</v>
      </c>
      <c r="H795" s="283">
        <v>70</v>
      </c>
      <c r="I795" s="283">
        <v>70</v>
      </c>
      <c r="J795" s="283">
        <v>70</v>
      </c>
      <c r="K795" s="278">
        <v>70</v>
      </c>
      <c r="L795" s="283">
        <v>69</v>
      </c>
      <c r="M795" s="283">
        <v>68</v>
      </c>
      <c r="N795" s="283">
        <v>68</v>
      </c>
      <c r="O795" s="283">
        <v>67</v>
      </c>
      <c r="P795" s="278">
        <v>67</v>
      </c>
      <c r="Q795" s="346">
        <v>67</v>
      </c>
      <c r="R795" s="346">
        <v>67</v>
      </c>
      <c r="S795" s="346">
        <v>68</v>
      </c>
      <c r="T795" s="346">
        <v>69</v>
      </c>
      <c r="U795" s="278">
        <v>69</v>
      </c>
      <c r="V795" s="346">
        <v>69</v>
      </c>
      <c r="W795" s="346">
        <v>84</v>
      </c>
      <c r="X795" s="346">
        <v>85</v>
      </c>
      <c r="Y795" s="346">
        <v>85</v>
      </c>
      <c r="Z795" s="278">
        <v>85</v>
      </c>
      <c r="AA795" s="346">
        <v>85</v>
      </c>
      <c r="AB795" s="346">
        <v>85</v>
      </c>
      <c r="AC795" s="346">
        <v>84</v>
      </c>
      <c r="AD795" s="346">
        <v>83</v>
      </c>
      <c r="AE795" s="278">
        <v>83</v>
      </c>
      <c r="AF795" s="346">
        <v>84</v>
      </c>
      <c r="AG795" s="346">
        <v>85</v>
      </c>
      <c r="AH795" s="346">
        <v>86</v>
      </c>
      <c r="AI795" s="346">
        <v>86</v>
      </c>
      <c r="AJ795" s="278">
        <v>86</v>
      </c>
      <c r="AK795" s="346">
        <v>85</v>
      </c>
      <c r="AL795" s="346">
        <v>85</v>
      </c>
      <c r="AM795" s="346">
        <v>85</v>
      </c>
      <c r="AN795" s="346">
        <v>83</v>
      </c>
      <c r="AO795" s="278">
        <v>83</v>
      </c>
      <c r="AP795" s="346">
        <v>84</v>
      </c>
      <c r="AQ795" s="346">
        <v>83</v>
      </c>
      <c r="AR795" s="346">
        <v>82</v>
      </c>
      <c r="AS795" s="346">
        <v>82</v>
      </c>
      <c r="AT795" s="278">
        <v>82</v>
      </c>
      <c r="AU795" s="346">
        <v>82</v>
      </c>
      <c r="AV795" s="346">
        <v>80</v>
      </c>
      <c r="AW795" s="346">
        <v>80</v>
      </c>
      <c r="AX795" s="346">
        <v>81</v>
      </c>
      <c r="AY795" s="278">
        <v>81</v>
      </c>
      <c r="AZ795" s="346">
        <v>81</v>
      </c>
      <c r="BA795" s="346">
        <v>81</v>
      </c>
      <c r="BB795" s="346">
        <v>81</v>
      </c>
      <c r="BC795" s="346">
        <v>81</v>
      </c>
      <c r="BD795" s="278">
        <v>81</v>
      </c>
      <c r="BE795" s="346">
        <v>81</v>
      </c>
      <c r="BF795" s="346">
        <v>82</v>
      </c>
      <c r="BG795" s="346">
        <v>82</v>
      </c>
      <c r="BH795" s="346">
        <v>84</v>
      </c>
      <c r="BI795" s="437">
        <v>84</v>
      </c>
      <c r="BJ795" s="346"/>
      <c r="BK795" s="346"/>
      <c r="BL795" s="346"/>
      <c r="BM795" s="346"/>
      <c r="BN795" s="362"/>
      <c r="BO795" s="346"/>
      <c r="BP795" s="346"/>
      <c r="BQ795" s="346"/>
      <c r="BR795" s="346"/>
      <c r="BS795" s="362"/>
      <c r="BT795" s="362"/>
      <c r="BU795" s="362"/>
      <c r="BV795" s="362"/>
      <c r="BW795" s="223"/>
    </row>
    <row r="796" spans="1:75" s="217" customFormat="1" hidden="1" outlineLevel="1" x14ac:dyDescent="0.5">
      <c r="A796" s="178"/>
      <c r="B796" s="179"/>
      <c r="C796" s="180"/>
      <c r="D796" s="180"/>
      <c r="E796" s="180"/>
      <c r="F796" s="180"/>
      <c r="G796" s="181"/>
      <c r="H796" s="181"/>
      <c r="I796" s="181"/>
      <c r="J796" s="181"/>
      <c r="K796" s="180"/>
      <c r="L796" s="181"/>
      <c r="M796" s="181"/>
      <c r="N796" s="181"/>
      <c r="O796" s="181"/>
      <c r="P796" s="180"/>
      <c r="Q796" s="181"/>
      <c r="R796" s="181"/>
      <c r="S796" s="181"/>
      <c r="T796" s="181"/>
      <c r="U796" s="180"/>
      <c r="V796" s="181"/>
      <c r="W796" s="181"/>
      <c r="X796" s="181"/>
      <c r="Y796" s="181"/>
      <c r="Z796" s="180"/>
      <c r="AA796" s="181"/>
      <c r="AB796" s="181"/>
      <c r="AC796" s="181"/>
      <c r="AD796" s="181"/>
      <c r="AE796" s="180"/>
      <c r="AF796" s="181"/>
      <c r="AG796" s="181"/>
      <c r="AH796" s="181"/>
      <c r="AI796" s="181"/>
      <c r="AJ796" s="180"/>
      <c r="AK796" s="181"/>
      <c r="AL796" s="181"/>
      <c r="AM796" s="181"/>
      <c r="AN796" s="181"/>
      <c r="AO796" s="180"/>
      <c r="AP796" s="181"/>
      <c r="AQ796" s="181"/>
      <c r="AR796" s="181"/>
      <c r="AS796" s="181"/>
      <c r="AT796" s="180"/>
      <c r="AU796" s="181"/>
      <c r="AV796" s="181"/>
      <c r="AW796" s="181"/>
      <c r="AX796" s="181"/>
      <c r="AY796" s="180"/>
      <c r="AZ796" s="181"/>
      <c r="BA796" s="181"/>
      <c r="BB796" s="181"/>
      <c r="BC796" s="181"/>
      <c r="BD796" s="180"/>
      <c r="BE796" s="181"/>
      <c r="BF796" s="181"/>
      <c r="BG796" s="181"/>
      <c r="BH796" s="181"/>
      <c r="BI796" s="182"/>
      <c r="BJ796" s="181"/>
      <c r="BK796" s="181"/>
      <c r="BL796" s="181"/>
      <c r="BM796" s="181"/>
      <c r="BN796" s="180"/>
      <c r="BO796" s="181"/>
      <c r="BP796" s="181"/>
      <c r="BQ796" s="181"/>
      <c r="BR796" s="181"/>
      <c r="BS796" s="180"/>
      <c r="BT796" s="180"/>
      <c r="BU796" s="180"/>
      <c r="BV796" s="180"/>
      <c r="BW796" s="216"/>
    </row>
    <row r="797" spans="1:75" s="198" customFormat="1" ht="14.25" hidden="1" outlineLevel="1" x14ac:dyDescent="0.45">
      <c r="A797" s="239" t="s">
        <v>881</v>
      </c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40"/>
      <c r="AG797" s="240"/>
      <c r="AH797" s="240"/>
      <c r="AI797" s="239"/>
      <c r="AJ797" s="239"/>
      <c r="AK797" s="239"/>
      <c r="AL797" s="239"/>
      <c r="AM797" s="239"/>
      <c r="AN797" s="239"/>
      <c r="AO797" s="239"/>
      <c r="AP797" s="239"/>
      <c r="AQ797" s="239"/>
      <c r="AR797" s="239"/>
      <c r="AS797" s="239"/>
      <c r="AT797" s="239"/>
      <c r="AU797" s="239"/>
      <c r="AV797" s="239"/>
      <c r="AW797" s="239"/>
      <c r="AX797" s="239"/>
      <c r="AY797" s="239"/>
      <c r="AZ797" s="239"/>
      <c r="BA797" s="239"/>
      <c r="BB797" s="239"/>
      <c r="BC797" s="239"/>
      <c r="BD797" s="239"/>
      <c r="BE797" s="239"/>
      <c r="BF797" s="239"/>
      <c r="BG797" s="239"/>
      <c r="BH797" s="239"/>
      <c r="BI797" s="241"/>
      <c r="BJ797" s="239"/>
      <c r="BK797" s="239"/>
      <c r="BL797" s="239"/>
      <c r="BM797" s="239"/>
      <c r="BN797" s="239"/>
      <c r="BO797" s="239"/>
      <c r="BP797" s="239"/>
      <c r="BQ797" s="239"/>
      <c r="BR797" s="239"/>
      <c r="BS797" s="239"/>
      <c r="BT797" s="239"/>
      <c r="BU797" s="239"/>
      <c r="BV797" s="239"/>
      <c r="BW797" s="197"/>
    </row>
    <row r="798" spans="1:75" s="169" customFormat="1" ht="14.25" hidden="1" outlineLevel="2" x14ac:dyDescent="0.45">
      <c r="A798" s="291" t="s">
        <v>457</v>
      </c>
      <c r="B798" s="561"/>
      <c r="C798" s="244"/>
      <c r="D798" s="244"/>
      <c r="E798" s="244"/>
      <c r="F798" s="244">
        <v>10</v>
      </c>
      <c r="G798" s="245">
        <v>13</v>
      </c>
      <c r="H798" s="245">
        <v>14</v>
      </c>
      <c r="I798" s="245">
        <v>17</v>
      </c>
      <c r="J798" s="245">
        <v>17</v>
      </c>
      <c r="K798" s="244">
        <v>13</v>
      </c>
      <c r="L798" s="245">
        <v>17</v>
      </c>
      <c r="M798" s="245">
        <v>17</v>
      </c>
      <c r="N798" s="245">
        <v>17</v>
      </c>
      <c r="O798" s="245">
        <v>18</v>
      </c>
      <c r="P798" s="244">
        <v>17</v>
      </c>
      <c r="Q798" s="245">
        <v>17</v>
      </c>
      <c r="R798" s="245">
        <v>17</v>
      </c>
      <c r="S798" s="245">
        <v>15</v>
      </c>
      <c r="T798" s="245">
        <v>17</v>
      </c>
      <c r="U798" s="244">
        <v>17</v>
      </c>
      <c r="V798" s="245">
        <v>17</v>
      </c>
      <c r="W798" s="245">
        <v>19</v>
      </c>
      <c r="X798" s="245">
        <v>23</v>
      </c>
      <c r="Y798" s="247">
        <v>28</v>
      </c>
      <c r="Z798" s="244">
        <v>17</v>
      </c>
      <c r="AA798" s="247">
        <v>28</v>
      </c>
      <c r="AB798" s="247">
        <v>28</v>
      </c>
      <c r="AC798" s="245">
        <v>28</v>
      </c>
      <c r="AD798" s="247">
        <v>31</v>
      </c>
      <c r="AE798" s="244">
        <v>28</v>
      </c>
      <c r="AF798" s="247">
        <v>32</v>
      </c>
      <c r="AG798" s="247">
        <v>32</v>
      </c>
      <c r="AH798" s="245">
        <v>36</v>
      </c>
      <c r="AI798" s="247">
        <v>37</v>
      </c>
      <c r="AJ798" s="244">
        <v>32</v>
      </c>
      <c r="AK798" s="247">
        <v>39</v>
      </c>
      <c r="AL798" s="247">
        <v>40</v>
      </c>
      <c r="AM798" s="245">
        <v>40</v>
      </c>
      <c r="AN798" s="247">
        <v>39</v>
      </c>
      <c r="AO798" s="244">
        <v>39</v>
      </c>
      <c r="AP798" s="247">
        <v>38</v>
      </c>
      <c r="AQ798" s="247">
        <v>38</v>
      </c>
      <c r="AR798" s="248">
        <v>38</v>
      </c>
      <c r="AS798" s="247">
        <v>38</v>
      </c>
      <c r="AT798" s="244">
        <v>38</v>
      </c>
      <c r="AU798" s="247">
        <v>38</v>
      </c>
      <c r="AV798" s="247">
        <v>38</v>
      </c>
      <c r="AW798" s="248">
        <v>38</v>
      </c>
      <c r="AX798" s="247">
        <v>38</v>
      </c>
      <c r="AY798" s="244">
        <v>38</v>
      </c>
      <c r="AZ798" s="247">
        <v>38</v>
      </c>
      <c r="BA798" s="247">
        <v>39</v>
      </c>
      <c r="BB798" s="248">
        <v>39</v>
      </c>
      <c r="BC798" s="247">
        <v>39</v>
      </c>
      <c r="BD798" s="244">
        <v>38</v>
      </c>
      <c r="BE798" s="247">
        <v>37</v>
      </c>
      <c r="BF798" s="247">
        <v>39</v>
      </c>
      <c r="BG798" s="248">
        <v>40</v>
      </c>
      <c r="BH798" s="247">
        <v>42</v>
      </c>
      <c r="BI798" s="249">
        <v>37</v>
      </c>
      <c r="BJ798" s="247">
        <v>42</v>
      </c>
      <c r="BK798" s="247">
        <v>42</v>
      </c>
      <c r="BL798" s="247">
        <v>42</v>
      </c>
      <c r="BM798" s="247">
        <v>42</v>
      </c>
      <c r="BN798" s="244">
        <v>42</v>
      </c>
      <c r="BO798" s="247">
        <v>42</v>
      </c>
      <c r="BP798" s="247">
        <v>42</v>
      </c>
      <c r="BQ798" s="247">
        <v>42</v>
      </c>
      <c r="BR798" s="247">
        <v>42</v>
      </c>
      <c r="BS798" s="244">
        <v>42</v>
      </c>
      <c r="BT798" s="244">
        <v>42</v>
      </c>
      <c r="BU798" s="244">
        <v>42</v>
      </c>
      <c r="BV798" s="244">
        <v>42</v>
      </c>
      <c r="BW798" s="168"/>
    </row>
    <row r="799" spans="1:75" s="224" customFormat="1" hidden="1" outlineLevel="2" x14ac:dyDescent="0.5">
      <c r="A799" s="330" t="s">
        <v>458</v>
      </c>
      <c r="B799" s="258"/>
      <c r="C799" s="252"/>
      <c r="D799" s="252"/>
      <c r="E799" s="252"/>
      <c r="F799" s="252">
        <v>3</v>
      </c>
      <c r="G799" s="253">
        <v>1</v>
      </c>
      <c r="H799" s="253">
        <v>3</v>
      </c>
      <c r="I799" s="253">
        <v>0</v>
      </c>
      <c r="J799" s="253">
        <v>0</v>
      </c>
      <c r="K799" s="252">
        <v>4</v>
      </c>
      <c r="L799" s="253">
        <v>0</v>
      </c>
      <c r="M799" s="253">
        <v>0</v>
      </c>
      <c r="N799" s="253">
        <v>1</v>
      </c>
      <c r="O799" s="253">
        <v>-1</v>
      </c>
      <c r="P799" s="252">
        <v>0</v>
      </c>
      <c r="Q799" s="253">
        <v>0</v>
      </c>
      <c r="R799" s="253">
        <v>-2</v>
      </c>
      <c r="S799" s="253">
        <v>2</v>
      </c>
      <c r="T799" s="253">
        <v>0</v>
      </c>
      <c r="U799" s="252">
        <v>0</v>
      </c>
      <c r="V799" s="253">
        <v>2</v>
      </c>
      <c r="W799" s="253">
        <v>4</v>
      </c>
      <c r="X799" s="253">
        <v>5</v>
      </c>
      <c r="Y799" s="254">
        <v>0</v>
      </c>
      <c r="Z799" s="252">
        <v>11</v>
      </c>
      <c r="AA799" s="254">
        <v>0</v>
      </c>
      <c r="AB799" s="254">
        <v>0</v>
      </c>
      <c r="AC799" s="253">
        <v>3</v>
      </c>
      <c r="AD799" s="254">
        <v>1</v>
      </c>
      <c r="AE799" s="252">
        <v>4</v>
      </c>
      <c r="AF799" s="254">
        <v>0</v>
      </c>
      <c r="AG799" s="254">
        <v>4</v>
      </c>
      <c r="AH799" s="253">
        <v>1</v>
      </c>
      <c r="AI799" s="254">
        <v>2</v>
      </c>
      <c r="AJ799" s="252">
        <v>7</v>
      </c>
      <c r="AK799" s="254">
        <v>1</v>
      </c>
      <c r="AL799" s="254">
        <v>0</v>
      </c>
      <c r="AM799" s="253">
        <v>-1</v>
      </c>
      <c r="AN799" s="254">
        <v>-1</v>
      </c>
      <c r="AO799" s="252">
        <v>-1</v>
      </c>
      <c r="AP799" s="254">
        <v>0</v>
      </c>
      <c r="AQ799" s="254">
        <v>0</v>
      </c>
      <c r="AR799" s="255">
        <v>0</v>
      </c>
      <c r="AS799" s="254">
        <v>0</v>
      </c>
      <c r="AT799" s="252">
        <v>0</v>
      </c>
      <c r="AU799" s="254">
        <v>0</v>
      </c>
      <c r="AV799" s="254">
        <v>0</v>
      </c>
      <c r="AW799" s="255">
        <v>0</v>
      </c>
      <c r="AX799" s="254">
        <v>0</v>
      </c>
      <c r="AY799" s="252">
        <v>0</v>
      </c>
      <c r="AZ799" s="254">
        <v>1</v>
      </c>
      <c r="BA799" s="254">
        <v>0</v>
      </c>
      <c r="BB799" s="255">
        <v>0</v>
      </c>
      <c r="BC799" s="254">
        <v>-2</v>
      </c>
      <c r="BD799" s="252">
        <v>-1</v>
      </c>
      <c r="BE799" s="254">
        <v>2</v>
      </c>
      <c r="BF799" s="254">
        <v>1</v>
      </c>
      <c r="BG799" s="255">
        <v>2</v>
      </c>
      <c r="BH799" s="254">
        <v>0</v>
      </c>
      <c r="BI799" s="260">
        <v>5</v>
      </c>
      <c r="BJ799" s="254">
        <v>0</v>
      </c>
      <c r="BK799" s="254">
        <v>0</v>
      </c>
      <c r="BL799" s="254">
        <v>0</v>
      </c>
      <c r="BM799" s="254">
        <v>0</v>
      </c>
      <c r="BN799" s="252">
        <v>0</v>
      </c>
      <c r="BO799" s="254">
        <v>0</v>
      </c>
      <c r="BP799" s="254">
        <v>0</v>
      </c>
      <c r="BQ799" s="254">
        <v>0</v>
      </c>
      <c r="BR799" s="254">
        <v>0</v>
      </c>
      <c r="BS799" s="252">
        <v>0</v>
      </c>
      <c r="BT799" s="252">
        <v>0</v>
      </c>
      <c r="BU799" s="252">
        <v>0</v>
      </c>
      <c r="BV799" s="252">
        <v>0</v>
      </c>
      <c r="BW799" s="223"/>
    </row>
    <row r="800" spans="1:75" s="169" customFormat="1" ht="14.25" hidden="1" outlineLevel="2" x14ac:dyDescent="0.45">
      <c r="A800" s="343" t="s">
        <v>459</v>
      </c>
      <c r="B800" s="359"/>
      <c r="C800" s="278"/>
      <c r="D800" s="278"/>
      <c r="E800" s="278">
        <v>10</v>
      </c>
      <c r="F800" s="278">
        <v>13</v>
      </c>
      <c r="G800" s="283">
        <v>14</v>
      </c>
      <c r="H800" s="283">
        <v>17</v>
      </c>
      <c r="I800" s="283">
        <v>17</v>
      </c>
      <c r="J800" s="283">
        <v>17</v>
      </c>
      <c r="K800" s="278">
        <v>17</v>
      </c>
      <c r="L800" s="283">
        <v>17</v>
      </c>
      <c r="M800" s="283">
        <v>17</v>
      </c>
      <c r="N800" s="283">
        <v>18</v>
      </c>
      <c r="O800" s="283">
        <v>17</v>
      </c>
      <c r="P800" s="278">
        <v>17</v>
      </c>
      <c r="Q800" s="283">
        <v>17</v>
      </c>
      <c r="R800" s="283">
        <v>15</v>
      </c>
      <c r="S800" s="283">
        <v>17</v>
      </c>
      <c r="T800" s="283">
        <v>17</v>
      </c>
      <c r="U800" s="278">
        <v>17</v>
      </c>
      <c r="V800" s="283">
        <v>19</v>
      </c>
      <c r="W800" s="283">
        <v>23</v>
      </c>
      <c r="X800" s="283">
        <v>28</v>
      </c>
      <c r="Y800" s="287">
        <v>28</v>
      </c>
      <c r="Z800" s="278">
        <v>28</v>
      </c>
      <c r="AA800" s="287">
        <v>28</v>
      </c>
      <c r="AB800" s="287">
        <v>28</v>
      </c>
      <c r="AC800" s="283">
        <v>31</v>
      </c>
      <c r="AD800" s="287">
        <v>32</v>
      </c>
      <c r="AE800" s="278">
        <v>32</v>
      </c>
      <c r="AF800" s="287">
        <v>32</v>
      </c>
      <c r="AG800" s="287">
        <v>36</v>
      </c>
      <c r="AH800" s="283">
        <v>37</v>
      </c>
      <c r="AI800" s="287">
        <v>39</v>
      </c>
      <c r="AJ800" s="278">
        <v>39</v>
      </c>
      <c r="AK800" s="287">
        <v>40</v>
      </c>
      <c r="AL800" s="287">
        <v>40</v>
      </c>
      <c r="AM800" s="283">
        <v>39</v>
      </c>
      <c r="AN800" s="287">
        <v>38</v>
      </c>
      <c r="AO800" s="278">
        <v>38</v>
      </c>
      <c r="AP800" s="287">
        <v>38</v>
      </c>
      <c r="AQ800" s="287">
        <v>38</v>
      </c>
      <c r="AR800" s="436">
        <v>38</v>
      </c>
      <c r="AS800" s="287">
        <v>38</v>
      </c>
      <c r="AT800" s="278">
        <v>38</v>
      </c>
      <c r="AU800" s="287">
        <v>38</v>
      </c>
      <c r="AV800" s="287">
        <v>38</v>
      </c>
      <c r="AW800" s="436">
        <v>38</v>
      </c>
      <c r="AX800" s="287">
        <v>38</v>
      </c>
      <c r="AY800" s="278">
        <v>38</v>
      </c>
      <c r="AZ800" s="287">
        <v>39</v>
      </c>
      <c r="BA800" s="287">
        <v>39</v>
      </c>
      <c r="BB800" s="436">
        <v>39</v>
      </c>
      <c r="BC800" s="287">
        <v>37</v>
      </c>
      <c r="BD800" s="278">
        <v>37</v>
      </c>
      <c r="BE800" s="287">
        <v>39</v>
      </c>
      <c r="BF800" s="287">
        <v>40</v>
      </c>
      <c r="BG800" s="436">
        <v>42</v>
      </c>
      <c r="BH800" s="287">
        <v>42</v>
      </c>
      <c r="BI800" s="437">
        <v>42</v>
      </c>
      <c r="BJ800" s="287">
        <v>42</v>
      </c>
      <c r="BK800" s="287">
        <v>42</v>
      </c>
      <c r="BL800" s="287">
        <v>42</v>
      </c>
      <c r="BM800" s="287">
        <v>42</v>
      </c>
      <c r="BN800" s="278">
        <v>42</v>
      </c>
      <c r="BO800" s="287">
        <v>42</v>
      </c>
      <c r="BP800" s="287">
        <v>42</v>
      </c>
      <c r="BQ800" s="287">
        <v>42</v>
      </c>
      <c r="BR800" s="287">
        <v>42</v>
      </c>
      <c r="BS800" s="278">
        <v>42</v>
      </c>
      <c r="BT800" s="278">
        <v>42</v>
      </c>
      <c r="BU800" s="278">
        <v>42</v>
      </c>
      <c r="BV800" s="278">
        <v>42</v>
      </c>
      <c r="BW800" s="168"/>
    </row>
    <row r="801" spans="1:75" s="169" customFormat="1" ht="14.25" hidden="1" outlineLevel="2" x14ac:dyDescent="0.45">
      <c r="A801" s="291" t="s">
        <v>462</v>
      </c>
      <c r="B801" s="561"/>
      <c r="C801" s="244"/>
      <c r="D801" s="244"/>
      <c r="E801" s="244"/>
      <c r="F801" s="244">
        <v>11.5</v>
      </c>
      <c r="G801" s="245">
        <v>13.5</v>
      </c>
      <c r="H801" s="245">
        <v>15.5</v>
      </c>
      <c r="I801" s="245">
        <v>17</v>
      </c>
      <c r="J801" s="245">
        <v>17</v>
      </c>
      <c r="K801" s="244">
        <v>15.75</v>
      </c>
      <c r="L801" s="245">
        <v>17</v>
      </c>
      <c r="M801" s="245">
        <v>17</v>
      </c>
      <c r="N801" s="245">
        <v>17.5</v>
      </c>
      <c r="O801" s="245">
        <v>17.5</v>
      </c>
      <c r="P801" s="244">
        <v>17.25</v>
      </c>
      <c r="Q801" s="245">
        <v>17</v>
      </c>
      <c r="R801" s="245">
        <v>16</v>
      </c>
      <c r="S801" s="245">
        <v>16</v>
      </c>
      <c r="T801" s="245">
        <v>17</v>
      </c>
      <c r="U801" s="244">
        <v>16.5</v>
      </c>
      <c r="V801" s="245">
        <v>18</v>
      </c>
      <c r="W801" s="245">
        <v>21</v>
      </c>
      <c r="X801" s="245">
        <v>25.5</v>
      </c>
      <c r="Y801" s="247">
        <v>28</v>
      </c>
      <c r="Z801" s="244">
        <v>23.125</v>
      </c>
      <c r="AA801" s="247">
        <v>28</v>
      </c>
      <c r="AB801" s="247">
        <v>28</v>
      </c>
      <c r="AC801" s="245">
        <v>29.5</v>
      </c>
      <c r="AD801" s="247">
        <v>31.5</v>
      </c>
      <c r="AE801" s="244">
        <v>29.29245283018868</v>
      </c>
      <c r="AF801" s="247">
        <v>32</v>
      </c>
      <c r="AG801" s="247">
        <v>34</v>
      </c>
      <c r="AH801" s="245">
        <v>36.5</v>
      </c>
      <c r="AI801" s="247">
        <v>38</v>
      </c>
      <c r="AJ801" s="244">
        <v>35.125</v>
      </c>
      <c r="AK801" s="247">
        <v>39.5</v>
      </c>
      <c r="AL801" s="247">
        <v>40</v>
      </c>
      <c r="AM801" s="245">
        <v>39.5</v>
      </c>
      <c r="AN801" s="247">
        <v>38.5</v>
      </c>
      <c r="AO801" s="244">
        <v>39.375</v>
      </c>
      <c r="AP801" s="247">
        <v>38</v>
      </c>
      <c r="AQ801" s="247">
        <v>38</v>
      </c>
      <c r="AR801" s="248">
        <v>38</v>
      </c>
      <c r="AS801" s="247">
        <v>38</v>
      </c>
      <c r="AT801" s="244">
        <v>38</v>
      </c>
      <c r="AU801" s="247">
        <v>38</v>
      </c>
      <c r="AV801" s="247">
        <v>38</v>
      </c>
      <c r="AW801" s="248">
        <v>38</v>
      </c>
      <c r="AX801" s="247">
        <v>38</v>
      </c>
      <c r="AY801" s="244">
        <v>38</v>
      </c>
      <c r="AZ801" s="247">
        <v>38.5</v>
      </c>
      <c r="BA801" s="247">
        <v>39</v>
      </c>
      <c r="BB801" s="248">
        <v>39</v>
      </c>
      <c r="BC801" s="247">
        <v>38</v>
      </c>
      <c r="BD801" s="244">
        <v>38.625</v>
      </c>
      <c r="BE801" s="247">
        <v>38</v>
      </c>
      <c r="BF801" s="247">
        <v>39.5</v>
      </c>
      <c r="BG801" s="248">
        <v>41</v>
      </c>
      <c r="BH801" s="247">
        <v>42</v>
      </c>
      <c r="BI801" s="249">
        <v>40.160377358490564</v>
      </c>
      <c r="BJ801" s="247">
        <v>42</v>
      </c>
      <c r="BK801" s="247">
        <v>42</v>
      </c>
      <c r="BL801" s="247">
        <v>42</v>
      </c>
      <c r="BM801" s="247">
        <v>42</v>
      </c>
      <c r="BN801" s="244">
        <v>42</v>
      </c>
      <c r="BO801" s="247">
        <v>42</v>
      </c>
      <c r="BP801" s="247">
        <v>42</v>
      </c>
      <c r="BQ801" s="247">
        <v>42</v>
      </c>
      <c r="BR801" s="247">
        <v>42</v>
      </c>
      <c r="BS801" s="244">
        <v>42</v>
      </c>
      <c r="BT801" s="244">
        <v>42</v>
      </c>
      <c r="BU801" s="244">
        <v>42</v>
      </c>
      <c r="BV801" s="244">
        <v>42</v>
      </c>
      <c r="BW801" s="168"/>
    </row>
    <row r="802" spans="1:75" s="198" customFormat="1" ht="14.25" hidden="1" outlineLevel="2" x14ac:dyDescent="0.45">
      <c r="A802" s="292"/>
      <c r="B802" s="243"/>
      <c r="C802" s="293"/>
      <c r="D802" s="293"/>
      <c r="E802" s="293"/>
      <c r="F802" s="293"/>
      <c r="G802" s="294"/>
      <c r="H802" s="294"/>
      <c r="I802" s="294"/>
      <c r="J802" s="294"/>
      <c r="K802" s="293"/>
      <c r="L802" s="294"/>
      <c r="M802" s="294"/>
      <c r="N802" s="294"/>
      <c r="O802" s="294"/>
      <c r="P802" s="293"/>
      <c r="Q802" s="294"/>
      <c r="R802" s="294"/>
      <c r="S802" s="294"/>
      <c r="T802" s="294"/>
      <c r="U802" s="293"/>
      <c r="V802" s="294"/>
      <c r="W802" s="294"/>
      <c r="X802" s="294"/>
      <c r="Y802" s="295"/>
      <c r="Z802" s="293"/>
      <c r="AA802" s="295"/>
      <c r="AB802" s="295"/>
      <c r="AC802" s="294"/>
      <c r="AD802" s="295"/>
      <c r="AE802" s="293"/>
      <c r="AF802" s="295"/>
      <c r="AG802" s="295"/>
      <c r="AH802" s="294"/>
      <c r="AI802" s="295"/>
      <c r="AJ802" s="293"/>
      <c r="AK802" s="295"/>
      <c r="AL802" s="295"/>
      <c r="AM802" s="294"/>
      <c r="AN802" s="295"/>
      <c r="AO802" s="293"/>
      <c r="AP802" s="295"/>
      <c r="AQ802" s="295"/>
      <c r="AR802" s="296"/>
      <c r="AS802" s="295"/>
      <c r="AT802" s="293"/>
      <c r="AU802" s="295"/>
      <c r="AV802" s="295"/>
      <c r="AW802" s="296"/>
      <c r="AX802" s="295"/>
      <c r="AY802" s="293"/>
      <c r="AZ802" s="295"/>
      <c r="BA802" s="295"/>
      <c r="BB802" s="296"/>
      <c r="BC802" s="295"/>
      <c r="BD802" s="293"/>
      <c r="BE802" s="295"/>
      <c r="BF802" s="295"/>
      <c r="BG802" s="296"/>
      <c r="BH802" s="295"/>
      <c r="BI802" s="297"/>
      <c r="BJ802" s="295"/>
      <c r="BK802" s="295"/>
      <c r="BL802" s="295"/>
      <c r="BM802" s="295"/>
      <c r="BN802" s="293"/>
      <c r="BO802" s="295"/>
      <c r="BP802" s="295"/>
      <c r="BQ802" s="295"/>
      <c r="BR802" s="295"/>
      <c r="BS802" s="293"/>
      <c r="BT802" s="293"/>
      <c r="BU802" s="293"/>
      <c r="BV802" s="293"/>
      <c r="BW802" s="197"/>
    </row>
    <row r="803" spans="1:75" s="169" customFormat="1" ht="14.25" hidden="1" outlineLevel="2" x14ac:dyDescent="0.45">
      <c r="A803" s="291" t="s">
        <v>882</v>
      </c>
      <c r="B803" s="561"/>
      <c r="C803" s="244"/>
      <c r="D803" s="244"/>
      <c r="E803" s="244"/>
      <c r="F803" s="244"/>
      <c r="G803" s="245"/>
      <c r="H803" s="245"/>
      <c r="I803" s="245"/>
      <c r="J803" s="245"/>
      <c r="K803" s="244"/>
      <c r="L803" s="245"/>
      <c r="M803" s="245"/>
      <c r="N803" s="245"/>
      <c r="O803" s="245"/>
      <c r="P803" s="244"/>
      <c r="Q803" s="245"/>
      <c r="R803" s="245"/>
      <c r="S803" s="245"/>
      <c r="T803" s="245"/>
      <c r="U803" s="244"/>
      <c r="V803" s="245"/>
      <c r="W803" s="245"/>
      <c r="X803" s="245"/>
      <c r="Y803" s="247"/>
      <c r="Z803" s="244"/>
      <c r="AA803" s="247"/>
      <c r="AB803" s="247"/>
      <c r="AC803" s="245"/>
      <c r="AD803" s="247"/>
      <c r="AE803" s="244"/>
      <c r="AF803" s="247"/>
      <c r="AG803" s="247"/>
      <c r="AH803" s="245"/>
      <c r="AI803" s="247"/>
      <c r="AJ803" s="244"/>
      <c r="AK803" s="247"/>
      <c r="AL803" s="247"/>
      <c r="AM803" s="245"/>
      <c r="AN803" s="247"/>
      <c r="AO803" s="244">
        <v>1213</v>
      </c>
      <c r="AP803" s="247"/>
      <c r="AQ803" s="247"/>
      <c r="AR803" s="248"/>
      <c r="AS803" s="247"/>
      <c r="AT803" s="244">
        <v>1208</v>
      </c>
      <c r="AU803" s="247"/>
      <c r="AV803" s="247"/>
      <c r="AW803" s="248"/>
      <c r="AX803" s="247"/>
      <c r="AY803" s="244">
        <v>1196</v>
      </c>
      <c r="AZ803" s="247"/>
      <c r="BA803" s="247"/>
      <c r="BB803" s="248"/>
      <c r="BC803" s="247"/>
      <c r="BD803" s="244">
        <v>1190</v>
      </c>
      <c r="BE803" s="247"/>
      <c r="BF803" s="247"/>
      <c r="BG803" s="248"/>
      <c r="BH803" s="247"/>
      <c r="BI803" s="249">
        <v>1171</v>
      </c>
      <c r="BJ803" s="247"/>
      <c r="BK803" s="247"/>
      <c r="BL803" s="247"/>
      <c r="BM803" s="247"/>
      <c r="BN803" s="244"/>
      <c r="BO803" s="247"/>
      <c r="BP803" s="247"/>
      <c r="BQ803" s="247"/>
      <c r="BR803" s="247"/>
      <c r="BS803" s="244"/>
      <c r="BT803" s="244"/>
      <c r="BU803" s="244"/>
      <c r="BV803" s="244"/>
      <c r="BW803" s="168"/>
    </row>
    <row r="804" spans="1:75" s="224" customFormat="1" hidden="1" outlineLevel="2" x14ac:dyDescent="0.5">
      <c r="A804" s="330" t="s">
        <v>883</v>
      </c>
      <c r="B804" s="258"/>
      <c r="C804" s="252"/>
      <c r="D804" s="252"/>
      <c r="E804" s="252"/>
      <c r="F804" s="252"/>
      <c r="G804" s="253"/>
      <c r="H804" s="253"/>
      <c r="I804" s="253"/>
      <c r="J804" s="253"/>
      <c r="K804" s="252"/>
      <c r="L804" s="253"/>
      <c r="M804" s="253"/>
      <c r="N804" s="253"/>
      <c r="O804" s="253"/>
      <c r="P804" s="252"/>
      <c r="Q804" s="253"/>
      <c r="R804" s="253"/>
      <c r="S804" s="253"/>
      <c r="T804" s="253"/>
      <c r="U804" s="252"/>
      <c r="V804" s="253"/>
      <c r="W804" s="253"/>
      <c r="X804" s="253"/>
      <c r="Y804" s="254"/>
      <c r="Z804" s="252"/>
      <c r="AA804" s="254"/>
      <c r="AB804" s="254"/>
      <c r="AC804" s="253"/>
      <c r="AD804" s="254"/>
      <c r="AE804" s="252"/>
      <c r="AF804" s="254"/>
      <c r="AG804" s="254"/>
      <c r="AH804" s="253"/>
      <c r="AI804" s="254"/>
      <c r="AJ804" s="252"/>
      <c r="AK804" s="254"/>
      <c r="AL804" s="254"/>
      <c r="AM804" s="253"/>
      <c r="AN804" s="254"/>
      <c r="AO804" s="252">
        <v>-5</v>
      </c>
      <c r="AP804" s="254"/>
      <c r="AQ804" s="254"/>
      <c r="AR804" s="255"/>
      <c r="AS804" s="254"/>
      <c r="AT804" s="252">
        <v>-12</v>
      </c>
      <c r="AU804" s="254"/>
      <c r="AV804" s="254"/>
      <c r="AW804" s="255"/>
      <c r="AX804" s="254"/>
      <c r="AY804" s="252">
        <v>-6</v>
      </c>
      <c r="AZ804" s="254"/>
      <c r="BA804" s="254"/>
      <c r="BB804" s="255"/>
      <c r="BC804" s="254"/>
      <c r="BD804" s="252">
        <v>-19</v>
      </c>
      <c r="BE804" s="254"/>
      <c r="BF804" s="254"/>
      <c r="BG804" s="255"/>
      <c r="BH804" s="254"/>
      <c r="BI804" s="260">
        <v>118</v>
      </c>
      <c r="BJ804" s="254"/>
      <c r="BK804" s="254"/>
      <c r="BL804" s="254"/>
      <c r="BM804" s="254"/>
      <c r="BN804" s="252"/>
      <c r="BO804" s="254"/>
      <c r="BP804" s="254"/>
      <c r="BQ804" s="254"/>
      <c r="BR804" s="254"/>
      <c r="BS804" s="252"/>
      <c r="BT804" s="252"/>
      <c r="BU804" s="252"/>
      <c r="BV804" s="252"/>
      <c r="BW804" s="223"/>
    </row>
    <row r="805" spans="1:75" s="169" customFormat="1" ht="14.25" hidden="1" outlineLevel="2" x14ac:dyDescent="0.45">
      <c r="A805" s="343" t="s">
        <v>884</v>
      </c>
      <c r="B805" s="359"/>
      <c r="C805" s="278"/>
      <c r="D805" s="278"/>
      <c r="E805" s="278"/>
      <c r="F805" s="278"/>
      <c r="G805" s="283"/>
      <c r="H805" s="283"/>
      <c r="I805" s="283"/>
      <c r="J805" s="283"/>
      <c r="K805" s="278"/>
      <c r="L805" s="283"/>
      <c r="M805" s="283"/>
      <c r="N805" s="283"/>
      <c r="O805" s="283"/>
      <c r="P805" s="278"/>
      <c r="Q805" s="283"/>
      <c r="R805" s="283"/>
      <c r="S805" s="283"/>
      <c r="T805" s="283"/>
      <c r="U805" s="278"/>
      <c r="V805" s="283"/>
      <c r="W805" s="283"/>
      <c r="X805" s="283"/>
      <c r="Y805" s="287"/>
      <c r="Z805" s="279">
        <v>800</v>
      </c>
      <c r="AA805" s="287"/>
      <c r="AB805" s="287"/>
      <c r="AC805" s="283"/>
      <c r="AD805" s="287"/>
      <c r="AE805" s="279">
        <v>1025</v>
      </c>
      <c r="AF805" s="287"/>
      <c r="AG805" s="287"/>
      <c r="AH805" s="283"/>
      <c r="AI805" s="287"/>
      <c r="AJ805" s="279">
        <v>1213</v>
      </c>
      <c r="AK805" s="287"/>
      <c r="AL805" s="287"/>
      <c r="AM805" s="283"/>
      <c r="AN805" s="287"/>
      <c r="AO805" s="279">
        <v>1208</v>
      </c>
      <c r="AP805" s="287"/>
      <c r="AQ805" s="287"/>
      <c r="AR805" s="436"/>
      <c r="AS805" s="287"/>
      <c r="AT805" s="279">
        <v>1196</v>
      </c>
      <c r="AU805" s="287"/>
      <c r="AV805" s="287"/>
      <c r="AW805" s="436"/>
      <c r="AX805" s="287"/>
      <c r="AY805" s="279">
        <v>1190</v>
      </c>
      <c r="AZ805" s="287"/>
      <c r="BA805" s="287"/>
      <c r="BB805" s="436"/>
      <c r="BC805" s="287"/>
      <c r="BD805" s="279">
        <v>1171</v>
      </c>
      <c r="BE805" s="287"/>
      <c r="BF805" s="287"/>
      <c r="BG805" s="436"/>
      <c r="BH805" s="287"/>
      <c r="BI805" s="563">
        <v>1289</v>
      </c>
      <c r="BJ805" s="287"/>
      <c r="BK805" s="287"/>
      <c r="BL805" s="287"/>
      <c r="BM805" s="287"/>
      <c r="BN805" s="278"/>
      <c r="BO805" s="287"/>
      <c r="BP805" s="287"/>
      <c r="BQ805" s="287"/>
      <c r="BR805" s="287"/>
      <c r="BS805" s="278"/>
      <c r="BT805" s="278"/>
      <c r="BU805" s="278"/>
      <c r="BV805" s="278"/>
      <c r="BW805" s="168"/>
    </row>
    <row r="806" spans="1:75" s="198" customFormat="1" ht="14.25" hidden="1" outlineLevel="2" x14ac:dyDescent="0.45">
      <c r="A806" s="292"/>
      <c r="B806" s="243"/>
      <c r="C806" s="293"/>
      <c r="D806" s="293"/>
      <c r="E806" s="293"/>
      <c r="F806" s="293"/>
      <c r="G806" s="294"/>
      <c r="H806" s="294"/>
      <c r="I806" s="294"/>
      <c r="J806" s="294"/>
      <c r="K806" s="293"/>
      <c r="L806" s="294"/>
      <c r="M806" s="294"/>
      <c r="N806" s="294"/>
      <c r="O806" s="294"/>
      <c r="P806" s="293"/>
      <c r="Q806" s="294"/>
      <c r="R806" s="294"/>
      <c r="S806" s="294"/>
      <c r="T806" s="294"/>
      <c r="U806" s="293"/>
      <c r="V806" s="294"/>
      <c r="W806" s="294"/>
      <c r="X806" s="294"/>
      <c r="Y806" s="295"/>
      <c r="Z806" s="293"/>
      <c r="AA806" s="295"/>
      <c r="AB806" s="295"/>
      <c r="AC806" s="294"/>
      <c r="AD806" s="295"/>
      <c r="AE806" s="293"/>
      <c r="AF806" s="295"/>
      <c r="AG806" s="295"/>
      <c r="AH806" s="294"/>
      <c r="AI806" s="295"/>
      <c r="AJ806" s="293"/>
      <c r="AK806" s="295"/>
      <c r="AL806" s="295"/>
      <c r="AM806" s="294"/>
      <c r="AN806" s="295"/>
      <c r="AO806" s="293"/>
      <c r="AP806" s="295"/>
      <c r="AQ806" s="295"/>
      <c r="AR806" s="296"/>
      <c r="AS806" s="295"/>
      <c r="AT806" s="293"/>
      <c r="AU806" s="295"/>
      <c r="AV806" s="295"/>
      <c r="AW806" s="296"/>
      <c r="AX806" s="295"/>
      <c r="AY806" s="293"/>
      <c r="AZ806" s="295"/>
      <c r="BA806" s="295"/>
      <c r="BB806" s="296"/>
      <c r="BC806" s="295"/>
      <c r="BD806" s="293"/>
      <c r="BE806" s="295"/>
      <c r="BF806" s="295"/>
      <c r="BG806" s="296"/>
      <c r="BH806" s="295"/>
      <c r="BI806" s="297"/>
      <c r="BJ806" s="295"/>
      <c r="BK806" s="295"/>
      <c r="BL806" s="295"/>
      <c r="BM806" s="295"/>
      <c r="BN806" s="293"/>
      <c r="BO806" s="295"/>
      <c r="BP806" s="295"/>
      <c r="BQ806" s="295"/>
      <c r="BR806" s="295"/>
      <c r="BS806" s="293"/>
      <c r="BT806" s="293"/>
      <c r="BU806" s="293"/>
      <c r="BV806" s="293"/>
      <c r="BW806" s="197"/>
    </row>
    <row r="807" spans="1:75" s="169" customFormat="1" ht="14.25" hidden="1" outlineLevel="2" x14ac:dyDescent="0.45">
      <c r="A807" s="291" t="s">
        <v>885</v>
      </c>
      <c r="B807" s="561"/>
      <c r="C807" s="244"/>
      <c r="D807" s="244"/>
      <c r="E807" s="244"/>
      <c r="F807" s="244"/>
      <c r="G807" s="245"/>
      <c r="H807" s="245"/>
      <c r="I807" s="245"/>
      <c r="J807" s="245"/>
      <c r="K807" s="244"/>
      <c r="L807" s="245"/>
      <c r="M807" s="245"/>
      <c r="N807" s="245"/>
      <c r="O807" s="245"/>
      <c r="P807" s="244"/>
      <c r="Q807" s="245"/>
      <c r="R807" s="245"/>
      <c r="S807" s="245"/>
      <c r="T807" s="245"/>
      <c r="U807" s="244"/>
      <c r="V807" s="245"/>
      <c r="W807" s="245"/>
      <c r="X807" s="245"/>
      <c r="Y807" s="247"/>
      <c r="Z807" s="244">
        <v>28571.428571428572</v>
      </c>
      <c r="AA807" s="247"/>
      <c r="AB807" s="247"/>
      <c r="AC807" s="245"/>
      <c r="AD807" s="247"/>
      <c r="AE807" s="244">
        <v>32031.25</v>
      </c>
      <c r="AF807" s="247"/>
      <c r="AG807" s="247"/>
      <c r="AH807" s="245"/>
      <c r="AI807" s="247"/>
      <c r="AJ807" s="244">
        <v>31102.564102564102</v>
      </c>
      <c r="AK807" s="247"/>
      <c r="AL807" s="247"/>
      <c r="AM807" s="245"/>
      <c r="AN807" s="247"/>
      <c r="AO807" s="244">
        <v>31789.473684210527</v>
      </c>
      <c r="AP807" s="247"/>
      <c r="AQ807" s="247"/>
      <c r="AR807" s="248"/>
      <c r="AS807" s="247"/>
      <c r="AT807" s="244">
        <v>31473.684210526317</v>
      </c>
      <c r="AU807" s="247"/>
      <c r="AV807" s="247"/>
      <c r="AW807" s="248"/>
      <c r="AX807" s="247"/>
      <c r="AY807" s="244">
        <v>31315.78947368421</v>
      </c>
      <c r="AZ807" s="247"/>
      <c r="BA807" s="247"/>
      <c r="BB807" s="248"/>
      <c r="BC807" s="247"/>
      <c r="BD807" s="244">
        <v>31648.64864864865</v>
      </c>
      <c r="BE807" s="247"/>
      <c r="BF807" s="247"/>
      <c r="BG807" s="248"/>
      <c r="BH807" s="247"/>
      <c r="BI807" s="249">
        <v>30690.476190476191</v>
      </c>
      <c r="BJ807" s="247"/>
      <c r="BK807" s="247"/>
      <c r="BL807" s="247"/>
      <c r="BM807" s="247"/>
      <c r="BN807" s="244"/>
      <c r="BO807" s="247"/>
      <c r="BP807" s="247"/>
      <c r="BQ807" s="247"/>
      <c r="BR807" s="247"/>
      <c r="BS807" s="244"/>
      <c r="BT807" s="244"/>
      <c r="BU807" s="244"/>
      <c r="BV807" s="244"/>
      <c r="BW807" s="168"/>
    </row>
    <row r="808" spans="1:75" s="198" customFormat="1" ht="14.25" hidden="1" outlineLevel="1" x14ac:dyDescent="0.45">
      <c r="A808" s="292"/>
      <c r="B808" s="243"/>
      <c r="C808" s="293"/>
      <c r="D808" s="293"/>
      <c r="E808" s="293"/>
      <c r="F808" s="293"/>
      <c r="G808" s="294"/>
      <c r="H808" s="294"/>
      <c r="I808" s="294"/>
      <c r="J808" s="294"/>
      <c r="K808" s="293"/>
      <c r="L808" s="294"/>
      <c r="M808" s="294"/>
      <c r="N808" s="294"/>
      <c r="O808" s="294"/>
      <c r="P808" s="293"/>
      <c r="Q808" s="294"/>
      <c r="R808" s="294"/>
      <c r="S808" s="294"/>
      <c r="T808" s="294"/>
      <c r="U808" s="293"/>
      <c r="V808" s="294"/>
      <c r="W808" s="294"/>
      <c r="X808" s="294"/>
      <c r="Y808" s="295"/>
      <c r="Z808" s="293"/>
      <c r="AA808" s="295"/>
      <c r="AB808" s="295"/>
      <c r="AC808" s="294"/>
      <c r="AD808" s="295"/>
      <c r="AE808" s="293"/>
      <c r="AF808" s="295"/>
      <c r="AG808" s="295"/>
      <c r="AH808" s="294"/>
      <c r="AI808" s="295"/>
      <c r="AJ808" s="293"/>
      <c r="AK808" s="295"/>
      <c r="AL808" s="295"/>
      <c r="AM808" s="294"/>
      <c r="AN808" s="295"/>
      <c r="AO808" s="293"/>
      <c r="AP808" s="295"/>
      <c r="AQ808" s="295"/>
      <c r="AR808" s="296"/>
      <c r="AS808" s="295"/>
      <c r="AT808" s="293"/>
      <c r="AU808" s="295"/>
      <c r="AV808" s="295"/>
      <c r="AW808" s="296"/>
      <c r="AX808" s="295"/>
      <c r="AY808" s="293"/>
      <c r="AZ808" s="295"/>
      <c r="BA808" s="295"/>
      <c r="BB808" s="296"/>
      <c r="BC808" s="295"/>
      <c r="BD808" s="293"/>
      <c r="BE808" s="295"/>
      <c r="BF808" s="295"/>
      <c r="BG808" s="296"/>
      <c r="BH808" s="295"/>
      <c r="BI808" s="297"/>
      <c r="BJ808" s="295"/>
      <c r="BK808" s="295"/>
      <c r="BL808" s="295"/>
      <c r="BM808" s="295"/>
      <c r="BN808" s="293"/>
      <c r="BO808" s="295"/>
      <c r="BP808" s="295"/>
      <c r="BQ808" s="295"/>
      <c r="BR808" s="295"/>
      <c r="BS808" s="293"/>
      <c r="BT808" s="293"/>
      <c r="BU808" s="293"/>
      <c r="BV808" s="293"/>
      <c r="BW808" s="197"/>
    </row>
    <row r="809" spans="1:75" s="198" customFormat="1" ht="14.25" hidden="1" outlineLevel="1" x14ac:dyDescent="0.45">
      <c r="A809" s="239" t="s">
        <v>886</v>
      </c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40"/>
      <c r="AG809" s="240"/>
      <c r="AH809" s="240"/>
      <c r="AI809" s="240"/>
      <c r="AJ809" s="240"/>
      <c r="AK809" s="239"/>
      <c r="AL809" s="239"/>
      <c r="AM809" s="239"/>
      <c r="AN809" s="239"/>
      <c r="AO809" s="239"/>
      <c r="AP809" s="239"/>
      <c r="AQ809" s="239"/>
      <c r="AR809" s="239"/>
      <c r="AS809" s="239"/>
      <c r="AT809" s="239"/>
      <c r="AU809" s="239"/>
      <c r="AV809" s="239"/>
      <c r="AW809" s="239"/>
      <c r="AX809" s="239"/>
      <c r="AY809" s="239"/>
      <c r="AZ809" s="239"/>
      <c r="BA809" s="239"/>
      <c r="BB809" s="239"/>
      <c r="BC809" s="239"/>
      <c r="BD809" s="239"/>
      <c r="BE809" s="239"/>
      <c r="BF809" s="239"/>
      <c r="BG809" s="239"/>
      <c r="BH809" s="239"/>
      <c r="BI809" s="241"/>
      <c r="BJ809" s="239"/>
      <c r="BK809" s="239"/>
      <c r="BL809" s="239"/>
      <c r="BM809" s="239"/>
      <c r="BN809" s="239"/>
      <c r="BO809" s="239"/>
      <c r="BP809" s="239"/>
      <c r="BQ809" s="239"/>
      <c r="BR809" s="239"/>
      <c r="BS809" s="239"/>
      <c r="BT809" s="239"/>
      <c r="BU809" s="239"/>
      <c r="BV809" s="239"/>
      <c r="BW809" s="197"/>
    </row>
    <row r="810" spans="1:75" s="169" customFormat="1" ht="14.25" hidden="1" outlineLevel="2" x14ac:dyDescent="0.45">
      <c r="A810" s="168" t="s">
        <v>887</v>
      </c>
      <c r="B810" s="561"/>
      <c r="C810" s="244"/>
      <c r="D810" s="244"/>
      <c r="E810" s="244"/>
      <c r="F810" s="244"/>
      <c r="G810" s="245"/>
      <c r="H810" s="245"/>
      <c r="I810" s="245"/>
      <c r="J810" s="245"/>
      <c r="K810" s="244"/>
      <c r="L810" s="245"/>
      <c r="M810" s="245"/>
      <c r="N810" s="245"/>
      <c r="O810" s="245"/>
      <c r="P810" s="244"/>
      <c r="Q810" s="245"/>
      <c r="R810" s="245"/>
      <c r="S810" s="245"/>
      <c r="T810" s="245"/>
      <c r="U810" s="244"/>
      <c r="V810" s="245"/>
      <c r="W810" s="245"/>
      <c r="X810" s="245"/>
      <c r="Y810" s="247"/>
      <c r="Z810" s="244"/>
      <c r="AA810" s="247"/>
      <c r="AB810" s="247"/>
      <c r="AC810" s="245"/>
      <c r="AD810" s="247"/>
      <c r="AE810" s="244"/>
      <c r="AF810" s="247"/>
      <c r="AG810" s="247"/>
      <c r="AH810" s="245"/>
      <c r="AI810" s="247"/>
      <c r="AJ810" s="244"/>
      <c r="AK810" s="247"/>
      <c r="AL810" s="247"/>
      <c r="AM810" s="245"/>
      <c r="AN810" s="247"/>
      <c r="AO810" s="244"/>
      <c r="AP810" s="247"/>
      <c r="AQ810" s="247"/>
      <c r="AR810" s="248"/>
      <c r="AS810" s="247"/>
      <c r="AT810" s="244"/>
      <c r="AU810" s="247"/>
      <c r="AV810" s="247"/>
      <c r="AW810" s="248"/>
      <c r="AX810" s="247"/>
      <c r="AY810" s="244"/>
      <c r="AZ810" s="247"/>
      <c r="BA810" s="247"/>
      <c r="BB810" s="583">
        <v>0</v>
      </c>
      <c r="BC810" s="247">
        <v>1</v>
      </c>
      <c r="BD810" s="532">
        <v>0</v>
      </c>
      <c r="BE810" s="247">
        <v>1</v>
      </c>
      <c r="BF810" s="247">
        <v>1</v>
      </c>
      <c r="BG810" s="248">
        <v>1</v>
      </c>
      <c r="BH810" s="247">
        <v>1</v>
      </c>
      <c r="BI810" s="249">
        <v>1</v>
      </c>
      <c r="BJ810" s="247"/>
      <c r="BK810" s="247"/>
      <c r="BL810" s="247"/>
      <c r="BM810" s="247"/>
      <c r="BN810" s="244"/>
      <c r="BO810" s="247"/>
      <c r="BP810" s="247"/>
      <c r="BQ810" s="247"/>
      <c r="BR810" s="247"/>
      <c r="BS810" s="244"/>
      <c r="BT810" s="244"/>
      <c r="BU810" s="244"/>
      <c r="BV810" s="244"/>
      <c r="BW810" s="168"/>
    </row>
    <row r="811" spans="1:75" s="224" customFormat="1" hidden="1" outlineLevel="2" x14ac:dyDescent="0.5">
      <c r="A811" s="533" t="s">
        <v>888</v>
      </c>
      <c r="B811" s="258"/>
      <c r="C811" s="252"/>
      <c r="D811" s="252"/>
      <c r="E811" s="252"/>
      <c r="F811" s="252"/>
      <c r="G811" s="253"/>
      <c r="H811" s="253"/>
      <c r="I811" s="253"/>
      <c r="J811" s="253"/>
      <c r="K811" s="252"/>
      <c r="L811" s="253"/>
      <c r="M811" s="253"/>
      <c r="N811" s="253"/>
      <c r="O811" s="253"/>
      <c r="P811" s="252"/>
      <c r="Q811" s="253"/>
      <c r="R811" s="253"/>
      <c r="S811" s="253"/>
      <c r="T811" s="253"/>
      <c r="U811" s="252"/>
      <c r="V811" s="253"/>
      <c r="W811" s="253"/>
      <c r="X811" s="253"/>
      <c r="Y811" s="254"/>
      <c r="Z811" s="252"/>
      <c r="AA811" s="254"/>
      <c r="AB811" s="254"/>
      <c r="AC811" s="253"/>
      <c r="AD811" s="254"/>
      <c r="AE811" s="252"/>
      <c r="AF811" s="254"/>
      <c r="AG811" s="254"/>
      <c r="AH811" s="253"/>
      <c r="AI811" s="254"/>
      <c r="AJ811" s="252"/>
      <c r="AK811" s="254"/>
      <c r="AL811" s="254"/>
      <c r="AM811" s="253"/>
      <c r="AN811" s="254"/>
      <c r="AO811" s="252"/>
      <c r="AP811" s="254"/>
      <c r="AQ811" s="254"/>
      <c r="AR811" s="255"/>
      <c r="AS811" s="254"/>
      <c r="AT811" s="252"/>
      <c r="AU811" s="254"/>
      <c r="AV811" s="254"/>
      <c r="AW811" s="255"/>
      <c r="AX811" s="254"/>
      <c r="AY811" s="252"/>
      <c r="AZ811" s="254"/>
      <c r="BA811" s="254"/>
      <c r="BB811" s="262">
        <v>1</v>
      </c>
      <c r="BC811" s="256">
        <v>0</v>
      </c>
      <c r="BD811" s="252">
        <v>1</v>
      </c>
      <c r="BE811" s="256">
        <v>0</v>
      </c>
      <c r="BF811" s="256">
        <v>0</v>
      </c>
      <c r="BG811" s="262">
        <v>0</v>
      </c>
      <c r="BH811" s="256">
        <v>0</v>
      </c>
      <c r="BI811" s="260">
        <v>0</v>
      </c>
      <c r="BJ811" s="254"/>
      <c r="BK811" s="254"/>
      <c r="BL811" s="254"/>
      <c r="BM811" s="254"/>
      <c r="BN811" s="252"/>
      <c r="BO811" s="254"/>
      <c r="BP811" s="254"/>
      <c r="BQ811" s="254"/>
      <c r="BR811" s="254"/>
      <c r="BS811" s="252"/>
      <c r="BT811" s="252"/>
      <c r="BU811" s="252"/>
      <c r="BV811" s="252"/>
      <c r="BW811" s="223"/>
    </row>
    <row r="812" spans="1:75" s="224" customFormat="1" hidden="1" outlineLevel="2" x14ac:dyDescent="0.5">
      <c r="A812" s="533" t="s">
        <v>889</v>
      </c>
      <c r="B812" s="258"/>
      <c r="C812" s="252"/>
      <c r="D812" s="252"/>
      <c r="E812" s="252"/>
      <c r="F812" s="252"/>
      <c r="G812" s="253"/>
      <c r="H812" s="253"/>
      <c r="I812" s="253"/>
      <c r="J812" s="253"/>
      <c r="K812" s="252"/>
      <c r="L812" s="253"/>
      <c r="M812" s="253"/>
      <c r="N812" s="253"/>
      <c r="O812" s="253"/>
      <c r="P812" s="252"/>
      <c r="Q812" s="253"/>
      <c r="R812" s="253"/>
      <c r="S812" s="253"/>
      <c r="T812" s="253"/>
      <c r="U812" s="252"/>
      <c r="V812" s="253"/>
      <c r="W812" s="253"/>
      <c r="X812" s="253"/>
      <c r="Y812" s="254"/>
      <c r="Z812" s="252"/>
      <c r="AA812" s="254"/>
      <c r="AB812" s="254"/>
      <c r="AC812" s="253"/>
      <c r="AD812" s="254"/>
      <c r="AE812" s="252"/>
      <c r="AF812" s="254"/>
      <c r="AG812" s="254"/>
      <c r="AH812" s="253"/>
      <c r="AI812" s="254"/>
      <c r="AJ812" s="252"/>
      <c r="AK812" s="254"/>
      <c r="AL812" s="254"/>
      <c r="AM812" s="253"/>
      <c r="AN812" s="254"/>
      <c r="AO812" s="252"/>
      <c r="AP812" s="254"/>
      <c r="AQ812" s="254"/>
      <c r="AR812" s="255"/>
      <c r="AS812" s="254"/>
      <c r="AT812" s="252"/>
      <c r="AU812" s="254"/>
      <c r="AV812" s="254"/>
      <c r="AW812" s="255"/>
      <c r="AX812" s="254"/>
      <c r="AY812" s="252"/>
      <c r="AZ812" s="254"/>
      <c r="BA812" s="254"/>
      <c r="BB812" s="262">
        <v>0</v>
      </c>
      <c r="BC812" s="256">
        <v>0</v>
      </c>
      <c r="BD812" s="252">
        <v>0</v>
      </c>
      <c r="BE812" s="256">
        <v>0</v>
      </c>
      <c r="BF812" s="256">
        <v>0</v>
      </c>
      <c r="BG812" s="262">
        <v>0</v>
      </c>
      <c r="BH812" s="256">
        <v>0</v>
      </c>
      <c r="BI812" s="260">
        <v>0</v>
      </c>
      <c r="BJ812" s="254"/>
      <c r="BK812" s="254"/>
      <c r="BL812" s="254"/>
      <c r="BM812" s="254"/>
      <c r="BN812" s="252"/>
      <c r="BO812" s="254"/>
      <c r="BP812" s="254"/>
      <c r="BQ812" s="254"/>
      <c r="BR812" s="254"/>
      <c r="BS812" s="252"/>
      <c r="BT812" s="252"/>
      <c r="BU812" s="252"/>
      <c r="BV812" s="252"/>
      <c r="BW812" s="223"/>
    </row>
    <row r="813" spans="1:75" s="169" customFormat="1" ht="14.25" hidden="1" outlineLevel="2" x14ac:dyDescent="0.45">
      <c r="A813" s="284" t="s">
        <v>890</v>
      </c>
      <c r="B813" s="359"/>
      <c r="C813" s="278"/>
      <c r="D813" s="278"/>
      <c r="E813" s="278"/>
      <c r="F813" s="278"/>
      <c r="G813" s="283"/>
      <c r="H813" s="283"/>
      <c r="I813" s="283"/>
      <c r="J813" s="283"/>
      <c r="K813" s="278"/>
      <c r="L813" s="283"/>
      <c r="M813" s="283"/>
      <c r="N813" s="283"/>
      <c r="O813" s="283"/>
      <c r="P813" s="278"/>
      <c r="Q813" s="283"/>
      <c r="R813" s="283"/>
      <c r="S813" s="283"/>
      <c r="T813" s="283"/>
      <c r="U813" s="278"/>
      <c r="V813" s="283"/>
      <c r="W813" s="283"/>
      <c r="X813" s="283"/>
      <c r="Y813" s="287"/>
      <c r="Z813" s="278"/>
      <c r="AA813" s="287"/>
      <c r="AB813" s="287"/>
      <c r="AC813" s="283"/>
      <c r="AD813" s="287"/>
      <c r="AE813" s="278"/>
      <c r="AF813" s="287"/>
      <c r="AG813" s="287"/>
      <c r="AH813" s="283"/>
      <c r="AI813" s="287"/>
      <c r="AJ813" s="278"/>
      <c r="AK813" s="287"/>
      <c r="AL813" s="287"/>
      <c r="AM813" s="283"/>
      <c r="AN813" s="287"/>
      <c r="AO813" s="278"/>
      <c r="AP813" s="287"/>
      <c r="AQ813" s="287"/>
      <c r="AR813" s="436"/>
      <c r="AS813" s="287"/>
      <c r="AT813" s="278"/>
      <c r="AU813" s="287"/>
      <c r="AV813" s="287"/>
      <c r="AW813" s="436"/>
      <c r="AX813" s="287"/>
      <c r="AY813" s="278"/>
      <c r="AZ813" s="287"/>
      <c r="BA813" s="287"/>
      <c r="BB813" s="285">
        <v>1</v>
      </c>
      <c r="BC813" s="285">
        <v>1</v>
      </c>
      <c r="BD813" s="278">
        <v>1</v>
      </c>
      <c r="BE813" s="287">
        <v>1</v>
      </c>
      <c r="BF813" s="287">
        <v>1</v>
      </c>
      <c r="BG813" s="436">
        <v>1</v>
      </c>
      <c r="BH813" s="436">
        <v>1</v>
      </c>
      <c r="BI813" s="437">
        <v>1</v>
      </c>
      <c r="BJ813" s="287"/>
      <c r="BK813" s="287"/>
      <c r="BL813" s="287"/>
      <c r="BM813" s="287"/>
      <c r="BN813" s="278"/>
      <c r="BO813" s="287"/>
      <c r="BP813" s="287"/>
      <c r="BQ813" s="287"/>
      <c r="BR813" s="287"/>
      <c r="BS813" s="278"/>
      <c r="BT813" s="278"/>
      <c r="BU813" s="278"/>
      <c r="BV813" s="278"/>
      <c r="BW813" s="168"/>
    </row>
    <row r="814" spans="1:75" s="169" customFormat="1" ht="14.25" hidden="1" outlineLevel="2" x14ac:dyDescent="0.45">
      <c r="A814" s="168" t="s">
        <v>891</v>
      </c>
      <c r="B814" s="561"/>
      <c r="C814" s="244"/>
      <c r="D814" s="244"/>
      <c r="E814" s="244"/>
      <c r="F814" s="244"/>
      <c r="G814" s="245"/>
      <c r="H814" s="245"/>
      <c r="I814" s="245"/>
      <c r="J814" s="245"/>
      <c r="K814" s="244"/>
      <c r="L814" s="245"/>
      <c r="M814" s="245"/>
      <c r="N814" s="245"/>
      <c r="O814" s="245"/>
      <c r="P814" s="244"/>
      <c r="Q814" s="245"/>
      <c r="R814" s="245"/>
      <c r="S814" s="245"/>
      <c r="T814" s="245"/>
      <c r="U814" s="244"/>
      <c r="V814" s="245"/>
      <c r="W814" s="245"/>
      <c r="X814" s="245"/>
      <c r="Y814" s="247"/>
      <c r="Z814" s="244"/>
      <c r="AA814" s="247"/>
      <c r="AB814" s="247"/>
      <c r="AC814" s="245"/>
      <c r="AD814" s="247"/>
      <c r="AE814" s="244"/>
      <c r="AF814" s="247"/>
      <c r="AG814" s="247"/>
      <c r="AH814" s="245"/>
      <c r="AI814" s="247"/>
      <c r="AJ814" s="244"/>
      <c r="AK814" s="247"/>
      <c r="AL814" s="247"/>
      <c r="AM814" s="245"/>
      <c r="AN814" s="247"/>
      <c r="AO814" s="244"/>
      <c r="AP814" s="247"/>
      <c r="AQ814" s="247"/>
      <c r="AR814" s="248"/>
      <c r="AS814" s="247"/>
      <c r="AT814" s="244"/>
      <c r="AU814" s="247"/>
      <c r="AV814" s="247"/>
      <c r="AW814" s="248"/>
      <c r="AX814" s="247"/>
      <c r="AY814" s="244"/>
      <c r="AZ814" s="247"/>
      <c r="BA814" s="247"/>
      <c r="BB814" s="289">
        <v>0.5</v>
      </c>
      <c r="BC814" s="289">
        <v>1</v>
      </c>
      <c r="BD814" s="244">
        <v>0.375</v>
      </c>
      <c r="BE814" s="247">
        <v>1</v>
      </c>
      <c r="BF814" s="247">
        <v>1</v>
      </c>
      <c r="BG814" s="248">
        <v>1</v>
      </c>
      <c r="BH814" s="248">
        <v>1</v>
      </c>
      <c r="BI814" s="249">
        <v>1</v>
      </c>
      <c r="BJ814" s="247"/>
      <c r="BK814" s="247"/>
      <c r="BL814" s="247"/>
      <c r="BM814" s="247"/>
      <c r="BN814" s="244"/>
      <c r="BO814" s="247"/>
      <c r="BP814" s="247"/>
      <c r="BQ814" s="247"/>
      <c r="BR814" s="247"/>
      <c r="BS814" s="244"/>
      <c r="BT814" s="244"/>
      <c r="BU814" s="244"/>
      <c r="BV814" s="244"/>
      <c r="BW814" s="168"/>
    </row>
    <row r="815" spans="1:75" s="123" customFormat="1" hidden="1" outlineLevel="2" x14ac:dyDescent="0.5">
      <c r="A815" s="184"/>
      <c r="B815" s="118"/>
      <c r="C815" s="299"/>
      <c r="D815" s="299"/>
      <c r="E815" s="299"/>
      <c r="F815" s="299"/>
      <c r="G815" s="300"/>
      <c r="H815" s="300"/>
      <c r="I815" s="300"/>
      <c r="J815" s="300"/>
      <c r="K815" s="299"/>
      <c r="L815" s="300"/>
      <c r="M815" s="300"/>
      <c r="N815" s="300"/>
      <c r="O815" s="300"/>
      <c r="P815" s="299"/>
      <c r="Q815" s="300"/>
      <c r="R815" s="300"/>
      <c r="S815" s="300"/>
      <c r="T815" s="300"/>
      <c r="U815" s="299"/>
      <c r="V815" s="300"/>
      <c r="W815" s="300"/>
      <c r="X815" s="300"/>
      <c r="Y815" s="300"/>
      <c r="Z815" s="299"/>
      <c r="AA815" s="300"/>
      <c r="AB815" s="300"/>
      <c r="AC815" s="300"/>
      <c r="AD815" s="300"/>
      <c r="AE815" s="299"/>
      <c r="AF815" s="300"/>
      <c r="AG815" s="300"/>
      <c r="AH815" s="300"/>
      <c r="AI815" s="300"/>
      <c r="AJ815" s="299"/>
      <c r="AK815" s="300"/>
      <c r="AL815" s="300"/>
      <c r="AM815" s="300"/>
      <c r="AN815" s="300"/>
      <c r="AO815" s="299"/>
      <c r="AP815" s="300"/>
      <c r="AQ815" s="300"/>
      <c r="AR815" s="300"/>
      <c r="AS815" s="300"/>
      <c r="AT815" s="299"/>
      <c r="AU815" s="300"/>
      <c r="AV815" s="300"/>
      <c r="AW815" s="300"/>
      <c r="AX815" s="300"/>
      <c r="AY815" s="299"/>
      <c r="AZ815" s="300"/>
      <c r="BA815" s="300"/>
      <c r="BB815" s="300"/>
      <c r="BC815" s="300"/>
      <c r="BD815" s="299"/>
      <c r="BE815" s="300"/>
      <c r="BF815" s="300"/>
      <c r="BG815" s="300"/>
      <c r="BH815" s="300"/>
      <c r="BI815" s="304"/>
      <c r="BJ815" s="300"/>
      <c r="BK815" s="300"/>
      <c r="BL815" s="300"/>
      <c r="BM815" s="300"/>
      <c r="BN815" s="299"/>
      <c r="BO815" s="300"/>
      <c r="BP815" s="300"/>
      <c r="BQ815" s="300"/>
      <c r="BR815" s="300"/>
      <c r="BS815" s="299"/>
      <c r="BT815" s="299"/>
      <c r="BU815" s="299"/>
      <c r="BV815" s="299"/>
      <c r="BW815" s="122"/>
    </row>
    <row r="816" spans="1:75" s="169" customFormat="1" ht="14.25" hidden="1" outlineLevel="2" x14ac:dyDescent="0.45">
      <c r="A816" s="163" t="s">
        <v>892</v>
      </c>
      <c r="B816" s="247"/>
      <c r="C816" s="244"/>
      <c r="D816" s="244"/>
      <c r="E816" s="244"/>
      <c r="F816" s="244"/>
      <c r="G816" s="245"/>
      <c r="H816" s="245"/>
      <c r="I816" s="245"/>
      <c r="J816" s="245"/>
      <c r="K816" s="244"/>
      <c r="L816" s="245"/>
      <c r="M816" s="245"/>
      <c r="N816" s="245"/>
      <c r="O816" s="245"/>
      <c r="P816" s="244"/>
      <c r="Q816" s="245"/>
      <c r="R816" s="245"/>
      <c r="S816" s="245"/>
      <c r="T816" s="245"/>
      <c r="U816" s="244"/>
      <c r="V816" s="245"/>
      <c r="W816" s="245"/>
      <c r="X816" s="245"/>
      <c r="Y816" s="245"/>
      <c r="Z816" s="244"/>
      <c r="AA816" s="245"/>
      <c r="AB816" s="245"/>
      <c r="AC816" s="245"/>
      <c r="AD816" s="245"/>
      <c r="AE816" s="244"/>
      <c r="AF816" s="245"/>
      <c r="AG816" s="245"/>
      <c r="AH816" s="245"/>
      <c r="AI816" s="245"/>
      <c r="AJ816" s="244"/>
      <c r="AK816" s="245"/>
      <c r="AL816" s="245"/>
      <c r="AM816" s="245"/>
      <c r="AN816" s="245"/>
      <c r="AO816" s="244"/>
      <c r="AP816" s="245"/>
      <c r="AQ816" s="245"/>
      <c r="AR816" s="245"/>
      <c r="AS816" s="245"/>
      <c r="AT816" s="244"/>
      <c r="AU816" s="245"/>
      <c r="AV816" s="245"/>
      <c r="AW816" s="245"/>
      <c r="AX816" s="245"/>
      <c r="AY816" s="244"/>
      <c r="AZ816" s="245"/>
      <c r="BA816" s="245"/>
      <c r="BB816" s="245"/>
      <c r="BC816" s="245">
        <v>0</v>
      </c>
      <c r="BD816" s="244">
        <v>0</v>
      </c>
      <c r="BE816" s="245">
        <v>13.8</v>
      </c>
      <c r="BF816" s="245">
        <v>13.8</v>
      </c>
      <c r="BG816" s="245">
        <v>13.8</v>
      </c>
      <c r="BH816" s="245">
        <v>13.8</v>
      </c>
      <c r="BI816" s="249">
        <v>13.8</v>
      </c>
      <c r="BJ816" s="245"/>
      <c r="BK816" s="245"/>
      <c r="BL816" s="245"/>
      <c r="BM816" s="245"/>
      <c r="BN816" s="244"/>
      <c r="BO816" s="245"/>
      <c r="BP816" s="245"/>
      <c r="BQ816" s="245"/>
      <c r="BR816" s="245"/>
      <c r="BS816" s="244"/>
      <c r="BT816" s="244"/>
      <c r="BU816" s="244"/>
      <c r="BV816" s="244"/>
      <c r="BW816" s="168"/>
    </row>
    <row r="817" spans="1:75" s="224" customFormat="1" hidden="1" outlineLevel="2" x14ac:dyDescent="0.5">
      <c r="A817" s="218" t="s">
        <v>893</v>
      </c>
      <c r="B817" s="487"/>
      <c r="C817" s="252"/>
      <c r="D817" s="252"/>
      <c r="E817" s="252"/>
      <c r="F817" s="252"/>
      <c r="G817" s="253"/>
      <c r="H817" s="253"/>
      <c r="I817" s="253"/>
      <c r="J817" s="253"/>
      <c r="K817" s="252"/>
      <c r="L817" s="253"/>
      <c r="M817" s="253"/>
      <c r="N817" s="253"/>
      <c r="O817" s="253"/>
      <c r="P817" s="252"/>
      <c r="Q817" s="253"/>
      <c r="R817" s="253"/>
      <c r="S817" s="253"/>
      <c r="T817" s="253"/>
      <c r="U817" s="252"/>
      <c r="V817" s="253"/>
      <c r="W817" s="253"/>
      <c r="X817" s="253"/>
      <c r="Y817" s="253"/>
      <c r="Z817" s="252"/>
      <c r="AA817" s="253"/>
      <c r="AB817" s="253"/>
      <c r="AC817" s="253"/>
      <c r="AD817" s="253"/>
      <c r="AE817" s="252"/>
      <c r="AF817" s="253"/>
      <c r="AG817" s="253"/>
      <c r="AH817" s="253"/>
      <c r="AI817" s="253"/>
      <c r="AJ817" s="252"/>
      <c r="AK817" s="253"/>
      <c r="AL817" s="253"/>
      <c r="AM817" s="253"/>
      <c r="AN817" s="253"/>
      <c r="AO817" s="252"/>
      <c r="AP817" s="253"/>
      <c r="AQ817" s="253"/>
      <c r="AR817" s="253"/>
      <c r="AS817" s="253"/>
      <c r="AT817" s="252"/>
      <c r="AU817" s="253"/>
      <c r="AV817" s="253"/>
      <c r="AW817" s="253"/>
      <c r="AX817" s="253"/>
      <c r="AY817" s="252"/>
      <c r="AZ817" s="253"/>
      <c r="BA817" s="253"/>
      <c r="BB817" s="253"/>
      <c r="BC817" s="253">
        <v>13.8</v>
      </c>
      <c r="BD817" s="252">
        <v>13.8</v>
      </c>
      <c r="BE817" s="253">
        <v>0</v>
      </c>
      <c r="BF817" s="253">
        <v>0</v>
      </c>
      <c r="BG817" s="253">
        <v>0</v>
      </c>
      <c r="BH817" s="253">
        <v>0</v>
      </c>
      <c r="BI817" s="260">
        <v>0</v>
      </c>
      <c r="BJ817" s="253"/>
      <c r="BK817" s="253"/>
      <c r="BL817" s="253"/>
      <c r="BM817" s="253"/>
      <c r="BN817" s="252"/>
      <c r="BO817" s="253"/>
      <c r="BP817" s="253"/>
      <c r="BQ817" s="253"/>
      <c r="BR817" s="253"/>
      <c r="BS817" s="252"/>
      <c r="BT817" s="252"/>
      <c r="BU817" s="252"/>
      <c r="BV817" s="252"/>
      <c r="BW817" s="223"/>
    </row>
    <row r="818" spans="1:75" s="169" customFormat="1" ht="14.25" hidden="1" outlineLevel="2" x14ac:dyDescent="0.45">
      <c r="A818" s="360" t="s">
        <v>894</v>
      </c>
      <c r="B818" s="287"/>
      <c r="C818" s="278"/>
      <c r="D818" s="278"/>
      <c r="E818" s="278"/>
      <c r="F818" s="278"/>
      <c r="G818" s="283"/>
      <c r="H818" s="283"/>
      <c r="I818" s="283"/>
      <c r="J818" s="283"/>
      <c r="K818" s="278"/>
      <c r="L818" s="283"/>
      <c r="M818" s="283"/>
      <c r="N818" s="283"/>
      <c r="O818" s="283"/>
      <c r="P818" s="278"/>
      <c r="Q818" s="283"/>
      <c r="R818" s="283"/>
      <c r="S818" s="283"/>
      <c r="T818" s="283"/>
      <c r="U818" s="278"/>
      <c r="V818" s="283"/>
      <c r="W818" s="283"/>
      <c r="X818" s="283"/>
      <c r="Y818" s="283"/>
      <c r="Z818" s="278"/>
      <c r="AA818" s="283"/>
      <c r="AB818" s="283"/>
      <c r="AC818" s="283"/>
      <c r="AD818" s="283"/>
      <c r="AE818" s="278"/>
      <c r="AF818" s="283"/>
      <c r="AG818" s="283"/>
      <c r="AH818" s="283"/>
      <c r="AI818" s="283"/>
      <c r="AJ818" s="278"/>
      <c r="AK818" s="283"/>
      <c r="AL818" s="283"/>
      <c r="AM818" s="283"/>
      <c r="AN818" s="283"/>
      <c r="AO818" s="278"/>
      <c r="AP818" s="283"/>
      <c r="AQ818" s="283"/>
      <c r="AR818" s="283"/>
      <c r="AS818" s="283"/>
      <c r="AT818" s="278"/>
      <c r="AU818" s="283"/>
      <c r="AV818" s="283"/>
      <c r="AW818" s="283"/>
      <c r="AX818" s="283"/>
      <c r="AY818" s="278"/>
      <c r="AZ818" s="283"/>
      <c r="BA818" s="283"/>
      <c r="BB818" s="283"/>
      <c r="BC818" s="283">
        <v>13.8</v>
      </c>
      <c r="BD818" s="279">
        <v>13.8</v>
      </c>
      <c r="BE818" s="283">
        <v>13.8</v>
      </c>
      <c r="BF818" s="283">
        <v>13.8</v>
      </c>
      <c r="BG818" s="283">
        <v>13.8</v>
      </c>
      <c r="BH818" s="283">
        <v>13.8</v>
      </c>
      <c r="BI818" s="563">
        <v>13.8</v>
      </c>
      <c r="BJ818" s="283"/>
      <c r="BK818" s="283"/>
      <c r="BL818" s="283"/>
      <c r="BM818" s="283"/>
      <c r="BN818" s="278"/>
      <c r="BO818" s="283"/>
      <c r="BP818" s="283"/>
      <c r="BQ818" s="283"/>
      <c r="BR818" s="283"/>
      <c r="BS818" s="278"/>
      <c r="BT818" s="278"/>
      <c r="BU818" s="278"/>
      <c r="BV818" s="278"/>
      <c r="BW818" s="168"/>
    </row>
    <row r="819" spans="1:75" s="123" customFormat="1" hidden="1" outlineLevel="2" x14ac:dyDescent="0.5">
      <c r="A819" s="184"/>
      <c r="B819" s="118"/>
      <c r="C819" s="299"/>
      <c r="D819" s="299"/>
      <c r="E819" s="299"/>
      <c r="F819" s="299"/>
      <c r="G819" s="300"/>
      <c r="H819" s="300"/>
      <c r="I819" s="300"/>
      <c r="J819" s="300"/>
      <c r="K819" s="299"/>
      <c r="L819" s="300"/>
      <c r="M819" s="300"/>
      <c r="N819" s="300"/>
      <c r="O819" s="300"/>
      <c r="P819" s="299"/>
      <c r="Q819" s="300"/>
      <c r="R819" s="300"/>
      <c r="S819" s="300"/>
      <c r="T819" s="300"/>
      <c r="U819" s="299"/>
      <c r="V819" s="300"/>
      <c r="W819" s="300"/>
      <c r="X819" s="300"/>
      <c r="Y819" s="300"/>
      <c r="Z819" s="299"/>
      <c r="AA819" s="300"/>
      <c r="AB819" s="300"/>
      <c r="AC819" s="300"/>
      <c r="AD819" s="300"/>
      <c r="AE819" s="299"/>
      <c r="AF819" s="300"/>
      <c r="AG819" s="300"/>
      <c r="AH819" s="300"/>
      <c r="AI819" s="300"/>
      <c r="AJ819" s="299"/>
      <c r="AK819" s="300"/>
      <c r="AL819" s="300"/>
      <c r="AM819" s="300"/>
      <c r="AN819" s="300"/>
      <c r="AO819" s="299"/>
      <c r="AP819" s="300"/>
      <c r="AQ819" s="300"/>
      <c r="AR819" s="300"/>
      <c r="AS819" s="300"/>
      <c r="AT819" s="299"/>
      <c r="AU819" s="300"/>
      <c r="AV819" s="300"/>
      <c r="AW819" s="300"/>
      <c r="AX819" s="300"/>
      <c r="AY819" s="299"/>
      <c r="AZ819" s="300"/>
      <c r="BA819" s="300"/>
      <c r="BB819" s="300"/>
      <c r="BC819" s="300"/>
      <c r="BD819" s="299"/>
      <c r="BE819" s="300"/>
      <c r="BF819" s="300"/>
      <c r="BG819" s="300"/>
      <c r="BH819" s="300"/>
      <c r="BI819" s="304"/>
      <c r="BJ819" s="300"/>
      <c r="BK819" s="300"/>
      <c r="BL819" s="300"/>
      <c r="BM819" s="300"/>
      <c r="BN819" s="299"/>
      <c r="BO819" s="300"/>
      <c r="BP819" s="300"/>
      <c r="BQ819" s="300"/>
      <c r="BR819" s="300"/>
      <c r="BS819" s="299"/>
      <c r="BT819" s="299"/>
      <c r="BU819" s="299"/>
      <c r="BV819" s="299"/>
      <c r="BW819" s="122"/>
    </row>
    <row r="820" spans="1:75" s="169" customFormat="1" ht="14.25" hidden="1" outlineLevel="2" x14ac:dyDescent="0.45">
      <c r="A820" s="163" t="s">
        <v>895</v>
      </c>
      <c r="B820" s="247"/>
      <c r="C820" s="244"/>
      <c r="D820" s="244"/>
      <c r="E820" s="244"/>
      <c r="F820" s="244"/>
      <c r="G820" s="245"/>
      <c r="H820" s="245"/>
      <c r="I820" s="245"/>
      <c r="J820" s="245"/>
      <c r="K820" s="244"/>
      <c r="L820" s="245"/>
      <c r="M820" s="245"/>
      <c r="N820" s="245"/>
      <c r="O820" s="245"/>
      <c r="P820" s="244"/>
      <c r="Q820" s="245"/>
      <c r="R820" s="245"/>
      <c r="S820" s="245"/>
      <c r="T820" s="245"/>
      <c r="U820" s="244"/>
      <c r="V820" s="245"/>
      <c r="W820" s="245"/>
      <c r="X820" s="245"/>
      <c r="Y820" s="245"/>
      <c r="Z820" s="244"/>
      <c r="AA820" s="245"/>
      <c r="AB820" s="245"/>
      <c r="AC820" s="245"/>
      <c r="AD820" s="245"/>
      <c r="AE820" s="244"/>
      <c r="AF820" s="245"/>
      <c r="AG820" s="245"/>
      <c r="AH820" s="245"/>
      <c r="AI820" s="245"/>
      <c r="AJ820" s="244"/>
      <c r="AK820" s="245"/>
      <c r="AL820" s="245"/>
      <c r="AM820" s="245"/>
      <c r="AN820" s="245"/>
      <c r="AO820" s="244"/>
      <c r="AP820" s="245"/>
      <c r="AQ820" s="245"/>
      <c r="AR820" s="245"/>
      <c r="AS820" s="245"/>
      <c r="AT820" s="244"/>
      <c r="AU820" s="245"/>
      <c r="AV820" s="245"/>
      <c r="AW820" s="245"/>
      <c r="AX820" s="245"/>
      <c r="AY820" s="244"/>
      <c r="AZ820" s="245"/>
      <c r="BA820" s="245"/>
      <c r="BB820" s="245">
        <v>0</v>
      </c>
      <c r="BC820" s="245">
        <v>24.8</v>
      </c>
      <c r="BD820" s="244">
        <v>0</v>
      </c>
      <c r="BE820" s="245">
        <v>25</v>
      </c>
      <c r="BF820" s="245">
        <v>25</v>
      </c>
      <c r="BG820" s="245">
        <v>25</v>
      </c>
      <c r="BH820" s="245">
        <v>25</v>
      </c>
      <c r="BI820" s="249">
        <v>25</v>
      </c>
      <c r="BJ820" s="245"/>
      <c r="BK820" s="245"/>
      <c r="BL820" s="245"/>
      <c r="BM820" s="245"/>
      <c r="BN820" s="244"/>
      <c r="BO820" s="245"/>
      <c r="BP820" s="245"/>
      <c r="BQ820" s="245"/>
      <c r="BR820" s="245"/>
      <c r="BS820" s="244"/>
      <c r="BT820" s="244"/>
      <c r="BU820" s="244"/>
      <c r="BV820" s="244"/>
      <c r="BW820" s="168"/>
    </row>
    <row r="821" spans="1:75" s="224" customFormat="1" hidden="1" outlineLevel="2" x14ac:dyDescent="0.5">
      <c r="A821" s="218" t="s">
        <v>896</v>
      </c>
      <c r="B821" s="487"/>
      <c r="C821" s="252"/>
      <c r="D821" s="252"/>
      <c r="E821" s="252"/>
      <c r="F821" s="252"/>
      <c r="G821" s="253"/>
      <c r="H821" s="253"/>
      <c r="I821" s="253"/>
      <c r="J821" s="253"/>
      <c r="K821" s="252"/>
      <c r="L821" s="253"/>
      <c r="M821" s="253"/>
      <c r="N821" s="253"/>
      <c r="O821" s="253"/>
      <c r="P821" s="252"/>
      <c r="Q821" s="253"/>
      <c r="R821" s="253"/>
      <c r="S821" s="253"/>
      <c r="T821" s="253"/>
      <c r="U821" s="252"/>
      <c r="V821" s="253"/>
      <c r="W821" s="253"/>
      <c r="X821" s="253"/>
      <c r="Y821" s="253"/>
      <c r="Z821" s="252"/>
      <c r="AA821" s="253"/>
      <c r="AB821" s="253"/>
      <c r="AC821" s="253"/>
      <c r="AD821" s="253"/>
      <c r="AE821" s="252"/>
      <c r="AF821" s="253"/>
      <c r="AG821" s="253"/>
      <c r="AH821" s="253"/>
      <c r="AI821" s="253"/>
      <c r="AJ821" s="252"/>
      <c r="AK821" s="253"/>
      <c r="AL821" s="253"/>
      <c r="AM821" s="253"/>
      <c r="AN821" s="253"/>
      <c r="AO821" s="252"/>
      <c r="AP821" s="253"/>
      <c r="AQ821" s="253"/>
      <c r="AR821" s="253"/>
      <c r="AS821" s="253"/>
      <c r="AT821" s="252"/>
      <c r="AU821" s="253"/>
      <c r="AV821" s="253"/>
      <c r="AW821" s="253"/>
      <c r="AX821" s="253"/>
      <c r="AY821" s="252"/>
      <c r="AZ821" s="253"/>
      <c r="BA821" s="253"/>
      <c r="BB821" s="253">
        <v>24.8</v>
      </c>
      <c r="BC821" s="253">
        <v>0.19999999999999929</v>
      </c>
      <c r="BD821" s="252">
        <v>25</v>
      </c>
      <c r="BE821" s="253">
        <v>0</v>
      </c>
      <c r="BF821" s="253">
        <v>0</v>
      </c>
      <c r="BG821" s="253">
        <v>0</v>
      </c>
      <c r="BH821" s="253">
        <v>0</v>
      </c>
      <c r="BI821" s="260">
        <v>0</v>
      </c>
      <c r="BJ821" s="253"/>
      <c r="BK821" s="253"/>
      <c r="BL821" s="253"/>
      <c r="BM821" s="253"/>
      <c r="BN821" s="252"/>
      <c r="BO821" s="253"/>
      <c r="BP821" s="253"/>
      <c r="BQ821" s="253"/>
      <c r="BR821" s="253"/>
      <c r="BS821" s="252"/>
      <c r="BT821" s="252"/>
      <c r="BU821" s="252"/>
      <c r="BV821" s="252"/>
      <c r="BW821" s="223"/>
    </row>
    <row r="822" spans="1:75" s="169" customFormat="1" ht="14.25" hidden="1" outlineLevel="2" x14ac:dyDescent="0.45">
      <c r="A822" s="360" t="s">
        <v>897</v>
      </c>
      <c r="B822" s="287"/>
      <c r="C822" s="278"/>
      <c r="D822" s="278"/>
      <c r="E822" s="278"/>
      <c r="F822" s="278"/>
      <c r="G822" s="283"/>
      <c r="H822" s="283"/>
      <c r="I822" s="283"/>
      <c r="J822" s="283"/>
      <c r="K822" s="278"/>
      <c r="L822" s="283"/>
      <c r="M822" s="283"/>
      <c r="N822" s="283"/>
      <c r="O822" s="283"/>
      <c r="P822" s="278"/>
      <c r="Q822" s="283"/>
      <c r="R822" s="283"/>
      <c r="S822" s="283"/>
      <c r="T822" s="283"/>
      <c r="U822" s="278"/>
      <c r="V822" s="283"/>
      <c r="W822" s="283"/>
      <c r="X822" s="283"/>
      <c r="Y822" s="283"/>
      <c r="Z822" s="278"/>
      <c r="AA822" s="283"/>
      <c r="AB822" s="283"/>
      <c r="AC822" s="283"/>
      <c r="AD822" s="283"/>
      <c r="AE822" s="278"/>
      <c r="AF822" s="283"/>
      <c r="AG822" s="283"/>
      <c r="AH822" s="283"/>
      <c r="AI822" s="283"/>
      <c r="AJ822" s="278"/>
      <c r="AK822" s="283"/>
      <c r="AL822" s="283"/>
      <c r="AM822" s="283"/>
      <c r="AN822" s="283"/>
      <c r="AO822" s="278"/>
      <c r="AP822" s="283"/>
      <c r="AQ822" s="283"/>
      <c r="AR822" s="283"/>
      <c r="AS822" s="283"/>
      <c r="AT822" s="278"/>
      <c r="AU822" s="283"/>
      <c r="AV822" s="283"/>
      <c r="AW822" s="283"/>
      <c r="AX822" s="283"/>
      <c r="AY822" s="278"/>
      <c r="AZ822" s="283"/>
      <c r="BA822" s="283"/>
      <c r="BB822" s="280">
        <v>24.8</v>
      </c>
      <c r="BC822" s="283">
        <v>25</v>
      </c>
      <c r="BD822" s="279">
        <v>25</v>
      </c>
      <c r="BE822" s="280">
        <v>25</v>
      </c>
      <c r="BF822" s="280">
        <v>25</v>
      </c>
      <c r="BG822" s="283">
        <v>25</v>
      </c>
      <c r="BH822" s="283">
        <v>25</v>
      </c>
      <c r="BI822" s="437">
        <v>25</v>
      </c>
      <c r="BJ822" s="283"/>
      <c r="BK822" s="283"/>
      <c r="BL822" s="283"/>
      <c r="BM822" s="283"/>
      <c r="BN822" s="278"/>
      <c r="BO822" s="283"/>
      <c r="BP822" s="283"/>
      <c r="BQ822" s="283"/>
      <c r="BR822" s="283"/>
      <c r="BS822" s="278"/>
      <c r="BT822" s="278"/>
      <c r="BU822" s="278"/>
      <c r="BV822" s="278"/>
      <c r="BW822" s="168"/>
    </row>
    <row r="823" spans="1:75" s="123" customFormat="1" hidden="1" outlineLevel="2" x14ac:dyDescent="0.5">
      <c r="A823" s="184"/>
      <c r="B823" s="118"/>
      <c r="C823" s="299"/>
      <c r="D823" s="299"/>
      <c r="E823" s="299"/>
      <c r="F823" s="299"/>
      <c r="G823" s="300"/>
      <c r="H823" s="300"/>
      <c r="I823" s="300"/>
      <c r="J823" s="300"/>
      <c r="K823" s="299"/>
      <c r="L823" s="300"/>
      <c r="M823" s="300"/>
      <c r="N823" s="300"/>
      <c r="O823" s="300"/>
      <c r="P823" s="299"/>
      <c r="Q823" s="300"/>
      <c r="R823" s="300"/>
      <c r="S823" s="300"/>
      <c r="T823" s="300"/>
      <c r="U823" s="299"/>
      <c r="V823" s="300"/>
      <c r="W823" s="300"/>
      <c r="X823" s="300"/>
      <c r="Y823" s="300"/>
      <c r="Z823" s="299"/>
      <c r="AA823" s="300"/>
      <c r="AB823" s="300"/>
      <c r="AC823" s="300"/>
      <c r="AD823" s="300"/>
      <c r="AE823" s="299"/>
      <c r="AF823" s="300"/>
      <c r="AG823" s="300"/>
      <c r="AH823" s="300"/>
      <c r="AI823" s="300"/>
      <c r="AJ823" s="299"/>
      <c r="AK823" s="300"/>
      <c r="AL823" s="300"/>
      <c r="AM823" s="300"/>
      <c r="AN823" s="300"/>
      <c r="AO823" s="299"/>
      <c r="AP823" s="300"/>
      <c r="AQ823" s="300"/>
      <c r="AR823" s="300"/>
      <c r="AS823" s="300"/>
      <c r="AT823" s="299"/>
      <c r="AU823" s="300"/>
      <c r="AV823" s="300"/>
      <c r="AW823" s="300"/>
      <c r="AX823" s="300"/>
      <c r="AY823" s="299"/>
      <c r="AZ823" s="300"/>
      <c r="BA823" s="300"/>
      <c r="BB823" s="300"/>
      <c r="BC823" s="300"/>
      <c r="BD823" s="299"/>
      <c r="BE823" s="300"/>
      <c r="BF823" s="300"/>
      <c r="BG823" s="300"/>
      <c r="BH823" s="300"/>
      <c r="BI823" s="304"/>
      <c r="BJ823" s="300"/>
      <c r="BK823" s="300"/>
      <c r="BL823" s="300"/>
      <c r="BM823" s="300"/>
      <c r="BN823" s="299"/>
      <c r="BO823" s="300"/>
      <c r="BP823" s="300"/>
      <c r="BQ823" s="300"/>
      <c r="BR823" s="300"/>
      <c r="BS823" s="299"/>
      <c r="BT823" s="299"/>
      <c r="BU823" s="299"/>
      <c r="BV823" s="299"/>
      <c r="BW823" s="122"/>
    </row>
    <row r="824" spans="1:75" s="169" customFormat="1" ht="14.25" hidden="1" outlineLevel="2" x14ac:dyDescent="0.45">
      <c r="A824" s="163" t="s">
        <v>898</v>
      </c>
      <c r="B824" s="247"/>
      <c r="C824" s="244"/>
      <c r="D824" s="244"/>
      <c r="E824" s="244"/>
      <c r="F824" s="244"/>
      <c r="G824" s="245"/>
      <c r="H824" s="245"/>
      <c r="I824" s="245"/>
      <c r="J824" s="245"/>
      <c r="K824" s="244"/>
      <c r="L824" s="245"/>
      <c r="M824" s="245"/>
      <c r="N824" s="245"/>
      <c r="O824" s="245"/>
      <c r="P824" s="244"/>
      <c r="Q824" s="245"/>
      <c r="R824" s="245"/>
      <c r="S824" s="245"/>
      <c r="T824" s="245"/>
      <c r="U824" s="244"/>
      <c r="V824" s="245"/>
      <c r="W824" s="245"/>
      <c r="X824" s="245"/>
      <c r="Y824" s="245"/>
      <c r="Z824" s="244"/>
      <c r="AA824" s="245"/>
      <c r="AB824" s="245"/>
      <c r="AC824" s="245"/>
      <c r="AD824" s="245"/>
      <c r="AE824" s="244"/>
      <c r="AF824" s="245"/>
      <c r="AG824" s="245"/>
      <c r="AH824" s="245"/>
      <c r="AI824" s="245"/>
      <c r="AJ824" s="244"/>
      <c r="AK824" s="245"/>
      <c r="AL824" s="245"/>
      <c r="AM824" s="245"/>
      <c r="AN824" s="245"/>
      <c r="AO824" s="244"/>
      <c r="AP824" s="245"/>
      <c r="AQ824" s="245"/>
      <c r="AR824" s="245"/>
      <c r="AS824" s="245"/>
      <c r="AT824" s="244"/>
      <c r="AU824" s="245"/>
      <c r="AV824" s="245"/>
      <c r="AW824" s="245"/>
      <c r="AX824" s="245"/>
      <c r="AY824" s="244"/>
      <c r="AZ824" s="245"/>
      <c r="BA824" s="245"/>
      <c r="BB824" s="245"/>
      <c r="BC824" s="245">
        <v>0</v>
      </c>
      <c r="BD824" s="244">
        <v>0</v>
      </c>
      <c r="BE824" s="245">
        <v>27</v>
      </c>
      <c r="BF824" s="245">
        <v>27</v>
      </c>
      <c r="BG824" s="245">
        <v>27</v>
      </c>
      <c r="BH824" s="245">
        <v>27</v>
      </c>
      <c r="BI824" s="249">
        <v>27</v>
      </c>
      <c r="BJ824" s="245"/>
      <c r="BK824" s="245"/>
      <c r="BL824" s="245"/>
      <c r="BM824" s="245"/>
      <c r="BN824" s="244"/>
      <c r="BO824" s="245"/>
      <c r="BP824" s="245"/>
      <c r="BQ824" s="245"/>
      <c r="BR824" s="245"/>
      <c r="BS824" s="244"/>
      <c r="BT824" s="244"/>
      <c r="BU824" s="244"/>
      <c r="BV824" s="244"/>
      <c r="BW824" s="168"/>
    </row>
    <row r="825" spans="1:75" s="224" customFormat="1" hidden="1" outlineLevel="2" x14ac:dyDescent="0.5">
      <c r="A825" s="218" t="s">
        <v>899</v>
      </c>
      <c r="B825" s="487"/>
      <c r="C825" s="252"/>
      <c r="D825" s="252"/>
      <c r="E825" s="252"/>
      <c r="F825" s="252"/>
      <c r="G825" s="253"/>
      <c r="H825" s="253"/>
      <c r="I825" s="253"/>
      <c r="J825" s="253"/>
      <c r="K825" s="252"/>
      <c r="L825" s="253"/>
      <c r="M825" s="253"/>
      <c r="N825" s="253"/>
      <c r="O825" s="253"/>
      <c r="P825" s="252"/>
      <c r="Q825" s="253"/>
      <c r="R825" s="253"/>
      <c r="S825" s="253"/>
      <c r="T825" s="253"/>
      <c r="U825" s="252"/>
      <c r="V825" s="253"/>
      <c r="W825" s="253"/>
      <c r="X825" s="253"/>
      <c r="Y825" s="253"/>
      <c r="Z825" s="252"/>
      <c r="AA825" s="253"/>
      <c r="AB825" s="253"/>
      <c r="AC825" s="253"/>
      <c r="AD825" s="253"/>
      <c r="AE825" s="252"/>
      <c r="AF825" s="253"/>
      <c r="AG825" s="253"/>
      <c r="AH825" s="253"/>
      <c r="AI825" s="253"/>
      <c r="AJ825" s="252"/>
      <c r="AK825" s="253"/>
      <c r="AL825" s="253"/>
      <c r="AM825" s="253"/>
      <c r="AN825" s="253"/>
      <c r="AO825" s="252"/>
      <c r="AP825" s="253"/>
      <c r="AQ825" s="253"/>
      <c r="AR825" s="253"/>
      <c r="AS825" s="253"/>
      <c r="AT825" s="252"/>
      <c r="AU825" s="253"/>
      <c r="AV825" s="253"/>
      <c r="AW825" s="253"/>
      <c r="AX825" s="253"/>
      <c r="AY825" s="252"/>
      <c r="AZ825" s="253"/>
      <c r="BA825" s="253"/>
      <c r="BB825" s="253"/>
      <c r="BC825" s="253">
        <v>27</v>
      </c>
      <c r="BD825" s="252">
        <v>27</v>
      </c>
      <c r="BE825" s="253">
        <v>0</v>
      </c>
      <c r="BF825" s="253">
        <v>0</v>
      </c>
      <c r="BG825" s="253">
        <v>0</v>
      </c>
      <c r="BH825" s="253">
        <v>0</v>
      </c>
      <c r="BI825" s="260">
        <v>0</v>
      </c>
      <c r="BJ825" s="253"/>
      <c r="BK825" s="253"/>
      <c r="BL825" s="253"/>
      <c r="BM825" s="253"/>
      <c r="BN825" s="252"/>
      <c r="BO825" s="253"/>
      <c r="BP825" s="253"/>
      <c r="BQ825" s="253"/>
      <c r="BR825" s="253"/>
      <c r="BS825" s="252"/>
      <c r="BT825" s="252"/>
      <c r="BU825" s="252"/>
      <c r="BV825" s="252"/>
      <c r="BW825" s="223"/>
    </row>
    <row r="826" spans="1:75" s="169" customFormat="1" ht="14.25" hidden="1" outlineLevel="2" x14ac:dyDescent="0.45">
      <c r="A826" s="360" t="s">
        <v>900</v>
      </c>
      <c r="B826" s="287"/>
      <c r="C826" s="278"/>
      <c r="D826" s="278"/>
      <c r="E826" s="278"/>
      <c r="F826" s="278"/>
      <c r="G826" s="283"/>
      <c r="H826" s="283"/>
      <c r="I826" s="283"/>
      <c r="J826" s="283"/>
      <c r="K826" s="278"/>
      <c r="L826" s="283"/>
      <c r="M826" s="283"/>
      <c r="N826" s="283"/>
      <c r="O826" s="283"/>
      <c r="P826" s="278"/>
      <c r="Q826" s="283"/>
      <c r="R826" s="283"/>
      <c r="S826" s="283"/>
      <c r="T826" s="283"/>
      <c r="U826" s="278"/>
      <c r="V826" s="283"/>
      <c r="W826" s="283"/>
      <c r="X826" s="283"/>
      <c r="Y826" s="283"/>
      <c r="Z826" s="278"/>
      <c r="AA826" s="283"/>
      <c r="AB826" s="283"/>
      <c r="AC826" s="283"/>
      <c r="AD826" s="283"/>
      <c r="AE826" s="278"/>
      <c r="AF826" s="283"/>
      <c r="AG826" s="283"/>
      <c r="AH826" s="283"/>
      <c r="AI826" s="283"/>
      <c r="AJ826" s="278"/>
      <c r="AK826" s="283"/>
      <c r="AL826" s="283"/>
      <c r="AM826" s="283"/>
      <c r="AN826" s="283"/>
      <c r="AO826" s="278"/>
      <c r="AP826" s="283"/>
      <c r="AQ826" s="283"/>
      <c r="AR826" s="283"/>
      <c r="AS826" s="283"/>
      <c r="AT826" s="278"/>
      <c r="AU826" s="283"/>
      <c r="AV826" s="283"/>
      <c r="AW826" s="283"/>
      <c r="AX826" s="283"/>
      <c r="AY826" s="278"/>
      <c r="AZ826" s="283"/>
      <c r="BA826" s="283"/>
      <c r="BB826" s="283"/>
      <c r="BC826" s="283">
        <v>27</v>
      </c>
      <c r="BD826" s="279">
        <v>27</v>
      </c>
      <c r="BE826" s="283">
        <v>27</v>
      </c>
      <c r="BF826" s="283">
        <v>27</v>
      </c>
      <c r="BG826" s="283">
        <v>27</v>
      </c>
      <c r="BH826" s="283">
        <v>27</v>
      </c>
      <c r="BI826" s="437">
        <v>27</v>
      </c>
      <c r="BJ826" s="283"/>
      <c r="BK826" s="283"/>
      <c r="BL826" s="283"/>
      <c r="BM826" s="283"/>
      <c r="BN826" s="278"/>
      <c r="BO826" s="283"/>
      <c r="BP826" s="283"/>
      <c r="BQ826" s="283"/>
      <c r="BR826" s="283"/>
      <c r="BS826" s="278"/>
      <c r="BT826" s="278"/>
      <c r="BU826" s="278"/>
      <c r="BV826" s="278"/>
      <c r="BW826" s="168"/>
    </row>
    <row r="827" spans="1:75" s="123" customFormat="1" hidden="1" outlineLevel="2" x14ac:dyDescent="0.5">
      <c r="A827" s="184"/>
      <c r="B827" s="118"/>
      <c r="C827" s="299"/>
      <c r="D827" s="299"/>
      <c r="E827" s="299"/>
      <c r="F827" s="299"/>
      <c r="G827" s="300"/>
      <c r="H827" s="300"/>
      <c r="I827" s="300"/>
      <c r="J827" s="300"/>
      <c r="K827" s="299"/>
      <c r="L827" s="300"/>
      <c r="M827" s="300"/>
      <c r="N827" s="300"/>
      <c r="O827" s="300"/>
      <c r="P827" s="299"/>
      <c r="Q827" s="300"/>
      <c r="R827" s="300"/>
      <c r="S827" s="300"/>
      <c r="T827" s="300"/>
      <c r="U827" s="299"/>
      <c r="V827" s="300"/>
      <c r="W827" s="300"/>
      <c r="X827" s="300"/>
      <c r="Y827" s="300"/>
      <c r="Z827" s="299"/>
      <c r="AA827" s="300"/>
      <c r="AB827" s="300"/>
      <c r="AC827" s="300"/>
      <c r="AD827" s="300"/>
      <c r="AE827" s="299"/>
      <c r="AF827" s="300"/>
      <c r="AG827" s="300"/>
      <c r="AH827" s="300"/>
      <c r="AI827" s="300"/>
      <c r="AJ827" s="299"/>
      <c r="AK827" s="300"/>
      <c r="AL827" s="300"/>
      <c r="AM827" s="300"/>
      <c r="AN827" s="300"/>
      <c r="AO827" s="299"/>
      <c r="AP827" s="300"/>
      <c r="AQ827" s="300"/>
      <c r="AR827" s="300"/>
      <c r="AS827" s="300"/>
      <c r="AT827" s="299"/>
      <c r="AU827" s="300"/>
      <c r="AV827" s="300"/>
      <c r="AW827" s="300"/>
      <c r="AX827" s="300"/>
      <c r="AY827" s="299"/>
      <c r="AZ827" s="300"/>
      <c r="BA827" s="300"/>
      <c r="BB827" s="300"/>
      <c r="BC827" s="300"/>
      <c r="BD827" s="299"/>
      <c r="BE827" s="300"/>
      <c r="BF827" s="300"/>
      <c r="BG827" s="300"/>
      <c r="BH827" s="300"/>
      <c r="BI827" s="304"/>
      <c r="BJ827" s="300"/>
      <c r="BK827" s="300"/>
      <c r="BL827" s="300"/>
      <c r="BM827" s="300"/>
      <c r="BN827" s="299"/>
      <c r="BO827" s="300"/>
      <c r="BP827" s="300"/>
      <c r="BQ827" s="300"/>
      <c r="BR827" s="300"/>
      <c r="BS827" s="299"/>
      <c r="BT827" s="299"/>
      <c r="BU827" s="299"/>
      <c r="BV827" s="299"/>
      <c r="BW827" s="122"/>
    </row>
    <row r="828" spans="1:75" s="169" customFormat="1" ht="14.25" hidden="1" outlineLevel="2" x14ac:dyDescent="0.45">
      <c r="A828" s="163" t="s">
        <v>901</v>
      </c>
      <c r="B828" s="247"/>
      <c r="C828" s="244"/>
      <c r="D828" s="244"/>
      <c r="E828" s="244"/>
      <c r="F828" s="244"/>
      <c r="G828" s="245"/>
      <c r="H828" s="245"/>
      <c r="I828" s="245"/>
      <c r="J828" s="245"/>
      <c r="K828" s="244"/>
      <c r="L828" s="245"/>
      <c r="M828" s="245"/>
      <c r="N828" s="245"/>
      <c r="O828" s="245"/>
      <c r="P828" s="244"/>
      <c r="Q828" s="245"/>
      <c r="R828" s="245"/>
      <c r="S828" s="245"/>
      <c r="T828" s="245"/>
      <c r="U828" s="244"/>
      <c r="V828" s="245"/>
      <c r="W828" s="245"/>
      <c r="X828" s="245"/>
      <c r="Y828" s="245"/>
      <c r="Z828" s="244"/>
      <c r="AA828" s="245"/>
      <c r="AB828" s="245"/>
      <c r="AC828" s="245"/>
      <c r="AD828" s="245"/>
      <c r="AE828" s="244"/>
      <c r="AF828" s="245"/>
      <c r="AG828" s="245"/>
      <c r="AH828" s="245"/>
      <c r="AI828" s="245"/>
      <c r="AJ828" s="244"/>
      <c r="AK828" s="245"/>
      <c r="AL828" s="245"/>
      <c r="AM828" s="245"/>
      <c r="AN828" s="245"/>
      <c r="AO828" s="244"/>
      <c r="AP828" s="245"/>
      <c r="AQ828" s="245"/>
      <c r="AR828" s="245"/>
      <c r="AS828" s="245"/>
      <c r="AT828" s="244"/>
      <c r="AU828" s="245"/>
      <c r="AV828" s="245"/>
      <c r="AW828" s="245"/>
      <c r="AX828" s="245"/>
      <c r="AY828" s="244"/>
      <c r="AZ828" s="245"/>
      <c r="BA828" s="245"/>
      <c r="BB828" s="245"/>
      <c r="BC828" s="245">
        <v>13800</v>
      </c>
      <c r="BD828" s="244">
        <v>13800</v>
      </c>
      <c r="BE828" s="245">
        <v>13800</v>
      </c>
      <c r="BF828" s="245">
        <v>13800</v>
      </c>
      <c r="BG828" s="245">
        <v>13800</v>
      </c>
      <c r="BH828" s="245">
        <v>13800</v>
      </c>
      <c r="BI828" s="249">
        <v>13800</v>
      </c>
      <c r="BJ828" s="245"/>
      <c r="BK828" s="245"/>
      <c r="BL828" s="245"/>
      <c r="BM828" s="245"/>
      <c r="BN828" s="244"/>
      <c r="BO828" s="245"/>
      <c r="BP828" s="245"/>
      <c r="BQ828" s="245"/>
      <c r="BR828" s="245"/>
      <c r="BS828" s="244"/>
      <c r="BT828" s="244"/>
      <c r="BU828" s="244"/>
      <c r="BV828" s="244"/>
      <c r="BW828" s="168"/>
    </row>
    <row r="829" spans="1:75" s="169" customFormat="1" ht="14.25" hidden="1" outlineLevel="2" x14ac:dyDescent="0.45">
      <c r="A829" s="163" t="s">
        <v>902</v>
      </c>
      <c r="B829" s="247"/>
      <c r="C829" s="244"/>
      <c r="D829" s="244"/>
      <c r="E829" s="244"/>
      <c r="F829" s="244"/>
      <c r="G829" s="245"/>
      <c r="H829" s="245"/>
      <c r="I829" s="245"/>
      <c r="J829" s="245"/>
      <c r="K829" s="244"/>
      <c r="L829" s="245"/>
      <c r="M829" s="245"/>
      <c r="N829" s="245"/>
      <c r="O829" s="245"/>
      <c r="P829" s="244"/>
      <c r="Q829" s="245"/>
      <c r="R829" s="245"/>
      <c r="S829" s="245"/>
      <c r="T829" s="245"/>
      <c r="U829" s="244"/>
      <c r="V829" s="245"/>
      <c r="W829" s="245"/>
      <c r="X829" s="245"/>
      <c r="Y829" s="245"/>
      <c r="Z829" s="244"/>
      <c r="AA829" s="245"/>
      <c r="AB829" s="245"/>
      <c r="AC829" s="245"/>
      <c r="AD829" s="245"/>
      <c r="AE829" s="244"/>
      <c r="AF829" s="245"/>
      <c r="AG829" s="245"/>
      <c r="AH829" s="245"/>
      <c r="AI829" s="245"/>
      <c r="AJ829" s="244"/>
      <c r="AK829" s="245"/>
      <c r="AL829" s="245"/>
      <c r="AM829" s="245"/>
      <c r="AN829" s="245"/>
      <c r="AO829" s="244"/>
      <c r="AP829" s="245"/>
      <c r="AQ829" s="245"/>
      <c r="AR829" s="245"/>
      <c r="AS829" s="245"/>
      <c r="AT829" s="244"/>
      <c r="AU829" s="245"/>
      <c r="AV829" s="245"/>
      <c r="AW829" s="245"/>
      <c r="AX829" s="245"/>
      <c r="AY829" s="244"/>
      <c r="AZ829" s="245"/>
      <c r="BA829" s="245"/>
      <c r="BB829" s="245">
        <v>24800</v>
      </c>
      <c r="BC829" s="245">
        <v>25000</v>
      </c>
      <c r="BD829" s="244">
        <v>25000</v>
      </c>
      <c r="BE829" s="245">
        <v>25000</v>
      </c>
      <c r="BF829" s="245">
        <v>25000</v>
      </c>
      <c r="BG829" s="245">
        <v>25000</v>
      </c>
      <c r="BH829" s="245">
        <v>25000</v>
      </c>
      <c r="BI829" s="249">
        <v>25000</v>
      </c>
      <c r="BJ829" s="245"/>
      <c r="BK829" s="245"/>
      <c r="BL829" s="245"/>
      <c r="BM829" s="245"/>
      <c r="BN829" s="244"/>
      <c r="BO829" s="245"/>
      <c r="BP829" s="245"/>
      <c r="BQ829" s="245"/>
      <c r="BR829" s="245"/>
      <c r="BS829" s="244"/>
      <c r="BT829" s="244"/>
      <c r="BU829" s="244"/>
      <c r="BV829" s="244"/>
      <c r="BW829" s="168"/>
    </row>
    <row r="830" spans="1:75" s="169" customFormat="1" ht="14.25" hidden="1" outlineLevel="2" x14ac:dyDescent="0.45">
      <c r="A830" s="163" t="s">
        <v>903</v>
      </c>
      <c r="B830" s="247"/>
      <c r="C830" s="244"/>
      <c r="D830" s="244"/>
      <c r="E830" s="244"/>
      <c r="F830" s="244"/>
      <c r="G830" s="245"/>
      <c r="H830" s="245"/>
      <c r="I830" s="245"/>
      <c r="J830" s="245"/>
      <c r="K830" s="244"/>
      <c r="L830" s="245"/>
      <c r="M830" s="245"/>
      <c r="N830" s="245"/>
      <c r="O830" s="245"/>
      <c r="P830" s="244"/>
      <c r="Q830" s="245"/>
      <c r="R830" s="245"/>
      <c r="S830" s="245"/>
      <c r="T830" s="245"/>
      <c r="U830" s="244"/>
      <c r="V830" s="245"/>
      <c r="W830" s="245"/>
      <c r="X830" s="245"/>
      <c r="Y830" s="245"/>
      <c r="Z830" s="244"/>
      <c r="AA830" s="245"/>
      <c r="AB830" s="245"/>
      <c r="AC830" s="245"/>
      <c r="AD830" s="245"/>
      <c r="AE830" s="244"/>
      <c r="AF830" s="245"/>
      <c r="AG830" s="245"/>
      <c r="AH830" s="245"/>
      <c r="AI830" s="245"/>
      <c r="AJ830" s="244"/>
      <c r="AK830" s="245"/>
      <c r="AL830" s="245"/>
      <c r="AM830" s="245"/>
      <c r="AN830" s="245"/>
      <c r="AO830" s="244"/>
      <c r="AP830" s="245"/>
      <c r="AQ830" s="245"/>
      <c r="AR830" s="245"/>
      <c r="AS830" s="245"/>
      <c r="AT830" s="244"/>
      <c r="AU830" s="245"/>
      <c r="AV830" s="245"/>
      <c r="AW830" s="245"/>
      <c r="AX830" s="245"/>
      <c r="AY830" s="244"/>
      <c r="AZ830" s="245"/>
      <c r="BA830" s="245"/>
      <c r="BB830" s="245"/>
      <c r="BC830" s="245">
        <v>27000</v>
      </c>
      <c r="BD830" s="244">
        <v>27000</v>
      </c>
      <c r="BE830" s="245">
        <v>27000</v>
      </c>
      <c r="BF830" s="245">
        <v>27000</v>
      </c>
      <c r="BG830" s="245">
        <v>27000</v>
      </c>
      <c r="BH830" s="245">
        <v>27000</v>
      </c>
      <c r="BI830" s="249">
        <v>27000</v>
      </c>
      <c r="BJ830" s="245"/>
      <c r="BK830" s="245"/>
      <c r="BL830" s="245"/>
      <c r="BM830" s="245"/>
      <c r="BN830" s="244"/>
      <c r="BO830" s="245"/>
      <c r="BP830" s="245"/>
      <c r="BQ830" s="245"/>
      <c r="BR830" s="245"/>
      <c r="BS830" s="244"/>
      <c r="BT830" s="244"/>
      <c r="BU830" s="244"/>
      <c r="BV830" s="244"/>
      <c r="BW830" s="168"/>
    </row>
    <row r="831" spans="1:75" s="123" customFormat="1" hidden="1" outlineLevel="1" x14ac:dyDescent="0.5">
      <c r="A831" s="184"/>
      <c r="B831" s="118"/>
      <c r="C831" s="299"/>
      <c r="D831" s="299"/>
      <c r="E831" s="299"/>
      <c r="F831" s="299"/>
      <c r="G831" s="300"/>
      <c r="H831" s="300"/>
      <c r="I831" s="300"/>
      <c r="J831" s="300"/>
      <c r="K831" s="299"/>
      <c r="L831" s="300"/>
      <c r="M831" s="300"/>
      <c r="N831" s="300"/>
      <c r="O831" s="300"/>
      <c r="P831" s="299"/>
      <c r="Q831" s="300"/>
      <c r="R831" s="300"/>
      <c r="S831" s="300"/>
      <c r="T831" s="300"/>
      <c r="U831" s="299"/>
      <c r="V831" s="300"/>
      <c r="W831" s="300"/>
      <c r="X831" s="300"/>
      <c r="Y831" s="300"/>
      <c r="Z831" s="299"/>
      <c r="AA831" s="300"/>
      <c r="AB831" s="300"/>
      <c r="AC831" s="300"/>
      <c r="AD831" s="300"/>
      <c r="AE831" s="299"/>
      <c r="AF831" s="300"/>
      <c r="AG831" s="300"/>
      <c r="AH831" s="300"/>
      <c r="AI831" s="300"/>
      <c r="AJ831" s="299"/>
      <c r="AK831" s="300"/>
      <c r="AL831" s="300"/>
      <c r="AM831" s="300"/>
      <c r="AN831" s="300"/>
      <c r="AO831" s="299"/>
      <c r="AP831" s="300"/>
      <c r="AQ831" s="300"/>
      <c r="AR831" s="300"/>
      <c r="AS831" s="300"/>
      <c r="AT831" s="299"/>
      <c r="AU831" s="300"/>
      <c r="AV831" s="300"/>
      <c r="AW831" s="300"/>
      <c r="AX831" s="300"/>
      <c r="AY831" s="299"/>
      <c r="AZ831" s="300"/>
      <c r="BA831" s="300"/>
      <c r="BB831" s="300"/>
      <c r="BC831" s="300"/>
      <c r="BD831" s="299"/>
      <c r="BE831" s="300"/>
      <c r="BF831" s="300"/>
      <c r="BG831" s="300"/>
      <c r="BH831" s="300"/>
      <c r="BI831" s="304"/>
      <c r="BJ831" s="300"/>
      <c r="BK831" s="300"/>
      <c r="BL831" s="300"/>
      <c r="BM831" s="300"/>
      <c r="BN831" s="299"/>
      <c r="BO831" s="300"/>
      <c r="BP831" s="300"/>
      <c r="BQ831" s="300"/>
      <c r="BR831" s="300"/>
      <c r="BS831" s="299"/>
      <c r="BT831" s="299"/>
      <c r="BU831" s="299"/>
      <c r="BV831" s="299"/>
      <c r="BW831" s="122"/>
    </row>
    <row r="832" spans="1:75" s="198" customFormat="1" ht="14.25" hidden="1" outlineLevel="1" x14ac:dyDescent="0.45">
      <c r="A832" s="239" t="s">
        <v>904</v>
      </c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40"/>
      <c r="AG832" s="240"/>
      <c r="AH832" s="240"/>
      <c r="AI832" s="239"/>
      <c r="AJ832" s="239"/>
      <c r="AK832" s="239"/>
      <c r="AL832" s="239"/>
      <c r="AM832" s="239"/>
      <c r="AN832" s="239"/>
      <c r="AO832" s="239"/>
      <c r="AP832" s="239"/>
      <c r="AQ832" s="239"/>
      <c r="AR832" s="239"/>
      <c r="AS832" s="239"/>
      <c r="AT832" s="239"/>
      <c r="AU832" s="239"/>
      <c r="AV832" s="239"/>
      <c r="AW832" s="239"/>
      <c r="AX832" s="239"/>
      <c r="AY832" s="239"/>
      <c r="AZ832" s="239"/>
      <c r="BA832" s="239"/>
      <c r="BB832" s="239"/>
      <c r="BC832" s="239"/>
      <c r="BD832" s="239"/>
      <c r="BE832" s="239"/>
      <c r="BF832" s="239"/>
      <c r="BG832" s="239"/>
      <c r="BH832" s="239"/>
      <c r="BI832" s="241"/>
      <c r="BJ832" s="239"/>
      <c r="BK832" s="239"/>
      <c r="BL832" s="239"/>
      <c r="BM832" s="239"/>
      <c r="BN832" s="239"/>
      <c r="BO832" s="239"/>
      <c r="BP832" s="239"/>
      <c r="BQ832" s="239"/>
      <c r="BR832" s="239"/>
      <c r="BS832" s="239"/>
      <c r="BT832" s="239"/>
      <c r="BU832" s="239"/>
      <c r="BV832" s="239"/>
      <c r="BW832" s="197"/>
    </row>
    <row r="833" spans="1:75" s="224" customFormat="1" hidden="1" outlineLevel="2" x14ac:dyDescent="0.5">
      <c r="A833" s="218" t="s">
        <v>905</v>
      </c>
      <c r="B833" s="219"/>
      <c r="C833" s="220"/>
      <c r="D833" s="220"/>
      <c r="E833" s="220"/>
      <c r="F833" s="220"/>
      <c r="G833" s="221"/>
      <c r="H833" s="221"/>
      <c r="I833" s="221"/>
      <c r="J833" s="221"/>
      <c r="K833" s="220"/>
      <c r="L833" s="221"/>
      <c r="M833" s="221"/>
      <c r="N833" s="221"/>
      <c r="O833" s="221"/>
      <c r="P833" s="220"/>
      <c r="Q833" s="221"/>
      <c r="R833" s="221"/>
      <c r="S833" s="221"/>
      <c r="T833" s="221"/>
      <c r="U833" s="574">
        <v>1501</v>
      </c>
      <c r="V833" s="221"/>
      <c r="W833" s="221"/>
      <c r="X833" s="221"/>
      <c r="Y833" s="221"/>
      <c r="Z833" s="574">
        <v>1501</v>
      </c>
      <c r="AA833" s="221"/>
      <c r="AB833" s="221"/>
      <c r="AC833" s="221"/>
      <c r="AD833" s="221"/>
      <c r="AE833" s="574">
        <v>1501</v>
      </c>
      <c r="AF833" s="221"/>
      <c r="AG833" s="221"/>
      <c r="AH833" s="221"/>
      <c r="AI833" s="221"/>
      <c r="AJ833" s="574">
        <v>1501</v>
      </c>
      <c r="AK833" s="221"/>
      <c r="AL833" s="221"/>
      <c r="AM833" s="221"/>
      <c r="AN833" s="221"/>
      <c r="AO833" s="574">
        <v>1501</v>
      </c>
      <c r="AP833" s="221"/>
      <c r="AQ833" s="221"/>
      <c r="AR833" s="221"/>
      <c r="AS833" s="221"/>
      <c r="AT833" s="574">
        <v>1501</v>
      </c>
      <c r="AU833" s="221"/>
      <c r="AV833" s="221"/>
      <c r="AW833" s="221"/>
      <c r="AX833" s="221"/>
      <c r="AY833" s="574">
        <v>1501</v>
      </c>
      <c r="AZ833" s="221"/>
      <c r="BA833" s="221"/>
      <c r="BB833" s="221"/>
      <c r="BC833" s="221"/>
      <c r="BD833" s="574">
        <v>1501</v>
      </c>
      <c r="BE833" s="221"/>
      <c r="BF833" s="221"/>
      <c r="BG833" s="221"/>
      <c r="BH833" s="221"/>
      <c r="BI833" s="582">
        <v>1501</v>
      </c>
      <c r="BJ833" s="221"/>
      <c r="BK833" s="221"/>
      <c r="BL833" s="221"/>
      <c r="BM833" s="221"/>
      <c r="BN833" s="220"/>
      <c r="BO833" s="221"/>
      <c r="BP833" s="221"/>
      <c r="BQ833" s="221"/>
      <c r="BR833" s="221"/>
      <c r="BS833" s="220"/>
      <c r="BT833" s="220"/>
      <c r="BU833" s="220"/>
      <c r="BV833" s="220"/>
      <c r="BW833" s="223"/>
    </row>
    <row r="834" spans="1:75" s="224" customFormat="1" hidden="1" outlineLevel="2" x14ac:dyDescent="0.5">
      <c r="A834" s="218" t="s">
        <v>906</v>
      </c>
      <c r="B834" s="219"/>
      <c r="C834" s="220"/>
      <c r="D834" s="220"/>
      <c r="E834" s="220"/>
      <c r="F834" s="574">
        <v>1200</v>
      </c>
      <c r="G834" s="221"/>
      <c r="H834" s="221"/>
      <c r="I834" s="221"/>
      <c r="J834" s="221"/>
      <c r="K834" s="574">
        <v>1195</v>
      </c>
      <c r="L834" s="221"/>
      <c r="M834" s="221"/>
      <c r="N834" s="221"/>
      <c r="O834" s="221"/>
      <c r="P834" s="574">
        <v>1195</v>
      </c>
      <c r="Q834" s="221"/>
      <c r="R834" s="221"/>
      <c r="S834" s="221"/>
      <c r="T834" s="221"/>
      <c r="U834" s="574">
        <v>1195</v>
      </c>
      <c r="V834" s="221"/>
      <c r="W834" s="221"/>
      <c r="X834" s="221"/>
      <c r="Y834" s="221"/>
      <c r="Z834" s="574">
        <v>1195</v>
      </c>
      <c r="AA834" s="221"/>
      <c r="AB834" s="221"/>
      <c r="AC834" s="221"/>
      <c r="AD834" s="221"/>
      <c r="AE834" s="574">
        <v>1195</v>
      </c>
      <c r="AF834" s="221"/>
      <c r="AG834" s="221"/>
      <c r="AH834" s="221"/>
      <c r="AI834" s="221"/>
      <c r="AJ834" s="574">
        <v>1195</v>
      </c>
      <c r="AK834" s="221"/>
      <c r="AL834" s="221"/>
      <c r="AM834" s="221"/>
      <c r="AN834" s="221"/>
      <c r="AO834" s="574">
        <v>1195</v>
      </c>
      <c r="AP834" s="221"/>
      <c r="AQ834" s="221"/>
      <c r="AR834" s="221"/>
      <c r="AS834" s="221"/>
      <c r="AT834" s="574">
        <v>1195</v>
      </c>
      <c r="AU834" s="221"/>
      <c r="AV834" s="221"/>
      <c r="AW834" s="221"/>
      <c r="AX834" s="221"/>
      <c r="AY834" s="574">
        <v>1195</v>
      </c>
      <c r="AZ834" s="221"/>
      <c r="BA834" s="221"/>
      <c r="BB834" s="221"/>
      <c r="BC834" s="221"/>
      <c r="BD834" s="574">
        <v>1195</v>
      </c>
      <c r="BE834" s="221"/>
      <c r="BF834" s="221"/>
      <c r="BG834" s="221"/>
      <c r="BH834" s="221"/>
      <c r="BI834" s="582">
        <v>1788</v>
      </c>
      <c r="BJ834" s="221"/>
      <c r="BK834" s="221"/>
      <c r="BL834" s="221"/>
      <c r="BM834" s="221"/>
      <c r="BN834" s="220"/>
      <c r="BO834" s="221"/>
      <c r="BP834" s="221"/>
      <c r="BQ834" s="221"/>
      <c r="BR834" s="221"/>
      <c r="BS834" s="220"/>
      <c r="BT834" s="220"/>
      <c r="BU834" s="220"/>
      <c r="BV834" s="220"/>
      <c r="BW834" s="223"/>
    </row>
    <row r="835" spans="1:75" s="224" customFormat="1" hidden="1" outlineLevel="2" x14ac:dyDescent="0.5">
      <c r="A835" s="218" t="s">
        <v>907</v>
      </c>
      <c r="B835" s="219"/>
      <c r="C835" s="220"/>
      <c r="D835" s="220"/>
      <c r="E835" s="220"/>
      <c r="F835" s="574">
        <v>886</v>
      </c>
      <c r="G835" s="221"/>
      <c r="H835" s="221"/>
      <c r="I835" s="221"/>
      <c r="J835" s="221"/>
      <c r="K835" s="574">
        <v>886</v>
      </c>
      <c r="L835" s="221"/>
      <c r="M835" s="221"/>
      <c r="N835" s="221"/>
      <c r="O835" s="221"/>
      <c r="P835" s="574">
        <v>886</v>
      </c>
      <c r="Q835" s="221"/>
      <c r="R835" s="221"/>
      <c r="S835" s="221"/>
      <c r="T835" s="221"/>
      <c r="U835" s="574">
        <v>886</v>
      </c>
      <c r="V835" s="221"/>
      <c r="W835" s="221"/>
      <c r="X835" s="221"/>
      <c r="Y835" s="221"/>
      <c r="Z835" s="574">
        <v>886</v>
      </c>
      <c r="AA835" s="221"/>
      <c r="AB835" s="221"/>
      <c r="AC835" s="221"/>
      <c r="AD835" s="221"/>
      <c r="AE835" s="220"/>
      <c r="AF835" s="221"/>
      <c r="AG835" s="221"/>
      <c r="AH835" s="221"/>
      <c r="AI835" s="221"/>
      <c r="AJ835" s="220"/>
      <c r="AK835" s="221"/>
      <c r="AL835" s="221"/>
      <c r="AM835" s="221"/>
      <c r="AN835" s="221"/>
      <c r="AO835" s="220"/>
      <c r="AP835" s="221"/>
      <c r="AQ835" s="221"/>
      <c r="AR835" s="221"/>
      <c r="AS835" s="221"/>
      <c r="AT835" s="220"/>
      <c r="AU835" s="221"/>
      <c r="AV835" s="221"/>
      <c r="AW835" s="221"/>
      <c r="AX835" s="221"/>
      <c r="AY835" s="220"/>
      <c r="AZ835" s="221"/>
      <c r="BA835" s="221"/>
      <c r="BB835" s="221"/>
      <c r="BC835" s="221"/>
      <c r="BD835" s="220"/>
      <c r="BE835" s="221"/>
      <c r="BF835" s="221"/>
      <c r="BG835" s="221"/>
      <c r="BH835" s="221"/>
      <c r="BI835" s="222"/>
      <c r="BJ835" s="221"/>
      <c r="BK835" s="221"/>
      <c r="BL835" s="221"/>
      <c r="BM835" s="221"/>
      <c r="BN835" s="220"/>
      <c r="BO835" s="221"/>
      <c r="BP835" s="221"/>
      <c r="BQ835" s="221"/>
      <c r="BR835" s="221"/>
      <c r="BS835" s="220"/>
      <c r="BT835" s="220"/>
      <c r="BU835" s="220"/>
      <c r="BV835" s="220"/>
      <c r="BW835" s="223"/>
    </row>
    <row r="836" spans="1:75" s="224" customFormat="1" hidden="1" outlineLevel="2" x14ac:dyDescent="0.5">
      <c r="A836" s="218" t="s">
        <v>908</v>
      </c>
      <c r="B836" s="219"/>
      <c r="C836" s="220"/>
      <c r="D836" s="220"/>
      <c r="E836" s="220"/>
      <c r="F836" s="220"/>
      <c r="G836" s="221"/>
      <c r="H836" s="221"/>
      <c r="I836" s="221"/>
      <c r="J836" s="221"/>
      <c r="K836" s="574">
        <v>859</v>
      </c>
      <c r="L836" s="221"/>
      <c r="M836" s="221"/>
      <c r="N836" s="221"/>
      <c r="O836" s="221"/>
      <c r="P836" s="574">
        <v>859</v>
      </c>
      <c r="Q836" s="221"/>
      <c r="R836" s="221"/>
      <c r="S836" s="221"/>
      <c r="T836" s="221"/>
      <c r="U836" s="574">
        <v>859</v>
      </c>
      <c r="V836" s="221"/>
      <c r="W836" s="221"/>
      <c r="X836" s="221"/>
      <c r="Y836" s="221"/>
      <c r="Z836" s="574">
        <v>859</v>
      </c>
      <c r="AA836" s="221"/>
      <c r="AB836" s="221"/>
      <c r="AC836" s="221"/>
      <c r="AD836" s="221"/>
      <c r="AE836" s="220"/>
      <c r="AF836" s="221"/>
      <c r="AG836" s="221"/>
      <c r="AH836" s="221"/>
      <c r="AI836" s="221"/>
      <c r="AJ836" s="220"/>
      <c r="AK836" s="221"/>
      <c r="AL836" s="221"/>
      <c r="AM836" s="221"/>
      <c r="AN836" s="221"/>
      <c r="AO836" s="220"/>
      <c r="AP836" s="221"/>
      <c r="AQ836" s="221"/>
      <c r="AR836" s="221"/>
      <c r="AS836" s="221"/>
      <c r="AT836" s="220"/>
      <c r="AU836" s="221"/>
      <c r="AV836" s="221"/>
      <c r="AW836" s="221"/>
      <c r="AX836" s="221"/>
      <c r="AY836" s="220"/>
      <c r="AZ836" s="221"/>
      <c r="BA836" s="221"/>
      <c r="BB836" s="221"/>
      <c r="BC836" s="221"/>
      <c r="BD836" s="220"/>
      <c r="BE836" s="221"/>
      <c r="BF836" s="221"/>
      <c r="BG836" s="221"/>
      <c r="BH836" s="221"/>
      <c r="BI836" s="222"/>
      <c r="BJ836" s="221"/>
      <c r="BK836" s="221"/>
      <c r="BL836" s="221"/>
      <c r="BM836" s="221"/>
      <c r="BN836" s="220"/>
      <c r="BO836" s="221"/>
      <c r="BP836" s="221"/>
      <c r="BQ836" s="221"/>
      <c r="BR836" s="221"/>
      <c r="BS836" s="220"/>
      <c r="BT836" s="220"/>
      <c r="BU836" s="220"/>
      <c r="BV836" s="220"/>
      <c r="BW836" s="223"/>
    </row>
    <row r="837" spans="1:75" s="224" customFormat="1" hidden="1" outlineLevel="2" x14ac:dyDescent="0.5">
      <c r="A837" s="218" t="s">
        <v>909</v>
      </c>
      <c r="B837" s="219"/>
      <c r="C837" s="220"/>
      <c r="D837" s="220"/>
      <c r="E837" s="220"/>
      <c r="F837" s="220"/>
      <c r="G837" s="221"/>
      <c r="H837" s="221"/>
      <c r="I837" s="221"/>
      <c r="J837" s="221"/>
      <c r="K837" s="220"/>
      <c r="L837" s="221"/>
      <c r="M837" s="221"/>
      <c r="N837" s="221"/>
      <c r="O837" s="221"/>
      <c r="P837" s="574">
        <v>636</v>
      </c>
      <c r="Q837" s="221"/>
      <c r="R837" s="221"/>
      <c r="S837" s="221"/>
      <c r="T837" s="221"/>
      <c r="U837" s="220"/>
      <c r="V837" s="221"/>
      <c r="W837" s="221"/>
      <c r="X837" s="221"/>
      <c r="Y837" s="221"/>
      <c r="Z837" s="220"/>
      <c r="AA837" s="221"/>
      <c r="AB837" s="221"/>
      <c r="AC837" s="221"/>
      <c r="AD837" s="221"/>
      <c r="AE837" s="220"/>
      <c r="AF837" s="221"/>
      <c r="AG837" s="221"/>
      <c r="AH837" s="221"/>
      <c r="AI837" s="221"/>
      <c r="AJ837" s="220"/>
      <c r="AK837" s="221"/>
      <c r="AL837" s="221"/>
      <c r="AM837" s="221"/>
      <c r="AN837" s="221"/>
      <c r="AO837" s="220"/>
      <c r="AP837" s="221"/>
      <c r="AQ837" s="221"/>
      <c r="AR837" s="221"/>
      <c r="AS837" s="221"/>
      <c r="AT837" s="220"/>
      <c r="AU837" s="221"/>
      <c r="AV837" s="221"/>
      <c r="AW837" s="221"/>
      <c r="AX837" s="221"/>
      <c r="AY837" s="220"/>
      <c r="AZ837" s="221"/>
      <c r="BA837" s="221"/>
      <c r="BB837" s="221"/>
      <c r="BC837" s="221"/>
      <c r="BD837" s="220"/>
      <c r="BE837" s="221"/>
      <c r="BF837" s="221"/>
      <c r="BG837" s="221"/>
      <c r="BH837" s="221"/>
      <c r="BI837" s="222"/>
      <c r="BJ837" s="221"/>
      <c r="BK837" s="221"/>
      <c r="BL837" s="221"/>
      <c r="BM837" s="221"/>
      <c r="BN837" s="220"/>
      <c r="BO837" s="221"/>
      <c r="BP837" s="221"/>
      <c r="BQ837" s="221"/>
      <c r="BR837" s="221"/>
      <c r="BS837" s="220"/>
      <c r="BT837" s="220"/>
      <c r="BU837" s="220"/>
      <c r="BV837" s="220"/>
      <c r="BW837" s="223"/>
    </row>
    <row r="838" spans="1:75" s="224" customFormat="1" hidden="1" outlineLevel="2" x14ac:dyDescent="0.5">
      <c r="A838" s="218" t="s">
        <v>910</v>
      </c>
      <c r="B838" s="219"/>
      <c r="C838" s="220"/>
      <c r="D838" s="220"/>
      <c r="E838" s="220"/>
      <c r="F838" s="574">
        <v>508</v>
      </c>
      <c r="G838" s="221"/>
      <c r="H838" s="221"/>
      <c r="I838" s="221"/>
      <c r="J838" s="221"/>
      <c r="K838" s="574">
        <v>508</v>
      </c>
      <c r="L838" s="221"/>
      <c r="M838" s="221"/>
      <c r="N838" s="221"/>
      <c r="O838" s="221"/>
      <c r="P838" s="574">
        <v>508</v>
      </c>
      <c r="Q838" s="221"/>
      <c r="R838" s="221"/>
      <c r="S838" s="221"/>
      <c r="T838" s="221"/>
      <c r="U838" s="574">
        <v>508</v>
      </c>
      <c r="V838" s="221"/>
      <c r="W838" s="221"/>
      <c r="X838" s="221"/>
      <c r="Y838" s="221"/>
      <c r="Z838" s="574">
        <v>508</v>
      </c>
      <c r="AA838" s="221"/>
      <c r="AB838" s="221"/>
      <c r="AC838" s="221"/>
      <c r="AD838" s="221"/>
      <c r="AE838" s="574">
        <v>508</v>
      </c>
      <c r="AF838" s="221"/>
      <c r="AG838" s="221"/>
      <c r="AH838" s="221"/>
      <c r="AI838" s="221"/>
      <c r="AJ838" s="220"/>
      <c r="AK838" s="221"/>
      <c r="AL838" s="221"/>
      <c r="AM838" s="221"/>
      <c r="AN838" s="221"/>
      <c r="AO838" s="220"/>
      <c r="AP838" s="221"/>
      <c r="AQ838" s="221"/>
      <c r="AR838" s="221"/>
      <c r="AS838" s="221"/>
      <c r="AT838" s="220"/>
      <c r="AU838" s="221"/>
      <c r="AV838" s="221"/>
      <c r="AW838" s="221"/>
      <c r="AX838" s="221"/>
      <c r="AY838" s="220"/>
      <c r="AZ838" s="221"/>
      <c r="BA838" s="221"/>
      <c r="BB838" s="221"/>
      <c r="BC838" s="221"/>
      <c r="BD838" s="220"/>
      <c r="BE838" s="221"/>
      <c r="BF838" s="221"/>
      <c r="BG838" s="221"/>
      <c r="BH838" s="221"/>
      <c r="BI838" s="222"/>
      <c r="BJ838" s="221"/>
      <c r="BK838" s="221"/>
      <c r="BL838" s="221"/>
      <c r="BM838" s="221"/>
      <c r="BN838" s="220"/>
      <c r="BO838" s="221"/>
      <c r="BP838" s="221"/>
      <c r="BQ838" s="221"/>
      <c r="BR838" s="221"/>
      <c r="BS838" s="220"/>
      <c r="BT838" s="220"/>
      <c r="BU838" s="220"/>
      <c r="BV838" s="220"/>
      <c r="BW838" s="223"/>
    </row>
    <row r="839" spans="1:75" s="224" customFormat="1" hidden="1" outlineLevel="2" x14ac:dyDescent="0.5">
      <c r="A839" s="218" t="s">
        <v>911</v>
      </c>
      <c r="B839" s="219"/>
      <c r="C839" s="220"/>
      <c r="D839" s="220"/>
      <c r="E839" s="220"/>
      <c r="F839" s="574">
        <v>300</v>
      </c>
      <c r="G839" s="221"/>
      <c r="H839" s="221"/>
      <c r="I839" s="221"/>
      <c r="J839" s="221"/>
      <c r="K839" s="220"/>
      <c r="L839" s="221"/>
      <c r="M839" s="221"/>
      <c r="N839" s="221"/>
      <c r="O839" s="221"/>
      <c r="P839" s="220"/>
      <c r="Q839" s="221"/>
      <c r="R839" s="221"/>
      <c r="S839" s="221"/>
      <c r="T839" s="221"/>
      <c r="U839" s="220"/>
      <c r="V839" s="221"/>
      <c r="W839" s="221"/>
      <c r="X839" s="221"/>
      <c r="Y839" s="221"/>
      <c r="Z839" s="220"/>
      <c r="AA839" s="221"/>
      <c r="AB839" s="221"/>
      <c r="AC839" s="221"/>
      <c r="AD839" s="221"/>
      <c r="AE839" s="220"/>
      <c r="AF839" s="221"/>
      <c r="AG839" s="221"/>
      <c r="AH839" s="221"/>
      <c r="AI839" s="221"/>
      <c r="AJ839" s="220"/>
      <c r="AK839" s="221"/>
      <c r="AL839" s="221"/>
      <c r="AM839" s="221"/>
      <c r="AN839" s="221"/>
      <c r="AO839" s="220"/>
      <c r="AP839" s="221"/>
      <c r="AQ839" s="221"/>
      <c r="AR839" s="221"/>
      <c r="AS839" s="221"/>
      <c r="AT839" s="220"/>
      <c r="AU839" s="221"/>
      <c r="AV839" s="221"/>
      <c r="AW839" s="221"/>
      <c r="AX839" s="221"/>
      <c r="AY839" s="220"/>
      <c r="AZ839" s="221"/>
      <c r="BA839" s="221"/>
      <c r="BB839" s="221"/>
      <c r="BC839" s="221"/>
      <c r="BD839" s="220"/>
      <c r="BE839" s="221"/>
      <c r="BF839" s="221"/>
      <c r="BG839" s="221"/>
      <c r="BH839" s="221"/>
      <c r="BI839" s="222"/>
      <c r="BJ839" s="221"/>
      <c r="BK839" s="221"/>
      <c r="BL839" s="221"/>
      <c r="BM839" s="221"/>
      <c r="BN839" s="220"/>
      <c r="BO839" s="221"/>
      <c r="BP839" s="221"/>
      <c r="BQ839" s="221"/>
      <c r="BR839" s="221"/>
      <c r="BS839" s="220"/>
      <c r="BT839" s="220"/>
      <c r="BU839" s="220"/>
      <c r="BV839" s="220"/>
      <c r="BW839" s="223"/>
    </row>
    <row r="840" spans="1:75" s="224" customFormat="1" hidden="1" outlineLevel="2" x14ac:dyDescent="0.5">
      <c r="A840" s="218" t="s">
        <v>912</v>
      </c>
      <c r="B840" s="219"/>
      <c r="C840" s="220"/>
      <c r="D840" s="220"/>
      <c r="E840" s="220"/>
      <c r="F840" s="220"/>
      <c r="G840" s="221"/>
      <c r="H840" s="221"/>
      <c r="I840" s="221"/>
      <c r="J840" s="221"/>
      <c r="K840" s="220"/>
      <c r="L840" s="221"/>
      <c r="M840" s="221"/>
      <c r="N840" s="221"/>
      <c r="O840" s="221"/>
      <c r="P840" s="220"/>
      <c r="Q840" s="221"/>
      <c r="R840" s="221"/>
      <c r="S840" s="221"/>
      <c r="T840" s="221"/>
      <c r="U840" s="220"/>
      <c r="V840" s="221"/>
      <c r="W840" s="221"/>
      <c r="X840" s="221"/>
      <c r="Y840" s="221"/>
      <c r="Z840" s="220"/>
      <c r="AA840" s="221"/>
      <c r="AB840" s="221"/>
      <c r="AC840" s="221"/>
      <c r="AD840" s="221"/>
      <c r="AE840" s="220"/>
      <c r="AF840" s="221"/>
      <c r="AG840" s="221"/>
      <c r="AH840" s="221"/>
      <c r="AI840" s="221"/>
      <c r="AJ840" s="220"/>
      <c r="AK840" s="221"/>
      <c r="AL840" s="221"/>
      <c r="AM840" s="221"/>
      <c r="AN840" s="221"/>
      <c r="AO840" s="220"/>
      <c r="AP840" s="221"/>
      <c r="AQ840" s="221"/>
      <c r="AR840" s="221"/>
      <c r="AS840" s="221"/>
      <c r="AT840" s="220"/>
      <c r="AU840" s="221"/>
      <c r="AV840" s="221"/>
      <c r="AW840" s="221"/>
      <c r="AX840" s="221"/>
      <c r="AY840" s="574">
        <v>1001</v>
      </c>
      <c r="AZ840" s="221"/>
      <c r="BA840" s="221"/>
      <c r="BB840" s="221"/>
      <c r="BC840" s="221"/>
      <c r="BD840" s="574">
        <v>1001</v>
      </c>
      <c r="BE840" s="221"/>
      <c r="BF840" s="221"/>
      <c r="BG840" s="221"/>
      <c r="BH840" s="221"/>
      <c r="BI840" s="582">
        <v>1001</v>
      </c>
      <c r="BJ840" s="221"/>
      <c r="BK840" s="221"/>
      <c r="BL840" s="221"/>
      <c r="BM840" s="221"/>
      <c r="BN840" s="220"/>
      <c r="BO840" s="221"/>
      <c r="BP840" s="221"/>
      <c r="BQ840" s="221"/>
      <c r="BR840" s="221"/>
      <c r="BS840" s="220"/>
      <c r="BT840" s="220"/>
      <c r="BU840" s="220"/>
      <c r="BV840" s="220"/>
      <c r="BW840" s="223"/>
    </row>
    <row r="841" spans="1:75" s="224" customFormat="1" hidden="1" outlineLevel="2" x14ac:dyDescent="0.5">
      <c r="A841" s="218" t="s">
        <v>913</v>
      </c>
      <c r="B841" s="219"/>
      <c r="C841" s="220"/>
      <c r="D841" s="220"/>
      <c r="E841" s="220"/>
      <c r="F841" s="574">
        <v>805</v>
      </c>
      <c r="G841" s="221"/>
      <c r="H841" s="221"/>
      <c r="I841" s="221"/>
      <c r="J841" s="221"/>
      <c r="K841" s="574">
        <v>1224</v>
      </c>
      <c r="L841" s="221"/>
      <c r="M841" s="221"/>
      <c r="N841" s="221"/>
      <c r="O841" s="221"/>
      <c r="P841" s="574">
        <v>1224</v>
      </c>
      <c r="Q841" s="221"/>
      <c r="R841" s="221"/>
      <c r="S841" s="221"/>
      <c r="T841" s="221"/>
      <c r="U841" s="574">
        <v>1224</v>
      </c>
      <c r="V841" s="221"/>
      <c r="W841" s="221"/>
      <c r="X841" s="221"/>
      <c r="Y841" s="221"/>
      <c r="Z841" s="574">
        <v>1224</v>
      </c>
      <c r="AA841" s="221"/>
      <c r="AB841" s="221"/>
      <c r="AC841" s="221"/>
      <c r="AD841" s="221"/>
      <c r="AE841" s="574">
        <v>1224</v>
      </c>
      <c r="AF841" s="221"/>
      <c r="AG841" s="221"/>
      <c r="AH841" s="221"/>
      <c r="AI841" s="221"/>
      <c r="AJ841" s="574">
        <v>1224</v>
      </c>
      <c r="AK841" s="221"/>
      <c r="AL841" s="221"/>
      <c r="AM841" s="221"/>
      <c r="AN841" s="221"/>
      <c r="AO841" s="574">
        <v>1224</v>
      </c>
      <c r="AP841" s="221"/>
      <c r="AQ841" s="221"/>
      <c r="AR841" s="221"/>
      <c r="AS841" s="221"/>
      <c r="AT841" s="574">
        <v>1224</v>
      </c>
      <c r="AU841" s="221"/>
      <c r="AV841" s="221"/>
      <c r="AW841" s="221"/>
      <c r="AX841" s="221"/>
      <c r="AY841" s="574">
        <v>1224</v>
      </c>
      <c r="AZ841" s="221"/>
      <c r="BA841" s="221"/>
      <c r="BB841" s="221"/>
      <c r="BC841" s="221"/>
      <c r="BD841" s="574">
        <v>1224</v>
      </c>
      <c r="BE841" s="221"/>
      <c r="BF841" s="221"/>
      <c r="BG841" s="221"/>
      <c r="BH841" s="221"/>
      <c r="BI841" s="582">
        <v>1224</v>
      </c>
      <c r="BJ841" s="221"/>
      <c r="BK841" s="221"/>
      <c r="BL841" s="221"/>
      <c r="BM841" s="221"/>
      <c r="BN841" s="220"/>
      <c r="BO841" s="221"/>
      <c r="BP841" s="221"/>
      <c r="BQ841" s="221"/>
      <c r="BR841" s="221"/>
      <c r="BS841" s="220"/>
      <c r="BT841" s="220"/>
      <c r="BU841" s="220"/>
      <c r="BV841" s="220"/>
      <c r="BW841" s="223"/>
    </row>
    <row r="842" spans="1:75" s="169" customFormat="1" ht="14.25" hidden="1" outlineLevel="2" x14ac:dyDescent="0.45">
      <c r="A842" s="360" t="s">
        <v>914</v>
      </c>
      <c r="B842" s="361"/>
      <c r="C842" s="362"/>
      <c r="D842" s="362"/>
      <c r="E842" s="362"/>
      <c r="F842" s="362">
        <v>3699</v>
      </c>
      <c r="G842" s="346"/>
      <c r="H842" s="346"/>
      <c r="I842" s="346"/>
      <c r="J842" s="346"/>
      <c r="K842" s="362">
        <v>4672</v>
      </c>
      <c r="L842" s="346"/>
      <c r="M842" s="346"/>
      <c r="N842" s="346"/>
      <c r="O842" s="346"/>
      <c r="P842" s="362">
        <v>5308</v>
      </c>
      <c r="Q842" s="346"/>
      <c r="R842" s="346"/>
      <c r="S842" s="346"/>
      <c r="T842" s="346"/>
      <c r="U842" s="362">
        <v>6173</v>
      </c>
      <c r="V842" s="346"/>
      <c r="W842" s="346"/>
      <c r="X842" s="346"/>
      <c r="Y842" s="346"/>
      <c r="Z842" s="362">
        <v>6173</v>
      </c>
      <c r="AA842" s="346"/>
      <c r="AB842" s="346"/>
      <c r="AC842" s="346"/>
      <c r="AD842" s="346"/>
      <c r="AE842" s="362">
        <v>4428</v>
      </c>
      <c r="AF842" s="346"/>
      <c r="AG842" s="346"/>
      <c r="AH842" s="346"/>
      <c r="AI842" s="346"/>
      <c r="AJ842" s="362">
        <v>3920</v>
      </c>
      <c r="AK842" s="346"/>
      <c r="AL842" s="346"/>
      <c r="AM842" s="346"/>
      <c r="AN842" s="346"/>
      <c r="AO842" s="362">
        <v>3920</v>
      </c>
      <c r="AP842" s="346"/>
      <c r="AQ842" s="346"/>
      <c r="AR842" s="346"/>
      <c r="AS842" s="346"/>
      <c r="AT842" s="362">
        <v>3920</v>
      </c>
      <c r="AU842" s="346"/>
      <c r="AV842" s="346"/>
      <c r="AW842" s="346"/>
      <c r="AX842" s="346"/>
      <c r="AY842" s="362">
        <v>4921</v>
      </c>
      <c r="AZ842" s="346"/>
      <c r="BA842" s="346"/>
      <c r="BB842" s="346"/>
      <c r="BC842" s="346"/>
      <c r="BD842" s="362">
        <v>4921</v>
      </c>
      <c r="BE842" s="346"/>
      <c r="BF842" s="346"/>
      <c r="BG842" s="346"/>
      <c r="BH842" s="346"/>
      <c r="BI842" s="363">
        <v>5514</v>
      </c>
      <c r="BJ842" s="346"/>
      <c r="BK842" s="346"/>
      <c r="BL842" s="346"/>
      <c r="BM842" s="346"/>
      <c r="BN842" s="362"/>
      <c r="BO842" s="346"/>
      <c r="BP842" s="346"/>
      <c r="BQ842" s="346"/>
      <c r="BR842" s="346"/>
      <c r="BS842" s="362"/>
      <c r="BT842" s="362"/>
      <c r="BU842" s="362"/>
      <c r="BV842" s="362"/>
      <c r="BW842" s="168"/>
    </row>
    <row r="843" spans="1:75" s="123" customFormat="1" hidden="1" outlineLevel="2" x14ac:dyDescent="0.5">
      <c r="A843" s="184"/>
      <c r="B843" s="185"/>
      <c r="C843" s="186"/>
      <c r="D843" s="186"/>
      <c r="E843" s="186"/>
      <c r="F843" s="186"/>
      <c r="G843" s="187"/>
      <c r="H843" s="187"/>
      <c r="I843" s="187"/>
      <c r="J843" s="187"/>
      <c r="K843" s="186"/>
      <c r="L843" s="187"/>
      <c r="M843" s="187"/>
      <c r="N843" s="187"/>
      <c r="O843" s="187"/>
      <c r="P843" s="186"/>
      <c r="Q843" s="187"/>
      <c r="R843" s="187"/>
      <c r="S843" s="187"/>
      <c r="T843" s="187"/>
      <c r="U843" s="186"/>
      <c r="V843" s="187"/>
      <c r="W843" s="187"/>
      <c r="X843" s="187"/>
      <c r="Y843" s="187"/>
      <c r="Z843" s="186"/>
      <c r="AA843" s="187"/>
      <c r="AB843" s="187"/>
      <c r="AC843" s="187"/>
      <c r="AD843" s="187"/>
      <c r="AE843" s="186"/>
      <c r="AF843" s="187"/>
      <c r="AG843" s="187"/>
      <c r="AH843" s="187"/>
      <c r="AI843" s="187"/>
      <c r="AJ843" s="186"/>
      <c r="AK843" s="187"/>
      <c r="AL843" s="187"/>
      <c r="AM843" s="187"/>
      <c r="AN843" s="187"/>
      <c r="AO843" s="186"/>
      <c r="AP843" s="187"/>
      <c r="AQ843" s="187"/>
      <c r="AR843" s="187"/>
      <c r="AS843" s="187"/>
      <c r="AT843" s="186"/>
      <c r="AU843" s="187"/>
      <c r="AV843" s="187"/>
      <c r="AW843" s="187"/>
      <c r="AX843" s="187"/>
      <c r="AY843" s="186"/>
      <c r="AZ843" s="187"/>
      <c r="BA843" s="187"/>
      <c r="BB843" s="187"/>
      <c r="BC843" s="187"/>
      <c r="BD843" s="186"/>
      <c r="BE843" s="187"/>
      <c r="BF843" s="187"/>
      <c r="BG843" s="187"/>
      <c r="BH843" s="187"/>
      <c r="BI843" s="188"/>
      <c r="BJ843" s="187"/>
      <c r="BK843" s="187"/>
      <c r="BL843" s="187"/>
      <c r="BM843" s="187"/>
      <c r="BN843" s="186"/>
      <c r="BO843" s="187"/>
      <c r="BP843" s="187"/>
      <c r="BQ843" s="187"/>
      <c r="BR843" s="187"/>
      <c r="BS843" s="186"/>
      <c r="BT843" s="186"/>
      <c r="BU843" s="186"/>
      <c r="BV843" s="186"/>
      <c r="BW843" s="122"/>
    </row>
    <row r="844" spans="1:75" s="224" customFormat="1" hidden="1" outlineLevel="3" x14ac:dyDescent="0.5">
      <c r="A844" s="218" t="s">
        <v>915</v>
      </c>
      <c r="B844" s="219"/>
      <c r="C844" s="220"/>
      <c r="D844" s="220"/>
      <c r="E844" s="220"/>
      <c r="F844" s="574">
        <v>1</v>
      </c>
      <c r="G844" s="221"/>
      <c r="H844" s="221"/>
      <c r="I844" s="221"/>
      <c r="J844" s="221"/>
      <c r="K844" s="574">
        <v>1</v>
      </c>
      <c r="L844" s="221"/>
      <c r="M844" s="221"/>
      <c r="N844" s="221"/>
      <c r="O844" s="221"/>
      <c r="P844" s="574">
        <v>1</v>
      </c>
      <c r="Q844" s="221"/>
      <c r="R844" s="221"/>
      <c r="S844" s="221"/>
      <c r="T844" s="221"/>
      <c r="U844" s="574">
        <v>1</v>
      </c>
      <c r="V844" s="221"/>
      <c r="W844" s="221"/>
      <c r="X844" s="221"/>
      <c r="Y844" s="221"/>
      <c r="Z844" s="220"/>
      <c r="AA844" s="221"/>
      <c r="AB844" s="221"/>
      <c r="AC844" s="221"/>
      <c r="AD844" s="221"/>
      <c r="AE844" s="220"/>
      <c r="AF844" s="221"/>
      <c r="AG844" s="221"/>
      <c r="AH844" s="221"/>
      <c r="AI844" s="221"/>
      <c r="AJ844" s="220"/>
      <c r="AK844" s="221"/>
      <c r="AL844" s="221"/>
      <c r="AM844" s="221"/>
      <c r="AN844" s="221"/>
      <c r="AO844" s="220"/>
      <c r="AP844" s="221"/>
      <c r="AQ844" s="221"/>
      <c r="AR844" s="221"/>
      <c r="AS844" s="221"/>
      <c r="AT844" s="220"/>
      <c r="AU844" s="221"/>
      <c r="AV844" s="221"/>
      <c r="AW844" s="221"/>
      <c r="AX844" s="221"/>
      <c r="AY844" s="220"/>
      <c r="AZ844" s="221"/>
      <c r="BA844" s="221"/>
      <c r="BB844" s="221"/>
      <c r="BC844" s="221"/>
      <c r="BD844" s="220"/>
      <c r="BE844" s="221"/>
      <c r="BF844" s="221"/>
      <c r="BG844" s="221"/>
      <c r="BH844" s="221"/>
      <c r="BI844" s="222"/>
      <c r="BJ844" s="221"/>
      <c r="BK844" s="221"/>
      <c r="BL844" s="221"/>
      <c r="BM844" s="221"/>
      <c r="BN844" s="220"/>
      <c r="BO844" s="221"/>
      <c r="BP844" s="221"/>
      <c r="BQ844" s="221"/>
      <c r="BR844" s="221"/>
      <c r="BS844" s="220"/>
      <c r="BT844" s="220"/>
      <c r="BU844" s="220"/>
      <c r="BV844" s="220"/>
      <c r="BW844" s="223"/>
    </row>
    <row r="845" spans="1:75" s="224" customFormat="1" hidden="1" outlineLevel="3" x14ac:dyDescent="0.5">
      <c r="A845" s="218" t="s">
        <v>916</v>
      </c>
      <c r="B845" s="219"/>
      <c r="C845" s="220"/>
      <c r="D845" s="220"/>
      <c r="E845" s="220"/>
      <c r="F845" s="220"/>
      <c r="G845" s="221"/>
      <c r="H845" s="221"/>
      <c r="I845" s="221"/>
      <c r="J845" s="221"/>
      <c r="K845" s="220"/>
      <c r="L845" s="221"/>
      <c r="M845" s="221"/>
      <c r="N845" s="221"/>
      <c r="O845" s="221"/>
      <c r="P845" s="574">
        <v>1</v>
      </c>
      <c r="Q845" s="221"/>
      <c r="R845" s="221"/>
      <c r="S845" s="221"/>
      <c r="T845" s="221"/>
      <c r="U845" s="574">
        <v>1</v>
      </c>
      <c r="V845" s="221"/>
      <c r="W845" s="221"/>
      <c r="X845" s="221"/>
      <c r="Y845" s="221"/>
      <c r="Z845" s="220"/>
      <c r="AA845" s="221"/>
      <c r="AB845" s="221"/>
      <c r="AC845" s="221"/>
      <c r="AD845" s="221"/>
      <c r="AE845" s="220"/>
      <c r="AF845" s="221"/>
      <c r="AG845" s="221"/>
      <c r="AH845" s="221"/>
      <c r="AI845" s="221"/>
      <c r="AJ845" s="220"/>
      <c r="AK845" s="221"/>
      <c r="AL845" s="221"/>
      <c r="AM845" s="221"/>
      <c r="AN845" s="221"/>
      <c r="AO845" s="220"/>
      <c r="AP845" s="221"/>
      <c r="AQ845" s="221"/>
      <c r="AR845" s="221"/>
      <c r="AS845" s="221"/>
      <c r="AT845" s="220"/>
      <c r="AU845" s="221"/>
      <c r="AV845" s="221"/>
      <c r="AW845" s="221"/>
      <c r="AX845" s="221"/>
      <c r="AY845" s="220"/>
      <c r="AZ845" s="221"/>
      <c r="BA845" s="221"/>
      <c r="BB845" s="221"/>
      <c r="BC845" s="221"/>
      <c r="BD845" s="220"/>
      <c r="BE845" s="221"/>
      <c r="BF845" s="221"/>
      <c r="BG845" s="221"/>
      <c r="BH845" s="221"/>
      <c r="BI845" s="222"/>
      <c r="BJ845" s="221"/>
      <c r="BK845" s="221"/>
      <c r="BL845" s="221"/>
      <c r="BM845" s="221"/>
      <c r="BN845" s="220"/>
      <c r="BO845" s="221"/>
      <c r="BP845" s="221"/>
      <c r="BQ845" s="221"/>
      <c r="BR845" s="221"/>
      <c r="BS845" s="220"/>
      <c r="BT845" s="220"/>
      <c r="BU845" s="220"/>
      <c r="BV845" s="220"/>
      <c r="BW845" s="223"/>
    </row>
    <row r="846" spans="1:75" s="224" customFormat="1" hidden="1" outlineLevel="3" x14ac:dyDescent="0.5">
      <c r="A846" s="218" t="s">
        <v>917</v>
      </c>
      <c r="B846" s="219"/>
      <c r="C846" s="220"/>
      <c r="D846" s="220"/>
      <c r="E846" s="220"/>
      <c r="F846" s="574">
        <v>1</v>
      </c>
      <c r="G846" s="221"/>
      <c r="H846" s="221"/>
      <c r="I846" s="221"/>
      <c r="J846" s="221"/>
      <c r="K846" s="574">
        <v>1</v>
      </c>
      <c r="L846" s="221"/>
      <c r="M846" s="221"/>
      <c r="N846" s="221"/>
      <c r="O846" s="221"/>
      <c r="P846" s="574">
        <v>1</v>
      </c>
      <c r="Q846" s="221"/>
      <c r="R846" s="221"/>
      <c r="S846" s="221"/>
      <c r="T846" s="221"/>
      <c r="U846" s="574">
        <v>1</v>
      </c>
      <c r="V846" s="221"/>
      <c r="W846" s="221"/>
      <c r="X846" s="221"/>
      <c r="Y846" s="221"/>
      <c r="Z846" s="220"/>
      <c r="AA846" s="221"/>
      <c r="AB846" s="221"/>
      <c r="AC846" s="221"/>
      <c r="AD846" s="221"/>
      <c r="AE846" s="220"/>
      <c r="AF846" s="221"/>
      <c r="AG846" s="221"/>
      <c r="AH846" s="221"/>
      <c r="AI846" s="221"/>
      <c r="AJ846" s="220"/>
      <c r="AK846" s="221"/>
      <c r="AL846" s="221"/>
      <c r="AM846" s="221"/>
      <c r="AN846" s="221"/>
      <c r="AO846" s="220"/>
      <c r="AP846" s="221"/>
      <c r="AQ846" s="221"/>
      <c r="AR846" s="221"/>
      <c r="AS846" s="221"/>
      <c r="AT846" s="220"/>
      <c r="AU846" s="221"/>
      <c r="AV846" s="221"/>
      <c r="AW846" s="221"/>
      <c r="AX846" s="221"/>
      <c r="AY846" s="220"/>
      <c r="AZ846" s="221"/>
      <c r="BA846" s="221"/>
      <c r="BB846" s="221"/>
      <c r="BC846" s="221"/>
      <c r="BD846" s="220"/>
      <c r="BE846" s="221"/>
      <c r="BF846" s="221"/>
      <c r="BG846" s="221"/>
      <c r="BH846" s="221"/>
      <c r="BI846" s="222"/>
      <c r="BJ846" s="221"/>
      <c r="BK846" s="221"/>
      <c r="BL846" s="221"/>
      <c r="BM846" s="221"/>
      <c r="BN846" s="220"/>
      <c r="BO846" s="221"/>
      <c r="BP846" s="221"/>
      <c r="BQ846" s="221"/>
      <c r="BR846" s="221"/>
      <c r="BS846" s="220"/>
      <c r="BT846" s="220"/>
      <c r="BU846" s="220"/>
      <c r="BV846" s="220"/>
      <c r="BW846" s="223"/>
    </row>
    <row r="847" spans="1:75" s="224" customFormat="1" hidden="1" outlineLevel="3" x14ac:dyDescent="0.5">
      <c r="A847" s="218" t="s">
        <v>918</v>
      </c>
      <c r="B847" s="219"/>
      <c r="C847" s="220"/>
      <c r="D847" s="220"/>
      <c r="E847" s="220"/>
      <c r="F847" s="220"/>
      <c r="G847" s="221"/>
      <c r="H847" s="221"/>
      <c r="I847" s="221"/>
      <c r="J847" s="221"/>
      <c r="K847" s="220"/>
      <c r="L847" s="221"/>
      <c r="M847" s="221"/>
      <c r="N847" s="221"/>
      <c r="O847" s="221"/>
      <c r="P847" s="574">
        <v>1</v>
      </c>
      <c r="Q847" s="221"/>
      <c r="R847" s="221"/>
      <c r="S847" s="221"/>
      <c r="T847" s="221"/>
      <c r="U847" s="574">
        <v>1</v>
      </c>
      <c r="V847" s="221"/>
      <c r="W847" s="221"/>
      <c r="X847" s="221"/>
      <c r="Y847" s="221"/>
      <c r="Z847" s="220"/>
      <c r="AA847" s="221"/>
      <c r="AB847" s="221"/>
      <c r="AC847" s="221"/>
      <c r="AD847" s="221"/>
      <c r="AE847" s="220"/>
      <c r="AF847" s="221"/>
      <c r="AG847" s="221"/>
      <c r="AH847" s="221"/>
      <c r="AI847" s="221"/>
      <c r="AJ847" s="220"/>
      <c r="AK847" s="221"/>
      <c r="AL847" s="221"/>
      <c r="AM847" s="221"/>
      <c r="AN847" s="221"/>
      <c r="AO847" s="220"/>
      <c r="AP847" s="221"/>
      <c r="AQ847" s="221"/>
      <c r="AR847" s="221"/>
      <c r="AS847" s="221"/>
      <c r="AT847" s="220"/>
      <c r="AU847" s="221"/>
      <c r="AV847" s="221"/>
      <c r="AW847" s="221"/>
      <c r="AX847" s="221"/>
      <c r="AY847" s="220"/>
      <c r="AZ847" s="221"/>
      <c r="BA847" s="221"/>
      <c r="BB847" s="221"/>
      <c r="BC847" s="221"/>
      <c r="BD847" s="220"/>
      <c r="BE847" s="221"/>
      <c r="BF847" s="221"/>
      <c r="BG847" s="221"/>
      <c r="BH847" s="221"/>
      <c r="BI847" s="222"/>
      <c r="BJ847" s="221"/>
      <c r="BK847" s="221"/>
      <c r="BL847" s="221"/>
      <c r="BM847" s="221"/>
      <c r="BN847" s="220"/>
      <c r="BO847" s="221"/>
      <c r="BP847" s="221"/>
      <c r="BQ847" s="221"/>
      <c r="BR847" s="221"/>
      <c r="BS847" s="220"/>
      <c r="BT847" s="220"/>
      <c r="BU847" s="220"/>
      <c r="BV847" s="220"/>
      <c r="BW847" s="223"/>
    </row>
    <row r="848" spans="1:75" s="224" customFormat="1" hidden="1" outlineLevel="3" x14ac:dyDescent="0.5">
      <c r="A848" s="218" t="s">
        <v>919</v>
      </c>
      <c r="B848" s="219"/>
      <c r="C848" s="220"/>
      <c r="D848" s="220"/>
      <c r="E848" s="220"/>
      <c r="F848" s="220"/>
      <c r="G848" s="221"/>
      <c r="H848" s="221"/>
      <c r="I848" s="221"/>
      <c r="J848" s="221"/>
      <c r="K848" s="574">
        <v>1</v>
      </c>
      <c r="L848" s="221"/>
      <c r="M848" s="221"/>
      <c r="N848" s="221"/>
      <c r="O848" s="221"/>
      <c r="P848" s="574">
        <v>1</v>
      </c>
      <c r="Q848" s="221"/>
      <c r="R848" s="221"/>
      <c r="S848" s="221"/>
      <c r="T848" s="221"/>
      <c r="U848" s="574">
        <v>1</v>
      </c>
      <c r="V848" s="221"/>
      <c r="W848" s="221"/>
      <c r="X848" s="221"/>
      <c r="Y848" s="221"/>
      <c r="Z848" s="220"/>
      <c r="AA848" s="221"/>
      <c r="AB848" s="221"/>
      <c r="AC848" s="221"/>
      <c r="AD848" s="221"/>
      <c r="AE848" s="220"/>
      <c r="AF848" s="221"/>
      <c r="AG848" s="221"/>
      <c r="AH848" s="221"/>
      <c r="AI848" s="221"/>
      <c r="AJ848" s="220"/>
      <c r="AK848" s="221"/>
      <c r="AL848" s="221"/>
      <c r="AM848" s="221"/>
      <c r="AN848" s="221"/>
      <c r="AO848" s="220"/>
      <c r="AP848" s="221"/>
      <c r="AQ848" s="221"/>
      <c r="AR848" s="221"/>
      <c r="AS848" s="221"/>
      <c r="AT848" s="220"/>
      <c r="AU848" s="221"/>
      <c r="AV848" s="221"/>
      <c r="AW848" s="221"/>
      <c r="AX848" s="221"/>
      <c r="AY848" s="220"/>
      <c r="AZ848" s="221"/>
      <c r="BA848" s="221"/>
      <c r="BB848" s="221"/>
      <c r="BC848" s="221"/>
      <c r="BD848" s="220"/>
      <c r="BE848" s="221"/>
      <c r="BF848" s="221"/>
      <c r="BG848" s="221"/>
      <c r="BH848" s="221"/>
      <c r="BI848" s="222"/>
      <c r="BJ848" s="221"/>
      <c r="BK848" s="221"/>
      <c r="BL848" s="221"/>
      <c r="BM848" s="221"/>
      <c r="BN848" s="220"/>
      <c r="BO848" s="221"/>
      <c r="BP848" s="221"/>
      <c r="BQ848" s="221"/>
      <c r="BR848" s="221"/>
      <c r="BS848" s="220"/>
      <c r="BT848" s="220"/>
      <c r="BU848" s="220"/>
      <c r="BV848" s="220"/>
      <c r="BW848" s="223"/>
    </row>
    <row r="849" spans="1:75" s="224" customFormat="1" hidden="1" outlineLevel="3" x14ac:dyDescent="0.5">
      <c r="A849" s="218" t="s">
        <v>920</v>
      </c>
      <c r="B849" s="219"/>
      <c r="C849" s="220"/>
      <c r="D849" s="220"/>
      <c r="E849" s="220"/>
      <c r="F849" s="574">
        <v>1</v>
      </c>
      <c r="G849" s="221"/>
      <c r="H849" s="221"/>
      <c r="I849" s="221"/>
      <c r="J849" s="221"/>
      <c r="K849" s="574">
        <v>1</v>
      </c>
      <c r="L849" s="221"/>
      <c r="M849" s="221"/>
      <c r="N849" s="221"/>
      <c r="O849" s="221"/>
      <c r="P849" s="574">
        <v>1</v>
      </c>
      <c r="Q849" s="221"/>
      <c r="R849" s="221"/>
      <c r="S849" s="221"/>
      <c r="T849" s="221"/>
      <c r="U849" s="574">
        <v>1</v>
      </c>
      <c r="V849" s="221"/>
      <c r="W849" s="221"/>
      <c r="X849" s="221"/>
      <c r="Y849" s="221"/>
      <c r="Z849" s="220"/>
      <c r="AA849" s="221"/>
      <c r="AB849" s="221"/>
      <c r="AC849" s="221"/>
      <c r="AD849" s="221"/>
      <c r="AE849" s="220"/>
      <c r="AF849" s="221"/>
      <c r="AG849" s="221"/>
      <c r="AH849" s="221"/>
      <c r="AI849" s="221"/>
      <c r="AJ849" s="220"/>
      <c r="AK849" s="221"/>
      <c r="AL849" s="221"/>
      <c r="AM849" s="221"/>
      <c r="AN849" s="221"/>
      <c r="AO849" s="220"/>
      <c r="AP849" s="221"/>
      <c r="AQ849" s="221"/>
      <c r="AR849" s="221"/>
      <c r="AS849" s="221"/>
      <c r="AT849" s="220"/>
      <c r="AU849" s="221"/>
      <c r="AV849" s="221"/>
      <c r="AW849" s="221"/>
      <c r="AX849" s="221"/>
      <c r="AY849" s="220"/>
      <c r="AZ849" s="221"/>
      <c r="BA849" s="221"/>
      <c r="BB849" s="221"/>
      <c r="BC849" s="221"/>
      <c r="BD849" s="220"/>
      <c r="BE849" s="221"/>
      <c r="BF849" s="221"/>
      <c r="BG849" s="221"/>
      <c r="BH849" s="221"/>
      <c r="BI849" s="222"/>
      <c r="BJ849" s="221"/>
      <c r="BK849" s="221"/>
      <c r="BL849" s="221"/>
      <c r="BM849" s="221"/>
      <c r="BN849" s="220"/>
      <c r="BO849" s="221"/>
      <c r="BP849" s="221"/>
      <c r="BQ849" s="221"/>
      <c r="BR849" s="221"/>
      <c r="BS849" s="220"/>
      <c r="BT849" s="220"/>
      <c r="BU849" s="220"/>
      <c r="BV849" s="220"/>
      <c r="BW849" s="223"/>
    </row>
    <row r="850" spans="1:75" s="224" customFormat="1" hidden="1" outlineLevel="3" x14ac:dyDescent="0.5">
      <c r="A850" s="584" t="s">
        <v>921</v>
      </c>
      <c r="B850" s="575"/>
      <c r="C850" s="576"/>
      <c r="D850" s="576"/>
      <c r="E850" s="576"/>
      <c r="F850" s="576"/>
      <c r="G850" s="578"/>
      <c r="H850" s="578"/>
      <c r="I850" s="578"/>
      <c r="J850" s="578"/>
      <c r="K850" s="576"/>
      <c r="L850" s="578"/>
      <c r="M850" s="578"/>
      <c r="N850" s="578"/>
      <c r="O850" s="578"/>
      <c r="P850" s="577">
        <v>1</v>
      </c>
      <c r="Q850" s="578"/>
      <c r="R850" s="578"/>
      <c r="S850" s="578"/>
      <c r="T850" s="578"/>
      <c r="U850" s="577">
        <v>1</v>
      </c>
      <c r="V850" s="578"/>
      <c r="W850" s="578"/>
      <c r="X850" s="578"/>
      <c r="Y850" s="578"/>
      <c r="Z850" s="576"/>
      <c r="AA850" s="578"/>
      <c r="AB850" s="578"/>
      <c r="AC850" s="578"/>
      <c r="AD850" s="578"/>
      <c r="AE850" s="576"/>
      <c r="AF850" s="578"/>
      <c r="AG850" s="578"/>
      <c r="AH850" s="578"/>
      <c r="AI850" s="578"/>
      <c r="AJ850" s="576"/>
      <c r="AK850" s="578"/>
      <c r="AL850" s="578"/>
      <c r="AM850" s="578"/>
      <c r="AN850" s="578"/>
      <c r="AO850" s="576"/>
      <c r="AP850" s="578"/>
      <c r="AQ850" s="578"/>
      <c r="AR850" s="578"/>
      <c r="AS850" s="578"/>
      <c r="AT850" s="576"/>
      <c r="AU850" s="578"/>
      <c r="AV850" s="578"/>
      <c r="AW850" s="578"/>
      <c r="AX850" s="578"/>
      <c r="AY850" s="576"/>
      <c r="AZ850" s="578"/>
      <c r="BA850" s="578"/>
      <c r="BB850" s="578"/>
      <c r="BC850" s="578"/>
      <c r="BD850" s="576"/>
      <c r="BE850" s="578"/>
      <c r="BF850" s="578"/>
      <c r="BG850" s="578"/>
      <c r="BH850" s="578"/>
      <c r="BI850" s="585"/>
      <c r="BJ850" s="578"/>
      <c r="BK850" s="578"/>
      <c r="BL850" s="578"/>
      <c r="BM850" s="578"/>
      <c r="BN850" s="576"/>
      <c r="BO850" s="578"/>
      <c r="BP850" s="578"/>
      <c r="BQ850" s="578"/>
      <c r="BR850" s="578"/>
      <c r="BS850" s="576"/>
      <c r="BT850" s="576"/>
      <c r="BU850" s="576"/>
      <c r="BV850" s="576"/>
      <c r="BW850" s="223"/>
    </row>
    <row r="851" spans="1:75" s="169" customFormat="1" ht="14.25" hidden="1" outlineLevel="2" collapsed="1" x14ac:dyDescent="0.45">
      <c r="A851" s="163" t="s">
        <v>922</v>
      </c>
      <c r="B851" s="164"/>
      <c r="C851" s="165"/>
      <c r="D851" s="165"/>
      <c r="E851" s="165"/>
      <c r="F851" s="165">
        <v>3</v>
      </c>
      <c r="G851" s="166"/>
      <c r="H851" s="166"/>
      <c r="I851" s="166"/>
      <c r="J851" s="166"/>
      <c r="K851" s="165">
        <v>4</v>
      </c>
      <c r="L851" s="166"/>
      <c r="M851" s="166"/>
      <c r="N851" s="166"/>
      <c r="O851" s="166"/>
      <c r="P851" s="165">
        <v>7</v>
      </c>
      <c r="Q851" s="166"/>
      <c r="R851" s="166"/>
      <c r="S851" s="166"/>
      <c r="T851" s="166"/>
      <c r="U851" s="165">
        <v>7</v>
      </c>
      <c r="V851" s="166"/>
      <c r="W851" s="166"/>
      <c r="X851" s="166"/>
      <c r="Y851" s="166"/>
      <c r="Z851" s="586">
        <v>9</v>
      </c>
      <c r="AA851" s="166"/>
      <c r="AB851" s="166"/>
      <c r="AC851" s="166"/>
      <c r="AD851" s="166"/>
      <c r="AE851" s="586">
        <v>10</v>
      </c>
      <c r="AF851" s="166"/>
      <c r="AG851" s="166"/>
      <c r="AH851" s="166"/>
      <c r="AI851" s="166"/>
      <c r="AJ851" s="586">
        <v>16</v>
      </c>
      <c r="AK851" s="166"/>
      <c r="AL851" s="166"/>
      <c r="AM851" s="166"/>
      <c r="AN851" s="166"/>
      <c r="AO851" s="586">
        <v>13</v>
      </c>
      <c r="AP851" s="166"/>
      <c r="AQ851" s="166"/>
      <c r="AR851" s="166"/>
      <c r="AS851" s="166"/>
      <c r="AT851" s="586">
        <v>15</v>
      </c>
      <c r="AU851" s="166"/>
      <c r="AV851" s="166"/>
      <c r="AW851" s="166"/>
      <c r="AX851" s="166"/>
      <c r="AY851" s="586">
        <v>21</v>
      </c>
      <c r="AZ851" s="166"/>
      <c r="BA851" s="166"/>
      <c r="BB851" s="166"/>
      <c r="BC851" s="166"/>
      <c r="BD851" s="586">
        <v>20</v>
      </c>
      <c r="BE851" s="166"/>
      <c r="BF851" s="166"/>
      <c r="BG851" s="166"/>
      <c r="BH851" s="166"/>
      <c r="BI851" s="587">
        <v>21</v>
      </c>
      <c r="BJ851" s="166"/>
      <c r="BK851" s="166"/>
      <c r="BL851" s="166"/>
      <c r="BM851" s="166"/>
      <c r="BN851" s="165"/>
      <c r="BO851" s="166"/>
      <c r="BP851" s="166"/>
      <c r="BQ851" s="166"/>
      <c r="BR851" s="166"/>
      <c r="BS851" s="165"/>
      <c r="BT851" s="165"/>
      <c r="BU851" s="165"/>
      <c r="BV851" s="165"/>
      <c r="BW851" s="168"/>
    </row>
    <row r="852" spans="1:75" s="224" customFormat="1" hidden="1" outlineLevel="3" x14ac:dyDescent="0.5">
      <c r="A852" s="588"/>
      <c r="B852" s="219"/>
      <c r="C852" s="220"/>
      <c r="D852" s="220"/>
      <c r="E852" s="220"/>
      <c r="F852" s="220"/>
      <c r="G852" s="221"/>
      <c r="H852" s="221"/>
      <c r="I852" s="221"/>
      <c r="J852" s="221"/>
      <c r="K852" s="220"/>
      <c r="L852" s="221"/>
      <c r="M852" s="221"/>
      <c r="N852" s="221"/>
      <c r="O852" s="221"/>
      <c r="P852" s="220"/>
      <c r="Q852" s="221"/>
      <c r="R852" s="221"/>
      <c r="S852" s="221"/>
      <c r="T852" s="221"/>
      <c r="U852" s="220"/>
      <c r="V852" s="221"/>
      <c r="W852" s="221"/>
      <c r="X852" s="221"/>
      <c r="Y852" s="221"/>
      <c r="Z852" s="220"/>
      <c r="AA852" s="221"/>
      <c r="AB852" s="221"/>
      <c r="AC852" s="221"/>
      <c r="AD852" s="221"/>
      <c r="AE852" s="220"/>
      <c r="AF852" s="221"/>
      <c r="AG852" s="221"/>
      <c r="AH852" s="221"/>
      <c r="AI852" s="221"/>
      <c r="AJ852" s="220"/>
      <c r="AK852" s="221"/>
      <c r="AL852" s="221"/>
      <c r="AM852" s="221"/>
      <c r="AN852" s="221"/>
      <c r="AO852" s="220"/>
      <c r="AP852" s="221"/>
      <c r="AQ852" s="221"/>
      <c r="AR852" s="221"/>
      <c r="AS852" s="221"/>
      <c r="AT852" s="220"/>
      <c r="AU852" s="221"/>
      <c r="AV852" s="221"/>
      <c r="AW852" s="221"/>
      <c r="AX852" s="221"/>
      <c r="AY852" s="220"/>
      <c r="AZ852" s="221"/>
      <c r="BA852" s="221"/>
      <c r="BB852" s="221"/>
      <c r="BC852" s="221"/>
      <c r="BD852" s="220"/>
      <c r="BE852" s="221"/>
      <c r="BF852" s="221"/>
      <c r="BG852" s="221"/>
      <c r="BH852" s="221"/>
      <c r="BI852" s="222"/>
      <c r="BJ852" s="221"/>
      <c r="BK852" s="221"/>
      <c r="BL852" s="221"/>
      <c r="BM852" s="221"/>
      <c r="BN852" s="220"/>
      <c r="BO852" s="221"/>
      <c r="BP852" s="221"/>
      <c r="BQ852" s="221"/>
      <c r="BR852" s="221"/>
      <c r="BS852" s="220"/>
      <c r="BT852" s="220"/>
      <c r="BU852" s="220"/>
      <c r="BV852" s="220"/>
      <c r="BW852" s="223"/>
    </row>
    <row r="853" spans="1:75" s="224" customFormat="1" hidden="1" outlineLevel="3" x14ac:dyDescent="0.5">
      <c r="A853" s="218" t="s">
        <v>923</v>
      </c>
      <c r="B853" s="219"/>
      <c r="C853" s="220"/>
      <c r="D853" s="220"/>
      <c r="E853" s="220"/>
      <c r="F853" s="574">
        <v>151</v>
      </c>
      <c r="G853" s="221"/>
      <c r="H853" s="221"/>
      <c r="I853" s="221"/>
      <c r="J853" s="221"/>
      <c r="K853" s="574">
        <v>284</v>
      </c>
      <c r="L853" s="221"/>
      <c r="M853" s="221"/>
      <c r="N853" s="221"/>
      <c r="O853" s="221"/>
      <c r="P853" s="574">
        <v>284</v>
      </c>
      <c r="Q853" s="221"/>
      <c r="R853" s="221"/>
      <c r="S853" s="221"/>
      <c r="T853" s="221"/>
      <c r="U853" s="574">
        <v>284</v>
      </c>
      <c r="V853" s="221"/>
      <c r="W853" s="221"/>
      <c r="X853" s="221"/>
      <c r="Y853" s="221"/>
      <c r="Z853" s="220"/>
      <c r="AA853" s="221"/>
      <c r="AB853" s="221"/>
      <c r="AC853" s="221"/>
      <c r="AD853" s="221"/>
      <c r="AE853" s="220"/>
      <c r="AF853" s="221"/>
      <c r="AG853" s="221"/>
      <c r="AH853" s="221"/>
      <c r="AI853" s="221"/>
      <c r="AJ853" s="220"/>
      <c r="AK853" s="221"/>
      <c r="AL853" s="221"/>
      <c r="AM853" s="221"/>
      <c r="AN853" s="221"/>
      <c r="AO853" s="220"/>
      <c r="AP853" s="221"/>
      <c r="AQ853" s="221"/>
      <c r="AR853" s="221"/>
      <c r="AS853" s="221"/>
      <c r="AT853" s="220"/>
      <c r="AU853" s="221"/>
      <c r="AV853" s="221"/>
      <c r="AW853" s="221"/>
      <c r="AX853" s="221"/>
      <c r="AY853" s="220"/>
      <c r="AZ853" s="221"/>
      <c r="BA853" s="221"/>
      <c r="BB853" s="221"/>
      <c r="BC853" s="221"/>
      <c r="BD853" s="220"/>
      <c r="BE853" s="221"/>
      <c r="BF853" s="221"/>
      <c r="BG853" s="221"/>
      <c r="BH853" s="221"/>
      <c r="BI853" s="222"/>
      <c r="BJ853" s="221"/>
      <c r="BK853" s="221"/>
      <c r="BL853" s="221"/>
      <c r="BM853" s="221"/>
      <c r="BN853" s="220"/>
      <c r="BO853" s="221"/>
      <c r="BP853" s="221"/>
      <c r="BQ853" s="221"/>
      <c r="BR853" s="221"/>
      <c r="BS853" s="220"/>
      <c r="BT853" s="220"/>
      <c r="BU853" s="220"/>
      <c r="BV853" s="220"/>
      <c r="BW853" s="223"/>
    </row>
    <row r="854" spans="1:75" s="224" customFormat="1" hidden="1" outlineLevel="3" x14ac:dyDescent="0.5">
      <c r="A854" s="218" t="s">
        <v>924</v>
      </c>
      <c r="B854" s="219"/>
      <c r="C854" s="220"/>
      <c r="D854" s="220"/>
      <c r="E854" s="220"/>
      <c r="F854" s="220"/>
      <c r="G854" s="221"/>
      <c r="H854" s="221"/>
      <c r="I854" s="221"/>
      <c r="J854" s="221"/>
      <c r="K854" s="220"/>
      <c r="L854" s="221"/>
      <c r="M854" s="221"/>
      <c r="N854" s="221"/>
      <c r="O854" s="221"/>
      <c r="P854" s="574">
        <v>119</v>
      </c>
      <c r="Q854" s="221"/>
      <c r="R854" s="221"/>
      <c r="S854" s="221"/>
      <c r="T854" s="221"/>
      <c r="U854" s="574">
        <v>119</v>
      </c>
      <c r="V854" s="221"/>
      <c r="W854" s="221"/>
      <c r="X854" s="221"/>
      <c r="Y854" s="221"/>
      <c r="Z854" s="220"/>
      <c r="AA854" s="221"/>
      <c r="AB854" s="221"/>
      <c r="AC854" s="221"/>
      <c r="AD854" s="221"/>
      <c r="AE854" s="220"/>
      <c r="AF854" s="221"/>
      <c r="AG854" s="221"/>
      <c r="AH854" s="221"/>
      <c r="AI854" s="221"/>
      <c r="AJ854" s="220"/>
      <c r="AK854" s="221"/>
      <c r="AL854" s="221"/>
      <c r="AM854" s="221"/>
      <c r="AN854" s="221"/>
      <c r="AO854" s="220"/>
      <c r="AP854" s="221"/>
      <c r="AQ854" s="221"/>
      <c r="AR854" s="221"/>
      <c r="AS854" s="221"/>
      <c r="AT854" s="220"/>
      <c r="AU854" s="221"/>
      <c r="AV854" s="221"/>
      <c r="AW854" s="221"/>
      <c r="AX854" s="221"/>
      <c r="AY854" s="220"/>
      <c r="AZ854" s="221"/>
      <c r="BA854" s="221"/>
      <c r="BB854" s="221"/>
      <c r="BC854" s="221"/>
      <c r="BD854" s="220"/>
      <c r="BE854" s="221"/>
      <c r="BF854" s="221"/>
      <c r="BG854" s="221"/>
      <c r="BH854" s="221"/>
      <c r="BI854" s="222"/>
      <c r="BJ854" s="221"/>
      <c r="BK854" s="221"/>
      <c r="BL854" s="221"/>
      <c r="BM854" s="221"/>
      <c r="BN854" s="220"/>
      <c r="BO854" s="221"/>
      <c r="BP854" s="221"/>
      <c r="BQ854" s="221"/>
      <c r="BR854" s="221"/>
      <c r="BS854" s="220"/>
      <c r="BT854" s="220"/>
      <c r="BU854" s="220"/>
      <c r="BV854" s="220"/>
      <c r="BW854" s="223"/>
    </row>
    <row r="855" spans="1:75" s="224" customFormat="1" hidden="1" outlineLevel="3" x14ac:dyDescent="0.5">
      <c r="A855" s="218" t="s">
        <v>925</v>
      </c>
      <c r="B855" s="219"/>
      <c r="C855" s="220"/>
      <c r="D855" s="220"/>
      <c r="E855" s="220"/>
      <c r="F855" s="574">
        <v>114</v>
      </c>
      <c r="G855" s="221"/>
      <c r="H855" s="221"/>
      <c r="I855" s="221"/>
      <c r="J855" s="221"/>
      <c r="K855" s="574">
        <v>114</v>
      </c>
      <c r="L855" s="221"/>
      <c r="M855" s="221"/>
      <c r="N855" s="221"/>
      <c r="O855" s="221"/>
      <c r="P855" s="574">
        <v>114</v>
      </c>
      <c r="Q855" s="221"/>
      <c r="R855" s="221"/>
      <c r="S855" s="221"/>
      <c r="T855" s="221"/>
      <c r="U855" s="574">
        <v>114</v>
      </c>
      <c r="V855" s="221"/>
      <c r="W855" s="221"/>
      <c r="X855" s="221"/>
      <c r="Y855" s="221"/>
      <c r="Z855" s="220"/>
      <c r="AA855" s="221"/>
      <c r="AB855" s="221"/>
      <c r="AC855" s="221"/>
      <c r="AD855" s="221"/>
      <c r="AE855" s="220"/>
      <c r="AF855" s="221"/>
      <c r="AG855" s="221"/>
      <c r="AH855" s="221"/>
      <c r="AI855" s="221"/>
      <c r="AJ855" s="220"/>
      <c r="AK855" s="221"/>
      <c r="AL855" s="221"/>
      <c r="AM855" s="221"/>
      <c r="AN855" s="221"/>
      <c r="AO855" s="220"/>
      <c r="AP855" s="221"/>
      <c r="AQ855" s="221"/>
      <c r="AR855" s="221"/>
      <c r="AS855" s="221"/>
      <c r="AT855" s="220"/>
      <c r="AU855" s="221"/>
      <c r="AV855" s="221"/>
      <c r="AW855" s="221"/>
      <c r="AX855" s="221"/>
      <c r="AY855" s="220"/>
      <c r="AZ855" s="221"/>
      <c r="BA855" s="221"/>
      <c r="BB855" s="221"/>
      <c r="BC855" s="221"/>
      <c r="BD855" s="220"/>
      <c r="BE855" s="221"/>
      <c r="BF855" s="221"/>
      <c r="BG855" s="221"/>
      <c r="BH855" s="221"/>
      <c r="BI855" s="222"/>
      <c r="BJ855" s="221"/>
      <c r="BK855" s="221"/>
      <c r="BL855" s="221"/>
      <c r="BM855" s="221"/>
      <c r="BN855" s="220"/>
      <c r="BO855" s="221"/>
      <c r="BP855" s="221"/>
      <c r="BQ855" s="221"/>
      <c r="BR855" s="221"/>
      <c r="BS855" s="220"/>
      <c r="BT855" s="220"/>
      <c r="BU855" s="220"/>
      <c r="BV855" s="220"/>
      <c r="BW855" s="223"/>
    </row>
    <row r="856" spans="1:75" s="224" customFormat="1" hidden="1" outlineLevel="3" x14ac:dyDescent="0.5">
      <c r="A856" s="218" t="s">
        <v>926</v>
      </c>
      <c r="B856" s="219"/>
      <c r="C856" s="220"/>
      <c r="D856" s="220"/>
      <c r="E856" s="220"/>
      <c r="F856" s="220"/>
      <c r="G856" s="221"/>
      <c r="H856" s="221"/>
      <c r="I856" s="221"/>
      <c r="J856" s="221"/>
      <c r="K856" s="220"/>
      <c r="L856" s="221"/>
      <c r="M856" s="221"/>
      <c r="N856" s="221"/>
      <c r="O856" s="221"/>
      <c r="P856" s="574">
        <v>101</v>
      </c>
      <c r="Q856" s="221"/>
      <c r="R856" s="221"/>
      <c r="S856" s="221"/>
      <c r="T856" s="221"/>
      <c r="U856" s="574">
        <v>101</v>
      </c>
      <c r="V856" s="221"/>
      <c r="W856" s="221"/>
      <c r="X856" s="221"/>
      <c r="Y856" s="221"/>
      <c r="Z856" s="220"/>
      <c r="AA856" s="221"/>
      <c r="AB856" s="221"/>
      <c r="AC856" s="221"/>
      <c r="AD856" s="221"/>
      <c r="AE856" s="220"/>
      <c r="AF856" s="221"/>
      <c r="AG856" s="221"/>
      <c r="AH856" s="221"/>
      <c r="AI856" s="221"/>
      <c r="AJ856" s="220"/>
      <c r="AK856" s="221"/>
      <c r="AL856" s="221"/>
      <c r="AM856" s="221"/>
      <c r="AN856" s="221"/>
      <c r="AO856" s="220"/>
      <c r="AP856" s="221"/>
      <c r="AQ856" s="221"/>
      <c r="AR856" s="221"/>
      <c r="AS856" s="221"/>
      <c r="AT856" s="220"/>
      <c r="AU856" s="221"/>
      <c r="AV856" s="221"/>
      <c r="AW856" s="221"/>
      <c r="AX856" s="221"/>
      <c r="AY856" s="220"/>
      <c r="AZ856" s="221"/>
      <c r="BA856" s="221"/>
      <c r="BB856" s="221"/>
      <c r="BC856" s="221"/>
      <c r="BD856" s="220"/>
      <c r="BE856" s="221"/>
      <c r="BF856" s="221"/>
      <c r="BG856" s="221"/>
      <c r="BH856" s="221"/>
      <c r="BI856" s="222"/>
      <c r="BJ856" s="221"/>
      <c r="BK856" s="221"/>
      <c r="BL856" s="221"/>
      <c r="BM856" s="221"/>
      <c r="BN856" s="220"/>
      <c r="BO856" s="221"/>
      <c r="BP856" s="221"/>
      <c r="BQ856" s="221"/>
      <c r="BR856" s="221"/>
      <c r="BS856" s="220"/>
      <c r="BT856" s="220"/>
      <c r="BU856" s="220"/>
      <c r="BV856" s="220"/>
      <c r="BW856" s="223"/>
    </row>
    <row r="857" spans="1:75" s="224" customFormat="1" hidden="1" outlineLevel="3" x14ac:dyDescent="0.5">
      <c r="A857" s="218" t="s">
        <v>927</v>
      </c>
      <c r="B857" s="219"/>
      <c r="C857" s="220"/>
      <c r="D857" s="220"/>
      <c r="E857" s="220"/>
      <c r="F857" s="220"/>
      <c r="G857" s="221"/>
      <c r="H857" s="221"/>
      <c r="I857" s="221"/>
      <c r="J857" s="221"/>
      <c r="K857" s="574">
        <v>101</v>
      </c>
      <c r="L857" s="221"/>
      <c r="M857" s="221"/>
      <c r="N857" s="221"/>
      <c r="O857" s="221"/>
      <c r="P857" s="574">
        <v>101</v>
      </c>
      <c r="Q857" s="221"/>
      <c r="R857" s="221"/>
      <c r="S857" s="221"/>
      <c r="T857" s="221"/>
      <c r="U857" s="574">
        <v>101</v>
      </c>
      <c r="V857" s="221"/>
      <c r="W857" s="221"/>
      <c r="X857" s="221"/>
      <c r="Y857" s="221"/>
      <c r="Z857" s="220"/>
      <c r="AA857" s="221"/>
      <c r="AB857" s="221"/>
      <c r="AC857" s="221"/>
      <c r="AD857" s="221"/>
      <c r="AE857" s="220"/>
      <c r="AF857" s="221"/>
      <c r="AG857" s="221"/>
      <c r="AH857" s="221"/>
      <c r="AI857" s="221"/>
      <c r="AJ857" s="220"/>
      <c r="AK857" s="221"/>
      <c r="AL857" s="221"/>
      <c r="AM857" s="221"/>
      <c r="AN857" s="221"/>
      <c r="AO857" s="220"/>
      <c r="AP857" s="221"/>
      <c r="AQ857" s="221"/>
      <c r="AR857" s="221"/>
      <c r="AS857" s="221"/>
      <c r="AT857" s="220"/>
      <c r="AU857" s="221"/>
      <c r="AV857" s="221"/>
      <c r="AW857" s="221"/>
      <c r="AX857" s="221"/>
      <c r="AY857" s="220"/>
      <c r="AZ857" s="221"/>
      <c r="BA857" s="221"/>
      <c r="BB857" s="221"/>
      <c r="BC857" s="221"/>
      <c r="BD857" s="220"/>
      <c r="BE857" s="221"/>
      <c r="BF857" s="221"/>
      <c r="BG857" s="221"/>
      <c r="BH857" s="221"/>
      <c r="BI857" s="222"/>
      <c r="BJ857" s="221"/>
      <c r="BK857" s="221"/>
      <c r="BL857" s="221"/>
      <c r="BM857" s="221"/>
      <c r="BN857" s="220"/>
      <c r="BO857" s="221"/>
      <c r="BP857" s="221"/>
      <c r="BQ857" s="221"/>
      <c r="BR857" s="221"/>
      <c r="BS857" s="220"/>
      <c r="BT857" s="220"/>
      <c r="BU857" s="220"/>
      <c r="BV857" s="220"/>
      <c r="BW857" s="223"/>
    </row>
    <row r="858" spans="1:75" s="224" customFormat="1" hidden="1" outlineLevel="3" x14ac:dyDescent="0.5">
      <c r="A858" s="218" t="s">
        <v>928</v>
      </c>
      <c r="B858" s="219"/>
      <c r="C858" s="220"/>
      <c r="D858" s="220"/>
      <c r="E858" s="220"/>
      <c r="F858" s="574">
        <v>71</v>
      </c>
      <c r="G858" s="221"/>
      <c r="H858" s="221"/>
      <c r="I858" s="221"/>
      <c r="J858" s="221"/>
      <c r="K858" s="574">
        <v>71</v>
      </c>
      <c r="L858" s="221"/>
      <c r="M858" s="221"/>
      <c r="N858" s="221"/>
      <c r="O858" s="221"/>
      <c r="P858" s="574">
        <v>71</v>
      </c>
      <c r="Q858" s="221"/>
      <c r="R858" s="221"/>
      <c r="S858" s="221"/>
      <c r="T858" s="221"/>
      <c r="U858" s="574">
        <v>71</v>
      </c>
      <c r="V858" s="221"/>
      <c r="W858" s="221"/>
      <c r="X858" s="221"/>
      <c r="Y858" s="221"/>
      <c r="Z858" s="220"/>
      <c r="AA858" s="221"/>
      <c r="AB858" s="221"/>
      <c r="AC858" s="221"/>
      <c r="AD858" s="221"/>
      <c r="AE858" s="220"/>
      <c r="AF858" s="221"/>
      <c r="AG858" s="221"/>
      <c r="AH858" s="221"/>
      <c r="AI858" s="221"/>
      <c r="AJ858" s="220"/>
      <c r="AK858" s="221"/>
      <c r="AL858" s="221"/>
      <c r="AM858" s="221"/>
      <c r="AN858" s="221"/>
      <c r="AO858" s="220"/>
      <c r="AP858" s="221"/>
      <c r="AQ858" s="221"/>
      <c r="AR858" s="221"/>
      <c r="AS858" s="221"/>
      <c r="AT858" s="220"/>
      <c r="AU858" s="221"/>
      <c r="AV858" s="221"/>
      <c r="AW858" s="221"/>
      <c r="AX858" s="221"/>
      <c r="AY858" s="220"/>
      <c r="AZ858" s="221"/>
      <c r="BA858" s="221"/>
      <c r="BB858" s="221"/>
      <c r="BC858" s="221"/>
      <c r="BD858" s="220"/>
      <c r="BE858" s="221"/>
      <c r="BF858" s="221"/>
      <c r="BG858" s="221"/>
      <c r="BH858" s="221"/>
      <c r="BI858" s="222"/>
      <c r="BJ858" s="221"/>
      <c r="BK858" s="221"/>
      <c r="BL858" s="221"/>
      <c r="BM858" s="221"/>
      <c r="BN858" s="220"/>
      <c r="BO858" s="221"/>
      <c r="BP858" s="221"/>
      <c r="BQ858" s="221"/>
      <c r="BR858" s="221"/>
      <c r="BS858" s="220"/>
      <c r="BT858" s="220"/>
      <c r="BU858" s="220"/>
      <c r="BV858" s="220"/>
      <c r="BW858" s="223"/>
    </row>
    <row r="859" spans="1:75" s="224" customFormat="1" hidden="1" outlineLevel="3" x14ac:dyDescent="0.5">
      <c r="A859" s="584" t="s">
        <v>929</v>
      </c>
      <c r="B859" s="575"/>
      <c r="C859" s="576"/>
      <c r="D859" s="576"/>
      <c r="E859" s="576"/>
      <c r="F859" s="576"/>
      <c r="G859" s="578"/>
      <c r="H859" s="578"/>
      <c r="I859" s="578"/>
      <c r="J859" s="578"/>
      <c r="K859" s="576"/>
      <c r="L859" s="578"/>
      <c r="M859" s="578"/>
      <c r="N859" s="578"/>
      <c r="O859" s="578"/>
      <c r="P859" s="577">
        <v>40</v>
      </c>
      <c r="Q859" s="578"/>
      <c r="R859" s="578"/>
      <c r="S859" s="578"/>
      <c r="T859" s="578"/>
      <c r="U859" s="577">
        <v>40</v>
      </c>
      <c r="V859" s="578"/>
      <c r="W859" s="578"/>
      <c r="X859" s="578"/>
      <c r="Y859" s="578"/>
      <c r="Z859" s="576"/>
      <c r="AA859" s="578"/>
      <c r="AB859" s="578"/>
      <c r="AC859" s="578"/>
      <c r="AD859" s="578"/>
      <c r="AE859" s="576"/>
      <c r="AF859" s="578"/>
      <c r="AG859" s="578"/>
      <c r="AH859" s="578"/>
      <c r="AI859" s="578"/>
      <c r="AJ859" s="576"/>
      <c r="AK859" s="578"/>
      <c r="AL859" s="578"/>
      <c r="AM859" s="578"/>
      <c r="AN859" s="578"/>
      <c r="AO859" s="576"/>
      <c r="AP859" s="578"/>
      <c r="AQ859" s="578"/>
      <c r="AR859" s="578"/>
      <c r="AS859" s="578"/>
      <c r="AT859" s="576"/>
      <c r="AU859" s="578"/>
      <c r="AV859" s="578"/>
      <c r="AW859" s="578"/>
      <c r="AX859" s="578"/>
      <c r="AY859" s="576"/>
      <c r="AZ859" s="578"/>
      <c r="BA859" s="578"/>
      <c r="BB859" s="578"/>
      <c r="BC859" s="578"/>
      <c r="BD859" s="576"/>
      <c r="BE859" s="578"/>
      <c r="BF859" s="578"/>
      <c r="BG859" s="578"/>
      <c r="BH859" s="578"/>
      <c r="BI859" s="585"/>
      <c r="BJ859" s="578"/>
      <c r="BK859" s="578"/>
      <c r="BL859" s="578"/>
      <c r="BM859" s="578"/>
      <c r="BN859" s="576"/>
      <c r="BO859" s="578"/>
      <c r="BP859" s="578"/>
      <c r="BQ859" s="578"/>
      <c r="BR859" s="578"/>
      <c r="BS859" s="576"/>
      <c r="BT859" s="576"/>
      <c r="BU859" s="576"/>
      <c r="BV859" s="576"/>
      <c r="BW859" s="223"/>
    </row>
    <row r="860" spans="1:75" s="169" customFormat="1" ht="14.25" hidden="1" outlineLevel="2" collapsed="1" x14ac:dyDescent="0.45">
      <c r="A860" s="163" t="s">
        <v>930</v>
      </c>
      <c r="B860" s="164"/>
      <c r="C860" s="165"/>
      <c r="D860" s="165"/>
      <c r="E860" s="165"/>
      <c r="F860" s="165">
        <v>336</v>
      </c>
      <c r="G860" s="166"/>
      <c r="H860" s="166"/>
      <c r="I860" s="166"/>
      <c r="J860" s="166"/>
      <c r="K860" s="165">
        <v>570</v>
      </c>
      <c r="L860" s="166"/>
      <c r="M860" s="166"/>
      <c r="N860" s="166"/>
      <c r="O860" s="166"/>
      <c r="P860" s="165">
        <v>830</v>
      </c>
      <c r="Q860" s="166"/>
      <c r="R860" s="166"/>
      <c r="S860" s="166"/>
      <c r="T860" s="166"/>
      <c r="U860" s="165">
        <v>830</v>
      </c>
      <c r="V860" s="166"/>
      <c r="W860" s="166"/>
      <c r="X860" s="166"/>
      <c r="Y860" s="166"/>
      <c r="Z860" s="586">
        <v>1148</v>
      </c>
      <c r="AA860" s="166"/>
      <c r="AB860" s="166"/>
      <c r="AC860" s="166"/>
      <c r="AD860" s="166"/>
      <c r="AE860" s="586">
        <v>987</v>
      </c>
      <c r="AF860" s="166"/>
      <c r="AG860" s="166"/>
      <c r="AH860" s="166"/>
      <c r="AI860" s="166"/>
      <c r="AJ860" s="586">
        <v>1455</v>
      </c>
      <c r="AK860" s="166"/>
      <c r="AL860" s="166"/>
      <c r="AM860" s="166"/>
      <c r="AN860" s="166"/>
      <c r="AO860" s="586">
        <v>1384</v>
      </c>
      <c r="AP860" s="166"/>
      <c r="AQ860" s="166"/>
      <c r="AR860" s="166"/>
      <c r="AS860" s="166"/>
      <c r="AT860" s="586">
        <v>1329</v>
      </c>
      <c r="AU860" s="166"/>
      <c r="AV860" s="166"/>
      <c r="AW860" s="166"/>
      <c r="AX860" s="166"/>
      <c r="AY860" s="586">
        <v>1304</v>
      </c>
      <c r="AZ860" s="166"/>
      <c r="BA860" s="166"/>
      <c r="BB860" s="166"/>
      <c r="BC860" s="166"/>
      <c r="BD860" s="586">
        <v>1252</v>
      </c>
      <c r="BE860" s="166"/>
      <c r="BF860" s="166"/>
      <c r="BG860" s="166"/>
      <c r="BH860" s="166"/>
      <c r="BI860" s="587">
        <v>1294</v>
      </c>
      <c r="BJ860" s="166"/>
      <c r="BK860" s="166"/>
      <c r="BL860" s="166"/>
      <c r="BM860" s="166"/>
      <c r="BN860" s="165"/>
      <c r="BO860" s="166"/>
      <c r="BP860" s="166"/>
      <c r="BQ860" s="166"/>
      <c r="BR860" s="166"/>
      <c r="BS860" s="165"/>
      <c r="BT860" s="165"/>
      <c r="BU860" s="165"/>
      <c r="BV860" s="165"/>
      <c r="BW860" s="168"/>
    </row>
    <row r="861" spans="1:75" s="123" customFormat="1" hidden="1" outlineLevel="2" x14ac:dyDescent="0.5">
      <c r="A861" s="184"/>
      <c r="B861" s="185"/>
      <c r="C861" s="186"/>
      <c r="D861" s="186"/>
      <c r="E861" s="186"/>
      <c r="F861" s="186"/>
      <c r="G861" s="187"/>
      <c r="H861" s="187"/>
      <c r="I861" s="187"/>
      <c r="J861" s="187"/>
      <c r="K861" s="186"/>
      <c r="L861" s="187"/>
      <c r="M861" s="187"/>
      <c r="N861" s="187"/>
      <c r="O861" s="187"/>
      <c r="P861" s="186"/>
      <c r="Q861" s="187"/>
      <c r="R861" s="187"/>
      <c r="S861" s="187"/>
      <c r="T861" s="187"/>
      <c r="U861" s="186"/>
      <c r="V861" s="187"/>
      <c r="W861" s="187"/>
      <c r="X861" s="187"/>
      <c r="Y861" s="187"/>
      <c r="Z861" s="186"/>
      <c r="AA861" s="187"/>
      <c r="AB861" s="187"/>
      <c r="AC861" s="187"/>
      <c r="AD861" s="187"/>
      <c r="AE861" s="186"/>
      <c r="AF861" s="187"/>
      <c r="AG861" s="187"/>
      <c r="AH861" s="187"/>
      <c r="AI861" s="187"/>
      <c r="AJ861" s="186"/>
      <c r="AK861" s="187"/>
      <c r="AL861" s="187"/>
      <c r="AM861" s="187"/>
      <c r="AN861" s="187"/>
      <c r="AO861" s="186"/>
      <c r="AP861" s="187"/>
      <c r="AQ861" s="187"/>
      <c r="AR861" s="187"/>
      <c r="AS861" s="187"/>
      <c r="AT861" s="186"/>
      <c r="AU861" s="187"/>
      <c r="AV861" s="187"/>
      <c r="AW861" s="187"/>
      <c r="AX861" s="187"/>
      <c r="AY861" s="186"/>
      <c r="AZ861" s="187"/>
      <c r="BA861" s="187"/>
      <c r="BB861" s="187"/>
      <c r="BC861" s="187"/>
      <c r="BD861" s="186"/>
      <c r="BE861" s="187"/>
      <c r="BF861" s="187"/>
      <c r="BG861" s="187"/>
      <c r="BH861" s="187"/>
      <c r="BI861" s="188"/>
      <c r="BJ861" s="187"/>
      <c r="BK861" s="187"/>
      <c r="BL861" s="187"/>
      <c r="BM861" s="187"/>
      <c r="BN861" s="186"/>
      <c r="BO861" s="187"/>
      <c r="BP861" s="187"/>
      <c r="BQ861" s="187"/>
      <c r="BR861" s="187"/>
      <c r="BS861" s="186"/>
      <c r="BT861" s="186"/>
      <c r="BU861" s="186"/>
      <c r="BV861" s="186"/>
      <c r="BW861" s="122"/>
    </row>
    <row r="862" spans="1:75" s="169" customFormat="1" ht="14.25" hidden="1" outlineLevel="2" x14ac:dyDescent="0.45">
      <c r="A862" s="163" t="s">
        <v>931</v>
      </c>
      <c r="B862" s="164"/>
      <c r="C862" s="165"/>
      <c r="D862" s="165"/>
      <c r="E862" s="165"/>
      <c r="F862" s="165"/>
      <c r="G862" s="166"/>
      <c r="H862" s="166"/>
      <c r="I862" s="166"/>
      <c r="J862" s="166"/>
      <c r="K862" s="165"/>
      <c r="L862" s="166"/>
      <c r="M862" s="166"/>
      <c r="N862" s="166"/>
      <c r="O862" s="166"/>
      <c r="P862" s="165"/>
      <c r="Q862" s="166"/>
      <c r="R862" s="166"/>
      <c r="S862" s="166"/>
      <c r="T862" s="166"/>
      <c r="U862" s="165"/>
      <c r="V862" s="166"/>
      <c r="W862" s="166"/>
      <c r="X862" s="166"/>
      <c r="Y862" s="166"/>
      <c r="Z862" s="586">
        <v>160</v>
      </c>
      <c r="AA862" s="166"/>
      <c r="AB862" s="166"/>
      <c r="AC862" s="166"/>
      <c r="AD862" s="166"/>
      <c r="AE862" s="586">
        <v>160</v>
      </c>
      <c r="AF862" s="166"/>
      <c r="AG862" s="166"/>
      <c r="AH862" s="166"/>
      <c r="AI862" s="166"/>
      <c r="AJ862" s="586">
        <v>160</v>
      </c>
      <c r="AK862" s="166"/>
      <c r="AL862" s="166"/>
      <c r="AM862" s="166"/>
      <c r="AN862" s="166"/>
      <c r="AO862" s="586">
        <v>160</v>
      </c>
      <c r="AP862" s="166"/>
      <c r="AQ862" s="166"/>
      <c r="AR862" s="166"/>
      <c r="AS862" s="166"/>
      <c r="AT862" s="586">
        <v>160</v>
      </c>
      <c r="AU862" s="166"/>
      <c r="AV862" s="166"/>
      <c r="AW862" s="166"/>
      <c r="AX862" s="166"/>
      <c r="AY862" s="586">
        <v>160</v>
      </c>
      <c r="AZ862" s="166"/>
      <c r="BA862" s="166"/>
      <c r="BB862" s="166"/>
      <c r="BC862" s="166"/>
      <c r="BD862" s="586">
        <v>160</v>
      </c>
      <c r="BE862" s="166"/>
      <c r="BF862" s="166"/>
      <c r="BG862" s="166"/>
      <c r="BH862" s="166"/>
      <c r="BI862" s="587">
        <v>160</v>
      </c>
      <c r="BJ862" s="166"/>
      <c r="BK862" s="166"/>
      <c r="BL862" s="166"/>
      <c r="BM862" s="166"/>
      <c r="BN862" s="165"/>
      <c r="BO862" s="166"/>
      <c r="BP862" s="166"/>
      <c r="BQ862" s="166"/>
      <c r="BR862" s="166"/>
      <c r="BS862" s="165"/>
      <c r="BT862" s="165"/>
      <c r="BU862" s="165"/>
      <c r="BV862" s="165"/>
      <c r="BW862" s="168"/>
    </row>
    <row r="863" spans="1:75" s="123" customFormat="1" hidden="1" outlineLevel="2" x14ac:dyDescent="0.5">
      <c r="A863" s="184"/>
      <c r="B863" s="185"/>
      <c r="C863" s="186"/>
      <c r="D863" s="186"/>
      <c r="E863" s="186"/>
      <c r="F863" s="186"/>
      <c r="G863" s="187"/>
      <c r="H863" s="187"/>
      <c r="I863" s="187"/>
      <c r="J863" s="187"/>
      <c r="K863" s="186"/>
      <c r="L863" s="187"/>
      <c r="M863" s="187"/>
      <c r="N863" s="187"/>
      <c r="O863" s="187"/>
      <c r="P863" s="186"/>
      <c r="Q863" s="187"/>
      <c r="R863" s="187"/>
      <c r="S863" s="187"/>
      <c r="T863" s="187"/>
      <c r="U863" s="186"/>
      <c r="V863" s="187"/>
      <c r="W863" s="187"/>
      <c r="X863" s="187"/>
      <c r="Y863" s="187"/>
      <c r="Z863" s="186"/>
      <c r="AA863" s="187"/>
      <c r="AB863" s="187"/>
      <c r="AC863" s="187"/>
      <c r="AD863" s="187"/>
      <c r="AE863" s="186"/>
      <c r="AF863" s="187"/>
      <c r="AG863" s="187"/>
      <c r="AH863" s="187"/>
      <c r="AI863" s="187"/>
      <c r="AJ863" s="186"/>
      <c r="AK863" s="187"/>
      <c r="AL863" s="187"/>
      <c r="AM863" s="187"/>
      <c r="AN863" s="187"/>
      <c r="AO863" s="186"/>
      <c r="AP863" s="187"/>
      <c r="AQ863" s="187"/>
      <c r="AR863" s="187"/>
      <c r="AS863" s="187"/>
      <c r="AT863" s="186"/>
      <c r="AU863" s="187"/>
      <c r="AV863" s="187"/>
      <c r="AW863" s="187"/>
      <c r="AX863" s="187"/>
      <c r="AY863" s="186"/>
      <c r="AZ863" s="187"/>
      <c r="BA863" s="187"/>
      <c r="BB863" s="187"/>
      <c r="BC863" s="187"/>
      <c r="BD863" s="186"/>
      <c r="BE863" s="187"/>
      <c r="BF863" s="187"/>
      <c r="BG863" s="187"/>
      <c r="BH863" s="187"/>
      <c r="BI863" s="188"/>
      <c r="BJ863" s="187"/>
      <c r="BK863" s="187"/>
      <c r="BL863" s="187"/>
      <c r="BM863" s="187"/>
      <c r="BN863" s="186"/>
      <c r="BO863" s="187"/>
      <c r="BP863" s="187"/>
      <c r="BQ863" s="187"/>
      <c r="BR863" s="187"/>
      <c r="BS863" s="186"/>
      <c r="BT863" s="186"/>
      <c r="BU863" s="186"/>
      <c r="BV863" s="186"/>
      <c r="BW863" s="122"/>
    </row>
    <row r="864" spans="1:75" s="169" customFormat="1" ht="14.25" hidden="1" outlineLevel="2" x14ac:dyDescent="0.45">
      <c r="A864" s="163" t="s">
        <v>932</v>
      </c>
      <c r="B864" s="164"/>
      <c r="C864" s="165"/>
      <c r="D864" s="165"/>
      <c r="E864" s="165"/>
      <c r="F864" s="165"/>
      <c r="G864" s="166"/>
      <c r="H864" s="166"/>
      <c r="I864" s="166"/>
      <c r="J864" s="166"/>
      <c r="K864" s="165"/>
      <c r="L864" s="166"/>
      <c r="M864" s="166"/>
      <c r="N864" s="166"/>
      <c r="O864" s="166"/>
      <c r="P864" s="165"/>
      <c r="Q864" s="166"/>
      <c r="R864" s="166"/>
      <c r="S864" s="166"/>
      <c r="T864" s="166"/>
      <c r="U864" s="165"/>
      <c r="V864" s="166"/>
      <c r="W864" s="166"/>
      <c r="X864" s="166"/>
      <c r="Y864" s="166"/>
      <c r="Z864" s="165"/>
      <c r="AA864" s="166"/>
      <c r="AB864" s="166"/>
      <c r="AC864" s="166"/>
      <c r="AD864" s="166"/>
      <c r="AE864" s="586">
        <v>20</v>
      </c>
      <c r="AF864" s="166"/>
      <c r="AG864" s="166"/>
      <c r="AH864" s="166"/>
      <c r="AI864" s="166"/>
      <c r="AJ864" s="165"/>
      <c r="AK864" s="166"/>
      <c r="AL864" s="166"/>
      <c r="AM864" s="166"/>
      <c r="AN864" s="166"/>
      <c r="AO864" s="165"/>
      <c r="AP864" s="166"/>
      <c r="AQ864" s="166"/>
      <c r="AR864" s="166"/>
      <c r="AS864" s="166"/>
      <c r="AT864" s="165"/>
      <c r="AU864" s="166"/>
      <c r="AV864" s="166"/>
      <c r="AW864" s="166"/>
      <c r="AX864" s="166"/>
      <c r="AY864" s="165"/>
      <c r="AZ864" s="166"/>
      <c r="BA864" s="166"/>
      <c r="BB864" s="166"/>
      <c r="BC864" s="166"/>
      <c r="BD864" s="165"/>
      <c r="BE864" s="166"/>
      <c r="BF864" s="166"/>
      <c r="BG864" s="166"/>
      <c r="BH864" s="166"/>
      <c r="BI864" s="167"/>
      <c r="BJ864" s="166"/>
      <c r="BK864" s="166"/>
      <c r="BL864" s="166"/>
      <c r="BM864" s="166"/>
      <c r="BN864" s="165"/>
      <c r="BO864" s="166"/>
      <c r="BP864" s="166"/>
      <c r="BQ864" s="166"/>
      <c r="BR864" s="166"/>
      <c r="BS864" s="165"/>
      <c r="BT864" s="165"/>
      <c r="BU864" s="165"/>
      <c r="BV864" s="165"/>
      <c r="BW864" s="168"/>
    </row>
    <row r="865" spans="1:75" s="123" customFormat="1" hidden="1" outlineLevel="2" x14ac:dyDescent="0.5">
      <c r="A865" s="184"/>
      <c r="B865" s="185"/>
      <c r="C865" s="186"/>
      <c r="D865" s="186"/>
      <c r="E865" s="186"/>
      <c r="F865" s="186"/>
      <c r="G865" s="187"/>
      <c r="H865" s="187"/>
      <c r="I865" s="187"/>
      <c r="J865" s="187"/>
      <c r="K865" s="186"/>
      <c r="L865" s="187"/>
      <c r="M865" s="187"/>
      <c r="N865" s="187"/>
      <c r="O865" s="187"/>
      <c r="P865" s="186"/>
      <c r="Q865" s="187"/>
      <c r="R865" s="187"/>
      <c r="S865" s="187"/>
      <c r="T865" s="187"/>
      <c r="U865" s="186"/>
      <c r="V865" s="187"/>
      <c r="W865" s="187"/>
      <c r="X865" s="187"/>
      <c r="Y865" s="187"/>
      <c r="Z865" s="186"/>
      <c r="AA865" s="187"/>
      <c r="AB865" s="187"/>
      <c r="AC865" s="187"/>
      <c r="AD865" s="187"/>
      <c r="AE865" s="186"/>
      <c r="AF865" s="187"/>
      <c r="AG865" s="187"/>
      <c r="AH865" s="187"/>
      <c r="AI865" s="187"/>
      <c r="AJ865" s="186"/>
      <c r="AK865" s="187"/>
      <c r="AL865" s="187"/>
      <c r="AM865" s="187"/>
      <c r="AN865" s="187"/>
      <c r="AO865" s="186"/>
      <c r="AP865" s="187"/>
      <c r="AQ865" s="187"/>
      <c r="AR865" s="187"/>
      <c r="AS865" s="187"/>
      <c r="AT865" s="186"/>
      <c r="AU865" s="187"/>
      <c r="AV865" s="187"/>
      <c r="AW865" s="187"/>
      <c r="AX865" s="187"/>
      <c r="AY865" s="186"/>
      <c r="AZ865" s="187"/>
      <c r="BA865" s="187"/>
      <c r="BB865" s="187"/>
      <c r="BC865" s="187"/>
      <c r="BD865" s="186"/>
      <c r="BE865" s="187"/>
      <c r="BF865" s="187"/>
      <c r="BG865" s="187"/>
      <c r="BH865" s="187"/>
      <c r="BI865" s="188"/>
      <c r="BJ865" s="187"/>
      <c r="BK865" s="187"/>
      <c r="BL865" s="187"/>
      <c r="BM865" s="187"/>
      <c r="BN865" s="186"/>
      <c r="BO865" s="187"/>
      <c r="BP865" s="187"/>
      <c r="BQ865" s="187"/>
      <c r="BR865" s="187"/>
      <c r="BS865" s="186"/>
      <c r="BT865" s="186"/>
      <c r="BU865" s="186"/>
      <c r="BV865" s="186"/>
      <c r="BW865" s="122"/>
    </row>
    <row r="866" spans="1:75" s="224" customFormat="1" hidden="1" outlineLevel="2" x14ac:dyDescent="0.5">
      <c r="A866" s="218" t="s">
        <v>933</v>
      </c>
      <c r="B866" s="219"/>
      <c r="C866" s="220"/>
      <c r="D866" s="220"/>
      <c r="E866" s="574">
        <v>170</v>
      </c>
      <c r="F866" s="574">
        <v>240</v>
      </c>
      <c r="G866" s="221"/>
      <c r="H866" s="221"/>
      <c r="I866" s="221"/>
      <c r="J866" s="221"/>
      <c r="K866" s="574">
        <v>267</v>
      </c>
      <c r="L866" s="221"/>
      <c r="M866" s="221"/>
      <c r="N866" s="221"/>
      <c r="O866" s="221"/>
      <c r="P866" s="574">
        <v>257</v>
      </c>
      <c r="Q866" s="221"/>
      <c r="R866" s="221"/>
      <c r="S866" s="221"/>
      <c r="T866" s="221"/>
      <c r="U866" s="574">
        <v>265</v>
      </c>
      <c r="V866" s="221"/>
      <c r="W866" s="221"/>
      <c r="X866" s="221"/>
      <c r="Y866" s="221"/>
      <c r="Z866" s="574">
        <v>265</v>
      </c>
      <c r="AA866" s="221"/>
      <c r="AB866" s="221"/>
      <c r="AC866" s="221"/>
      <c r="AD866" s="221"/>
      <c r="AE866" s="574">
        <v>257</v>
      </c>
      <c r="AF866" s="221"/>
      <c r="AG866" s="221"/>
      <c r="AH866" s="221"/>
      <c r="AI866" s="221"/>
      <c r="AJ866" s="574">
        <v>257</v>
      </c>
      <c r="AK866" s="221"/>
      <c r="AL866" s="221"/>
      <c r="AM866" s="221"/>
      <c r="AN866" s="221"/>
      <c r="AO866" s="574">
        <v>257</v>
      </c>
      <c r="AP866" s="221"/>
      <c r="AQ866" s="221"/>
      <c r="AR866" s="221"/>
      <c r="AS866" s="221"/>
      <c r="AT866" s="574">
        <v>257</v>
      </c>
      <c r="AU866" s="221"/>
      <c r="AV866" s="221"/>
      <c r="AW866" s="221"/>
      <c r="AX866" s="221"/>
      <c r="AY866" s="574">
        <v>263</v>
      </c>
      <c r="AZ866" s="221"/>
      <c r="BA866" s="221"/>
      <c r="BB866" s="221"/>
      <c r="BC866" s="221"/>
      <c r="BD866" s="574">
        <v>263</v>
      </c>
      <c r="BE866" s="221"/>
      <c r="BF866" s="221"/>
      <c r="BG866" s="221"/>
      <c r="BH866" s="221"/>
      <c r="BI866" s="582">
        <v>263</v>
      </c>
      <c r="BJ866" s="221"/>
      <c r="BK866" s="221"/>
      <c r="BL866" s="221"/>
      <c r="BM866" s="221"/>
      <c r="BN866" s="220"/>
      <c r="BO866" s="221"/>
      <c r="BP866" s="221"/>
      <c r="BQ866" s="221"/>
      <c r="BR866" s="221"/>
      <c r="BS866" s="220"/>
      <c r="BT866" s="220"/>
      <c r="BU866" s="220"/>
      <c r="BV866" s="220"/>
      <c r="BW866" s="223"/>
    </row>
    <row r="867" spans="1:75" s="224" customFormat="1" hidden="1" outlineLevel="2" x14ac:dyDescent="0.5">
      <c r="A867" s="218" t="s">
        <v>934</v>
      </c>
      <c r="B867" s="219"/>
      <c r="C867" s="220"/>
      <c r="D867" s="220"/>
      <c r="E867" s="220"/>
      <c r="F867" s="220"/>
      <c r="G867" s="221"/>
      <c r="H867" s="221"/>
      <c r="I867" s="221"/>
      <c r="J867" s="221"/>
      <c r="K867" s="220"/>
      <c r="L867" s="221"/>
      <c r="M867" s="221"/>
      <c r="N867" s="221"/>
      <c r="O867" s="221"/>
      <c r="P867" s="220"/>
      <c r="Q867" s="221"/>
      <c r="R867" s="221"/>
      <c r="S867" s="221"/>
      <c r="T867" s="221"/>
      <c r="U867" s="220"/>
      <c r="V867" s="221"/>
      <c r="W867" s="221"/>
      <c r="X867" s="221"/>
      <c r="Y867" s="221"/>
      <c r="Z867" s="220"/>
      <c r="AA867" s="221"/>
      <c r="AB867" s="221"/>
      <c r="AC867" s="221"/>
      <c r="AD867" s="221"/>
      <c r="AE867" s="574">
        <v>200</v>
      </c>
      <c r="AF867" s="221"/>
      <c r="AG867" s="221"/>
      <c r="AH867" s="221"/>
      <c r="AI867" s="221"/>
      <c r="AJ867" s="574">
        <v>200</v>
      </c>
      <c r="AK867" s="221"/>
      <c r="AL867" s="221"/>
      <c r="AM867" s="221"/>
      <c r="AN867" s="221"/>
      <c r="AO867" s="574">
        <v>200</v>
      </c>
      <c r="AP867" s="221"/>
      <c r="AQ867" s="221"/>
      <c r="AR867" s="221"/>
      <c r="AS867" s="221"/>
      <c r="AT867" s="574">
        <v>200</v>
      </c>
      <c r="AU867" s="221"/>
      <c r="AV867" s="221"/>
      <c r="AW867" s="221"/>
      <c r="AX867" s="221"/>
      <c r="AY867" s="574">
        <v>200</v>
      </c>
      <c r="AZ867" s="221"/>
      <c r="BA867" s="221"/>
      <c r="BB867" s="221"/>
      <c r="BC867" s="221"/>
      <c r="BD867" s="574">
        <v>200</v>
      </c>
      <c r="BE867" s="221"/>
      <c r="BF867" s="221"/>
      <c r="BG867" s="221"/>
      <c r="BH867" s="221"/>
      <c r="BI867" s="582">
        <v>200</v>
      </c>
      <c r="BJ867" s="221"/>
      <c r="BK867" s="221"/>
      <c r="BL867" s="221"/>
      <c r="BM867" s="221"/>
      <c r="BN867" s="220"/>
      <c r="BO867" s="221"/>
      <c r="BP867" s="221"/>
      <c r="BQ867" s="221"/>
      <c r="BR867" s="221"/>
      <c r="BS867" s="220"/>
      <c r="BT867" s="220"/>
      <c r="BU867" s="220"/>
      <c r="BV867" s="220"/>
      <c r="BW867" s="223"/>
    </row>
    <row r="868" spans="1:75" s="224" customFormat="1" hidden="1" outlineLevel="2" x14ac:dyDescent="0.5">
      <c r="A868" s="218" t="s">
        <v>935</v>
      </c>
      <c r="B868" s="219"/>
      <c r="C868" s="220"/>
      <c r="D868" s="220"/>
      <c r="E868" s="220"/>
      <c r="F868" s="574">
        <v>200</v>
      </c>
      <c r="G868" s="221"/>
      <c r="H868" s="221"/>
      <c r="I868" s="221"/>
      <c r="J868" s="221"/>
      <c r="K868" s="574">
        <v>259</v>
      </c>
      <c r="L868" s="221"/>
      <c r="M868" s="221"/>
      <c r="N868" s="221"/>
      <c r="O868" s="221"/>
      <c r="P868" s="574">
        <v>259</v>
      </c>
      <c r="Q868" s="221"/>
      <c r="R868" s="221"/>
      <c r="S868" s="221"/>
      <c r="T868" s="221"/>
      <c r="U868" s="574">
        <v>259</v>
      </c>
      <c r="V868" s="221"/>
      <c r="W868" s="221"/>
      <c r="X868" s="221"/>
      <c r="Y868" s="221"/>
      <c r="Z868" s="574">
        <v>259</v>
      </c>
      <c r="AA868" s="221"/>
      <c r="AB868" s="221"/>
      <c r="AC868" s="221"/>
      <c r="AD868" s="221"/>
      <c r="AE868" s="220"/>
      <c r="AF868" s="221"/>
      <c r="AG868" s="221"/>
      <c r="AH868" s="221"/>
      <c r="AI868" s="221"/>
      <c r="AJ868" s="220"/>
      <c r="AK868" s="221"/>
      <c r="AL868" s="221"/>
      <c r="AM868" s="221"/>
      <c r="AN868" s="221"/>
      <c r="AO868" s="220"/>
      <c r="AP868" s="221"/>
      <c r="AQ868" s="221"/>
      <c r="AR868" s="221"/>
      <c r="AS868" s="221"/>
      <c r="AT868" s="220"/>
      <c r="AU868" s="221"/>
      <c r="AV868" s="221"/>
      <c r="AW868" s="221"/>
      <c r="AX868" s="221"/>
      <c r="AY868" s="220"/>
      <c r="AZ868" s="221"/>
      <c r="BA868" s="221"/>
      <c r="BB868" s="221"/>
      <c r="BC868" s="221"/>
      <c r="BD868" s="220"/>
      <c r="BE868" s="221"/>
      <c r="BF868" s="221"/>
      <c r="BG868" s="221"/>
      <c r="BH868" s="221"/>
      <c r="BI868" s="222"/>
      <c r="BJ868" s="221"/>
      <c r="BK868" s="221"/>
      <c r="BL868" s="221"/>
      <c r="BM868" s="221"/>
      <c r="BN868" s="220"/>
      <c r="BO868" s="221"/>
      <c r="BP868" s="221"/>
      <c r="BQ868" s="221"/>
      <c r="BR868" s="221"/>
      <c r="BS868" s="220"/>
      <c r="BT868" s="220"/>
      <c r="BU868" s="220"/>
      <c r="BV868" s="220"/>
      <c r="BW868" s="223"/>
    </row>
    <row r="869" spans="1:75" s="224" customFormat="1" hidden="1" outlineLevel="2" x14ac:dyDescent="0.5">
      <c r="A869" s="218" t="s">
        <v>936</v>
      </c>
      <c r="B869" s="219"/>
      <c r="C869" s="220"/>
      <c r="D869" s="220"/>
      <c r="E869" s="220"/>
      <c r="F869" s="220"/>
      <c r="G869" s="221"/>
      <c r="H869" s="221"/>
      <c r="I869" s="221"/>
      <c r="J869" s="221"/>
      <c r="K869" s="220"/>
      <c r="L869" s="221"/>
      <c r="M869" s="221"/>
      <c r="N869" s="221"/>
      <c r="O869" s="221"/>
      <c r="P869" s="220"/>
      <c r="Q869" s="221"/>
      <c r="R869" s="221"/>
      <c r="S869" s="221"/>
      <c r="T869" s="221"/>
      <c r="U869" s="220"/>
      <c r="V869" s="221"/>
      <c r="W869" s="221"/>
      <c r="X869" s="221"/>
      <c r="Y869" s="221"/>
      <c r="Z869" s="574">
        <v>26</v>
      </c>
      <c r="AA869" s="221"/>
      <c r="AB869" s="221"/>
      <c r="AC869" s="221"/>
      <c r="AD869" s="221"/>
      <c r="AE869" s="574">
        <v>26</v>
      </c>
      <c r="AF869" s="221"/>
      <c r="AG869" s="221"/>
      <c r="AH869" s="221"/>
      <c r="AI869" s="221"/>
      <c r="AJ869" s="574">
        <v>41</v>
      </c>
      <c r="AK869" s="221"/>
      <c r="AL869" s="221"/>
      <c r="AM869" s="221"/>
      <c r="AN869" s="221"/>
      <c r="AO869" s="574">
        <v>41</v>
      </c>
      <c r="AP869" s="221"/>
      <c r="AQ869" s="221"/>
      <c r="AR869" s="221"/>
      <c r="AS869" s="221"/>
      <c r="AT869" s="574">
        <v>26</v>
      </c>
      <c r="AU869" s="221"/>
      <c r="AV869" s="221"/>
      <c r="AW869" s="221"/>
      <c r="AX869" s="221"/>
      <c r="AY869" s="574">
        <v>26</v>
      </c>
      <c r="AZ869" s="221"/>
      <c r="BA869" s="221"/>
      <c r="BB869" s="221"/>
      <c r="BC869" s="221"/>
      <c r="BD869" s="574">
        <v>26</v>
      </c>
      <c r="BE869" s="221"/>
      <c r="BF869" s="221"/>
      <c r="BG869" s="221"/>
      <c r="BH869" s="221"/>
      <c r="BI869" s="582">
        <v>26</v>
      </c>
      <c r="BJ869" s="221"/>
      <c r="BK869" s="221"/>
      <c r="BL869" s="221"/>
      <c r="BM869" s="221"/>
      <c r="BN869" s="220"/>
      <c r="BO869" s="221"/>
      <c r="BP869" s="221"/>
      <c r="BQ869" s="221"/>
      <c r="BR869" s="221"/>
      <c r="BS869" s="220"/>
      <c r="BT869" s="220"/>
      <c r="BU869" s="220"/>
      <c r="BV869" s="220"/>
      <c r="BW869" s="223"/>
    </row>
    <row r="870" spans="1:75" s="224" customFormat="1" hidden="1" outlineLevel="3" x14ac:dyDescent="0.5">
      <c r="A870" s="272" t="s">
        <v>937</v>
      </c>
      <c r="B870" s="219"/>
      <c r="C870" s="220"/>
      <c r="D870" s="220"/>
      <c r="E870" s="220"/>
      <c r="F870" s="574">
        <v>10</v>
      </c>
      <c r="G870" s="221"/>
      <c r="H870" s="221"/>
      <c r="I870" s="221"/>
      <c r="J870" s="221"/>
      <c r="K870" s="574">
        <v>10</v>
      </c>
      <c r="L870" s="221"/>
      <c r="M870" s="221"/>
      <c r="N870" s="221"/>
      <c r="O870" s="221"/>
      <c r="P870" s="574">
        <v>10</v>
      </c>
      <c r="Q870" s="221"/>
      <c r="R870" s="221"/>
      <c r="S870" s="221"/>
      <c r="T870" s="221"/>
      <c r="U870" s="574">
        <v>10</v>
      </c>
      <c r="V870" s="221"/>
      <c r="W870" s="221"/>
      <c r="X870" s="221"/>
      <c r="Y870" s="221"/>
      <c r="Z870" s="220"/>
      <c r="AA870" s="221"/>
      <c r="AB870" s="221"/>
      <c r="AC870" s="221"/>
      <c r="AD870" s="221"/>
      <c r="AE870" s="220"/>
      <c r="AF870" s="221"/>
      <c r="AG870" s="221"/>
      <c r="AH870" s="221"/>
      <c r="AI870" s="221"/>
      <c r="AJ870" s="220"/>
      <c r="AK870" s="221"/>
      <c r="AL870" s="221"/>
      <c r="AM870" s="221"/>
      <c r="AN870" s="221"/>
      <c r="AO870" s="220"/>
      <c r="AP870" s="221"/>
      <c r="AQ870" s="221"/>
      <c r="AR870" s="221"/>
      <c r="AS870" s="221"/>
      <c r="AT870" s="220"/>
      <c r="AU870" s="221"/>
      <c r="AV870" s="221"/>
      <c r="AW870" s="221"/>
      <c r="AX870" s="221"/>
      <c r="AY870" s="220"/>
      <c r="AZ870" s="221"/>
      <c r="BA870" s="221"/>
      <c r="BB870" s="221"/>
      <c r="BC870" s="221"/>
      <c r="BD870" s="220"/>
      <c r="BE870" s="221"/>
      <c r="BF870" s="221"/>
      <c r="BG870" s="221"/>
      <c r="BH870" s="221"/>
      <c r="BI870" s="222"/>
      <c r="BJ870" s="221"/>
      <c r="BK870" s="221"/>
      <c r="BL870" s="221"/>
      <c r="BM870" s="221"/>
      <c r="BN870" s="220"/>
      <c r="BO870" s="221"/>
      <c r="BP870" s="221"/>
      <c r="BQ870" s="221"/>
      <c r="BR870" s="221"/>
      <c r="BS870" s="220"/>
      <c r="BT870" s="220"/>
      <c r="BU870" s="220"/>
      <c r="BV870" s="220"/>
      <c r="BW870" s="223"/>
    </row>
    <row r="871" spans="1:75" s="224" customFormat="1" hidden="1" outlineLevel="3" x14ac:dyDescent="0.5">
      <c r="A871" s="273" t="s">
        <v>938</v>
      </c>
      <c r="B871" s="575"/>
      <c r="C871" s="576"/>
      <c r="D871" s="576"/>
      <c r="E871" s="576"/>
      <c r="F871" s="576"/>
      <c r="G871" s="578"/>
      <c r="H871" s="578"/>
      <c r="I871" s="578"/>
      <c r="J871" s="578"/>
      <c r="K871" s="577">
        <v>8</v>
      </c>
      <c r="L871" s="578"/>
      <c r="M871" s="578"/>
      <c r="N871" s="578"/>
      <c r="O871" s="578"/>
      <c r="P871" s="577">
        <v>8</v>
      </c>
      <c r="Q871" s="578"/>
      <c r="R871" s="578"/>
      <c r="S871" s="578"/>
      <c r="T871" s="578"/>
      <c r="U871" s="577">
        <v>8</v>
      </c>
      <c r="V871" s="578"/>
      <c r="W871" s="578"/>
      <c r="X871" s="578"/>
      <c r="Y871" s="578"/>
      <c r="Z871" s="576"/>
      <c r="AA871" s="578"/>
      <c r="AB871" s="578"/>
      <c r="AC871" s="578"/>
      <c r="AD871" s="578"/>
      <c r="AE871" s="576"/>
      <c r="AF871" s="578"/>
      <c r="AG871" s="578"/>
      <c r="AH871" s="578"/>
      <c r="AI871" s="578"/>
      <c r="AJ871" s="576"/>
      <c r="AK871" s="578"/>
      <c r="AL871" s="578"/>
      <c r="AM871" s="578"/>
      <c r="AN871" s="578"/>
      <c r="AO871" s="576"/>
      <c r="AP871" s="578"/>
      <c r="AQ871" s="578"/>
      <c r="AR871" s="578"/>
      <c r="AS871" s="578"/>
      <c r="AT871" s="576"/>
      <c r="AU871" s="578"/>
      <c r="AV871" s="578"/>
      <c r="AW871" s="578"/>
      <c r="AX871" s="578"/>
      <c r="AY871" s="576"/>
      <c r="AZ871" s="578"/>
      <c r="BA871" s="578"/>
      <c r="BB871" s="578"/>
      <c r="BC871" s="578"/>
      <c r="BD871" s="576"/>
      <c r="BE871" s="578"/>
      <c r="BF871" s="578"/>
      <c r="BG871" s="578"/>
      <c r="BH871" s="578"/>
      <c r="BI871" s="585"/>
      <c r="BJ871" s="578"/>
      <c r="BK871" s="578"/>
      <c r="BL871" s="578"/>
      <c r="BM871" s="578"/>
      <c r="BN871" s="576"/>
      <c r="BO871" s="578"/>
      <c r="BP871" s="578"/>
      <c r="BQ871" s="578"/>
      <c r="BR871" s="578"/>
      <c r="BS871" s="576"/>
      <c r="BT871" s="576"/>
      <c r="BU871" s="576"/>
      <c r="BV871" s="576"/>
      <c r="BW871" s="223"/>
    </row>
    <row r="872" spans="1:75" s="224" customFormat="1" hidden="1" outlineLevel="2" collapsed="1" x14ac:dyDescent="0.5">
      <c r="A872" s="218" t="s">
        <v>939</v>
      </c>
      <c r="B872" s="219"/>
      <c r="C872" s="220"/>
      <c r="D872" s="220"/>
      <c r="E872" s="220"/>
      <c r="F872" s="220">
        <v>10</v>
      </c>
      <c r="G872" s="221"/>
      <c r="H872" s="221"/>
      <c r="I872" s="221"/>
      <c r="J872" s="221"/>
      <c r="K872" s="220">
        <v>18</v>
      </c>
      <c r="L872" s="221"/>
      <c r="M872" s="221"/>
      <c r="N872" s="221"/>
      <c r="O872" s="221"/>
      <c r="P872" s="220">
        <v>18</v>
      </c>
      <c r="Q872" s="221"/>
      <c r="R872" s="221"/>
      <c r="S872" s="221"/>
      <c r="T872" s="221"/>
      <c r="U872" s="220">
        <v>18</v>
      </c>
      <c r="V872" s="221"/>
      <c r="W872" s="221"/>
      <c r="X872" s="221"/>
      <c r="Y872" s="221"/>
      <c r="Z872" s="574">
        <v>18</v>
      </c>
      <c r="AA872" s="221"/>
      <c r="AB872" s="221"/>
      <c r="AC872" s="221"/>
      <c r="AD872" s="221"/>
      <c r="AE872" s="574">
        <v>18</v>
      </c>
      <c r="AF872" s="221"/>
      <c r="AG872" s="221"/>
      <c r="AH872" s="221"/>
      <c r="AI872" s="221"/>
      <c r="AJ872" s="574">
        <v>18</v>
      </c>
      <c r="AK872" s="221"/>
      <c r="AL872" s="221"/>
      <c r="AM872" s="221"/>
      <c r="AN872" s="221"/>
      <c r="AO872" s="574">
        <v>101</v>
      </c>
      <c r="AP872" s="221"/>
      <c r="AQ872" s="221"/>
      <c r="AR872" s="221"/>
      <c r="AS872" s="221"/>
      <c r="AT872" s="574">
        <v>186</v>
      </c>
      <c r="AU872" s="221"/>
      <c r="AV872" s="221"/>
      <c r="AW872" s="221"/>
      <c r="AX872" s="221"/>
      <c r="AY872" s="574">
        <v>240</v>
      </c>
      <c r="AZ872" s="221"/>
      <c r="BA872" s="221"/>
      <c r="BB872" s="221"/>
      <c r="BC872" s="221"/>
      <c r="BD872" s="574">
        <v>240</v>
      </c>
      <c r="BE872" s="221"/>
      <c r="BF872" s="221"/>
      <c r="BG872" s="221"/>
      <c r="BH872" s="221"/>
      <c r="BI872" s="582">
        <v>355</v>
      </c>
      <c r="BJ872" s="221"/>
      <c r="BK872" s="221"/>
      <c r="BL872" s="221"/>
      <c r="BM872" s="221"/>
      <c r="BN872" s="220"/>
      <c r="BO872" s="221"/>
      <c r="BP872" s="221"/>
      <c r="BQ872" s="221"/>
      <c r="BR872" s="221"/>
      <c r="BS872" s="220"/>
      <c r="BT872" s="220"/>
      <c r="BU872" s="220"/>
      <c r="BV872" s="220"/>
      <c r="BW872" s="223"/>
    </row>
    <row r="873" spans="1:75" s="169" customFormat="1" ht="14.25" hidden="1" outlineLevel="2" x14ac:dyDescent="0.45">
      <c r="A873" s="360" t="s">
        <v>940</v>
      </c>
      <c r="B873" s="361"/>
      <c r="C873" s="362"/>
      <c r="D873" s="362"/>
      <c r="E873" s="362"/>
      <c r="F873" s="362">
        <v>450</v>
      </c>
      <c r="G873" s="346"/>
      <c r="H873" s="346"/>
      <c r="I873" s="346"/>
      <c r="J873" s="346"/>
      <c r="K873" s="362">
        <v>544</v>
      </c>
      <c r="L873" s="346"/>
      <c r="M873" s="346"/>
      <c r="N873" s="346"/>
      <c r="O873" s="346"/>
      <c r="P873" s="362">
        <v>534</v>
      </c>
      <c r="Q873" s="346"/>
      <c r="R873" s="346"/>
      <c r="S873" s="346"/>
      <c r="T873" s="346"/>
      <c r="U873" s="362">
        <v>542</v>
      </c>
      <c r="V873" s="346"/>
      <c r="W873" s="346"/>
      <c r="X873" s="346"/>
      <c r="Y873" s="346"/>
      <c r="Z873" s="362">
        <v>568</v>
      </c>
      <c r="AA873" s="346"/>
      <c r="AB873" s="346"/>
      <c r="AC873" s="346"/>
      <c r="AD873" s="346"/>
      <c r="AE873" s="362">
        <v>501</v>
      </c>
      <c r="AF873" s="346"/>
      <c r="AG873" s="346"/>
      <c r="AH873" s="346"/>
      <c r="AI873" s="346"/>
      <c r="AJ873" s="362">
        <v>516</v>
      </c>
      <c r="AK873" s="346"/>
      <c r="AL873" s="346"/>
      <c r="AM873" s="346"/>
      <c r="AN873" s="346"/>
      <c r="AO873" s="362">
        <v>599</v>
      </c>
      <c r="AP873" s="346"/>
      <c r="AQ873" s="346"/>
      <c r="AR873" s="346"/>
      <c r="AS873" s="346"/>
      <c r="AT873" s="362">
        <v>669</v>
      </c>
      <c r="AU873" s="346"/>
      <c r="AV873" s="346"/>
      <c r="AW873" s="346"/>
      <c r="AX873" s="346"/>
      <c r="AY873" s="362">
        <v>729</v>
      </c>
      <c r="AZ873" s="346"/>
      <c r="BA873" s="346"/>
      <c r="BB873" s="346"/>
      <c r="BC873" s="346"/>
      <c r="BD873" s="362">
        <v>729</v>
      </c>
      <c r="BE873" s="346"/>
      <c r="BF873" s="346"/>
      <c r="BG873" s="346"/>
      <c r="BH873" s="346"/>
      <c r="BI873" s="363">
        <v>844</v>
      </c>
      <c r="BJ873" s="346"/>
      <c r="BK873" s="346"/>
      <c r="BL873" s="346"/>
      <c r="BM873" s="346"/>
      <c r="BN873" s="362"/>
      <c r="BO873" s="346"/>
      <c r="BP873" s="346"/>
      <c r="BQ873" s="346"/>
      <c r="BR873" s="346"/>
      <c r="BS873" s="362"/>
      <c r="BT873" s="362"/>
      <c r="BU873" s="362"/>
      <c r="BV873" s="362"/>
      <c r="BW873" s="168"/>
    </row>
    <row r="874" spans="1:75" s="123" customFormat="1" hidden="1" outlineLevel="1" x14ac:dyDescent="0.5">
      <c r="A874" s="184"/>
      <c r="B874" s="185"/>
      <c r="C874" s="186"/>
      <c r="D874" s="186"/>
      <c r="E874" s="186"/>
      <c r="F874" s="186"/>
      <c r="G874" s="187"/>
      <c r="H874" s="187"/>
      <c r="I874" s="187"/>
      <c r="J874" s="187"/>
      <c r="K874" s="186"/>
      <c r="L874" s="187"/>
      <c r="M874" s="187"/>
      <c r="N874" s="187"/>
      <c r="O874" s="187"/>
      <c r="P874" s="186"/>
      <c r="Q874" s="187"/>
      <c r="R874" s="187"/>
      <c r="S874" s="187"/>
      <c r="T874" s="187"/>
      <c r="U874" s="186"/>
      <c r="V874" s="187"/>
      <c r="W874" s="187"/>
      <c r="X874" s="187"/>
      <c r="Y874" s="187"/>
      <c r="Z874" s="186"/>
      <c r="AA874" s="187"/>
      <c r="AB874" s="187"/>
      <c r="AC874" s="187"/>
      <c r="AD874" s="187"/>
      <c r="AE874" s="186"/>
      <c r="AF874" s="187"/>
      <c r="AG874" s="187"/>
      <c r="AH874" s="187"/>
      <c r="AI874" s="187"/>
      <c r="AJ874" s="186"/>
      <c r="AK874" s="187"/>
      <c r="AL874" s="187"/>
      <c r="AM874" s="187"/>
      <c r="AN874" s="187"/>
      <c r="AO874" s="186"/>
      <c r="AP874" s="187"/>
      <c r="AQ874" s="187"/>
      <c r="AR874" s="187"/>
      <c r="AS874" s="187"/>
      <c r="AT874" s="186"/>
      <c r="AU874" s="187"/>
      <c r="AV874" s="187"/>
      <c r="AW874" s="187"/>
      <c r="AX874" s="187"/>
      <c r="AY874" s="186"/>
      <c r="AZ874" s="187"/>
      <c r="BA874" s="187"/>
      <c r="BB874" s="187"/>
      <c r="BC874" s="187"/>
      <c r="BD874" s="186"/>
      <c r="BE874" s="187"/>
      <c r="BF874" s="187"/>
      <c r="BG874" s="187"/>
      <c r="BH874" s="187"/>
      <c r="BI874" s="188"/>
      <c r="BJ874" s="187"/>
      <c r="BK874" s="187"/>
      <c r="BL874" s="187"/>
      <c r="BM874" s="187"/>
      <c r="BN874" s="186"/>
      <c r="BO874" s="187"/>
      <c r="BP874" s="187"/>
      <c r="BQ874" s="187"/>
      <c r="BR874" s="187"/>
      <c r="BS874" s="186"/>
      <c r="BT874" s="186"/>
      <c r="BU874" s="186"/>
      <c r="BV874" s="186"/>
      <c r="BW874" s="122"/>
    </row>
    <row r="875" spans="1:75" s="198" customFormat="1" ht="14.25" hidden="1" outlineLevel="1" x14ac:dyDescent="0.45">
      <c r="A875" s="239" t="s">
        <v>941</v>
      </c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40"/>
      <c r="AG875" s="240"/>
      <c r="AH875" s="240"/>
      <c r="AI875" s="239"/>
      <c r="AJ875" s="239"/>
      <c r="AK875" s="239"/>
      <c r="AL875" s="239"/>
      <c r="AM875" s="239"/>
      <c r="AN875" s="239"/>
      <c r="AO875" s="239"/>
      <c r="AP875" s="239"/>
      <c r="AQ875" s="239"/>
      <c r="AR875" s="239"/>
      <c r="AS875" s="239"/>
      <c r="AT875" s="239"/>
      <c r="AU875" s="239"/>
      <c r="AV875" s="239"/>
      <c r="AW875" s="239"/>
      <c r="AX875" s="239"/>
      <c r="AY875" s="239"/>
      <c r="AZ875" s="239"/>
      <c r="BA875" s="239"/>
      <c r="BB875" s="239"/>
      <c r="BC875" s="239"/>
      <c r="BD875" s="239"/>
      <c r="BE875" s="239"/>
      <c r="BF875" s="239"/>
      <c r="BG875" s="239"/>
      <c r="BH875" s="239"/>
      <c r="BI875" s="241"/>
      <c r="BJ875" s="239"/>
      <c r="BK875" s="239"/>
      <c r="BL875" s="239"/>
      <c r="BM875" s="239"/>
      <c r="BN875" s="239"/>
      <c r="BO875" s="239"/>
      <c r="BP875" s="239"/>
      <c r="BQ875" s="239"/>
      <c r="BR875" s="239"/>
      <c r="BS875" s="239"/>
      <c r="BT875" s="239"/>
      <c r="BU875" s="239"/>
      <c r="BV875" s="239"/>
      <c r="BW875" s="197"/>
    </row>
    <row r="876" spans="1:75" s="224" customFormat="1" hidden="1" outlineLevel="2" x14ac:dyDescent="0.5">
      <c r="A876" s="218" t="s">
        <v>942</v>
      </c>
      <c r="B876" s="219"/>
      <c r="C876" s="220"/>
      <c r="D876" s="220"/>
      <c r="E876" s="220"/>
      <c r="F876" s="220"/>
      <c r="G876" s="221"/>
      <c r="H876" s="221"/>
      <c r="I876" s="221"/>
      <c r="J876" s="221"/>
      <c r="K876" s="220"/>
      <c r="L876" s="221"/>
      <c r="M876" s="221"/>
      <c r="N876" s="221"/>
      <c r="O876" s="221"/>
      <c r="P876" s="220"/>
      <c r="Q876" s="221"/>
      <c r="R876" s="221"/>
      <c r="S876" s="221"/>
      <c r="T876" s="221"/>
      <c r="U876" s="220"/>
      <c r="V876" s="221"/>
      <c r="W876" s="221"/>
      <c r="X876" s="221"/>
      <c r="Y876" s="221"/>
      <c r="Z876" s="220"/>
      <c r="AA876" s="221"/>
      <c r="AB876" s="221"/>
      <c r="AC876" s="221"/>
      <c r="AD876" s="221"/>
      <c r="AE876" s="220"/>
      <c r="AF876" s="221"/>
      <c r="AG876" s="221"/>
      <c r="AH876" s="221"/>
      <c r="AI876" s="221"/>
      <c r="AJ876" s="220"/>
      <c r="AK876" s="221"/>
      <c r="AL876" s="221"/>
      <c r="AM876" s="221"/>
      <c r="AN876" s="221"/>
      <c r="AO876" s="220"/>
      <c r="AP876" s="221"/>
      <c r="AQ876" s="221"/>
      <c r="AR876" s="221"/>
      <c r="AS876" s="221"/>
      <c r="AT876" s="220"/>
      <c r="AU876" s="221"/>
      <c r="AV876" s="221"/>
      <c r="AW876" s="221"/>
      <c r="AX876" s="221"/>
      <c r="AY876" s="220"/>
      <c r="AZ876" s="221"/>
      <c r="BA876" s="221"/>
      <c r="BB876" s="221"/>
      <c r="BC876" s="221"/>
      <c r="BD876" s="220">
        <v>1</v>
      </c>
      <c r="BE876" s="221"/>
      <c r="BF876" s="221"/>
      <c r="BG876" s="221"/>
      <c r="BH876" s="221"/>
      <c r="BI876" s="222">
        <v>2</v>
      </c>
      <c r="BJ876" s="221"/>
      <c r="BK876" s="221"/>
      <c r="BL876" s="221"/>
      <c r="BM876" s="221"/>
      <c r="BN876" s="220"/>
      <c r="BO876" s="221"/>
      <c r="BP876" s="221"/>
      <c r="BQ876" s="221"/>
      <c r="BR876" s="221"/>
      <c r="BS876" s="220"/>
      <c r="BT876" s="220"/>
      <c r="BU876" s="220"/>
      <c r="BV876" s="220"/>
      <c r="BW876" s="223"/>
    </row>
    <row r="877" spans="1:75" s="224" customFormat="1" hidden="1" outlineLevel="2" x14ac:dyDescent="0.5">
      <c r="A877" s="218" t="s">
        <v>943</v>
      </c>
      <c r="B877" s="219"/>
      <c r="C877" s="220"/>
      <c r="D877" s="220"/>
      <c r="E877" s="220"/>
      <c r="F877" s="220"/>
      <c r="G877" s="221"/>
      <c r="H877" s="221"/>
      <c r="I877" s="221"/>
      <c r="J877" s="221"/>
      <c r="K877" s="220"/>
      <c r="L877" s="221"/>
      <c r="M877" s="221"/>
      <c r="N877" s="221"/>
      <c r="O877" s="221"/>
      <c r="P877" s="220"/>
      <c r="Q877" s="221"/>
      <c r="R877" s="221"/>
      <c r="S877" s="221"/>
      <c r="T877" s="221"/>
      <c r="U877" s="220"/>
      <c r="V877" s="221"/>
      <c r="W877" s="221"/>
      <c r="X877" s="221"/>
      <c r="Y877" s="221"/>
      <c r="Z877" s="220"/>
      <c r="AA877" s="221"/>
      <c r="AB877" s="221"/>
      <c r="AC877" s="221"/>
      <c r="AD877" s="221"/>
      <c r="AE877" s="220"/>
      <c r="AF877" s="221"/>
      <c r="AG877" s="221"/>
      <c r="AH877" s="221"/>
      <c r="AI877" s="221"/>
      <c r="AJ877" s="220"/>
      <c r="AK877" s="221"/>
      <c r="AL877" s="221"/>
      <c r="AM877" s="221"/>
      <c r="AN877" s="221"/>
      <c r="AO877" s="220"/>
      <c r="AP877" s="221"/>
      <c r="AQ877" s="221"/>
      <c r="AR877" s="221"/>
      <c r="AS877" s="221"/>
      <c r="AT877" s="220"/>
      <c r="AU877" s="221"/>
      <c r="AV877" s="221"/>
      <c r="AW877" s="221"/>
      <c r="AX877" s="221"/>
      <c r="AY877" s="220"/>
      <c r="AZ877" s="221"/>
      <c r="BA877" s="221"/>
      <c r="BB877" s="221"/>
      <c r="BC877" s="221"/>
      <c r="BD877" s="574">
        <v>8</v>
      </c>
      <c r="BE877" s="221"/>
      <c r="BF877" s="221"/>
      <c r="BG877" s="221"/>
      <c r="BH877" s="221"/>
      <c r="BI877" s="582">
        <v>8</v>
      </c>
      <c r="BJ877" s="221"/>
      <c r="BK877" s="221"/>
      <c r="BL877" s="221"/>
      <c r="BM877" s="221"/>
      <c r="BN877" s="220"/>
      <c r="BO877" s="221"/>
      <c r="BP877" s="221"/>
      <c r="BQ877" s="221"/>
      <c r="BR877" s="221"/>
      <c r="BS877" s="220"/>
      <c r="BT877" s="220"/>
      <c r="BU877" s="220"/>
      <c r="BV877" s="220"/>
      <c r="BW877" s="223"/>
    </row>
    <row r="878" spans="1:75" s="169" customFormat="1" ht="14.25" hidden="1" outlineLevel="2" x14ac:dyDescent="0.45">
      <c r="A878" s="360" t="s">
        <v>944</v>
      </c>
      <c r="B878" s="361"/>
      <c r="C878" s="362"/>
      <c r="D878" s="362"/>
      <c r="E878" s="362"/>
      <c r="F878" s="362"/>
      <c r="G878" s="346"/>
      <c r="H878" s="346"/>
      <c r="I878" s="346"/>
      <c r="J878" s="346"/>
      <c r="K878" s="362"/>
      <c r="L878" s="346"/>
      <c r="M878" s="346"/>
      <c r="N878" s="346"/>
      <c r="O878" s="346"/>
      <c r="P878" s="362"/>
      <c r="Q878" s="346"/>
      <c r="R878" s="346"/>
      <c r="S878" s="346"/>
      <c r="T878" s="346"/>
      <c r="U878" s="362"/>
      <c r="V878" s="346"/>
      <c r="W878" s="346"/>
      <c r="X878" s="346"/>
      <c r="Y878" s="346"/>
      <c r="Z878" s="362"/>
      <c r="AA878" s="346"/>
      <c r="AB878" s="346"/>
      <c r="AC878" s="346"/>
      <c r="AD878" s="346"/>
      <c r="AE878" s="362"/>
      <c r="AF878" s="346"/>
      <c r="AG878" s="346"/>
      <c r="AH878" s="346"/>
      <c r="AI878" s="346"/>
      <c r="AJ878" s="362"/>
      <c r="AK878" s="346"/>
      <c r="AL878" s="346"/>
      <c r="AM878" s="346"/>
      <c r="AN878" s="346"/>
      <c r="AO878" s="362"/>
      <c r="AP878" s="346"/>
      <c r="AQ878" s="346"/>
      <c r="AR878" s="346"/>
      <c r="AS878" s="346"/>
      <c r="AT878" s="362"/>
      <c r="AU878" s="346"/>
      <c r="AV878" s="346"/>
      <c r="AW878" s="346"/>
      <c r="AX878" s="346"/>
      <c r="AY878" s="362"/>
      <c r="AZ878" s="346"/>
      <c r="BA878" s="346"/>
      <c r="BB878" s="346"/>
      <c r="BC878" s="346"/>
      <c r="BD878" s="551">
        <v>9</v>
      </c>
      <c r="BE878" s="346"/>
      <c r="BF878" s="346"/>
      <c r="BG878" s="346"/>
      <c r="BH878" s="346"/>
      <c r="BI878" s="554">
        <v>10</v>
      </c>
      <c r="BJ878" s="346"/>
      <c r="BK878" s="346"/>
      <c r="BL878" s="346"/>
      <c r="BM878" s="346"/>
      <c r="BN878" s="362"/>
      <c r="BO878" s="346"/>
      <c r="BP878" s="346"/>
      <c r="BQ878" s="346"/>
      <c r="BR878" s="346"/>
      <c r="BS878" s="362"/>
      <c r="BT878" s="362"/>
      <c r="BU878" s="362"/>
      <c r="BV878" s="362"/>
      <c r="BW878" s="168"/>
    </row>
    <row r="879" spans="1:75" s="123" customFormat="1" hidden="1" outlineLevel="2" x14ac:dyDescent="0.5">
      <c r="A879" s="184"/>
      <c r="B879" s="185"/>
      <c r="C879" s="186"/>
      <c r="D879" s="186"/>
      <c r="E879" s="186"/>
      <c r="F879" s="186"/>
      <c r="G879" s="187"/>
      <c r="H879" s="187"/>
      <c r="I879" s="187"/>
      <c r="J879" s="187"/>
      <c r="K879" s="186"/>
      <c r="L879" s="187"/>
      <c r="M879" s="187"/>
      <c r="N879" s="187"/>
      <c r="O879" s="187"/>
      <c r="P879" s="186"/>
      <c r="Q879" s="187"/>
      <c r="R879" s="187"/>
      <c r="S879" s="187"/>
      <c r="T879" s="187"/>
      <c r="U879" s="186"/>
      <c r="V879" s="187"/>
      <c r="W879" s="187"/>
      <c r="X879" s="187"/>
      <c r="Y879" s="187"/>
      <c r="Z879" s="186"/>
      <c r="AA879" s="187"/>
      <c r="AB879" s="187"/>
      <c r="AC879" s="187"/>
      <c r="AD879" s="187"/>
      <c r="AE879" s="186"/>
      <c r="AF879" s="187"/>
      <c r="AG879" s="187"/>
      <c r="AH879" s="187"/>
      <c r="AI879" s="187"/>
      <c r="AJ879" s="186"/>
      <c r="AK879" s="187"/>
      <c r="AL879" s="187"/>
      <c r="AM879" s="187"/>
      <c r="AN879" s="187"/>
      <c r="AO879" s="186"/>
      <c r="AP879" s="187"/>
      <c r="AQ879" s="187"/>
      <c r="AR879" s="187"/>
      <c r="AS879" s="187"/>
      <c r="AT879" s="186"/>
      <c r="AU879" s="187"/>
      <c r="AV879" s="187"/>
      <c r="AW879" s="187"/>
      <c r="AX879" s="187"/>
      <c r="AY879" s="186"/>
      <c r="AZ879" s="187"/>
      <c r="BA879" s="187"/>
      <c r="BB879" s="187"/>
      <c r="BC879" s="187"/>
      <c r="BD879" s="186"/>
      <c r="BE879" s="187"/>
      <c r="BF879" s="187"/>
      <c r="BG879" s="187"/>
      <c r="BH879" s="187"/>
      <c r="BI879" s="188"/>
      <c r="BJ879" s="187"/>
      <c r="BK879" s="187"/>
      <c r="BL879" s="187"/>
      <c r="BM879" s="187"/>
      <c r="BN879" s="186"/>
      <c r="BO879" s="187"/>
      <c r="BP879" s="187"/>
      <c r="BQ879" s="187"/>
      <c r="BR879" s="187"/>
      <c r="BS879" s="186"/>
      <c r="BT879" s="186"/>
      <c r="BU879" s="186"/>
      <c r="BV879" s="186"/>
      <c r="BW879" s="122"/>
    </row>
    <row r="880" spans="1:75" s="224" customFormat="1" hidden="1" outlineLevel="2" x14ac:dyDescent="0.5">
      <c r="A880" s="588" t="s">
        <v>945</v>
      </c>
      <c r="B880" s="219"/>
      <c r="C880" s="220"/>
      <c r="D880" s="220"/>
      <c r="E880" s="574">
        <v>1</v>
      </c>
      <c r="F880" s="574">
        <v>1</v>
      </c>
      <c r="G880" s="221"/>
      <c r="H880" s="221"/>
      <c r="I880" s="221"/>
      <c r="J880" s="221"/>
      <c r="K880" s="574">
        <v>1</v>
      </c>
      <c r="L880" s="221"/>
      <c r="M880" s="221"/>
      <c r="N880" s="221"/>
      <c r="O880" s="221"/>
      <c r="P880" s="574">
        <v>1</v>
      </c>
      <c r="Q880" s="221"/>
      <c r="R880" s="221"/>
      <c r="S880" s="221"/>
      <c r="T880" s="221"/>
      <c r="U880" s="574">
        <v>3</v>
      </c>
      <c r="V880" s="221"/>
      <c r="W880" s="221"/>
      <c r="X880" s="221"/>
      <c r="Y880" s="221"/>
      <c r="Z880" s="574">
        <v>3</v>
      </c>
      <c r="AA880" s="221"/>
      <c r="AB880" s="221"/>
      <c r="AC880" s="221"/>
      <c r="AD880" s="221"/>
      <c r="AE880" s="574">
        <v>2</v>
      </c>
      <c r="AF880" s="221"/>
      <c r="AG880" s="221"/>
      <c r="AH880" s="221"/>
      <c r="AI880" s="221"/>
      <c r="AJ880" s="574">
        <v>3</v>
      </c>
      <c r="AK880" s="221"/>
      <c r="AL880" s="221"/>
      <c r="AM880" s="221"/>
      <c r="AN880" s="221"/>
      <c r="AO880" s="574">
        <v>2</v>
      </c>
      <c r="AP880" s="221"/>
      <c r="AQ880" s="221"/>
      <c r="AR880" s="221"/>
      <c r="AS880" s="221"/>
      <c r="AT880" s="574">
        <v>3</v>
      </c>
      <c r="AU880" s="221"/>
      <c r="AV880" s="221"/>
      <c r="AW880" s="221"/>
      <c r="AX880" s="221"/>
      <c r="AY880" s="574">
        <v>4</v>
      </c>
      <c r="AZ880" s="221"/>
      <c r="BA880" s="221"/>
      <c r="BB880" s="221"/>
      <c r="BC880" s="221"/>
      <c r="BD880" s="574">
        <v>7</v>
      </c>
      <c r="BE880" s="221"/>
      <c r="BF880" s="221"/>
      <c r="BG880" s="221"/>
      <c r="BH880" s="221"/>
      <c r="BI880" s="582">
        <v>8</v>
      </c>
      <c r="BJ880" s="221"/>
      <c r="BK880" s="221"/>
      <c r="BL880" s="221"/>
      <c r="BM880" s="221"/>
      <c r="BN880" s="220"/>
      <c r="BO880" s="221"/>
      <c r="BP880" s="221"/>
      <c r="BQ880" s="221"/>
      <c r="BR880" s="221"/>
      <c r="BS880" s="220"/>
      <c r="BT880" s="220"/>
      <c r="BU880" s="220"/>
      <c r="BV880" s="220"/>
      <c r="BW880" s="223"/>
    </row>
    <row r="881" spans="1:75" s="224" customFormat="1" hidden="1" outlineLevel="2" x14ac:dyDescent="0.5">
      <c r="A881" s="588" t="s">
        <v>946</v>
      </c>
      <c r="B881" s="219"/>
      <c r="C881" s="220"/>
      <c r="D881" s="220"/>
      <c r="E881" s="220"/>
      <c r="F881" s="220"/>
      <c r="G881" s="221"/>
      <c r="H881" s="221"/>
      <c r="I881" s="221"/>
      <c r="J881" s="221"/>
      <c r="K881" s="220"/>
      <c r="L881" s="221"/>
      <c r="M881" s="221"/>
      <c r="N881" s="221"/>
      <c r="O881" s="221"/>
      <c r="P881" s="220"/>
      <c r="Q881" s="221"/>
      <c r="R881" s="221"/>
      <c r="S881" s="221"/>
      <c r="T881" s="221"/>
      <c r="U881" s="220"/>
      <c r="V881" s="221"/>
      <c r="W881" s="221"/>
      <c r="X881" s="221"/>
      <c r="Y881" s="221"/>
      <c r="Z881" s="220"/>
      <c r="AA881" s="221"/>
      <c r="AB881" s="221"/>
      <c r="AC881" s="221"/>
      <c r="AD881" s="221"/>
      <c r="AE881" s="220"/>
      <c r="AF881" s="221"/>
      <c r="AG881" s="221"/>
      <c r="AH881" s="221"/>
      <c r="AI881" s="221"/>
      <c r="AJ881" s="220"/>
      <c r="AK881" s="221"/>
      <c r="AL881" s="221"/>
      <c r="AM881" s="221"/>
      <c r="AN881" s="221"/>
      <c r="AO881" s="220"/>
      <c r="AP881" s="221"/>
      <c r="AQ881" s="221"/>
      <c r="AR881" s="221"/>
      <c r="AS881" s="221"/>
      <c r="AT881" s="220"/>
      <c r="AU881" s="221"/>
      <c r="AV881" s="221"/>
      <c r="AW881" s="221"/>
      <c r="AX881" s="221"/>
      <c r="AY881" s="220"/>
      <c r="AZ881" s="221"/>
      <c r="BA881" s="221"/>
      <c r="BB881" s="221"/>
      <c r="BC881" s="221"/>
      <c r="BD881" s="574">
        <v>2</v>
      </c>
      <c r="BE881" s="221"/>
      <c r="BF881" s="221"/>
      <c r="BG881" s="221"/>
      <c r="BH881" s="221"/>
      <c r="BI881" s="582">
        <v>2</v>
      </c>
      <c r="BJ881" s="221"/>
      <c r="BK881" s="221"/>
      <c r="BL881" s="221"/>
      <c r="BM881" s="221"/>
      <c r="BN881" s="220"/>
      <c r="BO881" s="221"/>
      <c r="BP881" s="221"/>
      <c r="BQ881" s="221"/>
      <c r="BR881" s="221"/>
      <c r="BS881" s="220"/>
      <c r="BT881" s="220"/>
      <c r="BU881" s="220"/>
      <c r="BV881" s="220"/>
      <c r="BW881" s="223"/>
    </row>
    <row r="882" spans="1:75" s="123" customFormat="1" hidden="1" outlineLevel="1" x14ac:dyDescent="0.5">
      <c r="A882" s="184"/>
      <c r="B882" s="185"/>
      <c r="C882" s="186"/>
      <c r="D882" s="186"/>
      <c r="E882" s="186"/>
      <c r="F882" s="186"/>
      <c r="G882" s="187"/>
      <c r="H882" s="187"/>
      <c r="I882" s="187"/>
      <c r="J882" s="187"/>
      <c r="K882" s="186"/>
      <c r="L882" s="187"/>
      <c r="M882" s="187"/>
      <c r="N882" s="187"/>
      <c r="O882" s="187"/>
      <c r="P882" s="186"/>
      <c r="Q882" s="187"/>
      <c r="R882" s="187"/>
      <c r="S882" s="187"/>
      <c r="T882" s="187"/>
      <c r="U882" s="186"/>
      <c r="V882" s="187"/>
      <c r="W882" s="187"/>
      <c r="X882" s="187"/>
      <c r="Y882" s="187"/>
      <c r="Z882" s="186"/>
      <c r="AA882" s="187"/>
      <c r="AB882" s="187"/>
      <c r="AC882" s="187"/>
      <c r="AD882" s="187"/>
      <c r="AE882" s="186"/>
      <c r="AF882" s="187"/>
      <c r="AG882" s="187"/>
      <c r="AH882" s="187"/>
      <c r="AI882" s="187"/>
      <c r="AJ882" s="186"/>
      <c r="AK882" s="187"/>
      <c r="AL882" s="187"/>
      <c r="AM882" s="187"/>
      <c r="AN882" s="187"/>
      <c r="AO882" s="186"/>
      <c r="AP882" s="187"/>
      <c r="AQ882" s="187"/>
      <c r="AR882" s="187"/>
      <c r="AS882" s="187"/>
      <c r="AT882" s="186"/>
      <c r="AU882" s="187"/>
      <c r="AV882" s="187"/>
      <c r="AW882" s="187"/>
      <c r="AX882" s="187"/>
      <c r="AY882" s="186"/>
      <c r="AZ882" s="187"/>
      <c r="BA882" s="187"/>
      <c r="BB882" s="187"/>
      <c r="BC882" s="187"/>
      <c r="BD882" s="186"/>
      <c r="BE882" s="187"/>
      <c r="BF882" s="187"/>
      <c r="BG882" s="187"/>
      <c r="BH882" s="187"/>
      <c r="BI882" s="188"/>
      <c r="BJ882" s="187"/>
      <c r="BK882" s="187"/>
      <c r="BL882" s="187"/>
      <c r="BM882" s="187"/>
      <c r="BN882" s="186"/>
      <c r="BO882" s="187"/>
      <c r="BP882" s="187"/>
      <c r="BQ882" s="187"/>
      <c r="BR882" s="187"/>
      <c r="BS882" s="186"/>
      <c r="BT882" s="186"/>
      <c r="BU882" s="186"/>
      <c r="BV882" s="186"/>
      <c r="BW882" s="122"/>
    </row>
    <row r="883" spans="1:75" s="589" customFormat="1" ht="14.25" hidden="1" outlineLevel="1" x14ac:dyDescent="0.45">
      <c r="A883" s="511" t="s">
        <v>947</v>
      </c>
      <c r="B883" s="511"/>
      <c r="C883" s="511"/>
      <c r="D883" s="511"/>
      <c r="E883" s="511"/>
      <c r="F883" s="511"/>
      <c r="G883" s="511"/>
      <c r="H883" s="511"/>
      <c r="I883" s="511"/>
      <c r="J883" s="511"/>
      <c r="K883" s="511"/>
      <c r="L883" s="511"/>
      <c r="M883" s="511"/>
      <c r="N883" s="511"/>
      <c r="O883" s="511"/>
      <c r="P883" s="511"/>
      <c r="Q883" s="511"/>
      <c r="R883" s="511"/>
      <c r="S883" s="511"/>
      <c r="T883" s="511"/>
      <c r="U883" s="511"/>
      <c r="V883" s="511"/>
      <c r="W883" s="511"/>
      <c r="X883" s="511"/>
      <c r="Y883" s="511"/>
      <c r="Z883" s="511"/>
      <c r="AA883" s="511"/>
      <c r="AB883" s="511"/>
      <c r="AC883" s="511"/>
      <c r="AD883" s="511"/>
      <c r="AE883" s="511"/>
      <c r="AF883" s="511"/>
      <c r="AG883" s="511"/>
      <c r="AH883" s="511"/>
      <c r="AI883" s="511"/>
      <c r="AJ883" s="511"/>
      <c r="AK883" s="511"/>
      <c r="AL883" s="511"/>
      <c r="AM883" s="511"/>
      <c r="AN883" s="511"/>
      <c r="AO883" s="511"/>
      <c r="AP883" s="511"/>
      <c r="AQ883" s="511"/>
      <c r="AR883" s="511"/>
      <c r="AS883" s="511"/>
      <c r="AT883" s="511"/>
      <c r="AU883" s="511"/>
      <c r="AV883" s="511"/>
      <c r="AW883" s="511"/>
      <c r="AX883" s="511"/>
      <c r="AY883" s="511"/>
      <c r="AZ883" s="511"/>
      <c r="BA883" s="511"/>
      <c r="BB883" s="511"/>
      <c r="BC883" s="511"/>
      <c r="BD883" s="511"/>
      <c r="BE883" s="511"/>
      <c r="BF883" s="511"/>
      <c r="BG883" s="511"/>
      <c r="BH883" s="511"/>
      <c r="BI883" s="512"/>
      <c r="BJ883" s="511"/>
      <c r="BK883" s="511"/>
      <c r="BL883" s="511"/>
      <c r="BM883" s="511"/>
      <c r="BN883" s="511"/>
      <c r="BO883" s="511"/>
      <c r="BP883" s="511"/>
      <c r="BQ883" s="511"/>
      <c r="BR883" s="511"/>
      <c r="BS883" s="511"/>
      <c r="BT883" s="511"/>
      <c r="BU883" s="511"/>
      <c r="BV883" s="511"/>
      <c r="BW883" s="197"/>
    </row>
    <row r="884" spans="1:75" s="224" customFormat="1" hidden="1" outlineLevel="2" x14ac:dyDescent="0.5">
      <c r="A884" s="590" t="s">
        <v>948</v>
      </c>
      <c r="B884" s="487"/>
      <c r="C884" s="252"/>
      <c r="D884" s="252"/>
      <c r="E884" s="252"/>
      <c r="F884" s="252"/>
      <c r="G884" s="253"/>
      <c r="H884" s="253"/>
      <c r="I884" s="253"/>
      <c r="J884" s="253"/>
      <c r="K884" s="252"/>
      <c r="L884" s="253"/>
      <c r="M884" s="253"/>
      <c r="N884" s="253"/>
      <c r="O884" s="253"/>
      <c r="P884" s="252"/>
      <c r="Q884" s="253"/>
      <c r="R884" s="253"/>
      <c r="S884" s="253"/>
      <c r="T884" s="253"/>
      <c r="U884" s="252"/>
      <c r="V884" s="253"/>
      <c r="W884" s="253"/>
      <c r="X884" s="253"/>
      <c r="Y884" s="253"/>
      <c r="Z884" s="252"/>
      <c r="AA884" s="253"/>
      <c r="AB884" s="253"/>
      <c r="AC884" s="253"/>
      <c r="AD884" s="253"/>
      <c r="AE884" s="259">
        <v>405</v>
      </c>
      <c r="AF884" s="253"/>
      <c r="AG884" s="253"/>
      <c r="AH884" s="253"/>
      <c r="AI884" s="253"/>
      <c r="AJ884" s="259">
        <v>418</v>
      </c>
      <c r="AK884" s="253"/>
      <c r="AL884" s="253"/>
      <c r="AM884" s="253"/>
      <c r="AN884" s="253"/>
      <c r="AO884" s="259">
        <v>415</v>
      </c>
      <c r="AP884" s="253"/>
      <c r="AQ884" s="253"/>
      <c r="AR884" s="253"/>
      <c r="AS884" s="253"/>
      <c r="AT884" s="259">
        <v>434</v>
      </c>
      <c r="AU884" s="253"/>
      <c r="AV884" s="253"/>
      <c r="AW884" s="253"/>
      <c r="AX884" s="253"/>
      <c r="AY884" s="259">
        <v>459</v>
      </c>
      <c r="AZ884" s="253"/>
      <c r="BA884" s="253"/>
      <c r="BB884" s="253"/>
      <c r="BC884" s="253"/>
      <c r="BD884" s="259">
        <v>351</v>
      </c>
      <c r="BE884" s="253"/>
      <c r="BF884" s="253"/>
      <c r="BG884" s="253"/>
      <c r="BH884" s="253"/>
      <c r="BI884" s="257">
        <v>281</v>
      </c>
      <c r="BJ884" s="253"/>
      <c r="BK884" s="253"/>
      <c r="BL884" s="253"/>
      <c r="BM884" s="253"/>
      <c r="BN884" s="252"/>
      <c r="BO884" s="253"/>
      <c r="BP884" s="253"/>
      <c r="BQ884" s="253"/>
      <c r="BR884" s="253"/>
      <c r="BS884" s="252"/>
      <c r="BT884" s="252"/>
      <c r="BU884" s="252"/>
      <c r="BV884" s="252"/>
      <c r="BW884" s="223"/>
    </row>
    <row r="885" spans="1:75" s="598" customFormat="1" hidden="1" outlineLevel="2" x14ac:dyDescent="0.5">
      <c r="A885" s="591" t="s">
        <v>949</v>
      </c>
      <c r="B885" s="592"/>
      <c r="C885" s="593"/>
      <c r="D885" s="593"/>
      <c r="E885" s="593"/>
      <c r="F885" s="593"/>
      <c r="G885" s="594"/>
      <c r="H885" s="594"/>
      <c r="I885" s="594"/>
      <c r="J885" s="594"/>
      <c r="K885" s="593"/>
      <c r="L885" s="594"/>
      <c r="M885" s="594"/>
      <c r="N885" s="594"/>
      <c r="O885" s="594"/>
      <c r="P885" s="593"/>
      <c r="Q885" s="594"/>
      <c r="R885" s="594"/>
      <c r="S885" s="594"/>
      <c r="T885" s="594"/>
      <c r="U885" s="593"/>
      <c r="V885" s="594"/>
      <c r="W885" s="594"/>
      <c r="X885" s="594"/>
      <c r="Y885" s="594"/>
      <c r="Z885" s="593"/>
      <c r="AA885" s="594"/>
      <c r="AB885" s="594"/>
      <c r="AC885" s="594"/>
      <c r="AD885" s="594"/>
      <c r="AE885" s="595">
        <v>0.95</v>
      </c>
      <c r="AF885" s="594"/>
      <c r="AG885" s="594"/>
      <c r="AH885" s="594"/>
      <c r="AI885" s="594"/>
      <c r="AJ885" s="595">
        <v>0.95</v>
      </c>
      <c r="AK885" s="594"/>
      <c r="AL885" s="594"/>
      <c r="AM885" s="594"/>
      <c r="AN885" s="594"/>
      <c r="AO885" s="595">
        <v>0.95</v>
      </c>
      <c r="AP885" s="594"/>
      <c r="AQ885" s="594"/>
      <c r="AR885" s="594"/>
      <c r="AS885" s="594"/>
      <c r="AT885" s="595">
        <v>0.97</v>
      </c>
      <c r="AU885" s="594"/>
      <c r="AV885" s="594"/>
      <c r="AW885" s="594"/>
      <c r="AX885" s="594"/>
      <c r="AY885" s="595">
        <v>0.97</v>
      </c>
      <c r="AZ885" s="594"/>
      <c r="BA885" s="594"/>
      <c r="BB885" s="594"/>
      <c r="BC885" s="594"/>
      <c r="BD885" s="595">
        <v>0.97</v>
      </c>
      <c r="BE885" s="594"/>
      <c r="BF885" s="594"/>
      <c r="BG885" s="594"/>
      <c r="BH885" s="594"/>
      <c r="BI885" s="596">
        <v>0.97</v>
      </c>
      <c r="BJ885" s="594"/>
      <c r="BK885" s="594"/>
      <c r="BL885" s="594"/>
      <c r="BM885" s="594"/>
      <c r="BN885" s="593"/>
      <c r="BO885" s="594"/>
      <c r="BP885" s="594"/>
      <c r="BQ885" s="594"/>
      <c r="BR885" s="594"/>
      <c r="BS885" s="593"/>
      <c r="BT885" s="593"/>
      <c r="BU885" s="593"/>
      <c r="BV885" s="593"/>
      <c r="BW885" s="597"/>
    </row>
    <row r="886" spans="1:75" s="217" customFormat="1" hidden="1" outlineLevel="1" x14ac:dyDescent="0.5">
      <c r="A886" s="526"/>
      <c r="B886" s="212"/>
      <c r="C886" s="213"/>
      <c r="D886" s="213"/>
      <c r="E886" s="213"/>
      <c r="F886" s="213"/>
      <c r="G886" s="214"/>
      <c r="H886" s="214"/>
      <c r="I886" s="214"/>
      <c r="J886" s="214"/>
      <c r="K886" s="213"/>
      <c r="L886" s="214"/>
      <c r="M886" s="214"/>
      <c r="N886" s="214"/>
      <c r="O886" s="214"/>
      <c r="P886" s="213"/>
      <c r="Q886" s="214"/>
      <c r="R886" s="214"/>
      <c r="S886" s="214"/>
      <c r="T886" s="214"/>
      <c r="U886" s="213"/>
      <c r="V886" s="214"/>
      <c r="W886" s="214"/>
      <c r="X886" s="214"/>
      <c r="Y886" s="214"/>
      <c r="Z886" s="213"/>
      <c r="AA886" s="214"/>
      <c r="AB886" s="214"/>
      <c r="AC886" s="214"/>
      <c r="AD886" s="214"/>
      <c r="AE886" s="213"/>
      <c r="AF886" s="214"/>
      <c r="AG886" s="214"/>
      <c r="AH886" s="214"/>
      <c r="AI886" s="214"/>
      <c r="AJ886" s="213"/>
      <c r="AK886" s="214"/>
      <c r="AL886" s="214"/>
      <c r="AM886" s="214"/>
      <c r="AN886" s="214"/>
      <c r="AO886" s="213"/>
      <c r="AP886" s="214"/>
      <c r="AQ886" s="214"/>
      <c r="AR886" s="214"/>
      <c r="AS886" s="214"/>
      <c r="AT886" s="213"/>
      <c r="AU886" s="214"/>
      <c r="AV886" s="214"/>
      <c r="AW886" s="214"/>
      <c r="AX886" s="214"/>
      <c r="AY886" s="213"/>
      <c r="AZ886" s="214"/>
      <c r="BA886" s="214"/>
      <c r="BB886" s="214"/>
      <c r="BC886" s="214"/>
      <c r="BD886" s="213"/>
      <c r="BE886" s="214"/>
      <c r="BF886" s="214"/>
      <c r="BG886" s="214"/>
      <c r="BH886" s="214"/>
      <c r="BI886" s="215"/>
      <c r="BJ886" s="214"/>
      <c r="BK886" s="214"/>
      <c r="BL886" s="214"/>
      <c r="BM886" s="214"/>
      <c r="BN886" s="213"/>
      <c r="BO886" s="214"/>
      <c r="BP886" s="214"/>
      <c r="BQ886" s="214"/>
      <c r="BR886" s="214"/>
      <c r="BS886" s="213"/>
      <c r="BT886" s="213"/>
      <c r="BU886" s="213"/>
      <c r="BV886" s="213"/>
      <c r="BW886" s="216"/>
    </row>
    <row r="887" spans="1:75" s="217" customFormat="1" hidden="1" outlineLevel="1" x14ac:dyDescent="0.5">
      <c r="A887" s="511" t="s">
        <v>950</v>
      </c>
      <c r="B887" s="511"/>
      <c r="C887" s="511"/>
      <c r="D887" s="511"/>
      <c r="E887" s="511"/>
      <c r="F887" s="511"/>
      <c r="G887" s="511"/>
      <c r="H887" s="511"/>
      <c r="I887" s="511"/>
      <c r="J887" s="511"/>
      <c r="K887" s="511"/>
      <c r="L887" s="511"/>
      <c r="M887" s="511"/>
      <c r="N887" s="511"/>
      <c r="O887" s="511"/>
      <c r="P887" s="511"/>
      <c r="Q887" s="511"/>
      <c r="R887" s="511"/>
      <c r="S887" s="511"/>
      <c r="T887" s="511"/>
      <c r="U887" s="511"/>
      <c r="V887" s="511"/>
      <c r="W887" s="511"/>
      <c r="X887" s="511"/>
      <c r="Y887" s="511"/>
      <c r="Z887" s="511"/>
      <c r="AA887" s="511"/>
      <c r="AB887" s="511"/>
      <c r="AC887" s="511"/>
      <c r="AD887" s="511"/>
      <c r="AE887" s="511"/>
      <c r="AF887" s="511"/>
      <c r="AG887" s="511"/>
      <c r="AH887" s="511"/>
      <c r="AI887" s="511"/>
      <c r="AJ887" s="511"/>
      <c r="AK887" s="511"/>
      <c r="AL887" s="511"/>
      <c r="AM887" s="511"/>
      <c r="AN887" s="511"/>
      <c r="AO887" s="511"/>
      <c r="AP887" s="511"/>
      <c r="AQ887" s="511"/>
      <c r="AR887" s="511"/>
      <c r="AS887" s="511"/>
      <c r="AT887" s="511"/>
      <c r="AU887" s="511"/>
      <c r="AV887" s="511"/>
      <c r="AW887" s="511"/>
      <c r="AX887" s="511"/>
      <c r="AY887" s="511"/>
      <c r="AZ887" s="511"/>
      <c r="BA887" s="511"/>
      <c r="BB887" s="511"/>
      <c r="BC887" s="511"/>
      <c r="BD887" s="511"/>
      <c r="BE887" s="511"/>
      <c r="BF887" s="511"/>
      <c r="BG887" s="511"/>
      <c r="BH887" s="511"/>
      <c r="BI887" s="512"/>
      <c r="BJ887" s="511"/>
      <c r="BK887" s="511"/>
      <c r="BL887" s="511"/>
      <c r="BM887" s="511"/>
      <c r="BN887" s="511"/>
      <c r="BO887" s="511"/>
      <c r="BP887" s="511"/>
      <c r="BQ887" s="511"/>
      <c r="BR887" s="511"/>
      <c r="BS887" s="511"/>
      <c r="BT887" s="511"/>
      <c r="BU887" s="511"/>
      <c r="BV887" s="511"/>
      <c r="BW887" s="216"/>
    </row>
    <row r="888" spans="1:75" s="217" customFormat="1" hidden="1" outlineLevel="2" x14ac:dyDescent="0.5">
      <c r="A888" s="599" t="s">
        <v>951</v>
      </c>
      <c r="B888" s="179"/>
      <c r="C888" s="600"/>
      <c r="D888" s="600"/>
      <c r="E888" s="600"/>
      <c r="F888" s="601">
        <v>0.78</v>
      </c>
      <c r="G888" s="602"/>
      <c r="H888" s="602"/>
      <c r="I888" s="602"/>
      <c r="J888" s="602"/>
      <c r="K888" s="601">
        <v>0.69</v>
      </c>
      <c r="L888" s="602"/>
      <c r="M888" s="602"/>
      <c r="N888" s="602"/>
      <c r="O888" s="602"/>
      <c r="P888" s="601">
        <v>0.84</v>
      </c>
      <c r="Q888" s="602"/>
      <c r="R888" s="602"/>
      <c r="S888" s="602"/>
      <c r="T888" s="602"/>
      <c r="U888" s="601">
        <v>0.82</v>
      </c>
      <c r="V888" s="602"/>
      <c r="W888" s="602"/>
      <c r="X888" s="602"/>
      <c r="Y888" s="602"/>
      <c r="Z888" s="601">
        <v>0.78</v>
      </c>
      <c r="AA888" s="602"/>
      <c r="AB888" s="602"/>
      <c r="AC888" s="602"/>
      <c r="AD888" s="602"/>
      <c r="AE888" s="601">
        <v>0.77</v>
      </c>
      <c r="AF888" s="602"/>
      <c r="AG888" s="602"/>
      <c r="AH888" s="602"/>
      <c r="AI888" s="602"/>
      <c r="AJ888" s="601">
        <v>0.73</v>
      </c>
      <c r="AK888" s="602"/>
      <c r="AL888" s="602"/>
      <c r="AM888" s="602"/>
      <c r="AN888" s="602"/>
      <c r="AO888" s="601">
        <v>0.7</v>
      </c>
      <c r="AP888" s="602"/>
      <c r="AQ888" s="602"/>
      <c r="AR888" s="602"/>
      <c r="AS888" s="602"/>
      <c r="AT888" s="601">
        <v>0.72</v>
      </c>
      <c r="AU888" s="602"/>
      <c r="AV888" s="602"/>
      <c r="AW888" s="602"/>
      <c r="AX888" s="602"/>
      <c r="AY888" s="601">
        <v>0.69</v>
      </c>
      <c r="AZ888" s="602"/>
      <c r="BA888" s="602"/>
      <c r="BB888" s="602"/>
      <c r="BC888" s="602"/>
      <c r="BD888" s="601">
        <v>0.71</v>
      </c>
      <c r="BE888" s="602"/>
      <c r="BF888" s="602"/>
      <c r="BG888" s="602"/>
      <c r="BH888" s="602"/>
      <c r="BI888" s="603">
        <v>0.66</v>
      </c>
      <c r="BJ888" s="181"/>
      <c r="BK888" s="181"/>
      <c r="BL888" s="181"/>
      <c r="BM888" s="181"/>
      <c r="BN888" s="180"/>
      <c r="BO888" s="181"/>
      <c r="BP888" s="181"/>
      <c r="BQ888" s="181"/>
      <c r="BR888" s="181"/>
      <c r="BS888" s="180"/>
      <c r="BT888" s="180"/>
      <c r="BU888" s="180"/>
      <c r="BV888" s="180"/>
      <c r="BW888" s="216"/>
    </row>
    <row r="889" spans="1:75" s="217" customFormat="1" hidden="1" outlineLevel="2" x14ac:dyDescent="0.5">
      <c r="A889" s="599" t="s">
        <v>952</v>
      </c>
      <c r="B889" s="179"/>
      <c r="C889" s="600"/>
      <c r="D889" s="600"/>
      <c r="E889" s="600"/>
      <c r="F889" s="601">
        <v>0.15</v>
      </c>
      <c r="G889" s="602"/>
      <c r="H889" s="602"/>
      <c r="I889" s="602"/>
      <c r="J889" s="602"/>
      <c r="K889" s="601">
        <v>0.26</v>
      </c>
      <c r="L889" s="602"/>
      <c r="M889" s="602"/>
      <c r="N889" s="602"/>
      <c r="O889" s="602"/>
      <c r="P889" s="601">
        <v>0.1</v>
      </c>
      <c r="Q889" s="602"/>
      <c r="R889" s="602"/>
      <c r="S889" s="602"/>
      <c r="T889" s="602"/>
      <c r="U889" s="601">
        <v>0.11</v>
      </c>
      <c r="V889" s="602"/>
      <c r="W889" s="602"/>
      <c r="X889" s="602"/>
      <c r="Y889" s="602"/>
      <c r="Z889" s="601">
        <v>0.12</v>
      </c>
      <c r="AA889" s="602"/>
      <c r="AB889" s="602"/>
      <c r="AC889" s="602"/>
      <c r="AD889" s="602"/>
      <c r="AE889" s="601">
        <v>0.14000000000000001</v>
      </c>
      <c r="AF889" s="602"/>
      <c r="AG889" s="602"/>
      <c r="AH889" s="602"/>
      <c r="AI889" s="602"/>
      <c r="AJ889" s="601">
        <v>0.15</v>
      </c>
      <c r="AK889" s="602"/>
      <c r="AL889" s="602"/>
      <c r="AM889" s="602"/>
      <c r="AN889" s="602"/>
      <c r="AO889" s="601">
        <v>0.16</v>
      </c>
      <c r="AP889" s="602"/>
      <c r="AQ889" s="602"/>
      <c r="AR889" s="602"/>
      <c r="AS889" s="602"/>
      <c r="AT889" s="601">
        <v>0.15</v>
      </c>
      <c r="AU889" s="602"/>
      <c r="AV889" s="602"/>
      <c r="AW889" s="602"/>
      <c r="AX889" s="602"/>
      <c r="AY889" s="601">
        <v>0.15</v>
      </c>
      <c r="AZ889" s="602"/>
      <c r="BA889" s="602"/>
      <c r="BB889" s="602"/>
      <c r="BC889" s="602"/>
      <c r="BD889" s="601">
        <v>0.12</v>
      </c>
      <c r="BE889" s="602"/>
      <c r="BF889" s="602"/>
      <c r="BG889" s="602"/>
      <c r="BH889" s="602"/>
      <c r="BI889" s="603">
        <v>0.14000000000000001</v>
      </c>
      <c r="BJ889" s="181"/>
      <c r="BK889" s="181"/>
      <c r="BL889" s="181"/>
      <c r="BM889" s="181"/>
      <c r="BN889" s="180"/>
      <c r="BO889" s="181"/>
      <c r="BP889" s="181"/>
      <c r="BQ889" s="181"/>
      <c r="BR889" s="181"/>
      <c r="BS889" s="180"/>
      <c r="BT889" s="180"/>
      <c r="BU889" s="180"/>
      <c r="BV889" s="180"/>
      <c r="BW889" s="216"/>
    </row>
    <row r="890" spans="1:75" s="217" customFormat="1" hidden="1" outlineLevel="2" x14ac:dyDescent="0.5">
      <c r="A890" s="599" t="s">
        <v>953</v>
      </c>
      <c r="B890" s="179"/>
      <c r="C890" s="600"/>
      <c r="D890" s="600"/>
      <c r="E890" s="600"/>
      <c r="F890" s="604">
        <v>6.9999999999999951E-2</v>
      </c>
      <c r="G890" s="602"/>
      <c r="H890" s="602"/>
      <c r="I890" s="602"/>
      <c r="J890" s="602"/>
      <c r="K890" s="604">
        <v>5.0000000000000044E-2</v>
      </c>
      <c r="L890" s="602"/>
      <c r="M890" s="602"/>
      <c r="N890" s="602"/>
      <c r="O890" s="602"/>
      <c r="P890" s="604">
        <v>6.0000000000000053E-2</v>
      </c>
      <c r="Q890" s="602"/>
      <c r="R890" s="602"/>
      <c r="S890" s="602"/>
      <c r="T890" s="602"/>
      <c r="U890" s="604">
        <v>7.0000000000000062E-2</v>
      </c>
      <c r="V890" s="602"/>
      <c r="W890" s="602"/>
      <c r="X890" s="602"/>
      <c r="Y890" s="602"/>
      <c r="Z890" s="604">
        <v>9.9999999999999978E-2</v>
      </c>
      <c r="AA890" s="602"/>
      <c r="AB890" s="602"/>
      <c r="AC890" s="602"/>
      <c r="AD890" s="602"/>
      <c r="AE890" s="604">
        <v>8.9999999999999969E-2</v>
      </c>
      <c r="AF890" s="602"/>
      <c r="AG890" s="602"/>
      <c r="AH890" s="602"/>
      <c r="AI890" s="602"/>
      <c r="AJ890" s="604">
        <v>0.12</v>
      </c>
      <c r="AK890" s="602"/>
      <c r="AL890" s="602"/>
      <c r="AM890" s="602"/>
      <c r="AN890" s="602"/>
      <c r="AO890" s="604">
        <v>0.14000000000000001</v>
      </c>
      <c r="AP890" s="602"/>
      <c r="AQ890" s="602"/>
      <c r="AR890" s="602"/>
      <c r="AS890" s="602"/>
      <c r="AT890" s="600">
        <v>0.13</v>
      </c>
      <c r="AU890" s="602"/>
      <c r="AV890" s="602"/>
      <c r="AW890" s="602"/>
      <c r="AX890" s="602"/>
      <c r="AY890" s="600">
        <v>0.16000000000000003</v>
      </c>
      <c r="AZ890" s="602"/>
      <c r="BA890" s="602"/>
      <c r="BB890" s="602"/>
      <c r="BC890" s="602"/>
      <c r="BD890" s="600">
        <v>0.17000000000000004</v>
      </c>
      <c r="BE890" s="602"/>
      <c r="BF890" s="602"/>
      <c r="BG890" s="602"/>
      <c r="BH890" s="602"/>
      <c r="BI890" s="605">
        <v>0.19999999999999996</v>
      </c>
      <c r="BJ890" s="181"/>
      <c r="BK890" s="181"/>
      <c r="BL890" s="181"/>
      <c r="BM890" s="181"/>
      <c r="BN890" s="180"/>
      <c r="BO890" s="181"/>
      <c r="BP890" s="181"/>
      <c r="BQ890" s="181"/>
      <c r="BR890" s="181"/>
      <c r="BS890" s="180"/>
      <c r="BT890" s="180"/>
      <c r="BU890" s="180"/>
      <c r="BV890" s="180"/>
      <c r="BW890" s="216"/>
    </row>
    <row r="891" spans="1:75" s="217" customFormat="1" hidden="1" outlineLevel="2" x14ac:dyDescent="0.5">
      <c r="A891" s="606" t="s">
        <v>954</v>
      </c>
      <c r="B891" s="528"/>
      <c r="C891" s="607"/>
      <c r="D891" s="607"/>
      <c r="E891" s="607"/>
      <c r="F891" s="608">
        <v>1</v>
      </c>
      <c r="G891" s="609"/>
      <c r="H891" s="609"/>
      <c r="I891" s="609"/>
      <c r="J891" s="609"/>
      <c r="K891" s="608">
        <v>1</v>
      </c>
      <c r="L891" s="609"/>
      <c r="M891" s="609"/>
      <c r="N891" s="609"/>
      <c r="O891" s="609"/>
      <c r="P891" s="608">
        <v>1</v>
      </c>
      <c r="Q891" s="609"/>
      <c r="R891" s="609"/>
      <c r="S891" s="609"/>
      <c r="T891" s="609"/>
      <c r="U891" s="608">
        <v>1</v>
      </c>
      <c r="V891" s="609"/>
      <c r="W891" s="609"/>
      <c r="X891" s="609"/>
      <c r="Y891" s="609"/>
      <c r="Z891" s="608">
        <v>1</v>
      </c>
      <c r="AA891" s="609"/>
      <c r="AB891" s="609"/>
      <c r="AC891" s="609"/>
      <c r="AD891" s="609"/>
      <c r="AE891" s="608">
        <v>1</v>
      </c>
      <c r="AF891" s="609"/>
      <c r="AG891" s="609"/>
      <c r="AH891" s="609"/>
      <c r="AI891" s="609"/>
      <c r="AJ891" s="608">
        <v>1</v>
      </c>
      <c r="AK891" s="609"/>
      <c r="AL891" s="609"/>
      <c r="AM891" s="609"/>
      <c r="AN891" s="609"/>
      <c r="AO891" s="608">
        <v>1</v>
      </c>
      <c r="AP891" s="609"/>
      <c r="AQ891" s="609"/>
      <c r="AR891" s="609"/>
      <c r="AS891" s="609"/>
      <c r="AT891" s="608">
        <v>1</v>
      </c>
      <c r="AU891" s="609"/>
      <c r="AV891" s="609"/>
      <c r="AW891" s="609"/>
      <c r="AX891" s="609"/>
      <c r="AY891" s="608">
        <v>1</v>
      </c>
      <c r="AZ891" s="609"/>
      <c r="BA891" s="609"/>
      <c r="BB891" s="609"/>
      <c r="BC891" s="609"/>
      <c r="BD891" s="608">
        <v>1</v>
      </c>
      <c r="BE891" s="609"/>
      <c r="BF891" s="609"/>
      <c r="BG891" s="609"/>
      <c r="BH891" s="609"/>
      <c r="BI891" s="610">
        <v>1</v>
      </c>
      <c r="BJ891" s="530"/>
      <c r="BK891" s="530"/>
      <c r="BL891" s="530"/>
      <c r="BM891" s="530"/>
      <c r="BN891" s="529"/>
      <c r="BO891" s="530"/>
      <c r="BP891" s="530"/>
      <c r="BQ891" s="530"/>
      <c r="BR891" s="530"/>
      <c r="BS891" s="529"/>
      <c r="BT891" s="529"/>
      <c r="BU891" s="529"/>
      <c r="BV891" s="529"/>
      <c r="BW891" s="216"/>
    </row>
    <row r="892" spans="1:75" s="217" customFormat="1" hidden="1" outlineLevel="1" x14ac:dyDescent="0.5">
      <c r="A892" s="178"/>
      <c r="B892" s="179"/>
      <c r="C892" s="180"/>
      <c r="D892" s="180"/>
      <c r="E892" s="180"/>
      <c r="F892" s="180"/>
      <c r="G892" s="181"/>
      <c r="H892" s="181"/>
      <c r="I892" s="181"/>
      <c r="J892" s="181"/>
      <c r="K892" s="180"/>
      <c r="L892" s="181"/>
      <c r="M892" s="181"/>
      <c r="N892" s="181"/>
      <c r="O892" s="181"/>
      <c r="P892" s="180"/>
      <c r="Q892" s="181"/>
      <c r="R892" s="181"/>
      <c r="S892" s="181"/>
      <c r="T892" s="181"/>
      <c r="U892" s="180"/>
      <c r="V892" s="181"/>
      <c r="W892" s="181"/>
      <c r="X892" s="181"/>
      <c r="Y892" s="181"/>
      <c r="Z892" s="180"/>
      <c r="AA892" s="181"/>
      <c r="AB892" s="181"/>
      <c r="AC892" s="181"/>
      <c r="AD892" s="181"/>
      <c r="AE892" s="180"/>
      <c r="AF892" s="181"/>
      <c r="AG892" s="181"/>
      <c r="AH892" s="181"/>
      <c r="AI892" s="181"/>
      <c r="AJ892" s="180"/>
      <c r="AK892" s="181"/>
      <c r="AL892" s="181"/>
      <c r="AM892" s="181"/>
      <c r="AN892" s="181"/>
      <c r="AO892" s="180"/>
      <c r="AP892" s="181"/>
      <c r="AQ892" s="181"/>
      <c r="AR892" s="181"/>
      <c r="AS892" s="181"/>
      <c r="AT892" s="180"/>
      <c r="AU892" s="181"/>
      <c r="AV892" s="181"/>
      <c r="AW892" s="181"/>
      <c r="AX892" s="181"/>
      <c r="AY892" s="180"/>
      <c r="AZ892" s="181"/>
      <c r="BA892" s="181"/>
      <c r="BB892" s="181"/>
      <c r="BC892" s="181"/>
      <c r="BD892" s="180"/>
      <c r="BE892" s="181"/>
      <c r="BF892" s="181"/>
      <c r="BG892" s="181"/>
      <c r="BH892" s="181"/>
      <c r="BI892" s="182"/>
      <c r="BJ892" s="181"/>
      <c r="BK892" s="181"/>
      <c r="BL892" s="181"/>
      <c r="BM892" s="181"/>
      <c r="BN892" s="180"/>
      <c r="BO892" s="181"/>
      <c r="BP892" s="181"/>
      <c r="BQ892" s="181"/>
      <c r="BR892" s="181"/>
      <c r="BS892" s="180"/>
      <c r="BT892" s="180"/>
      <c r="BU892" s="180"/>
      <c r="BV892" s="180"/>
      <c r="BW892" s="216"/>
    </row>
    <row r="893" spans="1:75" s="162" customFormat="1" ht="14.25" hidden="1" outlineLevel="1" x14ac:dyDescent="0.45">
      <c r="A893" s="159" t="s">
        <v>955</v>
      </c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  <c r="AG893" s="159"/>
      <c r="AH893" s="159"/>
      <c r="AI893" s="159"/>
      <c r="AJ893" s="159"/>
      <c r="AK893" s="159"/>
      <c r="AL893" s="159"/>
      <c r="AM893" s="159"/>
      <c r="AN893" s="159"/>
      <c r="AO893" s="159"/>
      <c r="AP893" s="159"/>
      <c r="AQ893" s="159"/>
      <c r="AR893" s="159"/>
      <c r="AS893" s="159"/>
      <c r="AT893" s="159"/>
      <c r="AU893" s="159"/>
      <c r="AV893" s="159"/>
      <c r="AW893" s="159"/>
      <c r="AX893" s="159"/>
      <c r="AY893" s="159"/>
      <c r="AZ893" s="159"/>
      <c r="BA893" s="159"/>
      <c r="BB893" s="159"/>
      <c r="BC893" s="159"/>
      <c r="BD893" s="159"/>
      <c r="BE893" s="159"/>
      <c r="BF893" s="159"/>
      <c r="BG893" s="159"/>
      <c r="BH893" s="159"/>
      <c r="BI893" s="160"/>
      <c r="BJ893" s="159"/>
      <c r="BK893" s="159"/>
      <c r="BL893" s="159"/>
      <c r="BM893" s="159"/>
      <c r="BN893" s="159"/>
      <c r="BO893" s="159"/>
      <c r="BP893" s="159"/>
      <c r="BQ893" s="159"/>
      <c r="BR893" s="159"/>
      <c r="BS893" s="159"/>
      <c r="BT893" s="159"/>
      <c r="BU893" s="159"/>
      <c r="BV893" s="159"/>
      <c r="BW893" s="161"/>
    </row>
    <row r="894" spans="1:75" s="224" customFormat="1" hidden="1" outlineLevel="2" x14ac:dyDescent="0.5">
      <c r="A894" s="218" t="s">
        <v>956</v>
      </c>
      <c r="B894" s="219"/>
      <c r="C894" s="220"/>
      <c r="D894" s="220"/>
      <c r="E894" s="574">
        <v>1950</v>
      </c>
      <c r="F894" s="574">
        <v>1700</v>
      </c>
      <c r="G894" s="221"/>
      <c r="H894" s="221"/>
      <c r="I894" s="221"/>
      <c r="J894" s="221"/>
      <c r="K894" s="574">
        <v>1900</v>
      </c>
      <c r="L894" s="221"/>
      <c r="M894" s="221"/>
      <c r="N894" s="221"/>
      <c r="O894" s="221"/>
      <c r="P894" s="574">
        <v>2000</v>
      </c>
      <c r="Q894" s="221"/>
      <c r="R894" s="221"/>
      <c r="S894" s="221"/>
      <c r="T894" s="221"/>
      <c r="U894" s="574">
        <v>2200</v>
      </c>
      <c r="V894" s="221"/>
      <c r="W894" s="221"/>
      <c r="X894" s="221"/>
      <c r="Y894" s="221"/>
      <c r="Z894" s="574">
        <v>2400</v>
      </c>
      <c r="AA894" s="221"/>
      <c r="AB894" s="221"/>
      <c r="AC894" s="221"/>
      <c r="AD894" s="221"/>
      <c r="AE894" s="574">
        <v>2200</v>
      </c>
      <c r="AF894" s="221"/>
      <c r="AG894" s="221"/>
      <c r="AH894" s="221"/>
      <c r="AI894" s="221"/>
      <c r="AJ894" s="574">
        <v>2300</v>
      </c>
      <c r="AK894" s="221"/>
      <c r="AL894" s="221"/>
      <c r="AM894" s="221"/>
      <c r="AN894" s="221"/>
      <c r="AO894" s="574">
        <v>3000</v>
      </c>
      <c r="AP894" s="221"/>
      <c r="AQ894" s="221"/>
      <c r="AR894" s="221"/>
      <c r="AS894" s="221"/>
      <c r="AT894" s="574">
        <v>2200</v>
      </c>
      <c r="AU894" s="221"/>
      <c r="AV894" s="221"/>
      <c r="AW894" s="221"/>
      <c r="AX894" s="221"/>
      <c r="AY894" s="574">
        <v>2300</v>
      </c>
      <c r="AZ894" s="221"/>
      <c r="BA894" s="221"/>
      <c r="BB894" s="221"/>
      <c r="BC894" s="221"/>
      <c r="BD894" s="574">
        <v>2090</v>
      </c>
      <c r="BE894" s="221"/>
      <c r="BF894" s="221"/>
      <c r="BG894" s="221"/>
      <c r="BH894" s="221"/>
      <c r="BI894" s="582">
        <v>2210</v>
      </c>
      <c r="BJ894" s="221"/>
      <c r="BK894" s="221"/>
      <c r="BL894" s="221"/>
      <c r="BM894" s="221"/>
      <c r="BN894" s="220"/>
      <c r="BO894" s="221"/>
      <c r="BP894" s="221"/>
      <c r="BQ894" s="221"/>
      <c r="BR894" s="221"/>
      <c r="BS894" s="220"/>
      <c r="BT894" s="220"/>
      <c r="BU894" s="220"/>
      <c r="BV894" s="220"/>
      <c r="BW894" s="223"/>
    </row>
    <row r="895" spans="1:75" s="224" customFormat="1" hidden="1" outlineLevel="2" x14ac:dyDescent="0.5">
      <c r="A895" s="218" t="s">
        <v>957</v>
      </c>
      <c r="B895" s="219"/>
      <c r="C895" s="220"/>
      <c r="D895" s="220"/>
      <c r="E895" s="220"/>
      <c r="F895" s="220"/>
      <c r="G895" s="221"/>
      <c r="H895" s="221"/>
      <c r="I895" s="221"/>
      <c r="J895" s="221"/>
      <c r="K895" s="220"/>
      <c r="L895" s="221"/>
      <c r="M895" s="221"/>
      <c r="N895" s="221"/>
      <c r="O895" s="221"/>
      <c r="P895" s="220"/>
      <c r="Q895" s="221"/>
      <c r="R895" s="221"/>
      <c r="S895" s="221"/>
      <c r="T895" s="221"/>
      <c r="U895" s="220"/>
      <c r="V895" s="221"/>
      <c r="W895" s="221"/>
      <c r="X895" s="221"/>
      <c r="Y895" s="221"/>
      <c r="Z895" s="220"/>
      <c r="AA895" s="221"/>
      <c r="AB895" s="221"/>
      <c r="AC895" s="221"/>
      <c r="AD895" s="221"/>
      <c r="AE895" s="220"/>
      <c r="AF895" s="221"/>
      <c r="AG895" s="221"/>
      <c r="AH895" s="221"/>
      <c r="AI895" s="221"/>
      <c r="AJ895" s="220"/>
      <c r="AK895" s="221"/>
      <c r="AL895" s="221"/>
      <c r="AM895" s="221"/>
      <c r="AN895" s="221"/>
      <c r="AO895" s="220"/>
      <c r="AP895" s="221"/>
      <c r="AQ895" s="221"/>
      <c r="AR895" s="221"/>
      <c r="AS895" s="221"/>
      <c r="AT895" s="574">
        <v>660</v>
      </c>
      <c r="AU895" s="221"/>
      <c r="AV895" s="221"/>
      <c r="AW895" s="221"/>
      <c r="AX895" s="221"/>
      <c r="AY895" s="574">
        <v>1320</v>
      </c>
      <c r="AZ895" s="221"/>
      <c r="BA895" s="221"/>
      <c r="BB895" s="221"/>
      <c r="BC895" s="221"/>
      <c r="BD895" s="574">
        <v>1580</v>
      </c>
      <c r="BE895" s="221"/>
      <c r="BF895" s="221"/>
      <c r="BG895" s="221"/>
      <c r="BH895" s="221"/>
      <c r="BI895" s="582">
        <v>1520</v>
      </c>
      <c r="BJ895" s="221"/>
      <c r="BK895" s="221"/>
      <c r="BL895" s="221"/>
      <c r="BM895" s="221"/>
      <c r="BN895" s="220"/>
      <c r="BO895" s="221"/>
      <c r="BP895" s="221"/>
      <c r="BQ895" s="221"/>
      <c r="BR895" s="221"/>
      <c r="BS895" s="220"/>
      <c r="BT895" s="220"/>
      <c r="BU895" s="220"/>
      <c r="BV895" s="220"/>
      <c r="BW895" s="223"/>
    </row>
    <row r="896" spans="1:75" s="224" customFormat="1" hidden="1" outlineLevel="2" x14ac:dyDescent="0.5">
      <c r="A896" s="218" t="s">
        <v>958</v>
      </c>
      <c r="B896" s="219"/>
      <c r="C896" s="220"/>
      <c r="D896" s="220"/>
      <c r="E896" s="220">
        <v>1050</v>
      </c>
      <c r="F896" s="220">
        <v>1400</v>
      </c>
      <c r="G896" s="221"/>
      <c r="H896" s="221"/>
      <c r="I896" s="221"/>
      <c r="J896" s="221"/>
      <c r="K896" s="220">
        <v>1700</v>
      </c>
      <c r="L896" s="221"/>
      <c r="M896" s="221"/>
      <c r="N896" s="221"/>
      <c r="O896" s="221"/>
      <c r="P896" s="220">
        <v>2000</v>
      </c>
      <c r="Q896" s="221"/>
      <c r="R896" s="221"/>
      <c r="S896" s="221"/>
      <c r="T896" s="221"/>
      <c r="U896" s="220">
        <v>2400</v>
      </c>
      <c r="V896" s="221"/>
      <c r="W896" s="221"/>
      <c r="X896" s="221"/>
      <c r="Y896" s="221"/>
      <c r="Z896" s="220">
        <v>2600</v>
      </c>
      <c r="AA896" s="221"/>
      <c r="AB896" s="221"/>
      <c r="AC896" s="221"/>
      <c r="AD896" s="221"/>
      <c r="AE896" s="220">
        <v>3000</v>
      </c>
      <c r="AF896" s="221"/>
      <c r="AG896" s="221"/>
      <c r="AH896" s="221"/>
      <c r="AI896" s="221"/>
      <c r="AJ896" s="220">
        <v>2900</v>
      </c>
      <c r="AK896" s="221"/>
      <c r="AL896" s="221"/>
      <c r="AM896" s="221"/>
      <c r="AN896" s="221"/>
      <c r="AO896" s="220">
        <v>2100</v>
      </c>
      <c r="AP896" s="221"/>
      <c r="AQ896" s="221"/>
      <c r="AR896" s="221"/>
      <c r="AS896" s="221"/>
      <c r="AT896" s="220">
        <v>2340</v>
      </c>
      <c r="AU896" s="221"/>
      <c r="AV896" s="221"/>
      <c r="AW896" s="221"/>
      <c r="AX896" s="221"/>
      <c r="AY896" s="220">
        <v>2850</v>
      </c>
      <c r="AZ896" s="221"/>
      <c r="BA896" s="221"/>
      <c r="BB896" s="221"/>
      <c r="BC896" s="221"/>
      <c r="BD896" s="220">
        <v>2510</v>
      </c>
      <c r="BE896" s="221"/>
      <c r="BF896" s="221"/>
      <c r="BG896" s="221"/>
      <c r="BH896" s="221"/>
      <c r="BI896" s="222">
        <v>2230</v>
      </c>
      <c r="BJ896" s="221"/>
      <c r="BK896" s="221"/>
      <c r="BL896" s="221"/>
      <c r="BM896" s="221"/>
      <c r="BN896" s="220"/>
      <c r="BO896" s="221"/>
      <c r="BP896" s="221"/>
      <c r="BQ896" s="221"/>
      <c r="BR896" s="221"/>
      <c r="BS896" s="220"/>
      <c r="BT896" s="220"/>
      <c r="BU896" s="220"/>
      <c r="BV896" s="220"/>
      <c r="BW896" s="223"/>
    </row>
    <row r="897" spans="1:75" s="169" customFormat="1" ht="14.25" hidden="1" outlineLevel="2" x14ac:dyDescent="0.45">
      <c r="A897" s="360" t="s">
        <v>959</v>
      </c>
      <c r="B897" s="361"/>
      <c r="C897" s="362"/>
      <c r="D897" s="362"/>
      <c r="E897" s="551">
        <v>3000</v>
      </c>
      <c r="F897" s="551">
        <v>3100</v>
      </c>
      <c r="G897" s="346"/>
      <c r="H897" s="346"/>
      <c r="I897" s="346"/>
      <c r="J897" s="346"/>
      <c r="K897" s="551">
        <v>3600</v>
      </c>
      <c r="L897" s="346"/>
      <c r="M897" s="346"/>
      <c r="N897" s="346"/>
      <c r="O897" s="346"/>
      <c r="P897" s="551">
        <v>4000</v>
      </c>
      <c r="Q897" s="346"/>
      <c r="R897" s="346"/>
      <c r="S897" s="346"/>
      <c r="T897" s="346"/>
      <c r="U897" s="551">
        <v>4600</v>
      </c>
      <c r="V897" s="346"/>
      <c r="W897" s="346"/>
      <c r="X897" s="346"/>
      <c r="Y897" s="346"/>
      <c r="Z897" s="551">
        <v>5000</v>
      </c>
      <c r="AA897" s="346"/>
      <c r="AB897" s="346"/>
      <c r="AC897" s="346"/>
      <c r="AD897" s="346"/>
      <c r="AE897" s="551">
        <v>5200</v>
      </c>
      <c r="AF897" s="346"/>
      <c r="AG897" s="346"/>
      <c r="AH897" s="346"/>
      <c r="AI897" s="346"/>
      <c r="AJ897" s="551">
        <v>5200</v>
      </c>
      <c r="AK897" s="346"/>
      <c r="AL897" s="346"/>
      <c r="AM897" s="346"/>
      <c r="AN897" s="346"/>
      <c r="AO897" s="551">
        <v>5100</v>
      </c>
      <c r="AP897" s="346"/>
      <c r="AQ897" s="346"/>
      <c r="AR897" s="346"/>
      <c r="AS897" s="346"/>
      <c r="AT897" s="551">
        <v>5200</v>
      </c>
      <c r="AU897" s="346"/>
      <c r="AV897" s="346"/>
      <c r="AW897" s="346"/>
      <c r="AX897" s="346"/>
      <c r="AY897" s="551">
        <v>6470</v>
      </c>
      <c r="AZ897" s="346"/>
      <c r="BA897" s="346"/>
      <c r="BB897" s="346"/>
      <c r="BC897" s="346"/>
      <c r="BD897" s="551">
        <v>6180</v>
      </c>
      <c r="BE897" s="346"/>
      <c r="BF897" s="346"/>
      <c r="BG897" s="346"/>
      <c r="BH897" s="346"/>
      <c r="BI897" s="554">
        <v>5960</v>
      </c>
      <c r="BJ897" s="346"/>
      <c r="BK897" s="346"/>
      <c r="BL897" s="346"/>
      <c r="BM897" s="346"/>
      <c r="BN897" s="362"/>
      <c r="BO897" s="346"/>
      <c r="BP897" s="346"/>
      <c r="BQ897" s="346"/>
      <c r="BR897" s="346"/>
      <c r="BS897" s="362"/>
      <c r="BT897" s="362"/>
      <c r="BU897" s="362"/>
      <c r="BV897" s="362"/>
      <c r="BW897" s="168"/>
    </row>
    <row r="898" spans="1:75" s="169" customFormat="1" ht="14.25" hidden="1" outlineLevel="2" x14ac:dyDescent="0.45">
      <c r="A898" s="163"/>
      <c r="B898" s="164"/>
      <c r="C898" s="165"/>
      <c r="D898" s="165"/>
      <c r="E898" s="165"/>
      <c r="F898" s="165"/>
      <c r="G898" s="166"/>
      <c r="H898" s="166"/>
      <c r="I898" s="166"/>
      <c r="J898" s="166"/>
      <c r="K898" s="165"/>
      <c r="L898" s="166"/>
      <c r="M898" s="166"/>
      <c r="N898" s="166"/>
      <c r="O898" s="166"/>
      <c r="P898" s="165"/>
      <c r="Q898" s="166"/>
      <c r="R898" s="166"/>
      <c r="S898" s="166"/>
      <c r="T898" s="166"/>
      <c r="U898" s="165"/>
      <c r="V898" s="166"/>
      <c r="W898" s="166"/>
      <c r="X898" s="166"/>
      <c r="Y898" s="166"/>
      <c r="Z898" s="165"/>
      <c r="AA898" s="166"/>
      <c r="AB898" s="166"/>
      <c r="AC898" s="166"/>
      <c r="AD898" s="166"/>
      <c r="AE898" s="165"/>
      <c r="AF898" s="166"/>
      <c r="AG898" s="166"/>
      <c r="AH898" s="166"/>
      <c r="AI898" s="166"/>
      <c r="AJ898" s="165"/>
      <c r="AK898" s="166"/>
      <c r="AL898" s="166"/>
      <c r="AM898" s="166"/>
      <c r="AN898" s="166"/>
      <c r="AO898" s="165"/>
      <c r="AP898" s="166"/>
      <c r="AQ898" s="166"/>
      <c r="AR898" s="166"/>
      <c r="AS898" s="166"/>
      <c r="AT898" s="165"/>
      <c r="AU898" s="166"/>
      <c r="AV898" s="166"/>
      <c r="AW898" s="166"/>
      <c r="AX898" s="166"/>
      <c r="AY898" s="165"/>
      <c r="AZ898" s="166"/>
      <c r="BA898" s="166"/>
      <c r="BB898" s="166"/>
      <c r="BC898" s="166"/>
      <c r="BD898" s="165"/>
      <c r="BE898" s="166"/>
      <c r="BF898" s="166"/>
      <c r="BG898" s="166"/>
      <c r="BH898" s="166"/>
      <c r="BI898" s="167"/>
      <c r="BJ898" s="166"/>
      <c r="BK898" s="166"/>
      <c r="BL898" s="166"/>
      <c r="BM898" s="166"/>
      <c r="BN898" s="165"/>
      <c r="BO898" s="166"/>
      <c r="BP898" s="166"/>
      <c r="BQ898" s="166"/>
      <c r="BR898" s="166"/>
      <c r="BS898" s="165"/>
      <c r="BT898" s="165"/>
      <c r="BU898" s="165"/>
      <c r="BV898" s="165"/>
      <c r="BW898" s="168"/>
    </row>
    <row r="899" spans="1:75" s="224" customFormat="1" hidden="1" outlineLevel="2" x14ac:dyDescent="0.5">
      <c r="A899" s="218" t="s">
        <v>960</v>
      </c>
      <c r="B899" s="219"/>
      <c r="C899" s="220"/>
      <c r="D899" s="220"/>
      <c r="E899" s="574">
        <v>1200</v>
      </c>
      <c r="F899" s="574">
        <v>1000</v>
      </c>
      <c r="G899" s="221"/>
      <c r="H899" s="221"/>
      <c r="I899" s="221"/>
      <c r="J899" s="221"/>
      <c r="K899" s="574">
        <v>1000</v>
      </c>
      <c r="L899" s="221"/>
      <c r="M899" s="221"/>
      <c r="N899" s="221"/>
      <c r="O899" s="221"/>
      <c r="P899" s="574">
        <v>800</v>
      </c>
      <c r="Q899" s="221"/>
      <c r="R899" s="221"/>
      <c r="S899" s="221"/>
      <c r="T899" s="221"/>
      <c r="U899" s="574">
        <v>800</v>
      </c>
      <c r="V899" s="221"/>
      <c r="W899" s="221"/>
      <c r="X899" s="221"/>
      <c r="Y899" s="221"/>
      <c r="Z899" s="574">
        <v>800</v>
      </c>
      <c r="AA899" s="221"/>
      <c r="AB899" s="221"/>
      <c r="AC899" s="221"/>
      <c r="AD899" s="221"/>
      <c r="AE899" s="574">
        <v>900</v>
      </c>
      <c r="AF899" s="221"/>
      <c r="AG899" s="221"/>
      <c r="AH899" s="221"/>
      <c r="AI899" s="221"/>
      <c r="AJ899" s="574">
        <v>800</v>
      </c>
      <c r="AK899" s="221"/>
      <c r="AL899" s="221"/>
      <c r="AM899" s="221"/>
      <c r="AN899" s="221"/>
      <c r="AO899" s="574">
        <v>700</v>
      </c>
      <c r="AP899" s="221"/>
      <c r="AQ899" s="221"/>
      <c r="AR899" s="221"/>
      <c r="AS899" s="221"/>
      <c r="AT899" s="574">
        <v>510</v>
      </c>
      <c r="AU899" s="221"/>
      <c r="AV899" s="221"/>
      <c r="AW899" s="221"/>
      <c r="AX899" s="221"/>
      <c r="AY899" s="574">
        <v>850</v>
      </c>
      <c r="AZ899" s="221"/>
      <c r="BA899" s="221"/>
      <c r="BB899" s="221"/>
      <c r="BC899" s="221"/>
      <c r="BD899" s="574">
        <v>720</v>
      </c>
      <c r="BE899" s="221"/>
      <c r="BF899" s="221"/>
      <c r="BG899" s="221"/>
      <c r="BH899" s="221"/>
      <c r="BI899" s="582">
        <v>630</v>
      </c>
      <c r="BJ899" s="221"/>
      <c r="BK899" s="221"/>
      <c r="BL899" s="221"/>
      <c r="BM899" s="221"/>
      <c r="BN899" s="220"/>
      <c r="BO899" s="221"/>
      <c r="BP899" s="221"/>
      <c r="BQ899" s="221"/>
      <c r="BR899" s="221"/>
      <c r="BS899" s="220"/>
      <c r="BT899" s="220"/>
      <c r="BU899" s="220"/>
      <c r="BV899" s="220"/>
      <c r="BW899" s="223"/>
    </row>
    <row r="900" spans="1:75" s="224" customFormat="1" hidden="1" outlineLevel="2" x14ac:dyDescent="0.5">
      <c r="A900" s="218" t="s">
        <v>961</v>
      </c>
      <c r="B900" s="219"/>
      <c r="C900" s="220"/>
      <c r="D900" s="220"/>
      <c r="E900" s="220">
        <v>1800</v>
      </c>
      <c r="F900" s="220">
        <v>2100</v>
      </c>
      <c r="G900" s="221"/>
      <c r="H900" s="221"/>
      <c r="I900" s="221"/>
      <c r="J900" s="221"/>
      <c r="K900" s="220">
        <v>2600</v>
      </c>
      <c r="L900" s="221"/>
      <c r="M900" s="221"/>
      <c r="N900" s="221"/>
      <c r="O900" s="221"/>
      <c r="P900" s="220">
        <v>3200</v>
      </c>
      <c r="Q900" s="221"/>
      <c r="R900" s="221"/>
      <c r="S900" s="221"/>
      <c r="T900" s="221"/>
      <c r="U900" s="220">
        <v>3800</v>
      </c>
      <c r="V900" s="221"/>
      <c r="W900" s="221"/>
      <c r="X900" s="221"/>
      <c r="Y900" s="221"/>
      <c r="Z900" s="220">
        <v>4200</v>
      </c>
      <c r="AA900" s="221"/>
      <c r="AB900" s="221"/>
      <c r="AC900" s="221"/>
      <c r="AD900" s="221"/>
      <c r="AE900" s="220">
        <v>4300</v>
      </c>
      <c r="AF900" s="221"/>
      <c r="AG900" s="221"/>
      <c r="AH900" s="221"/>
      <c r="AI900" s="221"/>
      <c r="AJ900" s="220">
        <v>4400</v>
      </c>
      <c r="AK900" s="221"/>
      <c r="AL900" s="221"/>
      <c r="AM900" s="221"/>
      <c r="AN900" s="221"/>
      <c r="AO900" s="220">
        <v>4400</v>
      </c>
      <c r="AP900" s="221"/>
      <c r="AQ900" s="221"/>
      <c r="AR900" s="221"/>
      <c r="AS900" s="221"/>
      <c r="AT900" s="220">
        <v>4690</v>
      </c>
      <c r="AU900" s="221"/>
      <c r="AV900" s="221"/>
      <c r="AW900" s="221"/>
      <c r="AX900" s="221"/>
      <c r="AY900" s="220">
        <v>5620</v>
      </c>
      <c r="AZ900" s="221"/>
      <c r="BA900" s="221"/>
      <c r="BB900" s="221"/>
      <c r="BC900" s="221"/>
      <c r="BD900" s="220">
        <v>5460</v>
      </c>
      <c r="BE900" s="221"/>
      <c r="BF900" s="221"/>
      <c r="BG900" s="221"/>
      <c r="BH900" s="221"/>
      <c r="BI900" s="222">
        <v>5330</v>
      </c>
      <c r="BJ900" s="221"/>
      <c r="BK900" s="221"/>
      <c r="BL900" s="221"/>
      <c r="BM900" s="221"/>
      <c r="BN900" s="220"/>
      <c r="BO900" s="221"/>
      <c r="BP900" s="221"/>
      <c r="BQ900" s="221"/>
      <c r="BR900" s="221"/>
      <c r="BS900" s="220"/>
      <c r="BT900" s="220"/>
      <c r="BU900" s="220"/>
      <c r="BV900" s="220"/>
      <c r="BW900" s="223"/>
    </row>
    <row r="901" spans="1:75" s="169" customFormat="1" ht="14.25" hidden="1" outlineLevel="2" x14ac:dyDescent="0.45">
      <c r="A901" s="360" t="s">
        <v>959</v>
      </c>
      <c r="B901" s="361"/>
      <c r="C901" s="362"/>
      <c r="D901" s="362"/>
      <c r="E901" s="362">
        <v>3000</v>
      </c>
      <c r="F901" s="362">
        <v>3100</v>
      </c>
      <c r="G901" s="346"/>
      <c r="H901" s="346"/>
      <c r="I901" s="346"/>
      <c r="J901" s="346"/>
      <c r="K901" s="362">
        <v>3600</v>
      </c>
      <c r="L901" s="346"/>
      <c r="M901" s="346"/>
      <c r="N901" s="346"/>
      <c r="O901" s="346"/>
      <c r="P901" s="362">
        <v>4000</v>
      </c>
      <c r="Q901" s="346"/>
      <c r="R901" s="346"/>
      <c r="S901" s="346"/>
      <c r="T901" s="346"/>
      <c r="U901" s="362">
        <v>4600</v>
      </c>
      <c r="V901" s="346"/>
      <c r="W901" s="346"/>
      <c r="X901" s="346"/>
      <c r="Y901" s="346"/>
      <c r="Z901" s="362">
        <v>5000</v>
      </c>
      <c r="AA901" s="346"/>
      <c r="AB901" s="346"/>
      <c r="AC901" s="346"/>
      <c r="AD901" s="346"/>
      <c r="AE901" s="362">
        <v>5200</v>
      </c>
      <c r="AF901" s="346"/>
      <c r="AG901" s="346"/>
      <c r="AH901" s="346"/>
      <c r="AI901" s="346"/>
      <c r="AJ901" s="362">
        <v>5200</v>
      </c>
      <c r="AK901" s="346"/>
      <c r="AL901" s="346"/>
      <c r="AM901" s="346"/>
      <c r="AN901" s="346"/>
      <c r="AO901" s="362">
        <v>5100</v>
      </c>
      <c r="AP901" s="346"/>
      <c r="AQ901" s="346"/>
      <c r="AR901" s="346"/>
      <c r="AS901" s="346"/>
      <c r="AT901" s="362">
        <v>5200</v>
      </c>
      <c r="AU901" s="346"/>
      <c r="AV901" s="346"/>
      <c r="AW901" s="346"/>
      <c r="AX901" s="346"/>
      <c r="AY901" s="362">
        <v>6470</v>
      </c>
      <c r="AZ901" s="346"/>
      <c r="BA901" s="346"/>
      <c r="BB901" s="346"/>
      <c r="BC901" s="346"/>
      <c r="BD901" s="362">
        <v>6180</v>
      </c>
      <c r="BE901" s="346"/>
      <c r="BF901" s="346"/>
      <c r="BG901" s="346"/>
      <c r="BH901" s="346"/>
      <c r="BI901" s="363">
        <v>5960</v>
      </c>
      <c r="BJ901" s="346"/>
      <c r="BK901" s="346"/>
      <c r="BL901" s="346"/>
      <c r="BM901" s="346"/>
      <c r="BN901" s="362"/>
      <c r="BO901" s="346"/>
      <c r="BP901" s="346"/>
      <c r="BQ901" s="346"/>
      <c r="BR901" s="346"/>
      <c r="BS901" s="362"/>
      <c r="BT901" s="362"/>
      <c r="BU901" s="362"/>
      <c r="BV901" s="362"/>
      <c r="BW901" s="168"/>
    </row>
    <row r="902" spans="1:75" s="123" customFormat="1" hidden="1" outlineLevel="1" x14ac:dyDescent="0.5">
      <c r="A902" s="184"/>
      <c r="B902" s="185"/>
      <c r="C902" s="186"/>
      <c r="D902" s="186"/>
      <c r="E902" s="186"/>
      <c r="F902" s="186"/>
      <c r="G902" s="187"/>
      <c r="H902" s="187"/>
      <c r="I902" s="187"/>
      <c r="J902" s="187"/>
      <c r="K902" s="186"/>
      <c r="L902" s="187"/>
      <c r="M902" s="187"/>
      <c r="N902" s="187"/>
      <c r="O902" s="187"/>
      <c r="P902" s="186"/>
      <c r="Q902" s="187"/>
      <c r="R902" s="187"/>
      <c r="S902" s="187"/>
      <c r="T902" s="187"/>
      <c r="U902" s="186"/>
      <c r="V902" s="187"/>
      <c r="W902" s="187"/>
      <c r="X902" s="187"/>
      <c r="Y902" s="187"/>
      <c r="Z902" s="186"/>
      <c r="AA902" s="187"/>
      <c r="AB902" s="187"/>
      <c r="AC902" s="187"/>
      <c r="AD902" s="187"/>
      <c r="AE902" s="186"/>
      <c r="AF902" s="187"/>
      <c r="AG902" s="187"/>
      <c r="AH902" s="187"/>
      <c r="AI902" s="187"/>
      <c r="AJ902" s="186"/>
      <c r="AK902" s="187"/>
      <c r="AL902" s="187"/>
      <c r="AM902" s="187"/>
      <c r="AN902" s="187"/>
      <c r="AO902" s="186"/>
      <c r="AP902" s="187"/>
      <c r="AQ902" s="187"/>
      <c r="AR902" s="187"/>
      <c r="AS902" s="187"/>
      <c r="AT902" s="186"/>
      <c r="AU902" s="187"/>
      <c r="AV902" s="187"/>
      <c r="AW902" s="187"/>
      <c r="AX902" s="187"/>
      <c r="AY902" s="186"/>
      <c r="AZ902" s="187"/>
      <c r="BA902" s="187"/>
      <c r="BB902" s="187"/>
      <c r="BC902" s="187"/>
      <c r="BD902" s="186"/>
      <c r="BE902" s="187"/>
      <c r="BF902" s="187"/>
      <c r="BG902" s="187"/>
      <c r="BH902" s="187"/>
      <c r="BI902" s="188"/>
      <c r="BJ902" s="187"/>
      <c r="BK902" s="187"/>
      <c r="BL902" s="187"/>
      <c r="BM902" s="187"/>
      <c r="BN902" s="186"/>
      <c r="BO902" s="187"/>
      <c r="BP902" s="187"/>
      <c r="BQ902" s="187"/>
      <c r="BR902" s="187"/>
      <c r="BS902" s="186"/>
      <c r="BT902" s="186"/>
      <c r="BU902" s="186"/>
      <c r="BV902" s="186"/>
      <c r="BW902" s="122"/>
    </row>
    <row r="903" spans="1:75" s="198" customFormat="1" ht="14.25" hidden="1" outlineLevel="1" x14ac:dyDescent="0.45">
      <c r="A903" s="239" t="s">
        <v>962</v>
      </c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  <c r="AA903" s="239"/>
      <c r="AB903" s="239"/>
      <c r="AC903" s="239"/>
      <c r="AD903" s="239"/>
      <c r="AE903" s="239"/>
      <c r="AF903" s="240"/>
      <c r="AG903" s="240"/>
      <c r="AH903" s="240"/>
      <c r="AI903" s="239"/>
      <c r="AJ903" s="239"/>
      <c r="AK903" s="239"/>
      <c r="AL903" s="239"/>
      <c r="AM903" s="239"/>
      <c r="AN903" s="239"/>
      <c r="AO903" s="239"/>
      <c r="AP903" s="239"/>
      <c r="AQ903" s="239"/>
      <c r="AR903" s="239"/>
      <c r="AS903" s="239"/>
      <c r="AT903" s="239"/>
      <c r="AU903" s="239"/>
      <c r="AV903" s="239"/>
      <c r="AW903" s="239"/>
      <c r="AX903" s="239"/>
      <c r="AY903" s="239"/>
      <c r="AZ903" s="239"/>
      <c r="BA903" s="239"/>
      <c r="BB903" s="239"/>
      <c r="BC903" s="239"/>
      <c r="BD903" s="239"/>
      <c r="BE903" s="239"/>
      <c r="BF903" s="239"/>
      <c r="BG903" s="239"/>
      <c r="BH903" s="239"/>
      <c r="BI903" s="241"/>
      <c r="BJ903" s="239"/>
      <c r="BK903" s="239"/>
      <c r="BL903" s="239"/>
      <c r="BM903" s="239"/>
      <c r="BN903" s="239"/>
      <c r="BO903" s="239"/>
      <c r="BP903" s="239"/>
      <c r="BQ903" s="239"/>
      <c r="BR903" s="239"/>
      <c r="BS903" s="239"/>
      <c r="BT903" s="239"/>
      <c r="BU903" s="239"/>
      <c r="BV903" s="239"/>
      <c r="BW903" s="197"/>
    </row>
    <row r="904" spans="1:75" s="123" customFormat="1" hidden="1" outlineLevel="2" x14ac:dyDescent="0.5">
      <c r="A904" s="354" t="s">
        <v>963</v>
      </c>
      <c r="B904" s="251"/>
      <c r="C904" s="299"/>
      <c r="D904" s="299"/>
      <c r="E904" s="299"/>
      <c r="F904" s="299"/>
      <c r="G904" s="300"/>
      <c r="H904" s="300"/>
      <c r="I904" s="300"/>
      <c r="J904" s="300"/>
      <c r="K904" s="299"/>
      <c r="L904" s="300"/>
      <c r="M904" s="300"/>
      <c r="N904" s="300"/>
      <c r="O904" s="300"/>
      <c r="P904" s="299"/>
      <c r="Q904" s="300"/>
      <c r="R904" s="300"/>
      <c r="S904" s="300"/>
      <c r="T904" s="300"/>
      <c r="U904" s="299"/>
      <c r="V904" s="300"/>
      <c r="W904" s="300"/>
      <c r="X904" s="300"/>
      <c r="Y904" s="119"/>
      <c r="Z904" s="401"/>
      <c r="AA904" s="119"/>
      <c r="AB904" s="119"/>
      <c r="AC904" s="300"/>
      <c r="AD904" s="119"/>
      <c r="AE904" s="401"/>
      <c r="AF904" s="302">
        <v>21.632999999999999</v>
      </c>
      <c r="AG904" s="302">
        <v>20.236000000000001</v>
      </c>
      <c r="AH904" s="307">
        <v>21.739000000000001</v>
      </c>
      <c r="AI904" s="119">
        <v>23.11099999999999</v>
      </c>
      <c r="AJ904" s="403">
        <v>86.718999999999994</v>
      </c>
      <c r="AK904" s="302">
        <v>26.004000000000001</v>
      </c>
      <c r="AL904" s="302">
        <v>24.17</v>
      </c>
      <c r="AM904" s="307">
        <v>22.315999999999999</v>
      </c>
      <c r="AN904" s="119">
        <v>23.657999999999987</v>
      </c>
      <c r="AO904" s="403">
        <v>96.147999999999996</v>
      </c>
      <c r="AP904" s="302">
        <v>23.716999999999999</v>
      </c>
      <c r="AQ904" s="302">
        <v>24.234000000000002</v>
      </c>
      <c r="AR904" s="307">
        <v>25.135000000000002</v>
      </c>
      <c r="AS904" s="119">
        <v>21.984999999999999</v>
      </c>
      <c r="AT904" s="403">
        <v>95.070999999999998</v>
      </c>
      <c r="AU904" s="302">
        <v>22.68</v>
      </c>
      <c r="AV904" s="302">
        <v>21.484000000000002</v>
      </c>
      <c r="AW904" s="307">
        <v>23.878</v>
      </c>
      <c r="AX904" s="119">
        <v>23.209999999999994</v>
      </c>
      <c r="AY904" s="403">
        <v>91.251999999999995</v>
      </c>
      <c r="AZ904" s="302">
        <v>23.524000000000001</v>
      </c>
      <c r="BA904" s="302">
        <v>25.670999999999999</v>
      </c>
      <c r="BB904" s="307">
        <v>26.785</v>
      </c>
      <c r="BC904" s="119">
        <v>27.241</v>
      </c>
      <c r="BD904" s="403">
        <v>103.221</v>
      </c>
      <c r="BE904" s="302">
        <v>26.425000000000001</v>
      </c>
      <c r="BF904" s="302">
        <v>26.827999999999999</v>
      </c>
      <c r="BG904" s="307">
        <v>27.533000000000001</v>
      </c>
      <c r="BH904" s="119">
        <v>32.908999999999992</v>
      </c>
      <c r="BI904" s="514">
        <v>113.69499999999999</v>
      </c>
      <c r="BJ904" s="119"/>
      <c r="BK904" s="119"/>
      <c r="BL904" s="119"/>
      <c r="BM904" s="119"/>
      <c r="BN904" s="401"/>
      <c r="BO904" s="119"/>
      <c r="BP904" s="119"/>
      <c r="BQ904" s="119"/>
      <c r="BR904" s="119"/>
      <c r="BS904" s="401"/>
      <c r="BT904" s="401"/>
      <c r="BU904" s="401"/>
      <c r="BV904" s="401"/>
      <c r="BW904" s="404"/>
    </row>
    <row r="905" spans="1:75" s="123" customFormat="1" hidden="1" outlineLevel="2" x14ac:dyDescent="0.5">
      <c r="A905" s="354" t="s">
        <v>964</v>
      </c>
      <c r="B905" s="251"/>
      <c r="C905" s="299"/>
      <c r="D905" s="299"/>
      <c r="E905" s="299"/>
      <c r="F905" s="299"/>
      <c r="G905" s="300"/>
      <c r="H905" s="300"/>
      <c r="I905" s="300"/>
      <c r="J905" s="300"/>
      <c r="K905" s="299"/>
      <c r="L905" s="300"/>
      <c r="M905" s="300"/>
      <c r="N905" s="300"/>
      <c r="O905" s="300"/>
      <c r="P905" s="299"/>
      <c r="Q905" s="300"/>
      <c r="R905" s="300"/>
      <c r="S905" s="300"/>
      <c r="T905" s="300"/>
      <c r="U905" s="299"/>
      <c r="V905" s="300"/>
      <c r="W905" s="300"/>
      <c r="X905" s="300"/>
      <c r="Y905" s="119"/>
      <c r="Z905" s="401"/>
      <c r="AA905" s="119"/>
      <c r="AB905" s="119"/>
      <c r="AC905" s="300"/>
      <c r="AD905" s="119"/>
      <c r="AE905" s="401"/>
      <c r="AF905" s="302">
        <v>1.1120000000000001</v>
      </c>
      <c r="AG905" s="302">
        <v>1.1180000000000001</v>
      </c>
      <c r="AH905" s="307">
        <v>1.256</v>
      </c>
      <c r="AI905" s="119">
        <v>1.1669999999999989</v>
      </c>
      <c r="AJ905" s="403">
        <v>4.6529999999999996</v>
      </c>
      <c r="AK905" s="302">
        <v>1.1850000000000001</v>
      </c>
      <c r="AL905" s="302">
        <v>1.151</v>
      </c>
      <c r="AM905" s="307">
        <v>1.119</v>
      </c>
      <c r="AN905" s="119">
        <v>1.1360000000000001</v>
      </c>
      <c r="AO905" s="403">
        <v>4.5910000000000002</v>
      </c>
      <c r="AP905" s="302">
        <v>1.153</v>
      </c>
      <c r="AQ905" s="302">
        <v>1.1080000000000001</v>
      </c>
      <c r="AR905" s="307">
        <v>1.341</v>
      </c>
      <c r="AS905" s="119">
        <v>1.367</v>
      </c>
      <c r="AT905" s="403">
        <v>4.9690000000000003</v>
      </c>
      <c r="AU905" s="302">
        <v>1.206</v>
      </c>
      <c r="AV905" s="302">
        <v>1.1859999999999999</v>
      </c>
      <c r="AW905" s="307">
        <v>0.94099999999999995</v>
      </c>
      <c r="AX905" s="119">
        <v>1.4369999999999998</v>
      </c>
      <c r="AY905" s="403">
        <v>4.7699999999999996</v>
      </c>
      <c r="AZ905" s="302">
        <v>1.234</v>
      </c>
      <c r="BA905" s="302">
        <v>1.2989999999999999</v>
      </c>
      <c r="BB905" s="307">
        <v>1.2470000000000001</v>
      </c>
      <c r="BC905" s="119">
        <v>1.5869999999999997</v>
      </c>
      <c r="BD905" s="403">
        <v>5.367</v>
      </c>
      <c r="BE905" s="302">
        <v>1.345</v>
      </c>
      <c r="BF905" s="302">
        <v>1.3080000000000001</v>
      </c>
      <c r="BG905" s="307">
        <v>0.92100000000000004</v>
      </c>
      <c r="BH905" s="119">
        <v>1.7199999999999998</v>
      </c>
      <c r="BI905" s="514">
        <v>5.2939999999999996</v>
      </c>
      <c r="BJ905" s="119"/>
      <c r="BK905" s="119"/>
      <c r="BL905" s="119"/>
      <c r="BM905" s="119"/>
      <c r="BN905" s="401"/>
      <c r="BO905" s="119"/>
      <c r="BP905" s="119"/>
      <c r="BQ905" s="119"/>
      <c r="BR905" s="119"/>
      <c r="BS905" s="401"/>
      <c r="BT905" s="401"/>
      <c r="BU905" s="401"/>
      <c r="BV905" s="401"/>
      <c r="BW905" s="404"/>
    </row>
    <row r="906" spans="1:75" s="198" customFormat="1" ht="14.25" hidden="1" outlineLevel="2" x14ac:dyDescent="0.45">
      <c r="A906" s="465" t="s">
        <v>799</v>
      </c>
      <c r="B906" s="277"/>
      <c r="C906" s="325"/>
      <c r="D906" s="325"/>
      <c r="E906" s="325"/>
      <c r="F906" s="325"/>
      <c r="G906" s="326"/>
      <c r="H906" s="326"/>
      <c r="I906" s="326"/>
      <c r="J906" s="326"/>
      <c r="K906" s="325"/>
      <c r="L906" s="326"/>
      <c r="M906" s="326"/>
      <c r="N906" s="326"/>
      <c r="O906" s="326"/>
      <c r="P906" s="325"/>
      <c r="Q906" s="326"/>
      <c r="R906" s="326"/>
      <c r="S906" s="326"/>
      <c r="T906" s="326"/>
      <c r="U906" s="325"/>
      <c r="V906" s="326"/>
      <c r="W906" s="326"/>
      <c r="X906" s="326"/>
      <c r="Y906" s="327"/>
      <c r="Z906" s="518"/>
      <c r="AA906" s="327"/>
      <c r="AB906" s="327"/>
      <c r="AC906" s="326"/>
      <c r="AD906" s="327"/>
      <c r="AE906" s="518"/>
      <c r="AF906" s="520">
        <v>22.744999999999997</v>
      </c>
      <c r="AG906" s="327">
        <v>21.353999999999999</v>
      </c>
      <c r="AH906" s="524">
        <v>22.995000000000001</v>
      </c>
      <c r="AI906" s="327">
        <v>24.277999999999988</v>
      </c>
      <c r="AJ906" s="518">
        <v>91.372</v>
      </c>
      <c r="AK906" s="520">
        <v>27.189</v>
      </c>
      <c r="AL906" s="327">
        <v>25.321000000000002</v>
      </c>
      <c r="AM906" s="524">
        <v>23.434999999999999</v>
      </c>
      <c r="AN906" s="327">
        <v>24.793999999999986</v>
      </c>
      <c r="AO906" s="518">
        <v>100.73899999999999</v>
      </c>
      <c r="AP906" s="520">
        <v>24.869999999999997</v>
      </c>
      <c r="AQ906" s="327">
        <v>25.342000000000002</v>
      </c>
      <c r="AR906" s="524">
        <v>26.476000000000003</v>
      </c>
      <c r="AS906" s="327">
        <v>23.352</v>
      </c>
      <c r="AT906" s="518">
        <v>100.03999999999999</v>
      </c>
      <c r="AU906" s="327">
        <v>23.885999999999999</v>
      </c>
      <c r="AV906" s="327">
        <v>22.67</v>
      </c>
      <c r="AW906" s="524">
        <v>24.818999999999999</v>
      </c>
      <c r="AX906" s="327">
        <v>24.646999999999995</v>
      </c>
      <c r="AY906" s="518">
        <v>96.021999999999991</v>
      </c>
      <c r="AZ906" s="327">
        <v>24.758000000000003</v>
      </c>
      <c r="BA906" s="327">
        <v>26.97</v>
      </c>
      <c r="BB906" s="524">
        <v>28.032</v>
      </c>
      <c r="BC906" s="327">
        <v>28.827999999999999</v>
      </c>
      <c r="BD906" s="518">
        <v>108.58800000000001</v>
      </c>
      <c r="BE906" s="327">
        <v>27.77</v>
      </c>
      <c r="BF906" s="327">
        <v>28.135999999999999</v>
      </c>
      <c r="BG906" s="326">
        <v>28.454000000000001</v>
      </c>
      <c r="BH906" s="327">
        <v>34.628999999999991</v>
      </c>
      <c r="BI906" s="525">
        <v>118.98899999999999</v>
      </c>
      <c r="BJ906" s="327"/>
      <c r="BK906" s="327"/>
      <c r="BL906" s="327"/>
      <c r="BM906" s="327"/>
      <c r="BN906" s="518"/>
      <c r="BO906" s="327"/>
      <c r="BP906" s="327"/>
      <c r="BQ906" s="327"/>
      <c r="BR906" s="327"/>
      <c r="BS906" s="518"/>
      <c r="BT906" s="518"/>
      <c r="BU906" s="518"/>
      <c r="BV906" s="518"/>
      <c r="BW906" s="400"/>
    </row>
    <row r="907" spans="1:75" s="198" customFormat="1" ht="14.25" hidden="1" outlineLevel="1" x14ac:dyDescent="0.45">
      <c r="A907" s="292"/>
      <c r="B907" s="243"/>
      <c r="C907" s="293"/>
      <c r="D907" s="293"/>
      <c r="E907" s="293"/>
      <c r="F907" s="293"/>
      <c r="G907" s="294"/>
      <c r="H907" s="294"/>
      <c r="I907" s="294"/>
      <c r="J907" s="294"/>
      <c r="K907" s="293"/>
      <c r="L907" s="294"/>
      <c r="M907" s="294"/>
      <c r="N907" s="294"/>
      <c r="O907" s="294"/>
      <c r="P907" s="293"/>
      <c r="Q907" s="294"/>
      <c r="R907" s="294"/>
      <c r="S907" s="294"/>
      <c r="T907" s="294"/>
      <c r="U907" s="293"/>
      <c r="V907" s="294"/>
      <c r="W907" s="294"/>
      <c r="X907" s="294"/>
      <c r="Y907" s="295"/>
      <c r="Z907" s="293"/>
      <c r="AA907" s="295"/>
      <c r="AB907" s="295"/>
      <c r="AC907" s="294"/>
      <c r="AD907" s="295"/>
      <c r="AE907" s="293"/>
      <c r="AF907" s="295"/>
      <c r="AG907" s="295"/>
      <c r="AH907" s="294"/>
      <c r="AI907" s="295"/>
      <c r="AJ907" s="293"/>
      <c r="AK907" s="295"/>
      <c r="AL907" s="295"/>
      <c r="AM907" s="294"/>
      <c r="AN907" s="295"/>
      <c r="AO907" s="293"/>
      <c r="AP907" s="295"/>
      <c r="AQ907" s="295"/>
      <c r="AR907" s="294"/>
      <c r="AS907" s="295"/>
      <c r="AT907" s="293"/>
      <c r="AU907" s="295"/>
      <c r="AV907" s="295"/>
      <c r="AW907" s="294"/>
      <c r="AX907" s="295"/>
      <c r="AY907" s="293"/>
      <c r="AZ907" s="295"/>
      <c r="BA907" s="295"/>
      <c r="BB907" s="294"/>
      <c r="BC907" s="295"/>
      <c r="BD907" s="293"/>
      <c r="BE907" s="295"/>
      <c r="BF907" s="295"/>
      <c r="BG907" s="294"/>
      <c r="BH907" s="295"/>
      <c r="BI907" s="297"/>
      <c r="BJ907" s="295"/>
      <c r="BK907" s="295"/>
      <c r="BL907" s="295"/>
      <c r="BM907" s="295"/>
      <c r="BN907" s="293"/>
      <c r="BO907" s="295"/>
      <c r="BP907" s="295"/>
      <c r="BQ907" s="295"/>
      <c r="BR907" s="295"/>
      <c r="BS907" s="293"/>
      <c r="BT907" s="293"/>
      <c r="BU907" s="293"/>
      <c r="BV907" s="293"/>
      <c r="BW907" s="197"/>
    </row>
    <row r="908" spans="1:75" s="198" customFormat="1" ht="14.25" hidden="1" outlineLevel="1" x14ac:dyDescent="0.45">
      <c r="A908" s="239" t="s">
        <v>965</v>
      </c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  <c r="AA908" s="239"/>
      <c r="AB908" s="239"/>
      <c r="AC908" s="239"/>
      <c r="AD908" s="239"/>
      <c r="AE908" s="239"/>
      <c r="AF908" s="240"/>
      <c r="AG908" s="240"/>
      <c r="AH908" s="240"/>
      <c r="AI908" s="239"/>
      <c r="AJ908" s="239"/>
      <c r="AK908" s="239"/>
      <c r="AL908" s="239"/>
      <c r="AM908" s="239"/>
      <c r="AN908" s="239"/>
      <c r="AO908" s="239"/>
      <c r="AP908" s="239"/>
      <c r="AQ908" s="239"/>
      <c r="AR908" s="239"/>
      <c r="AS908" s="239"/>
      <c r="AT908" s="239"/>
      <c r="AU908" s="239"/>
      <c r="AV908" s="239"/>
      <c r="AW908" s="239"/>
      <c r="AX908" s="239"/>
      <c r="AY908" s="239"/>
      <c r="AZ908" s="239"/>
      <c r="BA908" s="239"/>
      <c r="BB908" s="239"/>
      <c r="BC908" s="239"/>
      <c r="BD908" s="239"/>
      <c r="BE908" s="239"/>
      <c r="BF908" s="239"/>
      <c r="BG908" s="239"/>
      <c r="BH908" s="239"/>
      <c r="BI908" s="241"/>
      <c r="BJ908" s="239"/>
      <c r="BK908" s="239"/>
      <c r="BL908" s="239"/>
      <c r="BM908" s="239"/>
      <c r="BN908" s="239"/>
      <c r="BO908" s="239"/>
      <c r="BP908" s="239"/>
      <c r="BQ908" s="239"/>
      <c r="BR908" s="239"/>
      <c r="BS908" s="239"/>
      <c r="BT908" s="239"/>
      <c r="BU908" s="239"/>
      <c r="BV908" s="239"/>
      <c r="BW908" s="197"/>
    </row>
    <row r="909" spans="1:75" s="123" customFormat="1" hidden="1" outlineLevel="2" x14ac:dyDescent="0.5">
      <c r="A909" s="354" t="s">
        <v>966</v>
      </c>
      <c r="B909" s="251"/>
      <c r="C909" s="299"/>
      <c r="D909" s="299"/>
      <c r="E909" s="299"/>
      <c r="F909" s="299"/>
      <c r="G909" s="300"/>
      <c r="H909" s="300"/>
      <c r="I909" s="300"/>
      <c r="J909" s="300"/>
      <c r="K909" s="299"/>
      <c r="L909" s="300"/>
      <c r="M909" s="300"/>
      <c r="N909" s="300"/>
      <c r="O909" s="300"/>
      <c r="P909" s="299"/>
      <c r="Q909" s="300"/>
      <c r="R909" s="300"/>
      <c r="S909" s="300"/>
      <c r="T909" s="300"/>
      <c r="U909" s="299"/>
      <c r="V909" s="300"/>
      <c r="W909" s="300"/>
      <c r="X909" s="300"/>
      <c r="Y909" s="119">
        <v>124.374</v>
      </c>
      <c r="Z909" s="305">
        <v>124.374</v>
      </c>
      <c r="AA909" s="302">
        <v>124.328</v>
      </c>
      <c r="AB909" s="302">
        <v>124.44799999999999</v>
      </c>
      <c r="AC909" s="307">
        <v>124.40900000000001</v>
      </c>
      <c r="AD909" s="119">
        <v>124.44799999999999</v>
      </c>
      <c r="AE909" s="305">
        <v>124.44799999999999</v>
      </c>
      <c r="AF909" s="302">
        <v>124.404</v>
      </c>
      <c r="AG909" s="302">
        <v>124.39</v>
      </c>
      <c r="AH909" s="307">
        <v>124.379</v>
      </c>
      <c r="AI909" s="119">
        <v>124.379</v>
      </c>
      <c r="AJ909" s="305">
        <v>124.379</v>
      </c>
      <c r="AK909" s="302">
        <v>124.349</v>
      </c>
      <c r="AL909" s="302">
        <v>124.37</v>
      </c>
      <c r="AM909" s="307">
        <v>124.376</v>
      </c>
      <c r="AN909" s="119">
        <v>124.367</v>
      </c>
      <c r="AO909" s="305">
        <v>124.367</v>
      </c>
      <c r="AP909" s="302">
        <v>124.29</v>
      </c>
      <c r="AQ909" s="302">
        <v>124.35</v>
      </c>
      <c r="AR909" s="307">
        <v>135.30600000000001</v>
      </c>
      <c r="AS909" s="119">
        <v>141.1</v>
      </c>
      <c r="AT909" s="305">
        <v>141.1</v>
      </c>
      <c r="AU909" s="302">
        <v>141.15199999999999</v>
      </c>
      <c r="AV909" s="302">
        <v>141.13200000000001</v>
      </c>
      <c r="AW909" s="307">
        <v>141.14099999999999</v>
      </c>
      <c r="AX909" s="119">
        <v>141.1</v>
      </c>
      <c r="AY909" s="305">
        <v>141.1</v>
      </c>
      <c r="AZ909" s="302">
        <v>141.09200000000001</v>
      </c>
      <c r="BA909" s="302">
        <v>141.09800000000001</v>
      </c>
      <c r="BB909" s="307">
        <v>141.02099999999999</v>
      </c>
      <c r="BC909" s="119">
        <v>141.048</v>
      </c>
      <c r="BD909" s="305">
        <v>141.048</v>
      </c>
      <c r="BE909" s="302">
        <v>141.02600000000001</v>
      </c>
      <c r="BF909" s="302">
        <v>141.053</v>
      </c>
      <c r="BG909" s="307">
        <v>140.99700000000001</v>
      </c>
      <c r="BH909" s="119">
        <v>141.03299999999999</v>
      </c>
      <c r="BI909" s="303">
        <v>141.03299999999999</v>
      </c>
      <c r="BJ909" s="119"/>
      <c r="BK909" s="119"/>
      <c r="BL909" s="119"/>
      <c r="BM909" s="119"/>
      <c r="BN909" s="299"/>
      <c r="BO909" s="119"/>
      <c r="BP909" s="119"/>
      <c r="BQ909" s="119"/>
      <c r="BR909" s="119"/>
      <c r="BS909" s="299"/>
      <c r="BT909" s="299"/>
      <c r="BU909" s="299"/>
      <c r="BV909" s="299"/>
      <c r="BW909" s="122"/>
    </row>
    <row r="910" spans="1:75" s="123" customFormat="1" hidden="1" outlineLevel="2" x14ac:dyDescent="0.5">
      <c r="A910" s="354" t="s">
        <v>967</v>
      </c>
      <c r="B910" s="251"/>
      <c r="C910" s="299"/>
      <c r="D910" s="299"/>
      <c r="E910" s="299"/>
      <c r="F910" s="299"/>
      <c r="G910" s="300"/>
      <c r="H910" s="300"/>
      <c r="I910" s="300"/>
      <c r="J910" s="300"/>
      <c r="K910" s="299"/>
      <c r="L910" s="300"/>
      <c r="M910" s="300"/>
      <c r="N910" s="300"/>
      <c r="O910" s="300"/>
      <c r="P910" s="299"/>
      <c r="Q910" s="300"/>
      <c r="R910" s="300"/>
      <c r="S910" s="300"/>
      <c r="T910" s="300"/>
      <c r="U910" s="299"/>
      <c r="V910" s="300"/>
      <c r="W910" s="300"/>
      <c r="X910" s="300"/>
      <c r="Y910" s="119">
        <v>49.228999999999999</v>
      </c>
      <c r="Z910" s="305">
        <v>49.228999999999999</v>
      </c>
      <c r="AA910" s="302">
        <v>49.83</v>
      </c>
      <c r="AB910" s="302">
        <v>51.143999999999998</v>
      </c>
      <c r="AC910" s="307">
        <v>51.143999999999998</v>
      </c>
      <c r="AD910" s="119">
        <v>17.445</v>
      </c>
      <c r="AE910" s="305">
        <v>17.445</v>
      </c>
      <c r="AF910" s="302">
        <v>17.445</v>
      </c>
      <c r="AG910" s="302">
        <v>17.445</v>
      </c>
      <c r="AH910" s="307">
        <v>17.445</v>
      </c>
      <c r="AI910" s="119">
        <v>0</v>
      </c>
      <c r="AJ910" s="299"/>
      <c r="AK910" s="119"/>
      <c r="AL910" s="119"/>
      <c r="AM910" s="300"/>
      <c r="AN910" s="119">
        <v>0</v>
      </c>
      <c r="AO910" s="299"/>
      <c r="AP910" s="119"/>
      <c r="AQ910" s="119"/>
      <c r="AR910" s="300"/>
      <c r="AS910" s="119">
        <v>0</v>
      </c>
      <c r="AT910" s="299"/>
      <c r="AU910" s="119"/>
      <c r="AV910" s="119"/>
      <c r="AW910" s="300"/>
      <c r="AX910" s="119">
        <v>0</v>
      </c>
      <c r="AY910" s="299"/>
      <c r="AZ910" s="119"/>
      <c r="BA910" s="119"/>
      <c r="BB910" s="300"/>
      <c r="BC910" s="119">
        <v>0</v>
      </c>
      <c r="BD910" s="299"/>
      <c r="BE910" s="119"/>
      <c r="BF910" s="119"/>
      <c r="BG910" s="300"/>
      <c r="BH910" s="119">
        <v>0</v>
      </c>
      <c r="BI910" s="304"/>
      <c r="BJ910" s="119"/>
      <c r="BK910" s="119"/>
      <c r="BL910" s="119"/>
      <c r="BM910" s="119"/>
      <c r="BN910" s="299"/>
      <c r="BO910" s="119"/>
      <c r="BP910" s="119"/>
      <c r="BQ910" s="119"/>
      <c r="BR910" s="119"/>
      <c r="BS910" s="299"/>
      <c r="BT910" s="299"/>
      <c r="BU910" s="299"/>
      <c r="BV910" s="299"/>
      <c r="BW910" s="122"/>
    </row>
    <row r="911" spans="1:75" s="123" customFormat="1" hidden="1" outlineLevel="2" x14ac:dyDescent="0.5">
      <c r="A911" s="354" t="s">
        <v>968</v>
      </c>
      <c r="B911" s="251"/>
      <c r="C911" s="299"/>
      <c r="D911" s="299"/>
      <c r="E911" s="299"/>
      <c r="F911" s="299"/>
      <c r="G911" s="300"/>
      <c r="H911" s="300"/>
      <c r="I911" s="300"/>
      <c r="J911" s="300"/>
      <c r="K911" s="299"/>
      <c r="L911" s="300"/>
      <c r="M911" s="300"/>
      <c r="N911" s="300"/>
      <c r="O911" s="300"/>
      <c r="P911" s="299"/>
      <c r="Q911" s="300"/>
      <c r="R911" s="300"/>
      <c r="S911" s="300"/>
      <c r="T911" s="300"/>
      <c r="U911" s="299"/>
      <c r="V911" s="300"/>
      <c r="W911" s="300"/>
      <c r="X911" s="300"/>
      <c r="Y911" s="119">
        <v>0</v>
      </c>
      <c r="Z911" s="299"/>
      <c r="AA911" s="119"/>
      <c r="AB911" s="119"/>
      <c r="AC911" s="300"/>
      <c r="AD911" s="119">
        <v>0</v>
      </c>
      <c r="AE911" s="299"/>
      <c r="AF911" s="119"/>
      <c r="AG911" s="119"/>
      <c r="AH911" s="300"/>
      <c r="AI911" s="119">
        <v>0</v>
      </c>
      <c r="AJ911" s="299"/>
      <c r="AK911" s="119"/>
      <c r="AL911" s="119"/>
      <c r="AM911" s="300"/>
      <c r="AN911" s="119">
        <v>0</v>
      </c>
      <c r="AO911" s="299"/>
      <c r="AP911" s="119"/>
      <c r="AQ911" s="119"/>
      <c r="AR911" s="300"/>
      <c r="AS911" s="119">
        <v>0</v>
      </c>
      <c r="AT911" s="299"/>
      <c r="AU911" s="119"/>
      <c r="AV911" s="119"/>
      <c r="AW911" s="300"/>
      <c r="AX911" s="119">
        <v>0</v>
      </c>
      <c r="AY911" s="299"/>
      <c r="AZ911" s="119"/>
      <c r="BA911" s="119"/>
      <c r="BB911" s="300"/>
      <c r="BC911" s="119">
        <v>0</v>
      </c>
      <c r="BD911" s="299"/>
      <c r="BE911" s="119"/>
      <c r="BF911" s="119"/>
      <c r="BG911" s="300"/>
      <c r="BH911" s="119">
        <v>0</v>
      </c>
      <c r="BI911" s="304"/>
      <c r="BJ911" s="119"/>
      <c r="BK911" s="119"/>
      <c r="BL911" s="119"/>
      <c r="BM911" s="119"/>
      <c r="BN911" s="299"/>
      <c r="BO911" s="119"/>
      <c r="BP911" s="119"/>
      <c r="BQ911" s="119"/>
      <c r="BR911" s="119"/>
      <c r="BS911" s="299"/>
      <c r="BT911" s="299"/>
      <c r="BU911" s="299"/>
      <c r="BV911" s="299"/>
      <c r="BW911" s="122"/>
    </row>
    <row r="912" spans="1:75" s="198" customFormat="1" ht="14.25" hidden="1" outlineLevel="2" x14ac:dyDescent="0.45">
      <c r="A912" s="324" t="s">
        <v>969</v>
      </c>
      <c r="B912" s="277"/>
      <c r="C912" s="325"/>
      <c r="D912" s="325"/>
      <c r="E912" s="325"/>
      <c r="F912" s="325"/>
      <c r="G912" s="326"/>
      <c r="H912" s="326"/>
      <c r="I912" s="326"/>
      <c r="J912" s="326"/>
      <c r="K912" s="325"/>
      <c r="L912" s="326"/>
      <c r="M912" s="326"/>
      <c r="N912" s="326"/>
      <c r="O912" s="326"/>
      <c r="P912" s="325"/>
      <c r="Q912" s="326"/>
      <c r="R912" s="326"/>
      <c r="S912" s="326"/>
      <c r="T912" s="326"/>
      <c r="U912" s="325"/>
      <c r="V912" s="326"/>
      <c r="W912" s="326"/>
      <c r="X912" s="326"/>
      <c r="Y912" s="327">
        <v>173.60300000000001</v>
      </c>
      <c r="Z912" s="325">
        <v>173.60300000000001</v>
      </c>
      <c r="AA912" s="327">
        <v>174.15800000000002</v>
      </c>
      <c r="AB912" s="327">
        <v>175.59199999999998</v>
      </c>
      <c r="AC912" s="326">
        <v>175.553</v>
      </c>
      <c r="AD912" s="327">
        <v>141.893</v>
      </c>
      <c r="AE912" s="325">
        <v>141.893</v>
      </c>
      <c r="AF912" s="327">
        <v>141.84899999999999</v>
      </c>
      <c r="AG912" s="327">
        <v>141.83500000000001</v>
      </c>
      <c r="AH912" s="326">
        <v>141.82400000000001</v>
      </c>
      <c r="AI912" s="327">
        <v>124.379</v>
      </c>
      <c r="AJ912" s="325">
        <v>124.379</v>
      </c>
      <c r="AK912" s="327">
        <v>124.349</v>
      </c>
      <c r="AL912" s="327">
        <v>124.37</v>
      </c>
      <c r="AM912" s="326">
        <v>124.376</v>
      </c>
      <c r="AN912" s="327">
        <v>124.367</v>
      </c>
      <c r="AO912" s="325">
        <v>124.367</v>
      </c>
      <c r="AP912" s="327">
        <v>124.29</v>
      </c>
      <c r="AQ912" s="327">
        <v>124.35</v>
      </c>
      <c r="AR912" s="326">
        <v>135.30600000000001</v>
      </c>
      <c r="AS912" s="327">
        <v>141.1</v>
      </c>
      <c r="AT912" s="325">
        <v>141.1</v>
      </c>
      <c r="AU912" s="327">
        <v>141.15199999999999</v>
      </c>
      <c r="AV912" s="327">
        <v>141.13200000000001</v>
      </c>
      <c r="AW912" s="326">
        <v>141.14099999999999</v>
      </c>
      <c r="AX912" s="327">
        <v>141.1</v>
      </c>
      <c r="AY912" s="325">
        <v>141.1</v>
      </c>
      <c r="AZ912" s="327">
        <v>141.09200000000001</v>
      </c>
      <c r="BA912" s="327">
        <v>141.09800000000001</v>
      </c>
      <c r="BB912" s="326">
        <v>141.02099999999999</v>
      </c>
      <c r="BC912" s="327">
        <v>141.048</v>
      </c>
      <c r="BD912" s="325">
        <v>141.048</v>
      </c>
      <c r="BE912" s="327">
        <v>141.02600000000001</v>
      </c>
      <c r="BF912" s="327">
        <v>141.053</v>
      </c>
      <c r="BG912" s="326">
        <v>140.99700000000001</v>
      </c>
      <c r="BH912" s="327">
        <v>141.03299999999999</v>
      </c>
      <c r="BI912" s="329">
        <v>141.03299999999999</v>
      </c>
      <c r="BJ912" s="327"/>
      <c r="BK912" s="327"/>
      <c r="BL912" s="327"/>
      <c r="BM912" s="327"/>
      <c r="BN912" s="325"/>
      <c r="BO912" s="327"/>
      <c r="BP912" s="327"/>
      <c r="BQ912" s="327"/>
      <c r="BR912" s="327"/>
      <c r="BS912" s="325"/>
      <c r="BT912" s="325"/>
      <c r="BU912" s="325"/>
      <c r="BV912" s="325"/>
      <c r="BW912" s="197"/>
    </row>
    <row r="913" spans="1:75" s="198" customFormat="1" ht="14.25" hidden="1" outlineLevel="2" x14ac:dyDescent="0.45">
      <c r="A913" s="292"/>
      <c r="B913" s="243"/>
      <c r="C913" s="293"/>
      <c r="D913" s="293"/>
      <c r="E913" s="293"/>
      <c r="F913" s="293"/>
      <c r="G913" s="294"/>
      <c r="H913" s="294"/>
      <c r="I913" s="294"/>
      <c r="J913" s="294"/>
      <c r="K913" s="293"/>
      <c r="L913" s="294"/>
      <c r="M913" s="294"/>
      <c r="N913" s="294"/>
      <c r="O913" s="294"/>
      <c r="P913" s="293"/>
      <c r="Q913" s="294"/>
      <c r="R913" s="294"/>
      <c r="S913" s="294"/>
      <c r="T913" s="294"/>
      <c r="U913" s="293"/>
      <c r="V913" s="294"/>
      <c r="W913" s="294"/>
      <c r="X913" s="294"/>
      <c r="Y913" s="295"/>
      <c r="Z913" s="293"/>
      <c r="AA913" s="295"/>
      <c r="AB913" s="295"/>
      <c r="AC913" s="294"/>
      <c r="AD913" s="295"/>
      <c r="AE913" s="293"/>
      <c r="AF913" s="295"/>
      <c r="AG913" s="295"/>
      <c r="AH913" s="294"/>
      <c r="AI913" s="295"/>
      <c r="AJ913" s="293"/>
      <c r="AK913" s="295"/>
      <c r="AL913" s="295"/>
      <c r="AM913" s="294"/>
      <c r="AN913" s="295"/>
      <c r="AO913" s="293"/>
      <c r="AP913" s="295"/>
      <c r="AQ913" s="295"/>
      <c r="AR913" s="294"/>
      <c r="AS913" s="295"/>
      <c r="AT913" s="293"/>
      <c r="AU913" s="295"/>
      <c r="AV913" s="295"/>
      <c r="AW913" s="294"/>
      <c r="AX913" s="295"/>
      <c r="AY913" s="293"/>
      <c r="AZ913" s="295"/>
      <c r="BA913" s="295"/>
      <c r="BB913" s="294"/>
      <c r="BC913" s="295"/>
      <c r="BD913" s="293"/>
      <c r="BE913" s="295"/>
      <c r="BF913" s="295"/>
      <c r="BG913" s="294"/>
      <c r="BH913" s="295"/>
      <c r="BI913" s="297"/>
      <c r="BJ913" s="295"/>
      <c r="BK913" s="295"/>
      <c r="BL913" s="295"/>
      <c r="BM913" s="295"/>
      <c r="BN913" s="293"/>
      <c r="BO913" s="295"/>
      <c r="BP913" s="295"/>
      <c r="BQ913" s="295"/>
      <c r="BR913" s="295"/>
      <c r="BS913" s="293"/>
      <c r="BT913" s="293"/>
      <c r="BU913" s="293"/>
      <c r="BV913" s="293"/>
      <c r="BW913" s="197"/>
    </row>
    <row r="914" spans="1:75" s="123" customFormat="1" hidden="1" outlineLevel="2" x14ac:dyDescent="0.5">
      <c r="A914" s="354" t="s">
        <v>970</v>
      </c>
      <c r="B914" s="251"/>
      <c r="C914" s="299"/>
      <c r="D914" s="299"/>
      <c r="E914" s="299"/>
      <c r="F914" s="299"/>
      <c r="G914" s="300"/>
      <c r="H914" s="300"/>
      <c r="I914" s="300"/>
      <c r="J914" s="300"/>
      <c r="K914" s="299"/>
      <c r="L914" s="300"/>
      <c r="M914" s="300"/>
      <c r="N914" s="300"/>
      <c r="O914" s="300"/>
      <c r="P914" s="299"/>
      <c r="Q914" s="300"/>
      <c r="R914" s="300"/>
      <c r="S914" s="300"/>
      <c r="T914" s="300"/>
      <c r="U914" s="299"/>
      <c r="V914" s="300"/>
      <c r="W914" s="300"/>
      <c r="X914" s="300"/>
      <c r="Y914" s="119">
        <v>48.524000000000001</v>
      </c>
      <c r="Z914" s="305">
        <v>48.524000000000001</v>
      </c>
      <c r="AA914" s="302">
        <v>48.524000000000001</v>
      </c>
      <c r="AB914" s="302">
        <v>48.563000000000002</v>
      </c>
      <c r="AC914" s="307">
        <v>48.563000000000002</v>
      </c>
      <c r="AD914" s="119">
        <v>48.563000000000002</v>
      </c>
      <c r="AE914" s="305">
        <v>48.563000000000002</v>
      </c>
      <c r="AF914" s="302">
        <v>48.563000000000002</v>
      </c>
      <c r="AG914" s="302">
        <v>48.563000000000002</v>
      </c>
      <c r="AH914" s="307">
        <v>48.563000000000002</v>
      </c>
      <c r="AI914" s="119">
        <v>48.563000000000002</v>
      </c>
      <c r="AJ914" s="305">
        <v>48.563000000000002</v>
      </c>
      <c r="AK914" s="302">
        <v>48.563000000000002</v>
      </c>
      <c r="AL914" s="302">
        <v>48.563000000000002</v>
      </c>
      <c r="AM914" s="307">
        <v>48.563000000000002</v>
      </c>
      <c r="AN914" s="119">
        <v>48.563000000000002</v>
      </c>
      <c r="AO914" s="305">
        <v>48.563000000000002</v>
      </c>
      <c r="AP914" s="302">
        <v>48.563000000000002</v>
      </c>
      <c r="AQ914" s="302">
        <v>49.863</v>
      </c>
      <c r="AR914" s="307">
        <v>54.662999999999997</v>
      </c>
      <c r="AS914" s="119">
        <v>54.662999999999997</v>
      </c>
      <c r="AT914" s="305">
        <v>54.662999999999997</v>
      </c>
      <c r="AU914" s="302">
        <v>55.237000000000002</v>
      </c>
      <c r="AV914" s="302">
        <v>55.584000000000003</v>
      </c>
      <c r="AW914" s="307">
        <v>55.906999999999996</v>
      </c>
      <c r="AX914" s="119">
        <v>56.161000000000001</v>
      </c>
      <c r="AY914" s="305">
        <v>56.161000000000001</v>
      </c>
      <c r="AZ914" s="302">
        <v>56.488</v>
      </c>
      <c r="BA914" s="302">
        <v>56.81</v>
      </c>
      <c r="BB914" s="307">
        <v>57.268999999999998</v>
      </c>
      <c r="BC914" s="119">
        <v>57.633000000000003</v>
      </c>
      <c r="BD914" s="305">
        <v>57.633000000000003</v>
      </c>
      <c r="BE914" s="302">
        <v>58.143999999999998</v>
      </c>
      <c r="BF914" s="302">
        <v>58.472000000000001</v>
      </c>
      <c r="BG914" s="307">
        <v>58.746000000000002</v>
      </c>
      <c r="BH914" s="119">
        <v>58.927</v>
      </c>
      <c r="BI914" s="303">
        <v>58.927</v>
      </c>
      <c r="BJ914" s="119"/>
      <c r="BK914" s="119"/>
      <c r="BL914" s="119"/>
      <c r="BM914" s="119"/>
      <c r="BN914" s="299"/>
      <c r="BO914" s="119"/>
      <c r="BP914" s="119"/>
      <c r="BQ914" s="119"/>
      <c r="BR914" s="119"/>
      <c r="BS914" s="299"/>
      <c r="BT914" s="299"/>
      <c r="BU914" s="299"/>
      <c r="BV914" s="299"/>
      <c r="BW914" s="122"/>
    </row>
    <row r="915" spans="1:75" s="123" customFormat="1" hidden="1" outlineLevel="2" x14ac:dyDescent="0.5">
      <c r="A915" s="354" t="s">
        <v>971</v>
      </c>
      <c r="B915" s="251"/>
      <c r="C915" s="299"/>
      <c r="D915" s="299"/>
      <c r="E915" s="299"/>
      <c r="F915" s="299"/>
      <c r="G915" s="300"/>
      <c r="H915" s="300"/>
      <c r="I915" s="300"/>
      <c r="J915" s="300"/>
      <c r="K915" s="299"/>
      <c r="L915" s="300"/>
      <c r="M915" s="300"/>
      <c r="N915" s="300"/>
      <c r="O915" s="300"/>
      <c r="P915" s="299"/>
      <c r="Q915" s="300"/>
      <c r="R915" s="300"/>
      <c r="S915" s="300"/>
      <c r="T915" s="300"/>
      <c r="U915" s="299"/>
      <c r="V915" s="300"/>
      <c r="W915" s="300"/>
      <c r="X915" s="300"/>
      <c r="Y915" s="119">
        <v>52.1</v>
      </c>
      <c r="Z915" s="305">
        <v>52.1</v>
      </c>
      <c r="AA915" s="302">
        <v>52.1</v>
      </c>
      <c r="AB915" s="302">
        <v>52.1</v>
      </c>
      <c r="AC915" s="307">
        <v>52.1</v>
      </c>
      <c r="AD915" s="119">
        <v>52.1</v>
      </c>
      <c r="AE915" s="305">
        <v>52.1</v>
      </c>
      <c r="AF915" s="302">
        <v>52.1</v>
      </c>
      <c r="AG915" s="302">
        <v>52.1</v>
      </c>
      <c r="AH915" s="307">
        <v>52.1</v>
      </c>
      <c r="AI915" s="119">
        <v>37.459000000000003</v>
      </c>
      <c r="AJ915" s="305">
        <v>37.459000000000003</v>
      </c>
      <c r="AK915" s="302">
        <v>37.459000000000003</v>
      </c>
      <c r="AL915" s="302">
        <v>37.459000000000003</v>
      </c>
      <c r="AM915" s="307">
        <v>37.459000000000003</v>
      </c>
      <c r="AN915" s="119">
        <v>37.459000000000003</v>
      </c>
      <c r="AO915" s="305">
        <v>37.459000000000003</v>
      </c>
      <c r="AP915" s="302">
        <v>17</v>
      </c>
      <c r="AQ915" s="302">
        <v>17</v>
      </c>
      <c r="AR915" s="307">
        <v>17</v>
      </c>
      <c r="AS915" s="119">
        <v>17</v>
      </c>
      <c r="AT915" s="305">
        <v>17</v>
      </c>
      <c r="AU915" s="302">
        <v>17</v>
      </c>
      <c r="AV915" s="302">
        <v>17</v>
      </c>
      <c r="AW915" s="307">
        <v>17</v>
      </c>
      <c r="AX915" s="119">
        <v>17</v>
      </c>
      <c r="AY915" s="305">
        <v>17</v>
      </c>
      <c r="AZ915" s="302">
        <v>17</v>
      </c>
      <c r="BA915" s="302">
        <v>17</v>
      </c>
      <c r="BB915" s="307">
        <v>17</v>
      </c>
      <c r="BC915" s="119">
        <v>17</v>
      </c>
      <c r="BD915" s="305">
        <v>17</v>
      </c>
      <c r="BE915" s="302">
        <v>17</v>
      </c>
      <c r="BF915" s="302">
        <v>17</v>
      </c>
      <c r="BG915" s="307">
        <v>17</v>
      </c>
      <c r="BH915" s="119">
        <v>17</v>
      </c>
      <c r="BI915" s="303">
        <v>17</v>
      </c>
      <c r="BJ915" s="119"/>
      <c r="BK915" s="119"/>
      <c r="BL915" s="119"/>
      <c r="BM915" s="119"/>
      <c r="BN915" s="299"/>
      <c r="BO915" s="119"/>
      <c r="BP915" s="119"/>
      <c r="BQ915" s="119"/>
      <c r="BR915" s="119"/>
      <c r="BS915" s="299"/>
      <c r="BT915" s="299"/>
      <c r="BU915" s="299"/>
      <c r="BV915" s="299"/>
      <c r="BW915" s="122"/>
    </row>
    <row r="916" spans="1:75" s="123" customFormat="1" hidden="1" outlineLevel="2" x14ac:dyDescent="0.5">
      <c r="A916" s="354" t="s">
        <v>972</v>
      </c>
      <c r="B916" s="251"/>
      <c r="C916" s="299"/>
      <c r="D916" s="299"/>
      <c r="E916" s="299"/>
      <c r="F916" s="299"/>
      <c r="G916" s="300"/>
      <c r="H916" s="300"/>
      <c r="I916" s="300"/>
      <c r="J916" s="300"/>
      <c r="K916" s="299"/>
      <c r="L916" s="300"/>
      <c r="M916" s="300"/>
      <c r="N916" s="300"/>
      <c r="O916" s="300"/>
      <c r="P916" s="299"/>
      <c r="Q916" s="300"/>
      <c r="R916" s="300"/>
      <c r="S916" s="300"/>
      <c r="T916" s="300"/>
      <c r="U916" s="299"/>
      <c r="V916" s="300"/>
      <c r="W916" s="300"/>
      <c r="X916" s="300"/>
      <c r="Y916" s="119">
        <v>0</v>
      </c>
      <c r="Z916" s="299"/>
      <c r="AA916" s="119"/>
      <c r="AB916" s="119"/>
      <c r="AC916" s="300"/>
      <c r="AD916" s="119">
        <v>0</v>
      </c>
      <c r="AE916" s="299"/>
      <c r="AF916" s="119"/>
      <c r="AG916" s="119"/>
      <c r="AH916" s="300"/>
      <c r="AI916" s="119">
        <v>0</v>
      </c>
      <c r="AJ916" s="299"/>
      <c r="AK916" s="119"/>
      <c r="AL916" s="119"/>
      <c r="AM916" s="300"/>
      <c r="AN916" s="119">
        <v>0</v>
      </c>
      <c r="AO916" s="299"/>
      <c r="AP916" s="119"/>
      <c r="AQ916" s="119"/>
      <c r="AR916" s="300"/>
      <c r="AS916" s="119">
        <v>0</v>
      </c>
      <c r="AT916" s="299"/>
      <c r="AU916" s="119"/>
      <c r="AV916" s="119"/>
      <c r="AW916" s="300"/>
      <c r="AX916" s="119">
        <v>0</v>
      </c>
      <c r="AY916" s="299"/>
      <c r="AZ916" s="119"/>
      <c r="BA916" s="119"/>
      <c r="BB916" s="300"/>
      <c r="BC916" s="119">
        <v>0</v>
      </c>
      <c r="BD916" s="299"/>
      <c r="BE916" s="119"/>
      <c r="BF916" s="119"/>
      <c r="BG916" s="300"/>
      <c r="BH916" s="119">
        <v>0</v>
      </c>
      <c r="BI916" s="304"/>
      <c r="BJ916" s="119"/>
      <c r="BK916" s="119"/>
      <c r="BL916" s="119"/>
      <c r="BM916" s="119"/>
      <c r="BN916" s="299"/>
      <c r="BO916" s="119"/>
      <c r="BP916" s="119"/>
      <c r="BQ916" s="119"/>
      <c r="BR916" s="119"/>
      <c r="BS916" s="299"/>
      <c r="BT916" s="299"/>
      <c r="BU916" s="299"/>
      <c r="BV916" s="299"/>
      <c r="BW916" s="122"/>
    </row>
    <row r="917" spans="1:75" s="198" customFormat="1" ht="14.25" hidden="1" outlineLevel="2" x14ac:dyDescent="0.45">
      <c r="A917" s="324" t="s">
        <v>973</v>
      </c>
      <c r="B917" s="277"/>
      <c r="C917" s="325"/>
      <c r="D917" s="325"/>
      <c r="E917" s="325"/>
      <c r="F917" s="325"/>
      <c r="G917" s="326"/>
      <c r="H917" s="326"/>
      <c r="I917" s="326"/>
      <c r="J917" s="326"/>
      <c r="K917" s="325"/>
      <c r="L917" s="326"/>
      <c r="M917" s="326"/>
      <c r="N917" s="326"/>
      <c r="O917" s="326"/>
      <c r="P917" s="325"/>
      <c r="Q917" s="326"/>
      <c r="R917" s="326"/>
      <c r="S917" s="326"/>
      <c r="T917" s="326"/>
      <c r="U917" s="325"/>
      <c r="V917" s="326"/>
      <c r="W917" s="326"/>
      <c r="X917" s="326"/>
      <c r="Y917" s="327">
        <v>100.624</v>
      </c>
      <c r="Z917" s="325">
        <v>100.624</v>
      </c>
      <c r="AA917" s="327">
        <v>100.624</v>
      </c>
      <c r="AB917" s="327">
        <v>100.66300000000001</v>
      </c>
      <c r="AC917" s="326">
        <v>100.66300000000001</v>
      </c>
      <c r="AD917" s="327">
        <v>100.66300000000001</v>
      </c>
      <c r="AE917" s="325">
        <v>100.66300000000001</v>
      </c>
      <c r="AF917" s="327">
        <v>100.66300000000001</v>
      </c>
      <c r="AG917" s="327">
        <v>100.66300000000001</v>
      </c>
      <c r="AH917" s="326">
        <v>100.66300000000001</v>
      </c>
      <c r="AI917" s="327">
        <v>86.022000000000006</v>
      </c>
      <c r="AJ917" s="325">
        <v>86.022000000000006</v>
      </c>
      <c r="AK917" s="327">
        <v>86.022000000000006</v>
      </c>
      <c r="AL917" s="327">
        <v>86.022000000000006</v>
      </c>
      <c r="AM917" s="326">
        <v>86.022000000000006</v>
      </c>
      <c r="AN917" s="327">
        <v>86.022000000000006</v>
      </c>
      <c r="AO917" s="325">
        <v>86.022000000000006</v>
      </c>
      <c r="AP917" s="327">
        <v>65.563000000000002</v>
      </c>
      <c r="AQ917" s="327">
        <v>66.863</v>
      </c>
      <c r="AR917" s="326">
        <v>71.662999999999997</v>
      </c>
      <c r="AS917" s="327">
        <v>71.662999999999997</v>
      </c>
      <c r="AT917" s="325">
        <v>71.662999999999997</v>
      </c>
      <c r="AU917" s="327">
        <v>72.236999999999995</v>
      </c>
      <c r="AV917" s="327">
        <v>72.584000000000003</v>
      </c>
      <c r="AW917" s="326">
        <v>72.906999999999996</v>
      </c>
      <c r="AX917" s="327">
        <v>73.161000000000001</v>
      </c>
      <c r="AY917" s="325">
        <v>73.161000000000001</v>
      </c>
      <c r="AZ917" s="327">
        <v>73.488</v>
      </c>
      <c r="BA917" s="327">
        <v>73.81</v>
      </c>
      <c r="BB917" s="326">
        <v>74.269000000000005</v>
      </c>
      <c r="BC917" s="327">
        <v>74.63300000000001</v>
      </c>
      <c r="BD917" s="325">
        <v>74.63300000000001</v>
      </c>
      <c r="BE917" s="327">
        <v>75.144000000000005</v>
      </c>
      <c r="BF917" s="327">
        <v>75.472000000000008</v>
      </c>
      <c r="BG917" s="326">
        <v>75.746000000000009</v>
      </c>
      <c r="BH917" s="327">
        <v>75.926999999999992</v>
      </c>
      <c r="BI917" s="329">
        <v>75.926999999999992</v>
      </c>
      <c r="BJ917" s="327"/>
      <c r="BK917" s="327"/>
      <c r="BL917" s="327"/>
      <c r="BM917" s="327"/>
      <c r="BN917" s="325"/>
      <c r="BO917" s="327"/>
      <c r="BP917" s="327"/>
      <c r="BQ917" s="327"/>
      <c r="BR917" s="327"/>
      <c r="BS917" s="325"/>
      <c r="BT917" s="325"/>
      <c r="BU917" s="325"/>
      <c r="BV917" s="325"/>
      <c r="BW917" s="197"/>
    </row>
    <row r="918" spans="1:75" s="198" customFormat="1" ht="14.25" hidden="1" outlineLevel="2" x14ac:dyDescent="0.45">
      <c r="A918" s="292"/>
      <c r="B918" s="243"/>
      <c r="C918" s="293"/>
      <c r="D918" s="293"/>
      <c r="E918" s="293"/>
      <c r="F918" s="293"/>
      <c r="G918" s="294"/>
      <c r="H918" s="294"/>
      <c r="I918" s="294"/>
      <c r="J918" s="294"/>
      <c r="K918" s="293"/>
      <c r="L918" s="294"/>
      <c r="M918" s="294"/>
      <c r="N918" s="294"/>
      <c r="O918" s="294"/>
      <c r="P918" s="293"/>
      <c r="Q918" s="294"/>
      <c r="R918" s="294"/>
      <c r="S918" s="294"/>
      <c r="T918" s="294"/>
      <c r="U918" s="293"/>
      <c r="V918" s="294"/>
      <c r="W918" s="294"/>
      <c r="X918" s="294"/>
      <c r="Y918" s="295"/>
      <c r="Z918" s="293"/>
      <c r="AA918" s="295"/>
      <c r="AB918" s="295"/>
      <c r="AC918" s="294"/>
      <c r="AD918" s="295"/>
      <c r="AE918" s="293"/>
      <c r="AF918" s="295"/>
      <c r="AG918" s="295"/>
      <c r="AH918" s="294"/>
      <c r="AI918" s="295"/>
      <c r="AJ918" s="293"/>
      <c r="AK918" s="295"/>
      <c r="AL918" s="295"/>
      <c r="AM918" s="294"/>
      <c r="AN918" s="295"/>
      <c r="AO918" s="293"/>
      <c r="AP918" s="295"/>
      <c r="AQ918" s="295"/>
      <c r="AR918" s="294"/>
      <c r="AS918" s="295"/>
      <c r="AT918" s="293"/>
      <c r="AU918" s="295"/>
      <c r="AV918" s="295"/>
      <c r="AW918" s="294"/>
      <c r="AX918" s="295"/>
      <c r="AY918" s="293"/>
      <c r="AZ918" s="295"/>
      <c r="BA918" s="295"/>
      <c r="BB918" s="294"/>
      <c r="BC918" s="295"/>
      <c r="BD918" s="293"/>
      <c r="BE918" s="295"/>
      <c r="BF918" s="295"/>
      <c r="BG918" s="294"/>
      <c r="BH918" s="295"/>
      <c r="BI918" s="297"/>
      <c r="BJ918" s="295"/>
      <c r="BK918" s="295"/>
      <c r="BL918" s="295"/>
      <c r="BM918" s="295"/>
      <c r="BN918" s="293"/>
      <c r="BO918" s="295"/>
      <c r="BP918" s="295"/>
      <c r="BQ918" s="295"/>
      <c r="BR918" s="295"/>
      <c r="BS918" s="293"/>
      <c r="BT918" s="293"/>
      <c r="BU918" s="293"/>
      <c r="BV918" s="293"/>
      <c r="BW918" s="197"/>
    </row>
    <row r="919" spans="1:75" s="123" customFormat="1" hidden="1" outlineLevel="2" x14ac:dyDescent="0.5">
      <c r="A919" s="354" t="s">
        <v>974</v>
      </c>
      <c r="B919" s="251"/>
      <c r="C919" s="299"/>
      <c r="D919" s="299"/>
      <c r="E919" s="299"/>
      <c r="F919" s="299"/>
      <c r="G919" s="300"/>
      <c r="H919" s="300"/>
      <c r="I919" s="300"/>
      <c r="J919" s="300"/>
      <c r="K919" s="299"/>
      <c r="L919" s="300"/>
      <c r="M919" s="300"/>
      <c r="N919" s="300"/>
      <c r="O919" s="300"/>
      <c r="P919" s="299"/>
      <c r="Q919" s="300"/>
      <c r="R919" s="300"/>
      <c r="S919" s="300"/>
      <c r="T919" s="300"/>
      <c r="U919" s="299"/>
      <c r="V919" s="300"/>
      <c r="W919" s="300"/>
      <c r="X919" s="300"/>
      <c r="Y919" s="119"/>
      <c r="Z919" s="299"/>
      <c r="AA919" s="119"/>
      <c r="AB919" s="119"/>
      <c r="AC919" s="300"/>
      <c r="AD919" s="119"/>
      <c r="AE919" s="299"/>
      <c r="AF919" s="119"/>
      <c r="AG919" s="119"/>
      <c r="AH919" s="300"/>
      <c r="AI919" s="119"/>
      <c r="AJ919" s="299"/>
      <c r="AK919" s="119"/>
      <c r="AL919" s="119"/>
      <c r="AM919" s="300"/>
      <c r="AN919" s="119"/>
      <c r="AO919" s="299"/>
      <c r="AP919" s="119"/>
      <c r="AQ919" s="119"/>
      <c r="AR919" s="300"/>
      <c r="AS919" s="119">
        <v>0</v>
      </c>
      <c r="AT919" s="299"/>
      <c r="AU919" s="119"/>
      <c r="AV919" s="119"/>
      <c r="AW919" s="300"/>
      <c r="AX919" s="119">
        <v>0</v>
      </c>
      <c r="AY919" s="299"/>
      <c r="AZ919" s="119"/>
      <c r="BA919" s="119"/>
      <c r="BB919" s="300"/>
      <c r="BC919" s="119">
        <v>0</v>
      </c>
      <c r="BD919" s="299"/>
      <c r="BE919" s="119"/>
      <c r="BF919" s="119"/>
      <c r="BG919" s="300"/>
      <c r="BH919" s="119">
        <v>0</v>
      </c>
      <c r="BI919" s="304"/>
      <c r="BJ919" s="119"/>
      <c r="BK919" s="119"/>
      <c r="BL919" s="119"/>
      <c r="BM919" s="119"/>
      <c r="BN919" s="299"/>
      <c r="BO919" s="119"/>
      <c r="BP919" s="119"/>
      <c r="BQ919" s="119"/>
      <c r="BR919" s="119"/>
      <c r="BS919" s="299"/>
      <c r="BT919" s="299"/>
      <c r="BU919" s="299"/>
      <c r="BV919" s="299"/>
      <c r="BW919" s="122"/>
    </row>
    <row r="920" spans="1:75" s="123" customFormat="1" hidden="1" outlineLevel="2" x14ac:dyDescent="0.5">
      <c r="A920" s="354" t="s">
        <v>975</v>
      </c>
      <c r="B920" s="251"/>
      <c r="C920" s="299"/>
      <c r="D920" s="299"/>
      <c r="E920" s="299"/>
      <c r="F920" s="299"/>
      <c r="G920" s="300"/>
      <c r="H920" s="300"/>
      <c r="I920" s="300"/>
      <c r="J920" s="300"/>
      <c r="K920" s="299"/>
      <c r="L920" s="300"/>
      <c r="M920" s="300"/>
      <c r="N920" s="300"/>
      <c r="O920" s="300"/>
      <c r="P920" s="299"/>
      <c r="Q920" s="300"/>
      <c r="R920" s="300"/>
      <c r="S920" s="300"/>
      <c r="T920" s="300"/>
      <c r="U920" s="299"/>
      <c r="V920" s="300"/>
      <c r="W920" s="300"/>
      <c r="X920" s="300"/>
      <c r="Y920" s="119"/>
      <c r="Z920" s="299"/>
      <c r="AA920" s="119"/>
      <c r="AB920" s="119"/>
      <c r="AC920" s="300"/>
      <c r="AD920" s="119"/>
      <c r="AE920" s="299"/>
      <c r="AF920" s="119"/>
      <c r="AG920" s="119"/>
      <c r="AH920" s="300"/>
      <c r="AI920" s="119"/>
      <c r="AJ920" s="299"/>
      <c r="AK920" s="119"/>
      <c r="AL920" s="119"/>
      <c r="AM920" s="300"/>
      <c r="AN920" s="119"/>
      <c r="AO920" s="299"/>
      <c r="AP920" s="119"/>
      <c r="AQ920" s="119"/>
      <c r="AR920" s="300"/>
      <c r="AS920" s="119">
        <v>0</v>
      </c>
      <c r="AT920" s="299"/>
      <c r="AU920" s="119"/>
      <c r="AV920" s="119"/>
      <c r="AW920" s="300"/>
      <c r="AX920" s="119">
        <v>0</v>
      </c>
      <c r="AY920" s="299"/>
      <c r="AZ920" s="302">
        <v>0.52</v>
      </c>
      <c r="BA920" s="302">
        <v>0.53500000000000003</v>
      </c>
      <c r="BB920" s="307">
        <v>0.53900000000000003</v>
      </c>
      <c r="BC920" s="119">
        <v>0.623</v>
      </c>
      <c r="BD920" s="305">
        <v>0.623</v>
      </c>
      <c r="BE920" s="302">
        <v>0.71499999999999997</v>
      </c>
      <c r="BF920" s="302">
        <v>0.77300000000000002</v>
      </c>
      <c r="BG920" s="307">
        <v>0.85799999999999998</v>
      </c>
      <c r="BH920" s="119">
        <v>3.609</v>
      </c>
      <c r="BI920" s="303">
        <v>3.609</v>
      </c>
      <c r="BJ920" s="119"/>
      <c r="BK920" s="119"/>
      <c r="BL920" s="119"/>
      <c r="BM920" s="119"/>
      <c r="BN920" s="299"/>
      <c r="BO920" s="119"/>
      <c r="BP920" s="119"/>
      <c r="BQ920" s="119"/>
      <c r="BR920" s="119"/>
      <c r="BS920" s="299"/>
      <c r="BT920" s="299"/>
      <c r="BU920" s="299"/>
      <c r="BV920" s="299"/>
      <c r="BW920" s="122"/>
    </row>
    <row r="921" spans="1:75" s="123" customFormat="1" hidden="1" outlineLevel="2" x14ac:dyDescent="0.5">
      <c r="A921" s="354" t="s">
        <v>976</v>
      </c>
      <c r="B921" s="251"/>
      <c r="C921" s="299"/>
      <c r="D921" s="299"/>
      <c r="E921" s="299"/>
      <c r="F921" s="299"/>
      <c r="G921" s="300"/>
      <c r="H921" s="300"/>
      <c r="I921" s="300"/>
      <c r="J921" s="300"/>
      <c r="K921" s="299"/>
      <c r="L921" s="300"/>
      <c r="M921" s="300"/>
      <c r="N921" s="300"/>
      <c r="O921" s="300"/>
      <c r="P921" s="299"/>
      <c r="Q921" s="300"/>
      <c r="R921" s="300"/>
      <c r="S921" s="300"/>
      <c r="T921" s="300"/>
      <c r="U921" s="299"/>
      <c r="V921" s="300"/>
      <c r="W921" s="300"/>
      <c r="X921" s="300"/>
      <c r="Y921" s="119"/>
      <c r="Z921" s="299"/>
      <c r="AA921" s="119"/>
      <c r="AB921" s="119"/>
      <c r="AC921" s="300"/>
      <c r="AD921" s="119"/>
      <c r="AE921" s="299"/>
      <c r="AF921" s="119"/>
      <c r="AG921" s="119"/>
      <c r="AH921" s="300"/>
      <c r="AI921" s="119"/>
      <c r="AJ921" s="299"/>
      <c r="AK921" s="119"/>
      <c r="AL921" s="119"/>
      <c r="AM921" s="300"/>
      <c r="AN921" s="119"/>
      <c r="AO921" s="299"/>
      <c r="AP921" s="119"/>
      <c r="AQ921" s="119"/>
      <c r="AR921" s="300"/>
      <c r="AS921" s="119">
        <v>100.60299999999999</v>
      </c>
      <c r="AT921" s="305">
        <v>100.60299999999999</v>
      </c>
      <c r="AU921" s="302">
        <v>99.131</v>
      </c>
      <c r="AV921" s="302">
        <v>97.412000000000006</v>
      </c>
      <c r="AW921" s="307">
        <v>97.975999999999999</v>
      </c>
      <c r="AX921" s="119">
        <v>100.81</v>
      </c>
      <c r="AY921" s="305">
        <v>100.81</v>
      </c>
      <c r="AZ921" s="302">
        <v>100.03</v>
      </c>
      <c r="BA921" s="302">
        <v>97.6</v>
      </c>
      <c r="BB921" s="307">
        <v>96.465999999999994</v>
      </c>
      <c r="BC921" s="119">
        <v>100.845</v>
      </c>
      <c r="BD921" s="305">
        <v>100.845</v>
      </c>
      <c r="BE921" s="302">
        <v>132.28200000000001</v>
      </c>
      <c r="BF921" s="302">
        <v>129.43700000000001</v>
      </c>
      <c r="BG921" s="307">
        <v>127.254</v>
      </c>
      <c r="BH921" s="119">
        <v>125.059</v>
      </c>
      <c r="BI921" s="303">
        <v>125.059</v>
      </c>
      <c r="BJ921" s="119"/>
      <c r="BK921" s="119"/>
      <c r="BL921" s="119"/>
      <c r="BM921" s="119"/>
      <c r="BN921" s="299"/>
      <c r="BO921" s="119"/>
      <c r="BP921" s="119"/>
      <c r="BQ921" s="119"/>
      <c r="BR921" s="119"/>
      <c r="BS921" s="299"/>
      <c r="BT921" s="299"/>
      <c r="BU921" s="299"/>
      <c r="BV921" s="299"/>
      <c r="BW921" s="122"/>
    </row>
    <row r="922" spans="1:75" s="198" customFormat="1" ht="14.25" hidden="1" outlineLevel="2" x14ac:dyDescent="0.45">
      <c r="A922" s="324" t="s">
        <v>977</v>
      </c>
      <c r="B922" s="277"/>
      <c r="C922" s="325"/>
      <c r="D922" s="325"/>
      <c r="E922" s="325"/>
      <c r="F922" s="325"/>
      <c r="G922" s="326"/>
      <c r="H922" s="326"/>
      <c r="I922" s="326"/>
      <c r="J922" s="326"/>
      <c r="K922" s="325"/>
      <c r="L922" s="326"/>
      <c r="M922" s="326"/>
      <c r="N922" s="326"/>
      <c r="O922" s="326"/>
      <c r="P922" s="325"/>
      <c r="Q922" s="326"/>
      <c r="R922" s="326"/>
      <c r="S922" s="326"/>
      <c r="T922" s="326"/>
      <c r="U922" s="325"/>
      <c r="V922" s="326"/>
      <c r="W922" s="326"/>
      <c r="X922" s="326"/>
      <c r="Y922" s="327"/>
      <c r="Z922" s="325"/>
      <c r="AA922" s="327"/>
      <c r="AB922" s="327"/>
      <c r="AC922" s="326"/>
      <c r="AD922" s="327"/>
      <c r="AE922" s="325"/>
      <c r="AF922" s="327"/>
      <c r="AG922" s="327"/>
      <c r="AH922" s="326"/>
      <c r="AI922" s="327"/>
      <c r="AJ922" s="325"/>
      <c r="AK922" s="327"/>
      <c r="AL922" s="327"/>
      <c r="AM922" s="326"/>
      <c r="AN922" s="327"/>
      <c r="AO922" s="325"/>
      <c r="AP922" s="327"/>
      <c r="AQ922" s="327"/>
      <c r="AR922" s="326"/>
      <c r="AS922" s="327">
        <v>100.60299999999999</v>
      </c>
      <c r="AT922" s="325">
        <v>100.60299999999999</v>
      </c>
      <c r="AU922" s="327">
        <v>99.131</v>
      </c>
      <c r="AV922" s="327">
        <v>97.412000000000006</v>
      </c>
      <c r="AW922" s="326">
        <v>97.975999999999999</v>
      </c>
      <c r="AX922" s="327">
        <v>100.81</v>
      </c>
      <c r="AY922" s="325">
        <v>100.81</v>
      </c>
      <c r="AZ922" s="327">
        <v>100.55</v>
      </c>
      <c r="BA922" s="327">
        <v>98.134999999999991</v>
      </c>
      <c r="BB922" s="326">
        <v>97.004999999999995</v>
      </c>
      <c r="BC922" s="327">
        <v>101.468</v>
      </c>
      <c r="BD922" s="325">
        <v>101.468</v>
      </c>
      <c r="BE922" s="327">
        <v>132.99700000000001</v>
      </c>
      <c r="BF922" s="327">
        <v>130.21</v>
      </c>
      <c r="BG922" s="326">
        <v>128.11199999999999</v>
      </c>
      <c r="BH922" s="327">
        <v>128.66800000000001</v>
      </c>
      <c r="BI922" s="329">
        <v>128.66800000000001</v>
      </c>
      <c r="BJ922" s="327"/>
      <c r="BK922" s="327"/>
      <c r="BL922" s="327"/>
      <c r="BM922" s="327"/>
      <c r="BN922" s="325"/>
      <c r="BO922" s="327"/>
      <c r="BP922" s="327"/>
      <c r="BQ922" s="327"/>
      <c r="BR922" s="327"/>
      <c r="BS922" s="325"/>
      <c r="BT922" s="325"/>
      <c r="BU922" s="325"/>
      <c r="BV922" s="325"/>
      <c r="BW922" s="197"/>
    </row>
    <row r="923" spans="1:75" s="198" customFormat="1" ht="14.25" hidden="1" outlineLevel="2" x14ac:dyDescent="0.45">
      <c r="A923" s="292"/>
      <c r="B923" s="243"/>
      <c r="C923" s="293"/>
      <c r="D923" s="293"/>
      <c r="E923" s="293"/>
      <c r="F923" s="293"/>
      <c r="G923" s="294"/>
      <c r="H923" s="294"/>
      <c r="I923" s="294"/>
      <c r="J923" s="294"/>
      <c r="K923" s="293"/>
      <c r="L923" s="294"/>
      <c r="M923" s="294"/>
      <c r="N923" s="294"/>
      <c r="O923" s="294"/>
      <c r="P923" s="293"/>
      <c r="Q923" s="294"/>
      <c r="R923" s="294"/>
      <c r="S923" s="294"/>
      <c r="T923" s="294"/>
      <c r="U923" s="293"/>
      <c r="V923" s="294"/>
      <c r="W923" s="294"/>
      <c r="X923" s="294"/>
      <c r="Y923" s="295"/>
      <c r="Z923" s="293"/>
      <c r="AA923" s="295"/>
      <c r="AB923" s="295"/>
      <c r="AC923" s="294"/>
      <c r="AD923" s="295"/>
      <c r="AE923" s="293"/>
      <c r="AF923" s="295"/>
      <c r="AG923" s="295"/>
      <c r="AH923" s="294"/>
      <c r="AI923" s="295"/>
      <c r="AJ923" s="293"/>
      <c r="AK923" s="295"/>
      <c r="AL923" s="295"/>
      <c r="AM923" s="294"/>
      <c r="AN923" s="295"/>
      <c r="AO923" s="293"/>
      <c r="AP923" s="295"/>
      <c r="AQ923" s="295"/>
      <c r="AR923" s="294"/>
      <c r="AS923" s="295"/>
      <c r="AT923" s="293"/>
      <c r="AU923" s="295"/>
      <c r="AV923" s="295"/>
      <c r="AW923" s="294"/>
      <c r="AX923" s="295"/>
      <c r="AY923" s="293"/>
      <c r="AZ923" s="295"/>
      <c r="BA923" s="295"/>
      <c r="BB923" s="294"/>
      <c r="BC923" s="295"/>
      <c r="BD923" s="293"/>
      <c r="BE923" s="295"/>
      <c r="BF923" s="295"/>
      <c r="BG923" s="294"/>
      <c r="BH923" s="295"/>
      <c r="BI923" s="297"/>
      <c r="BJ923" s="295"/>
      <c r="BK923" s="295"/>
      <c r="BL923" s="295"/>
      <c r="BM923" s="295"/>
      <c r="BN923" s="293"/>
      <c r="BO923" s="295"/>
      <c r="BP923" s="295"/>
      <c r="BQ923" s="295"/>
      <c r="BR923" s="295"/>
      <c r="BS923" s="293"/>
      <c r="BT923" s="293"/>
      <c r="BU923" s="293"/>
      <c r="BV923" s="293"/>
      <c r="BW923" s="197"/>
    </row>
    <row r="924" spans="1:75" s="123" customFormat="1" hidden="1" outlineLevel="2" x14ac:dyDescent="0.5">
      <c r="A924" s="354" t="s">
        <v>978</v>
      </c>
      <c r="B924" s="251"/>
      <c r="C924" s="299"/>
      <c r="D924" s="299"/>
      <c r="E924" s="299"/>
      <c r="F924" s="299"/>
      <c r="G924" s="300"/>
      <c r="H924" s="300"/>
      <c r="I924" s="300"/>
      <c r="J924" s="300"/>
      <c r="K924" s="299"/>
      <c r="L924" s="300"/>
      <c r="M924" s="300"/>
      <c r="N924" s="300"/>
      <c r="O924" s="300"/>
      <c r="P924" s="299"/>
      <c r="Q924" s="300"/>
      <c r="R924" s="300"/>
      <c r="S924" s="300"/>
      <c r="T924" s="300"/>
      <c r="U924" s="299"/>
      <c r="V924" s="300"/>
      <c r="W924" s="300"/>
      <c r="X924" s="300"/>
      <c r="Y924" s="119">
        <v>2040.346</v>
      </c>
      <c r="Z924" s="305">
        <v>2040.346</v>
      </c>
      <c r="AA924" s="302">
        <v>1794.5419999999999</v>
      </c>
      <c r="AB924" s="302">
        <v>1665.328</v>
      </c>
      <c r="AC924" s="307">
        <v>1649.057</v>
      </c>
      <c r="AD924" s="119">
        <v>1608.29</v>
      </c>
      <c r="AE924" s="305">
        <v>1608.29</v>
      </c>
      <c r="AF924" s="302">
        <v>1621.817</v>
      </c>
      <c r="AG924" s="302">
        <v>1685.0889999999999</v>
      </c>
      <c r="AH924" s="307">
        <v>1715.1320000000001</v>
      </c>
      <c r="AI924" s="119">
        <v>1707.1010000000001</v>
      </c>
      <c r="AJ924" s="305">
        <v>1707.1010000000001</v>
      </c>
      <c r="AK924" s="302">
        <v>2397.748</v>
      </c>
      <c r="AL924" s="302">
        <v>2240.904</v>
      </c>
      <c r="AM924" s="307">
        <v>2218.7719999999999</v>
      </c>
      <c r="AN924" s="119">
        <v>2301.8229999999999</v>
      </c>
      <c r="AO924" s="305">
        <v>2301.8229999999999</v>
      </c>
      <c r="AP924" s="302">
        <v>2310.1109999999999</v>
      </c>
      <c r="AQ924" s="302">
        <v>2382.857</v>
      </c>
      <c r="AR924" s="307">
        <v>2554.2939999999999</v>
      </c>
      <c r="AS924" s="119">
        <v>2659.944</v>
      </c>
      <c r="AT924" s="305">
        <v>2659.944</v>
      </c>
      <c r="AU924" s="302">
        <v>2992.6469999999999</v>
      </c>
      <c r="AV924" s="302">
        <v>3215.5340000000001</v>
      </c>
      <c r="AW924" s="307">
        <v>5161.7889999999998</v>
      </c>
      <c r="AX924" s="119">
        <v>5259.7190000000001</v>
      </c>
      <c r="AY924" s="305">
        <v>5259.7190000000001</v>
      </c>
      <c r="AZ924" s="302">
        <v>5595.6769999999997</v>
      </c>
      <c r="BA924" s="302">
        <v>5531.152</v>
      </c>
      <c r="BB924" s="307">
        <v>5573.6490000000003</v>
      </c>
      <c r="BC924" s="119">
        <v>4953.6099999999997</v>
      </c>
      <c r="BD924" s="305">
        <v>4953.6099999999997</v>
      </c>
      <c r="BE924" s="302">
        <v>4924.7259999999997</v>
      </c>
      <c r="BF924" s="302">
        <v>3818.8429999999998</v>
      </c>
      <c r="BG924" s="307">
        <v>3833.3409999999999</v>
      </c>
      <c r="BH924" s="119">
        <v>3798.5720000000001</v>
      </c>
      <c r="BI924" s="303">
        <v>3798.5720000000001</v>
      </c>
      <c r="BJ924" s="119"/>
      <c r="BK924" s="119"/>
      <c r="BL924" s="119"/>
      <c r="BM924" s="119"/>
      <c r="BN924" s="299"/>
      <c r="BO924" s="119"/>
      <c r="BP924" s="119"/>
      <c r="BQ924" s="119"/>
      <c r="BR924" s="119"/>
      <c r="BS924" s="299"/>
      <c r="BT924" s="299"/>
      <c r="BU924" s="299"/>
      <c r="BV924" s="299"/>
      <c r="BW924" s="122"/>
    </row>
    <row r="925" spans="1:75" s="123" customFormat="1" hidden="1" outlineLevel="2" x14ac:dyDescent="0.5">
      <c r="A925" s="354" t="s">
        <v>979</v>
      </c>
      <c r="B925" s="251"/>
      <c r="C925" s="299"/>
      <c r="D925" s="299"/>
      <c r="E925" s="299"/>
      <c r="F925" s="299"/>
      <c r="G925" s="300"/>
      <c r="H925" s="300"/>
      <c r="I925" s="300"/>
      <c r="J925" s="300"/>
      <c r="K925" s="299"/>
      <c r="L925" s="300"/>
      <c r="M925" s="300"/>
      <c r="N925" s="300"/>
      <c r="O925" s="300"/>
      <c r="P925" s="299"/>
      <c r="Q925" s="300"/>
      <c r="R925" s="300"/>
      <c r="S925" s="300"/>
      <c r="T925" s="300"/>
      <c r="U925" s="299"/>
      <c r="V925" s="300"/>
      <c r="W925" s="300"/>
      <c r="X925" s="300"/>
      <c r="Y925" s="119">
        <v>152.17400000000001</v>
      </c>
      <c r="Z925" s="305">
        <v>152.17400000000001</v>
      </c>
      <c r="AA925" s="302">
        <v>153.84399999999999</v>
      </c>
      <c r="AB925" s="302">
        <v>154.08099999999999</v>
      </c>
      <c r="AC925" s="307">
        <v>152.50899999999999</v>
      </c>
      <c r="AD925" s="119">
        <v>124.57599999999999</v>
      </c>
      <c r="AE925" s="305">
        <v>124.57599999999999</v>
      </c>
      <c r="AF925" s="302">
        <v>127.14400000000001</v>
      </c>
      <c r="AG925" s="302">
        <v>129.018</v>
      </c>
      <c r="AH925" s="307">
        <v>128.19300000000001</v>
      </c>
      <c r="AI925" s="119">
        <v>98.933000000000007</v>
      </c>
      <c r="AJ925" s="305">
        <v>98.933000000000007</v>
      </c>
      <c r="AK925" s="302">
        <v>148.084</v>
      </c>
      <c r="AL925" s="302">
        <v>146.904</v>
      </c>
      <c r="AM925" s="307">
        <v>143.24100000000001</v>
      </c>
      <c r="AN925" s="119">
        <v>143.87100000000001</v>
      </c>
      <c r="AO925" s="305">
        <v>143.87100000000001</v>
      </c>
      <c r="AP925" s="302">
        <v>119.782</v>
      </c>
      <c r="AQ925" s="302">
        <v>123.55200000000001</v>
      </c>
      <c r="AR925" s="307">
        <v>124.956</v>
      </c>
      <c r="AS925" s="119">
        <v>137.76599999999999</v>
      </c>
      <c r="AT925" s="305">
        <v>137.76599999999999</v>
      </c>
      <c r="AU925" s="302">
        <v>145.53899999999999</v>
      </c>
      <c r="AV925" s="302">
        <v>154.20599999999999</v>
      </c>
      <c r="AW925" s="307">
        <v>160.26</v>
      </c>
      <c r="AX925" s="119">
        <v>179.941</v>
      </c>
      <c r="AY925" s="305">
        <v>179.941</v>
      </c>
      <c r="AZ925" s="302">
        <v>192.23</v>
      </c>
      <c r="BA925" s="302">
        <v>202.69499999999999</v>
      </c>
      <c r="BB925" s="307">
        <v>207.15299999999999</v>
      </c>
      <c r="BC925" s="119">
        <v>217.22800000000001</v>
      </c>
      <c r="BD925" s="305">
        <v>217.22800000000001</v>
      </c>
      <c r="BE925" s="302">
        <v>225.55099999999999</v>
      </c>
      <c r="BF925" s="302">
        <v>227.68299999999999</v>
      </c>
      <c r="BG925" s="307">
        <v>243.351</v>
      </c>
      <c r="BH925" s="119">
        <v>183.804</v>
      </c>
      <c r="BI925" s="303">
        <v>183.804</v>
      </c>
      <c r="BJ925" s="119"/>
      <c r="BK925" s="119"/>
      <c r="BL925" s="119"/>
      <c r="BM925" s="119"/>
      <c r="BN925" s="299"/>
      <c r="BO925" s="119"/>
      <c r="BP925" s="119"/>
      <c r="BQ925" s="119"/>
      <c r="BR925" s="119"/>
      <c r="BS925" s="299"/>
      <c r="BT925" s="299"/>
      <c r="BU925" s="299"/>
      <c r="BV925" s="299"/>
      <c r="BW925" s="122"/>
    </row>
    <row r="926" spans="1:75" s="123" customFormat="1" hidden="1" outlineLevel="2" x14ac:dyDescent="0.5">
      <c r="A926" s="354" t="s">
        <v>980</v>
      </c>
      <c r="B926" s="251"/>
      <c r="C926" s="299"/>
      <c r="D926" s="299"/>
      <c r="E926" s="299"/>
      <c r="F926" s="299"/>
      <c r="G926" s="300"/>
      <c r="H926" s="300"/>
      <c r="I926" s="300"/>
      <c r="J926" s="300"/>
      <c r="K926" s="299"/>
      <c r="L926" s="300"/>
      <c r="M926" s="300"/>
      <c r="N926" s="300"/>
      <c r="O926" s="300"/>
      <c r="P926" s="299"/>
      <c r="Q926" s="300"/>
      <c r="R926" s="300"/>
      <c r="S926" s="300"/>
      <c r="T926" s="300"/>
      <c r="U926" s="299"/>
      <c r="V926" s="300"/>
      <c r="W926" s="300"/>
      <c r="X926" s="300"/>
      <c r="Y926" s="119">
        <v>0</v>
      </c>
      <c r="Z926" s="299"/>
      <c r="AA926" s="119"/>
      <c r="AB926" s="119"/>
      <c r="AC926" s="300"/>
      <c r="AD926" s="119">
        <v>0</v>
      </c>
      <c r="AE926" s="299"/>
      <c r="AF926" s="119"/>
      <c r="AG926" s="119"/>
      <c r="AH926" s="300"/>
      <c r="AI926" s="119">
        <v>0</v>
      </c>
      <c r="AJ926" s="299"/>
      <c r="AK926" s="119"/>
      <c r="AL926" s="119"/>
      <c r="AM926" s="300"/>
      <c r="AN926" s="119">
        <v>0</v>
      </c>
      <c r="AO926" s="299"/>
      <c r="AP926" s="119"/>
      <c r="AQ926" s="119"/>
      <c r="AR926" s="300"/>
      <c r="AS926" s="119">
        <v>100.60299999999999</v>
      </c>
      <c r="AT926" s="305">
        <v>100.60299999999999</v>
      </c>
      <c r="AU926" s="302">
        <v>99.131</v>
      </c>
      <c r="AV926" s="302">
        <v>97.412000000000006</v>
      </c>
      <c r="AW926" s="307">
        <v>97.975999999999999</v>
      </c>
      <c r="AX926" s="119">
        <v>100.81</v>
      </c>
      <c r="AY926" s="305">
        <v>100.81</v>
      </c>
      <c r="AZ926" s="302">
        <v>100.03</v>
      </c>
      <c r="BA926" s="302">
        <v>97.6</v>
      </c>
      <c r="BB926" s="307">
        <v>102.913</v>
      </c>
      <c r="BC926" s="119">
        <v>138.45099999999999</v>
      </c>
      <c r="BD926" s="305">
        <v>138.45099999999999</v>
      </c>
      <c r="BE926" s="302">
        <v>169.553</v>
      </c>
      <c r="BF926" s="302">
        <v>166.30500000000001</v>
      </c>
      <c r="BG926" s="307">
        <v>163.92699999999999</v>
      </c>
      <c r="BH926" s="119">
        <v>161.52099999999999</v>
      </c>
      <c r="BI926" s="303">
        <v>161.52099999999999</v>
      </c>
      <c r="BJ926" s="119"/>
      <c r="BK926" s="119"/>
      <c r="BL926" s="119"/>
      <c r="BM926" s="119"/>
      <c r="BN926" s="299"/>
      <c r="BO926" s="119"/>
      <c r="BP926" s="119"/>
      <c r="BQ926" s="119"/>
      <c r="BR926" s="119"/>
      <c r="BS926" s="299"/>
      <c r="BT926" s="299"/>
      <c r="BU926" s="299"/>
      <c r="BV926" s="299"/>
      <c r="BW926" s="122"/>
    </row>
    <row r="927" spans="1:75" s="198" customFormat="1" ht="14.25" hidden="1" outlineLevel="2" x14ac:dyDescent="0.45">
      <c r="A927" s="324" t="s">
        <v>981</v>
      </c>
      <c r="B927" s="277"/>
      <c r="C927" s="325"/>
      <c r="D927" s="325"/>
      <c r="E927" s="325"/>
      <c r="F927" s="325"/>
      <c r="G927" s="326"/>
      <c r="H927" s="326"/>
      <c r="I927" s="326"/>
      <c r="J927" s="326"/>
      <c r="K927" s="325"/>
      <c r="L927" s="326"/>
      <c r="M927" s="326"/>
      <c r="N927" s="326"/>
      <c r="O927" s="326"/>
      <c r="P927" s="325"/>
      <c r="Q927" s="326"/>
      <c r="R927" s="326"/>
      <c r="S927" s="326"/>
      <c r="T927" s="326"/>
      <c r="U927" s="325"/>
      <c r="V927" s="326"/>
      <c r="W927" s="326"/>
      <c r="X927" s="326"/>
      <c r="Y927" s="327">
        <v>2192.52</v>
      </c>
      <c r="Z927" s="325">
        <v>2192.52</v>
      </c>
      <c r="AA927" s="327">
        <v>1948.386</v>
      </c>
      <c r="AB927" s="327">
        <v>1819.4089999999999</v>
      </c>
      <c r="AC927" s="326">
        <v>1801.566</v>
      </c>
      <c r="AD927" s="327">
        <v>1732.866</v>
      </c>
      <c r="AE927" s="325">
        <v>1732.866</v>
      </c>
      <c r="AF927" s="327">
        <v>1748.961</v>
      </c>
      <c r="AG927" s="327">
        <v>1814.107</v>
      </c>
      <c r="AH927" s="326">
        <v>1843.325</v>
      </c>
      <c r="AI927" s="327">
        <v>1806.0340000000001</v>
      </c>
      <c r="AJ927" s="325">
        <v>1806.0340000000001</v>
      </c>
      <c r="AK927" s="327">
        <v>2545.8319999999999</v>
      </c>
      <c r="AL927" s="327">
        <v>2387.808</v>
      </c>
      <c r="AM927" s="326">
        <v>2362.0129999999999</v>
      </c>
      <c r="AN927" s="327">
        <v>2445.694</v>
      </c>
      <c r="AO927" s="325">
        <v>2445.694</v>
      </c>
      <c r="AP927" s="327">
        <v>2429.893</v>
      </c>
      <c r="AQ927" s="327">
        <v>2506.4090000000001</v>
      </c>
      <c r="AR927" s="326">
        <v>2679.25</v>
      </c>
      <c r="AS927" s="327">
        <v>2898.3130000000001</v>
      </c>
      <c r="AT927" s="325">
        <v>2898.3130000000001</v>
      </c>
      <c r="AU927" s="327">
        <v>3237.3169999999996</v>
      </c>
      <c r="AV927" s="327">
        <v>3467.152</v>
      </c>
      <c r="AW927" s="326">
        <v>5420.0249999999996</v>
      </c>
      <c r="AX927" s="327">
        <v>5540.47</v>
      </c>
      <c r="AY927" s="325">
        <v>5540.47</v>
      </c>
      <c r="AZ927" s="327">
        <v>5887.936999999999</v>
      </c>
      <c r="BA927" s="327">
        <v>5831.4470000000001</v>
      </c>
      <c r="BB927" s="326">
        <v>5883.7150000000001</v>
      </c>
      <c r="BC927" s="327">
        <v>5309.2889999999998</v>
      </c>
      <c r="BD927" s="325">
        <v>5309.2889999999998</v>
      </c>
      <c r="BE927" s="327">
        <v>5319.83</v>
      </c>
      <c r="BF927" s="327">
        <v>4212.8310000000001</v>
      </c>
      <c r="BG927" s="326">
        <v>4240.6189999999997</v>
      </c>
      <c r="BH927" s="327">
        <v>4143.8969999999999</v>
      </c>
      <c r="BI927" s="329">
        <v>4143.8969999999999</v>
      </c>
      <c r="BJ927" s="327"/>
      <c r="BK927" s="327"/>
      <c r="BL927" s="327"/>
      <c r="BM927" s="327"/>
      <c r="BN927" s="325"/>
      <c r="BO927" s="327"/>
      <c r="BP927" s="327"/>
      <c r="BQ927" s="327"/>
      <c r="BR927" s="327"/>
      <c r="BS927" s="325"/>
      <c r="BT927" s="325"/>
      <c r="BU927" s="325"/>
      <c r="BV927" s="325"/>
      <c r="BW927" s="197"/>
    </row>
    <row r="928" spans="1:75" s="198" customFormat="1" ht="14.25" hidden="1" outlineLevel="1" x14ac:dyDescent="0.45">
      <c r="A928" s="292"/>
      <c r="B928" s="243"/>
      <c r="C928" s="293"/>
      <c r="D928" s="293"/>
      <c r="E928" s="293"/>
      <c r="F928" s="293"/>
      <c r="G928" s="294"/>
      <c r="H928" s="294"/>
      <c r="I928" s="294"/>
      <c r="J928" s="294"/>
      <c r="K928" s="293"/>
      <c r="L928" s="294"/>
      <c r="M928" s="294"/>
      <c r="N928" s="294"/>
      <c r="O928" s="294"/>
      <c r="P928" s="293"/>
      <c r="Q928" s="294"/>
      <c r="R928" s="294"/>
      <c r="S928" s="294"/>
      <c r="T928" s="294"/>
      <c r="U928" s="293"/>
      <c r="V928" s="294"/>
      <c r="W928" s="294"/>
      <c r="X928" s="294"/>
      <c r="Y928" s="295"/>
      <c r="Z928" s="293"/>
      <c r="AA928" s="295"/>
      <c r="AB928" s="295"/>
      <c r="AC928" s="294"/>
      <c r="AD928" s="295"/>
      <c r="AE928" s="293"/>
      <c r="AF928" s="295"/>
      <c r="AG928" s="295"/>
      <c r="AH928" s="294"/>
      <c r="AI928" s="295"/>
      <c r="AJ928" s="293"/>
      <c r="AK928" s="295"/>
      <c r="AL928" s="295"/>
      <c r="AM928" s="294"/>
      <c r="AN928" s="295"/>
      <c r="AO928" s="293"/>
      <c r="AP928" s="295"/>
      <c r="AQ928" s="295"/>
      <c r="AR928" s="294"/>
      <c r="AS928" s="295"/>
      <c r="AT928" s="293"/>
      <c r="AU928" s="295"/>
      <c r="AV928" s="295"/>
      <c r="AW928" s="294"/>
      <c r="AX928" s="295"/>
      <c r="AY928" s="293"/>
      <c r="AZ928" s="295"/>
      <c r="BA928" s="295"/>
      <c r="BB928" s="294"/>
      <c r="BC928" s="295"/>
      <c r="BD928" s="293"/>
      <c r="BE928" s="295"/>
      <c r="BF928" s="295"/>
      <c r="BG928" s="294"/>
      <c r="BH928" s="295"/>
      <c r="BI928" s="297"/>
      <c r="BJ928" s="295"/>
      <c r="BK928" s="295"/>
      <c r="BL928" s="295"/>
      <c r="BM928" s="295"/>
      <c r="BN928" s="293"/>
      <c r="BO928" s="295"/>
      <c r="BP928" s="295"/>
      <c r="BQ928" s="295"/>
      <c r="BR928" s="295"/>
      <c r="BS928" s="293"/>
      <c r="BT928" s="293"/>
      <c r="BU928" s="293"/>
      <c r="BV928" s="293"/>
      <c r="BW928" s="197"/>
    </row>
    <row r="929" spans="1:75" s="162" customFormat="1" ht="14.25" hidden="1" outlineLevel="1" x14ac:dyDescent="0.45">
      <c r="A929" s="159" t="s">
        <v>982</v>
      </c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  <c r="AG929" s="159"/>
      <c r="AH929" s="159"/>
      <c r="AI929" s="159"/>
      <c r="AJ929" s="159"/>
      <c r="AK929" s="159"/>
      <c r="AL929" s="159"/>
      <c r="AM929" s="159"/>
      <c r="AN929" s="159"/>
      <c r="AO929" s="159"/>
      <c r="AP929" s="159"/>
      <c r="AQ929" s="159"/>
      <c r="AR929" s="159"/>
      <c r="AS929" s="159"/>
      <c r="AT929" s="159"/>
      <c r="AU929" s="159"/>
      <c r="AV929" s="159"/>
      <c r="AW929" s="159"/>
      <c r="AX929" s="159"/>
      <c r="AY929" s="159"/>
      <c r="AZ929" s="159"/>
      <c r="BA929" s="159"/>
      <c r="BB929" s="159"/>
      <c r="BC929" s="159"/>
      <c r="BD929" s="159"/>
      <c r="BE929" s="159"/>
      <c r="BF929" s="159"/>
      <c r="BG929" s="159"/>
      <c r="BH929" s="159"/>
      <c r="BI929" s="160"/>
      <c r="BJ929" s="159"/>
      <c r="BK929" s="159"/>
      <c r="BL929" s="159"/>
      <c r="BM929" s="159"/>
      <c r="BN929" s="159"/>
      <c r="BO929" s="159"/>
      <c r="BP929" s="159"/>
      <c r="BQ929" s="159"/>
      <c r="BR929" s="159"/>
      <c r="BS929" s="159"/>
      <c r="BT929" s="159"/>
      <c r="BU929" s="159"/>
      <c r="BV929" s="159"/>
      <c r="BW929" s="161"/>
    </row>
    <row r="930" spans="1:75" s="123" customFormat="1" hidden="1" outlineLevel="2" x14ac:dyDescent="0.5">
      <c r="A930" s="496" t="s">
        <v>983</v>
      </c>
      <c r="B930" s="185"/>
      <c r="C930" s="186"/>
      <c r="D930" s="186"/>
      <c r="E930" s="186"/>
      <c r="F930" s="186"/>
      <c r="G930" s="187"/>
      <c r="H930" s="187"/>
      <c r="I930" s="187"/>
      <c r="J930" s="187"/>
      <c r="K930" s="186"/>
      <c r="L930" s="187"/>
      <c r="M930" s="187"/>
      <c r="N930" s="187"/>
      <c r="O930" s="187"/>
      <c r="P930" s="186"/>
      <c r="Q930" s="187"/>
      <c r="R930" s="187"/>
      <c r="S930" s="187"/>
      <c r="T930" s="187"/>
      <c r="U930" s="186"/>
      <c r="V930" s="187"/>
      <c r="W930" s="187"/>
      <c r="X930" s="187"/>
      <c r="Y930" s="187"/>
      <c r="Z930" s="186"/>
      <c r="AA930" s="187"/>
      <c r="AB930" s="187"/>
      <c r="AC930" s="187"/>
      <c r="AD930" s="187"/>
      <c r="AE930" s="393">
        <v>19.542000000000002</v>
      </c>
      <c r="AF930" s="394">
        <v>5.899</v>
      </c>
      <c r="AG930" s="394">
        <v>6.4409999999999998</v>
      </c>
      <c r="AH930" s="394">
        <v>7.9109999999999996</v>
      </c>
      <c r="AI930" s="187">
        <v>8.5970000000000013</v>
      </c>
      <c r="AJ930" s="393">
        <v>28.847999999999999</v>
      </c>
      <c r="AK930" s="394">
        <v>8.8520000000000003</v>
      </c>
      <c r="AL930" s="394">
        <v>9.2349999999999994</v>
      </c>
      <c r="AM930" s="394">
        <v>9.4710000000000001</v>
      </c>
      <c r="AN930" s="187">
        <v>9.4329999999999998</v>
      </c>
      <c r="AO930" s="393">
        <v>36.991</v>
      </c>
      <c r="AP930" s="394">
        <v>9.5879999999999992</v>
      </c>
      <c r="AQ930" s="394">
        <v>10.125</v>
      </c>
      <c r="AR930" s="394">
        <v>10.840999999999999</v>
      </c>
      <c r="AS930" s="187">
        <v>10.738</v>
      </c>
      <c r="AT930" s="393">
        <v>41.292000000000002</v>
      </c>
      <c r="AU930" s="394">
        <v>10.917999999999999</v>
      </c>
      <c r="AV930" s="394">
        <v>10.795999999999999</v>
      </c>
      <c r="AW930" s="394">
        <v>10.86</v>
      </c>
      <c r="AX930" s="187">
        <v>11.39</v>
      </c>
      <c r="AY930" s="393">
        <v>43.963999999999999</v>
      </c>
      <c r="AZ930" s="394">
        <v>11.497999999999999</v>
      </c>
      <c r="BA930" s="394">
        <v>12.872</v>
      </c>
      <c r="BB930" s="394">
        <v>13.964</v>
      </c>
      <c r="BC930" s="187">
        <v>14.012</v>
      </c>
      <c r="BD930" s="393">
        <v>52.345999999999997</v>
      </c>
      <c r="BE930" s="394">
        <v>13.704000000000001</v>
      </c>
      <c r="BF930" s="394">
        <v>13.641</v>
      </c>
      <c r="BG930" s="394">
        <v>13.724</v>
      </c>
      <c r="BH930" s="187">
        <v>13.526999999999994</v>
      </c>
      <c r="BI930" s="395">
        <v>54.595999999999997</v>
      </c>
      <c r="BJ930" s="187"/>
      <c r="BK930" s="187"/>
      <c r="BL930" s="187"/>
      <c r="BM930" s="187"/>
      <c r="BN930" s="186"/>
      <c r="BO930" s="187"/>
      <c r="BP930" s="187"/>
      <c r="BQ930" s="187"/>
      <c r="BR930" s="187"/>
      <c r="BS930" s="186"/>
      <c r="BT930" s="186"/>
      <c r="BU930" s="186"/>
      <c r="BV930" s="186"/>
      <c r="BW930" s="122"/>
    </row>
    <row r="931" spans="1:75" s="123" customFormat="1" hidden="1" outlineLevel="2" x14ac:dyDescent="0.5">
      <c r="A931" s="496" t="s">
        <v>984</v>
      </c>
      <c r="B931" s="185"/>
      <c r="C931" s="186"/>
      <c r="D931" s="186"/>
      <c r="E931" s="186"/>
      <c r="F931" s="186"/>
      <c r="G931" s="187"/>
      <c r="H931" s="187"/>
      <c r="I931" s="187"/>
      <c r="J931" s="187"/>
      <c r="K931" s="186"/>
      <c r="L931" s="187"/>
      <c r="M931" s="187"/>
      <c r="N931" s="187"/>
      <c r="O931" s="187"/>
      <c r="P931" s="186"/>
      <c r="Q931" s="187"/>
      <c r="R931" s="187"/>
      <c r="S931" s="187"/>
      <c r="T931" s="187"/>
      <c r="U931" s="186"/>
      <c r="V931" s="187"/>
      <c r="W931" s="187"/>
      <c r="X931" s="187"/>
      <c r="Y931" s="187"/>
      <c r="Z931" s="186"/>
      <c r="AA931" s="187"/>
      <c r="AB931" s="187"/>
      <c r="AC931" s="187"/>
      <c r="AD931" s="187"/>
      <c r="AE931" s="393">
        <v>11.154</v>
      </c>
      <c r="AF931" s="394">
        <v>3.0920000000000001</v>
      </c>
      <c r="AG931" s="394">
        <v>3.319</v>
      </c>
      <c r="AH931" s="394">
        <v>4.843</v>
      </c>
      <c r="AI931" s="187">
        <v>5.5310000000000006</v>
      </c>
      <c r="AJ931" s="393">
        <v>16.785</v>
      </c>
      <c r="AK931" s="394">
        <v>5.5140000000000002</v>
      </c>
      <c r="AL931" s="394">
        <v>5.6719999999999997</v>
      </c>
      <c r="AM931" s="394">
        <v>5.6779999999999999</v>
      </c>
      <c r="AN931" s="187">
        <v>5.7439999999999998</v>
      </c>
      <c r="AO931" s="393">
        <v>22.608000000000001</v>
      </c>
      <c r="AP931" s="394">
        <v>5.7809999999999997</v>
      </c>
      <c r="AQ931" s="394">
        <v>5.9480000000000004</v>
      </c>
      <c r="AR931" s="394">
        <v>6.1580000000000004</v>
      </c>
      <c r="AS931" s="187">
        <v>6.1239999999999988</v>
      </c>
      <c r="AT931" s="393">
        <v>24.010999999999999</v>
      </c>
      <c r="AU931" s="394">
        <v>6.15</v>
      </c>
      <c r="AV931" s="394">
        <v>6.6070000000000002</v>
      </c>
      <c r="AW931" s="394">
        <v>6.7110000000000003</v>
      </c>
      <c r="AX931" s="187">
        <v>6.9439999999999955</v>
      </c>
      <c r="AY931" s="393">
        <v>26.411999999999999</v>
      </c>
      <c r="AZ931" s="394">
        <v>7.0709999999999997</v>
      </c>
      <c r="BA931" s="394">
        <v>7.891</v>
      </c>
      <c r="BB931" s="394">
        <v>8.5640000000000001</v>
      </c>
      <c r="BC931" s="187">
        <v>8.5250000000000021</v>
      </c>
      <c r="BD931" s="393">
        <v>32.051000000000002</v>
      </c>
      <c r="BE931" s="394">
        <v>8.4860000000000007</v>
      </c>
      <c r="BF931" s="394">
        <v>8.7940000000000005</v>
      </c>
      <c r="BG931" s="394">
        <v>8.64</v>
      </c>
      <c r="BH931" s="187">
        <v>7.902000000000001</v>
      </c>
      <c r="BI931" s="395">
        <v>33.822000000000003</v>
      </c>
      <c r="BJ931" s="187"/>
      <c r="BK931" s="187"/>
      <c r="BL931" s="187"/>
      <c r="BM931" s="187"/>
      <c r="BN931" s="186"/>
      <c r="BO931" s="187"/>
      <c r="BP931" s="187"/>
      <c r="BQ931" s="187"/>
      <c r="BR931" s="187"/>
      <c r="BS931" s="186"/>
      <c r="BT931" s="186"/>
      <c r="BU931" s="186"/>
      <c r="BV931" s="186"/>
      <c r="BW931" s="122"/>
    </row>
    <row r="932" spans="1:75" s="123" customFormat="1" hidden="1" outlineLevel="2" x14ac:dyDescent="0.5">
      <c r="A932" s="504" t="s">
        <v>985</v>
      </c>
      <c r="B932" s="611"/>
      <c r="C932" s="612"/>
      <c r="D932" s="612"/>
      <c r="E932" s="612"/>
      <c r="F932" s="612"/>
      <c r="G932" s="613"/>
      <c r="H932" s="613"/>
      <c r="I932" s="613"/>
      <c r="J932" s="613"/>
      <c r="K932" s="612"/>
      <c r="L932" s="613"/>
      <c r="M932" s="613"/>
      <c r="N932" s="613"/>
      <c r="O932" s="613"/>
      <c r="P932" s="612"/>
      <c r="Q932" s="613"/>
      <c r="R932" s="613"/>
      <c r="S932" s="613"/>
      <c r="T932" s="613"/>
      <c r="U932" s="612"/>
      <c r="V932" s="613"/>
      <c r="W932" s="613"/>
      <c r="X932" s="613"/>
      <c r="Y932" s="613"/>
      <c r="Z932" s="612"/>
      <c r="AA932" s="613"/>
      <c r="AB932" s="613"/>
      <c r="AC932" s="613"/>
      <c r="AD932" s="613"/>
      <c r="AE932" s="612">
        <v>30.696000000000002</v>
      </c>
      <c r="AF932" s="613">
        <v>8.9909999999999997</v>
      </c>
      <c r="AG932" s="613">
        <v>9.76</v>
      </c>
      <c r="AH932" s="613">
        <v>12.754</v>
      </c>
      <c r="AI932" s="613">
        <v>14.128000000000002</v>
      </c>
      <c r="AJ932" s="612">
        <v>45.632999999999996</v>
      </c>
      <c r="AK932" s="613">
        <v>14.366</v>
      </c>
      <c r="AL932" s="613">
        <v>14.907</v>
      </c>
      <c r="AM932" s="613">
        <v>15.149000000000001</v>
      </c>
      <c r="AN932" s="613">
        <v>15.177</v>
      </c>
      <c r="AO932" s="612">
        <v>59.599000000000004</v>
      </c>
      <c r="AP932" s="613">
        <v>15.369</v>
      </c>
      <c r="AQ932" s="613">
        <v>16.073</v>
      </c>
      <c r="AR932" s="613">
        <v>16.998999999999999</v>
      </c>
      <c r="AS932" s="613">
        <v>16.861999999999998</v>
      </c>
      <c r="AT932" s="612">
        <v>65.302999999999997</v>
      </c>
      <c r="AU932" s="613">
        <v>17.067999999999998</v>
      </c>
      <c r="AV932" s="613">
        <v>17.402999999999999</v>
      </c>
      <c r="AW932" s="613">
        <v>17.570999999999998</v>
      </c>
      <c r="AX932" s="613">
        <v>18.333999999999996</v>
      </c>
      <c r="AY932" s="612">
        <v>70.376000000000005</v>
      </c>
      <c r="AZ932" s="613">
        <v>18.568999999999999</v>
      </c>
      <c r="BA932" s="613">
        <v>20.762999999999998</v>
      </c>
      <c r="BB932" s="613">
        <v>22.527999999999999</v>
      </c>
      <c r="BC932" s="613">
        <v>22.537000000000003</v>
      </c>
      <c r="BD932" s="612">
        <v>84.396999999999991</v>
      </c>
      <c r="BE932" s="613">
        <v>22.19</v>
      </c>
      <c r="BF932" s="613">
        <v>22.435000000000002</v>
      </c>
      <c r="BG932" s="613">
        <v>22.364000000000001</v>
      </c>
      <c r="BH932" s="613">
        <v>21.428999999999995</v>
      </c>
      <c r="BI932" s="614">
        <v>88.418000000000006</v>
      </c>
      <c r="BJ932" s="613"/>
      <c r="BK932" s="613"/>
      <c r="BL932" s="613"/>
      <c r="BM932" s="613"/>
      <c r="BN932" s="612"/>
      <c r="BO932" s="613"/>
      <c r="BP932" s="613"/>
      <c r="BQ932" s="613"/>
      <c r="BR932" s="613"/>
      <c r="BS932" s="612"/>
      <c r="BT932" s="612"/>
      <c r="BU932" s="612"/>
      <c r="BV932" s="612"/>
      <c r="BW932" s="122"/>
    </row>
    <row r="933" spans="1:75" s="123" customFormat="1" hidden="1" outlineLevel="2" x14ac:dyDescent="0.5">
      <c r="A933" s="496" t="s">
        <v>986</v>
      </c>
      <c r="B933" s="185"/>
      <c r="C933" s="186"/>
      <c r="D933" s="186"/>
      <c r="E933" s="186"/>
      <c r="F933" s="186"/>
      <c r="G933" s="187"/>
      <c r="H933" s="187"/>
      <c r="I933" s="187"/>
      <c r="J933" s="187"/>
      <c r="K933" s="186"/>
      <c r="L933" s="187"/>
      <c r="M933" s="187"/>
      <c r="N933" s="187"/>
      <c r="O933" s="187"/>
      <c r="P933" s="186"/>
      <c r="Q933" s="187"/>
      <c r="R933" s="187"/>
      <c r="S933" s="187"/>
      <c r="T933" s="187"/>
      <c r="U933" s="186"/>
      <c r="V933" s="187"/>
      <c r="W933" s="187"/>
      <c r="X933" s="187"/>
      <c r="Y933" s="187"/>
      <c r="Z933" s="186"/>
      <c r="AA933" s="187"/>
      <c r="AB933" s="187"/>
      <c r="AC933" s="187"/>
      <c r="AD933" s="187"/>
      <c r="AE933" s="393">
        <v>95.498999999999995</v>
      </c>
      <c r="AF933" s="394">
        <v>21.346</v>
      </c>
      <c r="AG933" s="394">
        <v>22.742999999999999</v>
      </c>
      <c r="AH933" s="394">
        <v>21.911999999999999</v>
      </c>
      <c r="AI933" s="187">
        <v>21.741</v>
      </c>
      <c r="AJ933" s="393">
        <v>87.742000000000004</v>
      </c>
      <c r="AK933" s="394">
        <v>19.117000000000001</v>
      </c>
      <c r="AL933" s="394">
        <v>23.259</v>
      </c>
      <c r="AM933" s="394">
        <v>21.114999999999998</v>
      </c>
      <c r="AN933" s="187">
        <v>22.956999999999994</v>
      </c>
      <c r="AO933" s="393">
        <v>86.447999999999993</v>
      </c>
      <c r="AP933" s="394">
        <v>20.725999999999999</v>
      </c>
      <c r="AQ933" s="394">
        <v>20.181000000000001</v>
      </c>
      <c r="AR933" s="394">
        <v>21.111000000000001</v>
      </c>
      <c r="AS933" s="187">
        <v>22.834000000000003</v>
      </c>
      <c r="AT933" s="393">
        <v>84.852000000000004</v>
      </c>
      <c r="AU933" s="394">
        <v>23.567</v>
      </c>
      <c r="AV933" s="394">
        <v>25.59</v>
      </c>
      <c r="AW933" s="394">
        <v>25.637</v>
      </c>
      <c r="AX933" s="187">
        <v>25.191000000000003</v>
      </c>
      <c r="AY933" s="393">
        <v>99.984999999999999</v>
      </c>
      <c r="AZ933" s="394">
        <v>25.132999999999999</v>
      </c>
      <c r="BA933" s="394">
        <v>24.904</v>
      </c>
      <c r="BB933" s="394">
        <v>25.152999999999999</v>
      </c>
      <c r="BC933" s="187">
        <v>25.456000000000003</v>
      </c>
      <c r="BD933" s="393">
        <v>100.646</v>
      </c>
      <c r="BE933" s="394">
        <v>26.3</v>
      </c>
      <c r="BF933" s="394">
        <v>27.454000000000001</v>
      </c>
      <c r="BG933" s="394">
        <v>31.158999999999999</v>
      </c>
      <c r="BH933" s="187">
        <v>31.639999999999986</v>
      </c>
      <c r="BI933" s="395">
        <v>116.553</v>
      </c>
      <c r="BJ933" s="187"/>
      <c r="BK933" s="187"/>
      <c r="BL933" s="187"/>
      <c r="BM933" s="187"/>
      <c r="BN933" s="186"/>
      <c r="BO933" s="187"/>
      <c r="BP933" s="187"/>
      <c r="BQ933" s="187"/>
      <c r="BR933" s="187"/>
      <c r="BS933" s="186"/>
      <c r="BT933" s="186"/>
      <c r="BU933" s="186"/>
      <c r="BV933" s="186"/>
      <c r="BW933" s="122"/>
    </row>
    <row r="934" spans="1:75" s="123" customFormat="1" hidden="1" outlineLevel="2" x14ac:dyDescent="0.5">
      <c r="A934" s="496" t="s">
        <v>987</v>
      </c>
      <c r="B934" s="185"/>
      <c r="C934" s="186"/>
      <c r="D934" s="186"/>
      <c r="E934" s="186"/>
      <c r="F934" s="186"/>
      <c r="G934" s="187"/>
      <c r="H934" s="187"/>
      <c r="I934" s="187"/>
      <c r="J934" s="187"/>
      <c r="K934" s="186"/>
      <c r="L934" s="187"/>
      <c r="M934" s="187"/>
      <c r="N934" s="187"/>
      <c r="O934" s="187"/>
      <c r="P934" s="186"/>
      <c r="Q934" s="187"/>
      <c r="R934" s="187"/>
      <c r="S934" s="187"/>
      <c r="T934" s="187"/>
      <c r="U934" s="186"/>
      <c r="V934" s="187"/>
      <c r="W934" s="187"/>
      <c r="X934" s="187"/>
      <c r="Y934" s="187"/>
      <c r="Z934" s="186"/>
      <c r="AA934" s="187"/>
      <c r="AB934" s="187"/>
      <c r="AC934" s="187"/>
      <c r="AD934" s="187"/>
      <c r="AE934" s="393">
        <v>23.28</v>
      </c>
      <c r="AF934" s="187"/>
      <c r="AG934" s="187"/>
      <c r="AH934" s="187"/>
      <c r="AI934" s="187"/>
      <c r="AJ934" s="393">
        <v>21.888999999999999</v>
      </c>
      <c r="AK934" s="394">
        <v>5.6070000000000002</v>
      </c>
      <c r="AL934" s="394">
        <v>5.7910000000000004</v>
      </c>
      <c r="AM934" s="394">
        <v>6.2190000000000003</v>
      </c>
      <c r="AN934" s="187">
        <v>5.8539999999999992</v>
      </c>
      <c r="AO934" s="393">
        <v>23.471</v>
      </c>
      <c r="AP934" s="394">
        <v>3.56</v>
      </c>
      <c r="AQ934" s="394">
        <v>3.92</v>
      </c>
      <c r="AR934" s="394">
        <v>5.93</v>
      </c>
      <c r="AS934" s="187">
        <v>7.0749999999999993</v>
      </c>
      <c r="AT934" s="393">
        <v>20.484999999999999</v>
      </c>
      <c r="AU934" s="394">
        <v>8.4269999999999996</v>
      </c>
      <c r="AV934" s="394">
        <v>7.9130000000000003</v>
      </c>
      <c r="AW934" s="394">
        <v>9.0960000000000001</v>
      </c>
      <c r="AX934" s="187">
        <v>11.478000000000002</v>
      </c>
      <c r="AY934" s="393">
        <v>36.914000000000001</v>
      </c>
      <c r="AZ934" s="394">
        <v>9.0869999999999997</v>
      </c>
      <c r="BA934" s="394">
        <v>7.2469999999999999</v>
      </c>
      <c r="BB934" s="394">
        <v>5.681</v>
      </c>
      <c r="BC934" s="187">
        <v>5.8329999999999984</v>
      </c>
      <c r="BD934" s="393">
        <v>27.847999999999999</v>
      </c>
      <c r="BE934" s="394">
        <v>6.1680000000000001</v>
      </c>
      <c r="BF934" s="394">
        <v>5.9969999999999999</v>
      </c>
      <c r="BG934" s="394">
        <v>5.4630000000000001</v>
      </c>
      <c r="BH934" s="187">
        <v>5.8889999999999993</v>
      </c>
      <c r="BI934" s="395">
        <v>23.516999999999999</v>
      </c>
      <c r="BJ934" s="187"/>
      <c r="BK934" s="187"/>
      <c r="BL934" s="187"/>
      <c r="BM934" s="187"/>
      <c r="BN934" s="186"/>
      <c r="BO934" s="187"/>
      <c r="BP934" s="187"/>
      <c r="BQ934" s="187"/>
      <c r="BR934" s="187"/>
      <c r="BS934" s="186"/>
      <c r="BT934" s="186"/>
      <c r="BU934" s="186"/>
      <c r="BV934" s="186"/>
      <c r="BW934" s="122"/>
    </row>
    <row r="935" spans="1:75" s="123" customFormat="1" hidden="1" outlineLevel="2" x14ac:dyDescent="0.5">
      <c r="A935" s="496" t="s">
        <v>988</v>
      </c>
      <c r="B935" s="185"/>
      <c r="C935" s="186"/>
      <c r="D935" s="186"/>
      <c r="E935" s="186"/>
      <c r="F935" s="186"/>
      <c r="G935" s="187"/>
      <c r="H935" s="187"/>
      <c r="I935" s="187"/>
      <c r="J935" s="187"/>
      <c r="K935" s="186"/>
      <c r="L935" s="187"/>
      <c r="M935" s="187"/>
      <c r="N935" s="187"/>
      <c r="O935" s="187"/>
      <c r="P935" s="186"/>
      <c r="Q935" s="187"/>
      <c r="R935" s="187"/>
      <c r="S935" s="187"/>
      <c r="T935" s="187"/>
      <c r="U935" s="186"/>
      <c r="V935" s="187"/>
      <c r="W935" s="187"/>
      <c r="X935" s="187"/>
      <c r="Y935" s="187"/>
      <c r="Z935" s="186"/>
      <c r="AA935" s="187"/>
      <c r="AB935" s="187"/>
      <c r="AC935" s="187"/>
      <c r="AD935" s="187"/>
      <c r="AE935" s="393">
        <v>-1.0029999999999999</v>
      </c>
      <c r="AF935" s="394">
        <v>-1.01</v>
      </c>
      <c r="AG935" s="394">
        <v>-2.2610000000000001</v>
      </c>
      <c r="AH935" s="394">
        <v>-2.262</v>
      </c>
      <c r="AI935" s="187">
        <v>-2.2610000000000001</v>
      </c>
      <c r="AJ935" s="393">
        <v>-7.7939999999999996</v>
      </c>
      <c r="AK935" s="394">
        <v>-3.282</v>
      </c>
      <c r="AL935" s="394">
        <v>-1.5069999999999999</v>
      </c>
      <c r="AM935" s="394">
        <v>-2.4929999999999999</v>
      </c>
      <c r="AN935" s="187">
        <v>-2.327</v>
      </c>
      <c r="AO935" s="393">
        <v>-9.609</v>
      </c>
      <c r="AP935" s="394">
        <v>-2.5750000000000002</v>
      </c>
      <c r="AQ935" s="394">
        <v>-2.1190000000000002</v>
      </c>
      <c r="AR935" s="394">
        <v>-1.5189999999999999</v>
      </c>
      <c r="AS935" s="187">
        <v>-1.5099999999999989</v>
      </c>
      <c r="AT935" s="393">
        <v>-7.7229999999999999</v>
      </c>
      <c r="AU935" s="394">
        <v>-1.1819999999999999</v>
      </c>
      <c r="AV935" s="394">
        <v>-1.1359999999999999</v>
      </c>
      <c r="AW935" s="394">
        <v>-1.1890000000000001</v>
      </c>
      <c r="AX935" s="187">
        <v>-0.67700000000000049</v>
      </c>
      <c r="AY935" s="393">
        <v>-4.1840000000000002</v>
      </c>
      <c r="AZ935" s="394">
        <v>-1.1279999999999999</v>
      </c>
      <c r="BA935" s="394">
        <v>-1.085</v>
      </c>
      <c r="BB935" s="394">
        <v>-1.085</v>
      </c>
      <c r="BC935" s="187">
        <v>-1.157</v>
      </c>
      <c r="BD935" s="393">
        <v>-4.4550000000000001</v>
      </c>
      <c r="BE935" s="394">
        <v>-1.546</v>
      </c>
      <c r="BF935" s="394">
        <v>-1.42</v>
      </c>
      <c r="BG935" s="394">
        <v>-1.4</v>
      </c>
      <c r="BH935" s="187">
        <v>-1.1779999999999999</v>
      </c>
      <c r="BI935" s="395">
        <v>-5.5439999999999996</v>
      </c>
      <c r="BJ935" s="187"/>
      <c r="BK935" s="187"/>
      <c r="BL935" s="187"/>
      <c r="BM935" s="187"/>
      <c r="BN935" s="186"/>
      <c r="BO935" s="187"/>
      <c r="BP935" s="187"/>
      <c r="BQ935" s="187"/>
      <c r="BR935" s="187"/>
      <c r="BS935" s="186"/>
      <c r="BT935" s="186"/>
      <c r="BU935" s="186"/>
      <c r="BV935" s="186"/>
      <c r="BW935" s="122"/>
    </row>
    <row r="936" spans="1:75" s="123" customFormat="1" hidden="1" outlineLevel="2" x14ac:dyDescent="0.5">
      <c r="A936" s="615" t="s">
        <v>989</v>
      </c>
      <c r="B936" s="545"/>
      <c r="C936" s="546"/>
      <c r="D936" s="546"/>
      <c r="E936" s="546"/>
      <c r="F936" s="546"/>
      <c r="G936" s="547"/>
      <c r="H936" s="547"/>
      <c r="I936" s="547"/>
      <c r="J936" s="547"/>
      <c r="K936" s="546"/>
      <c r="L936" s="547"/>
      <c r="M936" s="547"/>
      <c r="N936" s="547"/>
      <c r="O936" s="547"/>
      <c r="P936" s="546"/>
      <c r="Q936" s="547"/>
      <c r="R936" s="547"/>
      <c r="S936" s="547"/>
      <c r="T936" s="547"/>
      <c r="U936" s="546"/>
      <c r="V936" s="547"/>
      <c r="W936" s="547"/>
      <c r="X936" s="547"/>
      <c r="Y936" s="547"/>
      <c r="Z936" s="546"/>
      <c r="AA936" s="547"/>
      <c r="AB936" s="547"/>
      <c r="AC936" s="547"/>
      <c r="AD936" s="547"/>
      <c r="AE936" s="546">
        <v>117.776</v>
      </c>
      <c r="AF936" s="547">
        <v>20.335999999999999</v>
      </c>
      <c r="AG936" s="547">
        <v>20.481999999999999</v>
      </c>
      <c r="AH936" s="547">
        <v>19.649999999999999</v>
      </c>
      <c r="AI936" s="547">
        <v>19.48</v>
      </c>
      <c r="AJ936" s="546">
        <v>101.837</v>
      </c>
      <c r="AK936" s="547">
        <v>21.442</v>
      </c>
      <c r="AL936" s="547">
        <v>27.542999999999999</v>
      </c>
      <c r="AM936" s="547">
        <v>24.841000000000001</v>
      </c>
      <c r="AN936" s="547">
        <v>26.483999999999995</v>
      </c>
      <c r="AO936" s="546">
        <v>100.31</v>
      </c>
      <c r="AP936" s="547">
        <v>21.710999999999999</v>
      </c>
      <c r="AQ936" s="547">
        <v>21.981999999999999</v>
      </c>
      <c r="AR936" s="547">
        <v>25.522000000000002</v>
      </c>
      <c r="AS936" s="547">
        <v>28.399000000000004</v>
      </c>
      <c r="AT936" s="546">
        <v>97.614000000000004</v>
      </c>
      <c r="AU936" s="547">
        <v>30.812000000000001</v>
      </c>
      <c r="AV936" s="547">
        <v>32.366999999999997</v>
      </c>
      <c r="AW936" s="547">
        <v>33.544000000000004</v>
      </c>
      <c r="AX936" s="547">
        <v>35.992000000000004</v>
      </c>
      <c r="AY936" s="546">
        <v>132.715</v>
      </c>
      <c r="AZ936" s="547">
        <v>33.091999999999999</v>
      </c>
      <c r="BA936" s="547">
        <v>31.065999999999995</v>
      </c>
      <c r="BB936" s="547">
        <v>29.748999999999999</v>
      </c>
      <c r="BC936" s="547">
        <v>30.132000000000001</v>
      </c>
      <c r="BD936" s="546">
        <v>124.039</v>
      </c>
      <c r="BE936" s="547">
        <v>30.922000000000004</v>
      </c>
      <c r="BF936" s="547">
        <v>32.030999999999999</v>
      </c>
      <c r="BG936" s="547">
        <v>35.222000000000001</v>
      </c>
      <c r="BH936" s="547">
        <v>36.350999999999985</v>
      </c>
      <c r="BI936" s="550">
        <v>134.52599999999998</v>
      </c>
      <c r="BJ936" s="547"/>
      <c r="BK936" s="547"/>
      <c r="BL936" s="547"/>
      <c r="BM936" s="547"/>
      <c r="BN936" s="546"/>
      <c r="BO936" s="547"/>
      <c r="BP936" s="547"/>
      <c r="BQ936" s="547"/>
      <c r="BR936" s="547"/>
      <c r="BS936" s="546"/>
      <c r="BT936" s="546"/>
      <c r="BU936" s="546"/>
      <c r="BV936" s="546"/>
      <c r="BW936" s="122"/>
    </row>
    <row r="937" spans="1:75" s="198" customFormat="1" ht="14.25" hidden="1" outlineLevel="2" x14ac:dyDescent="0.45">
      <c r="A937" s="192" t="s">
        <v>990</v>
      </c>
      <c r="B937" s="193"/>
      <c r="C937" s="194"/>
      <c r="D937" s="194"/>
      <c r="E937" s="194"/>
      <c r="F937" s="194"/>
      <c r="G937" s="195"/>
      <c r="H937" s="195"/>
      <c r="I937" s="195"/>
      <c r="J937" s="195"/>
      <c r="K937" s="194"/>
      <c r="L937" s="195"/>
      <c r="M937" s="195"/>
      <c r="N937" s="195"/>
      <c r="O937" s="195"/>
      <c r="P937" s="194"/>
      <c r="Q937" s="195"/>
      <c r="R937" s="195"/>
      <c r="S937" s="195"/>
      <c r="T937" s="195"/>
      <c r="U937" s="194"/>
      <c r="V937" s="195"/>
      <c r="W937" s="195"/>
      <c r="X937" s="195"/>
      <c r="Y937" s="195"/>
      <c r="Z937" s="194"/>
      <c r="AA937" s="195"/>
      <c r="AB937" s="195"/>
      <c r="AC937" s="195"/>
      <c r="AD937" s="195"/>
      <c r="AE937" s="194">
        <v>148.47200000000001</v>
      </c>
      <c r="AF937" s="195">
        <v>29.326999999999998</v>
      </c>
      <c r="AG937" s="195">
        <v>30.241999999999997</v>
      </c>
      <c r="AH937" s="195">
        <v>32.403999999999996</v>
      </c>
      <c r="AI937" s="195">
        <v>33.608000000000004</v>
      </c>
      <c r="AJ937" s="194">
        <v>147.47</v>
      </c>
      <c r="AK937" s="195">
        <v>35.808</v>
      </c>
      <c r="AL937" s="195">
        <v>42.45</v>
      </c>
      <c r="AM937" s="195">
        <v>39.99</v>
      </c>
      <c r="AN937" s="195">
        <v>41.660999999999994</v>
      </c>
      <c r="AO937" s="194">
        <v>159.90899999999999</v>
      </c>
      <c r="AP937" s="195">
        <v>37.08</v>
      </c>
      <c r="AQ937" s="195">
        <v>38.055</v>
      </c>
      <c r="AR937" s="195">
        <v>42.521000000000001</v>
      </c>
      <c r="AS937" s="195">
        <v>45.261000000000003</v>
      </c>
      <c r="AT937" s="194">
        <v>162.917</v>
      </c>
      <c r="AU937" s="195">
        <v>47.879999999999995</v>
      </c>
      <c r="AV937" s="195">
        <v>49.769999999999996</v>
      </c>
      <c r="AW937" s="195">
        <v>51.115000000000002</v>
      </c>
      <c r="AX937" s="195">
        <v>54.326000000000001</v>
      </c>
      <c r="AY937" s="194">
        <v>203.09100000000001</v>
      </c>
      <c r="AZ937" s="195">
        <v>51.661000000000001</v>
      </c>
      <c r="BA937" s="195">
        <v>51.828999999999994</v>
      </c>
      <c r="BB937" s="195">
        <v>52.277000000000001</v>
      </c>
      <c r="BC937" s="195">
        <v>52.669000000000004</v>
      </c>
      <c r="BD937" s="194">
        <v>208.43599999999998</v>
      </c>
      <c r="BE937" s="195">
        <v>53.112000000000009</v>
      </c>
      <c r="BF937" s="195">
        <v>54.466000000000001</v>
      </c>
      <c r="BG937" s="195">
        <v>57.585999999999999</v>
      </c>
      <c r="BH937" s="195">
        <v>57.77999999999998</v>
      </c>
      <c r="BI937" s="196">
        <v>222.94399999999999</v>
      </c>
      <c r="BJ937" s="195"/>
      <c r="BK937" s="195"/>
      <c r="BL937" s="195"/>
      <c r="BM937" s="195"/>
      <c r="BN937" s="194"/>
      <c r="BO937" s="195"/>
      <c r="BP937" s="195"/>
      <c r="BQ937" s="195"/>
      <c r="BR937" s="195"/>
      <c r="BS937" s="194"/>
      <c r="BT937" s="194"/>
      <c r="BU937" s="194"/>
      <c r="BV937" s="194"/>
      <c r="BW937" s="197"/>
    </row>
    <row r="938" spans="1:75" s="123" customFormat="1" hidden="1" outlineLevel="2" x14ac:dyDescent="0.5">
      <c r="A938" s="184"/>
      <c r="B938" s="185"/>
      <c r="C938" s="186"/>
      <c r="D938" s="186"/>
      <c r="E938" s="186"/>
      <c r="F938" s="186"/>
      <c r="G938" s="187"/>
      <c r="H938" s="187"/>
      <c r="I938" s="187"/>
      <c r="J938" s="187"/>
      <c r="K938" s="186"/>
      <c r="L938" s="187"/>
      <c r="M938" s="187"/>
      <c r="N938" s="187"/>
      <c r="O938" s="187"/>
      <c r="P938" s="186"/>
      <c r="Q938" s="187"/>
      <c r="R938" s="187"/>
      <c r="S938" s="187"/>
      <c r="T938" s="187"/>
      <c r="U938" s="186"/>
      <c r="V938" s="187"/>
      <c r="W938" s="187"/>
      <c r="X938" s="187"/>
      <c r="Y938" s="187"/>
      <c r="Z938" s="186"/>
      <c r="AA938" s="187"/>
      <c r="AB938" s="187"/>
      <c r="AC938" s="187"/>
      <c r="AD938" s="187"/>
      <c r="AE938" s="186"/>
      <c r="AF938" s="187"/>
      <c r="AG938" s="187"/>
      <c r="AH938" s="187"/>
      <c r="AI938" s="187"/>
      <c r="AJ938" s="186"/>
      <c r="AK938" s="187"/>
      <c r="AL938" s="187"/>
      <c r="AM938" s="187"/>
      <c r="AN938" s="187"/>
      <c r="AO938" s="186"/>
      <c r="AP938" s="187"/>
      <c r="AQ938" s="187"/>
      <c r="AR938" s="187"/>
      <c r="AS938" s="187"/>
      <c r="AT938" s="186"/>
      <c r="AU938" s="187"/>
      <c r="AV938" s="187"/>
      <c r="AW938" s="187"/>
      <c r="AX938" s="187"/>
      <c r="AY938" s="186"/>
      <c r="AZ938" s="187"/>
      <c r="BA938" s="187"/>
      <c r="BB938" s="187"/>
      <c r="BC938" s="187"/>
      <c r="BD938" s="186"/>
      <c r="BE938" s="187"/>
      <c r="BF938" s="187"/>
      <c r="BG938" s="187"/>
      <c r="BH938" s="187"/>
      <c r="BI938" s="188"/>
      <c r="BJ938" s="187"/>
      <c r="BK938" s="187"/>
      <c r="BL938" s="187"/>
      <c r="BM938" s="187"/>
      <c r="BN938" s="186"/>
      <c r="BO938" s="187"/>
      <c r="BP938" s="187"/>
      <c r="BQ938" s="187"/>
      <c r="BR938" s="187"/>
      <c r="BS938" s="186"/>
      <c r="BT938" s="186"/>
      <c r="BU938" s="186"/>
      <c r="BV938" s="186"/>
      <c r="BW938" s="122"/>
    </row>
    <row r="939" spans="1:75" s="123" customFormat="1" hidden="1" outlineLevel="2" x14ac:dyDescent="0.5">
      <c r="A939" s="496" t="s">
        <v>991</v>
      </c>
      <c r="B939" s="185"/>
      <c r="C939" s="186"/>
      <c r="D939" s="393">
        <v>48.801000000000002</v>
      </c>
      <c r="E939" s="393">
        <v>51.664999999999999</v>
      </c>
      <c r="F939" s="393">
        <v>52.75</v>
      </c>
      <c r="G939" s="187"/>
      <c r="H939" s="187"/>
      <c r="I939" s="187"/>
      <c r="J939" s="187"/>
      <c r="K939" s="393">
        <v>66.686000000000007</v>
      </c>
      <c r="L939" s="187"/>
      <c r="M939" s="187"/>
      <c r="N939" s="187"/>
      <c r="O939" s="187"/>
      <c r="P939" s="393">
        <v>75.653999999999996</v>
      </c>
      <c r="Q939" s="187"/>
      <c r="R939" s="187"/>
      <c r="S939" s="187"/>
      <c r="T939" s="187"/>
      <c r="U939" s="393">
        <v>76.245999999999995</v>
      </c>
      <c r="V939" s="187"/>
      <c r="W939" s="187"/>
      <c r="X939" s="187"/>
      <c r="Y939" s="187"/>
      <c r="Z939" s="393">
        <v>87.52</v>
      </c>
      <c r="AA939" s="187"/>
      <c r="AB939" s="187"/>
      <c r="AC939" s="187"/>
      <c r="AD939" s="187"/>
      <c r="AE939" s="393">
        <v>91.152000000000001</v>
      </c>
      <c r="AF939" s="187"/>
      <c r="AG939" s="187"/>
      <c r="AH939" s="187"/>
      <c r="AI939" s="187"/>
      <c r="AJ939" s="393">
        <v>84.650999999999996</v>
      </c>
      <c r="AK939" s="187"/>
      <c r="AL939" s="187"/>
      <c r="AM939" s="187"/>
      <c r="AN939" s="187"/>
      <c r="AO939" s="186"/>
      <c r="AP939" s="187"/>
      <c r="AQ939" s="187"/>
      <c r="AR939" s="187"/>
      <c r="AS939" s="187"/>
      <c r="AT939" s="186"/>
      <c r="AU939" s="187"/>
      <c r="AV939" s="187"/>
      <c r="AW939" s="187"/>
      <c r="AX939" s="187"/>
      <c r="AY939" s="186"/>
      <c r="AZ939" s="187"/>
      <c r="BA939" s="187"/>
      <c r="BB939" s="187"/>
      <c r="BC939" s="187"/>
      <c r="BD939" s="186"/>
      <c r="BE939" s="187"/>
      <c r="BF939" s="187"/>
      <c r="BG939" s="187"/>
      <c r="BH939" s="187"/>
      <c r="BI939" s="188"/>
      <c r="BJ939" s="187"/>
      <c r="BK939" s="187"/>
      <c r="BL939" s="187"/>
      <c r="BM939" s="187"/>
      <c r="BN939" s="186"/>
      <c r="BO939" s="187"/>
      <c r="BP939" s="187"/>
      <c r="BQ939" s="187"/>
      <c r="BR939" s="187"/>
      <c r="BS939" s="186"/>
      <c r="BT939" s="186"/>
      <c r="BU939" s="186"/>
      <c r="BV939" s="186"/>
      <c r="BW939" s="122"/>
    </row>
    <row r="940" spans="1:75" s="123" customFormat="1" hidden="1" outlineLevel="2" x14ac:dyDescent="0.5">
      <c r="A940" s="496" t="s">
        <v>992</v>
      </c>
      <c r="B940" s="185"/>
      <c r="C940" s="186"/>
      <c r="D940" s="393">
        <v>0.9</v>
      </c>
      <c r="E940" s="393">
        <v>1.456</v>
      </c>
      <c r="F940" s="393">
        <v>3.3180000000000001</v>
      </c>
      <c r="G940" s="187"/>
      <c r="H940" s="187"/>
      <c r="I940" s="187"/>
      <c r="J940" s="187"/>
      <c r="K940" s="393">
        <v>6.2080000000000002</v>
      </c>
      <c r="L940" s="187"/>
      <c r="M940" s="187"/>
      <c r="N940" s="187"/>
      <c r="O940" s="187"/>
      <c r="P940" s="393">
        <v>7.9889999999999999</v>
      </c>
      <c r="Q940" s="187"/>
      <c r="R940" s="187"/>
      <c r="S940" s="187"/>
      <c r="T940" s="187"/>
      <c r="U940" s="393">
        <v>10.209</v>
      </c>
      <c r="V940" s="187"/>
      <c r="W940" s="187"/>
      <c r="X940" s="187"/>
      <c r="Y940" s="187"/>
      <c r="Z940" s="393">
        <v>7.14</v>
      </c>
      <c r="AA940" s="187"/>
      <c r="AB940" s="187"/>
      <c r="AC940" s="187"/>
      <c r="AD940" s="187"/>
      <c r="AE940" s="393">
        <v>8.0630000000000006</v>
      </c>
      <c r="AF940" s="187"/>
      <c r="AG940" s="187"/>
      <c r="AH940" s="187"/>
      <c r="AI940" s="187"/>
      <c r="AJ940" s="393">
        <v>7.0229999999999997</v>
      </c>
      <c r="AK940" s="187"/>
      <c r="AL940" s="187"/>
      <c r="AM940" s="187"/>
      <c r="AN940" s="187"/>
      <c r="AO940" s="186"/>
      <c r="AP940" s="187"/>
      <c r="AQ940" s="187"/>
      <c r="AR940" s="187"/>
      <c r="AS940" s="187"/>
      <c r="AT940" s="186"/>
      <c r="AU940" s="187"/>
      <c r="AV940" s="187"/>
      <c r="AW940" s="187"/>
      <c r="AX940" s="187"/>
      <c r="AY940" s="186"/>
      <c r="AZ940" s="187"/>
      <c r="BA940" s="187"/>
      <c r="BB940" s="187"/>
      <c r="BC940" s="187"/>
      <c r="BD940" s="186"/>
      <c r="BE940" s="187"/>
      <c r="BF940" s="187"/>
      <c r="BG940" s="187"/>
      <c r="BH940" s="187"/>
      <c r="BI940" s="188"/>
      <c r="BJ940" s="187"/>
      <c r="BK940" s="187"/>
      <c r="BL940" s="187"/>
      <c r="BM940" s="187"/>
      <c r="BN940" s="186"/>
      <c r="BO940" s="187"/>
      <c r="BP940" s="187"/>
      <c r="BQ940" s="187"/>
      <c r="BR940" s="187"/>
      <c r="BS940" s="186"/>
      <c r="BT940" s="186"/>
      <c r="BU940" s="186"/>
      <c r="BV940" s="186"/>
      <c r="BW940" s="122"/>
    </row>
    <row r="941" spans="1:75" s="123" customFormat="1" hidden="1" outlineLevel="2" x14ac:dyDescent="0.5">
      <c r="A941" s="504" t="s">
        <v>993</v>
      </c>
      <c r="B941" s="611"/>
      <c r="C941" s="612"/>
      <c r="D941" s="612">
        <v>49.701000000000001</v>
      </c>
      <c r="E941" s="612">
        <v>53.121000000000002</v>
      </c>
      <c r="F941" s="612">
        <v>56.067999999999998</v>
      </c>
      <c r="G941" s="613"/>
      <c r="H941" s="613"/>
      <c r="I941" s="613"/>
      <c r="J941" s="613"/>
      <c r="K941" s="612">
        <v>72.894000000000005</v>
      </c>
      <c r="L941" s="613"/>
      <c r="M941" s="613"/>
      <c r="N941" s="613"/>
      <c r="O941" s="613"/>
      <c r="P941" s="612">
        <v>83.643000000000001</v>
      </c>
      <c r="Q941" s="613"/>
      <c r="R941" s="613"/>
      <c r="S941" s="613"/>
      <c r="T941" s="613"/>
      <c r="U941" s="612">
        <v>86.454999999999998</v>
      </c>
      <c r="V941" s="613"/>
      <c r="W941" s="613"/>
      <c r="X941" s="613"/>
      <c r="Y941" s="613"/>
      <c r="Z941" s="612">
        <v>94.66</v>
      </c>
      <c r="AA941" s="613"/>
      <c r="AB941" s="613"/>
      <c r="AC941" s="613"/>
      <c r="AD941" s="613"/>
      <c r="AE941" s="612">
        <v>99.215000000000003</v>
      </c>
      <c r="AF941" s="613"/>
      <c r="AG941" s="613"/>
      <c r="AH941" s="613"/>
      <c r="AI941" s="613"/>
      <c r="AJ941" s="612">
        <v>91.673999999999992</v>
      </c>
      <c r="AK941" s="613"/>
      <c r="AL941" s="613"/>
      <c r="AM941" s="613"/>
      <c r="AN941" s="613"/>
      <c r="AO941" s="612"/>
      <c r="AP941" s="613"/>
      <c r="AQ941" s="613"/>
      <c r="AR941" s="613"/>
      <c r="AS941" s="613"/>
      <c r="AT941" s="612"/>
      <c r="AU941" s="613"/>
      <c r="AV941" s="613"/>
      <c r="AW941" s="613"/>
      <c r="AX941" s="613"/>
      <c r="AY941" s="612"/>
      <c r="AZ941" s="613"/>
      <c r="BA941" s="613"/>
      <c r="BB941" s="613"/>
      <c r="BC941" s="613"/>
      <c r="BD941" s="612"/>
      <c r="BE941" s="613"/>
      <c r="BF941" s="613"/>
      <c r="BG941" s="613"/>
      <c r="BH941" s="613"/>
      <c r="BI941" s="614"/>
      <c r="BJ941" s="613"/>
      <c r="BK941" s="613"/>
      <c r="BL941" s="613"/>
      <c r="BM941" s="613"/>
      <c r="BN941" s="612"/>
      <c r="BO941" s="613"/>
      <c r="BP941" s="613"/>
      <c r="BQ941" s="613"/>
      <c r="BR941" s="613"/>
      <c r="BS941" s="612"/>
      <c r="BT941" s="612"/>
      <c r="BU941" s="612"/>
      <c r="BV941" s="612"/>
      <c r="BW941" s="122"/>
    </row>
    <row r="942" spans="1:75" s="123" customFormat="1" hidden="1" outlineLevel="2" x14ac:dyDescent="0.5">
      <c r="A942" s="496" t="s">
        <v>994</v>
      </c>
      <c r="B942" s="185"/>
      <c r="C942" s="186"/>
      <c r="D942" s="186"/>
      <c r="E942" s="186"/>
      <c r="F942" s="393">
        <v>0</v>
      </c>
      <c r="G942" s="187"/>
      <c r="H942" s="187"/>
      <c r="I942" s="187"/>
      <c r="J942" s="187"/>
      <c r="K942" s="393">
        <v>1.98</v>
      </c>
      <c r="L942" s="187"/>
      <c r="M942" s="187"/>
      <c r="N942" s="187"/>
      <c r="O942" s="187"/>
      <c r="P942" s="393">
        <v>7.375</v>
      </c>
      <c r="Q942" s="187"/>
      <c r="R942" s="187"/>
      <c r="S942" s="187"/>
      <c r="T942" s="187"/>
      <c r="U942" s="393">
        <v>12.755000000000001</v>
      </c>
      <c r="V942" s="187"/>
      <c r="W942" s="187"/>
      <c r="X942" s="187"/>
      <c r="Y942" s="187"/>
      <c r="Z942" s="393">
        <v>16.065999999999999</v>
      </c>
      <c r="AA942" s="187"/>
      <c r="AB942" s="187"/>
      <c r="AC942" s="187"/>
      <c r="AD942" s="187"/>
      <c r="AE942" s="393">
        <v>32.256</v>
      </c>
      <c r="AF942" s="187"/>
      <c r="AG942" s="187"/>
      <c r="AH942" s="187"/>
      <c r="AI942" s="187"/>
      <c r="AJ942" s="393">
        <v>35.465000000000003</v>
      </c>
      <c r="AK942" s="187"/>
      <c r="AL942" s="187"/>
      <c r="AM942" s="187"/>
      <c r="AN942" s="187"/>
      <c r="AO942" s="186"/>
      <c r="AP942" s="187"/>
      <c r="AQ942" s="187"/>
      <c r="AR942" s="187"/>
      <c r="AS942" s="187"/>
      <c r="AT942" s="186"/>
      <c r="AU942" s="187"/>
      <c r="AV942" s="187"/>
      <c r="AW942" s="187"/>
      <c r="AX942" s="187"/>
      <c r="AY942" s="186"/>
      <c r="AZ942" s="187"/>
      <c r="BA942" s="187"/>
      <c r="BB942" s="187"/>
      <c r="BC942" s="187"/>
      <c r="BD942" s="186"/>
      <c r="BE942" s="187"/>
      <c r="BF942" s="187"/>
      <c r="BG942" s="187"/>
      <c r="BH942" s="187"/>
      <c r="BI942" s="188"/>
      <c r="BJ942" s="187"/>
      <c r="BK942" s="187"/>
      <c r="BL942" s="187"/>
      <c r="BM942" s="187"/>
      <c r="BN942" s="186"/>
      <c r="BO942" s="187"/>
      <c r="BP942" s="187"/>
      <c r="BQ942" s="187"/>
      <c r="BR942" s="187"/>
      <c r="BS942" s="186"/>
      <c r="BT942" s="186"/>
      <c r="BU942" s="186"/>
      <c r="BV942" s="186"/>
      <c r="BW942" s="122"/>
    </row>
    <row r="943" spans="1:75" s="123" customFormat="1" hidden="1" outlineLevel="2" x14ac:dyDescent="0.5">
      <c r="A943" s="496" t="s">
        <v>995</v>
      </c>
      <c r="B943" s="185"/>
      <c r="C943" s="186"/>
      <c r="D943" s="186"/>
      <c r="E943" s="186"/>
      <c r="F943" s="393">
        <v>0</v>
      </c>
      <c r="G943" s="187"/>
      <c r="H943" s="187"/>
      <c r="I943" s="187"/>
      <c r="J943" s="187"/>
      <c r="K943" s="393" t="s">
        <v>996</v>
      </c>
      <c r="L943" s="187"/>
      <c r="M943" s="187"/>
      <c r="N943" s="187"/>
      <c r="O943" s="187"/>
      <c r="P943" s="393">
        <v>0.122</v>
      </c>
      <c r="Q943" s="187"/>
      <c r="R943" s="187"/>
      <c r="S943" s="187"/>
      <c r="T943" s="187"/>
      <c r="U943" s="393">
        <v>0.442</v>
      </c>
      <c r="V943" s="187"/>
      <c r="W943" s="187"/>
      <c r="X943" s="187"/>
      <c r="Y943" s="187"/>
      <c r="Z943" s="393">
        <v>0.72599999999999998</v>
      </c>
      <c r="AA943" s="187"/>
      <c r="AB943" s="187"/>
      <c r="AC943" s="187"/>
      <c r="AD943" s="187"/>
      <c r="AE943" s="393">
        <v>0.83299999999999996</v>
      </c>
      <c r="AF943" s="187"/>
      <c r="AG943" s="187"/>
      <c r="AH943" s="187"/>
      <c r="AI943" s="187"/>
      <c r="AJ943" s="393">
        <v>1.5620000000000001</v>
      </c>
      <c r="AK943" s="187"/>
      <c r="AL943" s="187"/>
      <c r="AM943" s="187"/>
      <c r="AN943" s="187"/>
      <c r="AO943" s="186"/>
      <c r="AP943" s="187"/>
      <c r="AQ943" s="187"/>
      <c r="AR943" s="187"/>
      <c r="AS943" s="187"/>
      <c r="AT943" s="186"/>
      <c r="AU943" s="187"/>
      <c r="AV943" s="187"/>
      <c r="AW943" s="187"/>
      <c r="AX943" s="187"/>
      <c r="AY943" s="186"/>
      <c r="AZ943" s="187"/>
      <c r="BA943" s="187"/>
      <c r="BB943" s="187"/>
      <c r="BC943" s="187"/>
      <c r="BD943" s="186"/>
      <c r="BE943" s="187"/>
      <c r="BF943" s="187"/>
      <c r="BG943" s="187"/>
      <c r="BH943" s="187"/>
      <c r="BI943" s="188"/>
      <c r="BJ943" s="187"/>
      <c r="BK943" s="187"/>
      <c r="BL943" s="187"/>
      <c r="BM943" s="187"/>
      <c r="BN943" s="186"/>
      <c r="BO943" s="187"/>
      <c r="BP943" s="187"/>
      <c r="BQ943" s="187"/>
      <c r="BR943" s="187"/>
      <c r="BS943" s="186"/>
      <c r="BT943" s="186"/>
      <c r="BU943" s="186"/>
      <c r="BV943" s="186"/>
      <c r="BW943" s="122"/>
    </row>
    <row r="944" spans="1:75" s="123" customFormat="1" hidden="1" outlineLevel="2" x14ac:dyDescent="0.5">
      <c r="A944" s="504" t="s">
        <v>997</v>
      </c>
      <c r="B944" s="611"/>
      <c r="C944" s="612"/>
      <c r="D944" s="612">
        <v>0</v>
      </c>
      <c r="E944" s="612">
        <v>0</v>
      </c>
      <c r="F944" s="612">
        <v>0</v>
      </c>
      <c r="G944" s="613"/>
      <c r="H944" s="613"/>
      <c r="I944" s="613"/>
      <c r="J944" s="613"/>
      <c r="K944" s="612">
        <v>1.98</v>
      </c>
      <c r="L944" s="613"/>
      <c r="M944" s="613"/>
      <c r="N944" s="613"/>
      <c r="O944" s="613"/>
      <c r="P944" s="612">
        <v>7.4969999999999999</v>
      </c>
      <c r="Q944" s="613"/>
      <c r="R944" s="613"/>
      <c r="S944" s="613"/>
      <c r="T944" s="613"/>
      <c r="U944" s="612">
        <v>13.197000000000001</v>
      </c>
      <c r="V944" s="613"/>
      <c r="W944" s="613"/>
      <c r="X944" s="613"/>
      <c r="Y944" s="613"/>
      <c r="Z944" s="612">
        <v>16.791999999999998</v>
      </c>
      <c r="AA944" s="613"/>
      <c r="AB944" s="613"/>
      <c r="AC944" s="613"/>
      <c r="AD944" s="613"/>
      <c r="AE944" s="612">
        <v>33.088999999999999</v>
      </c>
      <c r="AF944" s="613"/>
      <c r="AG944" s="613"/>
      <c r="AH944" s="613"/>
      <c r="AI944" s="613"/>
      <c r="AJ944" s="612">
        <v>37.027000000000001</v>
      </c>
      <c r="AK944" s="613"/>
      <c r="AL944" s="613"/>
      <c r="AM944" s="613"/>
      <c r="AN944" s="613"/>
      <c r="AO944" s="612"/>
      <c r="AP944" s="613"/>
      <c r="AQ944" s="613"/>
      <c r="AR944" s="613"/>
      <c r="AS944" s="613"/>
      <c r="AT944" s="612"/>
      <c r="AU944" s="613"/>
      <c r="AV944" s="613"/>
      <c r="AW944" s="613"/>
      <c r="AX944" s="613"/>
      <c r="AY944" s="612"/>
      <c r="AZ944" s="613"/>
      <c r="BA944" s="613"/>
      <c r="BB944" s="613"/>
      <c r="BC944" s="613"/>
      <c r="BD944" s="612"/>
      <c r="BE944" s="613"/>
      <c r="BF944" s="613"/>
      <c r="BG944" s="613"/>
      <c r="BH944" s="613"/>
      <c r="BI944" s="614"/>
      <c r="BJ944" s="613"/>
      <c r="BK944" s="613"/>
      <c r="BL944" s="613"/>
      <c r="BM944" s="613"/>
      <c r="BN944" s="612"/>
      <c r="BO944" s="613"/>
      <c r="BP944" s="613"/>
      <c r="BQ944" s="613"/>
      <c r="BR944" s="613"/>
      <c r="BS944" s="612"/>
      <c r="BT944" s="612"/>
      <c r="BU944" s="612"/>
      <c r="BV944" s="612"/>
      <c r="BW944" s="122"/>
    </row>
    <row r="945" spans="1:75" s="198" customFormat="1" ht="14.25" hidden="1" outlineLevel="2" x14ac:dyDescent="0.45">
      <c r="A945" s="192" t="s">
        <v>998</v>
      </c>
      <c r="B945" s="193"/>
      <c r="C945" s="194"/>
      <c r="D945" s="194">
        <v>49.701000000000001</v>
      </c>
      <c r="E945" s="194">
        <v>53.121000000000002</v>
      </c>
      <c r="F945" s="194">
        <v>56.067999999999998</v>
      </c>
      <c r="G945" s="195"/>
      <c r="H945" s="195"/>
      <c r="I945" s="195"/>
      <c r="J945" s="195"/>
      <c r="K945" s="194">
        <v>74.874000000000009</v>
      </c>
      <c r="L945" s="195"/>
      <c r="M945" s="195"/>
      <c r="N945" s="195"/>
      <c r="O945" s="195"/>
      <c r="P945" s="194">
        <v>91.14</v>
      </c>
      <c r="Q945" s="195"/>
      <c r="R945" s="195"/>
      <c r="S945" s="195"/>
      <c r="T945" s="195"/>
      <c r="U945" s="194">
        <v>99.652000000000001</v>
      </c>
      <c r="V945" s="195"/>
      <c r="W945" s="195"/>
      <c r="X945" s="195"/>
      <c r="Y945" s="195"/>
      <c r="Z945" s="194">
        <v>111.452</v>
      </c>
      <c r="AA945" s="195"/>
      <c r="AB945" s="195"/>
      <c r="AC945" s="195"/>
      <c r="AD945" s="195"/>
      <c r="AE945" s="194">
        <v>132.304</v>
      </c>
      <c r="AF945" s="195"/>
      <c r="AG945" s="195"/>
      <c r="AH945" s="195"/>
      <c r="AI945" s="195"/>
      <c r="AJ945" s="194">
        <v>128.70099999999999</v>
      </c>
      <c r="AK945" s="195"/>
      <c r="AL945" s="195"/>
      <c r="AM945" s="195"/>
      <c r="AN945" s="195"/>
      <c r="AO945" s="194"/>
      <c r="AP945" s="195"/>
      <c r="AQ945" s="195"/>
      <c r="AR945" s="195"/>
      <c r="AS945" s="195"/>
      <c r="AT945" s="194"/>
      <c r="AU945" s="195"/>
      <c r="AV945" s="195"/>
      <c r="AW945" s="195"/>
      <c r="AX945" s="195"/>
      <c r="AY945" s="194"/>
      <c r="AZ945" s="195"/>
      <c r="BA945" s="195"/>
      <c r="BB945" s="195"/>
      <c r="BC945" s="195"/>
      <c r="BD945" s="194"/>
      <c r="BE945" s="195"/>
      <c r="BF945" s="195"/>
      <c r="BG945" s="195"/>
      <c r="BH945" s="195"/>
      <c r="BI945" s="196"/>
      <c r="BJ945" s="195"/>
      <c r="BK945" s="195"/>
      <c r="BL945" s="195"/>
      <c r="BM945" s="195"/>
      <c r="BN945" s="194"/>
      <c r="BO945" s="195"/>
      <c r="BP945" s="195"/>
      <c r="BQ945" s="195"/>
      <c r="BR945" s="195"/>
      <c r="BS945" s="194"/>
      <c r="BT945" s="194"/>
      <c r="BU945" s="194"/>
      <c r="BV945" s="194"/>
      <c r="BW945" s="197"/>
    </row>
    <row r="946" spans="1:75" s="123" customFormat="1" hidden="1" outlineLevel="1" x14ac:dyDescent="0.5">
      <c r="A946" s="184"/>
      <c r="B946" s="185"/>
      <c r="C946" s="186"/>
      <c r="D946" s="186"/>
      <c r="E946" s="186"/>
      <c r="F946" s="186"/>
      <c r="G946" s="187"/>
      <c r="H946" s="187"/>
      <c r="I946" s="187"/>
      <c r="J946" s="187"/>
      <c r="K946" s="186"/>
      <c r="L946" s="187"/>
      <c r="M946" s="187"/>
      <c r="N946" s="187"/>
      <c r="O946" s="187"/>
      <c r="P946" s="186"/>
      <c r="Q946" s="187"/>
      <c r="R946" s="187"/>
      <c r="S946" s="187"/>
      <c r="T946" s="187"/>
      <c r="U946" s="186"/>
      <c r="V946" s="187"/>
      <c r="W946" s="187"/>
      <c r="X946" s="187"/>
      <c r="Y946" s="187"/>
      <c r="Z946" s="186"/>
      <c r="AA946" s="187"/>
      <c r="AB946" s="187"/>
      <c r="AC946" s="187"/>
      <c r="AD946" s="187"/>
      <c r="AE946" s="186"/>
      <c r="AF946" s="187"/>
      <c r="AG946" s="187"/>
      <c r="AH946" s="187"/>
      <c r="AI946" s="187"/>
      <c r="AJ946" s="186"/>
      <c r="AK946" s="187"/>
      <c r="AL946" s="187"/>
      <c r="AM946" s="187"/>
      <c r="AN946" s="187"/>
      <c r="AO946" s="186"/>
      <c r="AP946" s="187"/>
      <c r="AQ946" s="187"/>
      <c r="AR946" s="187"/>
      <c r="AS946" s="187"/>
      <c r="AT946" s="186"/>
      <c r="AU946" s="187"/>
      <c r="AV946" s="187"/>
      <c r="AW946" s="187"/>
      <c r="AX946" s="187"/>
      <c r="AY946" s="186"/>
      <c r="AZ946" s="187"/>
      <c r="BA946" s="187"/>
      <c r="BB946" s="187"/>
      <c r="BC946" s="187"/>
      <c r="BD946" s="186"/>
      <c r="BE946" s="187"/>
      <c r="BF946" s="187"/>
      <c r="BG946" s="187"/>
      <c r="BH946" s="187"/>
      <c r="BI946" s="188"/>
      <c r="BJ946" s="187"/>
      <c r="BK946" s="187"/>
      <c r="BL946" s="187"/>
      <c r="BM946" s="187"/>
      <c r="BN946" s="186"/>
      <c r="BO946" s="187"/>
      <c r="BP946" s="187"/>
      <c r="BQ946" s="187"/>
      <c r="BR946" s="187"/>
      <c r="BS946" s="186"/>
      <c r="BT946" s="186"/>
      <c r="BU946" s="186"/>
      <c r="BV946" s="186"/>
      <c r="BW946" s="122"/>
    </row>
    <row r="947" spans="1:75" s="589" customFormat="1" ht="14.25" hidden="1" outlineLevel="1" x14ac:dyDescent="0.45">
      <c r="A947" s="511" t="s">
        <v>999</v>
      </c>
      <c r="B947" s="511"/>
      <c r="C947" s="511"/>
      <c r="D947" s="511"/>
      <c r="E947" s="511"/>
      <c r="F947" s="511"/>
      <c r="G947" s="511"/>
      <c r="H947" s="511"/>
      <c r="I947" s="511"/>
      <c r="J947" s="511"/>
      <c r="K947" s="511"/>
      <c r="L947" s="511"/>
      <c r="M947" s="511"/>
      <c r="N947" s="511"/>
      <c r="O947" s="511"/>
      <c r="P947" s="511"/>
      <c r="Q947" s="511"/>
      <c r="R947" s="511"/>
      <c r="S947" s="511"/>
      <c r="T947" s="511"/>
      <c r="U947" s="511"/>
      <c r="V947" s="511"/>
      <c r="W947" s="511"/>
      <c r="X947" s="511"/>
      <c r="Y947" s="511"/>
      <c r="Z947" s="511"/>
      <c r="AA947" s="511"/>
      <c r="AB947" s="511"/>
      <c r="AC947" s="511"/>
      <c r="AD947" s="511"/>
      <c r="AE947" s="511"/>
      <c r="AF947" s="511"/>
      <c r="AG947" s="511"/>
      <c r="AH947" s="511"/>
      <c r="AI947" s="511"/>
      <c r="AJ947" s="511"/>
      <c r="AK947" s="511"/>
      <c r="AL947" s="511"/>
      <c r="AM947" s="511"/>
      <c r="AN947" s="511"/>
      <c r="AO947" s="511"/>
      <c r="AP947" s="511"/>
      <c r="AQ947" s="511"/>
      <c r="AR947" s="511"/>
      <c r="AS947" s="511"/>
      <c r="AT947" s="511"/>
      <c r="AU947" s="511"/>
      <c r="AV947" s="511"/>
      <c r="AW947" s="511"/>
      <c r="AX947" s="511"/>
      <c r="AY947" s="511"/>
      <c r="AZ947" s="511"/>
      <c r="BA947" s="511"/>
      <c r="BB947" s="511"/>
      <c r="BC947" s="511"/>
      <c r="BD947" s="511"/>
      <c r="BE947" s="511"/>
      <c r="BF947" s="511"/>
      <c r="BG947" s="511"/>
      <c r="BH947" s="511"/>
      <c r="BI947" s="512"/>
      <c r="BJ947" s="511"/>
      <c r="BK947" s="511"/>
      <c r="BL947" s="511"/>
      <c r="BM947" s="511"/>
      <c r="BN947" s="511"/>
      <c r="BO947" s="511"/>
      <c r="BP947" s="511"/>
      <c r="BQ947" s="511"/>
      <c r="BR947" s="511"/>
      <c r="BS947" s="511"/>
      <c r="BT947" s="511"/>
      <c r="BU947" s="511"/>
      <c r="BV947" s="511"/>
      <c r="BW947" s="197"/>
    </row>
    <row r="948" spans="1:75" s="123" customFormat="1" hidden="1" outlineLevel="2" x14ac:dyDescent="0.5">
      <c r="A948" s="464" t="s">
        <v>1000</v>
      </c>
      <c r="B948" s="118"/>
      <c r="C948" s="299"/>
      <c r="D948" s="299"/>
      <c r="E948" s="299">
        <v>934.06824000000006</v>
      </c>
      <c r="F948" s="299">
        <v>1170.37184</v>
      </c>
      <c r="G948" s="300"/>
      <c r="H948" s="300"/>
      <c r="I948" s="300"/>
      <c r="J948" s="300"/>
      <c r="K948" s="299">
        <v>1474.8137199999999</v>
      </c>
      <c r="L948" s="300">
        <v>338.49952000000002</v>
      </c>
      <c r="M948" s="300">
        <v>408.72325999999998</v>
      </c>
      <c r="N948" s="300">
        <v>455.70172000000002</v>
      </c>
      <c r="O948" s="300">
        <v>538.85688000000005</v>
      </c>
      <c r="P948" s="299">
        <v>1752.9348</v>
      </c>
      <c r="Q948" s="300">
        <v>391.74289999999996</v>
      </c>
      <c r="R948" s="300">
        <v>473.99223999999998</v>
      </c>
      <c r="S948" s="300">
        <v>484.83091000000002</v>
      </c>
      <c r="T948" s="300">
        <v>592.35941000000003</v>
      </c>
      <c r="U948" s="299">
        <v>1937.8624200000004</v>
      </c>
      <c r="V948" s="300">
        <v>407.60095999999999</v>
      </c>
      <c r="W948" s="300">
        <v>461.96831999999995</v>
      </c>
      <c r="X948" s="300">
        <v>461.03897999999998</v>
      </c>
      <c r="Y948" s="429">
        <v>498.19837999999993</v>
      </c>
      <c r="Z948" s="299">
        <v>1828.5715799999998</v>
      </c>
      <c r="AA948" s="300">
        <v>465.92704000000003</v>
      </c>
      <c r="AB948" s="429">
        <v>543.86067000000003</v>
      </c>
      <c r="AC948" s="300">
        <v>544.12768000000005</v>
      </c>
      <c r="AD948" s="429">
        <v>552.03011999999978</v>
      </c>
      <c r="AE948" s="299">
        <v>2109.6872600000002</v>
      </c>
      <c r="AF948" s="429">
        <v>511.03979999999996</v>
      </c>
      <c r="AG948" s="429">
        <v>592.43729999999994</v>
      </c>
      <c r="AH948" s="300">
        <v>573.32392000000004</v>
      </c>
      <c r="AI948" s="429">
        <v>643.64475000000039</v>
      </c>
      <c r="AJ948" s="299">
        <v>2323.8529600000002</v>
      </c>
      <c r="AK948" s="300"/>
      <c r="AL948" s="300"/>
      <c r="AM948" s="300"/>
      <c r="AN948" s="300"/>
      <c r="AO948" s="299"/>
      <c r="AP948" s="300"/>
      <c r="AQ948" s="300"/>
      <c r="AR948" s="300"/>
      <c r="AS948" s="300"/>
      <c r="AT948" s="299"/>
      <c r="AU948" s="300"/>
      <c r="AV948" s="300"/>
      <c r="AW948" s="300"/>
      <c r="AX948" s="300"/>
      <c r="AY948" s="299"/>
      <c r="AZ948" s="300"/>
      <c r="BA948" s="300"/>
      <c r="BB948" s="300"/>
      <c r="BC948" s="300"/>
      <c r="BD948" s="299"/>
      <c r="BE948" s="300"/>
      <c r="BF948" s="300"/>
      <c r="BG948" s="300"/>
      <c r="BH948" s="300"/>
      <c r="BI948" s="304"/>
      <c r="BJ948" s="300"/>
      <c r="BK948" s="300"/>
      <c r="BL948" s="300"/>
      <c r="BM948" s="300"/>
      <c r="BN948" s="299"/>
      <c r="BO948" s="300"/>
      <c r="BP948" s="300"/>
      <c r="BQ948" s="300"/>
      <c r="BR948" s="300"/>
      <c r="BS948" s="299"/>
      <c r="BT948" s="299"/>
      <c r="BU948" s="299"/>
      <c r="BV948" s="299"/>
      <c r="BW948" s="122"/>
    </row>
    <row r="949" spans="1:75" s="123" customFormat="1" hidden="1" outlineLevel="2" x14ac:dyDescent="0.5">
      <c r="A949" s="464" t="s">
        <v>1001</v>
      </c>
      <c r="B949" s="118"/>
      <c r="C949" s="299"/>
      <c r="D949" s="299"/>
      <c r="E949" s="299">
        <v>-191.30941935483872</v>
      </c>
      <c r="F949" s="299">
        <v>-132.25904747628084</v>
      </c>
      <c r="G949" s="300"/>
      <c r="H949" s="300"/>
      <c r="I949" s="300"/>
      <c r="J949" s="300"/>
      <c r="K949" s="299">
        <v>-47.378108353593461</v>
      </c>
      <c r="L949" s="300">
        <v>-19.868325374306334</v>
      </c>
      <c r="M949" s="300">
        <v>-15.321580856467447</v>
      </c>
      <c r="N949" s="300">
        <v>-21.870913631359631</v>
      </c>
      <c r="O949" s="300">
        <v>-34.493597575819919</v>
      </c>
      <c r="P949" s="299">
        <v>-76.08041167453986</v>
      </c>
      <c r="Q949" s="300">
        <v>-43.804957308152183</v>
      </c>
      <c r="R949" s="300">
        <v>-36.724861363022775</v>
      </c>
      <c r="S949" s="300">
        <v>-45.904759187957339</v>
      </c>
      <c r="T949" s="300">
        <v>-54.580732034952241</v>
      </c>
      <c r="U949" s="299">
        <v>-190.02343578654464</v>
      </c>
      <c r="V949" s="300">
        <v>-43.803289742448946</v>
      </c>
      <c r="W949" s="300">
        <v>-34.585961397893321</v>
      </c>
      <c r="X949" s="300">
        <v>-57.530241214627537</v>
      </c>
      <c r="Y949" s="429">
        <v>-50.196691836394876</v>
      </c>
      <c r="Z949" s="299">
        <v>-193.66024844066686</v>
      </c>
      <c r="AA949" s="300">
        <v>-36.003559183984486</v>
      </c>
      <c r="AB949" s="429">
        <v>-40.509762726780714</v>
      </c>
      <c r="AC949" s="300">
        <v>-57.254298100424016</v>
      </c>
      <c r="AD949" s="429">
        <v>-49.415661642968431</v>
      </c>
      <c r="AE949" s="299">
        <v>-195.7636619554734</v>
      </c>
      <c r="AF949" s="429">
        <v>-76.102712353459978</v>
      </c>
      <c r="AG949" s="429">
        <v>-59.640068975814621</v>
      </c>
      <c r="AH949" s="300">
        <v>-60.167352865279092</v>
      </c>
      <c r="AI949" s="429">
        <v>-45.064138420574601</v>
      </c>
      <c r="AJ949" s="299">
        <v>-179.68757496809675</v>
      </c>
      <c r="AK949" s="300"/>
      <c r="AL949" s="300"/>
      <c r="AM949" s="300"/>
      <c r="AN949" s="300"/>
      <c r="AO949" s="299"/>
      <c r="AP949" s="300"/>
      <c r="AQ949" s="300"/>
      <c r="AR949" s="300"/>
      <c r="AS949" s="300"/>
      <c r="AT949" s="299"/>
      <c r="AU949" s="300"/>
      <c r="AV949" s="300"/>
      <c r="AW949" s="300"/>
      <c r="AX949" s="300"/>
      <c r="AY949" s="299"/>
      <c r="AZ949" s="300"/>
      <c r="BA949" s="300"/>
      <c r="BB949" s="300"/>
      <c r="BC949" s="300"/>
      <c r="BD949" s="299"/>
      <c r="BE949" s="300"/>
      <c r="BF949" s="300"/>
      <c r="BG949" s="300"/>
      <c r="BH949" s="300"/>
      <c r="BI949" s="304"/>
      <c r="BJ949" s="300"/>
      <c r="BK949" s="300"/>
      <c r="BL949" s="300"/>
      <c r="BM949" s="300"/>
      <c r="BN949" s="299"/>
      <c r="BO949" s="300"/>
      <c r="BP949" s="300"/>
      <c r="BQ949" s="300"/>
      <c r="BR949" s="300"/>
      <c r="BS949" s="299"/>
      <c r="BT949" s="299"/>
      <c r="BU949" s="299"/>
      <c r="BV949" s="299"/>
      <c r="BW949" s="122"/>
    </row>
    <row r="950" spans="1:75" s="123" customFormat="1" hidden="1" outlineLevel="2" x14ac:dyDescent="0.5">
      <c r="A950" s="184" t="s">
        <v>1002</v>
      </c>
      <c r="B950" s="118"/>
      <c r="C950" s="299"/>
      <c r="D950" s="299"/>
      <c r="E950" s="299">
        <v>132.2716535559772</v>
      </c>
      <c r="F950" s="299">
        <v>8.0636270477648395</v>
      </c>
      <c r="G950" s="300"/>
      <c r="H950" s="300"/>
      <c r="I950" s="300"/>
      <c r="J950" s="300"/>
      <c r="K950" s="299">
        <v>16.236107770358785</v>
      </c>
      <c r="L950" s="300">
        <v>16.307978007875988</v>
      </c>
      <c r="M950" s="300">
        <v>11.689320744734346</v>
      </c>
      <c r="N950" s="300">
        <v>11.394360788293454</v>
      </c>
      <c r="O950" s="300">
        <v>24.900500257639692</v>
      </c>
      <c r="P950" s="299">
        <v>21.806082002886342</v>
      </c>
      <c r="Q950" s="300">
        <v>30.731278538938909</v>
      </c>
      <c r="R950" s="300">
        <v>22.330816462566531</v>
      </c>
      <c r="S950" s="300">
        <v>21.319704377947801</v>
      </c>
      <c r="T950" s="300">
        <v>21.380241018097763</v>
      </c>
      <c r="U950" s="299">
        <v>61.061507207333079</v>
      </c>
      <c r="V950" s="300">
        <v>35.031627820543349</v>
      </c>
      <c r="W950" s="300">
        <v>-10.092441401264864</v>
      </c>
      <c r="X950" s="300">
        <v>3.1288150273088036</v>
      </c>
      <c r="Y950" s="300">
        <v>-12.5534637300957</v>
      </c>
      <c r="Z950" s="299">
        <v>-30.586613107765515</v>
      </c>
      <c r="AA950" s="300">
        <v>-8.5846661016685744</v>
      </c>
      <c r="AB950" s="300">
        <v>-44.588906892370119</v>
      </c>
      <c r="AC950" s="300">
        <v>33.649720296240162</v>
      </c>
      <c r="AD950" s="300">
        <v>47.263859178687539</v>
      </c>
      <c r="AE950" s="299">
        <v>203.15259873398077</v>
      </c>
      <c r="AF950" s="429">
        <v>59.194892923619705</v>
      </c>
      <c r="AG950" s="429">
        <v>32.244123613569968</v>
      </c>
      <c r="AH950" s="300">
        <v>35.689072302011596</v>
      </c>
      <c r="AI950" s="300">
        <v>23.417365011108132</v>
      </c>
      <c r="AJ950" s="299">
        <v>75.902932121703543</v>
      </c>
      <c r="AK950" s="300"/>
      <c r="AL950" s="300"/>
      <c r="AM950" s="300"/>
      <c r="AN950" s="300"/>
      <c r="AO950" s="299"/>
      <c r="AP950" s="300"/>
      <c r="AQ950" s="300"/>
      <c r="AR950" s="300"/>
      <c r="AS950" s="300"/>
      <c r="AT950" s="299"/>
      <c r="AU950" s="300"/>
      <c r="AV950" s="300"/>
      <c r="AW950" s="300"/>
      <c r="AX950" s="300"/>
      <c r="AY950" s="299"/>
      <c r="AZ950" s="300"/>
      <c r="BA950" s="300"/>
      <c r="BB950" s="300"/>
      <c r="BC950" s="300"/>
      <c r="BD950" s="299"/>
      <c r="BE950" s="300"/>
      <c r="BF950" s="300"/>
      <c r="BG950" s="300"/>
      <c r="BH950" s="300"/>
      <c r="BI950" s="304"/>
      <c r="BJ950" s="300"/>
      <c r="BK950" s="300"/>
      <c r="BL950" s="300"/>
      <c r="BM950" s="300"/>
      <c r="BN950" s="299"/>
      <c r="BO950" s="300"/>
      <c r="BP950" s="300"/>
      <c r="BQ950" s="300"/>
      <c r="BR950" s="300"/>
      <c r="BS950" s="299"/>
      <c r="BT950" s="299"/>
      <c r="BU950" s="299"/>
      <c r="BV950" s="299"/>
      <c r="BW950" s="122"/>
    </row>
    <row r="951" spans="1:75" s="123" customFormat="1" hidden="1" outlineLevel="2" x14ac:dyDescent="0.5">
      <c r="A951" s="184" t="s">
        <v>1003</v>
      </c>
      <c r="B951" s="118"/>
      <c r="C951" s="299"/>
      <c r="D951" s="299"/>
      <c r="E951" s="299"/>
      <c r="F951" s="299">
        <v>21.241735849056603</v>
      </c>
      <c r="G951" s="300"/>
      <c r="H951" s="300"/>
      <c r="I951" s="300"/>
      <c r="J951" s="300"/>
      <c r="K951" s="299">
        <v>-21.241735849056603</v>
      </c>
      <c r="L951" s="300"/>
      <c r="M951" s="300"/>
      <c r="N951" s="300"/>
      <c r="O951" s="300"/>
      <c r="P951" s="299"/>
      <c r="Q951" s="300"/>
      <c r="R951" s="300"/>
      <c r="S951" s="300"/>
      <c r="T951" s="300"/>
      <c r="U951" s="299"/>
      <c r="V951" s="300"/>
      <c r="W951" s="300"/>
      <c r="X951" s="300"/>
      <c r="Y951" s="300"/>
      <c r="Z951" s="299"/>
      <c r="AA951" s="300"/>
      <c r="AB951" s="300"/>
      <c r="AC951" s="300"/>
      <c r="AD951" s="300">
        <v>43.785357142857166</v>
      </c>
      <c r="AE951" s="299">
        <v>43.785357142857166</v>
      </c>
      <c r="AF951" s="300"/>
      <c r="AG951" s="300"/>
      <c r="AH951" s="300"/>
      <c r="AI951" s="300">
        <v>-43.785357142857166</v>
      </c>
      <c r="AJ951" s="299">
        <v>-43.785357142857166</v>
      </c>
      <c r="AK951" s="300"/>
      <c r="AL951" s="300"/>
      <c r="AM951" s="300"/>
      <c r="AN951" s="300"/>
      <c r="AO951" s="299"/>
      <c r="AP951" s="300"/>
      <c r="AQ951" s="300"/>
      <c r="AR951" s="300"/>
      <c r="AS951" s="300"/>
      <c r="AT951" s="299"/>
      <c r="AU951" s="300"/>
      <c r="AV951" s="300"/>
      <c r="AW951" s="300"/>
      <c r="AX951" s="300"/>
      <c r="AY951" s="299"/>
      <c r="AZ951" s="300"/>
      <c r="BA951" s="300"/>
      <c r="BB951" s="300"/>
      <c r="BC951" s="300"/>
      <c r="BD951" s="299"/>
      <c r="BE951" s="300"/>
      <c r="BF951" s="300"/>
      <c r="BG951" s="300"/>
      <c r="BH951" s="300"/>
      <c r="BI951" s="304"/>
      <c r="BJ951" s="300"/>
      <c r="BK951" s="300"/>
      <c r="BL951" s="300"/>
      <c r="BM951" s="300"/>
      <c r="BN951" s="299"/>
      <c r="BO951" s="300"/>
      <c r="BP951" s="300"/>
      <c r="BQ951" s="300"/>
      <c r="BR951" s="300"/>
      <c r="BS951" s="299"/>
      <c r="BT951" s="299"/>
      <c r="BU951" s="299"/>
      <c r="BV951" s="299"/>
      <c r="BW951" s="122"/>
    </row>
    <row r="952" spans="1:75" s="123" customFormat="1" hidden="1" outlineLevel="2" x14ac:dyDescent="0.5">
      <c r="A952" s="464" t="s">
        <v>1004</v>
      </c>
      <c r="B952" s="118"/>
      <c r="C952" s="299"/>
      <c r="D952" s="299"/>
      <c r="E952" s="299">
        <v>39.322525798861484</v>
      </c>
      <c r="F952" s="299">
        <v>58.393844579459213</v>
      </c>
      <c r="G952" s="300"/>
      <c r="H952" s="300"/>
      <c r="I952" s="300"/>
      <c r="J952" s="300"/>
      <c r="K952" s="299">
        <v>38.349016432291513</v>
      </c>
      <c r="L952" s="300">
        <v>5.7068273664303346</v>
      </c>
      <c r="M952" s="300">
        <v>3.5230001117331269</v>
      </c>
      <c r="N952" s="300">
        <v>7.8878328430661879</v>
      </c>
      <c r="O952" s="300">
        <v>14.185217318180065</v>
      </c>
      <c r="P952" s="299">
        <v>47.161529671653568</v>
      </c>
      <c r="Q952" s="300">
        <v>13.254778769213246</v>
      </c>
      <c r="R952" s="300">
        <v>16.657804900456274</v>
      </c>
      <c r="S952" s="300">
        <v>30.221144810009498</v>
      </c>
      <c r="T952" s="300">
        <v>48.400081016854301</v>
      </c>
      <c r="U952" s="299">
        <v>157.30550857921099</v>
      </c>
      <c r="V952" s="300">
        <v>28.626701921905653</v>
      </c>
      <c r="W952" s="300">
        <v>90.991082799158193</v>
      </c>
      <c r="X952" s="300">
        <v>106.6904461873188</v>
      </c>
      <c r="Y952" s="429">
        <v>105.75777556649038</v>
      </c>
      <c r="Z952" s="299">
        <v>385.94628154843264</v>
      </c>
      <c r="AA952" s="300">
        <v>84.641185285653066</v>
      </c>
      <c r="AB952" s="429">
        <v>105.46399961915071</v>
      </c>
      <c r="AC952" s="300">
        <v>30.749897804183746</v>
      </c>
      <c r="AD952" s="429">
        <v>19.331325321424284</v>
      </c>
      <c r="AE952" s="299">
        <v>73.612446078635642</v>
      </c>
      <c r="AF952" s="429">
        <v>20.074019429840309</v>
      </c>
      <c r="AG952" s="429">
        <v>37.856645362244741</v>
      </c>
      <c r="AH952" s="300">
        <v>40.512360563267436</v>
      </c>
      <c r="AI952" s="429">
        <v>41.978380552323358</v>
      </c>
      <c r="AJ952" s="299">
        <v>150.37003998925039</v>
      </c>
      <c r="AK952" s="300"/>
      <c r="AL952" s="300"/>
      <c r="AM952" s="300"/>
      <c r="AN952" s="300"/>
      <c r="AO952" s="299"/>
      <c r="AP952" s="300"/>
      <c r="AQ952" s="300"/>
      <c r="AR952" s="300"/>
      <c r="AS952" s="300"/>
      <c r="AT952" s="299"/>
      <c r="AU952" s="300"/>
      <c r="AV952" s="300"/>
      <c r="AW952" s="300"/>
      <c r="AX952" s="300"/>
      <c r="AY952" s="299"/>
      <c r="AZ952" s="300"/>
      <c r="BA952" s="300"/>
      <c r="BB952" s="300"/>
      <c r="BC952" s="300"/>
      <c r="BD952" s="299"/>
      <c r="BE952" s="300"/>
      <c r="BF952" s="300"/>
      <c r="BG952" s="300"/>
      <c r="BH952" s="300"/>
      <c r="BI952" s="304"/>
      <c r="BJ952" s="300"/>
      <c r="BK952" s="300"/>
      <c r="BL952" s="300"/>
      <c r="BM952" s="300"/>
      <c r="BN952" s="299"/>
      <c r="BO952" s="300"/>
      <c r="BP952" s="300"/>
      <c r="BQ952" s="300"/>
      <c r="BR952" s="300"/>
      <c r="BS952" s="299"/>
      <c r="BT952" s="299"/>
      <c r="BU952" s="299"/>
      <c r="BV952" s="299"/>
      <c r="BW952" s="122"/>
    </row>
    <row r="953" spans="1:75" s="198" customFormat="1" ht="14.25" hidden="1" outlineLevel="2" x14ac:dyDescent="0.45">
      <c r="A953" s="520" t="s">
        <v>1005</v>
      </c>
      <c r="B953" s="327"/>
      <c r="C953" s="325"/>
      <c r="D953" s="325">
        <v>741.32400000000007</v>
      </c>
      <c r="E953" s="325">
        <v>914.35300000000007</v>
      </c>
      <c r="F953" s="325">
        <v>1125.8119999999999</v>
      </c>
      <c r="G953" s="326">
        <v>286.86400000000003</v>
      </c>
      <c r="H953" s="326">
        <v>361.702</v>
      </c>
      <c r="I953" s="326">
        <v>373.52600000000001</v>
      </c>
      <c r="J953" s="326">
        <v>434.56200000000007</v>
      </c>
      <c r="K953" s="325">
        <v>1460.779</v>
      </c>
      <c r="L953" s="326">
        <v>340.64600000000002</v>
      </c>
      <c r="M953" s="326">
        <v>408.61400000000003</v>
      </c>
      <c r="N953" s="326">
        <v>453.113</v>
      </c>
      <c r="O953" s="326">
        <v>543.44899999999996</v>
      </c>
      <c r="P953" s="325">
        <v>1745.8220000000001</v>
      </c>
      <c r="Q953" s="326">
        <v>391.92399999999998</v>
      </c>
      <c r="R953" s="326">
        <v>476.25599999999997</v>
      </c>
      <c r="S953" s="326">
        <v>490.46699999999998</v>
      </c>
      <c r="T953" s="326">
        <v>607.55899999999986</v>
      </c>
      <c r="U953" s="325">
        <v>1966.2059999999999</v>
      </c>
      <c r="V953" s="326">
        <v>427.45600000000002</v>
      </c>
      <c r="W953" s="326">
        <v>508.28099999999995</v>
      </c>
      <c r="X953" s="326">
        <v>513.32799999999997</v>
      </c>
      <c r="Y953" s="524">
        <v>541.20599999999979</v>
      </c>
      <c r="Z953" s="325">
        <v>1990.271</v>
      </c>
      <c r="AA953" s="326">
        <v>505.97999999999996</v>
      </c>
      <c r="AB953" s="524">
        <v>564.22599999999989</v>
      </c>
      <c r="AC953" s="326">
        <v>551.27300000000002</v>
      </c>
      <c r="AD953" s="524">
        <v>612.99500000000035</v>
      </c>
      <c r="AE953" s="325">
        <v>2234.4740000000002</v>
      </c>
      <c r="AF953" s="524">
        <v>514.20600000000002</v>
      </c>
      <c r="AG953" s="524">
        <v>602.89800000000002</v>
      </c>
      <c r="AH953" s="326">
        <v>589.35799999999995</v>
      </c>
      <c r="AI953" s="524">
        <v>620.19100000000003</v>
      </c>
      <c r="AJ953" s="325">
        <v>2326.6530000000002</v>
      </c>
      <c r="AK953" s="326"/>
      <c r="AL953" s="326"/>
      <c r="AM953" s="326"/>
      <c r="AN953" s="326"/>
      <c r="AO953" s="325"/>
      <c r="AP953" s="326"/>
      <c r="AQ953" s="326"/>
      <c r="AR953" s="326"/>
      <c r="AS953" s="326"/>
      <c r="AT953" s="325"/>
      <c r="AU953" s="326"/>
      <c r="AV953" s="326"/>
      <c r="AW953" s="326"/>
      <c r="AX953" s="326"/>
      <c r="AY953" s="325"/>
      <c r="AZ953" s="326"/>
      <c r="BA953" s="326"/>
      <c r="BB953" s="326"/>
      <c r="BC953" s="326"/>
      <c r="BD953" s="325"/>
      <c r="BE953" s="326"/>
      <c r="BF953" s="326"/>
      <c r="BG953" s="326"/>
      <c r="BH953" s="326"/>
      <c r="BI953" s="329"/>
      <c r="BJ953" s="326"/>
      <c r="BK953" s="326"/>
      <c r="BL953" s="326"/>
      <c r="BM953" s="326"/>
      <c r="BN953" s="325"/>
      <c r="BO953" s="326"/>
      <c r="BP953" s="326"/>
      <c r="BQ953" s="326"/>
      <c r="BR953" s="326"/>
      <c r="BS953" s="325"/>
      <c r="BT953" s="325"/>
      <c r="BU953" s="325"/>
      <c r="BV953" s="325"/>
      <c r="BW953" s="197"/>
    </row>
    <row r="954" spans="1:75" s="177" customFormat="1" ht="14.25" hidden="1" outlineLevel="2" x14ac:dyDescent="0.45">
      <c r="A954" s="170" t="s">
        <v>1006</v>
      </c>
      <c r="B954" s="171"/>
      <c r="C954" s="172"/>
      <c r="D954" s="172"/>
      <c r="E954" s="191">
        <v>0.26</v>
      </c>
      <c r="F954" s="191">
        <v>0.28000000000000003</v>
      </c>
      <c r="G954" s="173"/>
      <c r="H954" s="173"/>
      <c r="I954" s="173"/>
      <c r="J954" s="173"/>
      <c r="K954" s="191">
        <v>0.31</v>
      </c>
      <c r="L954" s="190">
        <v>0.18</v>
      </c>
      <c r="M954" s="190">
        <v>0.13</v>
      </c>
      <c r="N954" s="190">
        <v>0.22</v>
      </c>
      <c r="O954" s="190">
        <v>0.24</v>
      </c>
      <c r="P954" s="191">
        <v>0.2</v>
      </c>
      <c r="Q954" s="190">
        <v>0.15</v>
      </c>
      <c r="R954" s="190">
        <v>0.16</v>
      </c>
      <c r="S954" s="190">
        <v>7.0000000000000007E-2</v>
      </c>
      <c r="T954" s="190">
        <v>0.09</v>
      </c>
      <c r="U954" s="191">
        <v>0.11</v>
      </c>
      <c r="V954" s="190">
        <v>0.04</v>
      </c>
      <c r="W954" s="190">
        <v>-0.03</v>
      </c>
      <c r="X954" s="190">
        <v>-0.06</v>
      </c>
      <c r="Y954" s="190">
        <v>-0.18</v>
      </c>
      <c r="Z954" s="191">
        <v>-7.0000000000000007E-2</v>
      </c>
      <c r="AA954" s="190">
        <v>0.09</v>
      </c>
      <c r="AB954" s="190">
        <v>7.0000000000000007E-2</v>
      </c>
      <c r="AC954" s="190">
        <v>0.06</v>
      </c>
      <c r="AD954" s="190">
        <v>0.02</v>
      </c>
      <c r="AE954" s="191">
        <v>0.06</v>
      </c>
      <c r="AF954" s="190">
        <v>0.01</v>
      </c>
      <c r="AG954" s="190">
        <v>0.05</v>
      </c>
      <c r="AH954" s="190">
        <v>0.04</v>
      </c>
      <c r="AI954" s="190">
        <v>0.05</v>
      </c>
      <c r="AJ954" s="191">
        <v>0.04</v>
      </c>
      <c r="AK954" s="173"/>
      <c r="AL954" s="173"/>
      <c r="AM954" s="173"/>
      <c r="AN954" s="173"/>
      <c r="AO954" s="172"/>
      <c r="AP954" s="173"/>
      <c r="AQ954" s="173"/>
      <c r="AR954" s="173"/>
      <c r="AS954" s="173"/>
      <c r="AT954" s="172"/>
      <c r="AU954" s="173"/>
      <c r="AV954" s="173"/>
      <c r="AW954" s="173"/>
      <c r="AX954" s="173"/>
      <c r="AY954" s="172"/>
      <c r="AZ954" s="173"/>
      <c r="BA954" s="173"/>
      <c r="BB954" s="173"/>
      <c r="BC954" s="173"/>
      <c r="BD954" s="172"/>
      <c r="BE954" s="173"/>
      <c r="BF954" s="173"/>
      <c r="BG954" s="173"/>
      <c r="BH954" s="173"/>
      <c r="BI954" s="174"/>
      <c r="BJ954" s="175"/>
      <c r="BK954" s="175"/>
      <c r="BL954" s="175"/>
      <c r="BM954" s="175"/>
      <c r="BN954" s="172"/>
      <c r="BO954" s="175"/>
      <c r="BP954" s="175"/>
      <c r="BQ954" s="175"/>
      <c r="BR954" s="175"/>
      <c r="BS954" s="172"/>
      <c r="BT954" s="172"/>
      <c r="BU954" s="172"/>
      <c r="BV954" s="172"/>
      <c r="BW954" s="176"/>
    </row>
    <row r="955" spans="1:75" s="177" customFormat="1" ht="14.25" hidden="1" outlineLevel="2" x14ac:dyDescent="0.45">
      <c r="A955" s="170" t="s">
        <v>1007</v>
      </c>
      <c r="B955" s="171"/>
      <c r="C955" s="172"/>
      <c r="D955" s="172"/>
      <c r="E955" s="172">
        <v>0.23340536661432787</v>
      </c>
      <c r="F955" s="172">
        <v>0.23126626149856766</v>
      </c>
      <c r="G955" s="173"/>
      <c r="H955" s="173"/>
      <c r="I955" s="173"/>
      <c r="J955" s="173"/>
      <c r="K955" s="172">
        <v>0.29753369123796869</v>
      </c>
      <c r="L955" s="173">
        <v>0.18748257013776559</v>
      </c>
      <c r="M955" s="173">
        <v>0.12969792812868053</v>
      </c>
      <c r="N955" s="173">
        <v>0.2130695052017797</v>
      </c>
      <c r="O955" s="173">
        <v>0.25056723781646784</v>
      </c>
      <c r="P955" s="172">
        <v>0.19513081718726788</v>
      </c>
      <c r="Q955" s="173">
        <v>0.15053163694862093</v>
      </c>
      <c r="R955" s="173">
        <v>0.16554009407411385</v>
      </c>
      <c r="S955" s="173">
        <v>8.243859699456868E-2</v>
      </c>
      <c r="T955" s="173">
        <v>0.11796875143757712</v>
      </c>
      <c r="U955" s="172">
        <v>0.12623509154999746</v>
      </c>
      <c r="V955" s="173">
        <v>9.0660434165807713E-2</v>
      </c>
      <c r="W955" s="173">
        <v>6.7243247329167533E-2</v>
      </c>
      <c r="X955" s="173">
        <v>4.661067920981421E-2</v>
      </c>
      <c r="Y955" s="173">
        <v>-0.10921243862735974</v>
      </c>
      <c r="Z955" s="172">
        <v>1.2239307580182324E-2</v>
      </c>
      <c r="AA955" s="173">
        <v>0.18370077855966449</v>
      </c>
      <c r="AB955" s="173">
        <v>0.11006706919991105</v>
      </c>
      <c r="AC955" s="173">
        <v>7.3919599164666838E-2</v>
      </c>
      <c r="AD955" s="173">
        <v>0.13264634907964923</v>
      </c>
      <c r="AE955" s="172">
        <v>0.12269836620239172</v>
      </c>
      <c r="AF955" s="173">
        <v>1.6257559587335546E-2</v>
      </c>
      <c r="AG955" s="173">
        <v>6.8539911312134105E-2</v>
      </c>
      <c r="AH955" s="173">
        <v>6.9085552893030977E-2</v>
      </c>
      <c r="AI955" s="173">
        <v>1.1739084331845673E-2</v>
      </c>
      <c r="AJ955" s="172">
        <v>4.1253109232866514E-2</v>
      </c>
      <c r="AK955" s="173"/>
      <c r="AL955" s="173"/>
      <c r="AM955" s="173"/>
      <c r="AN955" s="173"/>
      <c r="AO955" s="172"/>
      <c r="AP955" s="173"/>
      <c r="AQ955" s="173"/>
      <c r="AR955" s="173"/>
      <c r="AS955" s="173"/>
      <c r="AT955" s="172"/>
      <c r="AU955" s="173"/>
      <c r="AV955" s="173"/>
      <c r="AW955" s="173"/>
      <c r="AX955" s="173"/>
      <c r="AY955" s="172"/>
      <c r="AZ955" s="173"/>
      <c r="BA955" s="173"/>
      <c r="BB955" s="173"/>
      <c r="BC955" s="173"/>
      <c r="BD955" s="172"/>
      <c r="BE955" s="173"/>
      <c r="BF955" s="173"/>
      <c r="BG955" s="173"/>
      <c r="BH955" s="173"/>
      <c r="BI955" s="174"/>
      <c r="BJ955" s="175"/>
      <c r="BK955" s="175"/>
      <c r="BL955" s="175"/>
      <c r="BM955" s="175"/>
      <c r="BN955" s="172"/>
      <c r="BO955" s="175"/>
      <c r="BP955" s="175"/>
      <c r="BQ955" s="175"/>
      <c r="BR955" s="175"/>
      <c r="BS955" s="172"/>
      <c r="BT955" s="172"/>
      <c r="BU955" s="172"/>
      <c r="BV955" s="172"/>
      <c r="BW955" s="176"/>
    </row>
    <row r="956" spans="1:75" s="169" customFormat="1" ht="14.25" hidden="1" outlineLevel="2" x14ac:dyDescent="0.45">
      <c r="A956" s="247"/>
      <c r="B956" s="247"/>
      <c r="C956" s="244"/>
      <c r="D956" s="244"/>
      <c r="E956" s="244"/>
      <c r="F956" s="244"/>
      <c r="G956" s="245"/>
      <c r="H956" s="245"/>
      <c r="I956" s="245"/>
      <c r="J956" s="245"/>
      <c r="K956" s="244"/>
      <c r="L956" s="245"/>
      <c r="M956" s="245"/>
      <c r="N956" s="245"/>
      <c r="O956" s="245"/>
      <c r="P956" s="244"/>
      <c r="Q956" s="245"/>
      <c r="R956" s="245"/>
      <c r="S956" s="245"/>
      <c r="T956" s="245"/>
      <c r="U956" s="244"/>
      <c r="V956" s="245"/>
      <c r="W956" s="245"/>
      <c r="X956" s="245"/>
      <c r="Y956" s="245"/>
      <c r="Z956" s="244"/>
      <c r="AA956" s="245"/>
      <c r="AB956" s="245"/>
      <c r="AC956" s="245"/>
      <c r="AD956" s="245"/>
      <c r="AE956" s="244"/>
      <c r="AF956" s="245"/>
      <c r="AG956" s="245"/>
      <c r="AH956" s="245"/>
      <c r="AI956" s="245"/>
      <c r="AJ956" s="244"/>
      <c r="AK956" s="245"/>
      <c r="AL956" s="245"/>
      <c r="AM956" s="245"/>
      <c r="AN956" s="245"/>
      <c r="AO956" s="244"/>
      <c r="AP956" s="245"/>
      <c r="AQ956" s="245"/>
      <c r="AR956" s="245"/>
      <c r="AS956" s="245"/>
      <c r="AT956" s="244"/>
      <c r="AU956" s="245"/>
      <c r="AV956" s="245"/>
      <c r="AW956" s="245"/>
      <c r="AX956" s="245"/>
      <c r="AY956" s="244"/>
      <c r="AZ956" s="245"/>
      <c r="BA956" s="245"/>
      <c r="BB956" s="245"/>
      <c r="BC956" s="245"/>
      <c r="BD956" s="244"/>
      <c r="BE956" s="245"/>
      <c r="BF956" s="245"/>
      <c r="BG956" s="245"/>
      <c r="BH956" s="245"/>
      <c r="BI956" s="249"/>
      <c r="BJ956" s="245"/>
      <c r="BK956" s="245"/>
      <c r="BL956" s="245"/>
      <c r="BM956" s="245"/>
      <c r="BN956" s="244"/>
      <c r="BO956" s="245"/>
      <c r="BP956" s="245"/>
      <c r="BQ956" s="245"/>
      <c r="BR956" s="245"/>
      <c r="BS956" s="244"/>
      <c r="BT956" s="244"/>
      <c r="BU956" s="244"/>
      <c r="BV956" s="244"/>
      <c r="BW956" s="168"/>
    </row>
    <row r="957" spans="1:75" s="224" customFormat="1" hidden="1" outlineLevel="2" x14ac:dyDescent="0.5">
      <c r="A957" s="223" t="s">
        <v>1008</v>
      </c>
      <c r="B957" s="487"/>
      <c r="C957" s="252"/>
      <c r="D957" s="252"/>
      <c r="E957" s="252">
        <v>68</v>
      </c>
      <c r="F957" s="252">
        <v>64</v>
      </c>
      <c r="G957" s="253"/>
      <c r="H957" s="253"/>
      <c r="I957" s="253"/>
      <c r="J957" s="253"/>
      <c r="K957" s="252">
        <v>67</v>
      </c>
      <c r="L957" s="253">
        <v>67</v>
      </c>
      <c r="M957" s="253">
        <v>67</v>
      </c>
      <c r="N957" s="253">
        <v>66</v>
      </c>
      <c r="O957" s="253">
        <v>64</v>
      </c>
      <c r="P957" s="252">
        <v>64</v>
      </c>
      <c r="Q957" s="253">
        <v>63</v>
      </c>
      <c r="R957" s="253">
        <v>63</v>
      </c>
      <c r="S957" s="253">
        <v>61</v>
      </c>
      <c r="T957" s="253">
        <v>60</v>
      </c>
      <c r="U957" s="252">
        <v>60</v>
      </c>
      <c r="V957" s="253">
        <v>61</v>
      </c>
      <c r="W957" s="253">
        <v>62</v>
      </c>
      <c r="X957" s="253">
        <v>59</v>
      </c>
      <c r="Y957" s="350">
        <v>61</v>
      </c>
      <c r="Z957" s="252">
        <v>61</v>
      </c>
      <c r="AA957" s="253">
        <v>64</v>
      </c>
      <c r="AB957" s="350">
        <v>63</v>
      </c>
      <c r="AC957" s="253">
        <v>76</v>
      </c>
      <c r="AD957" s="350">
        <v>78</v>
      </c>
      <c r="AE957" s="252">
        <v>78</v>
      </c>
      <c r="AF957" s="350">
        <v>78</v>
      </c>
      <c r="AG957" s="350">
        <v>76</v>
      </c>
      <c r="AH957" s="253">
        <v>76</v>
      </c>
      <c r="AI957" s="350">
        <v>77</v>
      </c>
      <c r="AJ957" s="252">
        <v>77</v>
      </c>
      <c r="AK957" s="253"/>
      <c r="AL957" s="253"/>
      <c r="AM957" s="253"/>
      <c r="AN957" s="253"/>
      <c r="AO957" s="252"/>
      <c r="AP957" s="253"/>
      <c r="AQ957" s="253"/>
      <c r="AR957" s="253"/>
      <c r="AS957" s="253"/>
      <c r="AT957" s="252"/>
      <c r="AU957" s="253"/>
      <c r="AV957" s="253"/>
      <c r="AW957" s="253"/>
      <c r="AX957" s="253"/>
      <c r="AY957" s="252"/>
      <c r="AZ957" s="253"/>
      <c r="BA957" s="253"/>
      <c r="BB957" s="253"/>
      <c r="BC957" s="253"/>
      <c r="BD957" s="252"/>
      <c r="BE957" s="253"/>
      <c r="BF957" s="253"/>
      <c r="BG957" s="253"/>
      <c r="BH957" s="253"/>
      <c r="BI957" s="260"/>
      <c r="BJ957" s="253"/>
      <c r="BK957" s="253"/>
      <c r="BL957" s="253"/>
      <c r="BM957" s="253"/>
      <c r="BN957" s="252"/>
      <c r="BO957" s="253"/>
      <c r="BP957" s="253"/>
      <c r="BQ957" s="253"/>
      <c r="BR957" s="253"/>
      <c r="BS957" s="252"/>
      <c r="BT957" s="252"/>
      <c r="BU957" s="252"/>
      <c r="BV957" s="252"/>
      <c r="BW957" s="223"/>
    </row>
    <row r="958" spans="1:75" s="224" customFormat="1" hidden="1" outlineLevel="2" x14ac:dyDescent="0.5">
      <c r="A958" s="223" t="s">
        <v>1009</v>
      </c>
      <c r="B958" s="487"/>
      <c r="C958" s="252"/>
      <c r="D958" s="252"/>
      <c r="E958" s="252">
        <v>6</v>
      </c>
      <c r="F958" s="252">
        <v>6</v>
      </c>
      <c r="G958" s="253"/>
      <c r="H958" s="253"/>
      <c r="I958" s="253"/>
      <c r="J958" s="253"/>
      <c r="K958" s="252">
        <v>3</v>
      </c>
      <c r="L958" s="253">
        <v>2</v>
      </c>
      <c r="M958" s="253">
        <v>1</v>
      </c>
      <c r="N958" s="253">
        <v>2</v>
      </c>
      <c r="O958" s="253">
        <v>3</v>
      </c>
      <c r="P958" s="252">
        <v>3</v>
      </c>
      <c r="Q958" s="253">
        <v>4</v>
      </c>
      <c r="R958" s="253">
        <v>4</v>
      </c>
      <c r="S958" s="253">
        <v>7</v>
      </c>
      <c r="T958" s="253">
        <v>9</v>
      </c>
      <c r="U958" s="252">
        <v>9</v>
      </c>
      <c r="V958" s="253">
        <v>8</v>
      </c>
      <c r="W958" s="253">
        <v>22</v>
      </c>
      <c r="X958" s="253">
        <v>26</v>
      </c>
      <c r="Y958" s="350">
        <v>24</v>
      </c>
      <c r="Z958" s="252">
        <v>24</v>
      </c>
      <c r="AA958" s="253">
        <v>21</v>
      </c>
      <c r="AB958" s="350">
        <v>22</v>
      </c>
      <c r="AC958" s="253">
        <v>8</v>
      </c>
      <c r="AD958" s="350">
        <v>5</v>
      </c>
      <c r="AE958" s="252">
        <v>5</v>
      </c>
      <c r="AF958" s="350">
        <v>6</v>
      </c>
      <c r="AG958" s="350">
        <v>9</v>
      </c>
      <c r="AH958" s="253">
        <v>10</v>
      </c>
      <c r="AI958" s="350">
        <v>9</v>
      </c>
      <c r="AJ958" s="252">
        <v>9</v>
      </c>
      <c r="AK958" s="253"/>
      <c r="AL958" s="253"/>
      <c r="AM958" s="253"/>
      <c r="AN958" s="253"/>
      <c r="AO958" s="252"/>
      <c r="AP958" s="253"/>
      <c r="AQ958" s="253"/>
      <c r="AR958" s="253"/>
      <c r="AS958" s="253"/>
      <c r="AT958" s="252"/>
      <c r="AU958" s="253"/>
      <c r="AV958" s="253"/>
      <c r="AW958" s="253"/>
      <c r="AX958" s="253"/>
      <c r="AY958" s="252"/>
      <c r="AZ958" s="253"/>
      <c r="BA958" s="253"/>
      <c r="BB958" s="253"/>
      <c r="BC958" s="253"/>
      <c r="BD958" s="252"/>
      <c r="BE958" s="253"/>
      <c r="BF958" s="253"/>
      <c r="BG958" s="253"/>
      <c r="BH958" s="253"/>
      <c r="BI958" s="260"/>
      <c r="BJ958" s="253"/>
      <c r="BK958" s="253"/>
      <c r="BL958" s="253"/>
      <c r="BM958" s="253"/>
      <c r="BN958" s="252"/>
      <c r="BO958" s="253"/>
      <c r="BP958" s="253"/>
      <c r="BQ958" s="253"/>
      <c r="BR958" s="253"/>
      <c r="BS958" s="252"/>
      <c r="BT958" s="252"/>
      <c r="BU958" s="252"/>
      <c r="BV958" s="252"/>
      <c r="BW958" s="223"/>
    </row>
    <row r="959" spans="1:75" s="573" customFormat="1" ht="14.25" hidden="1" outlineLevel="2" x14ac:dyDescent="0.45">
      <c r="A959" s="572" t="s">
        <v>1010</v>
      </c>
      <c r="B959" s="569"/>
      <c r="C959" s="567"/>
      <c r="D959" s="567">
        <v>7971.2258064516136</v>
      </c>
      <c r="E959" s="567">
        <v>10922.923833017079</v>
      </c>
      <c r="F959" s="567">
        <v>16220.512383183113</v>
      </c>
      <c r="G959" s="568">
        <v>4068.9929078014188</v>
      </c>
      <c r="H959" s="568">
        <v>5167.1714285714288</v>
      </c>
      <c r="I959" s="568">
        <v>5336.0857142857149</v>
      </c>
      <c r="J959" s="568">
        <v>6208.0285714285728</v>
      </c>
      <c r="K959" s="567">
        <v>21305.009129050843</v>
      </c>
      <c r="L959" s="568">
        <v>4755.6894720252785</v>
      </c>
      <c r="M959" s="568">
        <v>5871.6668528885448</v>
      </c>
      <c r="N959" s="568">
        <v>6573.1940358884904</v>
      </c>
      <c r="O959" s="568">
        <v>7880.6762878778145</v>
      </c>
      <c r="P959" s="567">
        <v>26200.849817585316</v>
      </c>
      <c r="Q959" s="568">
        <v>5522.8244871721863</v>
      </c>
      <c r="R959" s="568">
        <v>6940.752041856781</v>
      </c>
      <c r="S959" s="568">
        <v>7195.5106690498797</v>
      </c>
      <c r="T959" s="568">
        <v>8962.9779660841305</v>
      </c>
      <c r="U959" s="567">
        <v>29130.649736890926</v>
      </c>
      <c r="V959" s="568">
        <v>5963.8962337303446</v>
      </c>
      <c r="W959" s="568">
        <v>6893.2638484210747</v>
      </c>
      <c r="X959" s="568">
        <v>6839.1311658537697</v>
      </c>
      <c r="Y959" s="616">
        <v>7344.2899698951651</v>
      </c>
      <c r="Z959" s="567">
        <v>26801.825107530047</v>
      </c>
      <c r="AA959" s="568">
        <v>6717.5543877502432</v>
      </c>
      <c r="AB959" s="616">
        <v>7989.6969408447512</v>
      </c>
      <c r="AC959" s="568">
        <v>6406.2287092049473</v>
      </c>
      <c r="AD959" s="616">
        <v>6443.7751071414277</v>
      </c>
      <c r="AE959" s="567">
        <v>24537.482026211881</v>
      </c>
      <c r="AF959" s="616">
        <v>5576.1165082889747</v>
      </c>
      <c r="AG959" s="616">
        <v>7010.4898818971742</v>
      </c>
      <c r="AH959" s="568">
        <v>6752.0600938779071</v>
      </c>
      <c r="AI959" s="616">
        <v>7773.7741763561789</v>
      </c>
      <c r="AJ959" s="567">
        <v>27846.303701713034</v>
      </c>
      <c r="AK959" s="568"/>
      <c r="AL959" s="568"/>
      <c r="AM959" s="568"/>
      <c r="AN959" s="568"/>
      <c r="AO959" s="567"/>
      <c r="AP959" s="568"/>
      <c r="AQ959" s="568"/>
      <c r="AR959" s="568"/>
      <c r="AS959" s="568"/>
      <c r="AT959" s="567"/>
      <c r="AU959" s="568"/>
      <c r="AV959" s="568"/>
      <c r="AW959" s="568"/>
      <c r="AX959" s="568"/>
      <c r="AY959" s="567"/>
      <c r="AZ959" s="568"/>
      <c r="BA959" s="568"/>
      <c r="BB959" s="568"/>
      <c r="BC959" s="568"/>
      <c r="BD959" s="567"/>
      <c r="BE959" s="568"/>
      <c r="BF959" s="568"/>
      <c r="BG959" s="568"/>
      <c r="BH959" s="568"/>
      <c r="BI959" s="571"/>
      <c r="BJ959" s="568"/>
      <c r="BK959" s="568"/>
      <c r="BL959" s="568"/>
      <c r="BM959" s="568"/>
      <c r="BN959" s="567"/>
      <c r="BO959" s="568"/>
      <c r="BP959" s="568"/>
      <c r="BQ959" s="568"/>
      <c r="BR959" s="568"/>
      <c r="BS959" s="567"/>
      <c r="BT959" s="567"/>
      <c r="BU959" s="567"/>
      <c r="BV959" s="567"/>
      <c r="BW959" s="572"/>
    </row>
    <row r="960" spans="1:75" s="573" customFormat="1" ht="14.25" hidden="1" outlineLevel="2" x14ac:dyDescent="0.45">
      <c r="A960" s="572" t="s">
        <v>1011</v>
      </c>
      <c r="B960" s="569"/>
      <c r="C960" s="567"/>
      <c r="D960" s="567"/>
      <c r="E960" s="567">
        <v>6553.7542998102472</v>
      </c>
      <c r="F960" s="567">
        <v>9732.307429909868</v>
      </c>
      <c r="G960" s="568"/>
      <c r="H960" s="568"/>
      <c r="I960" s="568"/>
      <c r="J960" s="568"/>
      <c r="K960" s="567">
        <v>12783.005477430504</v>
      </c>
      <c r="L960" s="568">
        <v>2853.4136832151671</v>
      </c>
      <c r="M960" s="568">
        <v>3523.0001117331267</v>
      </c>
      <c r="N960" s="568">
        <v>3943.9164215330939</v>
      </c>
      <c r="O960" s="568">
        <v>4728.4057727266882</v>
      </c>
      <c r="P960" s="567">
        <v>15720.50989055119</v>
      </c>
      <c r="Q960" s="568">
        <v>3313.6946923033115</v>
      </c>
      <c r="R960" s="568">
        <v>4164.4512251140686</v>
      </c>
      <c r="S960" s="568">
        <v>4317.306401429928</v>
      </c>
      <c r="T960" s="568">
        <v>5377.7867796504779</v>
      </c>
      <c r="U960" s="567">
        <v>17478.389842134555</v>
      </c>
      <c r="V960" s="568">
        <v>3578.3377402382066</v>
      </c>
      <c r="W960" s="568">
        <v>4135.9583090526448</v>
      </c>
      <c r="X960" s="568">
        <v>4103.4786995122613</v>
      </c>
      <c r="Y960" s="616">
        <v>4406.5739819370992</v>
      </c>
      <c r="Z960" s="567">
        <v>16081.095064518027</v>
      </c>
      <c r="AA960" s="568">
        <v>4030.5326326501458</v>
      </c>
      <c r="AB960" s="616">
        <v>4793.8181645068507</v>
      </c>
      <c r="AC960" s="568">
        <v>3843.7372255229684</v>
      </c>
      <c r="AD960" s="616">
        <v>3866.2650642848566</v>
      </c>
      <c r="AE960" s="567">
        <v>14722.489215727128</v>
      </c>
      <c r="AF960" s="616">
        <v>3345.6699049733847</v>
      </c>
      <c r="AG960" s="616">
        <v>4206.2939291383045</v>
      </c>
      <c r="AH960" s="568">
        <v>4051.2360563267439</v>
      </c>
      <c r="AI960" s="616">
        <v>4664.2645058137068</v>
      </c>
      <c r="AJ960" s="567">
        <v>16707.782221027821</v>
      </c>
      <c r="AK960" s="568"/>
      <c r="AL960" s="568"/>
      <c r="AM960" s="568"/>
      <c r="AN960" s="568"/>
      <c r="AO960" s="567"/>
      <c r="AP960" s="568"/>
      <c r="AQ960" s="568"/>
      <c r="AR960" s="568"/>
      <c r="AS960" s="568"/>
      <c r="AT960" s="567"/>
      <c r="AU960" s="568"/>
      <c r="AV960" s="568"/>
      <c r="AW960" s="568"/>
      <c r="AX960" s="568"/>
      <c r="AY960" s="567"/>
      <c r="AZ960" s="568"/>
      <c r="BA960" s="568"/>
      <c r="BB960" s="568"/>
      <c r="BC960" s="568"/>
      <c r="BD960" s="567"/>
      <c r="BE960" s="568"/>
      <c r="BF960" s="568"/>
      <c r="BG960" s="568"/>
      <c r="BH960" s="568"/>
      <c r="BI960" s="571"/>
      <c r="BJ960" s="568"/>
      <c r="BK960" s="568"/>
      <c r="BL960" s="568"/>
      <c r="BM960" s="568"/>
      <c r="BN960" s="567"/>
      <c r="BO960" s="568"/>
      <c r="BP960" s="568"/>
      <c r="BQ960" s="568"/>
      <c r="BR960" s="568"/>
      <c r="BS960" s="567"/>
      <c r="BT960" s="567"/>
      <c r="BU960" s="567"/>
      <c r="BV960" s="567"/>
      <c r="BW960" s="572"/>
    </row>
    <row r="961" spans="1:75" s="217" customFormat="1" hidden="1" outlineLevel="2" x14ac:dyDescent="0.5">
      <c r="A961" s="216" t="s">
        <v>1012</v>
      </c>
      <c r="B961" s="422"/>
      <c r="C961" s="420"/>
      <c r="D961" s="420"/>
      <c r="E961" s="444">
        <v>0.6</v>
      </c>
      <c r="F961" s="444">
        <v>0.6</v>
      </c>
      <c r="G961" s="421"/>
      <c r="H961" s="421"/>
      <c r="I961" s="421"/>
      <c r="J961" s="421"/>
      <c r="K961" s="444">
        <v>0.6</v>
      </c>
      <c r="L961" s="617">
        <v>0.6</v>
      </c>
      <c r="M961" s="617">
        <v>0.6</v>
      </c>
      <c r="N961" s="617">
        <v>0.6</v>
      </c>
      <c r="O961" s="617">
        <v>0.6</v>
      </c>
      <c r="P961" s="444">
        <v>0.6</v>
      </c>
      <c r="Q961" s="617">
        <v>0.6</v>
      </c>
      <c r="R961" s="617">
        <v>0.6</v>
      </c>
      <c r="S961" s="617">
        <v>0.6</v>
      </c>
      <c r="T961" s="617">
        <v>0.6</v>
      </c>
      <c r="U961" s="444">
        <v>0.6</v>
      </c>
      <c r="V961" s="617">
        <v>0.6</v>
      </c>
      <c r="W961" s="617">
        <v>0.6</v>
      </c>
      <c r="X961" s="617">
        <v>0.6</v>
      </c>
      <c r="Y961" s="617">
        <v>0.6</v>
      </c>
      <c r="Z961" s="444">
        <v>0.6</v>
      </c>
      <c r="AA961" s="617">
        <v>0.6</v>
      </c>
      <c r="AB961" s="617">
        <v>0.6</v>
      </c>
      <c r="AC961" s="617">
        <v>0.6</v>
      </c>
      <c r="AD961" s="617">
        <v>0.6</v>
      </c>
      <c r="AE961" s="444">
        <v>0.6</v>
      </c>
      <c r="AF961" s="617">
        <v>0.6</v>
      </c>
      <c r="AG961" s="617">
        <v>0.6</v>
      </c>
      <c r="AH961" s="617">
        <v>0.6</v>
      </c>
      <c r="AI961" s="617">
        <v>0.6</v>
      </c>
      <c r="AJ961" s="444">
        <v>0.6</v>
      </c>
      <c r="AK961" s="421"/>
      <c r="AL961" s="421"/>
      <c r="AM961" s="421"/>
      <c r="AN961" s="421"/>
      <c r="AO961" s="420"/>
      <c r="AP961" s="421"/>
      <c r="AQ961" s="421"/>
      <c r="AR961" s="421"/>
      <c r="AS961" s="421"/>
      <c r="AT961" s="420"/>
      <c r="AU961" s="421"/>
      <c r="AV961" s="421"/>
      <c r="AW961" s="421"/>
      <c r="AX961" s="421"/>
      <c r="AY961" s="420"/>
      <c r="AZ961" s="421"/>
      <c r="BA961" s="421"/>
      <c r="BB961" s="421"/>
      <c r="BC961" s="421"/>
      <c r="BD961" s="420"/>
      <c r="BE961" s="421"/>
      <c r="BF961" s="421"/>
      <c r="BG961" s="421"/>
      <c r="BH961" s="421"/>
      <c r="BI961" s="442"/>
      <c r="BJ961" s="421"/>
      <c r="BK961" s="421"/>
      <c r="BL961" s="421"/>
      <c r="BM961" s="421"/>
      <c r="BN961" s="420"/>
      <c r="BO961" s="421"/>
      <c r="BP961" s="421"/>
      <c r="BQ961" s="421"/>
      <c r="BR961" s="421"/>
      <c r="BS961" s="420"/>
      <c r="BT961" s="420"/>
      <c r="BU961" s="420"/>
      <c r="BV961" s="420"/>
      <c r="BW961" s="216"/>
    </row>
    <row r="962" spans="1:75" s="169" customFormat="1" ht="14.25" hidden="1" outlineLevel="2" x14ac:dyDescent="0.45">
      <c r="A962" s="247"/>
      <c r="B962" s="247"/>
      <c r="C962" s="244"/>
      <c r="D962" s="244"/>
      <c r="E962" s="244"/>
      <c r="F962" s="244"/>
      <c r="G962" s="245"/>
      <c r="H962" s="245"/>
      <c r="I962" s="245"/>
      <c r="J962" s="245"/>
      <c r="K962" s="244"/>
      <c r="L962" s="245"/>
      <c r="M962" s="245"/>
      <c r="N962" s="245"/>
      <c r="O962" s="245"/>
      <c r="P962" s="244"/>
      <c r="Q962" s="245"/>
      <c r="R962" s="245"/>
      <c r="S962" s="245"/>
      <c r="T962" s="245"/>
      <c r="U962" s="244"/>
      <c r="V962" s="245"/>
      <c r="W962" s="245"/>
      <c r="X962" s="245"/>
      <c r="Y962" s="245"/>
      <c r="Z962" s="244"/>
      <c r="AA962" s="245"/>
      <c r="AB962" s="245"/>
      <c r="AC962" s="245"/>
      <c r="AD962" s="245"/>
      <c r="AE962" s="244"/>
      <c r="AF962" s="245"/>
      <c r="AG962" s="245"/>
      <c r="AH962" s="245"/>
      <c r="AI962" s="245"/>
      <c r="AJ962" s="244"/>
      <c r="AK962" s="245"/>
      <c r="AL962" s="245"/>
      <c r="AM962" s="245"/>
      <c r="AN962" s="245"/>
      <c r="AO962" s="244"/>
      <c r="AP962" s="245"/>
      <c r="AQ962" s="245"/>
      <c r="AR962" s="245"/>
      <c r="AS962" s="245"/>
      <c r="AT962" s="244"/>
      <c r="AU962" s="245"/>
      <c r="AV962" s="245"/>
      <c r="AW962" s="245"/>
      <c r="AX962" s="245"/>
      <c r="AY962" s="244"/>
      <c r="AZ962" s="245"/>
      <c r="BA962" s="245"/>
      <c r="BB962" s="245"/>
      <c r="BC962" s="245"/>
      <c r="BD962" s="244"/>
      <c r="BE962" s="245"/>
      <c r="BF962" s="245"/>
      <c r="BG962" s="245"/>
      <c r="BH962" s="245"/>
      <c r="BI962" s="249"/>
      <c r="BJ962" s="245"/>
      <c r="BK962" s="245"/>
      <c r="BL962" s="245"/>
      <c r="BM962" s="245"/>
      <c r="BN962" s="244"/>
      <c r="BO962" s="245"/>
      <c r="BP962" s="245"/>
      <c r="BQ962" s="245"/>
      <c r="BR962" s="245"/>
      <c r="BS962" s="244"/>
      <c r="BT962" s="244"/>
      <c r="BU962" s="244"/>
      <c r="BV962" s="244"/>
      <c r="BW962" s="168"/>
    </row>
    <row r="963" spans="1:75" s="620" customFormat="1" ht="14.25" hidden="1" outlineLevel="2" x14ac:dyDescent="0.45">
      <c r="A963" s="566" t="s">
        <v>1013</v>
      </c>
      <c r="B963" s="566"/>
      <c r="C963" s="618">
        <v>525</v>
      </c>
      <c r="D963" s="618">
        <v>635</v>
      </c>
      <c r="E963" s="618">
        <v>846</v>
      </c>
      <c r="F963" s="618">
        <v>1143</v>
      </c>
      <c r="G963" s="619">
        <v>284</v>
      </c>
      <c r="H963" s="619">
        <v>353</v>
      </c>
      <c r="I963" s="619">
        <v>364</v>
      </c>
      <c r="J963" s="568">
        <v>394</v>
      </c>
      <c r="K963" s="618">
        <v>1395</v>
      </c>
      <c r="L963" s="619">
        <v>297</v>
      </c>
      <c r="M963" s="619">
        <v>354</v>
      </c>
      <c r="N963" s="619">
        <v>375</v>
      </c>
      <c r="O963" s="568">
        <v>420.88007054673704</v>
      </c>
      <c r="P963" s="618">
        <v>1426</v>
      </c>
      <c r="Q963" s="619">
        <v>304</v>
      </c>
      <c r="R963" s="619">
        <v>393</v>
      </c>
      <c r="S963" s="619">
        <v>384</v>
      </c>
      <c r="T963" s="568">
        <v>435.56162246489851</v>
      </c>
      <c r="U963" s="618">
        <v>1463</v>
      </c>
      <c r="V963" s="619">
        <v>315</v>
      </c>
      <c r="W963" s="619">
        <v>354</v>
      </c>
      <c r="X963" s="619">
        <v>325</v>
      </c>
      <c r="Y963" s="568">
        <v>325.05985037406464</v>
      </c>
      <c r="Z963" s="618">
        <v>1271</v>
      </c>
      <c r="AA963" s="619">
        <v>284</v>
      </c>
      <c r="AB963" s="619">
        <v>327</v>
      </c>
      <c r="AC963" s="619">
        <v>329</v>
      </c>
      <c r="AD963" s="619">
        <v>322</v>
      </c>
      <c r="AE963" s="618">
        <v>1270</v>
      </c>
      <c r="AF963" s="619">
        <v>275</v>
      </c>
      <c r="AG963" s="619">
        <v>313</v>
      </c>
      <c r="AH963" s="619">
        <v>302</v>
      </c>
      <c r="AI963" s="619">
        <v>294</v>
      </c>
      <c r="AJ963" s="618">
        <v>1177</v>
      </c>
      <c r="AK963" s="568"/>
      <c r="AL963" s="568"/>
      <c r="AM963" s="568"/>
      <c r="AN963" s="568"/>
      <c r="AO963" s="567"/>
      <c r="AP963" s="568"/>
      <c r="AQ963" s="568"/>
      <c r="AR963" s="568"/>
      <c r="AS963" s="568"/>
      <c r="AT963" s="567"/>
      <c r="AU963" s="568"/>
      <c r="AV963" s="568"/>
      <c r="AW963" s="568"/>
      <c r="AX963" s="568"/>
      <c r="AY963" s="567"/>
      <c r="AZ963" s="568"/>
      <c r="BA963" s="568"/>
      <c r="BB963" s="568"/>
      <c r="BC963" s="568"/>
      <c r="BD963" s="567"/>
      <c r="BE963" s="568"/>
      <c r="BF963" s="568"/>
      <c r="BG963" s="568"/>
      <c r="BH963" s="568"/>
      <c r="BI963" s="571"/>
      <c r="BJ963" s="568"/>
      <c r="BK963" s="568"/>
      <c r="BL963" s="568"/>
      <c r="BM963" s="568"/>
      <c r="BN963" s="567"/>
      <c r="BO963" s="568"/>
      <c r="BP963" s="568"/>
      <c r="BQ963" s="568"/>
      <c r="BR963" s="568"/>
      <c r="BS963" s="567"/>
      <c r="BT963" s="567"/>
      <c r="BU963" s="567"/>
      <c r="BV963" s="567"/>
      <c r="BW963" s="572"/>
    </row>
    <row r="964" spans="1:75" s="392" customFormat="1" ht="14.25" hidden="1" outlineLevel="2" x14ac:dyDescent="0.45">
      <c r="A964" s="438" t="s">
        <v>1014</v>
      </c>
      <c r="B964" s="374"/>
      <c r="C964" s="375"/>
      <c r="D964" s="375">
        <v>0.20952380952380945</v>
      </c>
      <c r="E964" s="375">
        <v>0.33228346456692903</v>
      </c>
      <c r="F964" s="375">
        <v>0.35106382978723394</v>
      </c>
      <c r="G964" s="381"/>
      <c r="H964" s="381"/>
      <c r="I964" s="381"/>
      <c r="J964" s="381"/>
      <c r="K964" s="375">
        <v>0.22047244094488194</v>
      </c>
      <c r="L964" s="381">
        <v>4.5774647887323994E-2</v>
      </c>
      <c r="M964" s="381">
        <v>2.8328611898016387E-3</v>
      </c>
      <c r="N964" s="381">
        <v>3.0219780219780112E-2</v>
      </c>
      <c r="O964" s="381">
        <v>6.8223529306439268E-2</v>
      </c>
      <c r="P964" s="375">
        <v>2.2222222222222143E-2</v>
      </c>
      <c r="Q964" s="381">
        <v>2.3569023569023573E-2</v>
      </c>
      <c r="R964" s="381">
        <v>0.11016949152542366</v>
      </c>
      <c r="S964" s="381">
        <v>2.4000000000000021E-2</v>
      </c>
      <c r="T964" s="381">
        <v>3.4882981983655359E-2</v>
      </c>
      <c r="U964" s="375">
        <v>2.5946704067321136E-2</v>
      </c>
      <c r="V964" s="381">
        <v>3.6184210526315708E-2</v>
      </c>
      <c r="W964" s="381">
        <v>-9.92366412213741E-2</v>
      </c>
      <c r="X964" s="381">
        <v>-0.15364583333333337</v>
      </c>
      <c r="Y964" s="381">
        <v>-0.25369951435457128</v>
      </c>
      <c r="Z964" s="375">
        <v>-0.13123718386876282</v>
      </c>
      <c r="AA964" s="381">
        <v>-9.8412698412698396E-2</v>
      </c>
      <c r="AB964" s="381">
        <v>-7.6271186440677985E-2</v>
      </c>
      <c r="AC964" s="381">
        <v>1.2307692307692353E-2</v>
      </c>
      <c r="AD964" s="381">
        <v>-9.4131907417772664E-3</v>
      </c>
      <c r="AE964" s="375">
        <v>-7.8678206136895135E-4</v>
      </c>
      <c r="AF964" s="381">
        <v>-3.169014084507038E-2</v>
      </c>
      <c r="AG964" s="381">
        <v>-4.2813455657492394E-2</v>
      </c>
      <c r="AH964" s="381">
        <v>-8.2066869300911893E-2</v>
      </c>
      <c r="AI964" s="381">
        <v>-8.6956521739130488E-2</v>
      </c>
      <c r="AJ964" s="375">
        <v>-7.3228346456692961E-2</v>
      </c>
      <c r="AK964" s="381"/>
      <c r="AL964" s="381"/>
      <c r="AM964" s="381"/>
      <c r="AN964" s="381"/>
      <c r="AO964" s="375"/>
      <c r="AP964" s="381"/>
      <c r="AQ964" s="381"/>
      <c r="AR964" s="381"/>
      <c r="AS964" s="381"/>
      <c r="AT964" s="375"/>
      <c r="AU964" s="381"/>
      <c r="AV964" s="381"/>
      <c r="AW964" s="381"/>
      <c r="AX964" s="381"/>
      <c r="AY964" s="375"/>
      <c r="AZ964" s="381"/>
      <c r="BA964" s="381"/>
      <c r="BB964" s="381"/>
      <c r="BC964" s="381"/>
      <c r="BD964" s="375"/>
      <c r="BE964" s="381"/>
      <c r="BF964" s="381"/>
      <c r="BG964" s="381"/>
      <c r="BH964" s="381"/>
      <c r="BI964" s="379"/>
      <c r="BJ964" s="492"/>
      <c r="BK964" s="492"/>
      <c r="BL964" s="492"/>
      <c r="BM964" s="492"/>
      <c r="BN964" s="375"/>
      <c r="BO964" s="492"/>
      <c r="BP964" s="492"/>
      <c r="BQ964" s="492"/>
      <c r="BR964" s="492"/>
      <c r="BS964" s="375"/>
      <c r="BT964" s="375"/>
      <c r="BU964" s="375"/>
      <c r="BV964" s="375"/>
      <c r="BW964" s="176"/>
    </row>
    <row r="965" spans="1:75" s="621" customFormat="1" ht="14.25" hidden="1" outlineLevel="1" x14ac:dyDescent="0.45">
      <c r="A965" s="243"/>
      <c r="B965" s="243"/>
      <c r="C965" s="293"/>
      <c r="D965" s="293"/>
      <c r="E965" s="293"/>
      <c r="F965" s="293"/>
      <c r="G965" s="294"/>
      <c r="H965" s="294"/>
      <c r="I965" s="294"/>
      <c r="J965" s="294"/>
      <c r="K965" s="293"/>
      <c r="L965" s="294"/>
      <c r="M965" s="294"/>
      <c r="N965" s="294"/>
      <c r="O965" s="294"/>
      <c r="P965" s="293"/>
      <c r="Q965" s="294"/>
      <c r="R965" s="294"/>
      <c r="S965" s="294"/>
      <c r="T965" s="294"/>
      <c r="U965" s="293"/>
      <c r="V965" s="294"/>
      <c r="W965" s="294"/>
      <c r="X965" s="294"/>
      <c r="Y965" s="294"/>
      <c r="Z965" s="293"/>
      <c r="AA965" s="294"/>
      <c r="AB965" s="294"/>
      <c r="AC965" s="294"/>
      <c r="AD965" s="294"/>
      <c r="AE965" s="293"/>
      <c r="AF965" s="294"/>
      <c r="AG965" s="294"/>
      <c r="AH965" s="294"/>
      <c r="AI965" s="294"/>
      <c r="AJ965" s="293"/>
      <c r="AK965" s="294"/>
      <c r="AL965" s="294"/>
      <c r="AM965" s="294"/>
      <c r="AN965" s="294"/>
      <c r="AO965" s="293"/>
      <c r="AP965" s="294"/>
      <c r="AQ965" s="294"/>
      <c r="AR965" s="294"/>
      <c r="AS965" s="294"/>
      <c r="AT965" s="293"/>
      <c r="AU965" s="294"/>
      <c r="AV965" s="294"/>
      <c r="AW965" s="294"/>
      <c r="AX965" s="294"/>
      <c r="AY965" s="293"/>
      <c r="AZ965" s="294"/>
      <c r="BA965" s="294"/>
      <c r="BB965" s="294"/>
      <c r="BC965" s="294"/>
      <c r="BD965" s="293"/>
      <c r="BE965" s="294"/>
      <c r="BF965" s="294"/>
      <c r="BG965" s="294"/>
      <c r="BH965" s="294"/>
      <c r="BI965" s="297"/>
      <c r="BJ965" s="294"/>
      <c r="BK965" s="294"/>
      <c r="BL965" s="294"/>
      <c r="BM965" s="294"/>
      <c r="BN965" s="293"/>
      <c r="BO965" s="294"/>
      <c r="BP965" s="294"/>
      <c r="BQ965" s="294"/>
      <c r="BR965" s="294"/>
      <c r="BS965" s="293"/>
      <c r="BT965" s="293"/>
      <c r="BU965" s="293"/>
      <c r="BV965" s="293"/>
      <c r="BW965" s="197"/>
    </row>
    <row r="966" spans="1:75" s="198" customFormat="1" ht="14.25" hidden="1" outlineLevel="1" x14ac:dyDescent="0.45">
      <c r="A966" s="239" t="s">
        <v>1015</v>
      </c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  <c r="AA966" s="239"/>
      <c r="AB966" s="239"/>
      <c r="AC966" s="239"/>
      <c r="AD966" s="239"/>
      <c r="AE966" s="239"/>
      <c r="AF966" s="239"/>
      <c r="AG966" s="239"/>
      <c r="AH966" s="239"/>
      <c r="AI966" s="239"/>
      <c r="AJ966" s="239"/>
      <c r="AK966" s="239"/>
      <c r="AL966" s="239"/>
      <c r="AM966" s="239"/>
      <c r="AN966" s="239"/>
      <c r="AO966" s="239"/>
      <c r="AP966" s="239"/>
      <c r="AQ966" s="239"/>
      <c r="AR966" s="239"/>
      <c r="AS966" s="239"/>
      <c r="AT966" s="239"/>
      <c r="AU966" s="239"/>
      <c r="AV966" s="239"/>
      <c r="AW966" s="239"/>
      <c r="AX966" s="239"/>
      <c r="AY966" s="239"/>
      <c r="AZ966" s="239"/>
      <c r="BA966" s="239"/>
      <c r="BB966" s="239"/>
      <c r="BC966" s="239"/>
      <c r="BD966" s="239"/>
      <c r="BE966" s="239"/>
      <c r="BF966" s="239"/>
      <c r="BG966" s="239"/>
      <c r="BH966" s="239"/>
      <c r="BI966" s="241"/>
      <c r="BJ966" s="239"/>
      <c r="BK966" s="239"/>
      <c r="BL966" s="239"/>
      <c r="BM966" s="239"/>
      <c r="BN966" s="239"/>
      <c r="BO966" s="239"/>
      <c r="BP966" s="239"/>
      <c r="BQ966" s="239"/>
      <c r="BR966" s="239"/>
      <c r="BS966" s="239"/>
      <c r="BT966" s="239"/>
      <c r="BU966" s="239"/>
      <c r="BV966" s="239"/>
      <c r="BW966" s="197"/>
    </row>
    <row r="967" spans="1:75" s="123" customFormat="1" hidden="1" outlineLevel="1" x14ac:dyDescent="0.5">
      <c r="A967" s="541" t="s">
        <v>1016</v>
      </c>
      <c r="B967" s="118"/>
      <c r="C967" s="299"/>
      <c r="D967" s="299">
        <v>407.03500000000003</v>
      </c>
      <c r="E967" s="299">
        <v>490.68</v>
      </c>
      <c r="F967" s="299">
        <v>576.072</v>
      </c>
      <c r="G967" s="300">
        <v>144.84</v>
      </c>
      <c r="H967" s="300">
        <v>183.91300000000001</v>
      </c>
      <c r="I967" s="300">
        <v>189.64400000000001</v>
      </c>
      <c r="J967" s="300">
        <v>205.66800000000001</v>
      </c>
      <c r="K967" s="299">
        <v>728.19</v>
      </c>
      <c r="L967" s="300">
        <v>164.24100000000001</v>
      </c>
      <c r="M967" s="300">
        <v>196.82400000000001</v>
      </c>
      <c r="N967" s="300">
        <v>211.875</v>
      </c>
      <c r="O967" s="300">
        <v>238.6389999999999</v>
      </c>
      <c r="P967" s="622">
        <v>811.57899999999995</v>
      </c>
      <c r="Q967" s="300">
        <v>184.22399999999999</v>
      </c>
      <c r="R967" s="300">
        <v>237.76499999999999</v>
      </c>
      <c r="S967" s="300">
        <v>239.61600000000001</v>
      </c>
      <c r="T967" s="300">
        <v>279.19499999999994</v>
      </c>
      <c r="U967" s="622">
        <v>940.8</v>
      </c>
      <c r="V967" s="300">
        <v>228.07600000000002</v>
      </c>
      <c r="W967" s="300">
        <v>274.68599999999998</v>
      </c>
      <c r="X967" s="300">
        <v>270.8</v>
      </c>
      <c r="Y967" s="300">
        <v>260.69799999999987</v>
      </c>
      <c r="Z967" s="299">
        <v>1034.26</v>
      </c>
      <c r="AA967" s="300">
        <v>260.62399999999997</v>
      </c>
      <c r="AB967" s="300">
        <v>299.07399999999996</v>
      </c>
      <c r="AC967" s="300">
        <v>302.02199999999999</v>
      </c>
      <c r="AD967" s="300">
        <v>303.92200000000025</v>
      </c>
      <c r="AE967" s="299">
        <v>1165.6420000000001</v>
      </c>
      <c r="AF967" s="300">
        <v>271.31700000000001</v>
      </c>
      <c r="AG967" s="300">
        <v>323.983</v>
      </c>
      <c r="AH967" s="300">
        <v>323.21100000000001</v>
      </c>
      <c r="AI967" s="300">
        <v>314.59400000000011</v>
      </c>
      <c r="AJ967" s="299">
        <v>1233.105</v>
      </c>
      <c r="AK967" s="300"/>
      <c r="AL967" s="300"/>
      <c r="AM967" s="300"/>
      <c r="AN967" s="300"/>
      <c r="AO967" s="299"/>
      <c r="AP967" s="300"/>
      <c r="AQ967" s="300"/>
      <c r="AR967" s="300"/>
      <c r="AS967" s="300"/>
      <c r="AT967" s="299"/>
      <c r="AU967" s="300"/>
      <c r="AV967" s="300"/>
      <c r="AW967" s="300"/>
      <c r="AX967" s="300"/>
      <c r="AY967" s="299"/>
      <c r="AZ967" s="300"/>
      <c r="BA967" s="300"/>
      <c r="BB967" s="300"/>
      <c r="BC967" s="300"/>
      <c r="BD967" s="299"/>
      <c r="BE967" s="300"/>
      <c r="BF967" s="300"/>
      <c r="BG967" s="300"/>
      <c r="BH967" s="300"/>
      <c r="BI967" s="304"/>
      <c r="BJ967" s="300"/>
      <c r="BK967" s="300"/>
      <c r="BL967" s="300"/>
      <c r="BM967" s="300"/>
      <c r="BN967" s="299"/>
      <c r="BO967" s="300"/>
      <c r="BP967" s="300"/>
      <c r="BQ967" s="300"/>
      <c r="BR967" s="300"/>
      <c r="BS967" s="299"/>
      <c r="BT967" s="299"/>
      <c r="BU967" s="299"/>
      <c r="BV967" s="299"/>
      <c r="BW967" s="122"/>
    </row>
    <row r="968" spans="1:75" s="177" customFormat="1" ht="14.25" hidden="1" outlineLevel="1" x14ac:dyDescent="0.45">
      <c r="A968" s="623" t="s">
        <v>1017</v>
      </c>
      <c r="B968" s="378"/>
      <c r="C968" s="375"/>
      <c r="D968" s="375"/>
      <c r="E968" s="375">
        <v>0.20549829867210434</v>
      </c>
      <c r="F968" s="375">
        <v>0.17402787967718258</v>
      </c>
      <c r="G968" s="381"/>
      <c r="H968" s="381"/>
      <c r="I968" s="381"/>
      <c r="J968" s="381"/>
      <c r="K968" s="375">
        <v>0.26406074240719923</v>
      </c>
      <c r="L968" s="381">
        <v>0.1339478044739022</v>
      </c>
      <c r="M968" s="381">
        <v>7.0201671442475577E-2</v>
      </c>
      <c r="N968" s="381">
        <v>0.11722490561262155</v>
      </c>
      <c r="O968" s="381">
        <v>0.16031176459147689</v>
      </c>
      <c r="P968" s="380">
        <v>0.11451544239827505</v>
      </c>
      <c r="Q968" s="381">
        <v>0.12166876723838738</v>
      </c>
      <c r="R968" s="381">
        <v>0.20800816973539793</v>
      </c>
      <c r="S968" s="381">
        <v>0.13093097345132754</v>
      </c>
      <c r="T968" s="381">
        <v>0.16994707487041127</v>
      </c>
      <c r="U968" s="380">
        <v>0.15922171470676294</v>
      </c>
      <c r="V968" s="381">
        <v>0.23803630363036321</v>
      </c>
      <c r="W968" s="381">
        <v>0.15528357832313411</v>
      </c>
      <c r="X968" s="381">
        <v>0.13014155982905984</v>
      </c>
      <c r="Y968" s="381">
        <v>-6.6251186446748989E-2</v>
      </c>
      <c r="Z968" s="375">
        <v>9.9340986394557795E-2</v>
      </c>
      <c r="AA968" s="381">
        <v>0.14270681702590338</v>
      </c>
      <c r="AB968" s="381">
        <v>8.8785012705416388E-2</v>
      </c>
      <c r="AC968" s="381">
        <v>0.1152954209748891</v>
      </c>
      <c r="AD968" s="381">
        <v>0.1658010418185043</v>
      </c>
      <c r="AE968" s="375">
        <v>0.12702995378338144</v>
      </c>
      <c r="AF968" s="381">
        <v>4.1028454785438262E-2</v>
      </c>
      <c r="AG968" s="381">
        <v>8.3287079451908497E-2</v>
      </c>
      <c r="AH968" s="381">
        <v>7.0157140870532597E-2</v>
      </c>
      <c r="AI968" s="381">
        <v>3.5114272741031627E-2</v>
      </c>
      <c r="AJ968" s="375">
        <v>5.7876260464190477E-2</v>
      </c>
      <c r="AK968" s="381"/>
      <c r="AL968" s="381"/>
      <c r="AM968" s="381"/>
      <c r="AN968" s="381"/>
      <c r="AO968" s="375"/>
      <c r="AP968" s="381"/>
      <c r="AQ968" s="381"/>
      <c r="AR968" s="381"/>
      <c r="AS968" s="381"/>
      <c r="AT968" s="375"/>
      <c r="AU968" s="381"/>
      <c r="AV968" s="381"/>
      <c r="AW968" s="381"/>
      <c r="AX968" s="381"/>
      <c r="AY968" s="375"/>
      <c r="AZ968" s="381"/>
      <c r="BA968" s="381"/>
      <c r="BB968" s="381"/>
      <c r="BC968" s="381"/>
      <c r="BD968" s="375"/>
      <c r="BE968" s="381"/>
      <c r="BF968" s="381"/>
      <c r="BG968" s="381"/>
      <c r="BH968" s="381"/>
      <c r="BI968" s="379"/>
      <c r="BJ968" s="492"/>
      <c r="BK968" s="492"/>
      <c r="BL968" s="492"/>
      <c r="BM968" s="492"/>
      <c r="BN968" s="375"/>
      <c r="BO968" s="492"/>
      <c r="BP968" s="492"/>
      <c r="BQ968" s="492"/>
      <c r="BR968" s="492"/>
      <c r="BS968" s="375"/>
      <c r="BT968" s="375"/>
      <c r="BU968" s="375"/>
      <c r="BV968" s="375"/>
      <c r="BW968" s="176"/>
    </row>
    <row r="969" spans="1:75" s="123" customFormat="1" hidden="1" outlineLevel="1" x14ac:dyDescent="0.5">
      <c r="A969" s="541" t="s">
        <v>1018</v>
      </c>
      <c r="B969" s="118"/>
      <c r="C969" s="299"/>
      <c r="D969" s="299">
        <v>31.427999999999997</v>
      </c>
      <c r="E969" s="299">
        <v>43.730999999999938</v>
      </c>
      <c r="F969" s="299">
        <v>67.234000000000037</v>
      </c>
      <c r="G969" s="300">
        <v>14.472999999999985</v>
      </c>
      <c r="H969" s="300">
        <v>20.395999999999987</v>
      </c>
      <c r="I969" s="300">
        <v>22.305999999999983</v>
      </c>
      <c r="J969" s="300">
        <v>37.132000000000062</v>
      </c>
      <c r="K969" s="299">
        <v>90.181999999999903</v>
      </c>
      <c r="L969" s="300">
        <v>25.607999999999976</v>
      </c>
      <c r="M969" s="300">
        <v>25.151999999999987</v>
      </c>
      <c r="N969" s="300">
        <v>31.562000000000012</v>
      </c>
      <c r="O969" s="300">
        <v>39.27800000000002</v>
      </c>
      <c r="P969" s="622">
        <v>121.6</v>
      </c>
      <c r="Q969" s="300">
        <v>30.521000000000015</v>
      </c>
      <c r="R969" s="300">
        <v>30.686000000000035</v>
      </c>
      <c r="S969" s="300">
        <v>41.943999999999988</v>
      </c>
      <c r="T969" s="300">
        <v>39.648999999999972</v>
      </c>
      <c r="U969" s="622">
        <v>142.80000000000001</v>
      </c>
      <c r="V969" s="300">
        <v>28</v>
      </c>
      <c r="W969" s="300">
        <v>35.1</v>
      </c>
      <c r="X969" s="300">
        <v>36</v>
      </c>
      <c r="Y969" s="119">
        <v>45.5</v>
      </c>
      <c r="Z969" s="299">
        <v>144.6</v>
      </c>
      <c r="AA969" s="119">
        <v>56.1</v>
      </c>
      <c r="AB969" s="119">
        <v>51.1</v>
      </c>
      <c r="AC969" s="300">
        <v>41.2</v>
      </c>
      <c r="AD969" s="119">
        <v>57.299999999999983</v>
      </c>
      <c r="AE969" s="299">
        <v>205.7</v>
      </c>
      <c r="AF969" s="119">
        <v>43.2</v>
      </c>
      <c r="AG969" s="119">
        <v>37.9</v>
      </c>
      <c r="AH969" s="429">
        <v>47.2</v>
      </c>
      <c r="AI969" s="119">
        <v>50.699999999999989</v>
      </c>
      <c r="AJ969" s="299">
        <v>179</v>
      </c>
      <c r="AK969" s="119"/>
      <c r="AL969" s="119"/>
      <c r="AM969" s="300"/>
      <c r="AN969" s="119"/>
      <c r="AO969" s="299"/>
      <c r="AP969" s="119"/>
      <c r="AQ969" s="119"/>
      <c r="AR969" s="300"/>
      <c r="AS969" s="119"/>
      <c r="AT969" s="299"/>
      <c r="AU969" s="119"/>
      <c r="AV969" s="119"/>
      <c r="AW969" s="300"/>
      <c r="AX969" s="119"/>
      <c r="AY969" s="299"/>
      <c r="AZ969" s="119"/>
      <c r="BA969" s="119"/>
      <c r="BB969" s="300"/>
      <c r="BC969" s="119"/>
      <c r="BD969" s="299"/>
      <c r="BE969" s="119"/>
      <c r="BF969" s="119"/>
      <c r="BG969" s="300"/>
      <c r="BH969" s="119"/>
      <c r="BI969" s="304"/>
      <c r="BJ969" s="118"/>
      <c r="BK969" s="118"/>
      <c r="BL969" s="118"/>
      <c r="BM969" s="118"/>
      <c r="BN969" s="401"/>
      <c r="BO969" s="118"/>
      <c r="BP969" s="118"/>
      <c r="BQ969" s="118"/>
      <c r="BR969" s="118"/>
      <c r="BS969" s="401"/>
      <c r="BT969" s="401"/>
      <c r="BU969" s="401"/>
      <c r="BV969" s="401"/>
      <c r="BW969" s="122"/>
    </row>
    <row r="970" spans="1:75" s="177" customFormat="1" ht="14.25" hidden="1" outlineLevel="1" x14ac:dyDescent="0.45">
      <c r="A970" s="624" t="s">
        <v>1019</v>
      </c>
      <c r="B970" s="625"/>
      <c r="C970" s="626"/>
      <c r="D970" s="626"/>
      <c r="E970" s="626">
        <v>0.39146620847651592</v>
      </c>
      <c r="F970" s="626">
        <v>0.53744483318470038</v>
      </c>
      <c r="G970" s="627"/>
      <c r="H970" s="627"/>
      <c r="I970" s="627"/>
      <c r="J970" s="627"/>
      <c r="K970" s="626">
        <v>0.34131540589582432</v>
      </c>
      <c r="L970" s="627">
        <v>0.76936364264492529</v>
      </c>
      <c r="M970" s="627">
        <v>0.23318297705432456</v>
      </c>
      <c r="N970" s="627">
        <v>0.41495561732269515</v>
      </c>
      <c r="O970" s="627">
        <v>5.7793816654097663E-2</v>
      </c>
      <c r="P970" s="626">
        <v>0.34838437825730328</v>
      </c>
      <c r="Q970" s="627">
        <v>0.19185410809122327</v>
      </c>
      <c r="R970" s="627">
        <v>0.22002226463104524</v>
      </c>
      <c r="S970" s="627">
        <v>0.32893986439389056</v>
      </c>
      <c r="T970" s="627">
        <v>9.4454911146175657E-3</v>
      </c>
      <c r="U970" s="626">
        <v>0.17434210526315796</v>
      </c>
      <c r="V970" s="627">
        <v>-8.2598866354313905E-2</v>
      </c>
      <c r="W970" s="627">
        <v>0.14384409828586198</v>
      </c>
      <c r="X970" s="627">
        <v>-0.14171275987030307</v>
      </c>
      <c r="Y970" s="627">
        <v>0.14756992610154174</v>
      </c>
      <c r="Z970" s="626">
        <v>1.2605042016806678E-2</v>
      </c>
      <c r="AA970" s="627">
        <v>1.0035714285714286</v>
      </c>
      <c r="AB970" s="627">
        <v>0.45584045584045585</v>
      </c>
      <c r="AC970" s="627">
        <v>0.1444444444444446</v>
      </c>
      <c r="AD970" s="627">
        <v>0.25934065934065886</v>
      </c>
      <c r="AE970" s="626">
        <v>0.4225449515905948</v>
      </c>
      <c r="AF970" s="627">
        <v>-0.22994652406417104</v>
      </c>
      <c r="AG970" s="627">
        <v>-0.25831702544031321</v>
      </c>
      <c r="AH970" s="627">
        <v>0.14563106796116498</v>
      </c>
      <c r="AI970" s="627">
        <v>-0.11518324607329833</v>
      </c>
      <c r="AJ970" s="626">
        <v>-0.12980068060281957</v>
      </c>
      <c r="AK970" s="627"/>
      <c r="AL970" s="627"/>
      <c r="AM970" s="627"/>
      <c r="AN970" s="627"/>
      <c r="AO970" s="626"/>
      <c r="AP970" s="627"/>
      <c r="AQ970" s="627"/>
      <c r="AR970" s="627"/>
      <c r="AS970" s="627"/>
      <c r="AT970" s="626"/>
      <c r="AU970" s="627"/>
      <c r="AV970" s="627"/>
      <c r="AW970" s="627"/>
      <c r="AX970" s="627"/>
      <c r="AY970" s="626"/>
      <c r="AZ970" s="627"/>
      <c r="BA970" s="627"/>
      <c r="BB970" s="627"/>
      <c r="BC970" s="627"/>
      <c r="BD970" s="626"/>
      <c r="BE970" s="627"/>
      <c r="BF970" s="627"/>
      <c r="BG970" s="627"/>
      <c r="BH970" s="627"/>
      <c r="BI970" s="628"/>
      <c r="BJ970" s="627"/>
      <c r="BK970" s="627"/>
      <c r="BL970" s="627"/>
      <c r="BM970" s="627"/>
      <c r="BN970" s="626"/>
      <c r="BO970" s="627"/>
      <c r="BP970" s="627"/>
      <c r="BQ970" s="627"/>
      <c r="BR970" s="627"/>
      <c r="BS970" s="626"/>
      <c r="BT970" s="626"/>
      <c r="BU970" s="626"/>
      <c r="BV970" s="626"/>
      <c r="BW970" s="176"/>
    </row>
    <row r="971" spans="1:75" s="198" customFormat="1" ht="14.25" hidden="1" outlineLevel="1" x14ac:dyDescent="0.45">
      <c r="A971" s="629" t="s">
        <v>1020</v>
      </c>
      <c r="B971" s="277"/>
      <c r="C971" s="325"/>
      <c r="D971" s="630">
        <v>438.46300000000002</v>
      </c>
      <c r="E971" s="630">
        <v>534.41099999999994</v>
      </c>
      <c r="F971" s="630">
        <v>643.30600000000004</v>
      </c>
      <c r="G971" s="631">
        <v>159.31299999999999</v>
      </c>
      <c r="H971" s="631">
        <v>204.309</v>
      </c>
      <c r="I971" s="631">
        <v>211.95</v>
      </c>
      <c r="J971" s="326">
        <v>242.80000000000007</v>
      </c>
      <c r="K971" s="630">
        <v>818.37199999999996</v>
      </c>
      <c r="L971" s="631">
        <v>189.84899999999999</v>
      </c>
      <c r="M971" s="631">
        <v>221.976</v>
      </c>
      <c r="N971" s="631">
        <v>243.43700000000001</v>
      </c>
      <c r="O971" s="326">
        <v>277.91700000000003</v>
      </c>
      <c r="P971" s="630">
        <v>933.17899999999997</v>
      </c>
      <c r="Q971" s="631">
        <v>214.745</v>
      </c>
      <c r="R971" s="631">
        <v>268.45100000000002</v>
      </c>
      <c r="S971" s="631">
        <v>281.56</v>
      </c>
      <c r="T971" s="326">
        <v>318.84399999999982</v>
      </c>
      <c r="U971" s="630">
        <v>1083.5999999999999</v>
      </c>
      <c r="V971" s="631">
        <v>256.07600000000002</v>
      </c>
      <c r="W971" s="631">
        <v>309.786</v>
      </c>
      <c r="X971" s="631">
        <v>306.8</v>
      </c>
      <c r="Y971" s="327">
        <v>306.19799999999987</v>
      </c>
      <c r="Z971" s="632">
        <v>1178.8599999999999</v>
      </c>
      <c r="AA971" s="633">
        <v>316.72399999999999</v>
      </c>
      <c r="AB971" s="633">
        <v>350.17399999999998</v>
      </c>
      <c r="AC971" s="631">
        <v>343.22199999999998</v>
      </c>
      <c r="AD971" s="327">
        <v>361.22200000000021</v>
      </c>
      <c r="AE971" s="632">
        <v>1371.3420000000001</v>
      </c>
      <c r="AF971" s="633">
        <v>314.517</v>
      </c>
      <c r="AG971" s="633">
        <v>361.88299999999998</v>
      </c>
      <c r="AH971" s="631">
        <v>370.411</v>
      </c>
      <c r="AI971" s="327">
        <v>365.2940000000001</v>
      </c>
      <c r="AJ971" s="632">
        <v>1412.105</v>
      </c>
      <c r="AK971" s="327"/>
      <c r="AL971" s="327"/>
      <c r="AM971" s="326"/>
      <c r="AN971" s="327"/>
      <c r="AO971" s="518"/>
      <c r="AP971" s="327"/>
      <c r="AQ971" s="327"/>
      <c r="AR971" s="326"/>
      <c r="AS971" s="327"/>
      <c r="AT971" s="518"/>
      <c r="AU971" s="327"/>
      <c r="AV971" s="327"/>
      <c r="AW971" s="326"/>
      <c r="AX971" s="327"/>
      <c r="AY971" s="518"/>
      <c r="AZ971" s="327"/>
      <c r="BA971" s="327"/>
      <c r="BB971" s="326"/>
      <c r="BC971" s="327"/>
      <c r="BD971" s="518"/>
      <c r="BE971" s="327"/>
      <c r="BF971" s="327"/>
      <c r="BG971" s="326"/>
      <c r="BH971" s="327"/>
      <c r="BI971" s="525"/>
      <c r="BJ971" s="327"/>
      <c r="BK971" s="327"/>
      <c r="BL971" s="327"/>
      <c r="BM971" s="327"/>
      <c r="BN971" s="518"/>
      <c r="BO971" s="327"/>
      <c r="BP971" s="327"/>
      <c r="BQ971" s="327"/>
      <c r="BR971" s="327"/>
      <c r="BS971" s="518"/>
      <c r="BT971" s="518"/>
      <c r="BU971" s="518"/>
      <c r="BV971" s="518"/>
      <c r="BW971" s="400"/>
    </row>
    <row r="972" spans="1:75" s="177" customFormat="1" ht="14.25" hidden="1" outlineLevel="1" x14ac:dyDescent="0.45">
      <c r="A972" s="634" t="s">
        <v>1021</v>
      </c>
      <c r="B972" s="374"/>
      <c r="C972" s="375"/>
      <c r="D972" s="375"/>
      <c r="E972" s="375">
        <v>0.21882804250301602</v>
      </c>
      <c r="F972" s="375">
        <v>0.20376638953913773</v>
      </c>
      <c r="G972" s="381"/>
      <c r="H972" s="381"/>
      <c r="I972" s="381"/>
      <c r="J972" s="381"/>
      <c r="K972" s="375">
        <v>0.27213487826943927</v>
      </c>
      <c r="L972" s="381">
        <v>0.19167299592625842</v>
      </c>
      <c r="M972" s="381">
        <v>8.6471961587595292E-2</v>
      </c>
      <c r="N972" s="381">
        <v>0.14855862231658423</v>
      </c>
      <c r="O972" s="381">
        <v>0.1446334431630969</v>
      </c>
      <c r="P972" s="380">
        <v>0.14028705771947236</v>
      </c>
      <c r="Q972" s="381">
        <v>0.13113579739687875</v>
      </c>
      <c r="R972" s="381">
        <v>0.20936948138537503</v>
      </c>
      <c r="S972" s="381">
        <v>0.15660314578309786</v>
      </c>
      <c r="T972" s="381">
        <v>0.14726339158813517</v>
      </c>
      <c r="U972" s="380">
        <v>0.16119201139331252</v>
      </c>
      <c r="V972" s="381">
        <v>0.1924654823162355</v>
      </c>
      <c r="W972" s="381">
        <v>0.15397595836856626</v>
      </c>
      <c r="X972" s="381">
        <v>8.9643415257849135E-2</v>
      </c>
      <c r="Y972" s="378">
        <v>-3.9662029080051564E-2</v>
      </c>
      <c r="Z972" s="417">
        <v>8.7910668143226234E-2</v>
      </c>
      <c r="AA972" s="378">
        <v>0.23683593933051106</v>
      </c>
      <c r="AB972" s="378">
        <v>0.13037387099481568</v>
      </c>
      <c r="AC972" s="381">
        <v>0.11871577574967396</v>
      </c>
      <c r="AD972" s="378">
        <v>0.17970071652982833</v>
      </c>
      <c r="AE972" s="417">
        <v>0.16327808221502149</v>
      </c>
      <c r="AF972" s="176">
        <v>-6.9682120710776729E-3</v>
      </c>
      <c r="AG972" s="378">
        <v>3.3437662419254499E-2</v>
      </c>
      <c r="AH972" s="376">
        <v>7.9216949962415129E-2</v>
      </c>
      <c r="AI972" s="378">
        <v>1.1272846061424424E-2</v>
      </c>
      <c r="AJ972" s="417">
        <v>2.9724897217470181E-2</v>
      </c>
      <c r="AK972" s="378"/>
      <c r="AL972" s="378"/>
      <c r="AM972" s="381"/>
      <c r="AN972" s="378"/>
      <c r="AO972" s="417"/>
      <c r="AP972" s="378"/>
      <c r="AQ972" s="378"/>
      <c r="AR972" s="381"/>
      <c r="AS972" s="378"/>
      <c r="AT972" s="417"/>
      <c r="AU972" s="378"/>
      <c r="AV972" s="378"/>
      <c r="AW972" s="381"/>
      <c r="AX972" s="378"/>
      <c r="AY972" s="417"/>
      <c r="AZ972" s="378"/>
      <c r="BA972" s="378"/>
      <c r="BB972" s="381"/>
      <c r="BC972" s="378"/>
      <c r="BD972" s="417"/>
      <c r="BE972" s="378"/>
      <c r="BF972" s="378"/>
      <c r="BG972" s="381"/>
      <c r="BH972" s="378"/>
      <c r="BI972" s="418"/>
      <c r="BJ972" s="378"/>
      <c r="BK972" s="378"/>
      <c r="BL972" s="378"/>
      <c r="BM972" s="378"/>
      <c r="BN972" s="417"/>
      <c r="BO972" s="378"/>
      <c r="BP972" s="378"/>
      <c r="BQ972" s="378"/>
      <c r="BR972" s="378"/>
      <c r="BS972" s="417"/>
      <c r="BT972" s="417"/>
      <c r="BU972" s="417"/>
      <c r="BV972" s="417"/>
      <c r="BW972" s="176"/>
    </row>
    <row r="973" spans="1:75" s="198" customFormat="1" ht="14.25" hidden="1" outlineLevel="1" x14ac:dyDescent="0.45">
      <c r="A973" s="635" t="s">
        <v>1022</v>
      </c>
      <c r="B973" s="295"/>
      <c r="C973" s="293"/>
      <c r="D973" s="636">
        <v>334.28899999999999</v>
      </c>
      <c r="E973" s="636">
        <v>423.673</v>
      </c>
      <c r="F973" s="636">
        <v>549.74</v>
      </c>
      <c r="G973" s="637">
        <v>142.024</v>
      </c>
      <c r="H973" s="637">
        <v>177.78899999999999</v>
      </c>
      <c r="I973" s="637">
        <v>183.88200000000001</v>
      </c>
      <c r="J973" s="294">
        <v>228.89400000000006</v>
      </c>
      <c r="K973" s="636">
        <v>732.58900000000006</v>
      </c>
      <c r="L973" s="637">
        <v>176.405</v>
      </c>
      <c r="M973" s="637">
        <v>211.79</v>
      </c>
      <c r="N973" s="637">
        <v>241.238</v>
      </c>
      <c r="O973" s="294">
        <v>304.81000000000006</v>
      </c>
      <c r="P973" s="636">
        <v>934.24300000000005</v>
      </c>
      <c r="Q973" s="637">
        <v>207.7</v>
      </c>
      <c r="R973" s="637">
        <v>238.49100000000001</v>
      </c>
      <c r="S973" s="637">
        <v>250.851</v>
      </c>
      <c r="T973" s="294">
        <v>328.36399999999992</v>
      </c>
      <c r="U973" s="636">
        <v>1025.4059999999999</v>
      </c>
      <c r="V973" s="637">
        <v>199.38</v>
      </c>
      <c r="W973" s="637">
        <v>233.595</v>
      </c>
      <c r="X973" s="637">
        <v>242.52799999999999</v>
      </c>
      <c r="Y973" s="294">
        <v>280.50799999999992</v>
      </c>
      <c r="Z973" s="636">
        <v>956.01099999999997</v>
      </c>
      <c r="AA973" s="637">
        <v>245.35599999999999</v>
      </c>
      <c r="AB973" s="637">
        <v>265.15199999999999</v>
      </c>
      <c r="AC973" s="637">
        <v>249.251</v>
      </c>
      <c r="AD973" s="294">
        <v>309.07300000000009</v>
      </c>
      <c r="AE973" s="636">
        <v>1068.8320000000001</v>
      </c>
      <c r="AF973" s="638">
        <v>242.88900000000001</v>
      </c>
      <c r="AG973" s="637">
        <v>278.91500000000002</v>
      </c>
      <c r="AH973" s="637">
        <v>266.14699999999999</v>
      </c>
      <c r="AI973" s="294">
        <v>305.59699999999998</v>
      </c>
      <c r="AJ973" s="636">
        <v>1093.548</v>
      </c>
      <c r="AK973" s="295"/>
      <c r="AL973" s="294"/>
      <c r="AM973" s="294"/>
      <c r="AN973" s="294"/>
      <c r="AO973" s="293"/>
      <c r="AP973" s="295"/>
      <c r="AQ973" s="294"/>
      <c r="AR973" s="294"/>
      <c r="AS973" s="294"/>
      <c r="AT973" s="293"/>
      <c r="AU973" s="295"/>
      <c r="AV973" s="294"/>
      <c r="AW973" s="294"/>
      <c r="AX973" s="294"/>
      <c r="AY973" s="293"/>
      <c r="AZ973" s="295"/>
      <c r="BA973" s="294"/>
      <c r="BB973" s="294"/>
      <c r="BC973" s="294"/>
      <c r="BD973" s="293"/>
      <c r="BE973" s="295"/>
      <c r="BF973" s="294"/>
      <c r="BG973" s="294"/>
      <c r="BH973" s="294"/>
      <c r="BI973" s="297"/>
      <c r="BJ973" s="294"/>
      <c r="BK973" s="294"/>
      <c r="BL973" s="294"/>
      <c r="BM973" s="294"/>
      <c r="BN973" s="397"/>
      <c r="BO973" s="294"/>
      <c r="BP973" s="294"/>
      <c r="BQ973" s="294"/>
      <c r="BR973" s="294"/>
      <c r="BS973" s="397"/>
      <c r="BT973" s="397"/>
      <c r="BU973" s="397"/>
      <c r="BV973" s="397"/>
      <c r="BW973" s="400"/>
    </row>
    <row r="974" spans="1:75" s="177" customFormat="1" ht="14.25" hidden="1" outlineLevel="1" x14ac:dyDescent="0.45">
      <c r="A974" s="523" t="s">
        <v>1023</v>
      </c>
      <c r="B974" s="378"/>
      <c r="C974" s="375"/>
      <c r="D974" s="375"/>
      <c r="E974" s="375">
        <v>0.2673854060408809</v>
      </c>
      <c r="F974" s="375">
        <v>0.29755731424943299</v>
      </c>
      <c r="G974" s="381"/>
      <c r="H974" s="381"/>
      <c r="I974" s="381"/>
      <c r="J974" s="381"/>
      <c r="K974" s="375">
        <v>0.33260996107250707</v>
      </c>
      <c r="L974" s="381">
        <v>0.24207880358249301</v>
      </c>
      <c r="M974" s="381">
        <v>0.19124355275073257</v>
      </c>
      <c r="N974" s="381">
        <v>0.31191742530535893</v>
      </c>
      <c r="O974" s="381">
        <v>0.33166443856108052</v>
      </c>
      <c r="P974" s="380">
        <v>0.27526211832282499</v>
      </c>
      <c r="Q974" s="381">
        <v>0.17740426858649117</v>
      </c>
      <c r="R974" s="381">
        <v>0.12607299683648909</v>
      </c>
      <c r="S974" s="381">
        <v>3.9848614231588808E-2</v>
      </c>
      <c r="T974" s="381">
        <v>7.7274367638856534E-2</v>
      </c>
      <c r="U974" s="380">
        <v>9.7579537657761284E-2</v>
      </c>
      <c r="V974" s="381">
        <v>-4.005777563793933E-2</v>
      </c>
      <c r="W974" s="381">
        <v>-2.0529076568927218E-2</v>
      </c>
      <c r="X974" s="381">
        <v>-3.3179058484917423E-2</v>
      </c>
      <c r="Y974" s="381">
        <v>-0.14574070239124881</v>
      </c>
      <c r="Z974" s="375">
        <v>-6.7675632871272429E-2</v>
      </c>
      <c r="AA974" s="381">
        <v>0.23059484401645092</v>
      </c>
      <c r="AB974" s="381">
        <v>0.13509278880113018</v>
      </c>
      <c r="AC974" s="381">
        <v>2.7720510621453975E-2</v>
      </c>
      <c r="AD974" s="381">
        <v>0.10183310279920788</v>
      </c>
      <c r="AE974" s="375">
        <v>0.11801224044493219</v>
      </c>
      <c r="AF974" s="176">
        <v>-1.0054777547726546E-2</v>
      </c>
      <c r="AG974" s="381">
        <v>5.1906076514603106E-2</v>
      </c>
      <c r="AH974" s="376">
        <v>6.7787090122005456E-2</v>
      </c>
      <c r="AI974" s="381">
        <v>-1.1246533990352137E-2</v>
      </c>
      <c r="AJ974" s="375">
        <v>2.3124307655459253E-2</v>
      </c>
      <c r="AK974" s="378"/>
      <c r="AL974" s="381"/>
      <c r="AM974" s="381"/>
      <c r="AN974" s="381"/>
      <c r="AO974" s="375"/>
      <c r="AP974" s="378"/>
      <c r="AQ974" s="381"/>
      <c r="AR974" s="381"/>
      <c r="AS974" s="381"/>
      <c r="AT974" s="375"/>
      <c r="AU974" s="378"/>
      <c r="AV974" s="381"/>
      <c r="AW974" s="381"/>
      <c r="AX974" s="381"/>
      <c r="AY974" s="375"/>
      <c r="AZ974" s="378"/>
      <c r="BA974" s="381"/>
      <c r="BB974" s="381"/>
      <c r="BC974" s="381"/>
      <c r="BD974" s="375"/>
      <c r="BE974" s="378"/>
      <c r="BF974" s="381"/>
      <c r="BG974" s="381"/>
      <c r="BH974" s="381"/>
      <c r="BI974" s="379"/>
      <c r="BJ974" s="381"/>
      <c r="BK974" s="381"/>
      <c r="BL974" s="381"/>
      <c r="BM974" s="381"/>
      <c r="BN974" s="417"/>
      <c r="BO974" s="381"/>
      <c r="BP974" s="381"/>
      <c r="BQ974" s="381"/>
      <c r="BR974" s="381"/>
      <c r="BS974" s="417"/>
      <c r="BT974" s="417"/>
      <c r="BU974" s="417"/>
      <c r="BV974" s="417"/>
      <c r="BW974" s="176"/>
    </row>
    <row r="975" spans="1:75" s="198" customFormat="1" ht="14.25" hidden="1" outlineLevel="1" x14ac:dyDescent="0.45">
      <c r="A975" s="465" t="s">
        <v>187</v>
      </c>
      <c r="B975" s="277"/>
      <c r="C975" s="325"/>
      <c r="D975" s="639">
        <v>772.75199999999995</v>
      </c>
      <c r="E975" s="325">
        <v>958.08399999999995</v>
      </c>
      <c r="F975" s="630">
        <v>1193.046</v>
      </c>
      <c r="G975" s="326">
        <v>301.33699999999999</v>
      </c>
      <c r="H975" s="326">
        <v>382.09799999999996</v>
      </c>
      <c r="I975" s="326">
        <v>395.83199999999999</v>
      </c>
      <c r="J975" s="326">
        <v>471.69400000000013</v>
      </c>
      <c r="K975" s="325">
        <v>1550.961</v>
      </c>
      <c r="L975" s="326">
        <v>366.25400000000002</v>
      </c>
      <c r="M975" s="326">
        <v>433.76599999999996</v>
      </c>
      <c r="N975" s="326">
        <v>484.67500000000001</v>
      </c>
      <c r="O975" s="326">
        <v>582.72700000000009</v>
      </c>
      <c r="P975" s="639">
        <v>1867.422</v>
      </c>
      <c r="Q975" s="326">
        <v>422.44499999999999</v>
      </c>
      <c r="R975" s="326">
        <v>506.94200000000001</v>
      </c>
      <c r="S975" s="326">
        <v>532.41100000000006</v>
      </c>
      <c r="T975" s="326">
        <v>647.20799999999974</v>
      </c>
      <c r="U975" s="639">
        <v>2109.0059999999999</v>
      </c>
      <c r="V975" s="326">
        <v>455.45600000000002</v>
      </c>
      <c r="W975" s="326">
        <v>543.38099999999997</v>
      </c>
      <c r="X975" s="326">
        <v>549.32799999999997</v>
      </c>
      <c r="Y975" s="327">
        <v>586.70599999999979</v>
      </c>
      <c r="Z975" s="325">
        <v>2134.8710000000001</v>
      </c>
      <c r="AA975" s="327">
        <v>562.07999999999993</v>
      </c>
      <c r="AB975" s="327">
        <v>615.32600000000002</v>
      </c>
      <c r="AC975" s="326">
        <v>592.47299999999996</v>
      </c>
      <c r="AD975" s="327">
        <v>670.2950000000003</v>
      </c>
      <c r="AE975" s="325">
        <v>2440.174</v>
      </c>
      <c r="AF975" s="327">
        <v>557.40599999999995</v>
      </c>
      <c r="AG975" s="327">
        <v>640.798</v>
      </c>
      <c r="AH975" s="326">
        <v>636.55799999999999</v>
      </c>
      <c r="AI975" s="327">
        <v>670.89100000000008</v>
      </c>
      <c r="AJ975" s="325">
        <v>2505.6530000000002</v>
      </c>
      <c r="AK975" s="327"/>
      <c r="AL975" s="327"/>
      <c r="AM975" s="326"/>
      <c r="AN975" s="327"/>
      <c r="AO975" s="325"/>
      <c r="AP975" s="327"/>
      <c r="AQ975" s="327"/>
      <c r="AR975" s="326"/>
      <c r="AS975" s="327"/>
      <c r="AT975" s="325"/>
      <c r="AU975" s="327"/>
      <c r="AV975" s="327"/>
      <c r="AW975" s="326"/>
      <c r="AX975" s="327"/>
      <c r="AY975" s="325"/>
      <c r="AZ975" s="327"/>
      <c r="BA975" s="327"/>
      <c r="BB975" s="326"/>
      <c r="BC975" s="327"/>
      <c r="BD975" s="325"/>
      <c r="BE975" s="327"/>
      <c r="BF975" s="327"/>
      <c r="BG975" s="326"/>
      <c r="BH975" s="327"/>
      <c r="BI975" s="329"/>
      <c r="BJ975" s="327"/>
      <c r="BK975" s="327"/>
      <c r="BL975" s="327"/>
      <c r="BM975" s="327"/>
      <c r="BN975" s="325"/>
      <c r="BO975" s="327"/>
      <c r="BP975" s="327"/>
      <c r="BQ975" s="327"/>
      <c r="BR975" s="327"/>
      <c r="BS975" s="325"/>
      <c r="BT975" s="325"/>
      <c r="BU975" s="325"/>
      <c r="BV975" s="325"/>
      <c r="BW975" s="197"/>
    </row>
    <row r="976" spans="1:75" s="177" customFormat="1" ht="14.25" hidden="1" outlineLevel="1" x14ac:dyDescent="0.45">
      <c r="A976" s="170" t="s">
        <v>191</v>
      </c>
      <c r="B976" s="171"/>
      <c r="C976" s="172"/>
      <c r="D976" s="172"/>
      <c r="E976" s="172">
        <v>0.23983373708511913</v>
      </c>
      <c r="F976" s="172">
        <v>0.24524154458272984</v>
      </c>
      <c r="G976" s="173"/>
      <c r="H976" s="173"/>
      <c r="I976" s="173"/>
      <c r="J976" s="173"/>
      <c r="K976" s="172">
        <v>0.30000100582877764</v>
      </c>
      <c r="L976" s="173">
        <v>0.21542990074235835</v>
      </c>
      <c r="M976" s="173">
        <v>0.13522185407931997</v>
      </c>
      <c r="N976" s="173">
        <v>0.22444622971361583</v>
      </c>
      <c r="O976" s="173">
        <v>0.23539201261834997</v>
      </c>
      <c r="P976" s="172">
        <v>0.20404188113047339</v>
      </c>
      <c r="Q976" s="173">
        <v>0.15342085001119443</v>
      </c>
      <c r="R976" s="173">
        <v>0.16869925259241159</v>
      </c>
      <c r="S976" s="173">
        <v>9.8490741218342226E-2</v>
      </c>
      <c r="T976" s="173">
        <v>0.11065387394096993</v>
      </c>
      <c r="U976" s="172">
        <v>0.12936765230354985</v>
      </c>
      <c r="V976" s="173">
        <v>7.8142716803370815E-2</v>
      </c>
      <c r="W976" s="173">
        <v>7.18800178324146E-2</v>
      </c>
      <c r="X976" s="173">
        <v>3.1774324722817271E-2</v>
      </c>
      <c r="Y976" s="173">
        <v>-9.348153916515245E-2</v>
      </c>
      <c r="Z976" s="172">
        <v>1.2264071320802428E-2</v>
      </c>
      <c r="AA976" s="173">
        <v>0.23410384318133892</v>
      </c>
      <c r="AB976" s="173">
        <v>0.13240249475046073</v>
      </c>
      <c r="AC976" s="173">
        <v>7.8541417877843411E-2</v>
      </c>
      <c r="AD976" s="173">
        <v>0.14247169792025405</v>
      </c>
      <c r="AE976" s="172">
        <v>0.14300770397836682</v>
      </c>
      <c r="AF976" s="173">
        <v>-8.3155422715627259E-3</v>
      </c>
      <c r="AG976" s="173">
        <v>4.13959429635673E-2</v>
      </c>
      <c r="AH976" s="173">
        <v>7.4408454056134277E-2</v>
      </c>
      <c r="AI976" s="173">
        <v>8.8916074265776857E-4</v>
      </c>
      <c r="AJ976" s="172">
        <v>2.6833742183959064E-2</v>
      </c>
      <c r="AK976" s="173"/>
      <c r="AL976" s="173"/>
      <c r="AM976" s="173"/>
      <c r="AN976" s="173"/>
      <c r="AO976" s="172"/>
      <c r="AP976" s="173"/>
      <c r="AQ976" s="173"/>
      <c r="AR976" s="173"/>
      <c r="AS976" s="173"/>
      <c r="AT976" s="172"/>
      <c r="AU976" s="173"/>
      <c r="AV976" s="173"/>
      <c r="AW976" s="173"/>
      <c r="AX976" s="173"/>
      <c r="AY976" s="172"/>
      <c r="AZ976" s="173"/>
      <c r="BA976" s="173"/>
      <c r="BB976" s="173"/>
      <c r="BC976" s="173"/>
      <c r="BD976" s="172"/>
      <c r="BE976" s="173"/>
      <c r="BF976" s="173"/>
      <c r="BG976" s="173"/>
      <c r="BH976" s="173"/>
      <c r="BI976" s="174"/>
      <c r="BJ976" s="175"/>
      <c r="BK976" s="175"/>
      <c r="BL976" s="175"/>
      <c r="BM976" s="175"/>
      <c r="BN976" s="172"/>
      <c r="BO976" s="175"/>
      <c r="BP976" s="175"/>
      <c r="BQ976" s="175"/>
      <c r="BR976" s="175"/>
      <c r="BS976" s="172"/>
      <c r="BT976" s="172"/>
      <c r="BU976" s="172"/>
      <c r="BV976" s="172"/>
      <c r="BW976" s="176"/>
    </row>
    <row r="977" spans="1:75" s="198" customFormat="1" ht="14.25" hidden="1" outlineLevel="1" x14ac:dyDescent="0.45">
      <c r="A977" s="295"/>
      <c r="B977" s="295"/>
      <c r="C977" s="293"/>
      <c r="D977" s="293"/>
      <c r="E977" s="293"/>
      <c r="F977" s="293"/>
      <c r="G977" s="294"/>
      <c r="H977" s="294"/>
      <c r="I977" s="294"/>
      <c r="J977" s="294"/>
      <c r="K977" s="293"/>
      <c r="L977" s="294"/>
      <c r="M977" s="294"/>
      <c r="N977" s="294"/>
      <c r="O977" s="294"/>
      <c r="P977" s="293"/>
      <c r="Q977" s="294"/>
      <c r="R977" s="294"/>
      <c r="S977" s="294"/>
      <c r="T977" s="294"/>
      <c r="U977" s="293"/>
      <c r="V977" s="294"/>
      <c r="W977" s="294"/>
      <c r="X977" s="294"/>
      <c r="Y977" s="294"/>
      <c r="Z977" s="293"/>
      <c r="AA977" s="294"/>
      <c r="AB977" s="294"/>
      <c r="AC977" s="294"/>
      <c r="AD977" s="294"/>
      <c r="AE977" s="293"/>
      <c r="AF977" s="294"/>
      <c r="AG977" s="294"/>
      <c r="AH977" s="294"/>
      <c r="AI977" s="294"/>
      <c r="AJ977" s="293"/>
      <c r="AK977" s="294"/>
      <c r="AL977" s="294"/>
      <c r="AM977" s="294"/>
      <c r="AN977" s="294"/>
      <c r="AO977" s="293"/>
      <c r="AP977" s="294"/>
      <c r="AQ977" s="294"/>
      <c r="AR977" s="294"/>
      <c r="AS977" s="294"/>
      <c r="AT977" s="293"/>
      <c r="AU977" s="294"/>
      <c r="AV977" s="294"/>
      <c r="AW977" s="294"/>
      <c r="AX977" s="294"/>
      <c r="AY977" s="293"/>
      <c r="AZ977" s="294"/>
      <c r="BA977" s="294"/>
      <c r="BB977" s="294"/>
      <c r="BC977" s="294"/>
      <c r="BD977" s="293"/>
      <c r="BE977" s="294"/>
      <c r="BF977" s="294"/>
      <c r="BG977" s="294"/>
      <c r="BH977" s="294"/>
      <c r="BI977" s="297"/>
      <c r="BJ977" s="294"/>
      <c r="BK977" s="294"/>
      <c r="BL977" s="294"/>
      <c r="BM977" s="294"/>
      <c r="BN977" s="293"/>
      <c r="BO977" s="294"/>
      <c r="BP977" s="294"/>
      <c r="BQ977" s="294"/>
      <c r="BR977" s="294"/>
      <c r="BS977" s="293"/>
      <c r="BT977" s="293"/>
      <c r="BU977" s="293"/>
      <c r="BV977" s="293"/>
      <c r="BW977" s="197"/>
    </row>
    <row r="978" spans="1:75" s="217" customFormat="1" hidden="1" outlineLevel="1" x14ac:dyDescent="0.5">
      <c r="A978" s="640" t="s">
        <v>1024</v>
      </c>
      <c r="B978" s="422"/>
      <c r="C978" s="420"/>
      <c r="D978" s="420">
        <v>0.5267343209723172</v>
      </c>
      <c r="E978" s="420">
        <v>0.51214716037424701</v>
      </c>
      <c r="F978" s="420">
        <v>0.48285816305490314</v>
      </c>
      <c r="G978" s="421">
        <v>0.48065786810116251</v>
      </c>
      <c r="H978" s="421">
        <v>0.48132416291108571</v>
      </c>
      <c r="I978" s="421">
        <v>0.47910224539703716</v>
      </c>
      <c r="J978" s="421">
        <v>0.43601996209406935</v>
      </c>
      <c r="K978" s="420">
        <v>0.46950890447922289</v>
      </c>
      <c r="L978" s="421">
        <v>0.44843469286342269</v>
      </c>
      <c r="M978" s="421">
        <v>0.45375617268296736</v>
      </c>
      <c r="N978" s="421">
        <v>0.43714860473513178</v>
      </c>
      <c r="O978" s="421">
        <v>0.4095210964997329</v>
      </c>
      <c r="P978" s="420">
        <v>0.43459860706364173</v>
      </c>
      <c r="Q978" s="421">
        <v>0.43608990519475904</v>
      </c>
      <c r="R978" s="421">
        <v>0.46901815197793828</v>
      </c>
      <c r="S978" s="421">
        <v>0.45005831960646941</v>
      </c>
      <c r="T978" s="421">
        <v>0.43138372826046656</v>
      </c>
      <c r="U978" s="420">
        <v>0.44608692436152386</v>
      </c>
      <c r="V978" s="421">
        <v>0.5007640694161456</v>
      </c>
      <c r="W978" s="421">
        <v>0.50551270655396485</v>
      </c>
      <c r="X978" s="421">
        <v>0.49296595112573915</v>
      </c>
      <c r="Y978" s="421">
        <v>0.44434179981114896</v>
      </c>
      <c r="Z978" s="420">
        <v>0.48446018518214917</v>
      </c>
      <c r="AA978" s="421">
        <v>0.46367776828921148</v>
      </c>
      <c r="AB978" s="421">
        <v>0.48604154545720468</v>
      </c>
      <c r="AC978" s="421">
        <v>0.50976500194945595</v>
      </c>
      <c r="AD978" s="421">
        <v>0.45341528729887604</v>
      </c>
      <c r="AE978" s="420">
        <v>0.47768806650673273</v>
      </c>
      <c r="AF978" s="421">
        <v>0.48674933531393638</v>
      </c>
      <c r="AG978" s="421">
        <v>0.50559302619546254</v>
      </c>
      <c r="AH978" s="421">
        <v>0.50774791927836904</v>
      </c>
      <c r="AI978" s="421">
        <v>0.46891969038189524</v>
      </c>
      <c r="AJ978" s="420">
        <v>0.49212919745870631</v>
      </c>
      <c r="AK978" s="421"/>
      <c r="AL978" s="421"/>
      <c r="AM978" s="421"/>
      <c r="AN978" s="421"/>
      <c r="AO978" s="420"/>
      <c r="AP978" s="421"/>
      <c r="AQ978" s="421"/>
      <c r="AR978" s="421"/>
      <c r="AS978" s="421"/>
      <c r="AT978" s="420"/>
      <c r="AU978" s="421"/>
      <c r="AV978" s="421"/>
      <c r="AW978" s="421"/>
      <c r="AX978" s="421"/>
      <c r="AY978" s="420"/>
      <c r="AZ978" s="421"/>
      <c r="BA978" s="421"/>
      <c r="BB978" s="421"/>
      <c r="BC978" s="421"/>
      <c r="BD978" s="420"/>
      <c r="BE978" s="421"/>
      <c r="BF978" s="421"/>
      <c r="BG978" s="421"/>
      <c r="BH978" s="421"/>
      <c r="BI978" s="442"/>
      <c r="BJ978" s="421"/>
      <c r="BK978" s="421"/>
      <c r="BL978" s="421"/>
      <c r="BM978" s="421"/>
      <c r="BN978" s="420"/>
      <c r="BO978" s="421"/>
      <c r="BP978" s="421"/>
      <c r="BQ978" s="421"/>
      <c r="BR978" s="421"/>
      <c r="BS978" s="420"/>
      <c r="BT978" s="420"/>
      <c r="BU978" s="420"/>
      <c r="BV978" s="420"/>
      <c r="BW978" s="216"/>
    </row>
    <row r="979" spans="1:75" s="217" customFormat="1" hidden="1" outlineLevel="1" x14ac:dyDescent="0.5">
      <c r="A979" s="640" t="s">
        <v>1025</v>
      </c>
      <c r="B979" s="422"/>
      <c r="C979" s="420"/>
      <c r="D979" s="420">
        <v>4.0670227964469841E-2</v>
      </c>
      <c r="E979" s="420">
        <v>4.5644223262260863E-2</v>
      </c>
      <c r="F979" s="420">
        <v>5.6354910036997767E-2</v>
      </c>
      <c r="G979" s="421">
        <v>4.802928282952304E-2</v>
      </c>
      <c r="H979" s="421">
        <v>5.3378976074200828E-2</v>
      </c>
      <c r="I979" s="421">
        <v>5.63521898179025E-2</v>
      </c>
      <c r="J979" s="421">
        <v>7.8720526442990699E-2</v>
      </c>
      <c r="K979" s="420">
        <v>5.8145885035149114E-2</v>
      </c>
      <c r="L979" s="421">
        <v>6.9918690307819095E-2</v>
      </c>
      <c r="M979" s="421">
        <v>5.7985180950097491E-2</v>
      </c>
      <c r="N979" s="421">
        <v>6.5119925723422942E-2</v>
      </c>
      <c r="O979" s="421">
        <v>6.7403775695994886E-2</v>
      </c>
      <c r="P979" s="420">
        <v>6.5116508212926694E-2</v>
      </c>
      <c r="Q979" s="421">
        <v>7.2248458379197328E-2</v>
      </c>
      <c r="R979" s="421">
        <v>6.0531579549534337E-2</v>
      </c>
      <c r="S979" s="421">
        <v>7.8781242310921415E-2</v>
      </c>
      <c r="T979" s="421">
        <v>6.1261603688458718E-2</v>
      </c>
      <c r="U979" s="420">
        <v>6.7709622447731307E-2</v>
      </c>
      <c r="V979" s="421">
        <v>6.1476849574931498E-2</v>
      </c>
      <c r="W979" s="421">
        <v>6.4595560021421444E-2</v>
      </c>
      <c r="X979" s="421">
        <v>6.553461684094021E-2</v>
      </c>
      <c r="Y979" s="421">
        <v>7.7551618698291844E-2</v>
      </c>
      <c r="Z979" s="420">
        <v>6.7732429734630326E-2</v>
      </c>
      <c r="AA979" s="421">
        <v>9.9807856532877895E-2</v>
      </c>
      <c r="AB979" s="421">
        <v>8.3045410075309675E-2</v>
      </c>
      <c r="AC979" s="421">
        <v>6.9539033846268111E-2</v>
      </c>
      <c r="AD979" s="421">
        <v>8.5484749252194861E-2</v>
      </c>
      <c r="AE979" s="420">
        <v>8.4297267326018555E-2</v>
      </c>
      <c r="AF979" s="421">
        <v>7.7501856815319542E-2</v>
      </c>
      <c r="AG979" s="421">
        <v>5.9145003573669079E-2</v>
      </c>
      <c r="AH979" s="421">
        <v>7.4148781415047813E-2</v>
      </c>
      <c r="AI979" s="421">
        <v>7.5571143449532016E-2</v>
      </c>
      <c r="AJ979" s="420">
        <v>7.1438463346680484E-2</v>
      </c>
      <c r="AK979" s="421"/>
      <c r="AL979" s="421"/>
      <c r="AM979" s="421"/>
      <c r="AN979" s="421"/>
      <c r="AO979" s="420"/>
      <c r="AP979" s="421"/>
      <c r="AQ979" s="421"/>
      <c r="AR979" s="421"/>
      <c r="AS979" s="421"/>
      <c r="AT979" s="420"/>
      <c r="AU979" s="421"/>
      <c r="AV979" s="421"/>
      <c r="AW979" s="421"/>
      <c r="AX979" s="421"/>
      <c r="AY979" s="420"/>
      <c r="AZ979" s="421"/>
      <c r="BA979" s="421"/>
      <c r="BB979" s="421"/>
      <c r="BC979" s="421"/>
      <c r="BD979" s="420"/>
      <c r="BE979" s="421"/>
      <c r="BF979" s="421"/>
      <c r="BG979" s="421"/>
      <c r="BH979" s="421"/>
      <c r="BI979" s="442"/>
      <c r="BJ979" s="421"/>
      <c r="BK979" s="421"/>
      <c r="BL979" s="421"/>
      <c r="BM979" s="421"/>
      <c r="BN979" s="420"/>
      <c r="BO979" s="421"/>
      <c r="BP979" s="421"/>
      <c r="BQ979" s="421"/>
      <c r="BR979" s="421"/>
      <c r="BS979" s="420"/>
      <c r="BT979" s="420"/>
      <c r="BU979" s="420"/>
      <c r="BV979" s="420"/>
      <c r="BW979" s="216"/>
    </row>
    <row r="980" spans="1:75" s="217" customFormat="1" hidden="1" outlineLevel="1" x14ac:dyDescent="0.5">
      <c r="A980" s="641" t="s">
        <v>1026</v>
      </c>
      <c r="B980" s="642"/>
      <c r="C980" s="643"/>
      <c r="D980" s="643">
        <v>0.56740454893678705</v>
      </c>
      <c r="E980" s="643">
        <v>0.55779138363650782</v>
      </c>
      <c r="F980" s="643">
        <v>0.53921307309190092</v>
      </c>
      <c r="G980" s="644">
        <v>0.52868715093068552</v>
      </c>
      <c r="H980" s="644">
        <v>0.53470313898528654</v>
      </c>
      <c r="I980" s="644">
        <v>0.53545443521493963</v>
      </c>
      <c r="J980" s="644">
        <v>0.51474048853706</v>
      </c>
      <c r="K980" s="643">
        <v>0.52765478951437195</v>
      </c>
      <c r="L980" s="644">
        <v>0.5183533831712418</v>
      </c>
      <c r="M980" s="644">
        <v>0.51174135363306483</v>
      </c>
      <c r="N980" s="644">
        <v>0.50226853045855469</v>
      </c>
      <c r="O980" s="644">
        <v>0.47692487219572777</v>
      </c>
      <c r="P980" s="643">
        <v>0.49971511527656842</v>
      </c>
      <c r="Q980" s="644">
        <v>0.50833836357395634</v>
      </c>
      <c r="R980" s="644">
        <v>0.52954973152747264</v>
      </c>
      <c r="S980" s="644">
        <v>0.52883956191739079</v>
      </c>
      <c r="T980" s="644">
        <v>0.49264533194892529</v>
      </c>
      <c r="U980" s="643">
        <v>0.51379654680925513</v>
      </c>
      <c r="V980" s="644">
        <v>0.56224091899107709</v>
      </c>
      <c r="W980" s="644">
        <v>0.57010826657538627</v>
      </c>
      <c r="X980" s="644">
        <v>0.55850056796667935</v>
      </c>
      <c r="Y980" s="644">
        <v>0.52189341850944082</v>
      </c>
      <c r="Z980" s="643">
        <v>0.55219261491677951</v>
      </c>
      <c r="AA980" s="644">
        <v>0.56348562482208941</v>
      </c>
      <c r="AB980" s="644">
        <v>0.56908695553251432</v>
      </c>
      <c r="AC980" s="644">
        <v>0.57930403579572409</v>
      </c>
      <c r="AD980" s="644">
        <v>0.53890003655107088</v>
      </c>
      <c r="AE980" s="643">
        <v>0.56198533383275129</v>
      </c>
      <c r="AF980" s="644">
        <v>0.5642511921292559</v>
      </c>
      <c r="AG980" s="644">
        <v>0.56473802976913157</v>
      </c>
      <c r="AH980" s="644">
        <v>0.58189670069341681</v>
      </c>
      <c r="AI980" s="644">
        <v>0.54449083383142727</v>
      </c>
      <c r="AJ980" s="643">
        <v>0.56356766080538678</v>
      </c>
      <c r="AK980" s="644"/>
      <c r="AL980" s="644"/>
      <c r="AM980" s="644"/>
      <c r="AN980" s="644"/>
      <c r="AO980" s="643"/>
      <c r="AP980" s="644"/>
      <c r="AQ980" s="644"/>
      <c r="AR980" s="644"/>
      <c r="AS980" s="644"/>
      <c r="AT980" s="643"/>
      <c r="AU980" s="644"/>
      <c r="AV980" s="644"/>
      <c r="AW980" s="644"/>
      <c r="AX980" s="644"/>
      <c r="AY980" s="643"/>
      <c r="AZ980" s="644"/>
      <c r="BA980" s="644"/>
      <c r="BB980" s="644"/>
      <c r="BC980" s="644"/>
      <c r="BD980" s="643"/>
      <c r="BE980" s="644"/>
      <c r="BF980" s="644"/>
      <c r="BG980" s="644"/>
      <c r="BH980" s="644"/>
      <c r="BI980" s="645"/>
      <c r="BJ980" s="644"/>
      <c r="BK980" s="644"/>
      <c r="BL980" s="644"/>
      <c r="BM980" s="644"/>
      <c r="BN980" s="643"/>
      <c r="BO980" s="644"/>
      <c r="BP980" s="644"/>
      <c r="BQ980" s="644"/>
      <c r="BR980" s="644"/>
      <c r="BS980" s="643"/>
      <c r="BT980" s="643"/>
      <c r="BU980" s="643"/>
      <c r="BV980" s="643"/>
      <c r="BW980" s="216"/>
    </row>
    <row r="981" spans="1:75" s="217" customFormat="1" hidden="1" outlineLevel="1" x14ac:dyDescent="0.5">
      <c r="A981" s="526" t="s">
        <v>1027</v>
      </c>
      <c r="B981" s="422"/>
      <c r="C981" s="420"/>
      <c r="D981" s="420">
        <v>0.43259545106321307</v>
      </c>
      <c r="E981" s="420">
        <v>0.44220861636349218</v>
      </c>
      <c r="F981" s="420">
        <v>0.46078692690809908</v>
      </c>
      <c r="G981" s="421">
        <v>0.47131284906931442</v>
      </c>
      <c r="H981" s="421">
        <v>0.46529686101471351</v>
      </c>
      <c r="I981" s="421">
        <v>0.46454556478506037</v>
      </c>
      <c r="J981" s="421">
        <v>0.48525951146293994</v>
      </c>
      <c r="K981" s="420">
        <v>0.472345210485628</v>
      </c>
      <c r="L981" s="421">
        <v>0.48164661682875815</v>
      </c>
      <c r="M981" s="421">
        <v>0.48825864636693517</v>
      </c>
      <c r="N981" s="421">
        <v>0.49773146954144526</v>
      </c>
      <c r="O981" s="421">
        <v>0.52307512780427201</v>
      </c>
      <c r="P981" s="420">
        <v>0.50028488472343158</v>
      </c>
      <c r="Q981" s="421">
        <v>0.4916616364260436</v>
      </c>
      <c r="R981" s="421">
        <v>0.47045026847252747</v>
      </c>
      <c r="S981" s="421">
        <v>0.47116043808260905</v>
      </c>
      <c r="T981" s="421">
        <v>0.50735466805107488</v>
      </c>
      <c r="U981" s="420">
        <v>0.48620345319074482</v>
      </c>
      <c r="V981" s="421">
        <v>0.43775908100892291</v>
      </c>
      <c r="W981" s="421">
        <v>0.42989173342461368</v>
      </c>
      <c r="X981" s="421">
        <v>0.4414994320333207</v>
      </c>
      <c r="Y981" s="421">
        <v>0.47810658149055918</v>
      </c>
      <c r="Z981" s="420">
        <v>0.44780738508322043</v>
      </c>
      <c r="AA981" s="421">
        <v>0.43651437517791064</v>
      </c>
      <c r="AB981" s="421">
        <v>0.43091304446748552</v>
      </c>
      <c r="AC981" s="421">
        <v>0.42069596420427602</v>
      </c>
      <c r="AD981" s="421">
        <v>0.46109996344892912</v>
      </c>
      <c r="AE981" s="420">
        <v>0.43801466616724877</v>
      </c>
      <c r="AF981" s="421">
        <v>0.43574880787074416</v>
      </c>
      <c r="AG981" s="421">
        <v>0.43526197023086843</v>
      </c>
      <c r="AH981" s="421">
        <v>0.41810329930658319</v>
      </c>
      <c r="AI981" s="421">
        <v>0.45550916616857273</v>
      </c>
      <c r="AJ981" s="420">
        <v>0.43643233919461311</v>
      </c>
      <c r="AK981" s="421"/>
      <c r="AL981" s="421"/>
      <c r="AM981" s="421"/>
      <c r="AN981" s="421"/>
      <c r="AO981" s="420"/>
      <c r="AP981" s="421"/>
      <c r="AQ981" s="421"/>
      <c r="AR981" s="421"/>
      <c r="AS981" s="421"/>
      <c r="AT981" s="420"/>
      <c r="AU981" s="421"/>
      <c r="AV981" s="421"/>
      <c r="AW981" s="421"/>
      <c r="AX981" s="421"/>
      <c r="AY981" s="420"/>
      <c r="AZ981" s="421"/>
      <c r="BA981" s="421"/>
      <c r="BB981" s="421"/>
      <c r="BC981" s="421"/>
      <c r="BD981" s="420"/>
      <c r="BE981" s="421"/>
      <c r="BF981" s="421"/>
      <c r="BG981" s="421"/>
      <c r="BH981" s="421"/>
      <c r="BI981" s="442"/>
      <c r="BJ981" s="421"/>
      <c r="BK981" s="421"/>
      <c r="BL981" s="421"/>
      <c r="BM981" s="421"/>
      <c r="BN981" s="420"/>
      <c r="BO981" s="421"/>
      <c r="BP981" s="421"/>
      <c r="BQ981" s="421"/>
      <c r="BR981" s="421"/>
      <c r="BS981" s="420"/>
      <c r="BT981" s="420"/>
      <c r="BU981" s="420"/>
      <c r="BV981" s="420"/>
      <c r="BW981" s="216"/>
    </row>
    <row r="982" spans="1:75" s="162" customFormat="1" ht="14.25" hidden="1" outlineLevel="1" x14ac:dyDescent="0.45">
      <c r="A982" s="480" t="s">
        <v>675</v>
      </c>
      <c r="B982" s="480"/>
      <c r="C982" s="478"/>
      <c r="D982" s="478">
        <v>1</v>
      </c>
      <c r="E982" s="478">
        <v>1</v>
      </c>
      <c r="F982" s="478">
        <v>1</v>
      </c>
      <c r="G982" s="479">
        <v>1</v>
      </c>
      <c r="H982" s="479">
        <v>1</v>
      </c>
      <c r="I982" s="479">
        <v>1</v>
      </c>
      <c r="J982" s="479">
        <v>1</v>
      </c>
      <c r="K982" s="478">
        <v>1</v>
      </c>
      <c r="L982" s="479">
        <v>1</v>
      </c>
      <c r="M982" s="479">
        <v>1</v>
      </c>
      <c r="N982" s="479">
        <v>1</v>
      </c>
      <c r="O982" s="479">
        <v>0.99999999999999978</v>
      </c>
      <c r="P982" s="478">
        <v>1</v>
      </c>
      <c r="Q982" s="479">
        <v>1</v>
      </c>
      <c r="R982" s="479">
        <v>1</v>
      </c>
      <c r="S982" s="479">
        <v>0.99999999999999978</v>
      </c>
      <c r="T982" s="479">
        <v>1.0000000000000002</v>
      </c>
      <c r="U982" s="478">
        <v>1</v>
      </c>
      <c r="V982" s="479">
        <v>1</v>
      </c>
      <c r="W982" s="479">
        <v>1</v>
      </c>
      <c r="X982" s="479">
        <v>1</v>
      </c>
      <c r="Y982" s="479">
        <v>1</v>
      </c>
      <c r="Z982" s="478">
        <v>1</v>
      </c>
      <c r="AA982" s="479">
        <v>1</v>
      </c>
      <c r="AB982" s="479">
        <v>0.99999999999999978</v>
      </c>
      <c r="AC982" s="479">
        <v>1</v>
      </c>
      <c r="AD982" s="479">
        <v>1</v>
      </c>
      <c r="AE982" s="478">
        <v>1</v>
      </c>
      <c r="AF982" s="479">
        <v>1</v>
      </c>
      <c r="AG982" s="479">
        <v>1</v>
      </c>
      <c r="AH982" s="479">
        <v>1</v>
      </c>
      <c r="AI982" s="479">
        <v>1</v>
      </c>
      <c r="AJ982" s="478">
        <v>0.99999999999999989</v>
      </c>
      <c r="AK982" s="479"/>
      <c r="AL982" s="479"/>
      <c r="AM982" s="479"/>
      <c r="AN982" s="479"/>
      <c r="AO982" s="478"/>
      <c r="AP982" s="479"/>
      <c r="AQ982" s="479"/>
      <c r="AR982" s="479"/>
      <c r="AS982" s="479"/>
      <c r="AT982" s="478"/>
      <c r="AU982" s="479"/>
      <c r="AV982" s="479"/>
      <c r="AW982" s="479"/>
      <c r="AX982" s="479"/>
      <c r="AY982" s="478"/>
      <c r="AZ982" s="479"/>
      <c r="BA982" s="479"/>
      <c r="BB982" s="479"/>
      <c r="BC982" s="479"/>
      <c r="BD982" s="478"/>
      <c r="BE982" s="479"/>
      <c r="BF982" s="479"/>
      <c r="BG982" s="479"/>
      <c r="BH982" s="479"/>
      <c r="BI982" s="481"/>
      <c r="BJ982" s="479"/>
      <c r="BK982" s="479"/>
      <c r="BL982" s="479"/>
      <c r="BM982" s="479"/>
      <c r="BN982" s="478"/>
      <c r="BO982" s="479"/>
      <c r="BP982" s="479"/>
      <c r="BQ982" s="479"/>
      <c r="BR982" s="479"/>
      <c r="BS982" s="478"/>
      <c r="BT982" s="478"/>
      <c r="BU982" s="478"/>
      <c r="BV982" s="478"/>
      <c r="BW982" s="161"/>
    </row>
    <row r="983" spans="1:75" s="198" customFormat="1" ht="14.25" collapsed="1" x14ac:dyDescent="0.45">
      <c r="A983" s="295"/>
      <c r="B983" s="295"/>
      <c r="C983" s="293"/>
      <c r="D983" s="293"/>
      <c r="E983" s="293"/>
      <c r="F983" s="293"/>
      <c r="G983" s="294"/>
      <c r="H983" s="294"/>
      <c r="I983" s="294"/>
      <c r="J983" s="294"/>
      <c r="K983" s="293"/>
      <c r="L983" s="294"/>
      <c r="M983" s="294"/>
      <c r="N983" s="294"/>
      <c r="O983" s="294"/>
      <c r="P983" s="293"/>
      <c r="Q983" s="294"/>
      <c r="R983" s="294"/>
      <c r="S983" s="294"/>
      <c r="T983" s="294"/>
      <c r="U983" s="293"/>
      <c r="V983" s="294"/>
      <c r="W983" s="294"/>
      <c r="X983" s="294"/>
      <c r="Y983" s="294"/>
      <c r="Z983" s="293"/>
      <c r="AA983" s="294"/>
      <c r="AB983" s="294"/>
      <c r="AC983" s="294"/>
      <c r="AD983" s="294"/>
      <c r="AE983" s="293"/>
      <c r="AF983" s="294"/>
      <c r="AG983" s="294"/>
      <c r="AH983" s="294"/>
      <c r="AI983" s="294"/>
      <c r="AJ983" s="293"/>
      <c r="AK983" s="294"/>
      <c r="AL983" s="294"/>
      <c r="AM983" s="294"/>
      <c r="AN983" s="294"/>
      <c r="AO983" s="293"/>
      <c r="AP983" s="294"/>
      <c r="AQ983" s="294"/>
      <c r="AR983" s="294"/>
      <c r="AS983" s="294"/>
      <c r="AT983" s="293"/>
      <c r="AU983" s="294"/>
      <c r="AV983" s="294"/>
      <c r="AW983" s="294"/>
      <c r="AX983" s="294"/>
      <c r="AY983" s="293"/>
      <c r="AZ983" s="294"/>
      <c r="BA983" s="294"/>
      <c r="BB983" s="294"/>
      <c r="BC983" s="294"/>
      <c r="BD983" s="293"/>
      <c r="BE983" s="294"/>
      <c r="BF983" s="294"/>
      <c r="BG983" s="294"/>
      <c r="BH983" s="294"/>
      <c r="BI983" s="297"/>
      <c r="BJ983" s="294"/>
      <c r="BK983" s="294"/>
      <c r="BL983" s="294"/>
      <c r="BM983" s="294"/>
      <c r="BN983" s="293"/>
      <c r="BO983" s="294"/>
      <c r="BP983" s="294"/>
      <c r="BQ983" s="294"/>
      <c r="BR983" s="294"/>
      <c r="BS983" s="293"/>
      <c r="BT983" s="293"/>
      <c r="BU983" s="293"/>
      <c r="BV983" s="293"/>
      <c r="BW983" s="197"/>
    </row>
    <row r="984" spans="1:75" s="162" customFormat="1" ht="14.25" x14ac:dyDescent="0.45">
      <c r="A984" s="159" t="s">
        <v>1028</v>
      </c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  <c r="AG984" s="159"/>
      <c r="AH984" s="159"/>
      <c r="AI984" s="159"/>
      <c r="AJ984" s="159"/>
      <c r="AK984" s="159"/>
      <c r="AL984" s="159"/>
      <c r="AM984" s="159"/>
      <c r="AN984" s="159"/>
      <c r="AO984" s="159"/>
      <c r="AP984" s="159"/>
      <c r="AQ984" s="159"/>
      <c r="AR984" s="159"/>
      <c r="AS984" s="159"/>
      <c r="AT984" s="159"/>
      <c r="AU984" s="159"/>
      <c r="AV984" s="159"/>
      <c r="AW984" s="159"/>
      <c r="AX984" s="159"/>
      <c r="AY984" s="159"/>
      <c r="AZ984" s="159"/>
      <c r="BA984" s="159"/>
      <c r="BB984" s="159"/>
      <c r="BC984" s="159"/>
      <c r="BD984" s="159"/>
      <c r="BE984" s="159"/>
      <c r="BF984" s="159"/>
      <c r="BG984" s="159"/>
      <c r="BH984" s="159"/>
      <c r="BI984" s="160"/>
      <c r="BJ984" s="159"/>
      <c r="BK984" s="159"/>
      <c r="BL984" s="159"/>
      <c r="BM984" s="159"/>
      <c r="BN984" s="159"/>
      <c r="BO984" s="159"/>
      <c r="BP984" s="159"/>
      <c r="BQ984" s="159"/>
      <c r="BR984" s="159"/>
      <c r="BS984" s="159"/>
      <c r="BT984" s="159"/>
      <c r="BU984" s="159"/>
      <c r="BV984" s="159"/>
      <c r="BW984" s="161"/>
    </row>
    <row r="985" spans="1:75" s="162" customFormat="1" ht="14.25" hidden="1" outlineLevel="2" x14ac:dyDescent="0.45">
      <c r="A985" s="646" t="s">
        <v>1029</v>
      </c>
      <c r="B985" s="647"/>
      <c r="C985" s="648">
        <v>0.59065504207388708</v>
      </c>
      <c r="D985" s="648">
        <v>0.60804630722405129</v>
      </c>
      <c r="E985" s="648">
        <v>0.59759791417036512</v>
      </c>
      <c r="F985" s="648">
        <v>0.61175260635382045</v>
      </c>
      <c r="G985" s="649">
        <v>0.63991477979803346</v>
      </c>
      <c r="H985" s="649">
        <v>0.61835968782877693</v>
      </c>
      <c r="I985" s="649">
        <v>0.62728884981507316</v>
      </c>
      <c r="J985" s="649">
        <v>0.61273198302289189</v>
      </c>
      <c r="K985" s="648">
        <v>0.62311495904797098</v>
      </c>
      <c r="L985" s="649">
        <v>0.63962441365828082</v>
      </c>
      <c r="M985" s="649">
        <v>0.5936818468944085</v>
      </c>
      <c r="N985" s="649">
        <v>0.6092433073709187</v>
      </c>
      <c r="O985" s="649">
        <v>0.60940371734963372</v>
      </c>
      <c r="P985" s="648">
        <v>0.61163732675313887</v>
      </c>
      <c r="Q985" s="649">
        <v>0.63688290783415591</v>
      </c>
      <c r="R985" s="649">
        <v>0.59530281570672772</v>
      </c>
      <c r="S985" s="649">
        <v>0.62062955123015873</v>
      </c>
      <c r="T985" s="649">
        <v>0.63419642526050368</v>
      </c>
      <c r="U985" s="648">
        <v>0.62196077204142619</v>
      </c>
      <c r="V985" s="649">
        <v>0.69255207967399712</v>
      </c>
      <c r="W985" s="649">
        <v>0.6439017926648154</v>
      </c>
      <c r="X985" s="649">
        <v>0.65256640841173219</v>
      </c>
      <c r="Y985" s="649">
        <v>0.63797711289811265</v>
      </c>
      <c r="Z985" s="648">
        <v>0.65488219194508712</v>
      </c>
      <c r="AA985" s="649">
        <v>0.66859521776259612</v>
      </c>
      <c r="AB985" s="649">
        <v>0.63866470781341911</v>
      </c>
      <c r="AC985" s="649">
        <v>0.60695086527149766</v>
      </c>
      <c r="AD985" s="649">
        <v>0.58568093153014689</v>
      </c>
      <c r="AE985" s="648">
        <v>0.62330473154783228</v>
      </c>
      <c r="AF985" s="649">
        <v>0.58364639060218226</v>
      </c>
      <c r="AG985" s="649">
        <v>0.55128137104048391</v>
      </c>
      <c r="AH985" s="649">
        <v>0.57110585366926503</v>
      </c>
      <c r="AI985" s="649">
        <v>0.57620984630886396</v>
      </c>
      <c r="AJ985" s="648">
        <v>0.57016194979911428</v>
      </c>
      <c r="AK985" s="649">
        <v>0.56551825554250268</v>
      </c>
      <c r="AL985" s="649">
        <v>0.54667706513954428</v>
      </c>
      <c r="AM985" s="649">
        <v>0.54599380687973609</v>
      </c>
      <c r="AN985" s="649">
        <v>0.53702539640528335</v>
      </c>
      <c r="AO985" s="648">
        <v>0.54833674984522762</v>
      </c>
      <c r="AP985" s="649">
        <v>0.53504592095590142</v>
      </c>
      <c r="AQ985" s="649">
        <v>0.49560118542413312</v>
      </c>
      <c r="AR985" s="649">
        <v>0.48483494922471571</v>
      </c>
      <c r="AS985" s="649">
        <v>0.49721578068918648</v>
      </c>
      <c r="AT985" s="648">
        <v>0.49955838358563037</v>
      </c>
      <c r="AU985" s="649">
        <v>0.49945747637059817</v>
      </c>
      <c r="AV985" s="649">
        <v>0.48390417642960215</v>
      </c>
      <c r="AW985" s="649">
        <v>0.47331254694821684</v>
      </c>
      <c r="AX985" s="649">
        <v>0.46811876274590397</v>
      </c>
      <c r="AY985" s="648">
        <v>0.48083893349508627</v>
      </c>
      <c r="AZ985" s="649">
        <v>0.45331100646406741</v>
      </c>
      <c r="BA985" s="649">
        <v>0.44516246142675625</v>
      </c>
      <c r="BB985" s="649">
        <v>0.48357201869593336</v>
      </c>
      <c r="BC985" s="649">
        <v>0.48448606405963013</v>
      </c>
      <c r="BD985" s="648">
        <v>0.46509252113298599</v>
      </c>
      <c r="BE985" s="649">
        <v>0.49224256658215659</v>
      </c>
      <c r="BF985" s="649">
        <v>0.49004408610344552</v>
      </c>
      <c r="BG985" s="649">
        <v>0.50893008086791569</v>
      </c>
      <c r="BH985" s="649">
        <v>0.51835396743694606</v>
      </c>
      <c r="BI985" s="650">
        <v>0.5021639905372044</v>
      </c>
      <c r="BJ985" s="649">
        <v>0.53806109062164575</v>
      </c>
      <c r="BK985" s="649">
        <v>0.50451339354824565</v>
      </c>
      <c r="BL985" s="649">
        <v>0.50197883859340153</v>
      </c>
      <c r="BM985" s="649">
        <v>0.5100629068308391</v>
      </c>
      <c r="BN985" s="648">
        <v>0.51273283654349799</v>
      </c>
      <c r="BO985" s="649">
        <v>0.5300816442235331</v>
      </c>
      <c r="BP985" s="649">
        <v>0.50408000198106051</v>
      </c>
      <c r="BQ985" s="649">
        <v>0.50265101936538159</v>
      </c>
      <c r="BR985" s="649">
        <v>0.50773829225216638</v>
      </c>
      <c r="BS985" s="648">
        <v>0.51058453198824894</v>
      </c>
      <c r="BT985" s="648">
        <v>0.50930935613530426</v>
      </c>
      <c r="BU985" s="648">
        <v>0.50629106673057667</v>
      </c>
      <c r="BV985" s="648">
        <v>0.50293188515184062</v>
      </c>
      <c r="BW985" s="161"/>
    </row>
    <row r="986" spans="1:75" s="651" customFormat="1" ht="14.25" hidden="1" outlineLevel="2" x14ac:dyDescent="0.45">
      <c r="A986" s="641" t="s">
        <v>1030</v>
      </c>
      <c r="B986" s="647"/>
      <c r="C986" s="648">
        <v>0.40934495792611292</v>
      </c>
      <c r="D986" s="648">
        <v>0.39195369277594871</v>
      </c>
      <c r="E986" s="648">
        <v>0.40240208582963488</v>
      </c>
      <c r="F986" s="648">
        <v>0.38824739364617955</v>
      </c>
      <c r="G986" s="649">
        <v>0.36008522020196654</v>
      </c>
      <c r="H986" s="649">
        <v>0.38164031217122307</v>
      </c>
      <c r="I986" s="649">
        <v>0.37271115018492684</v>
      </c>
      <c r="J986" s="649">
        <v>0.38726801697710811</v>
      </c>
      <c r="K986" s="648">
        <v>0.37688504095202902</v>
      </c>
      <c r="L986" s="649">
        <v>0.36037558634171918</v>
      </c>
      <c r="M986" s="649">
        <v>0.4063181531055915</v>
      </c>
      <c r="N986" s="649">
        <v>0.3907566926290813</v>
      </c>
      <c r="O986" s="649">
        <v>0.39059628265036628</v>
      </c>
      <c r="P986" s="648">
        <v>0.38836267324686113</v>
      </c>
      <c r="Q986" s="649">
        <v>0.36311709216584409</v>
      </c>
      <c r="R986" s="649">
        <v>0.40469718429327228</v>
      </c>
      <c r="S986" s="649">
        <v>0.37937044876984127</v>
      </c>
      <c r="T986" s="649">
        <v>0.36580357473949632</v>
      </c>
      <c r="U986" s="648">
        <v>0.37803922795857381</v>
      </c>
      <c r="V986" s="649">
        <v>0.30744792032600288</v>
      </c>
      <c r="W986" s="649">
        <v>0.3560982073351846</v>
      </c>
      <c r="X986" s="649">
        <v>0.34743359158826781</v>
      </c>
      <c r="Y986" s="649">
        <v>0.36202288710188735</v>
      </c>
      <c r="Z986" s="648">
        <v>0.34511780805491288</v>
      </c>
      <c r="AA986" s="649">
        <v>0.33140478223740388</v>
      </c>
      <c r="AB986" s="649">
        <v>0.36133529218658089</v>
      </c>
      <c r="AC986" s="649">
        <v>0.39304913472850234</v>
      </c>
      <c r="AD986" s="649">
        <v>0.41431906846985311</v>
      </c>
      <c r="AE986" s="648">
        <v>0.37669526845216772</v>
      </c>
      <c r="AF986" s="649">
        <v>0.41635360939781774</v>
      </c>
      <c r="AG986" s="649">
        <v>0.44871862895951609</v>
      </c>
      <c r="AH986" s="649">
        <v>0.42889414633073497</v>
      </c>
      <c r="AI986" s="649">
        <v>0.42379015369113604</v>
      </c>
      <c r="AJ986" s="648">
        <v>0.42983805020088572</v>
      </c>
      <c r="AK986" s="649">
        <v>0.43448174445749732</v>
      </c>
      <c r="AL986" s="649">
        <v>0.45332293486045572</v>
      </c>
      <c r="AM986" s="649">
        <v>0.45400619312026391</v>
      </c>
      <c r="AN986" s="649">
        <v>0.46297460359471665</v>
      </c>
      <c r="AO986" s="648">
        <v>0.45166325015477238</v>
      </c>
      <c r="AP986" s="649">
        <v>0.46495407904409858</v>
      </c>
      <c r="AQ986" s="649">
        <v>0.50439881457586688</v>
      </c>
      <c r="AR986" s="649">
        <v>0.51516505077528429</v>
      </c>
      <c r="AS986" s="649">
        <v>0.50278421931081352</v>
      </c>
      <c r="AT986" s="648">
        <v>0.50044161641436968</v>
      </c>
      <c r="AU986" s="649">
        <v>0.50054252362940188</v>
      </c>
      <c r="AV986" s="649">
        <v>0.51609582357039785</v>
      </c>
      <c r="AW986" s="649">
        <v>0.52668745305178311</v>
      </c>
      <c r="AX986" s="649">
        <v>0.53188123725409597</v>
      </c>
      <c r="AY986" s="648">
        <v>0.51916106650491378</v>
      </c>
      <c r="AZ986" s="649">
        <v>0.54668899353593259</v>
      </c>
      <c r="BA986" s="649">
        <v>0.5548375385732438</v>
      </c>
      <c r="BB986" s="649">
        <v>0.51642798130406664</v>
      </c>
      <c r="BC986" s="649">
        <v>0.51551393594036987</v>
      </c>
      <c r="BD986" s="648">
        <v>0.53490747886701406</v>
      </c>
      <c r="BE986" s="649">
        <v>0.50775743341784341</v>
      </c>
      <c r="BF986" s="649">
        <v>0.50995591389655448</v>
      </c>
      <c r="BG986" s="649">
        <v>0.49106991913208431</v>
      </c>
      <c r="BH986" s="649">
        <v>0.48164603256305394</v>
      </c>
      <c r="BI986" s="650">
        <v>0.4978360094627956</v>
      </c>
      <c r="BJ986" s="649">
        <v>0.46193890937835425</v>
      </c>
      <c r="BK986" s="649">
        <v>0.49548660645175435</v>
      </c>
      <c r="BL986" s="649">
        <v>0.49802116140659847</v>
      </c>
      <c r="BM986" s="649">
        <v>0.4899370931691609</v>
      </c>
      <c r="BN986" s="648">
        <v>0.48726716345650201</v>
      </c>
      <c r="BO986" s="649">
        <v>0.4699183557764669</v>
      </c>
      <c r="BP986" s="649">
        <v>0.49591999801893949</v>
      </c>
      <c r="BQ986" s="649">
        <v>0.49734898063461841</v>
      </c>
      <c r="BR986" s="649">
        <v>0.49226170774783362</v>
      </c>
      <c r="BS986" s="648">
        <v>0.48941546801175106</v>
      </c>
      <c r="BT986" s="648">
        <v>0.49069064386469574</v>
      </c>
      <c r="BU986" s="648">
        <v>0.49370893326942333</v>
      </c>
      <c r="BV986" s="648">
        <v>0.49706811484815938</v>
      </c>
      <c r="BW986" s="473"/>
    </row>
    <row r="987" spans="1:75" s="651" customFormat="1" ht="14.25" hidden="1" outlineLevel="2" x14ac:dyDescent="0.45">
      <c r="A987" s="526"/>
      <c r="B987" s="212"/>
      <c r="C987" s="213"/>
      <c r="D987" s="213"/>
      <c r="E987" s="213"/>
      <c r="F987" s="213"/>
      <c r="G987" s="214"/>
      <c r="H987" s="214"/>
      <c r="I987" s="214"/>
      <c r="J987" s="214"/>
      <c r="K987" s="213"/>
      <c r="L987" s="214"/>
      <c r="M987" s="214"/>
      <c r="N987" s="214"/>
      <c r="O987" s="214"/>
      <c r="P987" s="213"/>
      <c r="Q987" s="214"/>
      <c r="R987" s="214"/>
      <c r="S987" s="214"/>
      <c r="T987" s="214"/>
      <c r="U987" s="213"/>
      <c r="V987" s="214"/>
      <c r="W987" s="214"/>
      <c r="X987" s="214"/>
      <c r="Y987" s="214"/>
      <c r="Z987" s="213"/>
      <c r="AA987" s="214"/>
      <c r="AB987" s="214"/>
      <c r="AC987" s="214"/>
      <c r="AD987" s="214"/>
      <c r="AE987" s="213"/>
      <c r="AF987" s="214"/>
      <c r="AG987" s="214"/>
      <c r="AH987" s="214"/>
      <c r="AI987" s="214"/>
      <c r="AJ987" s="213"/>
      <c r="AK987" s="214"/>
      <c r="AL987" s="214"/>
      <c r="AM987" s="214"/>
      <c r="AN987" s="214"/>
      <c r="AO987" s="213"/>
      <c r="AP987" s="214"/>
      <c r="AQ987" s="214"/>
      <c r="AR987" s="214"/>
      <c r="AS987" s="214"/>
      <c r="AT987" s="213"/>
      <c r="AU987" s="214"/>
      <c r="AV987" s="214"/>
      <c r="AW987" s="214"/>
      <c r="AX987" s="214"/>
      <c r="AY987" s="213"/>
      <c r="AZ987" s="214"/>
      <c r="BA987" s="214"/>
      <c r="BB987" s="214"/>
      <c r="BC987" s="214"/>
      <c r="BD987" s="213"/>
      <c r="BE987" s="214"/>
      <c r="BF987" s="214"/>
      <c r="BG987" s="214"/>
      <c r="BH987" s="214"/>
      <c r="BI987" s="215"/>
      <c r="BJ987" s="214"/>
      <c r="BK987" s="214"/>
      <c r="BL987" s="214"/>
      <c r="BM987" s="214"/>
      <c r="BN987" s="213"/>
      <c r="BO987" s="214"/>
      <c r="BP987" s="214"/>
      <c r="BQ987" s="214"/>
      <c r="BR987" s="214"/>
      <c r="BS987" s="213"/>
      <c r="BT987" s="213"/>
      <c r="BU987" s="213"/>
      <c r="BV987" s="213"/>
      <c r="BW987" s="473"/>
    </row>
    <row r="988" spans="1:75" s="651" customFormat="1" ht="14.25" hidden="1" outlineLevel="2" x14ac:dyDescent="0.45">
      <c r="A988" s="652" t="s">
        <v>1031</v>
      </c>
      <c r="B988" s="653"/>
      <c r="C988" s="654">
        <v>0.65948360596785927</v>
      </c>
      <c r="D988" s="654">
        <v>0.64850301260947885</v>
      </c>
      <c r="E988" s="654">
        <v>0.62806079633936063</v>
      </c>
      <c r="F988" s="654">
        <v>0.63417252981025041</v>
      </c>
      <c r="G988" s="655">
        <v>0.66191672446463601</v>
      </c>
      <c r="H988" s="655">
        <v>0.63562750917303934</v>
      </c>
      <c r="I988" s="655">
        <v>0.64429353867297245</v>
      </c>
      <c r="J988" s="655">
        <v>0.62904552527698032</v>
      </c>
      <c r="K988" s="654">
        <v>0.64094519462449417</v>
      </c>
      <c r="L988" s="655">
        <v>0.66048425409688361</v>
      </c>
      <c r="M988" s="655">
        <v>0.61290419258309781</v>
      </c>
      <c r="N988" s="655">
        <v>0.62784752669314492</v>
      </c>
      <c r="O988" s="655">
        <v>0.62565146286339923</v>
      </c>
      <c r="P988" s="654">
        <v>0.63009218055693894</v>
      </c>
      <c r="Q988" s="655">
        <v>0.66050491779995024</v>
      </c>
      <c r="R988" s="655">
        <v>0.61679442618682212</v>
      </c>
      <c r="S988" s="655">
        <v>0.64172415671351646</v>
      </c>
      <c r="T988" s="655">
        <v>0.6534947034029247</v>
      </c>
      <c r="U988" s="654">
        <v>0.64310580434574405</v>
      </c>
      <c r="V988" s="655">
        <v>0.72011566430127161</v>
      </c>
      <c r="W988" s="655">
        <v>0.66903701086346412</v>
      </c>
      <c r="X988" s="655">
        <v>0.67993803337896486</v>
      </c>
      <c r="Y988" s="655">
        <v>0.66481679069244226</v>
      </c>
      <c r="Z988" s="654">
        <v>0.68157935538025483</v>
      </c>
      <c r="AA988" s="655">
        <v>0.69709649871904356</v>
      </c>
      <c r="AB988" s="655">
        <v>0.66552201597202132</v>
      </c>
      <c r="AC988" s="655">
        <v>0.63825355754608237</v>
      </c>
      <c r="AD988" s="655">
        <v>0.61409081076242522</v>
      </c>
      <c r="AE988" s="654">
        <v>0.6520465343864823</v>
      </c>
      <c r="AF988" s="655">
        <v>0.62445147702034065</v>
      </c>
      <c r="AG988" s="655">
        <v>0.5812346480482149</v>
      </c>
      <c r="AH988" s="655">
        <v>0.60722982037771889</v>
      </c>
      <c r="AI988" s="655">
        <v>0.61561714197984474</v>
      </c>
      <c r="AJ988" s="654">
        <v>0.60665862352049549</v>
      </c>
      <c r="AK988" s="655">
        <v>0.61095282418230645</v>
      </c>
      <c r="AL988" s="655">
        <v>0.58251641156438505</v>
      </c>
      <c r="AM988" s="655">
        <v>0.58058288538004454</v>
      </c>
      <c r="AN988" s="655">
        <v>0.57431095257573161</v>
      </c>
      <c r="AO988" s="654">
        <v>0.58638826910706465</v>
      </c>
      <c r="AP988" s="655">
        <v>0.58654780024643038</v>
      </c>
      <c r="AQ988" s="655">
        <v>0.53133027484131834</v>
      </c>
      <c r="AR988" s="655">
        <v>0.51620413429650958</v>
      </c>
      <c r="AS988" s="655">
        <v>0.52595896784485163</v>
      </c>
      <c r="AT988" s="654">
        <v>0.53467706887460831</v>
      </c>
      <c r="AU988" s="655">
        <v>0.52720634020762269</v>
      </c>
      <c r="AV988" s="655">
        <v>0.50682958844486425</v>
      </c>
      <c r="AW988" s="655">
        <v>0.49797302936722743</v>
      </c>
      <c r="AX988" s="655">
        <v>0.49542116731155456</v>
      </c>
      <c r="AY988" s="654">
        <v>0.50638471648017203</v>
      </c>
      <c r="AZ988" s="655">
        <v>0.47917354370453319</v>
      </c>
      <c r="BA988" s="655">
        <v>0.47236037998426816</v>
      </c>
      <c r="BB988" s="655">
        <v>0.51582733647386969</v>
      </c>
      <c r="BC988" s="655">
        <v>0.52180391172027429</v>
      </c>
      <c r="BD988" s="654">
        <v>0.49533585648926315</v>
      </c>
      <c r="BE988" s="655">
        <v>0.52981213861102172</v>
      </c>
      <c r="BF988" s="655">
        <v>0.52519304066690065</v>
      </c>
      <c r="BG988" s="655">
        <v>0.5468068820925821</v>
      </c>
      <c r="BH988" s="655">
        <v>0.56526020643133834</v>
      </c>
      <c r="BI988" s="656">
        <v>0.54144561830706284</v>
      </c>
      <c r="BJ988" s="655">
        <v>0.58370586050722795</v>
      </c>
      <c r="BK988" s="655">
        <v>0.54410458571679055</v>
      </c>
      <c r="BL988" s="655">
        <v>0.54131754843085755</v>
      </c>
      <c r="BM988" s="655">
        <v>0.55178878254198349</v>
      </c>
      <c r="BN988" s="654">
        <v>0.55414692572183288</v>
      </c>
      <c r="BO988" s="655">
        <v>0.57036839654920435</v>
      </c>
      <c r="BP988" s="655">
        <v>0.53989097273777398</v>
      </c>
      <c r="BQ988" s="655">
        <v>0.53836300994497788</v>
      </c>
      <c r="BR988" s="655">
        <v>0.54723623452521719</v>
      </c>
      <c r="BS988" s="654">
        <v>0.54829415188606512</v>
      </c>
      <c r="BT988" s="654">
        <v>0.54554341813851792</v>
      </c>
      <c r="BU988" s="654">
        <v>0.54266078196270495</v>
      </c>
      <c r="BV988" s="654">
        <v>0.53972500801788403</v>
      </c>
      <c r="BW988" s="473"/>
    </row>
    <row r="989" spans="1:75" s="651" customFormat="1" ht="14.25" hidden="1" outlineLevel="2" x14ac:dyDescent="0.45">
      <c r="A989" s="657" t="s">
        <v>1032</v>
      </c>
      <c r="B989" s="179"/>
      <c r="C989" s="180">
        <v>0.34051639403214073</v>
      </c>
      <c r="D989" s="180">
        <v>0.35149698739052115</v>
      </c>
      <c r="E989" s="180">
        <v>0.37193920366063937</v>
      </c>
      <c r="F989" s="180">
        <v>0.36582747018974959</v>
      </c>
      <c r="G989" s="181">
        <v>0.33808327553536399</v>
      </c>
      <c r="H989" s="181">
        <v>0.36437249082696066</v>
      </c>
      <c r="I989" s="181">
        <v>0.35570646132702755</v>
      </c>
      <c r="J989" s="181">
        <v>0.37095447472301968</v>
      </c>
      <c r="K989" s="180">
        <v>0.35905480537550583</v>
      </c>
      <c r="L989" s="181">
        <v>0.33951574590311639</v>
      </c>
      <c r="M989" s="181">
        <v>0.38709580741690219</v>
      </c>
      <c r="N989" s="181">
        <v>0.37215247330685508</v>
      </c>
      <c r="O989" s="181">
        <v>0.37434853713660077</v>
      </c>
      <c r="P989" s="180">
        <v>0.36990781944306106</v>
      </c>
      <c r="Q989" s="181">
        <v>0.33949508220004976</v>
      </c>
      <c r="R989" s="181">
        <v>0.38320557381317788</v>
      </c>
      <c r="S989" s="181">
        <v>0.35827584328648354</v>
      </c>
      <c r="T989" s="181">
        <v>0.3465052965970753</v>
      </c>
      <c r="U989" s="180">
        <v>0.35689419565425595</v>
      </c>
      <c r="V989" s="181">
        <v>0.27988433569872839</v>
      </c>
      <c r="W989" s="181">
        <v>0.33096298913653588</v>
      </c>
      <c r="X989" s="181">
        <v>0.32006196662103514</v>
      </c>
      <c r="Y989" s="181">
        <v>0.33518320930755774</v>
      </c>
      <c r="Z989" s="180">
        <v>0.31842064461974517</v>
      </c>
      <c r="AA989" s="181">
        <v>0.30290350128095644</v>
      </c>
      <c r="AB989" s="181">
        <v>0.33447798402797868</v>
      </c>
      <c r="AC989" s="181">
        <v>0.36174644245391763</v>
      </c>
      <c r="AD989" s="181">
        <v>0.38590918923757478</v>
      </c>
      <c r="AE989" s="180">
        <v>0.3479534656135177</v>
      </c>
      <c r="AF989" s="181">
        <v>0.37554852297965935</v>
      </c>
      <c r="AG989" s="181">
        <v>0.4187653519517851</v>
      </c>
      <c r="AH989" s="181">
        <v>0.39277017962228111</v>
      </c>
      <c r="AI989" s="181">
        <v>0.38438285802015526</v>
      </c>
      <c r="AJ989" s="180">
        <v>0.39334137647950451</v>
      </c>
      <c r="AK989" s="181">
        <v>0.38904717581769355</v>
      </c>
      <c r="AL989" s="181">
        <v>0.41748358843561495</v>
      </c>
      <c r="AM989" s="181">
        <v>0.41941711461995546</v>
      </c>
      <c r="AN989" s="181">
        <v>0.42568904742426839</v>
      </c>
      <c r="AO989" s="180">
        <v>0.41361173089293535</v>
      </c>
      <c r="AP989" s="181">
        <v>0.41345219975356962</v>
      </c>
      <c r="AQ989" s="181">
        <v>0.46866972515868166</v>
      </c>
      <c r="AR989" s="181">
        <v>0.48379586570349042</v>
      </c>
      <c r="AS989" s="181">
        <v>0.47404103215514837</v>
      </c>
      <c r="AT989" s="180">
        <v>0.46532293112539169</v>
      </c>
      <c r="AU989" s="181">
        <v>0.47279365979237731</v>
      </c>
      <c r="AV989" s="181">
        <v>0.49317041155513575</v>
      </c>
      <c r="AW989" s="181">
        <v>0.50202697063277257</v>
      </c>
      <c r="AX989" s="181">
        <v>0.5045788326884455</v>
      </c>
      <c r="AY989" s="180">
        <v>0.49361528351982797</v>
      </c>
      <c r="AZ989" s="181">
        <v>0.52082645629546676</v>
      </c>
      <c r="BA989" s="181">
        <v>0.52763962001573184</v>
      </c>
      <c r="BB989" s="181">
        <v>0.48417266352613031</v>
      </c>
      <c r="BC989" s="181">
        <v>0.47819608827972571</v>
      </c>
      <c r="BD989" s="180">
        <v>0.50466414351073685</v>
      </c>
      <c r="BE989" s="181">
        <v>0.47018786138897828</v>
      </c>
      <c r="BF989" s="181">
        <v>0.47480695933309935</v>
      </c>
      <c r="BG989" s="181">
        <v>0.4531931179074179</v>
      </c>
      <c r="BH989" s="181">
        <v>0.43473979356866166</v>
      </c>
      <c r="BI989" s="182">
        <v>0.45855438169293716</v>
      </c>
      <c r="BJ989" s="181">
        <v>0.41629413949277205</v>
      </c>
      <c r="BK989" s="181">
        <v>0.45589541428320945</v>
      </c>
      <c r="BL989" s="181">
        <v>0.45868245156914245</v>
      </c>
      <c r="BM989" s="181">
        <v>0.44821121745801651</v>
      </c>
      <c r="BN989" s="180">
        <v>0.44585307427816712</v>
      </c>
      <c r="BO989" s="181">
        <v>0.42963160345079565</v>
      </c>
      <c r="BP989" s="181">
        <v>0.46010902726222602</v>
      </c>
      <c r="BQ989" s="181">
        <v>0.46163699005502212</v>
      </c>
      <c r="BR989" s="181">
        <v>0.45276376547478281</v>
      </c>
      <c r="BS989" s="180">
        <v>0.45170584811393488</v>
      </c>
      <c r="BT989" s="180">
        <v>0.45445658186148208</v>
      </c>
      <c r="BU989" s="180">
        <v>0.45733921803729505</v>
      </c>
      <c r="BV989" s="180">
        <v>0.46027499198211597</v>
      </c>
      <c r="BW989" s="473"/>
    </row>
    <row r="990" spans="1:75" s="162" customFormat="1" ht="14.25" hidden="1" outlineLevel="2" x14ac:dyDescent="0.45">
      <c r="A990" s="657"/>
      <c r="B990" s="179"/>
      <c r="C990" s="180"/>
      <c r="D990" s="180"/>
      <c r="E990" s="180"/>
      <c r="F990" s="180"/>
      <c r="G990" s="181"/>
      <c r="H990" s="181"/>
      <c r="I990" s="181"/>
      <c r="J990" s="181"/>
      <c r="K990" s="180"/>
      <c r="L990" s="181"/>
      <c r="M990" s="181"/>
      <c r="N990" s="181"/>
      <c r="O990" s="181"/>
      <c r="P990" s="180"/>
      <c r="Q990" s="181"/>
      <c r="R990" s="181"/>
      <c r="S990" s="181"/>
      <c r="T990" s="181"/>
      <c r="U990" s="180"/>
      <c r="V990" s="181"/>
      <c r="W990" s="181"/>
      <c r="X990" s="181"/>
      <c r="Y990" s="181"/>
      <c r="Z990" s="180"/>
      <c r="AA990" s="181"/>
      <c r="AB990" s="181"/>
      <c r="AC990" s="181"/>
      <c r="AD990" s="181"/>
      <c r="AE990" s="180"/>
      <c r="AF990" s="181"/>
      <c r="AG990" s="181"/>
      <c r="AH990" s="181"/>
      <c r="AI990" s="181"/>
      <c r="AJ990" s="180"/>
      <c r="AK990" s="181"/>
      <c r="AL990" s="181"/>
      <c r="AM990" s="181"/>
      <c r="AN990" s="181"/>
      <c r="AO990" s="180"/>
      <c r="AP990" s="181"/>
      <c r="AQ990" s="181"/>
      <c r="AR990" s="181"/>
      <c r="AS990" s="181"/>
      <c r="AT990" s="180"/>
      <c r="AU990" s="181"/>
      <c r="AV990" s="181"/>
      <c r="AW990" s="181"/>
      <c r="AX990" s="181"/>
      <c r="AY990" s="180"/>
      <c r="AZ990" s="181"/>
      <c r="BA990" s="181"/>
      <c r="BB990" s="181"/>
      <c r="BC990" s="181"/>
      <c r="BD990" s="180"/>
      <c r="BE990" s="181"/>
      <c r="BF990" s="181"/>
      <c r="BG990" s="181"/>
      <c r="BH990" s="181"/>
      <c r="BI990" s="182"/>
      <c r="BJ990" s="181"/>
      <c r="BK990" s="181"/>
      <c r="BL990" s="181"/>
      <c r="BM990" s="181"/>
      <c r="BN990" s="180"/>
      <c r="BO990" s="181"/>
      <c r="BP990" s="181"/>
      <c r="BQ990" s="181"/>
      <c r="BR990" s="181"/>
      <c r="BS990" s="180"/>
      <c r="BT990" s="180"/>
      <c r="BU990" s="180"/>
      <c r="BV990" s="180"/>
      <c r="BW990" s="161"/>
    </row>
    <row r="991" spans="1:75" s="162" customFormat="1" ht="14.25" hidden="1" outlineLevel="2" x14ac:dyDescent="0.45">
      <c r="A991" s="526" t="s">
        <v>1033</v>
      </c>
      <c r="B991" s="212"/>
      <c r="C991" s="213">
        <v>0.38180394287860508</v>
      </c>
      <c r="D991" s="213">
        <v>0.3556587365674887</v>
      </c>
      <c r="E991" s="213">
        <v>0.34392182731368015</v>
      </c>
      <c r="F991" s="213">
        <v>0.42369279977469437</v>
      </c>
      <c r="G991" s="214">
        <v>0.33638749970962745</v>
      </c>
      <c r="H991" s="214">
        <v>0.43707635214002688</v>
      </c>
      <c r="I991" s="214">
        <v>0.29542836354817192</v>
      </c>
      <c r="J991" s="214">
        <v>0.2474421976959639</v>
      </c>
      <c r="K991" s="213">
        <v>0.32368899024540271</v>
      </c>
      <c r="L991" s="214">
        <v>0.32647015459216827</v>
      </c>
      <c r="M991" s="214">
        <v>0.27428152506189973</v>
      </c>
      <c r="N991" s="214">
        <v>0.29645638830143911</v>
      </c>
      <c r="O991" s="214">
        <v>0.24508560612430866</v>
      </c>
      <c r="P991" s="213">
        <v>0.2811619441133284</v>
      </c>
      <c r="Q991" s="214">
        <v>0.29918450922605311</v>
      </c>
      <c r="R991" s="214">
        <v>0.27190487274678365</v>
      </c>
      <c r="S991" s="214">
        <v>0.27398757726643513</v>
      </c>
      <c r="T991" s="214">
        <v>0.24262370057230442</v>
      </c>
      <c r="U991" s="213">
        <v>0.2689091448767808</v>
      </c>
      <c r="V991" s="214">
        <v>0.30507886601559753</v>
      </c>
      <c r="W991" s="214">
        <v>0.29044813859888369</v>
      </c>
      <c r="X991" s="214">
        <v>0.29205319954562664</v>
      </c>
      <c r="Y991" s="214">
        <v>0.28897608001281722</v>
      </c>
      <c r="Z991" s="213">
        <v>0.29357792578567976</v>
      </c>
      <c r="AA991" s="214">
        <v>0.29063478508397383</v>
      </c>
      <c r="AB991" s="214">
        <v>0.3147762324361395</v>
      </c>
      <c r="AC991" s="214">
        <v>0.28889586529681527</v>
      </c>
      <c r="AD991" s="214">
        <v>0.282790413176288</v>
      </c>
      <c r="AE991" s="213">
        <v>0.29414541749891604</v>
      </c>
      <c r="AF991" s="214">
        <v>0.28917162714430777</v>
      </c>
      <c r="AG991" s="214">
        <v>0.29107612695420393</v>
      </c>
      <c r="AH991" s="214">
        <v>0.326432155435954</v>
      </c>
      <c r="AI991" s="214">
        <v>0.25092153568910602</v>
      </c>
      <c r="AJ991" s="213">
        <v>0.28888317735935504</v>
      </c>
      <c r="AK991" s="214">
        <v>0.27435701621433739</v>
      </c>
      <c r="AL991" s="214">
        <v>0.2703088686140685</v>
      </c>
      <c r="AM991" s="214">
        <v>0.28770704002503228</v>
      </c>
      <c r="AN991" s="214">
        <v>0.27383394287914142</v>
      </c>
      <c r="AO991" s="213">
        <v>0.27656182186771583</v>
      </c>
      <c r="AP991" s="214">
        <v>0.34003458308742068</v>
      </c>
      <c r="AQ991" s="214">
        <v>0.27612571586477591</v>
      </c>
      <c r="AR991" s="214">
        <v>0.35201945941590945</v>
      </c>
      <c r="AS991" s="214">
        <v>0.24803430670231244</v>
      </c>
      <c r="AT991" s="213">
        <v>0.3014340948934679</v>
      </c>
      <c r="AU991" s="214">
        <v>0.25452025576445875</v>
      </c>
      <c r="AV991" s="214">
        <v>0.24137718319800899</v>
      </c>
      <c r="AW991" s="214">
        <v>0.23122866215963786</v>
      </c>
      <c r="AX991" s="214">
        <v>0.26335128237224192</v>
      </c>
      <c r="AY991" s="213">
        <v>0.24694718023209411</v>
      </c>
      <c r="AZ991" s="214">
        <v>0.30637987155434288</v>
      </c>
      <c r="BA991" s="214">
        <v>0.29124462999939488</v>
      </c>
      <c r="BB991" s="214">
        <v>0.28827269735555178</v>
      </c>
      <c r="BC991" s="214">
        <v>0.33294670931612869</v>
      </c>
      <c r="BD991" s="213">
        <v>0.30353292891167388</v>
      </c>
      <c r="BE991" s="214">
        <v>0.33592771273415029</v>
      </c>
      <c r="BF991" s="214">
        <v>0.28574516008539885</v>
      </c>
      <c r="BG991" s="214">
        <v>0.38498984991181068</v>
      </c>
      <c r="BH991" s="214">
        <v>0.34770406089995387</v>
      </c>
      <c r="BI991" s="215">
        <v>0.33770401099194947</v>
      </c>
      <c r="BJ991" s="214">
        <v>0.35130295199229877</v>
      </c>
      <c r="BK991" s="214">
        <v>0.28335281844269611</v>
      </c>
      <c r="BL991" s="214">
        <v>0.31768411702302751</v>
      </c>
      <c r="BM991" s="214">
        <v>0.31906678066252986</v>
      </c>
      <c r="BN991" s="213">
        <v>0.31660777878826829</v>
      </c>
      <c r="BO991" s="214">
        <v>0.31709463894579382</v>
      </c>
      <c r="BP991" s="214">
        <v>0.27357131697937059</v>
      </c>
      <c r="BQ991" s="214">
        <v>0.31429617192719345</v>
      </c>
      <c r="BR991" s="214">
        <v>0.2998487832743118</v>
      </c>
      <c r="BS991" s="213">
        <v>0.30077378498074386</v>
      </c>
      <c r="BT991" s="213">
        <v>0.29106287328549285</v>
      </c>
      <c r="BU991" s="213">
        <v>0.28163070816461933</v>
      </c>
      <c r="BV991" s="213">
        <v>0.27233661558281108</v>
      </c>
      <c r="BW991" s="161"/>
    </row>
    <row r="992" spans="1:75" s="217" customFormat="1" hidden="1" outlineLevel="2" x14ac:dyDescent="0.5">
      <c r="A992" s="527" t="s">
        <v>1034</v>
      </c>
      <c r="B992" s="528"/>
      <c r="C992" s="529">
        <v>-4.1287548846464413E-2</v>
      </c>
      <c r="D992" s="529">
        <v>-4.1617491769676716E-3</v>
      </c>
      <c r="E992" s="529">
        <v>2.8017376346959215E-2</v>
      </c>
      <c r="F992" s="529">
        <v>-5.7865329584944614E-2</v>
      </c>
      <c r="G992" s="530">
        <v>1.6957758257365252E-3</v>
      </c>
      <c r="H992" s="530">
        <v>-7.2703861313066359E-2</v>
      </c>
      <c r="I992" s="530">
        <v>6.0278097778855712E-2</v>
      </c>
      <c r="J992" s="530">
        <v>0.12351227702705578</v>
      </c>
      <c r="K992" s="529">
        <v>3.5365815130102993E-2</v>
      </c>
      <c r="L992" s="530">
        <v>1.3045591310948193E-2</v>
      </c>
      <c r="M992" s="530">
        <v>0.11281428235500247</v>
      </c>
      <c r="N992" s="530">
        <v>7.569608500541597E-2</v>
      </c>
      <c r="O992" s="530">
        <v>0.12926293101229208</v>
      </c>
      <c r="P992" s="529">
        <v>8.874587532973259E-2</v>
      </c>
      <c r="Q992" s="530">
        <v>4.0310572973996608E-2</v>
      </c>
      <c r="R992" s="530">
        <v>0.11130070106639418</v>
      </c>
      <c r="S992" s="530">
        <v>8.428826602004838E-2</v>
      </c>
      <c r="T992" s="530">
        <v>0.10388159602477093</v>
      </c>
      <c r="U992" s="529">
        <v>8.7985050777475121E-2</v>
      </c>
      <c r="V992" s="530">
        <v>-2.5194530316869173E-2</v>
      </c>
      <c r="W992" s="530">
        <v>4.0514850537652199E-2</v>
      </c>
      <c r="X992" s="530">
        <v>2.800876707540844E-2</v>
      </c>
      <c r="Y992" s="530">
        <v>4.6207129294740482E-2</v>
      </c>
      <c r="Z992" s="529">
        <v>2.484271883406541E-2</v>
      </c>
      <c r="AA992" s="530">
        <v>1.2268716196982762E-2</v>
      </c>
      <c r="AB992" s="530">
        <v>1.9701751591839199E-2</v>
      </c>
      <c r="AC992" s="530">
        <v>7.2850577157102386E-2</v>
      </c>
      <c r="AD992" s="530">
        <v>0.10311877606128678</v>
      </c>
      <c r="AE992" s="529">
        <v>5.3808048114601638E-2</v>
      </c>
      <c r="AF992" s="530">
        <v>8.6376895835351505E-2</v>
      </c>
      <c r="AG992" s="530">
        <v>0.12768922499758112</v>
      </c>
      <c r="AH992" s="530">
        <v>6.6338024186327199E-2</v>
      </c>
      <c r="AI992" s="530">
        <v>0.13346132233104918</v>
      </c>
      <c r="AJ992" s="529">
        <v>0.10445819912014948</v>
      </c>
      <c r="AK992" s="530">
        <v>0.11469015960335623</v>
      </c>
      <c r="AL992" s="530">
        <v>0.14717471982154634</v>
      </c>
      <c r="AM992" s="530">
        <v>0.13171007459492326</v>
      </c>
      <c r="AN992" s="530">
        <v>0.15185510454512696</v>
      </c>
      <c r="AO992" s="529">
        <v>0.13704990902521955</v>
      </c>
      <c r="AP992" s="530">
        <v>7.3417616666148905E-2</v>
      </c>
      <c r="AQ992" s="530">
        <v>0.1925440092939058</v>
      </c>
      <c r="AR992" s="530">
        <v>0.131776406287581</v>
      </c>
      <c r="AS992" s="530">
        <v>0.2260067254528359</v>
      </c>
      <c r="AT992" s="529">
        <v>0.1638888362319238</v>
      </c>
      <c r="AU992" s="530">
        <v>0.21827340402791851</v>
      </c>
      <c r="AV992" s="530">
        <v>0.25179322835712681</v>
      </c>
      <c r="AW992" s="530">
        <v>0.27079830847313469</v>
      </c>
      <c r="AX992" s="530">
        <v>0.24122755031620349</v>
      </c>
      <c r="AY992" s="529">
        <v>0.24666810328773392</v>
      </c>
      <c r="AZ992" s="530">
        <v>0.21444658474112394</v>
      </c>
      <c r="BA992" s="530">
        <v>0.23639499001633701</v>
      </c>
      <c r="BB992" s="530">
        <v>0.19589996617057853</v>
      </c>
      <c r="BC992" s="530">
        <v>0.14524937896359702</v>
      </c>
      <c r="BD992" s="529">
        <v>0.20113121459906308</v>
      </c>
      <c r="BE992" s="530">
        <v>0.13426014865482805</v>
      </c>
      <c r="BF992" s="530">
        <v>0.18906179924770047</v>
      </c>
      <c r="BG992" s="530">
        <v>6.8203267995607164E-2</v>
      </c>
      <c r="BH992" s="530">
        <v>8.7035732668707774E-2</v>
      </c>
      <c r="BI992" s="531">
        <v>0.12085037070098779</v>
      </c>
      <c r="BJ992" s="530">
        <v>6.4991187500473266E-2</v>
      </c>
      <c r="BK992" s="530">
        <v>0.17254259584051324</v>
      </c>
      <c r="BL992" s="530">
        <v>0.14099833454611482</v>
      </c>
      <c r="BM992" s="530">
        <v>0.12914443679548668</v>
      </c>
      <c r="BN992" s="529">
        <v>0.1292452954898988</v>
      </c>
      <c r="BO992" s="530">
        <v>0.11253696450500179</v>
      </c>
      <c r="BP992" s="530">
        <v>0.1865377102828554</v>
      </c>
      <c r="BQ992" s="530">
        <v>0.14734081812782868</v>
      </c>
      <c r="BR992" s="530">
        <v>0.15291498220047103</v>
      </c>
      <c r="BS992" s="529">
        <v>0.15093206313319102</v>
      </c>
      <c r="BT992" s="529">
        <v>0.16339370857598928</v>
      </c>
      <c r="BU992" s="529">
        <v>0.17570850987267572</v>
      </c>
      <c r="BV992" s="529">
        <v>0.18793837639930491</v>
      </c>
      <c r="BW992" s="161"/>
    </row>
    <row r="993" spans="1:75" s="217" customFormat="1" hidden="1" outlineLevel="2" x14ac:dyDescent="0.5">
      <c r="A993" s="178"/>
      <c r="B993" s="179"/>
      <c r="C993" s="180"/>
      <c r="D993" s="180"/>
      <c r="E993" s="180"/>
      <c r="F993" s="180"/>
      <c r="G993" s="181"/>
      <c r="H993" s="181"/>
      <c r="I993" s="181"/>
      <c r="J993" s="181"/>
      <c r="K993" s="180"/>
      <c r="L993" s="181"/>
      <c r="M993" s="181"/>
      <c r="N993" s="181"/>
      <c r="O993" s="181"/>
      <c r="P993" s="180"/>
      <c r="Q993" s="181"/>
      <c r="R993" s="181"/>
      <c r="S993" s="181"/>
      <c r="T993" s="181"/>
      <c r="U993" s="180"/>
      <c r="V993" s="181"/>
      <c r="W993" s="181"/>
      <c r="X993" s="181"/>
      <c r="Y993" s="181"/>
      <c r="Z993" s="180"/>
      <c r="AA993" s="181"/>
      <c r="AB993" s="181"/>
      <c r="AC993" s="181"/>
      <c r="AD993" s="181"/>
      <c r="AE993" s="180"/>
      <c r="AF993" s="181"/>
      <c r="AG993" s="181"/>
      <c r="AH993" s="181"/>
      <c r="AI993" s="181"/>
      <c r="AJ993" s="180"/>
      <c r="AK993" s="181"/>
      <c r="AL993" s="181"/>
      <c r="AM993" s="181"/>
      <c r="AN993" s="181"/>
      <c r="AO993" s="180"/>
      <c r="AP993" s="181"/>
      <c r="AQ993" s="181"/>
      <c r="AR993" s="181"/>
      <c r="AS993" s="181"/>
      <c r="AT993" s="180"/>
      <c r="AU993" s="181"/>
      <c r="AV993" s="181"/>
      <c r="AW993" s="181"/>
      <c r="AX993" s="181"/>
      <c r="AY993" s="180"/>
      <c r="AZ993" s="181"/>
      <c r="BA993" s="181"/>
      <c r="BB993" s="181"/>
      <c r="BC993" s="181"/>
      <c r="BD993" s="180"/>
      <c r="BE993" s="181"/>
      <c r="BF993" s="181"/>
      <c r="BG993" s="181"/>
      <c r="BH993" s="181"/>
      <c r="BI993" s="182"/>
      <c r="BJ993" s="181"/>
      <c r="BK993" s="181"/>
      <c r="BL993" s="181"/>
      <c r="BM993" s="181"/>
      <c r="BN993" s="180"/>
      <c r="BO993" s="181"/>
      <c r="BP993" s="181"/>
      <c r="BQ993" s="181"/>
      <c r="BR993" s="181"/>
      <c r="BS993" s="180"/>
      <c r="BT993" s="180"/>
      <c r="BU993" s="180"/>
      <c r="BV993" s="180"/>
      <c r="BW993" s="161"/>
    </row>
    <row r="994" spans="1:75" s="217" customFormat="1" hidden="1" outlineLevel="2" x14ac:dyDescent="0.5">
      <c r="A994" s="652" t="s">
        <v>1035</v>
      </c>
      <c r="B994" s="658"/>
      <c r="C994" s="654">
        <v>0.67990921949543304</v>
      </c>
      <c r="D994" s="654">
        <v>0.64850301260947885</v>
      </c>
      <c r="E994" s="654">
        <v>0.62806079633936063</v>
      </c>
      <c r="F994" s="654">
        <v>0.63144841020379761</v>
      </c>
      <c r="G994" s="655">
        <v>0.66191672446463601</v>
      </c>
      <c r="H994" s="655">
        <v>0.63562750917303934</v>
      </c>
      <c r="I994" s="655">
        <v>0.64429353867297245</v>
      </c>
      <c r="J994" s="655">
        <v>0.62904552527698032</v>
      </c>
      <c r="K994" s="654">
        <v>0.64094519462449417</v>
      </c>
      <c r="L994" s="655">
        <v>0.66048425409688361</v>
      </c>
      <c r="M994" s="655">
        <v>0.61290419258309781</v>
      </c>
      <c r="N994" s="655">
        <v>0.62784752669314492</v>
      </c>
      <c r="O994" s="655">
        <v>0.62565146286339923</v>
      </c>
      <c r="P994" s="654">
        <v>0.63009218055693894</v>
      </c>
      <c r="Q994" s="655">
        <v>0.65724058753210468</v>
      </c>
      <c r="R994" s="655">
        <v>0.60723909244055529</v>
      </c>
      <c r="S994" s="655">
        <v>0.63270668712705047</v>
      </c>
      <c r="T994" s="655">
        <v>0.64393054473986733</v>
      </c>
      <c r="U994" s="654">
        <v>0.63494366540446079</v>
      </c>
      <c r="V994" s="655">
        <v>0.70314585821682007</v>
      </c>
      <c r="W994" s="655">
        <v>0.66277805075996399</v>
      </c>
      <c r="X994" s="655">
        <v>0.67668678822124495</v>
      </c>
      <c r="Y994" s="655">
        <v>0.6535388640457378</v>
      </c>
      <c r="Z994" s="654">
        <v>0.67239953757917459</v>
      </c>
      <c r="AA994" s="655">
        <v>0.69464133219470536</v>
      </c>
      <c r="AB994" s="655">
        <v>0.65941573701543588</v>
      </c>
      <c r="AC994" s="655">
        <v>0.63100090637041695</v>
      </c>
      <c r="AD994" s="655">
        <v>0.61545732422064536</v>
      </c>
      <c r="AE994" s="654">
        <v>0.64858079849192574</v>
      </c>
      <c r="AF994" s="655">
        <v>0.624566294585993</v>
      </c>
      <c r="AG994" s="655">
        <v>0.58433893357358824</v>
      </c>
      <c r="AH994" s="655">
        <v>0.60034048231340031</v>
      </c>
      <c r="AI994" s="655">
        <v>0.61261076206084042</v>
      </c>
      <c r="AJ994" s="654">
        <v>0.60490697446528141</v>
      </c>
      <c r="AK994" s="655">
        <v>0.60897510829378421</v>
      </c>
      <c r="AL994" s="655">
        <v>0.58025743297372734</v>
      </c>
      <c r="AM994" s="655">
        <v>0.58273707667254793</v>
      </c>
      <c r="AN994" s="655">
        <v>0.57431095257573161</v>
      </c>
      <c r="AO994" s="654">
        <v>0.58589423833208787</v>
      </c>
      <c r="AP994" s="655">
        <v>0.58168131788484034</v>
      </c>
      <c r="AQ994" s="655">
        <v>0.52486303840560922</v>
      </c>
      <c r="AR994" s="655">
        <v>0.51572691093923484</v>
      </c>
      <c r="AS994" s="655">
        <v>0.52561707657434809</v>
      </c>
      <c r="AT994" s="654">
        <v>0.53199702877088728</v>
      </c>
      <c r="AU994" s="655">
        <v>0.52720634020762269</v>
      </c>
      <c r="AV994" s="655">
        <v>0.50682958844486425</v>
      </c>
      <c r="AW994" s="655">
        <v>0.49797302936722743</v>
      </c>
      <c r="AX994" s="655">
        <v>0.49608059977305535</v>
      </c>
      <c r="AY994" s="654">
        <v>0.50654643098557062</v>
      </c>
      <c r="AZ994" s="655">
        <v>0.47917354370453319</v>
      </c>
      <c r="BA994" s="655">
        <v>0.47236037998426816</v>
      </c>
      <c r="BB994" s="655">
        <v>0.50325521882112523</v>
      </c>
      <c r="BC994" s="655">
        <v>0.52180391172027429</v>
      </c>
      <c r="BD994" s="654">
        <v>0.49229280677748394</v>
      </c>
      <c r="BE994" s="655">
        <v>0.52981213861102172</v>
      </c>
      <c r="BF994" s="655">
        <v>0.52519304066690065</v>
      </c>
      <c r="BG994" s="655">
        <v>0.5468068820925821</v>
      </c>
      <c r="BH994" s="655">
        <v>0.56526020643133834</v>
      </c>
      <c r="BI994" s="656">
        <v>0.54144561830706284</v>
      </c>
      <c r="BJ994" s="655">
        <v>0.58370586050722795</v>
      </c>
      <c r="BK994" s="655">
        <v>0.54410458571679055</v>
      </c>
      <c r="BL994" s="655">
        <v>0.54131754843085755</v>
      </c>
      <c r="BM994" s="655">
        <v>0.55178878254198349</v>
      </c>
      <c r="BN994" s="654">
        <v>0.55414692572183288</v>
      </c>
      <c r="BO994" s="655">
        <v>0.57036839654920435</v>
      </c>
      <c r="BP994" s="655">
        <v>0.53989097273777398</v>
      </c>
      <c r="BQ994" s="655">
        <v>0.53836300994497788</v>
      </c>
      <c r="BR994" s="655">
        <v>0.54723623452521719</v>
      </c>
      <c r="BS994" s="654">
        <v>0.54829415188606512</v>
      </c>
      <c r="BT994" s="654">
        <v>0.54554341813851792</v>
      </c>
      <c r="BU994" s="654">
        <v>0.54266078196270495</v>
      </c>
      <c r="BV994" s="654">
        <v>0.53972500801788403</v>
      </c>
      <c r="BW994" s="473"/>
    </row>
    <row r="995" spans="1:75" s="217" customFormat="1" hidden="1" outlineLevel="1" collapsed="1" x14ac:dyDescent="0.5">
      <c r="A995" s="657" t="s">
        <v>1036</v>
      </c>
      <c r="B995" s="659"/>
      <c r="C995" s="180">
        <v>0.32009078050456691</v>
      </c>
      <c r="D995" s="180">
        <v>0.3514969873905211</v>
      </c>
      <c r="E995" s="180">
        <v>0.37193920366063937</v>
      </c>
      <c r="F995" s="180">
        <v>0.36855158979620239</v>
      </c>
      <c r="G995" s="181">
        <v>0.33808327553536399</v>
      </c>
      <c r="H995" s="181">
        <v>0.3643724908269606</v>
      </c>
      <c r="I995" s="181">
        <v>0.3557064613270276</v>
      </c>
      <c r="J995" s="181">
        <v>0.37095447472301962</v>
      </c>
      <c r="K995" s="180">
        <v>0.35905480537550577</v>
      </c>
      <c r="L995" s="181">
        <v>0.33951574590311645</v>
      </c>
      <c r="M995" s="181">
        <v>0.38709580741690214</v>
      </c>
      <c r="N995" s="181">
        <v>0.37215247330685508</v>
      </c>
      <c r="O995" s="181">
        <v>0.37434853713660082</v>
      </c>
      <c r="P995" s="180">
        <v>0.369907819443061</v>
      </c>
      <c r="Q995" s="181">
        <v>0.34275941246789521</v>
      </c>
      <c r="R995" s="181">
        <v>0.39276090755944471</v>
      </c>
      <c r="S995" s="181">
        <v>0.36729331287294958</v>
      </c>
      <c r="T995" s="181">
        <v>0.35606945526013267</v>
      </c>
      <c r="U995" s="180">
        <v>0.36505633459553921</v>
      </c>
      <c r="V995" s="181">
        <v>0.29685414178317998</v>
      </c>
      <c r="W995" s="181">
        <v>0.33722194924003601</v>
      </c>
      <c r="X995" s="181">
        <v>0.32331321177875511</v>
      </c>
      <c r="Y995" s="181">
        <v>0.3464611359542622</v>
      </c>
      <c r="Z995" s="180">
        <v>0.32760046242082536</v>
      </c>
      <c r="AA995" s="181">
        <v>0.30535866780529464</v>
      </c>
      <c r="AB995" s="181">
        <v>0.34058426298456407</v>
      </c>
      <c r="AC995" s="181">
        <v>0.36899909362958305</v>
      </c>
      <c r="AD995" s="181">
        <v>0.38454267577935458</v>
      </c>
      <c r="AE995" s="180">
        <v>0.35141920150807421</v>
      </c>
      <c r="AF995" s="181">
        <v>0.375433705414007</v>
      </c>
      <c r="AG995" s="181">
        <v>0.41566106642641176</v>
      </c>
      <c r="AH995" s="181">
        <v>0.39965951768659969</v>
      </c>
      <c r="AI995" s="181">
        <v>0.38738923793915958</v>
      </c>
      <c r="AJ995" s="180">
        <v>0.39509302553471853</v>
      </c>
      <c r="AK995" s="181">
        <v>0.39102489170621574</v>
      </c>
      <c r="AL995" s="181">
        <v>0.41974256702627272</v>
      </c>
      <c r="AM995" s="181">
        <v>0.41726292332745202</v>
      </c>
      <c r="AN995" s="181">
        <v>0.42568904742426833</v>
      </c>
      <c r="AO995" s="180">
        <v>0.41410576166791208</v>
      </c>
      <c r="AP995" s="181">
        <v>0.4183186821151596</v>
      </c>
      <c r="AQ995" s="181">
        <v>0.47513696159439078</v>
      </c>
      <c r="AR995" s="181">
        <v>0.48427308906076511</v>
      </c>
      <c r="AS995" s="181">
        <v>0.47438292342565191</v>
      </c>
      <c r="AT995" s="180">
        <v>0.46800297122911277</v>
      </c>
      <c r="AU995" s="181">
        <v>0.47279365979237725</v>
      </c>
      <c r="AV995" s="181">
        <v>0.4931704115551358</v>
      </c>
      <c r="AW995" s="181">
        <v>0.50202697063277257</v>
      </c>
      <c r="AX995" s="181">
        <v>0.50391940022694459</v>
      </c>
      <c r="AY995" s="180">
        <v>0.49345356901442938</v>
      </c>
      <c r="AZ995" s="181">
        <v>0.52082645629546676</v>
      </c>
      <c r="BA995" s="181">
        <v>0.52763962001573195</v>
      </c>
      <c r="BB995" s="181">
        <v>0.49674478117887477</v>
      </c>
      <c r="BC995" s="181">
        <v>0.47819608827972571</v>
      </c>
      <c r="BD995" s="180">
        <v>0.50770719322251612</v>
      </c>
      <c r="BE995" s="181">
        <v>0.47018786138897833</v>
      </c>
      <c r="BF995" s="181">
        <v>0.47480695933309935</v>
      </c>
      <c r="BG995" s="181">
        <v>0.45319311790741795</v>
      </c>
      <c r="BH995" s="181">
        <v>0.43473979356866166</v>
      </c>
      <c r="BI995" s="182">
        <v>0.45855438169293722</v>
      </c>
      <c r="BJ995" s="181">
        <v>0.416294139492772</v>
      </c>
      <c r="BK995" s="181">
        <v>0.4558954142832094</v>
      </c>
      <c r="BL995" s="181">
        <v>0.45868245156914245</v>
      </c>
      <c r="BM995" s="181">
        <v>0.44821121745801645</v>
      </c>
      <c r="BN995" s="180">
        <v>0.44585307427816706</v>
      </c>
      <c r="BO995" s="181">
        <v>0.42963160345079565</v>
      </c>
      <c r="BP995" s="181">
        <v>0.46010902726222597</v>
      </c>
      <c r="BQ995" s="181">
        <v>0.46163699005502218</v>
      </c>
      <c r="BR995" s="181">
        <v>0.45276376547478286</v>
      </c>
      <c r="BS995" s="180">
        <v>0.45170584811393494</v>
      </c>
      <c r="BT995" s="180">
        <v>0.45445658186148213</v>
      </c>
      <c r="BU995" s="180">
        <v>0.45733921803729494</v>
      </c>
      <c r="BV995" s="180">
        <v>0.46027499198211591</v>
      </c>
      <c r="BW995" s="473"/>
    </row>
    <row r="996" spans="1:75" s="662" customFormat="1" ht="14.25" hidden="1" outlineLevel="1" x14ac:dyDescent="0.45">
      <c r="A996" s="438" t="s">
        <v>195</v>
      </c>
      <c r="B996" s="660"/>
      <c r="C996" s="417"/>
      <c r="D996" s="417"/>
      <c r="E996" s="417"/>
      <c r="F996" s="417"/>
      <c r="G996" s="378"/>
      <c r="H996" s="378"/>
      <c r="I996" s="378"/>
      <c r="J996" s="378"/>
      <c r="K996" s="417"/>
      <c r="L996" s="378"/>
      <c r="M996" s="378"/>
      <c r="N996" s="378"/>
      <c r="O996" s="378"/>
      <c r="P996" s="417"/>
      <c r="Q996" s="378"/>
      <c r="R996" s="378"/>
      <c r="S996" s="378"/>
      <c r="T996" s="378"/>
      <c r="U996" s="417"/>
      <c r="V996" s="378"/>
      <c r="W996" s="374"/>
      <c r="X996" s="378"/>
      <c r="Y996" s="374"/>
      <c r="Z996" s="172"/>
      <c r="AA996" s="378"/>
      <c r="AB996" s="378"/>
      <c r="AC996" s="378"/>
      <c r="AD996" s="374"/>
      <c r="AE996" s="172"/>
      <c r="AF996" s="378"/>
      <c r="AG996" s="378"/>
      <c r="AH996" s="378"/>
      <c r="AI996" s="374"/>
      <c r="AJ996" s="172"/>
      <c r="AK996" s="378"/>
      <c r="AL996" s="378"/>
      <c r="AM996" s="378"/>
      <c r="AN996" s="374"/>
      <c r="AO996" s="172"/>
      <c r="AP996" s="378"/>
      <c r="AQ996" s="378"/>
      <c r="AR996" s="378"/>
      <c r="AS996" s="374"/>
      <c r="AT996" s="172"/>
      <c r="AU996" s="378"/>
      <c r="AV996" s="378"/>
      <c r="AW996" s="378"/>
      <c r="AX996" s="374"/>
      <c r="AY996" s="172"/>
      <c r="AZ996" s="378"/>
      <c r="BA996" s="378"/>
      <c r="BB996" s="378"/>
      <c r="BC996" s="374"/>
      <c r="BD996" s="172"/>
      <c r="BE996" s="378"/>
      <c r="BF996" s="378"/>
      <c r="BG996" s="378"/>
      <c r="BH996" s="374"/>
      <c r="BI996" s="174"/>
      <c r="BJ996" s="378" t="s">
        <v>189</v>
      </c>
      <c r="BK996" s="378" t="s">
        <v>189</v>
      </c>
      <c r="BL996" s="378" t="s">
        <v>189</v>
      </c>
      <c r="BM996" s="378" t="s">
        <v>189</v>
      </c>
      <c r="BN996" s="661" t="s">
        <v>189</v>
      </c>
      <c r="BO996" s="378" t="s">
        <v>189</v>
      </c>
      <c r="BP996" s="378" t="s">
        <v>189</v>
      </c>
      <c r="BQ996" s="378" t="s">
        <v>189</v>
      </c>
      <c r="BR996" s="378" t="s">
        <v>189</v>
      </c>
      <c r="BS996" s="661" t="s">
        <v>189</v>
      </c>
      <c r="BT996" s="661" t="s">
        <v>189</v>
      </c>
      <c r="BU996" s="661" t="s">
        <v>189</v>
      </c>
      <c r="BV996" s="661" t="s">
        <v>189</v>
      </c>
      <c r="BW996" s="378"/>
    </row>
    <row r="997" spans="1:75" s="217" customFormat="1" hidden="1" outlineLevel="1" x14ac:dyDescent="0.5">
      <c r="A997" s="178"/>
      <c r="B997" s="179"/>
      <c r="C997" s="180"/>
      <c r="D997" s="180"/>
      <c r="E997" s="180"/>
      <c r="F997" s="180"/>
      <c r="G997" s="181"/>
      <c r="H997" s="181"/>
      <c r="I997" s="181"/>
      <c r="J997" s="181"/>
      <c r="K997" s="180"/>
      <c r="L997" s="181"/>
      <c r="M997" s="181"/>
      <c r="N997" s="181"/>
      <c r="O997" s="181"/>
      <c r="P997" s="180"/>
      <c r="Q997" s="181"/>
      <c r="R997" s="181"/>
      <c r="S997" s="181"/>
      <c r="T997" s="181"/>
      <c r="U997" s="180"/>
      <c r="V997" s="181"/>
      <c r="W997" s="181"/>
      <c r="X997" s="181"/>
      <c r="Y997" s="181"/>
      <c r="Z997" s="180"/>
      <c r="AA997" s="181"/>
      <c r="AB997" s="181"/>
      <c r="AC997" s="181"/>
      <c r="AD997" s="181"/>
      <c r="AE997" s="180"/>
      <c r="AF997" s="181"/>
      <c r="AG997" s="181"/>
      <c r="AH997" s="181"/>
      <c r="AI997" s="181"/>
      <c r="AJ997" s="180"/>
      <c r="AK997" s="181"/>
      <c r="AL997" s="181"/>
      <c r="AM997" s="181"/>
      <c r="AN997" s="181"/>
      <c r="AO997" s="180"/>
      <c r="AP997" s="181"/>
      <c r="AQ997" s="181"/>
      <c r="AR997" s="181"/>
      <c r="AS997" s="181"/>
      <c r="AT997" s="180"/>
      <c r="AU997" s="181"/>
      <c r="AV997" s="181"/>
      <c r="AW997" s="181"/>
      <c r="AX997" s="181"/>
      <c r="AY997" s="180"/>
      <c r="AZ997" s="181"/>
      <c r="BA997" s="181"/>
      <c r="BB997" s="181"/>
      <c r="BC997" s="181"/>
      <c r="BD997" s="180"/>
      <c r="BE997" s="181"/>
      <c r="BF997" s="181"/>
      <c r="BG997" s="181"/>
      <c r="BH997" s="181"/>
      <c r="BI997" s="182"/>
      <c r="BJ997" s="181"/>
      <c r="BK997" s="181"/>
      <c r="BL997" s="181"/>
      <c r="BM997" s="181"/>
      <c r="BN997" s="180"/>
      <c r="BO997" s="181"/>
      <c r="BP997" s="181"/>
      <c r="BQ997" s="181"/>
      <c r="BR997" s="181"/>
      <c r="BS997" s="180"/>
      <c r="BT997" s="180"/>
      <c r="BU997" s="180"/>
      <c r="BV997" s="180"/>
      <c r="BW997" s="161"/>
    </row>
    <row r="998" spans="1:75" s="217" customFormat="1" hidden="1" outlineLevel="1" x14ac:dyDescent="0.5">
      <c r="A998" s="526" t="s">
        <v>1037</v>
      </c>
      <c r="B998" s="663"/>
      <c r="C998" s="213">
        <v>0.36414489719267684</v>
      </c>
      <c r="D998" s="213">
        <v>0.34089591486013626</v>
      </c>
      <c r="E998" s="213">
        <v>0.32056688140079576</v>
      </c>
      <c r="F998" s="213">
        <v>0.31098968522588394</v>
      </c>
      <c r="G998" s="214">
        <v>0.32281465601635378</v>
      </c>
      <c r="H998" s="214">
        <v>0.27491899983773793</v>
      </c>
      <c r="I998" s="214">
        <v>0.29542836354817192</v>
      </c>
      <c r="J998" s="214">
        <v>0.2474421976959639</v>
      </c>
      <c r="K998" s="213">
        <v>0.28110249064934584</v>
      </c>
      <c r="L998" s="214">
        <v>0.30135097500641628</v>
      </c>
      <c r="M998" s="214">
        <v>0.27428152506189973</v>
      </c>
      <c r="N998" s="214">
        <v>0.29645638830143911</v>
      </c>
      <c r="O998" s="214">
        <v>0.24765971029315617</v>
      </c>
      <c r="P998" s="213">
        <v>0.27703861258997697</v>
      </c>
      <c r="Q998" s="214">
        <v>0.29873711370710981</v>
      </c>
      <c r="R998" s="214">
        <v>0.27066212702833858</v>
      </c>
      <c r="S998" s="214">
        <v>0.27347105901268004</v>
      </c>
      <c r="T998" s="214">
        <v>0.24148341800472181</v>
      </c>
      <c r="U998" s="213">
        <v>0.2680404892162469</v>
      </c>
      <c r="V998" s="214">
        <v>0.29529526452610128</v>
      </c>
      <c r="W998" s="214">
        <v>0.27616902320839337</v>
      </c>
      <c r="X998" s="214">
        <v>0.29028012407887455</v>
      </c>
      <c r="Y998" s="214">
        <v>0.26024024522703654</v>
      </c>
      <c r="Z998" s="213">
        <v>0.27947184508154094</v>
      </c>
      <c r="AA998" s="214">
        <v>0.29063478508397383</v>
      </c>
      <c r="AB998" s="214">
        <v>0.27612700863618672</v>
      </c>
      <c r="AC998" s="214">
        <v>0.2879743043142895</v>
      </c>
      <c r="AD998" s="214">
        <v>0.27238763067632882</v>
      </c>
      <c r="AE998" s="213">
        <v>0.28131224725083809</v>
      </c>
      <c r="AF998" s="214">
        <v>0.28724305084624141</v>
      </c>
      <c r="AG998" s="214">
        <v>0.29823185523713491</v>
      </c>
      <c r="AH998" s="214">
        <v>0.30400654026743684</v>
      </c>
      <c r="AI998" s="214">
        <v>0.23633010480439051</v>
      </c>
      <c r="AJ998" s="213">
        <v>0.28069468201304504</v>
      </c>
      <c r="AK998" s="214">
        <v>0.27330612490272765</v>
      </c>
      <c r="AL998" s="214">
        <v>0.27110715428144383</v>
      </c>
      <c r="AM998" s="214">
        <v>0.28757746903455189</v>
      </c>
      <c r="AN998" s="214">
        <v>0.25150682129881369</v>
      </c>
      <c r="AO998" s="213">
        <v>0.27089140120723249</v>
      </c>
      <c r="AP998" s="214">
        <v>0.31877944480684206</v>
      </c>
      <c r="AQ998" s="214">
        <v>0.25683962530013194</v>
      </c>
      <c r="AR998" s="214">
        <v>0.21756783310487526</v>
      </c>
      <c r="AS998" s="214">
        <v>0.23781413744643867</v>
      </c>
      <c r="AT998" s="213">
        <v>0.25026885974345953</v>
      </c>
      <c r="AU998" s="214">
        <v>0.2471270643779217</v>
      </c>
      <c r="AV998" s="214">
        <v>0.2275562036650321</v>
      </c>
      <c r="AW998" s="214">
        <v>0.22509707599550094</v>
      </c>
      <c r="AX998" s="214">
        <v>0.25211609899050635</v>
      </c>
      <c r="AY998" s="213">
        <v>0.2372733272656628</v>
      </c>
      <c r="AZ998" s="214">
        <v>0.27374406137312335</v>
      </c>
      <c r="BA998" s="214">
        <v>0.2808374175591456</v>
      </c>
      <c r="BB998" s="214">
        <v>0.2892242936669942</v>
      </c>
      <c r="BC998" s="214">
        <v>0.31222435239398377</v>
      </c>
      <c r="BD998" s="213">
        <v>0.28772917915920365</v>
      </c>
      <c r="BE998" s="214">
        <v>0.32084035705298702</v>
      </c>
      <c r="BF998" s="214">
        <v>0.27322265793356226</v>
      </c>
      <c r="BG998" s="214">
        <v>0.37976238809943752</v>
      </c>
      <c r="BH998" s="214">
        <v>0.34416465743775898</v>
      </c>
      <c r="BI998" s="215">
        <v>0.32855417701343553</v>
      </c>
      <c r="BJ998" s="214">
        <v>0.34647074465801753</v>
      </c>
      <c r="BK998" s="214">
        <v>0.27920526102306059</v>
      </c>
      <c r="BL998" s="214">
        <v>0.31360514096056574</v>
      </c>
      <c r="BM998" s="214">
        <v>0.31478357847788235</v>
      </c>
      <c r="BN998" s="213">
        <v>0.31229129541797712</v>
      </c>
      <c r="BO998" s="214">
        <v>0.31299968176720588</v>
      </c>
      <c r="BP998" s="214">
        <v>0.26996622538208809</v>
      </c>
      <c r="BQ998" s="214">
        <v>0.3107348289635421</v>
      </c>
      <c r="BR998" s="214">
        <v>0.29594615129992907</v>
      </c>
      <c r="BS998" s="213">
        <v>0.29699527568641865</v>
      </c>
      <c r="BT998" s="213">
        <v>0.28749003781453752</v>
      </c>
      <c r="BU998" s="213">
        <v>0.27816886756090786</v>
      </c>
      <c r="BV998" s="213">
        <v>0.26894674281558617</v>
      </c>
      <c r="BW998" s="473"/>
    </row>
    <row r="999" spans="1:75" s="217" customFormat="1" hidden="1" outlineLevel="1" x14ac:dyDescent="0.5">
      <c r="A999" s="664" t="s">
        <v>1038</v>
      </c>
      <c r="B999" s="658"/>
      <c r="C999" s="654">
        <v>0</v>
      </c>
      <c r="D999" s="654">
        <v>0</v>
      </c>
      <c r="E999" s="654">
        <v>0</v>
      </c>
      <c r="F999" s="654">
        <v>0</v>
      </c>
      <c r="G999" s="655">
        <v>0</v>
      </c>
      <c r="H999" s="655">
        <v>0</v>
      </c>
      <c r="I999" s="655">
        <v>0</v>
      </c>
      <c r="J999" s="655">
        <v>0</v>
      </c>
      <c r="K999" s="654">
        <v>0</v>
      </c>
      <c r="L999" s="655">
        <v>0</v>
      </c>
      <c r="M999" s="655">
        <v>0</v>
      </c>
      <c r="N999" s="655">
        <v>0</v>
      </c>
      <c r="O999" s="655">
        <v>0</v>
      </c>
      <c r="P999" s="654">
        <v>0</v>
      </c>
      <c r="Q999" s="655">
        <v>0</v>
      </c>
      <c r="R999" s="655">
        <v>0</v>
      </c>
      <c r="S999" s="655">
        <v>0</v>
      </c>
      <c r="T999" s="655">
        <v>0</v>
      </c>
      <c r="U999" s="654">
        <v>0</v>
      </c>
      <c r="V999" s="655">
        <v>0</v>
      </c>
      <c r="W999" s="655">
        <v>0</v>
      </c>
      <c r="X999" s="655">
        <v>0</v>
      </c>
      <c r="Y999" s="655">
        <v>0</v>
      </c>
      <c r="Z999" s="654">
        <v>0</v>
      </c>
      <c r="AA999" s="655">
        <v>0</v>
      </c>
      <c r="AB999" s="655">
        <v>0</v>
      </c>
      <c r="AC999" s="655">
        <v>0</v>
      </c>
      <c r="AD999" s="655">
        <v>0</v>
      </c>
      <c r="AE999" s="654">
        <v>0</v>
      </c>
      <c r="AF999" s="655">
        <v>0</v>
      </c>
      <c r="AG999" s="655">
        <v>0</v>
      </c>
      <c r="AH999" s="655">
        <v>0</v>
      </c>
      <c r="AI999" s="655">
        <v>0</v>
      </c>
      <c r="AJ999" s="654">
        <v>0</v>
      </c>
      <c r="AK999" s="655">
        <v>0</v>
      </c>
      <c r="AL999" s="655">
        <v>0</v>
      </c>
      <c r="AM999" s="655">
        <v>0</v>
      </c>
      <c r="AN999" s="655">
        <v>0</v>
      </c>
      <c r="AO999" s="654">
        <v>0</v>
      </c>
      <c r="AP999" s="655">
        <v>0</v>
      </c>
      <c r="AQ999" s="655">
        <v>0</v>
      </c>
      <c r="AR999" s="655">
        <v>0</v>
      </c>
      <c r="AS999" s="655">
        <v>0</v>
      </c>
      <c r="AT999" s="654">
        <v>0</v>
      </c>
      <c r="AU999" s="655">
        <v>0</v>
      </c>
      <c r="AV999" s="655">
        <v>0</v>
      </c>
      <c r="AW999" s="655">
        <v>0</v>
      </c>
      <c r="AX999" s="655">
        <v>0</v>
      </c>
      <c r="AY999" s="654">
        <v>0</v>
      </c>
      <c r="AZ999" s="655">
        <v>0</v>
      </c>
      <c r="BA999" s="655">
        <v>0</v>
      </c>
      <c r="BB999" s="655">
        <v>0</v>
      </c>
      <c r="BC999" s="655">
        <v>0</v>
      </c>
      <c r="BD999" s="654">
        <v>0</v>
      </c>
      <c r="BE999" s="655">
        <v>0</v>
      </c>
      <c r="BF999" s="655">
        <v>0</v>
      </c>
      <c r="BG999" s="655">
        <v>0</v>
      </c>
      <c r="BH999" s="655">
        <v>0</v>
      </c>
      <c r="BI999" s="656">
        <v>0</v>
      </c>
      <c r="BJ999" s="655">
        <v>0</v>
      </c>
      <c r="BK999" s="655">
        <v>0</v>
      </c>
      <c r="BL999" s="655">
        <v>0</v>
      </c>
      <c r="BM999" s="655">
        <v>0</v>
      </c>
      <c r="BN999" s="654">
        <v>0</v>
      </c>
      <c r="BO999" s="655">
        <v>0</v>
      </c>
      <c r="BP999" s="655">
        <v>0</v>
      </c>
      <c r="BQ999" s="655">
        <v>0</v>
      </c>
      <c r="BR999" s="655">
        <v>0</v>
      </c>
      <c r="BS999" s="654">
        <v>0</v>
      </c>
      <c r="BT999" s="654">
        <v>0</v>
      </c>
      <c r="BU999" s="654">
        <v>0</v>
      </c>
      <c r="BV999" s="654">
        <v>0</v>
      </c>
      <c r="BW999" s="473"/>
    </row>
    <row r="1000" spans="1:75" s="217" customFormat="1" hidden="1" outlineLevel="1" x14ac:dyDescent="0.5">
      <c r="A1000" s="527" t="s">
        <v>1039</v>
      </c>
      <c r="B1000" s="665"/>
      <c r="C1000" s="529">
        <v>-4.4054116688109962E-2</v>
      </c>
      <c r="D1000" s="529">
        <v>1.0601072530384847E-2</v>
      </c>
      <c r="E1000" s="529">
        <v>5.1372322259843652E-2</v>
      </c>
      <c r="F1000" s="529">
        <v>5.7561904570318401E-2</v>
      </c>
      <c r="G1000" s="530">
        <v>1.5268619519010228E-2</v>
      </c>
      <c r="H1000" s="530">
        <v>8.9453490989222673E-2</v>
      </c>
      <c r="I1000" s="530">
        <v>6.0278097778855642E-2</v>
      </c>
      <c r="J1000" s="530">
        <v>0.12351227702705574</v>
      </c>
      <c r="K1000" s="529">
        <v>7.7952314726159974E-2</v>
      </c>
      <c r="L1000" s="530">
        <v>3.8164770896700166E-2</v>
      </c>
      <c r="M1000" s="530">
        <v>0.11281428235500243</v>
      </c>
      <c r="N1000" s="530">
        <v>7.569608500541597E-2</v>
      </c>
      <c r="O1000" s="530">
        <v>0.12668882684344462</v>
      </c>
      <c r="P1000" s="529">
        <v>9.2869206853084058E-2</v>
      </c>
      <c r="Q1000" s="530">
        <v>4.4022298760785415E-2</v>
      </c>
      <c r="R1000" s="530">
        <v>0.12209878053110616</v>
      </c>
      <c r="S1000" s="530">
        <v>9.3822253860269503E-2</v>
      </c>
      <c r="T1000" s="530">
        <v>0.11458603725541083</v>
      </c>
      <c r="U1000" s="529">
        <v>9.7015845379292309E-2</v>
      </c>
      <c r="V1000" s="530">
        <v>1.5588772570786999E-3</v>
      </c>
      <c r="W1000" s="530">
        <v>6.1052926031642647E-2</v>
      </c>
      <c r="X1000" s="530">
        <v>3.3033087699880503E-2</v>
      </c>
      <c r="Y1000" s="530">
        <v>8.6220890727225635E-2</v>
      </c>
      <c r="Z1000" s="529">
        <v>4.8128617339284391E-2</v>
      </c>
      <c r="AA1000" s="530">
        <v>1.4723882721320827E-2</v>
      </c>
      <c r="AB1000" s="530">
        <v>6.4457254348377374E-2</v>
      </c>
      <c r="AC1000" s="530">
        <v>8.1024789315293541E-2</v>
      </c>
      <c r="AD1000" s="530">
        <v>0.11215504510302578</v>
      </c>
      <c r="AE1000" s="529">
        <v>7.0106954257236134E-2</v>
      </c>
      <c r="AF1000" s="530">
        <v>8.819065456776562E-2</v>
      </c>
      <c r="AG1000" s="530">
        <v>0.11742921118927685</v>
      </c>
      <c r="AH1000" s="530">
        <v>9.5652977419162843E-2</v>
      </c>
      <c r="AI1000" s="530">
        <v>0.15105913313476904</v>
      </c>
      <c r="AJ1000" s="529">
        <v>0.11439834352167351</v>
      </c>
      <c r="AK1000" s="530">
        <v>0.1177187668034881</v>
      </c>
      <c r="AL1000" s="530">
        <v>0.14863541274482889</v>
      </c>
      <c r="AM1000" s="530">
        <v>0.12968545429290015</v>
      </c>
      <c r="AN1000" s="530">
        <v>0.17418222612545467</v>
      </c>
      <c r="AO1000" s="529">
        <v>0.14321436046067959</v>
      </c>
      <c r="AP1000" s="530">
        <v>9.9539237308317569E-2</v>
      </c>
      <c r="AQ1000" s="530">
        <v>0.2182973362942589</v>
      </c>
      <c r="AR1000" s="530">
        <v>0.26670525595588984</v>
      </c>
      <c r="AS1000" s="530">
        <v>0.23656878597921324</v>
      </c>
      <c r="AT1000" s="529">
        <v>0.21773411148565322</v>
      </c>
      <c r="AU1000" s="530">
        <v>0.22566659541445555</v>
      </c>
      <c r="AV1000" s="530">
        <v>0.2656142078901037</v>
      </c>
      <c r="AW1000" s="530">
        <v>0.27692989463727163</v>
      </c>
      <c r="AX1000" s="530">
        <v>0.25180330123643829</v>
      </c>
      <c r="AY1000" s="529">
        <v>0.25618024174876658</v>
      </c>
      <c r="AZ1000" s="530">
        <v>0.24708239492234346</v>
      </c>
      <c r="BA1000" s="530">
        <v>0.24680220245658629</v>
      </c>
      <c r="BB1000" s="530">
        <v>0.2075204875118806</v>
      </c>
      <c r="BC1000" s="530">
        <v>0.16597173588574191</v>
      </c>
      <c r="BD1000" s="529">
        <v>0.21997801406331244</v>
      </c>
      <c r="BE1000" s="530">
        <v>0.14934750433599128</v>
      </c>
      <c r="BF1000" s="530">
        <v>0.20158430139953706</v>
      </c>
      <c r="BG1000" s="530">
        <v>7.3430729807980391E-2</v>
      </c>
      <c r="BH1000" s="530">
        <v>9.0575136130902664E-2</v>
      </c>
      <c r="BI1000" s="531">
        <v>0.13000020467950169</v>
      </c>
      <c r="BJ1000" s="530">
        <v>6.9823394834754499E-2</v>
      </c>
      <c r="BK1000" s="530">
        <v>0.17669015326014884</v>
      </c>
      <c r="BL1000" s="530">
        <v>0.14507731060857668</v>
      </c>
      <c r="BM1000" s="530">
        <v>0.13342763898013413</v>
      </c>
      <c r="BN1000" s="529">
        <v>0.13356177886018997</v>
      </c>
      <c r="BO1000" s="530">
        <v>0.1166319216835898</v>
      </c>
      <c r="BP1000" s="530">
        <v>0.19014280188013785</v>
      </c>
      <c r="BQ1000" s="530">
        <v>0.15090216109148008</v>
      </c>
      <c r="BR1000" s="530">
        <v>0.15681761417485376</v>
      </c>
      <c r="BS1000" s="529">
        <v>0.15471057242751629</v>
      </c>
      <c r="BT1000" s="529">
        <v>0.16696654404694461</v>
      </c>
      <c r="BU1000" s="529">
        <v>0.1791703504763871</v>
      </c>
      <c r="BV1000" s="529">
        <v>0.19132824916652977</v>
      </c>
      <c r="BW1000" s="473"/>
    </row>
    <row r="1001" spans="1:75" s="217" customFormat="1" hidden="1" outlineLevel="1" x14ac:dyDescent="0.5">
      <c r="A1001" s="170" t="s">
        <v>200</v>
      </c>
      <c r="B1001" s="171"/>
      <c r="C1001" s="172"/>
      <c r="D1001" s="172"/>
      <c r="E1001" s="172"/>
      <c r="F1001" s="172"/>
      <c r="G1001" s="173"/>
      <c r="H1001" s="173"/>
      <c r="I1001" s="173"/>
      <c r="J1001" s="173"/>
      <c r="K1001" s="172"/>
      <c r="L1001" s="173"/>
      <c r="M1001" s="173"/>
      <c r="N1001" s="173"/>
      <c r="O1001" s="173"/>
      <c r="P1001" s="172"/>
      <c r="Q1001" s="173"/>
      <c r="R1001" s="173"/>
      <c r="S1001" s="173"/>
      <c r="T1001" s="173"/>
      <c r="U1001" s="172"/>
      <c r="V1001" s="173"/>
      <c r="W1001" s="173"/>
      <c r="X1001" s="173"/>
      <c r="Y1001" s="173"/>
      <c r="Z1001" s="172"/>
      <c r="AA1001" s="173"/>
      <c r="AB1001" s="173"/>
      <c r="AC1001" s="173"/>
      <c r="AD1001" s="173"/>
      <c r="AE1001" s="172"/>
      <c r="AF1001" s="173"/>
      <c r="AG1001" s="173"/>
      <c r="AH1001" s="173"/>
      <c r="AI1001" s="173"/>
      <c r="AJ1001" s="172"/>
      <c r="AK1001" s="173"/>
      <c r="AL1001" s="173"/>
      <c r="AM1001" s="173"/>
      <c r="AN1001" s="173"/>
      <c r="AO1001" s="172"/>
      <c r="AP1001" s="173"/>
      <c r="AQ1001" s="173"/>
      <c r="AR1001" s="173"/>
      <c r="AS1001" s="173"/>
      <c r="AT1001" s="172"/>
      <c r="AU1001" s="173"/>
      <c r="AV1001" s="173"/>
      <c r="AW1001" s="173"/>
      <c r="AX1001" s="173"/>
      <c r="AY1001" s="172"/>
      <c r="AZ1001" s="173"/>
      <c r="BA1001" s="173"/>
      <c r="BB1001" s="173"/>
      <c r="BC1001" s="173"/>
      <c r="BD1001" s="172"/>
      <c r="BE1001" s="173"/>
      <c r="BF1001" s="173"/>
      <c r="BG1001" s="173"/>
      <c r="BH1001" s="173"/>
      <c r="BI1001" s="174"/>
      <c r="BJ1001" s="173">
        <v>0</v>
      </c>
      <c r="BK1001" s="173">
        <v>0</v>
      </c>
      <c r="BL1001" s="173">
        <v>0</v>
      </c>
      <c r="BM1001" s="173">
        <v>0</v>
      </c>
      <c r="BN1001" s="172">
        <v>0</v>
      </c>
      <c r="BO1001" s="173">
        <v>0</v>
      </c>
      <c r="BP1001" s="173">
        <v>0</v>
      </c>
      <c r="BQ1001" s="173">
        <v>0</v>
      </c>
      <c r="BR1001" s="173">
        <v>0</v>
      </c>
      <c r="BS1001" s="172">
        <v>0</v>
      </c>
      <c r="BT1001" s="172">
        <v>0</v>
      </c>
      <c r="BU1001" s="172">
        <v>0</v>
      </c>
      <c r="BV1001" s="172">
        <v>0</v>
      </c>
      <c r="BW1001" s="161"/>
    </row>
    <row r="1002" spans="1:75" s="217" customFormat="1" hidden="1" outlineLevel="1" x14ac:dyDescent="0.5">
      <c r="A1002" s="178"/>
      <c r="B1002" s="179"/>
      <c r="C1002" s="180"/>
      <c r="D1002" s="180"/>
      <c r="E1002" s="180"/>
      <c r="F1002" s="180"/>
      <c r="G1002" s="181"/>
      <c r="H1002" s="181"/>
      <c r="I1002" s="181"/>
      <c r="J1002" s="181"/>
      <c r="K1002" s="180"/>
      <c r="L1002" s="181"/>
      <c r="M1002" s="181"/>
      <c r="N1002" s="181"/>
      <c r="O1002" s="181"/>
      <c r="P1002" s="180"/>
      <c r="Q1002" s="181"/>
      <c r="R1002" s="181"/>
      <c r="S1002" s="181"/>
      <c r="T1002" s="181"/>
      <c r="U1002" s="180"/>
      <c r="V1002" s="181"/>
      <c r="W1002" s="181"/>
      <c r="X1002" s="181"/>
      <c r="Y1002" s="181"/>
      <c r="Z1002" s="180"/>
      <c r="AA1002" s="181"/>
      <c r="AB1002" s="181"/>
      <c r="AC1002" s="181"/>
      <c r="AD1002" s="181"/>
      <c r="AE1002" s="180"/>
      <c r="AF1002" s="181"/>
      <c r="AG1002" s="181"/>
      <c r="AH1002" s="181"/>
      <c r="AI1002" s="181"/>
      <c r="AJ1002" s="180"/>
      <c r="AK1002" s="181"/>
      <c r="AL1002" s="181"/>
      <c r="AM1002" s="181"/>
      <c r="AN1002" s="181"/>
      <c r="AO1002" s="180"/>
      <c r="AP1002" s="181"/>
      <c r="AQ1002" s="181"/>
      <c r="AR1002" s="181"/>
      <c r="AS1002" s="181"/>
      <c r="AT1002" s="180"/>
      <c r="AU1002" s="181"/>
      <c r="AV1002" s="181"/>
      <c r="AW1002" s="181"/>
      <c r="AX1002" s="181"/>
      <c r="AY1002" s="180"/>
      <c r="AZ1002" s="181"/>
      <c r="BA1002" s="181"/>
      <c r="BB1002" s="181"/>
      <c r="BC1002" s="181"/>
      <c r="BD1002" s="180"/>
      <c r="BE1002" s="181"/>
      <c r="BF1002" s="181"/>
      <c r="BG1002" s="181"/>
      <c r="BH1002" s="181"/>
      <c r="BI1002" s="182"/>
      <c r="BJ1002" s="181"/>
      <c r="BK1002" s="181"/>
      <c r="BL1002" s="181"/>
      <c r="BM1002" s="181"/>
      <c r="BN1002" s="180"/>
      <c r="BO1002" s="181"/>
      <c r="BP1002" s="181"/>
      <c r="BQ1002" s="181"/>
      <c r="BR1002" s="181"/>
      <c r="BS1002" s="180"/>
      <c r="BT1002" s="180"/>
      <c r="BU1002" s="180"/>
      <c r="BV1002" s="180"/>
      <c r="BW1002" s="161"/>
    </row>
    <row r="1003" spans="1:75" s="217" customFormat="1" hidden="1" outlineLevel="1" x14ac:dyDescent="0.5">
      <c r="A1003" s="526" t="s">
        <v>1040</v>
      </c>
      <c r="B1003" s="212"/>
      <c r="C1003" s="213">
        <v>6.8828563893972211E-2</v>
      </c>
      <c r="D1003" s="213">
        <v>3.6056846180922218E-2</v>
      </c>
      <c r="E1003" s="213">
        <v>2.7540382680433028E-2</v>
      </c>
      <c r="F1003" s="213">
        <v>2.0408265900895693E-2</v>
      </c>
      <c r="G1003" s="214">
        <v>2.1089345151773596E-2</v>
      </c>
      <c r="H1003" s="214">
        <v>1.6548110694115121E-2</v>
      </c>
      <c r="I1003" s="214">
        <v>1.630994967561996E-2</v>
      </c>
      <c r="J1003" s="214">
        <v>1.5730537170284123E-2</v>
      </c>
      <c r="K1003" s="213">
        <v>1.7120997884537394E-2</v>
      </c>
      <c r="L1003" s="214">
        <v>2.0382029957351999E-2</v>
      </c>
      <c r="M1003" s="214">
        <v>1.8818902357492288E-2</v>
      </c>
      <c r="N1003" s="214">
        <v>1.8243152628049725E-2</v>
      </c>
      <c r="O1003" s="214">
        <v>1.5947433360733242E-2</v>
      </c>
      <c r="P1003" s="213">
        <v>1.8080005483495427E-2</v>
      </c>
      <c r="Q1003" s="214">
        <v>2.3444472061451786E-2</v>
      </c>
      <c r="R1003" s="214">
        <v>2.1343664561231858E-2</v>
      </c>
      <c r="S1003" s="214">
        <v>2.0953736868697302E-2</v>
      </c>
      <c r="T1003" s="214">
        <v>1.9182395767666657E-2</v>
      </c>
      <c r="U1003" s="213">
        <v>2.1002785198335143E-2</v>
      </c>
      <c r="V1003" s="214">
        <v>2.750869458301131E-2</v>
      </c>
      <c r="W1003" s="214">
        <v>2.508920996501534E-2</v>
      </c>
      <c r="X1003" s="214">
        <v>2.7326114816648702E-2</v>
      </c>
      <c r="Y1003" s="214">
        <v>2.6797067014825135E-2</v>
      </c>
      <c r="Z1003" s="213">
        <v>2.6650322197453613E-2</v>
      </c>
      <c r="AA1003" s="214">
        <v>2.8441236122971815E-2</v>
      </c>
      <c r="AB1003" s="214">
        <v>2.6802459184237296E-2</v>
      </c>
      <c r="AC1003" s="214">
        <v>3.1245727653412055E-2</v>
      </c>
      <c r="AD1003" s="214">
        <v>2.8359528267404656E-2</v>
      </c>
      <c r="AE1003" s="213">
        <v>2.868647891502819E-2</v>
      </c>
      <c r="AF1003" s="214">
        <v>4.0805086418158401E-2</v>
      </c>
      <c r="AG1003" s="214">
        <v>2.9953277007730983E-2</v>
      </c>
      <c r="AH1003" s="214">
        <v>3.61239667084539E-2</v>
      </c>
      <c r="AI1003" s="214">
        <v>3.9407295670980842E-2</v>
      </c>
      <c r="AJ1003" s="213">
        <v>3.6496673721381219E-2</v>
      </c>
      <c r="AK1003" s="214">
        <v>4.5414515867591543E-2</v>
      </c>
      <c r="AL1003" s="214">
        <v>3.5822361623407316E-2</v>
      </c>
      <c r="AM1003" s="214">
        <v>3.4571367002889923E-2</v>
      </c>
      <c r="AN1003" s="214">
        <v>3.7267510406390619E-2</v>
      </c>
      <c r="AO1003" s="213">
        <v>3.8033388518782511E-2</v>
      </c>
      <c r="AP1003" s="214">
        <v>5.147702916783152E-2</v>
      </c>
      <c r="AQ1003" s="214">
        <v>3.5712170899585782E-2</v>
      </c>
      <c r="AR1003" s="214">
        <v>3.1354967281309647E-2</v>
      </c>
      <c r="AS1003" s="214">
        <v>2.8728416761443363E-2</v>
      </c>
      <c r="AT1003" s="213">
        <v>3.5101835060130746E-2</v>
      </c>
      <c r="AU1003" s="214">
        <v>2.773201888493387E-2</v>
      </c>
      <c r="AV1003" s="214">
        <v>2.2910748650717641E-2</v>
      </c>
      <c r="AW1003" s="214">
        <v>2.464607502970903E-2</v>
      </c>
      <c r="AX1003" s="214">
        <v>2.7286342372840056E-2</v>
      </c>
      <c r="AY1003" s="213">
        <v>2.5530352610659727E-2</v>
      </c>
      <c r="AZ1003" s="214">
        <v>2.5799338132983456E-2</v>
      </c>
      <c r="BA1003" s="214">
        <v>2.7136907283031808E-2</v>
      </c>
      <c r="BB1003" s="214">
        <v>3.2185702811984365E-2</v>
      </c>
      <c r="BC1003" s="214">
        <v>3.7239530407159105E-2</v>
      </c>
      <c r="BD1003" s="213">
        <v>3.0175934840969601E-2</v>
      </c>
      <c r="BE1003" s="214">
        <v>3.7436651234776679E-2</v>
      </c>
      <c r="BF1003" s="214">
        <v>3.5026215553437379E-2</v>
      </c>
      <c r="BG1003" s="214">
        <v>3.7746014842424042E-2</v>
      </c>
      <c r="BH1003" s="214">
        <v>4.6773155798770075E-2</v>
      </c>
      <c r="BI1003" s="215">
        <v>3.9151887376094624E-2</v>
      </c>
      <c r="BJ1003" s="214">
        <v>4.5513735954771435E-2</v>
      </c>
      <c r="BK1003" s="214">
        <v>3.9478864328291216E-2</v>
      </c>
      <c r="BL1003" s="214">
        <v>3.9228377466609961E-2</v>
      </c>
      <c r="BM1003" s="214">
        <v>4.1610164041155931E-2</v>
      </c>
      <c r="BN1003" s="213">
        <v>4.1297259308076151E-2</v>
      </c>
      <c r="BO1003" s="214">
        <v>4.0176264419579624E-2</v>
      </c>
      <c r="BP1003" s="214">
        <v>3.571382172542327E-2</v>
      </c>
      <c r="BQ1003" s="214">
        <v>3.5616140437259317E-2</v>
      </c>
      <c r="BR1003" s="214">
        <v>3.9393037957667881E-2</v>
      </c>
      <c r="BS1003" s="213">
        <v>3.7607861212731027E-2</v>
      </c>
      <c r="BT1003" s="213">
        <v>3.6138142799407268E-2</v>
      </c>
      <c r="BU1003" s="213">
        <v>3.6277240582196398E-2</v>
      </c>
      <c r="BV1003" s="213">
        <v>3.6703023422804758E-2</v>
      </c>
      <c r="BW1003" s="161"/>
    </row>
    <row r="1004" spans="1:75" s="217" customFormat="1" hidden="1" outlineLevel="1" x14ac:dyDescent="0.5">
      <c r="A1004" s="526" t="s">
        <v>1041</v>
      </c>
      <c r="B1004" s="212"/>
      <c r="C1004" s="213">
        <v>0</v>
      </c>
      <c r="D1004" s="213">
        <v>4.3998592045054559E-3</v>
      </c>
      <c r="E1004" s="213">
        <v>2.9224994885625891E-3</v>
      </c>
      <c r="F1004" s="213">
        <v>2.0116575555343213E-3</v>
      </c>
      <c r="G1004" s="214">
        <v>9.1259951482891262E-4</v>
      </c>
      <c r="H1004" s="214">
        <v>7.1971065014734441E-4</v>
      </c>
      <c r="I1004" s="214">
        <v>6.9473918227935089E-4</v>
      </c>
      <c r="J1004" s="214">
        <v>5.8300508380433082E-4</v>
      </c>
      <c r="K1004" s="213">
        <v>7.0923769198580767E-4</v>
      </c>
      <c r="L1004" s="214">
        <v>4.7781048125071664E-4</v>
      </c>
      <c r="M1004" s="214">
        <v>4.0344333119700479E-4</v>
      </c>
      <c r="N1004" s="214">
        <v>3.6106669417651E-4</v>
      </c>
      <c r="O1004" s="214">
        <v>3.0031215303220887E-4</v>
      </c>
      <c r="P1004" s="213">
        <v>3.7484832030467666E-4</v>
      </c>
      <c r="Q1004" s="214">
        <v>1.7753790434257713E-4</v>
      </c>
      <c r="R1004" s="214">
        <v>1.4794591886251287E-4</v>
      </c>
      <c r="S1004" s="214">
        <v>1.4086861466047849E-4</v>
      </c>
      <c r="T1004" s="214">
        <v>1.1588237475432935E-4</v>
      </c>
      <c r="U1004" s="213">
        <v>1.4224710598262878E-4</v>
      </c>
      <c r="V1004" s="214">
        <v>5.4890044263331693E-5</v>
      </c>
      <c r="W1004" s="214">
        <v>4.6008233633491057E-5</v>
      </c>
      <c r="X1004" s="214">
        <v>4.5510150583986256E-5</v>
      </c>
      <c r="Y1004" s="214">
        <v>4.2610779504555935E-5</v>
      </c>
      <c r="Z1004" s="213">
        <v>4.6841237714128866E-5</v>
      </c>
      <c r="AA1004" s="214">
        <v>6.0044833475664099E-5</v>
      </c>
      <c r="AB1004" s="214">
        <v>5.4848974364810326E-5</v>
      </c>
      <c r="AC1004" s="214">
        <v>5.6964621172612559E-5</v>
      </c>
      <c r="AD1004" s="214">
        <v>5.0350964873676925E-5</v>
      </c>
      <c r="AE1004" s="213">
        <v>5.5323923621842181E-5</v>
      </c>
      <c r="AF1004" s="214">
        <v>0</v>
      </c>
      <c r="AG1004" s="214">
        <v>0</v>
      </c>
      <c r="AH1004" s="214">
        <v>0</v>
      </c>
      <c r="AI1004" s="214">
        <v>0</v>
      </c>
      <c r="AJ1004" s="213">
        <v>0</v>
      </c>
      <c r="AK1004" s="214">
        <v>2.0052772212205879E-5</v>
      </c>
      <c r="AL1004" s="214">
        <v>1.6984801433517883E-5</v>
      </c>
      <c r="AM1004" s="214">
        <v>1.7711497418549923E-5</v>
      </c>
      <c r="AN1004" s="214">
        <v>1.8045764057650883E-5</v>
      </c>
      <c r="AO1004" s="213">
        <v>1.8130743054509633E-5</v>
      </c>
      <c r="AP1004" s="214">
        <v>2.485012269748176E-5</v>
      </c>
      <c r="AQ1004" s="214">
        <v>1.6918517599488572E-5</v>
      </c>
      <c r="AR1004" s="214">
        <v>1.4217790484270331E-5</v>
      </c>
      <c r="AS1004" s="214">
        <v>1.4770394221822337E-5</v>
      </c>
      <c r="AT1004" s="213">
        <v>1.6850228847171169E-5</v>
      </c>
      <c r="AU1004" s="214">
        <v>1.6844952090634827E-5</v>
      </c>
      <c r="AV1004" s="214">
        <v>1.4663364544390792E-5</v>
      </c>
      <c r="AW1004" s="214">
        <v>1.4407389301571234E-5</v>
      </c>
      <c r="AX1004" s="214">
        <v>1.606219281056442E-5</v>
      </c>
      <c r="AY1004" s="213">
        <v>1.543037442601852E-5</v>
      </c>
      <c r="AZ1004" s="214">
        <v>6.3199107482355782E-5</v>
      </c>
      <c r="BA1004" s="214">
        <v>6.1011274480142929E-5</v>
      </c>
      <c r="BB1004" s="214">
        <v>6.9614965951952243E-5</v>
      </c>
      <c r="BC1004" s="214">
        <v>7.8317253485116932E-5</v>
      </c>
      <c r="BD1004" s="213">
        <v>6.7400515307575377E-5</v>
      </c>
      <c r="BE1004" s="214">
        <v>1.3292079408844091E-4</v>
      </c>
      <c r="BF1004" s="214">
        <v>1.2273901001775208E-4</v>
      </c>
      <c r="BG1004" s="214">
        <v>1.3078638224233775E-4</v>
      </c>
      <c r="BH1004" s="214">
        <v>1.3308319562213873E-4</v>
      </c>
      <c r="BI1004" s="215">
        <v>1.2974039376374594E-4</v>
      </c>
      <c r="BJ1004" s="214">
        <v>1.31033930810704E-4</v>
      </c>
      <c r="BK1004" s="214">
        <v>1.1232784025371993E-4</v>
      </c>
      <c r="BL1004" s="214">
        <v>1.1033237084605318E-4</v>
      </c>
      <c r="BM1004" s="214">
        <v>1.1571166998844637E-4</v>
      </c>
      <c r="BN1004" s="213">
        <v>1.1682987025875518E-4</v>
      </c>
      <c r="BO1004" s="214">
        <v>1.1048790609156082E-4</v>
      </c>
      <c r="BP1004" s="214">
        <v>9.714903129020952E-5</v>
      </c>
      <c r="BQ1004" s="214">
        <v>9.5850142336922277E-5</v>
      </c>
      <c r="BR1004" s="214">
        <v>1.0490431538286179E-4</v>
      </c>
      <c r="BS1004" s="213">
        <v>1.0175868508508663E-4</v>
      </c>
      <c r="BT1004" s="213">
        <v>9.5919203806441315E-5</v>
      </c>
      <c r="BU1004" s="213">
        <v>9.2474649931867516E-5</v>
      </c>
      <c r="BV1004" s="213">
        <v>9.0099443238657426E-5</v>
      </c>
      <c r="BW1004" s="161"/>
    </row>
    <row r="1005" spans="1:75" s="217" customFormat="1" hidden="1" outlineLevel="1" x14ac:dyDescent="0.5">
      <c r="A1005" s="526" t="s">
        <v>1042</v>
      </c>
      <c r="B1005" s="212"/>
      <c r="C1005" s="213">
        <v>9.4616300534614071E-4</v>
      </c>
      <c r="D1005" s="213">
        <v>1.4480713087769428E-3</v>
      </c>
      <c r="E1005" s="213">
        <v>1.6251184656042683E-3</v>
      </c>
      <c r="F1005" s="213">
        <v>9.7383504072768357E-2</v>
      </c>
      <c r="G1005" s="214">
        <v>1.2049632139431931E-2</v>
      </c>
      <c r="H1005" s="214">
        <v>0.15873152960758757</v>
      </c>
      <c r="I1005" s="214">
        <v>3.9536975282442998E-3</v>
      </c>
      <c r="J1005" s="214">
        <v>3.7630328136461469E-3</v>
      </c>
      <c r="K1005" s="213">
        <v>4.360006473405844E-2</v>
      </c>
      <c r="L1005" s="214">
        <v>6.0914010495448506E-3</v>
      </c>
      <c r="M1005" s="214">
        <v>1.0418059506738657E-2</v>
      </c>
      <c r="N1005" s="214">
        <v>1.0130499819466654E-2</v>
      </c>
      <c r="O1005" s="214">
        <v>9.287367841201797E-3</v>
      </c>
      <c r="P1005" s="213">
        <v>9.1420150346306298E-3</v>
      </c>
      <c r="Q1005" s="214">
        <v>1.2543644734817552E-2</v>
      </c>
      <c r="R1005" s="214">
        <v>1.2389977551672577E-2</v>
      </c>
      <c r="S1005" s="214">
        <v>1.1410357787498758E-2</v>
      </c>
      <c r="T1005" s="214">
        <v>1.0148205831819133E-2</v>
      </c>
      <c r="U1005" s="213">
        <v>1.1485505494057391E-2</v>
      </c>
      <c r="V1005" s="214">
        <v>8.7780158785920048E-3</v>
      </c>
      <c r="W1005" s="214">
        <v>1.896459390372501E-2</v>
      </c>
      <c r="X1005" s="214">
        <v>1.3485567821046802E-2</v>
      </c>
      <c r="Y1005" s="214">
        <v>1.2788347144907328E-2</v>
      </c>
      <c r="Z1005" s="213">
        <v>1.3684199185805605E-2</v>
      </c>
      <c r="AA1005" s="214">
        <v>9.4096925704526026E-3</v>
      </c>
      <c r="AB1005" s="214">
        <v>5.017990463591656E-2</v>
      </c>
      <c r="AC1005" s="214">
        <v>1.1414866162677464E-2</v>
      </c>
      <c r="AD1005" s="214">
        <v>1.1606829828657532E-2</v>
      </c>
      <c r="AE1005" s="213">
        <v>2.0780895132888066E-2</v>
      </c>
      <c r="AF1005" s="214">
        <v>1.4346813633150702E-2</v>
      </c>
      <c r="AG1005" s="214">
        <v>9.5115777514911109E-3</v>
      </c>
      <c r="AH1005" s="214">
        <v>5.788946176153627E-3</v>
      </c>
      <c r="AI1005" s="214">
        <v>9.2503849358539624E-3</v>
      </c>
      <c r="AJ1005" s="213">
        <v>9.5715567957733987E-3</v>
      </c>
      <c r="AK1005" s="214">
        <v>9.5167114790423463E-3</v>
      </c>
      <c r="AL1005" s="214">
        <v>7.4987898328978614E-3</v>
      </c>
      <c r="AM1005" s="214">
        <v>7.5510017327748338E-3</v>
      </c>
      <c r="AN1005" s="214">
        <v>8.6063256418276723E-3</v>
      </c>
      <c r="AO1005" s="213">
        <v>8.2464662992924858E-3</v>
      </c>
      <c r="AP1005" s="214">
        <v>1.2068876256743185E-2</v>
      </c>
      <c r="AQ1005" s="214">
        <v>9.6731624375072239E-3</v>
      </c>
      <c r="AR1005" s="214">
        <v>0.14073598392441825</v>
      </c>
      <c r="AS1005" s="214">
        <v>1.7517687547080628E-2</v>
      </c>
      <c r="AT1005" s="213">
        <v>5.1148869665586141E-2</v>
      </c>
      <c r="AU1005" s="214">
        <v>1.7782460803539065E-2</v>
      </c>
      <c r="AV1005" s="214">
        <v>1.0238062251544456E-2</v>
      </c>
      <c r="AW1005" s="214">
        <v>1.1918388598091469E-2</v>
      </c>
      <c r="AX1005" s="214">
        <v>1.2242714133954257E-2</v>
      </c>
      <c r="AY1005" s="213">
        <v>1.2897132610766145E-2</v>
      </c>
      <c r="AZ1005" s="214">
        <v>1.3373140065935993E-2</v>
      </c>
      <c r="BA1005" s="214">
        <v>1.0826727980476392E-2</v>
      </c>
      <c r="BB1005" s="214">
        <v>1.1721779473595793E-2</v>
      </c>
      <c r="BC1005" s="214">
        <v>1.2713285065741186E-2</v>
      </c>
      <c r="BD1005" s="213">
        <v>1.2128193551998801E-2</v>
      </c>
      <c r="BE1005" s="214">
        <v>1.3772353015982964E-2</v>
      </c>
      <c r="BF1005" s="214">
        <v>1.0666113664443415E-2</v>
      </c>
      <c r="BG1005" s="214">
        <v>1.307198242869979E-2</v>
      </c>
      <c r="BH1005" s="214">
        <v>1.4691301167610324E-2</v>
      </c>
      <c r="BI1005" s="215">
        <v>1.3001770147560715E-2</v>
      </c>
      <c r="BJ1005" s="214">
        <v>1.4999999999999998E-2</v>
      </c>
      <c r="BK1005" s="214">
        <v>1.0999999999999999E-2</v>
      </c>
      <c r="BL1005" s="214">
        <v>1.3000000000000001E-2</v>
      </c>
      <c r="BM1005" s="214">
        <v>1.4999999999999998E-2</v>
      </c>
      <c r="BN1005" s="213">
        <v>1.3430157385404066E-2</v>
      </c>
      <c r="BO1005" s="214">
        <v>1.4999999999999999E-2</v>
      </c>
      <c r="BP1005" s="214">
        <v>1.0999999999999999E-2</v>
      </c>
      <c r="BQ1005" s="214">
        <v>1.2999999999999999E-2</v>
      </c>
      <c r="BR1005" s="214">
        <v>1.4999999999999999E-2</v>
      </c>
      <c r="BS1005" s="213">
        <v>1.3421407064488213E-2</v>
      </c>
      <c r="BT1005" s="213">
        <v>1.2999999999999999E-2</v>
      </c>
      <c r="BU1005" s="213">
        <v>1.2999999999999999E-2</v>
      </c>
      <c r="BV1005" s="213">
        <v>1.2999999999999999E-2</v>
      </c>
      <c r="BW1005" s="161"/>
    </row>
    <row r="1006" spans="1:75" s="162" customFormat="1" ht="14.25" hidden="1" outlineLevel="1" x14ac:dyDescent="0.45">
      <c r="A1006" s="527" t="s">
        <v>1043</v>
      </c>
      <c r="B1006" s="528"/>
      <c r="C1006" s="529">
        <v>2.7541015047507795E-2</v>
      </c>
      <c r="D1006" s="529">
        <v>3.6294956208460002E-2</v>
      </c>
      <c r="E1006" s="529">
        <v>5.8480258515954835E-2</v>
      </c>
      <c r="F1006" s="529">
        <v>-3.5445406128514594E-2</v>
      </c>
      <c r="G1006" s="530">
        <v>2.3697720492339033E-2</v>
      </c>
      <c r="H1006" s="530">
        <v>-5.5436039968803891E-2</v>
      </c>
      <c r="I1006" s="530">
        <v>7.728278663675503E-2</v>
      </c>
      <c r="J1006" s="530">
        <v>0.13982581928114421</v>
      </c>
      <c r="K1006" s="529">
        <v>5.319605070662619E-2</v>
      </c>
      <c r="L1006" s="530">
        <v>1.3045591310948196E-2</v>
      </c>
      <c r="M1006" s="530">
        <v>0.11281428235500247</v>
      </c>
      <c r="N1006" s="530">
        <v>7.569608500541597E-2</v>
      </c>
      <c r="O1006" s="530">
        <v>0.12926293101229208</v>
      </c>
      <c r="P1006" s="529">
        <v>8.874587532973259E-2</v>
      </c>
      <c r="Q1006" s="530">
        <v>4.0310572973996608E-2</v>
      </c>
      <c r="R1006" s="530">
        <v>0.11130070106639418</v>
      </c>
      <c r="S1006" s="530">
        <v>8.428826602004838E-2</v>
      </c>
      <c r="T1006" s="530">
        <v>0.10388159602477093</v>
      </c>
      <c r="U1006" s="529">
        <v>8.7985050777475121E-2</v>
      </c>
      <c r="V1006" s="530">
        <v>-2.5194530316869173E-2</v>
      </c>
      <c r="W1006" s="530">
        <v>4.0514850537652199E-2</v>
      </c>
      <c r="X1006" s="530">
        <v>2.800876707540844E-2</v>
      </c>
      <c r="Y1006" s="530">
        <v>4.6207129294740482E-2</v>
      </c>
      <c r="Z1006" s="529">
        <v>2.4842718834065414E-2</v>
      </c>
      <c r="AA1006" s="530">
        <v>4.0769997153430243E-2</v>
      </c>
      <c r="AB1006" s="530">
        <v>4.6559059750441306E-2</v>
      </c>
      <c r="AC1006" s="530">
        <v>9.5916607170284426E-2</v>
      </c>
      <c r="AD1006" s="530">
        <v>8.1252284441925171E-2</v>
      </c>
      <c r="AE1006" s="529">
        <v>6.6739503002654688E-2</v>
      </c>
      <c r="AF1006" s="530">
        <v>0.12330688941274394</v>
      </c>
      <c r="AG1006" s="530">
        <v>0.15958227085602636</v>
      </c>
      <c r="AH1006" s="530">
        <v>0.1024619908947811</v>
      </c>
      <c r="AI1006" s="530">
        <v>0.12504266713966936</v>
      </c>
      <c r="AJ1006" s="529">
        <v>0.12775312463457625</v>
      </c>
      <c r="AK1006" s="530">
        <v>0.16012472824315996</v>
      </c>
      <c r="AL1006" s="530">
        <v>0.1843643579603518</v>
      </c>
      <c r="AM1006" s="530">
        <v>0.15617850827864904</v>
      </c>
      <c r="AN1006" s="530">
        <v>0.18828499073650828</v>
      </c>
      <c r="AO1006" s="529">
        <v>0.17265679976520695</v>
      </c>
      <c r="AP1006" s="530">
        <v>8.2552107601031238E-2</v>
      </c>
      <c r="AQ1006" s="530">
        <v>0.2284873999340179</v>
      </c>
      <c r="AR1006" s="530">
        <v>0.16314559135937493</v>
      </c>
      <c r="AS1006" s="530">
        <v>0.25365690343608627</v>
      </c>
      <c r="AT1006" s="529">
        <v>0.19156709234557293</v>
      </c>
      <c r="AU1006" s="530">
        <v>0.24346648203050217</v>
      </c>
      <c r="AV1006" s="530">
        <v>0.26900296199963802</v>
      </c>
      <c r="AW1006" s="530">
        <v>0.27476580540287038</v>
      </c>
      <c r="AX1006" s="530">
        <v>0.25584414577381537</v>
      </c>
      <c r="AY1006" s="529">
        <v>0.26153766341564638</v>
      </c>
      <c r="AZ1006" s="530">
        <v>8.6596357224336951E-2</v>
      </c>
      <c r="BA1006" s="530">
        <v>0.2338657953651602</v>
      </c>
      <c r="BB1006" s="530">
        <v>0.22365505036441422</v>
      </c>
      <c r="BC1006" s="530">
        <v>0.19405462013543021</v>
      </c>
      <c r="BD1006" s="529">
        <v>0.18356391086755333</v>
      </c>
      <c r="BE1006" s="530">
        <v>0.17054583433672185</v>
      </c>
      <c r="BF1006" s="530">
        <v>0.22021814438604889</v>
      </c>
      <c r="BG1006" s="530">
        <v>9.5433458684149208E-2</v>
      </c>
      <c r="BH1006" s="530">
        <v>0.13419933356811989</v>
      </c>
      <c r="BI1006" s="531">
        <v>0.15618597575670354</v>
      </c>
      <c r="BJ1006" s="530">
        <v>0.1106359573860554</v>
      </c>
      <c r="BK1006" s="530">
        <v>0.21213378800905816</v>
      </c>
      <c r="BL1006" s="530">
        <v>0.18033704438357084</v>
      </c>
      <c r="BM1006" s="530">
        <v>0.17087031250663104</v>
      </c>
      <c r="BN1006" s="529">
        <v>0.17065938466823372</v>
      </c>
      <c r="BO1006" s="530">
        <v>0.15282371683067297</v>
      </c>
      <c r="BP1006" s="530">
        <v>0.22234868103956887</v>
      </c>
      <c r="BQ1006" s="530">
        <v>0.18305280870742491</v>
      </c>
      <c r="BR1006" s="530">
        <v>0.19241292447352176</v>
      </c>
      <c r="BS1006" s="529">
        <v>0.18864168303100715</v>
      </c>
      <c r="BT1006" s="529">
        <v>0.199627770579203</v>
      </c>
      <c r="BU1006" s="529">
        <v>0.21207822510480401</v>
      </c>
      <c r="BV1006" s="529">
        <v>0.22473149926534833</v>
      </c>
      <c r="BW1006" s="161"/>
    </row>
    <row r="1007" spans="1:75" s="162" customFormat="1" ht="14.25" hidden="1" outlineLevel="1" x14ac:dyDescent="0.45">
      <c r="A1007" s="178" t="s">
        <v>1044</v>
      </c>
      <c r="B1007" s="179"/>
      <c r="C1007" s="180">
        <v>2.8122777435930092E-2</v>
      </c>
      <c r="D1007" s="180">
        <v>5.3182651096341328E-2</v>
      </c>
      <c r="E1007" s="180">
        <v>8.3660722859373551E-2</v>
      </c>
      <c r="F1007" s="180">
        <v>8.0944909081460459E-2</v>
      </c>
      <c r="G1007" s="181">
        <v>3.7270564185612733E-2</v>
      </c>
      <c r="H1007" s="181">
        <v>0.10672131233348514</v>
      </c>
      <c r="I1007" s="181">
        <v>7.728278663675496E-2</v>
      </c>
      <c r="J1007" s="181">
        <v>0.13982581928114421</v>
      </c>
      <c r="K1007" s="180">
        <v>9.5782550302683178E-2</v>
      </c>
      <c r="L1007" s="181">
        <v>6.5116012384847724E-2</v>
      </c>
      <c r="M1007" s="181">
        <v>0.14245468755043039</v>
      </c>
      <c r="N1007" s="181">
        <v>0.10443080414710885</v>
      </c>
      <c r="O1007" s="181">
        <v>0.15222394019841187</v>
      </c>
      <c r="P1007" s="180">
        <v>0.12046607569151478</v>
      </c>
      <c r="Q1007" s="181">
        <v>8.0187953461397329E-2</v>
      </c>
      <c r="R1007" s="181">
        <v>0.15598036856287312</v>
      </c>
      <c r="S1007" s="181">
        <v>0.12632721713112605</v>
      </c>
      <c r="T1007" s="181">
        <v>0.14403252122965093</v>
      </c>
      <c r="U1007" s="180">
        <v>0.12964638317766747</v>
      </c>
      <c r="V1007" s="181">
        <v>3.7900477762945348E-2</v>
      </c>
      <c r="W1007" s="181">
        <v>0.10515273813401649</v>
      </c>
      <c r="X1007" s="181">
        <v>7.3890280488160001E-2</v>
      </c>
      <c r="Y1007" s="181">
        <v>0.12561785453454821</v>
      </c>
      <c r="Z1007" s="180">
        <v>8.8444997736532319E-2</v>
      </c>
      <c r="AA1007" s="181">
        <v>5.2634856248220903E-2</v>
      </c>
      <c r="AB1007" s="181">
        <v>0.1024632594619302</v>
      </c>
      <c r="AC1007" s="181">
        <v>0.12374234775255566</v>
      </c>
      <c r="AD1007" s="181">
        <v>0.15220796518981233</v>
      </c>
      <c r="AE1007" s="180">
        <v>0.10979458381644119</v>
      </c>
      <c r="AF1007" s="181">
        <v>0.13946746177830874</v>
      </c>
      <c r="AG1007" s="181">
        <v>0.16035764357326132</v>
      </c>
      <c r="AH1007" s="181">
        <v>0.13743801937648198</v>
      </c>
      <c r="AI1007" s="181">
        <v>0.1957628720660054</v>
      </c>
      <c r="AJ1007" s="180">
        <v>0.1593647351443164</v>
      </c>
      <c r="AK1007" s="181">
        <v>0.16763410227208206</v>
      </c>
      <c r="AL1007" s="181">
        <v>0.18926164237368268</v>
      </c>
      <c r="AM1007" s="181">
        <v>0.17187560032036783</v>
      </c>
      <c r="AN1007" s="181">
        <v>0.21806050143163114</v>
      </c>
      <c r="AO1007" s="180">
        <v>0.1871588177916062</v>
      </c>
      <c r="AP1007" s="181">
        <v>0.16033920417482064</v>
      </c>
      <c r="AQ1007" s="181">
        <v>0.26178686972303322</v>
      </c>
      <c r="AR1007" s="181">
        <v>0.30541528467294993</v>
      </c>
      <c r="AS1007" s="181">
        <v>0.27616899370186904</v>
      </c>
      <c r="AT1007" s="180">
        <v>0.2616309689933225</v>
      </c>
      <c r="AU1007" s="181">
        <v>0.26517207408990795</v>
      </c>
      <c r="AV1007" s="181">
        <v>0.2936414595002928</v>
      </c>
      <c r="AW1007" s="181">
        <v>0.30867881259265445</v>
      </c>
      <c r="AX1007" s="181">
        <v>0.28614782910594178</v>
      </c>
      <c r="AY1007" s="180">
        <v>0.28934937540251549</v>
      </c>
      <c r="AZ1007" s="181">
        <v>0.28161313371468683</v>
      </c>
      <c r="BA1007" s="181">
        <v>0.28218269095016246</v>
      </c>
      <c r="BB1007" s="181">
        <v>0.24874865660375625</v>
      </c>
      <c r="BC1007" s="181">
        <v>0.21342292999732007</v>
      </c>
      <c r="BD1007" s="180">
        <v>0.25914439780563969</v>
      </c>
      <c r="BE1007" s="181">
        <v>0.19841387950138129</v>
      </c>
      <c r="BF1007" s="181">
        <v>0.24727319517438937</v>
      </c>
      <c r="BG1007" s="181">
        <v>0.12449931778095787</v>
      </c>
      <c r="BH1007" s="181">
        <v>0.15278357218324193</v>
      </c>
      <c r="BI1007" s="182">
        <v>0.18187358333723991</v>
      </c>
      <c r="BJ1007" s="181">
        <v>0.1256359573860554</v>
      </c>
      <c r="BK1007" s="181">
        <v>0.22313378800905825</v>
      </c>
      <c r="BL1007" s="181">
        <v>0.19333704438357091</v>
      </c>
      <c r="BM1007" s="181">
        <v>0.18587031250663097</v>
      </c>
      <c r="BN1007" s="180">
        <v>0.18408954205363776</v>
      </c>
      <c r="BO1007" s="181">
        <v>0.16782371683067304</v>
      </c>
      <c r="BP1007" s="181">
        <v>0.23334868103956885</v>
      </c>
      <c r="BQ1007" s="181">
        <v>0.19605280870742497</v>
      </c>
      <c r="BR1007" s="181">
        <v>0.20741292447352175</v>
      </c>
      <c r="BS1007" s="180">
        <v>0.20206309009549539</v>
      </c>
      <c r="BT1007" s="180">
        <v>0.21262777057920298</v>
      </c>
      <c r="BU1007" s="180">
        <v>0.22507822510480388</v>
      </c>
      <c r="BV1007" s="180">
        <v>0.23773149926534826</v>
      </c>
      <c r="BW1007" s="161"/>
    </row>
    <row r="1008" spans="1:75" s="669" customFormat="1" ht="14.25" hidden="1" outlineLevel="1" x14ac:dyDescent="0.45">
      <c r="A1008" s="170" t="s">
        <v>1045</v>
      </c>
      <c r="B1008" s="666"/>
      <c r="C1008" s="667"/>
      <c r="D1008" s="667"/>
      <c r="E1008" s="667"/>
      <c r="F1008" s="667"/>
      <c r="G1008" s="170"/>
      <c r="H1008" s="170"/>
      <c r="I1008" s="170"/>
      <c r="J1008" s="170"/>
      <c r="K1008" s="667"/>
      <c r="L1008" s="170"/>
      <c r="M1008" s="170"/>
      <c r="N1008" s="170"/>
      <c r="O1008" s="170"/>
      <c r="P1008" s="667"/>
      <c r="Q1008" s="170"/>
      <c r="R1008" s="170"/>
      <c r="S1008" s="170"/>
      <c r="T1008" s="170"/>
      <c r="U1008" s="667"/>
      <c r="V1008" s="170"/>
      <c r="W1008" s="170"/>
      <c r="X1008" s="170"/>
      <c r="Y1008" s="170"/>
      <c r="Z1008" s="667"/>
      <c r="AA1008" s="170"/>
      <c r="AB1008" s="170"/>
      <c r="AC1008" s="170"/>
      <c r="AD1008" s="170"/>
      <c r="AE1008" s="667"/>
      <c r="AF1008" s="170"/>
      <c r="AG1008" s="170"/>
      <c r="AH1008" s="170"/>
      <c r="AI1008" s="170"/>
      <c r="AJ1008" s="667"/>
      <c r="AK1008" s="170"/>
      <c r="AL1008" s="170"/>
      <c r="AM1008" s="170"/>
      <c r="AN1008" s="170"/>
      <c r="AO1008" s="667"/>
      <c r="AP1008" s="170"/>
      <c r="AQ1008" s="170"/>
      <c r="AR1008" s="170"/>
      <c r="AS1008" s="170"/>
      <c r="AT1008" s="667"/>
      <c r="AU1008" s="170"/>
      <c r="AV1008" s="170"/>
      <c r="AW1008" s="170"/>
      <c r="AX1008" s="170"/>
      <c r="AY1008" s="667"/>
      <c r="AZ1008" s="170"/>
      <c r="BA1008" s="170"/>
      <c r="BB1008" s="170"/>
      <c r="BC1008" s="170"/>
      <c r="BD1008" s="667"/>
      <c r="BE1008" s="170"/>
      <c r="BF1008" s="170"/>
      <c r="BG1008" s="170"/>
      <c r="BH1008" s="170"/>
      <c r="BI1008" s="668"/>
      <c r="BJ1008" s="170">
        <v>0</v>
      </c>
      <c r="BK1008" s="170">
        <v>0</v>
      </c>
      <c r="BL1008" s="170">
        <v>0</v>
      </c>
      <c r="BM1008" s="170">
        <v>0</v>
      </c>
      <c r="BN1008" s="667">
        <v>0</v>
      </c>
      <c r="BO1008" s="170">
        <v>0</v>
      </c>
      <c r="BP1008" s="170">
        <v>0</v>
      </c>
      <c r="BQ1008" s="170">
        <v>0</v>
      </c>
      <c r="BR1008" s="170">
        <v>0</v>
      </c>
      <c r="BS1008" s="667">
        <v>0</v>
      </c>
      <c r="BT1008" s="667">
        <v>0</v>
      </c>
      <c r="BU1008" s="667">
        <v>0</v>
      </c>
      <c r="BV1008" s="667">
        <v>0</v>
      </c>
      <c r="BW1008" s="564"/>
    </row>
    <row r="1009" spans="1:75" s="669" customFormat="1" ht="14.25" collapsed="1" x14ac:dyDescent="0.45">
      <c r="A1009" s="170"/>
      <c r="B1009" s="666"/>
      <c r="C1009" s="667"/>
      <c r="D1009" s="667"/>
      <c r="E1009" s="667"/>
      <c r="F1009" s="667"/>
      <c r="G1009" s="170"/>
      <c r="H1009" s="170"/>
      <c r="I1009" s="170"/>
      <c r="J1009" s="170"/>
      <c r="K1009" s="667"/>
      <c r="L1009" s="170"/>
      <c r="M1009" s="170"/>
      <c r="N1009" s="170"/>
      <c r="O1009" s="170"/>
      <c r="P1009" s="667"/>
      <c r="Q1009" s="170"/>
      <c r="R1009" s="170"/>
      <c r="S1009" s="170"/>
      <c r="T1009" s="170"/>
      <c r="U1009" s="667"/>
      <c r="V1009" s="170"/>
      <c r="W1009" s="170"/>
      <c r="X1009" s="170"/>
      <c r="Y1009" s="170"/>
      <c r="Z1009" s="667"/>
      <c r="AA1009" s="170"/>
      <c r="AB1009" s="170"/>
      <c r="AC1009" s="170"/>
      <c r="AD1009" s="170"/>
      <c r="AE1009" s="667"/>
      <c r="AF1009" s="170"/>
      <c r="AG1009" s="170"/>
      <c r="AH1009" s="170"/>
      <c r="AI1009" s="170"/>
      <c r="AJ1009" s="667"/>
      <c r="AK1009" s="170"/>
      <c r="AL1009" s="170"/>
      <c r="AM1009" s="170"/>
      <c r="AN1009" s="170"/>
      <c r="AO1009" s="667"/>
      <c r="AP1009" s="170"/>
      <c r="AQ1009" s="170"/>
      <c r="AR1009" s="170"/>
      <c r="AS1009" s="170"/>
      <c r="AT1009" s="667"/>
      <c r="AU1009" s="170"/>
      <c r="AV1009" s="170"/>
      <c r="AW1009" s="170"/>
      <c r="AX1009" s="170"/>
      <c r="AY1009" s="667"/>
      <c r="AZ1009" s="170"/>
      <c r="BA1009" s="170"/>
      <c r="BB1009" s="170"/>
      <c r="BC1009" s="170"/>
      <c r="BD1009" s="667"/>
      <c r="BE1009" s="170"/>
      <c r="BF1009" s="170"/>
      <c r="BG1009" s="170"/>
      <c r="BH1009" s="170"/>
      <c r="BI1009" s="668"/>
      <c r="BJ1009" s="170"/>
      <c r="BK1009" s="170"/>
      <c r="BL1009" s="170"/>
      <c r="BM1009" s="170"/>
      <c r="BN1009" s="667"/>
      <c r="BO1009" s="170"/>
      <c r="BP1009" s="170"/>
      <c r="BQ1009" s="170"/>
      <c r="BR1009" s="170"/>
      <c r="BS1009" s="667"/>
      <c r="BT1009" s="667"/>
      <c r="BU1009" s="667"/>
      <c r="BV1009" s="667"/>
      <c r="BW1009" s="564"/>
    </row>
    <row r="1010" spans="1:75" s="198" customFormat="1" ht="14.25" x14ac:dyDescent="0.45">
      <c r="A1010" s="239" t="s">
        <v>1046</v>
      </c>
      <c r="B1010" s="239"/>
      <c r="C1010" s="239"/>
      <c r="D1010" s="239"/>
      <c r="E1010" s="239"/>
      <c r="F1010" s="239"/>
      <c r="G1010" s="239"/>
      <c r="H1010" s="239"/>
      <c r="I1010" s="239"/>
      <c r="J1010" s="239"/>
      <c r="K1010" s="239"/>
      <c r="L1010" s="239"/>
      <c r="M1010" s="239"/>
      <c r="N1010" s="239"/>
      <c r="O1010" s="239"/>
      <c r="P1010" s="239"/>
      <c r="Q1010" s="239"/>
      <c r="R1010" s="239"/>
      <c r="S1010" s="239"/>
      <c r="T1010" s="239"/>
      <c r="U1010" s="239"/>
      <c r="V1010" s="239"/>
      <c r="W1010" s="239"/>
      <c r="X1010" s="239"/>
      <c r="Y1010" s="239"/>
      <c r="Z1010" s="239"/>
      <c r="AA1010" s="239"/>
      <c r="AB1010" s="239"/>
      <c r="AC1010" s="239"/>
      <c r="AD1010" s="239"/>
      <c r="AE1010" s="239"/>
      <c r="AF1010" s="239"/>
      <c r="AG1010" s="239"/>
      <c r="AH1010" s="239"/>
      <c r="AI1010" s="239"/>
      <c r="AJ1010" s="239"/>
      <c r="AK1010" s="239"/>
      <c r="AL1010" s="239"/>
      <c r="AM1010" s="239"/>
      <c r="AN1010" s="239"/>
      <c r="AO1010" s="239"/>
      <c r="AP1010" s="239"/>
      <c r="AQ1010" s="239"/>
      <c r="AR1010" s="239"/>
      <c r="AS1010" s="239"/>
      <c r="AT1010" s="239"/>
      <c r="AU1010" s="239"/>
      <c r="AV1010" s="239"/>
      <c r="AW1010" s="239"/>
      <c r="AX1010" s="239"/>
      <c r="AY1010" s="239"/>
      <c r="AZ1010" s="239"/>
      <c r="BA1010" s="239"/>
      <c r="BB1010" s="239"/>
      <c r="BC1010" s="239"/>
      <c r="BD1010" s="239"/>
      <c r="BE1010" s="239"/>
      <c r="BF1010" s="239"/>
      <c r="BG1010" s="239"/>
      <c r="BH1010" s="239"/>
      <c r="BI1010" s="241"/>
      <c r="BJ1010" s="239"/>
      <c r="BK1010" s="239"/>
      <c r="BL1010" s="239"/>
      <c r="BM1010" s="239"/>
      <c r="BN1010" s="239"/>
      <c r="BO1010" s="239"/>
      <c r="BP1010" s="239"/>
      <c r="BQ1010" s="239"/>
      <c r="BR1010" s="239"/>
      <c r="BS1010" s="239"/>
      <c r="BT1010" s="239"/>
      <c r="BU1010" s="239"/>
      <c r="BV1010" s="239"/>
      <c r="BW1010" s="197"/>
    </row>
    <row r="1011" spans="1:75" s="198" customFormat="1" ht="14.25" hidden="1" outlineLevel="1" x14ac:dyDescent="0.45">
      <c r="A1011" s="670" t="s">
        <v>1047</v>
      </c>
      <c r="B1011" s="522"/>
      <c r="C1011" s="671">
        <v>625.68499999999995</v>
      </c>
      <c r="D1011" s="671">
        <v>772.75199999999995</v>
      </c>
      <c r="E1011" s="671">
        <v>958.08400000000006</v>
      </c>
      <c r="F1011" s="671">
        <v>1193.046</v>
      </c>
      <c r="G1011" s="638">
        <v>301.33699999999999</v>
      </c>
      <c r="H1011" s="638">
        <v>382.09800000000001</v>
      </c>
      <c r="I1011" s="638">
        <v>395.83199999999999</v>
      </c>
      <c r="J1011" s="638">
        <v>471.69400000000002</v>
      </c>
      <c r="K1011" s="672">
        <v>1550.9609999999998</v>
      </c>
      <c r="L1011" s="638">
        <v>366.25400000000002</v>
      </c>
      <c r="M1011" s="638">
        <v>433.76600000000002</v>
      </c>
      <c r="N1011" s="638">
        <v>484.67500000000001</v>
      </c>
      <c r="O1011" s="638">
        <v>582.72699999999998</v>
      </c>
      <c r="P1011" s="672">
        <v>1867.422</v>
      </c>
      <c r="Q1011" s="638">
        <v>422.44499999999999</v>
      </c>
      <c r="R1011" s="638">
        <v>506.94200000000001</v>
      </c>
      <c r="S1011" s="638">
        <v>532.41099999999994</v>
      </c>
      <c r="T1011" s="197">
        <v>647.20800000000008</v>
      </c>
      <c r="U1011" s="671">
        <v>2109.0059999999999</v>
      </c>
      <c r="V1011" s="638">
        <v>455.45600000000002</v>
      </c>
      <c r="W1011" s="638">
        <v>543.38099999999997</v>
      </c>
      <c r="X1011" s="638">
        <v>549.32799999999997</v>
      </c>
      <c r="Y1011" s="197">
        <v>586.70600000000013</v>
      </c>
      <c r="Z1011" s="671">
        <v>2134.8710000000001</v>
      </c>
      <c r="AA1011" s="638">
        <v>562.08000000000004</v>
      </c>
      <c r="AB1011" s="638">
        <v>615.32600000000002</v>
      </c>
      <c r="AC1011" s="638">
        <v>592.47299999999996</v>
      </c>
      <c r="AD1011" s="197">
        <v>670.29500000000007</v>
      </c>
      <c r="AE1011" s="671">
        <v>2440.174</v>
      </c>
      <c r="AF1011" s="638">
        <v>557.40599999999995</v>
      </c>
      <c r="AG1011" s="638">
        <v>640.798</v>
      </c>
      <c r="AH1011" s="638">
        <v>636.55799999999999</v>
      </c>
      <c r="AI1011" s="197">
        <v>670.89099999999985</v>
      </c>
      <c r="AJ1011" s="671">
        <v>2505.6529999999998</v>
      </c>
      <c r="AK1011" s="638">
        <v>598.42100000000005</v>
      </c>
      <c r="AL1011" s="638">
        <v>706.51400000000001</v>
      </c>
      <c r="AM1011" s="638">
        <v>677.52599999999995</v>
      </c>
      <c r="AN1011" s="197">
        <v>664.97600000000011</v>
      </c>
      <c r="AO1011" s="671">
        <v>2647.4369999999999</v>
      </c>
      <c r="AP1011" s="638">
        <v>482.89499999999998</v>
      </c>
      <c r="AQ1011" s="638">
        <v>709.28200000000004</v>
      </c>
      <c r="AR1011" s="638">
        <v>844.01300000000003</v>
      </c>
      <c r="AS1011" s="197">
        <v>812.43600000000015</v>
      </c>
      <c r="AT1011" s="671">
        <v>2848.6260000000002</v>
      </c>
      <c r="AU1011" s="638">
        <v>860.79200000000003</v>
      </c>
      <c r="AV1011" s="638">
        <v>988.85900000000004</v>
      </c>
      <c r="AW1011" s="638">
        <v>1006.428</v>
      </c>
      <c r="AX1011" s="197">
        <v>902.74099999999999</v>
      </c>
      <c r="AY1011" s="671">
        <v>3758.82</v>
      </c>
      <c r="AZ1011" s="638">
        <v>957.29200000000003</v>
      </c>
      <c r="BA1011" s="638">
        <v>991.62</v>
      </c>
      <c r="BB1011" s="638">
        <v>869.06600000000003</v>
      </c>
      <c r="BC1011" s="197">
        <v>772.4989999999998</v>
      </c>
      <c r="BD1011" s="671">
        <v>3590.4769999999999</v>
      </c>
      <c r="BE1011" s="638">
        <v>739.16200000000003</v>
      </c>
      <c r="BF1011" s="638">
        <v>800.47900000000004</v>
      </c>
      <c r="BG1011" s="638">
        <v>751.22500000000002</v>
      </c>
      <c r="BH1011" s="197">
        <v>738.26000000000022</v>
      </c>
      <c r="BI1011" s="673">
        <v>3029.1260000000002</v>
      </c>
      <c r="BJ1011" s="295"/>
      <c r="BK1011" s="295"/>
      <c r="BL1011" s="295"/>
      <c r="BM1011" s="295"/>
      <c r="BN1011" s="397"/>
      <c r="BO1011" s="295"/>
      <c r="BP1011" s="295"/>
      <c r="BQ1011" s="295"/>
      <c r="BR1011" s="295"/>
      <c r="BS1011" s="397"/>
      <c r="BT1011" s="397"/>
      <c r="BU1011" s="397"/>
      <c r="BV1011" s="397"/>
      <c r="BW1011" s="197"/>
    </row>
    <row r="1012" spans="1:75" s="123" customFormat="1" hidden="1" outlineLevel="1" x14ac:dyDescent="0.5">
      <c r="A1012" s="464" t="s">
        <v>1048</v>
      </c>
      <c r="B1012" s="513"/>
      <c r="C1012" s="403">
        <v>412.62900000000002</v>
      </c>
      <c r="D1012" s="403">
        <v>501.13200000000001</v>
      </c>
      <c r="E1012" s="403">
        <v>601.73500000000001</v>
      </c>
      <c r="F1012" s="403">
        <v>756.59699999999998</v>
      </c>
      <c r="G1012" s="302">
        <v>199.46</v>
      </c>
      <c r="H1012" s="302">
        <v>242.87200000000001</v>
      </c>
      <c r="I1012" s="302">
        <v>255.03200000000001</v>
      </c>
      <c r="J1012" s="302">
        <v>296.71699999999998</v>
      </c>
      <c r="K1012" s="674">
        <v>994.08100000000002</v>
      </c>
      <c r="L1012" s="302">
        <v>241.905</v>
      </c>
      <c r="M1012" s="302">
        <v>265.85700000000003</v>
      </c>
      <c r="N1012" s="302">
        <v>304.30200000000002</v>
      </c>
      <c r="O1012" s="302">
        <v>364.584</v>
      </c>
      <c r="P1012" s="674">
        <v>1176.6480000000001</v>
      </c>
      <c r="Q1012" s="302">
        <v>279.02699999999999</v>
      </c>
      <c r="R1012" s="302">
        <v>312.67899999999997</v>
      </c>
      <c r="S1012" s="302">
        <v>341.661</v>
      </c>
      <c r="T1012" s="122">
        <v>422.94700000000012</v>
      </c>
      <c r="U1012" s="403">
        <v>1356.3140000000001</v>
      </c>
      <c r="V1012" s="302">
        <v>327.98099999999999</v>
      </c>
      <c r="W1012" s="302">
        <v>363.54199999999997</v>
      </c>
      <c r="X1012" s="302">
        <v>373.50900000000001</v>
      </c>
      <c r="Y1012" s="122">
        <v>390.05200000000013</v>
      </c>
      <c r="Z1012" s="403">
        <v>1455.0840000000001</v>
      </c>
      <c r="AA1012" s="302">
        <v>391.82400000000001</v>
      </c>
      <c r="AB1012" s="302">
        <v>409.51299999999998</v>
      </c>
      <c r="AC1012" s="302">
        <v>378.14800000000002</v>
      </c>
      <c r="AD1012" s="122">
        <v>411.62199999999984</v>
      </c>
      <c r="AE1012" s="403">
        <v>1591.107</v>
      </c>
      <c r="AF1012" s="302">
        <v>348.07299999999998</v>
      </c>
      <c r="AG1012" s="302">
        <v>372.45400000000001</v>
      </c>
      <c r="AH1012" s="302">
        <v>386.53699999999998</v>
      </c>
      <c r="AI1012" s="122">
        <v>413.01199999999994</v>
      </c>
      <c r="AJ1012" s="403">
        <v>1520.076</v>
      </c>
      <c r="AK1012" s="302">
        <v>365.60700000000003</v>
      </c>
      <c r="AL1012" s="302">
        <v>411.55599999999998</v>
      </c>
      <c r="AM1012" s="302">
        <v>393.36</v>
      </c>
      <c r="AN1012" s="122">
        <v>381.90299999999979</v>
      </c>
      <c r="AO1012" s="403">
        <v>1552.4259999999999</v>
      </c>
      <c r="AP1012" s="302">
        <v>283.24099999999999</v>
      </c>
      <c r="AQ1012" s="302">
        <v>376.863</v>
      </c>
      <c r="AR1012" s="302">
        <v>435.68299999999999</v>
      </c>
      <c r="AS1012" s="122">
        <v>427.30799999999999</v>
      </c>
      <c r="AT1012" s="403">
        <v>1523.095</v>
      </c>
      <c r="AU1012" s="302">
        <v>453.815</v>
      </c>
      <c r="AV1012" s="302">
        <v>501.18299999999999</v>
      </c>
      <c r="AW1012" s="302">
        <v>501.17399999999998</v>
      </c>
      <c r="AX1012" s="122">
        <v>447.23700000000008</v>
      </c>
      <c r="AY1012" s="403">
        <v>1903.4090000000001</v>
      </c>
      <c r="AZ1012" s="302">
        <v>458.709</v>
      </c>
      <c r="BA1012" s="302">
        <v>468.40199999999999</v>
      </c>
      <c r="BB1012" s="302">
        <v>448.28800000000001</v>
      </c>
      <c r="BC1012" s="122">
        <v>403.09300000000007</v>
      </c>
      <c r="BD1012" s="403">
        <v>1778.492</v>
      </c>
      <c r="BE1012" s="302">
        <v>391.61700000000002</v>
      </c>
      <c r="BF1012" s="302">
        <v>420.40600000000001</v>
      </c>
      <c r="BG1012" s="302">
        <v>410.77499999999998</v>
      </c>
      <c r="BH1012" s="122">
        <v>417.30899999999997</v>
      </c>
      <c r="BI1012" s="514">
        <v>1640.107</v>
      </c>
      <c r="BJ1012" s="118"/>
      <c r="BK1012" s="118"/>
      <c r="BL1012" s="118"/>
      <c r="BM1012" s="118"/>
      <c r="BN1012" s="401"/>
      <c r="BO1012" s="118"/>
      <c r="BP1012" s="118"/>
      <c r="BQ1012" s="118"/>
      <c r="BR1012" s="118"/>
      <c r="BS1012" s="401"/>
      <c r="BT1012" s="401"/>
      <c r="BU1012" s="401"/>
      <c r="BV1012" s="401"/>
      <c r="BW1012" s="122"/>
    </row>
    <row r="1013" spans="1:75" s="198" customFormat="1" ht="14.25" hidden="1" outlineLevel="1" x14ac:dyDescent="0.45">
      <c r="A1013" s="675" t="s">
        <v>1049</v>
      </c>
      <c r="B1013" s="517"/>
      <c r="C1013" s="518">
        <v>213.05599999999993</v>
      </c>
      <c r="D1013" s="519">
        <v>271.61999999999995</v>
      </c>
      <c r="E1013" s="519">
        <v>356.34900000000005</v>
      </c>
      <c r="F1013" s="632">
        <v>436.44900000000013</v>
      </c>
      <c r="G1013" s="520">
        <v>101.87699999999998</v>
      </c>
      <c r="H1013" s="520">
        <v>139.226</v>
      </c>
      <c r="I1013" s="520">
        <v>140.79999999999998</v>
      </c>
      <c r="J1013" s="520">
        <v>174.97700000000003</v>
      </c>
      <c r="K1013" s="519">
        <v>556.87999999999977</v>
      </c>
      <c r="L1013" s="520">
        <v>124.34900000000002</v>
      </c>
      <c r="M1013" s="520">
        <v>167.90899999999999</v>
      </c>
      <c r="N1013" s="520">
        <v>180.37299999999999</v>
      </c>
      <c r="O1013" s="520">
        <v>218.14299999999997</v>
      </c>
      <c r="P1013" s="519">
        <v>690.77399999999989</v>
      </c>
      <c r="Q1013" s="520">
        <v>143.41800000000001</v>
      </c>
      <c r="R1013" s="520">
        <v>194.26300000000003</v>
      </c>
      <c r="S1013" s="520">
        <v>190.74999999999994</v>
      </c>
      <c r="T1013" s="520">
        <v>224.26099999999997</v>
      </c>
      <c r="U1013" s="519">
        <v>752.69199999999978</v>
      </c>
      <c r="V1013" s="520">
        <v>127.47500000000002</v>
      </c>
      <c r="W1013" s="327">
        <v>179.839</v>
      </c>
      <c r="X1013" s="520">
        <v>175.81899999999996</v>
      </c>
      <c r="Y1013" s="327">
        <v>196.654</v>
      </c>
      <c r="Z1013" s="518">
        <v>679.78700000000003</v>
      </c>
      <c r="AA1013" s="327">
        <v>170.25600000000003</v>
      </c>
      <c r="AB1013" s="327">
        <v>205.81300000000005</v>
      </c>
      <c r="AC1013" s="520">
        <v>214.32499999999993</v>
      </c>
      <c r="AD1013" s="327">
        <v>258.67300000000023</v>
      </c>
      <c r="AE1013" s="518">
        <v>849.06700000000001</v>
      </c>
      <c r="AF1013" s="327">
        <v>209.33299999999997</v>
      </c>
      <c r="AG1013" s="327">
        <v>268.34399999999999</v>
      </c>
      <c r="AH1013" s="520">
        <v>250.02100000000002</v>
      </c>
      <c r="AI1013" s="327">
        <v>257.87899999999991</v>
      </c>
      <c r="AJ1013" s="518">
        <v>985.57699999999977</v>
      </c>
      <c r="AK1013" s="327">
        <v>232.81400000000002</v>
      </c>
      <c r="AL1013" s="327">
        <v>294.95800000000003</v>
      </c>
      <c r="AM1013" s="520">
        <v>284.16599999999994</v>
      </c>
      <c r="AN1013" s="327">
        <v>283.07300000000032</v>
      </c>
      <c r="AO1013" s="518">
        <v>1095.011</v>
      </c>
      <c r="AP1013" s="327">
        <v>199.654</v>
      </c>
      <c r="AQ1013" s="327">
        <v>332.41900000000004</v>
      </c>
      <c r="AR1013" s="520">
        <v>408.33000000000004</v>
      </c>
      <c r="AS1013" s="327">
        <v>385.12800000000016</v>
      </c>
      <c r="AT1013" s="518">
        <v>1325.5310000000002</v>
      </c>
      <c r="AU1013" s="327">
        <v>406.97700000000003</v>
      </c>
      <c r="AV1013" s="327">
        <v>487.67600000000004</v>
      </c>
      <c r="AW1013" s="520">
        <v>505.25400000000002</v>
      </c>
      <c r="AX1013" s="327">
        <v>455.50399999999991</v>
      </c>
      <c r="AY1013" s="518">
        <v>1855.4110000000001</v>
      </c>
      <c r="AZ1013" s="327">
        <v>498.58300000000003</v>
      </c>
      <c r="BA1013" s="327">
        <v>523.21800000000007</v>
      </c>
      <c r="BB1013" s="520">
        <v>420.77800000000002</v>
      </c>
      <c r="BC1013" s="327">
        <v>369.40599999999972</v>
      </c>
      <c r="BD1013" s="518">
        <v>1811.9849999999999</v>
      </c>
      <c r="BE1013" s="327">
        <v>347.54500000000002</v>
      </c>
      <c r="BF1013" s="327">
        <v>380.07300000000004</v>
      </c>
      <c r="BG1013" s="520">
        <v>340.45000000000005</v>
      </c>
      <c r="BH1013" s="327">
        <v>320.95100000000025</v>
      </c>
      <c r="BI1013" s="525">
        <v>1389.0190000000002</v>
      </c>
      <c r="BJ1013" s="327">
        <v>0</v>
      </c>
      <c r="BK1013" s="327">
        <v>0</v>
      </c>
      <c r="BL1013" s="327">
        <v>0</v>
      </c>
      <c r="BM1013" s="327">
        <v>0</v>
      </c>
      <c r="BN1013" s="518">
        <v>0</v>
      </c>
      <c r="BO1013" s="327">
        <v>0</v>
      </c>
      <c r="BP1013" s="327">
        <v>0</v>
      </c>
      <c r="BQ1013" s="327">
        <v>0</v>
      </c>
      <c r="BR1013" s="327">
        <v>0</v>
      </c>
      <c r="BS1013" s="518">
        <v>0</v>
      </c>
      <c r="BT1013" s="518">
        <v>0</v>
      </c>
      <c r="BU1013" s="518">
        <v>0</v>
      </c>
      <c r="BV1013" s="518">
        <v>0</v>
      </c>
      <c r="BW1013" s="197"/>
    </row>
    <row r="1014" spans="1:75" s="123" customFormat="1" hidden="1" outlineLevel="1" x14ac:dyDescent="0.5">
      <c r="A1014" s="464" t="s">
        <v>1050</v>
      </c>
      <c r="B1014" s="513"/>
      <c r="C1014" s="403">
        <v>238.88900000000001</v>
      </c>
      <c r="D1014" s="403">
        <v>274.83600000000001</v>
      </c>
      <c r="E1014" s="403">
        <v>329.50599999999997</v>
      </c>
      <c r="F1014" s="403">
        <v>505.48500000000001</v>
      </c>
      <c r="G1014" s="302">
        <v>101.366</v>
      </c>
      <c r="H1014" s="302">
        <v>167.006</v>
      </c>
      <c r="I1014" s="302">
        <v>116.94</v>
      </c>
      <c r="J1014" s="302">
        <v>116.717</v>
      </c>
      <c r="K1014" s="674">
        <v>502.029</v>
      </c>
      <c r="L1014" s="302">
        <v>119.571</v>
      </c>
      <c r="M1014" s="302">
        <v>118.974</v>
      </c>
      <c r="N1014" s="302">
        <v>143.685</v>
      </c>
      <c r="O1014" s="302">
        <v>142.81800000000001</v>
      </c>
      <c r="P1014" s="674">
        <v>525.048</v>
      </c>
      <c r="Q1014" s="302">
        <v>126.389</v>
      </c>
      <c r="R1014" s="302">
        <v>137.84</v>
      </c>
      <c r="S1014" s="302">
        <v>145.874</v>
      </c>
      <c r="T1014" s="122">
        <v>157.02800000000002</v>
      </c>
      <c r="U1014" s="403">
        <v>567.13099999999997</v>
      </c>
      <c r="V1014" s="302">
        <v>138.94999999999999</v>
      </c>
      <c r="W1014" s="302">
        <v>157.82400000000001</v>
      </c>
      <c r="X1014" s="302">
        <v>160.43299999999999</v>
      </c>
      <c r="Y1014" s="122">
        <v>169.54399999999998</v>
      </c>
      <c r="Z1014" s="403">
        <v>626.75099999999998</v>
      </c>
      <c r="AA1014" s="302">
        <v>163.36000000000001</v>
      </c>
      <c r="AB1014" s="302">
        <v>193.69</v>
      </c>
      <c r="AC1014" s="302">
        <v>171.16300000000001</v>
      </c>
      <c r="AD1014" s="122">
        <v>189.553</v>
      </c>
      <c r="AE1014" s="403">
        <v>717.76599999999996</v>
      </c>
      <c r="AF1014" s="302">
        <v>161.18600000000001</v>
      </c>
      <c r="AG1014" s="302">
        <v>186.52099999999999</v>
      </c>
      <c r="AH1014" s="302">
        <v>207.79300000000001</v>
      </c>
      <c r="AI1014" s="122">
        <v>168.34100000000001</v>
      </c>
      <c r="AJ1014" s="403">
        <v>723.84100000000001</v>
      </c>
      <c r="AK1014" s="302">
        <v>164.18100000000001</v>
      </c>
      <c r="AL1014" s="302">
        <v>190.977</v>
      </c>
      <c r="AM1014" s="302">
        <v>194.929</v>
      </c>
      <c r="AN1014" s="122">
        <v>182.09299999999996</v>
      </c>
      <c r="AO1014" s="403">
        <v>732.18</v>
      </c>
      <c r="AP1014" s="302">
        <v>164.20099999999999</v>
      </c>
      <c r="AQ1014" s="302">
        <v>195.851</v>
      </c>
      <c r="AR1014" s="302">
        <v>297.10899999999998</v>
      </c>
      <c r="AS1014" s="122">
        <v>201.51199999999994</v>
      </c>
      <c r="AT1014" s="403">
        <v>858.673</v>
      </c>
      <c r="AU1014" s="302">
        <v>219.089</v>
      </c>
      <c r="AV1014" s="302">
        <v>238.68799999999999</v>
      </c>
      <c r="AW1014" s="302">
        <v>232.715</v>
      </c>
      <c r="AX1014" s="122">
        <v>237.73800000000006</v>
      </c>
      <c r="AY1014" s="403">
        <v>928.23</v>
      </c>
      <c r="AZ1014" s="302">
        <v>293.29500000000002</v>
      </c>
      <c r="BA1014" s="302">
        <v>288.80399999999997</v>
      </c>
      <c r="BB1014" s="302">
        <v>250.52799999999999</v>
      </c>
      <c r="BC1014" s="122">
        <v>257.20100000000002</v>
      </c>
      <c r="BD1014" s="403">
        <v>1089.828</v>
      </c>
      <c r="BE1014" s="302">
        <v>248.30500000000001</v>
      </c>
      <c r="BF1014" s="302">
        <v>228.733</v>
      </c>
      <c r="BG1014" s="302">
        <v>289.214</v>
      </c>
      <c r="BH1014" s="122">
        <v>256.69600000000003</v>
      </c>
      <c r="BI1014" s="514">
        <v>1022.948</v>
      </c>
      <c r="BJ1014" s="118"/>
      <c r="BK1014" s="118"/>
      <c r="BL1014" s="118"/>
      <c r="BM1014" s="118"/>
      <c r="BN1014" s="401"/>
      <c r="BO1014" s="118"/>
      <c r="BP1014" s="118"/>
      <c r="BQ1014" s="118"/>
      <c r="BR1014" s="118"/>
      <c r="BS1014" s="401"/>
      <c r="BT1014" s="401"/>
      <c r="BU1014" s="401"/>
      <c r="BV1014" s="401"/>
      <c r="BW1014" s="122"/>
    </row>
    <row r="1015" spans="1:75" s="198" customFormat="1" ht="14.25" hidden="1" outlineLevel="1" x14ac:dyDescent="0.45">
      <c r="A1015" s="675" t="s">
        <v>1051</v>
      </c>
      <c r="B1015" s="517"/>
      <c r="C1015" s="518">
        <v>-25.833000000000084</v>
      </c>
      <c r="D1015" s="519">
        <v>-3.216000000000065</v>
      </c>
      <c r="E1015" s="519">
        <v>26.843000000000075</v>
      </c>
      <c r="F1015" s="632">
        <v>-69.035999999999945</v>
      </c>
      <c r="G1015" s="520">
        <v>0.51099999999998147</v>
      </c>
      <c r="H1015" s="520">
        <v>-27.78</v>
      </c>
      <c r="I1015" s="520">
        <v>23.859999999999985</v>
      </c>
      <c r="J1015" s="520">
        <v>58.260000000000034</v>
      </c>
      <c r="K1015" s="519">
        <v>54.850999999999772</v>
      </c>
      <c r="L1015" s="520">
        <v>4.77800000000002</v>
      </c>
      <c r="M1015" s="520">
        <v>48.934999999999988</v>
      </c>
      <c r="N1015" s="520">
        <v>36.687999999999988</v>
      </c>
      <c r="O1015" s="520">
        <v>75.32499999999996</v>
      </c>
      <c r="P1015" s="519">
        <v>165.72599999999989</v>
      </c>
      <c r="Q1015" s="520">
        <v>17.029000000000011</v>
      </c>
      <c r="R1015" s="520">
        <v>56.42300000000003</v>
      </c>
      <c r="S1015" s="520">
        <v>44.875999999999948</v>
      </c>
      <c r="T1015" s="520">
        <v>67.232999999999947</v>
      </c>
      <c r="U1015" s="519">
        <v>185.56099999999981</v>
      </c>
      <c r="V1015" s="520">
        <v>-11.474999999999966</v>
      </c>
      <c r="W1015" s="327">
        <v>22.014999999999986</v>
      </c>
      <c r="X1015" s="520">
        <v>15.385999999999967</v>
      </c>
      <c r="Y1015" s="327">
        <v>27.110000000000014</v>
      </c>
      <c r="Z1015" s="518">
        <v>53.036000000000058</v>
      </c>
      <c r="AA1015" s="327">
        <v>6.896000000000015</v>
      </c>
      <c r="AB1015" s="327">
        <v>12.123000000000047</v>
      </c>
      <c r="AC1015" s="520">
        <v>43.161999999999921</v>
      </c>
      <c r="AD1015" s="327">
        <v>69.120000000000232</v>
      </c>
      <c r="AE1015" s="518">
        <v>131.30100000000004</v>
      </c>
      <c r="AF1015" s="327">
        <v>48.146999999999963</v>
      </c>
      <c r="AG1015" s="327">
        <v>81.823000000000008</v>
      </c>
      <c r="AH1015" s="520">
        <v>42.228000000000009</v>
      </c>
      <c r="AI1015" s="327">
        <v>89.537999999999897</v>
      </c>
      <c r="AJ1015" s="518">
        <v>261.73599999999976</v>
      </c>
      <c r="AK1015" s="327">
        <v>68.63300000000001</v>
      </c>
      <c r="AL1015" s="327">
        <v>103.98100000000002</v>
      </c>
      <c r="AM1015" s="520">
        <v>89.236999999999938</v>
      </c>
      <c r="AN1015" s="327">
        <v>100.98000000000036</v>
      </c>
      <c r="AO1015" s="518">
        <v>362.83100000000002</v>
      </c>
      <c r="AP1015" s="327">
        <v>35.453000000000003</v>
      </c>
      <c r="AQ1015" s="327">
        <v>136.56800000000004</v>
      </c>
      <c r="AR1015" s="520">
        <v>111.22100000000006</v>
      </c>
      <c r="AS1015" s="327">
        <v>183.61600000000021</v>
      </c>
      <c r="AT1015" s="518">
        <v>466.85800000000017</v>
      </c>
      <c r="AU1015" s="327">
        <v>187.88800000000003</v>
      </c>
      <c r="AV1015" s="327">
        <v>248.98800000000006</v>
      </c>
      <c r="AW1015" s="520">
        <v>272.53899999999999</v>
      </c>
      <c r="AX1015" s="327">
        <v>217.76599999999985</v>
      </c>
      <c r="AY1015" s="518">
        <v>927.18100000000004</v>
      </c>
      <c r="AZ1015" s="327">
        <v>205.28800000000001</v>
      </c>
      <c r="BA1015" s="327">
        <v>234.4140000000001</v>
      </c>
      <c r="BB1015" s="520">
        <v>170.25000000000003</v>
      </c>
      <c r="BC1015" s="327">
        <v>112.2049999999997</v>
      </c>
      <c r="BD1015" s="518">
        <v>722.15699999999993</v>
      </c>
      <c r="BE1015" s="327">
        <v>99.240000000000009</v>
      </c>
      <c r="BF1015" s="327">
        <v>151.34000000000003</v>
      </c>
      <c r="BG1015" s="520">
        <v>51.236000000000047</v>
      </c>
      <c r="BH1015" s="327">
        <v>64.255000000000223</v>
      </c>
      <c r="BI1015" s="525">
        <v>366.07100000000025</v>
      </c>
      <c r="BJ1015" s="327">
        <v>0</v>
      </c>
      <c r="BK1015" s="327">
        <v>0</v>
      </c>
      <c r="BL1015" s="327">
        <v>0</v>
      </c>
      <c r="BM1015" s="327">
        <v>0</v>
      </c>
      <c r="BN1015" s="518">
        <v>0</v>
      </c>
      <c r="BO1015" s="327">
        <v>0</v>
      </c>
      <c r="BP1015" s="327">
        <v>0</v>
      </c>
      <c r="BQ1015" s="327">
        <v>0</v>
      </c>
      <c r="BR1015" s="327">
        <v>0</v>
      </c>
      <c r="BS1015" s="518">
        <v>0</v>
      </c>
      <c r="BT1015" s="518">
        <v>0</v>
      </c>
      <c r="BU1015" s="518">
        <v>0</v>
      </c>
      <c r="BV1015" s="518">
        <v>0</v>
      </c>
      <c r="BW1015" s="197"/>
    </row>
    <row r="1016" spans="1:75" s="123" customFormat="1" hidden="1" outlineLevel="2" x14ac:dyDescent="0.5">
      <c r="A1016" s="541" t="s">
        <v>1052</v>
      </c>
      <c r="B1016" s="513"/>
      <c r="C1016" s="401"/>
      <c r="D1016" s="401"/>
      <c r="E1016" s="401"/>
      <c r="F1016" s="401"/>
      <c r="G1016" s="119"/>
      <c r="H1016" s="119"/>
      <c r="I1016" s="119"/>
      <c r="J1016" s="119"/>
      <c r="K1016" s="401"/>
      <c r="L1016" s="119"/>
      <c r="M1016" s="302">
        <v>1.6</v>
      </c>
      <c r="N1016" s="302">
        <v>3.2</v>
      </c>
      <c r="O1016" s="122">
        <v>3.1689999999999996</v>
      </c>
      <c r="P1016" s="403">
        <v>7.9690000000000003</v>
      </c>
      <c r="Q1016" s="302">
        <v>3.25</v>
      </c>
      <c r="R1016" s="302">
        <v>5.0380000000000003</v>
      </c>
      <c r="S1016" s="302">
        <v>6.8650000000000002</v>
      </c>
      <c r="T1016" s="122">
        <v>6.9610000000000003</v>
      </c>
      <c r="U1016" s="403">
        <v>22.114000000000001</v>
      </c>
      <c r="V1016" s="302">
        <v>7.0570000000000004</v>
      </c>
      <c r="W1016" s="302">
        <v>7.1550000000000002</v>
      </c>
      <c r="X1016" s="302">
        <v>7.2539999999999996</v>
      </c>
      <c r="Y1016" s="122">
        <v>7.3559999999999981</v>
      </c>
      <c r="Z1016" s="403">
        <v>28.821999999999999</v>
      </c>
      <c r="AA1016" s="302">
        <v>7.4569999999999999</v>
      </c>
      <c r="AB1016" s="302">
        <v>7.5609999999999999</v>
      </c>
      <c r="AC1016" s="302">
        <v>7.6669999999999998</v>
      </c>
      <c r="AD1016" s="122">
        <v>7.7719999999999985</v>
      </c>
      <c r="AE1016" s="403">
        <v>30.457000000000001</v>
      </c>
      <c r="AF1016" s="302">
        <v>7.8810000000000002</v>
      </c>
      <c r="AG1016" s="302">
        <v>9.7639999999999993</v>
      </c>
      <c r="AH1016" s="302">
        <v>12.023999999999999</v>
      </c>
      <c r="AI1016" s="122">
        <v>12.199000000000005</v>
      </c>
      <c r="AJ1016" s="403">
        <v>41.868000000000002</v>
      </c>
      <c r="AK1016" s="302">
        <v>12.377000000000001</v>
      </c>
      <c r="AL1016" s="302">
        <v>10.585000000000001</v>
      </c>
      <c r="AM1016" s="302">
        <v>10.566000000000001</v>
      </c>
      <c r="AN1016" s="122">
        <v>12.716999999999992</v>
      </c>
      <c r="AO1016" s="403">
        <v>46.244999999999997</v>
      </c>
      <c r="AP1016" s="302">
        <v>12.916</v>
      </c>
      <c r="AQ1016" s="302">
        <v>12.462</v>
      </c>
      <c r="AR1016" s="302">
        <v>8.4320000000000004</v>
      </c>
      <c r="AS1016" s="119">
        <v>8.5619999999999976</v>
      </c>
      <c r="AT1016" s="403">
        <v>42.372</v>
      </c>
      <c r="AU1016" s="302">
        <v>8.67</v>
      </c>
      <c r="AV1016" s="302">
        <v>8.7910000000000004</v>
      </c>
      <c r="AW1016" s="302">
        <v>6.7750000000000004</v>
      </c>
      <c r="AX1016" s="119">
        <v>4.5800000000000018</v>
      </c>
      <c r="AY1016" s="403">
        <v>28.815999999999999</v>
      </c>
      <c r="AZ1016" s="119"/>
      <c r="BA1016" s="119"/>
      <c r="BB1016" s="119"/>
      <c r="BC1016" s="119">
        <v>0</v>
      </c>
      <c r="BD1016" s="401"/>
      <c r="BE1016" s="119"/>
      <c r="BF1016" s="119"/>
      <c r="BG1016" s="119"/>
      <c r="BH1016" s="119">
        <v>0</v>
      </c>
      <c r="BI1016" s="402"/>
      <c r="BJ1016" s="118"/>
      <c r="BK1016" s="118"/>
      <c r="BL1016" s="118"/>
      <c r="BM1016" s="118"/>
      <c r="BN1016" s="401"/>
      <c r="BO1016" s="118"/>
      <c r="BP1016" s="118"/>
      <c r="BQ1016" s="118"/>
      <c r="BR1016" s="118"/>
      <c r="BS1016" s="401"/>
      <c r="BT1016" s="401"/>
      <c r="BU1016" s="401"/>
      <c r="BV1016" s="401"/>
      <c r="BW1016" s="122"/>
    </row>
    <row r="1017" spans="1:75" s="123" customFormat="1" hidden="1" outlineLevel="2" x14ac:dyDescent="0.5">
      <c r="A1017" s="541" t="s">
        <v>1053</v>
      </c>
      <c r="B1017" s="513"/>
      <c r="C1017" s="401"/>
      <c r="D1017" s="401"/>
      <c r="E1017" s="401"/>
      <c r="F1017" s="401"/>
      <c r="G1017" s="119"/>
      <c r="H1017" s="302">
        <v>0.2</v>
      </c>
      <c r="I1017" s="302">
        <v>0.5</v>
      </c>
      <c r="J1017" s="119"/>
      <c r="K1017" s="403">
        <v>1.1000000000000001</v>
      </c>
      <c r="L1017" s="302">
        <v>0.8</v>
      </c>
      <c r="M1017" s="302">
        <v>1.4</v>
      </c>
      <c r="N1017" s="302">
        <v>1.6</v>
      </c>
      <c r="O1017" s="122">
        <v>1.6649999999999996</v>
      </c>
      <c r="P1017" s="403">
        <v>5.4649999999999999</v>
      </c>
      <c r="Q1017" s="302">
        <v>1.7529999999999999</v>
      </c>
      <c r="R1017" s="302">
        <v>1.611</v>
      </c>
      <c r="S1017" s="302">
        <v>3.27</v>
      </c>
      <c r="T1017" s="122">
        <v>4.1319999999999997</v>
      </c>
      <c r="U1017" s="403">
        <v>10.766</v>
      </c>
      <c r="V1017" s="302">
        <v>3.073</v>
      </c>
      <c r="W1017" s="302">
        <v>3.2629999999999999</v>
      </c>
      <c r="X1017" s="302">
        <v>3.0830000000000002</v>
      </c>
      <c r="Y1017" s="122">
        <v>4.0279999999999987</v>
      </c>
      <c r="Z1017" s="403">
        <v>13.446999999999999</v>
      </c>
      <c r="AA1017" s="302">
        <v>4.1529999999999996</v>
      </c>
      <c r="AB1017" s="302">
        <v>4.0739999999999998</v>
      </c>
      <c r="AC1017" s="302">
        <v>4.133</v>
      </c>
      <c r="AD1017" s="122">
        <v>4.4209999999999994</v>
      </c>
      <c r="AE1017" s="403">
        <v>16.780999999999999</v>
      </c>
      <c r="AF1017" s="119"/>
      <c r="AG1017" s="119"/>
      <c r="AH1017" s="119"/>
      <c r="AI1017" s="119"/>
      <c r="AJ1017" s="401"/>
      <c r="AK1017" s="119"/>
      <c r="AL1017" s="119"/>
      <c r="AM1017" s="119"/>
      <c r="AN1017" s="119"/>
      <c r="AO1017" s="401"/>
      <c r="AP1017" s="119"/>
      <c r="AQ1017" s="119"/>
      <c r="AR1017" s="119"/>
      <c r="AS1017" s="119">
        <v>0</v>
      </c>
      <c r="AT1017" s="401"/>
      <c r="AU1017" s="119"/>
      <c r="AV1017" s="119"/>
      <c r="AW1017" s="119"/>
      <c r="AX1017" s="119">
        <v>0</v>
      </c>
      <c r="AY1017" s="401"/>
      <c r="AZ1017" s="119"/>
      <c r="BA1017" s="119"/>
      <c r="BB1017" s="119"/>
      <c r="BC1017" s="119">
        <v>0</v>
      </c>
      <c r="BD1017" s="401"/>
      <c r="BE1017" s="119"/>
      <c r="BF1017" s="119"/>
      <c r="BG1017" s="119"/>
      <c r="BH1017" s="119">
        <v>0</v>
      </c>
      <c r="BI1017" s="402"/>
      <c r="BJ1017" s="118"/>
      <c r="BK1017" s="118"/>
      <c r="BL1017" s="118"/>
      <c r="BM1017" s="118"/>
      <c r="BN1017" s="401"/>
      <c r="BO1017" s="118"/>
      <c r="BP1017" s="118"/>
      <c r="BQ1017" s="118"/>
      <c r="BR1017" s="118"/>
      <c r="BS1017" s="401"/>
      <c r="BT1017" s="401"/>
      <c r="BU1017" s="401"/>
      <c r="BV1017" s="401"/>
      <c r="BW1017" s="122"/>
    </row>
    <row r="1018" spans="1:75" s="123" customFormat="1" hidden="1" outlineLevel="2" x14ac:dyDescent="0.5">
      <c r="A1018" s="541" t="s">
        <v>1054</v>
      </c>
      <c r="B1018" s="513"/>
      <c r="C1018" s="401"/>
      <c r="D1018" s="401"/>
      <c r="E1018" s="401"/>
      <c r="F1018" s="401"/>
      <c r="G1018" s="119"/>
      <c r="H1018" s="119"/>
      <c r="I1018" s="119"/>
      <c r="J1018" s="119"/>
      <c r="K1018" s="401"/>
      <c r="L1018" s="119"/>
      <c r="M1018" s="119"/>
      <c r="N1018" s="119"/>
      <c r="O1018" s="119"/>
      <c r="P1018" s="401"/>
      <c r="Q1018" s="119"/>
      <c r="R1018" s="119"/>
      <c r="S1018" s="119"/>
      <c r="T1018" s="119"/>
      <c r="U1018" s="401"/>
      <c r="V1018" s="119"/>
      <c r="W1018" s="119"/>
      <c r="X1018" s="119"/>
      <c r="Y1018" s="119"/>
      <c r="Z1018" s="401"/>
      <c r="AA1018" s="119"/>
      <c r="AB1018" s="119"/>
      <c r="AC1018" s="119"/>
      <c r="AD1018" s="119"/>
      <c r="AE1018" s="401"/>
      <c r="AF1018" s="302">
        <v>3.0920000000000001</v>
      </c>
      <c r="AG1018" s="302">
        <v>3.319</v>
      </c>
      <c r="AH1018" s="302">
        <v>4.843</v>
      </c>
      <c r="AI1018" s="122">
        <v>5.5310000000000006</v>
      </c>
      <c r="AJ1018" s="403">
        <v>16.785</v>
      </c>
      <c r="AK1018" s="302">
        <v>5.5140000000000002</v>
      </c>
      <c r="AL1018" s="302">
        <v>5.6719999999999997</v>
      </c>
      <c r="AM1018" s="302">
        <v>5.6779999999999999</v>
      </c>
      <c r="AN1018" s="122">
        <v>5.7439999999999998</v>
      </c>
      <c r="AO1018" s="403">
        <v>22.608000000000001</v>
      </c>
      <c r="AP1018" s="302">
        <v>5.7809999999999997</v>
      </c>
      <c r="AQ1018" s="302">
        <v>5.9480000000000004</v>
      </c>
      <c r="AR1018" s="302">
        <v>6.1580000000000004</v>
      </c>
      <c r="AS1018" s="119">
        <v>6.1239999999999988</v>
      </c>
      <c r="AT1018" s="403">
        <v>24.010999999999999</v>
      </c>
      <c r="AU1018" s="302">
        <v>6.15</v>
      </c>
      <c r="AV1018" s="302">
        <v>6.6070000000000002</v>
      </c>
      <c r="AW1018" s="302">
        <v>6.7110000000000003</v>
      </c>
      <c r="AX1018" s="119">
        <v>6.9439999999999955</v>
      </c>
      <c r="AY1018" s="403">
        <v>26.411999999999999</v>
      </c>
      <c r="AZ1018" s="302">
        <v>7.0709999999999997</v>
      </c>
      <c r="BA1018" s="302">
        <v>7.891</v>
      </c>
      <c r="BB1018" s="302">
        <v>8.5640000000000001</v>
      </c>
      <c r="BC1018" s="119">
        <v>8.5250000000000021</v>
      </c>
      <c r="BD1018" s="403">
        <v>32.051000000000002</v>
      </c>
      <c r="BE1018" s="302">
        <v>8.4860000000000007</v>
      </c>
      <c r="BF1018" s="302">
        <v>8.7940000000000005</v>
      </c>
      <c r="BG1018" s="302">
        <v>8.64</v>
      </c>
      <c r="BH1018" s="119">
        <v>7.902000000000001</v>
      </c>
      <c r="BI1018" s="514">
        <v>33.822000000000003</v>
      </c>
      <c r="BJ1018" s="118"/>
      <c r="BK1018" s="118"/>
      <c r="BL1018" s="118"/>
      <c r="BM1018" s="118"/>
      <c r="BN1018" s="401"/>
      <c r="BO1018" s="118"/>
      <c r="BP1018" s="118"/>
      <c r="BQ1018" s="118"/>
      <c r="BR1018" s="118"/>
      <c r="BS1018" s="401"/>
      <c r="BT1018" s="401"/>
      <c r="BU1018" s="401"/>
      <c r="BV1018" s="401"/>
      <c r="BW1018" s="122"/>
    </row>
    <row r="1019" spans="1:75" s="123" customFormat="1" hidden="1" outlineLevel="2" x14ac:dyDescent="0.5">
      <c r="A1019" s="541" t="s">
        <v>1055</v>
      </c>
      <c r="B1019" s="513"/>
      <c r="C1019" s="401"/>
      <c r="D1019" s="401"/>
      <c r="E1019" s="401"/>
      <c r="F1019" s="401"/>
      <c r="G1019" s="119"/>
      <c r="H1019" s="119"/>
      <c r="I1019" s="119"/>
      <c r="J1019" s="119"/>
      <c r="K1019" s="401"/>
      <c r="L1019" s="119"/>
      <c r="M1019" s="119"/>
      <c r="N1019" s="119"/>
      <c r="O1019" s="119"/>
      <c r="P1019" s="401"/>
      <c r="Q1019" s="119"/>
      <c r="R1019" s="119"/>
      <c r="S1019" s="119"/>
      <c r="T1019" s="119"/>
      <c r="U1019" s="401"/>
      <c r="V1019" s="119"/>
      <c r="W1019" s="119"/>
      <c r="X1019" s="119"/>
      <c r="Y1019" s="119"/>
      <c r="Z1019" s="401"/>
      <c r="AA1019" s="119"/>
      <c r="AB1019" s="119"/>
      <c r="AC1019" s="119"/>
      <c r="AD1019" s="119"/>
      <c r="AE1019" s="401"/>
      <c r="AF1019" s="302">
        <v>0.57599999999999996</v>
      </c>
      <c r="AG1019" s="302">
        <v>0.47099999999999997</v>
      </c>
      <c r="AH1019" s="302">
        <v>0.26</v>
      </c>
      <c r="AI1019" s="122">
        <v>0.25900000000000012</v>
      </c>
      <c r="AJ1019" s="403">
        <v>1.5660000000000001</v>
      </c>
      <c r="AK1019" s="302">
        <v>0.432</v>
      </c>
      <c r="AL1019" s="302">
        <v>0.98799999999999999</v>
      </c>
      <c r="AM1019" s="302">
        <v>1.099</v>
      </c>
      <c r="AN1019" s="122">
        <v>1.335</v>
      </c>
      <c r="AO1019" s="403">
        <v>3.8540000000000001</v>
      </c>
      <c r="AP1019" s="302">
        <v>1.454</v>
      </c>
      <c r="AQ1019" s="302">
        <v>1.0720000000000001</v>
      </c>
      <c r="AR1019" s="302">
        <v>1.1279999999999999</v>
      </c>
      <c r="AS1019" s="119">
        <v>0.62900000000000045</v>
      </c>
      <c r="AT1019" s="403">
        <v>4.2830000000000004</v>
      </c>
      <c r="AU1019" s="302">
        <v>0.42499999999999999</v>
      </c>
      <c r="AV1019" s="302">
        <v>0.35199999999999998</v>
      </c>
      <c r="AW1019" s="302">
        <v>0.28599999999999998</v>
      </c>
      <c r="AX1019" s="119">
        <v>0.20399999999999996</v>
      </c>
      <c r="AY1019" s="403">
        <v>1.2669999999999999</v>
      </c>
      <c r="AZ1019" s="119"/>
      <c r="BA1019" s="119"/>
      <c r="BB1019" s="119"/>
      <c r="BC1019" s="119">
        <v>0</v>
      </c>
      <c r="BD1019" s="401"/>
      <c r="BE1019" s="119"/>
      <c r="BF1019" s="119"/>
      <c r="BG1019" s="119"/>
      <c r="BH1019" s="119">
        <v>0</v>
      </c>
      <c r="BI1019" s="402"/>
      <c r="BJ1019" s="118"/>
      <c r="BK1019" s="118"/>
      <c r="BL1019" s="118"/>
      <c r="BM1019" s="118"/>
      <c r="BN1019" s="401"/>
      <c r="BO1019" s="118"/>
      <c r="BP1019" s="118"/>
      <c r="BQ1019" s="118"/>
      <c r="BR1019" s="118"/>
      <c r="BS1019" s="401"/>
      <c r="BT1019" s="401"/>
      <c r="BU1019" s="401"/>
      <c r="BV1019" s="401"/>
      <c r="BW1019" s="122"/>
    </row>
    <row r="1020" spans="1:75" s="123" customFormat="1" hidden="1" outlineLevel="2" x14ac:dyDescent="0.5">
      <c r="A1020" s="541" t="s">
        <v>1056</v>
      </c>
      <c r="B1020" s="513"/>
      <c r="C1020" s="401"/>
      <c r="D1020" s="401"/>
      <c r="E1020" s="401"/>
      <c r="F1020" s="401"/>
      <c r="G1020" s="119"/>
      <c r="H1020" s="119"/>
      <c r="I1020" s="119"/>
      <c r="J1020" s="119"/>
      <c r="K1020" s="401"/>
      <c r="L1020" s="119"/>
      <c r="M1020" s="119"/>
      <c r="N1020" s="119"/>
      <c r="O1020" s="119"/>
      <c r="P1020" s="401"/>
      <c r="Q1020" s="119"/>
      <c r="R1020" s="119"/>
      <c r="S1020" s="119"/>
      <c r="T1020" s="119"/>
      <c r="U1020" s="401"/>
      <c r="V1020" s="119"/>
      <c r="W1020" s="119"/>
      <c r="X1020" s="119"/>
      <c r="Y1020" s="119"/>
      <c r="Z1020" s="401"/>
      <c r="AA1020" s="302">
        <v>0.64700000000000002</v>
      </c>
      <c r="AB1020" s="302">
        <v>1.29</v>
      </c>
      <c r="AC1020" s="302">
        <v>1.996</v>
      </c>
      <c r="AD1020" s="122">
        <v>0.77200000000000024</v>
      </c>
      <c r="AE1020" s="403">
        <v>4.7050000000000001</v>
      </c>
      <c r="AF1020" s="302">
        <v>0.78700000000000003</v>
      </c>
      <c r="AG1020" s="302">
        <v>0.88100000000000001</v>
      </c>
      <c r="AH1020" s="302">
        <v>0.98099999999999998</v>
      </c>
      <c r="AI1020" s="122">
        <v>0.9910000000000001</v>
      </c>
      <c r="AJ1020" s="403">
        <v>3.64</v>
      </c>
      <c r="AK1020" s="302">
        <v>1.0900000000000001</v>
      </c>
      <c r="AL1020" s="302">
        <v>1.171</v>
      </c>
      <c r="AM1020" s="302">
        <v>1.054</v>
      </c>
      <c r="AN1020" s="122">
        <v>1.0259999999999998</v>
      </c>
      <c r="AO1020" s="403">
        <v>4.3410000000000002</v>
      </c>
      <c r="AP1020" s="302">
        <v>1.0129999999999999</v>
      </c>
      <c r="AQ1020" s="302">
        <v>0.98199999999999998</v>
      </c>
      <c r="AR1020" s="302">
        <v>0.71699999999999997</v>
      </c>
      <c r="AS1020" s="119">
        <v>0.7240000000000002</v>
      </c>
      <c r="AT1020" s="403">
        <v>3.4359999999999999</v>
      </c>
      <c r="AU1020" s="302">
        <v>0.745</v>
      </c>
      <c r="AV1020" s="302">
        <v>0.79700000000000004</v>
      </c>
      <c r="AW1020" s="302">
        <v>0.69199999999999995</v>
      </c>
      <c r="AX1020" s="119">
        <v>0.51900000000000013</v>
      </c>
      <c r="AY1020" s="403">
        <v>2.7530000000000001</v>
      </c>
      <c r="AZ1020" s="119"/>
      <c r="BA1020" s="119"/>
      <c r="BB1020" s="119"/>
      <c r="BC1020" s="119">
        <v>0</v>
      </c>
      <c r="BD1020" s="401"/>
      <c r="BE1020" s="119"/>
      <c r="BF1020" s="119"/>
      <c r="BG1020" s="119"/>
      <c r="BH1020" s="119">
        <v>0</v>
      </c>
      <c r="BI1020" s="402"/>
      <c r="BJ1020" s="118"/>
      <c r="BK1020" s="118"/>
      <c r="BL1020" s="118"/>
      <c r="BM1020" s="118"/>
      <c r="BN1020" s="401"/>
      <c r="BO1020" s="118"/>
      <c r="BP1020" s="118"/>
      <c r="BQ1020" s="118"/>
      <c r="BR1020" s="118"/>
      <c r="BS1020" s="401"/>
      <c r="BT1020" s="401"/>
      <c r="BU1020" s="401"/>
      <c r="BV1020" s="401"/>
      <c r="BW1020" s="122"/>
    </row>
    <row r="1021" spans="1:75" s="123" customFormat="1" hidden="1" outlineLevel="2" x14ac:dyDescent="0.5">
      <c r="A1021" s="541" t="s">
        <v>1057</v>
      </c>
      <c r="B1021" s="513"/>
      <c r="C1021" s="401"/>
      <c r="D1021" s="401"/>
      <c r="E1021" s="401"/>
      <c r="F1021" s="401"/>
      <c r="G1021" s="119"/>
      <c r="H1021" s="302">
        <v>1</v>
      </c>
      <c r="I1021" s="302">
        <v>1.7</v>
      </c>
      <c r="J1021" s="119"/>
      <c r="K1021" s="403">
        <v>5.4999999999999991</v>
      </c>
      <c r="L1021" s="302">
        <v>1.5999999999999999</v>
      </c>
      <c r="M1021" s="302">
        <v>1.3</v>
      </c>
      <c r="N1021" s="302">
        <v>1.2</v>
      </c>
      <c r="O1021" s="122">
        <v>1.7170000000000005</v>
      </c>
      <c r="P1021" s="403">
        <v>5.8170000000000002</v>
      </c>
      <c r="Q1021" s="302">
        <v>1.298</v>
      </c>
      <c r="R1021" s="302">
        <v>1.421</v>
      </c>
      <c r="S1021" s="302">
        <v>1.526</v>
      </c>
      <c r="T1021" s="122">
        <v>2.8069999999999995</v>
      </c>
      <c r="U1021" s="403">
        <v>7.0519999999999996</v>
      </c>
      <c r="V1021" s="302">
        <v>1.92</v>
      </c>
      <c r="W1021" s="302">
        <v>1.893</v>
      </c>
      <c r="X1021" s="302">
        <v>2.0510000000000002</v>
      </c>
      <c r="Y1021" s="122">
        <v>1.7560000000000002</v>
      </c>
      <c r="Z1021" s="403">
        <v>7.62</v>
      </c>
      <c r="AA1021" s="302">
        <v>0.54700000000000004</v>
      </c>
      <c r="AB1021" s="302">
        <v>0.59099999999999997</v>
      </c>
      <c r="AC1021" s="302">
        <v>0.77200000000000002</v>
      </c>
      <c r="AD1021" s="122">
        <v>0.96699999999999986</v>
      </c>
      <c r="AE1021" s="403">
        <v>2.8769999999999998</v>
      </c>
      <c r="AF1021" s="302">
        <v>0.34</v>
      </c>
      <c r="AG1021" s="302">
        <v>0.39300000000000002</v>
      </c>
      <c r="AH1021" s="302">
        <v>0.443</v>
      </c>
      <c r="AI1021" s="122">
        <v>0.3969999999999998</v>
      </c>
      <c r="AJ1021" s="403">
        <v>1.573</v>
      </c>
      <c r="AK1021" s="302">
        <v>0.39500000000000002</v>
      </c>
      <c r="AL1021" s="302">
        <v>0.38800000000000001</v>
      </c>
      <c r="AM1021" s="302">
        <v>0.40799999999999997</v>
      </c>
      <c r="AN1021" s="122">
        <v>0.46099999999999985</v>
      </c>
      <c r="AO1021" s="403">
        <v>1.6519999999999999</v>
      </c>
      <c r="AP1021" s="302">
        <v>0.443</v>
      </c>
      <c r="AQ1021" s="302">
        <v>0.436</v>
      </c>
      <c r="AR1021" s="302">
        <v>0.441</v>
      </c>
      <c r="AS1021" s="119">
        <v>0.45599999999999996</v>
      </c>
      <c r="AT1021" s="403">
        <v>1.776</v>
      </c>
      <c r="AU1021" s="302">
        <v>0.46400000000000002</v>
      </c>
      <c r="AV1021" s="302">
        <v>0.47299999999999998</v>
      </c>
      <c r="AW1021" s="302">
        <v>0.46899999999999997</v>
      </c>
      <c r="AX1021" s="119">
        <v>0.49899999999999989</v>
      </c>
      <c r="AY1021" s="403">
        <v>1.905</v>
      </c>
      <c r="AZ1021" s="302">
        <v>1.073</v>
      </c>
      <c r="BA1021" s="302">
        <v>0.83199999999999996</v>
      </c>
      <c r="BB1021" s="302">
        <v>0.91600000000000004</v>
      </c>
      <c r="BC1021" s="119">
        <v>1.3740000000000006</v>
      </c>
      <c r="BD1021" s="403">
        <v>4.1950000000000003</v>
      </c>
      <c r="BE1021" s="302">
        <v>1.216</v>
      </c>
      <c r="BF1021" s="302">
        <v>1.198</v>
      </c>
      <c r="BG1021" s="302">
        <v>1.2909999999999999</v>
      </c>
      <c r="BH1021" s="119">
        <v>0.24000000000000021</v>
      </c>
      <c r="BI1021" s="514">
        <v>3.9449999999999998</v>
      </c>
      <c r="BJ1021" s="118"/>
      <c r="BK1021" s="118"/>
      <c r="BL1021" s="118"/>
      <c r="BM1021" s="118"/>
      <c r="BN1021" s="401"/>
      <c r="BO1021" s="118"/>
      <c r="BP1021" s="118"/>
      <c r="BQ1021" s="118"/>
      <c r="BR1021" s="118"/>
      <c r="BS1021" s="401"/>
      <c r="BT1021" s="401"/>
      <c r="BU1021" s="401"/>
      <c r="BV1021" s="401"/>
      <c r="BW1021" s="122"/>
    </row>
    <row r="1022" spans="1:75" s="123" customFormat="1" hidden="1" outlineLevel="2" x14ac:dyDescent="0.5">
      <c r="A1022" s="541" t="s">
        <v>1058</v>
      </c>
      <c r="B1022" s="513"/>
      <c r="C1022" s="401"/>
      <c r="D1022" s="401"/>
      <c r="E1022" s="401"/>
      <c r="F1022" s="401"/>
      <c r="G1022" s="119"/>
      <c r="H1022" s="119"/>
      <c r="I1022" s="119"/>
      <c r="J1022" s="119"/>
      <c r="K1022" s="401"/>
      <c r="L1022" s="119"/>
      <c r="M1022" s="119"/>
      <c r="N1022" s="119"/>
      <c r="O1022" s="119"/>
      <c r="P1022" s="401"/>
      <c r="Q1022" s="119"/>
      <c r="R1022" s="119"/>
      <c r="S1022" s="119"/>
      <c r="T1022" s="119"/>
      <c r="U1022" s="401"/>
      <c r="V1022" s="119"/>
      <c r="W1022" s="119"/>
      <c r="X1022" s="119"/>
      <c r="Y1022" s="119"/>
      <c r="Z1022" s="401"/>
      <c r="AA1022" s="302">
        <v>0.43099999999999999</v>
      </c>
      <c r="AB1022" s="302">
        <v>0.996</v>
      </c>
      <c r="AC1022" s="302">
        <v>2.6219999999999999</v>
      </c>
      <c r="AD1022" s="122">
        <v>2.9930000000000003</v>
      </c>
      <c r="AE1022" s="403">
        <v>7.0419999999999998</v>
      </c>
      <c r="AF1022" s="302">
        <v>2.48</v>
      </c>
      <c r="AG1022" s="302">
        <v>1.1040000000000001</v>
      </c>
      <c r="AH1022" s="302">
        <v>0.17399999999999999</v>
      </c>
      <c r="AI1022" s="122">
        <v>0.90299999999999958</v>
      </c>
      <c r="AJ1022" s="403">
        <v>4.6609999999999996</v>
      </c>
      <c r="AK1022" s="302">
        <v>0.68700000000000006</v>
      </c>
      <c r="AL1022" s="302">
        <v>1.087</v>
      </c>
      <c r="AM1022" s="302">
        <v>0.83</v>
      </c>
      <c r="AN1022" s="122">
        <v>0</v>
      </c>
      <c r="AO1022" s="403">
        <v>2.6040000000000001</v>
      </c>
      <c r="AP1022" s="302">
        <v>0.10199999999999999</v>
      </c>
      <c r="AQ1022" s="302">
        <v>0.13</v>
      </c>
      <c r="AR1022" s="302">
        <v>0.112</v>
      </c>
      <c r="AS1022" s="119">
        <v>0</v>
      </c>
      <c r="AT1022" s="403">
        <v>0.34399999999999997</v>
      </c>
      <c r="AU1022" s="119"/>
      <c r="AV1022" s="119"/>
      <c r="AW1022" s="119"/>
      <c r="AX1022" s="119">
        <v>0</v>
      </c>
      <c r="AY1022" s="401"/>
      <c r="AZ1022" s="119"/>
      <c r="BA1022" s="119"/>
      <c r="BB1022" s="119"/>
      <c r="BC1022" s="119">
        <v>0</v>
      </c>
      <c r="BD1022" s="401"/>
      <c r="BE1022" s="119"/>
      <c r="BF1022" s="119"/>
      <c r="BG1022" s="119"/>
      <c r="BH1022" s="119">
        <v>0</v>
      </c>
      <c r="BI1022" s="402"/>
      <c r="BJ1022" s="118"/>
      <c r="BK1022" s="118"/>
      <c r="BL1022" s="118"/>
      <c r="BM1022" s="118"/>
      <c r="BN1022" s="401"/>
      <c r="BO1022" s="118"/>
      <c r="BP1022" s="118"/>
      <c r="BQ1022" s="118"/>
      <c r="BR1022" s="118"/>
      <c r="BS1022" s="401"/>
      <c r="BT1022" s="401"/>
      <c r="BU1022" s="401"/>
      <c r="BV1022" s="401"/>
      <c r="BW1022" s="122"/>
    </row>
    <row r="1023" spans="1:75" s="123" customFormat="1" hidden="1" outlineLevel="2" x14ac:dyDescent="0.5">
      <c r="A1023" s="541" t="s">
        <v>1059</v>
      </c>
      <c r="B1023" s="513"/>
      <c r="C1023" s="401"/>
      <c r="D1023" s="401"/>
      <c r="E1023" s="401"/>
      <c r="F1023" s="401"/>
      <c r="G1023" s="119"/>
      <c r="H1023" s="119"/>
      <c r="I1023" s="119"/>
      <c r="J1023" s="119"/>
      <c r="K1023" s="401"/>
      <c r="L1023" s="119"/>
      <c r="M1023" s="119"/>
      <c r="N1023" s="119"/>
      <c r="O1023" s="119"/>
      <c r="P1023" s="401"/>
      <c r="Q1023" s="119"/>
      <c r="R1023" s="119"/>
      <c r="S1023" s="119"/>
      <c r="T1023" s="119"/>
      <c r="U1023" s="401"/>
      <c r="V1023" s="119"/>
      <c r="W1023" s="119"/>
      <c r="X1023" s="119"/>
      <c r="Y1023" s="119"/>
      <c r="Z1023" s="401"/>
      <c r="AA1023" s="302">
        <v>0</v>
      </c>
      <c r="AB1023" s="302">
        <v>0.82399999999999995</v>
      </c>
      <c r="AC1023" s="302">
        <v>2.7210000000000001</v>
      </c>
      <c r="AD1023" s="122">
        <v>0.98099999999999987</v>
      </c>
      <c r="AE1023" s="403">
        <v>4.5259999999999998</v>
      </c>
      <c r="AF1023" s="302">
        <v>1.004</v>
      </c>
      <c r="AG1023" s="302">
        <v>0.64500000000000002</v>
      </c>
      <c r="AH1023" s="302">
        <v>0</v>
      </c>
      <c r="AI1023" s="122">
        <v>0</v>
      </c>
      <c r="AJ1023" s="403">
        <v>1.649</v>
      </c>
      <c r="AK1023" s="302">
        <v>1.724</v>
      </c>
      <c r="AL1023" s="302">
        <v>6.0860000000000003</v>
      </c>
      <c r="AM1023" s="302">
        <v>3.7949999999999999</v>
      </c>
      <c r="AN1023" s="122">
        <v>0.52999999999999936</v>
      </c>
      <c r="AO1023" s="403">
        <v>12.135</v>
      </c>
      <c r="AP1023" s="302">
        <v>0</v>
      </c>
      <c r="AQ1023" s="119"/>
      <c r="AR1023" s="119"/>
      <c r="AS1023" s="119">
        <v>0</v>
      </c>
      <c r="AT1023" s="401"/>
      <c r="AU1023" s="119"/>
      <c r="AV1023" s="119"/>
      <c r="AW1023" s="302">
        <v>1.9350000000000001</v>
      </c>
      <c r="AX1023" s="119">
        <v>16.003</v>
      </c>
      <c r="AY1023" s="403">
        <v>17.937999999999999</v>
      </c>
      <c r="AZ1023" s="302">
        <v>16.001000000000001</v>
      </c>
      <c r="BA1023" s="302">
        <v>24.981999999999999</v>
      </c>
      <c r="BB1023" s="302">
        <v>35.299999999999997</v>
      </c>
      <c r="BC1023" s="119">
        <v>44.103999999999999</v>
      </c>
      <c r="BD1023" s="403">
        <v>120.387</v>
      </c>
      <c r="BE1023" s="302">
        <v>47.792999999999999</v>
      </c>
      <c r="BF1023" s="302">
        <v>50.435000000000002</v>
      </c>
      <c r="BG1023" s="302">
        <v>51.353999999999999</v>
      </c>
      <c r="BH1023" s="119">
        <v>56.177999999999997</v>
      </c>
      <c r="BI1023" s="514">
        <v>205.76</v>
      </c>
      <c r="BJ1023" s="118"/>
      <c r="BK1023" s="118"/>
      <c r="BL1023" s="118"/>
      <c r="BM1023" s="118"/>
      <c r="BN1023" s="401"/>
      <c r="BO1023" s="118"/>
      <c r="BP1023" s="118"/>
      <c r="BQ1023" s="118"/>
      <c r="BR1023" s="118"/>
      <c r="BS1023" s="401"/>
      <c r="BT1023" s="401"/>
      <c r="BU1023" s="401"/>
      <c r="BV1023" s="401"/>
      <c r="BW1023" s="122"/>
    </row>
    <row r="1024" spans="1:75" s="123" customFormat="1" hidden="1" outlineLevel="2" x14ac:dyDescent="0.5">
      <c r="A1024" s="541" t="s">
        <v>1060</v>
      </c>
      <c r="B1024" s="513"/>
      <c r="C1024" s="401"/>
      <c r="D1024" s="401"/>
      <c r="E1024" s="401"/>
      <c r="F1024" s="401"/>
      <c r="G1024" s="119"/>
      <c r="H1024" s="119"/>
      <c r="I1024" s="119"/>
      <c r="J1024" s="119"/>
      <c r="K1024" s="403">
        <v>-0.9</v>
      </c>
      <c r="L1024" s="302">
        <v>-0.3</v>
      </c>
      <c r="M1024" s="119"/>
      <c r="N1024" s="302">
        <v>-0.9</v>
      </c>
      <c r="O1024" s="122">
        <v>-0.43900000000000006</v>
      </c>
      <c r="P1024" s="403">
        <v>-1.639</v>
      </c>
      <c r="Q1024" s="302">
        <v>-0.54900000000000004</v>
      </c>
      <c r="R1024" s="302">
        <v>-0.54400000000000004</v>
      </c>
      <c r="S1024" s="302">
        <v>-0.45</v>
      </c>
      <c r="T1024" s="122">
        <v>-0.76800000000000002</v>
      </c>
      <c r="U1024" s="403">
        <v>-2.3109999999999999</v>
      </c>
      <c r="V1024" s="302">
        <v>-0.61499999999999999</v>
      </c>
      <c r="W1024" s="302">
        <v>-0.67700000000000005</v>
      </c>
      <c r="X1024" s="302">
        <v>-0.625</v>
      </c>
      <c r="Y1024" s="122">
        <v>-0.50100000000000011</v>
      </c>
      <c r="Z1024" s="403">
        <v>-2.4180000000000001</v>
      </c>
      <c r="AA1024" s="302">
        <v>-0.74199999999999999</v>
      </c>
      <c r="AB1024" s="302">
        <v>-0.83899999999999997</v>
      </c>
      <c r="AC1024" s="302">
        <v>-0.96599999999999997</v>
      </c>
      <c r="AD1024" s="122">
        <v>-0.75700000000000012</v>
      </c>
      <c r="AE1024" s="403">
        <v>-3.3039999999999998</v>
      </c>
      <c r="AF1024" s="302">
        <v>-0.9</v>
      </c>
      <c r="AG1024" s="302">
        <v>-0.91100000000000003</v>
      </c>
      <c r="AH1024" s="302">
        <v>-0.748</v>
      </c>
      <c r="AI1024" s="122">
        <v>-0.57999999999999963</v>
      </c>
      <c r="AJ1024" s="403">
        <v>-3.1389999999999998</v>
      </c>
      <c r="AK1024" s="302">
        <v>-0.81899999999999995</v>
      </c>
      <c r="AL1024" s="302">
        <v>-1.1839999999999999</v>
      </c>
      <c r="AM1024" s="302">
        <v>-1.387</v>
      </c>
      <c r="AN1024" s="122">
        <v>-1.5399999999999996</v>
      </c>
      <c r="AO1024" s="403">
        <v>-4.93</v>
      </c>
      <c r="AP1024" s="302">
        <v>-1.8859999999999999</v>
      </c>
      <c r="AQ1024" s="302">
        <v>-1.4259999999999999</v>
      </c>
      <c r="AR1024" s="302">
        <v>-1.109</v>
      </c>
      <c r="AS1024" s="119">
        <v>-1.1530000000000005</v>
      </c>
      <c r="AT1024" s="403">
        <v>-5.5739999999999998</v>
      </c>
      <c r="AU1024" s="302">
        <v>-2.8010000000000002</v>
      </c>
      <c r="AV1024" s="302">
        <v>-3.048</v>
      </c>
      <c r="AW1024" s="302">
        <v>-3.073</v>
      </c>
      <c r="AX1024" s="119">
        <v>-3.2859999999999996</v>
      </c>
      <c r="AY1024" s="403">
        <v>-12.208</v>
      </c>
      <c r="AZ1024" s="302">
        <v>-2.109</v>
      </c>
      <c r="BA1024" s="302">
        <v>-1.048</v>
      </c>
      <c r="BB1024" s="302">
        <v>-0.82299999999999995</v>
      </c>
      <c r="BC1024" s="119">
        <v>-0.9229999999999996</v>
      </c>
      <c r="BD1024" s="403">
        <v>-4.9029999999999996</v>
      </c>
      <c r="BE1024" s="302">
        <v>-1.0549999999999999</v>
      </c>
      <c r="BF1024" s="302">
        <v>-1.264</v>
      </c>
      <c r="BG1024" s="302">
        <v>-1.4970000000000001</v>
      </c>
      <c r="BH1024" s="119">
        <v>-1.8120000000000003</v>
      </c>
      <c r="BI1024" s="514">
        <v>-5.6280000000000001</v>
      </c>
      <c r="BJ1024" s="118"/>
      <c r="BK1024" s="118"/>
      <c r="BL1024" s="118"/>
      <c r="BM1024" s="118"/>
      <c r="BN1024" s="401"/>
      <c r="BO1024" s="118"/>
      <c r="BP1024" s="118"/>
      <c r="BQ1024" s="118"/>
      <c r="BR1024" s="118"/>
      <c r="BS1024" s="401"/>
      <c r="BT1024" s="401"/>
      <c r="BU1024" s="401"/>
      <c r="BV1024" s="401"/>
      <c r="BW1024" s="122"/>
    </row>
    <row r="1025" spans="1:75" s="123" customFormat="1" hidden="1" outlineLevel="2" x14ac:dyDescent="0.5">
      <c r="A1025" s="676" t="s">
        <v>1061</v>
      </c>
      <c r="B1025" s="677"/>
      <c r="C1025" s="406"/>
      <c r="D1025" s="406"/>
      <c r="E1025" s="406"/>
      <c r="F1025" s="406"/>
      <c r="G1025" s="312"/>
      <c r="H1025" s="312"/>
      <c r="I1025" s="312"/>
      <c r="J1025" s="312"/>
      <c r="K1025" s="406"/>
      <c r="L1025" s="312"/>
      <c r="M1025" s="312"/>
      <c r="N1025" s="312"/>
      <c r="O1025" s="431">
        <v>-6.0999999999999999E-2</v>
      </c>
      <c r="P1025" s="408">
        <v>-6.0999999999999999E-2</v>
      </c>
      <c r="Q1025" s="357">
        <v>-0.10299999999999999</v>
      </c>
      <c r="R1025" s="357">
        <v>-0.12</v>
      </c>
      <c r="S1025" s="357">
        <v>-0.20799999999999999</v>
      </c>
      <c r="T1025" s="431">
        <v>-1.5129999999999999</v>
      </c>
      <c r="U1025" s="408">
        <v>-1.944</v>
      </c>
      <c r="V1025" s="357">
        <v>-0.90700000000000003</v>
      </c>
      <c r="W1025" s="357">
        <v>-0.72499999999999998</v>
      </c>
      <c r="X1025" s="357">
        <v>-0.67200000000000004</v>
      </c>
      <c r="Y1025" s="431">
        <v>-0.68499999999999961</v>
      </c>
      <c r="Z1025" s="408">
        <v>-2.9889999999999999</v>
      </c>
      <c r="AA1025" s="357">
        <v>-0.314</v>
      </c>
      <c r="AB1025" s="357">
        <v>-9.5000000000000001E-2</v>
      </c>
      <c r="AC1025" s="357">
        <v>-0.03</v>
      </c>
      <c r="AD1025" s="431">
        <v>-7.4999999999999956E-2</v>
      </c>
      <c r="AE1025" s="408">
        <v>-0.51400000000000001</v>
      </c>
      <c r="AF1025" s="357">
        <v>-0.16200000000000001</v>
      </c>
      <c r="AG1025" s="357">
        <v>-0.19900000000000001</v>
      </c>
      <c r="AH1025" s="357">
        <v>-0.28199999999999997</v>
      </c>
      <c r="AI1025" s="431">
        <v>-0.19099999999999995</v>
      </c>
      <c r="AJ1025" s="408">
        <v>-0.83399999999999996</v>
      </c>
      <c r="AK1025" s="357">
        <v>-0.28199999999999997</v>
      </c>
      <c r="AL1025" s="357">
        <v>-0.28000000000000003</v>
      </c>
      <c r="AM1025" s="357">
        <v>-0.47899999999999998</v>
      </c>
      <c r="AN1025" s="431">
        <v>-0.29100000000000015</v>
      </c>
      <c r="AO1025" s="408">
        <v>-1.3320000000000001</v>
      </c>
      <c r="AP1025" s="357">
        <v>-0.19400000000000001</v>
      </c>
      <c r="AQ1025" s="357">
        <v>-0.186</v>
      </c>
      <c r="AR1025" s="357">
        <v>-0.223</v>
      </c>
      <c r="AS1025" s="312">
        <v>-0.79499999999999993</v>
      </c>
      <c r="AT1025" s="408">
        <v>-1.3979999999999999</v>
      </c>
      <c r="AU1025" s="357">
        <v>-0.34499999999999997</v>
      </c>
      <c r="AV1025" s="357">
        <v>-0.39100000000000001</v>
      </c>
      <c r="AW1025" s="357">
        <v>-0.57199999999999995</v>
      </c>
      <c r="AX1025" s="312">
        <v>-0.62800000000000011</v>
      </c>
      <c r="AY1025" s="408">
        <v>-1.9359999999999999</v>
      </c>
      <c r="AZ1025" s="357">
        <v>-1.181</v>
      </c>
      <c r="BA1025" s="357">
        <v>-6.3929999999999998</v>
      </c>
      <c r="BB1025" s="357">
        <v>-12.54</v>
      </c>
      <c r="BC1025" s="312">
        <v>-18.406000000000006</v>
      </c>
      <c r="BD1025" s="408">
        <v>-38.520000000000003</v>
      </c>
      <c r="BE1025" s="357">
        <v>-16.623999999999999</v>
      </c>
      <c r="BF1025" s="357">
        <v>-14.741</v>
      </c>
      <c r="BG1025" s="357">
        <v>-5.1479999999999997</v>
      </c>
      <c r="BH1025" s="312">
        <v>-3.0900000000000034</v>
      </c>
      <c r="BI1025" s="515">
        <v>-39.603000000000002</v>
      </c>
      <c r="BJ1025" s="312"/>
      <c r="BK1025" s="312"/>
      <c r="BL1025" s="312"/>
      <c r="BM1025" s="312"/>
      <c r="BN1025" s="406"/>
      <c r="BO1025" s="312"/>
      <c r="BP1025" s="312"/>
      <c r="BQ1025" s="312"/>
      <c r="BR1025" s="312"/>
      <c r="BS1025" s="406"/>
      <c r="BT1025" s="406"/>
      <c r="BU1025" s="406"/>
      <c r="BV1025" s="406"/>
      <c r="BW1025" s="122"/>
    </row>
    <row r="1026" spans="1:75" s="123" customFormat="1" hidden="1" outlineLevel="1" collapsed="1" x14ac:dyDescent="0.5">
      <c r="A1026" s="464" t="s">
        <v>1062</v>
      </c>
      <c r="B1026" s="513"/>
      <c r="C1026" s="403">
        <v>3.2410000000000001</v>
      </c>
      <c r="D1026" s="403">
        <v>3.15</v>
      </c>
      <c r="E1026" s="403">
        <v>5.1340000000000003</v>
      </c>
      <c r="F1026" s="403">
        <v>5.7760000000000007</v>
      </c>
      <c r="G1026" s="302">
        <v>0.84</v>
      </c>
      <c r="H1026" s="302">
        <v>1.1910000000000001</v>
      </c>
      <c r="I1026" s="302">
        <v>2.165</v>
      </c>
      <c r="J1026" s="302">
        <v>1.5369999999999999</v>
      </c>
      <c r="K1026" s="674">
        <v>5.7329999999999997</v>
      </c>
      <c r="L1026" s="302">
        <v>2.056</v>
      </c>
      <c r="M1026" s="302">
        <v>4.3460000000000001</v>
      </c>
      <c r="N1026" s="302">
        <v>5.21</v>
      </c>
      <c r="O1026" s="302">
        <v>5.9390000000000001</v>
      </c>
      <c r="P1026" s="674">
        <v>17.551000000000002</v>
      </c>
      <c r="Q1026" s="122">
        <v>5.649</v>
      </c>
      <c r="R1026" s="122">
        <v>7.4059999999999997</v>
      </c>
      <c r="S1026" s="122">
        <v>11.003</v>
      </c>
      <c r="T1026" s="122">
        <v>11.618999999999998</v>
      </c>
      <c r="U1026" s="674">
        <v>35.677</v>
      </c>
      <c r="V1026" s="122">
        <v>10.528</v>
      </c>
      <c r="W1026" s="119">
        <v>10.909000000000001</v>
      </c>
      <c r="X1026" s="122">
        <v>11.090999999999999</v>
      </c>
      <c r="Y1026" s="122">
        <v>11.953999999999997</v>
      </c>
      <c r="Z1026" s="674">
        <v>44.481999999999999</v>
      </c>
      <c r="AA1026" s="122">
        <v>12.178999999999998</v>
      </c>
      <c r="AB1026" s="122">
        <v>14.401999999999999</v>
      </c>
      <c r="AC1026" s="122">
        <v>18.914999999999999</v>
      </c>
      <c r="AD1026" s="122">
        <v>17.073999999999998</v>
      </c>
      <c r="AE1026" s="674">
        <v>62.57</v>
      </c>
      <c r="AF1026" s="122">
        <v>15.098000000000003</v>
      </c>
      <c r="AG1026" s="122">
        <v>15.466999999999999</v>
      </c>
      <c r="AH1026" s="122">
        <v>17.695</v>
      </c>
      <c r="AI1026" s="122">
        <v>19.509000000000004</v>
      </c>
      <c r="AJ1026" s="674">
        <v>67.769000000000005</v>
      </c>
      <c r="AK1026" s="122">
        <v>21.118000000000002</v>
      </c>
      <c r="AL1026" s="122">
        <v>24.513000000000002</v>
      </c>
      <c r="AM1026" s="122">
        <v>21.564</v>
      </c>
      <c r="AN1026" s="122">
        <v>19.981999999999989</v>
      </c>
      <c r="AO1026" s="674">
        <v>87.176999999999992</v>
      </c>
      <c r="AP1026" s="122">
        <v>19.629000000000005</v>
      </c>
      <c r="AQ1026" s="122">
        <v>19.417999999999999</v>
      </c>
      <c r="AR1026" s="122">
        <v>15.655999999999995</v>
      </c>
      <c r="AS1026" s="122">
        <v>14.546999999999997</v>
      </c>
      <c r="AT1026" s="674">
        <v>69.25</v>
      </c>
      <c r="AU1026" s="122">
        <v>13.308</v>
      </c>
      <c r="AV1026" s="122">
        <v>13.581</v>
      </c>
      <c r="AW1026" s="122">
        <v>13.222999999999999</v>
      </c>
      <c r="AX1026" s="122">
        <v>24.835000000000001</v>
      </c>
      <c r="AY1026" s="674">
        <v>64.947000000000003</v>
      </c>
      <c r="AZ1026" s="122">
        <v>20.855</v>
      </c>
      <c r="BA1026" s="119">
        <v>26.263999999999996</v>
      </c>
      <c r="BB1026" s="122">
        <v>31.417000000000002</v>
      </c>
      <c r="BC1026" s="122">
        <v>34.673999999999992</v>
      </c>
      <c r="BD1026" s="674">
        <v>113.21000000000001</v>
      </c>
      <c r="BE1026" s="122">
        <v>39.816000000000003</v>
      </c>
      <c r="BF1026" s="119">
        <v>44.422000000000004</v>
      </c>
      <c r="BG1026" s="122">
        <v>54.64</v>
      </c>
      <c r="BH1026" s="122">
        <v>59.417999999999992</v>
      </c>
      <c r="BI1026" s="402">
        <v>198.29599999999999</v>
      </c>
      <c r="BJ1026" s="118"/>
      <c r="BK1026" s="118"/>
      <c r="BL1026" s="118"/>
      <c r="BM1026" s="118"/>
      <c r="BN1026" s="401"/>
      <c r="BO1026" s="118"/>
      <c r="BP1026" s="118"/>
      <c r="BQ1026" s="118"/>
      <c r="BR1026" s="118"/>
      <c r="BS1026" s="401"/>
      <c r="BT1026" s="401"/>
      <c r="BU1026" s="401"/>
      <c r="BV1026" s="401"/>
      <c r="BW1026" s="122"/>
    </row>
    <row r="1027" spans="1:75" s="123" customFormat="1" hidden="1" outlineLevel="1" x14ac:dyDescent="0.5">
      <c r="A1027" s="464" t="s">
        <v>1063</v>
      </c>
      <c r="B1027" s="513"/>
      <c r="C1027" s="401"/>
      <c r="D1027" s="401"/>
      <c r="E1027" s="401"/>
      <c r="F1027" s="401"/>
      <c r="G1027" s="119"/>
      <c r="H1027" s="119"/>
      <c r="I1027" s="119"/>
      <c r="J1027" s="119"/>
      <c r="K1027" s="401"/>
      <c r="L1027" s="119"/>
      <c r="M1027" s="119"/>
      <c r="N1027" s="119"/>
      <c r="O1027" s="119"/>
      <c r="P1027" s="401"/>
      <c r="Q1027" s="119"/>
      <c r="R1027" s="119"/>
      <c r="S1027" s="119"/>
      <c r="T1027" s="119"/>
      <c r="U1027" s="401"/>
      <c r="V1027" s="119"/>
      <c r="W1027" s="119"/>
      <c r="X1027" s="119"/>
      <c r="Y1027" s="119"/>
      <c r="Z1027" s="401"/>
      <c r="AA1027" s="119"/>
      <c r="AB1027" s="119"/>
      <c r="AC1027" s="119"/>
      <c r="AD1027" s="122">
        <v>33.700000000000003</v>
      </c>
      <c r="AE1027" s="403">
        <v>33.700000000000003</v>
      </c>
      <c r="AF1027" s="119"/>
      <c r="AG1027" s="119"/>
      <c r="AH1027" s="119"/>
      <c r="AI1027" s="122">
        <v>32.085999999999999</v>
      </c>
      <c r="AJ1027" s="403">
        <v>32.085999999999999</v>
      </c>
      <c r="AK1027" s="119"/>
      <c r="AL1027" s="119"/>
      <c r="AM1027" s="119"/>
      <c r="AN1027" s="122">
        <v>0</v>
      </c>
      <c r="AO1027" s="401"/>
      <c r="AP1027" s="302">
        <v>20.459</v>
      </c>
      <c r="AQ1027" s="119"/>
      <c r="AR1027" s="119"/>
      <c r="AS1027" s="122">
        <v>0</v>
      </c>
      <c r="AT1027" s="403">
        <v>20.459</v>
      </c>
      <c r="AU1027" s="119"/>
      <c r="AV1027" s="119"/>
      <c r="AW1027" s="119"/>
      <c r="AX1027" s="122">
        <v>0</v>
      </c>
      <c r="AY1027" s="401"/>
      <c r="AZ1027" s="119"/>
      <c r="BA1027" s="119"/>
      <c r="BB1027" s="119"/>
      <c r="BC1027" s="122">
        <v>0</v>
      </c>
      <c r="BD1027" s="401"/>
      <c r="BE1027" s="119"/>
      <c r="BF1027" s="119"/>
      <c r="BG1027" s="119"/>
      <c r="BH1027" s="122">
        <v>0</v>
      </c>
      <c r="BI1027" s="402"/>
      <c r="BJ1027" s="118"/>
      <c r="BK1027" s="118"/>
      <c r="BL1027" s="118"/>
      <c r="BM1027" s="118"/>
      <c r="BN1027" s="401"/>
      <c r="BO1027" s="118"/>
      <c r="BP1027" s="118"/>
      <c r="BQ1027" s="118"/>
      <c r="BR1027" s="118"/>
      <c r="BS1027" s="401"/>
      <c r="BT1027" s="401"/>
      <c r="BU1027" s="401"/>
      <c r="BV1027" s="401"/>
      <c r="BW1027" s="122"/>
    </row>
    <row r="1028" spans="1:75" s="123" customFormat="1" hidden="1" outlineLevel="1" x14ac:dyDescent="0.5">
      <c r="A1028" s="464" t="s">
        <v>1064</v>
      </c>
      <c r="B1028" s="513"/>
      <c r="C1028" s="401"/>
      <c r="D1028" s="401"/>
      <c r="E1028" s="401"/>
      <c r="F1028" s="401"/>
      <c r="G1028" s="119"/>
      <c r="H1028" s="119"/>
      <c r="I1028" s="119"/>
      <c r="J1028" s="119"/>
      <c r="K1028" s="401"/>
      <c r="L1028" s="119"/>
      <c r="M1028" s="119"/>
      <c r="N1028" s="119"/>
      <c r="O1028" s="119"/>
      <c r="P1028" s="401"/>
      <c r="Q1028" s="119"/>
      <c r="R1028" s="119"/>
      <c r="S1028" s="119"/>
      <c r="T1028" s="119"/>
      <c r="U1028" s="401"/>
      <c r="V1028" s="119"/>
      <c r="W1028" s="119"/>
      <c r="X1028" s="119"/>
      <c r="Y1028" s="119"/>
      <c r="Z1028" s="401"/>
      <c r="AA1028" s="119"/>
      <c r="AB1028" s="119"/>
      <c r="AC1028" s="302">
        <v>4.88</v>
      </c>
      <c r="AD1028" s="122">
        <v>0</v>
      </c>
      <c r="AE1028" s="403">
        <v>4.88</v>
      </c>
      <c r="AF1028" s="119"/>
      <c r="AG1028" s="302">
        <v>0.91700000000000004</v>
      </c>
      <c r="AH1028" s="119"/>
      <c r="AI1028" s="122">
        <v>0</v>
      </c>
      <c r="AJ1028" s="403">
        <v>0.91700000000000004</v>
      </c>
      <c r="AK1028" s="119"/>
      <c r="AL1028" s="302">
        <v>-0.95399999999999996</v>
      </c>
      <c r="AM1028" s="302">
        <v>6.8570000000000002</v>
      </c>
      <c r="AN1028" s="122">
        <v>0.56899999999999995</v>
      </c>
      <c r="AO1028" s="403">
        <v>6.4720000000000004</v>
      </c>
      <c r="AP1028" s="119"/>
      <c r="AQ1028" s="302">
        <v>-0.152</v>
      </c>
      <c r="AR1028" s="119"/>
      <c r="AS1028" s="122">
        <v>0</v>
      </c>
      <c r="AT1028" s="403">
        <v>-0.152</v>
      </c>
      <c r="AU1028" s="302">
        <v>0.105</v>
      </c>
      <c r="AV1028" s="302">
        <v>3.1659999999999999</v>
      </c>
      <c r="AW1028" s="302">
        <v>18.513000000000002</v>
      </c>
      <c r="AX1028" s="122">
        <v>7.3539999999999992</v>
      </c>
      <c r="AY1028" s="403">
        <v>29.138000000000002</v>
      </c>
      <c r="AZ1028" s="302">
        <v>146.11600000000001</v>
      </c>
      <c r="BA1028" s="302">
        <v>23.462</v>
      </c>
      <c r="BB1028" s="119"/>
      <c r="BC1028" s="122">
        <v>0</v>
      </c>
      <c r="BD1028" s="403">
        <v>169.578</v>
      </c>
      <c r="BE1028" s="119"/>
      <c r="BF1028" s="119"/>
      <c r="BG1028" s="119"/>
      <c r="BH1028" s="122">
        <v>0</v>
      </c>
      <c r="BI1028" s="402"/>
      <c r="BJ1028" s="118"/>
      <c r="BK1028" s="118"/>
      <c r="BL1028" s="118"/>
      <c r="BM1028" s="118"/>
      <c r="BN1028" s="401"/>
      <c r="BO1028" s="118"/>
      <c r="BP1028" s="118"/>
      <c r="BQ1028" s="118"/>
      <c r="BR1028" s="118"/>
      <c r="BS1028" s="401"/>
      <c r="BT1028" s="401"/>
      <c r="BU1028" s="401"/>
      <c r="BV1028" s="401"/>
      <c r="BW1028" s="122"/>
    </row>
    <row r="1029" spans="1:75" s="123" customFormat="1" hidden="1" outlineLevel="1" x14ac:dyDescent="0.5">
      <c r="A1029" s="464" t="s">
        <v>1065</v>
      </c>
      <c r="B1029" s="513"/>
      <c r="C1029" s="401"/>
      <c r="D1029" s="401"/>
      <c r="E1029" s="401"/>
      <c r="F1029" s="401"/>
      <c r="G1029" s="119"/>
      <c r="H1029" s="119"/>
      <c r="I1029" s="119"/>
      <c r="J1029" s="119"/>
      <c r="K1029" s="401"/>
      <c r="L1029" s="119"/>
      <c r="M1029" s="119"/>
      <c r="N1029" s="119"/>
      <c r="O1029" s="119"/>
      <c r="P1029" s="401"/>
      <c r="Q1029" s="119"/>
      <c r="R1029" s="119"/>
      <c r="S1029" s="119"/>
      <c r="T1029" s="119"/>
      <c r="U1029" s="401"/>
      <c r="V1029" s="119"/>
      <c r="W1029" s="119"/>
      <c r="X1029" s="119"/>
      <c r="Y1029" s="119"/>
      <c r="Z1029" s="401"/>
      <c r="AA1029" s="119"/>
      <c r="AB1029" s="119"/>
      <c r="AC1029" s="119"/>
      <c r="AD1029" s="119"/>
      <c r="AE1029" s="401"/>
      <c r="AF1029" s="119"/>
      <c r="AG1029" s="119"/>
      <c r="AH1029" s="119"/>
      <c r="AI1029" s="119"/>
      <c r="AJ1029" s="401"/>
      <c r="AK1029" s="119"/>
      <c r="AL1029" s="119"/>
      <c r="AM1029" s="119"/>
      <c r="AN1029" s="119"/>
      <c r="AO1029" s="401"/>
      <c r="AP1029" s="119"/>
      <c r="AQ1029" s="119"/>
      <c r="AR1029" s="119"/>
      <c r="AS1029" s="119"/>
      <c r="AT1029" s="401"/>
      <c r="AU1029" s="119"/>
      <c r="AV1029" s="119"/>
      <c r="AW1029" s="119"/>
      <c r="AX1029" s="122">
        <v>2.778</v>
      </c>
      <c r="AY1029" s="403">
        <v>2.778</v>
      </c>
      <c r="AZ1029" s="302">
        <v>-0.34300000000000003</v>
      </c>
      <c r="BA1029" s="302">
        <v>3.1949999999999998</v>
      </c>
      <c r="BB1029" s="302">
        <v>1.9890000000000001</v>
      </c>
      <c r="BC1029" s="122">
        <v>-4.8109999999999999</v>
      </c>
      <c r="BD1029" s="403">
        <v>0.03</v>
      </c>
      <c r="BE1029" s="302">
        <v>-0.65300000000000002</v>
      </c>
      <c r="BF1029" s="302">
        <v>-0.186</v>
      </c>
      <c r="BG1029" s="302">
        <v>5.3049999999999997</v>
      </c>
      <c r="BH1029" s="122">
        <v>-3.387999999999999</v>
      </c>
      <c r="BI1029" s="514">
        <v>1.0780000000000001</v>
      </c>
      <c r="BJ1029" s="118"/>
      <c r="BK1029" s="118"/>
      <c r="BL1029" s="118"/>
      <c r="BM1029" s="118"/>
      <c r="BN1029" s="401"/>
      <c r="BO1029" s="118"/>
      <c r="BP1029" s="118"/>
      <c r="BQ1029" s="118"/>
      <c r="BR1029" s="118"/>
      <c r="BS1029" s="401"/>
      <c r="BT1029" s="401"/>
      <c r="BU1029" s="401"/>
      <c r="BV1029" s="401"/>
      <c r="BW1029" s="122"/>
    </row>
    <row r="1030" spans="1:75" s="198" customFormat="1" ht="14.25" hidden="1" outlineLevel="1" x14ac:dyDescent="0.45">
      <c r="A1030" s="675" t="s">
        <v>1066</v>
      </c>
      <c r="B1030" s="517"/>
      <c r="C1030" s="518">
        <v>-29.074000000000083</v>
      </c>
      <c r="D1030" s="519">
        <v>-6.3660000000000654</v>
      </c>
      <c r="E1030" s="519">
        <v>21.709000000000074</v>
      </c>
      <c r="F1030" s="519">
        <v>-74.811999999999941</v>
      </c>
      <c r="G1030" s="520">
        <v>-0.3290000000000185</v>
      </c>
      <c r="H1030" s="520">
        <v>-28.971</v>
      </c>
      <c r="I1030" s="520">
        <v>21.694999999999986</v>
      </c>
      <c r="J1030" s="520">
        <v>56.723000000000035</v>
      </c>
      <c r="K1030" s="519">
        <v>49.117999999999775</v>
      </c>
      <c r="L1030" s="520">
        <v>2.72200000000002</v>
      </c>
      <c r="M1030" s="520">
        <v>44.588999999999984</v>
      </c>
      <c r="N1030" s="520">
        <v>31.477999999999987</v>
      </c>
      <c r="O1030" s="520">
        <v>69.385999999999967</v>
      </c>
      <c r="P1030" s="519">
        <v>148.1749999999999</v>
      </c>
      <c r="Q1030" s="520">
        <v>11.38000000000001</v>
      </c>
      <c r="R1030" s="520">
        <v>49.017000000000031</v>
      </c>
      <c r="S1030" s="520">
        <v>33.872999999999948</v>
      </c>
      <c r="T1030" s="520">
        <v>55.613999999999947</v>
      </c>
      <c r="U1030" s="519">
        <v>149.88399999999982</v>
      </c>
      <c r="V1030" s="520">
        <v>-22.002999999999965</v>
      </c>
      <c r="W1030" s="327">
        <v>11.105999999999986</v>
      </c>
      <c r="X1030" s="520">
        <v>4.294999999999968</v>
      </c>
      <c r="Y1030" s="327">
        <v>15.156000000000017</v>
      </c>
      <c r="Z1030" s="518">
        <v>8.5540000000000589</v>
      </c>
      <c r="AA1030" s="327">
        <v>-5.2829999999999835</v>
      </c>
      <c r="AB1030" s="327">
        <v>-2.278999999999952</v>
      </c>
      <c r="AC1030" s="520">
        <v>19.366999999999923</v>
      </c>
      <c r="AD1030" s="327">
        <v>18.346000000000231</v>
      </c>
      <c r="AE1030" s="518">
        <v>30.151000000000046</v>
      </c>
      <c r="AF1030" s="327">
        <v>33.048999999999964</v>
      </c>
      <c r="AG1030" s="327">
        <v>65.439000000000007</v>
      </c>
      <c r="AH1030" s="520">
        <v>24.533000000000008</v>
      </c>
      <c r="AI1030" s="327">
        <v>37.942999999999898</v>
      </c>
      <c r="AJ1030" s="518">
        <v>160.96399999999977</v>
      </c>
      <c r="AK1030" s="327">
        <v>47.515000000000008</v>
      </c>
      <c r="AL1030" s="327">
        <v>80.422000000000011</v>
      </c>
      <c r="AM1030" s="520">
        <v>60.815999999999946</v>
      </c>
      <c r="AN1030" s="327">
        <v>80.429000000000372</v>
      </c>
      <c r="AO1030" s="518">
        <v>269.18200000000002</v>
      </c>
      <c r="AP1030" s="327">
        <v>-4.6350000000000016</v>
      </c>
      <c r="AQ1030" s="327">
        <v>117.30200000000004</v>
      </c>
      <c r="AR1030" s="520">
        <v>95.565000000000069</v>
      </c>
      <c r="AS1030" s="327">
        <v>169.06900000000022</v>
      </c>
      <c r="AT1030" s="518">
        <v>377.30100000000016</v>
      </c>
      <c r="AU1030" s="327">
        <v>174.47500000000005</v>
      </c>
      <c r="AV1030" s="327">
        <v>232.24100000000007</v>
      </c>
      <c r="AW1030" s="520">
        <v>240.80299999999997</v>
      </c>
      <c r="AX1030" s="327">
        <v>182.79899999999984</v>
      </c>
      <c r="AY1030" s="518">
        <v>830.31799999999998</v>
      </c>
      <c r="AZ1030" s="327">
        <v>38.660000000000011</v>
      </c>
      <c r="BA1030" s="327">
        <v>181.49300000000011</v>
      </c>
      <c r="BB1030" s="520">
        <v>136.84400000000002</v>
      </c>
      <c r="BC1030" s="327">
        <v>82.3419999999997</v>
      </c>
      <c r="BD1030" s="518">
        <v>439.33899999999994</v>
      </c>
      <c r="BE1030" s="327">
        <v>60.077000000000005</v>
      </c>
      <c r="BF1030" s="327">
        <v>107.10400000000004</v>
      </c>
      <c r="BG1030" s="520">
        <v>-8.7089999999999534</v>
      </c>
      <c r="BH1030" s="327">
        <v>8.2250000000002288</v>
      </c>
      <c r="BI1030" s="525">
        <v>166.69700000000026</v>
      </c>
      <c r="BJ1030" s="327">
        <v>0</v>
      </c>
      <c r="BK1030" s="327">
        <v>0</v>
      </c>
      <c r="BL1030" s="327">
        <v>0</v>
      </c>
      <c r="BM1030" s="327">
        <v>0</v>
      </c>
      <c r="BN1030" s="518">
        <v>0</v>
      </c>
      <c r="BO1030" s="327">
        <v>0</v>
      </c>
      <c r="BP1030" s="327">
        <v>0</v>
      </c>
      <c r="BQ1030" s="327">
        <v>0</v>
      </c>
      <c r="BR1030" s="327">
        <v>0</v>
      </c>
      <c r="BS1030" s="518">
        <v>0</v>
      </c>
      <c r="BT1030" s="518">
        <v>0</v>
      </c>
      <c r="BU1030" s="518">
        <v>0</v>
      </c>
      <c r="BV1030" s="518">
        <v>0</v>
      </c>
      <c r="BW1030" s="197"/>
    </row>
    <row r="1031" spans="1:75" s="123" customFormat="1" hidden="1" outlineLevel="1" x14ac:dyDescent="0.5">
      <c r="A1031" s="464" t="s">
        <v>1067</v>
      </c>
      <c r="B1031" s="513"/>
      <c r="C1031" s="403">
        <v>-0.42299999999999999</v>
      </c>
      <c r="D1031" s="403">
        <v>0.68500000000000005</v>
      </c>
      <c r="E1031" s="403">
        <v>1.121</v>
      </c>
      <c r="F1031" s="403">
        <v>-62.023000000000003</v>
      </c>
      <c r="G1031" s="302">
        <v>-0.16800000000000001</v>
      </c>
      <c r="H1031" s="302">
        <v>-11.135999999999999</v>
      </c>
      <c r="I1031" s="302">
        <v>12.146000000000001</v>
      </c>
      <c r="J1031" s="302">
        <v>30.081</v>
      </c>
      <c r="K1031" s="674">
        <v>30.923000000000002</v>
      </c>
      <c r="L1031" s="302">
        <v>0.92700000000000005</v>
      </c>
      <c r="M1031" s="302">
        <v>17.335999999999999</v>
      </c>
      <c r="N1031" s="302">
        <v>12.048999999999999</v>
      </c>
      <c r="O1031" s="302">
        <v>26.861000000000001</v>
      </c>
      <c r="P1031" s="674">
        <v>57.173000000000002</v>
      </c>
      <c r="Q1031" s="302">
        <v>4.2240000000000002</v>
      </c>
      <c r="R1031" s="302">
        <v>19.082000000000001</v>
      </c>
      <c r="S1031" s="302">
        <v>13.163</v>
      </c>
      <c r="T1031" s="122">
        <v>22.311999999999998</v>
      </c>
      <c r="U1031" s="403">
        <v>58.780999999999999</v>
      </c>
      <c r="V1031" s="302">
        <v>-8.5329999999999995</v>
      </c>
      <c r="W1031" s="302">
        <v>4.1879999999999997</v>
      </c>
      <c r="X1031" s="302">
        <v>1.778</v>
      </c>
      <c r="Y1031" s="122">
        <v>5.72</v>
      </c>
      <c r="Z1031" s="403">
        <v>3.153</v>
      </c>
      <c r="AA1031" s="302">
        <v>-1.913</v>
      </c>
      <c r="AB1031" s="302">
        <v>5.5830000000000002</v>
      </c>
      <c r="AC1031" s="302">
        <v>6.2160000000000002</v>
      </c>
      <c r="AD1031" s="122">
        <v>18.085000000000001</v>
      </c>
      <c r="AE1031" s="403">
        <v>27.971</v>
      </c>
      <c r="AF1031" s="302">
        <v>7.5880000000000001</v>
      </c>
      <c r="AG1031" s="302">
        <v>2.5329999999999999</v>
      </c>
      <c r="AH1031" s="302">
        <v>4.4189999999999996</v>
      </c>
      <c r="AI1031" s="122">
        <v>10.693000000000001</v>
      </c>
      <c r="AJ1031" s="403">
        <v>25.233000000000001</v>
      </c>
      <c r="AK1031" s="302">
        <v>11.792999999999999</v>
      </c>
      <c r="AL1031" s="302">
        <v>16.664999999999999</v>
      </c>
      <c r="AM1031" s="302">
        <v>8.3529999999999998</v>
      </c>
      <c r="AN1031" s="122">
        <v>11.996000000000002</v>
      </c>
      <c r="AO1031" s="403">
        <v>48.807000000000002</v>
      </c>
      <c r="AP1031" s="302">
        <v>-1.423</v>
      </c>
      <c r="AQ1031" s="302">
        <v>18.879000000000001</v>
      </c>
      <c r="AR1031" s="302">
        <v>49.154000000000003</v>
      </c>
      <c r="AS1031" s="122">
        <v>37.987999999999985</v>
      </c>
      <c r="AT1031" s="403">
        <v>104.598</v>
      </c>
      <c r="AU1031" s="302">
        <v>41.723999999999997</v>
      </c>
      <c r="AV1031" s="302">
        <v>3.0089999999999999</v>
      </c>
      <c r="AW1031" s="302">
        <v>54.390999999999998</v>
      </c>
      <c r="AX1031" s="122">
        <v>34.433999999999997</v>
      </c>
      <c r="AY1031" s="403">
        <v>133.55799999999999</v>
      </c>
      <c r="AZ1031" s="302">
        <v>-163.42599999999999</v>
      </c>
      <c r="BA1031" s="302">
        <v>56.396999999999998</v>
      </c>
      <c r="BB1031" s="302">
        <v>36.161999999999999</v>
      </c>
      <c r="BC1031" s="122">
        <v>-20.491000000000014</v>
      </c>
      <c r="BD1031" s="403">
        <v>-91.358000000000004</v>
      </c>
      <c r="BE1031" s="302">
        <v>16.585000000000001</v>
      </c>
      <c r="BF1031" s="302">
        <v>27.245000000000001</v>
      </c>
      <c r="BG1031" s="302">
        <v>-9.2149999999999999</v>
      </c>
      <c r="BH1031" s="122">
        <v>-6.3539999999999957</v>
      </c>
      <c r="BI1031" s="514">
        <v>28.260999999999999</v>
      </c>
      <c r="BJ1031" s="118"/>
      <c r="BK1031" s="118"/>
      <c r="BL1031" s="118"/>
      <c r="BM1031" s="118"/>
      <c r="BN1031" s="401"/>
      <c r="BO1031" s="118"/>
      <c r="BP1031" s="118"/>
      <c r="BQ1031" s="118"/>
      <c r="BR1031" s="118"/>
      <c r="BS1031" s="401"/>
      <c r="BT1031" s="401"/>
      <c r="BU1031" s="401"/>
      <c r="BV1031" s="401"/>
      <c r="BW1031" s="122"/>
    </row>
    <row r="1032" spans="1:75" s="198" customFormat="1" ht="14.25" hidden="1" outlineLevel="1" x14ac:dyDescent="0.45">
      <c r="A1032" s="675" t="s">
        <v>1068</v>
      </c>
      <c r="B1032" s="517"/>
      <c r="C1032" s="518">
        <v>-28.651000000000085</v>
      </c>
      <c r="D1032" s="519">
        <v>-7.0510000000000659</v>
      </c>
      <c r="E1032" s="519">
        <v>20.588000000000076</v>
      </c>
      <c r="F1032" s="632">
        <v>-12.788999999999939</v>
      </c>
      <c r="G1032" s="520">
        <v>-0.16100000000001849</v>
      </c>
      <c r="H1032" s="520">
        <v>-17.835000000000001</v>
      </c>
      <c r="I1032" s="520">
        <v>9.5489999999999853</v>
      </c>
      <c r="J1032" s="520">
        <v>26.642000000000035</v>
      </c>
      <c r="K1032" s="519">
        <v>18.194999999999773</v>
      </c>
      <c r="L1032" s="520">
        <v>1.7950000000000199</v>
      </c>
      <c r="M1032" s="520">
        <v>27.252999999999986</v>
      </c>
      <c r="N1032" s="520">
        <v>19.428999999999988</v>
      </c>
      <c r="O1032" s="520">
        <v>42.524999999999963</v>
      </c>
      <c r="P1032" s="519">
        <v>91.001999999999896</v>
      </c>
      <c r="Q1032" s="520">
        <v>7.1560000000000095</v>
      </c>
      <c r="R1032" s="520">
        <v>29.935000000000031</v>
      </c>
      <c r="S1032" s="520">
        <v>20.709999999999948</v>
      </c>
      <c r="T1032" s="520">
        <v>33.30199999999995</v>
      </c>
      <c r="U1032" s="519">
        <v>91.10299999999981</v>
      </c>
      <c r="V1032" s="520">
        <v>-13.469999999999965</v>
      </c>
      <c r="W1032" s="327">
        <v>6.9179999999999859</v>
      </c>
      <c r="X1032" s="520">
        <v>2.5169999999999679</v>
      </c>
      <c r="Y1032" s="327">
        <v>9.4360000000000177</v>
      </c>
      <c r="Z1032" s="518">
        <v>5.4010000000000584</v>
      </c>
      <c r="AA1032" s="327">
        <v>-3.3699999999999832</v>
      </c>
      <c r="AB1032" s="327">
        <v>-7.8619999999999521</v>
      </c>
      <c r="AC1032" s="520">
        <v>13.150999999999922</v>
      </c>
      <c r="AD1032" s="327">
        <v>0.26100000000023016</v>
      </c>
      <c r="AE1032" s="518">
        <v>2.1800000000000459</v>
      </c>
      <c r="AF1032" s="327">
        <v>25.460999999999963</v>
      </c>
      <c r="AG1032" s="327">
        <v>62.906000000000006</v>
      </c>
      <c r="AH1032" s="520">
        <v>20.114000000000008</v>
      </c>
      <c r="AI1032" s="327">
        <v>27.249999999999897</v>
      </c>
      <c r="AJ1032" s="518">
        <v>135.73099999999977</v>
      </c>
      <c r="AK1032" s="327">
        <v>35.722000000000008</v>
      </c>
      <c r="AL1032" s="327">
        <v>63.757000000000012</v>
      </c>
      <c r="AM1032" s="520">
        <v>52.462999999999944</v>
      </c>
      <c r="AN1032" s="327">
        <v>68.433000000000362</v>
      </c>
      <c r="AO1032" s="518">
        <v>220.375</v>
      </c>
      <c r="AP1032" s="327">
        <v>-3.2120000000000015</v>
      </c>
      <c r="AQ1032" s="327">
        <v>98.42300000000003</v>
      </c>
      <c r="AR1032" s="520">
        <v>46.411000000000065</v>
      </c>
      <c r="AS1032" s="327">
        <v>131.08100000000024</v>
      </c>
      <c r="AT1032" s="518">
        <v>272.70300000000015</v>
      </c>
      <c r="AU1032" s="327">
        <v>132.75100000000006</v>
      </c>
      <c r="AV1032" s="327">
        <v>229.23200000000008</v>
      </c>
      <c r="AW1032" s="520">
        <v>186.41199999999998</v>
      </c>
      <c r="AX1032" s="327">
        <v>148.36499999999984</v>
      </c>
      <c r="AY1032" s="518">
        <v>696.76</v>
      </c>
      <c r="AZ1032" s="327">
        <v>202.08600000000001</v>
      </c>
      <c r="BA1032" s="327">
        <v>125.09600000000012</v>
      </c>
      <c r="BB1032" s="520">
        <v>100.68200000000002</v>
      </c>
      <c r="BC1032" s="327">
        <v>102.83299999999971</v>
      </c>
      <c r="BD1032" s="518">
        <v>530.69699999999989</v>
      </c>
      <c r="BE1032" s="327">
        <v>43.492000000000004</v>
      </c>
      <c r="BF1032" s="327">
        <v>79.859000000000037</v>
      </c>
      <c r="BG1032" s="520">
        <v>0.50600000000004641</v>
      </c>
      <c r="BH1032" s="327">
        <v>14.579000000000224</v>
      </c>
      <c r="BI1032" s="525">
        <v>138.43600000000026</v>
      </c>
      <c r="BJ1032" s="327">
        <v>0</v>
      </c>
      <c r="BK1032" s="327">
        <v>0</v>
      </c>
      <c r="BL1032" s="327">
        <v>0</v>
      </c>
      <c r="BM1032" s="327">
        <v>0</v>
      </c>
      <c r="BN1032" s="518">
        <v>0</v>
      </c>
      <c r="BO1032" s="327">
        <v>0</v>
      </c>
      <c r="BP1032" s="327">
        <v>0</v>
      </c>
      <c r="BQ1032" s="327">
        <v>0</v>
      </c>
      <c r="BR1032" s="327">
        <v>0</v>
      </c>
      <c r="BS1032" s="518">
        <v>0</v>
      </c>
      <c r="BT1032" s="518">
        <v>0</v>
      </c>
      <c r="BU1032" s="518">
        <v>0</v>
      </c>
      <c r="BV1032" s="518">
        <v>0</v>
      </c>
      <c r="BW1032" s="197"/>
    </row>
    <row r="1033" spans="1:75" s="123" customFormat="1" hidden="1" outlineLevel="1" x14ac:dyDescent="0.5">
      <c r="A1033" s="428" t="s">
        <v>1069</v>
      </c>
      <c r="B1033" s="513"/>
      <c r="C1033" s="401"/>
      <c r="D1033" s="401"/>
      <c r="E1033" s="401"/>
      <c r="F1033" s="401"/>
      <c r="G1033" s="119"/>
      <c r="H1033" s="119"/>
      <c r="I1033" s="119"/>
      <c r="J1033" s="119"/>
      <c r="K1033" s="401"/>
      <c r="L1033" s="119"/>
      <c r="M1033" s="119"/>
      <c r="N1033" s="119"/>
      <c r="O1033" s="119"/>
      <c r="P1033" s="401"/>
      <c r="Q1033" s="119"/>
      <c r="R1033" s="119"/>
      <c r="S1033" s="119"/>
      <c r="T1033" s="119"/>
      <c r="U1033" s="401"/>
      <c r="V1033" s="119"/>
      <c r="W1033" s="119"/>
      <c r="X1033" s="119"/>
      <c r="Y1033" s="119"/>
      <c r="Z1033" s="401"/>
      <c r="AA1033" s="119"/>
      <c r="AB1033" s="119"/>
      <c r="AC1033" s="119"/>
      <c r="AD1033" s="119"/>
      <c r="AE1033" s="401"/>
      <c r="AF1033" s="119"/>
      <c r="AG1033" s="119"/>
      <c r="AH1033" s="119"/>
      <c r="AI1033" s="119"/>
      <c r="AJ1033" s="401"/>
      <c r="AK1033" s="119"/>
      <c r="AL1033" s="119"/>
      <c r="AM1033" s="119"/>
      <c r="AN1033" s="119"/>
      <c r="AO1033" s="401"/>
      <c r="AP1033" s="119"/>
      <c r="AQ1033" s="119"/>
      <c r="AR1033" s="119"/>
      <c r="AS1033" s="119">
        <v>-0.88800000000000001</v>
      </c>
      <c r="AT1033" s="403">
        <v>-0.88800000000000001</v>
      </c>
      <c r="AU1033" s="302">
        <v>-2.0950000000000002</v>
      </c>
      <c r="AV1033" s="302">
        <v>-2.4860000000000002</v>
      </c>
      <c r="AW1033" s="302">
        <v>-2.3130000000000002</v>
      </c>
      <c r="AX1033" s="119">
        <v>-1.3200000000000003</v>
      </c>
      <c r="AY1033" s="403">
        <v>-8.2140000000000004</v>
      </c>
      <c r="AZ1033" s="302">
        <v>-1.375</v>
      </c>
      <c r="BA1033" s="302">
        <v>-2.8210000000000002</v>
      </c>
      <c r="BB1033" s="302">
        <v>-1.9219999999999999</v>
      </c>
      <c r="BC1033" s="119">
        <v>4.0629999999999988</v>
      </c>
      <c r="BD1033" s="403">
        <v>-2.0550000000000002</v>
      </c>
      <c r="BE1033" s="302">
        <v>-1.6020000000000001</v>
      </c>
      <c r="BF1033" s="302">
        <v>-3.3820000000000001</v>
      </c>
      <c r="BG1033" s="302">
        <v>-2.6930000000000001</v>
      </c>
      <c r="BH1033" s="119">
        <v>-3.1980000000000004</v>
      </c>
      <c r="BI1033" s="514">
        <v>-10.875</v>
      </c>
      <c r="BJ1033" s="119"/>
      <c r="BK1033" s="119"/>
      <c r="BL1033" s="119"/>
      <c r="BM1033" s="119"/>
      <c r="BN1033" s="401"/>
      <c r="BO1033" s="119"/>
      <c r="BP1033" s="119"/>
      <c r="BQ1033" s="119"/>
      <c r="BR1033" s="119"/>
      <c r="BS1033" s="401"/>
      <c r="BT1033" s="401"/>
      <c r="BU1033" s="401"/>
      <c r="BV1033" s="401"/>
      <c r="BW1033" s="122"/>
    </row>
    <row r="1034" spans="1:75" s="198" customFormat="1" ht="14.25" hidden="1" outlineLevel="1" x14ac:dyDescent="0.45">
      <c r="A1034" s="678" t="s">
        <v>1070</v>
      </c>
      <c r="B1034" s="679"/>
      <c r="C1034" s="680">
        <v>-28.651000000000085</v>
      </c>
      <c r="D1034" s="681">
        <v>-7.0510000000000659</v>
      </c>
      <c r="E1034" s="681">
        <v>20.588000000000076</v>
      </c>
      <c r="F1034" s="681">
        <v>-12.788999999999939</v>
      </c>
      <c r="G1034" s="682">
        <v>-0.16100000000001849</v>
      </c>
      <c r="H1034" s="682">
        <v>-17.835000000000001</v>
      </c>
      <c r="I1034" s="682">
        <v>9.5489999999999853</v>
      </c>
      <c r="J1034" s="682">
        <v>26.642000000000035</v>
      </c>
      <c r="K1034" s="681">
        <v>18.194999999999773</v>
      </c>
      <c r="L1034" s="682">
        <v>1.7950000000000199</v>
      </c>
      <c r="M1034" s="682">
        <v>27.252999999999986</v>
      </c>
      <c r="N1034" s="682">
        <v>19.428999999999988</v>
      </c>
      <c r="O1034" s="682">
        <v>42.524999999999963</v>
      </c>
      <c r="P1034" s="681">
        <v>91.001999999999896</v>
      </c>
      <c r="Q1034" s="682">
        <v>7.1560000000000095</v>
      </c>
      <c r="R1034" s="682">
        <v>29.935000000000031</v>
      </c>
      <c r="S1034" s="682">
        <v>20.709999999999948</v>
      </c>
      <c r="T1034" s="682">
        <v>33.30199999999995</v>
      </c>
      <c r="U1034" s="681">
        <v>91.10299999999981</v>
      </c>
      <c r="V1034" s="682">
        <v>-13.469999999999965</v>
      </c>
      <c r="W1034" s="683">
        <v>6.9179999999999859</v>
      </c>
      <c r="X1034" s="682">
        <v>2.5169999999999679</v>
      </c>
      <c r="Y1034" s="683">
        <v>9.4360000000000177</v>
      </c>
      <c r="Z1034" s="680">
        <v>5.4010000000000584</v>
      </c>
      <c r="AA1034" s="683">
        <v>-3.3699999999999832</v>
      </c>
      <c r="AB1034" s="683">
        <v>-7.8619999999999521</v>
      </c>
      <c r="AC1034" s="682">
        <v>13.150999999999922</v>
      </c>
      <c r="AD1034" s="683">
        <v>0.26100000000023016</v>
      </c>
      <c r="AE1034" s="680">
        <v>2.1800000000000459</v>
      </c>
      <c r="AF1034" s="683">
        <v>25.460999999999963</v>
      </c>
      <c r="AG1034" s="683">
        <v>62.906000000000006</v>
      </c>
      <c r="AH1034" s="682">
        <v>20.114000000000008</v>
      </c>
      <c r="AI1034" s="683">
        <v>27.249999999999897</v>
      </c>
      <c r="AJ1034" s="680">
        <v>135.73099999999977</v>
      </c>
      <c r="AK1034" s="683">
        <v>35.722000000000008</v>
      </c>
      <c r="AL1034" s="683">
        <v>63.757000000000012</v>
      </c>
      <c r="AM1034" s="682">
        <v>52.462999999999944</v>
      </c>
      <c r="AN1034" s="683">
        <v>68.433000000000362</v>
      </c>
      <c r="AO1034" s="680">
        <v>220.375</v>
      </c>
      <c r="AP1034" s="683">
        <v>-3.2120000000000015</v>
      </c>
      <c r="AQ1034" s="683">
        <v>98.42300000000003</v>
      </c>
      <c r="AR1034" s="682">
        <v>46.411000000000065</v>
      </c>
      <c r="AS1034" s="683">
        <v>130.19300000000024</v>
      </c>
      <c r="AT1034" s="680">
        <v>271.81500000000017</v>
      </c>
      <c r="AU1034" s="683">
        <v>130.65600000000006</v>
      </c>
      <c r="AV1034" s="683">
        <v>226.74600000000009</v>
      </c>
      <c r="AW1034" s="682">
        <v>184.09899999999999</v>
      </c>
      <c r="AX1034" s="683">
        <v>147.04499999999985</v>
      </c>
      <c r="AY1034" s="680">
        <v>688.54599999999994</v>
      </c>
      <c r="AZ1034" s="683">
        <v>200.71100000000001</v>
      </c>
      <c r="BA1034" s="683">
        <v>122.27500000000012</v>
      </c>
      <c r="BB1034" s="682">
        <v>98.760000000000019</v>
      </c>
      <c r="BC1034" s="683">
        <v>106.89599999999972</v>
      </c>
      <c r="BD1034" s="680">
        <v>528.64199999999994</v>
      </c>
      <c r="BE1034" s="683">
        <v>41.890000000000008</v>
      </c>
      <c r="BF1034" s="683">
        <v>76.477000000000032</v>
      </c>
      <c r="BG1034" s="682">
        <v>-2.1869999999999536</v>
      </c>
      <c r="BH1034" s="683">
        <v>11.381000000000224</v>
      </c>
      <c r="BI1034" s="684">
        <v>127.56100000000026</v>
      </c>
      <c r="BJ1034" s="683">
        <v>0</v>
      </c>
      <c r="BK1034" s="683">
        <v>0</v>
      </c>
      <c r="BL1034" s="683">
        <v>0</v>
      </c>
      <c r="BM1034" s="683">
        <v>0</v>
      </c>
      <c r="BN1034" s="680">
        <v>0</v>
      </c>
      <c r="BO1034" s="683">
        <v>0</v>
      </c>
      <c r="BP1034" s="683">
        <v>0</v>
      </c>
      <c r="BQ1034" s="683">
        <v>0</v>
      </c>
      <c r="BR1034" s="683">
        <v>0</v>
      </c>
      <c r="BS1034" s="680">
        <v>0</v>
      </c>
      <c r="BT1034" s="680">
        <v>0</v>
      </c>
      <c r="BU1034" s="680">
        <v>0</v>
      </c>
      <c r="BV1034" s="680">
        <v>0</v>
      </c>
      <c r="BW1034" s="197"/>
    </row>
    <row r="1035" spans="1:75" s="123" customFormat="1" hidden="1" outlineLevel="1" x14ac:dyDescent="0.5">
      <c r="A1035" s="184"/>
      <c r="B1035" s="513"/>
      <c r="C1035" s="401"/>
      <c r="D1035" s="401"/>
      <c r="E1035" s="401"/>
      <c r="F1035" s="401"/>
      <c r="G1035" s="119"/>
      <c r="H1035" s="119"/>
      <c r="I1035" s="119"/>
      <c r="J1035" s="119"/>
      <c r="K1035" s="401"/>
      <c r="L1035" s="119"/>
      <c r="M1035" s="119"/>
      <c r="N1035" s="119"/>
      <c r="O1035" s="119"/>
      <c r="P1035" s="401"/>
      <c r="Q1035" s="119"/>
      <c r="R1035" s="119"/>
      <c r="S1035" s="119"/>
      <c r="T1035" s="119"/>
      <c r="U1035" s="401"/>
      <c r="V1035" s="119"/>
      <c r="W1035" s="119"/>
      <c r="X1035" s="119"/>
      <c r="Y1035" s="119"/>
      <c r="Z1035" s="401"/>
      <c r="AA1035" s="119"/>
      <c r="AB1035" s="119"/>
      <c r="AC1035" s="119"/>
      <c r="AD1035" s="119"/>
      <c r="AE1035" s="401"/>
      <c r="AF1035" s="119"/>
      <c r="AG1035" s="119"/>
      <c r="AH1035" s="119"/>
      <c r="AI1035" s="119"/>
      <c r="AJ1035" s="401"/>
      <c r="AK1035" s="119"/>
      <c r="AL1035" s="119"/>
      <c r="AM1035" s="119"/>
      <c r="AN1035" s="119"/>
      <c r="AO1035" s="401"/>
      <c r="AP1035" s="119"/>
      <c r="AQ1035" s="119"/>
      <c r="AR1035" s="119"/>
      <c r="AS1035" s="119"/>
      <c r="AT1035" s="401"/>
      <c r="AU1035" s="119"/>
      <c r="AV1035" s="119"/>
      <c r="AW1035" s="119"/>
      <c r="AX1035" s="119"/>
      <c r="AY1035" s="401"/>
      <c r="AZ1035" s="119"/>
      <c r="BA1035" s="119"/>
      <c r="BB1035" s="119"/>
      <c r="BC1035" s="119"/>
      <c r="BD1035" s="401"/>
      <c r="BE1035" s="119"/>
      <c r="BF1035" s="119"/>
      <c r="BG1035" s="119"/>
      <c r="BH1035" s="119"/>
      <c r="BI1035" s="402"/>
      <c r="BJ1035" s="118"/>
      <c r="BK1035" s="118"/>
      <c r="BL1035" s="118"/>
      <c r="BM1035" s="118"/>
      <c r="BN1035" s="401"/>
      <c r="BO1035" s="118"/>
      <c r="BP1035" s="118"/>
      <c r="BQ1035" s="118"/>
      <c r="BR1035" s="118"/>
      <c r="BS1035" s="401"/>
      <c r="BT1035" s="401"/>
      <c r="BU1035" s="401"/>
      <c r="BV1035" s="401"/>
      <c r="BW1035" s="122"/>
    </row>
    <row r="1036" spans="1:75" s="123" customFormat="1" hidden="1" outlineLevel="1" x14ac:dyDescent="0.5">
      <c r="A1036" s="685" t="s">
        <v>1071</v>
      </c>
      <c r="B1036" s="685"/>
      <c r="C1036" s="686"/>
      <c r="D1036" s="686">
        <v>0</v>
      </c>
      <c r="E1036" s="686">
        <v>0</v>
      </c>
      <c r="F1036" s="686">
        <v>0</v>
      </c>
      <c r="G1036" s="686">
        <v>0</v>
      </c>
      <c r="H1036" s="686">
        <v>0</v>
      </c>
      <c r="I1036" s="686">
        <v>0</v>
      </c>
      <c r="J1036" s="686">
        <v>0</v>
      </c>
      <c r="K1036" s="686">
        <v>0</v>
      </c>
      <c r="L1036" s="686">
        <v>0</v>
      </c>
      <c r="M1036" s="686">
        <v>0</v>
      </c>
      <c r="N1036" s="686">
        <v>0</v>
      </c>
      <c r="O1036" s="686">
        <v>0</v>
      </c>
      <c r="P1036" s="686">
        <v>0</v>
      </c>
      <c r="Q1036" s="686">
        <v>0</v>
      </c>
      <c r="R1036" s="686">
        <v>0</v>
      </c>
      <c r="S1036" s="686">
        <v>0</v>
      </c>
      <c r="T1036" s="686">
        <v>0</v>
      </c>
      <c r="U1036" s="686">
        <v>0</v>
      </c>
      <c r="V1036" s="686">
        <v>0</v>
      </c>
      <c r="W1036" s="686">
        <v>0</v>
      </c>
      <c r="X1036" s="686">
        <v>0</v>
      </c>
      <c r="Y1036" s="686">
        <v>0</v>
      </c>
      <c r="Z1036" s="686">
        <v>0</v>
      </c>
      <c r="AA1036" s="686">
        <v>0</v>
      </c>
      <c r="AB1036" s="686">
        <v>0</v>
      </c>
      <c r="AC1036" s="686">
        <v>0</v>
      </c>
      <c r="AD1036" s="686">
        <v>0</v>
      </c>
      <c r="AE1036" s="686">
        <v>0</v>
      </c>
      <c r="AF1036" s="686">
        <v>0</v>
      </c>
      <c r="AG1036" s="686">
        <v>0</v>
      </c>
      <c r="AH1036" s="686">
        <v>0</v>
      </c>
      <c r="AI1036" s="686">
        <v>0</v>
      </c>
      <c r="AJ1036" s="686">
        <v>0</v>
      </c>
      <c r="AK1036" s="686">
        <v>0</v>
      </c>
      <c r="AL1036" s="686">
        <v>0</v>
      </c>
      <c r="AM1036" s="686">
        <v>0</v>
      </c>
      <c r="AN1036" s="686">
        <v>0</v>
      </c>
      <c r="AO1036" s="686">
        <v>0</v>
      </c>
      <c r="AP1036" s="686">
        <v>0</v>
      </c>
      <c r="AQ1036" s="686">
        <v>0</v>
      </c>
      <c r="AR1036" s="686">
        <v>0</v>
      </c>
      <c r="AS1036" s="686">
        <v>0</v>
      </c>
      <c r="AT1036" s="686">
        <v>0</v>
      </c>
      <c r="AU1036" s="686">
        <v>0</v>
      </c>
      <c r="AV1036" s="686">
        <v>0</v>
      </c>
      <c r="AW1036" s="686">
        <v>0</v>
      </c>
      <c r="AX1036" s="686">
        <v>0</v>
      </c>
      <c r="AY1036" s="686">
        <v>0</v>
      </c>
      <c r="AZ1036" s="686">
        <v>0</v>
      </c>
      <c r="BA1036" s="686">
        <v>0</v>
      </c>
      <c r="BB1036" s="686">
        <v>0</v>
      </c>
      <c r="BC1036" s="686">
        <v>0</v>
      </c>
      <c r="BD1036" s="686">
        <v>0</v>
      </c>
      <c r="BE1036" s="686">
        <v>0</v>
      </c>
      <c r="BF1036" s="686">
        <v>0</v>
      </c>
      <c r="BG1036" s="686">
        <v>0</v>
      </c>
      <c r="BH1036" s="686">
        <v>0</v>
      </c>
      <c r="BI1036" s="687">
        <v>0</v>
      </c>
      <c r="BJ1036" s="686">
        <v>0</v>
      </c>
      <c r="BK1036" s="686">
        <v>0</v>
      </c>
      <c r="BL1036" s="686">
        <v>0</v>
      </c>
      <c r="BM1036" s="686">
        <v>0</v>
      </c>
      <c r="BN1036" s="686">
        <v>0</v>
      </c>
      <c r="BO1036" s="686">
        <v>0</v>
      </c>
      <c r="BP1036" s="686">
        <v>0</v>
      </c>
      <c r="BQ1036" s="686">
        <v>0</v>
      </c>
      <c r="BR1036" s="686">
        <v>0</v>
      </c>
      <c r="BS1036" s="686">
        <v>0</v>
      </c>
      <c r="BT1036" s="686">
        <v>0</v>
      </c>
      <c r="BU1036" s="686">
        <v>0</v>
      </c>
      <c r="BV1036" s="686">
        <v>0</v>
      </c>
      <c r="BW1036" s="122"/>
    </row>
    <row r="1037" spans="1:75" s="123" customFormat="1" collapsed="1" x14ac:dyDescent="0.5">
      <c r="A1037" s="184"/>
      <c r="B1037" s="513"/>
      <c r="C1037" s="401"/>
      <c r="D1037" s="401"/>
      <c r="E1037" s="401"/>
      <c r="F1037" s="401"/>
      <c r="G1037" s="119"/>
      <c r="H1037" s="119"/>
      <c r="I1037" s="119"/>
      <c r="J1037" s="119"/>
      <c r="K1037" s="401"/>
      <c r="L1037" s="119"/>
      <c r="M1037" s="119"/>
      <c r="N1037" s="119"/>
      <c r="O1037" s="119"/>
      <c r="P1037" s="401"/>
      <c r="Q1037" s="119"/>
      <c r="R1037" s="119"/>
      <c r="S1037" s="119"/>
      <c r="T1037" s="119"/>
      <c r="U1037" s="401"/>
      <c r="V1037" s="119"/>
      <c r="W1037" s="119"/>
      <c r="X1037" s="119"/>
      <c r="Y1037" s="119"/>
      <c r="Z1037" s="401"/>
      <c r="AA1037" s="119"/>
      <c r="AB1037" s="119"/>
      <c r="AC1037" s="119"/>
      <c r="AD1037" s="119"/>
      <c r="AE1037" s="401"/>
      <c r="AF1037" s="119"/>
      <c r="AG1037" s="119"/>
      <c r="AH1037" s="119"/>
      <c r="AI1037" s="119"/>
      <c r="AJ1037" s="401"/>
      <c r="AK1037" s="119"/>
      <c r="AL1037" s="119"/>
      <c r="AM1037" s="119"/>
      <c r="AN1037" s="119"/>
      <c r="AO1037" s="401"/>
      <c r="AP1037" s="119"/>
      <c r="AQ1037" s="119"/>
      <c r="AR1037" s="119"/>
      <c r="AS1037" s="119"/>
      <c r="AT1037" s="401"/>
      <c r="AU1037" s="119"/>
      <c r="AV1037" s="119"/>
      <c r="AW1037" s="119"/>
      <c r="AX1037" s="119"/>
      <c r="AY1037" s="401"/>
      <c r="AZ1037" s="119"/>
      <c r="BA1037" s="119"/>
      <c r="BB1037" s="119"/>
      <c r="BC1037" s="119"/>
      <c r="BD1037" s="401"/>
      <c r="BE1037" s="119"/>
      <c r="BF1037" s="119"/>
      <c r="BG1037" s="119"/>
      <c r="BH1037" s="119"/>
      <c r="BI1037" s="402"/>
      <c r="BJ1037" s="118"/>
      <c r="BK1037" s="118"/>
      <c r="BL1037" s="118"/>
      <c r="BM1037" s="118"/>
      <c r="BN1037" s="401"/>
      <c r="BO1037" s="118"/>
      <c r="BP1037" s="118"/>
      <c r="BQ1037" s="118"/>
      <c r="BR1037" s="118"/>
      <c r="BS1037" s="401"/>
      <c r="BT1037" s="401"/>
      <c r="BU1037" s="401"/>
      <c r="BV1037" s="401"/>
      <c r="BW1037" s="122"/>
    </row>
    <row r="1038" spans="1:75" s="198" customFormat="1" ht="14.25" x14ac:dyDescent="0.45">
      <c r="A1038" s="239" t="s">
        <v>1072</v>
      </c>
      <c r="B1038" s="239"/>
      <c r="C1038" s="239"/>
      <c r="D1038" s="239"/>
      <c r="E1038" s="239"/>
      <c r="F1038" s="239"/>
      <c r="G1038" s="239"/>
      <c r="H1038" s="239"/>
      <c r="I1038" s="239"/>
      <c r="J1038" s="239"/>
      <c r="K1038" s="239"/>
      <c r="L1038" s="239"/>
      <c r="M1038" s="239"/>
      <c r="N1038" s="239"/>
      <c r="O1038" s="239"/>
      <c r="P1038" s="239"/>
      <c r="Q1038" s="239"/>
      <c r="R1038" s="239"/>
      <c r="S1038" s="239"/>
      <c r="T1038" s="239"/>
      <c r="U1038" s="239"/>
      <c r="V1038" s="239"/>
      <c r="W1038" s="239"/>
      <c r="X1038" s="239"/>
      <c r="Y1038" s="239"/>
      <c r="Z1038" s="239"/>
      <c r="AA1038" s="239"/>
      <c r="AB1038" s="239"/>
      <c r="AC1038" s="239"/>
      <c r="AD1038" s="239"/>
      <c r="AE1038" s="239"/>
      <c r="AF1038" s="239"/>
      <c r="AG1038" s="239"/>
      <c r="AH1038" s="239"/>
      <c r="AI1038" s="239"/>
      <c r="AJ1038" s="239"/>
      <c r="AK1038" s="239"/>
      <c r="AL1038" s="239"/>
      <c r="AM1038" s="239"/>
      <c r="AN1038" s="239"/>
      <c r="AO1038" s="239"/>
      <c r="AP1038" s="239"/>
      <c r="AQ1038" s="239"/>
      <c r="AR1038" s="239"/>
      <c r="AS1038" s="239"/>
      <c r="AT1038" s="239"/>
      <c r="AU1038" s="239"/>
      <c r="AV1038" s="239"/>
      <c r="AW1038" s="239"/>
      <c r="AX1038" s="239"/>
      <c r="AY1038" s="239"/>
      <c r="AZ1038" s="239"/>
      <c r="BA1038" s="239"/>
      <c r="BB1038" s="239"/>
      <c r="BC1038" s="239"/>
      <c r="BD1038" s="239"/>
      <c r="BE1038" s="239"/>
      <c r="BF1038" s="239"/>
      <c r="BG1038" s="239"/>
      <c r="BH1038" s="239"/>
      <c r="BI1038" s="241"/>
      <c r="BJ1038" s="239"/>
      <c r="BK1038" s="239"/>
      <c r="BL1038" s="239"/>
      <c r="BM1038" s="239"/>
      <c r="BN1038" s="239"/>
      <c r="BO1038" s="239"/>
      <c r="BP1038" s="239"/>
      <c r="BQ1038" s="239"/>
      <c r="BR1038" s="239"/>
      <c r="BS1038" s="239"/>
      <c r="BT1038" s="239"/>
      <c r="BU1038" s="239"/>
      <c r="BV1038" s="239"/>
      <c r="BW1038" s="197"/>
    </row>
    <row r="1039" spans="1:75" s="621" customFormat="1" ht="14.25" hidden="1" outlineLevel="1" x14ac:dyDescent="0.45">
      <c r="A1039" s="670" t="s">
        <v>1073</v>
      </c>
      <c r="B1039" s="243"/>
      <c r="C1039" s="688"/>
      <c r="D1039" s="688"/>
      <c r="E1039" s="688">
        <v>958.08400000000006</v>
      </c>
      <c r="F1039" s="688">
        <v>1193.046</v>
      </c>
      <c r="G1039" s="689">
        <v>301.33699999999999</v>
      </c>
      <c r="H1039" s="689">
        <v>382.09800000000001</v>
      </c>
      <c r="I1039" s="689">
        <v>395.83199999999999</v>
      </c>
      <c r="J1039" s="689">
        <v>471.69400000000002</v>
      </c>
      <c r="K1039" s="688">
        <v>1550.9609999999998</v>
      </c>
      <c r="L1039" s="689">
        <v>366.25400000000002</v>
      </c>
      <c r="M1039" s="689">
        <v>433.76600000000002</v>
      </c>
      <c r="N1039" s="689">
        <v>484.67500000000001</v>
      </c>
      <c r="O1039" s="689">
        <v>582.72699999999998</v>
      </c>
      <c r="P1039" s="688">
        <v>1867.422</v>
      </c>
      <c r="Q1039" s="689">
        <v>422.44499999999999</v>
      </c>
      <c r="R1039" s="689">
        <v>506.94200000000001</v>
      </c>
      <c r="S1039" s="689">
        <v>532.41099999999994</v>
      </c>
      <c r="T1039" s="689">
        <v>647.20800000000008</v>
      </c>
      <c r="U1039" s="688">
        <v>2109.0059999999999</v>
      </c>
      <c r="V1039" s="689">
        <v>455.45600000000002</v>
      </c>
      <c r="W1039" s="689">
        <v>543.38099999999997</v>
      </c>
      <c r="X1039" s="689">
        <v>549.32799999999997</v>
      </c>
      <c r="Y1039" s="689">
        <v>586.70600000000013</v>
      </c>
      <c r="Z1039" s="688">
        <v>2134.8710000000001</v>
      </c>
      <c r="AA1039" s="689">
        <v>562.08000000000004</v>
      </c>
      <c r="AB1039" s="689">
        <v>615.32600000000002</v>
      </c>
      <c r="AC1039" s="689">
        <v>592.47299999999996</v>
      </c>
      <c r="AD1039" s="689">
        <v>670.29500000000007</v>
      </c>
      <c r="AE1039" s="688">
        <v>2440.174</v>
      </c>
      <c r="AF1039" s="689">
        <v>557.40599999999995</v>
      </c>
      <c r="AG1039" s="689">
        <v>640.798</v>
      </c>
      <c r="AH1039" s="690">
        <v>636.55799999999999</v>
      </c>
      <c r="AI1039" s="689">
        <v>670.89099999999985</v>
      </c>
      <c r="AJ1039" s="688">
        <v>2505.6529999999998</v>
      </c>
      <c r="AK1039" s="689">
        <v>598.42100000000005</v>
      </c>
      <c r="AL1039" s="689">
        <v>706.51400000000001</v>
      </c>
      <c r="AM1039" s="690">
        <v>677.52599999999995</v>
      </c>
      <c r="AN1039" s="689">
        <v>664.97600000000011</v>
      </c>
      <c r="AO1039" s="688">
        <v>2647.4369999999999</v>
      </c>
      <c r="AP1039" s="689">
        <v>482.89499999999998</v>
      </c>
      <c r="AQ1039" s="689">
        <v>709.28200000000004</v>
      </c>
      <c r="AR1039" s="690">
        <v>844.01300000000003</v>
      </c>
      <c r="AS1039" s="689">
        <v>812.43600000000015</v>
      </c>
      <c r="AT1039" s="688">
        <v>2848.6260000000002</v>
      </c>
      <c r="AU1039" s="689">
        <v>860.79200000000003</v>
      </c>
      <c r="AV1039" s="689">
        <v>988.85900000000004</v>
      </c>
      <c r="AW1039" s="690">
        <v>1006.428</v>
      </c>
      <c r="AX1039" s="689">
        <v>902.74099999999999</v>
      </c>
      <c r="AY1039" s="688">
        <v>3758.82</v>
      </c>
      <c r="AZ1039" s="689">
        <v>957.29200000000003</v>
      </c>
      <c r="BA1039" s="689">
        <v>991.62</v>
      </c>
      <c r="BB1039" s="690">
        <v>869.06600000000003</v>
      </c>
      <c r="BC1039" s="689">
        <v>772.4989999999998</v>
      </c>
      <c r="BD1039" s="688">
        <v>3590.4769999999999</v>
      </c>
      <c r="BE1039" s="689">
        <v>739.16200000000003</v>
      </c>
      <c r="BF1039" s="689">
        <v>800.47900000000004</v>
      </c>
      <c r="BG1039" s="690">
        <v>751.22500000000002</v>
      </c>
      <c r="BH1039" s="689">
        <v>738.26000000000022</v>
      </c>
      <c r="BI1039" s="691">
        <v>3029.1260000000002</v>
      </c>
      <c r="BJ1039" s="689"/>
      <c r="BK1039" s="689"/>
      <c r="BL1039" s="689"/>
      <c r="BM1039" s="689"/>
      <c r="BN1039" s="688"/>
      <c r="BO1039" s="689"/>
      <c r="BP1039" s="689"/>
      <c r="BQ1039" s="689"/>
      <c r="BR1039" s="689"/>
      <c r="BS1039" s="688"/>
      <c r="BT1039" s="688"/>
      <c r="BU1039" s="688"/>
      <c r="BV1039" s="688"/>
      <c r="BW1039" s="197"/>
    </row>
    <row r="1040" spans="1:75" s="697" customFormat="1" hidden="1" outlineLevel="1" x14ac:dyDescent="0.5">
      <c r="A1040" s="428" t="s">
        <v>1074</v>
      </c>
      <c r="B1040" s="251"/>
      <c r="C1040" s="692"/>
      <c r="D1040" s="692"/>
      <c r="E1040" s="692"/>
      <c r="F1040" s="692"/>
      <c r="G1040" s="693"/>
      <c r="H1040" s="693"/>
      <c r="I1040" s="693"/>
      <c r="J1040" s="693"/>
      <c r="K1040" s="692"/>
      <c r="L1040" s="693"/>
      <c r="M1040" s="693"/>
      <c r="N1040" s="693"/>
      <c r="O1040" s="693"/>
      <c r="P1040" s="692"/>
      <c r="Q1040" s="693"/>
      <c r="R1040" s="693"/>
      <c r="S1040" s="693"/>
      <c r="T1040" s="693"/>
      <c r="U1040" s="692"/>
      <c r="V1040" s="693"/>
      <c r="W1040" s="693"/>
      <c r="X1040" s="693"/>
      <c r="Y1040" s="694">
        <v>3.4409999999999998</v>
      </c>
      <c r="Z1040" s="695">
        <v>3.4409999999999998</v>
      </c>
      <c r="AA1040" s="693"/>
      <c r="AB1040" s="694">
        <v>3.8130000000000002</v>
      </c>
      <c r="AC1040" s="693"/>
      <c r="AD1040" s="694">
        <v>-0.60599999999999998</v>
      </c>
      <c r="AE1040" s="695">
        <v>3.2069999999999999</v>
      </c>
      <c r="AF1040" s="693"/>
      <c r="AG1040" s="694">
        <v>1.853</v>
      </c>
      <c r="AH1040" s="694">
        <v>1.948</v>
      </c>
      <c r="AI1040" s="694">
        <v>0.93200000000000005</v>
      </c>
      <c r="AJ1040" s="695">
        <v>4.7329999999999997</v>
      </c>
      <c r="AK1040" s="694">
        <v>0.41299999999999998</v>
      </c>
      <c r="AL1040" s="693"/>
      <c r="AM1040" s="694">
        <v>-0.80400000000000005</v>
      </c>
      <c r="AN1040" s="693"/>
      <c r="AO1040" s="695">
        <v>-0.39100000000000001</v>
      </c>
      <c r="AP1040" s="693"/>
      <c r="AQ1040" s="694">
        <v>0.40600000000000003</v>
      </c>
      <c r="AR1040" s="694">
        <v>0.78100000000000003</v>
      </c>
      <c r="AS1040" s="694">
        <v>0.186</v>
      </c>
      <c r="AT1040" s="695">
        <v>1.373</v>
      </c>
      <c r="AU1040" s="693"/>
      <c r="AV1040" s="693"/>
      <c r="AW1040" s="693"/>
      <c r="AX1040" s="694">
        <v>-1.2</v>
      </c>
      <c r="AY1040" s="695">
        <v>-1.2</v>
      </c>
      <c r="AZ1040" s="693"/>
      <c r="BA1040" s="693"/>
      <c r="BB1040" s="693"/>
      <c r="BC1040" s="693"/>
      <c r="BD1040" s="692"/>
      <c r="BE1040" s="693"/>
      <c r="BF1040" s="693"/>
      <c r="BG1040" s="693"/>
      <c r="BH1040" s="693"/>
      <c r="BI1040" s="696"/>
      <c r="BJ1040" s="693"/>
      <c r="BK1040" s="693"/>
      <c r="BL1040" s="693"/>
      <c r="BM1040" s="693"/>
      <c r="BN1040" s="692"/>
      <c r="BO1040" s="693"/>
      <c r="BP1040" s="693"/>
      <c r="BQ1040" s="693"/>
      <c r="BR1040" s="693"/>
      <c r="BS1040" s="692"/>
      <c r="BT1040" s="692"/>
      <c r="BU1040" s="692"/>
      <c r="BV1040" s="692"/>
      <c r="BW1040" s="122"/>
    </row>
    <row r="1041" spans="1:75" s="621" customFormat="1" ht="14.25" hidden="1" outlineLevel="1" x14ac:dyDescent="0.45">
      <c r="A1041" s="675" t="s">
        <v>1075</v>
      </c>
      <c r="B1041" s="277"/>
      <c r="C1041" s="698"/>
      <c r="D1041" s="698"/>
      <c r="E1041" s="698">
        <v>958.08400000000006</v>
      </c>
      <c r="F1041" s="698">
        <v>1193.046</v>
      </c>
      <c r="G1041" s="699">
        <v>301.33699999999999</v>
      </c>
      <c r="H1041" s="699">
        <v>382.09800000000001</v>
      </c>
      <c r="I1041" s="699">
        <v>395.83199999999999</v>
      </c>
      <c r="J1041" s="699">
        <v>471.69400000000002</v>
      </c>
      <c r="K1041" s="698">
        <v>1550.9609999999998</v>
      </c>
      <c r="L1041" s="699">
        <v>366.25400000000002</v>
      </c>
      <c r="M1041" s="699">
        <v>433.76600000000002</v>
      </c>
      <c r="N1041" s="699">
        <v>484.67500000000001</v>
      </c>
      <c r="O1041" s="699">
        <v>582.72699999999998</v>
      </c>
      <c r="P1041" s="698">
        <v>1867.422</v>
      </c>
      <c r="Q1041" s="699">
        <v>422.44499999999999</v>
      </c>
      <c r="R1041" s="699">
        <v>506.94200000000001</v>
      </c>
      <c r="S1041" s="699">
        <v>532.41099999999994</v>
      </c>
      <c r="T1041" s="699">
        <v>647.20800000000008</v>
      </c>
      <c r="U1041" s="698">
        <v>2109.0059999999999</v>
      </c>
      <c r="V1041" s="699">
        <v>455.45600000000002</v>
      </c>
      <c r="W1041" s="699">
        <v>543.38099999999997</v>
      </c>
      <c r="X1041" s="699">
        <v>549.32799999999997</v>
      </c>
      <c r="Y1041" s="699">
        <v>590.14700000000016</v>
      </c>
      <c r="Z1041" s="698">
        <v>2138.3119999999999</v>
      </c>
      <c r="AA1041" s="699">
        <v>562.08000000000004</v>
      </c>
      <c r="AB1041" s="699">
        <v>619.13900000000001</v>
      </c>
      <c r="AC1041" s="699">
        <v>592.47299999999996</v>
      </c>
      <c r="AD1041" s="699">
        <v>669.68900000000008</v>
      </c>
      <c r="AE1041" s="698">
        <v>2443.3809999999999</v>
      </c>
      <c r="AF1041" s="699">
        <v>557.40599999999995</v>
      </c>
      <c r="AG1041" s="699">
        <v>642.65099999999995</v>
      </c>
      <c r="AH1041" s="700">
        <v>638.50599999999997</v>
      </c>
      <c r="AI1041" s="699">
        <v>671.82299999999987</v>
      </c>
      <c r="AJ1041" s="698">
        <v>2510.386</v>
      </c>
      <c r="AK1041" s="699">
        <v>598.83400000000006</v>
      </c>
      <c r="AL1041" s="699">
        <v>706.51400000000001</v>
      </c>
      <c r="AM1041" s="700">
        <v>676.72199999999998</v>
      </c>
      <c r="AN1041" s="699">
        <v>664.97600000000011</v>
      </c>
      <c r="AO1041" s="698">
        <v>2647.0459999999998</v>
      </c>
      <c r="AP1041" s="699">
        <v>482.89499999999998</v>
      </c>
      <c r="AQ1041" s="699">
        <v>709.68799999999999</v>
      </c>
      <c r="AR1041" s="700">
        <v>844.79399999999998</v>
      </c>
      <c r="AS1041" s="699">
        <v>812.62200000000018</v>
      </c>
      <c r="AT1041" s="698">
        <v>2849.9990000000003</v>
      </c>
      <c r="AU1041" s="699">
        <v>860.79200000000003</v>
      </c>
      <c r="AV1041" s="699">
        <v>988.85900000000004</v>
      </c>
      <c r="AW1041" s="700">
        <v>1006.428</v>
      </c>
      <c r="AX1041" s="699">
        <v>901.54099999999994</v>
      </c>
      <c r="AY1041" s="698">
        <v>3757.6200000000003</v>
      </c>
      <c r="AZ1041" s="699">
        <v>957.29200000000003</v>
      </c>
      <c r="BA1041" s="699">
        <v>991.62</v>
      </c>
      <c r="BB1041" s="700">
        <v>869.06600000000003</v>
      </c>
      <c r="BC1041" s="699">
        <v>772.4989999999998</v>
      </c>
      <c r="BD1041" s="698">
        <v>3590.4769999999999</v>
      </c>
      <c r="BE1041" s="699">
        <v>739.16200000000003</v>
      </c>
      <c r="BF1041" s="699">
        <v>800.47900000000004</v>
      </c>
      <c r="BG1041" s="700">
        <v>751.22500000000002</v>
      </c>
      <c r="BH1041" s="699">
        <v>738.26000000000022</v>
      </c>
      <c r="BI1041" s="701">
        <v>3029.1260000000002</v>
      </c>
      <c r="BJ1041" s="699"/>
      <c r="BK1041" s="699"/>
      <c r="BL1041" s="699"/>
      <c r="BM1041" s="699"/>
      <c r="BN1041" s="698"/>
      <c r="BO1041" s="699"/>
      <c r="BP1041" s="699"/>
      <c r="BQ1041" s="699"/>
      <c r="BR1041" s="699"/>
      <c r="BS1041" s="698"/>
      <c r="BT1041" s="698"/>
      <c r="BU1041" s="698"/>
      <c r="BV1041" s="698"/>
      <c r="BW1041" s="197"/>
    </row>
    <row r="1042" spans="1:75" s="621" customFormat="1" ht="14.25" hidden="1" outlineLevel="1" x14ac:dyDescent="0.45">
      <c r="A1042" s="243"/>
      <c r="B1042" s="243"/>
      <c r="C1042" s="688"/>
      <c r="D1042" s="688"/>
      <c r="E1042" s="688"/>
      <c r="F1042" s="688"/>
      <c r="G1042" s="689"/>
      <c r="H1042" s="689"/>
      <c r="I1042" s="689"/>
      <c r="J1042" s="689"/>
      <c r="K1042" s="688"/>
      <c r="L1042" s="689"/>
      <c r="M1042" s="689"/>
      <c r="N1042" s="689"/>
      <c r="O1042" s="689"/>
      <c r="P1042" s="688"/>
      <c r="Q1042" s="689"/>
      <c r="R1042" s="689"/>
      <c r="S1042" s="689"/>
      <c r="T1042" s="689"/>
      <c r="U1042" s="688"/>
      <c r="V1042" s="689"/>
      <c r="W1042" s="689"/>
      <c r="X1042" s="689"/>
      <c r="Y1042" s="689"/>
      <c r="Z1042" s="688"/>
      <c r="AA1042" s="689"/>
      <c r="AB1042" s="689"/>
      <c r="AC1042" s="689"/>
      <c r="AD1042" s="689"/>
      <c r="AE1042" s="688"/>
      <c r="AF1042" s="689"/>
      <c r="AG1042" s="689"/>
      <c r="AH1042" s="689"/>
      <c r="AI1042" s="689"/>
      <c r="AJ1042" s="688"/>
      <c r="AK1042" s="689"/>
      <c r="AL1042" s="689"/>
      <c r="AM1042" s="689"/>
      <c r="AN1042" s="689"/>
      <c r="AO1042" s="688"/>
      <c r="AP1042" s="689"/>
      <c r="AQ1042" s="689"/>
      <c r="AR1042" s="689"/>
      <c r="AS1042" s="689"/>
      <c r="AT1042" s="688"/>
      <c r="AU1042" s="689"/>
      <c r="AV1042" s="689"/>
      <c r="AW1042" s="689"/>
      <c r="AX1042" s="689"/>
      <c r="AY1042" s="688"/>
      <c r="AZ1042" s="689"/>
      <c r="BA1042" s="689"/>
      <c r="BB1042" s="689"/>
      <c r="BC1042" s="689"/>
      <c r="BD1042" s="688"/>
      <c r="BE1042" s="689"/>
      <c r="BF1042" s="689"/>
      <c r="BG1042" s="689"/>
      <c r="BH1042" s="689"/>
      <c r="BI1042" s="691"/>
      <c r="BJ1042" s="689"/>
      <c r="BK1042" s="689"/>
      <c r="BL1042" s="689"/>
      <c r="BM1042" s="689"/>
      <c r="BN1042" s="688"/>
      <c r="BO1042" s="689"/>
      <c r="BP1042" s="689"/>
      <c r="BQ1042" s="689"/>
      <c r="BR1042" s="689"/>
      <c r="BS1042" s="688"/>
      <c r="BT1042" s="688"/>
      <c r="BU1042" s="688"/>
      <c r="BV1042" s="688"/>
      <c r="BW1042" s="197"/>
    </row>
    <row r="1043" spans="1:75" s="621" customFormat="1" ht="14.25" hidden="1" outlineLevel="1" x14ac:dyDescent="0.45">
      <c r="A1043" s="243" t="s">
        <v>1076</v>
      </c>
      <c r="B1043" s="243"/>
      <c r="C1043" s="688"/>
      <c r="D1043" s="688"/>
      <c r="E1043" s="688">
        <v>601.73500000000001</v>
      </c>
      <c r="F1043" s="688">
        <v>756.59699999999998</v>
      </c>
      <c r="G1043" s="689">
        <v>199.46</v>
      </c>
      <c r="H1043" s="689">
        <v>242.87200000000001</v>
      </c>
      <c r="I1043" s="689">
        <v>255.03200000000001</v>
      </c>
      <c r="J1043" s="689">
        <v>296.71699999999998</v>
      </c>
      <c r="K1043" s="688">
        <v>994.08100000000002</v>
      </c>
      <c r="L1043" s="689">
        <v>241.905</v>
      </c>
      <c r="M1043" s="689">
        <v>265.85700000000003</v>
      </c>
      <c r="N1043" s="689">
        <v>304.30200000000002</v>
      </c>
      <c r="O1043" s="689">
        <v>364.584</v>
      </c>
      <c r="P1043" s="688">
        <v>1176.6480000000001</v>
      </c>
      <c r="Q1043" s="689">
        <v>279.02699999999999</v>
      </c>
      <c r="R1043" s="689">
        <v>312.67899999999997</v>
      </c>
      <c r="S1043" s="689">
        <v>341.661</v>
      </c>
      <c r="T1043" s="689">
        <v>422.94700000000012</v>
      </c>
      <c r="U1043" s="688">
        <v>1356.3140000000001</v>
      </c>
      <c r="V1043" s="689">
        <v>327.98099999999999</v>
      </c>
      <c r="W1043" s="689">
        <v>363.54199999999997</v>
      </c>
      <c r="X1043" s="689">
        <v>373.50900000000001</v>
      </c>
      <c r="Y1043" s="689">
        <v>390.05200000000013</v>
      </c>
      <c r="Z1043" s="688">
        <v>1455.0840000000001</v>
      </c>
      <c r="AA1043" s="689">
        <v>391.82400000000001</v>
      </c>
      <c r="AB1043" s="689">
        <v>409.51299999999998</v>
      </c>
      <c r="AC1043" s="689">
        <v>378.14800000000002</v>
      </c>
      <c r="AD1043" s="689">
        <v>411.62199999999984</v>
      </c>
      <c r="AE1043" s="688">
        <v>1591.107</v>
      </c>
      <c r="AF1043" s="689">
        <v>348.07299999999998</v>
      </c>
      <c r="AG1043" s="689">
        <v>372.45400000000001</v>
      </c>
      <c r="AH1043" s="689">
        <v>386.53699999999998</v>
      </c>
      <c r="AI1043" s="689">
        <v>413.01199999999994</v>
      </c>
      <c r="AJ1043" s="688">
        <v>1520.076</v>
      </c>
      <c r="AK1043" s="689">
        <v>365.60700000000003</v>
      </c>
      <c r="AL1043" s="689">
        <v>411.55599999999998</v>
      </c>
      <c r="AM1043" s="689">
        <v>393.36</v>
      </c>
      <c r="AN1043" s="689">
        <v>381.90299999999979</v>
      </c>
      <c r="AO1043" s="688">
        <v>1552.4259999999999</v>
      </c>
      <c r="AP1043" s="689">
        <v>283.24099999999999</v>
      </c>
      <c r="AQ1043" s="689">
        <v>376.863</v>
      </c>
      <c r="AR1043" s="689">
        <v>435.68299999999999</v>
      </c>
      <c r="AS1043" s="689">
        <v>427.30799999999999</v>
      </c>
      <c r="AT1043" s="688">
        <v>1523.095</v>
      </c>
      <c r="AU1043" s="689">
        <v>453.815</v>
      </c>
      <c r="AV1043" s="689">
        <v>501.18299999999999</v>
      </c>
      <c r="AW1043" s="689">
        <v>501.17399999999998</v>
      </c>
      <c r="AX1043" s="689">
        <v>447.23700000000008</v>
      </c>
      <c r="AY1043" s="688">
        <v>1903.4090000000001</v>
      </c>
      <c r="AZ1043" s="689">
        <v>458.709</v>
      </c>
      <c r="BA1043" s="689">
        <v>468.40199999999999</v>
      </c>
      <c r="BB1043" s="689">
        <v>448.28800000000001</v>
      </c>
      <c r="BC1043" s="689">
        <v>403.09300000000007</v>
      </c>
      <c r="BD1043" s="688">
        <v>1778.492</v>
      </c>
      <c r="BE1043" s="689">
        <v>391.61700000000002</v>
      </c>
      <c r="BF1043" s="689">
        <v>420.40600000000001</v>
      </c>
      <c r="BG1043" s="689">
        <v>410.77499999999998</v>
      </c>
      <c r="BH1043" s="689">
        <v>417.30899999999997</v>
      </c>
      <c r="BI1043" s="691">
        <v>1640.107</v>
      </c>
      <c r="BJ1043" s="689"/>
      <c r="BK1043" s="689"/>
      <c r="BL1043" s="689"/>
      <c r="BM1043" s="689"/>
      <c r="BN1043" s="688"/>
      <c r="BO1043" s="689"/>
      <c r="BP1043" s="689"/>
      <c r="BQ1043" s="689"/>
      <c r="BR1043" s="689"/>
      <c r="BS1043" s="688"/>
      <c r="BT1043" s="688"/>
      <c r="BU1043" s="688"/>
      <c r="BV1043" s="688"/>
      <c r="BW1043" s="197"/>
    </row>
    <row r="1044" spans="1:75" s="697" customFormat="1" hidden="1" outlineLevel="1" x14ac:dyDescent="0.5">
      <c r="A1044" s="354" t="s">
        <v>1077</v>
      </c>
      <c r="B1044" s="251"/>
      <c r="C1044" s="692"/>
      <c r="D1044" s="692"/>
      <c r="E1044" s="692"/>
      <c r="F1044" s="692"/>
      <c r="G1044" s="693"/>
      <c r="H1044" s="693"/>
      <c r="I1044" s="693"/>
      <c r="J1044" s="693"/>
      <c r="K1044" s="692"/>
      <c r="L1044" s="693"/>
      <c r="M1044" s="693"/>
      <c r="N1044" s="693"/>
      <c r="O1044" s="693"/>
      <c r="P1044" s="692"/>
      <c r="Q1044" s="693"/>
      <c r="R1044" s="693"/>
      <c r="S1044" s="693"/>
      <c r="T1044" s="693"/>
      <c r="U1044" s="692"/>
      <c r="V1044" s="693"/>
      <c r="W1044" s="693"/>
      <c r="X1044" s="693"/>
      <c r="Y1044" s="694">
        <v>2.1850000000000001</v>
      </c>
      <c r="Z1044" s="695">
        <v>2.1850000000000001</v>
      </c>
      <c r="AA1044" s="693"/>
      <c r="AB1044" s="693"/>
      <c r="AC1044" s="693"/>
      <c r="AD1044" s="693"/>
      <c r="AE1044" s="692"/>
      <c r="AF1044" s="693"/>
      <c r="AG1044" s="693"/>
      <c r="AH1044" s="693"/>
      <c r="AI1044" s="694">
        <v>3.8069999999999999</v>
      </c>
      <c r="AJ1044" s="695">
        <v>3.8069999999999999</v>
      </c>
      <c r="AK1044" s="694">
        <v>2.9929999999999999</v>
      </c>
      <c r="AL1044" s="694">
        <v>1.9159999999999999</v>
      </c>
      <c r="AM1044" s="693"/>
      <c r="AN1044" s="693"/>
      <c r="AO1044" s="695">
        <v>4.9089999999999998</v>
      </c>
      <c r="AP1044" s="694">
        <v>2.35</v>
      </c>
      <c r="AQ1044" s="693"/>
      <c r="AR1044" s="693"/>
      <c r="AS1044" s="693"/>
      <c r="AT1044" s="695">
        <v>2.35</v>
      </c>
      <c r="AU1044" s="693"/>
      <c r="AV1044" s="693"/>
      <c r="AW1044" s="693"/>
      <c r="AX1044" s="693"/>
      <c r="AY1044" s="692"/>
      <c r="AZ1044" s="693"/>
      <c r="BA1044" s="693"/>
      <c r="BB1044" s="694">
        <v>10.926</v>
      </c>
      <c r="BC1044" s="693"/>
      <c r="BD1044" s="695">
        <v>10.926</v>
      </c>
      <c r="BE1044" s="693"/>
      <c r="BF1044" s="693"/>
      <c r="BG1044" s="693"/>
      <c r="BH1044" s="693"/>
      <c r="BI1044" s="696"/>
      <c r="BJ1044" s="693"/>
      <c r="BK1044" s="693"/>
      <c r="BL1044" s="693"/>
      <c r="BM1044" s="693"/>
      <c r="BN1044" s="692"/>
      <c r="BO1044" s="693"/>
      <c r="BP1044" s="693"/>
      <c r="BQ1044" s="693"/>
      <c r="BR1044" s="693"/>
      <c r="BS1044" s="692"/>
      <c r="BT1044" s="692"/>
      <c r="BU1044" s="692"/>
      <c r="BV1044" s="692"/>
      <c r="BW1044" s="122"/>
    </row>
    <row r="1045" spans="1:75" s="697" customFormat="1" hidden="1" outlineLevel="1" x14ac:dyDescent="0.5">
      <c r="A1045" s="354" t="s">
        <v>1078</v>
      </c>
      <c r="B1045" s="251"/>
      <c r="C1045" s="692"/>
      <c r="D1045" s="692"/>
      <c r="E1045" s="692"/>
      <c r="F1045" s="692"/>
      <c r="G1045" s="693"/>
      <c r="H1045" s="693"/>
      <c r="I1045" s="693"/>
      <c r="J1045" s="693"/>
      <c r="K1045" s="692"/>
      <c r="L1045" s="693"/>
      <c r="M1045" s="693"/>
      <c r="N1045" s="693"/>
      <c r="O1045" s="693"/>
      <c r="P1045" s="692"/>
      <c r="Q1045" s="694">
        <v>1.379</v>
      </c>
      <c r="R1045" s="694">
        <v>4.8440000000000003</v>
      </c>
      <c r="S1045" s="694">
        <v>4.8010000000000002</v>
      </c>
      <c r="T1045" s="694">
        <v>6.19</v>
      </c>
      <c r="U1045" s="695">
        <v>17.213999999999999</v>
      </c>
      <c r="V1045" s="694">
        <v>7.7290000000000001</v>
      </c>
      <c r="W1045" s="693"/>
      <c r="X1045" s="693"/>
      <c r="Y1045" s="693"/>
      <c r="Z1045" s="695">
        <v>7.7290000000000001</v>
      </c>
      <c r="AA1045" s="693"/>
      <c r="AB1045" s="693"/>
      <c r="AC1045" s="693"/>
      <c r="AD1045" s="693"/>
      <c r="AE1045" s="692"/>
      <c r="AF1045" s="693"/>
      <c r="AG1045" s="693"/>
      <c r="AH1045" s="693"/>
      <c r="AI1045" s="693"/>
      <c r="AJ1045" s="692"/>
      <c r="AK1045" s="693"/>
      <c r="AL1045" s="693"/>
      <c r="AM1045" s="693"/>
      <c r="AN1045" s="693"/>
      <c r="AO1045" s="692"/>
      <c r="AP1045" s="693"/>
      <c r="AQ1045" s="693"/>
      <c r="AR1045" s="693"/>
      <c r="AS1045" s="693"/>
      <c r="AT1045" s="692"/>
      <c r="AU1045" s="693"/>
      <c r="AV1045" s="693"/>
      <c r="AW1045" s="693"/>
      <c r="AX1045" s="693"/>
      <c r="AY1045" s="692"/>
      <c r="AZ1045" s="693"/>
      <c r="BA1045" s="693"/>
      <c r="BB1045" s="693"/>
      <c r="BC1045" s="693"/>
      <c r="BD1045" s="692"/>
      <c r="BE1045" s="693"/>
      <c r="BF1045" s="693"/>
      <c r="BG1045" s="693"/>
      <c r="BH1045" s="693"/>
      <c r="BI1045" s="696"/>
      <c r="BJ1045" s="693"/>
      <c r="BK1045" s="693"/>
      <c r="BL1045" s="693"/>
      <c r="BM1045" s="693"/>
      <c r="BN1045" s="692"/>
      <c r="BO1045" s="693"/>
      <c r="BP1045" s="693"/>
      <c r="BQ1045" s="693"/>
      <c r="BR1045" s="693"/>
      <c r="BS1045" s="692"/>
      <c r="BT1045" s="692"/>
      <c r="BU1045" s="692"/>
      <c r="BV1045" s="692"/>
      <c r="BW1045" s="122"/>
    </row>
    <row r="1046" spans="1:75" s="697" customFormat="1" hidden="1" outlineLevel="1" x14ac:dyDescent="0.5">
      <c r="A1046" s="354" t="s">
        <v>1074</v>
      </c>
      <c r="B1046" s="251"/>
      <c r="C1046" s="692"/>
      <c r="D1046" s="692"/>
      <c r="E1046" s="692"/>
      <c r="F1046" s="692"/>
      <c r="G1046" s="693"/>
      <c r="H1046" s="693"/>
      <c r="I1046" s="693"/>
      <c r="J1046" s="693"/>
      <c r="K1046" s="692"/>
      <c r="L1046" s="693"/>
      <c r="M1046" s="693"/>
      <c r="N1046" s="693"/>
      <c r="O1046" s="693"/>
      <c r="P1046" s="692"/>
      <c r="Q1046" s="693"/>
      <c r="R1046" s="693"/>
      <c r="S1046" s="693"/>
      <c r="T1046" s="693"/>
      <c r="U1046" s="692"/>
      <c r="V1046" s="693"/>
      <c r="W1046" s="693"/>
      <c r="X1046" s="693"/>
      <c r="Y1046" s="694">
        <v>0.53500000000000003</v>
      </c>
      <c r="Z1046" s="695">
        <v>0.53500000000000003</v>
      </c>
      <c r="AA1046" s="693"/>
      <c r="AB1046" s="694">
        <v>0.76300000000000001</v>
      </c>
      <c r="AC1046" s="694">
        <v>3.552</v>
      </c>
      <c r="AD1046" s="693"/>
      <c r="AE1046" s="695">
        <v>4.3150000000000004</v>
      </c>
      <c r="AF1046" s="694">
        <v>-0.254</v>
      </c>
      <c r="AG1046" s="694">
        <v>-3.262</v>
      </c>
      <c r="AH1046" s="694">
        <v>1.738</v>
      </c>
      <c r="AI1046" s="694">
        <v>-2.3610000000000002</v>
      </c>
      <c r="AJ1046" s="695">
        <v>-4.1390000000000002</v>
      </c>
      <c r="AK1046" s="694">
        <v>-2.0609999999999999</v>
      </c>
      <c r="AL1046" s="694">
        <v>-0.32</v>
      </c>
      <c r="AM1046" s="694">
        <v>-0.99099999999999999</v>
      </c>
      <c r="AN1046" s="693"/>
      <c r="AO1046" s="695">
        <v>-3.3719999999999999</v>
      </c>
      <c r="AP1046" s="693"/>
      <c r="AQ1046" s="694">
        <v>4.3739999999999997</v>
      </c>
      <c r="AR1046" s="693"/>
      <c r="AS1046" s="694">
        <v>0.18</v>
      </c>
      <c r="AT1046" s="695">
        <v>4.5540000000000003</v>
      </c>
      <c r="AU1046" s="693"/>
      <c r="AV1046" s="693"/>
      <c r="AW1046" s="693"/>
      <c r="AX1046" s="693"/>
      <c r="AY1046" s="692"/>
      <c r="AZ1046" s="693"/>
      <c r="BA1046" s="693"/>
      <c r="BB1046" s="693"/>
      <c r="BC1046" s="693"/>
      <c r="BD1046" s="692"/>
      <c r="BE1046" s="693"/>
      <c r="BF1046" s="693"/>
      <c r="BG1046" s="693"/>
      <c r="BH1046" s="693"/>
      <c r="BI1046" s="696"/>
      <c r="BJ1046" s="693"/>
      <c r="BK1046" s="693"/>
      <c r="BL1046" s="693"/>
      <c r="BM1046" s="693"/>
      <c r="BN1046" s="692"/>
      <c r="BO1046" s="693"/>
      <c r="BP1046" s="693"/>
      <c r="BQ1046" s="693"/>
      <c r="BR1046" s="693"/>
      <c r="BS1046" s="692"/>
      <c r="BT1046" s="692"/>
      <c r="BU1046" s="692"/>
      <c r="BV1046" s="692"/>
      <c r="BW1046" s="122"/>
    </row>
    <row r="1047" spans="1:75" s="697" customFormat="1" hidden="1" outlineLevel="1" x14ac:dyDescent="0.5">
      <c r="A1047" s="354" t="s">
        <v>1079</v>
      </c>
      <c r="B1047" s="251"/>
      <c r="C1047" s="692"/>
      <c r="D1047" s="692"/>
      <c r="E1047" s="692"/>
      <c r="F1047" s="692"/>
      <c r="G1047" s="693"/>
      <c r="H1047" s="693"/>
      <c r="I1047" s="693"/>
      <c r="J1047" s="693"/>
      <c r="K1047" s="692"/>
      <c r="L1047" s="693"/>
      <c r="M1047" s="693"/>
      <c r="N1047" s="693"/>
      <c r="O1047" s="693"/>
      <c r="P1047" s="692"/>
      <c r="Q1047" s="693"/>
      <c r="R1047" s="693"/>
      <c r="S1047" s="693"/>
      <c r="T1047" s="693"/>
      <c r="U1047" s="692"/>
      <c r="V1047" s="693"/>
      <c r="W1047" s="693"/>
      <c r="X1047" s="693"/>
      <c r="Y1047" s="693"/>
      <c r="Z1047" s="692"/>
      <c r="AA1047" s="693"/>
      <c r="AB1047" s="693"/>
      <c r="AC1047" s="694">
        <v>0.497</v>
      </c>
      <c r="AD1047" s="694">
        <v>1.24</v>
      </c>
      <c r="AE1047" s="695">
        <v>1.7370000000000001</v>
      </c>
      <c r="AF1047" s="693"/>
      <c r="AG1047" s="693"/>
      <c r="AH1047" s="694">
        <v>1.478</v>
      </c>
      <c r="AI1047" s="693"/>
      <c r="AJ1047" s="695">
        <v>1.478</v>
      </c>
      <c r="AK1047" s="693"/>
      <c r="AL1047" s="693"/>
      <c r="AM1047" s="693"/>
      <c r="AN1047" s="693"/>
      <c r="AO1047" s="692"/>
      <c r="AP1047" s="693"/>
      <c r="AQ1047" s="693"/>
      <c r="AR1047" s="693"/>
      <c r="AS1047" s="693"/>
      <c r="AT1047" s="692"/>
      <c r="AU1047" s="693"/>
      <c r="AV1047" s="693"/>
      <c r="AW1047" s="693"/>
      <c r="AX1047" s="693"/>
      <c r="AY1047" s="692"/>
      <c r="AZ1047" s="693"/>
      <c r="BA1047" s="693"/>
      <c r="BB1047" s="693"/>
      <c r="BC1047" s="693"/>
      <c r="BD1047" s="692"/>
      <c r="BE1047" s="693"/>
      <c r="BF1047" s="693"/>
      <c r="BG1047" s="693"/>
      <c r="BH1047" s="693"/>
      <c r="BI1047" s="696"/>
      <c r="BJ1047" s="693"/>
      <c r="BK1047" s="693"/>
      <c r="BL1047" s="693"/>
      <c r="BM1047" s="693"/>
      <c r="BN1047" s="692"/>
      <c r="BO1047" s="693"/>
      <c r="BP1047" s="693"/>
      <c r="BQ1047" s="693"/>
      <c r="BR1047" s="693"/>
      <c r="BS1047" s="692"/>
      <c r="BT1047" s="692"/>
      <c r="BU1047" s="692"/>
      <c r="BV1047" s="692"/>
      <c r="BW1047" s="122"/>
    </row>
    <row r="1048" spans="1:75" s="697" customFormat="1" hidden="1" outlineLevel="1" x14ac:dyDescent="0.5">
      <c r="A1048" s="354" t="s">
        <v>1080</v>
      </c>
      <c r="B1048" s="251"/>
      <c r="C1048" s="692"/>
      <c r="D1048" s="692"/>
      <c r="E1048" s="692"/>
      <c r="F1048" s="695">
        <v>3.25</v>
      </c>
      <c r="G1048" s="693"/>
      <c r="H1048" s="693"/>
      <c r="I1048" s="693"/>
      <c r="J1048" s="693"/>
      <c r="K1048" s="692"/>
      <c r="L1048" s="693"/>
      <c r="M1048" s="693"/>
      <c r="N1048" s="693"/>
      <c r="O1048" s="693"/>
      <c r="P1048" s="692"/>
      <c r="Q1048" s="693"/>
      <c r="R1048" s="693"/>
      <c r="S1048" s="693"/>
      <c r="T1048" s="693"/>
      <c r="U1048" s="692"/>
      <c r="V1048" s="693"/>
      <c r="W1048" s="693"/>
      <c r="X1048" s="693"/>
      <c r="Y1048" s="693"/>
      <c r="Z1048" s="692"/>
      <c r="AA1048" s="693"/>
      <c r="AB1048" s="693"/>
      <c r="AC1048" s="693"/>
      <c r="AD1048" s="694">
        <v>-2.202</v>
      </c>
      <c r="AE1048" s="695">
        <v>-2.202</v>
      </c>
      <c r="AF1048" s="693"/>
      <c r="AG1048" s="693"/>
      <c r="AH1048" s="693"/>
      <c r="AI1048" s="693"/>
      <c r="AJ1048" s="692"/>
      <c r="AK1048" s="693"/>
      <c r="AL1048" s="693"/>
      <c r="AM1048" s="693"/>
      <c r="AN1048" s="693"/>
      <c r="AO1048" s="692"/>
      <c r="AP1048" s="693"/>
      <c r="AQ1048" s="693"/>
      <c r="AR1048" s="693"/>
      <c r="AS1048" s="693"/>
      <c r="AT1048" s="692"/>
      <c r="AU1048" s="693"/>
      <c r="AV1048" s="693"/>
      <c r="AW1048" s="693"/>
      <c r="AX1048" s="693"/>
      <c r="AY1048" s="692"/>
      <c r="AZ1048" s="693"/>
      <c r="BA1048" s="693"/>
      <c r="BB1048" s="693"/>
      <c r="BC1048" s="693"/>
      <c r="BD1048" s="692"/>
      <c r="BE1048" s="693"/>
      <c r="BF1048" s="693"/>
      <c r="BG1048" s="693"/>
      <c r="BH1048" s="693"/>
      <c r="BI1048" s="696"/>
      <c r="BJ1048" s="693"/>
      <c r="BK1048" s="693"/>
      <c r="BL1048" s="693"/>
      <c r="BM1048" s="693"/>
      <c r="BN1048" s="692"/>
      <c r="BO1048" s="693"/>
      <c r="BP1048" s="693"/>
      <c r="BQ1048" s="693"/>
      <c r="BR1048" s="693"/>
      <c r="BS1048" s="692"/>
      <c r="BT1048" s="692"/>
      <c r="BU1048" s="692"/>
      <c r="BV1048" s="692"/>
      <c r="BW1048" s="122"/>
    </row>
    <row r="1049" spans="1:75" s="697" customFormat="1" hidden="1" outlineLevel="1" x14ac:dyDescent="0.5">
      <c r="A1049" s="354" t="s">
        <v>1081</v>
      </c>
      <c r="B1049" s="251"/>
      <c r="C1049" s="692"/>
      <c r="D1049" s="692"/>
      <c r="E1049" s="692"/>
      <c r="F1049" s="692"/>
      <c r="G1049" s="693"/>
      <c r="H1049" s="693"/>
      <c r="I1049" s="693"/>
      <c r="J1049" s="693"/>
      <c r="K1049" s="692"/>
      <c r="L1049" s="693"/>
      <c r="M1049" s="693"/>
      <c r="N1049" s="693"/>
      <c r="O1049" s="693"/>
      <c r="P1049" s="692"/>
      <c r="Q1049" s="693"/>
      <c r="R1049" s="693"/>
      <c r="S1049" s="693"/>
      <c r="T1049" s="693"/>
      <c r="U1049" s="692"/>
      <c r="V1049" s="693"/>
      <c r="W1049" s="694">
        <v>3.4009999999999998</v>
      </c>
      <c r="X1049" s="694">
        <v>1.786</v>
      </c>
      <c r="Y1049" s="694">
        <v>1.6479999999999999</v>
      </c>
      <c r="Z1049" s="695">
        <v>6.835</v>
      </c>
      <c r="AA1049" s="694">
        <v>1.38</v>
      </c>
      <c r="AB1049" s="694">
        <v>0.48</v>
      </c>
      <c r="AC1049" s="694">
        <v>0.248</v>
      </c>
      <c r="AD1049" s="694">
        <v>0.41899999999999998</v>
      </c>
      <c r="AE1049" s="695">
        <v>2.5270000000000001</v>
      </c>
      <c r="AF1049" s="694">
        <v>0.19</v>
      </c>
      <c r="AG1049" s="694">
        <v>0.19</v>
      </c>
      <c r="AH1049" s="693"/>
      <c r="AI1049" s="693"/>
      <c r="AJ1049" s="695">
        <v>0.38</v>
      </c>
      <c r="AK1049" s="693"/>
      <c r="AL1049" s="693"/>
      <c r="AM1049" s="693"/>
      <c r="AN1049" s="693"/>
      <c r="AO1049" s="692"/>
      <c r="AP1049" s="693"/>
      <c r="AQ1049" s="693"/>
      <c r="AR1049" s="693"/>
      <c r="AS1049" s="693"/>
      <c r="AT1049" s="692"/>
      <c r="AU1049" s="693"/>
      <c r="AV1049" s="693"/>
      <c r="AW1049" s="693"/>
      <c r="AX1049" s="693"/>
      <c r="AY1049" s="692"/>
      <c r="AZ1049" s="693"/>
      <c r="BA1049" s="693"/>
      <c r="BB1049" s="693"/>
      <c r="BC1049" s="693"/>
      <c r="BD1049" s="692"/>
      <c r="BE1049" s="693"/>
      <c r="BF1049" s="693"/>
      <c r="BG1049" s="693"/>
      <c r="BH1049" s="693"/>
      <c r="BI1049" s="696"/>
      <c r="BJ1049" s="693"/>
      <c r="BK1049" s="693"/>
      <c r="BL1049" s="693"/>
      <c r="BM1049" s="693"/>
      <c r="BN1049" s="692"/>
      <c r="BO1049" s="693"/>
      <c r="BP1049" s="693"/>
      <c r="BQ1049" s="693"/>
      <c r="BR1049" s="693"/>
      <c r="BS1049" s="692"/>
      <c r="BT1049" s="692"/>
      <c r="BU1049" s="692"/>
      <c r="BV1049" s="692"/>
      <c r="BW1049" s="122"/>
    </row>
    <row r="1050" spans="1:75" s="621" customFormat="1" ht="14.25" hidden="1" outlineLevel="1" x14ac:dyDescent="0.45">
      <c r="A1050" s="277" t="s">
        <v>1082</v>
      </c>
      <c r="B1050" s="277"/>
      <c r="C1050" s="698"/>
      <c r="D1050" s="698"/>
      <c r="E1050" s="698">
        <v>601.73500000000001</v>
      </c>
      <c r="F1050" s="698">
        <v>753.34699999999998</v>
      </c>
      <c r="G1050" s="699">
        <v>199.46</v>
      </c>
      <c r="H1050" s="699">
        <v>242.87200000000001</v>
      </c>
      <c r="I1050" s="699">
        <v>255.03200000000001</v>
      </c>
      <c r="J1050" s="699">
        <v>296.71699999999998</v>
      </c>
      <c r="K1050" s="698">
        <v>994.08100000000002</v>
      </c>
      <c r="L1050" s="699">
        <v>241.905</v>
      </c>
      <c r="M1050" s="699">
        <v>265.85700000000003</v>
      </c>
      <c r="N1050" s="699">
        <v>304.30200000000002</v>
      </c>
      <c r="O1050" s="699">
        <v>364.584</v>
      </c>
      <c r="P1050" s="698">
        <v>1176.6480000000001</v>
      </c>
      <c r="Q1050" s="699">
        <v>277.64799999999997</v>
      </c>
      <c r="R1050" s="699">
        <v>307.83499999999998</v>
      </c>
      <c r="S1050" s="699">
        <v>336.86</v>
      </c>
      <c r="T1050" s="699">
        <v>416.75700000000012</v>
      </c>
      <c r="U1050" s="698">
        <v>1339.1000000000001</v>
      </c>
      <c r="V1050" s="699">
        <v>320.25200000000001</v>
      </c>
      <c r="W1050" s="699">
        <v>360.14099999999996</v>
      </c>
      <c r="X1050" s="699">
        <v>371.72300000000001</v>
      </c>
      <c r="Y1050" s="699">
        <v>385.68400000000014</v>
      </c>
      <c r="Z1050" s="698">
        <v>1437.8</v>
      </c>
      <c r="AA1050" s="699">
        <v>390.44400000000002</v>
      </c>
      <c r="AB1050" s="699">
        <v>408.27</v>
      </c>
      <c r="AC1050" s="699">
        <v>373.851</v>
      </c>
      <c r="AD1050" s="699">
        <v>412.16499999999985</v>
      </c>
      <c r="AE1050" s="698">
        <v>1584.73</v>
      </c>
      <c r="AF1050" s="699">
        <v>348.137</v>
      </c>
      <c r="AG1050" s="699">
        <v>375.52600000000001</v>
      </c>
      <c r="AH1050" s="699">
        <v>383.32099999999997</v>
      </c>
      <c r="AI1050" s="699">
        <v>411.56599999999992</v>
      </c>
      <c r="AJ1050" s="698">
        <v>1518.55</v>
      </c>
      <c r="AK1050" s="699">
        <v>364.67500000000001</v>
      </c>
      <c r="AL1050" s="699">
        <v>409.96</v>
      </c>
      <c r="AM1050" s="699">
        <v>394.351</v>
      </c>
      <c r="AN1050" s="699">
        <v>381.90299999999979</v>
      </c>
      <c r="AO1050" s="698">
        <v>1550.8889999999999</v>
      </c>
      <c r="AP1050" s="699">
        <v>280.89099999999996</v>
      </c>
      <c r="AQ1050" s="699">
        <v>372.48899999999998</v>
      </c>
      <c r="AR1050" s="699">
        <v>435.68299999999999</v>
      </c>
      <c r="AS1050" s="699">
        <v>427.12799999999999</v>
      </c>
      <c r="AT1050" s="698">
        <v>1516.191</v>
      </c>
      <c r="AU1050" s="699">
        <v>453.815</v>
      </c>
      <c r="AV1050" s="699">
        <v>501.18299999999999</v>
      </c>
      <c r="AW1050" s="699">
        <v>501.17399999999998</v>
      </c>
      <c r="AX1050" s="699">
        <v>447.23700000000008</v>
      </c>
      <c r="AY1050" s="698">
        <v>1903.4090000000001</v>
      </c>
      <c r="AZ1050" s="699">
        <v>458.709</v>
      </c>
      <c r="BA1050" s="699">
        <v>468.40199999999999</v>
      </c>
      <c r="BB1050" s="699">
        <v>437.36200000000002</v>
      </c>
      <c r="BC1050" s="699">
        <v>403.09300000000007</v>
      </c>
      <c r="BD1050" s="698">
        <v>1767.566</v>
      </c>
      <c r="BE1050" s="699">
        <v>391.61700000000002</v>
      </c>
      <c r="BF1050" s="699">
        <v>420.40600000000001</v>
      </c>
      <c r="BG1050" s="699">
        <v>410.77499999999998</v>
      </c>
      <c r="BH1050" s="699">
        <v>417.30899999999997</v>
      </c>
      <c r="BI1050" s="701">
        <v>1640.107</v>
      </c>
      <c r="BJ1050" s="699"/>
      <c r="BK1050" s="699"/>
      <c r="BL1050" s="699"/>
      <c r="BM1050" s="699"/>
      <c r="BN1050" s="698"/>
      <c r="BO1050" s="699"/>
      <c r="BP1050" s="699"/>
      <c r="BQ1050" s="699"/>
      <c r="BR1050" s="699"/>
      <c r="BS1050" s="698"/>
      <c r="BT1050" s="698"/>
      <c r="BU1050" s="698"/>
      <c r="BV1050" s="698"/>
      <c r="BW1050" s="197"/>
    </row>
    <row r="1051" spans="1:75" s="621" customFormat="1" ht="14.25" hidden="1" outlineLevel="1" x14ac:dyDescent="0.45">
      <c r="A1051" s="243"/>
      <c r="B1051" s="243"/>
      <c r="C1051" s="688"/>
      <c r="D1051" s="688"/>
      <c r="E1051" s="688"/>
      <c r="F1051" s="688"/>
      <c r="G1051" s="689"/>
      <c r="H1051" s="689"/>
      <c r="I1051" s="689"/>
      <c r="J1051" s="689"/>
      <c r="K1051" s="688"/>
      <c r="L1051" s="689"/>
      <c r="M1051" s="689"/>
      <c r="N1051" s="689"/>
      <c r="O1051" s="689"/>
      <c r="P1051" s="688"/>
      <c r="Q1051" s="689"/>
      <c r="R1051" s="689"/>
      <c r="S1051" s="689"/>
      <c r="T1051" s="689"/>
      <c r="U1051" s="688"/>
      <c r="V1051" s="689"/>
      <c r="W1051" s="689"/>
      <c r="X1051" s="689"/>
      <c r="Y1051" s="689"/>
      <c r="Z1051" s="688"/>
      <c r="AA1051" s="689"/>
      <c r="AB1051" s="689"/>
      <c r="AC1051" s="689"/>
      <c r="AD1051" s="689"/>
      <c r="AE1051" s="688"/>
      <c r="AF1051" s="689"/>
      <c r="AG1051" s="689"/>
      <c r="AH1051" s="689"/>
      <c r="AI1051" s="689"/>
      <c r="AJ1051" s="688"/>
      <c r="AK1051" s="689"/>
      <c r="AL1051" s="689"/>
      <c r="AM1051" s="689"/>
      <c r="AN1051" s="689"/>
      <c r="AO1051" s="688"/>
      <c r="AP1051" s="689"/>
      <c r="AQ1051" s="689"/>
      <c r="AR1051" s="689"/>
      <c r="AS1051" s="689"/>
      <c r="AT1051" s="688"/>
      <c r="AU1051" s="689"/>
      <c r="AV1051" s="689"/>
      <c r="AW1051" s="689"/>
      <c r="AX1051" s="689"/>
      <c r="AY1051" s="688"/>
      <c r="AZ1051" s="689"/>
      <c r="BA1051" s="689"/>
      <c r="BB1051" s="689"/>
      <c r="BC1051" s="689"/>
      <c r="BD1051" s="688"/>
      <c r="BE1051" s="689"/>
      <c r="BF1051" s="689"/>
      <c r="BG1051" s="689"/>
      <c r="BH1051" s="689"/>
      <c r="BI1051" s="691"/>
      <c r="BJ1051" s="689"/>
      <c r="BK1051" s="689"/>
      <c r="BL1051" s="689"/>
      <c r="BM1051" s="689"/>
      <c r="BN1051" s="688"/>
      <c r="BO1051" s="689"/>
      <c r="BP1051" s="689"/>
      <c r="BQ1051" s="689"/>
      <c r="BR1051" s="689"/>
      <c r="BS1051" s="688"/>
      <c r="BT1051" s="688"/>
      <c r="BU1051" s="688"/>
      <c r="BV1051" s="688"/>
      <c r="BW1051" s="197"/>
    </row>
    <row r="1052" spans="1:75" s="621" customFormat="1" ht="14.25" hidden="1" outlineLevel="1" x14ac:dyDescent="0.45">
      <c r="A1052" s="670" t="s">
        <v>1049</v>
      </c>
      <c r="B1052" s="243"/>
      <c r="C1052" s="688"/>
      <c r="D1052" s="688"/>
      <c r="E1052" s="688">
        <v>356.34900000000005</v>
      </c>
      <c r="F1052" s="688">
        <v>436.44900000000013</v>
      </c>
      <c r="G1052" s="689">
        <v>101.87699999999998</v>
      </c>
      <c r="H1052" s="689">
        <v>139.226</v>
      </c>
      <c r="I1052" s="689">
        <v>140.79999999999998</v>
      </c>
      <c r="J1052" s="689">
        <v>174.97700000000003</v>
      </c>
      <c r="K1052" s="688">
        <v>556.87999999999977</v>
      </c>
      <c r="L1052" s="689">
        <v>124.34900000000002</v>
      </c>
      <c r="M1052" s="689">
        <v>167.90899999999999</v>
      </c>
      <c r="N1052" s="689">
        <v>180.37299999999999</v>
      </c>
      <c r="O1052" s="689">
        <v>218.14299999999997</v>
      </c>
      <c r="P1052" s="688">
        <v>690.77399999999989</v>
      </c>
      <c r="Q1052" s="689">
        <v>143.41800000000001</v>
      </c>
      <c r="R1052" s="689">
        <v>194.26300000000003</v>
      </c>
      <c r="S1052" s="689">
        <v>190.74999999999994</v>
      </c>
      <c r="T1052" s="689">
        <v>224.26099999999997</v>
      </c>
      <c r="U1052" s="688">
        <v>752.69199999999978</v>
      </c>
      <c r="V1052" s="689">
        <v>127.47500000000002</v>
      </c>
      <c r="W1052" s="689">
        <v>179.839</v>
      </c>
      <c r="X1052" s="689">
        <v>175.81899999999996</v>
      </c>
      <c r="Y1052" s="689">
        <v>196.654</v>
      </c>
      <c r="Z1052" s="688">
        <v>679.78700000000003</v>
      </c>
      <c r="AA1052" s="689">
        <v>170.25600000000003</v>
      </c>
      <c r="AB1052" s="689">
        <v>205.81300000000005</v>
      </c>
      <c r="AC1052" s="689">
        <v>214.32499999999993</v>
      </c>
      <c r="AD1052" s="689">
        <v>258.67300000000023</v>
      </c>
      <c r="AE1052" s="688">
        <v>849.06700000000001</v>
      </c>
      <c r="AF1052" s="689">
        <v>209.33299999999997</v>
      </c>
      <c r="AG1052" s="689">
        <v>268.34399999999999</v>
      </c>
      <c r="AH1052" s="690">
        <v>250.02100000000002</v>
      </c>
      <c r="AI1052" s="689">
        <v>257.87899999999991</v>
      </c>
      <c r="AJ1052" s="688">
        <v>985.57699999999977</v>
      </c>
      <c r="AK1052" s="689">
        <v>232.81400000000002</v>
      </c>
      <c r="AL1052" s="689">
        <v>294.95800000000003</v>
      </c>
      <c r="AM1052" s="690">
        <v>284.16599999999994</v>
      </c>
      <c r="AN1052" s="689">
        <v>283.07300000000032</v>
      </c>
      <c r="AO1052" s="688">
        <v>1095.011</v>
      </c>
      <c r="AP1052" s="689">
        <v>199.654</v>
      </c>
      <c r="AQ1052" s="689">
        <v>332.41900000000004</v>
      </c>
      <c r="AR1052" s="690">
        <v>408.33000000000004</v>
      </c>
      <c r="AS1052" s="689">
        <v>385.12800000000016</v>
      </c>
      <c r="AT1052" s="688">
        <v>1325.5310000000002</v>
      </c>
      <c r="AU1052" s="689">
        <v>406.97700000000003</v>
      </c>
      <c r="AV1052" s="689">
        <v>487.67600000000004</v>
      </c>
      <c r="AW1052" s="690">
        <v>505.25400000000002</v>
      </c>
      <c r="AX1052" s="689">
        <v>455.50399999999991</v>
      </c>
      <c r="AY1052" s="688">
        <v>1855.4110000000001</v>
      </c>
      <c r="AZ1052" s="689">
        <v>498.58300000000003</v>
      </c>
      <c r="BA1052" s="689">
        <v>523.21800000000007</v>
      </c>
      <c r="BB1052" s="690">
        <v>420.77800000000002</v>
      </c>
      <c r="BC1052" s="689">
        <v>369.40599999999972</v>
      </c>
      <c r="BD1052" s="688">
        <v>1811.9849999999999</v>
      </c>
      <c r="BE1052" s="689">
        <v>347.54500000000002</v>
      </c>
      <c r="BF1052" s="689">
        <v>380.07300000000004</v>
      </c>
      <c r="BG1052" s="690">
        <v>340.45000000000005</v>
      </c>
      <c r="BH1052" s="689">
        <v>320.95100000000025</v>
      </c>
      <c r="BI1052" s="691">
        <v>1389.0190000000002</v>
      </c>
      <c r="BJ1052" s="689"/>
      <c r="BK1052" s="689"/>
      <c r="BL1052" s="689"/>
      <c r="BM1052" s="689"/>
      <c r="BN1052" s="688"/>
      <c r="BO1052" s="689"/>
      <c r="BP1052" s="689"/>
      <c r="BQ1052" s="689"/>
      <c r="BR1052" s="689"/>
      <c r="BS1052" s="688"/>
      <c r="BT1052" s="688"/>
      <c r="BU1052" s="688"/>
      <c r="BV1052" s="688"/>
      <c r="BW1052" s="197"/>
    </row>
    <row r="1053" spans="1:75" s="697" customFormat="1" hidden="1" outlineLevel="1" x14ac:dyDescent="0.5">
      <c r="A1053" s="428" t="s">
        <v>1077</v>
      </c>
      <c r="B1053" s="251"/>
      <c r="C1053" s="692"/>
      <c r="D1053" s="692"/>
      <c r="E1053" s="692"/>
      <c r="F1053" s="692"/>
      <c r="G1053" s="693"/>
      <c r="H1053" s="693"/>
      <c r="I1053" s="693"/>
      <c r="J1053" s="693"/>
      <c r="K1053" s="692"/>
      <c r="L1053" s="693"/>
      <c r="M1053" s="693"/>
      <c r="N1053" s="693"/>
      <c r="O1053" s="693"/>
      <c r="P1053" s="692"/>
      <c r="Q1053" s="693"/>
      <c r="R1053" s="693"/>
      <c r="S1053" s="693"/>
      <c r="T1053" s="693"/>
      <c r="U1053" s="692"/>
      <c r="V1053" s="693"/>
      <c r="W1053" s="693"/>
      <c r="X1053" s="693"/>
      <c r="Y1053" s="694">
        <v>2.1850000000000001</v>
      </c>
      <c r="Z1053" s="695">
        <v>2.1850000000000001</v>
      </c>
      <c r="AA1053" s="693"/>
      <c r="AB1053" s="693"/>
      <c r="AC1053" s="693"/>
      <c r="AD1053" s="693"/>
      <c r="AE1053" s="692"/>
      <c r="AF1053" s="693"/>
      <c r="AG1053" s="693"/>
      <c r="AH1053" s="693"/>
      <c r="AI1053" s="694">
        <v>3.8069999999999999</v>
      </c>
      <c r="AJ1053" s="695">
        <v>3.8069999999999999</v>
      </c>
      <c r="AK1053" s="694">
        <v>2.9929999999999999</v>
      </c>
      <c r="AL1053" s="694">
        <v>1.9159999999999999</v>
      </c>
      <c r="AM1053" s="693"/>
      <c r="AN1053" s="693"/>
      <c r="AO1053" s="695">
        <v>4.9089999999999998</v>
      </c>
      <c r="AP1053" s="694">
        <v>2.35</v>
      </c>
      <c r="AQ1053" s="693"/>
      <c r="AR1053" s="693"/>
      <c r="AS1053" s="693"/>
      <c r="AT1053" s="695">
        <v>2.35</v>
      </c>
      <c r="AU1053" s="693"/>
      <c r="AV1053" s="693"/>
      <c r="AW1053" s="693"/>
      <c r="AX1053" s="693"/>
      <c r="AY1053" s="692"/>
      <c r="AZ1053" s="693"/>
      <c r="BA1053" s="693"/>
      <c r="BB1053" s="694">
        <v>10.926</v>
      </c>
      <c r="BC1053" s="693"/>
      <c r="BD1053" s="695">
        <v>10.926</v>
      </c>
      <c r="BE1053" s="693"/>
      <c r="BF1053" s="693"/>
      <c r="BG1053" s="693"/>
      <c r="BH1053" s="693"/>
      <c r="BI1053" s="696"/>
      <c r="BJ1053" s="693"/>
      <c r="BK1053" s="693"/>
      <c r="BL1053" s="693"/>
      <c r="BM1053" s="693"/>
      <c r="BN1053" s="692"/>
      <c r="BO1053" s="693"/>
      <c r="BP1053" s="693"/>
      <c r="BQ1053" s="693"/>
      <c r="BR1053" s="693"/>
      <c r="BS1053" s="692"/>
      <c r="BT1053" s="692"/>
      <c r="BU1053" s="692"/>
      <c r="BV1053" s="692"/>
      <c r="BW1053" s="122"/>
    </row>
    <row r="1054" spans="1:75" s="697" customFormat="1" hidden="1" outlineLevel="1" x14ac:dyDescent="0.5">
      <c r="A1054" s="428" t="s">
        <v>1078</v>
      </c>
      <c r="B1054" s="251"/>
      <c r="C1054" s="692"/>
      <c r="D1054" s="692"/>
      <c r="E1054" s="692"/>
      <c r="F1054" s="692"/>
      <c r="G1054" s="693"/>
      <c r="H1054" s="693"/>
      <c r="I1054" s="693"/>
      <c r="J1054" s="693"/>
      <c r="K1054" s="692"/>
      <c r="L1054" s="693"/>
      <c r="M1054" s="693"/>
      <c r="N1054" s="693"/>
      <c r="O1054" s="693"/>
      <c r="P1054" s="692"/>
      <c r="Q1054" s="694">
        <v>1.379</v>
      </c>
      <c r="R1054" s="694">
        <v>4.8440000000000003</v>
      </c>
      <c r="S1054" s="694">
        <v>4.8010000000000002</v>
      </c>
      <c r="T1054" s="694">
        <v>6.19</v>
      </c>
      <c r="U1054" s="695">
        <v>17.213999999999999</v>
      </c>
      <c r="V1054" s="694">
        <v>7.7290000000000001</v>
      </c>
      <c r="W1054" s="693"/>
      <c r="X1054" s="693"/>
      <c r="Y1054" s="693"/>
      <c r="Z1054" s="695">
        <v>7.7290000000000001</v>
      </c>
      <c r="AA1054" s="693"/>
      <c r="AB1054" s="693"/>
      <c r="AC1054" s="693"/>
      <c r="AD1054" s="693"/>
      <c r="AE1054" s="692"/>
      <c r="AF1054" s="693"/>
      <c r="AG1054" s="693"/>
      <c r="AH1054" s="693"/>
      <c r="AI1054" s="693"/>
      <c r="AJ1054" s="692"/>
      <c r="AK1054" s="693"/>
      <c r="AL1054" s="693"/>
      <c r="AM1054" s="693"/>
      <c r="AN1054" s="693"/>
      <c r="AO1054" s="692"/>
      <c r="AP1054" s="693"/>
      <c r="AQ1054" s="693"/>
      <c r="AR1054" s="693"/>
      <c r="AS1054" s="693"/>
      <c r="AT1054" s="692"/>
      <c r="AU1054" s="693"/>
      <c r="AV1054" s="693"/>
      <c r="AW1054" s="693"/>
      <c r="AX1054" s="693"/>
      <c r="AY1054" s="692"/>
      <c r="AZ1054" s="693"/>
      <c r="BA1054" s="693"/>
      <c r="BB1054" s="693"/>
      <c r="BC1054" s="693"/>
      <c r="BD1054" s="692"/>
      <c r="BE1054" s="693"/>
      <c r="BF1054" s="693"/>
      <c r="BG1054" s="693"/>
      <c r="BH1054" s="693"/>
      <c r="BI1054" s="696"/>
      <c r="BJ1054" s="693"/>
      <c r="BK1054" s="693"/>
      <c r="BL1054" s="693"/>
      <c r="BM1054" s="693"/>
      <c r="BN1054" s="692"/>
      <c r="BO1054" s="693"/>
      <c r="BP1054" s="693"/>
      <c r="BQ1054" s="693"/>
      <c r="BR1054" s="693"/>
      <c r="BS1054" s="692"/>
      <c r="BT1054" s="692"/>
      <c r="BU1054" s="692"/>
      <c r="BV1054" s="692"/>
      <c r="BW1054" s="122"/>
    </row>
    <row r="1055" spans="1:75" s="697" customFormat="1" hidden="1" outlineLevel="1" x14ac:dyDescent="0.5">
      <c r="A1055" s="428" t="s">
        <v>1074</v>
      </c>
      <c r="B1055" s="251"/>
      <c r="C1055" s="692"/>
      <c r="D1055" s="692"/>
      <c r="E1055" s="692"/>
      <c r="F1055" s="692"/>
      <c r="G1055" s="693"/>
      <c r="H1055" s="693"/>
      <c r="I1055" s="693"/>
      <c r="J1055" s="693"/>
      <c r="K1055" s="692"/>
      <c r="L1055" s="693"/>
      <c r="M1055" s="693"/>
      <c r="N1055" s="693"/>
      <c r="O1055" s="693"/>
      <c r="P1055" s="692"/>
      <c r="Q1055" s="693"/>
      <c r="R1055" s="693"/>
      <c r="S1055" s="693"/>
      <c r="T1055" s="693"/>
      <c r="U1055" s="692"/>
      <c r="V1055" s="693"/>
      <c r="W1055" s="693"/>
      <c r="X1055" s="693"/>
      <c r="Y1055" s="694">
        <v>3.976</v>
      </c>
      <c r="Z1055" s="695">
        <v>3.976</v>
      </c>
      <c r="AA1055" s="693"/>
      <c r="AB1055" s="694">
        <v>4.5759999999999996</v>
      </c>
      <c r="AC1055" s="694">
        <v>3.552</v>
      </c>
      <c r="AD1055" s="694">
        <v>-0.60599999999999998</v>
      </c>
      <c r="AE1055" s="695">
        <v>7.5220000000000002</v>
      </c>
      <c r="AF1055" s="694">
        <v>-0.254</v>
      </c>
      <c r="AG1055" s="694">
        <v>-1.409</v>
      </c>
      <c r="AH1055" s="694">
        <v>3.6859999999999999</v>
      </c>
      <c r="AI1055" s="694">
        <v>-1.429</v>
      </c>
      <c r="AJ1055" s="695">
        <v>0.59399999999999997</v>
      </c>
      <c r="AK1055" s="694">
        <v>-1.6479999999999999</v>
      </c>
      <c r="AL1055" s="694">
        <v>-0.32</v>
      </c>
      <c r="AM1055" s="694">
        <v>-1.7949999999999999</v>
      </c>
      <c r="AN1055" s="693"/>
      <c r="AO1055" s="695">
        <v>-3.7629999999999999</v>
      </c>
      <c r="AP1055" s="693"/>
      <c r="AQ1055" s="694">
        <v>4.78</v>
      </c>
      <c r="AR1055" s="694">
        <v>0.78100000000000003</v>
      </c>
      <c r="AS1055" s="694">
        <v>0.36599999999999999</v>
      </c>
      <c r="AT1055" s="695">
        <v>5.9269999999999996</v>
      </c>
      <c r="AU1055" s="693"/>
      <c r="AV1055" s="693"/>
      <c r="AW1055" s="693"/>
      <c r="AX1055" s="694">
        <v>-1.2</v>
      </c>
      <c r="AY1055" s="695">
        <v>-1.2</v>
      </c>
      <c r="AZ1055" s="693"/>
      <c r="BA1055" s="693"/>
      <c r="BB1055" s="693"/>
      <c r="BC1055" s="693"/>
      <c r="BD1055" s="692"/>
      <c r="BE1055" s="693"/>
      <c r="BF1055" s="693"/>
      <c r="BG1055" s="693"/>
      <c r="BH1055" s="693"/>
      <c r="BI1055" s="696"/>
      <c r="BJ1055" s="693"/>
      <c r="BK1055" s="693"/>
      <c r="BL1055" s="693"/>
      <c r="BM1055" s="693"/>
      <c r="BN1055" s="692"/>
      <c r="BO1055" s="693"/>
      <c r="BP1055" s="693"/>
      <c r="BQ1055" s="693"/>
      <c r="BR1055" s="693"/>
      <c r="BS1055" s="692"/>
      <c r="BT1055" s="692"/>
      <c r="BU1055" s="692"/>
      <c r="BV1055" s="692"/>
      <c r="BW1055" s="122"/>
    </row>
    <row r="1056" spans="1:75" s="697" customFormat="1" hidden="1" outlineLevel="1" x14ac:dyDescent="0.5">
      <c r="A1056" s="428" t="s">
        <v>1079</v>
      </c>
      <c r="B1056" s="251"/>
      <c r="C1056" s="692"/>
      <c r="D1056" s="692"/>
      <c r="E1056" s="692"/>
      <c r="F1056" s="692"/>
      <c r="G1056" s="693"/>
      <c r="H1056" s="693"/>
      <c r="I1056" s="693"/>
      <c r="J1056" s="693"/>
      <c r="K1056" s="692"/>
      <c r="L1056" s="693"/>
      <c r="M1056" s="693"/>
      <c r="N1056" s="693"/>
      <c r="O1056" s="693"/>
      <c r="P1056" s="692"/>
      <c r="Q1056" s="693"/>
      <c r="R1056" s="693"/>
      <c r="S1056" s="693"/>
      <c r="T1056" s="693"/>
      <c r="U1056" s="692"/>
      <c r="V1056" s="693"/>
      <c r="W1056" s="693"/>
      <c r="X1056" s="693"/>
      <c r="Y1056" s="693"/>
      <c r="Z1056" s="692"/>
      <c r="AA1056" s="693"/>
      <c r="AB1056" s="693"/>
      <c r="AC1056" s="694">
        <v>0.497</v>
      </c>
      <c r="AD1056" s="694">
        <v>1.24</v>
      </c>
      <c r="AE1056" s="695">
        <v>1.7370000000000001</v>
      </c>
      <c r="AF1056" s="693"/>
      <c r="AG1056" s="693"/>
      <c r="AH1056" s="694">
        <v>1.478</v>
      </c>
      <c r="AI1056" s="693"/>
      <c r="AJ1056" s="695">
        <v>1.478</v>
      </c>
      <c r="AK1056" s="693"/>
      <c r="AL1056" s="693"/>
      <c r="AM1056" s="693"/>
      <c r="AN1056" s="693"/>
      <c r="AO1056" s="692"/>
      <c r="AP1056" s="693"/>
      <c r="AQ1056" s="693"/>
      <c r="AR1056" s="693"/>
      <c r="AS1056" s="693"/>
      <c r="AT1056" s="692"/>
      <c r="AU1056" s="693"/>
      <c r="AV1056" s="693"/>
      <c r="AW1056" s="693"/>
      <c r="AX1056" s="693"/>
      <c r="AY1056" s="692"/>
      <c r="AZ1056" s="693"/>
      <c r="BA1056" s="693"/>
      <c r="BB1056" s="693"/>
      <c r="BC1056" s="693"/>
      <c r="BD1056" s="692"/>
      <c r="BE1056" s="693"/>
      <c r="BF1056" s="693"/>
      <c r="BG1056" s="693"/>
      <c r="BH1056" s="693"/>
      <c r="BI1056" s="696"/>
      <c r="BJ1056" s="693"/>
      <c r="BK1056" s="693"/>
      <c r="BL1056" s="693"/>
      <c r="BM1056" s="693"/>
      <c r="BN1056" s="692"/>
      <c r="BO1056" s="693"/>
      <c r="BP1056" s="693"/>
      <c r="BQ1056" s="693"/>
      <c r="BR1056" s="693"/>
      <c r="BS1056" s="692"/>
      <c r="BT1056" s="692"/>
      <c r="BU1056" s="692"/>
      <c r="BV1056" s="692"/>
      <c r="BW1056" s="122"/>
    </row>
    <row r="1057" spans="1:75" s="697" customFormat="1" hidden="1" outlineLevel="1" x14ac:dyDescent="0.5">
      <c r="A1057" s="428" t="s">
        <v>1080</v>
      </c>
      <c r="B1057" s="251"/>
      <c r="C1057" s="692"/>
      <c r="D1057" s="692"/>
      <c r="E1057" s="692"/>
      <c r="F1057" s="695">
        <v>3.25</v>
      </c>
      <c r="G1057" s="693"/>
      <c r="H1057" s="693"/>
      <c r="I1057" s="693"/>
      <c r="J1057" s="693"/>
      <c r="K1057" s="692"/>
      <c r="L1057" s="693"/>
      <c r="M1057" s="693"/>
      <c r="N1057" s="693"/>
      <c r="O1057" s="693"/>
      <c r="P1057" s="692"/>
      <c r="Q1057" s="693"/>
      <c r="R1057" s="693"/>
      <c r="S1057" s="693"/>
      <c r="T1057" s="693"/>
      <c r="U1057" s="692"/>
      <c r="V1057" s="693"/>
      <c r="W1057" s="693"/>
      <c r="X1057" s="693"/>
      <c r="Y1057" s="693"/>
      <c r="Z1057" s="692"/>
      <c r="AA1057" s="693"/>
      <c r="AB1057" s="693"/>
      <c r="AC1057" s="693"/>
      <c r="AD1057" s="694">
        <v>-2.202</v>
      </c>
      <c r="AE1057" s="695">
        <v>-2.202</v>
      </c>
      <c r="AF1057" s="693"/>
      <c r="AG1057" s="693"/>
      <c r="AH1057" s="693"/>
      <c r="AI1057" s="693"/>
      <c r="AJ1057" s="692"/>
      <c r="AK1057" s="693"/>
      <c r="AL1057" s="693"/>
      <c r="AM1057" s="693"/>
      <c r="AN1057" s="693"/>
      <c r="AO1057" s="692"/>
      <c r="AP1057" s="693"/>
      <c r="AQ1057" s="693"/>
      <c r="AR1057" s="693"/>
      <c r="AS1057" s="693"/>
      <c r="AT1057" s="692"/>
      <c r="AU1057" s="693"/>
      <c r="AV1057" s="693"/>
      <c r="AW1057" s="693"/>
      <c r="AX1057" s="693"/>
      <c r="AY1057" s="692"/>
      <c r="AZ1057" s="693"/>
      <c r="BA1057" s="693"/>
      <c r="BB1057" s="693"/>
      <c r="BC1057" s="693"/>
      <c r="BD1057" s="692"/>
      <c r="BE1057" s="693"/>
      <c r="BF1057" s="693"/>
      <c r="BG1057" s="693"/>
      <c r="BH1057" s="693"/>
      <c r="BI1057" s="696"/>
      <c r="BJ1057" s="693"/>
      <c r="BK1057" s="693"/>
      <c r="BL1057" s="693"/>
      <c r="BM1057" s="693"/>
      <c r="BN1057" s="692"/>
      <c r="BO1057" s="693"/>
      <c r="BP1057" s="693"/>
      <c r="BQ1057" s="693"/>
      <c r="BR1057" s="693"/>
      <c r="BS1057" s="692"/>
      <c r="BT1057" s="692"/>
      <c r="BU1057" s="692"/>
      <c r="BV1057" s="692"/>
      <c r="BW1057" s="122"/>
    </row>
    <row r="1058" spans="1:75" s="697" customFormat="1" hidden="1" outlineLevel="1" x14ac:dyDescent="0.5">
      <c r="A1058" s="428" t="s">
        <v>1081</v>
      </c>
      <c r="B1058" s="251"/>
      <c r="C1058" s="692"/>
      <c r="D1058" s="692"/>
      <c r="E1058" s="692"/>
      <c r="F1058" s="692"/>
      <c r="G1058" s="693"/>
      <c r="H1058" s="693"/>
      <c r="I1058" s="693"/>
      <c r="J1058" s="693"/>
      <c r="K1058" s="692"/>
      <c r="L1058" s="693"/>
      <c r="M1058" s="693"/>
      <c r="N1058" s="693"/>
      <c r="O1058" s="693"/>
      <c r="P1058" s="692"/>
      <c r="Q1058" s="693"/>
      <c r="R1058" s="693"/>
      <c r="S1058" s="693"/>
      <c r="T1058" s="693"/>
      <c r="U1058" s="692"/>
      <c r="V1058" s="693"/>
      <c r="W1058" s="694">
        <v>3.4009999999999998</v>
      </c>
      <c r="X1058" s="694">
        <v>1.786</v>
      </c>
      <c r="Y1058" s="694">
        <v>1.6479999999999999</v>
      </c>
      <c r="Z1058" s="695">
        <v>6.835</v>
      </c>
      <c r="AA1058" s="694">
        <v>1.38</v>
      </c>
      <c r="AB1058" s="694">
        <v>0.48</v>
      </c>
      <c r="AC1058" s="694">
        <v>0.248</v>
      </c>
      <c r="AD1058" s="694">
        <v>0.41899999999999998</v>
      </c>
      <c r="AE1058" s="695">
        <v>2.5270000000000001</v>
      </c>
      <c r="AF1058" s="694">
        <v>0.19</v>
      </c>
      <c r="AG1058" s="694">
        <v>0.19</v>
      </c>
      <c r="AH1058" s="693"/>
      <c r="AI1058" s="693"/>
      <c r="AJ1058" s="695">
        <v>0.38</v>
      </c>
      <c r="AK1058" s="693"/>
      <c r="AL1058" s="693"/>
      <c r="AM1058" s="693"/>
      <c r="AN1058" s="693"/>
      <c r="AO1058" s="692"/>
      <c r="AP1058" s="693"/>
      <c r="AQ1058" s="693"/>
      <c r="AR1058" s="693"/>
      <c r="AS1058" s="693"/>
      <c r="AT1058" s="692"/>
      <c r="AU1058" s="693"/>
      <c r="AV1058" s="693"/>
      <c r="AW1058" s="693"/>
      <c r="AX1058" s="693"/>
      <c r="AY1058" s="692"/>
      <c r="AZ1058" s="693"/>
      <c r="BA1058" s="693"/>
      <c r="BB1058" s="693"/>
      <c r="BC1058" s="693"/>
      <c r="BD1058" s="692"/>
      <c r="BE1058" s="693"/>
      <c r="BF1058" s="693"/>
      <c r="BG1058" s="693"/>
      <c r="BH1058" s="693"/>
      <c r="BI1058" s="696"/>
      <c r="BJ1058" s="693"/>
      <c r="BK1058" s="693"/>
      <c r="BL1058" s="693"/>
      <c r="BM1058" s="693"/>
      <c r="BN1058" s="692"/>
      <c r="BO1058" s="693"/>
      <c r="BP1058" s="693"/>
      <c r="BQ1058" s="693"/>
      <c r="BR1058" s="693"/>
      <c r="BS1058" s="692"/>
      <c r="BT1058" s="692"/>
      <c r="BU1058" s="692"/>
      <c r="BV1058" s="692"/>
      <c r="BW1058" s="122"/>
    </row>
    <row r="1059" spans="1:75" s="621" customFormat="1" ht="14.25" hidden="1" outlineLevel="1" x14ac:dyDescent="0.45">
      <c r="A1059" s="675" t="s">
        <v>1083</v>
      </c>
      <c r="B1059" s="277"/>
      <c r="C1059" s="698"/>
      <c r="D1059" s="698"/>
      <c r="E1059" s="698">
        <v>356.34900000000005</v>
      </c>
      <c r="F1059" s="698">
        <v>439.69900000000013</v>
      </c>
      <c r="G1059" s="699">
        <v>101.87699999999998</v>
      </c>
      <c r="H1059" s="699">
        <v>139.226</v>
      </c>
      <c r="I1059" s="699">
        <v>140.79999999999998</v>
      </c>
      <c r="J1059" s="699">
        <v>174.97700000000003</v>
      </c>
      <c r="K1059" s="698">
        <v>556.87999999999977</v>
      </c>
      <c r="L1059" s="699">
        <v>124.34900000000002</v>
      </c>
      <c r="M1059" s="699">
        <v>167.90899999999999</v>
      </c>
      <c r="N1059" s="699">
        <v>180.37299999999999</v>
      </c>
      <c r="O1059" s="699">
        <v>218.14299999999997</v>
      </c>
      <c r="P1059" s="698">
        <v>690.77399999999989</v>
      </c>
      <c r="Q1059" s="699">
        <v>144.797</v>
      </c>
      <c r="R1059" s="699">
        <v>199.10700000000003</v>
      </c>
      <c r="S1059" s="699">
        <v>195.55099999999993</v>
      </c>
      <c r="T1059" s="699">
        <v>230.45099999999996</v>
      </c>
      <c r="U1059" s="698">
        <v>769.90599999999972</v>
      </c>
      <c r="V1059" s="699">
        <v>135.20400000000004</v>
      </c>
      <c r="W1059" s="699">
        <v>183.24</v>
      </c>
      <c r="X1059" s="699">
        <v>177.60499999999996</v>
      </c>
      <c r="Y1059" s="699">
        <v>204.46299999999999</v>
      </c>
      <c r="Z1059" s="698">
        <v>700.51200000000006</v>
      </c>
      <c r="AA1059" s="699">
        <v>171.63600000000002</v>
      </c>
      <c r="AB1059" s="699">
        <v>210.86900000000003</v>
      </c>
      <c r="AC1059" s="699">
        <v>218.62199999999993</v>
      </c>
      <c r="AD1059" s="699">
        <v>257.52400000000023</v>
      </c>
      <c r="AE1059" s="698">
        <v>858.65100000000007</v>
      </c>
      <c r="AF1059" s="699">
        <v>209.26899999999998</v>
      </c>
      <c r="AG1059" s="699">
        <v>267.125</v>
      </c>
      <c r="AH1059" s="700">
        <v>255.18500000000003</v>
      </c>
      <c r="AI1059" s="699">
        <v>260.25699999999995</v>
      </c>
      <c r="AJ1059" s="698">
        <v>991.83599999999979</v>
      </c>
      <c r="AK1059" s="699">
        <v>234.15900000000002</v>
      </c>
      <c r="AL1059" s="699">
        <v>296.55400000000003</v>
      </c>
      <c r="AM1059" s="700">
        <v>282.37099999999992</v>
      </c>
      <c r="AN1059" s="699">
        <v>283.07300000000032</v>
      </c>
      <c r="AO1059" s="698">
        <v>1096.1570000000002</v>
      </c>
      <c r="AP1059" s="699">
        <v>202.00399999999999</v>
      </c>
      <c r="AQ1059" s="699">
        <v>337.19900000000001</v>
      </c>
      <c r="AR1059" s="700">
        <v>409.11100000000005</v>
      </c>
      <c r="AS1059" s="699">
        <v>385.49400000000014</v>
      </c>
      <c r="AT1059" s="698">
        <v>1333.808</v>
      </c>
      <c r="AU1059" s="699">
        <v>406.97700000000003</v>
      </c>
      <c r="AV1059" s="699">
        <v>487.67600000000004</v>
      </c>
      <c r="AW1059" s="700">
        <v>505.25400000000002</v>
      </c>
      <c r="AX1059" s="699">
        <v>454.30399999999992</v>
      </c>
      <c r="AY1059" s="698">
        <v>1854.211</v>
      </c>
      <c r="AZ1059" s="699">
        <v>498.58300000000003</v>
      </c>
      <c r="BA1059" s="699">
        <v>523.21800000000007</v>
      </c>
      <c r="BB1059" s="700">
        <v>431.70400000000001</v>
      </c>
      <c r="BC1059" s="699">
        <v>369.40599999999972</v>
      </c>
      <c r="BD1059" s="698">
        <v>1822.9109999999998</v>
      </c>
      <c r="BE1059" s="699">
        <v>347.54500000000002</v>
      </c>
      <c r="BF1059" s="699">
        <v>380.07300000000004</v>
      </c>
      <c r="BG1059" s="700">
        <v>340.45000000000005</v>
      </c>
      <c r="BH1059" s="699">
        <v>320.95100000000025</v>
      </c>
      <c r="BI1059" s="701">
        <v>1389.0190000000002</v>
      </c>
      <c r="BJ1059" s="699"/>
      <c r="BK1059" s="699"/>
      <c r="BL1059" s="699"/>
      <c r="BM1059" s="699"/>
      <c r="BN1059" s="698"/>
      <c r="BO1059" s="699"/>
      <c r="BP1059" s="699"/>
      <c r="BQ1059" s="699"/>
      <c r="BR1059" s="699"/>
      <c r="BS1059" s="698"/>
      <c r="BT1059" s="698"/>
      <c r="BU1059" s="698"/>
      <c r="BV1059" s="698"/>
      <c r="BW1059" s="197"/>
    </row>
    <row r="1060" spans="1:75" s="621" customFormat="1" ht="14.25" hidden="1" outlineLevel="1" x14ac:dyDescent="0.45">
      <c r="A1060" s="243"/>
      <c r="B1060" s="243"/>
      <c r="C1060" s="688"/>
      <c r="D1060" s="688"/>
      <c r="E1060" s="688"/>
      <c r="F1060" s="688"/>
      <c r="G1060" s="689"/>
      <c r="H1060" s="689"/>
      <c r="I1060" s="689"/>
      <c r="J1060" s="689"/>
      <c r="K1060" s="688"/>
      <c r="L1060" s="689"/>
      <c r="M1060" s="689"/>
      <c r="N1060" s="689"/>
      <c r="O1060" s="689"/>
      <c r="P1060" s="688"/>
      <c r="Q1060" s="689"/>
      <c r="R1060" s="689"/>
      <c r="S1060" s="689"/>
      <c r="T1060" s="689"/>
      <c r="U1060" s="688"/>
      <c r="V1060" s="689"/>
      <c r="W1060" s="689"/>
      <c r="X1060" s="689"/>
      <c r="Y1060" s="689"/>
      <c r="Z1060" s="688"/>
      <c r="AA1060" s="689"/>
      <c r="AB1060" s="689"/>
      <c r="AC1060" s="689"/>
      <c r="AD1060" s="689"/>
      <c r="AE1060" s="688"/>
      <c r="AF1060" s="689"/>
      <c r="AG1060" s="689"/>
      <c r="AH1060" s="689"/>
      <c r="AI1060" s="689"/>
      <c r="AJ1060" s="688"/>
      <c r="AK1060" s="689"/>
      <c r="AL1060" s="689"/>
      <c r="AM1060" s="689"/>
      <c r="AN1060" s="689"/>
      <c r="AO1060" s="688"/>
      <c r="AP1060" s="689"/>
      <c r="AQ1060" s="689"/>
      <c r="AR1060" s="689"/>
      <c r="AS1060" s="689"/>
      <c r="AT1060" s="688"/>
      <c r="AU1060" s="689"/>
      <c r="AV1060" s="689"/>
      <c r="AW1060" s="689"/>
      <c r="AX1060" s="689"/>
      <c r="AY1060" s="688"/>
      <c r="AZ1060" s="689"/>
      <c r="BA1060" s="689"/>
      <c r="BB1060" s="689"/>
      <c r="BC1060" s="689"/>
      <c r="BD1060" s="688"/>
      <c r="BE1060" s="689"/>
      <c r="BF1060" s="689"/>
      <c r="BG1060" s="689"/>
      <c r="BH1060" s="689"/>
      <c r="BI1060" s="691"/>
      <c r="BJ1060" s="689"/>
      <c r="BK1060" s="689"/>
      <c r="BL1060" s="689"/>
      <c r="BM1060" s="689"/>
      <c r="BN1060" s="688"/>
      <c r="BO1060" s="689"/>
      <c r="BP1060" s="689"/>
      <c r="BQ1060" s="689"/>
      <c r="BR1060" s="689"/>
      <c r="BS1060" s="688"/>
      <c r="BT1060" s="688"/>
      <c r="BU1060" s="688"/>
      <c r="BV1060" s="688"/>
      <c r="BW1060" s="197"/>
    </row>
    <row r="1061" spans="1:75" s="621" customFormat="1" ht="14.25" hidden="1" outlineLevel="1" x14ac:dyDescent="0.45">
      <c r="A1061" s="243" t="s">
        <v>1084</v>
      </c>
      <c r="B1061" s="243"/>
      <c r="C1061" s="688"/>
      <c r="D1061" s="688"/>
      <c r="E1061" s="688">
        <v>329.50599999999997</v>
      </c>
      <c r="F1061" s="688">
        <v>505.48500000000001</v>
      </c>
      <c r="G1061" s="689">
        <v>101.366</v>
      </c>
      <c r="H1061" s="689">
        <v>167.006</v>
      </c>
      <c r="I1061" s="689">
        <v>116.94</v>
      </c>
      <c r="J1061" s="689">
        <v>116.717</v>
      </c>
      <c r="K1061" s="688">
        <v>502.029</v>
      </c>
      <c r="L1061" s="689">
        <v>119.571</v>
      </c>
      <c r="M1061" s="689">
        <v>118.974</v>
      </c>
      <c r="N1061" s="689">
        <v>143.685</v>
      </c>
      <c r="O1061" s="689">
        <v>142.81800000000001</v>
      </c>
      <c r="P1061" s="688">
        <v>525.048</v>
      </c>
      <c r="Q1061" s="689">
        <v>126.389</v>
      </c>
      <c r="R1061" s="689">
        <v>137.84</v>
      </c>
      <c r="S1061" s="689">
        <v>145.874</v>
      </c>
      <c r="T1061" s="689">
        <v>157.02800000000002</v>
      </c>
      <c r="U1061" s="688">
        <v>567.13099999999997</v>
      </c>
      <c r="V1061" s="689">
        <v>138.94999999999999</v>
      </c>
      <c r="W1061" s="689">
        <v>157.82400000000001</v>
      </c>
      <c r="X1061" s="689">
        <v>160.43299999999999</v>
      </c>
      <c r="Y1061" s="689">
        <v>169.54399999999998</v>
      </c>
      <c r="Z1061" s="688">
        <v>626.75099999999998</v>
      </c>
      <c r="AA1061" s="689">
        <v>163.36000000000001</v>
      </c>
      <c r="AB1061" s="689">
        <v>193.69</v>
      </c>
      <c r="AC1061" s="689">
        <v>171.16300000000001</v>
      </c>
      <c r="AD1061" s="689">
        <v>189.553</v>
      </c>
      <c r="AE1061" s="688">
        <v>717.76599999999996</v>
      </c>
      <c r="AF1061" s="689">
        <v>161.18600000000001</v>
      </c>
      <c r="AG1061" s="689">
        <v>186.52099999999999</v>
      </c>
      <c r="AH1061" s="689">
        <v>207.79300000000001</v>
      </c>
      <c r="AI1061" s="689">
        <v>168.34100000000001</v>
      </c>
      <c r="AJ1061" s="688">
        <v>723.84100000000001</v>
      </c>
      <c r="AK1061" s="689">
        <v>164.18100000000001</v>
      </c>
      <c r="AL1061" s="689">
        <v>190.977</v>
      </c>
      <c r="AM1061" s="689">
        <v>194.929</v>
      </c>
      <c r="AN1061" s="689">
        <v>182.09299999999996</v>
      </c>
      <c r="AO1061" s="688">
        <v>732.18</v>
      </c>
      <c r="AP1061" s="689">
        <v>164.20099999999999</v>
      </c>
      <c r="AQ1061" s="689">
        <v>195.851</v>
      </c>
      <c r="AR1061" s="689">
        <v>297.10899999999998</v>
      </c>
      <c r="AS1061" s="689">
        <v>201.51199999999994</v>
      </c>
      <c r="AT1061" s="688">
        <v>858.673</v>
      </c>
      <c r="AU1061" s="689">
        <v>219.089</v>
      </c>
      <c r="AV1061" s="689">
        <v>238.68799999999999</v>
      </c>
      <c r="AW1061" s="689">
        <v>232.715</v>
      </c>
      <c r="AX1061" s="689">
        <v>237.73800000000006</v>
      </c>
      <c r="AY1061" s="688">
        <v>928.23</v>
      </c>
      <c r="AZ1061" s="689">
        <v>293.29500000000002</v>
      </c>
      <c r="BA1061" s="689">
        <v>288.80399999999997</v>
      </c>
      <c r="BB1061" s="689">
        <v>250.52799999999999</v>
      </c>
      <c r="BC1061" s="689">
        <v>257.20100000000002</v>
      </c>
      <c r="BD1061" s="688">
        <v>1089.828</v>
      </c>
      <c r="BE1061" s="689">
        <v>248.30500000000001</v>
      </c>
      <c r="BF1061" s="689">
        <v>228.733</v>
      </c>
      <c r="BG1061" s="689">
        <v>289.214</v>
      </c>
      <c r="BH1061" s="689">
        <v>256.69600000000003</v>
      </c>
      <c r="BI1061" s="691">
        <v>1022.948</v>
      </c>
      <c r="BJ1061" s="689"/>
      <c r="BK1061" s="689"/>
      <c r="BL1061" s="689"/>
      <c r="BM1061" s="689"/>
      <c r="BN1061" s="688"/>
      <c r="BO1061" s="689"/>
      <c r="BP1061" s="689"/>
      <c r="BQ1061" s="689"/>
      <c r="BR1061" s="689"/>
      <c r="BS1061" s="688"/>
      <c r="BT1061" s="688"/>
      <c r="BU1061" s="688"/>
      <c r="BV1061" s="688"/>
      <c r="BW1061" s="197"/>
    </row>
    <row r="1062" spans="1:75" s="697" customFormat="1" hidden="1" outlineLevel="1" x14ac:dyDescent="0.5">
      <c r="A1062" s="354" t="s">
        <v>1085</v>
      </c>
      <c r="B1062" s="251"/>
      <c r="C1062" s="692"/>
      <c r="D1062" s="692"/>
      <c r="E1062" s="695">
        <v>-6.35</v>
      </c>
      <c r="F1062" s="695">
        <v>-115.05500000000001</v>
      </c>
      <c r="G1062" s="694">
        <v>-3.323</v>
      </c>
      <c r="H1062" s="694">
        <v>-59.832000000000001</v>
      </c>
      <c r="I1062" s="693"/>
      <c r="J1062" s="693"/>
      <c r="K1062" s="695">
        <v>-63.155000000000001</v>
      </c>
      <c r="L1062" s="693"/>
      <c r="M1062" s="693"/>
      <c r="N1062" s="693"/>
      <c r="O1062" s="693"/>
      <c r="P1062" s="692"/>
      <c r="Q1062" s="693"/>
      <c r="R1062" s="693"/>
      <c r="S1062" s="693"/>
      <c r="T1062" s="693"/>
      <c r="U1062" s="692"/>
      <c r="V1062" s="693"/>
      <c r="W1062" s="694">
        <v>-3.6720000000000002</v>
      </c>
      <c r="X1062" s="693"/>
      <c r="Y1062" s="693"/>
      <c r="Z1062" s="695">
        <v>-3.6720000000000002</v>
      </c>
      <c r="AA1062" s="693"/>
      <c r="AB1062" s="694">
        <v>-23.872</v>
      </c>
      <c r="AC1062" s="693"/>
      <c r="AD1062" s="693"/>
      <c r="AE1062" s="695">
        <v>-23.872</v>
      </c>
      <c r="AF1062" s="693"/>
      <c r="AG1062" s="693"/>
      <c r="AH1062" s="693"/>
      <c r="AI1062" s="693"/>
      <c r="AJ1062" s="692"/>
      <c r="AK1062" s="693"/>
      <c r="AL1062" s="693"/>
      <c r="AM1062" s="693"/>
      <c r="AN1062" s="693"/>
      <c r="AO1062" s="692"/>
      <c r="AP1062" s="693"/>
      <c r="AQ1062" s="693"/>
      <c r="AR1062" s="694">
        <v>-111.218</v>
      </c>
      <c r="AS1062" s="694">
        <v>-5.8659999999999997</v>
      </c>
      <c r="AT1062" s="695">
        <v>-117.084</v>
      </c>
      <c r="AU1062" s="694">
        <v>-5.8639999999999999</v>
      </c>
      <c r="AV1062" s="694">
        <v>-5.8639999999999999</v>
      </c>
      <c r="AW1062" s="694">
        <v>-5.8310000000000004</v>
      </c>
      <c r="AX1062" s="694">
        <v>-5.8689999999999998</v>
      </c>
      <c r="AY1062" s="695">
        <v>-23.428000000000001</v>
      </c>
      <c r="AZ1062" s="694">
        <v>-5.8579999999999997</v>
      </c>
      <c r="BA1062" s="694">
        <v>-4.3209999999999997</v>
      </c>
      <c r="BB1062" s="694">
        <v>-4.1360000000000001</v>
      </c>
      <c r="BC1062" s="694">
        <v>-3.7570000000000001</v>
      </c>
      <c r="BD1062" s="695">
        <v>-18.071999999999999</v>
      </c>
      <c r="BE1062" s="694">
        <v>-3.5310000000000001</v>
      </c>
      <c r="BF1062" s="694">
        <v>-2.024</v>
      </c>
      <c r="BG1062" s="694">
        <v>-1.972</v>
      </c>
      <c r="BH1062" s="694">
        <v>-2.113</v>
      </c>
      <c r="BI1062" s="702">
        <v>-9.64</v>
      </c>
      <c r="BJ1062" s="693"/>
      <c r="BK1062" s="693"/>
      <c r="BL1062" s="693"/>
      <c r="BM1062" s="693"/>
      <c r="BN1062" s="692"/>
      <c r="BO1062" s="693"/>
      <c r="BP1062" s="693"/>
      <c r="BQ1062" s="693"/>
      <c r="BR1062" s="693"/>
      <c r="BS1062" s="692"/>
      <c r="BT1062" s="692"/>
      <c r="BU1062" s="692"/>
      <c r="BV1062" s="692"/>
      <c r="BW1062" s="122"/>
    </row>
    <row r="1063" spans="1:75" s="697" customFormat="1" hidden="1" outlineLevel="1" x14ac:dyDescent="0.5">
      <c r="A1063" s="354" t="s">
        <v>1086</v>
      </c>
      <c r="B1063" s="251"/>
      <c r="C1063" s="692"/>
      <c r="D1063" s="692"/>
      <c r="E1063" s="695">
        <v>-10.715</v>
      </c>
      <c r="F1063" s="695">
        <v>-4.258</v>
      </c>
      <c r="G1063" s="693"/>
      <c r="H1063" s="693"/>
      <c r="I1063" s="693"/>
      <c r="J1063" s="693"/>
      <c r="K1063" s="692"/>
      <c r="L1063" s="693"/>
      <c r="M1063" s="693"/>
      <c r="N1063" s="693"/>
      <c r="O1063" s="693"/>
      <c r="P1063" s="692"/>
      <c r="Q1063" s="693"/>
      <c r="R1063" s="693"/>
      <c r="S1063" s="693"/>
      <c r="T1063" s="693"/>
      <c r="U1063" s="692"/>
      <c r="V1063" s="693"/>
      <c r="W1063" s="693"/>
      <c r="X1063" s="693"/>
      <c r="Y1063" s="693"/>
      <c r="Z1063" s="692"/>
      <c r="AA1063" s="693"/>
      <c r="AB1063" s="693"/>
      <c r="AC1063" s="693"/>
      <c r="AD1063" s="693"/>
      <c r="AE1063" s="692"/>
      <c r="AF1063" s="693"/>
      <c r="AG1063" s="693"/>
      <c r="AH1063" s="693"/>
      <c r="AI1063" s="693"/>
      <c r="AJ1063" s="692"/>
      <c r="AK1063" s="693"/>
      <c r="AL1063" s="693"/>
      <c r="AM1063" s="693"/>
      <c r="AN1063" s="693"/>
      <c r="AO1063" s="692"/>
      <c r="AP1063" s="693"/>
      <c r="AQ1063" s="693"/>
      <c r="AR1063" s="693"/>
      <c r="AS1063" s="693"/>
      <c r="AT1063" s="692"/>
      <c r="AU1063" s="693"/>
      <c r="AV1063" s="693"/>
      <c r="AW1063" s="693"/>
      <c r="AX1063" s="693"/>
      <c r="AY1063" s="692"/>
      <c r="AZ1063" s="693"/>
      <c r="BA1063" s="693"/>
      <c r="BB1063" s="693"/>
      <c r="BC1063" s="693"/>
      <c r="BD1063" s="692"/>
      <c r="BE1063" s="693"/>
      <c r="BF1063" s="693"/>
      <c r="BG1063" s="693"/>
      <c r="BH1063" s="693"/>
      <c r="BI1063" s="696"/>
      <c r="BJ1063" s="693"/>
      <c r="BK1063" s="693"/>
      <c r="BL1063" s="693"/>
      <c r="BM1063" s="693"/>
      <c r="BN1063" s="692"/>
      <c r="BO1063" s="693"/>
      <c r="BP1063" s="693"/>
      <c r="BQ1063" s="693"/>
      <c r="BR1063" s="693"/>
      <c r="BS1063" s="692"/>
      <c r="BT1063" s="692"/>
      <c r="BU1063" s="692"/>
      <c r="BV1063" s="692"/>
      <c r="BW1063" s="122"/>
    </row>
    <row r="1064" spans="1:75" s="697" customFormat="1" hidden="1" outlineLevel="1" x14ac:dyDescent="0.5">
      <c r="A1064" s="354" t="s">
        <v>1087</v>
      </c>
      <c r="B1064" s="251"/>
      <c r="C1064" s="692"/>
      <c r="D1064" s="692"/>
      <c r="E1064" s="692"/>
      <c r="F1064" s="692"/>
      <c r="G1064" s="693"/>
      <c r="H1064" s="693"/>
      <c r="I1064" s="693"/>
      <c r="J1064" s="693"/>
      <c r="K1064" s="692"/>
      <c r="L1064" s="693"/>
      <c r="M1064" s="693"/>
      <c r="N1064" s="693"/>
      <c r="O1064" s="693"/>
      <c r="P1064" s="692"/>
      <c r="Q1064" s="693"/>
      <c r="R1064" s="693"/>
      <c r="S1064" s="693"/>
      <c r="T1064" s="693"/>
      <c r="U1064" s="692"/>
      <c r="V1064" s="693"/>
      <c r="W1064" s="693"/>
      <c r="X1064" s="693"/>
      <c r="Y1064" s="693"/>
      <c r="Z1064" s="692"/>
      <c r="AA1064" s="693"/>
      <c r="AB1064" s="693"/>
      <c r="AC1064" s="693"/>
      <c r="AD1064" s="693"/>
      <c r="AE1064" s="692"/>
      <c r="AF1064" s="693"/>
      <c r="AG1064" s="693"/>
      <c r="AH1064" s="693"/>
      <c r="AI1064" s="693"/>
      <c r="AJ1064" s="692"/>
      <c r="AK1064" s="693"/>
      <c r="AL1064" s="693"/>
      <c r="AM1064" s="693"/>
      <c r="AN1064" s="693"/>
      <c r="AO1064" s="692"/>
      <c r="AP1064" s="693"/>
      <c r="AQ1064" s="693"/>
      <c r="AR1064" s="693"/>
      <c r="AS1064" s="693"/>
      <c r="AT1064" s="692"/>
      <c r="AU1064" s="693"/>
      <c r="AV1064" s="693"/>
      <c r="AW1064" s="693"/>
      <c r="AX1064" s="693"/>
      <c r="AY1064" s="692"/>
      <c r="AZ1064" s="694">
        <v>-11.717000000000001</v>
      </c>
      <c r="BA1064" s="693"/>
      <c r="BB1064" s="693"/>
      <c r="BC1064" s="694">
        <v>-2.6749999999999998</v>
      </c>
      <c r="BD1064" s="695">
        <v>-14.391999999999999</v>
      </c>
      <c r="BE1064" s="693"/>
      <c r="BF1064" s="693"/>
      <c r="BG1064" s="693"/>
      <c r="BH1064" s="693"/>
      <c r="BI1064" s="696"/>
      <c r="BJ1064" s="693"/>
      <c r="BK1064" s="693"/>
      <c r="BL1064" s="693"/>
      <c r="BM1064" s="693"/>
      <c r="BN1064" s="692"/>
      <c r="BO1064" s="693"/>
      <c r="BP1064" s="693"/>
      <c r="BQ1064" s="693"/>
      <c r="BR1064" s="693"/>
      <c r="BS1064" s="692"/>
      <c r="BT1064" s="692"/>
      <c r="BU1064" s="692"/>
      <c r="BV1064" s="692"/>
      <c r="BW1064" s="122"/>
    </row>
    <row r="1065" spans="1:75" s="697" customFormat="1" hidden="1" outlineLevel="1" x14ac:dyDescent="0.5">
      <c r="A1065" s="354" t="s">
        <v>1088</v>
      </c>
      <c r="B1065" s="251"/>
      <c r="C1065" s="692"/>
      <c r="D1065" s="692"/>
      <c r="E1065" s="692"/>
      <c r="F1065" s="692"/>
      <c r="G1065" s="693"/>
      <c r="H1065" s="693"/>
      <c r="I1065" s="693"/>
      <c r="J1065" s="693"/>
      <c r="K1065" s="692"/>
      <c r="L1065" s="693"/>
      <c r="M1065" s="693"/>
      <c r="N1065" s="693"/>
      <c r="O1065" s="693"/>
      <c r="P1065" s="692"/>
      <c r="Q1065" s="693"/>
      <c r="R1065" s="693"/>
      <c r="S1065" s="693"/>
      <c r="T1065" s="693"/>
      <c r="U1065" s="692"/>
      <c r="V1065" s="693"/>
      <c r="W1065" s="693"/>
      <c r="X1065" s="693"/>
      <c r="Y1065" s="693"/>
      <c r="Z1065" s="692"/>
      <c r="AA1065" s="693"/>
      <c r="AB1065" s="693"/>
      <c r="AC1065" s="693"/>
      <c r="AD1065" s="693"/>
      <c r="AE1065" s="692"/>
      <c r="AF1065" s="693"/>
      <c r="AG1065" s="693"/>
      <c r="AH1065" s="693"/>
      <c r="AI1065" s="693"/>
      <c r="AJ1065" s="692"/>
      <c r="AK1065" s="693"/>
      <c r="AL1065" s="693"/>
      <c r="AM1065" s="693"/>
      <c r="AN1065" s="693"/>
      <c r="AO1065" s="692"/>
      <c r="AP1065" s="693"/>
      <c r="AQ1065" s="693"/>
      <c r="AR1065" s="693"/>
      <c r="AS1065" s="693"/>
      <c r="AT1065" s="692"/>
      <c r="AU1065" s="693"/>
      <c r="AV1065" s="693"/>
      <c r="AW1065" s="693"/>
      <c r="AX1065" s="693"/>
      <c r="AY1065" s="692"/>
      <c r="AZ1065" s="694">
        <v>-7.1840000000000002</v>
      </c>
      <c r="BA1065" s="694">
        <v>-0.28499999999999998</v>
      </c>
      <c r="BB1065" s="693"/>
      <c r="BC1065" s="693"/>
      <c r="BD1065" s="695">
        <v>-7.4690000000000003</v>
      </c>
      <c r="BE1065" s="693"/>
      <c r="BF1065" s="693"/>
      <c r="BG1065" s="693"/>
      <c r="BH1065" s="693"/>
      <c r="BI1065" s="696"/>
      <c r="BJ1065" s="693"/>
      <c r="BK1065" s="693"/>
      <c r="BL1065" s="693"/>
      <c r="BM1065" s="693"/>
      <c r="BN1065" s="692"/>
      <c r="BO1065" s="693"/>
      <c r="BP1065" s="693"/>
      <c r="BQ1065" s="693"/>
      <c r="BR1065" s="693"/>
      <c r="BS1065" s="692"/>
      <c r="BT1065" s="692"/>
      <c r="BU1065" s="692"/>
      <c r="BV1065" s="692"/>
      <c r="BW1065" s="122"/>
    </row>
    <row r="1066" spans="1:75" s="697" customFormat="1" hidden="1" outlineLevel="1" x14ac:dyDescent="0.5">
      <c r="A1066" s="354" t="s">
        <v>1089</v>
      </c>
      <c r="B1066" s="251"/>
      <c r="C1066" s="692"/>
      <c r="D1066" s="692"/>
      <c r="E1066" s="692"/>
      <c r="F1066" s="692"/>
      <c r="G1066" s="693"/>
      <c r="H1066" s="693"/>
      <c r="I1066" s="693"/>
      <c r="J1066" s="693"/>
      <c r="K1066" s="692"/>
      <c r="L1066" s="693"/>
      <c r="M1066" s="693"/>
      <c r="N1066" s="693"/>
      <c r="O1066" s="693"/>
      <c r="P1066" s="692"/>
      <c r="Q1066" s="693"/>
      <c r="R1066" s="693"/>
      <c r="S1066" s="693"/>
      <c r="T1066" s="693"/>
      <c r="U1066" s="692"/>
      <c r="V1066" s="693"/>
      <c r="W1066" s="693"/>
      <c r="X1066" s="693"/>
      <c r="Y1066" s="693"/>
      <c r="Z1066" s="692"/>
      <c r="AA1066" s="693"/>
      <c r="AB1066" s="693"/>
      <c r="AC1066" s="693"/>
      <c r="AD1066" s="693"/>
      <c r="AE1066" s="692"/>
      <c r="AF1066" s="693"/>
      <c r="AG1066" s="693"/>
      <c r="AH1066" s="693"/>
      <c r="AI1066" s="693"/>
      <c r="AJ1066" s="692"/>
      <c r="AK1066" s="693"/>
      <c r="AL1066" s="693"/>
      <c r="AM1066" s="693"/>
      <c r="AN1066" s="693"/>
      <c r="AO1066" s="692"/>
      <c r="AP1066" s="693"/>
      <c r="AQ1066" s="693"/>
      <c r="AR1066" s="693"/>
      <c r="AS1066" s="693"/>
      <c r="AT1066" s="692"/>
      <c r="AU1066" s="693"/>
      <c r="AV1066" s="693"/>
      <c r="AW1066" s="693"/>
      <c r="AX1066" s="693"/>
      <c r="AY1066" s="692"/>
      <c r="AZ1066" s="693"/>
      <c r="BA1066" s="693"/>
      <c r="BB1066" s="693"/>
      <c r="BC1066" s="694">
        <v>-4.47</v>
      </c>
      <c r="BD1066" s="695">
        <v>-4.47</v>
      </c>
      <c r="BE1066" s="693"/>
      <c r="BF1066" s="693"/>
      <c r="BG1066" s="693"/>
      <c r="BH1066" s="693"/>
      <c r="BI1066" s="696"/>
      <c r="BJ1066" s="693"/>
      <c r="BK1066" s="693"/>
      <c r="BL1066" s="693"/>
      <c r="BM1066" s="693"/>
      <c r="BN1066" s="692"/>
      <c r="BO1066" s="693"/>
      <c r="BP1066" s="693"/>
      <c r="BQ1066" s="693"/>
      <c r="BR1066" s="693"/>
      <c r="BS1066" s="692"/>
      <c r="BT1066" s="692"/>
      <c r="BU1066" s="692"/>
      <c r="BV1066" s="692"/>
      <c r="BW1066" s="122"/>
    </row>
    <row r="1067" spans="1:75" s="697" customFormat="1" hidden="1" outlineLevel="1" x14ac:dyDescent="0.5">
      <c r="A1067" s="354" t="s">
        <v>1090</v>
      </c>
      <c r="B1067" s="251"/>
      <c r="C1067" s="692"/>
      <c r="D1067" s="692"/>
      <c r="E1067" s="692"/>
      <c r="F1067" s="692"/>
      <c r="G1067" s="693"/>
      <c r="H1067" s="693"/>
      <c r="I1067" s="693"/>
      <c r="J1067" s="693"/>
      <c r="K1067" s="692"/>
      <c r="L1067" s="693"/>
      <c r="M1067" s="693"/>
      <c r="N1067" s="693"/>
      <c r="O1067" s="693"/>
      <c r="P1067" s="692"/>
      <c r="Q1067" s="693"/>
      <c r="R1067" s="693"/>
      <c r="S1067" s="693"/>
      <c r="T1067" s="693"/>
      <c r="U1067" s="692"/>
      <c r="V1067" s="693"/>
      <c r="W1067" s="693"/>
      <c r="X1067" s="693"/>
      <c r="Y1067" s="693"/>
      <c r="Z1067" s="692"/>
      <c r="AA1067" s="693"/>
      <c r="AB1067" s="693"/>
      <c r="AC1067" s="693"/>
      <c r="AD1067" s="693"/>
      <c r="AE1067" s="692"/>
      <c r="AF1067" s="693"/>
      <c r="AG1067" s="693"/>
      <c r="AH1067" s="693"/>
      <c r="AI1067" s="693"/>
      <c r="AJ1067" s="692"/>
      <c r="AK1067" s="693"/>
      <c r="AL1067" s="693"/>
      <c r="AM1067" s="693"/>
      <c r="AN1067" s="693"/>
      <c r="AO1067" s="692"/>
      <c r="AP1067" s="693"/>
      <c r="AQ1067" s="693"/>
      <c r="AR1067" s="693"/>
      <c r="AS1067" s="693"/>
      <c r="AT1067" s="692"/>
      <c r="AU1067" s="693"/>
      <c r="AV1067" s="693"/>
      <c r="AW1067" s="693"/>
      <c r="AX1067" s="693"/>
      <c r="AY1067" s="692"/>
      <c r="AZ1067" s="693"/>
      <c r="BA1067" s="694">
        <v>-3.4830000000000001</v>
      </c>
      <c r="BB1067" s="693"/>
      <c r="BC1067" s="693"/>
      <c r="BD1067" s="695">
        <v>-3.4830000000000001</v>
      </c>
      <c r="BE1067" s="693"/>
      <c r="BF1067" s="693"/>
      <c r="BG1067" s="693"/>
      <c r="BH1067" s="693"/>
      <c r="BI1067" s="696"/>
      <c r="BJ1067" s="693"/>
      <c r="BK1067" s="693"/>
      <c r="BL1067" s="693"/>
      <c r="BM1067" s="693"/>
      <c r="BN1067" s="692"/>
      <c r="BO1067" s="693"/>
      <c r="BP1067" s="693"/>
      <c r="BQ1067" s="693"/>
      <c r="BR1067" s="693"/>
      <c r="BS1067" s="692"/>
      <c r="BT1067" s="692"/>
      <c r="BU1067" s="692"/>
      <c r="BV1067" s="692"/>
      <c r="BW1067" s="122"/>
    </row>
    <row r="1068" spans="1:75" s="697" customFormat="1" hidden="1" outlineLevel="1" x14ac:dyDescent="0.5">
      <c r="A1068" s="354" t="s">
        <v>1091</v>
      </c>
      <c r="B1068" s="251"/>
      <c r="C1068" s="692"/>
      <c r="D1068" s="692"/>
      <c r="E1068" s="692"/>
      <c r="F1068" s="692"/>
      <c r="G1068" s="694">
        <v>-0.76700000000000002</v>
      </c>
      <c r="H1068" s="694">
        <v>-2.1280000000000001</v>
      </c>
      <c r="I1068" s="693"/>
      <c r="J1068" s="693"/>
      <c r="K1068" s="695">
        <v>-2.895</v>
      </c>
      <c r="L1068" s="693"/>
      <c r="M1068" s="693"/>
      <c r="N1068" s="693"/>
      <c r="O1068" s="693"/>
      <c r="P1068" s="692"/>
      <c r="Q1068" s="693"/>
      <c r="R1068" s="693"/>
      <c r="S1068" s="693"/>
      <c r="T1068" s="693"/>
      <c r="U1068" s="692"/>
      <c r="V1068" s="693"/>
      <c r="W1068" s="693"/>
      <c r="X1068" s="693"/>
      <c r="Y1068" s="693"/>
      <c r="Z1068" s="692"/>
      <c r="AA1068" s="693"/>
      <c r="AB1068" s="693"/>
      <c r="AC1068" s="693"/>
      <c r="AD1068" s="693"/>
      <c r="AE1068" s="692"/>
      <c r="AF1068" s="693"/>
      <c r="AG1068" s="693"/>
      <c r="AH1068" s="693"/>
      <c r="AI1068" s="693"/>
      <c r="AJ1068" s="692"/>
      <c r="AK1068" s="693"/>
      <c r="AL1068" s="693"/>
      <c r="AM1068" s="693"/>
      <c r="AN1068" s="693"/>
      <c r="AO1068" s="692"/>
      <c r="AP1068" s="693"/>
      <c r="AQ1068" s="693"/>
      <c r="AR1068" s="693"/>
      <c r="AS1068" s="693"/>
      <c r="AT1068" s="692"/>
      <c r="AU1068" s="693"/>
      <c r="AV1068" s="693"/>
      <c r="AW1068" s="693"/>
      <c r="AX1068" s="693"/>
      <c r="AY1068" s="692"/>
      <c r="AZ1068" s="693"/>
      <c r="BA1068" s="693"/>
      <c r="BB1068" s="693"/>
      <c r="BC1068" s="693"/>
      <c r="BD1068" s="692"/>
      <c r="BE1068" s="693"/>
      <c r="BF1068" s="693"/>
      <c r="BG1068" s="693"/>
      <c r="BH1068" s="693"/>
      <c r="BI1068" s="696"/>
      <c r="BJ1068" s="693"/>
      <c r="BK1068" s="693"/>
      <c r="BL1068" s="693"/>
      <c r="BM1068" s="693"/>
      <c r="BN1068" s="692"/>
      <c r="BO1068" s="693"/>
      <c r="BP1068" s="693"/>
      <c r="BQ1068" s="693"/>
      <c r="BR1068" s="693"/>
      <c r="BS1068" s="692"/>
      <c r="BT1068" s="692"/>
      <c r="BU1068" s="692"/>
      <c r="BV1068" s="692"/>
      <c r="BW1068" s="122"/>
    </row>
    <row r="1069" spans="1:75" s="697" customFormat="1" hidden="1" outlineLevel="1" x14ac:dyDescent="0.5">
      <c r="A1069" s="354" t="s">
        <v>1092</v>
      </c>
      <c r="B1069" s="251"/>
      <c r="C1069" s="692"/>
      <c r="D1069" s="692"/>
      <c r="E1069" s="692"/>
      <c r="F1069" s="695">
        <v>-10.755000000000001</v>
      </c>
      <c r="G1069" s="693"/>
      <c r="H1069" s="693"/>
      <c r="I1069" s="693"/>
      <c r="J1069" s="693"/>
      <c r="K1069" s="692"/>
      <c r="L1069" s="693"/>
      <c r="M1069" s="693"/>
      <c r="N1069" s="693"/>
      <c r="O1069" s="693"/>
      <c r="P1069" s="692"/>
      <c r="Q1069" s="693"/>
      <c r="R1069" s="693"/>
      <c r="S1069" s="693"/>
      <c r="T1069" s="693"/>
      <c r="U1069" s="692"/>
      <c r="V1069" s="693"/>
      <c r="W1069" s="693"/>
      <c r="X1069" s="693"/>
      <c r="Y1069" s="693"/>
      <c r="Z1069" s="692"/>
      <c r="AA1069" s="693"/>
      <c r="AB1069" s="693"/>
      <c r="AC1069" s="693"/>
      <c r="AD1069" s="693"/>
      <c r="AE1069" s="692"/>
      <c r="AF1069" s="693"/>
      <c r="AG1069" s="693"/>
      <c r="AH1069" s="693"/>
      <c r="AI1069" s="693"/>
      <c r="AJ1069" s="692"/>
      <c r="AK1069" s="693"/>
      <c r="AL1069" s="693"/>
      <c r="AM1069" s="693"/>
      <c r="AN1069" s="693"/>
      <c r="AO1069" s="692"/>
      <c r="AP1069" s="693"/>
      <c r="AQ1069" s="693"/>
      <c r="AR1069" s="693"/>
      <c r="AS1069" s="693"/>
      <c r="AT1069" s="692"/>
      <c r="AU1069" s="693"/>
      <c r="AV1069" s="693"/>
      <c r="AW1069" s="693"/>
      <c r="AX1069" s="693"/>
      <c r="AY1069" s="692"/>
      <c r="AZ1069" s="693"/>
      <c r="BA1069" s="693"/>
      <c r="BB1069" s="693"/>
      <c r="BC1069" s="693"/>
      <c r="BD1069" s="692"/>
      <c r="BE1069" s="693"/>
      <c r="BF1069" s="693"/>
      <c r="BG1069" s="693"/>
      <c r="BH1069" s="693"/>
      <c r="BI1069" s="696"/>
      <c r="BJ1069" s="693"/>
      <c r="BK1069" s="693"/>
      <c r="BL1069" s="693"/>
      <c r="BM1069" s="693"/>
      <c r="BN1069" s="692"/>
      <c r="BO1069" s="693"/>
      <c r="BP1069" s="693"/>
      <c r="BQ1069" s="693"/>
      <c r="BR1069" s="693"/>
      <c r="BS1069" s="692"/>
      <c r="BT1069" s="692"/>
      <c r="BU1069" s="692"/>
      <c r="BV1069" s="692"/>
      <c r="BW1069" s="122"/>
    </row>
    <row r="1070" spans="1:75" s="697" customFormat="1" hidden="1" outlineLevel="1" x14ac:dyDescent="0.5">
      <c r="A1070" s="354" t="s">
        <v>1093</v>
      </c>
      <c r="B1070" s="251"/>
      <c r="C1070" s="692"/>
      <c r="D1070" s="692"/>
      <c r="E1070" s="692"/>
      <c r="F1070" s="695">
        <v>-4.7779999999999996</v>
      </c>
      <c r="G1070" s="693"/>
      <c r="H1070" s="693"/>
      <c r="I1070" s="693"/>
      <c r="J1070" s="693"/>
      <c r="K1070" s="692"/>
      <c r="L1070" s="693"/>
      <c r="M1070" s="693"/>
      <c r="N1070" s="693"/>
      <c r="O1070" s="693"/>
      <c r="P1070" s="692"/>
      <c r="Q1070" s="693"/>
      <c r="R1070" s="693"/>
      <c r="S1070" s="693"/>
      <c r="T1070" s="693"/>
      <c r="U1070" s="692"/>
      <c r="V1070" s="693"/>
      <c r="W1070" s="693"/>
      <c r="X1070" s="693"/>
      <c r="Y1070" s="693"/>
      <c r="Z1070" s="692"/>
      <c r="AA1070" s="693"/>
      <c r="AB1070" s="693"/>
      <c r="AC1070" s="693"/>
      <c r="AD1070" s="693"/>
      <c r="AE1070" s="692"/>
      <c r="AF1070" s="693"/>
      <c r="AG1070" s="693"/>
      <c r="AH1070" s="693"/>
      <c r="AI1070" s="693"/>
      <c r="AJ1070" s="692"/>
      <c r="AK1070" s="693"/>
      <c r="AL1070" s="693"/>
      <c r="AM1070" s="693"/>
      <c r="AN1070" s="693"/>
      <c r="AO1070" s="692"/>
      <c r="AP1070" s="693"/>
      <c r="AQ1070" s="693"/>
      <c r="AR1070" s="693"/>
      <c r="AS1070" s="693"/>
      <c r="AT1070" s="692"/>
      <c r="AU1070" s="693"/>
      <c r="AV1070" s="693"/>
      <c r="AW1070" s="693"/>
      <c r="AX1070" s="693"/>
      <c r="AY1070" s="692"/>
      <c r="AZ1070" s="693"/>
      <c r="BA1070" s="693"/>
      <c r="BB1070" s="693"/>
      <c r="BC1070" s="693"/>
      <c r="BD1070" s="692"/>
      <c r="BE1070" s="693"/>
      <c r="BF1070" s="693"/>
      <c r="BG1070" s="693"/>
      <c r="BH1070" s="693"/>
      <c r="BI1070" s="696"/>
      <c r="BJ1070" s="693"/>
      <c r="BK1070" s="693"/>
      <c r="BL1070" s="693"/>
      <c r="BM1070" s="693"/>
      <c r="BN1070" s="692"/>
      <c r="BO1070" s="693"/>
      <c r="BP1070" s="693"/>
      <c r="BQ1070" s="693"/>
      <c r="BR1070" s="693"/>
      <c r="BS1070" s="692"/>
      <c r="BT1070" s="692"/>
      <c r="BU1070" s="692"/>
      <c r="BV1070" s="692"/>
      <c r="BW1070" s="122"/>
    </row>
    <row r="1071" spans="1:75" s="697" customFormat="1" hidden="1" outlineLevel="1" x14ac:dyDescent="0.5">
      <c r="A1071" s="354" t="s">
        <v>1094</v>
      </c>
      <c r="B1071" s="251"/>
      <c r="C1071" s="692"/>
      <c r="D1071" s="692"/>
      <c r="E1071" s="695">
        <v>-1.58</v>
      </c>
      <c r="F1071" s="692"/>
      <c r="G1071" s="693"/>
      <c r="H1071" s="693"/>
      <c r="I1071" s="693"/>
      <c r="J1071" s="693"/>
      <c r="K1071" s="692"/>
      <c r="L1071" s="693"/>
      <c r="M1071" s="693"/>
      <c r="N1071" s="693"/>
      <c r="O1071" s="693"/>
      <c r="P1071" s="692"/>
      <c r="Q1071" s="693"/>
      <c r="R1071" s="693"/>
      <c r="S1071" s="693"/>
      <c r="T1071" s="693"/>
      <c r="U1071" s="692"/>
      <c r="V1071" s="693"/>
      <c r="W1071" s="693"/>
      <c r="X1071" s="693"/>
      <c r="Y1071" s="693"/>
      <c r="Z1071" s="692"/>
      <c r="AA1071" s="693"/>
      <c r="AB1071" s="693"/>
      <c r="AC1071" s="693"/>
      <c r="AD1071" s="693"/>
      <c r="AE1071" s="692"/>
      <c r="AF1071" s="693"/>
      <c r="AG1071" s="693"/>
      <c r="AH1071" s="693"/>
      <c r="AI1071" s="693"/>
      <c r="AJ1071" s="692"/>
      <c r="AK1071" s="693"/>
      <c r="AL1071" s="693"/>
      <c r="AM1071" s="693"/>
      <c r="AN1071" s="693"/>
      <c r="AO1071" s="692"/>
      <c r="AP1071" s="693"/>
      <c r="AQ1071" s="693"/>
      <c r="AR1071" s="693"/>
      <c r="AS1071" s="693"/>
      <c r="AT1071" s="692"/>
      <c r="AU1071" s="693"/>
      <c r="AV1071" s="693"/>
      <c r="AW1071" s="693"/>
      <c r="AX1071" s="693"/>
      <c r="AY1071" s="692"/>
      <c r="AZ1071" s="693"/>
      <c r="BA1071" s="693"/>
      <c r="BB1071" s="693"/>
      <c r="BC1071" s="693"/>
      <c r="BD1071" s="692"/>
      <c r="BE1071" s="693"/>
      <c r="BF1071" s="693"/>
      <c r="BG1071" s="693"/>
      <c r="BH1071" s="693"/>
      <c r="BI1071" s="696"/>
      <c r="BJ1071" s="693"/>
      <c r="BK1071" s="693"/>
      <c r="BL1071" s="693"/>
      <c r="BM1071" s="693"/>
      <c r="BN1071" s="692"/>
      <c r="BO1071" s="693"/>
      <c r="BP1071" s="693"/>
      <c r="BQ1071" s="693"/>
      <c r="BR1071" s="693"/>
      <c r="BS1071" s="692"/>
      <c r="BT1071" s="692"/>
      <c r="BU1071" s="692"/>
      <c r="BV1071" s="692"/>
      <c r="BW1071" s="122"/>
    </row>
    <row r="1072" spans="1:75" s="697" customFormat="1" hidden="1" outlineLevel="1" x14ac:dyDescent="0.5">
      <c r="A1072" s="354" t="s">
        <v>1095</v>
      </c>
      <c r="B1072" s="251"/>
      <c r="C1072" s="692"/>
      <c r="D1072" s="692"/>
      <c r="E1072" s="695">
        <v>-0.621</v>
      </c>
      <c r="F1072" s="692"/>
      <c r="G1072" s="693"/>
      <c r="H1072" s="693"/>
      <c r="I1072" s="693"/>
      <c r="J1072" s="693"/>
      <c r="K1072" s="692"/>
      <c r="L1072" s="693"/>
      <c r="M1072" s="693"/>
      <c r="N1072" s="693"/>
      <c r="O1072" s="693"/>
      <c r="P1072" s="692"/>
      <c r="Q1072" s="693"/>
      <c r="R1072" s="693"/>
      <c r="S1072" s="693"/>
      <c r="T1072" s="693"/>
      <c r="U1072" s="692"/>
      <c r="V1072" s="693"/>
      <c r="W1072" s="693"/>
      <c r="X1072" s="693"/>
      <c r="Y1072" s="693"/>
      <c r="Z1072" s="692"/>
      <c r="AA1072" s="693"/>
      <c r="AB1072" s="693"/>
      <c r="AC1072" s="693"/>
      <c r="AD1072" s="693"/>
      <c r="AE1072" s="692"/>
      <c r="AF1072" s="693"/>
      <c r="AG1072" s="693"/>
      <c r="AH1072" s="693"/>
      <c r="AI1072" s="693"/>
      <c r="AJ1072" s="692"/>
      <c r="AK1072" s="693"/>
      <c r="AL1072" s="693"/>
      <c r="AM1072" s="693"/>
      <c r="AN1072" s="693"/>
      <c r="AO1072" s="692"/>
      <c r="AP1072" s="693"/>
      <c r="AQ1072" s="693"/>
      <c r="AR1072" s="693"/>
      <c r="AS1072" s="693"/>
      <c r="AT1072" s="692"/>
      <c r="AU1072" s="693"/>
      <c r="AV1072" s="693"/>
      <c r="AW1072" s="693"/>
      <c r="AX1072" s="693"/>
      <c r="AY1072" s="692"/>
      <c r="AZ1072" s="693"/>
      <c r="BA1072" s="693"/>
      <c r="BB1072" s="693"/>
      <c r="BC1072" s="693"/>
      <c r="BD1072" s="692"/>
      <c r="BE1072" s="693"/>
      <c r="BF1072" s="693"/>
      <c r="BG1072" s="693"/>
      <c r="BH1072" s="693"/>
      <c r="BI1072" s="696"/>
      <c r="BJ1072" s="693"/>
      <c r="BK1072" s="693"/>
      <c r="BL1072" s="693"/>
      <c r="BM1072" s="693"/>
      <c r="BN1072" s="692"/>
      <c r="BO1072" s="693"/>
      <c r="BP1072" s="693"/>
      <c r="BQ1072" s="693"/>
      <c r="BR1072" s="693"/>
      <c r="BS1072" s="692"/>
      <c r="BT1072" s="692"/>
      <c r="BU1072" s="692"/>
      <c r="BV1072" s="692"/>
      <c r="BW1072" s="122"/>
    </row>
    <row r="1073" spans="1:75" s="697" customFormat="1" hidden="1" outlineLevel="1" x14ac:dyDescent="0.5">
      <c r="A1073" s="354" t="s">
        <v>1096</v>
      </c>
      <c r="B1073" s="251"/>
      <c r="C1073" s="692"/>
      <c r="D1073" s="692"/>
      <c r="E1073" s="692"/>
      <c r="F1073" s="692"/>
      <c r="G1073" s="693"/>
      <c r="H1073" s="693"/>
      <c r="I1073" s="693"/>
      <c r="J1073" s="693"/>
      <c r="K1073" s="692"/>
      <c r="L1073" s="693"/>
      <c r="M1073" s="693"/>
      <c r="N1073" s="693"/>
      <c r="O1073" s="693"/>
      <c r="P1073" s="692"/>
      <c r="Q1073" s="693"/>
      <c r="R1073" s="693"/>
      <c r="S1073" s="693"/>
      <c r="T1073" s="693"/>
      <c r="U1073" s="692"/>
      <c r="V1073" s="694">
        <v>-1.415</v>
      </c>
      <c r="W1073" s="694">
        <v>-3.3090000000000002</v>
      </c>
      <c r="X1073" s="694">
        <v>-0.97399999999999998</v>
      </c>
      <c r="Y1073" s="693"/>
      <c r="Z1073" s="695">
        <v>-5.6980000000000004</v>
      </c>
      <c r="AA1073" s="693"/>
      <c r="AB1073" s="693"/>
      <c r="AC1073" s="694">
        <v>-1.0289999999999999</v>
      </c>
      <c r="AD1073" s="694">
        <v>0.08</v>
      </c>
      <c r="AE1073" s="695">
        <v>-0.94899999999999995</v>
      </c>
      <c r="AF1073" s="693"/>
      <c r="AG1073" s="694">
        <v>-1.7210000000000001</v>
      </c>
      <c r="AH1073" s="694">
        <v>-7.5640000000000001</v>
      </c>
      <c r="AI1073" s="694">
        <v>-0.69199999999999995</v>
      </c>
      <c r="AJ1073" s="695">
        <v>-9.9770000000000003</v>
      </c>
      <c r="AK1073" s="693"/>
      <c r="AL1073" s="693"/>
      <c r="AM1073" s="694">
        <v>-1.075</v>
      </c>
      <c r="AN1073" s="693"/>
      <c r="AO1073" s="695">
        <v>-1.075</v>
      </c>
      <c r="AP1073" s="694">
        <v>-4.1429999999999998</v>
      </c>
      <c r="AQ1073" s="694">
        <v>-2.8839999999999999</v>
      </c>
      <c r="AR1073" s="693"/>
      <c r="AS1073" s="693"/>
      <c r="AT1073" s="695">
        <v>-7.0270000000000001</v>
      </c>
      <c r="AU1073" s="693"/>
      <c r="AV1073" s="694">
        <v>-0.44900000000000001</v>
      </c>
      <c r="AW1073" s="693"/>
      <c r="AX1073" s="693"/>
      <c r="AY1073" s="695">
        <v>-0.44900000000000001</v>
      </c>
      <c r="AZ1073" s="693"/>
      <c r="BA1073" s="693"/>
      <c r="BB1073" s="693"/>
      <c r="BC1073" s="693"/>
      <c r="BD1073" s="692"/>
      <c r="BE1073" s="694">
        <v>-7.6210000000000004</v>
      </c>
      <c r="BF1073" s="693"/>
      <c r="BG1073" s="693"/>
      <c r="BH1073" s="693"/>
      <c r="BI1073" s="702">
        <v>-7.6210000000000004</v>
      </c>
      <c r="BJ1073" s="693"/>
      <c r="BK1073" s="693"/>
      <c r="BL1073" s="693"/>
      <c r="BM1073" s="693"/>
      <c r="BN1073" s="692"/>
      <c r="BO1073" s="693"/>
      <c r="BP1073" s="693"/>
      <c r="BQ1073" s="693"/>
      <c r="BR1073" s="693"/>
      <c r="BS1073" s="692"/>
      <c r="BT1073" s="692"/>
      <c r="BU1073" s="692"/>
      <c r="BV1073" s="692"/>
      <c r="BW1073" s="122"/>
    </row>
    <row r="1074" spans="1:75" s="697" customFormat="1" hidden="1" outlineLevel="1" x14ac:dyDescent="0.5">
      <c r="A1074" s="354" t="s">
        <v>1097</v>
      </c>
      <c r="B1074" s="251"/>
      <c r="C1074" s="692"/>
      <c r="D1074" s="692"/>
      <c r="E1074" s="692"/>
      <c r="F1074" s="692"/>
      <c r="G1074" s="693"/>
      <c r="H1074" s="693"/>
      <c r="I1074" s="693"/>
      <c r="J1074" s="693"/>
      <c r="K1074" s="692"/>
      <c r="L1074" s="693"/>
      <c r="M1074" s="693"/>
      <c r="N1074" s="693"/>
      <c r="O1074" s="693"/>
      <c r="P1074" s="692"/>
      <c r="Q1074" s="693"/>
      <c r="R1074" s="693"/>
      <c r="S1074" s="693"/>
      <c r="T1074" s="693"/>
      <c r="U1074" s="692"/>
      <c r="V1074" s="693"/>
      <c r="W1074" s="693"/>
      <c r="X1074" s="693"/>
      <c r="Y1074" s="693"/>
      <c r="Z1074" s="692"/>
      <c r="AA1074" s="693"/>
      <c r="AB1074" s="693"/>
      <c r="AC1074" s="693"/>
      <c r="AD1074" s="693"/>
      <c r="AE1074" s="692"/>
      <c r="AF1074" s="693"/>
      <c r="AG1074" s="693"/>
      <c r="AH1074" s="693"/>
      <c r="AI1074" s="694">
        <v>-8.4969999999999999</v>
      </c>
      <c r="AJ1074" s="695">
        <v>-8.4969999999999999</v>
      </c>
      <c r="AK1074" s="693"/>
      <c r="AL1074" s="693"/>
      <c r="AM1074" s="694">
        <v>0.33300000000000002</v>
      </c>
      <c r="AN1074" s="693"/>
      <c r="AO1074" s="695">
        <v>0.33300000000000002</v>
      </c>
      <c r="AP1074" s="693"/>
      <c r="AQ1074" s="693"/>
      <c r="AR1074" s="693"/>
      <c r="AS1074" s="693"/>
      <c r="AT1074" s="692"/>
      <c r="AU1074" s="693"/>
      <c r="AV1074" s="693"/>
      <c r="AW1074" s="693"/>
      <c r="AX1074" s="693"/>
      <c r="AY1074" s="692"/>
      <c r="AZ1074" s="693"/>
      <c r="BA1074" s="693"/>
      <c r="BB1074" s="693"/>
      <c r="BC1074" s="693"/>
      <c r="BD1074" s="692"/>
      <c r="BE1074" s="693"/>
      <c r="BF1074" s="693"/>
      <c r="BG1074" s="693"/>
      <c r="BH1074" s="693"/>
      <c r="BI1074" s="696"/>
      <c r="BJ1074" s="693"/>
      <c r="BK1074" s="693"/>
      <c r="BL1074" s="693"/>
      <c r="BM1074" s="693"/>
      <c r="BN1074" s="692"/>
      <c r="BO1074" s="693"/>
      <c r="BP1074" s="693"/>
      <c r="BQ1074" s="693"/>
      <c r="BR1074" s="693"/>
      <c r="BS1074" s="692"/>
      <c r="BT1074" s="692"/>
      <c r="BU1074" s="692"/>
      <c r="BV1074" s="692"/>
      <c r="BW1074" s="122"/>
    </row>
    <row r="1075" spans="1:75" s="697" customFormat="1" hidden="1" outlineLevel="1" x14ac:dyDescent="0.5">
      <c r="A1075" s="354" t="s">
        <v>1077</v>
      </c>
      <c r="B1075" s="251"/>
      <c r="C1075" s="692"/>
      <c r="D1075" s="692"/>
      <c r="E1075" s="692"/>
      <c r="F1075" s="692"/>
      <c r="G1075" s="693"/>
      <c r="H1075" s="693"/>
      <c r="I1075" s="693"/>
      <c r="J1075" s="693"/>
      <c r="K1075" s="692"/>
      <c r="L1075" s="693"/>
      <c r="M1075" s="693"/>
      <c r="N1075" s="693"/>
      <c r="O1075" s="693"/>
      <c r="P1075" s="692"/>
      <c r="Q1075" s="693"/>
      <c r="R1075" s="693"/>
      <c r="S1075" s="693"/>
      <c r="T1075" s="693"/>
      <c r="U1075" s="692"/>
      <c r="V1075" s="693"/>
      <c r="W1075" s="693"/>
      <c r="X1075" s="693"/>
      <c r="Y1075" s="694">
        <v>-10.558</v>
      </c>
      <c r="Z1075" s="695">
        <v>-10.558</v>
      </c>
      <c r="AA1075" s="693"/>
      <c r="AB1075" s="693"/>
      <c r="AC1075" s="693"/>
      <c r="AD1075" s="693"/>
      <c r="AE1075" s="692"/>
      <c r="AF1075" s="693"/>
      <c r="AG1075" s="693"/>
      <c r="AH1075" s="693"/>
      <c r="AI1075" s="693"/>
      <c r="AJ1075" s="692"/>
      <c r="AK1075" s="694">
        <v>-0.48299999999999998</v>
      </c>
      <c r="AL1075" s="694">
        <v>-0.629</v>
      </c>
      <c r="AM1075" s="694">
        <v>-1.0309999999999999</v>
      </c>
      <c r="AN1075" s="694">
        <v>-14.847</v>
      </c>
      <c r="AO1075" s="695">
        <v>-16.989999999999998</v>
      </c>
      <c r="AP1075" s="694">
        <v>-6.1210000000000004</v>
      </c>
      <c r="AQ1075" s="694">
        <v>-1.339</v>
      </c>
      <c r="AR1075" s="694">
        <v>-2.0910000000000002</v>
      </c>
      <c r="AS1075" s="694">
        <v>-0.95</v>
      </c>
      <c r="AT1075" s="695">
        <v>-10.500999999999999</v>
      </c>
      <c r="AU1075" s="693"/>
      <c r="AV1075" s="694">
        <v>-7.3540000000000001</v>
      </c>
      <c r="AW1075" s="693"/>
      <c r="AX1075" s="694">
        <v>-2.2759999999999998</v>
      </c>
      <c r="AY1075" s="695">
        <v>-9.6300000000000008</v>
      </c>
      <c r="AZ1075" s="694">
        <v>-5.923</v>
      </c>
      <c r="BA1075" s="694">
        <v>-2.2309999999999999</v>
      </c>
      <c r="BB1075" s="693"/>
      <c r="BC1075" s="694">
        <v>-5.1059999999999999</v>
      </c>
      <c r="BD1075" s="695">
        <v>-13.26</v>
      </c>
      <c r="BE1075" s="693"/>
      <c r="BF1075" s="693"/>
      <c r="BG1075" s="694">
        <v>-3.5310000000000001</v>
      </c>
      <c r="BH1075" s="693"/>
      <c r="BI1075" s="702">
        <v>-3.5310000000000001</v>
      </c>
      <c r="BJ1075" s="693"/>
      <c r="BK1075" s="693"/>
      <c r="BL1075" s="693"/>
      <c r="BM1075" s="693"/>
      <c r="BN1075" s="692"/>
      <c r="BO1075" s="693"/>
      <c r="BP1075" s="693"/>
      <c r="BQ1075" s="693"/>
      <c r="BR1075" s="693"/>
      <c r="BS1075" s="692"/>
      <c r="BT1075" s="692"/>
      <c r="BU1075" s="692"/>
      <c r="BV1075" s="692"/>
      <c r="BW1075" s="122"/>
    </row>
    <row r="1076" spans="1:75" s="697" customFormat="1" hidden="1" outlineLevel="1" x14ac:dyDescent="0.5">
      <c r="A1076" s="354" t="s">
        <v>1098</v>
      </c>
      <c r="B1076" s="251"/>
      <c r="C1076" s="692"/>
      <c r="D1076" s="692"/>
      <c r="E1076" s="692"/>
      <c r="F1076" s="692"/>
      <c r="G1076" s="693"/>
      <c r="H1076" s="693"/>
      <c r="I1076" s="693"/>
      <c r="J1076" s="693"/>
      <c r="K1076" s="692"/>
      <c r="L1076" s="693"/>
      <c r="M1076" s="693"/>
      <c r="N1076" s="693"/>
      <c r="O1076" s="693"/>
      <c r="P1076" s="692"/>
      <c r="Q1076" s="693"/>
      <c r="R1076" s="693"/>
      <c r="S1076" s="693"/>
      <c r="T1076" s="693"/>
      <c r="U1076" s="692"/>
      <c r="V1076" s="693"/>
      <c r="W1076" s="693"/>
      <c r="X1076" s="693"/>
      <c r="Y1076" s="694">
        <v>-4.7670000000000003</v>
      </c>
      <c r="Z1076" s="695">
        <v>-4.7670000000000003</v>
      </c>
      <c r="AA1076" s="693"/>
      <c r="AB1076" s="693"/>
      <c r="AC1076" s="693"/>
      <c r="AD1076" s="693"/>
      <c r="AE1076" s="692"/>
      <c r="AF1076" s="693"/>
      <c r="AG1076" s="693"/>
      <c r="AH1076" s="693"/>
      <c r="AI1076" s="693"/>
      <c r="AJ1076" s="692"/>
      <c r="AK1076" s="693"/>
      <c r="AL1076" s="693"/>
      <c r="AM1076" s="693"/>
      <c r="AN1076" s="693"/>
      <c r="AO1076" s="692"/>
      <c r="AP1076" s="693"/>
      <c r="AQ1076" s="693"/>
      <c r="AR1076" s="693"/>
      <c r="AS1076" s="693"/>
      <c r="AT1076" s="692"/>
      <c r="AU1076" s="693"/>
      <c r="AV1076" s="693"/>
      <c r="AW1076" s="693"/>
      <c r="AX1076" s="693"/>
      <c r="AY1076" s="692"/>
      <c r="AZ1076" s="693"/>
      <c r="BA1076" s="693"/>
      <c r="BB1076" s="693"/>
      <c r="BC1076" s="693"/>
      <c r="BD1076" s="692"/>
      <c r="BE1076" s="693"/>
      <c r="BF1076" s="693"/>
      <c r="BG1076" s="693"/>
      <c r="BH1076" s="693"/>
      <c r="BI1076" s="696"/>
      <c r="BJ1076" s="693"/>
      <c r="BK1076" s="693"/>
      <c r="BL1076" s="693"/>
      <c r="BM1076" s="693"/>
      <c r="BN1076" s="692"/>
      <c r="BO1076" s="693"/>
      <c r="BP1076" s="693"/>
      <c r="BQ1076" s="693"/>
      <c r="BR1076" s="693"/>
      <c r="BS1076" s="692"/>
      <c r="BT1076" s="692"/>
      <c r="BU1076" s="692"/>
      <c r="BV1076" s="692"/>
      <c r="BW1076" s="122"/>
    </row>
    <row r="1077" spans="1:75" s="697" customFormat="1" hidden="1" outlineLevel="1" x14ac:dyDescent="0.5">
      <c r="A1077" s="354" t="s">
        <v>1099</v>
      </c>
      <c r="B1077" s="251"/>
      <c r="C1077" s="692"/>
      <c r="D1077" s="692"/>
      <c r="E1077" s="692"/>
      <c r="F1077" s="692"/>
      <c r="G1077" s="693"/>
      <c r="H1077" s="693"/>
      <c r="I1077" s="693"/>
      <c r="J1077" s="693"/>
      <c r="K1077" s="692"/>
      <c r="L1077" s="693"/>
      <c r="M1077" s="693"/>
      <c r="N1077" s="693"/>
      <c r="O1077" s="693"/>
      <c r="P1077" s="692"/>
      <c r="Q1077" s="693"/>
      <c r="R1077" s="693"/>
      <c r="S1077" s="693"/>
      <c r="T1077" s="693"/>
      <c r="U1077" s="692"/>
      <c r="V1077" s="694">
        <v>-2.069</v>
      </c>
      <c r="W1077" s="694">
        <v>-0.77800000000000002</v>
      </c>
      <c r="X1077" s="693"/>
      <c r="Y1077" s="693"/>
      <c r="Z1077" s="695">
        <v>-2.847</v>
      </c>
      <c r="AA1077" s="693"/>
      <c r="AB1077" s="693"/>
      <c r="AC1077" s="693"/>
      <c r="AD1077" s="693"/>
      <c r="AE1077" s="692"/>
      <c r="AF1077" s="693"/>
      <c r="AG1077" s="693"/>
      <c r="AH1077" s="693"/>
      <c r="AI1077" s="693"/>
      <c r="AJ1077" s="692"/>
      <c r="AK1077" s="693"/>
      <c r="AL1077" s="693"/>
      <c r="AM1077" s="693"/>
      <c r="AN1077" s="693"/>
      <c r="AO1077" s="692"/>
      <c r="AP1077" s="693"/>
      <c r="AQ1077" s="693"/>
      <c r="AR1077" s="693"/>
      <c r="AS1077" s="693"/>
      <c r="AT1077" s="692"/>
      <c r="AU1077" s="693"/>
      <c r="AV1077" s="693"/>
      <c r="AW1077" s="693"/>
      <c r="AX1077" s="693"/>
      <c r="AY1077" s="692"/>
      <c r="AZ1077" s="693"/>
      <c r="BA1077" s="693"/>
      <c r="BB1077" s="693"/>
      <c r="BC1077" s="693"/>
      <c r="BD1077" s="692"/>
      <c r="BE1077" s="693"/>
      <c r="BF1077" s="693"/>
      <c r="BG1077" s="693"/>
      <c r="BH1077" s="693"/>
      <c r="BI1077" s="696"/>
      <c r="BJ1077" s="693"/>
      <c r="BK1077" s="693"/>
      <c r="BL1077" s="693"/>
      <c r="BM1077" s="693"/>
      <c r="BN1077" s="692"/>
      <c r="BO1077" s="693"/>
      <c r="BP1077" s="693"/>
      <c r="BQ1077" s="693"/>
      <c r="BR1077" s="693"/>
      <c r="BS1077" s="692"/>
      <c r="BT1077" s="692"/>
      <c r="BU1077" s="692"/>
      <c r="BV1077" s="692"/>
      <c r="BW1077" s="122"/>
    </row>
    <row r="1078" spans="1:75" s="697" customFormat="1" hidden="1" outlineLevel="1" x14ac:dyDescent="0.5">
      <c r="A1078" s="354" t="s">
        <v>1100</v>
      </c>
      <c r="B1078" s="251"/>
      <c r="C1078" s="692"/>
      <c r="D1078" s="692"/>
      <c r="E1078" s="692"/>
      <c r="F1078" s="692"/>
      <c r="G1078" s="693"/>
      <c r="H1078" s="693"/>
      <c r="I1078" s="693"/>
      <c r="J1078" s="693"/>
      <c r="K1078" s="692"/>
      <c r="L1078" s="693"/>
      <c r="M1078" s="693"/>
      <c r="N1078" s="693"/>
      <c r="O1078" s="693"/>
      <c r="P1078" s="692"/>
      <c r="Q1078" s="693"/>
      <c r="R1078" s="693"/>
      <c r="S1078" s="693"/>
      <c r="T1078" s="693"/>
      <c r="U1078" s="692"/>
      <c r="V1078" s="693"/>
      <c r="W1078" s="693"/>
      <c r="X1078" s="693"/>
      <c r="Y1078" s="693"/>
      <c r="Z1078" s="692"/>
      <c r="AA1078" s="693"/>
      <c r="AB1078" s="693"/>
      <c r="AC1078" s="693"/>
      <c r="AD1078" s="693"/>
      <c r="AE1078" s="692"/>
      <c r="AF1078" s="693"/>
      <c r="AG1078" s="693"/>
      <c r="AH1078" s="693"/>
      <c r="AI1078" s="693"/>
      <c r="AJ1078" s="692"/>
      <c r="AK1078" s="693"/>
      <c r="AL1078" s="693"/>
      <c r="AM1078" s="694">
        <v>1.196</v>
      </c>
      <c r="AN1078" s="693"/>
      <c r="AO1078" s="695">
        <v>1.196</v>
      </c>
      <c r="AP1078" s="693"/>
      <c r="AQ1078" s="694">
        <v>-9.3520000000000003</v>
      </c>
      <c r="AR1078" s="693"/>
      <c r="AS1078" s="693"/>
      <c r="AT1078" s="695">
        <v>-9.3520000000000003</v>
      </c>
      <c r="AU1078" s="693"/>
      <c r="AV1078" s="693"/>
      <c r="AW1078" s="693"/>
      <c r="AX1078" s="693"/>
      <c r="AY1078" s="692"/>
      <c r="AZ1078" s="693"/>
      <c r="BA1078" s="693"/>
      <c r="BB1078" s="693"/>
      <c r="BC1078" s="693"/>
      <c r="BD1078" s="692"/>
      <c r="BE1078" s="693"/>
      <c r="BF1078" s="693"/>
      <c r="BG1078" s="693"/>
      <c r="BH1078" s="693"/>
      <c r="BI1078" s="696"/>
      <c r="BJ1078" s="693"/>
      <c r="BK1078" s="693"/>
      <c r="BL1078" s="693"/>
      <c r="BM1078" s="693"/>
      <c r="BN1078" s="692"/>
      <c r="BO1078" s="693"/>
      <c r="BP1078" s="693"/>
      <c r="BQ1078" s="693"/>
      <c r="BR1078" s="693"/>
      <c r="BS1078" s="692"/>
      <c r="BT1078" s="692"/>
      <c r="BU1078" s="692"/>
      <c r="BV1078" s="692"/>
      <c r="BW1078" s="122"/>
    </row>
    <row r="1079" spans="1:75" s="697" customFormat="1" hidden="1" outlineLevel="1" x14ac:dyDescent="0.5">
      <c r="A1079" s="354" t="s">
        <v>1101</v>
      </c>
      <c r="B1079" s="251"/>
      <c r="C1079" s="692"/>
      <c r="D1079" s="692"/>
      <c r="E1079" s="695">
        <v>-3.11</v>
      </c>
      <c r="F1079" s="695">
        <v>0.38600000000000001</v>
      </c>
      <c r="G1079" s="693"/>
      <c r="H1079" s="693"/>
      <c r="I1079" s="693"/>
      <c r="J1079" s="693"/>
      <c r="K1079" s="692"/>
      <c r="L1079" s="693"/>
      <c r="M1079" s="693"/>
      <c r="N1079" s="693"/>
      <c r="O1079" s="693"/>
      <c r="P1079" s="692"/>
      <c r="Q1079" s="693"/>
      <c r="R1079" s="693"/>
      <c r="S1079" s="693"/>
      <c r="T1079" s="693"/>
      <c r="U1079" s="692"/>
      <c r="V1079" s="693"/>
      <c r="W1079" s="693"/>
      <c r="X1079" s="693"/>
      <c r="Y1079" s="693"/>
      <c r="Z1079" s="692"/>
      <c r="AA1079" s="693"/>
      <c r="AB1079" s="693"/>
      <c r="AC1079" s="693"/>
      <c r="AD1079" s="694">
        <v>-4.4169999999999998</v>
      </c>
      <c r="AE1079" s="695">
        <v>-4.4169999999999998</v>
      </c>
      <c r="AF1079" s="693"/>
      <c r="AG1079" s="693"/>
      <c r="AH1079" s="694">
        <v>-3.411</v>
      </c>
      <c r="AI1079" s="693"/>
      <c r="AJ1079" s="695">
        <v>-3.411</v>
      </c>
      <c r="AK1079" s="693"/>
      <c r="AL1079" s="693"/>
      <c r="AM1079" s="693"/>
      <c r="AN1079" s="693"/>
      <c r="AO1079" s="692"/>
      <c r="AP1079" s="693"/>
      <c r="AQ1079" s="693"/>
      <c r="AR1079" s="693"/>
      <c r="AS1079" s="693"/>
      <c r="AT1079" s="692"/>
      <c r="AU1079" s="693"/>
      <c r="AV1079" s="693"/>
      <c r="AW1079" s="693"/>
      <c r="AX1079" s="693"/>
      <c r="AY1079" s="692"/>
      <c r="AZ1079" s="693"/>
      <c r="BA1079" s="693"/>
      <c r="BB1079" s="693"/>
      <c r="BC1079" s="693"/>
      <c r="BD1079" s="692"/>
      <c r="BE1079" s="693"/>
      <c r="BF1079" s="693"/>
      <c r="BG1079" s="693"/>
      <c r="BH1079" s="693"/>
      <c r="BI1079" s="696"/>
      <c r="BJ1079" s="693"/>
      <c r="BK1079" s="693"/>
      <c r="BL1079" s="693"/>
      <c r="BM1079" s="693"/>
      <c r="BN1079" s="692"/>
      <c r="BO1079" s="693"/>
      <c r="BP1079" s="693"/>
      <c r="BQ1079" s="693"/>
      <c r="BR1079" s="693"/>
      <c r="BS1079" s="692"/>
      <c r="BT1079" s="692"/>
      <c r="BU1079" s="692"/>
      <c r="BV1079" s="692"/>
      <c r="BW1079" s="122"/>
    </row>
    <row r="1080" spans="1:75" s="697" customFormat="1" hidden="1" outlineLevel="1" x14ac:dyDescent="0.5">
      <c r="A1080" s="354" t="s">
        <v>1079</v>
      </c>
      <c r="B1080" s="251"/>
      <c r="C1080" s="692"/>
      <c r="D1080" s="692"/>
      <c r="E1080" s="692"/>
      <c r="F1080" s="692"/>
      <c r="G1080" s="693"/>
      <c r="H1080" s="693"/>
      <c r="I1080" s="693"/>
      <c r="J1080" s="693"/>
      <c r="K1080" s="692"/>
      <c r="L1080" s="693"/>
      <c r="M1080" s="693"/>
      <c r="N1080" s="693"/>
      <c r="O1080" s="693"/>
      <c r="P1080" s="692"/>
      <c r="Q1080" s="693"/>
      <c r="R1080" s="693"/>
      <c r="S1080" s="693"/>
      <c r="T1080" s="693"/>
      <c r="U1080" s="692"/>
      <c r="V1080" s="693"/>
      <c r="W1080" s="693"/>
      <c r="X1080" s="693"/>
      <c r="Y1080" s="693"/>
      <c r="Z1080" s="692"/>
      <c r="AA1080" s="693"/>
      <c r="AB1080" s="693"/>
      <c r="AC1080" s="694">
        <v>-0.33600000000000002</v>
      </c>
      <c r="AD1080" s="694">
        <v>-2.7730000000000001</v>
      </c>
      <c r="AE1080" s="695">
        <v>-3.109</v>
      </c>
      <c r="AF1080" s="694">
        <v>0.84</v>
      </c>
      <c r="AG1080" s="693"/>
      <c r="AH1080" s="694">
        <v>-2.4079999999999999</v>
      </c>
      <c r="AI1080" s="693"/>
      <c r="AJ1080" s="695">
        <v>-1.5680000000000001</v>
      </c>
      <c r="AK1080" s="693"/>
      <c r="AL1080" s="693"/>
      <c r="AM1080" s="693"/>
      <c r="AN1080" s="693"/>
      <c r="AO1080" s="692"/>
      <c r="AP1080" s="693"/>
      <c r="AQ1080" s="693"/>
      <c r="AR1080" s="693"/>
      <c r="AS1080" s="693"/>
      <c r="AT1080" s="692"/>
      <c r="AU1080" s="693"/>
      <c r="AV1080" s="693"/>
      <c r="AW1080" s="693"/>
      <c r="AX1080" s="693"/>
      <c r="AY1080" s="692"/>
      <c r="AZ1080" s="693"/>
      <c r="BA1080" s="693"/>
      <c r="BB1080" s="693"/>
      <c r="BC1080" s="693"/>
      <c r="BD1080" s="692"/>
      <c r="BE1080" s="693"/>
      <c r="BF1080" s="693"/>
      <c r="BG1080" s="693"/>
      <c r="BH1080" s="693"/>
      <c r="BI1080" s="696"/>
      <c r="BJ1080" s="693"/>
      <c r="BK1080" s="693"/>
      <c r="BL1080" s="693"/>
      <c r="BM1080" s="693"/>
      <c r="BN1080" s="692"/>
      <c r="BO1080" s="693"/>
      <c r="BP1080" s="693"/>
      <c r="BQ1080" s="693"/>
      <c r="BR1080" s="693"/>
      <c r="BS1080" s="692"/>
      <c r="BT1080" s="692"/>
      <c r="BU1080" s="692"/>
      <c r="BV1080" s="692"/>
      <c r="BW1080" s="122"/>
    </row>
    <row r="1081" spans="1:75" s="697" customFormat="1" hidden="1" outlineLevel="1" x14ac:dyDescent="0.5">
      <c r="A1081" s="354" t="s">
        <v>1074</v>
      </c>
      <c r="B1081" s="251"/>
      <c r="C1081" s="692"/>
      <c r="D1081" s="692"/>
      <c r="E1081" s="692"/>
      <c r="F1081" s="692"/>
      <c r="G1081" s="693"/>
      <c r="H1081" s="693"/>
      <c r="I1081" s="693"/>
      <c r="J1081" s="693"/>
      <c r="K1081" s="692"/>
      <c r="L1081" s="693"/>
      <c r="M1081" s="693"/>
      <c r="N1081" s="693"/>
      <c r="O1081" s="693"/>
      <c r="P1081" s="692"/>
      <c r="Q1081" s="693"/>
      <c r="R1081" s="693"/>
      <c r="S1081" s="693"/>
      <c r="T1081" s="693"/>
      <c r="U1081" s="692"/>
      <c r="V1081" s="693"/>
      <c r="W1081" s="693"/>
      <c r="X1081" s="693"/>
      <c r="Y1081" s="694">
        <v>-0.63900000000000001</v>
      </c>
      <c r="Z1081" s="695">
        <v>-0.63900000000000001</v>
      </c>
      <c r="AA1081" s="693"/>
      <c r="AB1081" s="694">
        <v>-0.157</v>
      </c>
      <c r="AC1081" s="693"/>
      <c r="AD1081" s="694">
        <v>-2.8000000000000001E-2</v>
      </c>
      <c r="AE1081" s="695">
        <v>-0.185</v>
      </c>
      <c r="AF1081" s="693"/>
      <c r="AG1081" s="694">
        <v>-0.34499999999999997</v>
      </c>
      <c r="AH1081" s="694">
        <v>-0.3</v>
      </c>
      <c r="AI1081" s="694">
        <v>-0.38</v>
      </c>
      <c r="AJ1081" s="695">
        <v>-1.0249999999999999</v>
      </c>
      <c r="AK1081" s="694">
        <v>-3.3000000000000002E-2</v>
      </c>
      <c r="AL1081" s="693"/>
      <c r="AM1081" s="694">
        <v>0.25800000000000001</v>
      </c>
      <c r="AN1081" s="693"/>
      <c r="AO1081" s="695">
        <v>0.22500000000000001</v>
      </c>
      <c r="AP1081" s="693"/>
      <c r="AQ1081" s="693"/>
      <c r="AR1081" s="693"/>
      <c r="AS1081" s="694">
        <v>-1.4430000000000001</v>
      </c>
      <c r="AT1081" s="695">
        <v>-1.4430000000000001</v>
      </c>
      <c r="AU1081" s="694">
        <v>-0.5</v>
      </c>
      <c r="AV1081" s="693"/>
      <c r="AW1081" s="694">
        <v>-0.34</v>
      </c>
      <c r="AX1081" s="694">
        <v>-2.2999999999999998</v>
      </c>
      <c r="AY1081" s="695">
        <v>-3.14</v>
      </c>
      <c r="AZ1081" s="694">
        <v>-0.56000000000000005</v>
      </c>
      <c r="BA1081" s="693"/>
      <c r="BB1081" s="693"/>
      <c r="BC1081" s="693"/>
      <c r="BD1081" s="695">
        <v>-0.56000000000000005</v>
      </c>
      <c r="BE1081" s="693"/>
      <c r="BF1081" s="693"/>
      <c r="BG1081" s="694">
        <v>1.5760000000000001</v>
      </c>
      <c r="BH1081" s="693"/>
      <c r="BI1081" s="702">
        <v>1.5760000000000001</v>
      </c>
      <c r="BJ1081" s="693"/>
      <c r="BK1081" s="693"/>
      <c r="BL1081" s="693"/>
      <c r="BM1081" s="693"/>
      <c r="BN1081" s="692"/>
      <c r="BO1081" s="693"/>
      <c r="BP1081" s="693"/>
      <c r="BQ1081" s="693"/>
      <c r="BR1081" s="693"/>
      <c r="BS1081" s="692"/>
      <c r="BT1081" s="692"/>
      <c r="BU1081" s="692"/>
      <c r="BV1081" s="692"/>
      <c r="BW1081" s="122"/>
    </row>
    <row r="1082" spans="1:75" s="697" customFormat="1" hidden="1" outlineLevel="1" x14ac:dyDescent="0.5">
      <c r="A1082" s="354" t="s">
        <v>1102</v>
      </c>
      <c r="B1082" s="251"/>
      <c r="C1082" s="692"/>
      <c r="D1082" s="692"/>
      <c r="E1082" s="692"/>
      <c r="F1082" s="692"/>
      <c r="G1082" s="693"/>
      <c r="H1082" s="693"/>
      <c r="I1082" s="693"/>
      <c r="J1082" s="693"/>
      <c r="K1082" s="692"/>
      <c r="L1082" s="693"/>
      <c r="M1082" s="693"/>
      <c r="N1082" s="693"/>
      <c r="O1082" s="693"/>
      <c r="P1082" s="692"/>
      <c r="Q1082" s="693"/>
      <c r="R1082" s="693"/>
      <c r="S1082" s="693"/>
      <c r="T1082" s="693"/>
      <c r="U1082" s="692"/>
      <c r="V1082" s="693"/>
      <c r="W1082" s="693"/>
      <c r="X1082" s="693"/>
      <c r="Y1082" s="693"/>
      <c r="Z1082" s="692"/>
      <c r="AA1082" s="693"/>
      <c r="AB1082" s="694">
        <v>1.3</v>
      </c>
      <c r="AC1082" s="694">
        <v>0.81899999999999995</v>
      </c>
      <c r="AD1082" s="693"/>
      <c r="AE1082" s="695">
        <v>2.1190000000000002</v>
      </c>
      <c r="AF1082" s="693"/>
      <c r="AG1082" s="693"/>
      <c r="AH1082" s="693"/>
      <c r="AI1082" s="693"/>
      <c r="AJ1082" s="692"/>
      <c r="AK1082" s="693"/>
      <c r="AL1082" s="693"/>
      <c r="AM1082" s="693"/>
      <c r="AN1082" s="693"/>
      <c r="AO1082" s="692"/>
      <c r="AP1082" s="693"/>
      <c r="AQ1082" s="693"/>
      <c r="AR1082" s="693"/>
      <c r="AS1082" s="693"/>
      <c r="AT1082" s="692"/>
      <c r="AU1082" s="693"/>
      <c r="AV1082" s="693"/>
      <c r="AW1082" s="693"/>
      <c r="AX1082" s="693"/>
      <c r="AY1082" s="692"/>
      <c r="AZ1082" s="693"/>
      <c r="BA1082" s="693"/>
      <c r="BB1082" s="694">
        <v>0.77500000000000002</v>
      </c>
      <c r="BC1082" s="693"/>
      <c r="BD1082" s="695">
        <v>0.77500000000000002</v>
      </c>
      <c r="BE1082" s="693"/>
      <c r="BF1082" s="693"/>
      <c r="BG1082" s="693"/>
      <c r="BH1082" s="693"/>
      <c r="BI1082" s="696"/>
      <c r="BJ1082" s="693"/>
      <c r="BK1082" s="693"/>
      <c r="BL1082" s="693"/>
      <c r="BM1082" s="693"/>
      <c r="BN1082" s="692"/>
      <c r="BO1082" s="693"/>
      <c r="BP1082" s="693"/>
      <c r="BQ1082" s="693"/>
      <c r="BR1082" s="693"/>
      <c r="BS1082" s="692"/>
      <c r="BT1082" s="692"/>
      <c r="BU1082" s="692"/>
      <c r="BV1082" s="692"/>
      <c r="BW1082" s="122"/>
    </row>
    <row r="1083" spans="1:75" s="697" customFormat="1" hidden="1" outlineLevel="1" x14ac:dyDescent="0.5">
      <c r="A1083" s="354" t="s">
        <v>1103</v>
      </c>
      <c r="B1083" s="251"/>
      <c r="C1083" s="692"/>
      <c r="D1083" s="692"/>
      <c r="E1083" s="692"/>
      <c r="F1083" s="692"/>
      <c r="G1083" s="693"/>
      <c r="H1083" s="693"/>
      <c r="I1083" s="693"/>
      <c r="J1083" s="693"/>
      <c r="K1083" s="692"/>
      <c r="L1083" s="694">
        <v>-9.1999999999999993</v>
      </c>
      <c r="M1083" s="693"/>
      <c r="N1083" s="693"/>
      <c r="O1083" s="694">
        <v>1.5</v>
      </c>
      <c r="P1083" s="695">
        <v>-7.7</v>
      </c>
      <c r="Q1083" s="694">
        <v>-0.189</v>
      </c>
      <c r="R1083" s="694">
        <v>-0.63</v>
      </c>
      <c r="S1083" s="694">
        <v>-0.27500000000000002</v>
      </c>
      <c r="T1083" s="694">
        <v>-0.73799999999999999</v>
      </c>
      <c r="U1083" s="695">
        <v>-1.8320000000000001</v>
      </c>
      <c r="V1083" s="694">
        <v>-0.97199999999999998</v>
      </c>
      <c r="W1083" s="693"/>
      <c r="X1083" s="693"/>
      <c r="Y1083" s="693"/>
      <c r="Z1083" s="695">
        <v>-0.97199999999999998</v>
      </c>
      <c r="AA1083" s="693"/>
      <c r="AB1083" s="693"/>
      <c r="AC1083" s="693"/>
      <c r="AD1083" s="693"/>
      <c r="AE1083" s="692"/>
      <c r="AF1083" s="694">
        <v>-1.915</v>
      </c>
      <c r="AG1083" s="694">
        <v>7.2039999999999997</v>
      </c>
      <c r="AH1083" s="693"/>
      <c r="AI1083" s="693"/>
      <c r="AJ1083" s="695">
        <v>5.2889999999999997</v>
      </c>
      <c r="AK1083" s="693"/>
      <c r="AL1083" s="694">
        <v>1.1930000000000001</v>
      </c>
      <c r="AM1083" s="693"/>
      <c r="AN1083" s="693"/>
      <c r="AO1083" s="695">
        <v>1.1930000000000001</v>
      </c>
      <c r="AP1083" s="693"/>
      <c r="AQ1083" s="693"/>
      <c r="AR1083" s="693"/>
      <c r="AS1083" s="693"/>
      <c r="AT1083" s="692"/>
      <c r="AU1083" s="693"/>
      <c r="AV1083" s="693"/>
      <c r="AW1083" s="693"/>
      <c r="AX1083" s="693"/>
      <c r="AY1083" s="692"/>
      <c r="AZ1083" s="693"/>
      <c r="BA1083" s="693"/>
      <c r="BB1083" s="694">
        <v>4.1879999999999997</v>
      </c>
      <c r="BC1083" s="693"/>
      <c r="BD1083" s="695">
        <v>4.1879999999999997</v>
      </c>
      <c r="BE1083" s="693"/>
      <c r="BF1083" s="694">
        <v>-8</v>
      </c>
      <c r="BG1083" s="693"/>
      <c r="BH1083" s="694">
        <v>-0.5</v>
      </c>
      <c r="BI1083" s="702">
        <v>-8.5</v>
      </c>
      <c r="BJ1083" s="693"/>
      <c r="BK1083" s="693"/>
      <c r="BL1083" s="693"/>
      <c r="BM1083" s="693"/>
      <c r="BN1083" s="692"/>
      <c r="BO1083" s="693"/>
      <c r="BP1083" s="693"/>
      <c r="BQ1083" s="693"/>
      <c r="BR1083" s="693"/>
      <c r="BS1083" s="692"/>
      <c r="BT1083" s="692"/>
      <c r="BU1083" s="692"/>
      <c r="BV1083" s="692"/>
      <c r="BW1083" s="122"/>
    </row>
    <row r="1084" spans="1:75" s="621" customFormat="1" ht="14.25" hidden="1" outlineLevel="1" x14ac:dyDescent="0.45">
      <c r="A1084" s="277" t="s">
        <v>1104</v>
      </c>
      <c r="B1084" s="277"/>
      <c r="C1084" s="698"/>
      <c r="D1084" s="698"/>
      <c r="E1084" s="698">
        <v>307.13</v>
      </c>
      <c r="F1084" s="698">
        <v>371.02500000000003</v>
      </c>
      <c r="G1084" s="699">
        <v>97.27600000000001</v>
      </c>
      <c r="H1084" s="699">
        <v>105.04600000000001</v>
      </c>
      <c r="I1084" s="699">
        <v>116.94</v>
      </c>
      <c r="J1084" s="699">
        <v>116.717</v>
      </c>
      <c r="K1084" s="698">
        <v>435.97900000000004</v>
      </c>
      <c r="L1084" s="699">
        <v>110.371</v>
      </c>
      <c r="M1084" s="699">
        <v>118.974</v>
      </c>
      <c r="N1084" s="699">
        <v>143.685</v>
      </c>
      <c r="O1084" s="699">
        <v>144.31800000000001</v>
      </c>
      <c r="P1084" s="698">
        <v>517.34799999999996</v>
      </c>
      <c r="Q1084" s="699">
        <v>126.2</v>
      </c>
      <c r="R1084" s="699">
        <v>137.21</v>
      </c>
      <c r="S1084" s="699">
        <v>145.59899999999999</v>
      </c>
      <c r="T1084" s="699">
        <v>156.29000000000002</v>
      </c>
      <c r="U1084" s="698">
        <v>565.29899999999998</v>
      </c>
      <c r="V1084" s="699">
        <v>134.494</v>
      </c>
      <c r="W1084" s="699">
        <v>150.06500000000003</v>
      </c>
      <c r="X1084" s="699">
        <v>159.459</v>
      </c>
      <c r="Y1084" s="699">
        <v>153.57999999999998</v>
      </c>
      <c r="Z1084" s="698">
        <v>597.59799999999996</v>
      </c>
      <c r="AA1084" s="699">
        <v>163.36000000000001</v>
      </c>
      <c r="AB1084" s="699">
        <v>170.96099999999998</v>
      </c>
      <c r="AC1084" s="699">
        <v>170.61699999999999</v>
      </c>
      <c r="AD1084" s="699">
        <v>182.41500000000002</v>
      </c>
      <c r="AE1084" s="698">
        <v>687.35300000000007</v>
      </c>
      <c r="AF1084" s="699">
        <v>160.11100000000002</v>
      </c>
      <c r="AG1084" s="699">
        <v>191.65899999999999</v>
      </c>
      <c r="AH1084" s="699">
        <v>194.11</v>
      </c>
      <c r="AI1084" s="699">
        <v>158.77199999999999</v>
      </c>
      <c r="AJ1084" s="698">
        <v>704.65200000000016</v>
      </c>
      <c r="AK1084" s="699">
        <v>163.66500000000002</v>
      </c>
      <c r="AL1084" s="699">
        <v>191.54100000000003</v>
      </c>
      <c r="AM1084" s="699">
        <v>194.61</v>
      </c>
      <c r="AN1084" s="699">
        <v>167.24599999999995</v>
      </c>
      <c r="AO1084" s="698">
        <v>717.0619999999999</v>
      </c>
      <c r="AP1084" s="699">
        <v>153.93699999999998</v>
      </c>
      <c r="AQ1084" s="699">
        <v>182.27600000000001</v>
      </c>
      <c r="AR1084" s="699">
        <v>183.79999999999995</v>
      </c>
      <c r="AS1084" s="699">
        <v>193.25299999999996</v>
      </c>
      <c r="AT1084" s="698">
        <v>713.26599999999996</v>
      </c>
      <c r="AU1084" s="699">
        <v>212.72499999999999</v>
      </c>
      <c r="AV1084" s="699">
        <v>225.02099999999996</v>
      </c>
      <c r="AW1084" s="699">
        <v>226.54400000000001</v>
      </c>
      <c r="AX1084" s="699">
        <v>227.29300000000003</v>
      </c>
      <c r="AY1084" s="698">
        <v>891.58300000000008</v>
      </c>
      <c r="AZ1084" s="699">
        <v>262.053</v>
      </c>
      <c r="BA1084" s="699">
        <v>278.48399999999992</v>
      </c>
      <c r="BB1084" s="699">
        <v>251.35499999999999</v>
      </c>
      <c r="BC1084" s="699">
        <v>241.19300000000001</v>
      </c>
      <c r="BD1084" s="698">
        <v>1033.0850000000003</v>
      </c>
      <c r="BE1084" s="699">
        <v>237.15299999999999</v>
      </c>
      <c r="BF1084" s="699">
        <v>218.709</v>
      </c>
      <c r="BG1084" s="699">
        <v>285.28700000000003</v>
      </c>
      <c r="BH1084" s="699">
        <v>254.08300000000003</v>
      </c>
      <c r="BI1084" s="701">
        <v>995.23200000000008</v>
      </c>
      <c r="BJ1084" s="699"/>
      <c r="BK1084" s="699"/>
      <c r="BL1084" s="699"/>
      <c r="BM1084" s="699"/>
      <c r="BN1084" s="698"/>
      <c r="BO1084" s="699"/>
      <c r="BP1084" s="699"/>
      <c r="BQ1084" s="699"/>
      <c r="BR1084" s="699"/>
      <c r="BS1084" s="698"/>
      <c r="BT1084" s="698"/>
      <c r="BU1084" s="698"/>
      <c r="BV1084" s="698"/>
      <c r="BW1084" s="197"/>
    </row>
    <row r="1085" spans="1:75" s="621" customFormat="1" ht="14.25" hidden="1" outlineLevel="1" x14ac:dyDescent="0.45">
      <c r="A1085" s="243"/>
      <c r="B1085" s="243"/>
      <c r="C1085" s="688"/>
      <c r="D1085" s="688"/>
      <c r="E1085" s="688"/>
      <c r="F1085" s="688"/>
      <c r="G1085" s="689"/>
      <c r="H1085" s="689"/>
      <c r="I1085" s="689"/>
      <c r="J1085" s="689"/>
      <c r="K1085" s="688"/>
      <c r="L1085" s="689"/>
      <c r="M1085" s="689"/>
      <c r="N1085" s="689"/>
      <c r="O1085" s="689"/>
      <c r="P1085" s="688"/>
      <c r="Q1085" s="689"/>
      <c r="R1085" s="689"/>
      <c r="S1085" s="689"/>
      <c r="T1085" s="689"/>
      <c r="U1085" s="688"/>
      <c r="V1085" s="689"/>
      <c r="W1085" s="689"/>
      <c r="X1085" s="689"/>
      <c r="Y1085" s="689"/>
      <c r="Z1085" s="688"/>
      <c r="AA1085" s="689"/>
      <c r="AB1085" s="689"/>
      <c r="AC1085" s="689"/>
      <c r="AD1085" s="689"/>
      <c r="AE1085" s="688"/>
      <c r="AF1085" s="689"/>
      <c r="AG1085" s="689"/>
      <c r="AH1085" s="689"/>
      <c r="AI1085" s="689"/>
      <c r="AJ1085" s="688"/>
      <c r="AK1085" s="689"/>
      <c r="AL1085" s="689"/>
      <c r="AM1085" s="689"/>
      <c r="AN1085" s="689"/>
      <c r="AO1085" s="688"/>
      <c r="AP1085" s="689"/>
      <c r="AQ1085" s="689"/>
      <c r="AR1085" s="689"/>
      <c r="AS1085" s="689"/>
      <c r="AT1085" s="688"/>
      <c r="AU1085" s="689"/>
      <c r="AV1085" s="689"/>
      <c r="AW1085" s="689"/>
      <c r="AX1085" s="689"/>
      <c r="AY1085" s="688"/>
      <c r="AZ1085" s="689"/>
      <c r="BA1085" s="689"/>
      <c r="BB1085" s="689"/>
      <c r="BC1085" s="689"/>
      <c r="BD1085" s="688"/>
      <c r="BE1085" s="689"/>
      <c r="BF1085" s="689"/>
      <c r="BG1085" s="689"/>
      <c r="BH1085" s="689"/>
      <c r="BI1085" s="691"/>
      <c r="BJ1085" s="689"/>
      <c r="BK1085" s="689"/>
      <c r="BL1085" s="689"/>
      <c r="BM1085" s="689"/>
      <c r="BN1085" s="688"/>
      <c r="BO1085" s="689"/>
      <c r="BP1085" s="689"/>
      <c r="BQ1085" s="689"/>
      <c r="BR1085" s="689"/>
      <c r="BS1085" s="688"/>
      <c r="BT1085" s="688"/>
      <c r="BU1085" s="688"/>
      <c r="BV1085" s="688"/>
      <c r="BW1085" s="197"/>
    </row>
    <row r="1086" spans="1:75" s="621" customFormat="1" ht="14.25" hidden="1" outlineLevel="1" x14ac:dyDescent="0.45">
      <c r="A1086" s="396" t="s">
        <v>1105</v>
      </c>
      <c r="B1086" s="243"/>
      <c r="C1086" s="688"/>
      <c r="D1086" s="688"/>
      <c r="E1086" s="688">
        <v>26.843000000000075</v>
      </c>
      <c r="F1086" s="688">
        <v>-69.035999999999945</v>
      </c>
      <c r="G1086" s="689">
        <v>0.51099999999998147</v>
      </c>
      <c r="H1086" s="689">
        <v>-27.78</v>
      </c>
      <c r="I1086" s="689">
        <v>23.859999999999985</v>
      </c>
      <c r="J1086" s="689">
        <v>58.260000000000034</v>
      </c>
      <c r="K1086" s="688">
        <v>54.850999999999772</v>
      </c>
      <c r="L1086" s="689">
        <v>4.77800000000002</v>
      </c>
      <c r="M1086" s="689">
        <v>48.934999999999988</v>
      </c>
      <c r="N1086" s="689">
        <v>36.687999999999988</v>
      </c>
      <c r="O1086" s="689">
        <v>75.32499999999996</v>
      </c>
      <c r="P1086" s="688">
        <v>165.72599999999989</v>
      </c>
      <c r="Q1086" s="689">
        <v>17.029000000000011</v>
      </c>
      <c r="R1086" s="689">
        <v>56.42300000000003</v>
      </c>
      <c r="S1086" s="689">
        <v>44.875999999999948</v>
      </c>
      <c r="T1086" s="689">
        <v>67.232999999999947</v>
      </c>
      <c r="U1086" s="688">
        <v>185.56099999999981</v>
      </c>
      <c r="V1086" s="689">
        <v>-11.474999999999966</v>
      </c>
      <c r="W1086" s="689">
        <v>22.014999999999986</v>
      </c>
      <c r="X1086" s="689">
        <v>15.385999999999967</v>
      </c>
      <c r="Y1086" s="689">
        <v>27.110000000000014</v>
      </c>
      <c r="Z1086" s="688">
        <v>53.036000000000058</v>
      </c>
      <c r="AA1086" s="689">
        <v>6.896000000000015</v>
      </c>
      <c r="AB1086" s="689">
        <v>12.123000000000047</v>
      </c>
      <c r="AC1086" s="689">
        <v>43.161999999999921</v>
      </c>
      <c r="AD1086" s="689">
        <v>69.120000000000232</v>
      </c>
      <c r="AE1086" s="688">
        <v>131.30100000000004</v>
      </c>
      <c r="AF1086" s="689">
        <v>48.146999999999963</v>
      </c>
      <c r="AG1086" s="690">
        <v>81.823000000000008</v>
      </c>
      <c r="AH1086" s="690">
        <v>42.228000000000009</v>
      </c>
      <c r="AI1086" s="689">
        <v>89.537999999999897</v>
      </c>
      <c r="AJ1086" s="688">
        <v>261.73599999999976</v>
      </c>
      <c r="AK1086" s="689">
        <v>68.63300000000001</v>
      </c>
      <c r="AL1086" s="690">
        <v>103.98100000000002</v>
      </c>
      <c r="AM1086" s="690">
        <v>89.236999999999938</v>
      </c>
      <c r="AN1086" s="689">
        <v>100.98000000000036</v>
      </c>
      <c r="AO1086" s="688">
        <v>362.83100000000002</v>
      </c>
      <c r="AP1086" s="689">
        <v>35.453000000000003</v>
      </c>
      <c r="AQ1086" s="690">
        <v>136.56800000000004</v>
      </c>
      <c r="AR1086" s="690">
        <v>111.22100000000006</v>
      </c>
      <c r="AS1086" s="689">
        <v>183.61600000000021</v>
      </c>
      <c r="AT1086" s="688">
        <v>466.85800000000017</v>
      </c>
      <c r="AU1086" s="689">
        <v>187.88800000000003</v>
      </c>
      <c r="AV1086" s="690">
        <v>248.98800000000006</v>
      </c>
      <c r="AW1086" s="690">
        <v>272.53899999999999</v>
      </c>
      <c r="AX1086" s="689">
        <v>217.76599999999985</v>
      </c>
      <c r="AY1086" s="688">
        <v>927.18100000000004</v>
      </c>
      <c r="AZ1086" s="689">
        <v>205.28800000000001</v>
      </c>
      <c r="BA1086" s="690">
        <v>234.4140000000001</v>
      </c>
      <c r="BB1086" s="690">
        <v>170.25000000000003</v>
      </c>
      <c r="BC1086" s="689">
        <v>112.2049999999997</v>
      </c>
      <c r="BD1086" s="688">
        <v>722.15699999999993</v>
      </c>
      <c r="BE1086" s="689">
        <v>99.240000000000009</v>
      </c>
      <c r="BF1086" s="690">
        <v>151.34000000000003</v>
      </c>
      <c r="BG1086" s="690">
        <v>51.236000000000047</v>
      </c>
      <c r="BH1086" s="689">
        <v>64.255000000000223</v>
      </c>
      <c r="BI1086" s="691">
        <v>366.07100000000025</v>
      </c>
      <c r="BJ1086" s="689"/>
      <c r="BK1086" s="689"/>
      <c r="BL1086" s="689"/>
      <c r="BM1086" s="689"/>
      <c r="BN1086" s="688"/>
      <c r="BO1086" s="689"/>
      <c r="BP1086" s="689"/>
      <c r="BQ1086" s="689"/>
      <c r="BR1086" s="689"/>
      <c r="BS1086" s="688"/>
      <c r="BT1086" s="688"/>
      <c r="BU1086" s="688"/>
      <c r="BV1086" s="688"/>
      <c r="BW1086" s="197"/>
    </row>
    <row r="1087" spans="1:75" s="697" customFormat="1" hidden="1" outlineLevel="1" x14ac:dyDescent="0.5">
      <c r="A1087" s="428" t="s">
        <v>1085</v>
      </c>
      <c r="B1087" s="251"/>
      <c r="C1087" s="692"/>
      <c r="D1087" s="692"/>
      <c r="E1087" s="695">
        <v>6.35</v>
      </c>
      <c r="F1087" s="695">
        <v>115.05500000000001</v>
      </c>
      <c r="G1087" s="694">
        <v>3.323</v>
      </c>
      <c r="H1087" s="694">
        <v>59.832000000000001</v>
      </c>
      <c r="I1087" s="693"/>
      <c r="J1087" s="693"/>
      <c r="K1087" s="695">
        <v>63.155000000000001</v>
      </c>
      <c r="L1087" s="693"/>
      <c r="M1087" s="693"/>
      <c r="N1087" s="693"/>
      <c r="O1087" s="693"/>
      <c r="P1087" s="692"/>
      <c r="Q1087" s="693"/>
      <c r="R1087" s="693"/>
      <c r="S1087" s="693"/>
      <c r="T1087" s="693"/>
      <c r="U1087" s="692"/>
      <c r="V1087" s="693"/>
      <c r="W1087" s="694">
        <v>3.6720000000000002</v>
      </c>
      <c r="X1087" s="693"/>
      <c r="Y1087" s="693"/>
      <c r="Z1087" s="695">
        <v>3.6720000000000002</v>
      </c>
      <c r="AA1087" s="693"/>
      <c r="AB1087" s="694">
        <v>23.872</v>
      </c>
      <c r="AC1087" s="693"/>
      <c r="AD1087" s="693"/>
      <c r="AE1087" s="695">
        <v>23.872</v>
      </c>
      <c r="AF1087" s="693"/>
      <c r="AG1087" s="693"/>
      <c r="AH1087" s="693"/>
      <c r="AI1087" s="693"/>
      <c r="AJ1087" s="692"/>
      <c r="AK1087" s="693"/>
      <c r="AL1087" s="693"/>
      <c r="AM1087" s="693"/>
      <c r="AN1087" s="693"/>
      <c r="AO1087" s="692"/>
      <c r="AP1087" s="693"/>
      <c r="AQ1087" s="693"/>
      <c r="AR1087" s="694">
        <v>111.218</v>
      </c>
      <c r="AS1087" s="694">
        <v>5.8659999999999997</v>
      </c>
      <c r="AT1087" s="695">
        <v>117.084</v>
      </c>
      <c r="AU1087" s="694">
        <v>5.8639999999999999</v>
      </c>
      <c r="AV1087" s="694">
        <v>5.8639999999999999</v>
      </c>
      <c r="AW1087" s="694">
        <v>5.8310000000000004</v>
      </c>
      <c r="AX1087" s="694">
        <v>5.8689999999999998</v>
      </c>
      <c r="AY1087" s="695">
        <v>23.428000000000001</v>
      </c>
      <c r="AZ1087" s="694">
        <v>5.8579999999999997</v>
      </c>
      <c r="BA1087" s="694">
        <v>4.3209999999999997</v>
      </c>
      <c r="BB1087" s="694">
        <v>4.1360000000000001</v>
      </c>
      <c r="BC1087" s="694">
        <v>3.7570000000000001</v>
      </c>
      <c r="BD1087" s="695">
        <v>18.071999999999999</v>
      </c>
      <c r="BE1087" s="694">
        <v>3.5310000000000001</v>
      </c>
      <c r="BF1087" s="694">
        <v>2.024</v>
      </c>
      <c r="BG1087" s="694">
        <v>1.972</v>
      </c>
      <c r="BH1087" s="694">
        <v>2.113</v>
      </c>
      <c r="BI1087" s="702">
        <v>9.64</v>
      </c>
      <c r="BJ1087" s="693"/>
      <c r="BK1087" s="693"/>
      <c r="BL1087" s="693"/>
      <c r="BM1087" s="693"/>
      <c r="BN1087" s="692"/>
      <c r="BO1087" s="693"/>
      <c r="BP1087" s="693"/>
      <c r="BQ1087" s="693"/>
      <c r="BR1087" s="693"/>
      <c r="BS1087" s="692"/>
      <c r="BT1087" s="692"/>
      <c r="BU1087" s="692"/>
      <c r="BV1087" s="692"/>
      <c r="BW1087" s="122"/>
    </row>
    <row r="1088" spans="1:75" s="697" customFormat="1" hidden="1" outlineLevel="1" x14ac:dyDescent="0.5">
      <c r="A1088" s="428" t="s">
        <v>1086</v>
      </c>
      <c r="B1088" s="251"/>
      <c r="C1088" s="692"/>
      <c r="D1088" s="692"/>
      <c r="E1088" s="695">
        <v>10.715</v>
      </c>
      <c r="F1088" s="695">
        <v>4.258</v>
      </c>
      <c r="G1088" s="693"/>
      <c r="H1088" s="693"/>
      <c r="I1088" s="693"/>
      <c r="J1088" s="693"/>
      <c r="K1088" s="692"/>
      <c r="L1088" s="693"/>
      <c r="M1088" s="693"/>
      <c r="N1088" s="693"/>
      <c r="O1088" s="693"/>
      <c r="P1088" s="692"/>
      <c r="Q1088" s="693"/>
      <c r="R1088" s="693"/>
      <c r="S1088" s="693"/>
      <c r="T1088" s="693"/>
      <c r="U1088" s="692"/>
      <c r="V1088" s="693"/>
      <c r="W1088" s="693"/>
      <c r="X1088" s="693"/>
      <c r="Y1088" s="693"/>
      <c r="Z1088" s="692"/>
      <c r="AA1088" s="693"/>
      <c r="AB1088" s="693"/>
      <c r="AC1088" s="693"/>
      <c r="AD1088" s="693"/>
      <c r="AE1088" s="692"/>
      <c r="AF1088" s="693"/>
      <c r="AG1088" s="693"/>
      <c r="AH1088" s="693"/>
      <c r="AI1088" s="693"/>
      <c r="AJ1088" s="692"/>
      <c r="AK1088" s="693"/>
      <c r="AL1088" s="693"/>
      <c r="AM1088" s="693"/>
      <c r="AN1088" s="693"/>
      <c r="AO1088" s="692"/>
      <c r="AP1088" s="693"/>
      <c r="AQ1088" s="693"/>
      <c r="AR1088" s="693"/>
      <c r="AS1088" s="693"/>
      <c r="AT1088" s="692"/>
      <c r="AU1088" s="693"/>
      <c r="AV1088" s="693"/>
      <c r="AW1088" s="693"/>
      <c r="AX1088" s="693"/>
      <c r="AY1088" s="692"/>
      <c r="AZ1088" s="693"/>
      <c r="BA1088" s="693"/>
      <c r="BB1088" s="693"/>
      <c r="BC1088" s="693"/>
      <c r="BD1088" s="692"/>
      <c r="BE1088" s="693"/>
      <c r="BF1088" s="693"/>
      <c r="BG1088" s="693"/>
      <c r="BH1088" s="693"/>
      <c r="BI1088" s="696"/>
      <c r="BJ1088" s="693"/>
      <c r="BK1088" s="693"/>
      <c r="BL1088" s="693"/>
      <c r="BM1088" s="693"/>
      <c r="BN1088" s="692"/>
      <c r="BO1088" s="693"/>
      <c r="BP1088" s="693"/>
      <c r="BQ1088" s="693"/>
      <c r="BR1088" s="693"/>
      <c r="BS1088" s="692"/>
      <c r="BT1088" s="692"/>
      <c r="BU1088" s="692"/>
      <c r="BV1088" s="692"/>
      <c r="BW1088" s="122"/>
    </row>
    <row r="1089" spans="1:75" s="697" customFormat="1" hidden="1" outlineLevel="1" x14ac:dyDescent="0.5">
      <c r="A1089" s="428" t="s">
        <v>1087</v>
      </c>
      <c r="B1089" s="251"/>
      <c r="C1089" s="692"/>
      <c r="D1089" s="692"/>
      <c r="E1089" s="692"/>
      <c r="F1089" s="692"/>
      <c r="G1089" s="693"/>
      <c r="H1089" s="693"/>
      <c r="I1089" s="693"/>
      <c r="J1089" s="693"/>
      <c r="K1089" s="692"/>
      <c r="L1089" s="693"/>
      <c r="M1089" s="693"/>
      <c r="N1089" s="693"/>
      <c r="O1089" s="693"/>
      <c r="P1089" s="692"/>
      <c r="Q1089" s="693"/>
      <c r="R1089" s="693"/>
      <c r="S1089" s="693"/>
      <c r="T1089" s="693"/>
      <c r="U1089" s="692"/>
      <c r="V1089" s="693"/>
      <c r="W1089" s="693"/>
      <c r="X1089" s="693"/>
      <c r="Y1089" s="693"/>
      <c r="Z1089" s="692"/>
      <c r="AA1089" s="693"/>
      <c r="AB1089" s="693"/>
      <c r="AC1089" s="693"/>
      <c r="AD1089" s="693"/>
      <c r="AE1089" s="692"/>
      <c r="AF1089" s="693"/>
      <c r="AG1089" s="693"/>
      <c r="AH1089" s="693"/>
      <c r="AI1089" s="693"/>
      <c r="AJ1089" s="692"/>
      <c r="AK1089" s="693"/>
      <c r="AL1089" s="693"/>
      <c r="AM1089" s="693"/>
      <c r="AN1089" s="693"/>
      <c r="AO1089" s="692"/>
      <c r="AP1089" s="693"/>
      <c r="AQ1089" s="693"/>
      <c r="AR1089" s="693"/>
      <c r="AS1089" s="693"/>
      <c r="AT1089" s="692"/>
      <c r="AU1089" s="693"/>
      <c r="AV1089" s="693"/>
      <c r="AW1089" s="693"/>
      <c r="AX1089" s="693"/>
      <c r="AY1089" s="692"/>
      <c r="AZ1089" s="694">
        <v>11.717000000000001</v>
      </c>
      <c r="BA1089" s="693"/>
      <c r="BB1089" s="693"/>
      <c r="BC1089" s="694">
        <v>2.6749999999999998</v>
      </c>
      <c r="BD1089" s="695">
        <v>14.391999999999999</v>
      </c>
      <c r="BE1089" s="693"/>
      <c r="BF1089" s="693"/>
      <c r="BG1089" s="693"/>
      <c r="BH1089" s="693"/>
      <c r="BI1089" s="696"/>
      <c r="BJ1089" s="693"/>
      <c r="BK1089" s="693"/>
      <c r="BL1089" s="693"/>
      <c r="BM1089" s="693"/>
      <c r="BN1089" s="692"/>
      <c r="BO1089" s="693"/>
      <c r="BP1089" s="693"/>
      <c r="BQ1089" s="693"/>
      <c r="BR1089" s="693"/>
      <c r="BS1089" s="692"/>
      <c r="BT1089" s="692"/>
      <c r="BU1089" s="692"/>
      <c r="BV1089" s="692"/>
      <c r="BW1089" s="122"/>
    </row>
    <row r="1090" spans="1:75" s="697" customFormat="1" hidden="1" outlineLevel="1" x14ac:dyDescent="0.5">
      <c r="A1090" s="428" t="s">
        <v>1088</v>
      </c>
      <c r="B1090" s="251"/>
      <c r="C1090" s="692"/>
      <c r="D1090" s="692"/>
      <c r="E1090" s="692"/>
      <c r="F1090" s="692"/>
      <c r="G1090" s="693"/>
      <c r="H1090" s="693"/>
      <c r="I1090" s="693"/>
      <c r="J1090" s="693"/>
      <c r="K1090" s="692"/>
      <c r="L1090" s="693"/>
      <c r="M1090" s="693"/>
      <c r="N1090" s="693"/>
      <c r="O1090" s="693"/>
      <c r="P1090" s="692"/>
      <c r="Q1090" s="693"/>
      <c r="R1090" s="693"/>
      <c r="S1090" s="693"/>
      <c r="T1090" s="693"/>
      <c r="U1090" s="692"/>
      <c r="V1090" s="693"/>
      <c r="W1090" s="693"/>
      <c r="X1090" s="693"/>
      <c r="Y1090" s="693"/>
      <c r="Z1090" s="692"/>
      <c r="AA1090" s="693"/>
      <c r="AB1090" s="693"/>
      <c r="AC1090" s="693"/>
      <c r="AD1090" s="693"/>
      <c r="AE1090" s="692"/>
      <c r="AF1090" s="693"/>
      <c r="AG1090" s="693"/>
      <c r="AH1090" s="693"/>
      <c r="AI1090" s="693"/>
      <c r="AJ1090" s="692"/>
      <c r="AK1090" s="693"/>
      <c r="AL1090" s="693"/>
      <c r="AM1090" s="693"/>
      <c r="AN1090" s="693"/>
      <c r="AO1090" s="692"/>
      <c r="AP1090" s="693"/>
      <c r="AQ1090" s="693"/>
      <c r="AR1090" s="693"/>
      <c r="AS1090" s="693"/>
      <c r="AT1090" s="692"/>
      <c r="AU1090" s="693"/>
      <c r="AV1090" s="693"/>
      <c r="AW1090" s="693"/>
      <c r="AX1090" s="693"/>
      <c r="AY1090" s="692"/>
      <c r="AZ1090" s="694">
        <v>7.1840000000000002</v>
      </c>
      <c r="BA1090" s="694">
        <v>0.28499999999999998</v>
      </c>
      <c r="BB1090" s="693"/>
      <c r="BC1090" s="693"/>
      <c r="BD1090" s="695">
        <v>7.4690000000000003</v>
      </c>
      <c r="BE1090" s="693"/>
      <c r="BF1090" s="693"/>
      <c r="BG1090" s="693"/>
      <c r="BH1090" s="693"/>
      <c r="BI1090" s="696"/>
      <c r="BJ1090" s="693"/>
      <c r="BK1090" s="693"/>
      <c r="BL1090" s="693"/>
      <c r="BM1090" s="693"/>
      <c r="BN1090" s="692"/>
      <c r="BO1090" s="693"/>
      <c r="BP1090" s="693"/>
      <c r="BQ1090" s="693"/>
      <c r="BR1090" s="693"/>
      <c r="BS1090" s="692"/>
      <c r="BT1090" s="692"/>
      <c r="BU1090" s="692"/>
      <c r="BV1090" s="692"/>
      <c r="BW1090" s="122"/>
    </row>
    <row r="1091" spans="1:75" s="697" customFormat="1" hidden="1" outlineLevel="1" x14ac:dyDescent="0.5">
      <c r="A1091" s="428" t="s">
        <v>1089</v>
      </c>
      <c r="B1091" s="251"/>
      <c r="C1091" s="692"/>
      <c r="D1091" s="692"/>
      <c r="E1091" s="692"/>
      <c r="F1091" s="692"/>
      <c r="G1091" s="693"/>
      <c r="H1091" s="693"/>
      <c r="I1091" s="693"/>
      <c r="J1091" s="693"/>
      <c r="K1091" s="692"/>
      <c r="L1091" s="693"/>
      <c r="M1091" s="693"/>
      <c r="N1091" s="693"/>
      <c r="O1091" s="693"/>
      <c r="P1091" s="692"/>
      <c r="Q1091" s="693"/>
      <c r="R1091" s="693"/>
      <c r="S1091" s="693"/>
      <c r="T1091" s="693"/>
      <c r="U1091" s="692"/>
      <c r="V1091" s="693"/>
      <c r="W1091" s="693"/>
      <c r="X1091" s="693"/>
      <c r="Y1091" s="693"/>
      <c r="Z1091" s="692"/>
      <c r="AA1091" s="693"/>
      <c r="AB1091" s="693"/>
      <c r="AC1091" s="693"/>
      <c r="AD1091" s="693"/>
      <c r="AE1091" s="692"/>
      <c r="AF1091" s="693"/>
      <c r="AG1091" s="693"/>
      <c r="AH1091" s="693"/>
      <c r="AI1091" s="693"/>
      <c r="AJ1091" s="692"/>
      <c r="AK1091" s="693"/>
      <c r="AL1091" s="693"/>
      <c r="AM1091" s="693"/>
      <c r="AN1091" s="693"/>
      <c r="AO1091" s="692"/>
      <c r="AP1091" s="693"/>
      <c r="AQ1091" s="693"/>
      <c r="AR1091" s="693"/>
      <c r="AS1091" s="693"/>
      <c r="AT1091" s="692"/>
      <c r="AU1091" s="693"/>
      <c r="AV1091" s="693"/>
      <c r="AW1091" s="693"/>
      <c r="AX1091" s="693"/>
      <c r="AY1091" s="692"/>
      <c r="AZ1091" s="693"/>
      <c r="BA1091" s="693"/>
      <c r="BB1091" s="693"/>
      <c r="BC1091" s="694">
        <v>4.47</v>
      </c>
      <c r="BD1091" s="695">
        <v>4.47</v>
      </c>
      <c r="BE1091" s="693"/>
      <c r="BF1091" s="693"/>
      <c r="BG1091" s="693"/>
      <c r="BH1091" s="693"/>
      <c r="BI1091" s="696"/>
      <c r="BJ1091" s="693"/>
      <c r="BK1091" s="693"/>
      <c r="BL1091" s="693"/>
      <c r="BM1091" s="693"/>
      <c r="BN1091" s="692"/>
      <c r="BO1091" s="693"/>
      <c r="BP1091" s="693"/>
      <c r="BQ1091" s="693"/>
      <c r="BR1091" s="693"/>
      <c r="BS1091" s="692"/>
      <c r="BT1091" s="692"/>
      <c r="BU1091" s="692"/>
      <c r="BV1091" s="692"/>
      <c r="BW1091" s="122"/>
    </row>
    <row r="1092" spans="1:75" s="697" customFormat="1" hidden="1" outlineLevel="1" x14ac:dyDescent="0.5">
      <c r="A1092" s="428" t="s">
        <v>1090</v>
      </c>
      <c r="B1092" s="251"/>
      <c r="C1092" s="692"/>
      <c r="D1092" s="692"/>
      <c r="E1092" s="692"/>
      <c r="F1092" s="692"/>
      <c r="G1092" s="693"/>
      <c r="H1092" s="693"/>
      <c r="I1092" s="693"/>
      <c r="J1092" s="693"/>
      <c r="K1092" s="692"/>
      <c r="L1092" s="693"/>
      <c r="M1092" s="693"/>
      <c r="N1092" s="693"/>
      <c r="O1092" s="693"/>
      <c r="P1092" s="692"/>
      <c r="Q1092" s="693"/>
      <c r="R1092" s="693"/>
      <c r="S1092" s="693"/>
      <c r="T1092" s="693"/>
      <c r="U1092" s="692"/>
      <c r="V1092" s="693"/>
      <c r="W1092" s="693"/>
      <c r="X1092" s="693"/>
      <c r="Y1092" s="693"/>
      <c r="Z1092" s="692"/>
      <c r="AA1092" s="693"/>
      <c r="AB1092" s="693"/>
      <c r="AC1092" s="693"/>
      <c r="AD1092" s="693"/>
      <c r="AE1092" s="692"/>
      <c r="AF1092" s="693"/>
      <c r="AG1092" s="693"/>
      <c r="AH1092" s="693"/>
      <c r="AI1092" s="693"/>
      <c r="AJ1092" s="692"/>
      <c r="AK1092" s="693"/>
      <c r="AL1092" s="693"/>
      <c r="AM1092" s="693"/>
      <c r="AN1092" s="693"/>
      <c r="AO1092" s="692"/>
      <c r="AP1092" s="693"/>
      <c r="AQ1092" s="693"/>
      <c r="AR1092" s="693"/>
      <c r="AS1092" s="693"/>
      <c r="AT1092" s="692"/>
      <c r="AU1092" s="693"/>
      <c r="AV1092" s="693"/>
      <c r="AW1092" s="693"/>
      <c r="AX1092" s="693"/>
      <c r="AY1092" s="692"/>
      <c r="AZ1092" s="693"/>
      <c r="BA1092" s="694">
        <v>3.4830000000000001</v>
      </c>
      <c r="BB1092" s="693"/>
      <c r="BC1092" s="693"/>
      <c r="BD1092" s="695">
        <v>3.4830000000000001</v>
      </c>
      <c r="BE1092" s="693"/>
      <c r="BF1092" s="693"/>
      <c r="BG1092" s="693"/>
      <c r="BH1092" s="693"/>
      <c r="BI1092" s="696"/>
      <c r="BJ1092" s="693"/>
      <c r="BK1092" s="693"/>
      <c r="BL1092" s="693"/>
      <c r="BM1092" s="693"/>
      <c r="BN1092" s="692"/>
      <c r="BO1092" s="693"/>
      <c r="BP1092" s="693"/>
      <c r="BQ1092" s="693"/>
      <c r="BR1092" s="693"/>
      <c r="BS1092" s="692"/>
      <c r="BT1092" s="692"/>
      <c r="BU1092" s="692"/>
      <c r="BV1092" s="692"/>
      <c r="BW1092" s="122"/>
    </row>
    <row r="1093" spans="1:75" s="697" customFormat="1" hidden="1" outlineLevel="1" x14ac:dyDescent="0.5">
      <c r="A1093" s="428" t="s">
        <v>1106</v>
      </c>
      <c r="B1093" s="251"/>
      <c r="C1093" s="692"/>
      <c r="D1093" s="692"/>
      <c r="E1093" s="692"/>
      <c r="F1093" s="692"/>
      <c r="G1093" s="694">
        <v>0.76700000000000002</v>
      </c>
      <c r="H1093" s="694">
        <v>2.1280000000000001</v>
      </c>
      <c r="I1093" s="693"/>
      <c r="J1093" s="693"/>
      <c r="K1093" s="695">
        <v>2.895</v>
      </c>
      <c r="L1093" s="693"/>
      <c r="M1093" s="693"/>
      <c r="N1093" s="693"/>
      <c r="O1093" s="693"/>
      <c r="P1093" s="692"/>
      <c r="Q1093" s="693"/>
      <c r="R1093" s="693"/>
      <c r="S1093" s="693"/>
      <c r="T1093" s="693"/>
      <c r="U1093" s="692"/>
      <c r="V1093" s="693"/>
      <c r="W1093" s="693"/>
      <c r="X1093" s="693"/>
      <c r="Y1093" s="693"/>
      <c r="Z1093" s="692"/>
      <c r="AA1093" s="693"/>
      <c r="AB1093" s="693"/>
      <c r="AC1093" s="693"/>
      <c r="AD1093" s="693"/>
      <c r="AE1093" s="692"/>
      <c r="AF1093" s="693"/>
      <c r="AG1093" s="693"/>
      <c r="AH1093" s="693"/>
      <c r="AI1093" s="693"/>
      <c r="AJ1093" s="692"/>
      <c r="AK1093" s="693"/>
      <c r="AL1093" s="693"/>
      <c r="AM1093" s="693"/>
      <c r="AN1093" s="693"/>
      <c r="AO1093" s="692"/>
      <c r="AP1093" s="693"/>
      <c r="AQ1093" s="693"/>
      <c r="AR1093" s="693"/>
      <c r="AS1093" s="693"/>
      <c r="AT1093" s="692"/>
      <c r="AU1093" s="693"/>
      <c r="AV1093" s="693"/>
      <c r="AW1093" s="693"/>
      <c r="AX1093" s="693"/>
      <c r="AY1093" s="692"/>
      <c r="AZ1093" s="693"/>
      <c r="BA1093" s="693"/>
      <c r="BB1093" s="693"/>
      <c r="BC1093" s="693"/>
      <c r="BD1093" s="692"/>
      <c r="BE1093" s="693"/>
      <c r="BF1093" s="693"/>
      <c r="BG1093" s="693"/>
      <c r="BH1093" s="693"/>
      <c r="BI1093" s="696"/>
      <c r="BJ1093" s="693"/>
      <c r="BK1093" s="693"/>
      <c r="BL1093" s="693"/>
      <c r="BM1093" s="693"/>
      <c r="BN1093" s="692"/>
      <c r="BO1093" s="693"/>
      <c r="BP1093" s="693"/>
      <c r="BQ1093" s="693"/>
      <c r="BR1093" s="693"/>
      <c r="BS1093" s="692"/>
      <c r="BT1093" s="692"/>
      <c r="BU1093" s="692"/>
      <c r="BV1093" s="692"/>
      <c r="BW1093" s="122"/>
    </row>
    <row r="1094" spans="1:75" s="697" customFormat="1" hidden="1" outlineLevel="1" x14ac:dyDescent="0.5">
      <c r="A1094" s="428" t="s">
        <v>1092</v>
      </c>
      <c r="B1094" s="251"/>
      <c r="C1094" s="692"/>
      <c r="D1094" s="692"/>
      <c r="E1094" s="692"/>
      <c r="F1094" s="695">
        <v>10.755000000000001</v>
      </c>
      <c r="G1094" s="693"/>
      <c r="H1094" s="693"/>
      <c r="I1094" s="693"/>
      <c r="J1094" s="693"/>
      <c r="K1094" s="692"/>
      <c r="L1094" s="693"/>
      <c r="M1094" s="693"/>
      <c r="N1094" s="693"/>
      <c r="O1094" s="693"/>
      <c r="P1094" s="692"/>
      <c r="Q1094" s="693"/>
      <c r="R1094" s="693"/>
      <c r="S1094" s="693"/>
      <c r="T1094" s="693"/>
      <c r="U1094" s="692"/>
      <c r="V1094" s="693"/>
      <c r="W1094" s="693"/>
      <c r="X1094" s="693"/>
      <c r="Y1094" s="693"/>
      <c r="Z1094" s="692"/>
      <c r="AA1094" s="693"/>
      <c r="AB1094" s="693"/>
      <c r="AC1094" s="693"/>
      <c r="AD1094" s="693"/>
      <c r="AE1094" s="692"/>
      <c r="AF1094" s="693"/>
      <c r="AG1094" s="693"/>
      <c r="AH1094" s="693"/>
      <c r="AI1094" s="693"/>
      <c r="AJ1094" s="692"/>
      <c r="AK1094" s="693"/>
      <c r="AL1094" s="693"/>
      <c r="AM1094" s="693"/>
      <c r="AN1094" s="693"/>
      <c r="AO1094" s="692"/>
      <c r="AP1094" s="693"/>
      <c r="AQ1094" s="693"/>
      <c r="AR1094" s="693"/>
      <c r="AS1094" s="693"/>
      <c r="AT1094" s="692"/>
      <c r="AU1094" s="693"/>
      <c r="AV1094" s="693"/>
      <c r="AW1094" s="693"/>
      <c r="AX1094" s="693"/>
      <c r="AY1094" s="692"/>
      <c r="AZ1094" s="693"/>
      <c r="BA1094" s="693"/>
      <c r="BB1094" s="693"/>
      <c r="BC1094" s="693"/>
      <c r="BD1094" s="692"/>
      <c r="BE1094" s="693"/>
      <c r="BF1094" s="693"/>
      <c r="BG1094" s="693"/>
      <c r="BH1094" s="693"/>
      <c r="BI1094" s="696"/>
      <c r="BJ1094" s="693"/>
      <c r="BK1094" s="693"/>
      <c r="BL1094" s="693"/>
      <c r="BM1094" s="693"/>
      <c r="BN1094" s="692"/>
      <c r="BO1094" s="693"/>
      <c r="BP1094" s="693"/>
      <c r="BQ1094" s="693"/>
      <c r="BR1094" s="693"/>
      <c r="BS1094" s="692"/>
      <c r="BT1094" s="692"/>
      <c r="BU1094" s="692"/>
      <c r="BV1094" s="692"/>
      <c r="BW1094" s="122"/>
    </row>
    <row r="1095" spans="1:75" s="697" customFormat="1" hidden="1" outlineLevel="1" x14ac:dyDescent="0.5">
      <c r="A1095" s="428" t="s">
        <v>1093</v>
      </c>
      <c r="B1095" s="251"/>
      <c r="C1095" s="692"/>
      <c r="D1095" s="692"/>
      <c r="E1095" s="692"/>
      <c r="F1095" s="695">
        <v>4.7779999999999996</v>
      </c>
      <c r="G1095" s="693"/>
      <c r="H1095" s="693"/>
      <c r="I1095" s="693"/>
      <c r="J1095" s="693"/>
      <c r="K1095" s="692"/>
      <c r="L1095" s="693"/>
      <c r="M1095" s="693"/>
      <c r="N1095" s="693"/>
      <c r="O1095" s="693"/>
      <c r="P1095" s="692"/>
      <c r="Q1095" s="693"/>
      <c r="R1095" s="693"/>
      <c r="S1095" s="693"/>
      <c r="T1095" s="693"/>
      <c r="U1095" s="692"/>
      <c r="V1095" s="693"/>
      <c r="W1095" s="693"/>
      <c r="X1095" s="693"/>
      <c r="Y1095" s="693"/>
      <c r="Z1095" s="692"/>
      <c r="AA1095" s="693"/>
      <c r="AB1095" s="693"/>
      <c r="AC1095" s="693"/>
      <c r="AD1095" s="693"/>
      <c r="AE1095" s="692"/>
      <c r="AF1095" s="693"/>
      <c r="AG1095" s="693"/>
      <c r="AH1095" s="693"/>
      <c r="AI1095" s="693"/>
      <c r="AJ1095" s="692"/>
      <c r="AK1095" s="693"/>
      <c r="AL1095" s="693"/>
      <c r="AM1095" s="693"/>
      <c r="AN1095" s="693"/>
      <c r="AO1095" s="692"/>
      <c r="AP1095" s="693"/>
      <c r="AQ1095" s="693"/>
      <c r="AR1095" s="693"/>
      <c r="AS1095" s="693"/>
      <c r="AT1095" s="692"/>
      <c r="AU1095" s="693"/>
      <c r="AV1095" s="693"/>
      <c r="AW1095" s="693"/>
      <c r="AX1095" s="693"/>
      <c r="AY1095" s="692"/>
      <c r="AZ1095" s="693"/>
      <c r="BA1095" s="693"/>
      <c r="BB1095" s="693"/>
      <c r="BC1095" s="693"/>
      <c r="BD1095" s="692"/>
      <c r="BE1095" s="693"/>
      <c r="BF1095" s="693"/>
      <c r="BG1095" s="693"/>
      <c r="BH1095" s="693"/>
      <c r="BI1095" s="696"/>
      <c r="BJ1095" s="693"/>
      <c r="BK1095" s="693"/>
      <c r="BL1095" s="693"/>
      <c r="BM1095" s="693"/>
      <c r="BN1095" s="692"/>
      <c r="BO1095" s="693"/>
      <c r="BP1095" s="693"/>
      <c r="BQ1095" s="693"/>
      <c r="BR1095" s="693"/>
      <c r="BS1095" s="692"/>
      <c r="BT1095" s="692"/>
      <c r="BU1095" s="692"/>
      <c r="BV1095" s="692"/>
      <c r="BW1095" s="122"/>
    </row>
    <row r="1096" spans="1:75" s="697" customFormat="1" hidden="1" outlineLevel="1" x14ac:dyDescent="0.5">
      <c r="A1096" s="428" t="s">
        <v>1094</v>
      </c>
      <c r="B1096" s="251"/>
      <c r="C1096" s="692"/>
      <c r="D1096" s="692"/>
      <c r="E1096" s="695">
        <v>1.58</v>
      </c>
      <c r="F1096" s="692"/>
      <c r="G1096" s="693"/>
      <c r="H1096" s="693"/>
      <c r="I1096" s="693"/>
      <c r="J1096" s="693"/>
      <c r="K1096" s="692"/>
      <c r="L1096" s="693"/>
      <c r="M1096" s="693"/>
      <c r="N1096" s="693"/>
      <c r="O1096" s="693"/>
      <c r="P1096" s="692"/>
      <c r="Q1096" s="693"/>
      <c r="R1096" s="693"/>
      <c r="S1096" s="693"/>
      <c r="T1096" s="693"/>
      <c r="U1096" s="692"/>
      <c r="V1096" s="693"/>
      <c r="W1096" s="693"/>
      <c r="X1096" s="693"/>
      <c r="Y1096" s="693"/>
      <c r="Z1096" s="692"/>
      <c r="AA1096" s="693"/>
      <c r="AB1096" s="693"/>
      <c r="AC1096" s="693"/>
      <c r="AD1096" s="693"/>
      <c r="AE1096" s="692"/>
      <c r="AF1096" s="693"/>
      <c r="AG1096" s="693"/>
      <c r="AH1096" s="693"/>
      <c r="AI1096" s="693"/>
      <c r="AJ1096" s="692"/>
      <c r="AK1096" s="693"/>
      <c r="AL1096" s="693"/>
      <c r="AM1096" s="693"/>
      <c r="AN1096" s="693"/>
      <c r="AO1096" s="692"/>
      <c r="AP1096" s="693"/>
      <c r="AQ1096" s="693"/>
      <c r="AR1096" s="693"/>
      <c r="AS1096" s="693"/>
      <c r="AT1096" s="692"/>
      <c r="AU1096" s="693"/>
      <c r="AV1096" s="693"/>
      <c r="AW1096" s="693"/>
      <c r="AX1096" s="693"/>
      <c r="AY1096" s="692"/>
      <c r="AZ1096" s="693"/>
      <c r="BA1096" s="693"/>
      <c r="BB1096" s="693"/>
      <c r="BC1096" s="693"/>
      <c r="BD1096" s="692"/>
      <c r="BE1096" s="693"/>
      <c r="BF1096" s="693"/>
      <c r="BG1096" s="693"/>
      <c r="BH1096" s="693"/>
      <c r="BI1096" s="696"/>
      <c r="BJ1096" s="693"/>
      <c r="BK1096" s="693"/>
      <c r="BL1096" s="693"/>
      <c r="BM1096" s="693"/>
      <c r="BN1096" s="692"/>
      <c r="BO1096" s="693"/>
      <c r="BP1096" s="693"/>
      <c r="BQ1096" s="693"/>
      <c r="BR1096" s="693"/>
      <c r="BS1096" s="692"/>
      <c r="BT1096" s="692"/>
      <c r="BU1096" s="692"/>
      <c r="BV1096" s="692"/>
      <c r="BW1096" s="122"/>
    </row>
    <row r="1097" spans="1:75" s="697" customFormat="1" hidden="1" outlineLevel="1" x14ac:dyDescent="0.5">
      <c r="A1097" s="428" t="s">
        <v>1095</v>
      </c>
      <c r="B1097" s="251"/>
      <c r="C1097" s="692"/>
      <c r="D1097" s="692"/>
      <c r="E1097" s="695">
        <v>0.621</v>
      </c>
      <c r="F1097" s="692"/>
      <c r="G1097" s="693"/>
      <c r="H1097" s="693"/>
      <c r="I1097" s="693"/>
      <c r="J1097" s="693"/>
      <c r="K1097" s="692"/>
      <c r="L1097" s="693"/>
      <c r="M1097" s="693"/>
      <c r="N1097" s="693"/>
      <c r="O1097" s="693"/>
      <c r="P1097" s="692"/>
      <c r="Q1097" s="693"/>
      <c r="R1097" s="693"/>
      <c r="S1097" s="693"/>
      <c r="T1097" s="693"/>
      <c r="U1097" s="692"/>
      <c r="V1097" s="693"/>
      <c r="W1097" s="693"/>
      <c r="X1097" s="693"/>
      <c r="Y1097" s="693"/>
      <c r="Z1097" s="692"/>
      <c r="AA1097" s="693"/>
      <c r="AB1097" s="693"/>
      <c r="AC1097" s="693"/>
      <c r="AD1097" s="693"/>
      <c r="AE1097" s="692"/>
      <c r="AF1097" s="693"/>
      <c r="AG1097" s="693"/>
      <c r="AH1097" s="693"/>
      <c r="AI1097" s="693"/>
      <c r="AJ1097" s="692"/>
      <c r="AK1097" s="693"/>
      <c r="AL1097" s="693"/>
      <c r="AM1097" s="693"/>
      <c r="AN1097" s="693"/>
      <c r="AO1097" s="692"/>
      <c r="AP1097" s="693"/>
      <c r="AQ1097" s="693"/>
      <c r="AR1097" s="693"/>
      <c r="AS1097" s="693"/>
      <c r="AT1097" s="692"/>
      <c r="AU1097" s="693"/>
      <c r="AV1097" s="693"/>
      <c r="AW1097" s="693"/>
      <c r="AX1097" s="693"/>
      <c r="AY1097" s="692"/>
      <c r="AZ1097" s="693"/>
      <c r="BA1097" s="693"/>
      <c r="BB1097" s="693"/>
      <c r="BC1097" s="693"/>
      <c r="BD1097" s="692"/>
      <c r="BE1097" s="693"/>
      <c r="BF1097" s="693"/>
      <c r="BG1097" s="693"/>
      <c r="BH1097" s="693"/>
      <c r="BI1097" s="696"/>
      <c r="BJ1097" s="693"/>
      <c r="BK1097" s="693"/>
      <c r="BL1097" s="693"/>
      <c r="BM1097" s="693"/>
      <c r="BN1097" s="692"/>
      <c r="BO1097" s="693"/>
      <c r="BP1097" s="693"/>
      <c r="BQ1097" s="693"/>
      <c r="BR1097" s="693"/>
      <c r="BS1097" s="692"/>
      <c r="BT1097" s="692"/>
      <c r="BU1097" s="692"/>
      <c r="BV1097" s="692"/>
      <c r="BW1097" s="122"/>
    </row>
    <row r="1098" spans="1:75" s="697" customFormat="1" hidden="1" outlineLevel="1" x14ac:dyDescent="0.5">
      <c r="A1098" s="428" t="s">
        <v>1096</v>
      </c>
      <c r="B1098" s="251"/>
      <c r="C1098" s="692"/>
      <c r="D1098" s="692"/>
      <c r="E1098" s="692"/>
      <c r="F1098" s="692"/>
      <c r="G1098" s="693"/>
      <c r="H1098" s="693"/>
      <c r="I1098" s="693"/>
      <c r="J1098" s="693"/>
      <c r="K1098" s="692"/>
      <c r="L1098" s="693"/>
      <c r="M1098" s="693"/>
      <c r="N1098" s="693"/>
      <c r="O1098" s="693"/>
      <c r="P1098" s="692"/>
      <c r="Q1098" s="693"/>
      <c r="R1098" s="693"/>
      <c r="S1098" s="693"/>
      <c r="T1098" s="693"/>
      <c r="U1098" s="692"/>
      <c r="V1098" s="694">
        <v>1.415</v>
      </c>
      <c r="W1098" s="694">
        <v>3.3090000000000002</v>
      </c>
      <c r="X1098" s="694">
        <v>0.97399999999999998</v>
      </c>
      <c r="Y1098" s="693"/>
      <c r="Z1098" s="695">
        <v>5.6980000000000004</v>
      </c>
      <c r="AA1098" s="693"/>
      <c r="AB1098" s="693"/>
      <c r="AC1098" s="694">
        <v>1.0289999999999999</v>
      </c>
      <c r="AD1098" s="694">
        <v>-0.08</v>
      </c>
      <c r="AE1098" s="695">
        <v>0.94899999999999995</v>
      </c>
      <c r="AF1098" s="693"/>
      <c r="AG1098" s="694">
        <v>1.7210000000000001</v>
      </c>
      <c r="AH1098" s="694">
        <v>7.5640000000000001</v>
      </c>
      <c r="AI1098" s="694">
        <v>0.69199999999999995</v>
      </c>
      <c r="AJ1098" s="695">
        <v>9.9770000000000003</v>
      </c>
      <c r="AK1098" s="693"/>
      <c r="AL1098" s="693"/>
      <c r="AM1098" s="694">
        <v>1.075</v>
      </c>
      <c r="AN1098" s="693"/>
      <c r="AO1098" s="695">
        <v>1.075</v>
      </c>
      <c r="AP1098" s="694">
        <v>4.1429999999999998</v>
      </c>
      <c r="AQ1098" s="694">
        <v>2.8839999999999999</v>
      </c>
      <c r="AR1098" s="693"/>
      <c r="AS1098" s="693"/>
      <c r="AT1098" s="695">
        <v>7.0270000000000001</v>
      </c>
      <c r="AU1098" s="693"/>
      <c r="AV1098" s="694">
        <v>0.44900000000000001</v>
      </c>
      <c r="AW1098" s="693"/>
      <c r="AX1098" s="693"/>
      <c r="AY1098" s="695">
        <v>0.44900000000000001</v>
      </c>
      <c r="AZ1098" s="693"/>
      <c r="BA1098" s="693"/>
      <c r="BB1098" s="693"/>
      <c r="BC1098" s="693"/>
      <c r="BD1098" s="692"/>
      <c r="BE1098" s="694">
        <v>7.6210000000000004</v>
      </c>
      <c r="BF1098" s="693"/>
      <c r="BG1098" s="693"/>
      <c r="BH1098" s="693"/>
      <c r="BI1098" s="702">
        <v>7.6210000000000004</v>
      </c>
      <c r="BJ1098" s="693"/>
      <c r="BK1098" s="693"/>
      <c r="BL1098" s="693"/>
      <c r="BM1098" s="693"/>
      <c r="BN1098" s="692"/>
      <c r="BO1098" s="693"/>
      <c r="BP1098" s="693"/>
      <c r="BQ1098" s="693"/>
      <c r="BR1098" s="693"/>
      <c r="BS1098" s="692"/>
      <c r="BT1098" s="692"/>
      <c r="BU1098" s="692"/>
      <c r="BV1098" s="692"/>
      <c r="BW1098" s="122"/>
    </row>
    <row r="1099" spans="1:75" s="697" customFormat="1" hidden="1" outlineLevel="1" x14ac:dyDescent="0.5">
      <c r="A1099" s="428" t="s">
        <v>1107</v>
      </c>
      <c r="B1099" s="251"/>
      <c r="C1099" s="692"/>
      <c r="D1099" s="692"/>
      <c r="E1099" s="692"/>
      <c r="F1099" s="692"/>
      <c r="G1099" s="693"/>
      <c r="H1099" s="693"/>
      <c r="I1099" s="693"/>
      <c r="J1099" s="693"/>
      <c r="K1099" s="692"/>
      <c r="L1099" s="693"/>
      <c r="M1099" s="693"/>
      <c r="N1099" s="693"/>
      <c r="O1099" s="693"/>
      <c r="P1099" s="692"/>
      <c r="Q1099" s="693"/>
      <c r="R1099" s="693"/>
      <c r="S1099" s="693"/>
      <c r="T1099" s="693"/>
      <c r="U1099" s="692"/>
      <c r="V1099" s="693"/>
      <c r="W1099" s="693"/>
      <c r="X1099" s="693"/>
      <c r="Y1099" s="693"/>
      <c r="Z1099" s="692"/>
      <c r="AA1099" s="693"/>
      <c r="AB1099" s="693"/>
      <c r="AC1099" s="693"/>
      <c r="AD1099" s="693"/>
      <c r="AE1099" s="692"/>
      <c r="AF1099" s="693"/>
      <c r="AG1099" s="693"/>
      <c r="AH1099" s="693"/>
      <c r="AI1099" s="694">
        <v>8.4969999999999999</v>
      </c>
      <c r="AJ1099" s="695">
        <v>8.4969999999999999</v>
      </c>
      <c r="AK1099" s="693"/>
      <c r="AL1099" s="693"/>
      <c r="AM1099" s="694">
        <v>-1.5289999999999999</v>
      </c>
      <c r="AN1099" s="693"/>
      <c r="AO1099" s="695">
        <v>-1.5289999999999999</v>
      </c>
      <c r="AP1099" s="693"/>
      <c r="AQ1099" s="693"/>
      <c r="AR1099" s="693"/>
      <c r="AS1099" s="693"/>
      <c r="AT1099" s="692"/>
      <c r="AU1099" s="693"/>
      <c r="AV1099" s="693"/>
      <c r="AW1099" s="693"/>
      <c r="AX1099" s="693"/>
      <c r="AY1099" s="692"/>
      <c r="AZ1099" s="693"/>
      <c r="BA1099" s="693"/>
      <c r="BB1099" s="693"/>
      <c r="BC1099" s="693"/>
      <c r="BD1099" s="692"/>
      <c r="BE1099" s="693"/>
      <c r="BF1099" s="693"/>
      <c r="BG1099" s="693"/>
      <c r="BH1099" s="693"/>
      <c r="BI1099" s="696"/>
      <c r="BJ1099" s="693"/>
      <c r="BK1099" s="693"/>
      <c r="BL1099" s="693"/>
      <c r="BM1099" s="693"/>
      <c r="BN1099" s="692"/>
      <c r="BO1099" s="693"/>
      <c r="BP1099" s="693"/>
      <c r="BQ1099" s="693"/>
      <c r="BR1099" s="693"/>
      <c r="BS1099" s="692"/>
      <c r="BT1099" s="692"/>
      <c r="BU1099" s="692"/>
      <c r="BV1099" s="692"/>
      <c r="BW1099" s="122"/>
    </row>
    <row r="1100" spans="1:75" s="697" customFormat="1" hidden="1" outlineLevel="1" x14ac:dyDescent="0.5">
      <c r="A1100" s="428" t="s">
        <v>1077</v>
      </c>
      <c r="B1100" s="251"/>
      <c r="C1100" s="692"/>
      <c r="D1100" s="692"/>
      <c r="E1100" s="692"/>
      <c r="F1100" s="692"/>
      <c r="G1100" s="693"/>
      <c r="H1100" s="693"/>
      <c r="I1100" s="693"/>
      <c r="J1100" s="693"/>
      <c r="K1100" s="692"/>
      <c r="L1100" s="693"/>
      <c r="M1100" s="693"/>
      <c r="N1100" s="693"/>
      <c r="O1100" s="693"/>
      <c r="P1100" s="692"/>
      <c r="Q1100" s="693"/>
      <c r="R1100" s="693"/>
      <c r="S1100" s="693"/>
      <c r="T1100" s="693"/>
      <c r="U1100" s="692"/>
      <c r="V1100" s="693"/>
      <c r="W1100" s="693"/>
      <c r="X1100" s="693"/>
      <c r="Y1100" s="694">
        <v>12.743</v>
      </c>
      <c r="Z1100" s="695">
        <v>12.743</v>
      </c>
      <c r="AA1100" s="693"/>
      <c r="AB1100" s="693"/>
      <c r="AC1100" s="693"/>
      <c r="AD1100" s="693"/>
      <c r="AE1100" s="692"/>
      <c r="AF1100" s="693"/>
      <c r="AG1100" s="693"/>
      <c r="AH1100" s="693"/>
      <c r="AI1100" s="694">
        <v>3.8069999999999999</v>
      </c>
      <c r="AJ1100" s="695">
        <v>3.8069999999999999</v>
      </c>
      <c r="AK1100" s="694">
        <v>3.476</v>
      </c>
      <c r="AL1100" s="694">
        <v>2.5449999999999999</v>
      </c>
      <c r="AM1100" s="694">
        <v>1.0309999999999999</v>
      </c>
      <c r="AN1100" s="694">
        <v>14.847</v>
      </c>
      <c r="AO1100" s="695">
        <v>21.899000000000001</v>
      </c>
      <c r="AP1100" s="694">
        <v>8.4710000000000001</v>
      </c>
      <c r="AQ1100" s="694">
        <v>1.339</v>
      </c>
      <c r="AR1100" s="694">
        <v>2.0910000000000002</v>
      </c>
      <c r="AS1100" s="694">
        <v>0.95</v>
      </c>
      <c r="AT1100" s="695">
        <v>12.851000000000001</v>
      </c>
      <c r="AU1100" s="693"/>
      <c r="AV1100" s="694">
        <v>7.3540000000000001</v>
      </c>
      <c r="AW1100" s="693"/>
      <c r="AX1100" s="694">
        <v>2.2759999999999998</v>
      </c>
      <c r="AY1100" s="695">
        <v>9.6300000000000008</v>
      </c>
      <c r="AZ1100" s="694">
        <v>5.923</v>
      </c>
      <c r="BA1100" s="694">
        <v>2.2309999999999999</v>
      </c>
      <c r="BB1100" s="694">
        <v>10.926</v>
      </c>
      <c r="BC1100" s="694">
        <v>5.1059999999999999</v>
      </c>
      <c r="BD1100" s="695">
        <v>24.186</v>
      </c>
      <c r="BE1100" s="693"/>
      <c r="BF1100" s="693"/>
      <c r="BG1100" s="694">
        <v>3.5310000000000001</v>
      </c>
      <c r="BH1100" s="693"/>
      <c r="BI1100" s="702">
        <v>3.5310000000000001</v>
      </c>
      <c r="BJ1100" s="693"/>
      <c r="BK1100" s="693"/>
      <c r="BL1100" s="693"/>
      <c r="BM1100" s="693"/>
      <c r="BN1100" s="692"/>
      <c r="BO1100" s="693"/>
      <c r="BP1100" s="693"/>
      <c r="BQ1100" s="693"/>
      <c r="BR1100" s="693"/>
      <c r="BS1100" s="692"/>
      <c r="BT1100" s="692"/>
      <c r="BU1100" s="692"/>
      <c r="BV1100" s="692"/>
      <c r="BW1100" s="122"/>
    </row>
    <row r="1101" spans="1:75" s="697" customFormat="1" hidden="1" outlineLevel="1" x14ac:dyDescent="0.5">
      <c r="A1101" s="428" t="s">
        <v>1098</v>
      </c>
      <c r="B1101" s="251"/>
      <c r="C1101" s="692"/>
      <c r="D1101" s="692"/>
      <c r="E1101" s="692"/>
      <c r="F1101" s="692"/>
      <c r="G1101" s="693"/>
      <c r="H1101" s="693"/>
      <c r="I1101" s="693"/>
      <c r="J1101" s="693"/>
      <c r="K1101" s="692"/>
      <c r="L1101" s="693"/>
      <c r="M1101" s="693"/>
      <c r="N1101" s="693"/>
      <c r="O1101" s="693"/>
      <c r="P1101" s="692"/>
      <c r="Q1101" s="693"/>
      <c r="R1101" s="693"/>
      <c r="S1101" s="693"/>
      <c r="T1101" s="693"/>
      <c r="U1101" s="692"/>
      <c r="V1101" s="693"/>
      <c r="W1101" s="693"/>
      <c r="X1101" s="693"/>
      <c r="Y1101" s="694">
        <v>4.7670000000000003</v>
      </c>
      <c r="Z1101" s="695">
        <v>4.7670000000000003</v>
      </c>
      <c r="AA1101" s="693"/>
      <c r="AB1101" s="693"/>
      <c r="AC1101" s="693"/>
      <c r="AD1101" s="693"/>
      <c r="AE1101" s="692"/>
      <c r="AF1101" s="693"/>
      <c r="AG1101" s="693"/>
      <c r="AH1101" s="693"/>
      <c r="AI1101" s="693"/>
      <c r="AJ1101" s="692"/>
      <c r="AK1101" s="693"/>
      <c r="AL1101" s="693"/>
      <c r="AM1101" s="693"/>
      <c r="AN1101" s="693"/>
      <c r="AO1101" s="692"/>
      <c r="AP1101" s="693"/>
      <c r="AQ1101" s="693"/>
      <c r="AR1101" s="693"/>
      <c r="AS1101" s="693"/>
      <c r="AT1101" s="692"/>
      <c r="AU1101" s="693"/>
      <c r="AV1101" s="693"/>
      <c r="AW1101" s="693"/>
      <c r="AX1101" s="693"/>
      <c r="AY1101" s="692"/>
      <c r="AZ1101" s="693"/>
      <c r="BA1101" s="693"/>
      <c r="BB1101" s="693"/>
      <c r="BC1101" s="693"/>
      <c r="BD1101" s="692"/>
      <c r="BE1101" s="693"/>
      <c r="BF1101" s="693"/>
      <c r="BG1101" s="693"/>
      <c r="BH1101" s="693"/>
      <c r="BI1101" s="696"/>
      <c r="BJ1101" s="693"/>
      <c r="BK1101" s="693"/>
      <c r="BL1101" s="693"/>
      <c r="BM1101" s="693"/>
      <c r="BN1101" s="692"/>
      <c r="BO1101" s="693"/>
      <c r="BP1101" s="693"/>
      <c r="BQ1101" s="693"/>
      <c r="BR1101" s="693"/>
      <c r="BS1101" s="692"/>
      <c r="BT1101" s="692"/>
      <c r="BU1101" s="692"/>
      <c r="BV1101" s="692"/>
      <c r="BW1101" s="122"/>
    </row>
    <row r="1102" spans="1:75" s="697" customFormat="1" hidden="1" outlineLevel="1" x14ac:dyDescent="0.5">
      <c r="A1102" s="428" t="s">
        <v>1099</v>
      </c>
      <c r="B1102" s="251"/>
      <c r="C1102" s="692"/>
      <c r="D1102" s="692"/>
      <c r="E1102" s="692"/>
      <c r="F1102" s="692"/>
      <c r="G1102" s="693"/>
      <c r="H1102" s="693"/>
      <c r="I1102" s="693"/>
      <c r="J1102" s="693"/>
      <c r="K1102" s="692"/>
      <c r="L1102" s="693"/>
      <c r="M1102" s="693"/>
      <c r="N1102" s="693"/>
      <c r="O1102" s="693"/>
      <c r="P1102" s="692"/>
      <c r="Q1102" s="693"/>
      <c r="R1102" s="693"/>
      <c r="S1102" s="693"/>
      <c r="T1102" s="693"/>
      <c r="U1102" s="692"/>
      <c r="V1102" s="694">
        <v>2.069</v>
      </c>
      <c r="W1102" s="694">
        <v>0.77800000000000002</v>
      </c>
      <c r="X1102" s="693"/>
      <c r="Y1102" s="693"/>
      <c r="Z1102" s="695">
        <v>2.847</v>
      </c>
      <c r="AA1102" s="693"/>
      <c r="AB1102" s="693"/>
      <c r="AC1102" s="693"/>
      <c r="AD1102" s="693"/>
      <c r="AE1102" s="692"/>
      <c r="AF1102" s="693"/>
      <c r="AG1102" s="693"/>
      <c r="AH1102" s="693"/>
      <c r="AI1102" s="693"/>
      <c r="AJ1102" s="692"/>
      <c r="AK1102" s="693"/>
      <c r="AL1102" s="693"/>
      <c r="AM1102" s="693"/>
      <c r="AN1102" s="693"/>
      <c r="AO1102" s="692"/>
      <c r="AP1102" s="693"/>
      <c r="AQ1102" s="693"/>
      <c r="AR1102" s="693"/>
      <c r="AS1102" s="693"/>
      <c r="AT1102" s="692"/>
      <c r="AU1102" s="693"/>
      <c r="AV1102" s="693"/>
      <c r="AW1102" s="693"/>
      <c r="AX1102" s="693"/>
      <c r="AY1102" s="692"/>
      <c r="AZ1102" s="693"/>
      <c r="BA1102" s="693"/>
      <c r="BB1102" s="693"/>
      <c r="BC1102" s="693"/>
      <c r="BD1102" s="692"/>
      <c r="BE1102" s="693"/>
      <c r="BF1102" s="693"/>
      <c r="BG1102" s="693"/>
      <c r="BH1102" s="693"/>
      <c r="BI1102" s="696"/>
      <c r="BJ1102" s="693"/>
      <c r="BK1102" s="693"/>
      <c r="BL1102" s="693"/>
      <c r="BM1102" s="693"/>
      <c r="BN1102" s="692"/>
      <c r="BO1102" s="693"/>
      <c r="BP1102" s="693"/>
      <c r="BQ1102" s="693"/>
      <c r="BR1102" s="693"/>
      <c r="BS1102" s="692"/>
      <c r="BT1102" s="692"/>
      <c r="BU1102" s="692"/>
      <c r="BV1102" s="692"/>
      <c r="BW1102" s="122"/>
    </row>
    <row r="1103" spans="1:75" s="697" customFormat="1" hidden="1" outlineLevel="1" x14ac:dyDescent="0.5">
      <c r="A1103" s="428" t="s">
        <v>1100</v>
      </c>
      <c r="B1103" s="251"/>
      <c r="C1103" s="692"/>
      <c r="D1103" s="692"/>
      <c r="E1103" s="692"/>
      <c r="F1103" s="692"/>
      <c r="G1103" s="693"/>
      <c r="H1103" s="693"/>
      <c r="I1103" s="693"/>
      <c r="J1103" s="693"/>
      <c r="K1103" s="692"/>
      <c r="L1103" s="693"/>
      <c r="M1103" s="693"/>
      <c r="N1103" s="693"/>
      <c r="O1103" s="693"/>
      <c r="P1103" s="692"/>
      <c r="Q1103" s="693"/>
      <c r="R1103" s="693"/>
      <c r="S1103" s="693"/>
      <c r="T1103" s="693"/>
      <c r="U1103" s="692"/>
      <c r="V1103" s="693"/>
      <c r="W1103" s="693"/>
      <c r="X1103" s="693"/>
      <c r="Y1103" s="693"/>
      <c r="Z1103" s="692"/>
      <c r="AA1103" s="693"/>
      <c r="AB1103" s="693"/>
      <c r="AC1103" s="693"/>
      <c r="AD1103" s="693"/>
      <c r="AE1103" s="692"/>
      <c r="AF1103" s="693"/>
      <c r="AG1103" s="693"/>
      <c r="AH1103" s="693"/>
      <c r="AI1103" s="693"/>
      <c r="AJ1103" s="692"/>
      <c r="AK1103" s="693"/>
      <c r="AL1103" s="693"/>
      <c r="AM1103" s="693"/>
      <c r="AN1103" s="693"/>
      <c r="AO1103" s="692"/>
      <c r="AP1103" s="693"/>
      <c r="AQ1103" s="694">
        <v>9.3520000000000003</v>
      </c>
      <c r="AR1103" s="693"/>
      <c r="AS1103" s="693"/>
      <c r="AT1103" s="695">
        <v>9.3520000000000003</v>
      </c>
      <c r="AU1103" s="693"/>
      <c r="AV1103" s="693"/>
      <c r="AW1103" s="693"/>
      <c r="AX1103" s="693"/>
      <c r="AY1103" s="692"/>
      <c r="AZ1103" s="693"/>
      <c r="BA1103" s="693"/>
      <c r="BB1103" s="693"/>
      <c r="BC1103" s="693"/>
      <c r="BD1103" s="692"/>
      <c r="BE1103" s="693"/>
      <c r="BF1103" s="693"/>
      <c r="BG1103" s="693"/>
      <c r="BH1103" s="693"/>
      <c r="BI1103" s="696"/>
      <c r="BJ1103" s="693"/>
      <c r="BK1103" s="693"/>
      <c r="BL1103" s="693"/>
      <c r="BM1103" s="693"/>
      <c r="BN1103" s="692"/>
      <c r="BO1103" s="693"/>
      <c r="BP1103" s="693"/>
      <c r="BQ1103" s="693"/>
      <c r="BR1103" s="693"/>
      <c r="BS1103" s="692"/>
      <c r="BT1103" s="692"/>
      <c r="BU1103" s="692"/>
      <c r="BV1103" s="692"/>
      <c r="BW1103" s="122"/>
    </row>
    <row r="1104" spans="1:75" s="697" customFormat="1" hidden="1" outlineLevel="1" x14ac:dyDescent="0.5">
      <c r="A1104" s="428" t="s">
        <v>1101</v>
      </c>
      <c r="B1104" s="251"/>
      <c r="C1104" s="692"/>
      <c r="D1104" s="692"/>
      <c r="E1104" s="695">
        <v>3.11</v>
      </c>
      <c r="F1104" s="695">
        <v>-0.38600000000000001</v>
      </c>
      <c r="G1104" s="693"/>
      <c r="H1104" s="693"/>
      <c r="I1104" s="693"/>
      <c r="J1104" s="693"/>
      <c r="K1104" s="692"/>
      <c r="L1104" s="693"/>
      <c r="M1104" s="693"/>
      <c r="N1104" s="693"/>
      <c r="O1104" s="693"/>
      <c r="P1104" s="692"/>
      <c r="Q1104" s="693"/>
      <c r="R1104" s="693"/>
      <c r="S1104" s="693"/>
      <c r="T1104" s="693"/>
      <c r="U1104" s="692"/>
      <c r="V1104" s="693"/>
      <c r="W1104" s="693"/>
      <c r="X1104" s="693"/>
      <c r="Y1104" s="693"/>
      <c r="Z1104" s="692"/>
      <c r="AA1104" s="693"/>
      <c r="AB1104" s="693"/>
      <c r="AC1104" s="693"/>
      <c r="AD1104" s="694">
        <v>4.4169999999999998</v>
      </c>
      <c r="AE1104" s="695">
        <v>4.4169999999999998</v>
      </c>
      <c r="AF1104" s="693"/>
      <c r="AG1104" s="693"/>
      <c r="AH1104" s="694">
        <v>3.411</v>
      </c>
      <c r="AI1104" s="693"/>
      <c r="AJ1104" s="695">
        <v>3.411</v>
      </c>
      <c r="AK1104" s="693"/>
      <c r="AL1104" s="693"/>
      <c r="AM1104" s="693"/>
      <c r="AN1104" s="693"/>
      <c r="AO1104" s="692"/>
      <c r="AP1104" s="693"/>
      <c r="AQ1104" s="693"/>
      <c r="AR1104" s="693"/>
      <c r="AS1104" s="693"/>
      <c r="AT1104" s="692"/>
      <c r="AU1104" s="693"/>
      <c r="AV1104" s="693"/>
      <c r="AW1104" s="693"/>
      <c r="AX1104" s="693"/>
      <c r="AY1104" s="692"/>
      <c r="AZ1104" s="693"/>
      <c r="BA1104" s="693"/>
      <c r="BB1104" s="693"/>
      <c r="BC1104" s="693"/>
      <c r="BD1104" s="692"/>
      <c r="BE1104" s="693"/>
      <c r="BF1104" s="693"/>
      <c r="BG1104" s="693"/>
      <c r="BH1104" s="693"/>
      <c r="BI1104" s="696"/>
      <c r="BJ1104" s="693"/>
      <c r="BK1104" s="693"/>
      <c r="BL1104" s="693"/>
      <c r="BM1104" s="693"/>
      <c r="BN1104" s="692"/>
      <c r="BO1104" s="693"/>
      <c r="BP1104" s="693"/>
      <c r="BQ1104" s="693"/>
      <c r="BR1104" s="693"/>
      <c r="BS1104" s="692"/>
      <c r="BT1104" s="692"/>
      <c r="BU1104" s="692"/>
      <c r="BV1104" s="692"/>
      <c r="BW1104" s="122"/>
    </row>
    <row r="1105" spans="1:75" s="697" customFormat="1" hidden="1" outlineLevel="1" x14ac:dyDescent="0.5">
      <c r="A1105" s="428" t="s">
        <v>1079</v>
      </c>
      <c r="B1105" s="251"/>
      <c r="C1105" s="692"/>
      <c r="D1105" s="692"/>
      <c r="E1105" s="692"/>
      <c r="F1105" s="692"/>
      <c r="G1105" s="693"/>
      <c r="H1105" s="693"/>
      <c r="I1105" s="693"/>
      <c r="J1105" s="693"/>
      <c r="K1105" s="692"/>
      <c r="L1105" s="693"/>
      <c r="M1105" s="693"/>
      <c r="N1105" s="693"/>
      <c r="O1105" s="693"/>
      <c r="P1105" s="692"/>
      <c r="Q1105" s="693"/>
      <c r="R1105" s="693"/>
      <c r="S1105" s="693"/>
      <c r="T1105" s="693"/>
      <c r="U1105" s="692"/>
      <c r="V1105" s="693"/>
      <c r="W1105" s="693"/>
      <c r="X1105" s="693"/>
      <c r="Y1105" s="693"/>
      <c r="Z1105" s="692"/>
      <c r="AA1105" s="693"/>
      <c r="AB1105" s="693"/>
      <c r="AC1105" s="694">
        <v>0.83299999999999996</v>
      </c>
      <c r="AD1105" s="694">
        <v>4.0129999999999999</v>
      </c>
      <c r="AE1105" s="695">
        <v>4.8460000000000001</v>
      </c>
      <c r="AF1105" s="694">
        <v>-0.84</v>
      </c>
      <c r="AG1105" s="693"/>
      <c r="AH1105" s="694">
        <v>3.8860000000000001</v>
      </c>
      <c r="AI1105" s="693"/>
      <c r="AJ1105" s="695">
        <v>3.0459999999999998</v>
      </c>
      <c r="AK1105" s="693"/>
      <c r="AL1105" s="693"/>
      <c r="AM1105" s="693"/>
      <c r="AN1105" s="693"/>
      <c r="AO1105" s="692"/>
      <c r="AP1105" s="693"/>
      <c r="AQ1105" s="693"/>
      <c r="AR1105" s="693"/>
      <c r="AS1105" s="693"/>
      <c r="AT1105" s="692"/>
      <c r="AU1105" s="693"/>
      <c r="AV1105" s="693"/>
      <c r="AW1105" s="693"/>
      <c r="AX1105" s="693"/>
      <c r="AY1105" s="692"/>
      <c r="AZ1105" s="693"/>
      <c r="BA1105" s="693"/>
      <c r="BB1105" s="693"/>
      <c r="BC1105" s="693"/>
      <c r="BD1105" s="692"/>
      <c r="BE1105" s="693"/>
      <c r="BF1105" s="693"/>
      <c r="BG1105" s="693"/>
      <c r="BH1105" s="693"/>
      <c r="BI1105" s="696"/>
      <c r="BJ1105" s="693"/>
      <c r="BK1105" s="693"/>
      <c r="BL1105" s="693"/>
      <c r="BM1105" s="693"/>
      <c r="BN1105" s="692"/>
      <c r="BO1105" s="693"/>
      <c r="BP1105" s="693"/>
      <c r="BQ1105" s="693"/>
      <c r="BR1105" s="693"/>
      <c r="BS1105" s="692"/>
      <c r="BT1105" s="692"/>
      <c r="BU1105" s="692"/>
      <c r="BV1105" s="692"/>
      <c r="BW1105" s="122"/>
    </row>
    <row r="1106" spans="1:75" s="697" customFormat="1" hidden="1" outlineLevel="1" x14ac:dyDescent="0.5">
      <c r="A1106" s="428" t="s">
        <v>1074</v>
      </c>
      <c r="B1106" s="251"/>
      <c r="C1106" s="692"/>
      <c r="D1106" s="692"/>
      <c r="E1106" s="692"/>
      <c r="F1106" s="692"/>
      <c r="G1106" s="693"/>
      <c r="H1106" s="693"/>
      <c r="I1106" s="693"/>
      <c r="J1106" s="693"/>
      <c r="K1106" s="692"/>
      <c r="L1106" s="693"/>
      <c r="M1106" s="693"/>
      <c r="N1106" s="693"/>
      <c r="O1106" s="693"/>
      <c r="P1106" s="692"/>
      <c r="Q1106" s="693"/>
      <c r="R1106" s="693"/>
      <c r="S1106" s="693"/>
      <c r="T1106" s="693"/>
      <c r="U1106" s="692"/>
      <c r="V1106" s="693"/>
      <c r="W1106" s="693"/>
      <c r="X1106" s="693"/>
      <c r="Y1106" s="694">
        <v>4.6150000000000002</v>
      </c>
      <c r="Z1106" s="695">
        <v>4.6150000000000002</v>
      </c>
      <c r="AA1106" s="693"/>
      <c r="AB1106" s="694">
        <v>4.7329999999999997</v>
      </c>
      <c r="AC1106" s="694">
        <v>3.552</v>
      </c>
      <c r="AD1106" s="694">
        <v>-0.57799999999999996</v>
      </c>
      <c r="AE1106" s="695">
        <v>7.7069999999999999</v>
      </c>
      <c r="AF1106" s="694">
        <v>-0.254</v>
      </c>
      <c r="AG1106" s="694">
        <v>-1.0640000000000001</v>
      </c>
      <c r="AH1106" s="694">
        <v>3.9860000000000002</v>
      </c>
      <c r="AI1106" s="694">
        <v>-1.0489999999999999</v>
      </c>
      <c r="AJ1106" s="695">
        <v>1.619</v>
      </c>
      <c r="AK1106" s="694">
        <v>-1.615</v>
      </c>
      <c r="AL1106" s="694">
        <v>-0.32</v>
      </c>
      <c r="AM1106" s="694">
        <v>-2.0529999999999999</v>
      </c>
      <c r="AN1106" s="693"/>
      <c r="AO1106" s="695">
        <v>-3.988</v>
      </c>
      <c r="AP1106" s="693"/>
      <c r="AQ1106" s="694">
        <v>4.78</v>
      </c>
      <c r="AR1106" s="694">
        <v>0.78100000000000003</v>
      </c>
      <c r="AS1106" s="694">
        <v>1.8089999999999999</v>
      </c>
      <c r="AT1106" s="695">
        <v>7.37</v>
      </c>
      <c r="AU1106" s="694">
        <v>0.5</v>
      </c>
      <c r="AV1106" s="693"/>
      <c r="AW1106" s="694">
        <v>0.34</v>
      </c>
      <c r="AX1106" s="694">
        <v>1.1000000000000001</v>
      </c>
      <c r="AY1106" s="695">
        <v>1.94</v>
      </c>
      <c r="AZ1106" s="694">
        <v>0.56000000000000005</v>
      </c>
      <c r="BA1106" s="693"/>
      <c r="BB1106" s="693"/>
      <c r="BC1106" s="693"/>
      <c r="BD1106" s="695">
        <v>0.56000000000000005</v>
      </c>
      <c r="BE1106" s="693"/>
      <c r="BF1106" s="693"/>
      <c r="BG1106" s="694">
        <v>-1.5760000000000001</v>
      </c>
      <c r="BH1106" s="693"/>
      <c r="BI1106" s="702">
        <v>-1.5760000000000001</v>
      </c>
      <c r="BJ1106" s="693"/>
      <c r="BK1106" s="693"/>
      <c r="BL1106" s="693"/>
      <c r="BM1106" s="693"/>
      <c r="BN1106" s="692"/>
      <c r="BO1106" s="693"/>
      <c r="BP1106" s="693"/>
      <c r="BQ1106" s="693"/>
      <c r="BR1106" s="693"/>
      <c r="BS1106" s="692"/>
      <c r="BT1106" s="692"/>
      <c r="BU1106" s="692"/>
      <c r="BV1106" s="692"/>
      <c r="BW1106" s="122"/>
    </row>
    <row r="1107" spans="1:75" s="697" customFormat="1" hidden="1" outlineLevel="1" x14ac:dyDescent="0.5">
      <c r="A1107" s="428" t="s">
        <v>1102</v>
      </c>
      <c r="B1107" s="251"/>
      <c r="C1107" s="692"/>
      <c r="D1107" s="692"/>
      <c r="E1107" s="692"/>
      <c r="F1107" s="692"/>
      <c r="G1107" s="693"/>
      <c r="H1107" s="693"/>
      <c r="I1107" s="693"/>
      <c r="J1107" s="693"/>
      <c r="K1107" s="692"/>
      <c r="L1107" s="693"/>
      <c r="M1107" s="693"/>
      <c r="N1107" s="693"/>
      <c r="O1107" s="693"/>
      <c r="P1107" s="692"/>
      <c r="Q1107" s="693"/>
      <c r="R1107" s="693"/>
      <c r="S1107" s="693"/>
      <c r="T1107" s="693"/>
      <c r="U1107" s="692"/>
      <c r="V1107" s="693"/>
      <c r="W1107" s="693"/>
      <c r="X1107" s="693"/>
      <c r="Y1107" s="693"/>
      <c r="Z1107" s="692"/>
      <c r="AA1107" s="693"/>
      <c r="AB1107" s="694">
        <v>-1.3</v>
      </c>
      <c r="AC1107" s="694">
        <v>-0.81899999999999995</v>
      </c>
      <c r="AD1107" s="693"/>
      <c r="AE1107" s="695">
        <v>-2.1190000000000002</v>
      </c>
      <c r="AF1107" s="693"/>
      <c r="AG1107" s="693"/>
      <c r="AH1107" s="693"/>
      <c r="AI1107" s="693"/>
      <c r="AJ1107" s="692"/>
      <c r="AK1107" s="693"/>
      <c r="AL1107" s="693"/>
      <c r="AM1107" s="693"/>
      <c r="AN1107" s="693"/>
      <c r="AO1107" s="692"/>
      <c r="AP1107" s="693"/>
      <c r="AQ1107" s="693"/>
      <c r="AR1107" s="693"/>
      <c r="AS1107" s="693"/>
      <c r="AT1107" s="692"/>
      <c r="AU1107" s="693"/>
      <c r="AV1107" s="693"/>
      <c r="AW1107" s="693"/>
      <c r="AX1107" s="693"/>
      <c r="AY1107" s="692"/>
      <c r="AZ1107" s="693"/>
      <c r="BA1107" s="693"/>
      <c r="BB1107" s="694">
        <v>-0.77500000000000002</v>
      </c>
      <c r="BC1107" s="693"/>
      <c r="BD1107" s="695">
        <v>-0.77500000000000002</v>
      </c>
      <c r="BE1107" s="693"/>
      <c r="BF1107" s="693"/>
      <c r="BG1107" s="693"/>
      <c r="BH1107" s="693"/>
      <c r="BI1107" s="696"/>
      <c r="BJ1107" s="693"/>
      <c r="BK1107" s="693"/>
      <c r="BL1107" s="693"/>
      <c r="BM1107" s="693"/>
      <c r="BN1107" s="692"/>
      <c r="BO1107" s="693"/>
      <c r="BP1107" s="693"/>
      <c r="BQ1107" s="693"/>
      <c r="BR1107" s="693"/>
      <c r="BS1107" s="692"/>
      <c r="BT1107" s="692"/>
      <c r="BU1107" s="692"/>
      <c r="BV1107" s="692"/>
      <c r="BW1107" s="122"/>
    </row>
    <row r="1108" spans="1:75" s="697" customFormat="1" hidden="1" outlineLevel="1" x14ac:dyDescent="0.5">
      <c r="A1108" s="428" t="s">
        <v>1103</v>
      </c>
      <c r="B1108" s="251"/>
      <c r="C1108" s="692"/>
      <c r="D1108" s="692"/>
      <c r="E1108" s="692"/>
      <c r="F1108" s="692"/>
      <c r="G1108" s="693"/>
      <c r="H1108" s="693"/>
      <c r="I1108" s="693"/>
      <c r="J1108" s="693"/>
      <c r="K1108" s="692"/>
      <c r="L1108" s="694">
        <v>9.1999999999999993</v>
      </c>
      <c r="M1108" s="693"/>
      <c r="N1108" s="693"/>
      <c r="O1108" s="694">
        <v>-1.5</v>
      </c>
      <c r="P1108" s="695">
        <v>7.7</v>
      </c>
      <c r="Q1108" s="694">
        <v>1.5680000000000001</v>
      </c>
      <c r="R1108" s="694">
        <v>5.4740000000000002</v>
      </c>
      <c r="S1108" s="694">
        <v>5.0759999999999996</v>
      </c>
      <c r="T1108" s="694">
        <v>6.9279999999999999</v>
      </c>
      <c r="U1108" s="695">
        <v>19.045999999999999</v>
      </c>
      <c r="V1108" s="694">
        <v>8.7010000000000005</v>
      </c>
      <c r="W1108" s="693"/>
      <c r="X1108" s="693"/>
      <c r="Y1108" s="693"/>
      <c r="Z1108" s="695">
        <v>8.7010000000000005</v>
      </c>
      <c r="AA1108" s="693"/>
      <c r="AB1108" s="693"/>
      <c r="AC1108" s="693"/>
      <c r="AD1108" s="693"/>
      <c r="AE1108" s="692"/>
      <c r="AF1108" s="694">
        <v>1.915</v>
      </c>
      <c r="AG1108" s="694">
        <v>-7.2039999999999997</v>
      </c>
      <c r="AH1108" s="693"/>
      <c r="AI1108" s="693"/>
      <c r="AJ1108" s="695">
        <v>-5.2889999999999997</v>
      </c>
      <c r="AK1108" s="693"/>
      <c r="AL1108" s="694">
        <v>-1.1930000000000001</v>
      </c>
      <c r="AM1108" s="693"/>
      <c r="AN1108" s="693"/>
      <c r="AO1108" s="695">
        <v>-1.1930000000000001</v>
      </c>
      <c r="AP1108" s="693"/>
      <c r="AQ1108" s="693"/>
      <c r="AR1108" s="693"/>
      <c r="AS1108" s="693"/>
      <c r="AT1108" s="692"/>
      <c r="AU1108" s="693"/>
      <c r="AV1108" s="693"/>
      <c r="AW1108" s="693"/>
      <c r="AX1108" s="693"/>
      <c r="AY1108" s="692"/>
      <c r="AZ1108" s="693"/>
      <c r="BA1108" s="693"/>
      <c r="BB1108" s="694">
        <v>-4.1879999999999997</v>
      </c>
      <c r="BC1108" s="693"/>
      <c r="BD1108" s="695">
        <v>-4.1879999999999997</v>
      </c>
      <c r="BE1108" s="693"/>
      <c r="BF1108" s="694">
        <v>8</v>
      </c>
      <c r="BG1108" s="693"/>
      <c r="BH1108" s="694">
        <v>0.5</v>
      </c>
      <c r="BI1108" s="702">
        <v>8.5</v>
      </c>
      <c r="BJ1108" s="693"/>
      <c r="BK1108" s="693"/>
      <c r="BL1108" s="693"/>
      <c r="BM1108" s="693"/>
      <c r="BN1108" s="692"/>
      <c r="BO1108" s="693"/>
      <c r="BP1108" s="693"/>
      <c r="BQ1108" s="693"/>
      <c r="BR1108" s="693"/>
      <c r="BS1108" s="692"/>
      <c r="BT1108" s="692"/>
      <c r="BU1108" s="692"/>
      <c r="BV1108" s="692"/>
      <c r="BW1108" s="122"/>
    </row>
    <row r="1109" spans="1:75" s="697" customFormat="1" hidden="1" outlineLevel="1" x14ac:dyDescent="0.5">
      <c r="A1109" s="428" t="s">
        <v>1080</v>
      </c>
      <c r="B1109" s="251"/>
      <c r="C1109" s="692"/>
      <c r="D1109" s="692"/>
      <c r="E1109" s="692"/>
      <c r="F1109" s="695">
        <v>3.25</v>
      </c>
      <c r="G1109" s="693"/>
      <c r="H1109" s="693"/>
      <c r="I1109" s="693"/>
      <c r="J1109" s="693"/>
      <c r="K1109" s="692"/>
      <c r="L1109" s="693"/>
      <c r="M1109" s="693"/>
      <c r="N1109" s="693"/>
      <c r="O1109" s="693"/>
      <c r="P1109" s="692"/>
      <c r="Q1109" s="693"/>
      <c r="R1109" s="693"/>
      <c r="S1109" s="693"/>
      <c r="T1109" s="693"/>
      <c r="U1109" s="692"/>
      <c r="V1109" s="693"/>
      <c r="W1109" s="693"/>
      <c r="X1109" s="693"/>
      <c r="Y1109" s="693"/>
      <c r="Z1109" s="692"/>
      <c r="AA1109" s="693"/>
      <c r="AB1109" s="693"/>
      <c r="AC1109" s="693"/>
      <c r="AD1109" s="694">
        <v>-2.202</v>
      </c>
      <c r="AE1109" s="695">
        <v>-2.202</v>
      </c>
      <c r="AF1109" s="693"/>
      <c r="AG1109" s="693"/>
      <c r="AH1109" s="693"/>
      <c r="AI1109" s="693"/>
      <c r="AJ1109" s="692"/>
      <c r="AK1109" s="693"/>
      <c r="AL1109" s="693"/>
      <c r="AM1109" s="693"/>
      <c r="AN1109" s="693"/>
      <c r="AO1109" s="692"/>
      <c r="AP1109" s="693"/>
      <c r="AQ1109" s="693"/>
      <c r="AR1109" s="693"/>
      <c r="AS1109" s="693"/>
      <c r="AT1109" s="692"/>
      <c r="AU1109" s="693"/>
      <c r="AV1109" s="693"/>
      <c r="AW1109" s="693"/>
      <c r="AX1109" s="693"/>
      <c r="AY1109" s="692"/>
      <c r="AZ1109" s="693"/>
      <c r="BA1109" s="693"/>
      <c r="BB1109" s="693"/>
      <c r="BC1109" s="693"/>
      <c r="BD1109" s="692"/>
      <c r="BE1109" s="693"/>
      <c r="BF1109" s="693"/>
      <c r="BG1109" s="693"/>
      <c r="BH1109" s="693"/>
      <c r="BI1109" s="696"/>
      <c r="BJ1109" s="693"/>
      <c r="BK1109" s="693"/>
      <c r="BL1109" s="693"/>
      <c r="BM1109" s="693"/>
      <c r="BN1109" s="692"/>
      <c r="BO1109" s="693"/>
      <c r="BP1109" s="693"/>
      <c r="BQ1109" s="693"/>
      <c r="BR1109" s="693"/>
      <c r="BS1109" s="692"/>
      <c r="BT1109" s="692"/>
      <c r="BU1109" s="692"/>
      <c r="BV1109" s="692"/>
      <c r="BW1109" s="122"/>
    </row>
    <row r="1110" spans="1:75" s="697" customFormat="1" hidden="1" outlineLevel="1" x14ac:dyDescent="0.5">
      <c r="A1110" s="428" t="s">
        <v>1081</v>
      </c>
      <c r="B1110" s="251"/>
      <c r="C1110" s="692"/>
      <c r="D1110" s="692"/>
      <c r="E1110" s="692"/>
      <c r="F1110" s="692"/>
      <c r="G1110" s="693"/>
      <c r="H1110" s="693"/>
      <c r="I1110" s="693"/>
      <c r="J1110" s="693"/>
      <c r="K1110" s="692"/>
      <c r="L1110" s="693"/>
      <c r="M1110" s="693"/>
      <c r="N1110" s="693"/>
      <c r="O1110" s="693"/>
      <c r="P1110" s="692"/>
      <c r="Q1110" s="693"/>
      <c r="R1110" s="693"/>
      <c r="S1110" s="693"/>
      <c r="T1110" s="693"/>
      <c r="U1110" s="692"/>
      <c r="V1110" s="693"/>
      <c r="W1110" s="694">
        <v>3.4009999999999998</v>
      </c>
      <c r="X1110" s="694">
        <v>1.786</v>
      </c>
      <c r="Y1110" s="694">
        <v>1.6479999999999999</v>
      </c>
      <c r="Z1110" s="695">
        <v>6.835</v>
      </c>
      <c r="AA1110" s="694">
        <v>1.38</v>
      </c>
      <c r="AB1110" s="694">
        <v>0.48</v>
      </c>
      <c r="AC1110" s="694">
        <v>0.248</v>
      </c>
      <c r="AD1110" s="694">
        <v>0.41899999999999998</v>
      </c>
      <c r="AE1110" s="695">
        <v>2.5270000000000001</v>
      </c>
      <c r="AF1110" s="694">
        <v>0.19</v>
      </c>
      <c r="AG1110" s="694">
        <v>0.19</v>
      </c>
      <c r="AH1110" s="693"/>
      <c r="AI1110" s="693"/>
      <c r="AJ1110" s="695">
        <v>0.38</v>
      </c>
      <c r="AK1110" s="693"/>
      <c r="AL1110" s="693"/>
      <c r="AM1110" s="693"/>
      <c r="AN1110" s="693"/>
      <c r="AO1110" s="692"/>
      <c r="AP1110" s="693"/>
      <c r="AQ1110" s="693"/>
      <c r="AR1110" s="693"/>
      <c r="AS1110" s="693"/>
      <c r="AT1110" s="692"/>
      <c r="AU1110" s="693"/>
      <c r="AV1110" s="693"/>
      <c r="AW1110" s="693"/>
      <c r="AX1110" s="693"/>
      <c r="AY1110" s="692"/>
      <c r="AZ1110" s="693"/>
      <c r="BA1110" s="693"/>
      <c r="BB1110" s="693"/>
      <c r="BC1110" s="693"/>
      <c r="BD1110" s="692"/>
      <c r="BE1110" s="693"/>
      <c r="BF1110" s="693"/>
      <c r="BG1110" s="693"/>
      <c r="BH1110" s="693"/>
      <c r="BI1110" s="696"/>
      <c r="BJ1110" s="693"/>
      <c r="BK1110" s="693"/>
      <c r="BL1110" s="693"/>
      <c r="BM1110" s="693"/>
      <c r="BN1110" s="692"/>
      <c r="BO1110" s="693"/>
      <c r="BP1110" s="693"/>
      <c r="BQ1110" s="693"/>
      <c r="BR1110" s="693"/>
      <c r="BS1110" s="692"/>
      <c r="BT1110" s="692"/>
      <c r="BU1110" s="692"/>
      <c r="BV1110" s="692"/>
      <c r="BW1110" s="122"/>
    </row>
    <row r="1111" spans="1:75" s="621" customFormat="1" ht="14.25" hidden="1" outlineLevel="1" x14ac:dyDescent="0.45">
      <c r="A1111" s="675" t="s">
        <v>1108</v>
      </c>
      <c r="B1111" s="277"/>
      <c r="C1111" s="698"/>
      <c r="D1111" s="698"/>
      <c r="E1111" s="698">
        <v>49.219000000000072</v>
      </c>
      <c r="F1111" s="698">
        <v>68.674000000000078</v>
      </c>
      <c r="G1111" s="699">
        <v>4.6009999999999813</v>
      </c>
      <c r="H1111" s="699">
        <v>34.18</v>
      </c>
      <c r="I1111" s="699">
        <v>23.859999999999985</v>
      </c>
      <c r="J1111" s="699">
        <v>58.260000000000034</v>
      </c>
      <c r="K1111" s="698">
        <v>120.90099999999977</v>
      </c>
      <c r="L1111" s="699">
        <v>13.978000000000019</v>
      </c>
      <c r="M1111" s="699">
        <v>48.934999999999988</v>
      </c>
      <c r="N1111" s="699">
        <v>36.687999999999988</v>
      </c>
      <c r="O1111" s="699">
        <v>73.82499999999996</v>
      </c>
      <c r="P1111" s="698">
        <v>173.42599999999987</v>
      </c>
      <c r="Q1111" s="699">
        <v>18.597000000000012</v>
      </c>
      <c r="R1111" s="699">
        <v>61.897000000000034</v>
      </c>
      <c r="S1111" s="699">
        <v>49.951999999999948</v>
      </c>
      <c r="T1111" s="699">
        <v>74.160999999999945</v>
      </c>
      <c r="U1111" s="698">
        <v>204.6069999999998</v>
      </c>
      <c r="V1111" s="699">
        <v>0.71000000000003372</v>
      </c>
      <c r="W1111" s="699">
        <v>33.174999999999983</v>
      </c>
      <c r="X1111" s="699">
        <v>18.145999999999969</v>
      </c>
      <c r="Y1111" s="699">
        <v>50.883000000000024</v>
      </c>
      <c r="Z1111" s="698">
        <v>102.91400000000003</v>
      </c>
      <c r="AA1111" s="699">
        <v>8.276000000000014</v>
      </c>
      <c r="AB1111" s="699">
        <v>39.908000000000044</v>
      </c>
      <c r="AC1111" s="699">
        <v>48.00499999999991</v>
      </c>
      <c r="AD1111" s="699">
        <v>75.109000000000236</v>
      </c>
      <c r="AE1111" s="698">
        <v>171.29800000000006</v>
      </c>
      <c r="AF1111" s="699">
        <v>49.157999999999959</v>
      </c>
      <c r="AG1111" s="700">
        <v>75.466000000000022</v>
      </c>
      <c r="AH1111" s="700">
        <v>61.07500000000001</v>
      </c>
      <c r="AI1111" s="699">
        <v>101.48499999999989</v>
      </c>
      <c r="AJ1111" s="698">
        <v>287.1839999999998</v>
      </c>
      <c r="AK1111" s="699">
        <v>70.494000000000014</v>
      </c>
      <c r="AL1111" s="700">
        <v>105.01300000000003</v>
      </c>
      <c r="AM1111" s="700">
        <v>87.760999999999953</v>
      </c>
      <c r="AN1111" s="699">
        <v>115.82700000000035</v>
      </c>
      <c r="AO1111" s="698">
        <v>379.09500000000003</v>
      </c>
      <c r="AP1111" s="699">
        <v>48.067000000000007</v>
      </c>
      <c r="AQ1111" s="700">
        <v>154.92300000000003</v>
      </c>
      <c r="AR1111" s="700">
        <v>225.31100000000009</v>
      </c>
      <c r="AS1111" s="699">
        <v>192.24100000000018</v>
      </c>
      <c r="AT1111" s="698">
        <v>620.54200000000026</v>
      </c>
      <c r="AU1111" s="699">
        <v>194.25200000000004</v>
      </c>
      <c r="AV1111" s="700">
        <v>262.65500000000009</v>
      </c>
      <c r="AW1111" s="700">
        <v>278.70999999999998</v>
      </c>
      <c r="AX1111" s="699">
        <v>227.01099999999985</v>
      </c>
      <c r="AY1111" s="698">
        <v>962.62800000000004</v>
      </c>
      <c r="AZ1111" s="699">
        <v>236.53000000000003</v>
      </c>
      <c r="BA1111" s="700">
        <v>244.73400000000009</v>
      </c>
      <c r="BB1111" s="700">
        <v>180.34900000000002</v>
      </c>
      <c r="BC1111" s="699">
        <v>128.21299999999971</v>
      </c>
      <c r="BD1111" s="698">
        <v>789.82600000000002</v>
      </c>
      <c r="BE1111" s="699">
        <v>110.39200000000001</v>
      </c>
      <c r="BF1111" s="700">
        <v>161.36400000000003</v>
      </c>
      <c r="BG1111" s="700">
        <v>55.163000000000046</v>
      </c>
      <c r="BH1111" s="699">
        <v>66.868000000000222</v>
      </c>
      <c r="BI1111" s="701">
        <v>393.78700000000021</v>
      </c>
      <c r="BJ1111" s="699"/>
      <c r="BK1111" s="699"/>
      <c r="BL1111" s="699"/>
      <c r="BM1111" s="699"/>
      <c r="BN1111" s="698"/>
      <c r="BO1111" s="699"/>
      <c r="BP1111" s="699"/>
      <c r="BQ1111" s="699"/>
      <c r="BR1111" s="699"/>
      <c r="BS1111" s="698"/>
      <c r="BT1111" s="698"/>
      <c r="BU1111" s="698"/>
      <c r="BV1111" s="698"/>
      <c r="BW1111" s="197"/>
    </row>
    <row r="1112" spans="1:75" s="621" customFormat="1" ht="14.25" hidden="1" outlineLevel="1" x14ac:dyDescent="0.45">
      <c r="A1112" s="243"/>
      <c r="B1112" s="243"/>
      <c r="C1112" s="688"/>
      <c r="D1112" s="688"/>
      <c r="E1112" s="688"/>
      <c r="F1112" s="688"/>
      <c r="G1112" s="689"/>
      <c r="H1112" s="689"/>
      <c r="I1112" s="689"/>
      <c r="J1112" s="689"/>
      <c r="K1112" s="688"/>
      <c r="L1112" s="689"/>
      <c r="M1112" s="689"/>
      <c r="N1112" s="689"/>
      <c r="O1112" s="689"/>
      <c r="P1112" s="688"/>
      <c r="Q1112" s="689"/>
      <c r="R1112" s="689"/>
      <c r="S1112" s="689"/>
      <c r="T1112" s="689"/>
      <c r="U1112" s="688"/>
      <c r="V1112" s="689"/>
      <c r="W1112" s="689"/>
      <c r="X1112" s="689"/>
      <c r="Y1112" s="689"/>
      <c r="Z1112" s="688"/>
      <c r="AA1112" s="689"/>
      <c r="AB1112" s="689"/>
      <c r="AC1112" s="689"/>
      <c r="AD1112" s="689"/>
      <c r="AE1112" s="688"/>
      <c r="AF1112" s="689"/>
      <c r="AG1112" s="689"/>
      <c r="AH1112" s="689"/>
      <c r="AI1112" s="689"/>
      <c r="AJ1112" s="688"/>
      <c r="AK1112" s="689"/>
      <c r="AL1112" s="689"/>
      <c r="AM1112" s="689"/>
      <c r="AN1112" s="689"/>
      <c r="AO1112" s="688"/>
      <c r="AP1112" s="689"/>
      <c r="AQ1112" s="689"/>
      <c r="AR1112" s="689"/>
      <c r="AS1112" s="689"/>
      <c r="AT1112" s="688"/>
      <c r="AU1112" s="689"/>
      <c r="AV1112" s="689"/>
      <c r="AW1112" s="689"/>
      <c r="AX1112" s="689"/>
      <c r="AY1112" s="688"/>
      <c r="AZ1112" s="689"/>
      <c r="BA1112" s="689"/>
      <c r="BB1112" s="689"/>
      <c r="BC1112" s="689"/>
      <c r="BD1112" s="688"/>
      <c r="BE1112" s="689"/>
      <c r="BF1112" s="689"/>
      <c r="BG1112" s="689"/>
      <c r="BH1112" s="689"/>
      <c r="BI1112" s="691"/>
      <c r="BJ1112" s="689"/>
      <c r="BK1112" s="689"/>
      <c r="BL1112" s="689"/>
      <c r="BM1112" s="689"/>
      <c r="BN1112" s="688"/>
      <c r="BO1112" s="689"/>
      <c r="BP1112" s="689"/>
      <c r="BQ1112" s="689"/>
      <c r="BR1112" s="689"/>
      <c r="BS1112" s="688"/>
      <c r="BT1112" s="688"/>
      <c r="BU1112" s="688"/>
      <c r="BV1112" s="688"/>
      <c r="BW1112" s="197"/>
    </row>
    <row r="1113" spans="1:75" s="621" customFormat="1" ht="14.25" hidden="1" outlineLevel="1" x14ac:dyDescent="0.45">
      <c r="A1113" s="670" t="s">
        <v>1109</v>
      </c>
      <c r="B1113" s="243"/>
      <c r="C1113" s="688">
        <v>-28.651000000000085</v>
      </c>
      <c r="D1113" s="688">
        <v>-7.0510000000000659</v>
      </c>
      <c r="E1113" s="688">
        <v>20.588000000000076</v>
      </c>
      <c r="F1113" s="688">
        <v>-12.788999999999939</v>
      </c>
      <c r="G1113" s="689">
        <v>-0.16100000000001849</v>
      </c>
      <c r="H1113" s="689">
        <v>-17.835000000000001</v>
      </c>
      <c r="I1113" s="689">
        <v>9.5489999999999853</v>
      </c>
      <c r="J1113" s="689">
        <v>26.642000000000035</v>
      </c>
      <c r="K1113" s="688">
        <v>18.194999999999773</v>
      </c>
      <c r="L1113" s="689">
        <v>1.7950000000000199</v>
      </c>
      <c r="M1113" s="689">
        <v>27.252999999999986</v>
      </c>
      <c r="N1113" s="689">
        <v>19.428999999999988</v>
      </c>
      <c r="O1113" s="689">
        <v>42.524999999999963</v>
      </c>
      <c r="P1113" s="688">
        <v>91.001999999999896</v>
      </c>
      <c r="Q1113" s="689">
        <v>7.1560000000000095</v>
      </c>
      <c r="R1113" s="689">
        <v>29.935000000000031</v>
      </c>
      <c r="S1113" s="689">
        <v>20.709999999999948</v>
      </c>
      <c r="T1113" s="689">
        <v>33.30199999999995</v>
      </c>
      <c r="U1113" s="688">
        <v>91.10299999999981</v>
      </c>
      <c r="V1113" s="689">
        <v>-13.469999999999965</v>
      </c>
      <c r="W1113" s="689">
        <v>6.9179999999999859</v>
      </c>
      <c r="X1113" s="689">
        <v>2.5169999999999679</v>
      </c>
      <c r="Y1113" s="689">
        <v>9.4360000000000177</v>
      </c>
      <c r="Z1113" s="688">
        <v>5.4010000000000584</v>
      </c>
      <c r="AA1113" s="689">
        <v>-3.3699999999999832</v>
      </c>
      <c r="AB1113" s="689">
        <v>-7.8619999999999521</v>
      </c>
      <c r="AC1113" s="689">
        <v>13.150999999999922</v>
      </c>
      <c r="AD1113" s="689">
        <v>0.26100000000023016</v>
      </c>
      <c r="AE1113" s="688">
        <v>2.1800000000000459</v>
      </c>
      <c r="AF1113" s="689">
        <v>25.460999999999963</v>
      </c>
      <c r="AG1113" s="690">
        <v>62.906000000000006</v>
      </c>
      <c r="AH1113" s="690">
        <v>20.114000000000008</v>
      </c>
      <c r="AI1113" s="689">
        <v>27.249999999999897</v>
      </c>
      <c r="AJ1113" s="688">
        <v>135.73099999999977</v>
      </c>
      <c r="AK1113" s="689">
        <v>35.722000000000008</v>
      </c>
      <c r="AL1113" s="690">
        <v>63.757000000000012</v>
      </c>
      <c r="AM1113" s="690">
        <v>52.462999999999944</v>
      </c>
      <c r="AN1113" s="689">
        <v>68.433000000000362</v>
      </c>
      <c r="AO1113" s="688">
        <v>220.375</v>
      </c>
      <c r="AP1113" s="689">
        <v>-3.2120000000000015</v>
      </c>
      <c r="AQ1113" s="690">
        <v>98.42300000000003</v>
      </c>
      <c r="AR1113" s="690">
        <v>46.411000000000065</v>
      </c>
      <c r="AS1113" s="689">
        <v>130.19300000000024</v>
      </c>
      <c r="AT1113" s="688">
        <v>271.81500000000017</v>
      </c>
      <c r="AU1113" s="689">
        <v>130.65600000000006</v>
      </c>
      <c r="AV1113" s="690">
        <v>226.74600000000009</v>
      </c>
      <c r="AW1113" s="690">
        <v>184.09899999999999</v>
      </c>
      <c r="AX1113" s="689">
        <v>147.04499999999985</v>
      </c>
      <c r="AY1113" s="688">
        <v>688.54599999999994</v>
      </c>
      <c r="AZ1113" s="689">
        <v>200.71100000000001</v>
      </c>
      <c r="BA1113" s="690">
        <v>122.27500000000012</v>
      </c>
      <c r="BB1113" s="690">
        <v>98.760000000000019</v>
      </c>
      <c r="BC1113" s="689">
        <v>106.89599999999972</v>
      </c>
      <c r="BD1113" s="688">
        <v>528.64199999999994</v>
      </c>
      <c r="BE1113" s="689">
        <v>41.890000000000008</v>
      </c>
      <c r="BF1113" s="690">
        <v>76.477000000000032</v>
      </c>
      <c r="BG1113" s="690">
        <v>-2.1869999999999536</v>
      </c>
      <c r="BH1113" s="689">
        <v>11.381000000000224</v>
      </c>
      <c r="BI1113" s="691">
        <v>127.56100000000026</v>
      </c>
      <c r="BJ1113" s="689"/>
      <c r="BK1113" s="689"/>
      <c r="BL1113" s="689"/>
      <c r="BM1113" s="689"/>
      <c r="BN1113" s="688"/>
      <c r="BO1113" s="689"/>
      <c r="BP1113" s="689"/>
      <c r="BQ1113" s="689"/>
      <c r="BR1113" s="689"/>
      <c r="BS1113" s="688"/>
      <c r="BT1113" s="688"/>
      <c r="BU1113" s="688"/>
      <c r="BV1113" s="688"/>
      <c r="BW1113" s="197"/>
    </row>
    <row r="1114" spans="1:75" s="697" customFormat="1" hidden="1" outlineLevel="1" x14ac:dyDescent="0.5">
      <c r="A1114" s="428" t="s">
        <v>1110</v>
      </c>
      <c r="B1114" s="251"/>
      <c r="C1114" s="692"/>
      <c r="D1114" s="692"/>
      <c r="E1114" s="692">
        <v>0</v>
      </c>
      <c r="F1114" s="692">
        <v>0</v>
      </c>
      <c r="G1114" s="693">
        <v>0</v>
      </c>
      <c r="H1114" s="693">
        <v>0</v>
      </c>
      <c r="I1114" s="693">
        <v>0</v>
      </c>
      <c r="J1114" s="693">
        <v>0</v>
      </c>
      <c r="K1114" s="692">
        <v>0</v>
      </c>
      <c r="L1114" s="693">
        <v>0</v>
      </c>
      <c r="M1114" s="693">
        <v>0</v>
      </c>
      <c r="N1114" s="693">
        <v>0</v>
      </c>
      <c r="O1114" s="693">
        <v>0</v>
      </c>
      <c r="P1114" s="692">
        <v>0</v>
      </c>
      <c r="Q1114" s="693">
        <v>0</v>
      </c>
      <c r="R1114" s="693">
        <v>0</v>
      </c>
      <c r="S1114" s="693">
        <v>0</v>
      </c>
      <c r="T1114" s="693">
        <v>0</v>
      </c>
      <c r="U1114" s="692">
        <v>0</v>
      </c>
      <c r="V1114" s="693">
        <v>0</v>
      </c>
      <c r="W1114" s="693">
        <v>0</v>
      </c>
      <c r="X1114" s="693">
        <v>0</v>
      </c>
      <c r="Y1114" s="693">
        <v>3.4409999999999998</v>
      </c>
      <c r="Z1114" s="692">
        <v>3.4409999999999998</v>
      </c>
      <c r="AA1114" s="693">
        <v>0</v>
      </c>
      <c r="AB1114" s="693">
        <v>3.8130000000000002</v>
      </c>
      <c r="AC1114" s="693">
        <v>0</v>
      </c>
      <c r="AD1114" s="693">
        <v>-0.60599999999999998</v>
      </c>
      <c r="AE1114" s="692">
        <v>3.2069999999999999</v>
      </c>
      <c r="AF1114" s="693">
        <v>0</v>
      </c>
      <c r="AG1114" s="703">
        <v>1.853</v>
      </c>
      <c r="AH1114" s="703">
        <v>1.948</v>
      </c>
      <c r="AI1114" s="693">
        <v>0.93200000000000005</v>
      </c>
      <c r="AJ1114" s="692">
        <v>4.7329999999999997</v>
      </c>
      <c r="AK1114" s="693">
        <v>0.41299999999999998</v>
      </c>
      <c r="AL1114" s="693">
        <v>0</v>
      </c>
      <c r="AM1114" s="703">
        <v>-0.80400000000000005</v>
      </c>
      <c r="AN1114" s="693">
        <v>0</v>
      </c>
      <c r="AO1114" s="692">
        <v>-0.39100000000000001</v>
      </c>
      <c r="AP1114" s="693">
        <v>0</v>
      </c>
      <c r="AQ1114" s="703">
        <v>0.40600000000000003</v>
      </c>
      <c r="AR1114" s="703">
        <v>0.78100000000000003</v>
      </c>
      <c r="AS1114" s="693">
        <v>0.186</v>
      </c>
      <c r="AT1114" s="692">
        <v>1.373</v>
      </c>
      <c r="AU1114" s="693">
        <v>0</v>
      </c>
      <c r="AV1114" s="693">
        <v>0</v>
      </c>
      <c r="AW1114" s="693">
        <v>0</v>
      </c>
      <c r="AX1114" s="693">
        <v>-1.2</v>
      </c>
      <c r="AY1114" s="692">
        <v>-1.2</v>
      </c>
      <c r="AZ1114" s="693">
        <v>0</v>
      </c>
      <c r="BA1114" s="693">
        <v>0</v>
      </c>
      <c r="BB1114" s="693">
        <v>0</v>
      </c>
      <c r="BC1114" s="693">
        <v>0</v>
      </c>
      <c r="BD1114" s="692">
        <v>0</v>
      </c>
      <c r="BE1114" s="693">
        <v>0</v>
      </c>
      <c r="BF1114" s="693">
        <v>0</v>
      </c>
      <c r="BG1114" s="693">
        <v>0</v>
      </c>
      <c r="BH1114" s="693">
        <v>0</v>
      </c>
      <c r="BI1114" s="696">
        <v>0</v>
      </c>
      <c r="BJ1114" s="693"/>
      <c r="BK1114" s="693"/>
      <c r="BL1114" s="693"/>
      <c r="BM1114" s="693"/>
      <c r="BN1114" s="692"/>
      <c r="BO1114" s="693"/>
      <c r="BP1114" s="693"/>
      <c r="BQ1114" s="693"/>
      <c r="BR1114" s="693"/>
      <c r="BS1114" s="692"/>
      <c r="BT1114" s="692"/>
      <c r="BU1114" s="692"/>
      <c r="BV1114" s="692"/>
      <c r="BW1114" s="122"/>
    </row>
    <row r="1115" spans="1:75" s="697" customFormat="1" hidden="1" outlineLevel="1" x14ac:dyDescent="0.5">
      <c r="A1115" s="428" t="s">
        <v>1111</v>
      </c>
      <c r="B1115" s="251"/>
      <c r="C1115" s="692"/>
      <c r="D1115" s="692"/>
      <c r="E1115" s="692">
        <v>0</v>
      </c>
      <c r="F1115" s="692">
        <v>3.25</v>
      </c>
      <c r="G1115" s="693">
        <v>0</v>
      </c>
      <c r="H1115" s="693">
        <v>0</v>
      </c>
      <c r="I1115" s="693">
        <v>0</v>
      </c>
      <c r="J1115" s="693">
        <v>0</v>
      </c>
      <c r="K1115" s="692">
        <v>0</v>
      </c>
      <c r="L1115" s="693">
        <v>0</v>
      </c>
      <c r="M1115" s="693">
        <v>0</v>
      </c>
      <c r="N1115" s="693">
        <v>0</v>
      </c>
      <c r="O1115" s="693">
        <v>0</v>
      </c>
      <c r="P1115" s="692">
        <v>0</v>
      </c>
      <c r="Q1115" s="693">
        <v>1.379</v>
      </c>
      <c r="R1115" s="693">
        <v>4.8440000000000003</v>
      </c>
      <c r="S1115" s="693">
        <v>4.8010000000000002</v>
      </c>
      <c r="T1115" s="693">
        <v>6.19</v>
      </c>
      <c r="U1115" s="692">
        <v>17.213999999999999</v>
      </c>
      <c r="V1115" s="693">
        <v>7.7290000000000001</v>
      </c>
      <c r="W1115" s="693">
        <v>3.4009999999999998</v>
      </c>
      <c r="X1115" s="693">
        <v>1.786</v>
      </c>
      <c r="Y1115" s="693">
        <v>4.3680000000000003</v>
      </c>
      <c r="Z1115" s="692">
        <v>17.283999999999999</v>
      </c>
      <c r="AA1115" s="693">
        <v>1.38</v>
      </c>
      <c r="AB1115" s="693">
        <v>1.2429999999999999</v>
      </c>
      <c r="AC1115" s="693">
        <v>4.2970000000000006</v>
      </c>
      <c r="AD1115" s="693">
        <v>-0.54299999999999993</v>
      </c>
      <c r="AE1115" s="692">
        <v>6.3770000000000007</v>
      </c>
      <c r="AF1115" s="693">
        <v>-6.4000000000000001E-2</v>
      </c>
      <c r="AG1115" s="703">
        <v>-3.0720000000000001</v>
      </c>
      <c r="AH1115" s="693">
        <v>3.2160000000000002</v>
      </c>
      <c r="AI1115" s="693">
        <v>1.4459999999999997</v>
      </c>
      <c r="AJ1115" s="692">
        <v>1.5259999999999998</v>
      </c>
      <c r="AK1115" s="693">
        <v>0.93199999999999994</v>
      </c>
      <c r="AL1115" s="693">
        <v>1.5959999999999999</v>
      </c>
      <c r="AM1115" s="693">
        <v>-0.99099999999999999</v>
      </c>
      <c r="AN1115" s="693">
        <v>0</v>
      </c>
      <c r="AO1115" s="692">
        <v>1.5369999999999999</v>
      </c>
      <c r="AP1115" s="693">
        <v>2.35</v>
      </c>
      <c r="AQ1115" s="693">
        <v>4.3739999999999997</v>
      </c>
      <c r="AR1115" s="693">
        <v>0</v>
      </c>
      <c r="AS1115" s="693">
        <v>0.18</v>
      </c>
      <c r="AT1115" s="692">
        <v>6.9039999999999999</v>
      </c>
      <c r="AU1115" s="693">
        <v>0</v>
      </c>
      <c r="AV1115" s="693">
        <v>0</v>
      </c>
      <c r="AW1115" s="693">
        <v>0</v>
      </c>
      <c r="AX1115" s="693">
        <v>0</v>
      </c>
      <c r="AY1115" s="692">
        <v>0</v>
      </c>
      <c r="AZ1115" s="693">
        <v>0</v>
      </c>
      <c r="BA1115" s="693">
        <v>0</v>
      </c>
      <c r="BB1115" s="693">
        <v>10.926</v>
      </c>
      <c r="BC1115" s="693">
        <v>0</v>
      </c>
      <c r="BD1115" s="692">
        <v>10.926</v>
      </c>
      <c r="BE1115" s="693">
        <v>0</v>
      </c>
      <c r="BF1115" s="693">
        <v>0</v>
      </c>
      <c r="BG1115" s="693">
        <v>0</v>
      </c>
      <c r="BH1115" s="693">
        <v>0</v>
      </c>
      <c r="BI1115" s="696">
        <v>0</v>
      </c>
      <c r="BJ1115" s="693"/>
      <c r="BK1115" s="693"/>
      <c r="BL1115" s="693"/>
      <c r="BM1115" s="693"/>
      <c r="BN1115" s="692"/>
      <c r="BO1115" s="693"/>
      <c r="BP1115" s="693"/>
      <c r="BQ1115" s="693"/>
      <c r="BR1115" s="693"/>
      <c r="BS1115" s="692"/>
      <c r="BT1115" s="692"/>
      <c r="BU1115" s="692"/>
      <c r="BV1115" s="692"/>
      <c r="BW1115" s="122"/>
    </row>
    <row r="1116" spans="1:75" s="697" customFormat="1" hidden="1" outlineLevel="1" x14ac:dyDescent="0.5">
      <c r="A1116" s="428" t="s">
        <v>1112</v>
      </c>
      <c r="B1116" s="251"/>
      <c r="C1116" s="692"/>
      <c r="D1116" s="692"/>
      <c r="E1116" s="692">
        <v>22.375999999999994</v>
      </c>
      <c r="F1116" s="692">
        <v>134.46</v>
      </c>
      <c r="G1116" s="693">
        <v>4.09</v>
      </c>
      <c r="H1116" s="693">
        <v>61.96</v>
      </c>
      <c r="I1116" s="693">
        <v>0</v>
      </c>
      <c r="J1116" s="693">
        <v>0</v>
      </c>
      <c r="K1116" s="692">
        <v>66.05</v>
      </c>
      <c r="L1116" s="693">
        <v>9.1999999999999993</v>
      </c>
      <c r="M1116" s="693">
        <v>0</v>
      </c>
      <c r="N1116" s="693">
        <v>0</v>
      </c>
      <c r="O1116" s="693">
        <v>-1.5</v>
      </c>
      <c r="P1116" s="692">
        <v>7.7</v>
      </c>
      <c r="Q1116" s="693">
        <v>0.189</v>
      </c>
      <c r="R1116" s="693">
        <v>0.63</v>
      </c>
      <c r="S1116" s="693">
        <v>0.27500000000000002</v>
      </c>
      <c r="T1116" s="693">
        <v>0.73799999999999999</v>
      </c>
      <c r="U1116" s="692">
        <v>1.8320000000000001</v>
      </c>
      <c r="V1116" s="693">
        <v>4.4559999999999995</v>
      </c>
      <c r="W1116" s="693">
        <v>7.7590000000000003</v>
      </c>
      <c r="X1116" s="693">
        <v>0.97399999999999998</v>
      </c>
      <c r="Y1116" s="693">
        <v>15.963999999999999</v>
      </c>
      <c r="Z1116" s="692">
        <v>29.153000000000002</v>
      </c>
      <c r="AA1116" s="693">
        <v>0</v>
      </c>
      <c r="AB1116" s="693">
        <v>22.728999999999999</v>
      </c>
      <c r="AC1116" s="693">
        <v>0.54600000000000004</v>
      </c>
      <c r="AD1116" s="693">
        <v>7.137999999999999</v>
      </c>
      <c r="AE1116" s="692">
        <v>30.413000000000004</v>
      </c>
      <c r="AF1116" s="693">
        <v>1.0750000000000002</v>
      </c>
      <c r="AG1116" s="693">
        <v>-5.1379999999999999</v>
      </c>
      <c r="AH1116" s="693">
        <v>13.683</v>
      </c>
      <c r="AI1116" s="693">
        <v>9.5690000000000008</v>
      </c>
      <c r="AJ1116" s="692">
        <v>19.189</v>
      </c>
      <c r="AK1116" s="693">
        <v>0.51600000000000001</v>
      </c>
      <c r="AL1116" s="693">
        <v>-0.56400000000000006</v>
      </c>
      <c r="AM1116" s="693">
        <v>0.31899999999999995</v>
      </c>
      <c r="AN1116" s="693">
        <v>14.847</v>
      </c>
      <c r="AO1116" s="692">
        <v>15.117999999999997</v>
      </c>
      <c r="AP1116" s="693">
        <v>10.263999999999999</v>
      </c>
      <c r="AQ1116" s="693">
        <v>13.574999999999999</v>
      </c>
      <c r="AR1116" s="693">
        <v>113.309</v>
      </c>
      <c r="AS1116" s="693">
        <v>8.2590000000000003</v>
      </c>
      <c r="AT1116" s="692">
        <v>145.40700000000001</v>
      </c>
      <c r="AU1116" s="693">
        <v>6.3639999999999999</v>
      </c>
      <c r="AV1116" s="693">
        <v>13.667</v>
      </c>
      <c r="AW1116" s="693">
        <v>6.1710000000000003</v>
      </c>
      <c r="AX1116" s="693">
        <v>10.445</v>
      </c>
      <c r="AY1116" s="692">
        <v>36.647000000000006</v>
      </c>
      <c r="AZ1116" s="693">
        <v>31.242000000000001</v>
      </c>
      <c r="BA1116" s="693">
        <v>10.32</v>
      </c>
      <c r="BB1116" s="693">
        <v>-0.82699999999999951</v>
      </c>
      <c r="BC1116" s="693">
        <v>16.008000000000003</v>
      </c>
      <c r="BD1116" s="692">
        <v>56.742999999999995</v>
      </c>
      <c r="BE1116" s="693">
        <v>11.152000000000001</v>
      </c>
      <c r="BF1116" s="693">
        <v>10.024000000000001</v>
      </c>
      <c r="BG1116" s="693">
        <v>3.927</v>
      </c>
      <c r="BH1116" s="693">
        <v>2.613</v>
      </c>
      <c r="BI1116" s="696">
        <v>27.716000000000001</v>
      </c>
      <c r="BJ1116" s="693"/>
      <c r="BK1116" s="693"/>
      <c r="BL1116" s="693"/>
      <c r="BM1116" s="693"/>
      <c r="BN1116" s="692"/>
      <c r="BO1116" s="693"/>
      <c r="BP1116" s="693"/>
      <c r="BQ1116" s="693"/>
      <c r="BR1116" s="693"/>
      <c r="BS1116" s="692"/>
      <c r="BT1116" s="692"/>
      <c r="BU1116" s="692"/>
      <c r="BV1116" s="692"/>
      <c r="BW1116" s="122"/>
    </row>
    <row r="1117" spans="1:75" s="697" customFormat="1" hidden="1" outlineLevel="2" x14ac:dyDescent="0.5">
      <c r="A1117" s="704" t="s">
        <v>1113</v>
      </c>
      <c r="B1117" s="251"/>
      <c r="C1117" s="692"/>
      <c r="D1117" s="692"/>
      <c r="E1117" s="692"/>
      <c r="F1117" s="692"/>
      <c r="G1117" s="693"/>
      <c r="H1117" s="693"/>
      <c r="I1117" s="693"/>
      <c r="J1117" s="693"/>
      <c r="K1117" s="692"/>
      <c r="L1117" s="693"/>
      <c r="M1117" s="694">
        <v>1.5760000000000001</v>
      </c>
      <c r="N1117" s="694">
        <v>2.3330000000000002</v>
      </c>
      <c r="O1117" s="694">
        <v>2.9430000000000001</v>
      </c>
      <c r="P1117" s="695">
        <v>6.8520000000000003</v>
      </c>
      <c r="Q1117" s="694">
        <v>2.702</v>
      </c>
      <c r="R1117" s="694">
        <v>4.4930000000000003</v>
      </c>
      <c r="S1117" s="694">
        <v>6.415</v>
      </c>
      <c r="T1117" s="694">
        <v>6.1930000000000014</v>
      </c>
      <c r="U1117" s="695">
        <v>19.803000000000001</v>
      </c>
      <c r="V1117" s="694">
        <v>6.4420000000000002</v>
      </c>
      <c r="W1117" s="694">
        <v>6.4790000000000001</v>
      </c>
      <c r="X1117" s="694">
        <v>6.6289999999999996</v>
      </c>
      <c r="Y1117" s="694">
        <v>6.8540000000000001</v>
      </c>
      <c r="Z1117" s="695">
        <v>26.404</v>
      </c>
      <c r="AA1117" s="694">
        <v>6.7149999999999999</v>
      </c>
      <c r="AB1117" s="694">
        <v>6.79</v>
      </c>
      <c r="AC1117" s="694">
        <v>6.8789999999999996</v>
      </c>
      <c r="AD1117" s="694">
        <v>7.5419999999999998</v>
      </c>
      <c r="AE1117" s="695">
        <v>27.925999999999998</v>
      </c>
      <c r="AF1117" s="694">
        <v>7.2720000000000002</v>
      </c>
      <c r="AG1117" s="694">
        <v>9</v>
      </c>
      <c r="AH1117" s="694">
        <v>11.282999999999999</v>
      </c>
      <c r="AI1117" s="694">
        <v>11.661</v>
      </c>
      <c r="AJ1117" s="695">
        <v>39.216000000000001</v>
      </c>
      <c r="AK1117" s="694">
        <v>11.689</v>
      </c>
      <c r="AL1117" s="694">
        <v>9.9179999999999993</v>
      </c>
      <c r="AM1117" s="694">
        <v>9.6379999999999999</v>
      </c>
      <c r="AN1117" s="694">
        <v>11.3</v>
      </c>
      <c r="AO1117" s="695">
        <v>42.545000000000002</v>
      </c>
      <c r="AP1117" s="694">
        <v>11.125</v>
      </c>
      <c r="AQ1117" s="694">
        <v>11.113</v>
      </c>
      <c r="AR1117" s="694">
        <v>7.3689999999999998</v>
      </c>
      <c r="AS1117" s="694">
        <v>7.4480000000000004</v>
      </c>
      <c r="AT1117" s="695">
        <v>37.055</v>
      </c>
      <c r="AU1117" s="694">
        <v>5.9809999999999999</v>
      </c>
      <c r="AV1117" s="694">
        <v>5.8650000000000002</v>
      </c>
      <c r="AW1117" s="694">
        <v>4.0229999999999997</v>
      </c>
      <c r="AX1117" s="694">
        <v>2.6080000000000001</v>
      </c>
      <c r="AY1117" s="695">
        <v>18.477</v>
      </c>
      <c r="AZ1117" s="693"/>
      <c r="BA1117" s="693"/>
      <c r="BB1117" s="693"/>
      <c r="BC1117" s="693"/>
      <c r="BD1117" s="692"/>
      <c r="BE1117" s="693"/>
      <c r="BF1117" s="693"/>
      <c r="BG1117" s="693"/>
      <c r="BH1117" s="693"/>
      <c r="BI1117" s="696"/>
      <c r="BJ1117" s="693"/>
      <c r="BK1117" s="693"/>
      <c r="BL1117" s="693"/>
      <c r="BM1117" s="693"/>
      <c r="BN1117" s="692"/>
      <c r="BO1117" s="693"/>
      <c r="BP1117" s="693"/>
      <c r="BQ1117" s="693"/>
      <c r="BR1117" s="693"/>
      <c r="BS1117" s="692"/>
      <c r="BT1117" s="692"/>
      <c r="BU1117" s="692"/>
      <c r="BV1117" s="692"/>
      <c r="BW1117" s="122"/>
    </row>
    <row r="1118" spans="1:75" s="697" customFormat="1" hidden="1" outlineLevel="2" x14ac:dyDescent="0.5">
      <c r="A1118" s="704" t="s">
        <v>1064</v>
      </c>
      <c r="B1118" s="251"/>
      <c r="C1118" s="692"/>
      <c r="D1118" s="692"/>
      <c r="E1118" s="692"/>
      <c r="F1118" s="692"/>
      <c r="G1118" s="693"/>
      <c r="H1118" s="693"/>
      <c r="I1118" s="693"/>
      <c r="J1118" s="693"/>
      <c r="K1118" s="692"/>
      <c r="L1118" s="693"/>
      <c r="M1118" s="693"/>
      <c r="N1118" s="693"/>
      <c r="O1118" s="693"/>
      <c r="P1118" s="692"/>
      <c r="Q1118" s="693"/>
      <c r="R1118" s="693"/>
      <c r="S1118" s="693"/>
      <c r="T1118" s="693"/>
      <c r="U1118" s="692"/>
      <c r="V1118" s="693"/>
      <c r="W1118" s="693"/>
      <c r="X1118" s="693"/>
      <c r="Y1118" s="693"/>
      <c r="Z1118" s="692"/>
      <c r="AA1118" s="693"/>
      <c r="AB1118" s="693"/>
      <c r="AC1118" s="694">
        <v>4.88</v>
      </c>
      <c r="AD1118" s="693"/>
      <c r="AE1118" s="695">
        <v>4.88</v>
      </c>
      <c r="AF1118" s="693"/>
      <c r="AG1118" s="694">
        <v>0.91700000000000004</v>
      </c>
      <c r="AH1118" s="693"/>
      <c r="AI1118" s="693"/>
      <c r="AJ1118" s="695">
        <v>0.91700000000000004</v>
      </c>
      <c r="AK1118" s="693"/>
      <c r="AL1118" s="694">
        <v>-0.95399999999999996</v>
      </c>
      <c r="AM1118" s="694">
        <v>6.8570000000000002</v>
      </c>
      <c r="AN1118" s="694">
        <v>0.56899999999999995</v>
      </c>
      <c r="AO1118" s="695">
        <v>6.4720000000000004</v>
      </c>
      <c r="AP1118" s="693"/>
      <c r="AQ1118" s="694">
        <v>-0.152</v>
      </c>
      <c r="AR1118" s="693"/>
      <c r="AS1118" s="693"/>
      <c r="AT1118" s="695">
        <v>-0.152</v>
      </c>
      <c r="AU1118" s="694">
        <v>0.105</v>
      </c>
      <c r="AV1118" s="694">
        <v>3.1659999999999999</v>
      </c>
      <c r="AW1118" s="694">
        <v>18.513000000000002</v>
      </c>
      <c r="AX1118" s="694">
        <v>7.3540000000000001</v>
      </c>
      <c r="AY1118" s="695">
        <v>29.138000000000002</v>
      </c>
      <c r="AZ1118" s="694">
        <v>146.11600000000001</v>
      </c>
      <c r="BA1118" s="694">
        <v>23.462</v>
      </c>
      <c r="BB1118" s="693"/>
      <c r="BC1118" s="693"/>
      <c r="BD1118" s="695">
        <v>169.578</v>
      </c>
      <c r="BE1118" s="693"/>
      <c r="BF1118" s="693"/>
      <c r="BG1118" s="693"/>
      <c r="BH1118" s="693"/>
      <c r="BI1118" s="696"/>
      <c r="BJ1118" s="693"/>
      <c r="BK1118" s="693"/>
      <c r="BL1118" s="693"/>
      <c r="BM1118" s="693"/>
      <c r="BN1118" s="692"/>
      <c r="BO1118" s="693"/>
      <c r="BP1118" s="693"/>
      <c r="BQ1118" s="693"/>
      <c r="BR1118" s="693"/>
      <c r="BS1118" s="692"/>
      <c r="BT1118" s="692"/>
      <c r="BU1118" s="692"/>
      <c r="BV1118" s="692"/>
      <c r="BW1118" s="122"/>
    </row>
    <row r="1119" spans="1:75" s="697" customFormat="1" hidden="1" outlineLevel="2" x14ac:dyDescent="0.5">
      <c r="A1119" s="704" t="s">
        <v>1114</v>
      </c>
      <c r="B1119" s="251"/>
      <c r="C1119" s="692"/>
      <c r="D1119" s="692"/>
      <c r="E1119" s="692"/>
      <c r="F1119" s="692"/>
      <c r="G1119" s="693"/>
      <c r="H1119" s="693"/>
      <c r="I1119" s="693"/>
      <c r="J1119" s="693"/>
      <c r="K1119" s="692"/>
      <c r="L1119" s="693"/>
      <c r="M1119" s="693"/>
      <c r="N1119" s="693"/>
      <c r="O1119" s="693"/>
      <c r="P1119" s="692"/>
      <c r="Q1119" s="693"/>
      <c r="R1119" s="693"/>
      <c r="S1119" s="693"/>
      <c r="T1119" s="693"/>
      <c r="U1119" s="692"/>
      <c r="V1119" s="693"/>
      <c r="W1119" s="693"/>
      <c r="X1119" s="693"/>
      <c r="Y1119" s="693"/>
      <c r="Z1119" s="692"/>
      <c r="AA1119" s="693"/>
      <c r="AB1119" s="693"/>
      <c r="AC1119" s="693"/>
      <c r="AD1119" s="694">
        <v>33.700000000000003</v>
      </c>
      <c r="AE1119" s="695">
        <v>33.700000000000003</v>
      </c>
      <c r="AF1119" s="693"/>
      <c r="AG1119" s="693"/>
      <c r="AH1119" s="693"/>
      <c r="AI1119" s="694">
        <v>32.085999999999999</v>
      </c>
      <c r="AJ1119" s="695">
        <v>32.085999999999999</v>
      </c>
      <c r="AK1119" s="693"/>
      <c r="AL1119" s="693"/>
      <c r="AM1119" s="693"/>
      <c r="AN1119" s="693"/>
      <c r="AO1119" s="692"/>
      <c r="AP1119" s="694">
        <v>20.459</v>
      </c>
      <c r="AQ1119" s="693"/>
      <c r="AR1119" s="693"/>
      <c r="AS1119" s="693"/>
      <c r="AT1119" s="695">
        <v>20.459</v>
      </c>
      <c r="AU1119" s="693"/>
      <c r="AV1119" s="693"/>
      <c r="AW1119" s="693"/>
      <c r="AX1119" s="693"/>
      <c r="AY1119" s="692"/>
      <c r="AZ1119" s="693"/>
      <c r="BA1119" s="693"/>
      <c r="BB1119" s="693"/>
      <c r="BC1119" s="693"/>
      <c r="BD1119" s="692"/>
      <c r="BE1119" s="693"/>
      <c r="BF1119" s="693"/>
      <c r="BG1119" s="693"/>
      <c r="BH1119" s="693"/>
      <c r="BI1119" s="696"/>
      <c r="BJ1119" s="693"/>
      <c r="BK1119" s="693"/>
      <c r="BL1119" s="693"/>
      <c r="BM1119" s="693"/>
      <c r="BN1119" s="692"/>
      <c r="BO1119" s="693"/>
      <c r="BP1119" s="693"/>
      <c r="BQ1119" s="693"/>
      <c r="BR1119" s="693"/>
      <c r="BS1119" s="692"/>
      <c r="BT1119" s="692"/>
      <c r="BU1119" s="692"/>
      <c r="BV1119" s="692"/>
      <c r="BW1119" s="122"/>
    </row>
    <row r="1120" spans="1:75" s="697" customFormat="1" hidden="1" outlineLevel="2" x14ac:dyDescent="0.5">
      <c r="A1120" s="705" t="s">
        <v>1115</v>
      </c>
      <c r="B1120" s="274"/>
      <c r="C1120" s="706"/>
      <c r="D1120" s="706"/>
      <c r="E1120" s="706"/>
      <c r="F1120" s="706"/>
      <c r="G1120" s="707"/>
      <c r="H1120" s="707"/>
      <c r="I1120" s="707"/>
      <c r="J1120" s="707"/>
      <c r="K1120" s="706"/>
      <c r="L1120" s="707"/>
      <c r="M1120" s="707"/>
      <c r="N1120" s="707"/>
      <c r="O1120" s="707"/>
      <c r="P1120" s="706"/>
      <c r="Q1120" s="707"/>
      <c r="R1120" s="707"/>
      <c r="S1120" s="707"/>
      <c r="T1120" s="707"/>
      <c r="U1120" s="706"/>
      <c r="V1120" s="707"/>
      <c r="W1120" s="707"/>
      <c r="X1120" s="707"/>
      <c r="Y1120" s="707"/>
      <c r="Z1120" s="706"/>
      <c r="AA1120" s="707"/>
      <c r="AB1120" s="707"/>
      <c r="AC1120" s="707"/>
      <c r="AD1120" s="707"/>
      <c r="AE1120" s="706"/>
      <c r="AF1120" s="707"/>
      <c r="AG1120" s="707"/>
      <c r="AH1120" s="707"/>
      <c r="AI1120" s="707"/>
      <c r="AJ1120" s="706"/>
      <c r="AK1120" s="707"/>
      <c r="AL1120" s="707"/>
      <c r="AM1120" s="707"/>
      <c r="AN1120" s="707"/>
      <c r="AO1120" s="706"/>
      <c r="AP1120" s="707"/>
      <c r="AQ1120" s="707"/>
      <c r="AR1120" s="707"/>
      <c r="AS1120" s="707"/>
      <c r="AT1120" s="706"/>
      <c r="AU1120" s="707"/>
      <c r="AV1120" s="707"/>
      <c r="AW1120" s="707"/>
      <c r="AX1120" s="707"/>
      <c r="AY1120" s="706"/>
      <c r="AZ1120" s="708">
        <v>-3.177</v>
      </c>
      <c r="BA1120" s="708">
        <v>1.4530000000000001</v>
      </c>
      <c r="BB1120" s="707"/>
      <c r="BC1120" s="707"/>
      <c r="BD1120" s="709">
        <v>-1.724</v>
      </c>
      <c r="BE1120" s="707"/>
      <c r="BF1120" s="707"/>
      <c r="BG1120" s="707"/>
      <c r="BH1120" s="707"/>
      <c r="BI1120" s="710"/>
      <c r="BJ1120" s="707"/>
      <c r="BK1120" s="707"/>
      <c r="BL1120" s="707"/>
      <c r="BM1120" s="707"/>
      <c r="BN1120" s="706"/>
      <c r="BO1120" s="707"/>
      <c r="BP1120" s="707"/>
      <c r="BQ1120" s="707"/>
      <c r="BR1120" s="707"/>
      <c r="BS1120" s="706"/>
      <c r="BT1120" s="706"/>
      <c r="BU1120" s="706"/>
      <c r="BV1120" s="706"/>
      <c r="BW1120" s="122"/>
    </row>
    <row r="1121" spans="1:75" s="697" customFormat="1" hidden="1" outlineLevel="1" collapsed="1" x14ac:dyDescent="0.5">
      <c r="A1121" s="428" t="s">
        <v>1116</v>
      </c>
      <c r="B1121" s="251"/>
      <c r="C1121" s="692"/>
      <c r="D1121" s="692"/>
      <c r="E1121" s="692">
        <v>0</v>
      </c>
      <c r="F1121" s="692">
        <v>0</v>
      </c>
      <c r="G1121" s="693">
        <v>0</v>
      </c>
      <c r="H1121" s="693">
        <v>0</v>
      </c>
      <c r="I1121" s="693">
        <v>0</v>
      </c>
      <c r="J1121" s="693">
        <v>0</v>
      </c>
      <c r="K1121" s="692">
        <v>0</v>
      </c>
      <c r="L1121" s="693">
        <v>0</v>
      </c>
      <c r="M1121" s="693">
        <v>1.5760000000000001</v>
      </c>
      <c r="N1121" s="693">
        <v>2.3330000000000002</v>
      </c>
      <c r="O1121" s="693">
        <v>2.9430000000000001</v>
      </c>
      <c r="P1121" s="692">
        <v>6.8520000000000003</v>
      </c>
      <c r="Q1121" s="693">
        <v>2.702</v>
      </c>
      <c r="R1121" s="693">
        <v>4.4930000000000003</v>
      </c>
      <c r="S1121" s="693">
        <v>6.415</v>
      </c>
      <c r="T1121" s="693">
        <v>6.1930000000000014</v>
      </c>
      <c r="U1121" s="692">
        <v>19.803000000000001</v>
      </c>
      <c r="V1121" s="693">
        <v>6.4420000000000002</v>
      </c>
      <c r="W1121" s="693">
        <v>6.4790000000000001</v>
      </c>
      <c r="X1121" s="693">
        <v>6.6289999999999996</v>
      </c>
      <c r="Y1121" s="693">
        <v>6.8540000000000001</v>
      </c>
      <c r="Z1121" s="692">
        <v>26.404</v>
      </c>
      <c r="AA1121" s="693">
        <v>6.7149999999999999</v>
      </c>
      <c r="AB1121" s="693">
        <v>6.79</v>
      </c>
      <c r="AC1121" s="693">
        <v>11.759</v>
      </c>
      <c r="AD1121" s="693">
        <v>41.242000000000004</v>
      </c>
      <c r="AE1121" s="692">
        <v>66.506</v>
      </c>
      <c r="AF1121" s="693">
        <v>7.2720000000000002</v>
      </c>
      <c r="AG1121" s="693">
        <v>9.9169999999999998</v>
      </c>
      <c r="AH1121" s="693">
        <v>11.282999999999999</v>
      </c>
      <c r="AI1121" s="693">
        <v>43.747</v>
      </c>
      <c r="AJ1121" s="692">
        <v>72.218999999999994</v>
      </c>
      <c r="AK1121" s="693">
        <v>11.689</v>
      </c>
      <c r="AL1121" s="693">
        <v>8.9639999999999986</v>
      </c>
      <c r="AM1121" s="693">
        <v>16.495000000000001</v>
      </c>
      <c r="AN1121" s="693">
        <v>11.869</v>
      </c>
      <c r="AO1121" s="692">
        <v>49.017000000000003</v>
      </c>
      <c r="AP1121" s="693">
        <v>31.584</v>
      </c>
      <c r="AQ1121" s="693">
        <v>10.961</v>
      </c>
      <c r="AR1121" s="693">
        <v>7.3689999999999998</v>
      </c>
      <c r="AS1121" s="693">
        <v>7.4480000000000004</v>
      </c>
      <c r="AT1121" s="692">
        <v>57.361999999999995</v>
      </c>
      <c r="AU1121" s="693">
        <v>6.0860000000000003</v>
      </c>
      <c r="AV1121" s="693">
        <v>9.0310000000000006</v>
      </c>
      <c r="AW1121" s="693">
        <v>22.536000000000001</v>
      </c>
      <c r="AX1121" s="693">
        <v>9.9619999999999997</v>
      </c>
      <c r="AY1121" s="692">
        <v>47.615000000000002</v>
      </c>
      <c r="AZ1121" s="693">
        <v>142.93900000000002</v>
      </c>
      <c r="BA1121" s="693">
        <v>24.914999999999999</v>
      </c>
      <c r="BB1121" s="693">
        <v>0</v>
      </c>
      <c r="BC1121" s="693">
        <v>0</v>
      </c>
      <c r="BD1121" s="692">
        <v>167.85400000000001</v>
      </c>
      <c r="BE1121" s="693">
        <v>0</v>
      </c>
      <c r="BF1121" s="693">
        <v>0</v>
      </c>
      <c r="BG1121" s="693">
        <v>0</v>
      </c>
      <c r="BH1121" s="693">
        <v>0</v>
      </c>
      <c r="BI1121" s="696">
        <v>0</v>
      </c>
      <c r="BJ1121" s="693"/>
      <c r="BK1121" s="693"/>
      <c r="BL1121" s="693"/>
      <c r="BM1121" s="693"/>
      <c r="BN1121" s="692"/>
      <c r="BO1121" s="693"/>
      <c r="BP1121" s="693"/>
      <c r="BQ1121" s="693"/>
      <c r="BR1121" s="693"/>
      <c r="BS1121" s="692"/>
      <c r="BT1121" s="692"/>
      <c r="BU1121" s="692"/>
      <c r="BV1121" s="692"/>
      <c r="BW1121" s="122"/>
    </row>
    <row r="1122" spans="1:75" s="697" customFormat="1" hidden="1" outlineLevel="1" x14ac:dyDescent="0.5">
      <c r="A1122" s="428" t="s">
        <v>1117</v>
      </c>
      <c r="B1122" s="251"/>
      <c r="C1122" s="692"/>
      <c r="D1122" s="692"/>
      <c r="E1122" s="695">
        <v>-16.513000000000002</v>
      </c>
      <c r="F1122" s="695">
        <v>-87.182000000000002</v>
      </c>
      <c r="G1122" s="694">
        <v>-1.6719999999999999</v>
      </c>
      <c r="H1122" s="694">
        <v>-24.332000000000001</v>
      </c>
      <c r="I1122" s="694">
        <v>3.468</v>
      </c>
      <c r="J1122" s="694">
        <v>7.3920000000000003</v>
      </c>
      <c r="K1122" s="695">
        <v>-15.144</v>
      </c>
      <c r="L1122" s="694">
        <v>-3.8420000000000001</v>
      </c>
      <c r="M1122" s="694">
        <v>-1.1299999999999999</v>
      </c>
      <c r="N1122" s="694">
        <v>-1.4750000000000001</v>
      </c>
      <c r="O1122" s="694">
        <v>-1.471000000000001</v>
      </c>
      <c r="P1122" s="695">
        <v>-7.9180000000000001</v>
      </c>
      <c r="Q1122" s="694">
        <v>-1.5840000000000001</v>
      </c>
      <c r="R1122" s="694">
        <v>-3.88</v>
      </c>
      <c r="S1122" s="694">
        <v>-4.4649999999999999</v>
      </c>
      <c r="T1122" s="694">
        <v>-5.2509999999999994</v>
      </c>
      <c r="U1122" s="695">
        <v>-15.18</v>
      </c>
      <c r="V1122" s="694">
        <v>-7.2229999999999999</v>
      </c>
      <c r="W1122" s="694">
        <v>-6.649</v>
      </c>
      <c r="X1122" s="694">
        <v>-3.887</v>
      </c>
      <c r="Y1122" s="694">
        <v>-12.135</v>
      </c>
      <c r="Z1122" s="695">
        <v>-29.893999999999998</v>
      </c>
      <c r="AA1122" s="694">
        <v>-2.931</v>
      </c>
      <c r="AB1122" s="694">
        <v>-7.0119999999999996</v>
      </c>
      <c r="AC1122" s="694">
        <v>-5.3289999999999997</v>
      </c>
      <c r="AD1122" s="694">
        <v>-4.2110000000000003</v>
      </c>
      <c r="AE1122" s="695">
        <v>-19.483000000000001</v>
      </c>
      <c r="AF1122" s="694">
        <v>-3.1579999999999999</v>
      </c>
      <c r="AG1122" s="694">
        <v>-11.957000000000001</v>
      </c>
      <c r="AH1122" s="694">
        <v>-7.06</v>
      </c>
      <c r="AI1122" s="694">
        <v>-8.9710000000000001</v>
      </c>
      <c r="AJ1122" s="695">
        <v>-29.08</v>
      </c>
      <c r="AK1122" s="694">
        <v>-4.0839999999999996</v>
      </c>
      <c r="AL1122" s="694">
        <v>-2.323</v>
      </c>
      <c r="AM1122" s="694">
        <v>-2.036</v>
      </c>
      <c r="AN1122" s="694">
        <v>-3.9689999999999999</v>
      </c>
      <c r="AO1122" s="695">
        <v>-9.359</v>
      </c>
      <c r="AP1122" s="694">
        <v>-11.037000000000001</v>
      </c>
      <c r="AQ1122" s="694">
        <v>-4.726</v>
      </c>
      <c r="AR1122" s="694">
        <v>-1.413</v>
      </c>
      <c r="AS1122" s="694">
        <v>-3.669</v>
      </c>
      <c r="AT1122" s="695">
        <v>-20.844999999999999</v>
      </c>
      <c r="AU1122" s="694">
        <v>-2.9510000000000001</v>
      </c>
      <c r="AV1122" s="694">
        <v>-0.30499999999999999</v>
      </c>
      <c r="AW1122" s="694">
        <v>-6.5179999999999998</v>
      </c>
      <c r="AX1122" s="694">
        <v>-3.5430000000000001</v>
      </c>
      <c r="AY1122" s="695">
        <v>-13.317</v>
      </c>
      <c r="AZ1122" s="694">
        <v>-194.92599999999999</v>
      </c>
      <c r="BA1122" s="694">
        <v>3.7320000000000002</v>
      </c>
      <c r="BB1122" s="694">
        <v>-0.42699999999999999</v>
      </c>
      <c r="BC1122" s="694">
        <v>-46.061999999999998</v>
      </c>
      <c r="BD1122" s="695">
        <v>-237.68299999999999</v>
      </c>
      <c r="BE1122" s="694">
        <v>-2.4329999999999998</v>
      </c>
      <c r="BF1122" s="694">
        <v>-1.2030000000000001</v>
      </c>
      <c r="BG1122" s="694">
        <v>-12.231999999999999</v>
      </c>
      <c r="BH1122" s="694">
        <v>-2.919</v>
      </c>
      <c r="BI1122" s="702">
        <v>-18.786999999999999</v>
      </c>
      <c r="BJ1122" s="693"/>
      <c r="BK1122" s="693"/>
      <c r="BL1122" s="693"/>
      <c r="BM1122" s="693"/>
      <c r="BN1122" s="692"/>
      <c r="BO1122" s="693"/>
      <c r="BP1122" s="693"/>
      <c r="BQ1122" s="693"/>
      <c r="BR1122" s="693"/>
      <c r="BS1122" s="692"/>
      <c r="BT1122" s="692"/>
      <c r="BU1122" s="692"/>
      <c r="BV1122" s="692"/>
      <c r="BW1122" s="122"/>
    </row>
    <row r="1123" spans="1:75" s="697" customFormat="1" hidden="1" outlineLevel="1" x14ac:dyDescent="0.5">
      <c r="A1123" s="428" t="s">
        <v>1069</v>
      </c>
      <c r="B1123" s="251"/>
      <c r="C1123" s="692"/>
      <c r="D1123" s="692"/>
      <c r="E1123" s="692"/>
      <c r="F1123" s="692"/>
      <c r="G1123" s="693"/>
      <c r="H1123" s="693"/>
      <c r="I1123" s="693"/>
      <c r="J1123" s="693"/>
      <c r="K1123" s="692"/>
      <c r="L1123" s="693"/>
      <c r="M1123" s="693"/>
      <c r="N1123" s="693"/>
      <c r="O1123" s="693"/>
      <c r="P1123" s="692"/>
      <c r="Q1123" s="693"/>
      <c r="R1123" s="693"/>
      <c r="S1123" s="693"/>
      <c r="T1123" s="693"/>
      <c r="U1123" s="692"/>
      <c r="V1123" s="693"/>
      <c r="W1123" s="693"/>
      <c r="X1123" s="693"/>
      <c r="Y1123" s="693"/>
      <c r="Z1123" s="692"/>
      <c r="AA1123" s="693"/>
      <c r="AB1123" s="693"/>
      <c r="AC1123" s="693"/>
      <c r="AD1123" s="693"/>
      <c r="AE1123" s="692"/>
      <c r="AF1123" s="693"/>
      <c r="AG1123" s="693"/>
      <c r="AH1123" s="693"/>
      <c r="AI1123" s="693"/>
      <c r="AJ1123" s="692"/>
      <c r="AK1123" s="693"/>
      <c r="AL1123" s="693"/>
      <c r="AM1123" s="693"/>
      <c r="AN1123" s="693"/>
      <c r="AO1123" s="692"/>
      <c r="AP1123" s="693"/>
      <c r="AQ1123" s="693"/>
      <c r="AR1123" s="693"/>
      <c r="AS1123" s="694">
        <v>0.88800000000000001</v>
      </c>
      <c r="AT1123" s="695">
        <v>0.88800000000000001</v>
      </c>
      <c r="AU1123" s="694">
        <v>2.0950000000000002</v>
      </c>
      <c r="AV1123" s="694">
        <v>2.4860000000000002</v>
      </c>
      <c r="AW1123" s="694">
        <v>2.3130000000000002</v>
      </c>
      <c r="AX1123" s="694">
        <v>1.32</v>
      </c>
      <c r="AY1123" s="695">
        <v>8.2140000000000004</v>
      </c>
      <c r="AZ1123" s="694">
        <v>1.375</v>
      </c>
      <c r="BA1123" s="694">
        <v>2.8210000000000002</v>
      </c>
      <c r="BB1123" s="694">
        <v>1.9219999999999999</v>
      </c>
      <c r="BC1123" s="694">
        <v>-4.0629999999999997</v>
      </c>
      <c r="BD1123" s="695">
        <v>2.0550000000000002</v>
      </c>
      <c r="BE1123" s="694">
        <v>1.6020000000000001</v>
      </c>
      <c r="BF1123" s="694">
        <v>3.3820000000000001</v>
      </c>
      <c r="BG1123" s="694">
        <v>2.6930000000000001</v>
      </c>
      <c r="BH1123" s="694">
        <v>3.198</v>
      </c>
      <c r="BI1123" s="702">
        <v>10.875</v>
      </c>
      <c r="BJ1123" s="693"/>
      <c r="BK1123" s="693"/>
      <c r="BL1123" s="693"/>
      <c r="BM1123" s="693"/>
      <c r="BN1123" s="692"/>
      <c r="BO1123" s="693"/>
      <c r="BP1123" s="693"/>
      <c r="BQ1123" s="693"/>
      <c r="BR1123" s="693"/>
      <c r="BS1123" s="692"/>
      <c r="BT1123" s="692"/>
      <c r="BU1123" s="692"/>
      <c r="BV1123" s="692"/>
      <c r="BW1123" s="122"/>
    </row>
    <row r="1124" spans="1:75" s="621" customFormat="1" ht="14.25" hidden="1" outlineLevel="1" x14ac:dyDescent="0.45">
      <c r="A1124" s="675" t="s">
        <v>1118</v>
      </c>
      <c r="B1124" s="277"/>
      <c r="C1124" s="698">
        <v>-18.483000000000082</v>
      </c>
      <c r="D1124" s="698">
        <v>3.0249999999999346</v>
      </c>
      <c r="E1124" s="698">
        <v>26.451000000000068</v>
      </c>
      <c r="F1124" s="698">
        <v>37.739000000000061</v>
      </c>
      <c r="G1124" s="699">
        <v>2.256999999999981</v>
      </c>
      <c r="H1124" s="699">
        <v>19.792999999999999</v>
      </c>
      <c r="I1124" s="699">
        <v>13.016999999999985</v>
      </c>
      <c r="J1124" s="699">
        <v>34.034000000000034</v>
      </c>
      <c r="K1124" s="698">
        <v>69.100999999999772</v>
      </c>
      <c r="L1124" s="699">
        <v>7.1530000000000182</v>
      </c>
      <c r="M1124" s="699">
        <v>27.698999999999987</v>
      </c>
      <c r="N1124" s="699">
        <v>20.286999999999985</v>
      </c>
      <c r="O1124" s="699">
        <v>42.496999999999957</v>
      </c>
      <c r="P1124" s="698">
        <v>97.635999999999896</v>
      </c>
      <c r="Q1124" s="699">
        <v>9.8420000000000094</v>
      </c>
      <c r="R1124" s="699">
        <v>36.022000000000034</v>
      </c>
      <c r="S1124" s="699">
        <v>27.735999999999944</v>
      </c>
      <c r="T1124" s="699">
        <v>41.171999999999947</v>
      </c>
      <c r="U1124" s="698">
        <v>114.77199999999979</v>
      </c>
      <c r="V1124" s="699">
        <v>-2.0659999999999652</v>
      </c>
      <c r="W1124" s="699">
        <v>17.907999999999983</v>
      </c>
      <c r="X1124" s="699">
        <v>8.0189999999999664</v>
      </c>
      <c r="Y1124" s="699">
        <v>27.928000000000019</v>
      </c>
      <c r="Z1124" s="698">
        <v>51.789000000000065</v>
      </c>
      <c r="AA1124" s="699">
        <v>1.7940000000000165</v>
      </c>
      <c r="AB1124" s="699">
        <v>19.701000000000047</v>
      </c>
      <c r="AC1124" s="699">
        <v>24.423999999999921</v>
      </c>
      <c r="AD1124" s="699">
        <v>43.281000000000233</v>
      </c>
      <c r="AE1124" s="698">
        <v>89.200000000000045</v>
      </c>
      <c r="AF1124" s="699">
        <v>30.585999999999963</v>
      </c>
      <c r="AG1124" s="700">
        <v>54.508999999999993</v>
      </c>
      <c r="AH1124" s="700">
        <v>43.184000000000012</v>
      </c>
      <c r="AI1124" s="699">
        <v>73.9729999999999</v>
      </c>
      <c r="AJ1124" s="698">
        <v>204.31799999999976</v>
      </c>
      <c r="AK1124" s="699">
        <v>45.188000000000002</v>
      </c>
      <c r="AL1124" s="700">
        <v>71.430000000000021</v>
      </c>
      <c r="AM1124" s="700">
        <v>65.445999999999941</v>
      </c>
      <c r="AN1124" s="699">
        <v>91.180000000000362</v>
      </c>
      <c r="AO1124" s="698">
        <v>276.29700000000003</v>
      </c>
      <c r="AP1124" s="699">
        <v>29.948999999999998</v>
      </c>
      <c r="AQ1124" s="700">
        <v>123.01300000000003</v>
      </c>
      <c r="AR1124" s="700">
        <v>166.45700000000005</v>
      </c>
      <c r="AS1124" s="699">
        <v>143.48500000000027</v>
      </c>
      <c r="AT1124" s="698">
        <v>462.90400000000005</v>
      </c>
      <c r="AU1124" s="699">
        <v>142.25000000000009</v>
      </c>
      <c r="AV1124" s="700">
        <v>251.62500000000009</v>
      </c>
      <c r="AW1124" s="700">
        <v>208.60099999999997</v>
      </c>
      <c r="AX1124" s="699">
        <v>164.02899999999983</v>
      </c>
      <c r="AY1124" s="698">
        <v>766.505</v>
      </c>
      <c r="AZ1124" s="699">
        <v>181.34100000000007</v>
      </c>
      <c r="BA1124" s="700">
        <v>164.0630000000001</v>
      </c>
      <c r="BB1124" s="700">
        <v>110.35400000000001</v>
      </c>
      <c r="BC1124" s="699">
        <v>72.778999999999712</v>
      </c>
      <c r="BD1124" s="698">
        <v>528.53699999999992</v>
      </c>
      <c r="BE1124" s="699">
        <v>52.211000000000006</v>
      </c>
      <c r="BF1124" s="700">
        <v>88.680000000000035</v>
      </c>
      <c r="BG1124" s="700">
        <v>-7.7989999999999533</v>
      </c>
      <c r="BH1124" s="699">
        <v>14.273000000000224</v>
      </c>
      <c r="BI1124" s="701">
        <v>147.36500000000026</v>
      </c>
      <c r="BJ1124" s="699"/>
      <c r="BK1124" s="699"/>
      <c r="BL1124" s="699"/>
      <c r="BM1124" s="699"/>
      <c r="BN1124" s="698"/>
      <c r="BO1124" s="699"/>
      <c r="BP1124" s="699"/>
      <c r="BQ1124" s="699"/>
      <c r="BR1124" s="699"/>
      <c r="BS1124" s="698"/>
      <c r="BT1124" s="698"/>
      <c r="BU1124" s="698"/>
      <c r="BV1124" s="698"/>
      <c r="BW1124" s="197"/>
    </row>
    <row r="1125" spans="1:75" s="621" customFormat="1" ht="14.25" hidden="1" outlineLevel="2" x14ac:dyDescent="0.45">
      <c r="A1125" s="243"/>
      <c r="B1125" s="243"/>
      <c r="C1125" s="688"/>
      <c r="D1125" s="688"/>
      <c r="E1125" s="688"/>
      <c r="F1125" s="688"/>
      <c r="G1125" s="689"/>
      <c r="H1125" s="689"/>
      <c r="I1125" s="689"/>
      <c r="J1125" s="689"/>
      <c r="K1125" s="688"/>
      <c r="L1125" s="689"/>
      <c r="M1125" s="689"/>
      <c r="N1125" s="689"/>
      <c r="O1125" s="689"/>
      <c r="P1125" s="688"/>
      <c r="Q1125" s="689"/>
      <c r="R1125" s="689"/>
      <c r="S1125" s="689"/>
      <c r="T1125" s="689"/>
      <c r="U1125" s="688"/>
      <c r="V1125" s="689"/>
      <c r="W1125" s="689"/>
      <c r="X1125" s="689"/>
      <c r="Y1125" s="689"/>
      <c r="Z1125" s="688"/>
      <c r="AA1125" s="689"/>
      <c r="AB1125" s="689"/>
      <c r="AC1125" s="689"/>
      <c r="AD1125" s="689"/>
      <c r="AE1125" s="688"/>
      <c r="AF1125" s="689"/>
      <c r="AG1125" s="689"/>
      <c r="AH1125" s="689"/>
      <c r="AI1125" s="689"/>
      <c r="AJ1125" s="688"/>
      <c r="AK1125" s="689"/>
      <c r="AL1125" s="689"/>
      <c r="AM1125" s="689"/>
      <c r="AN1125" s="689"/>
      <c r="AO1125" s="688"/>
      <c r="AP1125" s="689"/>
      <c r="AQ1125" s="689"/>
      <c r="AR1125" s="689"/>
      <c r="AS1125" s="689"/>
      <c r="AT1125" s="688"/>
      <c r="AU1125" s="689"/>
      <c r="AV1125" s="689"/>
      <c r="AW1125" s="689"/>
      <c r="AX1125" s="689"/>
      <c r="AY1125" s="688"/>
      <c r="AZ1125" s="689"/>
      <c r="BA1125" s="689"/>
      <c r="BB1125" s="689"/>
      <c r="BC1125" s="689"/>
      <c r="BD1125" s="688"/>
      <c r="BE1125" s="689"/>
      <c r="BF1125" s="689"/>
      <c r="BG1125" s="689"/>
      <c r="BH1125" s="689"/>
      <c r="BI1125" s="691"/>
      <c r="BJ1125" s="689"/>
      <c r="BK1125" s="689"/>
      <c r="BL1125" s="689"/>
      <c r="BM1125" s="689"/>
      <c r="BN1125" s="688"/>
      <c r="BO1125" s="689"/>
      <c r="BP1125" s="689"/>
      <c r="BQ1125" s="689"/>
      <c r="BR1125" s="689"/>
      <c r="BS1125" s="688"/>
      <c r="BT1125" s="688"/>
      <c r="BU1125" s="688"/>
      <c r="BV1125" s="688"/>
      <c r="BW1125" s="197"/>
    </row>
    <row r="1126" spans="1:75" s="621" customFormat="1" ht="14.25" hidden="1" outlineLevel="2" x14ac:dyDescent="0.45">
      <c r="A1126" s="670" t="s">
        <v>1119</v>
      </c>
      <c r="B1126" s="243"/>
      <c r="C1126" s="293">
        <v>-28.651000000000085</v>
      </c>
      <c r="D1126" s="293">
        <v>-7.0510000000000659</v>
      </c>
      <c r="E1126" s="293"/>
      <c r="F1126" s="293"/>
      <c r="G1126" s="294"/>
      <c r="H1126" s="294"/>
      <c r="I1126" s="294"/>
      <c r="J1126" s="294"/>
      <c r="K1126" s="293"/>
      <c r="L1126" s="294"/>
      <c r="M1126" s="294"/>
      <c r="N1126" s="294"/>
      <c r="O1126" s="294"/>
      <c r="P1126" s="688"/>
      <c r="Q1126" s="294"/>
      <c r="R1126" s="294"/>
      <c r="S1126" s="294"/>
      <c r="T1126" s="294"/>
      <c r="U1126" s="688"/>
      <c r="V1126" s="294"/>
      <c r="W1126" s="294"/>
      <c r="X1126" s="294"/>
      <c r="Y1126" s="689"/>
      <c r="Z1126" s="688"/>
      <c r="AA1126" s="689"/>
      <c r="AB1126" s="689"/>
      <c r="AC1126" s="294"/>
      <c r="AD1126" s="689"/>
      <c r="AE1126" s="688"/>
      <c r="AF1126" s="689"/>
      <c r="AG1126" s="689"/>
      <c r="AH1126" s="294"/>
      <c r="AI1126" s="689"/>
      <c r="AJ1126" s="688"/>
      <c r="AK1126" s="689"/>
      <c r="AL1126" s="689"/>
      <c r="AM1126" s="294"/>
      <c r="AN1126" s="689"/>
      <c r="AO1126" s="688"/>
      <c r="AP1126" s="689"/>
      <c r="AQ1126" s="689"/>
      <c r="AR1126" s="294"/>
      <c r="AS1126" s="689"/>
      <c r="AT1126" s="688"/>
      <c r="AU1126" s="689"/>
      <c r="AV1126" s="689"/>
      <c r="AW1126" s="294"/>
      <c r="AX1126" s="689"/>
      <c r="AY1126" s="688"/>
      <c r="AZ1126" s="689"/>
      <c r="BA1126" s="689"/>
      <c r="BB1126" s="294"/>
      <c r="BC1126" s="689"/>
      <c r="BD1126" s="688"/>
      <c r="BE1126" s="689"/>
      <c r="BF1126" s="689"/>
      <c r="BG1126" s="294"/>
      <c r="BH1126" s="689"/>
      <c r="BI1126" s="691"/>
      <c r="BJ1126" s="689"/>
      <c r="BK1126" s="689"/>
      <c r="BL1126" s="689"/>
      <c r="BM1126" s="689"/>
      <c r="BN1126" s="688"/>
      <c r="BO1126" s="689"/>
      <c r="BP1126" s="689"/>
      <c r="BQ1126" s="689"/>
      <c r="BR1126" s="689"/>
      <c r="BS1126" s="688"/>
      <c r="BT1126" s="688"/>
      <c r="BU1126" s="688"/>
      <c r="BV1126" s="688"/>
      <c r="BW1126" s="197"/>
    </row>
    <row r="1127" spans="1:75" s="123" customFormat="1" hidden="1" outlineLevel="2" x14ac:dyDescent="0.5">
      <c r="A1127" s="464" t="s">
        <v>1120</v>
      </c>
      <c r="B1127" s="118"/>
      <c r="C1127" s="305">
        <v>4.62</v>
      </c>
      <c r="D1127" s="305">
        <v>4.7930000000000001</v>
      </c>
      <c r="E1127" s="299"/>
      <c r="F1127" s="299"/>
      <c r="G1127" s="300"/>
      <c r="H1127" s="300"/>
      <c r="I1127" s="300"/>
      <c r="J1127" s="300"/>
      <c r="K1127" s="299"/>
      <c r="L1127" s="300"/>
      <c r="M1127" s="300"/>
      <c r="N1127" s="300"/>
      <c r="O1127" s="300"/>
      <c r="P1127" s="186"/>
      <c r="Q1127" s="300"/>
      <c r="R1127" s="300"/>
      <c r="S1127" s="300"/>
      <c r="T1127" s="300"/>
      <c r="U1127" s="186"/>
      <c r="V1127" s="300"/>
      <c r="W1127" s="187"/>
      <c r="X1127" s="300"/>
      <c r="Y1127" s="187"/>
      <c r="Z1127" s="186"/>
      <c r="AA1127" s="187"/>
      <c r="AB1127" s="187"/>
      <c r="AC1127" s="300"/>
      <c r="AD1127" s="187"/>
      <c r="AE1127" s="186"/>
      <c r="AF1127" s="187"/>
      <c r="AG1127" s="187"/>
      <c r="AH1127" s="300"/>
      <c r="AI1127" s="187"/>
      <c r="AJ1127" s="186"/>
      <c r="AK1127" s="187"/>
      <c r="AL1127" s="187"/>
      <c r="AM1127" s="300"/>
      <c r="AN1127" s="187"/>
      <c r="AO1127" s="186"/>
      <c r="AP1127" s="187"/>
      <c r="AQ1127" s="187"/>
      <c r="AR1127" s="300"/>
      <c r="AS1127" s="187"/>
      <c r="AT1127" s="186"/>
      <c r="AU1127" s="187"/>
      <c r="AV1127" s="187"/>
      <c r="AW1127" s="300"/>
      <c r="AX1127" s="187"/>
      <c r="AY1127" s="186"/>
      <c r="AZ1127" s="187"/>
      <c r="BA1127" s="187"/>
      <c r="BB1127" s="300"/>
      <c r="BC1127" s="187"/>
      <c r="BD1127" s="186"/>
      <c r="BE1127" s="187"/>
      <c r="BF1127" s="187"/>
      <c r="BG1127" s="300"/>
      <c r="BH1127" s="187"/>
      <c r="BI1127" s="188"/>
      <c r="BJ1127" s="187"/>
      <c r="BK1127" s="187"/>
      <c r="BL1127" s="187"/>
      <c r="BM1127" s="187"/>
      <c r="BN1127" s="186"/>
      <c r="BO1127" s="187"/>
      <c r="BP1127" s="187"/>
      <c r="BQ1127" s="187"/>
      <c r="BR1127" s="187"/>
      <c r="BS1127" s="186"/>
      <c r="BT1127" s="186"/>
      <c r="BU1127" s="186"/>
      <c r="BV1127" s="186"/>
      <c r="BW1127" s="122"/>
    </row>
    <row r="1128" spans="1:75" s="123" customFormat="1" hidden="1" outlineLevel="2" x14ac:dyDescent="0.5">
      <c r="A1128" s="464" t="s">
        <v>1121</v>
      </c>
      <c r="B1128" s="118"/>
      <c r="C1128" s="299"/>
      <c r="D1128" s="305">
        <v>2.351</v>
      </c>
      <c r="E1128" s="299"/>
      <c r="F1128" s="299"/>
      <c r="G1128" s="300"/>
      <c r="H1128" s="300"/>
      <c r="I1128" s="300"/>
      <c r="J1128" s="300"/>
      <c r="K1128" s="299"/>
      <c r="L1128" s="300"/>
      <c r="M1128" s="300"/>
      <c r="N1128" s="300"/>
      <c r="O1128" s="300"/>
      <c r="P1128" s="186"/>
      <c r="Q1128" s="300"/>
      <c r="R1128" s="300"/>
      <c r="S1128" s="300"/>
      <c r="T1128" s="300"/>
      <c r="U1128" s="186"/>
      <c r="V1128" s="300"/>
      <c r="W1128" s="187"/>
      <c r="X1128" s="300"/>
      <c r="Y1128" s="187"/>
      <c r="Z1128" s="186"/>
      <c r="AA1128" s="187"/>
      <c r="AB1128" s="187"/>
      <c r="AC1128" s="300"/>
      <c r="AD1128" s="187"/>
      <c r="AE1128" s="186"/>
      <c r="AF1128" s="187"/>
      <c r="AG1128" s="187"/>
      <c r="AH1128" s="300"/>
      <c r="AI1128" s="187"/>
      <c r="AJ1128" s="186"/>
      <c r="AK1128" s="187"/>
      <c r="AL1128" s="187"/>
      <c r="AM1128" s="300"/>
      <c r="AN1128" s="187"/>
      <c r="AO1128" s="186"/>
      <c r="AP1128" s="187"/>
      <c r="AQ1128" s="187"/>
      <c r="AR1128" s="300"/>
      <c r="AS1128" s="187"/>
      <c r="AT1128" s="186"/>
      <c r="AU1128" s="187"/>
      <c r="AV1128" s="187"/>
      <c r="AW1128" s="300"/>
      <c r="AX1128" s="187"/>
      <c r="AY1128" s="186"/>
      <c r="AZ1128" s="187"/>
      <c r="BA1128" s="187"/>
      <c r="BB1128" s="300"/>
      <c r="BC1128" s="187"/>
      <c r="BD1128" s="186"/>
      <c r="BE1128" s="187"/>
      <c r="BF1128" s="187"/>
      <c r="BG1128" s="300"/>
      <c r="BH1128" s="187"/>
      <c r="BI1128" s="188"/>
      <c r="BJ1128" s="187"/>
      <c r="BK1128" s="187"/>
      <c r="BL1128" s="187"/>
      <c r="BM1128" s="187"/>
      <c r="BN1128" s="186"/>
      <c r="BO1128" s="187"/>
      <c r="BP1128" s="187"/>
      <c r="BQ1128" s="187"/>
      <c r="BR1128" s="187"/>
      <c r="BS1128" s="186"/>
      <c r="BT1128" s="186"/>
      <c r="BU1128" s="186"/>
      <c r="BV1128" s="186"/>
      <c r="BW1128" s="122"/>
    </row>
    <row r="1129" spans="1:75" s="697" customFormat="1" hidden="1" outlineLevel="2" x14ac:dyDescent="0.5">
      <c r="A1129" s="464" t="s">
        <v>1122</v>
      </c>
      <c r="B1129" s="251"/>
      <c r="C1129" s="305">
        <v>2.3039999999999998</v>
      </c>
      <c r="D1129" s="305">
        <v>2.1150000000000002</v>
      </c>
      <c r="E1129" s="299"/>
      <c r="F1129" s="299"/>
      <c r="G1129" s="300"/>
      <c r="H1129" s="300"/>
      <c r="I1129" s="300"/>
      <c r="J1129" s="300"/>
      <c r="K1129" s="299"/>
      <c r="L1129" s="300"/>
      <c r="M1129" s="300"/>
      <c r="N1129" s="300"/>
      <c r="O1129" s="300"/>
      <c r="P1129" s="692"/>
      <c r="Q1129" s="300"/>
      <c r="R1129" s="300"/>
      <c r="S1129" s="300"/>
      <c r="T1129" s="300"/>
      <c r="U1129" s="692"/>
      <c r="V1129" s="300"/>
      <c r="W1129" s="300"/>
      <c r="X1129" s="300"/>
      <c r="Y1129" s="693"/>
      <c r="Z1129" s="692"/>
      <c r="AA1129" s="693"/>
      <c r="AB1129" s="693"/>
      <c r="AC1129" s="300"/>
      <c r="AD1129" s="693"/>
      <c r="AE1129" s="692"/>
      <c r="AF1129" s="693"/>
      <c r="AG1129" s="693"/>
      <c r="AH1129" s="300"/>
      <c r="AI1129" s="693"/>
      <c r="AJ1129" s="692"/>
      <c r="AK1129" s="693"/>
      <c r="AL1129" s="693"/>
      <c r="AM1129" s="300"/>
      <c r="AN1129" s="693"/>
      <c r="AO1129" s="692"/>
      <c r="AP1129" s="693"/>
      <c r="AQ1129" s="693"/>
      <c r="AR1129" s="300"/>
      <c r="AS1129" s="693"/>
      <c r="AT1129" s="692"/>
      <c r="AU1129" s="693"/>
      <c r="AV1129" s="693"/>
      <c r="AW1129" s="300"/>
      <c r="AX1129" s="693"/>
      <c r="AY1129" s="692"/>
      <c r="AZ1129" s="693"/>
      <c r="BA1129" s="693"/>
      <c r="BB1129" s="300"/>
      <c r="BC1129" s="693"/>
      <c r="BD1129" s="692"/>
      <c r="BE1129" s="693"/>
      <c r="BF1129" s="693"/>
      <c r="BG1129" s="300"/>
      <c r="BH1129" s="693"/>
      <c r="BI1129" s="696"/>
      <c r="BJ1129" s="693"/>
      <c r="BK1129" s="693"/>
      <c r="BL1129" s="693"/>
      <c r="BM1129" s="693"/>
      <c r="BN1129" s="692"/>
      <c r="BO1129" s="693"/>
      <c r="BP1129" s="693"/>
      <c r="BQ1129" s="693"/>
      <c r="BR1129" s="693"/>
      <c r="BS1129" s="692"/>
      <c r="BT1129" s="692"/>
      <c r="BU1129" s="692"/>
      <c r="BV1129" s="692"/>
      <c r="BW1129" s="122"/>
    </row>
    <row r="1130" spans="1:75" s="697" customFormat="1" hidden="1" outlineLevel="2" x14ac:dyDescent="0.5">
      <c r="A1130" s="464" t="s">
        <v>1123</v>
      </c>
      <c r="B1130" s="251"/>
      <c r="C1130" s="305">
        <v>-12.78</v>
      </c>
      <c r="D1130" s="299"/>
      <c r="E1130" s="299"/>
      <c r="F1130" s="299"/>
      <c r="G1130" s="300"/>
      <c r="H1130" s="300"/>
      <c r="I1130" s="300"/>
      <c r="J1130" s="300"/>
      <c r="K1130" s="299"/>
      <c r="L1130" s="300"/>
      <c r="M1130" s="300"/>
      <c r="N1130" s="300"/>
      <c r="O1130" s="300"/>
      <c r="P1130" s="692"/>
      <c r="Q1130" s="300"/>
      <c r="R1130" s="300"/>
      <c r="S1130" s="300"/>
      <c r="T1130" s="300"/>
      <c r="U1130" s="692"/>
      <c r="V1130" s="300"/>
      <c r="W1130" s="300"/>
      <c r="X1130" s="300"/>
      <c r="Y1130" s="693"/>
      <c r="Z1130" s="692"/>
      <c r="AA1130" s="693"/>
      <c r="AB1130" s="693"/>
      <c r="AC1130" s="300"/>
      <c r="AD1130" s="693"/>
      <c r="AE1130" s="692"/>
      <c r="AF1130" s="693"/>
      <c r="AG1130" s="693"/>
      <c r="AH1130" s="300"/>
      <c r="AI1130" s="693"/>
      <c r="AJ1130" s="692"/>
      <c r="AK1130" s="693"/>
      <c r="AL1130" s="693"/>
      <c r="AM1130" s="300"/>
      <c r="AN1130" s="693"/>
      <c r="AO1130" s="692"/>
      <c r="AP1130" s="693"/>
      <c r="AQ1130" s="693"/>
      <c r="AR1130" s="300"/>
      <c r="AS1130" s="693"/>
      <c r="AT1130" s="692"/>
      <c r="AU1130" s="693"/>
      <c r="AV1130" s="693"/>
      <c r="AW1130" s="300"/>
      <c r="AX1130" s="693"/>
      <c r="AY1130" s="692"/>
      <c r="AZ1130" s="693"/>
      <c r="BA1130" s="693"/>
      <c r="BB1130" s="300"/>
      <c r="BC1130" s="693"/>
      <c r="BD1130" s="692"/>
      <c r="BE1130" s="693"/>
      <c r="BF1130" s="693"/>
      <c r="BG1130" s="300"/>
      <c r="BH1130" s="693"/>
      <c r="BI1130" s="696"/>
      <c r="BJ1130" s="693"/>
      <c r="BK1130" s="693"/>
      <c r="BL1130" s="693"/>
      <c r="BM1130" s="693"/>
      <c r="BN1130" s="692"/>
      <c r="BO1130" s="693"/>
      <c r="BP1130" s="693"/>
      <c r="BQ1130" s="693"/>
      <c r="BR1130" s="693"/>
      <c r="BS1130" s="692"/>
      <c r="BT1130" s="692"/>
      <c r="BU1130" s="692"/>
      <c r="BV1130" s="692"/>
      <c r="BW1130" s="122"/>
    </row>
    <row r="1131" spans="1:75" s="123" customFormat="1" hidden="1" outlineLevel="2" x14ac:dyDescent="0.5">
      <c r="A1131" s="464" t="s">
        <v>1124</v>
      </c>
      <c r="B1131" s="118"/>
      <c r="C1131" s="305">
        <v>2.6040000000000001</v>
      </c>
      <c r="D1131" s="305">
        <v>0.35199999999999998</v>
      </c>
      <c r="E1131" s="299"/>
      <c r="F1131" s="299"/>
      <c r="G1131" s="300"/>
      <c r="H1131" s="300"/>
      <c r="I1131" s="300"/>
      <c r="J1131" s="300"/>
      <c r="K1131" s="299"/>
      <c r="L1131" s="300"/>
      <c r="M1131" s="300"/>
      <c r="N1131" s="300"/>
      <c r="O1131" s="300"/>
      <c r="P1131" s="186"/>
      <c r="Q1131" s="300"/>
      <c r="R1131" s="300"/>
      <c r="S1131" s="300"/>
      <c r="T1131" s="300"/>
      <c r="U1131" s="186"/>
      <c r="V1131" s="300"/>
      <c r="W1131" s="187"/>
      <c r="X1131" s="300"/>
      <c r="Y1131" s="187"/>
      <c r="Z1131" s="186"/>
      <c r="AA1131" s="187"/>
      <c r="AB1131" s="187"/>
      <c r="AC1131" s="300"/>
      <c r="AD1131" s="187"/>
      <c r="AE1131" s="186"/>
      <c r="AF1131" s="187"/>
      <c r="AG1131" s="187"/>
      <c r="AH1131" s="300"/>
      <c r="AI1131" s="187"/>
      <c r="AJ1131" s="186"/>
      <c r="AK1131" s="187"/>
      <c r="AL1131" s="187"/>
      <c r="AM1131" s="300"/>
      <c r="AN1131" s="187"/>
      <c r="AO1131" s="186"/>
      <c r="AP1131" s="187"/>
      <c r="AQ1131" s="187"/>
      <c r="AR1131" s="300"/>
      <c r="AS1131" s="187"/>
      <c r="AT1131" s="186"/>
      <c r="AU1131" s="187"/>
      <c r="AV1131" s="187"/>
      <c r="AW1131" s="300"/>
      <c r="AX1131" s="187"/>
      <c r="AY1131" s="186"/>
      <c r="AZ1131" s="187"/>
      <c r="BA1131" s="187"/>
      <c r="BB1131" s="300"/>
      <c r="BC1131" s="187"/>
      <c r="BD1131" s="186"/>
      <c r="BE1131" s="187"/>
      <c r="BF1131" s="187"/>
      <c r="BG1131" s="300"/>
      <c r="BH1131" s="187"/>
      <c r="BI1131" s="188"/>
      <c r="BJ1131" s="187"/>
      <c r="BK1131" s="187"/>
      <c r="BL1131" s="187"/>
      <c r="BM1131" s="187"/>
      <c r="BN1131" s="186"/>
      <c r="BO1131" s="187"/>
      <c r="BP1131" s="187"/>
      <c r="BQ1131" s="187"/>
      <c r="BR1131" s="187"/>
      <c r="BS1131" s="186"/>
      <c r="BT1131" s="186"/>
      <c r="BU1131" s="186"/>
      <c r="BV1131" s="186"/>
      <c r="BW1131" s="122"/>
    </row>
    <row r="1132" spans="1:75" s="123" customFormat="1" hidden="1" outlineLevel="2" x14ac:dyDescent="0.5">
      <c r="A1132" s="464" t="s">
        <v>1125</v>
      </c>
      <c r="B1132" s="118"/>
      <c r="C1132" s="305">
        <v>1.5209999999999999</v>
      </c>
      <c r="D1132" s="305">
        <v>1.7969999999999999</v>
      </c>
      <c r="E1132" s="299"/>
      <c r="F1132" s="299"/>
      <c r="G1132" s="300"/>
      <c r="H1132" s="300"/>
      <c r="I1132" s="300"/>
      <c r="J1132" s="300"/>
      <c r="K1132" s="299"/>
      <c r="L1132" s="300"/>
      <c r="M1132" s="300"/>
      <c r="N1132" s="300"/>
      <c r="O1132" s="300"/>
      <c r="P1132" s="186"/>
      <c r="Q1132" s="300"/>
      <c r="R1132" s="300"/>
      <c r="S1132" s="300"/>
      <c r="T1132" s="300"/>
      <c r="U1132" s="186"/>
      <c r="V1132" s="300"/>
      <c r="W1132" s="187"/>
      <c r="X1132" s="300"/>
      <c r="Y1132" s="187"/>
      <c r="Z1132" s="186"/>
      <c r="AA1132" s="187"/>
      <c r="AB1132" s="187"/>
      <c r="AC1132" s="300"/>
      <c r="AD1132" s="187"/>
      <c r="AE1132" s="186"/>
      <c r="AF1132" s="187"/>
      <c r="AG1132" s="187"/>
      <c r="AH1132" s="300"/>
      <c r="AI1132" s="187"/>
      <c r="AJ1132" s="186"/>
      <c r="AK1132" s="187"/>
      <c r="AL1132" s="187"/>
      <c r="AM1132" s="300"/>
      <c r="AN1132" s="187"/>
      <c r="AO1132" s="186"/>
      <c r="AP1132" s="187"/>
      <c r="AQ1132" s="187"/>
      <c r="AR1132" s="300"/>
      <c r="AS1132" s="187"/>
      <c r="AT1132" s="186"/>
      <c r="AU1132" s="187"/>
      <c r="AV1132" s="187"/>
      <c r="AW1132" s="300"/>
      <c r="AX1132" s="187"/>
      <c r="AY1132" s="186"/>
      <c r="AZ1132" s="187"/>
      <c r="BA1132" s="187"/>
      <c r="BB1132" s="300"/>
      <c r="BC1132" s="187"/>
      <c r="BD1132" s="186"/>
      <c r="BE1132" s="187"/>
      <c r="BF1132" s="187"/>
      <c r="BG1132" s="300"/>
      <c r="BH1132" s="187"/>
      <c r="BI1132" s="188"/>
      <c r="BJ1132" s="187"/>
      <c r="BK1132" s="187"/>
      <c r="BL1132" s="187"/>
      <c r="BM1132" s="187"/>
      <c r="BN1132" s="186"/>
      <c r="BO1132" s="187"/>
      <c r="BP1132" s="187"/>
      <c r="BQ1132" s="187"/>
      <c r="BR1132" s="187"/>
      <c r="BS1132" s="186"/>
      <c r="BT1132" s="186"/>
      <c r="BU1132" s="186"/>
      <c r="BV1132" s="186"/>
      <c r="BW1132" s="122"/>
    </row>
    <row r="1133" spans="1:75" s="123" customFormat="1" hidden="1" outlineLevel="2" x14ac:dyDescent="0.5">
      <c r="A1133" s="464" t="s">
        <v>1126</v>
      </c>
      <c r="B1133" s="118"/>
      <c r="C1133" s="393">
        <v>11.898999999999999</v>
      </c>
      <c r="D1133" s="393">
        <v>-1.3320000000000001</v>
      </c>
      <c r="E1133" s="186"/>
      <c r="F1133" s="299"/>
      <c r="G1133" s="300"/>
      <c r="H1133" s="693"/>
      <c r="I1133" s="300"/>
      <c r="J1133" s="300"/>
      <c r="K1133" s="186"/>
      <c r="L1133" s="187"/>
      <c r="M1133" s="187"/>
      <c r="N1133" s="187"/>
      <c r="O1133" s="187"/>
      <c r="P1133" s="186"/>
      <c r="Q1133" s="300"/>
      <c r="R1133" s="300"/>
      <c r="S1133" s="300"/>
      <c r="T1133" s="300"/>
      <c r="U1133" s="186"/>
      <c r="V1133" s="300"/>
      <c r="W1133" s="187"/>
      <c r="X1133" s="300"/>
      <c r="Y1133" s="187"/>
      <c r="Z1133" s="186"/>
      <c r="AA1133" s="187"/>
      <c r="AB1133" s="187"/>
      <c r="AC1133" s="300"/>
      <c r="AD1133" s="187"/>
      <c r="AE1133" s="186"/>
      <c r="AF1133" s="187"/>
      <c r="AG1133" s="187"/>
      <c r="AH1133" s="300"/>
      <c r="AI1133" s="187"/>
      <c r="AJ1133" s="186"/>
      <c r="AK1133" s="187"/>
      <c r="AL1133" s="187"/>
      <c r="AM1133" s="300"/>
      <c r="AN1133" s="187"/>
      <c r="AO1133" s="186"/>
      <c r="AP1133" s="187"/>
      <c r="AQ1133" s="187"/>
      <c r="AR1133" s="300"/>
      <c r="AS1133" s="187"/>
      <c r="AT1133" s="186"/>
      <c r="AU1133" s="187"/>
      <c r="AV1133" s="187"/>
      <c r="AW1133" s="300"/>
      <c r="AX1133" s="187"/>
      <c r="AY1133" s="186"/>
      <c r="AZ1133" s="187"/>
      <c r="BA1133" s="187"/>
      <c r="BB1133" s="300"/>
      <c r="BC1133" s="187"/>
      <c r="BD1133" s="186"/>
      <c r="BE1133" s="187"/>
      <c r="BF1133" s="187"/>
      <c r="BG1133" s="300"/>
      <c r="BH1133" s="187"/>
      <c r="BI1133" s="188"/>
      <c r="BJ1133" s="187"/>
      <c r="BK1133" s="187"/>
      <c r="BL1133" s="187"/>
      <c r="BM1133" s="187"/>
      <c r="BN1133" s="186"/>
      <c r="BO1133" s="187"/>
      <c r="BP1133" s="187"/>
      <c r="BQ1133" s="187"/>
      <c r="BR1133" s="187"/>
      <c r="BS1133" s="186"/>
      <c r="BT1133" s="186"/>
      <c r="BU1133" s="186"/>
      <c r="BV1133" s="186"/>
      <c r="BW1133" s="122"/>
    </row>
    <row r="1134" spans="1:75" s="621" customFormat="1" ht="14.25" hidden="1" outlineLevel="2" x14ac:dyDescent="0.45">
      <c r="A1134" s="675" t="s">
        <v>1127</v>
      </c>
      <c r="B1134" s="277"/>
      <c r="C1134" s="698">
        <v>-18.483000000000082</v>
      </c>
      <c r="D1134" s="698">
        <v>3.0249999999999346</v>
      </c>
      <c r="E1134" s="698"/>
      <c r="F1134" s="698"/>
      <c r="G1134" s="699"/>
      <c r="H1134" s="699"/>
      <c r="I1134" s="699"/>
      <c r="J1134" s="699"/>
      <c r="K1134" s="698"/>
      <c r="L1134" s="699"/>
      <c r="M1134" s="699"/>
      <c r="N1134" s="699"/>
      <c r="O1134" s="699"/>
      <c r="P1134" s="698"/>
      <c r="Q1134" s="699"/>
      <c r="R1134" s="699"/>
      <c r="S1134" s="699"/>
      <c r="T1134" s="699"/>
      <c r="U1134" s="698"/>
      <c r="V1134" s="699"/>
      <c r="W1134" s="699"/>
      <c r="X1134" s="699"/>
      <c r="Y1134" s="699"/>
      <c r="Z1134" s="698"/>
      <c r="AA1134" s="699"/>
      <c r="AB1134" s="699"/>
      <c r="AC1134" s="699"/>
      <c r="AD1134" s="699"/>
      <c r="AE1134" s="698"/>
      <c r="AF1134" s="699"/>
      <c r="AG1134" s="699"/>
      <c r="AH1134" s="699"/>
      <c r="AI1134" s="699"/>
      <c r="AJ1134" s="698"/>
      <c r="AK1134" s="699"/>
      <c r="AL1134" s="699"/>
      <c r="AM1134" s="699"/>
      <c r="AN1134" s="699"/>
      <c r="AO1134" s="698"/>
      <c r="AP1134" s="699"/>
      <c r="AQ1134" s="699"/>
      <c r="AR1134" s="699"/>
      <c r="AS1134" s="699"/>
      <c r="AT1134" s="698"/>
      <c r="AU1134" s="699"/>
      <c r="AV1134" s="699"/>
      <c r="AW1134" s="699"/>
      <c r="AX1134" s="699"/>
      <c r="AY1134" s="698"/>
      <c r="AZ1134" s="699"/>
      <c r="BA1134" s="699"/>
      <c r="BB1134" s="699"/>
      <c r="BC1134" s="699"/>
      <c r="BD1134" s="698"/>
      <c r="BE1134" s="699"/>
      <c r="BF1134" s="699"/>
      <c r="BG1134" s="699"/>
      <c r="BH1134" s="699"/>
      <c r="BI1134" s="701"/>
      <c r="BJ1134" s="699"/>
      <c r="BK1134" s="699"/>
      <c r="BL1134" s="699"/>
      <c r="BM1134" s="699"/>
      <c r="BN1134" s="698"/>
      <c r="BO1134" s="699"/>
      <c r="BP1134" s="699"/>
      <c r="BQ1134" s="699"/>
      <c r="BR1134" s="699"/>
      <c r="BS1134" s="698"/>
      <c r="BT1134" s="698"/>
      <c r="BU1134" s="698"/>
      <c r="BV1134" s="698"/>
      <c r="BW1134" s="197"/>
    </row>
    <row r="1135" spans="1:75" s="621" customFormat="1" ht="14.25" hidden="1" outlineLevel="1" collapsed="1" x14ac:dyDescent="0.45">
      <c r="A1135" s="243"/>
      <c r="B1135" s="243"/>
      <c r="C1135" s="688"/>
      <c r="D1135" s="688"/>
      <c r="E1135" s="688"/>
      <c r="F1135" s="688"/>
      <c r="G1135" s="689"/>
      <c r="H1135" s="689"/>
      <c r="I1135" s="689"/>
      <c r="J1135" s="689"/>
      <c r="K1135" s="688"/>
      <c r="L1135" s="689"/>
      <c r="M1135" s="689"/>
      <c r="N1135" s="689"/>
      <c r="O1135" s="689"/>
      <c r="P1135" s="688"/>
      <c r="Q1135" s="689"/>
      <c r="R1135" s="689"/>
      <c r="S1135" s="689"/>
      <c r="T1135" s="689"/>
      <c r="U1135" s="688"/>
      <c r="V1135" s="689"/>
      <c r="W1135" s="689"/>
      <c r="X1135" s="689"/>
      <c r="Y1135" s="689"/>
      <c r="Z1135" s="688"/>
      <c r="AA1135" s="689"/>
      <c r="AB1135" s="689"/>
      <c r="AC1135" s="689"/>
      <c r="AD1135" s="689"/>
      <c r="AE1135" s="688"/>
      <c r="AF1135" s="689"/>
      <c r="AG1135" s="689"/>
      <c r="AH1135" s="689"/>
      <c r="AI1135" s="689"/>
      <c r="AJ1135" s="688"/>
      <c r="AK1135" s="689"/>
      <c r="AL1135" s="689"/>
      <c r="AM1135" s="689"/>
      <c r="AN1135" s="689"/>
      <c r="AO1135" s="688"/>
      <c r="AP1135" s="689"/>
      <c r="AQ1135" s="689"/>
      <c r="AR1135" s="689"/>
      <c r="AS1135" s="689"/>
      <c r="AT1135" s="688"/>
      <c r="AU1135" s="689"/>
      <c r="AV1135" s="689"/>
      <c r="AW1135" s="689"/>
      <c r="AX1135" s="689"/>
      <c r="AY1135" s="688"/>
      <c r="AZ1135" s="689"/>
      <c r="BA1135" s="689"/>
      <c r="BB1135" s="689"/>
      <c r="BC1135" s="689"/>
      <c r="BD1135" s="688"/>
      <c r="BE1135" s="689"/>
      <c r="BF1135" s="689"/>
      <c r="BG1135" s="689"/>
      <c r="BH1135" s="689"/>
      <c r="BI1135" s="691"/>
      <c r="BJ1135" s="689"/>
      <c r="BK1135" s="689"/>
      <c r="BL1135" s="689"/>
      <c r="BM1135" s="689"/>
      <c r="BN1135" s="688"/>
      <c r="BO1135" s="689"/>
      <c r="BP1135" s="689"/>
      <c r="BQ1135" s="689"/>
      <c r="BR1135" s="689"/>
      <c r="BS1135" s="688"/>
      <c r="BT1135" s="688"/>
      <c r="BU1135" s="688"/>
      <c r="BV1135" s="688"/>
      <c r="BW1135" s="197"/>
    </row>
    <row r="1136" spans="1:75" s="621" customFormat="1" ht="14.25" hidden="1" outlineLevel="1" x14ac:dyDescent="0.45">
      <c r="A1136" s="670" t="s">
        <v>1109</v>
      </c>
      <c r="B1136" s="243"/>
      <c r="C1136" s="688">
        <v>-28.651000000000085</v>
      </c>
      <c r="D1136" s="688">
        <v>-7.0510000000000659</v>
      </c>
      <c r="E1136" s="688">
        <v>20.588000000000076</v>
      </c>
      <c r="F1136" s="688">
        <v>-12.788999999999939</v>
      </c>
      <c r="G1136" s="689">
        <v>-0.16100000000001849</v>
      </c>
      <c r="H1136" s="689">
        <v>-17.835000000000001</v>
      </c>
      <c r="I1136" s="689">
        <v>9.5489999999999853</v>
      </c>
      <c r="J1136" s="689">
        <v>26.642000000000035</v>
      </c>
      <c r="K1136" s="688">
        <v>18.194999999999773</v>
      </c>
      <c r="L1136" s="689"/>
      <c r="M1136" s="689"/>
      <c r="N1136" s="689"/>
      <c r="O1136" s="689"/>
      <c r="P1136" s="688"/>
      <c r="Q1136" s="689"/>
      <c r="R1136" s="689"/>
      <c r="S1136" s="689"/>
      <c r="T1136" s="689"/>
      <c r="U1136" s="688"/>
      <c r="V1136" s="689"/>
      <c r="W1136" s="689"/>
      <c r="X1136" s="689"/>
      <c r="Y1136" s="689"/>
      <c r="Z1136" s="688"/>
      <c r="AA1136" s="689">
        <v>-3.3699999999999832</v>
      </c>
      <c r="AB1136" s="689">
        <v>-7.8619999999999521</v>
      </c>
      <c r="AC1136" s="689">
        <v>13.150999999999922</v>
      </c>
      <c r="AD1136" s="689">
        <v>0.26100000000023016</v>
      </c>
      <c r="AE1136" s="688">
        <v>2.1800000000000459</v>
      </c>
      <c r="AF1136" s="689">
        <v>25.460999999999963</v>
      </c>
      <c r="AG1136" s="689">
        <v>62.906000000000006</v>
      </c>
      <c r="AH1136" s="690">
        <v>20.114000000000008</v>
      </c>
      <c r="AI1136" s="689">
        <v>27.249999999999897</v>
      </c>
      <c r="AJ1136" s="688">
        <v>135.73099999999977</v>
      </c>
      <c r="AK1136" s="689">
        <v>35.722000000000008</v>
      </c>
      <c r="AL1136" s="689">
        <v>63.757000000000012</v>
      </c>
      <c r="AM1136" s="690">
        <v>52.462999999999944</v>
      </c>
      <c r="AN1136" s="689">
        <v>68.433000000000362</v>
      </c>
      <c r="AO1136" s="688">
        <v>220.375</v>
      </c>
      <c r="AP1136" s="689">
        <v>-3.2120000000000015</v>
      </c>
      <c r="AQ1136" s="689">
        <v>98.42300000000003</v>
      </c>
      <c r="AR1136" s="690">
        <v>46.411000000000065</v>
      </c>
      <c r="AS1136" s="689">
        <v>130.19300000000024</v>
      </c>
      <c r="AT1136" s="688">
        <v>271.81500000000017</v>
      </c>
      <c r="AU1136" s="689">
        <v>130.65600000000006</v>
      </c>
      <c r="AV1136" s="689">
        <v>226.74600000000009</v>
      </c>
      <c r="AW1136" s="690">
        <v>184.09899999999999</v>
      </c>
      <c r="AX1136" s="689">
        <v>147.04499999999985</v>
      </c>
      <c r="AY1136" s="688">
        <v>688.54599999999994</v>
      </c>
      <c r="AZ1136" s="689">
        <v>200.71100000000001</v>
      </c>
      <c r="BA1136" s="689">
        <v>122.27500000000012</v>
      </c>
      <c r="BB1136" s="690">
        <v>98.760000000000019</v>
      </c>
      <c r="BC1136" s="689">
        <v>106.89599999999972</v>
      </c>
      <c r="BD1136" s="688">
        <v>528.64199999999994</v>
      </c>
      <c r="BE1136" s="689">
        <v>41.890000000000008</v>
      </c>
      <c r="BF1136" s="689">
        <v>76.477000000000032</v>
      </c>
      <c r="BG1136" s="690">
        <v>-2.1869999999999536</v>
      </c>
      <c r="BH1136" s="689">
        <v>11.381000000000224</v>
      </c>
      <c r="BI1136" s="691">
        <v>127.56100000000026</v>
      </c>
      <c r="BJ1136" s="689"/>
      <c r="BK1136" s="689"/>
      <c r="BL1136" s="689"/>
      <c r="BM1136" s="689"/>
      <c r="BN1136" s="688"/>
      <c r="BO1136" s="689"/>
      <c r="BP1136" s="689"/>
      <c r="BQ1136" s="689"/>
      <c r="BR1136" s="689"/>
      <c r="BS1136" s="688"/>
      <c r="BT1136" s="688"/>
      <c r="BU1136" s="688"/>
      <c r="BV1136" s="688"/>
      <c r="BW1136" s="197"/>
    </row>
    <row r="1137" spans="1:75" s="123" customFormat="1" hidden="1" outlineLevel="1" x14ac:dyDescent="0.5">
      <c r="A1137" s="464" t="s">
        <v>1128</v>
      </c>
      <c r="B1137" s="118"/>
      <c r="C1137" s="393">
        <v>43.064999999999998</v>
      </c>
      <c r="D1137" s="393">
        <v>31.263000000000002</v>
      </c>
      <c r="E1137" s="393">
        <v>29.186</v>
      </c>
      <c r="F1137" s="393">
        <v>26.748000000000001</v>
      </c>
      <c r="G1137" s="394">
        <v>6.63</v>
      </c>
      <c r="H1137" s="694">
        <v>6.5979999999999999</v>
      </c>
      <c r="I1137" s="394">
        <v>6.7309999999999999</v>
      </c>
      <c r="J1137" s="394">
        <v>7.6950000000000003</v>
      </c>
      <c r="K1137" s="393">
        <v>27.654</v>
      </c>
      <c r="L1137" s="187"/>
      <c r="M1137" s="187"/>
      <c r="N1137" s="187"/>
      <c r="O1137" s="187"/>
      <c r="P1137" s="186"/>
      <c r="Q1137" s="187"/>
      <c r="R1137" s="693"/>
      <c r="S1137" s="693"/>
      <c r="T1137" s="693"/>
      <c r="U1137" s="186"/>
      <c r="V1137" s="693"/>
      <c r="W1137" s="187"/>
      <c r="X1137" s="693"/>
      <c r="Y1137" s="187"/>
      <c r="Z1137" s="186"/>
      <c r="AA1137" s="394">
        <v>16.02</v>
      </c>
      <c r="AB1137" s="394">
        <v>16.526</v>
      </c>
      <c r="AC1137" s="694">
        <v>18.545999999999999</v>
      </c>
      <c r="AD1137" s="394">
        <v>19.042999999999999</v>
      </c>
      <c r="AE1137" s="393">
        <v>70.135000000000005</v>
      </c>
      <c r="AF1137" s="542">
        <v>20.585000000000001</v>
      </c>
      <c r="AG1137" s="394">
        <v>21.353999999999999</v>
      </c>
      <c r="AH1137" s="694">
        <v>22.995000000000001</v>
      </c>
      <c r="AI1137" s="394">
        <v>26.437999999999999</v>
      </c>
      <c r="AJ1137" s="393">
        <v>91.372</v>
      </c>
      <c r="AK1137" s="394">
        <v>27.189</v>
      </c>
      <c r="AL1137" s="394">
        <v>25.321000000000002</v>
      </c>
      <c r="AM1137" s="694">
        <v>23.434999999999999</v>
      </c>
      <c r="AN1137" s="394">
        <v>24.794</v>
      </c>
      <c r="AO1137" s="393">
        <v>100.739</v>
      </c>
      <c r="AP1137" s="394">
        <v>24.87</v>
      </c>
      <c r="AQ1137" s="394">
        <v>25.341999999999999</v>
      </c>
      <c r="AR1137" s="694">
        <v>26.475999999999999</v>
      </c>
      <c r="AS1137" s="394">
        <v>23.352</v>
      </c>
      <c r="AT1137" s="393">
        <v>100.04</v>
      </c>
      <c r="AU1137" s="394">
        <v>23.885999999999999</v>
      </c>
      <c r="AV1137" s="394">
        <v>22.67</v>
      </c>
      <c r="AW1137" s="694">
        <v>24.818999999999999</v>
      </c>
      <c r="AX1137" s="394">
        <v>24.646999999999998</v>
      </c>
      <c r="AY1137" s="393">
        <v>96.022000000000006</v>
      </c>
      <c r="AZ1137" s="394">
        <v>24.757999999999999</v>
      </c>
      <c r="BA1137" s="394">
        <v>26.97</v>
      </c>
      <c r="BB1137" s="694">
        <v>28.032</v>
      </c>
      <c r="BC1137" s="394">
        <v>28.827999999999999</v>
      </c>
      <c r="BD1137" s="393">
        <v>108.58799999999999</v>
      </c>
      <c r="BE1137" s="394">
        <v>27.77</v>
      </c>
      <c r="BF1137" s="394">
        <v>28.135999999999999</v>
      </c>
      <c r="BG1137" s="694">
        <v>28.454000000000001</v>
      </c>
      <c r="BH1137" s="394">
        <v>34.628999999999998</v>
      </c>
      <c r="BI1137" s="395">
        <v>118.989</v>
      </c>
      <c r="BJ1137" s="187"/>
      <c r="BK1137" s="187"/>
      <c r="BL1137" s="187"/>
      <c r="BM1137" s="187"/>
      <c r="BN1137" s="692"/>
      <c r="BO1137" s="187"/>
      <c r="BP1137" s="187"/>
      <c r="BQ1137" s="187"/>
      <c r="BR1137" s="187"/>
      <c r="BS1137" s="692"/>
      <c r="BT1137" s="692"/>
      <c r="BU1137" s="692"/>
      <c r="BV1137" s="692"/>
      <c r="BW1137" s="122"/>
    </row>
    <row r="1138" spans="1:75" s="123" customFormat="1" hidden="1" outlineLevel="1" x14ac:dyDescent="0.5">
      <c r="A1138" s="464" t="s">
        <v>1062</v>
      </c>
      <c r="B1138" s="118"/>
      <c r="C1138" s="393">
        <v>3.2410000000000001</v>
      </c>
      <c r="D1138" s="393">
        <v>3.15</v>
      </c>
      <c r="E1138" s="393">
        <v>5.1340000000000003</v>
      </c>
      <c r="F1138" s="393">
        <v>5.7759999999999998</v>
      </c>
      <c r="G1138" s="394">
        <v>0.84</v>
      </c>
      <c r="H1138" s="694">
        <v>1.1910000000000001</v>
      </c>
      <c r="I1138" s="394">
        <v>2.165</v>
      </c>
      <c r="J1138" s="394">
        <v>1.5369999999999999</v>
      </c>
      <c r="K1138" s="393">
        <v>5.7329999999999997</v>
      </c>
      <c r="L1138" s="187"/>
      <c r="M1138" s="187"/>
      <c r="N1138" s="187"/>
      <c r="O1138" s="187"/>
      <c r="P1138" s="186"/>
      <c r="Q1138" s="187"/>
      <c r="R1138" s="693"/>
      <c r="S1138" s="693"/>
      <c r="T1138" s="693"/>
      <c r="U1138" s="186"/>
      <c r="V1138" s="693"/>
      <c r="W1138" s="187"/>
      <c r="X1138" s="693"/>
      <c r="Y1138" s="187"/>
      <c r="Z1138" s="186"/>
      <c r="AA1138" s="394">
        <v>12.179</v>
      </c>
      <c r="AB1138" s="394">
        <v>14.401999999999999</v>
      </c>
      <c r="AC1138" s="694">
        <v>18.914999999999999</v>
      </c>
      <c r="AD1138" s="394">
        <v>17.074000000000002</v>
      </c>
      <c r="AE1138" s="393">
        <v>62.57</v>
      </c>
      <c r="AF1138" s="394">
        <v>15.098000000000001</v>
      </c>
      <c r="AG1138" s="394">
        <v>15.467000000000001</v>
      </c>
      <c r="AH1138" s="694">
        <v>17.695</v>
      </c>
      <c r="AI1138" s="394">
        <v>19.509</v>
      </c>
      <c r="AJ1138" s="393">
        <v>67.769000000000005</v>
      </c>
      <c r="AK1138" s="394">
        <v>21.117999999999999</v>
      </c>
      <c r="AL1138" s="394">
        <v>24.513000000000002</v>
      </c>
      <c r="AM1138" s="694">
        <v>21.564</v>
      </c>
      <c r="AN1138" s="394">
        <v>19.981999999999999</v>
      </c>
      <c r="AO1138" s="393">
        <v>87.177000000000007</v>
      </c>
      <c r="AP1138" s="394">
        <v>19.629000000000001</v>
      </c>
      <c r="AQ1138" s="394">
        <v>19.417999999999999</v>
      </c>
      <c r="AR1138" s="694">
        <v>15.656000000000001</v>
      </c>
      <c r="AS1138" s="394">
        <v>14.547000000000001</v>
      </c>
      <c r="AT1138" s="393">
        <v>69.25</v>
      </c>
      <c r="AU1138" s="394">
        <v>13.308</v>
      </c>
      <c r="AV1138" s="394">
        <v>13.581</v>
      </c>
      <c r="AW1138" s="694">
        <v>13.223000000000001</v>
      </c>
      <c r="AX1138" s="542">
        <v>24.835000000000001</v>
      </c>
      <c r="AY1138" s="543">
        <v>64.947000000000003</v>
      </c>
      <c r="AZ1138" s="394">
        <v>20.855</v>
      </c>
      <c r="BA1138" s="394">
        <v>26.263999999999999</v>
      </c>
      <c r="BB1138" s="694">
        <v>31.417000000000002</v>
      </c>
      <c r="BC1138" s="542">
        <v>34.673999999999992</v>
      </c>
      <c r="BD1138" s="543">
        <v>113.21000000000001</v>
      </c>
      <c r="BE1138" s="394">
        <v>39.816000000000003</v>
      </c>
      <c r="BF1138" s="394">
        <v>44.421999999999997</v>
      </c>
      <c r="BG1138" s="694">
        <v>54.64</v>
      </c>
      <c r="BH1138" s="542">
        <v>59.417999999999992</v>
      </c>
      <c r="BI1138" s="711">
        <v>198.29599999999999</v>
      </c>
      <c r="BJ1138" s="187"/>
      <c r="BK1138" s="187"/>
      <c r="BL1138" s="187"/>
      <c r="BM1138" s="187"/>
      <c r="BN1138" s="692"/>
      <c r="BO1138" s="187"/>
      <c r="BP1138" s="187"/>
      <c r="BQ1138" s="187"/>
      <c r="BR1138" s="187"/>
      <c r="BS1138" s="692"/>
      <c r="BT1138" s="692"/>
      <c r="BU1138" s="692"/>
      <c r="BV1138" s="692"/>
      <c r="BW1138" s="122"/>
    </row>
    <row r="1139" spans="1:75" s="123" customFormat="1" hidden="1" outlineLevel="1" x14ac:dyDescent="0.5">
      <c r="A1139" s="464" t="s">
        <v>1129</v>
      </c>
      <c r="B1139" s="118"/>
      <c r="C1139" s="393">
        <v>-0.42299999999999999</v>
      </c>
      <c r="D1139" s="393">
        <v>0.68500000000000005</v>
      </c>
      <c r="E1139" s="393">
        <v>1.121</v>
      </c>
      <c r="F1139" s="393">
        <v>-62.023000000000003</v>
      </c>
      <c r="G1139" s="394">
        <v>-0.16800000000000001</v>
      </c>
      <c r="H1139" s="694">
        <v>-11.135999999999999</v>
      </c>
      <c r="I1139" s="394">
        <v>12.146000000000001</v>
      </c>
      <c r="J1139" s="394">
        <v>30.081</v>
      </c>
      <c r="K1139" s="393">
        <v>30.922999999999998</v>
      </c>
      <c r="L1139" s="187"/>
      <c r="M1139" s="187"/>
      <c r="N1139" s="187"/>
      <c r="O1139" s="187"/>
      <c r="P1139" s="186"/>
      <c r="Q1139" s="187"/>
      <c r="R1139" s="693"/>
      <c r="S1139" s="693"/>
      <c r="T1139" s="693"/>
      <c r="U1139" s="186"/>
      <c r="V1139" s="693"/>
      <c r="W1139" s="187"/>
      <c r="X1139" s="693"/>
      <c r="Y1139" s="187"/>
      <c r="Z1139" s="186"/>
      <c r="AA1139" s="394">
        <v>-1.913</v>
      </c>
      <c r="AB1139" s="394">
        <v>5.5830000000000002</v>
      </c>
      <c r="AC1139" s="694">
        <v>6.2160000000000002</v>
      </c>
      <c r="AD1139" s="394">
        <v>18.085000000000001</v>
      </c>
      <c r="AE1139" s="393">
        <v>27.971</v>
      </c>
      <c r="AF1139" s="394">
        <v>7.5880000000000001</v>
      </c>
      <c r="AG1139" s="394">
        <v>2.5329999999999999</v>
      </c>
      <c r="AH1139" s="694">
        <v>4.4189999999999996</v>
      </c>
      <c r="AI1139" s="394">
        <v>10.693</v>
      </c>
      <c r="AJ1139" s="393">
        <v>25.233000000000001</v>
      </c>
      <c r="AK1139" s="394">
        <v>11.792999999999999</v>
      </c>
      <c r="AL1139" s="394">
        <v>16.664999999999999</v>
      </c>
      <c r="AM1139" s="694">
        <v>8.3529999999999998</v>
      </c>
      <c r="AN1139" s="394">
        <v>11.996</v>
      </c>
      <c r="AO1139" s="393">
        <v>48.807000000000002</v>
      </c>
      <c r="AP1139" s="394">
        <v>-1.423</v>
      </c>
      <c r="AQ1139" s="394">
        <v>18.879000000000001</v>
      </c>
      <c r="AR1139" s="694">
        <v>49.154000000000003</v>
      </c>
      <c r="AS1139" s="394">
        <v>37.988</v>
      </c>
      <c r="AT1139" s="393">
        <v>104.598</v>
      </c>
      <c r="AU1139" s="394">
        <v>41.723999999999997</v>
      </c>
      <c r="AV1139" s="394">
        <v>3.0089999999999999</v>
      </c>
      <c r="AW1139" s="694">
        <v>54.390999999999998</v>
      </c>
      <c r="AX1139" s="542">
        <v>34.433999999999997</v>
      </c>
      <c r="AY1139" s="543">
        <v>133.55799999999999</v>
      </c>
      <c r="AZ1139" s="394">
        <v>-163.42599999999999</v>
      </c>
      <c r="BA1139" s="394">
        <v>56.396999999999998</v>
      </c>
      <c r="BB1139" s="694">
        <v>36.161999999999999</v>
      </c>
      <c r="BC1139" s="542">
        <v>-20.491000000000014</v>
      </c>
      <c r="BD1139" s="543">
        <v>-91.358000000000004</v>
      </c>
      <c r="BE1139" s="394">
        <v>16.585000000000001</v>
      </c>
      <c r="BF1139" s="394">
        <v>27.245000000000001</v>
      </c>
      <c r="BG1139" s="694">
        <v>-9.2149999999999999</v>
      </c>
      <c r="BH1139" s="542">
        <v>-6.3539999999999957</v>
      </c>
      <c r="BI1139" s="711">
        <v>28.260999999999999</v>
      </c>
      <c r="BJ1139" s="187"/>
      <c r="BK1139" s="187"/>
      <c r="BL1139" s="187"/>
      <c r="BM1139" s="187"/>
      <c r="BN1139" s="692"/>
      <c r="BO1139" s="187"/>
      <c r="BP1139" s="187"/>
      <c r="BQ1139" s="187"/>
      <c r="BR1139" s="187"/>
      <c r="BS1139" s="692"/>
      <c r="BT1139" s="692"/>
      <c r="BU1139" s="692"/>
      <c r="BV1139" s="692"/>
      <c r="BW1139" s="122"/>
    </row>
    <row r="1140" spans="1:75" s="621" customFormat="1" ht="14.25" hidden="1" outlineLevel="1" x14ac:dyDescent="0.45">
      <c r="A1140" s="675" t="s">
        <v>1130</v>
      </c>
      <c r="B1140" s="277"/>
      <c r="C1140" s="698">
        <v>17.231999999999914</v>
      </c>
      <c r="D1140" s="698">
        <v>28.046999999999933</v>
      </c>
      <c r="E1140" s="698">
        <v>56.029000000000075</v>
      </c>
      <c r="F1140" s="712">
        <v>-42.28799999999994</v>
      </c>
      <c r="G1140" s="699">
        <v>7.1409999999999814</v>
      </c>
      <c r="H1140" s="699">
        <v>-21.182000000000002</v>
      </c>
      <c r="I1140" s="699">
        <v>30.590999999999987</v>
      </c>
      <c r="J1140" s="699">
        <v>65.955000000000027</v>
      </c>
      <c r="K1140" s="698">
        <v>82.504999999999768</v>
      </c>
      <c r="L1140" s="699"/>
      <c r="M1140" s="699"/>
      <c r="N1140" s="699"/>
      <c r="O1140" s="699"/>
      <c r="P1140" s="698"/>
      <c r="Q1140" s="699"/>
      <c r="R1140" s="699"/>
      <c r="S1140" s="699"/>
      <c r="T1140" s="699"/>
      <c r="U1140" s="698"/>
      <c r="V1140" s="699"/>
      <c r="W1140" s="699"/>
      <c r="X1140" s="699"/>
      <c r="Y1140" s="699"/>
      <c r="Z1140" s="698"/>
      <c r="AA1140" s="699">
        <v>22.916000000000015</v>
      </c>
      <c r="AB1140" s="699">
        <v>28.649000000000044</v>
      </c>
      <c r="AC1140" s="699">
        <v>56.827999999999918</v>
      </c>
      <c r="AD1140" s="699">
        <v>54.463000000000235</v>
      </c>
      <c r="AE1140" s="698">
        <v>162.85600000000005</v>
      </c>
      <c r="AF1140" s="699">
        <v>68.731999999999971</v>
      </c>
      <c r="AG1140" s="699">
        <v>102.26</v>
      </c>
      <c r="AH1140" s="700">
        <v>65.222999999999999</v>
      </c>
      <c r="AI1140" s="699">
        <v>83.889999999999901</v>
      </c>
      <c r="AJ1140" s="698">
        <v>320.10499999999979</v>
      </c>
      <c r="AK1140" s="699">
        <v>95.822000000000003</v>
      </c>
      <c r="AL1140" s="699">
        <v>130.256</v>
      </c>
      <c r="AM1140" s="700">
        <v>105.81499999999994</v>
      </c>
      <c r="AN1140" s="699">
        <v>125.20500000000035</v>
      </c>
      <c r="AO1140" s="698">
        <v>457.09800000000001</v>
      </c>
      <c r="AP1140" s="699">
        <v>39.863999999999997</v>
      </c>
      <c r="AQ1140" s="699">
        <v>162.06200000000001</v>
      </c>
      <c r="AR1140" s="700">
        <v>137.69700000000006</v>
      </c>
      <c r="AS1140" s="699">
        <v>206.08000000000024</v>
      </c>
      <c r="AT1140" s="698">
        <v>545.7030000000002</v>
      </c>
      <c r="AU1140" s="699">
        <v>209.57400000000007</v>
      </c>
      <c r="AV1140" s="699">
        <v>266.00600000000009</v>
      </c>
      <c r="AW1140" s="700">
        <v>276.53199999999998</v>
      </c>
      <c r="AX1140" s="699">
        <v>230.96099999999984</v>
      </c>
      <c r="AY1140" s="698">
        <v>983.07299999999987</v>
      </c>
      <c r="AZ1140" s="699">
        <v>82.898000000000025</v>
      </c>
      <c r="BA1140" s="699">
        <v>231.90600000000012</v>
      </c>
      <c r="BB1140" s="700">
        <v>194.37100000000001</v>
      </c>
      <c r="BC1140" s="699">
        <v>149.9069999999997</v>
      </c>
      <c r="BD1140" s="698">
        <v>659.08199999999988</v>
      </c>
      <c r="BE1140" s="699">
        <v>126.06100000000001</v>
      </c>
      <c r="BF1140" s="699">
        <v>176.28000000000003</v>
      </c>
      <c r="BG1140" s="700">
        <v>71.692000000000036</v>
      </c>
      <c r="BH1140" s="699">
        <v>99.074000000000225</v>
      </c>
      <c r="BI1140" s="701">
        <v>473.10700000000026</v>
      </c>
      <c r="BJ1140" s="699"/>
      <c r="BK1140" s="699"/>
      <c r="BL1140" s="699"/>
      <c r="BM1140" s="699"/>
      <c r="BN1140" s="698"/>
      <c r="BO1140" s="699"/>
      <c r="BP1140" s="699"/>
      <c r="BQ1140" s="699"/>
      <c r="BR1140" s="699"/>
      <c r="BS1140" s="698"/>
      <c r="BT1140" s="698"/>
      <c r="BU1140" s="698"/>
      <c r="BV1140" s="698"/>
      <c r="BW1140" s="197"/>
    </row>
    <row r="1141" spans="1:75" s="123" customFormat="1" hidden="1" outlineLevel="1" x14ac:dyDescent="0.5">
      <c r="A1141" s="464" t="s">
        <v>1131</v>
      </c>
      <c r="B1141" s="118"/>
      <c r="C1141" s="713">
        <v>0.59199999999999997</v>
      </c>
      <c r="D1141" s="713">
        <v>1.119</v>
      </c>
      <c r="E1141" s="713">
        <v>7.907</v>
      </c>
      <c r="F1141" s="713">
        <v>116.157</v>
      </c>
      <c r="G1141" s="714">
        <v>3.323</v>
      </c>
      <c r="H1141" s="714">
        <v>59.832000000000001</v>
      </c>
      <c r="I1141" s="715"/>
      <c r="J1141" s="715"/>
      <c r="K1141" s="713">
        <v>63.155000000000001</v>
      </c>
      <c r="L1141" s="715"/>
      <c r="M1141" s="715"/>
      <c r="N1141" s="715"/>
      <c r="O1141" s="715"/>
      <c r="P1141" s="716"/>
      <c r="Q1141" s="715"/>
      <c r="R1141" s="715"/>
      <c r="S1141" s="715"/>
      <c r="T1141" s="715"/>
      <c r="U1141" s="716"/>
      <c r="V1141" s="715"/>
      <c r="W1141" s="715"/>
      <c r="X1141" s="715"/>
      <c r="Y1141" s="715"/>
      <c r="Z1141" s="716"/>
      <c r="AA1141" s="714">
        <v>5.2889999999999997</v>
      </c>
      <c r="AB1141" s="714">
        <v>30.876999999999999</v>
      </c>
      <c r="AC1141" s="714">
        <v>6.7629999999999999</v>
      </c>
      <c r="AD1141" s="714">
        <v>7.78</v>
      </c>
      <c r="AE1141" s="713">
        <v>50.709000000000003</v>
      </c>
      <c r="AF1141" s="714">
        <v>7.9969999999999999</v>
      </c>
      <c r="AG1141" s="714">
        <v>6.234</v>
      </c>
      <c r="AH1141" s="714">
        <v>3.6850000000000001</v>
      </c>
      <c r="AI1141" s="714">
        <v>6.2060000000000004</v>
      </c>
      <c r="AJ1141" s="713">
        <v>24.122</v>
      </c>
      <c r="AK1141" s="714">
        <v>5.6950000000000003</v>
      </c>
      <c r="AL1141" s="714">
        <v>5.298</v>
      </c>
      <c r="AM1141" s="714">
        <v>5.1159999999999997</v>
      </c>
      <c r="AN1141" s="714">
        <v>5.7229999999999999</v>
      </c>
      <c r="AO1141" s="713">
        <v>21.832000000000001</v>
      </c>
      <c r="AP1141" s="714">
        <v>5.8280000000000003</v>
      </c>
      <c r="AQ1141" s="714">
        <v>6.8609999999999998</v>
      </c>
      <c r="AR1141" s="714">
        <v>118.783</v>
      </c>
      <c r="AS1141" s="714">
        <v>14.231999999999999</v>
      </c>
      <c r="AT1141" s="713">
        <v>145.70400000000001</v>
      </c>
      <c r="AU1141" s="714">
        <v>15.307</v>
      </c>
      <c r="AV1141" s="714">
        <v>10.124000000000001</v>
      </c>
      <c r="AW1141" s="714">
        <v>11.994999999999999</v>
      </c>
      <c r="AX1141" s="714">
        <v>11.052</v>
      </c>
      <c r="AY1141" s="713">
        <v>48.478000000000002</v>
      </c>
      <c r="AZ1141" s="714">
        <v>12.802</v>
      </c>
      <c r="BA1141" s="714">
        <v>10.736000000000001</v>
      </c>
      <c r="BB1141" s="714">
        <v>10.186999999999999</v>
      </c>
      <c r="BC1141" s="714">
        <v>9.8190000000000008</v>
      </c>
      <c r="BD1141" s="713">
        <v>43.543999999999997</v>
      </c>
      <c r="BE1141" s="714">
        <v>10.18</v>
      </c>
      <c r="BF1141" s="714">
        <v>8.5380000000000003</v>
      </c>
      <c r="BG1141" s="714">
        <v>9.82</v>
      </c>
      <c r="BH1141" s="714">
        <v>10.843999999999999</v>
      </c>
      <c r="BI1141" s="717">
        <v>39.381999999999998</v>
      </c>
      <c r="BJ1141" s="715"/>
      <c r="BK1141" s="715"/>
      <c r="BL1141" s="715"/>
      <c r="BM1141" s="715"/>
      <c r="BN1141" s="692"/>
      <c r="BO1141" s="715"/>
      <c r="BP1141" s="715"/>
      <c r="BQ1141" s="715"/>
      <c r="BR1141" s="715"/>
      <c r="BS1141" s="692"/>
      <c r="BT1141" s="692"/>
      <c r="BU1141" s="692"/>
      <c r="BV1141" s="692"/>
      <c r="BW1141" s="122"/>
    </row>
    <row r="1142" spans="1:75" s="123" customFormat="1" hidden="1" outlineLevel="1" x14ac:dyDescent="0.5">
      <c r="A1142" s="464" t="s">
        <v>1132</v>
      </c>
      <c r="B1142" s="118"/>
      <c r="C1142" s="713">
        <v>4.62</v>
      </c>
      <c r="D1142" s="713">
        <v>4.7930000000000001</v>
      </c>
      <c r="E1142" s="713">
        <v>10.715</v>
      </c>
      <c r="F1142" s="713">
        <v>4.258</v>
      </c>
      <c r="G1142" s="715"/>
      <c r="H1142" s="715"/>
      <c r="I1142" s="715"/>
      <c r="J1142" s="715"/>
      <c r="K1142" s="716"/>
      <c r="L1142" s="715"/>
      <c r="M1142" s="715"/>
      <c r="N1142" s="715"/>
      <c r="O1142" s="715"/>
      <c r="P1142" s="716"/>
      <c r="Q1142" s="715"/>
      <c r="R1142" s="715"/>
      <c r="S1142" s="715"/>
      <c r="T1142" s="715"/>
      <c r="U1142" s="716"/>
      <c r="V1142" s="715"/>
      <c r="W1142" s="715"/>
      <c r="X1142" s="715"/>
      <c r="Y1142" s="715"/>
      <c r="Z1142" s="716"/>
      <c r="AA1142" s="715"/>
      <c r="AB1142" s="715"/>
      <c r="AC1142" s="715"/>
      <c r="AD1142" s="715"/>
      <c r="AE1142" s="716"/>
      <c r="AF1142" s="715"/>
      <c r="AG1142" s="715"/>
      <c r="AH1142" s="715"/>
      <c r="AI1142" s="715"/>
      <c r="AJ1142" s="716"/>
      <c r="AK1142" s="715"/>
      <c r="AL1142" s="715"/>
      <c r="AM1142" s="715"/>
      <c r="AN1142" s="715"/>
      <c r="AO1142" s="716"/>
      <c r="AP1142" s="715"/>
      <c r="AQ1142" s="715"/>
      <c r="AR1142" s="715"/>
      <c r="AS1142" s="715"/>
      <c r="AT1142" s="716"/>
      <c r="AU1142" s="715"/>
      <c r="AV1142" s="715"/>
      <c r="AW1142" s="715"/>
      <c r="AX1142" s="715"/>
      <c r="AY1142" s="716"/>
      <c r="AZ1142" s="715"/>
      <c r="BA1142" s="715"/>
      <c r="BB1142" s="715"/>
      <c r="BC1142" s="715"/>
      <c r="BD1142" s="716"/>
      <c r="BE1142" s="715"/>
      <c r="BF1142" s="715"/>
      <c r="BG1142" s="715"/>
      <c r="BH1142" s="715"/>
      <c r="BI1142" s="718"/>
      <c r="BJ1142" s="715"/>
      <c r="BK1142" s="715"/>
      <c r="BL1142" s="715"/>
      <c r="BM1142" s="715"/>
      <c r="BN1142" s="692"/>
      <c r="BO1142" s="715"/>
      <c r="BP1142" s="715"/>
      <c r="BQ1142" s="715"/>
      <c r="BR1142" s="715"/>
      <c r="BS1142" s="692"/>
      <c r="BT1142" s="692"/>
      <c r="BU1142" s="692"/>
      <c r="BV1142" s="692"/>
      <c r="BW1142" s="122"/>
    </row>
    <row r="1143" spans="1:75" s="123" customFormat="1" hidden="1" outlineLevel="1" x14ac:dyDescent="0.5">
      <c r="A1143" s="464" t="s">
        <v>1133</v>
      </c>
      <c r="B1143" s="118"/>
      <c r="C1143" s="716"/>
      <c r="D1143" s="716"/>
      <c r="E1143" s="716"/>
      <c r="F1143" s="716"/>
      <c r="G1143" s="715"/>
      <c r="H1143" s="715"/>
      <c r="I1143" s="715"/>
      <c r="J1143" s="715"/>
      <c r="K1143" s="716"/>
      <c r="L1143" s="715"/>
      <c r="M1143" s="715"/>
      <c r="N1143" s="715"/>
      <c r="O1143" s="715"/>
      <c r="P1143" s="716"/>
      <c r="Q1143" s="715"/>
      <c r="R1143" s="715"/>
      <c r="S1143" s="715"/>
      <c r="T1143" s="715"/>
      <c r="U1143" s="716"/>
      <c r="V1143" s="715"/>
      <c r="W1143" s="715"/>
      <c r="X1143" s="715"/>
      <c r="Y1143" s="715"/>
      <c r="Z1143" s="716"/>
      <c r="AA1143" s="715"/>
      <c r="AB1143" s="715"/>
      <c r="AC1143" s="715"/>
      <c r="AD1143" s="715"/>
      <c r="AE1143" s="716"/>
      <c r="AF1143" s="715"/>
      <c r="AG1143" s="715"/>
      <c r="AH1143" s="715"/>
      <c r="AI1143" s="715"/>
      <c r="AJ1143" s="716"/>
      <c r="AK1143" s="715"/>
      <c r="AL1143" s="715"/>
      <c r="AM1143" s="715"/>
      <c r="AN1143" s="715"/>
      <c r="AO1143" s="716"/>
      <c r="AP1143" s="715"/>
      <c r="AQ1143" s="715"/>
      <c r="AR1143" s="715"/>
      <c r="AS1143" s="715"/>
      <c r="AT1143" s="716"/>
      <c r="AU1143" s="715"/>
      <c r="AV1143" s="715"/>
      <c r="AW1143" s="715"/>
      <c r="AX1143" s="715"/>
      <c r="AY1143" s="716"/>
      <c r="AZ1143" s="715"/>
      <c r="BA1143" s="715"/>
      <c r="BB1143" s="715"/>
      <c r="BC1143" s="715"/>
      <c r="BD1143" s="716"/>
      <c r="BE1143" s="715"/>
      <c r="BF1143" s="715"/>
      <c r="BG1143" s="715"/>
      <c r="BH1143" s="715"/>
      <c r="BI1143" s="718"/>
      <c r="BJ1143" s="715"/>
      <c r="BK1143" s="715"/>
      <c r="BL1143" s="715"/>
      <c r="BM1143" s="715"/>
      <c r="BN1143" s="692"/>
      <c r="BO1143" s="715"/>
      <c r="BP1143" s="715"/>
      <c r="BQ1143" s="715"/>
      <c r="BR1143" s="715"/>
      <c r="BS1143" s="692"/>
      <c r="BT1143" s="692"/>
      <c r="BU1143" s="692"/>
      <c r="BV1143" s="692"/>
      <c r="BW1143" s="122"/>
    </row>
    <row r="1144" spans="1:75" s="123" customFormat="1" hidden="1" outlineLevel="1" x14ac:dyDescent="0.5">
      <c r="A1144" s="464" t="s">
        <v>1087</v>
      </c>
      <c r="B1144" s="118"/>
      <c r="C1144" s="716"/>
      <c r="D1144" s="716"/>
      <c r="E1144" s="716"/>
      <c r="F1144" s="716"/>
      <c r="G1144" s="715"/>
      <c r="H1144" s="715"/>
      <c r="I1144" s="715"/>
      <c r="J1144" s="715"/>
      <c r="K1144" s="716"/>
      <c r="L1144" s="715"/>
      <c r="M1144" s="715"/>
      <c r="N1144" s="715"/>
      <c r="O1144" s="715"/>
      <c r="P1144" s="716"/>
      <c r="Q1144" s="715"/>
      <c r="R1144" s="715"/>
      <c r="S1144" s="715"/>
      <c r="T1144" s="715"/>
      <c r="U1144" s="716"/>
      <c r="V1144" s="715"/>
      <c r="W1144" s="715"/>
      <c r="X1144" s="715"/>
      <c r="Y1144" s="715"/>
      <c r="Z1144" s="716"/>
      <c r="AA1144" s="715"/>
      <c r="AB1144" s="715"/>
      <c r="AC1144" s="715"/>
      <c r="AD1144" s="715"/>
      <c r="AE1144" s="716"/>
      <c r="AF1144" s="715"/>
      <c r="AG1144" s="715"/>
      <c r="AH1144" s="715"/>
      <c r="AI1144" s="715"/>
      <c r="AJ1144" s="716"/>
      <c r="AK1144" s="715"/>
      <c r="AL1144" s="715"/>
      <c r="AM1144" s="715"/>
      <c r="AN1144" s="715"/>
      <c r="AO1144" s="716"/>
      <c r="AP1144" s="715"/>
      <c r="AQ1144" s="715"/>
      <c r="AR1144" s="715"/>
      <c r="AS1144" s="715"/>
      <c r="AT1144" s="716"/>
      <c r="AU1144" s="715"/>
      <c r="AV1144" s="715"/>
      <c r="AW1144" s="715"/>
      <c r="AX1144" s="715"/>
      <c r="AY1144" s="716"/>
      <c r="AZ1144" s="714">
        <v>11.717000000000001</v>
      </c>
      <c r="BA1144" s="715"/>
      <c r="BB1144" s="715"/>
      <c r="BC1144" s="714">
        <v>2.6749999999999998</v>
      </c>
      <c r="BD1144" s="713">
        <v>14.391999999999999</v>
      </c>
      <c r="BE1144" s="715"/>
      <c r="BF1144" s="715"/>
      <c r="BG1144" s="715"/>
      <c r="BH1144" s="715"/>
      <c r="BI1144" s="718"/>
      <c r="BJ1144" s="715"/>
      <c r="BK1144" s="715"/>
      <c r="BL1144" s="715"/>
      <c r="BM1144" s="715"/>
      <c r="BN1144" s="692"/>
      <c r="BO1144" s="715"/>
      <c r="BP1144" s="715"/>
      <c r="BQ1144" s="715"/>
      <c r="BR1144" s="715"/>
      <c r="BS1144" s="692"/>
      <c r="BT1144" s="692"/>
      <c r="BU1144" s="692"/>
      <c r="BV1144" s="692"/>
      <c r="BW1144" s="122"/>
    </row>
    <row r="1145" spans="1:75" s="123" customFormat="1" hidden="1" outlineLevel="1" x14ac:dyDescent="0.5">
      <c r="A1145" s="464" t="s">
        <v>1134</v>
      </c>
      <c r="B1145" s="118"/>
      <c r="C1145" s="716"/>
      <c r="D1145" s="716"/>
      <c r="E1145" s="716"/>
      <c r="F1145" s="716"/>
      <c r="G1145" s="715"/>
      <c r="H1145" s="715"/>
      <c r="I1145" s="715"/>
      <c r="J1145" s="715"/>
      <c r="K1145" s="716"/>
      <c r="L1145" s="715"/>
      <c r="M1145" s="715"/>
      <c r="N1145" s="715"/>
      <c r="O1145" s="715"/>
      <c r="P1145" s="716"/>
      <c r="Q1145" s="715"/>
      <c r="R1145" s="715"/>
      <c r="S1145" s="715"/>
      <c r="T1145" s="715"/>
      <c r="U1145" s="716"/>
      <c r="V1145" s="715"/>
      <c r="W1145" s="715"/>
      <c r="X1145" s="715"/>
      <c r="Y1145" s="715"/>
      <c r="Z1145" s="716"/>
      <c r="AA1145" s="715"/>
      <c r="AB1145" s="715"/>
      <c r="AC1145" s="715"/>
      <c r="AD1145" s="715"/>
      <c r="AE1145" s="716"/>
      <c r="AF1145" s="715"/>
      <c r="AG1145" s="715"/>
      <c r="AH1145" s="715"/>
      <c r="AI1145" s="715"/>
      <c r="AJ1145" s="716"/>
      <c r="AK1145" s="715"/>
      <c r="AL1145" s="715"/>
      <c r="AM1145" s="715"/>
      <c r="AN1145" s="715"/>
      <c r="AO1145" s="716"/>
      <c r="AP1145" s="715"/>
      <c r="AQ1145" s="715"/>
      <c r="AR1145" s="715"/>
      <c r="AS1145" s="715"/>
      <c r="AT1145" s="716"/>
      <c r="AU1145" s="715"/>
      <c r="AV1145" s="715"/>
      <c r="AW1145" s="715"/>
      <c r="AX1145" s="715"/>
      <c r="AY1145" s="716"/>
      <c r="AZ1145" s="714">
        <v>7.1840000000000002</v>
      </c>
      <c r="BA1145" s="714">
        <v>0.28499999999999998</v>
      </c>
      <c r="BB1145" s="715"/>
      <c r="BC1145" s="715"/>
      <c r="BD1145" s="713">
        <v>7.4690000000000003</v>
      </c>
      <c r="BE1145" s="715"/>
      <c r="BF1145" s="715"/>
      <c r="BG1145" s="715"/>
      <c r="BH1145" s="715"/>
      <c r="BI1145" s="718"/>
      <c r="BJ1145" s="715"/>
      <c r="BK1145" s="715"/>
      <c r="BL1145" s="715"/>
      <c r="BM1145" s="715"/>
      <c r="BN1145" s="692"/>
      <c r="BO1145" s="715"/>
      <c r="BP1145" s="715"/>
      <c r="BQ1145" s="715"/>
      <c r="BR1145" s="715"/>
      <c r="BS1145" s="692"/>
      <c r="BT1145" s="692"/>
      <c r="BU1145" s="692"/>
      <c r="BV1145" s="692"/>
      <c r="BW1145" s="122"/>
    </row>
    <row r="1146" spans="1:75" s="123" customFormat="1" hidden="1" outlineLevel="1" x14ac:dyDescent="0.5">
      <c r="A1146" s="464" t="s">
        <v>1090</v>
      </c>
      <c r="B1146" s="118"/>
      <c r="C1146" s="716"/>
      <c r="D1146" s="716"/>
      <c r="E1146" s="716"/>
      <c r="F1146" s="716"/>
      <c r="G1146" s="715"/>
      <c r="H1146" s="715"/>
      <c r="I1146" s="715"/>
      <c r="J1146" s="715"/>
      <c r="K1146" s="716"/>
      <c r="L1146" s="715"/>
      <c r="M1146" s="715"/>
      <c r="N1146" s="715"/>
      <c r="O1146" s="715"/>
      <c r="P1146" s="716"/>
      <c r="Q1146" s="715"/>
      <c r="R1146" s="715"/>
      <c r="S1146" s="715"/>
      <c r="T1146" s="715"/>
      <c r="U1146" s="716"/>
      <c r="V1146" s="715"/>
      <c r="W1146" s="715"/>
      <c r="X1146" s="715"/>
      <c r="Y1146" s="715"/>
      <c r="Z1146" s="716"/>
      <c r="AA1146" s="715"/>
      <c r="AB1146" s="715"/>
      <c r="AC1146" s="715"/>
      <c r="AD1146" s="715"/>
      <c r="AE1146" s="716"/>
      <c r="AF1146" s="715"/>
      <c r="AG1146" s="715"/>
      <c r="AH1146" s="715"/>
      <c r="AI1146" s="715"/>
      <c r="AJ1146" s="716"/>
      <c r="AK1146" s="715"/>
      <c r="AL1146" s="715"/>
      <c r="AM1146" s="715"/>
      <c r="AN1146" s="715"/>
      <c r="AO1146" s="716"/>
      <c r="AP1146" s="715"/>
      <c r="AQ1146" s="715"/>
      <c r="AR1146" s="715"/>
      <c r="AS1146" s="715"/>
      <c r="AT1146" s="716"/>
      <c r="AU1146" s="715"/>
      <c r="AV1146" s="715"/>
      <c r="AW1146" s="715"/>
      <c r="AX1146" s="715"/>
      <c r="AY1146" s="716"/>
      <c r="AZ1146" s="715"/>
      <c r="BA1146" s="714">
        <v>3.4830000000000001</v>
      </c>
      <c r="BB1146" s="715"/>
      <c r="BC1146" s="715"/>
      <c r="BD1146" s="713">
        <v>3.4830000000000001</v>
      </c>
      <c r="BE1146" s="715"/>
      <c r="BF1146" s="715"/>
      <c r="BG1146" s="715"/>
      <c r="BH1146" s="715"/>
      <c r="BI1146" s="718"/>
      <c r="BJ1146" s="715"/>
      <c r="BK1146" s="715"/>
      <c r="BL1146" s="715"/>
      <c r="BM1146" s="715"/>
      <c r="BN1146" s="692"/>
      <c r="BO1146" s="715"/>
      <c r="BP1146" s="715"/>
      <c r="BQ1146" s="715"/>
      <c r="BR1146" s="715"/>
      <c r="BS1146" s="692"/>
      <c r="BT1146" s="692"/>
      <c r="BU1146" s="692"/>
      <c r="BV1146" s="692"/>
      <c r="BW1146" s="122"/>
    </row>
    <row r="1147" spans="1:75" s="123" customFormat="1" hidden="1" outlineLevel="1" x14ac:dyDescent="0.5">
      <c r="A1147" s="464" t="s">
        <v>1079</v>
      </c>
      <c r="B1147" s="118"/>
      <c r="C1147" s="716"/>
      <c r="D1147" s="716"/>
      <c r="E1147" s="716"/>
      <c r="F1147" s="716"/>
      <c r="G1147" s="715"/>
      <c r="H1147" s="715"/>
      <c r="I1147" s="715"/>
      <c r="J1147" s="715"/>
      <c r="K1147" s="716"/>
      <c r="L1147" s="715"/>
      <c r="M1147" s="715"/>
      <c r="N1147" s="715"/>
      <c r="O1147" s="715"/>
      <c r="P1147" s="716"/>
      <c r="Q1147" s="715"/>
      <c r="R1147" s="715"/>
      <c r="S1147" s="715"/>
      <c r="T1147" s="715"/>
      <c r="U1147" s="716"/>
      <c r="V1147" s="715"/>
      <c r="W1147" s="715"/>
      <c r="X1147" s="715"/>
      <c r="Y1147" s="715"/>
      <c r="Z1147" s="716"/>
      <c r="AA1147" s="715"/>
      <c r="AB1147" s="715"/>
      <c r="AC1147" s="714">
        <v>0.83299999999999996</v>
      </c>
      <c r="AD1147" s="714">
        <v>4.0129999999999999</v>
      </c>
      <c r="AE1147" s="713">
        <v>4.8460000000000001</v>
      </c>
      <c r="AF1147" s="714">
        <v>-0.84</v>
      </c>
      <c r="AG1147" s="715"/>
      <c r="AH1147" s="714">
        <v>3.8860000000000001</v>
      </c>
      <c r="AI1147" s="715"/>
      <c r="AJ1147" s="713">
        <v>3.0459999999999998</v>
      </c>
      <c r="AK1147" s="715"/>
      <c r="AL1147" s="715"/>
      <c r="AM1147" s="715"/>
      <c r="AN1147" s="715"/>
      <c r="AO1147" s="716"/>
      <c r="AP1147" s="715"/>
      <c r="AQ1147" s="715"/>
      <c r="AR1147" s="715"/>
      <c r="AS1147" s="715"/>
      <c r="AT1147" s="716"/>
      <c r="AU1147" s="715"/>
      <c r="AV1147" s="715"/>
      <c r="AW1147" s="715"/>
      <c r="AX1147" s="715"/>
      <c r="AY1147" s="716"/>
      <c r="AZ1147" s="715"/>
      <c r="BA1147" s="715"/>
      <c r="BB1147" s="715"/>
      <c r="BC1147" s="715"/>
      <c r="BD1147" s="716"/>
      <c r="BE1147" s="715"/>
      <c r="BF1147" s="715"/>
      <c r="BG1147" s="715"/>
      <c r="BH1147" s="715"/>
      <c r="BI1147" s="718"/>
      <c r="BJ1147" s="715"/>
      <c r="BK1147" s="715"/>
      <c r="BL1147" s="715"/>
      <c r="BM1147" s="715"/>
      <c r="BN1147" s="692"/>
      <c r="BO1147" s="715"/>
      <c r="BP1147" s="715"/>
      <c r="BQ1147" s="715"/>
      <c r="BR1147" s="715"/>
      <c r="BS1147" s="692"/>
      <c r="BT1147" s="692"/>
      <c r="BU1147" s="692"/>
      <c r="BV1147" s="692"/>
      <c r="BW1147" s="122"/>
    </row>
    <row r="1148" spans="1:75" s="123" customFormat="1" hidden="1" outlineLevel="1" x14ac:dyDescent="0.5">
      <c r="A1148" s="464" t="s">
        <v>1074</v>
      </c>
      <c r="B1148" s="118"/>
      <c r="C1148" s="716"/>
      <c r="D1148" s="716"/>
      <c r="E1148" s="716"/>
      <c r="F1148" s="716"/>
      <c r="G1148" s="715"/>
      <c r="H1148" s="715"/>
      <c r="I1148" s="715"/>
      <c r="J1148" s="715"/>
      <c r="K1148" s="716"/>
      <c r="L1148" s="715"/>
      <c r="M1148" s="715"/>
      <c r="N1148" s="715"/>
      <c r="O1148" s="715"/>
      <c r="P1148" s="716"/>
      <c r="Q1148" s="715"/>
      <c r="R1148" s="715"/>
      <c r="S1148" s="715"/>
      <c r="T1148" s="715"/>
      <c r="U1148" s="716"/>
      <c r="V1148" s="715"/>
      <c r="W1148" s="715"/>
      <c r="X1148" s="715"/>
      <c r="Y1148" s="715"/>
      <c r="Z1148" s="716"/>
      <c r="AA1148" s="715"/>
      <c r="AB1148" s="714">
        <v>4.7329999999999997</v>
      </c>
      <c r="AC1148" s="714">
        <v>3.552</v>
      </c>
      <c r="AD1148" s="714">
        <v>-0.57799999999999996</v>
      </c>
      <c r="AE1148" s="713">
        <v>7.7069999999999999</v>
      </c>
      <c r="AF1148" s="714">
        <v>-0.254</v>
      </c>
      <c r="AG1148" s="714">
        <v>-1.0640000000000001</v>
      </c>
      <c r="AH1148" s="714">
        <v>3.9860000000000002</v>
      </c>
      <c r="AI1148" s="714">
        <v>-1.0489999999999999</v>
      </c>
      <c r="AJ1148" s="713">
        <v>1.619</v>
      </c>
      <c r="AK1148" s="714">
        <v>-1.615</v>
      </c>
      <c r="AL1148" s="714">
        <v>-0.32</v>
      </c>
      <c r="AM1148" s="714">
        <v>-2.0529999999999999</v>
      </c>
      <c r="AN1148" s="715"/>
      <c r="AO1148" s="713">
        <v>-3.988</v>
      </c>
      <c r="AP1148" s="715"/>
      <c r="AQ1148" s="714">
        <v>4.78</v>
      </c>
      <c r="AR1148" s="714">
        <v>0.78100000000000003</v>
      </c>
      <c r="AS1148" s="714">
        <v>1.8089999999999999</v>
      </c>
      <c r="AT1148" s="713">
        <v>7.37</v>
      </c>
      <c r="AU1148" s="714">
        <v>0.5</v>
      </c>
      <c r="AV1148" s="715"/>
      <c r="AW1148" s="714">
        <v>0.34</v>
      </c>
      <c r="AX1148" s="714">
        <v>1.1000000000000001</v>
      </c>
      <c r="AY1148" s="713">
        <v>1.94</v>
      </c>
      <c r="AZ1148" s="714">
        <v>0.56000000000000005</v>
      </c>
      <c r="BA1148" s="715"/>
      <c r="BB1148" s="715"/>
      <c r="BC1148" s="715"/>
      <c r="BD1148" s="713">
        <v>0.56000000000000005</v>
      </c>
      <c r="BE1148" s="715"/>
      <c r="BF1148" s="715"/>
      <c r="BG1148" s="714">
        <v>-1.5760000000000001</v>
      </c>
      <c r="BH1148" s="715"/>
      <c r="BI1148" s="717">
        <v>-1.5760000000000001</v>
      </c>
      <c r="BJ1148" s="715"/>
      <c r="BK1148" s="715"/>
      <c r="BL1148" s="715"/>
      <c r="BM1148" s="715"/>
      <c r="BN1148" s="692"/>
      <c r="BO1148" s="715"/>
      <c r="BP1148" s="715"/>
      <c r="BQ1148" s="715"/>
      <c r="BR1148" s="715"/>
      <c r="BS1148" s="692"/>
      <c r="BT1148" s="692"/>
      <c r="BU1148" s="692"/>
      <c r="BV1148" s="692"/>
      <c r="BW1148" s="122"/>
    </row>
    <row r="1149" spans="1:75" s="123" customFormat="1" hidden="1" outlineLevel="1" x14ac:dyDescent="0.5">
      <c r="A1149" s="464" t="s">
        <v>1135</v>
      </c>
      <c r="B1149" s="118"/>
      <c r="C1149" s="716"/>
      <c r="D1149" s="716"/>
      <c r="E1149" s="716"/>
      <c r="F1149" s="716"/>
      <c r="G1149" s="715"/>
      <c r="H1149" s="715"/>
      <c r="I1149" s="715"/>
      <c r="J1149" s="715"/>
      <c r="K1149" s="716"/>
      <c r="L1149" s="715"/>
      <c r="M1149" s="715"/>
      <c r="N1149" s="715"/>
      <c r="O1149" s="715"/>
      <c r="P1149" s="716"/>
      <c r="Q1149" s="715"/>
      <c r="R1149" s="715"/>
      <c r="S1149" s="715"/>
      <c r="T1149" s="715"/>
      <c r="U1149" s="716"/>
      <c r="V1149" s="715"/>
      <c r="W1149" s="715"/>
      <c r="X1149" s="715"/>
      <c r="Y1149" s="715"/>
      <c r="Z1149" s="716"/>
      <c r="AA1149" s="715"/>
      <c r="AB1149" s="715"/>
      <c r="AC1149" s="715"/>
      <c r="AD1149" s="715"/>
      <c r="AE1149" s="716"/>
      <c r="AF1149" s="715"/>
      <c r="AG1149" s="715"/>
      <c r="AH1149" s="715"/>
      <c r="AI1149" s="714">
        <v>8.4969999999999999</v>
      </c>
      <c r="AJ1149" s="713">
        <v>8.4969999999999999</v>
      </c>
      <c r="AK1149" s="715"/>
      <c r="AL1149" s="715"/>
      <c r="AM1149" s="714">
        <v>-1.5289999999999999</v>
      </c>
      <c r="AN1149" s="715"/>
      <c r="AO1149" s="713">
        <v>-1.5289999999999999</v>
      </c>
      <c r="AP1149" s="715"/>
      <c r="AQ1149" s="715"/>
      <c r="AR1149" s="715"/>
      <c r="AS1149" s="715"/>
      <c r="AT1149" s="716"/>
      <c r="AU1149" s="715"/>
      <c r="AV1149" s="715"/>
      <c r="AW1149" s="715"/>
      <c r="AX1149" s="715"/>
      <c r="AY1149" s="716"/>
      <c r="AZ1149" s="715"/>
      <c r="BA1149" s="715"/>
      <c r="BB1149" s="715"/>
      <c r="BC1149" s="715"/>
      <c r="BD1149" s="716"/>
      <c r="BE1149" s="715"/>
      <c r="BF1149" s="715"/>
      <c r="BG1149" s="715"/>
      <c r="BH1149" s="715"/>
      <c r="BI1149" s="718"/>
      <c r="BJ1149" s="715"/>
      <c r="BK1149" s="715"/>
      <c r="BL1149" s="715"/>
      <c r="BM1149" s="715"/>
      <c r="BN1149" s="692"/>
      <c r="BO1149" s="715"/>
      <c r="BP1149" s="715"/>
      <c r="BQ1149" s="715"/>
      <c r="BR1149" s="715"/>
      <c r="BS1149" s="692"/>
      <c r="BT1149" s="692"/>
      <c r="BU1149" s="692"/>
      <c r="BV1149" s="692"/>
      <c r="BW1149" s="122"/>
    </row>
    <row r="1150" spans="1:75" s="123" customFormat="1" hidden="1" outlineLevel="1" x14ac:dyDescent="0.5">
      <c r="A1150" s="464" t="s">
        <v>1136</v>
      </c>
      <c r="B1150" s="118"/>
      <c r="C1150" s="716"/>
      <c r="D1150" s="716"/>
      <c r="E1150" s="716"/>
      <c r="F1150" s="716"/>
      <c r="G1150" s="715"/>
      <c r="H1150" s="715"/>
      <c r="I1150" s="715"/>
      <c r="J1150" s="715"/>
      <c r="K1150" s="716"/>
      <c r="L1150" s="715"/>
      <c r="M1150" s="715"/>
      <c r="N1150" s="715"/>
      <c r="O1150" s="715"/>
      <c r="P1150" s="716"/>
      <c r="Q1150" s="715"/>
      <c r="R1150" s="715"/>
      <c r="S1150" s="715"/>
      <c r="T1150" s="715"/>
      <c r="U1150" s="716"/>
      <c r="V1150" s="715"/>
      <c r="W1150" s="715"/>
      <c r="X1150" s="715"/>
      <c r="Y1150" s="715"/>
      <c r="Z1150" s="716"/>
      <c r="AA1150" s="715"/>
      <c r="AB1150" s="715"/>
      <c r="AC1150" s="715"/>
      <c r="AD1150" s="715"/>
      <c r="AE1150" s="716"/>
      <c r="AF1150" s="715"/>
      <c r="AG1150" s="715"/>
      <c r="AH1150" s="715"/>
      <c r="AI1150" s="714">
        <v>1.196</v>
      </c>
      <c r="AJ1150" s="713">
        <v>1.196</v>
      </c>
      <c r="AK1150" s="714">
        <v>0.48299999999999998</v>
      </c>
      <c r="AL1150" s="714">
        <v>0.629</v>
      </c>
      <c r="AM1150" s="714">
        <v>1.0309999999999999</v>
      </c>
      <c r="AN1150" s="714">
        <v>13.507999999999999</v>
      </c>
      <c r="AO1150" s="713">
        <v>15.651</v>
      </c>
      <c r="AP1150" s="714">
        <v>7.133</v>
      </c>
      <c r="AQ1150" s="715"/>
      <c r="AR1150" s="714">
        <v>0.752</v>
      </c>
      <c r="AS1150" s="714">
        <v>0.95</v>
      </c>
      <c r="AT1150" s="713">
        <v>8.8350000000000009</v>
      </c>
      <c r="AU1150" s="715"/>
      <c r="AV1150" s="714">
        <v>7.3540000000000001</v>
      </c>
      <c r="AW1150" s="715"/>
      <c r="AX1150" s="714">
        <v>2.2759999999999998</v>
      </c>
      <c r="AY1150" s="713">
        <v>9.6300000000000008</v>
      </c>
      <c r="AZ1150" s="714">
        <v>5.923</v>
      </c>
      <c r="BA1150" s="714">
        <v>2.2309999999999999</v>
      </c>
      <c r="BB1150" s="714">
        <v>10.926</v>
      </c>
      <c r="BC1150" s="714">
        <v>5.1059999999999999</v>
      </c>
      <c r="BD1150" s="713">
        <v>24.186</v>
      </c>
      <c r="BE1150" s="715"/>
      <c r="BF1150" s="715"/>
      <c r="BG1150" s="714">
        <v>3.5310000000000001</v>
      </c>
      <c r="BH1150" s="715"/>
      <c r="BI1150" s="717">
        <v>3.5310000000000001</v>
      </c>
      <c r="BJ1150" s="715"/>
      <c r="BK1150" s="715"/>
      <c r="BL1150" s="715"/>
      <c r="BM1150" s="715"/>
      <c r="BN1150" s="692"/>
      <c r="BO1150" s="715"/>
      <c r="BP1150" s="715"/>
      <c r="BQ1150" s="715"/>
      <c r="BR1150" s="715"/>
      <c r="BS1150" s="692"/>
      <c r="BT1150" s="692"/>
      <c r="BU1150" s="692"/>
      <c r="BV1150" s="692"/>
      <c r="BW1150" s="122"/>
    </row>
    <row r="1151" spans="1:75" s="123" customFormat="1" hidden="1" outlineLevel="1" x14ac:dyDescent="0.5">
      <c r="A1151" s="464" t="s">
        <v>1081</v>
      </c>
      <c r="B1151" s="118"/>
      <c r="C1151" s="716"/>
      <c r="D1151" s="716"/>
      <c r="E1151" s="716"/>
      <c r="F1151" s="716"/>
      <c r="G1151" s="715"/>
      <c r="H1151" s="715"/>
      <c r="I1151" s="715"/>
      <c r="J1151" s="715"/>
      <c r="K1151" s="716"/>
      <c r="L1151" s="715"/>
      <c r="M1151" s="715"/>
      <c r="N1151" s="715"/>
      <c r="O1151" s="715"/>
      <c r="P1151" s="716"/>
      <c r="Q1151" s="715"/>
      <c r="R1151" s="715"/>
      <c r="S1151" s="715"/>
      <c r="T1151" s="715"/>
      <c r="U1151" s="716"/>
      <c r="V1151" s="715"/>
      <c r="W1151" s="715"/>
      <c r="X1151" s="715"/>
      <c r="Y1151" s="715"/>
      <c r="Z1151" s="716"/>
      <c r="AA1151" s="714">
        <v>1.38</v>
      </c>
      <c r="AB1151" s="714">
        <v>0.48</v>
      </c>
      <c r="AC1151" s="714">
        <v>0.248</v>
      </c>
      <c r="AD1151" s="714">
        <v>0.41899999999999998</v>
      </c>
      <c r="AE1151" s="713">
        <v>2.5270000000000001</v>
      </c>
      <c r="AF1151" s="714">
        <v>0.19</v>
      </c>
      <c r="AG1151" s="714">
        <v>0.19</v>
      </c>
      <c r="AH1151" s="715"/>
      <c r="AI1151" s="715"/>
      <c r="AJ1151" s="713">
        <v>0.38</v>
      </c>
      <c r="AK1151" s="715"/>
      <c r="AL1151" s="715"/>
      <c r="AM1151" s="715"/>
      <c r="AN1151" s="715"/>
      <c r="AO1151" s="716"/>
      <c r="AP1151" s="715"/>
      <c r="AQ1151" s="715"/>
      <c r="AR1151" s="715"/>
      <c r="AS1151" s="715"/>
      <c r="AT1151" s="716"/>
      <c r="AU1151" s="715"/>
      <c r="AV1151" s="715"/>
      <c r="AW1151" s="715"/>
      <c r="AX1151" s="715"/>
      <c r="AY1151" s="716"/>
      <c r="AZ1151" s="715"/>
      <c r="BA1151" s="715"/>
      <c r="BB1151" s="715"/>
      <c r="BC1151" s="715"/>
      <c r="BD1151" s="716"/>
      <c r="BE1151" s="715"/>
      <c r="BF1151" s="715"/>
      <c r="BG1151" s="715"/>
      <c r="BH1151" s="715"/>
      <c r="BI1151" s="718"/>
      <c r="BJ1151" s="715"/>
      <c r="BK1151" s="715"/>
      <c r="BL1151" s="715"/>
      <c r="BM1151" s="715"/>
      <c r="BN1151" s="692"/>
      <c r="BO1151" s="715"/>
      <c r="BP1151" s="715"/>
      <c r="BQ1151" s="715"/>
      <c r="BR1151" s="715"/>
      <c r="BS1151" s="692"/>
      <c r="BT1151" s="692"/>
      <c r="BU1151" s="692"/>
      <c r="BV1151" s="692"/>
      <c r="BW1151" s="122"/>
    </row>
    <row r="1152" spans="1:75" s="123" customFormat="1" hidden="1" outlineLevel="1" x14ac:dyDescent="0.5">
      <c r="A1152" s="464" t="s">
        <v>1137</v>
      </c>
      <c r="B1152" s="118"/>
      <c r="C1152" s="713">
        <v>-12.78</v>
      </c>
      <c r="D1152" s="716"/>
      <c r="E1152" s="716"/>
      <c r="F1152" s="716"/>
      <c r="G1152" s="715"/>
      <c r="H1152" s="715"/>
      <c r="I1152" s="715"/>
      <c r="J1152" s="715"/>
      <c r="K1152" s="716"/>
      <c r="L1152" s="715"/>
      <c r="M1152" s="715"/>
      <c r="N1152" s="715"/>
      <c r="O1152" s="715"/>
      <c r="P1152" s="716"/>
      <c r="Q1152" s="715"/>
      <c r="R1152" s="715"/>
      <c r="S1152" s="715"/>
      <c r="T1152" s="715"/>
      <c r="U1152" s="716"/>
      <c r="V1152" s="715"/>
      <c r="W1152" s="715"/>
      <c r="X1152" s="715"/>
      <c r="Y1152" s="715"/>
      <c r="Z1152" s="716"/>
      <c r="AA1152" s="715"/>
      <c r="AB1152" s="715"/>
      <c r="AC1152" s="715"/>
      <c r="AD1152" s="715"/>
      <c r="AE1152" s="716"/>
      <c r="AF1152" s="715"/>
      <c r="AG1152" s="715"/>
      <c r="AH1152" s="715"/>
      <c r="AI1152" s="715"/>
      <c r="AJ1152" s="716"/>
      <c r="AK1152" s="715"/>
      <c r="AL1152" s="715"/>
      <c r="AM1152" s="715"/>
      <c r="AN1152" s="715"/>
      <c r="AO1152" s="716"/>
      <c r="AP1152" s="715"/>
      <c r="AQ1152" s="715"/>
      <c r="AR1152" s="715"/>
      <c r="AS1152" s="715"/>
      <c r="AT1152" s="716"/>
      <c r="AU1152" s="715"/>
      <c r="AV1152" s="715"/>
      <c r="AW1152" s="715"/>
      <c r="AX1152" s="715"/>
      <c r="AY1152" s="716"/>
      <c r="AZ1152" s="715"/>
      <c r="BA1152" s="715"/>
      <c r="BB1152" s="715"/>
      <c r="BC1152" s="715"/>
      <c r="BD1152" s="716"/>
      <c r="BE1152" s="715"/>
      <c r="BF1152" s="715"/>
      <c r="BG1152" s="715"/>
      <c r="BH1152" s="715"/>
      <c r="BI1152" s="718"/>
      <c r="BJ1152" s="715"/>
      <c r="BK1152" s="715"/>
      <c r="BL1152" s="715"/>
      <c r="BM1152" s="715"/>
      <c r="BN1152" s="692"/>
      <c r="BO1152" s="715"/>
      <c r="BP1152" s="715"/>
      <c r="BQ1152" s="715"/>
      <c r="BR1152" s="715"/>
      <c r="BS1152" s="692"/>
      <c r="BT1152" s="692"/>
      <c r="BU1152" s="692"/>
      <c r="BV1152" s="692"/>
      <c r="BW1152" s="122"/>
    </row>
    <row r="1153" spans="1:75" s="123" customFormat="1" hidden="1" outlineLevel="1" x14ac:dyDescent="0.5">
      <c r="A1153" s="464" t="s">
        <v>1100</v>
      </c>
      <c r="B1153" s="118"/>
      <c r="C1153" s="716"/>
      <c r="D1153" s="716"/>
      <c r="E1153" s="716"/>
      <c r="F1153" s="716"/>
      <c r="G1153" s="715"/>
      <c r="H1153" s="715"/>
      <c r="I1153" s="715"/>
      <c r="J1153" s="715"/>
      <c r="K1153" s="716"/>
      <c r="L1153" s="715"/>
      <c r="M1153" s="715"/>
      <c r="N1153" s="715"/>
      <c r="O1153" s="715"/>
      <c r="P1153" s="716"/>
      <c r="Q1153" s="715"/>
      <c r="R1153" s="715"/>
      <c r="S1153" s="715"/>
      <c r="T1153" s="715"/>
      <c r="U1153" s="716"/>
      <c r="V1153" s="715"/>
      <c r="W1153" s="715"/>
      <c r="X1153" s="715"/>
      <c r="Y1153" s="715"/>
      <c r="Z1153" s="716"/>
      <c r="AA1153" s="715"/>
      <c r="AB1153" s="715"/>
      <c r="AC1153" s="715"/>
      <c r="AD1153" s="715"/>
      <c r="AE1153" s="716"/>
      <c r="AF1153" s="715"/>
      <c r="AG1153" s="715"/>
      <c r="AH1153" s="715"/>
      <c r="AI1153" s="715"/>
      <c r="AJ1153" s="716"/>
      <c r="AK1153" s="715"/>
      <c r="AL1153" s="715"/>
      <c r="AM1153" s="715"/>
      <c r="AN1153" s="715"/>
      <c r="AO1153" s="716"/>
      <c r="AP1153" s="715"/>
      <c r="AQ1153" s="714">
        <v>9.3520000000000003</v>
      </c>
      <c r="AR1153" s="715"/>
      <c r="AS1153" s="715"/>
      <c r="AT1153" s="713">
        <v>9.3520000000000003</v>
      </c>
      <c r="AU1153" s="715"/>
      <c r="AV1153" s="715"/>
      <c r="AW1153" s="715"/>
      <c r="AX1153" s="715"/>
      <c r="AY1153" s="716"/>
      <c r="AZ1153" s="715"/>
      <c r="BA1153" s="715"/>
      <c r="BB1153" s="715"/>
      <c r="BC1153" s="715"/>
      <c r="BD1153" s="716"/>
      <c r="BE1153" s="715"/>
      <c r="BF1153" s="715"/>
      <c r="BG1153" s="715"/>
      <c r="BH1153" s="715"/>
      <c r="BI1153" s="718"/>
      <c r="BJ1153" s="715"/>
      <c r="BK1153" s="715"/>
      <c r="BL1153" s="715"/>
      <c r="BM1153" s="715"/>
      <c r="BN1153" s="692"/>
      <c r="BO1153" s="715"/>
      <c r="BP1153" s="715"/>
      <c r="BQ1153" s="715"/>
      <c r="BR1153" s="715"/>
      <c r="BS1153" s="692"/>
      <c r="BT1153" s="692"/>
      <c r="BU1153" s="692"/>
      <c r="BV1153" s="692"/>
      <c r="BW1153" s="122"/>
    </row>
    <row r="1154" spans="1:75" s="123" customFormat="1" hidden="1" outlineLevel="1" x14ac:dyDescent="0.5">
      <c r="A1154" s="464" t="s">
        <v>1096</v>
      </c>
      <c r="B1154" s="118"/>
      <c r="C1154" s="716"/>
      <c r="D1154" s="716"/>
      <c r="E1154" s="716"/>
      <c r="F1154" s="716"/>
      <c r="G1154" s="715"/>
      <c r="H1154" s="715"/>
      <c r="I1154" s="715"/>
      <c r="J1154" s="715"/>
      <c r="K1154" s="716"/>
      <c r="L1154" s="715"/>
      <c r="M1154" s="715"/>
      <c r="N1154" s="715"/>
      <c r="O1154" s="715"/>
      <c r="P1154" s="716"/>
      <c r="Q1154" s="715"/>
      <c r="R1154" s="715"/>
      <c r="S1154" s="715"/>
      <c r="T1154" s="715"/>
      <c r="U1154" s="716"/>
      <c r="V1154" s="715"/>
      <c r="W1154" s="715"/>
      <c r="X1154" s="715"/>
      <c r="Y1154" s="715"/>
      <c r="Z1154" s="716"/>
      <c r="AA1154" s="715"/>
      <c r="AB1154" s="715"/>
      <c r="AC1154" s="714">
        <v>1.0289999999999999</v>
      </c>
      <c r="AD1154" s="714">
        <v>-0.08</v>
      </c>
      <c r="AE1154" s="713">
        <v>0.94899999999999995</v>
      </c>
      <c r="AF1154" s="715"/>
      <c r="AG1154" s="714">
        <v>1.7210000000000001</v>
      </c>
      <c r="AH1154" s="714">
        <v>7.5640000000000001</v>
      </c>
      <c r="AI1154" s="714">
        <v>0.69199999999999995</v>
      </c>
      <c r="AJ1154" s="713">
        <v>9.9770000000000003</v>
      </c>
      <c r="AK1154" s="715"/>
      <c r="AL1154" s="715"/>
      <c r="AM1154" s="714">
        <v>1.075</v>
      </c>
      <c r="AN1154" s="715"/>
      <c r="AO1154" s="713">
        <v>1.075</v>
      </c>
      <c r="AP1154" s="714">
        <v>4.1429999999999998</v>
      </c>
      <c r="AQ1154" s="714">
        <v>2.8839999999999999</v>
      </c>
      <c r="AR1154" s="715"/>
      <c r="AS1154" s="715"/>
      <c r="AT1154" s="713">
        <v>7.0270000000000001</v>
      </c>
      <c r="AU1154" s="715"/>
      <c r="AV1154" s="714">
        <v>0.44900000000000001</v>
      </c>
      <c r="AW1154" s="715"/>
      <c r="AX1154" s="715"/>
      <c r="AY1154" s="713">
        <v>0.44900000000000001</v>
      </c>
      <c r="AZ1154" s="715"/>
      <c r="BA1154" s="715"/>
      <c r="BB1154" s="715"/>
      <c r="BC1154" s="715"/>
      <c r="BD1154" s="716"/>
      <c r="BE1154" s="714">
        <v>7.6210000000000004</v>
      </c>
      <c r="BF1154" s="715"/>
      <c r="BG1154" s="715"/>
      <c r="BH1154" s="715"/>
      <c r="BI1154" s="717">
        <v>7.6210000000000004</v>
      </c>
      <c r="BJ1154" s="715"/>
      <c r="BK1154" s="715"/>
      <c r="BL1154" s="715"/>
      <c r="BM1154" s="715"/>
      <c r="BN1154" s="692"/>
      <c r="BO1154" s="715"/>
      <c r="BP1154" s="715"/>
      <c r="BQ1154" s="715"/>
      <c r="BR1154" s="715"/>
      <c r="BS1154" s="692"/>
      <c r="BT1154" s="692"/>
      <c r="BU1154" s="692"/>
      <c r="BV1154" s="692"/>
      <c r="BW1154" s="122"/>
    </row>
    <row r="1155" spans="1:75" s="123" customFormat="1" hidden="1" outlineLevel="1" x14ac:dyDescent="0.5">
      <c r="A1155" s="464" t="s">
        <v>1101</v>
      </c>
      <c r="B1155" s="118"/>
      <c r="C1155" s="716"/>
      <c r="D1155" s="716"/>
      <c r="E1155" s="716"/>
      <c r="F1155" s="716"/>
      <c r="G1155" s="715"/>
      <c r="H1155" s="715"/>
      <c r="I1155" s="715"/>
      <c r="J1155" s="715"/>
      <c r="K1155" s="716"/>
      <c r="L1155" s="715"/>
      <c r="M1155" s="715"/>
      <c r="N1155" s="715"/>
      <c r="O1155" s="715"/>
      <c r="P1155" s="716"/>
      <c r="Q1155" s="715"/>
      <c r="R1155" s="715"/>
      <c r="S1155" s="715"/>
      <c r="T1155" s="715"/>
      <c r="U1155" s="716"/>
      <c r="V1155" s="715"/>
      <c r="W1155" s="715"/>
      <c r="X1155" s="715"/>
      <c r="Y1155" s="715"/>
      <c r="Z1155" s="716"/>
      <c r="AA1155" s="715"/>
      <c r="AB1155" s="715"/>
      <c r="AC1155" s="715"/>
      <c r="AD1155" s="714">
        <v>4.4169999999999998</v>
      </c>
      <c r="AE1155" s="713">
        <v>4.4169999999999998</v>
      </c>
      <c r="AF1155" s="715"/>
      <c r="AG1155" s="715"/>
      <c r="AH1155" s="714">
        <v>3.411</v>
      </c>
      <c r="AI1155" s="715"/>
      <c r="AJ1155" s="713">
        <v>3.411</v>
      </c>
      <c r="AK1155" s="715"/>
      <c r="AL1155" s="715"/>
      <c r="AM1155" s="715"/>
      <c r="AN1155" s="715"/>
      <c r="AO1155" s="716"/>
      <c r="AP1155" s="715"/>
      <c r="AQ1155" s="715"/>
      <c r="AR1155" s="715"/>
      <c r="AS1155" s="715"/>
      <c r="AT1155" s="716"/>
      <c r="AU1155" s="715"/>
      <c r="AV1155" s="715"/>
      <c r="AW1155" s="715"/>
      <c r="AX1155" s="715"/>
      <c r="AY1155" s="716"/>
      <c r="AZ1155" s="715"/>
      <c r="BA1155" s="715"/>
      <c r="BB1155" s="715"/>
      <c r="BC1155" s="715"/>
      <c r="BD1155" s="716"/>
      <c r="BE1155" s="715"/>
      <c r="BF1155" s="715"/>
      <c r="BG1155" s="715"/>
      <c r="BH1155" s="715"/>
      <c r="BI1155" s="718"/>
      <c r="BJ1155" s="715"/>
      <c r="BK1155" s="715"/>
      <c r="BL1155" s="715"/>
      <c r="BM1155" s="715"/>
      <c r="BN1155" s="692"/>
      <c r="BO1155" s="715"/>
      <c r="BP1155" s="715"/>
      <c r="BQ1155" s="715"/>
      <c r="BR1155" s="715"/>
      <c r="BS1155" s="692"/>
      <c r="BT1155" s="692"/>
      <c r="BU1155" s="692"/>
      <c r="BV1155" s="692"/>
      <c r="BW1155" s="122"/>
    </row>
    <row r="1156" spans="1:75" s="123" customFormat="1" hidden="1" outlineLevel="1" x14ac:dyDescent="0.5">
      <c r="A1156" s="464" t="s">
        <v>1103</v>
      </c>
      <c r="B1156" s="118"/>
      <c r="C1156" s="716"/>
      <c r="D1156" s="716"/>
      <c r="E1156" s="716"/>
      <c r="F1156" s="716"/>
      <c r="G1156" s="715"/>
      <c r="H1156" s="715"/>
      <c r="I1156" s="715"/>
      <c r="J1156" s="715"/>
      <c r="K1156" s="716"/>
      <c r="L1156" s="715"/>
      <c r="M1156" s="715"/>
      <c r="N1156" s="715"/>
      <c r="O1156" s="715"/>
      <c r="P1156" s="716"/>
      <c r="Q1156" s="715"/>
      <c r="R1156" s="715"/>
      <c r="S1156" s="715"/>
      <c r="T1156" s="715"/>
      <c r="U1156" s="716"/>
      <c r="V1156" s="715"/>
      <c r="W1156" s="715"/>
      <c r="X1156" s="715"/>
      <c r="Y1156" s="715"/>
      <c r="Z1156" s="716"/>
      <c r="AA1156" s="715"/>
      <c r="AB1156" s="715"/>
      <c r="AC1156" s="715"/>
      <c r="AD1156" s="715"/>
      <c r="AE1156" s="716"/>
      <c r="AF1156" s="714">
        <v>1.915</v>
      </c>
      <c r="AG1156" s="714">
        <v>-7.2039999999999997</v>
      </c>
      <c r="AH1156" s="715"/>
      <c r="AI1156" s="715"/>
      <c r="AJ1156" s="713">
        <v>-5.2889999999999997</v>
      </c>
      <c r="AK1156" s="715"/>
      <c r="AL1156" s="714">
        <v>-1.1930000000000001</v>
      </c>
      <c r="AM1156" s="715"/>
      <c r="AN1156" s="715"/>
      <c r="AO1156" s="713">
        <v>-1.1930000000000001</v>
      </c>
      <c r="AP1156" s="715"/>
      <c r="AQ1156" s="715"/>
      <c r="AR1156" s="715"/>
      <c r="AS1156" s="715"/>
      <c r="AT1156" s="716"/>
      <c r="AU1156" s="715"/>
      <c r="AV1156" s="715"/>
      <c r="AW1156" s="715"/>
      <c r="AX1156" s="715"/>
      <c r="AY1156" s="716"/>
      <c r="AZ1156" s="715"/>
      <c r="BA1156" s="715"/>
      <c r="BB1156" s="714">
        <v>-4.1879999999999997</v>
      </c>
      <c r="BC1156" s="715"/>
      <c r="BD1156" s="713">
        <v>-4.1879999999999997</v>
      </c>
      <c r="BE1156" s="715"/>
      <c r="BF1156" s="714">
        <v>8</v>
      </c>
      <c r="BG1156" s="715"/>
      <c r="BH1156" s="714">
        <v>0.5</v>
      </c>
      <c r="BI1156" s="717">
        <v>8.5</v>
      </c>
      <c r="BJ1156" s="715"/>
      <c r="BK1156" s="715"/>
      <c r="BL1156" s="715"/>
      <c r="BM1156" s="715"/>
      <c r="BN1156" s="692"/>
      <c r="BO1156" s="715"/>
      <c r="BP1156" s="715"/>
      <c r="BQ1156" s="715"/>
      <c r="BR1156" s="715"/>
      <c r="BS1156" s="692"/>
      <c r="BT1156" s="692"/>
      <c r="BU1156" s="692"/>
      <c r="BV1156" s="692"/>
      <c r="BW1156" s="122"/>
    </row>
    <row r="1157" spans="1:75" s="123" customFormat="1" hidden="1" outlineLevel="1" x14ac:dyDescent="0.5">
      <c r="A1157" s="464" t="s">
        <v>1114</v>
      </c>
      <c r="B1157" s="118"/>
      <c r="C1157" s="716"/>
      <c r="D1157" s="716"/>
      <c r="E1157" s="716"/>
      <c r="F1157" s="716"/>
      <c r="G1157" s="715"/>
      <c r="H1157" s="715"/>
      <c r="I1157" s="715"/>
      <c r="J1157" s="715"/>
      <c r="K1157" s="716"/>
      <c r="L1157" s="715"/>
      <c r="M1157" s="715"/>
      <c r="N1157" s="715"/>
      <c r="O1157" s="715"/>
      <c r="P1157" s="716"/>
      <c r="Q1157" s="715"/>
      <c r="R1157" s="715"/>
      <c r="S1157" s="715"/>
      <c r="T1157" s="715"/>
      <c r="U1157" s="716"/>
      <c r="V1157" s="715"/>
      <c r="W1157" s="715"/>
      <c r="X1157" s="715"/>
      <c r="Y1157" s="715"/>
      <c r="Z1157" s="716"/>
      <c r="AA1157" s="715"/>
      <c r="AB1157" s="715"/>
      <c r="AC1157" s="715"/>
      <c r="AD1157" s="714">
        <v>33.700000000000003</v>
      </c>
      <c r="AE1157" s="713">
        <v>33.700000000000003</v>
      </c>
      <c r="AF1157" s="715"/>
      <c r="AG1157" s="715"/>
      <c r="AH1157" s="715"/>
      <c r="AI1157" s="714">
        <v>32.085999999999999</v>
      </c>
      <c r="AJ1157" s="713">
        <v>32.085999999999999</v>
      </c>
      <c r="AK1157" s="715"/>
      <c r="AL1157" s="715"/>
      <c r="AM1157" s="715"/>
      <c r="AN1157" s="715"/>
      <c r="AO1157" s="716"/>
      <c r="AP1157" s="714">
        <v>20.459</v>
      </c>
      <c r="AQ1157" s="715"/>
      <c r="AR1157" s="715"/>
      <c r="AS1157" s="715"/>
      <c r="AT1157" s="713">
        <v>20.459</v>
      </c>
      <c r="AU1157" s="715"/>
      <c r="AV1157" s="715"/>
      <c r="AW1157" s="715"/>
      <c r="AX1157" s="715"/>
      <c r="AY1157" s="716"/>
      <c r="AZ1157" s="715"/>
      <c r="BA1157" s="715"/>
      <c r="BB1157" s="715"/>
      <c r="BC1157" s="715"/>
      <c r="BD1157" s="716"/>
      <c r="BE1157" s="715"/>
      <c r="BF1157" s="715"/>
      <c r="BG1157" s="715"/>
      <c r="BH1157" s="715"/>
      <c r="BI1157" s="718"/>
      <c r="BJ1157" s="715"/>
      <c r="BK1157" s="715"/>
      <c r="BL1157" s="715"/>
      <c r="BM1157" s="715"/>
      <c r="BN1157" s="692"/>
      <c r="BO1157" s="715"/>
      <c r="BP1157" s="715"/>
      <c r="BQ1157" s="715"/>
      <c r="BR1157" s="715"/>
      <c r="BS1157" s="692"/>
      <c r="BT1157" s="692"/>
      <c r="BU1157" s="692"/>
      <c r="BV1157" s="692"/>
      <c r="BW1157" s="122"/>
    </row>
    <row r="1158" spans="1:75" s="123" customFormat="1" hidden="1" outlineLevel="1" x14ac:dyDescent="0.5">
      <c r="A1158" s="464" t="s">
        <v>1064</v>
      </c>
      <c r="B1158" s="118"/>
      <c r="C1158" s="186"/>
      <c r="D1158" s="186"/>
      <c r="E1158" s="186"/>
      <c r="F1158" s="186"/>
      <c r="G1158" s="187"/>
      <c r="H1158" s="693"/>
      <c r="I1158" s="187"/>
      <c r="J1158" s="187"/>
      <c r="K1158" s="186"/>
      <c r="L1158" s="187"/>
      <c r="M1158" s="187"/>
      <c r="N1158" s="187"/>
      <c r="O1158" s="187"/>
      <c r="P1158" s="186"/>
      <c r="Q1158" s="187"/>
      <c r="R1158" s="693"/>
      <c r="S1158" s="693"/>
      <c r="T1158" s="693"/>
      <c r="U1158" s="186"/>
      <c r="V1158" s="693"/>
      <c r="W1158" s="187"/>
      <c r="X1158" s="693"/>
      <c r="Y1158" s="187"/>
      <c r="Z1158" s="186"/>
      <c r="AA1158" s="187"/>
      <c r="AB1158" s="187"/>
      <c r="AC1158" s="694">
        <v>4.88</v>
      </c>
      <c r="AD1158" s="187"/>
      <c r="AE1158" s="393">
        <v>4.88</v>
      </c>
      <c r="AF1158" s="187"/>
      <c r="AG1158" s="394">
        <v>0.91700000000000004</v>
      </c>
      <c r="AH1158" s="693"/>
      <c r="AI1158" s="187"/>
      <c r="AJ1158" s="393">
        <v>0.91700000000000004</v>
      </c>
      <c r="AK1158" s="187"/>
      <c r="AL1158" s="714">
        <v>-0.95399999999999996</v>
      </c>
      <c r="AM1158" s="694">
        <v>6.8570000000000002</v>
      </c>
      <c r="AN1158" s="394">
        <v>0.56899999999999995</v>
      </c>
      <c r="AO1158" s="393">
        <v>6.4720000000000004</v>
      </c>
      <c r="AP1158" s="187"/>
      <c r="AQ1158" s="714">
        <v>-0.152</v>
      </c>
      <c r="AR1158" s="693"/>
      <c r="AS1158" s="187"/>
      <c r="AT1158" s="393">
        <v>-0.152</v>
      </c>
      <c r="AU1158" s="394">
        <v>0.105</v>
      </c>
      <c r="AV1158" s="714">
        <v>3.1659999999999999</v>
      </c>
      <c r="AW1158" s="694">
        <v>18.513000000000002</v>
      </c>
      <c r="AX1158" s="394">
        <v>7.3540000000000001</v>
      </c>
      <c r="AY1158" s="393">
        <v>29.138000000000002</v>
      </c>
      <c r="AZ1158" s="394">
        <v>146.11600000000001</v>
      </c>
      <c r="BA1158" s="714">
        <v>23.462</v>
      </c>
      <c r="BB1158" s="693"/>
      <c r="BC1158" s="187"/>
      <c r="BD1158" s="393">
        <v>169.578</v>
      </c>
      <c r="BE1158" s="187"/>
      <c r="BF1158" s="715"/>
      <c r="BG1158" s="693"/>
      <c r="BH1158" s="187"/>
      <c r="BI1158" s="188"/>
      <c r="BJ1158" s="187"/>
      <c r="BK1158" s="187"/>
      <c r="BL1158" s="187"/>
      <c r="BM1158" s="187"/>
      <c r="BN1158" s="692"/>
      <c r="BO1158" s="187"/>
      <c r="BP1158" s="187"/>
      <c r="BQ1158" s="187"/>
      <c r="BR1158" s="187"/>
      <c r="BS1158" s="692"/>
      <c r="BT1158" s="692"/>
      <c r="BU1158" s="692"/>
      <c r="BV1158" s="692"/>
      <c r="BW1158" s="122"/>
    </row>
    <row r="1159" spans="1:75" s="123" customFormat="1" hidden="1" outlineLevel="1" x14ac:dyDescent="0.5">
      <c r="A1159" s="464" t="s">
        <v>1094</v>
      </c>
      <c r="B1159" s="118"/>
      <c r="C1159" s="713">
        <v>2.6040000000000001</v>
      </c>
      <c r="D1159" s="713">
        <v>0.35199999999999998</v>
      </c>
      <c r="E1159" s="713">
        <v>1.58</v>
      </c>
      <c r="F1159" s="716"/>
      <c r="G1159" s="715"/>
      <c r="H1159" s="715"/>
      <c r="I1159" s="715"/>
      <c r="J1159" s="715"/>
      <c r="K1159" s="716"/>
      <c r="L1159" s="715"/>
      <c r="M1159" s="715"/>
      <c r="N1159" s="715"/>
      <c r="O1159" s="715"/>
      <c r="P1159" s="716"/>
      <c r="Q1159" s="715"/>
      <c r="R1159" s="715"/>
      <c r="S1159" s="715"/>
      <c r="T1159" s="715"/>
      <c r="U1159" s="716"/>
      <c r="V1159" s="715"/>
      <c r="W1159" s="715"/>
      <c r="X1159" s="715"/>
      <c r="Y1159" s="715"/>
      <c r="Z1159" s="716"/>
      <c r="AA1159" s="715"/>
      <c r="AB1159" s="715"/>
      <c r="AC1159" s="715"/>
      <c r="AD1159" s="715"/>
      <c r="AE1159" s="716"/>
      <c r="AF1159" s="715"/>
      <c r="AG1159" s="715"/>
      <c r="AH1159" s="715"/>
      <c r="AI1159" s="715"/>
      <c r="AJ1159" s="716"/>
      <c r="AK1159" s="715"/>
      <c r="AL1159" s="715"/>
      <c r="AM1159" s="715"/>
      <c r="AN1159" s="715"/>
      <c r="AO1159" s="716"/>
      <c r="AP1159" s="715"/>
      <c r="AQ1159" s="715"/>
      <c r="AR1159" s="715"/>
      <c r="AS1159" s="715"/>
      <c r="AT1159" s="716"/>
      <c r="AU1159" s="715"/>
      <c r="AV1159" s="715"/>
      <c r="AW1159" s="715"/>
      <c r="AX1159" s="715"/>
      <c r="AY1159" s="716"/>
      <c r="AZ1159" s="715"/>
      <c r="BA1159" s="715"/>
      <c r="BB1159" s="715"/>
      <c r="BC1159" s="715"/>
      <c r="BD1159" s="716"/>
      <c r="BE1159" s="715"/>
      <c r="BF1159" s="715"/>
      <c r="BG1159" s="715"/>
      <c r="BH1159" s="715"/>
      <c r="BI1159" s="718"/>
      <c r="BJ1159" s="715"/>
      <c r="BK1159" s="715"/>
      <c r="BL1159" s="715"/>
      <c r="BM1159" s="715"/>
      <c r="BN1159" s="692"/>
      <c r="BO1159" s="715"/>
      <c r="BP1159" s="715"/>
      <c r="BQ1159" s="715"/>
      <c r="BR1159" s="715"/>
      <c r="BS1159" s="692"/>
      <c r="BT1159" s="692"/>
      <c r="BU1159" s="692"/>
      <c r="BV1159" s="692"/>
      <c r="BW1159" s="122"/>
    </row>
    <row r="1160" spans="1:75" s="123" customFormat="1" hidden="1" outlineLevel="1" x14ac:dyDescent="0.5">
      <c r="A1160" s="464" t="s">
        <v>1138</v>
      </c>
      <c r="B1160" s="118"/>
      <c r="C1160" s="713">
        <v>1.5209999999999999</v>
      </c>
      <c r="D1160" s="713">
        <v>1.7969999999999999</v>
      </c>
      <c r="E1160" s="713">
        <v>0.621</v>
      </c>
      <c r="F1160" s="716"/>
      <c r="G1160" s="715"/>
      <c r="H1160" s="715"/>
      <c r="I1160" s="715"/>
      <c r="J1160" s="715"/>
      <c r="K1160" s="716"/>
      <c r="L1160" s="715"/>
      <c r="M1160" s="715"/>
      <c r="N1160" s="715"/>
      <c r="O1160" s="715"/>
      <c r="P1160" s="716"/>
      <c r="Q1160" s="715"/>
      <c r="R1160" s="715"/>
      <c r="S1160" s="715"/>
      <c r="T1160" s="715"/>
      <c r="U1160" s="716"/>
      <c r="V1160" s="715"/>
      <c r="W1160" s="715"/>
      <c r="X1160" s="715"/>
      <c r="Y1160" s="715"/>
      <c r="Z1160" s="716"/>
      <c r="AA1160" s="715"/>
      <c r="AB1160" s="715"/>
      <c r="AC1160" s="715"/>
      <c r="AD1160" s="715"/>
      <c r="AE1160" s="716"/>
      <c r="AF1160" s="715"/>
      <c r="AG1160" s="715"/>
      <c r="AH1160" s="715"/>
      <c r="AI1160" s="715"/>
      <c r="AJ1160" s="716"/>
      <c r="AK1160" s="715"/>
      <c r="AL1160" s="715"/>
      <c r="AM1160" s="715"/>
      <c r="AN1160" s="715"/>
      <c r="AO1160" s="716"/>
      <c r="AP1160" s="715"/>
      <c r="AQ1160" s="715"/>
      <c r="AR1160" s="715"/>
      <c r="AS1160" s="715"/>
      <c r="AT1160" s="716"/>
      <c r="AU1160" s="715"/>
      <c r="AV1160" s="715"/>
      <c r="AW1160" s="715"/>
      <c r="AX1160" s="715"/>
      <c r="AY1160" s="716"/>
      <c r="AZ1160" s="715"/>
      <c r="BA1160" s="715"/>
      <c r="BB1160" s="715"/>
      <c r="BC1160" s="715"/>
      <c r="BD1160" s="716"/>
      <c r="BE1160" s="715"/>
      <c r="BF1160" s="715"/>
      <c r="BG1160" s="715"/>
      <c r="BH1160" s="715"/>
      <c r="BI1160" s="718"/>
      <c r="BJ1160" s="715"/>
      <c r="BK1160" s="715"/>
      <c r="BL1160" s="715"/>
      <c r="BM1160" s="715"/>
      <c r="BN1160" s="692"/>
      <c r="BO1160" s="715"/>
      <c r="BP1160" s="715"/>
      <c r="BQ1160" s="715"/>
      <c r="BR1160" s="715"/>
      <c r="BS1160" s="692"/>
      <c r="BT1160" s="692"/>
      <c r="BU1160" s="692"/>
      <c r="BV1160" s="692"/>
      <c r="BW1160" s="122"/>
    </row>
    <row r="1161" spans="1:75" s="123" customFormat="1" hidden="1" outlineLevel="1" x14ac:dyDescent="0.5">
      <c r="A1161" s="464" t="s">
        <v>1139</v>
      </c>
      <c r="B1161" s="118"/>
      <c r="C1161" s="713">
        <v>2.3039999999999998</v>
      </c>
      <c r="D1161" s="713">
        <v>2.1150000000000002</v>
      </c>
      <c r="E1161" s="716"/>
      <c r="F1161" s="716"/>
      <c r="G1161" s="715"/>
      <c r="H1161" s="715"/>
      <c r="I1161" s="715"/>
      <c r="J1161" s="715"/>
      <c r="K1161" s="716"/>
      <c r="L1161" s="715"/>
      <c r="M1161" s="715"/>
      <c r="N1161" s="715"/>
      <c r="O1161" s="715"/>
      <c r="P1161" s="716"/>
      <c r="Q1161" s="715"/>
      <c r="R1161" s="715"/>
      <c r="S1161" s="715"/>
      <c r="T1161" s="715"/>
      <c r="U1161" s="716"/>
      <c r="V1161" s="715"/>
      <c r="W1161" s="715"/>
      <c r="X1161" s="715"/>
      <c r="Y1161" s="715"/>
      <c r="Z1161" s="716"/>
      <c r="AA1161" s="715"/>
      <c r="AB1161" s="715"/>
      <c r="AC1161" s="715"/>
      <c r="AD1161" s="715"/>
      <c r="AE1161" s="716"/>
      <c r="AF1161" s="715"/>
      <c r="AG1161" s="715"/>
      <c r="AH1161" s="715"/>
      <c r="AI1161" s="715"/>
      <c r="AJ1161" s="716"/>
      <c r="AK1161" s="715"/>
      <c r="AL1161" s="715"/>
      <c r="AM1161" s="715"/>
      <c r="AN1161" s="715"/>
      <c r="AO1161" s="716"/>
      <c r="AP1161" s="715"/>
      <c r="AQ1161" s="715"/>
      <c r="AR1161" s="715"/>
      <c r="AS1161" s="715"/>
      <c r="AT1161" s="716"/>
      <c r="AU1161" s="715"/>
      <c r="AV1161" s="715"/>
      <c r="AW1161" s="715"/>
      <c r="AX1161" s="715"/>
      <c r="AY1161" s="716"/>
      <c r="AZ1161" s="715"/>
      <c r="BA1161" s="715"/>
      <c r="BB1161" s="715"/>
      <c r="BC1161" s="715"/>
      <c r="BD1161" s="716"/>
      <c r="BE1161" s="715"/>
      <c r="BF1161" s="715"/>
      <c r="BG1161" s="715"/>
      <c r="BH1161" s="715"/>
      <c r="BI1161" s="718"/>
      <c r="BJ1161" s="715"/>
      <c r="BK1161" s="715"/>
      <c r="BL1161" s="715"/>
      <c r="BM1161" s="715"/>
      <c r="BN1161" s="692"/>
      <c r="BO1161" s="715"/>
      <c r="BP1161" s="715"/>
      <c r="BQ1161" s="715"/>
      <c r="BR1161" s="715"/>
      <c r="BS1161" s="692"/>
      <c r="BT1161" s="692"/>
      <c r="BU1161" s="692"/>
      <c r="BV1161" s="692"/>
      <c r="BW1161" s="122"/>
    </row>
    <row r="1162" spans="1:75" s="123" customFormat="1" hidden="1" outlineLevel="1" x14ac:dyDescent="0.5">
      <c r="A1162" s="464" t="s">
        <v>1140</v>
      </c>
      <c r="B1162" s="118"/>
      <c r="C1162" s="716"/>
      <c r="D1162" s="716"/>
      <c r="E1162" s="713">
        <v>3.11</v>
      </c>
      <c r="F1162" s="713">
        <v>-0.38600000000000001</v>
      </c>
      <c r="G1162" s="715"/>
      <c r="H1162" s="715"/>
      <c r="I1162" s="715"/>
      <c r="J1162" s="715"/>
      <c r="K1162" s="716"/>
      <c r="L1162" s="715"/>
      <c r="M1162" s="715"/>
      <c r="N1162" s="715"/>
      <c r="O1162" s="715"/>
      <c r="P1162" s="716"/>
      <c r="Q1162" s="715"/>
      <c r="R1162" s="715"/>
      <c r="S1162" s="715"/>
      <c r="T1162" s="715"/>
      <c r="U1162" s="716"/>
      <c r="V1162" s="715"/>
      <c r="W1162" s="715"/>
      <c r="X1162" s="715"/>
      <c r="Y1162" s="715"/>
      <c r="Z1162" s="716"/>
      <c r="AA1162" s="715"/>
      <c r="AB1162" s="715"/>
      <c r="AC1162" s="715"/>
      <c r="AD1162" s="715"/>
      <c r="AE1162" s="716"/>
      <c r="AF1162" s="715"/>
      <c r="AG1162" s="715"/>
      <c r="AH1162" s="715"/>
      <c r="AI1162" s="715"/>
      <c r="AJ1162" s="716"/>
      <c r="AK1162" s="715"/>
      <c r="AL1162" s="715"/>
      <c r="AM1162" s="715"/>
      <c r="AN1162" s="715"/>
      <c r="AO1162" s="716"/>
      <c r="AP1162" s="715"/>
      <c r="AQ1162" s="715"/>
      <c r="AR1162" s="715"/>
      <c r="AS1162" s="715"/>
      <c r="AT1162" s="716"/>
      <c r="AU1162" s="715"/>
      <c r="AV1162" s="715"/>
      <c r="AW1162" s="715"/>
      <c r="AX1162" s="715"/>
      <c r="AY1162" s="716"/>
      <c r="AZ1162" s="715"/>
      <c r="BA1162" s="715"/>
      <c r="BB1162" s="715"/>
      <c r="BC1162" s="715"/>
      <c r="BD1162" s="716"/>
      <c r="BE1162" s="715"/>
      <c r="BF1162" s="715"/>
      <c r="BG1162" s="715"/>
      <c r="BH1162" s="715"/>
      <c r="BI1162" s="718"/>
      <c r="BJ1162" s="715"/>
      <c r="BK1162" s="715"/>
      <c r="BL1162" s="715"/>
      <c r="BM1162" s="715"/>
      <c r="BN1162" s="692"/>
      <c r="BO1162" s="715"/>
      <c r="BP1162" s="715"/>
      <c r="BQ1162" s="715"/>
      <c r="BR1162" s="715"/>
      <c r="BS1162" s="692"/>
      <c r="BT1162" s="692"/>
      <c r="BU1162" s="692"/>
      <c r="BV1162" s="692"/>
      <c r="BW1162" s="122"/>
    </row>
    <row r="1163" spans="1:75" s="123" customFormat="1" hidden="1" outlineLevel="1" x14ac:dyDescent="0.5">
      <c r="A1163" s="464" t="s">
        <v>1141</v>
      </c>
      <c r="B1163" s="118"/>
      <c r="C1163" s="716"/>
      <c r="D1163" s="716"/>
      <c r="E1163" s="716"/>
      <c r="F1163" s="713">
        <v>4.7779999999999996</v>
      </c>
      <c r="G1163" s="715"/>
      <c r="H1163" s="715"/>
      <c r="I1163" s="715"/>
      <c r="J1163" s="715"/>
      <c r="K1163" s="716"/>
      <c r="L1163" s="715"/>
      <c r="M1163" s="715"/>
      <c r="N1163" s="715"/>
      <c r="O1163" s="715"/>
      <c r="P1163" s="716"/>
      <c r="Q1163" s="715"/>
      <c r="R1163" s="715"/>
      <c r="S1163" s="715"/>
      <c r="T1163" s="715"/>
      <c r="U1163" s="716"/>
      <c r="V1163" s="715"/>
      <c r="W1163" s="715"/>
      <c r="X1163" s="715"/>
      <c r="Y1163" s="715"/>
      <c r="Z1163" s="716"/>
      <c r="AA1163" s="715"/>
      <c r="AB1163" s="715"/>
      <c r="AC1163" s="715"/>
      <c r="AD1163" s="715"/>
      <c r="AE1163" s="716"/>
      <c r="AF1163" s="715"/>
      <c r="AG1163" s="715"/>
      <c r="AH1163" s="715"/>
      <c r="AI1163" s="715"/>
      <c r="AJ1163" s="716"/>
      <c r="AK1163" s="715"/>
      <c r="AL1163" s="715"/>
      <c r="AM1163" s="715"/>
      <c r="AN1163" s="715"/>
      <c r="AO1163" s="716"/>
      <c r="AP1163" s="715"/>
      <c r="AQ1163" s="715"/>
      <c r="AR1163" s="715"/>
      <c r="AS1163" s="715"/>
      <c r="AT1163" s="716"/>
      <c r="AU1163" s="715"/>
      <c r="AV1163" s="715"/>
      <c r="AW1163" s="715"/>
      <c r="AX1163" s="715"/>
      <c r="AY1163" s="716"/>
      <c r="AZ1163" s="715"/>
      <c r="BA1163" s="715"/>
      <c r="BB1163" s="715"/>
      <c r="BC1163" s="715"/>
      <c r="BD1163" s="716"/>
      <c r="BE1163" s="715"/>
      <c r="BF1163" s="715"/>
      <c r="BG1163" s="715"/>
      <c r="BH1163" s="715"/>
      <c r="BI1163" s="718"/>
      <c r="BJ1163" s="715"/>
      <c r="BK1163" s="715"/>
      <c r="BL1163" s="715"/>
      <c r="BM1163" s="715"/>
      <c r="BN1163" s="692"/>
      <c r="BO1163" s="715"/>
      <c r="BP1163" s="715"/>
      <c r="BQ1163" s="715"/>
      <c r="BR1163" s="715"/>
      <c r="BS1163" s="692"/>
      <c r="BT1163" s="692"/>
      <c r="BU1163" s="692"/>
      <c r="BV1163" s="692"/>
      <c r="BW1163" s="122"/>
    </row>
    <row r="1164" spans="1:75" s="123" customFormat="1" hidden="1" outlineLevel="1" x14ac:dyDescent="0.5">
      <c r="A1164" s="464" t="s">
        <v>1106</v>
      </c>
      <c r="B1164" s="118"/>
      <c r="C1164" s="716"/>
      <c r="D1164" s="716"/>
      <c r="E1164" s="716"/>
      <c r="F1164" s="716"/>
      <c r="G1164" s="714">
        <v>0.76700000000000002</v>
      </c>
      <c r="H1164" s="714">
        <v>2.1280000000000001</v>
      </c>
      <c r="I1164" s="715"/>
      <c r="J1164" s="715"/>
      <c r="K1164" s="713">
        <v>2.895</v>
      </c>
      <c r="L1164" s="715"/>
      <c r="M1164" s="715"/>
      <c r="N1164" s="715"/>
      <c r="O1164" s="715"/>
      <c r="P1164" s="716"/>
      <c r="Q1164" s="715"/>
      <c r="R1164" s="715"/>
      <c r="S1164" s="715"/>
      <c r="T1164" s="715"/>
      <c r="U1164" s="716"/>
      <c r="V1164" s="715"/>
      <c r="W1164" s="715"/>
      <c r="X1164" s="715"/>
      <c r="Y1164" s="715"/>
      <c r="Z1164" s="716"/>
      <c r="AA1164" s="715"/>
      <c r="AB1164" s="715"/>
      <c r="AC1164" s="715"/>
      <c r="AD1164" s="715"/>
      <c r="AE1164" s="716"/>
      <c r="AF1164" s="715"/>
      <c r="AG1164" s="715"/>
      <c r="AH1164" s="715"/>
      <c r="AI1164" s="715"/>
      <c r="AJ1164" s="716"/>
      <c r="AK1164" s="715"/>
      <c r="AL1164" s="715"/>
      <c r="AM1164" s="715"/>
      <c r="AN1164" s="715"/>
      <c r="AO1164" s="716"/>
      <c r="AP1164" s="715"/>
      <c r="AQ1164" s="715"/>
      <c r="AR1164" s="715"/>
      <c r="AS1164" s="715"/>
      <c r="AT1164" s="716"/>
      <c r="AU1164" s="715"/>
      <c r="AV1164" s="715"/>
      <c r="AW1164" s="715"/>
      <c r="AX1164" s="715"/>
      <c r="AY1164" s="716"/>
      <c r="AZ1164" s="715"/>
      <c r="BA1164" s="715"/>
      <c r="BB1164" s="715"/>
      <c r="BC1164" s="715"/>
      <c r="BD1164" s="716"/>
      <c r="BE1164" s="715"/>
      <c r="BF1164" s="715"/>
      <c r="BG1164" s="715"/>
      <c r="BH1164" s="715"/>
      <c r="BI1164" s="718"/>
      <c r="BJ1164" s="715"/>
      <c r="BK1164" s="715"/>
      <c r="BL1164" s="715"/>
      <c r="BM1164" s="715"/>
      <c r="BN1164" s="692"/>
      <c r="BO1164" s="715"/>
      <c r="BP1164" s="715"/>
      <c r="BQ1164" s="715"/>
      <c r="BR1164" s="715"/>
      <c r="BS1164" s="692"/>
      <c r="BT1164" s="692"/>
      <c r="BU1164" s="692"/>
      <c r="BV1164" s="692"/>
      <c r="BW1164" s="122"/>
    </row>
    <row r="1165" spans="1:75" s="123" customFormat="1" hidden="1" outlineLevel="1" x14ac:dyDescent="0.5">
      <c r="A1165" s="464" t="s">
        <v>1142</v>
      </c>
      <c r="B1165" s="118"/>
      <c r="C1165" s="716"/>
      <c r="D1165" s="713">
        <v>2.351</v>
      </c>
      <c r="E1165" s="716"/>
      <c r="F1165" s="713">
        <v>10.755000000000001</v>
      </c>
      <c r="G1165" s="715"/>
      <c r="H1165" s="715"/>
      <c r="I1165" s="715"/>
      <c r="J1165" s="715"/>
      <c r="K1165" s="716"/>
      <c r="L1165" s="715"/>
      <c r="M1165" s="715"/>
      <c r="N1165" s="715"/>
      <c r="O1165" s="715"/>
      <c r="P1165" s="716"/>
      <c r="Q1165" s="715"/>
      <c r="R1165" s="715"/>
      <c r="S1165" s="715"/>
      <c r="T1165" s="715"/>
      <c r="U1165" s="716"/>
      <c r="V1165" s="715"/>
      <c r="W1165" s="715"/>
      <c r="X1165" s="715"/>
      <c r="Y1165" s="715"/>
      <c r="Z1165" s="716"/>
      <c r="AA1165" s="715"/>
      <c r="AB1165" s="715"/>
      <c r="AC1165" s="715"/>
      <c r="AD1165" s="715"/>
      <c r="AE1165" s="716"/>
      <c r="AF1165" s="715"/>
      <c r="AG1165" s="715"/>
      <c r="AH1165" s="715"/>
      <c r="AI1165" s="715"/>
      <c r="AJ1165" s="716"/>
      <c r="AK1165" s="715"/>
      <c r="AL1165" s="715"/>
      <c r="AM1165" s="715"/>
      <c r="AN1165" s="715"/>
      <c r="AO1165" s="716"/>
      <c r="AP1165" s="715"/>
      <c r="AQ1165" s="715"/>
      <c r="AR1165" s="715"/>
      <c r="AS1165" s="715"/>
      <c r="AT1165" s="716"/>
      <c r="AU1165" s="715"/>
      <c r="AV1165" s="715"/>
      <c r="AW1165" s="715"/>
      <c r="AX1165" s="715"/>
      <c r="AY1165" s="716"/>
      <c r="AZ1165" s="715"/>
      <c r="BA1165" s="715"/>
      <c r="BB1165" s="715"/>
      <c r="BC1165" s="715"/>
      <c r="BD1165" s="716"/>
      <c r="BE1165" s="715"/>
      <c r="BF1165" s="715"/>
      <c r="BG1165" s="715"/>
      <c r="BH1165" s="715"/>
      <c r="BI1165" s="718"/>
      <c r="BJ1165" s="715"/>
      <c r="BK1165" s="715"/>
      <c r="BL1165" s="715"/>
      <c r="BM1165" s="715"/>
      <c r="BN1165" s="692"/>
      <c r="BO1165" s="715"/>
      <c r="BP1165" s="715"/>
      <c r="BQ1165" s="715"/>
      <c r="BR1165" s="715"/>
      <c r="BS1165" s="692"/>
      <c r="BT1165" s="692"/>
      <c r="BU1165" s="692"/>
      <c r="BV1165" s="692"/>
      <c r="BW1165" s="122"/>
    </row>
    <row r="1166" spans="1:75" s="123" customFormat="1" hidden="1" outlineLevel="1" x14ac:dyDescent="0.5">
      <c r="A1166" s="464" t="s">
        <v>1080</v>
      </c>
      <c r="B1166" s="118"/>
      <c r="C1166" s="716"/>
      <c r="D1166" s="716"/>
      <c r="E1166" s="716"/>
      <c r="F1166" s="713">
        <v>3.25</v>
      </c>
      <c r="G1166" s="715"/>
      <c r="H1166" s="715"/>
      <c r="I1166" s="715"/>
      <c r="J1166" s="715"/>
      <c r="K1166" s="716"/>
      <c r="L1166" s="715"/>
      <c r="M1166" s="715"/>
      <c r="N1166" s="715"/>
      <c r="O1166" s="715"/>
      <c r="P1166" s="716"/>
      <c r="Q1166" s="715"/>
      <c r="R1166" s="715"/>
      <c r="S1166" s="715"/>
      <c r="T1166" s="715"/>
      <c r="U1166" s="716"/>
      <c r="V1166" s="715"/>
      <c r="W1166" s="715"/>
      <c r="X1166" s="715"/>
      <c r="Y1166" s="715"/>
      <c r="Z1166" s="716"/>
      <c r="AA1166" s="715"/>
      <c r="AB1166" s="715"/>
      <c r="AC1166" s="715"/>
      <c r="AD1166" s="714">
        <v>-2.202</v>
      </c>
      <c r="AE1166" s="713">
        <v>-2.202</v>
      </c>
      <c r="AF1166" s="715"/>
      <c r="AG1166" s="715"/>
      <c r="AH1166" s="715"/>
      <c r="AI1166" s="715"/>
      <c r="AJ1166" s="716"/>
      <c r="AK1166" s="715"/>
      <c r="AL1166" s="715"/>
      <c r="AM1166" s="715"/>
      <c r="AN1166" s="715"/>
      <c r="AO1166" s="716"/>
      <c r="AP1166" s="715"/>
      <c r="AQ1166" s="715"/>
      <c r="AR1166" s="715"/>
      <c r="AS1166" s="715"/>
      <c r="AT1166" s="716"/>
      <c r="AU1166" s="715"/>
      <c r="AV1166" s="715"/>
      <c r="AW1166" s="715"/>
      <c r="AX1166" s="715"/>
      <c r="AY1166" s="716"/>
      <c r="AZ1166" s="715"/>
      <c r="BA1166" s="715"/>
      <c r="BB1166" s="715"/>
      <c r="BC1166" s="715"/>
      <c r="BD1166" s="716"/>
      <c r="BE1166" s="715"/>
      <c r="BF1166" s="715"/>
      <c r="BG1166" s="715"/>
      <c r="BH1166" s="715"/>
      <c r="BI1166" s="718"/>
      <c r="BJ1166" s="715"/>
      <c r="BK1166" s="715"/>
      <c r="BL1166" s="715"/>
      <c r="BM1166" s="715"/>
      <c r="BN1166" s="692"/>
      <c r="BO1166" s="715"/>
      <c r="BP1166" s="715"/>
      <c r="BQ1166" s="715"/>
      <c r="BR1166" s="715"/>
      <c r="BS1166" s="692"/>
      <c r="BT1166" s="692"/>
      <c r="BU1166" s="692"/>
      <c r="BV1166" s="692"/>
      <c r="BW1166" s="122"/>
    </row>
    <row r="1167" spans="1:75" s="123" customFormat="1" hidden="1" outlineLevel="1" x14ac:dyDescent="0.5">
      <c r="A1167" s="464" t="s">
        <v>1102</v>
      </c>
      <c r="B1167" s="118"/>
      <c r="C1167" s="716"/>
      <c r="D1167" s="716"/>
      <c r="E1167" s="716"/>
      <c r="F1167" s="716"/>
      <c r="G1167" s="715"/>
      <c r="H1167" s="715"/>
      <c r="I1167" s="715"/>
      <c r="J1167" s="715"/>
      <c r="K1167" s="716"/>
      <c r="L1167" s="715"/>
      <c r="M1167" s="715"/>
      <c r="N1167" s="715"/>
      <c r="O1167" s="715"/>
      <c r="P1167" s="716"/>
      <c r="Q1167" s="715"/>
      <c r="R1167" s="715"/>
      <c r="S1167" s="715"/>
      <c r="T1167" s="715"/>
      <c r="U1167" s="716"/>
      <c r="V1167" s="715"/>
      <c r="W1167" s="715"/>
      <c r="X1167" s="715"/>
      <c r="Y1167" s="715"/>
      <c r="Z1167" s="716"/>
      <c r="AA1167" s="715"/>
      <c r="AB1167" s="714">
        <v>-1.3</v>
      </c>
      <c r="AC1167" s="714">
        <v>-0.81899999999999995</v>
      </c>
      <c r="AD1167" s="715"/>
      <c r="AE1167" s="713">
        <v>-2.1190000000000002</v>
      </c>
      <c r="AF1167" s="715"/>
      <c r="AG1167" s="715"/>
      <c r="AH1167" s="715"/>
      <c r="AI1167" s="715"/>
      <c r="AJ1167" s="716"/>
      <c r="AK1167" s="715"/>
      <c r="AL1167" s="715"/>
      <c r="AM1167" s="715"/>
      <c r="AN1167" s="715"/>
      <c r="AO1167" s="716"/>
      <c r="AP1167" s="715"/>
      <c r="AQ1167" s="715"/>
      <c r="AR1167" s="715"/>
      <c r="AS1167" s="715"/>
      <c r="AT1167" s="716"/>
      <c r="AU1167" s="715"/>
      <c r="AV1167" s="715"/>
      <c r="AW1167" s="715"/>
      <c r="AX1167" s="715"/>
      <c r="AY1167" s="716"/>
      <c r="AZ1167" s="715"/>
      <c r="BA1167" s="715"/>
      <c r="BB1167" s="714">
        <v>-0.77500000000000002</v>
      </c>
      <c r="BC1167" s="715"/>
      <c r="BD1167" s="713">
        <v>-0.77500000000000002</v>
      </c>
      <c r="BE1167" s="715"/>
      <c r="BF1167" s="715"/>
      <c r="BG1167" s="715"/>
      <c r="BH1167" s="715"/>
      <c r="BI1167" s="718"/>
      <c r="BJ1167" s="715"/>
      <c r="BK1167" s="715"/>
      <c r="BL1167" s="715"/>
      <c r="BM1167" s="715"/>
      <c r="BN1167" s="692"/>
      <c r="BO1167" s="715"/>
      <c r="BP1167" s="715"/>
      <c r="BQ1167" s="715"/>
      <c r="BR1167" s="715"/>
      <c r="BS1167" s="692"/>
      <c r="BT1167" s="692"/>
      <c r="BU1167" s="692"/>
      <c r="BV1167" s="692"/>
      <c r="BW1167" s="122"/>
    </row>
    <row r="1168" spans="1:75" s="123" customFormat="1" hidden="1" outlineLevel="1" x14ac:dyDescent="0.5">
      <c r="A1168" s="464" t="s">
        <v>1065</v>
      </c>
      <c r="B1168" s="118"/>
      <c r="C1168" s="716"/>
      <c r="D1168" s="716"/>
      <c r="E1168" s="716"/>
      <c r="F1168" s="716"/>
      <c r="G1168" s="715"/>
      <c r="H1168" s="715"/>
      <c r="I1168" s="715"/>
      <c r="J1168" s="715"/>
      <c r="K1168" s="716"/>
      <c r="L1168" s="715"/>
      <c r="M1168" s="715"/>
      <c r="N1168" s="715"/>
      <c r="O1168" s="715"/>
      <c r="P1168" s="716"/>
      <c r="Q1168" s="715"/>
      <c r="R1168" s="715"/>
      <c r="S1168" s="715"/>
      <c r="T1168" s="715"/>
      <c r="U1168" s="716"/>
      <c r="V1168" s="715"/>
      <c r="W1168" s="715"/>
      <c r="X1168" s="715"/>
      <c r="Y1168" s="715"/>
      <c r="Z1168" s="716"/>
      <c r="AA1168" s="715"/>
      <c r="AB1168" s="715"/>
      <c r="AC1168" s="715"/>
      <c r="AD1168" s="715"/>
      <c r="AE1168" s="716"/>
      <c r="AF1168" s="715"/>
      <c r="AG1168" s="715"/>
      <c r="AH1168" s="715"/>
      <c r="AI1168" s="715"/>
      <c r="AJ1168" s="716"/>
      <c r="AK1168" s="715"/>
      <c r="AL1168" s="715"/>
      <c r="AM1168" s="715"/>
      <c r="AN1168" s="715"/>
      <c r="AO1168" s="716"/>
      <c r="AP1168" s="715"/>
      <c r="AQ1168" s="715"/>
      <c r="AR1168" s="715"/>
      <c r="AS1168" s="715"/>
      <c r="AT1168" s="716"/>
      <c r="AU1168" s="715"/>
      <c r="AV1168" s="715"/>
      <c r="AW1168" s="715"/>
      <c r="AX1168" s="714">
        <v>2.778</v>
      </c>
      <c r="AY1168" s="713">
        <v>2.778</v>
      </c>
      <c r="AZ1168" s="714">
        <v>-0.34300000000000003</v>
      </c>
      <c r="BA1168" s="714">
        <v>3.1949999999999998</v>
      </c>
      <c r="BB1168" s="714">
        <v>1.9890000000000001</v>
      </c>
      <c r="BC1168" s="714">
        <v>-4.8109999999999999</v>
      </c>
      <c r="BD1168" s="713">
        <v>0.03</v>
      </c>
      <c r="BE1168" s="714">
        <v>-0.65300000000000002</v>
      </c>
      <c r="BF1168" s="714">
        <v>-0.186</v>
      </c>
      <c r="BG1168" s="714">
        <v>5.3049999999999997</v>
      </c>
      <c r="BH1168" s="714">
        <v>-3.3879999999999999</v>
      </c>
      <c r="BI1168" s="717">
        <v>1.0780000000000001</v>
      </c>
      <c r="BJ1168" s="715"/>
      <c r="BK1168" s="715"/>
      <c r="BL1168" s="715"/>
      <c r="BM1168" s="715"/>
      <c r="BN1168" s="692"/>
      <c r="BO1168" s="715"/>
      <c r="BP1168" s="715"/>
      <c r="BQ1168" s="715"/>
      <c r="BR1168" s="715"/>
      <c r="BS1168" s="692"/>
      <c r="BT1168" s="692"/>
      <c r="BU1168" s="692"/>
      <c r="BV1168" s="692"/>
      <c r="BW1168" s="122"/>
    </row>
    <row r="1169" spans="1:75" s="123" customFormat="1" hidden="1" outlineLevel="1" x14ac:dyDescent="0.5">
      <c r="A1169" s="464" t="s">
        <v>1143</v>
      </c>
      <c r="B1169" s="118"/>
      <c r="C1169" s="716"/>
      <c r="D1169" s="716"/>
      <c r="E1169" s="716"/>
      <c r="F1169" s="716"/>
      <c r="G1169" s="715"/>
      <c r="H1169" s="715"/>
      <c r="I1169" s="715"/>
      <c r="J1169" s="715"/>
      <c r="K1169" s="716"/>
      <c r="L1169" s="715"/>
      <c r="M1169" s="715"/>
      <c r="N1169" s="715"/>
      <c r="O1169" s="715"/>
      <c r="P1169" s="716"/>
      <c r="Q1169" s="715"/>
      <c r="R1169" s="715"/>
      <c r="S1169" s="715"/>
      <c r="T1169" s="715"/>
      <c r="U1169" s="716"/>
      <c r="V1169" s="715"/>
      <c r="W1169" s="715"/>
      <c r="X1169" s="715"/>
      <c r="Y1169" s="715"/>
      <c r="Z1169" s="716"/>
      <c r="AA1169" s="715"/>
      <c r="AB1169" s="715"/>
      <c r="AC1169" s="715"/>
      <c r="AD1169" s="715"/>
      <c r="AE1169" s="716"/>
      <c r="AF1169" s="715"/>
      <c r="AG1169" s="715"/>
      <c r="AH1169" s="715"/>
      <c r="AI1169" s="715"/>
      <c r="AJ1169" s="716"/>
      <c r="AK1169" s="715"/>
      <c r="AL1169" s="715"/>
      <c r="AM1169" s="715"/>
      <c r="AN1169" s="715"/>
      <c r="AO1169" s="716"/>
      <c r="AP1169" s="715"/>
      <c r="AQ1169" s="715"/>
      <c r="AR1169" s="715"/>
      <c r="AS1169" s="714">
        <v>0.46200000000000002</v>
      </c>
      <c r="AT1169" s="713">
        <v>0.46200000000000002</v>
      </c>
      <c r="AU1169" s="714">
        <v>0.67700000000000005</v>
      </c>
      <c r="AV1169" s="714">
        <v>0.78500000000000003</v>
      </c>
      <c r="AW1169" s="714">
        <v>0.97</v>
      </c>
      <c r="AX1169" s="714">
        <v>1.133</v>
      </c>
      <c r="AY1169" s="713">
        <v>3.5649999999999999</v>
      </c>
      <c r="AZ1169" s="714">
        <v>1.3540000000000001</v>
      </c>
      <c r="BA1169" s="714">
        <v>1.6990000000000001</v>
      </c>
      <c r="BB1169" s="714">
        <v>1.7470000000000001</v>
      </c>
      <c r="BC1169" s="714">
        <v>1.766</v>
      </c>
      <c r="BD1169" s="713">
        <v>6.5659999999999998</v>
      </c>
      <c r="BE1169" s="714">
        <v>1.849</v>
      </c>
      <c r="BF1169" s="714">
        <v>1.923</v>
      </c>
      <c r="BG1169" s="714">
        <v>2.0619999999999998</v>
      </c>
      <c r="BH1169" s="714">
        <v>2.5659999999999998</v>
      </c>
      <c r="BI1169" s="717">
        <v>8.4</v>
      </c>
      <c r="BJ1169" s="715"/>
      <c r="BK1169" s="715"/>
      <c r="BL1169" s="715"/>
      <c r="BM1169" s="715"/>
      <c r="BN1169" s="692"/>
      <c r="BO1169" s="715"/>
      <c r="BP1169" s="715"/>
      <c r="BQ1169" s="715"/>
      <c r="BR1169" s="715"/>
      <c r="BS1169" s="692"/>
      <c r="BT1169" s="692"/>
      <c r="BU1169" s="692"/>
      <c r="BV1169" s="692"/>
      <c r="BW1169" s="122"/>
    </row>
    <row r="1170" spans="1:75" s="123" customFormat="1" hidden="1" outlineLevel="1" x14ac:dyDescent="0.5">
      <c r="A1170" s="464" t="s">
        <v>1089</v>
      </c>
      <c r="B1170" s="118"/>
      <c r="C1170" s="716"/>
      <c r="D1170" s="716"/>
      <c r="E1170" s="716"/>
      <c r="F1170" s="716"/>
      <c r="G1170" s="715"/>
      <c r="H1170" s="715"/>
      <c r="I1170" s="715"/>
      <c r="J1170" s="715"/>
      <c r="K1170" s="716"/>
      <c r="L1170" s="715"/>
      <c r="M1170" s="715"/>
      <c r="N1170" s="715"/>
      <c r="O1170" s="715"/>
      <c r="P1170" s="716"/>
      <c r="Q1170" s="715"/>
      <c r="R1170" s="715"/>
      <c r="S1170" s="715"/>
      <c r="T1170" s="715"/>
      <c r="U1170" s="716"/>
      <c r="V1170" s="715"/>
      <c r="W1170" s="715"/>
      <c r="X1170" s="715"/>
      <c r="Y1170" s="715"/>
      <c r="Z1170" s="716"/>
      <c r="AA1170" s="715"/>
      <c r="AB1170" s="715"/>
      <c r="AC1170" s="715"/>
      <c r="AD1170" s="715"/>
      <c r="AE1170" s="716"/>
      <c r="AF1170" s="715"/>
      <c r="AG1170" s="715"/>
      <c r="AH1170" s="715"/>
      <c r="AI1170" s="715"/>
      <c r="AJ1170" s="716"/>
      <c r="AK1170" s="715"/>
      <c r="AL1170" s="715"/>
      <c r="AM1170" s="715"/>
      <c r="AN1170" s="715"/>
      <c r="AO1170" s="716"/>
      <c r="AP1170" s="715"/>
      <c r="AQ1170" s="715"/>
      <c r="AR1170" s="715"/>
      <c r="AS1170" s="715"/>
      <c r="AT1170" s="716"/>
      <c r="AU1170" s="715"/>
      <c r="AV1170" s="715"/>
      <c r="AW1170" s="715"/>
      <c r="AX1170" s="715"/>
      <c r="AY1170" s="716"/>
      <c r="AZ1170" s="715"/>
      <c r="BA1170" s="715"/>
      <c r="BB1170" s="715"/>
      <c r="BC1170" s="714">
        <v>4.47</v>
      </c>
      <c r="BD1170" s="713">
        <v>4.47</v>
      </c>
      <c r="BE1170" s="715"/>
      <c r="BF1170" s="715"/>
      <c r="BG1170" s="715"/>
      <c r="BH1170" s="715"/>
      <c r="BI1170" s="718"/>
      <c r="BJ1170" s="715"/>
      <c r="BK1170" s="715"/>
      <c r="BL1170" s="715"/>
      <c r="BM1170" s="715"/>
      <c r="BN1170" s="692"/>
      <c r="BO1170" s="715"/>
      <c r="BP1170" s="715"/>
      <c r="BQ1170" s="715"/>
      <c r="BR1170" s="715"/>
      <c r="BS1170" s="692"/>
      <c r="BT1170" s="692"/>
      <c r="BU1170" s="692"/>
      <c r="BV1170" s="692"/>
      <c r="BW1170" s="122"/>
    </row>
    <row r="1171" spans="1:75" s="123" customFormat="1" hidden="1" outlineLevel="1" x14ac:dyDescent="0.5">
      <c r="A1171" s="464" t="s">
        <v>1069</v>
      </c>
      <c r="B1171" s="118"/>
      <c r="C1171" s="716"/>
      <c r="D1171" s="716"/>
      <c r="E1171" s="716"/>
      <c r="F1171" s="716"/>
      <c r="G1171" s="715"/>
      <c r="H1171" s="715"/>
      <c r="I1171" s="715"/>
      <c r="J1171" s="715"/>
      <c r="K1171" s="716"/>
      <c r="L1171" s="715"/>
      <c r="M1171" s="715"/>
      <c r="N1171" s="715"/>
      <c r="O1171" s="715"/>
      <c r="P1171" s="716"/>
      <c r="Q1171" s="715"/>
      <c r="R1171" s="715"/>
      <c r="S1171" s="715"/>
      <c r="T1171" s="715"/>
      <c r="U1171" s="716"/>
      <c r="V1171" s="715"/>
      <c r="W1171" s="715"/>
      <c r="X1171" s="715"/>
      <c r="Y1171" s="715"/>
      <c r="Z1171" s="716"/>
      <c r="AA1171" s="715"/>
      <c r="AB1171" s="715"/>
      <c r="AC1171" s="715"/>
      <c r="AD1171" s="715"/>
      <c r="AE1171" s="716"/>
      <c r="AF1171" s="715"/>
      <c r="AG1171" s="715"/>
      <c r="AH1171" s="715"/>
      <c r="AI1171" s="715"/>
      <c r="AJ1171" s="716"/>
      <c r="AK1171" s="715"/>
      <c r="AL1171" s="715"/>
      <c r="AM1171" s="715"/>
      <c r="AN1171" s="715"/>
      <c r="AO1171" s="716"/>
      <c r="AP1171" s="715"/>
      <c r="AQ1171" s="715"/>
      <c r="AR1171" s="715"/>
      <c r="AS1171" s="714">
        <v>0.88800000000000001</v>
      </c>
      <c r="AT1171" s="713">
        <v>0.88800000000000001</v>
      </c>
      <c r="AU1171" s="714">
        <v>2.0950000000000002</v>
      </c>
      <c r="AV1171" s="714">
        <v>2.4860000000000002</v>
      </c>
      <c r="AW1171" s="714">
        <v>2.3130000000000002</v>
      </c>
      <c r="AX1171" s="714">
        <v>1.32</v>
      </c>
      <c r="AY1171" s="713">
        <v>8.2140000000000004</v>
      </c>
      <c r="AZ1171" s="714">
        <v>1.375</v>
      </c>
      <c r="BA1171" s="714">
        <v>2.8210000000000002</v>
      </c>
      <c r="BB1171" s="714">
        <v>1.9219999999999999</v>
      </c>
      <c r="BC1171" s="714">
        <v>-4.0629999999999997</v>
      </c>
      <c r="BD1171" s="713">
        <v>2.0550000000000002</v>
      </c>
      <c r="BE1171" s="714">
        <v>1.6020000000000001</v>
      </c>
      <c r="BF1171" s="714">
        <v>3.3820000000000001</v>
      </c>
      <c r="BG1171" s="714">
        <v>2.6930000000000001</v>
      </c>
      <c r="BH1171" s="714">
        <v>3.198</v>
      </c>
      <c r="BI1171" s="717">
        <v>10.875</v>
      </c>
      <c r="BJ1171" s="715"/>
      <c r="BK1171" s="715"/>
      <c r="BL1171" s="715"/>
      <c r="BM1171" s="715"/>
      <c r="BN1171" s="692"/>
      <c r="BO1171" s="715"/>
      <c r="BP1171" s="715"/>
      <c r="BQ1171" s="715"/>
      <c r="BR1171" s="715"/>
      <c r="BS1171" s="692"/>
      <c r="BT1171" s="692"/>
      <c r="BU1171" s="692"/>
      <c r="BV1171" s="692"/>
      <c r="BW1171" s="122"/>
    </row>
    <row r="1172" spans="1:75" s="123" customFormat="1" hidden="1" outlineLevel="1" x14ac:dyDescent="0.5">
      <c r="A1172" s="464" t="s">
        <v>1144</v>
      </c>
      <c r="B1172" s="118"/>
      <c r="C1172" s="713">
        <v>1.5029999999999999</v>
      </c>
      <c r="D1172" s="713">
        <v>0.52300000000000002</v>
      </c>
      <c r="E1172" s="713">
        <v>0.192</v>
      </c>
      <c r="F1172" s="713">
        <v>4.7E-2</v>
      </c>
      <c r="G1172" s="715"/>
      <c r="H1172" s="715"/>
      <c r="I1172" s="715"/>
      <c r="J1172" s="715"/>
      <c r="K1172" s="716"/>
      <c r="L1172" s="715"/>
      <c r="M1172" s="715"/>
      <c r="N1172" s="715"/>
      <c r="O1172" s="715"/>
      <c r="P1172" s="716"/>
      <c r="Q1172" s="715"/>
      <c r="R1172" s="715"/>
      <c r="S1172" s="715"/>
      <c r="T1172" s="715"/>
      <c r="U1172" s="716"/>
      <c r="V1172" s="715"/>
      <c r="W1172" s="715"/>
      <c r="X1172" s="715"/>
      <c r="Y1172" s="715"/>
      <c r="Z1172" s="716"/>
      <c r="AA1172" s="715"/>
      <c r="AB1172" s="715"/>
      <c r="AC1172" s="715"/>
      <c r="AD1172" s="715"/>
      <c r="AE1172" s="716"/>
      <c r="AF1172" s="715"/>
      <c r="AG1172" s="715"/>
      <c r="AH1172" s="715"/>
      <c r="AI1172" s="715"/>
      <c r="AJ1172" s="716"/>
      <c r="AK1172" s="715"/>
      <c r="AL1172" s="715"/>
      <c r="AM1172" s="715"/>
      <c r="AN1172" s="715"/>
      <c r="AO1172" s="716"/>
      <c r="AP1172" s="715"/>
      <c r="AQ1172" s="715"/>
      <c r="AR1172" s="715"/>
      <c r="AS1172" s="715"/>
      <c r="AT1172" s="716"/>
      <c r="AU1172" s="715"/>
      <c r="AV1172" s="715"/>
      <c r="AW1172" s="715"/>
      <c r="AX1172" s="715"/>
      <c r="AY1172" s="716"/>
      <c r="AZ1172" s="715"/>
      <c r="BA1172" s="715"/>
      <c r="BB1172" s="715"/>
      <c r="BC1172" s="715"/>
      <c r="BD1172" s="716"/>
      <c r="BE1172" s="715"/>
      <c r="BF1172" s="715"/>
      <c r="BG1172" s="715"/>
      <c r="BH1172" s="715"/>
      <c r="BI1172" s="718"/>
      <c r="BJ1172" s="715"/>
      <c r="BK1172" s="715"/>
      <c r="BL1172" s="715"/>
      <c r="BM1172" s="715"/>
      <c r="BN1172" s="692"/>
      <c r="BO1172" s="715"/>
      <c r="BP1172" s="715"/>
      <c r="BQ1172" s="715"/>
      <c r="BR1172" s="715"/>
      <c r="BS1172" s="692"/>
      <c r="BT1172" s="692"/>
      <c r="BU1172" s="692"/>
      <c r="BV1172" s="692"/>
      <c r="BW1172" s="122"/>
    </row>
    <row r="1173" spans="1:75" s="621" customFormat="1" ht="14.25" hidden="1" outlineLevel="1" x14ac:dyDescent="0.45">
      <c r="A1173" s="675" t="s">
        <v>1145</v>
      </c>
      <c r="B1173" s="277"/>
      <c r="C1173" s="698">
        <v>17.595999999999915</v>
      </c>
      <c r="D1173" s="698">
        <v>41.09699999999993</v>
      </c>
      <c r="E1173" s="698">
        <v>80.154000000000067</v>
      </c>
      <c r="F1173" s="698">
        <v>96.571000000000055</v>
      </c>
      <c r="G1173" s="699">
        <v>11.23099999999998</v>
      </c>
      <c r="H1173" s="699">
        <v>40.777999999999999</v>
      </c>
      <c r="I1173" s="699">
        <v>30.590999999999987</v>
      </c>
      <c r="J1173" s="699">
        <v>65.955000000000027</v>
      </c>
      <c r="K1173" s="698">
        <v>148.55499999999978</v>
      </c>
      <c r="L1173" s="699"/>
      <c r="M1173" s="699"/>
      <c r="N1173" s="699"/>
      <c r="O1173" s="699"/>
      <c r="P1173" s="698"/>
      <c r="Q1173" s="699"/>
      <c r="R1173" s="699"/>
      <c r="S1173" s="699"/>
      <c r="T1173" s="699"/>
      <c r="U1173" s="698"/>
      <c r="V1173" s="699"/>
      <c r="W1173" s="699"/>
      <c r="X1173" s="699"/>
      <c r="Y1173" s="699"/>
      <c r="Z1173" s="698"/>
      <c r="AA1173" s="699">
        <v>29.585000000000015</v>
      </c>
      <c r="AB1173" s="699">
        <v>63.439000000000043</v>
      </c>
      <c r="AC1173" s="699">
        <v>73.313999999999922</v>
      </c>
      <c r="AD1173" s="699">
        <v>101.93200000000024</v>
      </c>
      <c r="AE1173" s="698">
        <v>268.27000000000004</v>
      </c>
      <c r="AF1173" s="699">
        <v>77.739999999999966</v>
      </c>
      <c r="AG1173" s="699">
        <v>103.054</v>
      </c>
      <c r="AH1173" s="700">
        <v>87.754999999999995</v>
      </c>
      <c r="AI1173" s="699">
        <v>131.51799999999992</v>
      </c>
      <c r="AJ1173" s="698">
        <v>400.06699999999978</v>
      </c>
      <c r="AK1173" s="699">
        <v>100.38500000000001</v>
      </c>
      <c r="AL1173" s="699">
        <v>133.71600000000001</v>
      </c>
      <c r="AM1173" s="700">
        <v>116.31199999999994</v>
      </c>
      <c r="AN1173" s="699">
        <v>145.00500000000034</v>
      </c>
      <c r="AO1173" s="698">
        <v>495.41800000000001</v>
      </c>
      <c r="AP1173" s="699">
        <v>77.426999999999992</v>
      </c>
      <c r="AQ1173" s="699">
        <v>185.78700000000001</v>
      </c>
      <c r="AR1173" s="700">
        <v>258.01300000000003</v>
      </c>
      <c r="AS1173" s="699">
        <v>224.42100000000025</v>
      </c>
      <c r="AT1173" s="698">
        <v>745.64800000000025</v>
      </c>
      <c r="AU1173" s="699">
        <v>228.25800000000007</v>
      </c>
      <c r="AV1173" s="699">
        <v>290.37000000000012</v>
      </c>
      <c r="AW1173" s="700">
        <v>310.66300000000001</v>
      </c>
      <c r="AX1173" s="699">
        <v>257.97399999999982</v>
      </c>
      <c r="AY1173" s="698">
        <v>1087.2649999999999</v>
      </c>
      <c r="AZ1173" s="699">
        <v>269.58600000000007</v>
      </c>
      <c r="BA1173" s="699">
        <v>279.8180000000001</v>
      </c>
      <c r="BB1173" s="700">
        <v>216.179</v>
      </c>
      <c r="BC1173" s="699">
        <v>164.86899999999969</v>
      </c>
      <c r="BD1173" s="698">
        <v>930.45199999999988</v>
      </c>
      <c r="BE1173" s="699">
        <v>146.66000000000003</v>
      </c>
      <c r="BF1173" s="699">
        <v>197.93700000000004</v>
      </c>
      <c r="BG1173" s="700">
        <v>93.527000000000044</v>
      </c>
      <c r="BH1173" s="699">
        <v>112.79400000000022</v>
      </c>
      <c r="BI1173" s="701">
        <v>550.91800000000023</v>
      </c>
      <c r="BJ1173" s="699"/>
      <c r="BK1173" s="699"/>
      <c r="BL1173" s="699"/>
      <c r="BM1173" s="699"/>
      <c r="BN1173" s="698"/>
      <c r="BO1173" s="699"/>
      <c r="BP1173" s="699"/>
      <c r="BQ1173" s="699"/>
      <c r="BR1173" s="699"/>
      <c r="BS1173" s="698"/>
      <c r="BT1173" s="698"/>
      <c r="BU1173" s="698"/>
      <c r="BV1173" s="698"/>
      <c r="BW1173" s="197"/>
    </row>
    <row r="1174" spans="1:75" s="198" customFormat="1" ht="14.25" hidden="1" outlineLevel="1" x14ac:dyDescent="0.45">
      <c r="A1174" s="206"/>
      <c r="B1174" s="522"/>
      <c r="C1174" s="397"/>
      <c r="D1174" s="397"/>
      <c r="E1174" s="397"/>
      <c r="F1174" s="397"/>
      <c r="G1174" s="295"/>
      <c r="H1174" s="295"/>
      <c r="I1174" s="295"/>
      <c r="J1174" s="295"/>
      <c r="K1174" s="397"/>
      <c r="L1174" s="295"/>
      <c r="M1174" s="295"/>
      <c r="N1174" s="295"/>
      <c r="O1174" s="295"/>
      <c r="P1174" s="397"/>
      <c r="Q1174" s="295"/>
      <c r="R1174" s="295"/>
      <c r="S1174" s="295"/>
      <c r="T1174" s="295"/>
      <c r="U1174" s="397"/>
      <c r="V1174" s="295"/>
      <c r="W1174" s="295"/>
      <c r="X1174" s="295"/>
      <c r="Y1174" s="295"/>
      <c r="Z1174" s="397"/>
      <c r="AA1174" s="295"/>
      <c r="AB1174" s="295"/>
      <c r="AC1174" s="295"/>
      <c r="AD1174" s="295"/>
      <c r="AE1174" s="397"/>
      <c r="AF1174" s="295"/>
      <c r="AG1174" s="295"/>
      <c r="AH1174" s="295"/>
      <c r="AI1174" s="295"/>
      <c r="AJ1174" s="397"/>
      <c r="AK1174" s="295"/>
      <c r="AL1174" s="295"/>
      <c r="AM1174" s="295"/>
      <c r="AN1174" s="295"/>
      <c r="AO1174" s="397"/>
      <c r="AP1174" s="295"/>
      <c r="AQ1174" s="295"/>
      <c r="AR1174" s="295"/>
      <c r="AS1174" s="295"/>
      <c r="AT1174" s="397"/>
      <c r="AU1174" s="295"/>
      <c r="AV1174" s="295"/>
      <c r="AW1174" s="295"/>
      <c r="AX1174" s="295"/>
      <c r="AY1174" s="397"/>
      <c r="AZ1174" s="295"/>
      <c r="BA1174" s="295"/>
      <c r="BB1174" s="295"/>
      <c r="BC1174" s="295"/>
      <c r="BD1174" s="397"/>
      <c r="BE1174" s="295"/>
      <c r="BF1174" s="295"/>
      <c r="BG1174" s="295"/>
      <c r="BH1174" s="295"/>
      <c r="BI1174" s="399"/>
      <c r="BJ1174" s="295"/>
      <c r="BK1174" s="295"/>
      <c r="BL1174" s="295"/>
      <c r="BM1174" s="295"/>
      <c r="BN1174" s="397"/>
      <c r="BO1174" s="295"/>
      <c r="BP1174" s="295"/>
      <c r="BQ1174" s="295"/>
      <c r="BR1174" s="295"/>
      <c r="BS1174" s="397"/>
      <c r="BT1174" s="397"/>
      <c r="BU1174" s="397"/>
      <c r="BV1174" s="397"/>
      <c r="BW1174" s="197"/>
    </row>
    <row r="1175" spans="1:75" s="198" customFormat="1" ht="14.25" hidden="1" outlineLevel="1" x14ac:dyDescent="0.45">
      <c r="A1175" s="206" t="s">
        <v>1146</v>
      </c>
      <c r="B1175" s="522"/>
      <c r="C1175" s="397"/>
      <c r="D1175" s="397"/>
      <c r="E1175" s="397"/>
      <c r="F1175" s="397"/>
      <c r="G1175" s="295"/>
      <c r="H1175" s="295"/>
      <c r="I1175" s="295"/>
      <c r="J1175" s="295"/>
      <c r="K1175" s="397"/>
      <c r="L1175" s="295"/>
      <c r="M1175" s="295"/>
      <c r="N1175" s="295"/>
      <c r="O1175" s="295"/>
      <c r="P1175" s="397"/>
      <c r="Q1175" s="295"/>
      <c r="R1175" s="295"/>
      <c r="S1175" s="295"/>
      <c r="T1175" s="295"/>
      <c r="U1175" s="397"/>
      <c r="V1175" s="295"/>
      <c r="W1175" s="295"/>
      <c r="X1175" s="295"/>
      <c r="Y1175" s="295"/>
      <c r="Z1175" s="397"/>
      <c r="AA1175" s="295"/>
      <c r="AB1175" s="295"/>
      <c r="AC1175" s="295"/>
      <c r="AD1175" s="295"/>
      <c r="AE1175" s="397"/>
      <c r="AF1175" s="295">
        <v>17.673999999999999</v>
      </c>
      <c r="AG1175" s="638">
        <v>25.657</v>
      </c>
      <c r="AH1175" s="295">
        <v>30.362000000000009</v>
      </c>
      <c r="AI1175" s="295">
        <v>6.2989999999999924</v>
      </c>
      <c r="AJ1175" s="397">
        <v>79.992000000000004</v>
      </c>
      <c r="AK1175" s="295">
        <v>7.9160000000000004</v>
      </c>
      <c r="AL1175" s="295">
        <v>17.367000000000001</v>
      </c>
      <c r="AM1175" s="295">
        <v>39.331000000000003</v>
      </c>
      <c r="AN1175" s="295">
        <v>29.009</v>
      </c>
      <c r="AO1175" s="397">
        <v>93.623000000000005</v>
      </c>
      <c r="AP1175" s="295">
        <v>16.632000000000001</v>
      </c>
      <c r="AQ1175" s="295">
        <v>30.898999999999997</v>
      </c>
      <c r="AR1175" s="295">
        <v>24.223999999999997</v>
      </c>
      <c r="AS1175" s="295">
        <v>39.371000000000009</v>
      </c>
      <c r="AT1175" s="397">
        <v>111.126</v>
      </c>
      <c r="AU1175" s="295">
        <v>50.250999999999998</v>
      </c>
      <c r="AV1175" s="295">
        <v>31.887000000000008</v>
      </c>
      <c r="AW1175" s="295">
        <v>71.635999999999996</v>
      </c>
      <c r="AX1175" s="295">
        <v>31.609000000000009</v>
      </c>
      <c r="AY1175" s="397">
        <v>185.38300000000001</v>
      </c>
      <c r="AZ1175" s="295">
        <v>29.364000000000001</v>
      </c>
      <c r="BA1175" s="295">
        <v>33.194000000000003</v>
      </c>
      <c r="BB1175" s="295">
        <v>47.116999999999997</v>
      </c>
      <c r="BC1175" s="295">
        <v>63.966999999999999</v>
      </c>
      <c r="BD1175" s="397">
        <v>173.642</v>
      </c>
      <c r="BE1175" s="295">
        <v>34.19</v>
      </c>
      <c r="BF1175" s="295">
        <v>47.406000000000006</v>
      </c>
      <c r="BG1175" s="295">
        <v>50.244</v>
      </c>
      <c r="BH1175" s="295">
        <v>137.51599999999999</v>
      </c>
      <c r="BI1175" s="399">
        <v>269.35599999999999</v>
      </c>
      <c r="BJ1175" s="295"/>
      <c r="BK1175" s="295"/>
      <c r="BL1175" s="295"/>
      <c r="BM1175" s="295"/>
      <c r="BN1175" s="397"/>
      <c r="BO1175" s="295"/>
      <c r="BP1175" s="295"/>
      <c r="BQ1175" s="295"/>
      <c r="BR1175" s="295"/>
      <c r="BS1175" s="397"/>
      <c r="BT1175" s="397"/>
      <c r="BU1175" s="397"/>
      <c r="BV1175" s="397"/>
      <c r="BW1175" s="197"/>
    </row>
    <row r="1176" spans="1:75" s="123" customFormat="1" hidden="1" outlineLevel="1" x14ac:dyDescent="0.5">
      <c r="A1176" s="184" t="s">
        <v>1147</v>
      </c>
      <c r="B1176" s="513"/>
      <c r="C1176" s="401"/>
      <c r="D1176" s="401"/>
      <c r="E1176" s="401"/>
      <c r="F1176" s="401"/>
      <c r="G1176" s="119"/>
      <c r="H1176" s="119"/>
      <c r="I1176" s="119"/>
      <c r="J1176" s="119"/>
      <c r="K1176" s="401"/>
      <c r="L1176" s="119"/>
      <c r="M1176" s="119"/>
      <c r="N1176" s="119"/>
      <c r="O1176" s="119"/>
      <c r="P1176" s="401"/>
      <c r="Q1176" s="119"/>
      <c r="R1176" s="119"/>
      <c r="S1176" s="119"/>
      <c r="T1176" s="119"/>
      <c r="U1176" s="401"/>
      <c r="V1176" s="119"/>
      <c r="W1176" s="119"/>
      <c r="X1176" s="119"/>
      <c r="Y1176" s="119"/>
      <c r="Z1176" s="401"/>
      <c r="AA1176" s="119"/>
      <c r="AB1176" s="119"/>
      <c r="AC1176" s="119"/>
      <c r="AD1176" s="119"/>
      <c r="AE1176" s="401"/>
      <c r="AF1176" s="302">
        <v>18.648</v>
      </c>
      <c r="AG1176" s="302">
        <v>8.9969999999999999</v>
      </c>
      <c r="AH1176" s="302">
        <v>11.96</v>
      </c>
      <c r="AI1176" s="119">
        <v>19.395999999999994</v>
      </c>
      <c r="AJ1176" s="403">
        <v>59.000999999999998</v>
      </c>
      <c r="AK1176" s="302">
        <v>4.5419999999999998</v>
      </c>
      <c r="AL1176" s="302">
        <v>23.013000000000002</v>
      </c>
      <c r="AM1176" s="302">
        <v>21.832000000000001</v>
      </c>
      <c r="AN1176" s="119">
        <v>14.912999999999997</v>
      </c>
      <c r="AO1176" s="403">
        <v>64.3</v>
      </c>
      <c r="AP1176" s="302">
        <v>7.6</v>
      </c>
      <c r="AQ1176" s="302">
        <v>15.334</v>
      </c>
      <c r="AR1176" s="302">
        <v>21.986999999999998</v>
      </c>
      <c r="AS1176" s="119">
        <v>24.587000000000003</v>
      </c>
      <c r="AT1176" s="403">
        <v>69.507999999999996</v>
      </c>
      <c r="AU1176" s="302">
        <v>13.577999999999999</v>
      </c>
      <c r="AV1176" s="302">
        <v>29.774000000000001</v>
      </c>
      <c r="AW1176" s="302">
        <v>6.9989999999999997</v>
      </c>
      <c r="AX1176" s="119">
        <v>18.102999999999987</v>
      </c>
      <c r="AY1176" s="403">
        <v>68.453999999999994</v>
      </c>
      <c r="AZ1176" s="302">
        <v>12.148</v>
      </c>
      <c r="BA1176" s="302">
        <v>20.312000000000001</v>
      </c>
      <c r="BB1176" s="302">
        <v>10.92</v>
      </c>
      <c r="BC1176" s="119">
        <v>7.9889999999999972</v>
      </c>
      <c r="BD1176" s="403">
        <v>51.369</v>
      </c>
      <c r="BE1176" s="302">
        <v>9.5830000000000002</v>
      </c>
      <c r="BF1176" s="302">
        <v>4.3760000000000003</v>
      </c>
      <c r="BG1176" s="302">
        <v>4.6580000000000004</v>
      </c>
      <c r="BH1176" s="119">
        <v>6.7509999999999977</v>
      </c>
      <c r="BI1176" s="514">
        <v>25.367999999999999</v>
      </c>
      <c r="BJ1176" s="118"/>
      <c r="BK1176" s="118"/>
      <c r="BL1176" s="118"/>
      <c r="BM1176" s="118"/>
      <c r="BN1176" s="401"/>
      <c r="BO1176" s="118"/>
      <c r="BP1176" s="118"/>
      <c r="BQ1176" s="118"/>
      <c r="BR1176" s="118"/>
      <c r="BS1176" s="401"/>
      <c r="BT1176" s="401"/>
      <c r="BU1176" s="401"/>
      <c r="BV1176" s="401"/>
      <c r="BW1176" s="122"/>
    </row>
    <row r="1177" spans="1:75" s="198" customFormat="1" ht="14.25" hidden="1" outlineLevel="1" x14ac:dyDescent="0.45">
      <c r="A1177" s="192" t="s">
        <v>1148</v>
      </c>
      <c r="B1177" s="517"/>
      <c r="C1177" s="518"/>
      <c r="D1177" s="518"/>
      <c r="E1177" s="518"/>
      <c r="F1177" s="518"/>
      <c r="G1177" s="327"/>
      <c r="H1177" s="327"/>
      <c r="I1177" s="327"/>
      <c r="J1177" s="327"/>
      <c r="K1177" s="518"/>
      <c r="L1177" s="327"/>
      <c r="M1177" s="327"/>
      <c r="N1177" s="327"/>
      <c r="O1177" s="327"/>
      <c r="P1177" s="518"/>
      <c r="Q1177" s="327"/>
      <c r="R1177" s="327"/>
      <c r="S1177" s="327"/>
      <c r="T1177" s="327"/>
      <c r="U1177" s="518"/>
      <c r="V1177" s="327"/>
      <c r="W1177" s="327"/>
      <c r="X1177" s="327"/>
      <c r="Y1177" s="327"/>
      <c r="Z1177" s="518"/>
      <c r="AA1177" s="327"/>
      <c r="AB1177" s="327"/>
      <c r="AC1177" s="327"/>
      <c r="AD1177" s="327"/>
      <c r="AE1177" s="518"/>
      <c r="AF1177" s="327">
        <v>36.322000000000003</v>
      </c>
      <c r="AG1177" s="327">
        <v>34.653999999999996</v>
      </c>
      <c r="AH1177" s="327">
        <v>42.32200000000001</v>
      </c>
      <c r="AI1177" s="327">
        <v>25.694999999999986</v>
      </c>
      <c r="AJ1177" s="518">
        <v>138.99299999999999</v>
      </c>
      <c r="AK1177" s="327">
        <v>12.458</v>
      </c>
      <c r="AL1177" s="327">
        <v>40.380000000000003</v>
      </c>
      <c r="AM1177" s="327">
        <v>61.163000000000004</v>
      </c>
      <c r="AN1177" s="327">
        <v>43.921999999999997</v>
      </c>
      <c r="AO1177" s="518">
        <v>157.923</v>
      </c>
      <c r="AP1177" s="327">
        <v>24.231999999999999</v>
      </c>
      <c r="AQ1177" s="327">
        <v>46.232999999999997</v>
      </c>
      <c r="AR1177" s="327">
        <v>46.210999999999999</v>
      </c>
      <c r="AS1177" s="327">
        <v>63.958000000000013</v>
      </c>
      <c r="AT1177" s="518">
        <v>180.63400000000001</v>
      </c>
      <c r="AU1177" s="327">
        <v>63.828999999999994</v>
      </c>
      <c r="AV1177" s="327">
        <v>61.661000000000008</v>
      </c>
      <c r="AW1177" s="327">
        <v>78.634999999999991</v>
      </c>
      <c r="AX1177" s="327">
        <v>49.711999999999996</v>
      </c>
      <c r="AY1177" s="518">
        <v>253.83699999999999</v>
      </c>
      <c r="AZ1177" s="327">
        <v>41.512</v>
      </c>
      <c r="BA1177" s="327">
        <v>53.506</v>
      </c>
      <c r="BB1177" s="327">
        <v>58.036999999999999</v>
      </c>
      <c r="BC1177" s="327">
        <v>71.955999999999989</v>
      </c>
      <c r="BD1177" s="518">
        <v>225.011</v>
      </c>
      <c r="BE1177" s="327">
        <v>43.772999999999996</v>
      </c>
      <c r="BF1177" s="327">
        <v>51.782000000000004</v>
      </c>
      <c r="BG1177" s="327">
        <v>54.902000000000001</v>
      </c>
      <c r="BH1177" s="327">
        <v>144.267</v>
      </c>
      <c r="BI1177" s="525">
        <v>294.72399999999999</v>
      </c>
      <c r="BJ1177" s="327"/>
      <c r="BK1177" s="327"/>
      <c r="BL1177" s="327"/>
      <c r="BM1177" s="327"/>
      <c r="BN1177" s="518"/>
      <c r="BO1177" s="327"/>
      <c r="BP1177" s="327"/>
      <c r="BQ1177" s="327"/>
      <c r="BR1177" s="327"/>
      <c r="BS1177" s="518"/>
      <c r="BT1177" s="518"/>
      <c r="BU1177" s="518"/>
      <c r="BV1177" s="518"/>
      <c r="BW1177" s="197"/>
    </row>
    <row r="1178" spans="1:75" s="198" customFormat="1" ht="14.25" collapsed="1" x14ac:dyDescent="0.45">
      <c r="A1178" s="206"/>
      <c r="B1178" s="522"/>
      <c r="C1178" s="397"/>
      <c r="D1178" s="397"/>
      <c r="E1178" s="397"/>
      <c r="F1178" s="397"/>
      <c r="G1178" s="295"/>
      <c r="H1178" s="295"/>
      <c r="I1178" s="295"/>
      <c r="J1178" s="295"/>
      <c r="K1178" s="397"/>
      <c r="L1178" s="295"/>
      <c r="M1178" s="295"/>
      <c r="N1178" s="295"/>
      <c r="O1178" s="295"/>
      <c r="P1178" s="397"/>
      <c r="Q1178" s="295"/>
      <c r="R1178" s="295"/>
      <c r="S1178" s="295"/>
      <c r="T1178" s="295"/>
      <c r="U1178" s="397"/>
      <c r="V1178" s="295"/>
      <c r="W1178" s="295"/>
      <c r="X1178" s="295"/>
      <c r="Y1178" s="295"/>
      <c r="Z1178" s="397"/>
      <c r="AA1178" s="295"/>
      <c r="AB1178" s="295"/>
      <c r="AC1178" s="295"/>
      <c r="AD1178" s="295"/>
      <c r="AE1178" s="397"/>
      <c r="AF1178" s="295"/>
      <c r="AG1178" s="295"/>
      <c r="AH1178" s="295"/>
      <c r="AI1178" s="295"/>
      <c r="AJ1178" s="397"/>
      <c r="AK1178" s="295"/>
      <c r="AL1178" s="295"/>
      <c r="AM1178" s="295"/>
      <c r="AN1178" s="295"/>
      <c r="AO1178" s="397"/>
      <c r="AP1178" s="295"/>
      <c r="AQ1178" s="295"/>
      <c r="AR1178" s="295"/>
      <c r="AS1178" s="295"/>
      <c r="AT1178" s="397"/>
      <c r="AU1178" s="295"/>
      <c r="AV1178" s="295"/>
      <c r="AW1178" s="295"/>
      <c r="AX1178" s="295"/>
      <c r="AY1178" s="397"/>
      <c r="AZ1178" s="295"/>
      <c r="BA1178" s="295"/>
      <c r="BB1178" s="295"/>
      <c r="BC1178" s="295"/>
      <c r="BD1178" s="397"/>
      <c r="BE1178" s="295"/>
      <c r="BF1178" s="295"/>
      <c r="BG1178" s="295"/>
      <c r="BH1178" s="295"/>
      <c r="BI1178" s="399"/>
      <c r="BJ1178" s="295"/>
      <c r="BK1178" s="295"/>
      <c r="BL1178" s="295"/>
      <c r="BM1178" s="295"/>
      <c r="BN1178" s="397"/>
      <c r="BO1178" s="295"/>
      <c r="BP1178" s="295"/>
      <c r="BQ1178" s="295"/>
      <c r="BR1178" s="295"/>
      <c r="BS1178" s="397"/>
      <c r="BT1178" s="397"/>
      <c r="BU1178" s="397"/>
      <c r="BV1178" s="397"/>
      <c r="BW1178" s="197"/>
    </row>
    <row r="1179" spans="1:75" s="198" customFormat="1" ht="14.25" x14ac:dyDescent="0.45">
      <c r="A1179" s="239" t="s">
        <v>1149</v>
      </c>
      <c r="B1179" s="239"/>
      <c r="C1179" s="239"/>
      <c r="D1179" s="239"/>
      <c r="E1179" s="239"/>
      <c r="F1179" s="239"/>
      <c r="G1179" s="239"/>
      <c r="H1179" s="239"/>
      <c r="I1179" s="239"/>
      <c r="J1179" s="239"/>
      <c r="K1179" s="239"/>
      <c r="L1179" s="239"/>
      <c r="M1179" s="239"/>
      <c r="N1179" s="239"/>
      <c r="O1179" s="239"/>
      <c r="P1179" s="239"/>
      <c r="Q1179" s="239"/>
      <c r="R1179" s="239"/>
      <c r="S1179" s="239"/>
      <c r="T1179" s="239"/>
      <c r="U1179" s="239"/>
      <c r="V1179" s="239"/>
      <c r="W1179" s="239"/>
      <c r="X1179" s="239"/>
      <c r="Y1179" s="239"/>
      <c r="Z1179" s="239"/>
      <c r="AA1179" s="239"/>
      <c r="AB1179" s="239"/>
      <c r="AC1179" s="239"/>
      <c r="AD1179" s="239"/>
      <c r="AE1179" s="239"/>
      <c r="AF1179" s="239"/>
      <c r="AG1179" s="239"/>
      <c r="AH1179" s="239"/>
      <c r="AI1179" s="239"/>
      <c r="AJ1179" s="239"/>
      <c r="AK1179" s="239"/>
      <c r="AL1179" s="239"/>
      <c r="AM1179" s="239"/>
      <c r="AN1179" s="239"/>
      <c r="AO1179" s="239"/>
      <c r="AP1179" s="239"/>
      <c r="AQ1179" s="239"/>
      <c r="AR1179" s="239"/>
      <c r="AS1179" s="239"/>
      <c r="AT1179" s="239"/>
      <c r="AU1179" s="239"/>
      <c r="AV1179" s="239"/>
      <c r="AW1179" s="239"/>
      <c r="AX1179" s="239"/>
      <c r="AY1179" s="239"/>
      <c r="AZ1179" s="239"/>
      <c r="BA1179" s="239"/>
      <c r="BB1179" s="239"/>
      <c r="BC1179" s="239"/>
      <c r="BD1179" s="239"/>
      <c r="BE1179" s="239"/>
      <c r="BF1179" s="239"/>
      <c r="BG1179" s="239"/>
      <c r="BH1179" s="239"/>
      <c r="BI1179" s="241"/>
      <c r="BJ1179" s="239"/>
      <c r="BK1179" s="239"/>
      <c r="BL1179" s="239"/>
      <c r="BM1179" s="239"/>
      <c r="BN1179" s="239"/>
      <c r="BO1179" s="239"/>
      <c r="BP1179" s="239"/>
      <c r="BQ1179" s="239"/>
      <c r="BR1179" s="239"/>
      <c r="BS1179" s="239"/>
      <c r="BT1179" s="239"/>
      <c r="BU1179" s="239"/>
      <c r="BV1179" s="239"/>
      <c r="BW1179" s="197"/>
    </row>
    <row r="1180" spans="1:75" s="198" customFormat="1" ht="14.25" hidden="1" outlineLevel="1" x14ac:dyDescent="0.45">
      <c r="A1180" s="206" t="s">
        <v>1047</v>
      </c>
      <c r="B1180" s="522"/>
      <c r="C1180" s="397">
        <v>625.68499999999995</v>
      </c>
      <c r="D1180" s="397">
        <v>772.75199999999995</v>
      </c>
      <c r="E1180" s="397">
        <v>958.08400000000006</v>
      </c>
      <c r="F1180" s="397">
        <v>1193.046</v>
      </c>
      <c r="G1180" s="295">
        <v>301.33699999999999</v>
      </c>
      <c r="H1180" s="295">
        <v>382.09800000000001</v>
      </c>
      <c r="I1180" s="295">
        <v>395.83199999999999</v>
      </c>
      <c r="J1180" s="295">
        <v>471.69400000000002</v>
      </c>
      <c r="K1180" s="397">
        <v>1550.9609999999998</v>
      </c>
      <c r="L1180" s="295">
        <v>366.25400000000002</v>
      </c>
      <c r="M1180" s="295">
        <v>433.76600000000002</v>
      </c>
      <c r="N1180" s="295">
        <v>484.67500000000001</v>
      </c>
      <c r="O1180" s="295">
        <v>582.72699999999998</v>
      </c>
      <c r="P1180" s="397">
        <v>1867.422</v>
      </c>
      <c r="Q1180" s="295">
        <v>422.44499999999999</v>
      </c>
      <c r="R1180" s="295">
        <v>506.94200000000001</v>
      </c>
      <c r="S1180" s="295">
        <v>532.41099999999994</v>
      </c>
      <c r="T1180" s="295">
        <v>647.20800000000008</v>
      </c>
      <c r="U1180" s="397">
        <v>2109.0059999999999</v>
      </c>
      <c r="V1180" s="295">
        <v>455.45600000000002</v>
      </c>
      <c r="W1180" s="295">
        <v>543.38099999999997</v>
      </c>
      <c r="X1180" s="295">
        <v>549.32799999999997</v>
      </c>
      <c r="Y1180" s="295">
        <v>586.70600000000013</v>
      </c>
      <c r="Z1180" s="397">
        <v>2134.8710000000001</v>
      </c>
      <c r="AA1180" s="295">
        <v>562.08000000000004</v>
      </c>
      <c r="AB1180" s="295">
        <v>615.32600000000002</v>
      </c>
      <c r="AC1180" s="295">
        <v>592.47299999999996</v>
      </c>
      <c r="AD1180" s="295">
        <v>670.29500000000007</v>
      </c>
      <c r="AE1180" s="397">
        <v>2440.174</v>
      </c>
      <c r="AF1180" s="295">
        <v>557.40599999999995</v>
      </c>
      <c r="AG1180" s="295">
        <v>640.798</v>
      </c>
      <c r="AH1180" s="295">
        <v>636.55799999999999</v>
      </c>
      <c r="AI1180" s="295">
        <v>670.89099999999985</v>
      </c>
      <c r="AJ1180" s="397">
        <v>2505.6529999999998</v>
      </c>
      <c r="AK1180" s="295">
        <v>598.42100000000005</v>
      </c>
      <c r="AL1180" s="295">
        <v>706.51400000000001</v>
      </c>
      <c r="AM1180" s="295">
        <v>677.52599999999995</v>
      </c>
      <c r="AN1180" s="295">
        <v>664.97600000000011</v>
      </c>
      <c r="AO1180" s="397">
        <v>2647.4369999999999</v>
      </c>
      <c r="AP1180" s="295">
        <v>482.89499999999998</v>
      </c>
      <c r="AQ1180" s="295">
        <v>709.28200000000004</v>
      </c>
      <c r="AR1180" s="295">
        <v>844.01300000000003</v>
      </c>
      <c r="AS1180" s="295">
        <v>812.43600000000015</v>
      </c>
      <c r="AT1180" s="397">
        <v>2848.6260000000002</v>
      </c>
      <c r="AU1180" s="295">
        <v>860.79200000000003</v>
      </c>
      <c r="AV1180" s="295">
        <v>988.85900000000004</v>
      </c>
      <c r="AW1180" s="295">
        <v>1006.428</v>
      </c>
      <c r="AX1180" s="295">
        <v>902.74099999999999</v>
      </c>
      <c r="AY1180" s="397">
        <v>3758.82</v>
      </c>
      <c r="AZ1180" s="295">
        <v>957.29200000000003</v>
      </c>
      <c r="BA1180" s="295">
        <v>991.62</v>
      </c>
      <c r="BB1180" s="295">
        <v>869.06600000000003</v>
      </c>
      <c r="BC1180" s="295">
        <v>772.4989999999998</v>
      </c>
      <c r="BD1180" s="397">
        <v>3590.4769999999999</v>
      </c>
      <c r="BE1180" s="295">
        <v>739.16200000000003</v>
      </c>
      <c r="BF1180" s="295">
        <v>800.47900000000004</v>
      </c>
      <c r="BG1180" s="295">
        <v>751.22500000000002</v>
      </c>
      <c r="BH1180" s="295">
        <v>738.26000000000022</v>
      </c>
      <c r="BI1180" s="399">
        <v>3029.1260000000002</v>
      </c>
      <c r="BJ1180" s="295">
        <v>724.30666937030503</v>
      </c>
      <c r="BK1180" s="295">
        <v>843.87017366659359</v>
      </c>
      <c r="BL1180" s="295">
        <v>858.05847997245769</v>
      </c>
      <c r="BM1180" s="295">
        <v>817.14564223589525</v>
      </c>
      <c r="BN1180" s="397">
        <v>3243.3809652452514</v>
      </c>
      <c r="BO1180" s="295">
        <v>854.70979240054055</v>
      </c>
      <c r="BP1180" s="295">
        <v>970.84911868488791</v>
      </c>
      <c r="BQ1180" s="295">
        <v>982.77532821819</v>
      </c>
      <c r="BR1180" s="295">
        <v>896.8306576111587</v>
      </c>
      <c r="BS1180" s="397">
        <v>3705.1648969147768</v>
      </c>
      <c r="BT1180" s="397">
        <v>3918.4563951545861</v>
      </c>
      <c r="BU1180" s="397">
        <v>4044.0914538325114</v>
      </c>
      <c r="BV1180" s="397">
        <v>4129.9485146933448</v>
      </c>
      <c r="BW1180" s="197"/>
    </row>
    <row r="1181" spans="1:75" s="123" customFormat="1" hidden="1" outlineLevel="1" x14ac:dyDescent="0.5">
      <c r="A1181" s="445" t="s">
        <v>1150</v>
      </c>
      <c r="B1181" s="677"/>
      <c r="C1181" s="406">
        <v>0</v>
      </c>
      <c r="D1181" s="406">
        <v>0</v>
      </c>
      <c r="E1181" s="406">
        <v>0</v>
      </c>
      <c r="F1181" s="406">
        <v>0</v>
      </c>
      <c r="G1181" s="312">
        <v>0</v>
      </c>
      <c r="H1181" s="312">
        <v>0</v>
      </c>
      <c r="I1181" s="312">
        <v>0</v>
      </c>
      <c r="J1181" s="312">
        <v>0</v>
      </c>
      <c r="K1181" s="406">
        <v>0</v>
      </c>
      <c r="L1181" s="312">
        <v>0</v>
      </c>
      <c r="M1181" s="312">
        <v>0</v>
      </c>
      <c r="N1181" s="312">
        <v>0</v>
      </c>
      <c r="O1181" s="312">
        <v>0</v>
      </c>
      <c r="P1181" s="406">
        <v>0</v>
      </c>
      <c r="Q1181" s="312">
        <v>0</v>
      </c>
      <c r="R1181" s="312">
        <v>0</v>
      </c>
      <c r="S1181" s="312">
        <v>0</v>
      </c>
      <c r="T1181" s="312">
        <v>0</v>
      </c>
      <c r="U1181" s="406">
        <v>0</v>
      </c>
      <c r="V1181" s="312">
        <v>0</v>
      </c>
      <c r="W1181" s="312">
        <v>0</v>
      </c>
      <c r="X1181" s="312">
        <v>0</v>
      </c>
      <c r="Y1181" s="312">
        <v>3.4409999999999998</v>
      </c>
      <c r="Z1181" s="406">
        <v>3.4409999999999998</v>
      </c>
      <c r="AA1181" s="312">
        <v>0</v>
      </c>
      <c r="AB1181" s="312">
        <v>3.8130000000000002</v>
      </c>
      <c r="AC1181" s="312">
        <v>0</v>
      </c>
      <c r="AD1181" s="312">
        <v>-0.60599999999999998</v>
      </c>
      <c r="AE1181" s="406">
        <v>3.2069999999999999</v>
      </c>
      <c r="AF1181" s="312">
        <v>0</v>
      </c>
      <c r="AG1181" s="312">
        <v>1.853</v>
      </c>
      <c r="AH1181" s="312">
        <v>1.948</v>
      </c>
      <c r="AI1181" s="312">
        <v>0.93200000000000005</v>
      </c>
      <c r="AJ1181" s="406">
        <v>4.7329999999999997</v>
      </c>
      <c r="AK1181" s="312">
        <v>0.41299999999999998</v>
      </c>
      <c r="AL1181" s="312">
        <v>0</v>
      </c>
      <c r="AM1181" s="312">
        <v>-0.80400000000000005</v>
      </c>
      <c r="AN1181" s="312">
        <v>0</v>
      </c>
      <c r="AO1181" s="406">
        <v>-0.39100000000000001</v>
      </c>
      <c r="AP1181" s="312">
        <v>0</v>
      </c>
      <c r="AQ1181" s="312">
        <v>0.40600000000000003</v>
      </c>
      <c r="AR1181" s="312">
        <v>0.78100000000000003</v>
      </c>
      <c r="AS1181" s="312">
        <v>0.186</v>
      </c>
      <c r="AT1181" s="406">
        <v>1.373</v>
      </c>
      <c r="AU1181" s="312">
        <v>0</v>
      </c>
      <c r="AV1181" s="312">
        <v>0</v>
      </c>
      <c r="AW1181" s="312">
        <v>0</v>
      </c>
      <c r="AX1181" s="312">
        <v>-1.2</v>
      </c>
      <c r="AY1181" s="406">
        <v>-1.2</v>
      </c>
      <c r="AZ1181" s="312">
        <v>0</v>
      </c>
      <c r="BA1181" s="312">
        <v>0</v>
      </c>
      <c r="BB1181" s="312">
        <v>0</v>
      </c>
      <c r="BC1181" s="312">
        <v>0</v>
      </c>
      <c r="BD1181" s="406">
        <v>0</v>
      </c>
      <c r="BE1181" s="312">
        <v>0</v>
      </c>
      <c r="BF1181" s="312">
        <v>0</v>
      </c>
      <c r="BG1181" s="312">
        <v>0</v>
      </c>
      <c r="BH1181" s="312">
        <v>0</v>
      </c>
      <c r="BI1181" s="407">
        <v>0</v>
      </c>
      <c r="BJ1181" s="312">
        <v>0</v>
      </c>
      <c r="BK1181" s="312">
        <v>0</v>
      </c>
      <c r="BL1181" s="312">
        <v>0</v>
      </c>
      <c r="BM1181" s="312">
        <v>0</v>
      </c>
      <c r="BN1181" s="406">
        <v>0</v>
      </c>
      <c r="BO1181" s="312">
        <v>0</v>
      </c>
      <c r="BP1181" s="312">
        <v>0</v>
      </c>
      <c r="BQ1181" s="312">
        <v>0</v>
      </c>
      <c r="BR1181" s="312">
        <v>0</v>
      </c>
      <c r="BS1181" s="406">
        <v>0</v>
      </c>
      <c r="BT1181" s="406">
        <v>0</v>
      </c>
      <c r="BU1181" s="406">
        <v>0</v>
      </c>
      <c r="BV1181" s="406">
        <v>0</v>
      </c>
      <c r="BW1181" s="122"/>
    </row>
    <row r="1182" spans="1:75" s="198" customFormat="1" ht="14.25" collapsed="1" x14ac:dyDescent="0.45">
      <c r="A1182" s="206" t="s">
        <v>1075</v>
      </c>
      <c r="B1182" s="522"/>
      <c r="C1182" s="397">
        <v>625.68499999999995</v>
      </c>
      <c r="D1182" s="397">
        <v>772.75199999999995</v>
      </c>
      <c r="E1182" s="397">
        <v>958.08400000000006</v>
      </c>
      <c r="F1182" s="397">
        <v>1193.046</v>
      </c>
      <c r="G1182" s="295">
        <v>301.33699999999999</v>
      </c>
      <c r="H1182" s="295">
        <v>382.09800000000001</v>
      </c>
      <c r="I1182" s="295">
        <v>395.83199999999999</v>
      </c>
      <c r="J1182" s="295">
        <v>471.69400000000002</v>
      </c>
      <c r="K1182" s="397">
        <v>1550.9609999999998</v>
      </c>
      <c r="L1182" s="295">
        <v>366.25400000000002</v>
      </c>
      <c r="M1182" s="295">
        <v>433.76600000000002</v>
      </c>
      <c r="N1182" s="295">
        <v>484.67500000000001</v>
      </c>
      <c r="O1182" s="295">
        <v>582.72699999999998</v>
      </c>
      <c r="P1182" s="397">
        <v>1867.422</v>
      </c>
      <c r="Q1182" s="295">
        <v>422.44499999999999</v>
      </c>
      <c r="R1182" s="295">
        <v>506.94200000000001</v>
      </c>
      <c r="S1182" s="295">
        <v>532.41099999999994</v>
      </c>
      <c r="T1182" s="295">
        <v>647.20800000000008</v>
      </c>
      <c r="U1182" s="397">
        <v>2109.0059999999999</v>
      </c>
      <c r="V1182" s="295">
        <v>455.45600000000002</v>
      </c>
      <c r="W1182" s="295">
        <v>543.38099999999997</v>
      </c>
      <c r="X1182" s="295">
        <v>549.32799999999997</v>
      </c>
      <c r="Y1182" s="295">
        <v>590.14700000000016</v>
      </c>
      <c r="Z1182" s="397">
        <v>2138.3119999999999</v>
      </c>
      <c r="AA1182" s="295">
        <v>562.08000000000004</v>
      </c>
      <c r="AB1182" s="295">
        <v>619.13900000000001</v>
      </c>
      <c r="AC1182" s="295">
        <v>592.47299999999996</v>
      </c>
      <c r="AD1182" s="295">
        <v>669.68900000000008</v>
      </c>
      <c r="AE1182" s="397">
        <v>2443.3809999999999</v>
      </c>
      <c r="AF1182" s="295">
        <v>557.40599999999995</v>
      </c>
      <c r="AG1182" s="295">
        <v>642.65099999999995</v>
      </c>
      <c r="AH1182" s="295">
        <v>638.50599999999997</v>
      </c>
      <c r="AI1182" s="295">
        <v>671.82299999999987</v>
      </c>
      <c r="AJ1182" s="397">
        <v>2510.386</v>
      </c>
      <c r="AK1182" s="295">
        <v>598.83400000000006</v>
      </c>
      <c r="AL1182" s="295">
        <v>706.51400000000001</v>
      </c>
      <c r="AM1182" s="295">
        <v>676.72199999999998</v>
      </c>
      <c r="AN1182" s="295">
        <v>664.97600000000011</v>
      </c>
      <c r="AO1182" s="397">
        <v>2647.0459999999998</v>
      </c>
      <c r="AP1182" s="295">
        <v>482.89499999999998</v>
      </c>
      <c r="AQ1182" s="295">
        <v>709.68799999999999</v>
      </c>
      <c r="AR1182" s="295">
        <v>844.79399999999998</v>
      </c>
      <c r="AS1182" s="295">
        <v>812.62200000000018</v>
      </c>
      <c r="AT1182" s="397">
        <v>2849.9990000000003</v>
      </c>
      <c r="AU1182" s="295">
        <v>860.79200000000003</v>
      </c>
      <c r="AV1182" s="295">
        <v>988.85900000000004</v>
      </c>
      <c r="AW1182" s="295">
        <v>1006.428</v>
      </c>
      <c r="AX1182" s="295">
        <v>901.54099999999994</v>
      </c>
      <c r="AY1182" s="397">
        <v>3757.6200000000003</v>
      </c>
      <c r="AZ1182" s="295">
        <v>957.29200000000003</v>
      </c>
      <c r="BA1182" s="295">
        <v>991.62</v>
      </c>
      <c r="BB1182" s="295">
        <v>869.06600000000003</v>
      </c>
      <c r="BC1182" s="295">
        <v>772.4989999999998</v>
      </c>
      <c r="BD1182" s="397">
        <v>3590.4769999999999</v>
      </c>
      <c r="BE1182" s="295">
        <v>739.16200000000003</v>
      </c>
      <c r="BF1182" s="295">
        <v>800.47900000000004</v>
      </c>
      <c r="BG1182" s="295">
        <v>751.22500000000002</v>
      </c>
      <c r="BH1182" s="295">
        <v>738.26000000000022</v>
      </c>
      <c r="BI1182" s="399">
        <v>3029.1260000000002</v>
      </c>
      <c r="BJ1182" s="295">
        <v>724.30666937030503</v>
      </c>
      <c r="BK1182" s="295">
        <v>843.87017366659359</v>
      </c>
      <c r="BL1182" s="295">
        <v>858.05847997245769</v>
      </c>
      <c r="BM1182" s="295">
        <v>817.14564223589525</v>
      </c>
      <c r="BN1182" s="397">
        <v>3243.3809652452514</v>
      </c>
      <c r="BO1182" s="295">
        <v>854.70979240054055</v>
      </c>
      <c r="BP1182" s="295">
        <v>970.84911868488791</v>
      </c>
      <c r="BQ1182" s="295">
        <v>982.77532821819</v>
      </c>
      <c r="BR1182" s="295">
        <v>896.8306576111587</v>
      </c>
      <c r="BS1182" s="397">
        <v>3705.1648969147768</v>
      </c>
      <c r="BT1182" s="397">
        <v>3918.4563951545861</v>
      </c>
      <c r="BU1182" s="397">
        <v>4044.0914538325114</v>
      </c>
      <c r="BV1182" s="397">
        <v>4129.9485146933448</v>
      </c>
      <c r="BW1182" s="197"/>
    </row>
    <row r="1183" spans="1:75" s="722" customFormat="1" ht="14.25" x14ac:dyDescent="0.45">
      <c r="A1183" s="719" t="s">
        <v>188</v>
      </c>
      <c r="B1183" s="720"/>
      <c r="C1183" s="414"/>
      <c r="D1183" s="414"/>
      <c r="E1183" s="414"/>
      <c r="F1183" s="414"/>
      <c r="G1183" s="413"/>
      <c r="H1183" s="413"/>
      <c r="I1183" s="413"/>
      <c r="J1183" s="413"/>
      <c r="K1183" s="414"/>
      <c r="L1183" s="413"/>
      <c r="M1183" s="413"/>
      <c r="N1183" s="413"/>
      <c r="O1183" s="413"/>
      <c r="P1183" s="414"/>
      <c r="Q1183" s="413"/>
      <c r="R1183" s="413"/>
      <c r="S1183" s="413"/>
      <c r="T1183" s="413"/>
      <c r="U1183" s="414"/>
      <c r="V1183" s="413"/>
      <c r="W1183" s="410"/>
      <c r="X1183" s="413"/>
      <c r="Y1183" s="410"/>
      <c r="Z1183" s="201"/>
      <c r="AA1183" s="413"/>
      <c r="AB1183" s="413"/>
      <c r="AC1183" s="413"/>
      <c r="AD1183" s="410"/>
      <c r="AE1183" s="201"/>
      <c r="AF1183" s="413"/>
      <c r="AG1183" s="413"/>
      <c r="AH1183" s="413"/>
      <c r="AI1183" s="410"/>
      <c r="AJ1183" s="201"/>
      <c r="AK1183" s="413"/>
      <c r="AL1183" s="413"/>
      <c r="AM1183" s="413"/>
      <c r="AN1183" s="410"/>
      <c r="AO1183" s="201"/>
      <c r="AP1183" s="413"/>
      <c r="AQ1183" s="413"/>
      <c r="AR1183" s="413"/>
      <c r="AS1183" s="410"/>
      <c r="AT1183" s="201"/>
      <c r="AU1183" s="413"/>
      <c r="AV1183" s="413"/>
      <c r="AW1183" s="413"/>
      <c r="AX1183" s="410"/>
      <c r="AY1183" s="201"/>
      <c r="AZ1183" s="413"/>
      <c r="BA1183" s="413"/>
      <c r="BB1183" s="413"/>
      <c r="BC1183" s="410"/>
      <c r="BD1183" s="201"/>
      <c r="BE1183" s="413"/>
      <c r="BF1183" s="413"/>
      <c r="BG1183" s="413"/>
      <c r="BH1183" s="410"/>
      <c r="BI1183" s="203"/>
      <c r="BJ1183" s="413" t="s">
        <v>189</v>
      </c>
      <c r="BK1183" s="413" t="s">
        <v>189</v>
      </c>
      <c r="BL1183" s="413" t="s">
        <v>189</v>
      </c>
      <c r="BM1183" s="413" t="s">
        <v>189</v>
      </c>
      <c r="BN1183" s="721" t="s">
        <v>189</v>
      </c>
      <c r="BO1183" s="413" t="s">
        <v>189</v>
      </c>
      <c r="BP1183" s="413" t="s">
        <v>189</v>
      </c>
      <c r="BQ1183" s="413" t="s">
        <v>189</v>
      </c>
      <c r="BR1183" s="413" t="s">
        <v>189</v>
      </c>
      <c r="BS1183" s="721" t="s">
        <v>189</v>
      </c>
      <c r="BT1183" s="721" t="s">
        <v>189</v>
      </c>
      <c r="BU1183" s="721" t="s">
        <v>189</v>
      </c>
      <c r="BV1183" s="721" t="s">
        <v>189</v>
      </c>
      <c r="BW1183" s="413"/>
    </row>
    <row r="1184" spans="1:75" s="198" customFormat="1" ht="14.25" x14ac:dyDescent="0.45">
      <c r="A1184" s="206"/>
      <c r="B1184" s="522"/>
      <c r="C1184" s="397"/>
      <c r="D1184" s="397"/>
      <c r="E1184" s="397"/>
      <c r="F1184" s="397"/>
      <c r="G1184" s="295"/>
      <c r="H1184" s="295"/>
      <c r="I1184" s="295"/>
      <c r="J1184" s="295"/>
      <c r="K1184" s="397"/>
      <c r="L1184" s="295"/>
      <c r="M1184" s="295"/>
      <c r="N1184" s="295"/>
      <c r="O1184" s="295"/>
      <c r="P1184" s="397"/>
      <c r="Q1184" s="295"/>
      <c r="R1184" s="295"/>
      <c r="S1184" s="295"/>
      <c r="T1184" s="295"/>
      <c r="U1184" s="397"/>
      <c r="V1184" s="295"/>
      <c r="W1184" s="295"/>
      <c r="X1184" s="295"/>
      <c r="Y1184" s="295"/>
      <c r="Z1184" s="397"/>
      <c r="AA1184" s="295"/>
      <c r="AB1184" s="295"/>
      <c r="AC1184" s="295"/>
      <c r="AD1184" s="295"/>
      <c r="AE1184" s="397"/>
      <c r="AF1184" s="295"/>
      <c r="AG1184" s="295"/>
      <c r="AH1184" s="295"/>
      <c r="AI1184" s="295"/>
      <c r="AJ1184" s="397"/>
      <c r="AK1184" s="295"/>
      <c r="AL1184" s="295"/>
      <c r="AM1184" s="295"/>
      <c r="AN1184" s="295"/>
      <c r="AO1184" s="397"/>
      <c r="AP1184" s="295"/>
      <c r="AQ1184" s="295"/>
      <c r="AR1184" s="295"/>
      <c r="AS1184" s="295"/>
      <c r="AT1184" s="397"/>
      <c r="AU1184" s="295"/>
      <c r="AV1184" s="295"/>
      <c r="AW1184" s="295"/>
      <c r="AX1184" s="295"/>
      <c r="AY1184" s="397"/>
      <c r="AZ1184" s="295"/>
      <c r="BA1184" s="295"/>
      <c r="BB1184" s="295"/>
      <c r="BC1184" s="295"/>
      <c r="BD1184" s="397"/>
      <c r="BE1184" s="295"/>
      <c r="BF1184" s="295"/>
      <c r="BG1184" s="295"/>
      <c r="BH1184" s="295"/>
      <c r="BI1184" s="399"/>
      <c r="BJ1184" s="295"/>
      <c r="BK1184" s="295"/>
      <c r="BL1184" s="295"/>
      <c r="BM1184" s="295"/>
      <c r="BN1184" s="397"/>
      <c r="BO1184" s="295"/>
      <c r="BP1184" s="295"/>
      <c r="BQ1184" s="295"/>
      <c r="BR1184" s="295"/>
      <c r="BS1184" s="397"/>
      <c r="BT1184" s="397"/>
      <c r="BU1184" s="397"/>
      <c r="BV1184" s="397"/>
      <c r="BW1184" s="197"/>
    </row>
    <row r="1185" spans="1:75" s="123" customFormat="1" hidden="1" outlineLevel="1" x14ac:dyDescent="0.5">
      <c r="A1185" s="184" t="s">
        <v>1151</v>
      </c>
      <c r="B1185" s="513"/>
      <c r="C1185" s="401">
        <v>412.62900000000002</v>
      </c>
      <c r="D1185" s="401">
        <v>501.13200000000001</v>
      </c>
      <c r="E1185" s="401">
        <v>601.73500000000001</v>
      </c>
      <c r="F1185" s="401">
        <v>756.59699999999998</v>
      </c>
      <c r="G1185" s="118">
        <v>199.46</v>
      </c>
      <c r="H1185" s="118">
        <v>242.87200000000001</v>
      </c>
      <c r="I1185" s="118">
        <v>255.03200000000001</v>
      </c>
      <c r="J1185" s="118">
        <v>296.71699999999998</v>
      </c>
      <c r="K1185" s="401">
        <v>994.08100000000002</v>
      </c>
      <c r="L1185" s="118">
        <v>241.905</v>
      </c>
      <c r="M1185" s="118">
        <v>265.85700000000003</v>
      </c>
      <c r="N1185" s="118">
        <v>304.30200000000002</v>
      </c>
      <c r="O1185" s="118">
        <v>364.584</v>
      </c>
      <c r="P1185" s="401">
        <v>1176.6480000000001</v>
      </c>
      <c r="Q1185" s="118">
        <v>279.02699999999999</v>
      </c>
      <c r="R1185" s="118">
        <v>312.67899999999997</v>
      </c>
      <c r="S1185" s="118">
        <v>341.661</v>
      </c>
      <c r="T1185" s="118">
        <v>422.94700000000012</v>
      </c>
      <c r="U1185" s="401">
        <v>1356.3140000000001</v>
      </c>
      <c r="V1185" s="118">
        <v>327.98099999999999</v>
      </c>
      <c r="W1185" s="118">
        <v>363.54199999999997</v>
      </c>
      <c r="X1185" s="118">
        <v>373.50900000000001</v>
      </c>
      <c r="Y1185" s="118">
        <v>390.05200000000013</v>
      </c>
      <c r="Z1185" s="401">
        <v>1455.0840000000001</v>
      </c>
      <c r="AA1185" s="118">
        <v>391.82400000000001</v>
      </c>
      <c r="AB1185" s="118">
        <v>409.51299999999998</v>
      </c>
      <c r="AC1185" s="118">
        <v>378.14800000000002</v>
      </c>
      <c r="AD1185" s="118">
        <v>411.62199999999984</v>
      </c>
      <c r="AE1185" s="401">
        <v>1591.107</v>
      </c>
      <c r="AF1185" s="118">
        <v>348.07299999999998</v>
      </c>
      <c r="AG1185" s="118">
        <v>372.45400000000001</v>
      </c>
      <c r="AH1185" s="118">
        <v>386.53699999999998</v>
      </c>
      <c r="AI1185" s="118">
        <v>413.01199999999994</v>
      </c>
      <c r="AJ1185" s="401">
        <v>1520.076</v>
      </c>
      <c r="AK1185" s="118">
        <v>365.60700000000003</v>
      </c>
      <c r="AL1185" s="118">
        <v>411.55599999999998</v>
      </c>
      <c r="AM1185" s="118">
        <v>393.36</v>
      </c>
      <c r="AN1185" s="118">
        <v>381.90299999999979</v>
      </c>
      <c r="AO1185" s="401">
        <v>1552.4259999999999</v>
      </c>
      <c r="AP1185" s="118">
        <v>283.24099999999999</v>
      </c>
      <c r="AQ1185" s="118">
        <v>376.863</v>
      </c>
      <c r="AR1185" s="118">
        <v>435.68299999999999</v>
      </c>
      <c r="AS1185" s="118">
        <v>427.30799999999999</v>
      </c>
      <c r="AT1185" s="401">
        <v>1523.095</v>
      </c>
      <c r="AU1185" s="118">
        <v>453.815</v>
      </c>
      <c r="AV1185" s="118">
        <v>501.18299999999999</v>
      </c>
      <c r="AW1185" s="118">
        <v>501.17399999999998</v>
      </c>
      <c r="AX1185" s="118">
        <v>447.23700000000008</v>
      </c>
      <c r="AY1185" s="401">
        <v>1903.4090000000001</v>
      </c>
      <c r="AZ1185" s="118">
        <v>458.709</v>
      </c>
      <c r="BA1185" s="118">
        <v>468.40199999999999</v>
      </c>
      <c r="BB1185" s="118">
        <v>448.28800000000001</v>
      </c>
      <c r="BC1185" s="118">
        <v>403.09300000000007</v>
      </c>
      <c r="BD1185" s="401">
        <v>1778.492</v>
      </c>
      <c r="BE1185" s="118">
        <v>391.61700000000002</v>
      </c>
      <c r="BF1185" s="118">
        <v>420.40600000000001</v>
      </c>
      <c r="BG1185" s="118">
        <v>410.77499999999998</v>
      </c>
      <c r="BH1185" s="118">
        <v>417.30899999999997</v>
      </c>
      <c r="BI1185" s="402">
        <v>1640.107</v>
      </c>
      <c r="BJ1185" s="118">
        <v>422.78204771591817</v>
      </c>
      <c r="BK1185" s="118">
        <v>459.15363124161803</v>
      </c>
      <c r="BL1185" s="118">
        <v>464.4821127889989</v>
      </c>
      <c r="BM1185" s="118">
        <v>450.89179908883187</v>
      </c>
      <c r="BN1185" s="401">
        <v>1797.3095908353671</v>
      </c>
      <c r="BO1185" s="118">
        <v>487.49945380639963</v>
      </c>
      <c r="BP1185" s="118">
        <v>524.15267506839473</v>
      </c>
      <c r="BQ1185" s="118">
        <v>529.08988379920834</v>
      </c>
      <c r="BR1185" s="118">
        <v>490.77823207790476</v>
      </c>
      <c r="BS1185" s="401">
        <v>2031.5202447519073</v>
      </c>
      <c r="BT1185" s="401">
        <v>2137.6880956393679</v>
      </c>
      <c r="BU1185" s="401">
        <v>2194.5698306654431</v>
      </c>
      <c r="BV1185" s="401">
        <v>2229.0364952063137</v>
      </c>
      <c r="BW1185" s="118"/>
    </row>
    <row r="1186" spans="1:75" s="123" customFormat="1" hidden="1" outlineLevel="1" x14ac:dyDescent="0.5">
      <c r="A1186" s="497" t="s">
        <v>1152</v>
      </c>
      <c r="B1186" s="677"/>
      <c r="C1186" s="406">
        <v>12.78</v>
      </c>
      <c r="D1186" s="406">
        <v>0</v>
      </c>
      <c r="E1186" s="406">
        <v>0</v>
      </c>
      <c r="F1186" s="406">
        <v>-3.25</v>
      </c>
      <c r="G1186" s="723">
        <v>0</v>
      </c>
      <c r="H1186" s="723">
        <v>0</v>
      </c>
      <c r="I1186" s="723">
        <v>0</v>
      </c>
      <c r="J1186" s="723">
        <v>0</v>
      </c>
      <c r="K1186" s="406">
        <v>0</v>
      </c>
      <c r="L1186" s="723">
        <v>0</v>
      </c>
      <c r="M1186" s="723">
        <v>0</v>
      </c>
      <c r="N1186" s="723">
        <v>0</v>
      </c>
      <c r="O1186" s="723">
        <v>0</v>
      </c>
      <c r="P1186" s="406">
        <v>0</v>
      </c>
      <c r="Q1186" s="723">
        <v>-1.379</v>
      </c>
      <c r="R1186" s="723">
        <v>-4.8440000000000003</v>
      </c>
      <c r="S1186" s="723">
        <v>-4.8010000000000002</v>
      </c>
      <c r="T1186" s="723">
        <v>-6.19</v>
      </c>
      <c r="U1186" s="406">
        <v>-17.213999999999999</v>
      </c>
      <c r="V1186" s="723">
        <v>-7.7290000000000001</v>
      </c>
      <c r="W1186" s="723">
        <v>-3.4009999999999998</v>
      </c>
      <c r="X1186" s="723">
        <v>-1.786</v>
      </c>
      <c r="Y1186" s="723">
        <v>-4.3679999999999994</v>
      </c>
      <c r="Z1186" s="406">
        <v>-17.284000000000002</v>
      </c>
      <c r="AA1186" s="723">
        <v>-1.38</v>
      </c>
      <c r="AB1186" s="723">
        <v>-1.242999999999999</v>
      </c>
      <c r="AC1186" s="723">
        <v>-4.2970000000000006</v>
      </c>
      <c r="AD1186" s="723">
        <v>0.54300000000000004</v>
      </c>
      <c r="AE1186" s="406">
        <v>-6.3769999999999998</v>
      </c>
      <c r="AF1186" s="723">
        <v>6.4000000000000001E-2</v>
      </c>
      <c r="AG1186" s="723">
        <v>3.0720000000000001</v>
      </c>
      <c r="AH1186" s="723">
        <v>-3.2159999999999997</v>
      </c>
      <c r="AI1186" s="723">
        <v>-1.4460000000000002</v>
      </c>
      <c r="AJ1186" s="406">
        <v>-1.5259999999999998</v>
      </c>
      <c r="AK1186" s="723">
        <v>-0.93199999999999994</v>
      </c>
      <c r="AL1186" s="723">
        <v>-1.5959999999999999</v>
      </c>
      <c r="AM1186" s="723">
        <v>0.99099999999999988</v>
      </c>
      <c r="AN1186" s="723">
        <v>0</v>
      </c>
      <c r="AO1186" s="406">
        <v>-1.5369999999999999</v>
      </c>
      <c r="AP1186" s="723">
        <v>-2.35</v>
      </c>
      <c r="AQ1186" s="723">
        <v>-4.3740000000000006</v>
      </c>
      <c r="AR1186" s="723">
        <v>0</v>
      </c>
      <c r="AS1186" s="723">
        <v>-0.18</v>
      </c>
      <c r="AT1186" s="406">
        <v>-6.903999999999999</v>
      </c>
      <c r="AU1186" s="723">
        <v>0</v>
      </c>
      <c r="AV1186" s="723">
        <v>0</v>
      </c>
      <c r="AW1186" s="723">
        <v>0</v>
      </c>
      <c r="AX1186" s="723">
        <v>0</v>
      </c>
      <c r="AY1186" s="406">
        <v>0</v>
      </c>
      <c r="AZ1186" s="723">
        <v>0</v>
      </c>
      <c r="BA1186" s="723">
        <v>0</v>
      </c>
      <c r="BB1186" s="723">
        <v>-10.926</v>
      </c>
      <c r="BC1186" s="723">
        <v>0</v>
      </c>
      <c r="BD1186" s="406">
        <v>-10.926</v>
      </c>
      <c r="BE1186" s="723">
        <v>0</v>
      </c>
      <c r="BF1186" s="723">
        <v>0</v>
      </c>
      <c r="BG1186" s="723">
        <v>0</v>
      </c>
      <c r="BH1186" s="723">
        <v>0</v>
      </c>
      <c r="BI1186" s="407">
        <v>0</v>
      </c>
      <c r="BJ1186" s="723">
        <v>0</v>
      </c>
      <c r="BK1186" s="723">
        <v>0</v>
      </c>
      <c r="BL1186" s="723">
        <v>0</v>
      </c>
      <c r="BM1186" s="723">
        <v>0</v>
      </c>
      <c r="BN1186" s="406">
        <v>0</v>
      </c>
      <c r="BO1186" s="723">
        <v>0</v>
      </c>
      <c r="BP1186" s="723">
        <v>0</v>
      </c>
      <c r="BQ1186" s="723">
        <v>0</v>
      </c>
      <c r="BR1186" s="723">
        <v>0</v>
      </c>
      <c r="BS1186" s="406">
        <v>0</v>
      </c>
      <c r="BT1186" s="406">
        <v>0</v>
      </c>
      <c r="BU1186" s="406">
        <v>0</v>
      </c>
      <c r="BV1186" s="406">
        <v>0</v>
      </c>
      <c r="BW1186" s="118"/>
    </row>
    <row r="1187" spans="1:75" s="123" customFormat="1" collapsed="1" x14ac:dyDescent="0.5">
      <c r="A1187" s="206" t="s">
        <v>1083</v>
      </c>
      <c r="B1187" s="522"/>
      <c r="C1187" s="397">
        <v>200.27599999999993</v>
      </c>
      <c r="D1187" s="397">
        <v>271.61999999999995</v>
      </c>
      <c r="E1187" s="397">
        <v>356.34900000000005</v>
      </c>
      <c r="F1187" s="397">
        <v>439.69900000000007</v>
      </c>
      <c r="G1187" s="295">
        <v>101.87699999999998</v>
      </c>
      <c r="H1187" s="295">
        <v>139.226</v>
      </c>
      <c r="I1187" s="295">
        <v>140.79999999999998</v>
      </c>
      <c r="J1187" s="295">
        <v>174.97700000000003</v>
      </c>
      <c r="K1187" s="397">
        <v>556.87999999999977</v>
      </c>
      <c r="L1187" s="295">
        <v>124.34900000000002</v>
      </c>
      <c r="M1187" s="295">
        <v>167.90899999999999</v>
      </c>
      <c r="N1187" s="295">
        <v>180.37299999999999</v>
      </c>
      <c r="O1187" s="295">
        <v>218.14299999999997</v>
      </c>
      <c r="P1187" s="397">
        <v>690.77399999999989</v>
      </c>
      <c r="Q1187" s="295">
        <v>144.797</v>
      </c>
      <c r="R1187" s="295">
        <v>199.10700000000003</v>
      </c>
      <c r="S1187" s="295">
        <v>195.55099999999993</v>
      </c>
      <c r="T1187" s="295">
        <v>230.45099999999996</v>
      </c>
      <c r="U1187" s="397">
        <v>769.90599999999972</v>
      </c>
      <c r="V1187" s="295">
        <v>135.20400000000004</v>
      </c>
      <c r="W1187" s="295">
        <v>183.24</v>
      </c>
      <c r="X1187" s="295">
        <v>177.60499999999996</v>
      </c>
      <c r="Y1187" s="295">
        <v>204.46300000000002</v>
      </c>
      <c r="Z1187" s="397">
        <v>700.51199999999983</v>
      </c>
      <c r="AA1187" s="295">
        <v>171.63600000000002</v>
      </c>
      <c r="AB1187" s="295">
        <v>210.86900000000003</v>
      </c>
      <c r="AC1187" s="295">
        <v>218.62199999999993</v>
      </c>
      <c r="AD1187" s="295">
        <v>257.52400000000023</v>
      </c>
      <c r="AE1187" s="397">
        <v>858.65099999999984</v>
      </c>
      <c r="AF1187" s="295">
        <v>209.26899999999998</v>
      </c>
      <c r="AG1187" s="295">
        <v>267.12499999999994</v>
      </c>
      <c r="AH1187" s="295">
        <v>255.185</v>
      </c>
      <c r="AI1187" s="295">
        <v>260.25699999999995</v>
      </c>
      <c r="AJ1187" s="397">
        <v>991.8359999999999</v>
      </c>
      <c r="AK1187" s="295">
        <v>234.15900000000002</v>
      </c>
      <c r="AL1187" s="295">
        <v>296.55400000000003</v>
      </c>
      <c r="AM1187" s="295">
        <v>282.37099999999998</v>
      </c>
      <c r="AN1187" s="295">
        <v>283.07300000000032</v>
      </c>
      <c r="AO1187" s="397">
        <v>1096.1569999999999</v>
      </c>
      <c r="AP1187" s="295">
        <v>202.00399999999999</v>
      </c>
      <c r="AQ1187" s="295">
        <v>337.19900000000001</v>
      </c>
      <c r="AR1187" s="295">
        <v>409.11099999999999</v>
      </c>
      <c r="AS1187" s="295">
        <v>385.4940000000002</v>
      </c>
      <c r="AT1187" s="397">
        <v>1333.8080000000002</v>
      </c>
      <c r="AU1187" s="295">
        <v>406.97700000000003</v>
      </c>
      <c r="AV1187" s="295">
        <v>487.67600000000004</v>
      </c>
      <c r="AW1187" s="295">
        <v>505.25400000000002</v>
      </c>
      <c r="AX1187" s="295">
        <v>454.30399999999986</v>
      </c>
      <c r="AY1187" s="397">
        <v>1854.2110000000002</v>
      </c>
      <c r="AZ1187" s="295">
        <v>498.58300000000003</v>
      </c>
      <c r="BA1187" s="295">
        <v>523.21800000000007</v>
      </c>
      <c r="BB1187" s="295">
        <v>431.70400000000001</v>
      </c>
      <c r="BC1187" s="295">
        <v>369.40599999999972</v>
      </c>
      <c r="BD1187" s="397">
        <v>1822.9109999999998</v>
      </c>
      <c r="BE1187" s="295">
        <v>347.54500000000002</v>
      </c>
      <c r="BF1187" s="295">
        <v>380.07300000000004</v>
      </c>
      <c r="BG1187" s="295">
        <v>340.45000000000005</v>
      </c>
      <c r="BH1187" s="295">
        <v>320.95100000000025</v>
      </c>
      <c r="BI1187" s="399">
        <v>1389.0190000000002</v>
      </c>
      <c r="BJ1187" s="295">
        <v>301.52462165438686</v>
      </c>
      <c r="BK1187" s="295">
        <v>384.71654242497556</v>
      </c>
      <c r="BL1187" s="295">
        <v>393.57636718345879</v>
      </c>
      <c r="BM1187" s="295">
        <v>366.25384314706338</v>
      </c>
      <c r="BN1187" s="397">
        <v>1446.0713744098844</v>
      </c>
      <c r="BO1187" s="295">
        <v>367.21033859414092</v>
      </c>
      <c r="BP1187" s="295">
        <v>446.69644361649313</v>
      </c>
      <c r="BQ1187" s="295">
        <v>453.68544441898172</v>
      </c>
      <c r="BR1187" s="295">
        <v>406.05242553325394</v>
      </c>
      <c r="BS1187" s="397">
        <v>1673.6446521628695</v>
      </c>
      <c r="BT1187" s="397">
        <v>1780.7682995152184</v>
      </c>
      <c r="BU1187" s="397">
        <v>1849.5216231670681</v>
      </c>
      <c r="BV1187" s="397">
        <v>1900.9120194870309</v>
      </c>
      <c r="BW1187" s="118"/>
    </row>
    <row r="1188" spans="1:75" s="123" customFormat="1" x14ac:dyDescent="0.5">
      <c r="A1188" s="184"/>
      <c r="B1188" s="513"/>
      <c r="C1188" s="401"/>
      <c r="D1188" s="401"/>
      <c r="E1188" s="401"/>
      <c r="F1188" s="401"/>
      <c r="G1188" s="119"/>
      <c r="H1188" s="119"/>
      <c r="I1188" s="119"/>
      <c r="J1188" s="119"/>
      <c r="K1188" s="401"/>
      <c r="L1188" s="119"/>
      <c r="M1188" s="119"/>
      <c r="N1188" s="119"/>
      <c r="O1188" s="119"/>
      <c r="P1188" s="401"/>
      <c r="Q1188" s="119"/>
      <c r="R1188" s="119"/>
      <c r="S1188" s="119"/>
      <c r="T1188" s="119"/>
      <c r="U1188" s="401"/>
      <c r="V1188" s="119"/>
      <c r="W1188" s="119"/>
      <c r="X1188" s="119"/>
      <c r="Y1188" s="119"/>
      <c r="Z1188" s="401"/>
      <c r="AA1188" s="119"/>
      <c r="AB1188" s="119"/>
      <c r="AC1188" s="119"/>
      <c r="AD1188" s="119"/>
      <c r="AE1188" s="401"/>
      <c r="AF1188" s="119"/>
      <c r="AG1188" s="119"/>
      <c r="AH1188" s="119"/>
      <c r="AI1188" s="119"/>
      <c r="AJ1188" s="401"/>
      <c r="AK1188" s="119"/>
      <c r="AL1188" s="119"/>
      <c r="AM1188" s="119"/>
      <c r="AN1188" s="119"/>
      <c r="AO1188" s="401"/>
      <c r="AP1188" s="119"/>
      <c r="AQ1188" s="119"/>
      <c r="AR1188" s="119"/>
      <c r="AS1188" s="119"/>
      <c r="AT1188" s="401"/>
      <c r="AU1188" s="119"/>
      <c r="AV1188" s="119"/>
      <c r="AW1188" s="119"/>
      <c r="AX1188" s="119"/>
      <c r="AY1188" s="401"/>
      <c r="AZ1188" s="119"/>
      <c r="BA1188" s="119"/>
      <c r="BB1188" s="119"/>
      <c r="BC1188" s="119"/>
      <c r="BD1188" s="401"/>
      <c r="BE1188" s="119"/>
      <c r="BF1188" s="119"/>
      <c r="BG1188" s="119"/>
      <c r="BH1188" s="119"/>
      <c r="BI1188" s="402"/>
      <c r="BJ1188" s="119"/>
      <c r="BK1188" s="119"/>
      <c r="BL1188" s="119"/>
      <c r="BM1188" s="119"/>
      <c r="BN1188" s="401"/>
      <c r="BO1188" s="119"/>
      <c r="BP1188" s="119"/>
      <c r="BQ1188" s="119"/>
      <c r="BR1188" s="119"/>
      <c r="BS1188" s="401"/>
      <c r="BT1188" s="401"/>
      <c r="BU1188" s="401"/>
      <c r="BV1188" s="401"/>
      <c r="BW1188" s="122"/>
    </row>
    <row r="1189" spans="1:75" s="123" customFormat="1" hidden="1" outlineLevel="1" x14ac:dyDescent="0.5">
      <c r="A1189" s="184" t="s">
        <v>0</v>
      </c>
      <c r="B1189" s="513"/>
      <c r="C1189" s="401">
        <v>238.88900000000001</v>
      </c>
      <c r="D1189" s="401">
        <v>274.83600000000001</v>
      </c>
      <c r="E1189" s="401">
        <v>329.50599999999997</v>
      </c>
      <c r="F1189" s="401">
        <v>505.48500000000001</v>
      </c>
      <c r="G1189" s="118">
        <v>101.366</v>
      </c>
      <c r="H1189" s="118">
        <v>167.006</v>
      </c>
      <c r="I1189" s="118">
        <v>116.94</v>
      </c>
      <c r="J1189" s="118">
        <v>116.717</v>
      </c>
      <c r="K1189" s="401">
        <v>502.029</v>
      </c>
      <c r="L1189" s="118">
        <v>119.571</v>
      </c>
      <c r="M1189" s="118">
        <v>118.974</v>
      </c>
      <c r="N1189" s="118">
        <v>143.685</v>
      </c>
      <c r="O1189" s="118">
        <v>142.81800000000001</v>
      </c>
      <c r="P1189" s="401">
        <v>525.048</v>
      </c>
      <c r="Q1189" s="118">
        <v>126.389</v>
      </c>
      <c r="R1189" s="118">
        <v>137.84</v>
      </c>
      <c r="S1189" s="118">
        <v>145.874</v>
      </c>
      <c r="T1189" s="118">
        <v>157.02800000000002</v>
      </c>
      <c r="U1189" s="401">
        <v>567.13099999999997</v>
      </c>
      <c r="V1189" s="118">
        <v>138.94999999999999</v>
      </c>
      <c r="W1189" s="118">
        <v>157.82400000000001</v>
      </c>
      <c r="X1189" s="118">
        <v>160.43299999999999</v>
      </c>
      <c r="Y1189" s="118">
        <v>169.54399999999998</v>
      </c>
      <c r="Z1189" s="401">
        <v>626.75099999999998</v>
      </c>
      <c r="AA1189" s="118">
        <v>163.36000000000001</v>
      </c>
      <c r="AB1189" s="118">
        <v>193.69</v>
      </c>
      <c r="AC1189" s="118">
        <v>171.16300000000001</v>
      </c>
      <c r="AD1189" s="118">
        <v>189.553</v>
      </c>
      <c r="AE1189" s="401">
        <v>717.76599999999996</v>
      </c>
      <c r="AF1189" s="118">
        <v>161.18600000000001</v>
      </c>
      <c r="AG1189" s="118">
        <v>186.52099999999999</v>
      </c>
      <c r="AH1189" s="118">
        <v>207.79300000000001</v>
      </c>
      <c r="AI1189" s="118">
        <v>168.34100000000001</v>
      </c>
      <c r="AJ1189" s="401">
        <v>723.84100000000001</v>
      </c>
      <c r="AK1189" s="118">
        <v>164.18100000000001</v>
      </c>
      <c r="AL1189" s="118">
        <v>190.977</v>
      </c>
      <c r="AM1189" s="118">
        <v>194.929</v>
      </c>
      <c r="AN1189" s="118">
        <v>182.09299999999996</v>
      </c>
      <c r="AO1189" s="401">
        <v>732.18</v>
      </c>
      <c r="AP1189" s="118">
        <v>164.20099999999999</v>
      </c>
      <c r="AQ1189" s="118">
        <v>195.851</v>
      </c>
      <c r="AR1189" s="118">
        <v>297.10899999999998</v>
      </c>
      <c r="AS1189" s="118">
        <v>201.51199999999994</v>
      </c>
      <c r="AT1189" s="401">
        <v>858.673</v>
      </c>
      <c r="AU1189" s="118">
        <v>219.089</v>
      </c>
      <c r="AV1189" s="118">
        <v>238.68799999999999</v>
      </c>
      <c r="AW1189" s="118">
        <v>232.715</v>
      </c>
      <c r="AX1189" s="118">
        <v>237.73800000000006</v>
      </c>
      <c r="AY1189" s="401">
        <v>928.23</v>
      </c>
      <c r="AZ1189" s="118">
        <v>293.29500000000002</v>
      </c>
      <c r="BA1189" s="118">
        <v>288.80399999999997</v>
      </c>
      <c r="BB1189" s="118">
        <v>250.52799999999999</v>
      </c>
      <c r="BC1189" s="118">
        <v>257.20100000000002</v>
      </c>
      <c r="BD1189" s="401">
        <v>1089.828</v>
      </c>
      <c r="BE1189" s="118">
        <v>248.30500000000001</v>
      </c>
      <c r="BF1189" s="118">
        <v>228.733</v>
      </c>
      <c r="BG1189" s="118">
        <v>289.214</v>
      </c>
      <c r="BH1189" s="118">
        <v>256.69600000000003</v>
      </c>
      <c r="BI1189" s="402">
        <v>1022.948</v>
      </c>
      <c r="BJ1189" s="118">
        <v>254.45107109749807</v>
      </c>
      <c r="BK1189" s="118">
        <v>239.11299210815673</v>
      </c>
      <c r="BL1189" s="118">
        <v>272.59155056417137</v>
      </c>
      <c r="BM1189" s="118">
        <v>260.7240294006225</v>
      </c>
      <c r="BN1189" s="401">
        <v>1026.8796431704486</v>
      </c>
      <c r="BO1189" s="118">
        <v>271.02389302468379</v>
      </c>
      <c r="BP1189" s="118">
        <v>265.59647198688606</v>
      </c>
      <c r="BQ1189" s="118">
        <v>308.88252352346819</v>
      </c>
      <c r="BR1189" s="118">
        <v>268.91358148780688</v>
      </c>
      <c r="BS1189" s="401">
        <v>1114.416470022845</v>
      </c>
      <c r="BT1189" s="401">
        <v>1140.5171772176084</v>
      </c>
      <c r="BU1189" s="401">
        <v>1138.9403400253352</v>
      </c>
      <c r="BV1189" s="401">
        <v>1124.736201022843</v>
      </c>
      <c r="BW1189" s="118"/>
    </row>
    <row r="1190" spans="1:75" s="123" customFormat="1" hidden="1" outlineLevel="1" x14ac:dyDescent="0.5">
      <c r="A1190" s="497" t="s">
        <v>1153</v>
      </c>
      <c r="B1190" s="677"/>
      <c r="C1190" s="406">
        <v>11.049000000000001</v>
      </c>
      <c r="D1190" s="406">
        <v>11.408000000000001</v>
      </c>
      <c r="E1190" s="406">
        <v>22.375999999999994</v>
      </c>
      <c r="F1190" s="406">
        <v>134.46</v>
      </c>
      <c r="G1190" s="723">
        <v>4.09</v>
      </c>
      <c r="H1190" s="723">
        <v>61.96</v>
      </c>
      <c r="I1190" s="723">
        <v>0</v>
      </c>
      <c r="J1190" s="723">
        <v>0</v>
      </c>
      <c r="K1190" s="406">
        <v>66.05</v>
      </c>
      <c r="L1190" s="723">
        <v>9.1999999999999993</v>
      </c>
      <c r="M1190" s="723">
        <v>0</v>
      </c>
      <c r="N1190" s="723">
        <v>0</v>
      </c>
      <c r="O1190" s="723">
        <v>-1.5</v>
      </c>
      <c r="P1190" s="406">
        <v>7.7</v>
      </c>
      <c r="Q1190" s="723">
        <v>0.189</v>
      </c>
      <c r="R1190" s="723">
        <v>0.63</v>
      </c>
      <c r="S1190" s="723">
        <v>0.27500000000000002</v>
      </c>
      <c r="T1190" s="723">
        <v>0.73799999999999999</v>
      </c>
      <c r="U1190" s="406">
        <v>1.8320000000000001</v>
      </c>
      <c r="V1190" s="723">
        <v>4.4559999999999995</v>
      </c>
      <c r="W1190" s="723">
        <v>7.7590000000000003</v>
      </c>
      <c r="X1190" s="723">
        <v>0.97399999999999998</v>
      </c>
      <c r="Y1190" s="723">
        <v>15.963999999999999</v>
      </c>
      <c r="Z1190" s="406">
        <v>29.153000000000002</v>
      </c>
      <c r="AA1190" s="723">
        <v>0</v>
      </c>
      <c r="AB1190" s="723">
        <v>22.728999999999999</v>
      </c>
      <c r="AC1190" s="723">
        <v>0.54600000000000004</v>
      </c>
      <c r="AD1190" s="723">
        <v>7.137999999999999</v>
      </c>
      <c r="AE1190" s="406">
        <v>30.413000000000004</v>
      </c>
      <c r="AF1190" s="723">
        <v>1.0750000000000002</v>
      </c>
      <c r="AG1190" s="723">
        <v>-5.1379999999999999</v>
      </c>
      <c r="AH1190" s="723">
        <v>13.683</v>
      </c>
      <c r="AI1190" s="723">
        <v>9.5690000000000008</v>
      </c>
      <c r="AJ1190" s="406">
        <v>19.189</v>
      </c>
      <c r="AK1190" s="723">
        <v>0.51600000000000001</v>
      </c>
      <c r="AL1190" s="723">
        <v>-0.56400000000000006</v>
      </c>
      <c r="AM1190" s="723">
        <v>0.31899999999999995</v>
      </c>
      <c r="AN1190" s="723">
        <v>14.847</v>
      </c>
      <c r="AO1190" s="406">
        <v>15.117999999999997</v>
      </c>
      <c r="AP1190" s="723">
        <v>10.263999999999999</v>
      </c>
      <c r="AQ1190" s="723">
        <v>13.574999999999999</v>
      </c>
      <c r="AR1190" s="723">
        <v>113.309</v>
      </c>
      <c r="AS1190" s="723">
        <v>8.2590000000000003</v>
      </c>
      <c r="AT1190" s="406">
        <v>145.40700000000001</v>
      </c>
      <c r="AU1190" s="723">
        <v>6.3639999999999999</v>
      </c>
      <c r="AV1190" s="723">
        <v>13.667</v>
      </c>
      <c r="AW1190" s="723">
        <v>6.1710000000000003</v>
      </c>
      <c r="AX1190" s="723">
        <v>10.445</v>
      </c>
      <c r="AY1190" s="406">
        <v>36.647000000000006</v>
      </c>
      <c r="AZ1190" s="723">
        <v>31.242000000000001</v>
      </c>
      <c r="BA1190" s="723">
        <v>10.32</v>
      </c>
      <c r="BB1190" s="723">
        <v>-0.82699999999999951</v>
      </c>
      <c r="BC1190" s="723">
        <v>16.008000000000003</v>
      </c>
      <c r="BD1190" s="406">
        <v>56.742999999999995</v>
      </c>
      <c r="BE1190" s="723">
        <v>11.152000000000001</v>
      </c>
      <c r="BF1190" s="723">
        <v>10.024000000000001</v>
      </c>
      <c r="BG1190" s="723">
        <v>3.927</v>
      </c>
      <c r="BH1190" s="723">
        <v>2.613</v>
      </c>
      <c r="BI1190" s="407">
        <v>27.716000000000001</v>
      </c>
      <c r="BJ1190" s="723">
        <v>3.5</v>
      </c>
      <c r="BK1190" s="723">
        <v>3.5</v>
      </c>
      <c r="BL1190" s="723">
        <v>3.5</v>
      </c>
      <c r="BM1190" s="723">
        <v>3.5</v>
      </c>
      <c r="BN1190" s="406">
        <v>14</v>
      </c>
      <c r="BO1190" s="723">
        <v>3.5</v>
      </c>
      <c r="BP1190" s="723">
        <v>3.5</v>
      </c>
      <c r="BQ1190" s="723">
        <v>3.5</v>
      </c>
      <c r="BR1190" s="723">
        <v>3.5</v>
      </c>
      <c r="BS1190" s="406">
        <v>14</v>
      </c>
      <c r="BT1190" s="406">
        <v>14</v>
      </c>
      <c r="BU1190" s="406">
        <v>14</v>
      </c>
      <c r="BV1190" s="406">
        <v>14</v>
      </c>
      <c r="BW1190" s="118"/>
    </row>
    <row r="1191" spans="1:75" s="123" customFormat="1" collapsed="1" x14ac:dyDescent="0.5">
      <c r="A1191" s="184" t="s">
        <v>1154</v>
      </c>
      <c r="B1191" s="513"/>
      <c r="C1191" s="401">
        <v>227.84</v>
      </c>
      <c r="D1191" s="401">
        <v>263.428</v>
      </c>
      <c r="E1191" s="401">
        <v>307.13</v>
      </c>
      <c r="F1191" s="401">
        <v>371.02499999999998</v>
      </c>
      <c r="G1191" s="118">
        <v>97.275999999999996</v>
      </c>
      <c r="H1191" s="118">
        <v>105.04599999999999</v>
      </c>
      <c r="I1191" s="118">
        <v>116.94</v>
      </c>
      <c r="J1191" s="118">
        <v>116.717</v>
      </c>
      <c r="K1191" s="401">
        <v>435.97899999999998</v>
      </c>
      <c r="L1191" s="118">
        <v>110.371</v>
      </c>
      <c r="M1191" s="118">
        <v>118.974</v>
      </c>
      <c r="N1191" s="118">
        <v>143.685</v>
      </c>
      <c r="O1191" s="118">
        <v>144.31800000000001</v>
      </c>
      <c r="P1191" s="401">
        <v>517.34799999999996</v>
      </c>
      <c r="Q1191" s="118">
        <v>126.2</v>
      </c>
      <c r="R1191" s="118">
        <v>137.21</v>
      </c>
      <c r="S1191" s="118">
        <v>145.59899999999999</v>
      </c>
      <c r="T1191" s="118">
        <v>156.29000000000002</v>
      </c>
      <c r="U1191" s="401">
        <v>565.29899999999998</v>
      </c>
      <c r="V1191" s="118">
        <v>134.494</v>
      </c>
      <c r="W1191" s="118">
        <v>150.065</v>
      </c>
      <c r="X1191" s="118">
        <v>159.459</v>
      </c>
      <c r="Y1191" s="118">
        <v>153.57999999999998</v>
      </c>
      <c r="Z1191" s="401">
        <v>597.59799999999996</v>
      </c>
      <c r="AA1191" s="118">
        <v>163.36000000000001</v>
      </c>
      <c r="AB1191" s="118">
        <v>170.96100000000001</v>
      </c>
      <c r="AC1191" s="118">
        <v>170.61700000000002</v>
      </c>
      <c r="AD1191" s="118">
        <v>182.41499999999999</v>
      </c>
      <c r="AE1191" s="401">
        <v>687.35299999999995</v>
      </c>
      <c r="AF1191" s="118">
        <v>160.11100000000002</v>
      </c>
      <c r="AG1191" s="118">
        <v>191.65899999999999</v>
      </c>
      <c r="AH1191" s="118">
        <v>194.11</v>
      </c>
      <c r="AI1191" s="118">
        <v>158.77200000000002</v>
      </c>
      <c r="AJ1191" s="401">
        <v>704.65200000000004</v>
      </c>
      <c r="AK1191" s="118">
        <v>163.66500000000002</v>
      </c>
      <c r="AL1191" s="118">
        <v>191.541</v>
      </c>
      <c r="AM1191" s="118">
        <v>194.61</v>
      </c>
      <c r="AN1191" s="118">
        <v>167.24599999999995</v>
      </c>
      <c r="AO1191" s="401">
        <v>717.0619999999999</v>
      </c>
      <c r="AP1191" s="118">
        <v>153.93699999999998</v>
      </c>
      <c r="AQ1191" s="118">
        <v>182.27600000000001</v>
      </c>
      <c r="AR1191" s="118">
        <v>183.79999999999998</v>
      </c>
      <c r="AS1191" s="118">
        <v>193.25299999999993</v>
      </c>
      <c r="AT1191" s="401">
        <v>713.26599999999996</v>
      </c>
      <c r="AU1191" s="118">
        <v>212.72499999999999</v>
      </c>
      <c r="AV1191" s="118">
        <v>225.02099999999999</v>
      </c>
      <c r="AW1191" s="118">
        <v>226.54400000000001</v>
      </c>
      <c r="AX1191" s="118">
        <v>227.29300000000006</v>
      </c>
      <c r="AY1191" s="401">
        <v>891.58299999999997</v>
      </c>
      <c r="AZ1191" s="118">
        <v>262.053</v>
      </c>
      <c r="BA1191" s="118">
        <v>278.48399999999998</v>
      </c>
      <c r="BB1191" s="118">
        <v>251.35499999999999</v>
      </c>
      <c r="BC1191" s="118">
        <v>241.19300000000001</v>
      </c>
      <c r="BD1191" s="401">
        <v>1033.085</v>
      </c>
      <c r="BE1191" s="118">
        <v>237.15300000000002</v>
      </c>
      <c r="BF1191" s="118">
        <v>218.709</v>
      </c>
      <c r="BG1191" s="118">
        <v>285.28699999999998</v>
      </c>
      <c r="BH1191" s="118">
        <v>254.08300000000003</v>
      </c>
      <c r="BI1191" s="402">
        <v>995.23199999999997</v>
      </c>
      <c r="BJ1191" s="118">
        <v>250.95107109749807</v>
      </c>
      <c r="BK1191" s="118">
        <v>235.61299210815673</v>
      </c>
      <c r="BL1191" s="118">
        <v>269.09155056417137</v>
      </c>
      <c r="BM1191" s="118">
        <v>257.2240294006225</v>
      </c>
      <c r="BN1191" s="401">
        <v>1012.8796431704486</v>
      </c>
      <c r="BO1191" s="118">
        <v>267.52389302468379</v>
      </c>
      <c r="BP1191" s="118">
        <v>262.09647198688606</v>
      </c>
      <c r="BQ1191" s="118">
        <v>305.38252352346819</v>
      </c>
      <c r="BR1191" s="118">
        <v>265.41358148780688</v>
      </c>
      <c r="BS1191" s="401">
        <v>1100.416470022845</v>
      </c>
      <c r="BT1191" s="401">
        <v>1126.5171772176084</v>
      </c>
      <c r="BU1191" s="401">
        <v>1124.9403400253352</v>
      </c>
      <c r="BV1191" s="401">
        <v>1110.736201022843</v>
      </c>
      <c r="BW1191" s="118"/>
    </row>
    <row r="1192" spans="1:75" s="123" customFormat="1" x14ac:dyDescent="0.5">
      <c r="A1192" s="445" t="s">
        <v>1155</v>
      </c>
      <c r="B1192" s="677"/>
      <c r="C1192" s="406">
        <v>0</v>
      </c>
      <c r="D1192" s="406">
        <v>0</v>
      </c>
      <c r="E1192" s="406">
        <v>0</v>
      </c>
      <c r="F1192" s="406">
        <v>0</v>
      </c>
      <c r="G1192" s="723">
        <v>0</v>
      </c>
      <c r="H1192" s="723">
        <v>0</v>
      </c>
      <c r="I1192" s="723">
        <v>0</v>
      </c>
      <c r="J1192" s="723">
        <v>0</v>
      </c>
      <c r="K1192" s="406">
        <v>0</v>
      </c>
      <c r="L1192" s="723">
        <v>0</v>
      </c>
      <c r="M1192" s="723">
        <v>0</v>
      </c>
      <c r="N1192" s="723">
        <v>0</v>
      </c>
      <c r="O1192" s="723">
        <v>0</v>
      </c>
      <c r="P1192" s="406">
        <v>0</v>
      </c>
      <c r="Q1192" s="723">
        <v>0</v>
      </c>
      <c r="R1192" s="723">
        <v>0</v>
      </c>
      <c r="S1192" s="723">
        <v>0</v>
      </c>
      <c r="T1192" s="723">
        <v>0</v>
      </c>
      <c r="U1192" s="406">
        <v>0</v>
      </c>
      <c r="V1192" s="723">
        <v>0</v>
      </c>
      <c r="W1192" s="723">
        <v>0</v>
      </c>
      <c r="X1192" s="723">
        <v>0</v>
      </c>
      <c r="Y1192" s="723">
        <v>0</v>
      </c>
      <c r="Z1192" s="406">
        <v>0</v>
      </c>
      <c r="AA1192" s="723">
        <v>0</v>
      </c>
      <c r="AB1192" s="723">
        <v>0</v>
      </c>
      <c r="AC1192" s="723">
        <v>0</v>
      </c>
      <c r="AD1192" s="723">
        <v>0</v>
      </c>
      <c r="AE1192" s="406">
        <v>0</v>
      </c>
      <c r="AF1192" s="723">
        <v>0</v>
      </c>
      <c r="AG1192" s="723">
        <v>0</v>
      </c>
      <c r="AH1192" s="723">
        <v>0</v>
      </c>
      <c r="AI1192" s="723">
        <v>0</v>
      </c>
      <c r="AJ1192" s="406">
        <v>0</v>
      </c>
      <c r="AK1192" s="723">
        <v>0</v>
      </c>
      <c r="AL1192" s="723">
        <v>0</v>
      </c>
      <c r="AM1192" s="723">
        <v>0</v>
      </c>
      <c r="AN1192" s="723">
        <v>0</v>
      </c>
      <c r="AO1192" s="406">
        <v>0</v>
      </c>
      <c r="AP1192" s="723">
        <v>0</v>
      </c>
      <c r="AQ1192" s="723">
        <v>0</v>
      </c>
      <c r="AR1192" s="723">
        <v>0</v>
      </c>
      <c r="AS1192" s="723">
        <v>0</v>
      </c>
      <c r="AT1192" s="406">
        <v>0</v>
      </c>
      <c r="AU1192" s="723">
        <v>0</v>
      </c>
      <c r="AV1192" s="723">
        <v>0</v>
      </c>
      <c r="AW1192" s="723">
        <v>0</v>
      </c>
      <c r="AX1192" s="723">
        <v>0</v>
      </c>
      <c r="AY1192" s="406">
        <v>0</v>
      </c>
      <c r="AZ1192" s="723">
        <v>0</v>
      </c>
      <c r="BA1192" s="723">
        <v>0</v>
      </c>
      <c r="BB1192" s="723">
        <v>0</v>
      </c>
      <c r="BC1192" s="723">
        <v>0</v>
      </c>
      <c r="BD1192" s="406">
        <v>0</v>
      </c>
      <c r="BE1192" s="723">
        <v>0</v>
      </c>
      <c r="BF1192" s="723">
        <v>0</v>
      </c>
      <c r="BG1192" s="723">
        <v>0</v>
      </c>
      <c r="BH1192" s="723">
        <v>0</v>
      </c>
      <c r="BI1192" s="407">
        <v>0</v>
      </c>
      <c r="BJ1192" s="723">
        <v>0</v>
      </c>
      <c r="BK1192" s="723">
        <v>0</v>
      </c>
      <c r="BL1192" s="723">
        <v>0</v>
      </c>
      <c r="BM1192" s="723">
        <v>0</v>
      </c>
      <c r="BN1192" s="406">
        <v>0</v>
      </c>
      <c r="BO1192" s="723">
        <v>0</v>
      </c>
      <c r="BP1192" s="723">
        <v>0</v>
      </c>
      <c r="BQ1192" s="723">
        <v>0</v>
      </c>
      <c r="BR1192" s="723">
        <v>0</v>
      </c>
      <c r="BS1192" s="406">
        <v>0</v>
      </c>
      <c r="BT1192" s="406">
        <v>0</v>
      </c>
      <c r="BU1192" s="406">
        <v>0</v>
      </c>
      <c r="BV1192" s="406">
        <v>0</v>
      </c>
      <c r="BW1192" s="118"/>
    </row>
    <row r="1193" spans="1:75" s="198" customFormat="1" ht="14.25" hidden="1" outlineLevel="1" x14ac:dyDescent="0.45">
      <c r="A1193" s="192" t="s">
        <v>1156</v>
      </c>
      <c r="B1193" s="517"/>
      <c r="C1193" s="518">
        <v>-25.833000000000084</v>
      </c>
      <c r="D1193" s="518">
        <v>-3.2160000000001219</v>
      </c>
      <c r="E1193" s="518">
        <v>26.843000000000075</v>
      </c>
      <c r="F1193" s="518">
        <v>-69.035999999999831</v>
      </c>
      <c r="G1193" s="327">
        <v>0.51099999999996726</v>
      </c>
      <c r="H1193" s="327">
        <v>-27.78000000000003</v>
      </c>
      <c r="I1193" s="327">
        <v>23.860000000000014</v>
      </c>
      <c r="J1193" s="327">
        <v>58.260000000000048</v>
      </c>
      <c r="K1193" s="518">
        <v>54.850999999999658</v>
      </c>
      <c r="L1193" s="327">
        <v>4.77800000000002</v>
      </c>
      <c r="M1193" s="327">
        <v>48.935000000000002</v>
      </c>
      <c r="N1193" s="327">
        <v>36.687999999999988</v>
      </c>
      <c r="O1193" s="327">
        <v>75.324999999999932</v>
      </c>
      <c r="P1193" s="518">
        <v>165.72599999999989</v>
      </c>
      <c r="Q1193" s="327">
        <v>17.028999999999996</v>
      </c>
      <c r="R1193" s="327">
        <v>56.423000000000002</v>
      </c>
      <c r="S1193" s="327">
        <v>44.875999999999976</v>
      </c>
      <c r="T1193" s="327">
        <v>67.232999999999947</v>
      </c>
      <c r="U1193" s="518">
        <v>185.56099999999969</v>
      </c>
      <c r="V1193" s="327">
        <v>-11.474999999999966</v>
      </c>
      <c r="W1193" s="327">
        <v>22.014999999999986</v>
      </c>
      <c r="X1193" s="327">
        <v>15.385999999999967</v>
      </c>
      <c r="Y1193" s="327">
        <v>27.110000000000014</v>
      </c>
      <c r="Z1193" s="518">
        <v>53.036000000000058</v>
      </c>
      <c r="AA1193" s="327">
        <v>6.8960000000000719</v>
      </c>
      <c r="AB1193" s="327">
        <v>12.123000000000047</v>
      </c>
      <c r="AC1193" s="327">
        <v>43.161999999999921</v>
      </c>
      <c r="AD1193" s="327">
        <v>69.120000000000232</v>
      </c>
      <c r="AE1193" s="518">
        <v>131.30099999999993</v>
      </c>
      <c r="AF1193" s="327">
        <v>48.146999999999935</v>
      </c>
      <c r="AG1193" s="327">
        <v>81.822999999999979</v>
      </c>
      <c r="AH1193" s="327">
        <v>42.228000000000065</v>
      </c>
      <c r="AI1193" s="327">
        <v>89.537999999999897</v>
      </c>
      <c r="AJ1193" s="518">
        <v>261.73599999999988</v>
      </c>
      <c r="AK1193" s="327">
        <v>68.633000000000038</v>
      </c>
      <c r="AL1193" s="327">
        <v>103.98099999999999</v>
      </c>
      <c r="AM1193" s="327">
        <v>89.236999999999966</v>
      </c>
      <c r="AN1193" s="327">
        <v>100.98000000000036</v>
      </c>
      <c r="AO1193" s="518">
        <v>362.83100000000013</v>
      </c>
      <c r="AP1193" s="327">
        <v>35.452999999999975</v>
      </c>
      <c r="AQ1193" s="327">
        <v>136.5680000000001</v>
      </c>
      <c r="AR1193" s="327">
        <v>111.22100000000012</v>
      </c>
      <c r="AS1193" s="327">
        <v>183.61600000000021</v>
      </c>
      <c r="AT1193" s="518">
        <v>466.85800000000017</v>
      </c>
      <c r="AU1193" s="327">
        <v>187.88800000000003</v>
      </c>
      <c r="AV1193" s="327">
        <v>248.98800000000006</v>
      </c>
      <c r="AW1193" s="327">
        <v>272.53899999999999</v>
      </c>
      <c r="AX1193" s="327">
        <v>217.76599999999985</v>
      </c>
      <c r="AY1193" s="518">
        <v>927.18100000000004</v>
      </c>
      <c r="AZ1193" s="327">
        <v>205.28800000000001</v>
      </c>
      <c r="BA1193" s="327">
        <v>234.4140000000001</v>
      </c>
      <c r="BB1193" s="327">
        <v>170.25</v>
      </c>
      <c r="BC1193" s="327">
        <v>112.2049999999997</v>
      </c>
      <c r="BD1193" s="518">
        <v>722.15700000000015</v>
      </c>
      <c r="BE1193" s="327">
        <v>99.240000000000009</v>
      </c>
      <c r="BF1193" s="327">
        <v>151.34000000000003</v>
      </c>
      <c r="BG1193" s="327">
        <v>51.23599999999999</v>
      </c>
      <c r="BH1193" s="327">
        <v>64.255000000000223</v>
      </c>
      <c r="BI1193" s="525">
        <v>366.07100000000037</v>
      </c>
      <c r="BJ1193" s="327">
        <v>47.07355055688879</v>
      </c>
      <c r="BK1193" s="327">
        <v>145.60355031681877</v>
      </c>
      <c r="BL1193" s="327">
        <v>120.98481661928736</v>
      </c>
      <c r="BM1193" s="327">
        <v>105.52981374644094</v>
      </c>
      <c r="BN1193" s="518">
        <v>419.19173123943574</v>
      </c>
      <c r="BO1193" s="327">
        <v>96.186445569457078</v>
      </c>
      <c r="BP1193" s="327">
        <v>181.09997162960713</v>
      </c>
      <c r="BQ1193" s="327">
        <v>144.80292089551347</v>
      </c>
      <c r="BR1193" s="327">
        <v>137.13884404544706</v>
      </c>
      <c r="BS1193" s="518">
        <v>559.22818214002427</v>
      </c>
      <c r="BT1193" s="518">
        <v>640.25112229760998</v>
      </c>
      <c r="BU1193" s="518">
        <v>710.58128314173337</v>
      </c>
      <c r="BV1193" s="518">
        <v>776.17581846418807</v>
      </c>
      <c r="BW1193" s="295"/>
    </row>
    <row r="1194" spans="1:75" s="198" customFormat="1" ht="14.25" collapsed="1" x14ac:dyDescent="0.45">
      <c r="A1194" s="206" t="s">
        <v>1157</v>
      </c>
      <c r="B1194" s="522"/>
      <c r="C1194" s="397">
        <v>-27.564000000000078</v>
      </c>
      <c r="D1194" s="397">
        <v>8.1919999999999504</v>
      </c>
      <c r="E1194" s="397">
        <v>49.219000000000051</v>
      </c>
      <c r="F1194" s="397">
        <v>68.674000000000092</v>
      </c>
      <c r="G1194" s="295">
        <v>4.6009999999999849</v>
      </c>
      <c r="H1194" s="295">
        <v>34.180000000000007</v>
      </c>
      <c r="I1194" s="295">
        <v>23.859999999999985</v>
      </c>
      <c r="J1194" s="295">
        <v>58.260000000000034</v>
      </c>
      <c r="K1194" s="397">
        <v>120.90099999999978</v>
      </c>
      <c r="L1194" s="295">
        <v>13.978000000000023</v>
      </c>
      <c r="M1194" s="295">
        <v>48.934999999999988</v>
      </c>
      <c r="N1194" s="295">
        <v>36.687999999999988</v>
      </c>
      <c r="O1194" s="295">
        <v>73.82499999999996</v>
      </c>
      <c r="P1194" s="397">
        <v>173.42599999999993</v>
      </c>
      <c r="Q1194" s="295">
        <v>18.596999999999994</v>
      </c>
      <c r="R1194" s="295">
        <v>61.89700000000002</v>
      </c>
      <c r="S1194" s="295">
        <v>49.951999999999941</v>
      </c>
      <c r="T1194" s="295">
        <v>74.160999999999945</v>
      </c>
      <c r="U1194" s="397">
        <v>204.60699999999974</v>
      </c>
      <c r="V1194" s="295">
        <v>0.71000000000003638</v>
      </c>
      <c r="W1194" s="295">
        <v>33.175000000000011</v>
      </c>
      <c r="X1194" s="295">
        <v>18.145999999999958</v>
      </c>
      <c r="Y1194" s="295">
        <v>50.883000000000038</v>
      </c>
      <c r="Z1194" s="397">
        <v>102.91399999999987</v>
      </c>
      <c r="AA1194" s="295">
        <v>8.2760000000000105</v>
      </c>
      <c r="AB1194" s="295">
        <v>39.908000000000015</v>
      </c>
      <c r="AC1194" s="295">
        <v>48.00499999999991</v>
      </c>
      <c r="AD1194" s="295">
        <v>75.109000000000236</v>
      </c>
      <c r="AE1194" s="397">
        <v>171.29799999999989</v>
      </c>
      <c r="AF1194" s="295">
        <v>49.157999999999959</v>
      </c>
      <c r="AG1194" s="295">
        <v>75.465999999999951</v>
      </c>
      <c r="AH1194" s="295">
        <v>61.074999999999989</v>
      </c>
      <c r="AI1194" s="295">
        <v>101.48499999999993</v>
      </c>
      <c r="AJ1194" s="397">
        <v>287.18399999999986</v>
      </c>
      <c r="AK1194" s="295">
        <v>70.494</v>
      </c>
      <c r="AL1194" s="295">
        <v>105.01300000000003</v>
      </c>
      <c r="AM1194" s="295">
        <v>87.760999999999967</v>
      </c>
      <c r="AN1194" s="295">
        <v>115.82700000000037</v>
      </c>
      <c r="AO1194" s="397">
        <v>379.09500000000003</v>
      </c>
      <c r="AP1194" s="295">
        <v>48.067000000000007</v>
      </c>
      <c r="AQ1194" s="295">
        <v>154.923</v>
      </c>
      <c r="AR1194" s="295">
        <v>225.31100000000001</v>
      </c>
      <c r="AS1194" s="295">
        <v>192.24100000000027</v>
      </c>
      <c r="AT1194" s="397">
        <v>620.54200000000026</v>
      </c>
      <c r="AU1194" s="295">
        <v>194.25200000000004</v>
      </c>
      <c r="AV1194" s="295">
        <v>262.65500000000009</v>
      </c>
      <c r="AW1194" s="295">
        <v>278.71000000000004</v>
      </c>
      <c r="AX1194" s="295">
        <v>227.0109999999998</v>
      </c>
      <c r="AY1194" s="397">
        <v>962.62800000000027</v>
      </c>
      <c r="AZ1194" s="295">
        <v>236.53000000000003</v>
      </c>
      <c r="BA1194" s="295">
        <v>244.73400000000009</v>
      </c>
      <c r="BB1194" s="295">
        <v>180.34900000000002</v>
      </c>
      <c r="BC1194" s="295">
        <v>128.21299999999971</v>
      </c>
      <c r="BD1194" s="397">
        <v>789.82599999999979</v>
      </c>
      <c r="BE1194" s="295">
        <v>110.392</v>
      </c>
      <c r="BF1194" s="295">
        <v>161.36400000000003</v>
      </c>
      <c r="BG1194" s="295">
        <v>55.163000000000068</v>
      </c>
      <c r="BH1194" s="295">
        <v>66.868000000000222</v>
      </c>
      <c r="BI1194" s="399">
        <v>393.78700000000026</v>
      </c>
      <c r="BJ1194" s="295">
        <v>50.57355055688879</v>
      </c>
      <c r="BK1194" s="295">
        <v>149.10355031681883</v>
      </c>
      <c r="BL1194" s="295">
        <v>124.48481661928741</v>
      </c>
      <c r="BM1194" s="295">
        <v>109.02981374644088</v>
      </c>
      <c r="BN1194" s="397">
        <v>433.19173123943574</v>
      </c>
      <c r="BO1194" s="295">
        <v>99.686445569457135</v>
      </c>
      <c r="BP1194" s="295">
        <v>184.59997162960707</v>
      </c>
      <c r="BQ1194" s="295">
        <v>148.30292089551352</v>
      </c>
      <c r="BR1194" s="295">
        <v>140.63884404544706</v>
      </c>
      <c r="BS1194" s="397">
        <v>573.2281821400245</v>
      </c>
      <c r="BT1194" s="397">
        <v>654.25112229760998</v>
      </c>
      <c r="BU1194" s="397">
        <v>724.58128314173291</v>
      </c>
      <c r="BV1194" s="397">
        <v>790.17581846418784</v>
      </c>
      <c r="BW1194" s="295"/>
    </row>
    <row r="1195" spans="1:75" s="198" customFormat="1" ht="14.25" x14ac:dyDescent="0.45">
      <c r="A1195" s="199" t="s">
        <v>198</v>
      </c>
      <c r="B1195" s="720"/>
      <c r="C1195" s="414"/>
      <c r="D1195" s="414"/>
      <c r="E1195" s="414"/>
      <c r="F1195" s="414"/>
      <c r="G1195" s="413"/>
      <c r="H1195" s="413"/>
      <c r="I1195" s="413"/>
      <c r="J1195" s="413"/>
      <c r="K1195" s="414"/>
      <c r="L1195" s="413"/>
      <c r="M1195" s="413"/>
      <c r="N1195" s="413"/>
      <c r="O1195" s="413"/>
      <c r="P1195" s="414"/>
      <c r="Q1195" s="413"/>
      <c r="R1195" s="413"/>
      <c r="S1195" s="413"/>
      <c r="T1195" s="413"/>
      <c r="U1195" s="414"/>
      <c r="V1195" s="413"/>
      <c r="W1195" s="413"/>
      <c r="X1195" s="413"/>
      <c r="Y1195" s="413"/>
      <c r="Z1195" s="414"/>
      <c r="AA1195" s="413"/>
      <c r="AB1195" s="413"/>
      <c r="AC1195" s="413"/>
      <c r="AD1195" s="413"/>
      <c r="AE1195" s="414"/>
      <c r="AF1195" s="413"/>
      <c r="AG1195" s="413"/>
      <c r="AH1195" s="413"/>
      <c r="AI1195" s="413"/>
      <c r="AJ1195" s="414"/>
      <c r="AK1195" s="413"/>
      <c r="AL1195" s="413"/>
      <c r="AM1195" s="413"/>
      <c r="AN1195" s="413"/>
      <c r="AO1195" s="414"/>
      <c r="AP1195" s="413"/>
      <c r="AQ1195" s="413"/>
      <c r="AR1195" s="413"/>
      <c r="AS1195" s="413"/>
      <c r="AT1195" s="414"/>
      <c r="AU1195" s="413"/>
      <c r="AV1195" s="413"/>
      <c r="AW1195" s="413"/>
      <c r="AX1195" s="413"/>
      <c r="AY1195" s="414"/>
      <c r="AZ1195" s="413"/>
      <c r="BA1195" s="413"/>
      <c r="BB1195" s="413"/>
      <c r="BC1195" s="413"/>
      <c r="BD1195" s="414"/>
      <c r="BE1195" s="413"/>
      <c r="BF1195" s="413"/>
      <c r="BG1195" s="413"/>
      <c r="BH1195" s="413"/>
      <c r="BI1195" s="416"/>
      <c r="BJ1195" s="413" t="s">
        <v>189</v>
      </c>
      <c r="BK1195" s="413" t="s">
        <v>189</v>
      </c>
      <c r="BL1195" s="413" t="s">
        <v>189</v>
      </c>
      <c r="BM1195" s="413" t="s">
        <v>189</v>
      </c>
      <c r="BN1195" s="414" t="s">
        <v>189</v>
      </c>
      <c r="BO1195" s="413" t="s">
        <v>189</v>
      </c>
      <c r="BP1195" s="413" t="s">
        <v>189</v>
      </c>
      <c r="BQ1195" s="413" t="s">
        <v>189</v>
      </c>
      <c r="BR1195" s="413" t="s">
        <v>189</v>
      </c>
      <c r="BS1195" s="414" t="s">
        <v>189</v>
      </c>
      <c r="BT1195" s="414" t="s">
        <v>189</v>
      </c>
      <c r="BU1195" s="414" t="s">
        <v>189</v>
      </c>
      <c r="BV1195" s="414" t="s">
        <v>189</v>
      </c>
      <c r="BW1195" s="197"/>
    </row>
    <row r="1196" spans="1:75" s="123" customFormat="1" x14ac:dyDescent="0.5">
      <c r="A1196" s="184"/>
      <c r="B1196" s="513"/>
      <c r="C1196" s="401"/>
      <c r="D1196" s="401"/>
      <c r="E1196" s="401"/>
      <c r="F1196" s="401"/>
      <c r="G1196" s="119"/>
      <c r="H1196" s="119"/>
      <c r="I1196" s="119"/>
      <c r="J1196" s="119"/>
      <c r="K1196" s="401"/>
      <c r="L1196" s="119"/>
      <c r="M1196" s="119"/>
      <c r="N1196" s="119"/>
      <c r="O1196" s="119"/>
      <c r="P1196" s="401"/>
      <c r="Q1196" s="119"/>
      <c r="R1196" s="119"/>
      <c r="S1196" s="119"/>
      <c r="T1196" s="119"/>
      <c r="U1196" s="401"/>
      <c r="V1196" s="119"/>
      <c r="W1196" s="119"/>
      <c r="X1196" s="119"/>
      <c r="Y1196" s="119"/>
      <c r="Z1196" s="401"/>
      <c r="AA1196" s="119"/>
      <c r="AB1196" s="119"/>
      <c r="AC1196" s="119"/>
      <c r="AD1196" s="119"/>
      <c r="AE1196" s="401"/>
      <c r="AF1196" s="119"/>
      <c r="AG1196" s="119"/>
      <c r="AH1196" s="119"/>
      <c r="AI1196" s="119"/>
      <c r="AJ1196" s="401"/>
      <c r="AK1196" s="119"/>
      <c r="AL1196" s="119"/>
      <c r="AM1196" s="119"/>
      <c r="AN1196" s="119"/>
      <c r="AO1196" s="401"/>
      <c r="AP1196" s="119"/>
      <c r="AQ1196" s="119"/>
      <c r="AR1196" s="119"/>
      <c r="AS1196" s="119"/>
      <c r="AT1196" s="401"/>
      <c r="AU1196" s="119"/>
      <c r="AV1196" s="119"/>
      <c r="AW1196" s="119"/>
      <c r="AX1196" s="119"/>
      <c r="AY1196" s="401"/>
      <c r="AZ1196" s="119"/>
      <c r="BA1196" s="119"/>
      <c r="BB1196" s="119"/>
      <c r="BC1196" s="119"/>
      <c r="BD1196" s="401"/>
      <c r="BE1196" s="119"/>
      <c r="BF1196" s="119"/>
      <c r="BG1196" s="119"/>
      <c r="BH1196" s="119"/>
      <c r="BI1196" s="402"/>
      <c r="BJ1196" s="119"/>
      <c r="BK1196" s="119"/>
      <c r="BL1196" s="119"/>
      <c r="BM1196" s="119"/>
      <c r="BN1196" s="401"/>
      <c r="BO1196" s="119"/>
      <c r="BP1196" s="119"/>
      <c r="BQ1196" s="119"/>
      <c r="BR1196" s="119"/>
      <c r="BS1196" s="401"/>
      <c r="BT1196" s="401"/>
      <c r="BU1196" s="401"/>
      <c r="BV1196" s="401"/>
      <c r="BW1196" s="122"/>
    </row>
    <row r="1197" spans="1:75" s="123" customFormat="1" x14ac:dyDescent="0.5">
      <c r="A1197" s="184" t="s">
        <v>1158</v>
      </c>
      <c r="B1197" s="513"/>
      <c r="C1197" s="401">
        <v>43.064999999999998</v>
      </c>
      <c r="D1197" s="401">
        <v>27.863000000000003</v>
      </c>
      <c r="E1197" s="401">
        <v>26.385999999999999</v>
      </c>
      <c r="F1197" s="401">
        <v>24.348000000000003</v>
      </c>
      <c r="G1197" s="119">
        <v>6.3549999999999995</v>
      </c>
      <c r="H1197" s="119">
        <v>6.3229999999999995</v>
      </c>
      <c r="I1197" s="119">
        <v>6.4559999999999995</v>
      </c>
      <c r="J1197" s="119">
        <v>7.42</v>
      </c>
      <c r="K1197" s="401">
        <v>26.553999999999998</v>
      </c>
      <c r="L1197" s="119">
        <v>7.4649999999999999</v>
      </c>
      <c r="M1197" s="119">
        <v>8.1630000000000003</v>
      </c>
      <c r="N1197" s="119">
        <v>8.8420000000000005</v>
      </c>
      <c r="O1197" s="119">
        <v>9.2929999999999993</v>
      </c>
      <c r="P1197" s="401">
        <v>33.762999999999998</v>
      </c>
      <c r="Q1197" s="119">
        <v>9.9039999999999999</v>
      </c>
      <c r="R1197" s="119">
        <v>10.82</v>
      </c>
      <c r="S1197" s="119">
        <v>11.155999999999999</v>
      </c>
      <c r="T1197" s="119">
        <v>12.415000000000003</v>
      </c>
      <c r="U1197" s="401">
        <v>44.295000000000002</v>
      </c>
      <c r="V1197" s="119">
        <v>12.529</v>
      </c>
      <c r="W1197" s="119">
        <v>13.632999999999999</v>
      </c>
      <c r="X1197" s="119">
        <v>15.010999999999997</v>
      </c>
      <c r="Y1197" s="119">
        <v>15.722</v>
      </c>
      <c r="Z1197" s="401">
        <v>56.894999999999996</v>
      </c>
      <c r="AA1197" s="119">
        <v>15.986249999999998</v>
      </c>
      <c r="AB1197" s="119">
        <v>16.492249999999999</v>
      </c>
      <c r="AC1197" s="119">
        <v>18.512249999999998</v>
      </c>
      <c r="AD1197" s="119">
        <v>19.009250000000005</v>
      </c>
      <c r="AE1197" s="401">
        <v>70</v>
      </c>
      <c r="AF1197" s="119">
        <v>22.745000000000001</v>
      </c>
      <c r="AG1197" s="119">
        <v>19.193999999999999</v>
      </c>
      <c r="AH1197" s="119">
        <v>22.994999999999997</v>
      </c>
      <c r="AI1197" s="119">
        <v>26.438000000000002</v>
      </c>
      <c r="AJ1197" s="401">
        <v>91.448000000000008</v>
      </c>
      <c r="AK1197" s="119">
        <v>27.177</v>
      </c>
      <c r="AL1197" s="119">
        <v>25.308999999999997</v>
      </c>
      <c r="AM1197" s="119">
        <v>23.422999999999995</v>
      </c>
      <c r="AN1197" s="119">
        <v>24.782000000000011</v>
      </c>
      <c r="AO1197" s="401">
        <v>100.691</v>
      </c>
      <c r="AP1197" s="119">
        <v>24.858000000000001</v>
      </c>
      <c r="AQ1197" s="119">
        <v>25.330000000000002</v>
      </c>
      <c r="AR1197" s="119">
        <v>26.463999999999999</v>
      </c>
      <c r="AS1197" s="119">
        <v>23.340000000000003</v>
      </c>
      <c r="AT1197" s="401">
        <v>99.992000000000004</v>
      </c>
      <c r="AU1197" s="119">
        <v>23.871499999999997</v>
      </c>
      <c r="AV1197" s="119">
        <v>22.655499999999996</v>
      </c>
      <c r="AW1197" s="119">
        <v>24.804500000000001</v>
      </c>
      <c r="AX1197" s="119">
        <v>24.632500000000004</v>
      </c>
      <c r="AY1197" s="401">
        <v>95.963999999999999</v>
      </c>
      <c r="AZ1197" s="119">
        <v>24.697499999999998</v>
      </c>
      <c r="BA1197" s="119">
        <v>26.909500000000001</v>
      </c>
      <c r="BB1197" s="119">
        <v>27.971500000000006</v>
      </c>
      <c r="BC1197" s="119">
        <v>28.767499999999991</v>
      </c>
      <c r="BD1197" s="401">
        <v>108.346</v>
      </c>
      <c r="BE1197" s="119">
        <v>27.671749999999999</v>
      </c>
      <c r="BF1197" s="119">
        <v>28.037749999999999</v>
      </c>
      <c r="BG1197" s="119">
        <v>28.35575</v>
      </c>
      <c r="BH1197" s="119">
        <v>34.530750000000005</v>
      </c>
      <c r="BI1197" s="402">
        <v>118.596</v>
      </c>
      <c r="BJ1197" s="119">
        <v>32.965902499999999</v>
      </c>
      <c r="BK1197" s="119">
        <v>33.315036096874998</v>
      </c>
      <c r="BL1197" s="119">
        <v>33.660241940785156</v>
      </c>
      <c r="BM1197" s="119">
        <v>34.001564218951316</v>
      </c>
      <c r="BN1197" s="401">
        <v>133.94274475661146</v>
      </c>
      <c r="BO1197" s="119">
        <v>34.339046621488123</v>
      </c>
      <c r="BP1197" s="119">
        <v>34.672732346996384</v>
      </c>
      <c r="BQ1197" s="119">
        <v>35.002664108092674</v>
      </c>
      <c r="BR1197" s="119">
        <v>35.328884136876624</v>
      </c>
      <c r="BS1197" s="401">
        <v>139.34332721345379</v>
      </c>
      <c r="BT1197" s="401">
        <v>141.60573676134706</v>
      </c>
      <c r="BU1197" s="401">
        <v>146.70847860708642</v>
      </c>
      <c r="BV1197" s="401">
        <v>151.58159706976755</v>
      </c>
      <c r="BW1197" s="122"/>
    </row>
    <row r="1198" spans="1:75" s="123" customFormat="1" x14ac:dyDescent="0.5">
      <c r="A1198" s="184" t="s">
        <v>1159</v>
      </c>
      <c r="B1198" s="513"/>
      <c r="C1198" s="401"/>
      <c r="D1198" s="401">
        <v>3.4</v>
      </c>
      <c r="E1198" s="401">
        <v>2.8</v>
      </c>
      <c r="F1198" s="401">
        <v>2.4</v>
      </c>
      <c r="G1198" s="119">
        <v>0.27500000000000002</v>
      </c>
      <c r="H1198" s="119">
        <v>0.27500000000000002</v>
      </c>
      <c r="I1198" s="119">
        <v>0.27500000000000002</v>
      </c>
      <c r="J1198" s="119">
        <v>0.27500000000000002</v>
      </c>
      <c r="K1198" s="401">
        <v>1.1000000000000001</v>
      </c>
      <c r="L1198" s="119">
        <v>0.17499999999999999</v>
      </c>
      <c r="M1198" s="119">
        <v>0.17499999999999999</v>
      </c>
      <c r="N1198" s="119">
        <v>0.17499999999999999</v>
      </c>
      <c r="O1198" s="119">
        <v>0.17499999999999999</v>
      </c>
      <c r="P1198" s="401">
        <v>0.7</v>
      </c>
      <c r="Q1198" s="119">
        <v>7.4999999999999997E-2</v>
      </c>
      <c r="R1198" s="119">
        <v>7.4999999999999997E-2</v>
      </c>
      <c r="S1198" s="119">
        <v>7.4999999999999997E-2</v>
      </c>
      <c r="T1198" s="119">
        <v>7.4999999999999997E-2</v>
      </c>
      <c r="U1198" s="401">
        <v>0.3</v>
      </c>
      <c r="V1198" s="119">
        <v>2.5000000000000001E-2</v>
      </c>
      <c r="W1198" s="119">
        <v>2.5000000000000001E-2</v>
      </c>
      <c r="X1198" s="119">
        <v>2.5000000000000001E-2</v>
      </c>
      <c r="Y1198" s="119">
        <v>2.5000000000000001E-2</v>
      </c>
      <c r="Z1198" s="401">
        <v>0.1</v>
      </c>
      <c r="AA1198" s="119">
        <v>3.3750000000001279E-2</v>
      </c>
      <c r="AB1198" s="119">
        <v>3.3750000000001279E-2</v>
      </c>
      <c r="AC1198" s="119">
        <v>3.3750000000001279E-2</v>
      </c>
      <c r="AD1198" s="119">
        <v>3.3750000000001279E-2</v>
      </c>
      <c r="AE1198" s="401">
        <v>0.13500000000000512</v>
      </c>
      <c r="AF1198" s="119">
        <v>0</v>
      </c>
      <c r="AG1198" s="119">
        <v>0</v>
      </c>
      <c r="AH1198" s="119">
        <v>0</v>
      </c>
      <c r="AI1198" s="119">
        <v>0</v>
      </c>
      <c r="AJ1198" s="401">
        <v>0</v>
      </c>
      <c r="AK1198" s="119">
        <v>1.2000000000000455E-2</v>
      </c>
      <c r="AL1198" s="119">
        <v>1.2000000000000455E-2</v>
      </c>
      <c r="AM1198" s="119">
        <v>1.2000000000000455E-2</v>
      </c>
      <c r="AN1198" s="119">
        <v>1.2000000000000455E-2</v>
      </c>
      <c r="AO1198" s="401">
        <v>4.8000000000001819E-2</v>
      </c>
      <c r="AP1198" s="119">
        <v>1.2000000000000455E-2</v>
      </c>
      <c r="AQ1198" s="119">
        <v>1.2000000000000455E-2</v>
      </c>
      <c r="AR1198" s="119">
        <v>1.2000000000000455E-2</v>
      </c>
      <c r="AS1198" s="119">
        <v>1.2000000000000455E-2</v>
      </c>
      <c r="AT1198" s="401">
        <v>4.8000000000001819E-2</v>
      </c>
      <c r="AU1198" s="119">
        <v>1.4500000000001734E-2</v>
      </c>
      <c r="AV1198" s="119">
        <v>1.4500000000001734E-2</v>
      </c>
      <c r="AW1198" s="119">
        <v>1.4500000000001734E-2</v>
      </c>
      <c r="AX1198" s="119">
        <v>1.4500000000001734E-2</v>
      </c>
      <c r="AY1198" s="401">
        <v>5.8000000000006935E-2</v>
      </c>
      <c r="AZ1198" s="119">
        <v>6.0499999999999332E-2</v>
      </c>
      <c r="BA1198" s="119">
        <v>6.0499999999999332E-2</v>
      </c>
      <c r="BB1198" s="119">
        <v>6.0499999999999332E-2</v>
      </c>
      <c r="BC1198" s="119">
        <v>6.0499999999999332E-2</v>
      </c>
      <c r="BD1198" s="401">
        <v>0.24199999999999733</v>
      </c>
      <c r="BE1198" s="119">
        <v>9.8250000000000171E-2</v>
      </c>
      <c r="BF1198" s="119">
        <v>9.8250000000000171E-2</v>
      </c>
      <c r="BG1198" s="119">
        <v>9.8250000000000171E-2</v>
      </c>
      <c r="BH1198" s="119">
        <v>9.8250000000000171E-2</v>
      </c>
      <c r="BI1198" s="402">
        <v>0.39300000000000068</v>
      </c>
      <c r="BJ1198" s="119">
        <v>9.4908750000000014E-2</v>
      </c>
      <c r="BK1198" s="119">
        <v>9.4790114062500014E-2</v>
      </c>
      <c r="BL1198" s="119">
        <v>9.4671626419921898E-2</v>
      </c>
      <c r="BM1198" s="119">
        <v>9.4553286886896973E-2</v>
      </c>
      <c r="BN1198" s="401">
        <v>0.37892377736931887</v>
      </c>
      <c r="BO1198" s="119">
        <v>9.4435095278288361E-2</v>
      </c>
      <c r="BP1198" s="119">
        <v>9.4317051409190514E-2</v>
      </c>
      <c r="BQ1198" s="119">
        <v>9.4199155094929016E-2</v>
      </c>
      <c r="BR1198" s="119">
        <v>9.4081406151060337E-2</v>
      </c>
      <c r="BS1198" s="401">
        <v>0.37703270793346821</v>
      </c>
      <c r="BT1198" s="401">
        <v>0.37585521757348611</v>
      </c>
      <c r="BU1198" s="401">
        <v>0.37397594148561863</v>
      </c>
      <c r="BV1198" s="401">
        <v>0.37210606177819056</v>
      </c>
      <c r="BW1198" s="122"/>
    </row>
    <row r="1199" spans="1:75" s="123" customFormat="1" x14ac:dyDescent="0.5">
      <c r="A1199" s="184" t="s">
        <v>1160</v>
      </c>
      <c r="B1199" s="513"/>
      <c r="C1199" s="401">
        <v>0.59199999999999997</v>
      </c>
      <c r="D1199" s="401">
        <v>1.119</v>
      </c>
      <c r="E1199" s="401">
        <v>1.5569999999999999</v>
      </c>
      <c r="F1199" s="401">
        <v>116.18300000000001</v>
      </c>
      <c r="G1199" s="119">
        <v>3.6309999999999998</v>
      </c>
      <c r="H1199" s="119">
        <v>60.650999999999996</v>
      </c>
      <c r="I1199" s="119">
        <v>1.5649999999999977</v>
      </c>
      <c r="J1199" s="119">
        <v>1.7750000000000057</v>
      </c>
      <c r="K1199" s="401">
        <v>67.622</v>
      </c>
      <c r="L1199" s="119">
        <v>2.2309999999999999</v>
      </c>
      <c r="M1199" s="119">
        <v>4.5190000000000001</v>
      </c>
      <c r="N1199" s="119">
        <v>4.91</v>
      </c>
      <c r="O1199" s="119">
        <v>5.411999999999999</v>
      </c>
      <c r="P1199" s="401">
        <v>17.071999999999999</v>
      </c>
      <c r="Q1199" s="119">
        <v>5.2990000000000004</v>
      </c>
      <c r="R1199" s="119">
        <v>6.2809999999999997</v>
      </c>
      <c r="S1199" s="119">
        <v>6.0750000000000011</v>
      </c>
      <c r="T1199" s="119">
        <v>6.5679999999999978</v>
      </c>
      <c r="U1199" s="401">
        <v>24.222999999999999</v>
      </c>
      <c r="V1199" s="119">
        <v>3.9980000000000002</v>
      </c>
      <c r="W1199" s="119">
        <v>10.305</v>
      </c>
      <c r="X1199" s="119">
        <v>7.4079999999999977</v>
      </c>
      <c r="Y1199" s="119">
        <v>7.5030000000000001</v>
      </c>
      <c r="Z1199" s="401">
        <v>29.213999999999999</v>
      </c>
      <c r="AA1199" s="119">
        <v>5.2889999999999997</v>
      </c>
      <c r="AB1199" s="119">
        <v>30.876999999999995</v>
      </c>
      <c r="AC1199" s="119">
        <v>6.7630000000000052</v>
      </c>
      <c r="AD1199" s="119">
        <v>7.7800000000000011</v>
      </c>
      <c r="AE1199" s="401">
        <v>50.709000000000003</v>
      </c>
      <c r="AF1199" s="119">
        <v>7.9969999999999999</v>
      </c>
      <c r="AG1199" s="119">
        <v>6.0950000000000006</v>
      </c>
      <c r="AH1199" s="119">
        <v>3.6850000000000005</v>
      </c>
      <c r="AI1199" s="119">
        <v>6.2059999999999995</v>
      </c>
      <c r="AJ1199" s="401">
        <v>23.983000000000001</v>
      </c>
      <c r="AK1199" s="119">
        <v>5.6950000000000003</v>
      </c>
      <c r="AL1199" s="119">
        <v>5.298</v>
      </c>
      <c r="AM1199" s="119">
        <v>5.1160000000000014</v>
      </c>
      <c r="AN1199" s="119">
        <v>5.722999999999999</v>
      </c>
      <c r="AO1199" s="401">
        <v>21.832000000000001</v>
      </c>
      <c r="AP1199" s="119">
        <v>5.8280000000000003</v>
      </c>
      <c r="AQ1199" s="119">
        <v>6.8609999999999998</v>
      </c>
      <c r="AR1199" s="119">
        <v>118.78300000000002</v>
      </c>
      <c r="AS1199" s="119">
        <v>14.231999999999999</v>
      </c>
      <c r="AT1199" s="401">
        <v>145.70400000000001</v>
      </c>
      <c r="AU1199" s="119">
        <v>15.307</v>
      </c>
      <c r="AV1199" s="119">
        <v>10.124000000000001</v>
      </c>
      <c r="AW1199" s="119">
        <v>11.995000000000001</v>
      </c>
      <c r="AX1199" s="119">
        <v>11.052</v>
      </c>
      <c r="AY1199" s="401">
        <v>48.478000000000002</v>
      </c>
      <c r="AZ1199" s="119">
        <v>12.802</v>
      </c>
      <c r="BA1199" s="119">
        <v>10.736000000000001</v>
      </c>
      <c r="BB1199" s="119">
        <v>10.187000000000001</v>
      </c>
      <c r="BC1199" s="119">
        <v>9.820999999999998</v>
      </c>
      <c r="BD1199" s="401">
        <v>43.545999999999999</v>
      </c>
      <c r="BE1199" s="119">
        <v>10.18</v>
      </c>
      <c r="BF1199" s="119">
        <v>8.5380000000000003</v>
      </c>
      <c r="BG1199" s="119">
        <v>9.82</v>
      </c>
      <c r="BH1199" s="119">
        <v>10.846</v>
      </c>
      <c r="BI1199" s="402">
        <v>39.384</v>
      </c>
      <c r="BJ1199" s="119">
        <v>10.864600040554574</v>
      </c>
      <c r="BK1199" s="119">
        <v>9.2825719103325284</v>
      </c>
      <c r="BL1199" s="119">
        <v>11.15476023964195</v>
      </c>
      <c r="BM1199" s="119">
        <v>12.257184633538428</v>
      </c>
      <c r="BN1199" s="401">
        <v>43.55911682406748</v>
      </c>
      <c r="BO1199" s="119">
        <v>12.820646886008108</v>
      </c>
      <c r="BP1199" s="119">
        <v>10.679340305533767</v>
      </c>
      <c r="BQ1199" s="119">
        <v>12.776079266836469</v>
      </c>
      <c r="BR1199" s="119">
        <v>13.45245986416738</v>
      </c>
      <c r="BS1199" s="401">
        <v>49.728526322545726</v>
      </c>
      <c r="BT1199" s="401">
        <v>50.939933137009618</v>
      </c>
      <c r="BU1199" s="401">
        <v>52.573188899822647</v>
      </c>
      <c r="BV1199" s="401">
        <v>53.689330691013481</v>
      </c>
      <c r="BW1199" s="122"/>
    </row>
    <row r="1200" spans="1:75" s="123" customFormat="1" x14ac:dyDescent="0.5">
      <c r="A1200" s="445" t="s">
        <v>1161</v>
      </c>
      <c r="B1200" s="677"/>
      <c r="C1200" s="406">
        <v>1.5029999999999999</v>
      </c>
      <c r="D1200" s="406">
        <v>0.52299999999999869</v>
      </c>
      <c r="E1200" s="406">
        <v>0.19200000000000089</v>
      </c>
      <c r="F1200" s="406">
        <v>-115.03400000000002</v>
      </c>
      <c r="G1200" s="312">
        <v>-3.6309999999999993</v>
      </c>
      <c r="H1200" s="312">
        <v>-60.650999999999996</v>
      </c>
      <c r="I1200" s="312">
        <v>-1.5649999999999973</v>
      </c>
      <c r="J1200" s="312">
        <v>-1.7750000000000052</v>
      </c>
      <c r="K1200" s="406">
        <v>-67.622</v>
      </c>
      <c r="L1200" s="312"/>
      <c r="M1200" s="312"/>
      <c r="N1200" s="312"/>
      <c r="O1200" s="312"/>
      <c r="P1200" s="406"/>
      <c r="Q1200" s="312"/>
      <c r="R1200" s="312"/>
      <c r="S1200" s="312"/>
      <c r="T1200" s="312"/>
      <c r="U1200" s="406"/>
      <c r="V1200" s="312"/>
      <c r="W1200" s="312"/>
      <c r="X1200" s="312"/>
      <c r="Y1200" s="312"/>
      <c r="Z1200" s="406"/>
      <c r="AA1200" s="312">
        <v>0</v>
      </c>
      <c r="AB1200" s="312">
        <v>-23.871999999999996</v>
      </c>
      <c r="AC1200" s="312">
        <v>-5.3290705182007514E-15</v>
      </c>
      <c r="AD1200" s="312">
        <v>-7.9936057773011271E-15</v>
      </c>
      <c r="AE1200" s="406">
        <v>-23.872</v>
      </c>
      <c r="AF1200" s="312">
        <v>-2.16</v>
      </c>
      <c r="AG1200" s="312">
        <v>2.2989999999999995</v>
      </c>
      <c r="AH1200" s="312">
        <v>3.1086244689504383E-15</v>
      </c>
      <c r="AI1200" s="312">
        <v>-2.6110000000000024</v>
      </c>
      <c r="AJ1200" s="406">
        <v>-2.548000000000008</v>
      </c>
      <c r="AK1200" s="312">
        <v>-2.9929999999999999</v>
      </c>
      <c r="AL1200" s="312">
        <v>-1.9159999999999964</v>
      </c>
      <c r="AM1200" s="312">
        <v>1.7763568394002505E-15</v>
      </c>
      <c r="AN1200" s="312">
        <v>-1.3390000000000102</v>
      </c>
      <c r="AO1200" s="406">
        <v>-6.2480000000000011</v>
      </c>
      <c r="AP1200" s="312">
        <v>-1.3380000000000001</v>
      </c>
      <c r="AQ1200" s="312">
        <v>-1.3390000000000035</v>
      </c>
      <c r="AR1200" s="312">
        <v>-112.55700000000002</v>
      </c>
      <c r="AS1200" s="312">
        <v>-5.4040000000000035</v>
      </c>
      <c r="AT1200" s="406">
        <v>-120.63800000000001</v>
      </c>
      <c r="AU1200" s="312">
        <v>-5.1869999999999994</v>
      </c>
      <c r="AV1200" s="312">
        <v>-5.0789999999999962</v>
      </c>
      <c r="AW1200" s="312">
        <v>-4.861000000000006</v>
      </c>
      <c r="AX1200" s="312">
        <v>-4.7360000000000069</v>
      </c>
      <c r="AY1200" s="406">
        <v>-19.863</v>
      </c>
      <c r="AZ1200" s="312">
        <v>-4.5039999999999978</v>
      </c>
      <c r="BA1200" s="312">
        <v>-2.6220000000000017</v>
      </c>
      <c r="BB1200" s="312">
        <v>-2.3890000000000073</v>
      </c>
      <c r="BC1200" s="312">
        <v>-1.9929999999999883</v>
      </c>
      <c r="BD1200" s="406">
        <v>-11.50800000000001</v>
      </c>
      <c r="BE1200" s="312">
        <v>-1.6820000000000002</v>
      </c>
      <c r="BF1200" s="312">
        <v>-0.10099999999999998</v>
      </c>
      <c r="BG1200" s="312">
        <v>8.9999999999999858E-2</v>
      </c>
      <c r="BH1200" s="312">
        <v>0.45099999999999207</v>
      </c>
      <c r="BI1200" s="407">
        <v>-1.2420000000000027</v>
      </c>
      <c r="BJ1200" s="312">
        <v>-3.5</v>
      </c>
      <c r="BK1200" s="312">
        <v>-3.5</v>
      </c>
      <c r="BL1200" s="312">
        <v>-3.5</v>
      </c>
      <c r="BM1200" s="312">
        <v>-3.5</v>
      </c>
      <c r="BN1200" s="406">
        <v>-14</v>
      </c>
      <c r="BO1200" s="312">
        <v>-3.5</v>
      </c>
      <c r="BP1200" s="312">
        <v>-3.5</v>
      </c>
      <c r="BQ1200" s="312">
        <v>-3.5</v>
      </c>
      <c r="BR1200" s="312">
        <v>-3.5</v>
      </c>
      <c r="BS1200" s="406">
        <v>-14</v>
      </c>
      <c r="BT1200" s="406">
        <v>-14</v>
      </c>
      <c r="BU1200" s="406">
        <v>-14</v>
      </c>
      <c r="BV1200" s="406">
        <v>-14</v>
      </c>
      <c r="BW1200" s="122"/>
    </row>
    <row r="1201" spans="1:75" s="198" customFormat="1" ht="14.25" hidden="1" outlineLevel="1" x14ac:dyDescent="0.45">
      <c r="A1201" s="206" t="s">
        <v>1130</v>
      </c>
      <c r="B1201" s="522"/>
      <c r="C1201" s="397">
        <v>17.231999999999914</v>
      </c>
      <c r="D1201" s="397">
        <v>28.04699999999988</v>
      </c>
      <c r="E1201" s="397">
        <v>56.029000000000075</v>
      </c>
      <c r="F1201" s="397">
        <v>-42.287999999999826</v>
      </c>
      <c r="G1201" s="295">
        <v>7.1409999999999672</v>
      </c>
      <c r="H1201" s="295">
        <v>-21.182000000000031</v>
      </c>
      <c r="I1201" s="295">
        <v>30.591000000000015</v>
      </c>
      <c r="J1201" s="295">
        <v>65.955000000000041</v>
      </c>
      <c r="K1201" s="397">
        <v>82.504999999999654</v>
      </c>
      <c r="L1201" s="295">
        <v>4.7780000000000209</v>
      </c>
      <c r="M1201" s="295">
        <v>48.935000000000002</v>
      </c>
      <c r="N1201" s="295">
        <v>36.687999999999988</v>
      </c>
      <c r="O1201" s="295">
        <v>75.324999999999932</v>
      </c>
      <c r="P1201" s="397">
        <v>165.72599999999989</v>
      </c>
      <c r="Q1201" s="295">
        <v>17.028999999999996</v>
      </c>
      <c r="R1201" s="295">
        <v>56.423000000000002</v>
      </c>
      <c r="S1201" s="295">
        <v>44.875999999999976</v>
      </c>
      <c r="T1201" s="295">
        <v>67.232999999999947</v>
      </c>
      <c r="U1201" s="397">
        <v>185.56099999999969</v>
      </c>
      <c r="V1201" s="295">
        <v>-11.474999999999966</v>
      </c>
      <c r="W1201" s="295">
        <v>22.014999999999986</v>
      </c>
      <c r="X1201" s="295">
        <v>15.385999999999967</v>
      </c>
      <c r="Y1201" s="295">
        <v>27.110000000000014</v>
      </c>
      <c r="Z1201" s="397">
        <v>53.036000000000065</v>
      </c>
      <c r="AA1201" s="295">
        <v>22.916000000000071</v>
      </c>
      <c r="AB1201" s="295">
        <v>28.649000000000047</v>
      </c>
      <c r="AC1201" s="295">
        <v>56.827999999999918</v>
      </c>
      <c r="AD1201" s="295">
        <v>54.463000000000235</v>
      </c>
      <c r="AE1201" s="397">
        <v>162.85599999999991</v>
      </c>
      <c r="AF1201" s="295">
        <v>68.731999999999942</v>
      </c>
      <c r="AG1201" s="295">
        <v>102.25999999999998</v>
      </c>
      <c r="AH1201" s="295">
        <v>65.22300000000007</v>
      </c>
      <c r="AI1201" s="295">
        <v>83.889999999999901</v>
      </c>
      <c r="AJ1201" s="397">
        <v>320.10499999999985</v>
      </c>
      <c r="AK1201" s="295">
        <v>95.822000000000031</v>
      </c>
      <c r="AL1201" s="295">
        <v>130.256</v>
      </c>
      <c r="AM1201" s="295">
        <v>105.81499999999997</v>
      </c>
      <c r="AN1201" s="295">
        <v>125.20500000000035</v>
      </c>
      <c r="AO1201" s="397">
        <v>457.09800000000018</v>
      </c>
      <c r="AP1201" s="295">
        <v>39.863999999999976</v>
      </c>
      <c r="AQ1201" s="295">
        <v>162.0620000000001</v>
      </c>
      <c r="AR1201" s="295">
        <v>137.69700000000012</v>
      </c>
      <c r="AS1201" s="295">
        <v>206.08000000000021</v>
      </c>
      <c r="AT1201" s="397">
        <v>545.70300000000009</v>
      </c>
      <c r="AU1201" s="295">
        <v>209.57400000000004</v>
      </c>
      <c r="AV1201" s="295">
        <v>266.00600000000009</v>
      </c>
      <c r="AW1201" s="295">
        <v>276.53200000000004</v>
      </c>
      <c r="AX1201" s="295">
        <v>230.96099999999984</v>
      </c>
      <c r="AY1201" s="397">
        <v>983.07299999999998</v>
      </c>
      <c r="AZ1201" s="295">
        <v>82.897999999999968</v>
      </c>
      <c r="BA1201" s="295">
        <v>231.90600000000015</v>
      </c>
      <c r="BB1201" s="295">
        <v>194.37100000000001</v>
      </c>
      <c r="BC1201" s="295">
        <v>149.90699999999967</v>
      </c>
      <c r="BD1201" s="397">
        <v>659.08200000000022</v>
      </c>
      <c r="BE1201" s="295">
        <v>126.06100000000001</v>
      </c>
      <c r="BF1201" s="295">
        <v>176.28000000000003</v>
      </c>
      <c r="BG1201" s="295">
        <v>71.691999999999993</v>
      </c>
      <c r="BH1201" s="295">
        <v>99.074000000000211</v>
      </c>
      <c r="BI1201" s="399">
        <v>473.10700000000043</v>
      </c>
      <c r="BJ1201" s="295">
        <v>80.134361806888791</v>
      </c>
      <c r="BK1201" s="295">
        <v>179.01337652775626</v>
      </c>
      <c r="BL1201" s="295">
        <v>154.73973018649244</v>
      </c>
      <c r="BM1201" s="295">
        <v>139.62593125227914</v>
      </c>
      <c r="BN1201" s="397">
        <v>553.5133997734165</v>
      </c>
      <c r="BO1201" s="295">
        <v>130.61992728622349</v>
      </c>
      <c r="BP1201" s="295">
        <v>215.86702102801269</v>
      </c>
      <c r="BQ1201" s="295">
        <v>179.89978415870107</v>
      </c>
      <c r="BR1201" s="295">
        <v>172.56180958847474</v>
      </c>
      <c r="BS1201" s="397">
        <v>698.94854206141156</v>
      </c>
      <c r="BT1201" s="397">
        <v>782.23271427653049</v>
      </c>
      <c r="BU1201" s="397">
        <v>857.66373769030542</v>
      </c>
      <c r="BV1201" s="397">
        <v>928.12952159573388</v>
      </c>
      <c r="BW1201" s="197"/>
    </row>
    <row r="1202" spans="1:75" s="198" customFormat="1" ht="14.25" collapsed="1" x14ac:dyDescent="0.45">
      <c r="A1202" s="206" t="s">
        <v>1145</v>
      </c>
      <c r="B1202" s="522"/>
      <c r="C1202" s="397">
        <v>17.595999999999918</v>
      </c>
      <c r="D1202" s="397">
        <v>41.096999999999952</v>
      </c>
      <c r="E1202" s="397">
        <v>80.154000000000053</v>
      </c>
      <c r="F1202" s="397">
        <v>96.571000000000083</v>
      </c>
      <c r="G1202" s="295">
        <v>11.230999999999984</v>
      </c>
      <c r="H1202" s="295">
        <v>40.778000000000006</v>
      </c>
      <c r="I1202" s="295">
        <v>30.590999999999987</v>
      </c>
      <c r="J1202" s="295">
        <v>65.955000000000041</v>
      </c>
      <c r="K1202" s="397">
        <v>148.55499999999978</v>
      </c>
      <c r="L1202" s="295">
        <v>23.849000000000022</v>
      </c>
      <c r="M1202" s="295">
        <v>61.791999999999987</v>
      </c>
      <c r="N1202" s="295">
        <v>50.614999999999988</v>
      </c>
      <c r="O1202" s="295">
        <v>88.704999999999956</v>
      </c>
      <c r="P1202" s="397">
        <v>224.96099999999993</v>
      </c>
      <c r="Q1202" s="295">
        <v>33.874999999999993</v>
      </c>
      <c r="R1202" s="295">
        <v>79.073000000000022</v>
      </c>
      <c r="S1202" s="295">
        <v>67.257999999999939</v>
      </c>
      <c r="T1202" s="295">
        <v>93.218999999999937</v>
      </c>
      <c r="U1202" s="397">
        <v>273.42499999999973</v>
      </c>
      <c r="V1202" s="295">
        <v>17.262000000000036</v>
      </c>
      <c r="W1202" s="295">
        <v>57.138000000000012</v>
      </c>
      <c r="X1202" s="295">
        <v>40.589999999999954</v>
      </c>
      <c r="Y1202" s="295">
        <v>74.133000000000038</v>
      </c>
      <c r="Z1202" s="397">
        <v>189.12299999999988</v>
      </c>
      <c r="AA1202" s="295">
        <v>29.585000000000008</v>
      </c>
      <c r="AB1202" s="295">
        <v>63.439000000000007</v>
      </c>
      <c r="AC1202" s="295">
        <v>73.313999999999908</v>
      </c>
      <c r="AD1202" s="295">
        <v>101.93200000000024</v>
      </c>
      <c r="AE1202" s="397">
        <v>268.26999999999987</v>
      </c>
      <c r="AF1202" s="295">
        <v>77.739999999999952</v>
      </c>
      <c r="AG1202" s="295">
        <v>103.05399999999995</v>
      </c>
      <c r="AH1202" s="295">
        <v>87.754999999999995</v>
      </c>
      <c r="AI1202" s="295">
        <v>131.51799999999992</v>
      </c>
      <c r="AJ1202" s="397">
        <v>400.06699999999989</v>
      </c>
      <c r="AK1202" s="295">
        <v>100.38500000000001</v>
      </c>
      <c r="AL1202" s="295">
        <v>133.71600000000004</v>
      </c>
      <c r="AM1202" s="295">
        <v>116.31199999999995</v>
      </c>
      <c r="AN1202" s="295">
        <v>145.00500000000036</v>
      </c>
      <c r="AO1202" s="397">
        <v>495.41800000000001</v>
      </c>
      <c r="AP1202" s="295">
        <v>77.427000000000007</v>
      </c>
      <c r="AQ1202" s="295">
        <v>185.78700000000001</v>
      </c>
      <c r="AR1202" s="295">
        <v>258.01300000000003</v>
      </c>
      <c r="AS1202" s="295">
        <v>224.42100000000028</v>
      </c>
      <c r="AT1202" s="397">
        <v>745.64800000000025</v>
      </c>
      <c r="AU1202" s="295">
        <v>228.25800000000004</v>
      </c>
      <c r="AV1202" s="295">
        <v>290.37000000000006</v>
      </c>
      <c r="AW1202" s="295">
        <v>310.66300000000001</v>
      </c>
      <c r="AX1202" s="295">
        <v>257.97399999999982</v>
      </c>
      <c r="AY1202" s="397">
        <v>1087.2650000000003</v>
      </c>
      <c r="AZ1202" s="295">
        <v>269.58600000000001</v>
      </c>
      <c r="BA1202" s="295">
        <v>279.8180000000001</v>
      </c>
      <c r="BB1202" s="295">
        <v>216.17900000000003</v>
      </c>
      <c r="BC1202" s="295">
        <v>164.86899999999972</v>
      </c>
      <c r="BD1202" s="397">
        <v>930.45199999999977</v>
      </c>
      <c r="BE1202" s="295">
        <v>146.66</v>
      </c>
      <c r="BF1202" s="295">
        <v>197.93700000000004</v>
      </c>
      <c r="BG1202" s="295">
        <v>93.527000000000072</v>
      </c>
      <c r="BH1202" s="295">
        <v>112.79400000000022</v>
      </c>
      <c r="BI1202" s="399">
        <v>550.91800000000023</v>
      </c>
      <c r="BJ1202" s="295">
        <v>90.998961847443368</v>
      </c>
      <c r="BK1202" s="295">
        <v>188.29594843808886</v>
      </c>
      <c r="BL1202" s="295">
        <v>165.89449042613444</v>
      </c>
      <c r="BM1202" s="295">
        <v>151.88311588581752</v>
      </c>
      <c r="BN1202" s="397">
        <v>597.07251659748397</v>
      </c>
      <c r="BO1202" s="295">
        <v>143.44057417223166</v>
      </c>
      <c r="BP1202" s="295">
        <v>226.54636133354643</v>
      </c>
      <c r="BQ1202" s="295">
        <v>192.67586342553759</v>
      </c>
      <c r="BR1202" s="295">
        <v>186.01426945264211</v>
      </c>
      <c r="BS1202" s="397">
        <v>748.67706838395748</v>
      </c>
      <c r="BT1202" s="397">
        <v>833.17264741354006</v>
      </c>
      <c r="BU1202" s="397">
        <v>910.23692659012761</v>
      </c>
      <c r="BV1202" s="397">
        <v>981.81885228674707</v>
      </c>
      <c r="BW1202" s="197"/>
    </row>
    <row r="1203" spans="1:75" s="722" customFormat="1" ht="14.25" x14ac:dyDescent="0.45">
      <c r="A1203" s="719" t="s">
        <v>1162</v>
      </c>
      <c r="B1203" s="720"/>
      <c r="C1203" s="414"/>
      <c r="D1203" s="414"/>
      <c r="E1203" s="414"/>
      <c r="F1203" s="414"/>
      <c r="G1203" s="413"/>
      <c r="H1203" s="413"/>
      <c r="I1203" s="413"/>
      <c r="J1203" s="413"/>
      <c r="K1203" s="414"/>
      <c r="L1203" s="413"/>
      <c r="M1203" s="413"/>
      <c r="N1203" s="413"/>
      <c r="O1203" s="413"/>
      <c r="P1203" s="414"/>
      <c r="Q1203" s="413"/>
      <c r="R1203" s="413"/>
      <c r="S1203" s="413"/>
      <c r="T1203" s="413"/>
      <c r="U1203" s="414"/>
      <c r="V1203" s="413"/>
      <c r="W1203" s="410"/>
      <c r="X1203" s="413"/>
      <c r="Y1203" s="410"/>
      <c r="Z1203" s="201"/>
      <c r="AA1203" s="413"/>
      <c r="AB1203" s="413"/>
      <c r="AC1203" s="413"/>
      <c r="AD1203" s="410"/>
      <c r="AE1203" s="201"/>
      <c r="AF1203" s="413"/>
      <c r="AG1203" s="413"/>
      <c r="AH1203" s="413"/>
      <c r="AI1203" s="410"/>
      <c r="AJ1203" s="201"/>
      <c r="AK1203" s="413"/>
      <c r="AL1203" s="413"/>
      <c r="AM1203" s="413"/>
      <c r="AN1203" s="410"/>
      <c r="AO1203" s="201"/>
      <c r="AP1203" s="413"/>
      <c r="AQ1203" s="413"/>
      <c r="AR1203" s="413"/>
      <c r="AS1203" s="410"/>
      <c r="AT1203" s="201"/>
      <c r="AU1203" s="413"/>
      <c r="AV1203" s="413"/>
      <c r="AW1203" s="413"/>
      <c r="AX1203" s="410"/>
      <c r="AY1203" s="201"/>
      <c r="AZ1203" s="413"/>
      <c r="BA1203" s="413"/>
      <c r="BB1203" s="413"/>
      <c r="BC1203" s="410"/>
      <c r="BD1203" s="201"/>
      <c r="BE1203" s="413"/>
      <c r="BF1203" s="413"/>
      <c r="BG1203" s="413"/>
      <c r="BH1203" s="410"/>
      <c r="BI1203" s="203"/>
      <c r="BJ1203" s="413" t="s">
        <v>189</v>
      </c>
      <c r="BK1203" s="413" t="s">
        <v>189</v>
      </c>
      <c r="BL1203" s="413" t="s">
        <v>189</v>
      </c>
      <c r="BM1203" s="413" t="s">
        <v>189</v>
      </c>
      <c r="BN1203" s="201" t="s">
        <v>189</v>
      </c>
      <c r="BO1203" s="413" t="s">
        <v>189</v>
      </c>
      <c r="BP1203" s="413" t="s">
        <v>189</v>
      </c>
      <c r="BQ1203" s="413" t="s">
        <v>189</v>
      </c>
      <c r="BR1203" s="413" t="s">
        <v>189</v>
      </c>
      <c r="BS1203" s="201" t="s">
        <v>189</v>
      </c>
      <c r="BT1203" s="201" t="s">
        <v>189</v>
      </c>
      <c r="BU1203" s="201" t="s">
        <v>189</v>
      </c>
      <c r="BV1203" s="201" t="s">
        <v>189</v>
      </c>
      <c r="BW1203" s="413"/>
    </row>
    <row r="1204" spans="1:75" s="123" customFormat="1" x14ac:dyDescent="0.5">
      <c r="A1204" s="354"/>
      <c r="B1204" s="513"/>
      <c r="C1204" s="401"/>
      <c r="D1204" s="401"/>
      <c r="E1204" s="401"/>
      <c r="F1204" s="401"/>
      <c r="G1204" s="119"/>
      <c r="H1204" s="119"/>
      <c r="I1204" s="119"/>
      <c r="J1204" s="119"/>
      <c r="K1204" s="401"/>
      <c r="L1204" s="119"/>
      <c r="M1204" s="119"/>
      <c r="N1204" s="119"/>
      <c r="O1204" s="119"/>
      <c r="P1204" s="401"/>
      <c r="Q1204" s="119"/>
      <c r="R1204" s="119"/>
      <c r="S1204" s="119"/>
      <c r="T1204" s="119"/>
      <c r="U1204" s="401"/>
      <c r="V1204" s="119"/>
      <c r="W1204" s="251"/>
      <c r="X1204" s="119"/>
      <c r="Y1204" s="251"/>
      <c r="Z1204" s="401"/>
      <c r="AA1204" s="119"/>
      <c r="AB1204" s="119"/>
      <c r="AC1204" s="119"/>
      <c r="AD1204" s="251"/>
      <c r="AE1204" s="401"/>
      <c r="AF1204" s="119"/>
      <c r="AG1204" s="119"/>
      <c r="AH1204" s="119"/>
      <c r="AI1204" s="251"/>
      <c r="AJ1204" s="401"/>
      <c r="AK1204" s="119"/>
      <c r="AL1204" s="119"/>
      <c r="AM1204" s="119"/>
      <c r="AN1204" s="251"/>
      <c r="AO1204" s="401"/>
      <c r="AP1204" s="119"/>
      <c r="AQ1204" s="119"/>
      <c r="AR1204" s="119"/>
      <c r="AS1204" s="251"/>
      <c r="AT1204" s="401"/>
      <c r="AU1204" s="119"/>
      <c r="AV1204" s="119"/>
      <c r="AW1204" s="119"/>
      <c r="AX1204" s="251"/>
      <c r="AY1204" s="401"/>
      <c r="AZ1204" s="119"/>
      <c r="BA1204" s="119"/>
      <c r="BB1204" s="119"/>
      <c r="BC1204" s="251"/>
      <c r="BD1204" s="401"/>
      <c r="BE1204" s="119"/>
      <c r="BF1204" s="119"/>
      <c r="BG1204" s="119"/>
      <c r="BH1204" s="251"/>
      <c r="BI1204" s="402"/>
      <c r="BJ1204" s="119"/>
      <c r="BK1204" s="119"/>
      <c r="BL1204" s="119"/>
      <c r="BM1204" s="119"/>
      <c r="BN1204" s="724"/>
      <c r="BO1204" s="119"/>
      <c r="BP1204" s="119"/>
      <c r="BQ1204" s="119"/>
      <c r="BR1204" s="119"/>
      <c r="BS1204" s="724"/>
      <c r="BT1204" s="724"/>
      <c r="BU1204" s="724"/>
      <c r="BV1204" s="724"/>
      <c r="BW1204" s="122"/>
    </row>
    <row r="1205" spans="1:75" s="123" customFormat="1" hidden="1" outlineLevel="1" x14ac:dyDescent="0.5">
      <c r="A1205" s="184" t="s">
        <v>1163</v>
      </c>
      <c r="B1205" s="513"/>
      <c r="C1205" s="401">
        <v>3.2410000000000001</v>
      </c>
      <c r="D1205" s="401">
        <v>3.15</v>
      </c>
      <c r="E1205" s="401">
        <v>5.1340000000000003</v>
      </c>
      <c r="F1205" s="401">
        <v>5.7760000000000007</v>
      </c>
      <c r="G1205" s="118">
        <v>0.84</v>
      </c>
      <c r="H1205" s="118">
        <v>1.1910000000000001</v>
      </c>
      <c r="I1205" s="118">
        <v>2.165</v>
      </c>
      <c r="J1205" s="118">
        <v>1.5369999999999999</v>
      </c>
      <c r="K1205" s="401">
        <v>5.7329999999999997</v>
      </c>
      <c r="L1205" s="118">
        <v>2.056</v>
      </c>
      <c r="M1205" s="118">
        <v>4.3460000000000001</v>
      </c>
      <c r="N1205" s="118">
        <v>5.21</v>
      </c>
      <c r="O1205" s="118">
        <v>5.9390000000000001</v>
      </c>
      <c r="P1205" s="401">
        <v>17.551000000000002</v>
      </c>
      <c r="Q1205" s="118">
        <v>5.649</v>
      </c>
      <c r="R1205" s="118">
        <v>7.4059999999999997</v>
      </c>
      <c r="S1205" s="118">
        <v>11.003</v>
      </c>
      <c r="T1205" s="118">
        <v>11.618999999999998</v>
      </c>
      <c r="U1205" s="401">
        <v>35.677</v>
      </c>
      <c r="V1205" s="118">
        <v>10.528</v>
      </c>
      <c r="W1205" s="118">
        <v>10.909000000000001</v>
      </c>
      <c r="X1205" s="118">
        <v>11.090999999999999</v>
      </c>
      <c r="Y1205" s="118">
        <v>11.953999999999997</v>
      </c>
      <c r="Z1205" s="401">
        <v>44.481999999999999</v>
      </c>
      <c r="AA1205" s="118">
        <v>12.178999999999998</v>
      </c>
      <c r="AB1205" s="118">
        <v>14.401999999999999</v>
      </c>
      <c r="AC1205" s="118">
        <v>18.914999999999999</v>
      </c>
      <c r="AD1205" s="118">
        <v>17.073999999999998</v>
      </c>
      <c r="AE1205" s="401">
        <v>62.57</v>
      </c>
      <c r="AF1205" s="118">
        <v>15.098000000000003</v>
      </c>
      <c r="AG1205" s="118">
        <v>15.466999999999999</v>
      </c>
      <c r="AH1205" s="118">
        <v>17.695</v>
      </c>
      <c r="AI1205" s="118">
        <v>19.509000000000004</v>
      </c>
      <c r="AJ1205" s="401">
        <v>67.769000000000005</v>
      </c>
      <c r="AK1205" s="118">
        <v>21.118000000000002</v>
      </c>
      <c r="AL1205" s="118">
        <v>24.513000000000002</v>
      </c>
      <c r="AM1205" s="118">
        <v>21.564</v>
      </c>
      <c r="AN1205" s="118">
        <v>19.981999999999989</v>
      </c>
      <c r="AO1205" s="401">
        <v>87.176999999999992</v>
      </c>
      <c r="AP1205" s="118">
        <v>19.629000000000005</v>
      </c>
      <c r="AQ1205" s="118">
        <v>19.417999999999999</v>
      </c>
      <c r="AR1205" s="118">
        <v>15.655999999999995</v>
      </c>
      <c r="AS1205" s="118">
        <v>14.546999999999997</v>
      </c>
      <c r="AT1205" s="401">
        <v>69.25</v>
      </c>
      <c r="AU1205" s="118">
        <v>13.308</v>
      </c>
      <c r="AV1205" s="118">
        <v>13.581</v>
      </c>
      <c r="AW1205" s="118">
        <v>13.222999999999999</v>
      </c>
      <c r="AX1205" s="118">
        <v>24.835000000000001</v>
      </c>
      <c r="AY1205" s="401">
        <v>64.947000000000003</v>
      </c>
      <c r="AZ1205" s="118">
        <v>20.855</v>
      </c>
      <c r="BA1205" s="118">
        <v>26.263999999999996</v>
      </c>
      <c r="BB1205" s="118">
        <v>31.417000000000002</v>
      </c>
      <c r="BC1205" s="118">
        <v>34.673999999999992</v>
      </c>
      <c r="BD1205" s="401">
        <v>113.21000000000001</v>
      </c>
      <c r="BE1205" s="118">
        <v>39.816000000000003</v>
      </c>
      <c r="BF1205" s="118">
        <v>44.422000000000004</v>
      </c>
      <c r="BG1205" s="118">
        <v>54.64</v>
      </c>
      <c r="BH1205" s="118">
        <v>59.417999999999992</v>
      </c>
      <c r="BI1205" s="402">
        <v>198.29599999999999</v>
      </c>
      <c r="BJ1205" s="118">
        <v>56.802021000000003</v>
      </c>
      <c r="BK1205" s="118">
        <v>56.733509199346841</v>
      </c>
      <c r="BL1205" s="118">
        <v>56.413293942595232</v>
      </c>
      <c r="BM1205" s="118">
        <v>56.092366030228192</v>
      </c>
      <c r="BN1205" s="401">
        <v>226.04119017217027</v>
      </c>
      <c r="BO1205" s="118">
        <v>56.113702617728265</v>
      </c>
      <c r="BP1205" s="118">
        <v>56.298648187157305</v>
      </c>
      <c r="BQ1205" s="118">
        <v>55.691167290131446</v>
      </c>
      <c r="BR1205" s="118">
        <v>55.153666189702605</v>
      </c>
      <c r="BS1205" s="401">
        <v>223.25718428471964</v>
      </c>
      <c r="BT1205" s="401">
        <v>219.17713992254946</v>
      </c>
      <c r="BU1205" s="401">
        <v>210.33247935222113</v>
      </c>
      <c r="BV1205" s="401">
        <v>198.43865405457353</v>
      </c>
      <c r="BW1205" s="118"/>
    </row>
    <row r="1206" spans="1:75" s="123" customFormat="1" hidden="1" outlineLevel="1" x14ac:dyDescent="0.5">
      <c r="A1206" s="497" t="s">
        <v>1164</v>
      </c>
      <c r="B1206" s="677"/>
      <c r="C1206" s="406">
        <v>0</v>
      </c>
      <c r="D1206" s="406">
        <v>0</v>
      </c>
      <c r="E1206" s="406">
        <v>0</v>
      </c>
      <c r="F1206" s="406">
        <v>0</v>
      </c>
      <c r="G1206" s="723">
        <v>0</v>
      </c>
      <c r="H1206" s="723">
        <v>0</v>
      </c>
      <c r="I1206" s="723">
        <v>0</v>
      </c>
      <c r="J1206" s="723">
        <v>0</v>
      </c>
      <c r="K1206" s="406">
        <v>0</v>
      </c>
      <c r="L1206" s="723">
        <v>0</v>
      </c>
      <c r="M1206" s="723">
        <v>1.5760000000000001</v>
      </c>
      <c r="N1206" s="723">
        <v>2.3330000000000002</v>
      </c>
      <c r="O1206" s="723">
        <v>2.9430000000000001</v>
      </c>
      <c r="P1206" s="406">
        <v>6.8520000000000003</v>
      </c>
      <c r="Q1206" s="723">
        <v>2.702</v>
      </c>
      <c r="R1206" s="723">
        <v>4.4930000000000003</v>
      </c>
      <c r="S1206" s="723">
        <v>6.415</v>
      </c>
      <c r="T1206" s="723">
        <v>6.1930000000000014</v>
      </c>
      <c r="U1206" s="406">
        <v>19.803000000000001</v>
      </c>
      <c r="V1206" s="723">
        <v>6.4420000000000002</v>
      </c>
      <c r="W1206" s="723">
        <v>6.4790000000000001</v>
      </c>
      <c r="X1206" s="723">
        <v>6.6289999999999996</v>
      </c>
      <c r="Y1206" s="723">
        <v>6.8540000000000001</v>
      </c>
      <c r="Z1206" s="406">
        <v>26.404</v>
      </c>
      <c r="AA1206" s="723">
        <v>6.7149999999999999</v>
      </c>
      <c r="AB1206" s="723">
        <v>6.79</v>
      </c>
      <c r="AC1206" s="723">
        <v>6.8789999999999996</v>
      </c>
      <c r="AD1206" s="723">
        <v>7.5419999999999998</v>
      </c>
      <c r="AE1206" s="406">
        <v>27.925999999999998</v>
      </c>
      <c r="AF1206" s="723">
        <v>7.2720000000000002</v>
      </c>
      <c r="AG1206" s="723">
        <v>9</v>
      </c>
      <c r="AH1206" s="723">
        <v>11.282999999999999</v>
      </c>
      <c r="AI1206" s="723">
        <v>11.661</v>
      </c>
      <c r="AJ1206" s="406">
        <v>39.216000000000001</v>
      </c>
      <c r="AK1206" s="723">
        <v>11.689</v>
      </c>
      <c r="AL1206" s="723">
        <v>9.9179999999999993</v>
      </c>
      <c r="AM1206" s="723">
        <v>9.6379999999999999</v>
      </c>
      <c r="AN1206" s="723">
        <v>11.3</v>
      </c>
      <c r="AO1206" s="406">
        <v>42.545000000000002</v>
      </c>
      <c r="AP1206" s="723">
        <v>11.125</v>
      </c>
      <c r="AQ1206" s="723">
        <v>11.113</v>
      </c>
      <c r="AR1206" s="723">
        <v>7.3689999999999998</v>
      </c>
      <c r="AS1206" s="723">
        <v>7.4480000000000004</v>
      </c>
      <c r="AT1206" s="406">
        <v>37.055</v>
      </c>
      <c r="AU1206" s="723">
        <v>5.9809999999999999</v>
      </c>
      <c r="AV1206" s="723">
        <v>5.8650000000000002</v>
      </c>
      <c r="AW1206" s="723">
        <v>4.0229999999999997</v>
      </c>
      <c r="AX1206" s="723">
        <v>2.6080000000000001</v>
      </c>
      <c r="AY1206" s="406">
        <v>18.477</v>
      </c>
      <c r="AZ1206" s="723">
        <v>0</v>
      </c>
      <c r="BA1206" s="723">
        <v>0</v>
      </c>
      <c r="BB1206" s="723">
        <v>0</v>
      </c>
      <c r="BC1206" s="723">
        <v>0</v>
      </c>
      <c r="BD1206" s="406">
        <v>0</v>
      </c>
      <c r="BE1206" s="723">
        <v>0</v>
      </c>
      <c r="BF1206" s="723">
        <v>0</v>
      </c>
      <c r="BG1206" s="723">
        <v>0</v>
      </c>
      <c r="BH1206" s="723">
        <v>0</v>
      </c>
      <c r="BI1206" s="407">
        <v>0</v>
      </c>
      <c r="BJ1206" s="723">
        <v>0</v>
      </c>
      <c r="BK1206" s="723">
        <v>0</v>
      </c>
      <c r="BL1206" s="723">
        <v>0</v>
      </c>
      <c r="BM1206" s="723">
        <v>0</v>
      </c>
      <c r="BN1206" s="406">
        <v>0</v>
      </c>
      <c r="BO1206" s="723">
        <v>0</v>
      </c>
      <c r="BP1206" s="723">
        <v>0</v>
      </c>
      <c r="BQ1206" s="723">
        <v>0</v>
      </c>
      <c r="BR1206" s="723">
        <v>0</v>
      </c>
      <c r="BS1206" s="406">
        <v>0</v>
      </c>
      <c r="BT1206" s="406">
        <v>0</v>
      </c>
      <c r="BU1206" s="406">
        <v>0</v>
      </c>
      <c r="BV1206" s="406">
        <v>0</v>
      </c>
      <c r="BW1206" s="118"/>
    </row>
    <row r="1207" spans="1:75" s="123" customFormat="1" collapsed="1" x14ac:dyDescent="0.5">
      <c r="A1207" s="184" t="s">
        <v>1165</v>
      </c>
      <c r="B1207" s="513"/>
      <c r="C1207" s="401">
        <v>3.2410000000000001</v>
      </c>
      <c r="D1207" s="401">
        <v>3.15</v>
      </c>
      <c r="E1207" s="401">
        <v>5.1340000000000003</v>
      </c>
      <c r="F1207" s="401">
        <v>5.7760000000000007</v>
      </c>
      <c r="G1207" s="118">
        <v>0.84</v>
      </c>
      <c r="H1207" s="118">
        <v>1.1910000000000001</v>
      </c>
      <c r="I1207" s="118">
        <v>2.165</v>
      </c>
      <c r="J1207" s="118">
        <v>1.5369999999999999</v>
      </c>
      <c r="K1207" s="401">
        <v>5.7329999999999997</v>
      </c>
      <c r="L1207" s="118">
        <v>2.056</v>
      </c>
      <c r="M1207" s="118">
        <v>2.77</v>
      </c>
      <c r="N1207" s="118">
        <v>2.8769999999999998</v>
      </c>
      <c r="O1207" s="118">
        <v>2.996</v>
      </c>
      <c r="P1207" s="401">
        <v>10.699000000000002</v>
      </c>
      <c r="Q1207" s="118">
        <v>2.9470000000000001</v>
      </c>
      <c r="R1207" s="118">
        <v>2.9129999999999994</v>
      </c>
      <c r="S1207" s="118">
        <v>4.5880000000000001</v>
      </c>
      <c r="T1207" s="118">
        <v>5.4259999999999966</v>
      </c>
      <c r="U1207" s="401">
        <v>15.873999999999999</v>
      </c>
      <c r="V1207" s="118">
        <v>4.0860000000000003</v>
      </c>
      <c r="W1207" s="118">
        <v>4.4300000000000006</v>
      </c>
      <c r="X1207" s="118">
        <v>4.4619999999999997</v>
      </c>
      <c r="Y1207" s="118">
        <v>5.099999999999997</v>
      </c>
      <c r="Z1207" s="401">
        <v>18.077999999999999</v>
      </c>
      <c r="AA1207" s="118">
        <v>5.4639999999999986</v>
      </c>
      <c r="AB1207" s="118">
        <v>7.6119999999999992</v>
      </c>
      <c r="AC1207" s="118">
        <v>12.036</v>
      </c>
      <c r="AD1207" s="118">
        <v>9.5319999999999983</v>
      </c>
      <c r="AE1207" s="401">
        <v>34.644000000000005</v>
      </c>
      <c r="AF1207" s="118">
        <v>7.8260000000000023</v>
      </c>
      <c r="AG1207" s="118">
        <v>6.4669999999999987</v>
      </c>
      <c r="AH1207" s="118">
        <v>6.4120000000000008</v>
      </c>
      <c r="AI1207" s="118">
        <v>7.8480000000000043</v>
      </c>
      <c r="AJ1207" s="401">
        <v>28.553000000000004</v>
      </c>
      <c r="AK1207" s="118">
        <v>9.429000000000002</v>
      </c>
      <c r="AL1207" s="118">
        <v>14.595000000000002</v>
      </c>
      <c r="AM1207" s="118">
        <v>11.926</v>
      </c>
      <c r="AN1207" s="118">
        <v>8.6819999999999879</v>
      </c>
      <c r="AO1207" s="401">
        <v>44.631999999999991</v>
      </c>
      <c r="AP1207" s="118">
        <v>8.5040000000000049</v>
      </c>
      <c r="AQ1207" s="118">
        <v>8.3049999999999997</v>
      </c>
      <c r="AR1207" s="118">
        <v>8.2869999999999955</v>
      </c>
      <c r="AS1207" s="118">
        <v>7.0989999999999966</v>
      </c>
      <c r="AT1207" s="401">
        <v>32.195</v>
      </c>
      <c r="AU1207" s="118">
        <v>7.327</v>
      </c>
      <c r="AV1207" s="118">
        <v>7.7159999999999993</v>
      </c>
      <c r="AW1207" s="118">
        <v>9.1999999999999993</v>
      </c>
      <c r="AX1207" s="118">
        <v>22.227</v>
      </c>
      <c r="AY1207" s="401">
        <v>46.47</v>
      </c>
      <c r="AZ1207" s="118">
        <v>20.855</v>
      </c>
      <c r="BA1207" s="118">
        <v>26.263999999999996</v>
      </c>
      <c r="BB1207" s="118">
        <v>31.417000000000002</v>
      </c>
      <c r="BC1207" s="118">
        <v>34.673999999999992</v>
      </c>
      <c r="BD1207" s="401">
        <v>113.21000000000001</v>
      </c>
      <c r="BE1207" s="118">
        <v>39.816000000000003</v>
      </c>
      <c r="BF1207" s="118">
        <v>44.422000000000004</v>
      </c>
      <c r="BG1207" s="118">
        <v>54.64</v>
      </c>
      <c r="BH1207" s="118">
        <v>59.417999999999992</v>
      </c>
      <c r="BI1207" s="402">
        <v>198.29599999999999</v>
      </c>
      <c r="BJ1207" s="118">
        <v>56.802021000000003</v>
      </c>
      <c r="BK1207" s="118">
        <v>56.733509199346841</v>
      </c>
      <c r="BL1207" s="118">
        <v>56.413293942595232</v>
      </c>
      <c r="BM1207" s="118">
        <v>56.092366030228192</v>
      </c>
      <c r="BN1207" s="401">
        <v>226.04119017217027</v>
      </c>
      <c r="BO1207" s="118">
        <v>56.113702617728265</v>
      </c>
      <c r="BP1207" s="118">
        <v>56.298648187157305</v>
      </c>
      <c r="BQ1207" s="118">
        <v>55.691167290131446</v>
      </c>
      <c r="BR1207" s="118">
        <v>55.153666189702605</v>
      </c>
      <c r="BS1207" s="401">
        <v>223.25718428471964</v>
      </c>
      <c r="BT1207" s="401">
        <v>219.17713992254946</v>
      </c>
      <c r="BU1207" s="401">
        <v>210.33247935222113</v>
      </c>
      <c r="BV1207" s="401">
        <v>198.43865405457353</v>
      </c>
      <c r="BW1207" s="118"/>
    </row>
    <row r="1208" spans="1:75" s="123" customFormat="1" ht="14.25" hidden="1" customHeight="1" outlineLevel="1" x14ac:dyDescent="0.5">
      <c r="A1208" s="184" t="s">
        <v>1166</v>
      </c>
      <c r="B1208" s="513"/>
      <c r="C1208" s="401">
        <v>0</v>
      </c>
      <c r="D1208" s="401">
        <v>0</v>
      </c>
      <c r="E1208" s="401">
        <v>0</v>
      </c>
      <c r="F1208" s="401">
        <v>0</v>
      </c>
      <c r="G1208" s="118">
        <v>0</v>
      </c>
      <c r="H1208" s="118">
        <v>0</v>
      </c>
      <c r="I1208" s="118">
        <v>0</v>
      </c>
      <c r="J1208" s="118">
        <v>0</v>
      </c>
      <c r="K1208" s="401">
        <v>0</v>
      </c>
      <c r="L1208" s="118">
        <v>0</v>
      </c>
      <c r="M1208" s="118">
        <v>0</v>
      </c>
      <c r="N1208" s="118">
        <v>0</v>
      </c>
      <c r="O1208" s="118">
        <v>0</v>
      </c>
      <c r="P1208" s="401">
        <v>0</v>
      </c>
      <c r="Q1208" s="118">
        <v>0</v>
      </c>
      <c r="R1208" s="118">
        <v>0</v>
      </c>
      <c r="S1208" s="118">
        <v>0</v>
      </c>
      <c r="T1208" s="118">
        <v>0</v>
      </c>
      <c r="U1208" s="401">
        <v>0</v>
      </c>
      <c r="V1208" s="118">
        <v>0</v>
      </c>
      <c r="W1208" s="118">
        <v>0</v>
      </c>
      <c r="X1208" s="118">
        <v>0</v>
      </c>
      <c r="Y1208" s="118">
        <v>0</v>
      </c>
      <c r="Z1208" s="401">
        <v>0</v>
      </c>
      <c r="AA1208" s="118">
        <v>0</v>
      </c>
      <c r="AB1208" s="118">
        <v>0</v>
      </c>
      <c r="AC1208" s="118">
        <v>0</v>
      </c>
      <c r="AD1208" s="118">
        <v>0</v>
      </c>
      <c r="AE1208" s="401">
        <v>0</v>
      </c>
      <c r="AF1208" s="118">
        <v>0</v>
      </c>
      <c r="AG1208" s="118">
        <v>0</v>
      </c>
      <c r="AH1208" s="118">
        <v>0</v>
      </c>
      <c r="AI1208" s="118">
        <v>0</v>
      </c>
      <c r="AJ1208" s="401">
        <v>0</v>
      </c>
      <c r="AK1208" s="118">
        <v>0</v>
      </c>
      <c r="AL1208" s="118">
        <v>0</v>
      </c>
      <c r="AM1208" s="118">
        <v>0</v>
      </c>
      <c r="AN1208" s="118">
        <v>0</v>
      </c>
      <c r="AO1208" s="401">
        <v>0</v>
      </c>
      <c r="AP1208" s="118">
        <v>0</v>
      </c>
      <c r="AQ1208" s="118">
        <v>0</v>
      </c>
      <c r="AR1208" s="118">
        <v>0</v>
      </c>
      <c r="AS1208" s="118">
        <v>0</v>
      </c>
      <c r="AT1208" s="401">
        <v>0</v>
      </c>
      <c r="AU1208" s="118">
        <v>0</v>
      </c>
      <c r="AV1208" s="118">
        <v>0</v>
      </c>
      <c r="AW1208" s="118">
        <v>0</v>
      </c>
      <c r="AX1208" s="118">
        <v>2.778</v>
      </c>
      <c r="AY1208" s="401">
        <v>2.778</v>
      </c>
      <c r="AZ1208" s="118">
        <v>-0.34300000000000003</v>
      </c>
      <c r="BA1208" s="118">
        <v>3.1949999999999998</v>
      </c>
      <c r="BB1208" s="118">
        <v>1.9890000000000001</v>
      </c>
      <c r="BC1208" s="118">
        <v>-4.8109999999999999</v>
      </c>
      <c r="BD1208" s="401">
        <v>0.03</v>
      </c>
      <c r="BE1208" s="118">
        <v>-0.65300000000000002</v>
      </c>
      <c r="BF1208" s="118">
        <v>-0.186</v>
      </c>
      <c r="BG1208" s="118">
        <v>5.3049999999999997</v>
      </c>
      <c r="BH1208" s="118">
        <v>-3.387999999999999</v>
      </c>
      <c r="BI1208" s="402">
        <v>1.0780000000000001</v>
      </c>
      <c r="BJ1208" s="118">
        <v>0</v>
      </c>
      <c r="BK1208" s="118">
        <v>0</v>
      </c>
      <c r="BL1208" s="118">
        <v>0</v>
      </c>
      <c r="BM1208" s="118">
        <v>0</v>
      </c>
      <c r="BN1208" s="401">
        <v>0</v>
      </c>
      <c r="BO1208" s="118">
        <v>0</v>
      </c>
      <c r="BP1208" s="118">
        <v>0</v>
      </c>
      <c r="BQ1208" s="118">
        <v>0</v>
      </c>
      <c r="BR1208" s="118">
        <v>0</v>
      </c>
      <c r="BS1208" s="401">
        <v>0</v>
      </c>
      <c r="BT1208" s="401">
        <v>0</v>
      </c>
      <c r="BU1208" s="401">
        <v>0</v>
      </c>
      <c r="BV1208" s="401">
        <v>0</v>
      </c>
      <c r="BW1208" s="118"/>
    </row>
    <row r="1209" spans="1:75" s="123" customFormat="1" ht="14.25" hidden="1" customHeight="1" outlineLevel="1" x14ac:dyDescent="0.5">
      <c r="A1209" s="497" t="s">
        <v>1167</v>
      </c>
      <c r="B1209" s="677"/>
      <c r="C1209" s="406">
        <v>0</v>
      </c>
      <c r="D1209" s="406">
        <v>0</v>
      </c>
      <c r="E1209" s="406">
        <v>0</v>
      </c>
      <c r="F1209" s="406">
        <v>0</v>
      </c>
      <c r="G1209" s="723">
        <v>0</v>
      </c>
      <c r="H1209" s="723">
        <v>0</v>
      </c>
      <c r="I1209" s="723">
        <v>0</v>
      </c>
      <c r="J1209" s="723">
        <v>0</v>
      </c>
      <c r="K1209" s="406">
        <v>0</v>
      </c>
      <c r="L1209" s="723">
        <v>0</v>
      </c>
      <c r="M1209" s="723">
        <v>0</v>
      </c>
      <c r="N1209" s="723">
        <v>0</v>
      </c>
      <c r="O1209" s="723">
        <v>0</v>
      </c>
      <c r="P1209" s="406">
        <v>0</v>
      </c>
      <c r="Q1209" s="723">
        <v>0</v>
      </c>
      <c r="R1209" s="723">
        <v>0</v>
      </c>
      <c r="S1209" s="723">
        <v>0</v>
      </c>
      <c r="T1209" s="723">
        <v>0</v>
      </c>
      <c r="U1209" s="406">
        <v>0</v>
      </c>
      <c r="V1209" s="723">
        <v>0</v>
      </c>
      <c r="W1209" s="723">
        <v>0</v>
      </c>
      <c r="X1209" s="723">
        <v>0</v>
      </c>
      <c r="Y1209" s="723">
        <v>0</v>
      </c>
      <c r="Z1209" s="406">
        <v>0</v>
      </c>
      <c r="AA1209" s="723">
        <v>0</v>
      </c>
      <c r="AB1209" s="723">
        <v>0</v>
      </c>
      <c r="AC1209" s="723">
        <v>0</v>
      </c>
      <c r="AD1209" s="723">
        <v>0</v>
      </c>
      <c r="AE1209" s="406">
        <v>0</v>
      </c>
      <c r="AF1209" s="723">
        <v>0</v>
      </c>
      <c r="AG1209" s="723">
        <v>0</v>
      </c>
      <c r="AH1209" s="723">
        <v>0</v>
      </c>
      <c r="AI1209" s="723">
        <v>0</v>
      </c>
      <c r="AJ1209" s="406">
        <v>0</v>
      </c>
      <c r="AK1209" s="723">
        <v>0</v>
      </c>
      <c r="AL1209" s="723">
        <v>0</v>
      </c>
      <c r="AM1209" s="723">
        <v>0</v>
      </c>
      <c r="AN1209" s="723">
        <v>0</v>
      </c>
      <c r="AO1209" s="406">
        <v>0</v>
      </c>
      <c r="AP1209" s="723">
        <v>0</v>
      </c>
      <c r="AQ1209" s="723">
        <v>0</v>
      </c>
      <c r="AR1209" s="723">
        <v>0</v>
      </c>
      <c r="AS1209" s="723">
        <v>0</v>
      </c>
      <c r="AT1209" s="406">
        <v>0</v>
      </c>
      <c r="AU1209" s="723">
        <v>0</v>
      </c>
      <c r="AV1209" s="723">
        <v>0</v>
      </c>
      <c r="AW1209" s="723">
        <v>0</v>
      </c>
      <c r="AX1209" s="723">
        <v>0</v>
      </c>
      <c r="AY1209" s="406">
        <v>0</v>
      </c>
      <c r="AZ1209" s="723">
        <v>-3.177</v>
      </c>
      <c r="BA1209" s="723">
        <v>1.4530000000000001</v>
      </c>
      <c r="BB1209" s="723">
        <v>0</v>
      </c>
      <c r="BC1209" s="723">
        <v>0</v>
      </c>
      <c r="BD1209" s="406">
        <v>-1.724</v>
      </c>
      <c r="BE1209" s="723">
        <v>0</v>
      </c>
      <c r="BF1209" s="723">
        <v>0</v>
      </c>
      <c r="BG1209" s="723">
        <v>0</v>
      </c>
      <c r="BH1209" s="723">
        <v>0</v>
      </c>
      <c r="BI1209" s="407">
        <v>0</v>
      </c>
      <c r="BJ1209" s="723">
        <v>0</v>
      </c>
      <c r="BK1209" s="723">
        <v>0</v>
      </c>
      <c r="BL1209" s="723">
        <v>0</v>
      </c>
      <c r="BM1209" s="723">
        <v>0</v>
      </c>
      <c r="BN1209" s="406">
        <v>0</v>
      </c>
      <c r="BO1209" s="723">
        <v>0</v>
      </c>
      <c r="BP1209" s="723">
        <v>0</v>
      </c>
      <c r="BQ1209" s="723">
        <v>0</v>
      </c>
      <c r="BR1209" s="723">
        <v>0</v>
      </c>
      <c r="BS1209" s="406">
        <v>0</v>
      </c>
      <c r="BT1209" s="406">
        <v>0</v>
      </c>
      <c r="BU1209" s="406">
        <v>0</v>
      </c>
      <c r="BV1209" s="406">
        <v>0</v>
      </c>
      <c r="BW1209" s="118"/>
    </row>
    <row r="1210" spans="1:75" s="123" customFormat="1" ht="14.25" customHeight="1" collapsed="1" x14ac:dyDescent="0.5">
      <c r="A1210" s="184" t="s">
        <v>1168</v>
      </c>
      <c r="B1210" s="513"/>
      <c r="C1210" s="401">
        <v>0</v>
      </c>
      <c r="D1210" s="401">
        <v>0</v>
      </c>
      <c r="E1210" s="401">
        <v>0</v>
      </c>
      <c r="F1210" s="401">
        <v>0</v>
      </c>
      <c r="G1210" s="118">
        <v>0</v>
      </c>
      <c r="H1210" s="118">
        <v>0</v>
      </c>
      <c r="I1210" s="118">
        <v>0</v>
      </c>
      <c r="J1210" s="118">
        <v>0</v>
      </c>
      <c r="K1210" s="401">
        <v>0</v>
      </c>
      <c r="L1210" s="118">
        <v>0</v>
      </c>
      <c r="M1210" s="118">
        <v>0</v>
      </c>
      <c r="N1210" s="118">
        <v>0</v>
      </c>
      <c r="O1210" s="118">
        <v>0</v>
      </c>
      <c r="P1210" s="401">
        <v>0</v>
      </c>
      <c r="Q1210" s="118">
        <v>0</v>
      </c>
      <c r="R1210" s="118">
        <v>0</v>
      </c>
      <c r="S1210" s="118">
        <v>0</v>
      </c>
      <c r="T1210" s="118">
        <v>0</v>
      </c>
      <c r="U1210" s="401">
        <v>0</v>
      </c>
      <c r="V1210" s="118">
        <v>0</v>
      </c>
      <c r="W1210" s="118">
        <v>0</v>
      </c>
      <c r="X1210" s="118">
        <v>0</v>
      </c>
      <c r="Y1210" s="118">
        <v>0</v>
      </c>
      <c r="Z1210" s="401">
        <v>0</v>
      </c>
      <c r="AA1210" s="118">
        <v>0</v>
      </c>
      <c r="AB1210" s="118">
        <v>0</v>
      </c>
      <c r="AC1210" s="118">
        <v>0</v>
      </c>
      <c r="AD1210" s="118">
        <v>0</v>
      </c>
      <c r="AE1210" s="401">
        <v>0</v>
      </c>
      <c r="AF1210" s="118">
        <v>0</v>
      </c>
      <c r="AG1210" s="118">
        <v>0</v>
      </c>
      <c r="AH1210" s="118">
        <v>0</v>
      </c>
      <c r="AI1210" s="118">
        <v>0</v>
      </c>
      <c r="AJ1210" s="401">
        <v>0</v>
      </c>
      <c r="AK1210" s="118">
        <v>0</v>
      </c>
      <c r="AL1210" s="118">
        <v>0</v>
      </c>
      <c r="AM1210" s="118">
        <v>0</v>
      </c>
      <c r="AN1210" s="118">
        <v>0</v>
      </c>
      <c r="AO1210" s="401">
        <v>0</v>
      </c>
      <c r="AP1210" s="118">
        <v>0</v>
      </c>
      <c r="AQ1210" s="118">
        <v>0</v>
      </c>
      <c r="AR1210" s="118">
        <v>0</v>
      </c>
      <c r="AS1210" s="118">
        <v>0</v>
      </c>
      <c r="AT1210" s="401">
        <v>0</v>
      </c>
      <c r="AU1210" s="118">
        <v>0</v>
      </c>
      <c r="AV1210" s="118">
        <v>0</v>
      </c>
      <c r="AW1210" s="118">
        <v>0</v>
      </c>
      <c r="AX1210" s="118">
        <v>2.778</v>
      </c>
      <c r="AY1210" s="401">
        <v>2.778</v>
      </c>
      <c r="AZ1210" s="118">
        <v>2.8340000000000001</v>
      </c>
      <c r="BA1210" s="118">
        <v>1.7419999999999998</v>
      </c>
      <c r="BB1210" s="118">
        <v>1.9890000000000001</v>
      </c>
      <c r="BC1210" s="118">
        <v>-4.8109999999999999</v>
      </c>
      <c r="BD1210" s="401">
        <v>1.754</v>
      </c>
      <c r="BE1210" s="118">
        <v>-0.65300000000000002</v>
      </c>
      <c r="BF1210" s="118">
        <v>-0.186</v>
      </c>
      <c r="BG1210" s="118">
        <v>5.3049999999999997</v>
      </c>
      <c r="BH1210" s="118">
        <v>-3.387999999999999</v>
      </c>
      <c r="BI1210" s="402">
        <v>1.0780000000000001</v>
      </c>
      <c r="BJ1210" s="118">
        <v>0</v>
      </c>
      <c r="BK1210" s="118">
        <v>0</v>
      </c>
      <c r="BL1210" s="118">
        <v>0</v>
      </c>
      <c r="BM1210" s="118">
        <v>0</v>
      </c>
      <c r="BN1210" s="401">
        <v>0</v>
      </c>
      <c r="BO1210" s="118">
        <v>0</v>
      </c>
      <c r="BP1210" s="118">
        <v>0</v>
      </c>
      <c r="BQ1210" s="118">
        <v>0</v>
      </c>
      <c r="BR1210" s="118">
        <v>0</v>
      </c>
      <c r="BS1210" s="401">
        <v>0</v>
      </c>
      <c r="BT1210" s="401">
        <v>0</v>
      </c>
      <c r="BU1210" s="401">
        <v>0</v>
      </c>
      <c r="BV1210" s="401">
        <v>0</v>
      </c>
      <c r="BW1210" s="118"/>
    </row>
    <row r="1211" spans="1:75" s="123" customFormat="1" x14ac:dyDescent="0.5">
      <c r="A1211" s="184" t="s">
        <v>1169</v>
      </c>
      <c r="B1211" s="513"/>
      <c r="C1211" s="401">
        <v>0</v>
      </c>
      <c r="D1211" s="401">
        <v>0</v>
      </c>
      <c r="E1211" s="401">
        <v>0</v>
      </c>
      <c r="F1211" s="401">
        <v>0</v>
      </c>
      <c r="G1211" s="118">
        <v>0</v>
      </c>
      <c r="H1211" s="118">
        <v>0</v>
      </c>
      <c r="I1211" s="118">
        <v>0</v>
      </c>
      <c r="J1211" s="118">
        <v>0</v>
      </c>
      <c r="K1211" s="401">
        <v>0</v>
      </c>
      <c r="L1211" s="118">
        <v>0</v>
      </c>
      <c r="M1211" s="118">
        <v>0</v>
      </c>
      <c r="N1211" s="118">
        <v>0</v>
      </c>
      <c r="O1211" s="118">
        <v>0</v>
      </c>
      <c r="P1211" s="401">
        <v>0</v>
      </c>
      <c r="Q1211" s="118">
        <v>0</v>
      </c>
      <c r="R1211" s="118">
        <v>0</v>
      </c>
      <c r="S1211" s="118">
        <v>0</v>
      </c>
      <c r="T1211" s="118">
        <v>0</v>
      </c>
      <c r="U1211" s="401">
        <v>0</v>
      </c>
      <c r="V1211" s="118">
        <v>0</v>
      </c>
      <c r="W1211" s="118">
        <v>0</v>
      </c>
      <c r="X1211" s="118">
        <v>0</v>
      </c>
      <c r="Y1211" s="118">
        <v>0</v>
      </c>
      <c r="Z1211" s="401">
        <v>0</v>
      </c>
      <c r="AA1211" s="118">
        <v>0</v>
      </c>
      <c r="AB1211" s="118">
        <v>0</v>
      </c>
      <c r="AC1211" s="118">
        <v>4.88</v>
      </c>
      <c r="AD1211" s="118">
        <v>33.700000000000003</v>
      </c>
      <c r="AE1211" s="401">
        <v>38.580000000000005</v>
      </c>
      <c r="AF1211" s="118">
        <v>0</v>
      </c>
      <c r="AG1211" s="118">
        <v>0.91700000000000004</v>
      </c>
      <c r="AH1211" s="118">
        <v>0</v>
      </c>
      <c r="AI1211" s="118">
        <v>32.085999999999999</v>
      </c>
      <c r="AJ1211" s="401">
        <v>33.003</v>
      </c>
      <c r="AK1211" s="118">
        <v>0</v>
      </c>
      <c r="AL1211" s="118">
        <v>-0.95399999999999996</v>
      </c>
      <c r="AM1211" s="118">
        <v>6.8570000000000002</v>
      </c>
      <c r="AN1211" s="118">
        <v>0.56899999999999995</v>
      </c>
      <c r="AO1211" s="401">
        <v>6.4720000000000004</v>
      </c>
      <c r="AP1211" s="118">
        <v>20.459</v>
      </c>
      <c r="AQ1211" s="118">
        <v>-0.152</v>
      </c>
      <c r="AR1211" s="118">
        <v>0</v>
      </c>
      <c r="AS1211" s="118">
        <v>0</v>
      </c>
      <c r="AT1211" s="401">
        <v>20.306999999999999</v>
      </c>
      <c r="AU1211" s="118">
        <v>0.105</v>
      </c>
      <c r="AV1211" s="118">
        <v>3.1659999999999999</v>
      </c>
      <c r="AW1211" s="118">
        <v>18.513000000000002</v>
      </c>
      <c r="AX1211" s="118">
        <v>7.3539999999999992</v>
      </c>
      <c r="AY1211" s="401">
        <v>29.138000000000002</v>
      </c>
      <c r="AZ1211" s="118">
        <v>146.11600000000001</v>
      </c>
      <c r="BA1211" s="118">
        <v>23.462</v>
      </c>
      <c r="BB1211" s="118">
        <v>0</v>
      </c>
      <c r="BC1211" s="118">
        <v>0</v>
      </c>
      <c r="BD1211" s="401">
        <v>169.578</v>
      </c>
      <c r="BE1211" s="118">
        <v>0</v>
      </c>
      <c r="BF1211" s="118">
        <v>0</v>
      </c>
      <c r="BG1211" s="118">
        <v>0</v>
      </c>
      <c r="BH1211" s="118">
        <v>0</v>
      </c>
      <c r="BI1211" s="402">
        <v>0</v>
      </c>
      <c r="BJ1211" s="118">
        <v>0</v>
      </c>
      <c r="BK1211" s="118">
        <v>0</v>
      </c>
      <c r="BL1211" s="118">
        <v>0</v>
      </c>
      <c r="BM1211" s="118">
        <v>0</v>
      </c>
      <c r="BN1211" s="401">
        <v>0</v>
      </c>
      <c r="BO1211" s="118">
        <v>0</v>
      </c>
      <c r="BP1211" s="118">
        <v>0</v>
      </c>
      <c r="BQ1211" s="118">
        <v>0</v>
      </c>
      <c r="BR1211" s="118">
        <v>0</v>
      </c>
      <c r="BS1211" s="401">
        <v>0</v>
      </c>
      <c r="BT1211" s="401">
        <v>0</v>
      </c>
      <c r="BU1211" s="401">
        <v>0</v>
      </c>
      <c r="BV1211" s="401">
        <v>0</v>
      </c>
      <c r="BW1211" s="119"/>
    </row>
    <row r="1212" spans="1:75" s="123" customFormat="1" x14ac:dyDescent="0.5">
      <c r="A1212" s="445" t="s">
        <v>1170</v>
      </c>
      <c r="B1212" s="677"/>
      <c r="C1212" s="406">
        <v>0</v>
      </c>
      <c r="D1212" s="406">
        <v>0</v>
      </c>
      <c r="E1212" s="406">
        <v>0</v>
      </c>
      <c r="F1212" s="406">
        <v>0</v>
      </c>
      <c r="G1212" s="723">
        <v>0</v>
      </c>
      <c r="H1212" s="723">
        <v>0</v>
      </c>
      <c r="I1212" s="723">
        <v>0</v>
      </c>
      <c r="J1212" s="723">
        <v>0</v>
      </c>
      <c r="K1212" s="406">
        <v>0</v>
      </c>
      <c r="L1212" s="723">
        <v>0</v>
      </c>
      <c r="M1212" s="723">
        <v>0</v>
      </c>
      <c r="N1212" s="723">
        <v>0</v>
      </c>
      <c r="O1212" s="723">
        <v>0</v>
      </c>
      <c r="P1212" s="406">
        <v>0</v>
      </c>
      <c r="Q1212" s="723">
        <v>0</v>
      </c>
      <c r="R1212" s="723">
        <v>0</v>
      </c>
      <c r="S1212" s="723">
        <v>0</v>
      </c>
      <c r="T1212" s="723">
        <v>0</v>
      </c>
      <c r="U1212" s="406">
        <v>0</v>
      </c>
      <c r="V1212" s="723">
        <v>0</v>
      </c>
      <c r="W1212" s="723">
        <v>0</v>
      </c>
      <c r="X1212" s="723">
        <v>0</v>
      </c>
      <c r="Y1212" s="723">
        <v>0</v>
      </c>
      <c r="Z1212" s="406">
        <v>0</v>
      </c>
      <c r="AA1212" s="723">
        <v>0</v>
      </c>
      <c r="AB1212" s="723">
        <v>0</v>
      </c>
      <c r="AC1212" s="723">
        <v>0</v>
      </c>
      <c r="AD1212" s="723">
        <v>0</v>
      </c>
      <c r="AE1212" s="406">
        <v>0</v>
      </c>
      <c r="AF1212" s="723">
        <v>0</v>
      </c>
      <c r="AG1212" s="723">
        <v>0</v>
      </c>
      <c r="AH1212" s="723">
        <v>0</v>
      </c>
      <c r="AI1212" s="723">
        <v>0</v>
      </c>
      <c r="AJ1212" s="406">
        <v>0</v>
      </c>
      <c r="AK1212" s="723">
        <v>0</v>
      </c>
      <c r="AL1212" s="723">
        <v>0</v>
      </c>
      <c r="AM1212" s="723">
        <v>0</v>
      </c>
      <c r="AN1212" s="723">
        <v>0</v>
      </c>
      <c r="AO1212" s="406">
        <v>0</v>
      </c>
      <c r="AP1212" s="723">
        <v>0</v>
      </c>
      <c r="AQ1212" s="723">
        <v>0</v>
      </c>
      <c r="AR1212" s="723">
        <v>0</v>
      </c>
      <c r="AS1212" s="723">
        <v>0</v>
      </c>
      <c r="AT1212" s="406">
        <v>0</v>
      </c>
      <c r="AU1212" s="723">
        <v>0</v>
      </c>
      <c r="AV1212" s="723">
        <v>0</v>
      </c>
      <c r="AW1212" s="723">
        <v>0</v>
      </c>
      <c r="AX1212" s="723">
        <v>0</v>
      </c>
      <c r="AY1212" s="406">
        <v>0</v>
      </c>
      <c r="AZ1212" s="723">
        <v>0</v>
      </c>
      <c r="BA1212" s="723">
        <v>0</v>
      </c>
      <c r="BB1212" s="723">
        <v>0</v>
      </c>
      <c r="BC1212" s="723">
        <v>0</v>
      </c>
      <c r="BD1212" s="406">
        <v>0</v>
      </c>
      <c r="BE1212" s="723">
        <v>0</v>
      </c>
      <c r="BF1212" s="723">
        <v>0</v>
      </c>
      <c r="BG1212" s="723">
        <v>0</v>
      </c>
      <c r="BH1212" s="723">
        <v>0</v>
      </c>
      <c r="BI1212" s="407">
        <v>0</v>
      </c>
      <c r="BJ1212" s="723">
        <v>0</v>
      </c>
      <c r="BK1212" s="723">
        <v>0</v>
      </c>
      <c r="BL1212" s="723">
        <v>0</v>
      </c>
      <c r="BM1212" s="723">
        <v>0</v>
      </c>
      <c r="BN1212" s="406">
        <v>0</v>
      </c>
      <c r="BO1212" s="723">
        <v>0</v>
      </c>
      <c r="BP1212" s="723">
        <v>0</v>
      </c>
      <c r="BQ1212" s="723">
        <v>0</v>
      </c>
      <c r="BR1212" s="723">
        <v>0</v>
      </c>
      <c r="BS1212" s="406">
        <v>0</v>
      </c>
      <c r="BT1212" s="406">
        <v>0</v>
      </c>
      <c r="BU1212" s="406">
        <v>0</v>
      </c>
      <c r="BV1212" s="406">
        <v>0</v>
      </c>
      <c r="BW1212" s="118"/>
    </row>
    <row r="1213" spans="1:75" s="198" customFormat="1" ht="14.25" hidden="1" outlineLevel="1" x14ac:dyDescent="0.45">
      <c r="A1213" s="192" t="s">
        <v>1171</v>
      </c>
      <c r="B1213" s="517"/>
      <c r="C1213" s="518">
        <v>-29.074000000000083</v>
      </c>
      <c r="D1213" s="518">
        <v>-6.3660000000001222</v>
      </c>
      <c r="E1213" s="518">
        <v>21.709000000000074</v>
      </c>
      <c r="F1213" s="518">
        <v>-74.811999999999827</v>
      </c>
      <c r="G1213" s="327">
        <v>-0.32900000000003271</v>
      </c>
      <c r="H1213" s="327">
        <v>-28.971000000000029</v>
      </c>
      <c r="I1213" s="327">
        <v>21.695000000000014</v>
      </c>
      <c r="J1213" s="327">
        <v>56.723000000000049</v>
      </c>
      <c r="K1213" s="518">
        <v>49.117999999999661</v>
      </c>
      <c r="L1213" s="327">
        <v>2.72200000000002</v>
      </c>
      <c r="M1213" s="327">
        <v>44.588999999999999</v>
      </c>
      <c r="N1213" s="327">
        <v>31.477999999999987</v>
      </c>
      <c r="O1213" s="327">
        <v>69.385999999999939</v>
      </c>
      <c r="P1213" s="518">
        <v>148.1749999999999</v>
      </c>
      <c r="Q1213" s="327">
        <v>11.379999999999995</v>
      </c>
      <c r="R1213" s="327">
        <v>49.017000000000003</v>
      </c>
      <c r="S1213" s="327">
        <v>33.872999999999976</v>
      </c>
      <c r="T1213" s="327">
        <v>55.613999999999947</v>
      </c>
      <c r="U1213" s="518">
        <v>149.8839999999997</v>
      </c>
      <c r="V1213" s="327">
        <v>-22.002999999999965</v>
      </c>
      <c r="W1213" s="327">
        <v>11.105999999999986</v>
      </c>
      <c r="X1213" s="327">
        <v>4.294999999999968</v>
      </c>
      <c r="Y1213" s="327">
        <v>15.156000000000017</v>
      </c>
      <c r="Z1213" s="518">
        <v>8.5540000000000589</v>
      </c>
      <c r="AA1213" s="327">
        <v>-5.2829999999999266</v>
      </c>
      <c r="AB1213" s="327">
        <v>-2.278999999999952</v>
      </c>
      <c r="AC1213" s="327">
        <v>19.366999999999923</v>
      </c>
      <c r="AD1213" s="327">
        <v>18.346000000000231</v>
      </c>
      <c r="AE1213" s="518">
        <v>30.150999999999925</v>
      </c>
      <c r="AF1213" s="327">
        <v>33.048999999999936</v>
      </c>
      <c r="AG1213" s="327">
        <v>65.438999999999979</v>
      </c>
      <c r="AH1213" s="327">
        <v>24.533000000000065</v>
      </c>
      <c r="AI1213" s="327">
        <v>37.942999999999898</v>
      </c>
      <c r="AJ1213" s="518">
        <v>160.96399999999988</v>
      </c>
      <c r="AK1213" s="327">
        <v>47.515000000000036</v>
      </c>
      <c r="AL1213" s="327">
        <v>80.421999999999997</v>
      </c>
      <c r="AM1213" s="327">
        <v>60.815999999999967</v>
      </c>
      <c r="AN1213" s="327">
        <v>80.429000000000372</v>
      </c>
      <c r="AO1213" s="518">
        <v>269.18200000000013</v>
      </c>
      <c r="AP1213" s="327">
        <v>-4.6350000000000335</v>
      </c>
      <c r="AQ1213" s="327">
        <v>117.30200000000011</v>
      </c>
      <c r="AR1213" s="327">
        <v>95.565000000000126</v>
      </c>
      <c r="AS1213" s="327">
        <v>169.06900000000022</v>
      </c>
      <c r="AT1213" s="518">
        <v>377.30100000000016</v>
      </c>
      <c r="AU1213" s="327">
        <v>174.47500000000002</v>
      </c>
      <c r="AV1213" s="327">
        <v>232.24100000000004</v>
      </c>
      <c r="AW1213" s="327">
        <v>240.803</v>
      </c>
      <c r="AX1213" s="327">
        <v>182.79899999999986</v>
      </c>
      <c r="AY1213" s="518">
        <v>830.31799999999998</v>
      </c>
      <c r="AZ1213" s="327">
        <v>38.659999999999997</v>
      </c>
      <c r="BA1213" s="327">
        <v>181.49300000000011</v>
      </c>
      <c r="BB1213" s="327">
        <v>136.84399999999999</v>
      </c>
      <c r="BC1213" s="327">
        <v>82.3419999999997</v>
      </c>
      <c r="BD1213" s="518">
        <v>439.33900000000017</v>
      </c>
      <c r="BE1213" s="327">
        <v>60.077000000000005</v>
      </c>
      <c r="BF1213" s="327">
        <v>107.10400000000003</v>
      </c>
      <c r="BG1213" s="327">
        <v>-8.7090000000000103</v>
      </c>
      <c r="BH1213" s="327">
        <v>8.2250000000002288</v>
      </c>
      <c r="BI1213" s="525">
        <v>166.69700000000037</v>
      </c>
      <c r="BJ1213" s="327">
        <v>-9.7284704431112132</v>
      </c>
      <c r="BK1213" s="327">
        <v>88.870041117471928</v>
      </c>
      <c r="BL1213" s="327">
        <v>64.571522676692126</v>
      </c>
      <c r="BM1213" s="327">
        <v>49.437447716212745</v>
      </c>
      <c r="BN1213" s="518">
        <v>193.15054106726546</v>
      </c>
      <c r="BO1213" s="327">
        <v>40.072742951728813</v>
      </c>
      <c r="BP1213" s="327">
        <v>124.80132344244981</v>
      </c>
      <c r="BQ1213" s="327">
        <v>89.11175360538202</v>
      </c>
      <c r="BR1213" s="327">
        <v>81.985177855744453</v>
      </c>
      <c r="BS1213" s="518">
        <v>335.97099785530463</v>
      </c>
      <c r="BT1213" s="518">
        <v>421.0739823750605</v>
      </c>
      <c r="BU1213" s="518">
        <v>500.24880378951224</v>
      </c>
      <c r="BV1213" s="518">
        <v>577.73716440961448</v>
      </c>
      <c r="BW1213" s="295"/>
    </row>
    <row r="1214" spans="1:75" s="198" customFormat="1" ht="14.25" collapsed="1" x14ac:dyDescent="0.45">
      <c r="A1214" s="206" t="s">
        <v>1172</v>
      </c>
      <c r="B1214" s="522"/>
      <c r="C1214" s="397">
        <v>-30.805000000000078</v>
      </c>
      <c r="D1214" s="397">
        <v>5.0419999999999501</v>
      </c>
      <c r="E1214" s="397">
        <v>44.085000000000051</v>
      </c>
      <c r="F1214" s="397">
        <v>62.898000000000089</v>
      </c>
      <c r="G1214" s="295">
        <v>3.760999999999985</v>
      </c>
      <c r="H1214" s="295">
        <v>32.989000000000004</v>
      </c>
      <c r="I1214" s="295">
        <v>21.694999999999986</v>
      </c>
      <c r="J1214" s="295">
        <v>56.723000000000035</v>
      </c>
      <c r="K1214" s="397">
        <v>115.16799999999978</v>
      </c>
      <c r="L1214" s="295">
        <v>11.922000000000022</v>
      </c>
      <c r="M1214" s="295">
        <v>46.164999999999985</v>
      </c>
      <c r="N1214" s="295">
        <v>33.810999999999986</v>
      </c>
      <c r="O1214" s="295">
        <v>70.828999999999965</v>
      </c>
      <c r="P1214" s="397">
        <v>162.72699999999992</v>
      </c>
      <c r="Q1214" s="295">
        <v>15.649999999999995</v>
      </c>
      <c r="R1214" s="295">
        <v>58.984000000000023</v>
      </c>
      <c r="S1214" s="295">
        <v>45.36399999999994</v>
      </c>
      <c r="T1214" s="295">
        <v>68.734999999999943</v>
      </c>
      <c r="U1214" s="397">
        <v>188.73299999999975</v>
      </c>
      <c r="V1214" s="295">
        <v>-3.3759999999999639</v>
      </c>
      <c r="W1214" s="295">
        <v>28.745000000000012</v>
      </c>
      <c r="X1214" s="295">
        <v>13.683999999999958</v>
      </c>
      <c r="Y1214" s="295">
        <v>45.783000000000044</v>
      </c>
      <c r="Z1214" s="397">
        <v>84.835999999999871</v>
      </c>
      <c r="AA1214" s="295">
        <v>2.8120000000000118</v>
      </c>
      <c r="AB1214" s="295">
        <v>32.296000000000014</v>
      </c>
      <c r="AC1214" s="295">
        <v>35.968999999999909</v>
      </c>
      <c r="AD1214" s="295">
        <v>65.57700000000024</v>
      </c>
      <c r="AE1214" s="397">
        <v>136.65399999999988</v>
      </c>
      <c r="AF1214" s="295">
        <v>41.331999999999958</v>
      </c>
      <c r="AG1214" s="295">
        <v>68.998999999999953</v>
      </c>
      <c r="AH1214" s="295">
        <v>54.66299999999999</v>
      </c>
      <c r="AI1214" s="295">
        <v>93.636999999999929</v>
      </c>
      <c r="AJ1214" s="397">
        <v>258.63099999999986</v>
      </c>
      <c r="AK1214" s="295">
        <v>61.064999999999998</v>
      </c>
      <c r="AL1214" s="295">
        <v>90.418000000000035</v>
      </c>
      <c r="AM1214" s="295">
        <v>75.834999999999965</v>
      </c>
      <c r="AN1214" s="295">
        <v>107.14500000000038</v>
      </c>
      <c r="AO1214" s="397">
        <v>334.46300000000002</v>
      </c>
      <c r="AP1214" s="295">
        <v>39.563000000000002</v>
      </c>
      <c r="AQ1214" s="295">
        <v>146.61799999999999</v>
      </c>
      <c r="AR1214" s="295">
        <v>217.024</v>
      </c>
      <c r="AS1214" s="295">
        <v>185.14200000000028</v>
      </c>
      <c r="AT1214" s="397">
        <v>588.34700000000021</v>
      </c>
      <c r="AU1214" s="295">
        <v>186.92500000000004</v>
      </c>
      <c r="AV1214" s="295">
        <v>254.93900000000008</v>
      </c>
      <c r="AW1214" s="295">
        <v>269.51000000000005</v>
      </c>
      <c r="AX1214" s="295">
        <v>202.0059999999998</v>
      </c>
      <c r="AY1214" s="397">
        <v>913.38000000000022</v>
      </c>
      <c r="AZ1214" s="295">
        <v>212.84100000000004</v>
      </c>
      <c r="BA1214" s="295">
        <v>216.72800000000009</v>
      </c>
      <c r="BB1214" s="295">
        <v>146.94300000000001</v>
      </c>
      <c r="BC1214" s="295">
        <v>98.34999999999971</v>
      </c>
      <c r="BD1214" s="397">
        <v>674.86199999999974</v>
      </c>
      <c r="BE1214" s="295">
        <v>71.228999999999985</v>
      </c>
      <c r="BF1214" s="295">
        <v>117.12800000000003</v>
      </c>
      <c r="BG1214" s="295">
        <v>-4.7819999999999325</v>
      </c>
      <c r="BH1214" s="295">
        <v>10.838000000000228</v>
      </c>
      <c r="BI1214" s="399">
        <v>194.41300000000027</v>
      </c>
      <c r="BJ1214" s="295">
        <v>-6.2284704431112132</v>
      </c>
      <c r="BK1214" s="295">
        <v>92.370041117471985</v>
      </c>
      <c r="BL1214" s="295">
        <v>68.071522676692183</v>
      </c>
      <c r="BM1214" s="295">
        <v>52.937447716212688</v>
      </c>
      <c r="BN1214" s="397">
        <v>207.15054106726546</v>
      </c>
      <c r="BO1214" s="295">
        <v>43.57274295172887</v>
      </c>
      <c r="BP1214" s="295">
        <v>128.30132344244976</v>
      </c>
      <c r="BQ1214" s="295">
        <v>92.611753605382077</v>
      </c>
      <c r="BR1214" s="295">
        <v>85.485177855744453</v>
      </c>
      <c r="BS1214" s="397">
        <v>349.97099785530486</v>
      </c>
      <c r="BT1214" s="397">
        <v>435.0739823750605</v>
      </c>
      <c r="BU1214" s="397">
        <v>514.24880378951184</v>
      </c>
      <c r="BV1214" s="397">
        <v>591.73716440961425</v>
      </c>
      <c r="BW1214" s="295"/>
    </row>
    <row r="1215" spans="1:75" s="205" customFormat="1" ht="14.25" x14ac:dyDescent="0.45">
      <c r="A1215" s="719"/>
      <c r="B1215" s="720"/>
      <c r="C1215" s="414"/>
      <c r="D1215" s="414"/>
      <c r="E1215" s="414"/>
      <c r="F1215" s="414"/>
      <c r="G1215" s="413"/>
      <c r="H1215" s="413"/>
      <c r="I1215" s="413"/>
      <c r="J1215" s="413"/>
      <c r="K1215" s="414"/>
      <c r="L1215" s="413"/>
      <c r="M1215" s="413"/>
      <c r="N1215" s="413"/>
      <c r="O1215" s="413"/>
      <c r="P1215" s="414"/>
      <c r="Q1215" s="413"/>
      <c r="R1215" s="413"/>
      <c r="S1215" s="413"/>
      <c r="T1215" s="413"/>
      <c r="U1215" s="414"/>
      <c r="V1215" s="413"/>
      <c r="W1215" s="413"/>
      <c r="X1215" s="413"/>
      <c r="Y1215" s="413"/>
      <c r="Z1215" s="414"/>
      <c r="AA1215" s="413"/>
      <c r="AB1215" s="413"/>
      <c r="AC1215" s="413"/>
      <c r="AD1215" s="413"/>
      <c r="AE1215" s="414"/>
      <c r="AF1215" s="413"/>
      <c r="AG1215" s="413"/>
      <c r="AH1215" s="413"/>
      <c r="AI1215" s="413"/>
      <c r="AJ1215" s="414"/>
      <c r="AK1215" s="413"/>
      <c r="AL1215" s="413"/>
      <c r="AM1215" s="413"/>
      <c r="AN1215" s="413"/>
      <c r="AO1215" s="414"/>
      <c r="AP1215" s="413"/>
      <c r="AQ1215" s="413"/>
      <c r="AR1215" s="413"/>
      <c r="AS1215" s="413"/>
      <c r="AT1215" s="414"/>
      <c r="AU1215" s="413"/>
      <c r="AV1215" s="413"/>
      <c r="AW1215" s="413"/>
      <c r="AX1215" s="413"/>
      <c r="AY1215" s="414"/>
      <c r="AZ1215" s="413"/>
      <c r="BA1215" s="413"/>
      <c r="BB1215" s="413"/>
      <c r="BC1215" s="413"/>
      <c r="BD1215" s="414"/>
      <c r="BE1215" s="413"/>
      <c r="BF1215" s="413"/>
      <c r="BG1215" s="413"/>
      <c r="BH1215" s="413"/>
      <c r="BI1215" s="416"/>
      <c r="BJ1215" s="413"/>
      <c r="BK1215" s="413"/>
      <c r="BL1215" s="413"/>
      <c r="BM1215" s="413"/>
      <c r="BN1215" s="414"/>
      <c r="BO1215" s="413"/>
      <c r="BP1215" s="413"/>
      <c r="BQ1215" s="413"/>
      <c r="BR1215" s="413"/>
      <c r="BS1215" s="414"/>
      <c r="BT1215" s="414"/>
      <c r="BU1215" s="414"/>
      <c r="BV1215" s="414"/>
      <c r="BW1215" s="204"/>
    </row>
    <row r="1216" spans="1:75" s="123" customFormat="1" hidden="1" outlineLevel="1" x14ac:dyDescent="0.5">
      <c r="A1216" s="496" t="s">
        <v>1173</v>
      </c>
      <c r="B1216" s="513"/>
      <c r="C1216" s="401">
        <v>-0.42299999999999999</v>
      </c>
      <c r="D1216" s="401">
        <v>1.1120000000000001</v>
      </c>
      <c r="E1216" s="401">
        <v>-3.1780000000000004</v>
      </c>
      <c r="F1216" s="401">
        <v>-57.337000000000003</v>
      </c>
      <c r="G1216" s="119">
        <v>-0.16800000000000001</v>
      </c>
      <c r="H1216" s="119">
        <v>1.9720000000000013</v>
      </c>
      <c r="I1216" s="119">
        <v>11.91</v>
      </c>
      <c r="J1216" s="119">
        <v>11.606999999999999</v>
      </c>
      <c r="K1216" s="401">
        <v>25.321000000000002</v>
      </c>
      <c r="L1216" s="119">
        <v>0.92700000000000005</v>
      </c>
      <c r="M1216" s="119">
        <v>17.335999999999999</v>
      </c>
      <c r="N1216" s="119">
        <v>12.048999999999999</v>
      </c>
      <c r="O1216" s="119">
        <v>24.167999999999999</v>
      </c>
      <c r="P1216" s="401">
        <v>54.480000000000004</v>
      </c>
      <c r="Q1216" s="119">
        <v>4.2240000000000002</v>
      </c>
      <c r="R1216" s="119">
        <v>19.082000000000001</v>
      </c>
      <c r="S1216" s="119">
        <v>13.163</v>
      </c>
      <c r="T1216" s="119">
        <v>28.322999999999997</v>
      </c>
      <c r="U1216" s="401">
        <v>64.792000000000002</v>
      </c>
      <c r="V1216" s="119">
        <v>-8.5329999999999995</v>
      </c>
      <c r="W1216" s="119">
        <v>4.1879999999999997</v>
      </c>
      <c r="X1216" s="119">
        <v>1.778</v>
      </c>
      <c r="Y1216" s="119">
        <v>5.9409999999999998</v>
      </c>
      <c r="Z1216" s="401">
        <v>3.3740000000000001</v>
      </c>
      <c r="AA1216" s="119">
        <v>-1.913</v>
      </c>
      <c r="AB1216" s="119">
        <v>5.5830000000000002</v>
      </c>
      <c r="AC1216" s="119">
        <v>6.2160000000000002</v>
      </c>
      <c r="AD1216" s="119">
        <v>11.513000000000002</v>
      </c>
      <c r="AE1216" s="401">
        <v>21.399000000000001</v>
      </c>
      <c r="AF1216" s="119">
        <v>7.5880000000000001</v>
      </c>
      <c r="AG1216" s="119">
        <v>2.5329999999999999</v>
      </c>
      <c r="AH1216" s="119">
        <v>5.0889999999999995</v>
      </c>
      <c r="AI1216" s="119">
        <v>15.041</v>
      </c>
      <c r="AJ1216" s="401">
        <v>30.251000000000001</v>
      </c>
      <c r="AK1216" s="119">
        <v>11.792999999999999</v>
      </c>
      <c r="AL1216" s="119">
        <v>16.664999999999999</v>
      </c>
      <c r="AM1216" s="119">
        <v>7.6859999999999999</v>
      </c>
      <c r="AN1216" s="119">
        <v>20.372</v>
      </c>
      <c r="AO1216" s="401">
        <v>56.516000000000005</v>
      </c>
      <c r="AP1216" s="119">
        <v>-1.423</v>
      </c>
      <c r="AQ1216" s="119">
        <v>18.879000000000001</v>
      </c>
      <c r="AR1216" s="119">
        <v>49.037000000000006</v>
      </c>
      <c r="AS1216" s="119">
        <v>43.024999999999984</v>
      </c>
      <c r="AT1216" s="401">
        <v>109.518</v>
      </c>
      <c r="AU1216" s="119">
        <v>41.723999999999997</v>
      </c>
      <c r="AV1216" s="119">
        <v>3.2479999999999998</v>
      </c>
      <c r="AW1216" s="119">
        <v>54.274000000000001</v>
      </c>
      <c r="AX1216" s="119">
        <v>41.232999999999997</v>
      </c>
      <c r="AY1216" s="401">
        <v>140.47899999999998</v>
      </c>
      <c r="AZ1216" s="119">
        <v>-168.91899999999998</v>
      </c>
      <c r="BA1216" s="119">
        <v>56.396999999999998</v>
      </c>
      <c r="BB1216" s="119">
        <v>36.027999999999999</v>
      </c>
      <c r="BC1216" s="119">
        <v>77.123999999999981</v>
      </c>
      <c r="BD1216" s="401">
        <v>0.62999999999999545</v>
      </c>
      <c r="BE1216" s="119">
        <v>5.7999999999999829E-2</v>
      </c>
      <c r="BF1216" s="119">
        <v>5.5000000000003268E-2</v>
      </c>
      <c r="BG1216" s="119">
        <v>-6.3820000000000014</v>
      </c>
      <c r="BH1216" s="119">
        <v>9.2640000000000065</v>
      </c>
      <c r="BI1216" s="402">
        <v>2.995000000000001</v>
      </c>
      <c r="BJ1216" s="119">
        <v>-2.2375482019155792</v>
      </c>
      <c r="BK1216" s="119">
        <v>20.440109457018544</v>
      </c>
      <c r="BL1216" s="119">
        <v>14.851450215639188</v>
      </c>
      <c r="BM1216" s="119">
        <v>11.370612974728932</v>
      </c>
      <c r="BN1216" s="401">
        <v>44.424624445471082</v>
      </c>
      <c r="BO1216" s="119">
        <v>9.2167308788976268</v>
      </c>
      <c r="BP1216" s="119">
        <v>28.704304391763461</v>
      </c>
      <c r="BQ1216" s="119">
        <v>20.495703329237866</v>
      </c>
      <c r="BR1216" s="119">
        <v>18.856590906821225</v>
      </c>
      <c r="BS1216" s="401">
        <v>77.273329506720174</v>
      </c>
      <c r="BT1216" s="401">
        <v>96.847015946263923</v>
      </c>
      <c r="BU1216" s="401">
        <v>115.05722487158782</v>
      </c>
      <c r="BV1216" s="401">
        <v>132.87954781421135</v>
      </c>
      <c r="BW1216" s="118"/>
    </row>
    <row r="1217" spans="1:75" s="123" customFormat="1" hidden="1" outlineLevel="1" x14ac:dyDescent="0.5">
      <c r="A1217" s="497" t="s">
        <v>1174</v>
      </c>
      <c r="B1217" s="677"/>
      <c r="C1217" s="406"/>
      <c r="D1217" s="406">
        <v>-0.42699999999999999</v>
      </c>
      <c r="E1217" s="406">
        <v>4.2990000000000004</v>
      </c>
      <c r="F1217" s="406">
        <v>-4.6859999999999999</v>
      </c>
      <c r="G1217" s="312">
        <v>0</v>
      </c>
      <c r="H1217" s="312">
        <v>-13.108000000000001</v>
      </c>
      <c r="I1217" s="312">
        <v>0.23600000000000065</v>
      </c>
      <c r="J1217" s="312">
        <v>18.474</v>
      </c>
      <c r="K1217" s="406">
        <v>5.6020000000000003</v>
      </c>
      <c r="L1217" s="312">
        <v>0</v>
      </c>
      <c r="M1217" s="312">
        <v>0</v>
      </c>
      <c r="N1217" s="312">
        <v>0</v>
      </c>
      <c r="O1217" s="312">
        <v>2.6930000000000001</v>
      </c>
      <c r="P1217" s="406">
        <v>2.6930000000000001</v>
      </c>
      <c r="Q1217" s="312">
        <v>0</v>
      </c>
      <c r="R1217" s="312">
        <v>0</v>
      </c>
      <c r="S1217" s="312">
        <v>0</v>
      </c>
      <c r="T1217" s="312">
        <v>-6.0110000000000001</v>
      </c>
      <c r="U1217" s="406">
        <v>-6.0110000000000001</v>
      </c>
      <c r="V1217" s="312">
        <v>0</v>
      </c>
      <c r="W1217" s="312">
        <v>0</v>
      </c>
      <c r="X1217" s="312">
        <v>0</v>
      </c>
      <c r="Y1217" s="312">
        <v>-0.221</v>
      </c>
      <c r="Z1217" s="406">
        <v>-0.221</v>
      </c>
      <c r="AA1217" s="312">
        <v>0</v>
      </c>
      <c r="AB1217" s="312">
        <v>0</v>
      </c>
      <c r="AC1217" s="312">
        <v>0</v>
      </c>
      <c r="AD1217" s="312">
        <v>6.5720000000000001</v>
      </c>
      <c r="AE1217" s="406">
        <v>6.5720000000000001</v>
      </c>
      <c r="AF1217" s="312">
        <v>0</v>
      </c>
      <c r="AG1217" s="312">
        <v>0</v>
      </c>
      <c r="AH1217" s="312">
        <v>-0.67</v>
      </c>
      <c r="AI1217" s="312">
        <v>-4.3479999999999999</v>
      </c>
      <c r="AJ1217" s="406">
        <v>-5.0179999999999998</v>
      </c>
      <c r="AK1217" s="312">
        <v>0</v>
      </c>
      <c r="AL1217" s="312">
        <v>0</v>
      </c>
      <c r="AM1217" s="312">
        <v>0.66700000000000004</v>
      </c>
      <c r="AN1217" s="312">
        <v>-8.3759999999999994</v>
      </c>
      <c r="AO1217" s="406">
        <v>-7.7089999999999996</v>
      </c>
      <c r="AP1217" s="312">
        <v>0</v>
      </c>
      <c r="AQ1217" s="312">
        <v>0</v>
      </c>
      <c r="AR1217" s="312">
        <v>0.11700000000000001</v>
      </c>
      <c r="AS1217" s="312">
        <v>-5.0369999999999999</v>
      </c>
      <c r="AT1217" s="406">
        <v>-4.92</v>
      </c>
      <c r="AU1217" s="312">
        <v>0</v>
      </c>
      <c r="AV1217" s="312">
        <v>-0.23899999999999999</v>
      </c>
      <c r="AW1217" s="312">
        <v>0.11699999999999999</v>
      </c>
      <c r="AX1217" s="312">
        <v>-6.7990000000000004</v>
      </c>
      <c r="AY1217" s="406">
        <v>-6.9210000000000003</v>
      </c>
      <c r="AZ1217" s="312">
        <v>5.4930000000000003</v>
      </c>
      <c r="BA1217" s="312">
        <v>0</v>
      </c>
      <c r="BB1217" s="312">
        <v>0.13399999999999945</v>
      </c>
      <c r="BC1217" s="312">
        <v>-97.614999999999995</v>
      </c>
      <c r="BD1217" s="406">
        <v>-91.988</v>
      </c>
      <c r="BE1217" s="312">
        <v>16.527000000000001</v>
      </c>
      <c r="BF1217" s="312">
        <v>27.189999999999998</v>
      </c>
      <c r="BG1217" s="312">
        <v>-2.8329999999999984</v>
      </c>
      <c r="BH1217" s="312">
        <v>-15.618000000000002</v>
      </c>
      <c r="BI1217" s="407">
        <v>25.265999999999998</v>
      </c>
      <c r="BJ1217" s="312">
        <v>0</v>
      </c>
      <c r="BK1217" s="312">
        <v>0</v>
      </c>
      <c r="BL1217" s="312">
        <v>0</v>
      </c>
      <c r="BM1217" s="312">
        <v>0</v>
      </c>
      <c r="BN1217" s="406">
        <v>0</v>
      </c>
      <c r="BO1217" s="312">
        <v>0</v>
      </c>
      <c r="BP1217" s="312">
        <v>0</v>
      </c>
      <c r="BQ1217" s="312">
        <v>0</v>
      </c>
      <c r="BR1217" s="312">
        <v>0</v>
      </c>
      <c r="BS1217" s="406">
        <v>0</v>
      </c>
      <c r="BT1217" s="406">
        <v>0</v>
      </c>
      <c r="BU1217" s="406">
        <v>0</v>
      </c>
      <c r="BV1217" s="406">
        <v>0</v>
      </c>
      <c r="BW1217" s="118"/>
    </row>
    <row r="1218" spans="1:75" s="123" customFormat="1" hidden="1" outlineLevel="1" x14ac:dyDescent="0.5">
      <c r="A1218" s="184" t="s">
        <v>1067</v>
      </c>
      <c r="B1218" s="513"/>
      <c r="C1218" s="401">
        <v>-0.42299999999999999</v>
      </c>
      <c r="D1218" s="401">
        <v>0.68500000000000005</v>
      </c>
      <c r="E1218" s="401">
        <v>1.121</v>
      </c>
      <c r="F1218" s="401">
        <v>-62.023000000000003</v>
      </c>
      <c r="G1218" s="118">
        <v>-0.16800000000000001</v>
      </c>
      <c r="H1218" s="118">
        <v>-11.135999999999999</v>
      </c>
      <c r="I1218" s="118">
        <v>12.146000000000001</v>
      </c>
      <c r="J1218" s="118">
        <v>30.081</v>
      </c>
      <c r="K1218" s="401">
        <v>30.923000000000002</v>
      </c>
      <c r="L1218" s="118">
        <v>0.92700000000000005</v>
      </c>
      <c r="M1218" s="118">
        <v>17.335999999999999</v>
      </c>
      <c r="N1218" s="118">
        <v>12.048999999999999</v>
      </c>
      <c r="O1218" s="118">
        <v>26.861000000000001</v>
      </c>
      <c r="P1218" s="401">
        <v>57.173000000000002</v>
      </c>
      <c r="Q1218" s="118">
        <v>4.2240000000000002</v>
      </c>
      <c r="R1218" s="118">
        <v>19.082000000000001</v>
      </c>
      <c r="S1218" s="118">
        <v>13.163</v>
      </c>
      <c r="T1218" s="118">
        <v>22.311999999999998</v>
      </c>
      <c r="U1218" s="401">
        <v>58.780999999999999</v>
      </c>
      <c r="V1218" s="118">
        <v>-8.5329999999999995</v>
      </c>
      <c r="W1218" s="118">
        <v>4.1879999999999997</v>
      </c>
      <c r="X1218" s="118">
        <v>1.778</v>
      </c>
      <c r="Y1218" s="118">
        <v>5.72</v>
      </c>
      <c r="Z1218" s="401">
        <v>3.153</v>
      </c>
      <c r="AA1218" s="118">
        <v>-1.913</v>
      </c>
      <c r="AB1218" s="118">
        <v>5.5830000000000002</v>
      </c>
      <c r="AC1218" s="118">
        <v>6.2160000000000002</v>
      </c>
      <c r="AD1218" s="118">
        <v>18.085000000000001</v>
      </c>
      <c r="AE1218" s="401">
        <v>27.971</v>
      </c>
      <c r="AF1218" s="118">
        <v>7.5880000000000001</v>
      </c>
      <c r="AG1218" s="118">
        <v>2.5329999999999999</v>
      </c>
      <c r="AH1218" s="118">
        <v>4.4189999999999996</v>
      </c>
      <c r="AI1218" s="118">
        <v>10.693000000000001</v>
      </c>
      <c r="AJ1218" s="401">
        <v>25.233000000000001</v>
      </c>
      <c r="AK1218" s="118">
        <v>11.792999999999999</v>
      </c>
      <c r="AL1218" s="118">
        <v>16.664999999999999</v>
      </c>
      <c r="AM1218" s="118">
        <v>8.3529999999999998</v>
      </c>
      <c r="AN1218" s="118">
        <v>11.996000000000002</v>
      </c>
      <c r="AO1218" s="401">
        <v>48.807000000000002</v>
      </c>
      <c r="AP1218" s="118">
        <v>-1.423</v>
      </c>
      <c r="AQ1218" s="118">
        <v>18.879000000000001</v>
      </c>
      <c r="AR1218" s="118">
        <v>49.154000000000003</v>
      </c>
      <c r="AS1218" s="118">
        <v>37.987999999999985</v>
      </c>
      <c r="AT1218" s="401">
        <v>104.598</v>
      </c>
      <c r="AU1218" s="118">
        <v>41.723999999999997</v>
      </c>
      <c r="AV1218" s="118">
        <v>3.0089999999999999</v>
      </c>
      <c r="AW1218" s="118">
        <v>54.390999999999998</v>
      </c>
      <c r="AX1218" s="118">
        <v>34.433999999999997</v>
      </c>
      <c r="AY1218" s="401">
        <v>133.55799999999999</v>
      </c>
      <c r="AZ1218" s="118">
        <v>-163.42599999999999</v>
      </c>
      <c r="BA1218" s="118">
        <v>56.396999999999998</v>
      </c>
      <c r="BB1218" s="118">
        <v>36.161999999999999</v>
      </c>
      <c r="BC1218" s="118">
        <v>-20.491000000000014</v>
      </c>
      <c r="BD1218" s="401">
        <v>-91.358000000000004</v>
      </c>
      <c r="BE1218" s="118">
        <v>16.585000000000001</v>
      </c>
      <c r="BF1218" s="118">
        <v>27.245000000000001</v>
      </c>
      <c r="BG1218" s="118">
        <v>-9.2149999999999999</v>
      </c>
      <c r="BH1218" s="118">
        <v>-6.3539999999999957</v>
      </c>
      <c r="BI1218" s="402">
        <v>28.260999999999999</v>
      </c>
      <c r="BJ1218" s="118">
        <v>-2.2375482019155792</v>
      </c>
      <c r="BK1218" s="118">
        <v>20.440109457018544</v>
      </c>
      <c r="BL1218" s="118">
        <v>14.851450215639188</v>
      </c>
      <c r="BM1218" s="118">
        <v>11.370612974728932</v>
      </c>
      <c r="BN1218" s="401">
        <v>44.424624445471082</v>
      </c>
      <c r="BO1218" s="118">
        <v>9.2167308788976268</v>
      </c>
      <c r="BP1218" s="118">
        <v>28.704304391763461</v>
      </c>
      <c r="BQ1218" s="118">
        <v>20.495703329237866</v>
      </c>
      <c r="BR1218" s="118">
        <v>18.856590906821225</v>
      </c>
      <c r="BS1218" s="401">
        <v>77.273329506720174</v>
      </c>
      <c r="BT1218" s="401">
        <v>96.847015946263923</v>
      </c>
      <c r="BU1218" s="401">
        <v>115.05722487158782</v>
      </c>
      <c r="BV1218" s="401">
        <v>132.87954781421135</v>
      </c>
      <c r="BW1218" s="118"/>
    </row>
    <row r="1219" spans="1:75" s="123" customFormat="1" hidden="1" outlineLevel="1" x14ac:dyDescent="0.5">
      <c r="A1219" s="497" t="s">
        <v>1175</v>
      </c>
      <c r="B1219" s="677"/>
      <c r="C1219" s="406">
        <v>-11.898999999999997</v>
      </c>
      <c r="D1219" s="406">
        <v>1.3320000000000718</v>
      </c>
      <c r="E1219" s="406">
        <v>16.512999999999984</v>
      </c>
      <c r="F1219" s="406">
        <v>87.181999999999931</v>
      </c>
      <c r="G1219" s="723">
        <v>1.6720000000000179</v>
      </c>
      <c r="H1219" s="723">
        <v>24.332000000000036</v>
      </c>
      <c r="I1219" s="723">
        <v>-3.4680000000000284</v>
      </c>
      <c r="J1219" s="723">
        <v>-7.3920000000000137</v>
      </c>
      <c r="K1219" s="406">
        <v>15.144000000000126</v>
      </c>
      <c r="L1219" s="723">
        <v>3.8420000000000041</v>
      </c>
      <c r="M1219" s="723">
        <v>1.1299999999999848</v>
      </c>
      <c r="N1219" s="723">
        <v>1.4750000000000014</v>
      </c>
      <c r="O1219" s="723">
        <v>1.4710000000000321</v>
      </c>
      <c r="P1219" s="406">
        <v>7.9180000000000206</v>
      </c>
      <c r="Q1219" s="723">
        <v>1.5839999999999996</v>
      </c>
      <c r="R1219" s="723">
        <v>3.8800000000000168</v>
      </c>
      <c r="S1219" s="723">
        <v>4.4649999999999679</v>
      </c>
      <c r="T1219" s="723">
        <v>5.2509999999999977</v>
      </c>
      <c r="U1219" s="406">
        <v>15.180000000000064</v>
      </c>
      <c r="V1219" s="723">
        <v>7.2230000000000025</v>
      </c>
      <c r="W1219" s="723">
        <v>6.6490000000000258</v>
      </c>
      <c r="X1219" s="723">
        <v>3.8869999999999916</v>
      </c>
      <c r="Y1219" s="723">
        <v>12.135000000000026</v>
      </c>
      <c r="Z1219" s="406">
        <v>29.893999999999807</v>
      </c>
      <c r="AA1219" s="723">
        <v>2.9309999999999388</v>
      </c>
      <c r="AB1219" s="723">
        <v>7.0119999999999685</v>
      </c>
      <c r="AC1219" s="723">
        <v>5.3289999999999864</v>
      </c>
      <c r="AD1219" s="723">
        <v>4.2110000000000056</v>
      </c>
      <c r="AE1219" s="406">
        <v>19.482999999999961</v>
      </c>
      <c r="AF1219" s="723">
        <v>3.1580000000000226</v>
      </c>
      <c r="AG1219" s="723">
        <v>11.956999999999987</v>
      </c>
      <c r="AH1219" s="723">
        <v>7.0599999999999206</v>
      </c>
      <c r="AI1219" s="723">
        <v>8.9710000000000321</v>
      </c>
      <c r="AJ1219" s="406">
        <v>29.079999999999984</v>
      </c>
      <c r="AK1219" s="723">
        <v>4.0839999999999677</v>
      </c>
      <c r="AL1219" s="723">
        <v>2.3230000000000288</v>
      </c>
      <c r="AM1219" s="723">
        <v>2.0360000000000014</v>
      </c>
      <c r="AN1219" s="723">
        <v>3.9690000000000083</v>
      </c>
      <c r="AO1219" s="406">
        <v>9.3589999999998668</v>
      </c>
      <c r="AP1219" s="723">
        <v>11.037000000000035</v>
      </c>
      <c r="AQ1219" s="723">
        <v>4.7259999999998854</v>
      </c>
      <c r="AR1219" s="723">
        <v>1.412999999999883</v>
      </c>
      <c r="AS1219" s="723">
        <v>3.6690000000000396</v>
      </c>
      <c r="AT1219" s="406">
        <v>20.845000000000141</v>
      </c>
      <c r="AU1219" s="723">
        <v>2.9509999999999934</v>
      </c>
      <c r="AV1219" s="723">
        <v>0.30500000000003524</v>
      </c>
      <c r="AW1219" s="723">
        <v>6.5180000000000575</v>
      </c>
      <c r="AX1219" s="723">
        <v>3.5429999999999495</v>
      </c>
      <c r="AY1219" s="406">
        <v>13.317000000000235</v>
      </c>
      <c r="AZ1219" s="723">
        <v>194.92599999999999</v>
      </c>
      <c r="BA1219" s="723">
        <v>-3.7319999999999993</v>
      </c>
      <c r="BB1219" s="723">
        <v>0.42700000000002092</v>
      </c>
      <c r="BC1219" s="723">
        <v>46.062000000000012</v>
      </c>
      <c r="BD1219" s="406">
        <v>237.68299999999954</v>
      </c>
      <c r="BE1219" s="723">
        <v>2.4329999999999785</v>
      </c>
      <c r="BF1219" s="723">
        <v>1.203000000000003</v>
      </c>
      <c r="BG1219" s="723">
        <v>12.232000000000077</v>
      </c>
      <c r="BH1219" s="723">
        <v>2.9190000000000005</v>
      </c>
      <c r="BI1219" s="407">
        <v>18.786999999999892</v>
      </c>
      <c r="BJ1219" s="723">
        <v>0.80500000000000005</v>
      </c>
      <c r="BK1219" s="723">
        <v>0.80500000000001315</v>
      </c>
      <c r="BL1219" s="723">
        <v>0.80500000000001315</v>
      </c>
      <c r="BM1219" s="723">
        <v>0.80499999999998695</v>
      </c>
      <c r="BN1219" s="406">
        <v>3.2200000000000131</v>
      </c>
      <c r="BO1219" s="723">
        <v>0.80500000000001315</v>
      </c>
      <c r="BP1219" s="723">
        <v>0.80499999999998695</v>
      </c>
      <c r="BQ1219" s="723">
        <v>0.80500000000001315</v>
      </c>
      <c r="BR1219" s="723">
        <v>0.80500000000000005</v>
      </c>
      <c r="BS1219" s="406">
        <v>3.2200000000000135</v>
      </c>
      <c r="BT1219" s="406">
        <v>3.22</v>
      </c>
      <c r="BU1219" s="406">
        <v>3.2199999999999087</v>
      </c>
      <c r="BV1219" s="406">
        <v>3.2199999999999478</v>
      </c>
      <c r="BW1219" s="118"/>
    </row>
    <row r="1220" spans="1:75" s="123" customFormat="1" collapsed="1" x14ac:dyDescent="0.5">
      <c r="A1220" s="184" t="s">
        <v>1176</v>
      </c>
      <c r="B1220" s="513"/>
      <c r="C1220" s="401">
        <v>-12.321999999999997</v>
      </c>
      <c r="D1220" s="401">
        <v>2.0170000000000718</v>
      </c>
      <c r="E1220" s="401">
        <v>17.633999999999983</v>
      </c>
      <c r="F1220" s="401">
        <v>25.158999999999928</v>
      </c>
      <c r="G1220" s="118">
        <v>1.504000000000018</v>
      </c>
      <c r="H1220" s="118">
        <v>13.196000000000037</v>
      </c>
      <c r="I1220" s="118">
        <v>8.6779999999999724</v>
      </c>
      <c r="J1220" s="118">
        <v>22.688999999999986</v>
      </c>
      <c r="K1220" s="401">
        <v>46.067000000000128</v>
      </c>
      <c r="L1220" s="118">
        <v>4.7690000000000037</v>
      </c>
      <c r="M1220" s="118">
        <v>18.465999999999983</v>
      </c>
      <c r="N1220" s="118">
        <v>13.524000000000001</v>
      </c>
      <c r="O1220" s="118">
        <v>28.332000000000033</v>
      </c>
      <c r="P1220" s="401">
        <v>65.091000000000022</v>
      </c>
      <c r="Q1220" s="118">
        <v>5.8079999999999998</v>
      </c>
      <c r="R1220" s="118">
        <v>22.962000000000018</v>
      </c>
      <c r="S1220" s="118">
        <v>17.627999999999968</v>
      </c>
      <c r="T1220" s="118">
        <v>27.562999999999995</v>
      </c>
      <c r="U1220" s="401">
        <v>73.96100000000007</v>
      </c>
      <c r="V1220" s="118">
        <v>-1.3099999999999969</v>
      </c>
      <c r="W1220" s="118">
        <v>10.837000000000025</v>
      </c>
      <c r="X1220" s="118">
        <v>5.664999999999992</v>
      </c>
      <c r="Y1220" s="118">
        <v>17.855000000000025</v>
      </c>
      <c r="Z1220" s="401">
        <v>33.046999999999805</v>
      </c>
      <c r="AA1220" s="118">
        <v>1.0179999999999387</v>
      </c>
      <c r="AB1220" s="118">
        <v>12.594999999999969</v>
      </c>
      <c r="AC1220" s="118">
        <v>11.544999999999987</v>
      </c>
      <c r="AD1220" s="118">
        <v>22.296000000000006</v>
      </c>
      <c r="AE1220" s="401">
        <v>47.453999999999965</v>
      </c>
      <c r="AF1220" s="118">
        <v>10.746000000000024</v>
      </c>
      <c r="AG1220" s="118">
        <v>14.489999999999986</v>
      </c>
      <c r="AH1220" s="118">
        <v>11.478999999999921</v>
      </c>
      <c r="AI1220" s="118">
        <v>19.664000000000033</v>
      </c>
      <c r="AJ1220" s="401">
        <v>54.312999999999988</v>
      </c>
      <c r="AK1220" s="118">
        <v>15.876999999999967</v>
      </c>
      <c r="AL1220" s="118">
        <v>18.988000000000028</v>
      </c>
      <c r="AM1220" s="118">
        <v>10.389000000000001</v>
      </c>
      <c r="AN1220" s="118">
        <v>15.965000000000011</v>
      </c>
      <c r="AO1220" s="401">
        <v>58.165999999999869</v>
      </c>
      <c r="AP1220" s="118">
        <v>9.6140000000000345</v>
      </c>
      <c r="AQ1220" s="118">
        <v>23.604999999999887</v>
      </c>
      <c r="AR1220" s="118">
        <v>50.566999999999886</v>
      </c>
      <c r="AS1220" s="118">
        <v>41.657000000000025</v>
      </c>
      <c r="AT1220" s="401">
        <v>125.44300000000014</v>
      </c>
      <c r="AU1220" s="118">
        <v>44.67499999999999</v>
      </c>
      <c r="AV1220" s="118">
        <v>3.3140000000000351</v>
      </c>
      <c r="AW1220" s="118">
        <v>60.909000000000056</v>
      </c>
      <c r="AX1220" s="118">
        <v>37.976999999999947</v>
      </c>
      <c r="AY1220" s="401">
        <v>146.87500000000023</v>
      </c>
      <c r="AZ1220" s="118">
        <v>31.5</v>
      </c>
      <c r="BA1220" s="118">
        <v>52.664999999999999</v>
      </c>
      <c r="BB1220" s="118">
        <v>36.58900000000002</v>
      </c>
      <c r="BC1220" s="118">
        <v>25.570999999999998</v>
      </c>
      <c r="BD1220" s="401">
        <v>146.32499999999953</v>
      </c>
      <c r="BE1220" s="118">
        <v>19.017999999999979</v>
      </c>
      <c r="BF1220" s="118">
        <v>28.448000000000004</v>
      </c>
      <c r="BG1220" s="118">
        <v>3.0170000000000776</v>
      </c>
      <c r="BH1220" s="118">
        <v>-3.4349999999999952</v>
      </c>
      <c r="BI1220" s="402">
        <v>47.047999999999888</v>
      </c>
      <c r="BJ1220" s="118">
        <v>-1.4325482019155791</v>
      </c>
      <c r="BK1220" s="118">
        <v>21.245109457018557</v>
      </c>
      <c r="BL1220" s="118">
        <v>15.656450215639202</v>
      </c>
      <c r="BM1220" s="118">
        <v>12.175612974728919</v>
      </c>
      <c r="BN1220" s="401">
        <v>47.644624445471095</v>
      </c>
      <c r="BO1220" s="118">
        <v>10.021730878897641</v>
      </c>
      <c r="BP1220" s="118">
        <v>29.509304391763447</v>
      </c>
      <c r="BQ1220" s="118">
        <v>21.30070332923788</v>
      </c>
      <c r="BR1220" s="118">
        <v>19.661590906821225</v>
      </c>
      <c r="BS1220" s="401">
        <v>80.493329506720187</v>
      </c>
      <c r="BT1220" s="401">
        <v>100.06701594626392</v>
      </c>
      <c r="BU1220" s="401">
        <v>118.27722487158773</v>
      </c>
      <c r="BV1220" s="401">
        <v>136.09954781421129</v>
      </c>
      <c r="BW1220" s="118"/>
    </row>
    <row r="1221" spans="1:75" s="123" customFormat="1" x14ac:dyDescent="0.5">
      <c r="A1221" s="445" t="s">
        <v>1177</v>
      </c>
      <c r="B1221" s="677"/>
      <c r="C1221" s="406">
        <v>0</v>
      </c>
      <c r="D1221" s="406">
        <v>0</v>
      </c>
      <c r="E1221" s="406">
        <v>0</v>
      </c>
      <c r="F1221" s="406">
        <v>0</v>
      </c>
      <c r="G1221" s="312">
        <v>0</v>
      </c>
      <c r="H1221" s="312">
        <v>0</v>
      </c>
      <c r="I1221" s="312">
        <v>0</v>
      </c>
      <c r="J1221" s="312">
        <v>0</v>
      </c>
      <c r="K1221" s="406">
        <v>0</v>
      </c>
      <c r="L1221" s="312">
        <v>0</v>
      </c>
      <c r="M1221" s="312">
        <v>0</v>
      </c>
      <c r="N1221" s="312">
        <v>0</v>
      </c>
      <c r="O1221" s="312">
        <v>0</v>
      </c>
      <c r="P1221" s="406">
        <v>0</v>
      </c>
      <c r="Q1221" s="312">
        <v>0</v>
      </c>
      <c r="R1221" s="312">
        <v>0</v>
      </c>
      <c r="S1221" s="312">
        <v>0</v>
      </c>
      <c r="T1221" s="312">
        <v>0</v>
      </c>
      <c r="U1221" s="406">
        <v>0</v>
      </c>
      <c r="V1221" s="312">
        <v>0</v>
      </c>
      <c r="W1221" s="312">
        <v>0</v>
      </c>
      <c r="X1221" s="312">
        <v>0</v>
      </c>
      <c r="Y1221" s="312">
        <v>0</v>
      </c>
      <c r="Z1221" s="406">
        <v>0</v>
      </c>
      <c r="AA1221" s="312">
        <v>0</v>
      </c>
      <c r="AB1221" s="312">
        <v>0</v>
      </c>
      <c r="AC1221" s="312">
        <v>0</v>
      </c>
      <c r="AD1221" s="312">
        <v>0</v>
      </c>
      <c r="AE1221" s="406">
        <v>0</v>
      </c>
      <c r="AF1221" s="312">
        <v>0</v>
      </c>
      <c r="AG1221" s="312">
        <v>0</v>
      </c>
      <c r="AH1221" s="312">
        <v>0</v>
      </c>
      <c r="AI1221" s="312">
        <v>0</v>
      </c>
      <c r="AJ1221" s="406">
        <v>0</v>
      </c>
      <c r="AK1221" s="312">
        <v>0</v>
      </c>
      <c r="AL1221" s="312">
        <v>0</v>
      </c>
      <c r="AM1221" s="312">
        <v>0</v>
      </c>
      <c r="AN1221" s="312">
        <v>0</v>
      </c>
      <c r="AO1221" s="406">
        <v>0</v>
      </c>
      <c r="AP1221" s="312">
        <v>0</v>
      </c>
      <c r="AQ1221" s="312">
        <v>0</v>
      </c>
      <c r="AR1221" s="312">
        <v>0</v>
      </c>
      <c r="AS1221" s="312">
        <v>0.88800000000000001</v>
      </c>
      <c r="AT1221" s="406">
        <v>0.88800000000000001</v>
      </c>
      <c r="AU1221" s="312">
        <v>2.0950000000000002</v>
      </c>
      <c r="AV1221" s="312">
        <v>2.4860000000000002</v>
      </c>
      <c r="AW1221" s="312">
        <v>2.3130000000000002</v>
      </c>
      <c r="AX1221" s="312">
        <v>1.3200000000000003</v>
      </c>
      <c r="AY1221" s="406">
        <v>8.2140000000000004</v>
      </c>
      <c r="AZ1221" s="312">
        <v>1.375</v>
      </c>
      <c r="BA1221" s="312">
        <v>2.8210000000000002</v>
      </c>
      <c r="BB1221" s="312">
        <v>1.9219999999999999</v>
      </c>
      <c r="BC1221" s="312">
        <v>-4.0629999999999988</v>
      </c>
      <c r="BD1221" s="406">
        <v>2.0550000000000002</v>
      </c>
      <c r="BE1221" s="312">
        <v>1.6020000000000001</v>
      </c>
      <c r="BF1221" s="312">
        <v>3.3820000000000001</v>
      </c>
      <c r="BG1221" s="312">
        <v>2.6930000000000001</v>
      </c>
      <c r="BH1221" s="312">
        <v>3.1980000000000004</v>
      </c>
      <c r="BI1221" s="407">
        <v>10.875</v>
      </c>
      <c r="BJ1221" s="357">
        <v>0</v>
      </c>
      <c r="BK1221" s="357">
        <v>0</v>
      </c>
      <c r="BL1221" s="357">
        <v>0</v>
      </c>
      <c r="BM1221" s="357">
        <v>0</v>
      </c>
      <c r="BN1221" s="406">
        <v>0</v>
      </c>
      <c r="BO1221" s="357">
        <v>0</v>
      </c>
      <c r="BP1221" s="357">
        <v>0</v>
      </c>
      <c r="BQ1221" s="357">
        <v>0</v>
      </c>
      <c r="BR1221" s="357">
        <v>0</v>
      </c>
      <c r="BS1221" s="406">
        <v>0</v>
      </c>
      <c r="BT1221" s="408">
        <v>0</v>
      </c>
      <c r="BU1221" s="408">
        <v>0</v>
      </c>
      <c r="BV1221" s="408">
        <v>0</v>
      </c>
      <c r="BW1221" s="122"/>
    </row>
    <row r="1222" spans="1:75" s="198" customFormat="1" ht="14.25" hidden="1" outlineLevel="1" x14ac:dyDescent="0.45">
      <c r="A1222" s="206" t="s">
        <v>1178</v>
      </c>
      <c r="B1222" s="522"/>
      <c r="C1222" s="397">
        <v>-28.651000000000085</v>
      </c>
      <c r="D1222" s="397">
        <v>-7.0510000000001227</v>
      </c>
      <c r="E1222" s="397">
        <v>20.588000000000076</v>
      </c>
      <c r="F1222" s="397">
        <v>-12.788999999999824</v>
      </c>
      <c r="G1222" s="295">
        <v>-0.1610000000000327</v>
      </c>
      <c r="H1222" s="295">
        <v>-17.835000000000029</v>
      </c>
      <c r="I1222" s="295">
        <v>9.5490000000000137</v>
      </c>
      <c r="J1222" s="295">
        <v>26.642000000000049</v>
      </c>
      <c r="K1222" s="397">
        <v>18.194999999999659</v>
      </c>
      <c r="L1222" s="295">
        <v>1.7950000000000199</v>
      </c>
      <c r="M1222" s="295">
        <v>27.253</v>
      </c>
      <c r="N1222" s="295">
        <v>19.428999999999988</v>
      </c>
      <c r="O1222" s="295">
        <v>42.524999999999935</v>
      </c>
      <c r="P1222" s="397">
        <v>91.001999999999896</v>
      </c>
      <c r="Q1222" s="295">
        <v>7.1559999999999953</v>
      </c>
      <c r="R1222" s="295">
        <v>29.935000000000002</v>
      </c>
      <c r="S1222" s="295">
        <v>20.709999999999976</v>
      </c>
      <c r="T1222" s="295">
        <v>33.30199999999995</v>
      </c>
      <c r="U1222" s="397">
        <v>91.102999999999696</v>
      </c>
      <c r="V1222" s="295">
        <v>-13.469999999999965</v>
      </c>
      <c r="W1222" s="295">
        <v>6.9179999999999859</v>
      </c>
      <c r="X1222" s="295">
        <v>2.5169999999999679</v>
      </c>
      <c r="Y1222" s="295">
        <v>9.4360000000000177</v>
      </c>
      <c r="Z1222" s="397">
        <v>5.4010000000000584</v>
      </c>
      <c r="AA1222" s="295">
        <v>-3.3699999999999264</v>
      </c>
      <c r="AB1222" s="295">
        <v>-7.8619999999999521</v>
      </c>
      <c r="AC1222" s="295">
        <v>13.150999999999922</v>
      </c>
      <c r="AD1222" s="295">
        <v>0.26100000000023016</v>
      </c>
      <c r="AE1222" s="397">
        <v>2.1799999999999251</v>
      </c>
      <c r="AF1222" s="295">
        <v>25.460999999999935</v>
      </c>
      <c r="AG1222" s="295">
        <v>62.905999999999977</v>
      </c>
      <c r="AH1222" s="295">
        <v>20.114000000000065</v>
      </c>
      <c r="AI1222" s="295">
        <v>27.249999999999897</v>
      </c>
      <c r="AJ1222" s="397">
        <v>135.73099999999988</v>
      </c>
      <c r="AK1222" s="295">
        <v>35.722000000000037</v>
      </c>
      <c r="AL1222" s="295">
        <v>63.756999999999998</v>
      </c>
      <c r="AM1222" s="295">
        <v>52.462999999999965</v>
      </c>
      <c r="AN1222" s="295">
        <v>68.433000000000362</v>
      </c>
      <c r="AO1222" s="397">
        <v>220.37500000000011</v>
      </c>
      <c r="AP1222" s="295">
        <v>-3.2120000000000335</v>
      </c>
      <c r="AQ1222" s="295">
        <v>98.423000000000101</v>
      </c>
      <c r="AR1222" s="295">
        <v>46.411000000000122</v>
      </c>
      <c r="AS1222" s="295">
        <v>130.19300000000024</v>
      </c>
      <c r="AT1222" s="397">
        <v>271.81500000000017</v>
      </c>
      <c r="AU1222" s="295">
        <v>130.65600000000003</v>
      </c>
      <c r="AV1222" s="295">
        <v>226.74600000000007</v>
      </c>
      <c r="AW1222" s="295">
        <v>184.09900000000002</v>
      </c>
      <c r="AX1222" s="295">
        <v>147.04499999999987</v>
      </c>
      <c r="AY1222" s="397">
        <v>688.54599999999994</v>
      </c>
      <c r="AZ1222" s="295">
        <v>200.71099999999998</v>
      </c>
      <c r="BA1222" s="295">
        <v>122.27500000000012</v>
      </c>
      <c r="BB1222" s="295">
        <v>98.759999999999991</v>
      </c>
      <c r="BC1222" s="295">
        <v>106.89599999999972</v>
      </c>
      <c r="BD1222" s="397">
        <v>528.64200000000017</v>
      </c>
      <c r="BE1222" s="295">
        <v>41.890000000000008</v>
      </c>
      <c r="BF1222" s="295">
        <v>76.477000000000018</v>
      </c>
      <c r="BG1222" s="295">
        <v>-2.1870000000000105</v>
      </c>
      <c r="BH1222" s="295">
        <v>11.381000000000224</v>
      </c>
      <c r="BI1222" s="399">
        <v>127.56100000000038</v>
      </c>
      <c r="BJ1222" s="295">
        <v>-7.4909222411956335</v>
      </c>
      <c r="BK1222" s="295">
        <v>68.429931660453377</v>
      </c>
      <c r="BL1222" s="295">
        <v>49.720072461052936</v>
      </c>
      <c r="BM1222" s="295">
        <v>38.066834741483817</v>
      </c>
      <c r="BN1222" s="397">
        <v>148.7259166217944</v>
      </c>
      <c r="BO1222" s="295">
        <v>30.856012072831184</v>
      </c>
      <c r="BP1222" s="295">
        <v>96.097019050686356</v>
      </c>
      <c r="BQ1222" s="295">
        <v>68.616050276144151</v>
      </c>
      <c r="BR1222" s="295">
        <v>63.128586948923228</v>
      </c>
      <c r="BS1222" s="397">
        <v>258.69766834858444</v>
      </c>
      <c r="BT1222" s="397">
        <v>324.22696642879657</v>
      </c>
      <c r="BU1222" s="397">
        <v>385.1915789179244</v>
      </c>
      <c r="BV1222" s="397">
        <v>444.8576165954031</v>
      </c>
      <c r="BW1222" s="295"/>
    </row>
    <row r="1223" spans="1:75" s="198" customFormat="1" ht="14.25" collapsed="1" x14ac:dyDescent="0.45">
      <c r="A1223" s="206" t="s">
        <v>1179</v>
      </c>
      <c r="B1223" s="522"/>
      <c r="C1223" s="397">
        <v>-18.483000000000082</v>
      </c>
      <c r="D1223" s="397">
        <v>3.0249999999998782</v>
      </c>
      <c r="E1223" s="397">
        <v>26.451000000000068</v>
      </c>
      <c r="F1223" s="397">
        <v>37.739000000000161</v>
      </c>
      <c r="G1223" s="295">
        <v>2.2569999999999668</v>
      </c>
      <c r="H1223" s="295">
        <v>19.792999999999967</v>
      </c>
      <c r="I1223" s="295">
        <v>13.017000000000014</v>
      </c>
      <c r="J1223" s="295">
        <v>34.034000000000049</v>
      </c>
      <c r="K1223" s="397">
        <v>69.100999999999658</v>
      </c>
      <c r="L1223" s="295">
        <v>7.1530000000000182</v>
      </c>
      <c r="M1223" s="295">
        <v>27.699000000000002</v>
      </c>
      <c r="N1223" s="295">
        <v>20.286999999999985</v>
      </c>
      <c r="O1223" s="295">
        <v>42.496999999999929</v>
      </c>
      <c r="P1223" s="397">
        <v>97.635999999999896</v>
      </c>
      <c r="Q1223" s="295">
        <v>9.8419999999999952</v>
      </c>
      <c r="R1223" s="295">
        <v>36.022000000000006</v>
      </c>
      <c r="S1223" s="295">
        <v>27.735999999999972</v>
      </c>
      <c r="T1223" s="295">
        <v>41.171999999999947</v>
      </c>
      <c r="U1223" s="397">
        <v>114.77199999999968</v>
      </c>
      <c r="V1223" s="295">
        <v>-2.065999999999967</v>
      </c>
      <c r="W1223" s="295">
        <v>17.907999999999987</v>
      </c>
      <c r="X1223" s="295">
        <v>8.0189999999999664</v>
      </c>
      <c r="Y1223" s="295">
        <v>27.928000000000019</v>
      </c>
      <c r="Z1223" s="397">
        <v>51.789000000000065</v>
      </c>
      <c r="AA1223" s="295">
        <v>1.7940000000000731</v>
      </c>
      <c r="AB1223" s="295">
        <v>19.701000000000043</v>
      </c>
      <c r="AC1223" s="295">
        <v>24.423999999999921</v>
      </c>
      <c r="AD1223" s="295">
        <v>43.281000000000233</v>
      </c>
      <c r="AE1223" s="397">
        <v>89.199999999999918</v>
      </c>
      <c r="AF1223" s="295">
        <v>30.585999999999935</v>
      </c>
      <c r="AG1223" s="295">
        <v>54.508999999999965</v>
      </c>
      <c r="AH1223" s="295">
        <v>43.184000000000069</v>
      </c>
      <c r="AI1223" s="295">
        <v>73.9729999999999</v>
      </c>
      <c r="AJ1223" s="397">
        <v>204.31799999999987</v>
      </c>
      <c r="AK1223" s="295">
        <v>45.188000000000031</v>
      </c>
      <c r="AL1223" s="295">
        <v>71.430000000000007</v>
      </c>
      <c r="AM1223" s="295">
        <v>65.44599999999997</v>
      </c>
      <c r="AN1223" s="295">
        <v>91.180000000000376</v>
      </c>
      <c r="AO1223" s="397">
        <v>276.29700000000014</v>
      </c>
      <c r="AP1223" s="295">
        <v>29.94899999999997</v>
      </c>
      <c r="AQ1223" s="295">
        <v>123.0130000000001</v>
      </c>
      <c r="AR1223" s="295">
        <v>166.45700000000011</v>
      </c>
      <c r="AS1223" s="295">
        <v>143.48500000000024</v>
      </c>
      <c r="AT1223" s="397">
        <v>462.90400000000005</v>
      </c>
      <c r="AU1223" s="295">
        <v>142.25000000000006</v>
      </c>
      <c r="AV1223" s="295">
        <v>251.62500000000006</v>
      </c>
      <c r="AW1223" s="295">
        <v>208.601</v>
      </c>
      <c r="AX1223" s="295">
        <v>164.02899999999985</v>
      </c>
      <c r="AY1223" s="397">
        <v>766.505</v>
      </c>
      <c r="AZ1223" s="295">
        <v>181.34100000000004</v>
      </c>
      <c r="BA1223" s="295">
        <v>164.0630000000001</v>
      </c>
      <c r="BB1223" s="295">
        <v>110.35399999999998</v>
      </c>
      <c r="BC1223" s="295">
        <v>72.778999999999712</v>
      </c>
      <c r="BD1223" s="397">
        <v>528.53700000000026</v>
      </c>
      <c r="BE1223" s="295">
        <v>52.211000000000006</v>
      </c>
      <c r="BF1223" s="295">
        <v>88.680000000000021</v>
      </c>
      <c r="BG1223" s="295">
        <v>-7.7990000000000101</v>
      </c>
      <c r="BH1223" s="295">
        <v>14.273000000000224</v>
      </c>
      <c r="BI1223" s="399">
        <v>147.36500000000038</v>
      </c>
      <c r="BJ1223" s="295">
        <v>-4.7959222411956342</v>
      </c>
      <c r="BK1223" s="295">
        <v>71.124931660453427</v>
      </c>
      <c r="BL1223" s="295">
        <v>52.415072461052979</v>
      </c>
      <c r="BM1223" s="295">
        <v>40.761834741483767</v>
      </c>
      <c r="BN1223" s="397">
        <v>159.50591662179437</v>
      </c>
      <c r="BO1223" s="295">
        <v>33.551012072831227</v>
      </c>
      <c r="BP1223" s="295">
        <v>98.792019050686307</v>
      </c>
      <c r="BQ1223" s="295">
        <v>71.311050276144201</v>
      </c>
      <c r="BR1223" s="295">
        <v>65.823586948923236</v>
      </c>
      <c r="BS1223" s="397">
        <v>269.47766834858464</v>
      </c>
      <c r="BT1223" s="397">
        <v>335.00696642879655</v>
      </c>
      <c r="BU1223" s="397">
        <v>395.97157891792409</v>
      </c>
      <c r="BV1223" s="397">
        <v>455.63761659540296</v>
      </c>
      <c r="BW1223" s="295"/>
    </row>
    <row r="1224" spans="1:75" s="123" customFormat="1" hidden="1" outlineLevel="1" x14ac:dyDescent="0.5">
      <c r="A1224" s="184" t="s">
        <v>1180</v>
      </c>
      <c r="B1224" s="513"/>
      <c r="C1224" s="401"/>
      <c r="D1224" s="401"/>
      <c r="E1224" s="401"/>
      <c r="F1224" s="401"/>
      <c r="G1224" s="119"/>
      <c r="H1224" s="119"/>
      <c r="I1224" s="119"/>
      <c r="J1224" s="119"/>
      <c r="K1224" s="401"/>
      <c r="L1224" s="119"/>
      <c r="M1224" s="119"/>
      <c r="N1224" s="119"/>
      <c r="O1224" s="119"/>
      <c r="P1224" s="401"/>
      <c r="Q1224" s="119"/>
      <c r="R1224" s="119"/>
      <c r="S1224" s="119"/>
      <c r="T1224" s="119"/>
      <c r="U1224" s="401"/>
      <c r="V1224" s="119"/>
      <c r="W1224" s="119"/>
      <c r="X1224" s="119"/>
      <c r="Y1224" s="119"/>
      <c r="Z1224" s="401"/>
      <c r="AA1224" s="119"/>
      <c r="AB1224" s="119"/>
      <c r="AC1224" s="119"/>
      <c r="AD1224" s="119"/>
      <c r="AE1224" s="401"/>
      <c r="AF1224" s="119"/>
      <c r="AG1224" s="119"/>
      <c r="AH1224" s="119"/>
      <c r="AI1224" s="119"/>
      <c r="AJ1224" s="401"/>
      <c r="AK1224" s="119"/>
      <c r="AL1224" s="119"/>
      <c r="AM1224" s="119"/>
      <c r="AN1224" s="119"/>
      <c r="AO1224" s="401"/>
      <c r="AP1224" s="119"/>
      <c r="AQ1224" s="119"/>
      <c r="AR1224" s="119"/>
      <c r="AS1224" s="119"/>
      <c r="AT1224" s="401"/>
      <c r="AU1224" s="119"/>
      <c r="AV1224" s="119"/>
      <c r="AW1224" s="119"/>
      <c r="AX1224" s="119"/>
      <c r="AY1224" s="401"/>
      <c r="AZ1224" s="119"/>
      <c r="BA1224" s="119"/>
      <c r="BB1224" s="119"/>
      <c r="BC1224" s="119"/>
      <c r="BD1224" s="401"/>
      <c r="BE1224" s="119"/>
      <c r="BF1224" s="119"/>
      <c r="BG1224" s="119"/>
      <c r="BH1224" s="119"/>
      <c r="BI1224" s="402"/>
      <c r="BJ1224" s="119"/>
      <c r="BK1224" s="119"/>
      <c r="BL1224" s="119"/>
      <c r="BM1224" s="119"/>
      <c r="BN1224" s="401">
        <v>0</v>
      </c>
      <c r="BO1224" s="119"/>
      <c r="BP1224" s="119"/>
      <c r="BQ1224" s="119"/>
      <c r="BR1224" s="119"/>
      <c r="BS1224" s="401">
        <v>0</v>
      </c>
      <c r="BT1224" s="401"/>
      <c r="BU1224" s="401"/>
      <c r="BV1224" s="401"/>
      <c r="BW1224" s="122"/>
    </row>
    <row r="1225" spans="1:75" s="123" customFormat="1" hidden="1" outlineLevel="1" x14ac:dyDescent="0.5">
      <c r="A1225" s="497" t="s">
        <v>1181</v>
      </c>
      <c r="B1225" s="677"/>
      <c r="C1225" s="406"/>
      <c r="D1225" s="406"/>
      <c r="E1225" s="406"/>
      <c r="F1225" s="406"/>
      <c r="G1225" s="723"/>
      <c r="H1225" s="723"/>
      <c r="I1225" s="723"/>
      <c r="J1225" s="723"/>
      <c r="K1225" s="406"/>
      <c r="L1225" s="723"/>
      <c r="M1225" s="723"/>
      <c r="N1225" s="723"/>
      <c r="O1225" s="723"/>
      <c r="P1225" s="406"/>
      <c r="Q1225" s="723"/>
      <c r="R1225" s="723"/>
      <c r="S1225" s="723"/>
      <c r="T1225" s="723"/>
      <c r="U1225" s="406"/>
      <c r="V1225" s="723"/>
      <c r="W1225" s="723"/>
      <c r="X1225" s="723"/>
      <c r="Y1225" s="723"/>
      <c r="Z1225" s="406"/>
      <c r="AA1225" s="723"/>
      <c r="AB1225" s="723"/>
      <c r="AC1225" s="723"/>
      <c r="AD1225" s="723"/>
      <c r="AE1225" s="406"/>
      <c r="AF1225" s="723"/>
      <c r="AG1225" s="723"/>
      <c r="AH1225" s="723"/>
      <c r="AI1225" s="723"/>
      <c r="AJ1225" s="406"/>
      <c r="AK1225" s="723"/>
      <c r="AL1225" s="723"/>
      <c r="AM1225" s="723"/>
      <c r="AN1225" s="723"/>
      <c r="AO1225" s="406"/>
      <c r="AP1225" s="723"/>
      <c r="AQ1225" s="723"/>
      <c r="AR1225" s="723"/>
      <c r="AS1225" s="723"/>
      <c r="AT1225" s="406"/>
      <c r="AU1225" s="723"/>
      <c r="AV1225" s="723"/>
      <c r="AW1225" s="723"/>
      <c r="AX1225" s="723"/>
      <c r="AY1225" s="406"/>
      <c r="AZ1225" s="723"/>
      <c r="BA1225" s="723"/>
      <c r="BB1225" s="723"/>
      <c r="BC1225" s="723"/>
      <c r="BD1225" s="406"/>
      <c r="BE1225" s="723"/>
      <c r="BF1225" s="723"/>
      <c r="BG1225" s="723"/>
      <c r="BH1225" s="723"/>
      <c r="BI1225" s="407"/>
      <c r="BJ1225" s="723"/>
      <c r="BK1225" s="723"/>
      <c r="BL1225" s="723"/>
      <c r="BM1225" s="723"/>
      <c r="BN1225" s="406">
        <v>0</v>
      </c>
      <c r="BO1225" s="723"/>
      <c r="BP1225" s="723"/>
      <c r="BQ1225" s="723"/>
      <c r="BR1225" s="723"/>
      <c r="BS1225" s="406">
        <v>0</v>
      </c>
      <c r="BT1225" s="406"/>
      <c r="BU1225" s="406"/>
      <c r="BV1225" s="406"/>
      <c r="BW1225" s="118"/>
    </row>
    <row r="1226" spans="1:75" s="123" customFormat="1" collapsed="1" x14ac:dyDescent="0.5">
      <c r="A1226" s="184" t="s">
        <v>1182</v>
      </c>
      <c r="B1226" s="513"/>
      <c r="C1226" s="401">
        <v>0</v>
      </c>
      <c r="D1226" s="401">
        <v>0</v>
      </c>
      <c r="E1226" s="401">
        <v>0</v>
      </c>
      <c r="F1226" s="401">
        <v>0</v>
      </c>
      <c r="G1226" s="118">
        <v>0</v>
      </c>
      <c r="H1226" s="118">
        <v>0</v>
      </c>
      <c r="I1226" s="118">
        <v>0</v>
      </c>
      <c r="J1226" s="118">
        <v>0</v>
      </c>
      <c r="K1226" s="401">
        <v>0</v>
      </c>
      <c r="L1226" s="118">
        <v>0</v>
      </c>
      <c r="M1226" s="118">
        <v>0</v>
      </c>
      <c r="N1226" s="118">
        <v>0</v>
      </c>
      <c r="O1226" s="118">
        <v>0</v>
      </c>
      <c r="P1226" s="401">
        <v>0</v>
      </c>
      <c r="Q1226" s="118">
        <v>0</v>
      </c>
      <c r="R1226" s="118">
        <v>0</v>
      </c>
      <c r="S1226" s="118">
        <v>0</v>
      </c>
      <c r="T1226" s="118">
        <v>0</v>
      </c>
      <c r="U1226" s="401">
        <v>0</v>
      </c>
      <c r="V1226" s="118">
        <v>0</v>
      </c>
      <c r="W1226" s="118">
        <v>0</v>
      </c>
      <c r="X1226" s="118">
        <v>0</v>
      </c>
      <c r="Y1226" s="118">
        <v>0</v>
      </c>
      <c r="Z1226" s="401">
        <v>0</v>
      </c>
      <c r="AA1226" s="118">
        <v>0</v>
      </c>
      <c r="AB1226" s="118">
        <v>0</v>
      </c>
      <c r="AC1226" s="118">
        <v>0</v>
      </c>
      <c r="AD1226" s="118">
        <v>0</v>
      </c>
      <c r="AE1226" s="401">
        <v>0</v>
      </c>
      <c r="AF1226" s="118">
        <v>0</v>
      </c>
      <c r="AG1226" s="118">
        <v>0</v>
      </c>
      <c r="AH1226" s="118">
        <v>0</v>
      </c>
      <c r="AI1226" s="118">
        <v>0</v>
      </c>
      <c r="AJ1226" s="401">
        <v>0</v>
      </c>
      <c r="AK1226" s="118">
        <v>0</v>
      </c>
      <c r="AL1226" s="118">
        <v>0</v>
      </c>
      <c r="AM1226" s="118">
        <v>0</v>
      </c>
      <c r="AN1226" s="118">
        <v>0</v>
      </c>
      <c r="AO1226" s="401">
        <v>0</v>
      </c>
      <c r="AP1226" s="118">
        <v>0</v>
      </c>
      <c r="AQ1226" s="118">
        <v>0</v>
      </c>
      <c r="AR1226" s="118">
        <v>0</v>
      </c>
      <c r="AS1226" s="118">
        <v>0</v>
      </c>
      <c r="AT1226" s="401">
        <v>0</v>
      </c>
      <c r="AU1226" s="118">
        <v>0</v>
      </c>
      <c r="AV1226" s="118">
        <v>0</v>
      </c>
      <c r="AW1226" s="118">
        <v>0</v>
      </c>
      <c r="AX1226" s="118">
        <v>0</v>
      </c>
      <c r="AY1226" s="401">
        <v>0</v>
      </c>
      <c r="AZ1226" s="118">
        <v>0</v>
      </c>
      <c r="BA1226" s="118">
        <v>0</v>
      </c>
      <c r="BB1226" s="118">
        <v>0</v>
      </c>
      <c r="BC1226" s="118">
        <v>0</v>
      </c>
      <c r="BD1226" s="401">
        <v>0</v>
      </c>
      <c r="BE1226" s="118">
        <v>0</v>
      </c>
      <c r="BF1226" s="118">
        <v>0</v>
      </c>
      <c r="BG1226" s="118">
        <v>0</v>
      </c>
      <c r="BH1226" s="118">
        <v>0</v>
      </c>
      <c r="BI1226" s="402">
        <v>0</v>
      </c>
      <c r="BJ1226" s="118">
        <v>0</v>
      </c>
      <c r="BK1226" s="118">
        <v>0</v>
      </c>
      <c r="BL1226" s="118">
        <v>0</v>
      </c>
      <c r="BM1226" s="118">
        <v>0</v>
      </c>
      <c r="BN1226" s="401">
        <v>0</v>
      </c>
      <c r="BO1226" s="118">
        <v>0</v>
      </c>
      <c r="BP1226" s="118">
        <v>0</v>
      </c>
      <c r="BQ1226" s="118">
        <v>0</v>
      </c>
      <c r="BR1226" s="118">
        <v>0</v>
      </c>
      <c r="BS1226" s="401">
        <v>0</v>
      </c>
      <c r="BT1226" s="401">
        <v>0</v>
      </c>
      <c r="BU1226" s="401">
        <v>0</v>
      </c>
      <c r="BV1226" s="401">
        <v>0</v>
      </c>
      <c r="BW1226" s="118"/>
    </row>
    <row r="1227" spans="1:75" s="123" customFormat="1" hidden="1" outlineLevel="1" x14ac:dyDescent="0.5">
      <c r="A1227" s="184" t="s">
        <v>1183</v>
      </c>
      <c r="B1227" s="513"/>
      <c r="C1227" s="401"/>
      <c r="D1227" s="401"/>
      <c r="E1227" s="401"/>
      <c r="F1227" s="401"/>
      <c r="G1227" s="119"/>
      <c r="H1227" s="119"/>
      <c r="I1227" s="119"/>
      <c r="J1227" s="119"/>
      <c r="K1227" s="401"/>
      <c r="L1227" s="119"/>
      <c r="M1227" s="119"/>
      <c r="N1227" s="119"/>
      <c r="O1227" s="119"/>
      <c r="P1227" s="401"/>
      <c r="Q1227" s="119"/>
      <c r="R1227" s="119"/>
      <c r="S1227" s="119"/>
      <c r="T1227" s="119"/>
      <c r="U1227" s="401"/>
      <c r="V1227" s="119"/>
      <c r="W1227" s="119"/>
      <c r="X1227" s="119"/>
      <c r="Y1227" s="119"/>
      <c r="Z1227" s="401"/>
      <c r="AA1227" s="119"/>
      <c r="AB1227" s="119"/>
      <c r="AC1227" s="119"/>
      <c r="AD1227" s="119"/>
      <c r="AE1227" s="401"/>
      <c r="AF1227" s="119"/>
      <c r="AG1227" s="119"/>
      <c r="AH1227" s="119"/>
      <c r="AI1227" s="119"/>
      <c r="AJ1227" s="401"/>
      <c r="AK1227" s="119"/>
      <c r="AL1227" s="119"/>
      <c r="AM1227" s="119"/>
      <c r="AN1227" s="119"/>
      <c r="AO1227" s="401"/>
      <c r="AP1227" s="119"/>
      <c r="AQ1227" s="119"/>
      <c r="AR1227" s="119"/>
      <c r="AS1227" s="119"/>
      <c r="AT1227" s="401"/>
      <c r="AU1227" s="119"/>
      <c r="AV1227" s="119"/>
      <c r="AW1227" s="119"/>
      <c r="AX1227" s="119"/>
      <c r="AY1227" s="401"/>
      <c r="AZ1227" s="119"/>
      <c r="BA1227" s="119"/>
      <c r="BB1227" s="119"/>
      <c r="BC1227" s="119"/>
      <c r="BD1227" s="401"/>
      <c r="BE1227" s="119"/>
      <c r="BF1227" s="119"/>
      <c r="BG1227" s="119"/>
      <c r="BH1227" s="119"/>
      <c r="BI1227" s="402"/>
      <c r="BJ1227" s="119"/>
      <c r="BK1227" s="119"/>
      <c r="BL1227" s="119"/>
      <c r="BM1227" s="119"/>
      <c r="BN1227" s="401">
        <v>0</v>
      </c>
      <c r="BO1227" s="119"/>
      <c r="BP1227" s="119"/>
      <c r="BQ1227" s="119"/>
      <c r="BR1227" s="119"/>
      <c r="BS1227" s="401">
        <v>0</v>
      </c>
      <c r="BT1227" s="401"/>
      <c r="BU1227" s="401"/>
      <c r="BV1227" s="401"/>
      <c r="BW1227" s="122"/>
    </row>
    <row r="1228" spans="1:75" s="123" customFormat="1" hidden="1" outlineLevel="1" x14ac:dyDescent="0.5">
      <c r="A1228" s="497" t="s">
        <v>1184</v>
      </c>
      <c r="B1228" s="677"/>
      <c r="C1228" s="406"/>
      <c r="D1228" s="406"/>
      <c r="E1228" s="406"/>
      <c r="F1228" s="406"/>
      <c r="G1228" s="723"/>
      <c r="H1228" s="723"/>
      <c r="I1228" s="723"/>
      <c r="J1228" s="723"/>
      <c r="K1228" s="406"/>
      <c r="L1228" s="723"/>
      <c r="M1228" s="723"/>
      <c r="N1228" s="723"/>
      <c r="O1228" s="723"/>
      <c r="P1228" s="406"/>
      <c r="Q1228" s="723"/>
      <c r="R1228" s="723"/>
      <c r="S1228" s="723"/>
      <c r="T1228" s="723"/>
      <c r="U1228" s="406"/>
      <c r="V1228" s="723"/>
      <c r="W1228" s="723"/>
      <c r="X1228" s="723"/>
      <c r="Y1228" s="723"/>
      <c r="Z1228" s="406"/>
      <c r="AA1228" s="723"/>
      <c r="AB1228" s="723"/>
      <c r="AC1228" s="723"/>
      <c r="AD1228" s="723"/>
      <c r="AE1228" s="406"/>
      <c r="AF1228" s="723"/>
      <c r="AG1228" s="723"/>
      <c r="AH1228" s="723"/>
      <c r="AI1228" s="723"/>
      <c r="AJ1228" s="406"/>
      <c r="AK1228" s="723"/>
      <c r="AL1228" s="723"/>
      <c r="AM1228" s="723"/>
      <c r="AN1228" s="723"/>
      <c r="AO1228" s="406"/>
      <c r="AP1228" s="723"/>
      <c r="AQ1228" s="723"/>
      <c r="AR1228" s="723"/>
      <c r="AS1228" s="723"/>
      <c r="AT1228" s="406"/>
      <c r="AU1228" s="723"/>
      <c r="AV1228" s="723"/>
      <c r="AW1228" s="723"/>
      <c r="AX1228" s="723"/>
      <c r="AY1228" s="406"/>
      <c r="AZ1228" s="723"/>
      <c r="BA1228" s="723"/>
      <c r="BB1228" s="723"/>
      <c r="BC1228" s="723"/>
      <c r="BD1228" s="406"/>
      <c r="BE1228" s="723"/>
      <c r="BF1228" s="723"/>
      <c r="BG1228" s="723"/>
      <c r="BH1228" s="723"/>
      <c r="BI1228" s="407"/>
      <c r="BJ1228" s="723"/>
      <c r="BK1228" s="723"/>
      <c r="BL1228" s="723"/>
      <c r="BM1228" s="723"/>
      <c r="BN1228" s="406">
        <v>0</v>
      </c>
      <c r="BO1228" s="723"/>
      <c r="BP1228" s="723"/>
      <c r="BQ1228" s="723"/>
      <c r="BR1228" s="723"/>
      <c r="BS1228" s="406">
        <v>0</v>
      </c>
      <c r="BT1228" s="406"/>
      <c r="BU1228" s="406"/>
      <c r="BV1228" s="406"/>
      <c r="BW1228" s="118"/>
    </row>
    <row r="1229" spans="1:75" s="123" customFormat="1" collapsed="1" x14ac:dyDescent="0.5">
      <c r="A1229" s="184" t="s">
        <v>1185</v>
      </c>
      <c r="B1229" s="513"/>
      <c r="C1229" s="401">
        <v>0</v>
      </c>
      <c r="D1229" s="401">
        <v>0</v>
      </c>
      <c r="E1229" s="401">
        <v>0</v>
      </c>
      <c r="F1229" s="401">
        <v>0</v>
      </c>
      <c r="G1229" s="118">
        <v>0</v>
      </c>
      <c r="H1229" s="118">
        <v>0</v>
      </c>
      <c r="I1229" s="118">
        <v>0</v>
      </c>
      <c r="J1229" s="118">
        <v>0</v>
      </c>
      <c r="K1229" s="401">
        <v>0</v>
      </c>
      <c r="L1229" s="118">
        <v>0</v>
      </c>
      <c r="M1229" s="118">
        <v>0</v>
      </c>
      <c r="N1229" s="118">
        <v>0</v>
      </c>
      <c r="O1229" s="118">
        <v>0</v>
      </c>
      <c r="P1229" s="401">
        <v>0</v>
      </c>
      <c r="Q1229" s="118">
        <v>0</v>
      </c>
      <c r="R1229" s="118">
        <v>0</v>
      </c>
      <c r="S1229" s="118">
        <v>0</v>
      </c>
      <c r="T1229" s="118">
        <v>0</v>
      </c>
      <c r="U1229" s="401">
        <v>0</v>
      </c>
      <c r="V1229" s="118">
        <v>0</v>
      </c>
      <c r="W1229" s="118">
        <v>0</v>
      </c>
      <c r="X1229" s="118">
        <v>0</v>
      </c>
      <c r="Y1229" s="118">
        <v>0</v>
      </c>
      <c r="Z1229" s="401">
        <v>0</v>
      </c>
      <c r="AA1229" s="118">
        <v>0</v>
      </c>
      <c r="AB1229" s="118">
        <v>0</v>
      </c>
      <c r="AC1229" s="118">
        <v>0</v>
      </c>
      <c r="AD1229" s="118">
        <v>0</v>
      </c>
      <c r="AE1229" s="401">
        <v>0</v>
      </c>
      <c r="AF1229" s="118">
        <v>0</v>
      </c>
      <c r="AG1229" s="118">
        <v>0</v>
      </c>
      <c r="AH1229" s="118">
        <v>0</v>
      </c>
      <c r="AI1229" s="118">
        <v>0</v>
      </c>
      <c r="AJ1229" s="401">
        <v>0</v>
      </c>
      <c r="AK1229" s="118">
        <v>0</v>
      </c>
      <c r="AL1229" s="118">
        <v>0</v>
      </c>
      <c r="AM1229" s="118">
        <v>0</v>
      </c>
      <c r="AN1229" s="118">
        <v>0</v>
      </c>
      <c r="AO1229" s="401">
        <v>0</v>
      </c>
      <c r="AP1229" s="118">
        <v>0</v>
      </c>
      <c r="AQ1229" s="118">
        <v>0</v>
      </c>
      <c r="AR1229" s="118">
        <v>0</v>
      </c>
      <c r="AS1229" s="118">
        <v>0</v>
      </c>
      <c r="AT1229" s="401">
        <v>0</v>
      </c>
      <c r="AU1229" s="118">
        <v>0</v>
      </c>
      <c r="AV1229" s="118">
        <v>0</v>
      </c>
      <c r="AW1229" s="118">
        <v>0</v>
      </c>
      <c r="AX1229" s="118">
        <v>0</v>
      </c>
      <c r="AY1229" s="401">
        <v>0</v>
      </c>
      <c r="AZ1229" s="118">
        <v>0</v>
      </c>
      <c r="BA1229" s="118">
        <v>0</v>
      </c>
      <c r="BB1229" s="118">
        <v>0</v>
      </c>
      <c r="BC1229" s="118">
        <v>0</v>
      </c>
      <c r="BD1229" s="401">
        <v>0</v>
      </c>
      <c r="BE1229" s="118">
        <v>0</v>
      </c>
      <c r="BF1229" s="118">
        <v>0</v>
      </c>
      <c r="BG1229" s="118">
        <v>0</v>
      </c>
      <c r="BH1229" s="118">
        <v>0</v>
      </c>
      <c r="BI1229" s="402">
        <v>0</v>
      </c>
      <c r="BJ1229" s="118">
        <v>0</v>
      </c>
      <c r="BK1229" s="118">
        <v>0</v>
      </c>
      <c r="BL1229" s="118">
        <v>0</v>
      </c>
      <c r="BM1229" s="118">
        <v>0</v>
      </c>
      <c r="BN1229" s="401">
        <v>0</v>
      </c>
      <c r="BO1229" s="118">
        <v>0</v>
      </c>
      <c r="BP1229" s="118">
        <v>0</v>
      </c>
      <c r="BQ1229" s="118">
        <v>0</v>
      </c>
      <c r="BR1229" s="118">
        <v>0</v>
      </c>
      <c r="BS1229" s="401">
        <v>0</v>
      </c>
      <c r="BT1229" s="401">
        <v>0</v>
      </c>
      <c r="BU1229" s="401">
        <v>0</v>
      </c>
      <c r="BV1229" s="401">
        <v>0</v>
      </c>
      <c r="BW1229" s="118"/>
    </row>
    <row r="1230" spans="1:75" s="123" customFormat="1" x14ac:dyDescent="0.5">
      <c r="A1230" s="445" t="s">
        <v>1186</v>
      </c>
      <c r="B1230" s="677"/>
      <c r="C1230" s="406"/>
      <c r="D1230" s="406"/>
      <c r="E1230" s="406"/>
      <c r="F1230" s="406"/>
      <c r="G1230" s="312"/>
      <c r="H1230" s="312"/>
      <c r="I1230" s="312"/>
      <c r="J1230" s="312"/>
      <c r="K1230" s="406"/>
      <c r="L1230" s="312"/>
      <c r="M1230" s="312"/>
      <c r="N1230" s="312"/>
      <c r="O1230" s="312"/>
      <c r="P1230" s="406"/>
      <c r="Q1230" s="312"/>
      <c r="R1230" s="312"/>
      <c r="S1230" s="312"/>
      <c r="T1230" s="312"/>
      <c r="U1230" s="406"/>
      <c r="V1230" s="312"/>
      <c r="W1230" s="312"/>
      <c r="X1230" s="312"/>
      <c r="Y1230" s="312"/>
      <c r="Z1230" s="406"/>
      <c r="AA1230" s="312"/>
      <c r="AB1230" s="312"/>
      <c r="AC1230" s="312"/>
      <c r="AD1230" s="312"/>
      <c r="AE1230" s="406"/>
      <c r="AF1230" s="312"/>
      <c r="AG1230" s="312"/>
      <c r="AH1230" s="312"/>
      <c r="AI1230" s="312"/>
      <c r="AJ1230" s="406"/>
      <c r="AK1230" s="312"/>
      <c r="AL1230" s="312"/>
      <c r="AM1230" s="312"/>
      <c r="AN1230" s="312"/>
      <c r="AO1230" s="406"/>
      <c r="AP1230" s="312"/>
      <c r="AQ1230" s="312"/>
      <c r="AR1230" s="312"/>
      <c r="AS1230" s="312"/>
      <c r="AT1230" s="406"/>
      <c r="AU1230" s="312"/>
      <c r="AV1230" s="312"/>
      <c r="AW1230" s="312"/>
      <c r="AX1230" s="312"/>
      <c r="AY1230" s="406"/>
      <c r="AZ1230" s="312"/>
      <c r="BA1230" s="312"/>
      <c r="BB1230" s="312"/>
      <c r="BC1230" s="312"/>
      <c r="BD1230" s="406"/>
      <c r="BE1230" s="312"/>
      <c r="BF1230" s="312"/>
      <c r="BG1230" s="312"/>
      <c r="BH1230" s="312"/>
      <c r="BI1230" s="407"/>
      <c r="BJ1230" s="357">
        <v>0</v>
      </c>
      <c r="BK1230" s="357">
        <v>0</v>
      </c>
      <c r="BL1230" s="357">
        <v>0</v>
      </c>
      <c r="BM1230" s="357">
        <v>0</v>
      </c>
      <c r="BN1230" s="406">
        <v>0</v>
      </c>
      <c r="BO1230" s="357">
        <v>0</v>
      </c>
      <c r="BP1230" s="357">
        <v>0</v>
      </c>
      <c r="BQ1230" s="357">
        <v>0</v>
      </c>
      <c r="BR1230" s="357">
        <v>0</v>
      </c>
      <c r="BS1230" s="406">
        <v>0</v>
      </c>
      <c r="BT1230" s="408">
        <v>0</v>
      </c>
      <c r="BU1230" s="408">
        <v>0</v>
      </c>
      <c r="BV1230" s="408">
        <v>0</v>
      </c>
      <c r="BW1230" s="122"/>
    </row>
    <row r="1231" spans="1:75" s="198" customFormat="1" ht="14.25" hidden="1" outlineLevel="1" x14ac:dyDescent="0.45">
      <c r="A1231" s="192" t="s">
        <v>1187</v>
      </c>
      <c r="B1231" s="517"/>
      <c r="C1231" s="518">
        <v>-28.651000000000085</v>
      </c>
      <c r="D1231" s="518">
        <v>-7.0510000000001227</v>
      </c>
      <c r="E1231" s="518">
        <v>20.588000000000076</v>
      </c>
      <c r="F1231" s="518">
        <v>-12.788999999999824</v>
      </c>
      <c r="G1231" s="327">
        <v>-0.1610000000000327</v>
      </c>
      <c r="H1231" s="327">
        <v>-17.835000000000029</v>
      </c>
      <c r="I1231" s="327">
        <v>9.5490000000000137</v>
      </c>
      <c r="J1231" s="327">
        <v>26.642000000000049</v>
      </c>
      <c r="K1231" s="518">
        <v>18.194999999999659</v>
      </c>
      <c r="L1231" s="327">
        <v>1.7950000000000199</v>
      </c>
      <c r="M1231" s="327">
        <v>27.253</v>
      </c>
      <c r="N1231" s="327">
        <v>19.428999999999988</v>
      </c>
      <c r="O1231" s="327">
        <v>42.524999999999935</v>
      </c>
      <c r="P1231" s="518">
        <v>91.001999999999896</v>
      </c>
      <c r="Q1231" s="327">
        <v>7.1559999999999953</v>
      </c>
      <c r="R1231" s="327">
        <v>29.935000000000002</v>
      </c>
      <c r="S1231" s="327">
        <v>20.709999999999976</v>
      </c>
      <c r="T1231" s="327">
        <v>33.30199999999995</v>
      </c>
      <c r="U1231" s="518">
        <v>91.102999999999696</v>
      </c>
      <c r="V1231" s="327">
        <v>-13.469999999999965</v>
      </c>
      <c r="W1231" s="327">
        <v>6.9179999999999859</v>
      </c>
      <c r="X1231" s="327">
        <v>2.5169999999999679</v>
      </c>
      <c r="Y1231" s="327">
        <v>9.4360000000000177</v>
      </c>
      <c r="Z1231" s="518">
        <v>5.4010000000000584</v>
      </c>
      <c r="AA1231" s="327">
        <v>-3.3699999999999264</v>
      </c>
      <c r="AB1231" s="327">
        <v>-7.8619999999999521</v>
      </c>
      <c r="AC1231" s="327">
        <v>13.150999999999922</v>
      </c>
      <c r="AD1231" s="327">
        <v>0.26100000000023016</v>
      </c>
      <c r="AE1231" s="518">
        <v>2.1799999999999251</v>
      </c>
      <c r="AF1231" s="327">
        <v>25.460999999999935</v>
      </c>
      <c r="AG1231" s="327">
        <v>62.905999999999977</v>
      </c>
      <c r="AH1231" s="327">
        <v>20.114000000000065</v>
      </c>
      <c r="AI1231" s="327">
        <v>27.249999999999897</v>
      </c>
      <c r="AJ1231" s="518">
        <v>135.73099999999988</v>
      </c>
      <c r="AK1231" s="327">
        <v>35.722000000000037</v>
      </c>
      <c r="AL1231" s="327">
        <v>63.756999999999998</v>
      </c>
      <c r="AM1231" s="327">
        <v>52.462999999999965</v>
      </c>
      <c r="AN1231" s="327">
        <v>68.433000000000362</v>
      </c>
      <c r="AO1231" s="518">
        <v>220.37500000000011</v>
      </c>
      <c r="AP1231" s="327">
        <v>-3.2120000000000335</v>
      </c>
      <c r="AQ1231" s="327">
        <v>98.423000000000101</v>
      </c>
      <c r="AR1231" s="327">
        <v>46.411000000000122</v>
      </c>
      <c r="AS1231" s="327">
        <v>130.19300000000024</v>
      </c>
      <c r="AT1231" s="518">
        <v>271.81500000000017</v>
      </c>
      <c r="AU1231" s="327">
        <v>130.65600000000003</v>
      </c>
      <c r="AV1231" s="327">
        <v>226.74600000000007</v>
      </c>
      <c r="AW1231" s="327">
        <v>184.09900000000002</v>
      </c>
      <c r="AX1231" s="327">
        <v>147.04499999999987</v>
      </c>
      <c r="AY1231" s="518">
        <v>688.54599999999994</v>
      </c>
      <c r="AZ1231" s="327">
        <v>200.71099999999998</v>
      </c>
      <c r="BA1231" s="327">
        <v>122.27500000000012</v>
      </c>
      <c r="BB1231" s="327">
        <v>98.759999999999991</v>
      </c>
      <c r="BC1231" s="327">
        <v>106.89599999999972</v>
      </c>
      <c r="BD1231" s="518">
        <v>528.64200000000017</v>
      </c>
      <c r="BE1231" s="327">
        <v>41.890000000000008</v>
      </c>
      <c r="BF1231" s="327">
        <v>76.477000000000018</v>
      </c>
      <c r="BG1231" s="327">
        <v>-2.1870000000000105</v>
      </c>
      <c r="BH1231" s="327">
        <v>11.381000000000224</v>
      </c>
      <c r="BI1231" s="525">
        <v>127.56100000000038</v>
      </c>
      <c r="BJ1231" s="327">
        <v>-7.4909222411956335</v>
      </c>
      <c r="BK1231" s="327">
        <v>68.429931660453377</v>
      </c>
      <c r="BL1231" s="327">
        <v>49.720072461052936</v>
      </c>
      <c r="BM1231" s="327">
        <v>38.066834741483817</v>
      </c>
      <c r="BN1231" s="518">
        <v>148.7259166217944</v>
      </c>
      <c r="BO1231" s="327">
        <v>30.856012072831184</v>
      </c>
      <c r="BP1231" s="327">
        <v>96.097019050686356</v>
      </c>
      <c r="BQ1231" s="327">
        <v>68.616050276144151</v>
      </c>
      <c r="BR1231" s="327">
        <v>63.128586948923228</v>
      </c>
      <c r="BS1231" s="518">
        <v>258.69766834858444</v>
      </c>
      <c r="BT1231" s="518">
        <v>324.22696642879657</v>
      </c>
      <c r="BU1231" s="518">
        <v>385.1915789179244</v>
      </c>
      <c r="BV1231" s="518">
        <v>444.8576165954031</v>
      </c>
      <c r="BW1231" s="295"/>
    </row>
    <row r="1232" spans="1:75" s="123" customFormat="1" hidden="1" outlineLevel="1" x14ac:dyDescent="0.5">
      <c r="A1232" s="445" t="s">
        <v>1188</v>
      </c>
      <c r="B1232" s="677"/>
      <c r="C1232" s="406">
        <v>-10.167999999999999</v>
      </c>
      <c r="D1232" s="406">
        <v>-10.075999999999929</v>
      </c>
      <c r="E1232" s="406">
        <v>-5.8630000000000102</v>
      </c>
      <c r="F1232" s="406">
        <v>-50.528000000000077</v>
      </c>
      <c r="G1232" s="723">
        <v>-2.4179999999999819</v>
      </c>
      <c r="H1232" s="723">
        <v>-37.627999999999965</v>
      </c>
      <c r="I1232" s="723">
        <v>-3.4680000000000284</v>
      </c>
      <c r="J1232" s="723">
        <v>-7.3920000000000137</v>
      </c>
      <c r="K1232" s="406">
        <v>-50.905999999999871</v>
      </c>
      <c r="L1232" s="723">
        <v>-5.3579999999999952</v>
      </c>
      <c r="M1232" s="723">
        <v>-0.44600000000001527</v>
      </c>
      <c r="N1232" s="723">
        <v>-0.85799999999999876</v>
      </c>
      <c r="O1232" s="723">
        <v>2.8000000000031999E-2</v>
      </c>
      <c r="P1232" s="406">
        <v>-6.633999999999979</v>
      </c>
      <c r="Q1232" s="723">
        <v>-2.6859999999999999</v>
      </c>
      <c r="R1232" s="723">
        <v>-6.0869999999999838</v>
      </c>
      <c r="S1232" s="723">
        <v>-7.0260000000000318</v>
      </c>
      <c r="T1232" s="723">
        <v>-7.8700000000000045</v>
      </c>
      <c r="U1232" s="406">
        <v>-23.66899999999994</v>
      </c>
      <c r="V1232" s="723">
        <v>-11.403999999999996</v>
      </c>
      <c r="W1232" s="723">
        <v>-10.989999999999974</v>
      </c>
      <c r="X1232" s="723">
        <v>-5.5020000000000078</v>
      </c>
      <c r="Y1232" s="723">
        <v>-18.491999999999969</v>
      </c>
      <c r="Z1232" s="406">
        <v>-46.38800000000019</v>
      </c>
      <c r="AA1232" s="723">
        <v>-5.1640000000000601</v>
      </c>
      <c r="AB1232" s="723">
        <v>-27.563000000000027</v>
      </c>
      <c r="AC1232" s="723">
        <v>-11.273000000000014</v>
      </c>
      <c r="AD1232" s="723">
        <v>-43.019999999999996</v>
      </c>
      <c r="AE1232" s="406">
        <v>-87.020000000000053</v>
      </c>
      <c r="AF1232" s="723">
        <v>-5.1249999999999787</v>
      </c>
      <c r="AG1232" s="723">
        <v>8.3969999999999878</v>
      </c>
      <c r="AH1232" s="723">
        <v>-23.070000000000082</v>
      </c>
      <c r="AI1232" s="723">
        <v>-46.722999999999971</v>
      </c>
      <c r="AJ1232" s="406">
        <v>-68.587000000000018</v>
      </c>
      <c r="AK1232" s="723">
        <v>-9.4660000000000331</v>
      </c>
      <c r="AL1232" s="723">
        <v>-7.6729999999999698</v>
      </c>
      <c r="AM1232" s="723">
        <v>-12.982999999999997</v>
      </c>
      <c r="AN1232" s="723">
        <v>-22.746999999999989</v>
      </c>
      <c r="AO1232" s="406">
        <v>-55.922000000000125</v>
      </c>
      <c r="AP1232" s="723">
        <v>-33.160999999999959</v>
      </c>
      <c r="AQ1232" s="723">
        <v>-24.590000000000114</v>
      </c>
      <c r="AR1232" s="723">
        <v>-120.04600000000012</v>
      </c>
      <c r="AS1232" s="723">
        <v>-13.291999999999961</v>
      </c>
      <c r="AT1232" s="406">
        <v>-191.08899999999986</v>
      </c>
      <c r="AU1232" s="723">
        <v>-11.594000000000007</v>
      </c>
      <c r="AV1232" s="723">
        <v>-24.878999999999966</v>
      </c>
      <c r="AW1232" s="723">
        <v>-24.501999999999942</v>
      </c>
      <c r="AX1232" s="723">
        <v>-16.984000000000052</v>
      </c>
      <c r="AY1232" s="406">
        <v>-77.958999999999776</v>
      </c>
      <c r="AZ1232" s="723">
        <v>19.369999999999976</v>
      </c>
      <c r="BA1232" s="723">
        <v>-41.787999999999997</v>
      </c>
      <c r="BB1232" s="723">
        <v>-11.59399999999998</v>
      </c>
      <c r="BC1232" s="723">
        <v>34.117000000000004</v>
      </c>
      <c r="BD1232" s="406">
        <v>0.10499999999954168</v>
      </c>
      <c r="BE1232" s="723">
        <v>-10.321000000000023</v>
      </c>
      <c r="BF1232" s="723">
        <v>-12.202999999999998</v>
      </c>
      <c r="BG1232" s="723">
        <v>5.6120000000000783</v>
      </c>
      <c r="BH1232" s="723">
        <v>-2.8919999999999999</v>
      </c>
      <c r="BI1232" s="407">
        <v>-19.804000000000109</v>
      </c>
      <c r="BJ1232" s="723">
        <v>-2.6949999999999998</v>
      </c>
      <c r="BK1232" s="723">
        <v>-2.694999999999987</v>
      </c>
      <c r="BL1232" s="723">
        <v>-2.694999999999987</v>
      </c>
      <c r="BM1232" s="723">
        <v>-2.6950000000000132</v>
      </c>
      <c r="BN1232" s="406">
        <v>-10.779999999999985</v>
      </c>
      <c r="BO1232" s="723">
        <v>-2.694999999999987</v>
      </c>
      <c r="BP1232" s="723">
        <v>-2.6950000000000132</v>
      </c>
      <c r="BQ1232" s="723">
        <v>-2.694999999999987</v>
      </c>
      <c r="BR1232" s="723">
        <v>-2.6949999999999998</v>
      </c>
      <c r="BS1232" s="406">
        <v>-10.779999999999987</v>
      </c>
      <c r="BT1232" s="406">
        <v>-10.78</v>
      </c>
      <c r="BU1232" s="406">
        <v>-10.780000000000092</v>
      </c>
      <c r="BV1232" s="406">
        <v>-10.780000000000053</v>
      </c>
      <c r="BW1232" s="118"/>
    </row>
    <row r="1233" spans="1:75" s="123" customFormat="1" hidden="1" outlineLevel="1" x14ac:dyDescent="0.5">
      <c r="A1233" s="206" t="s">
        <v>1189</v>
      </c>
      <c r="B1233" s="522"/>
      <c r="C1233" s="397">
        <v>-18.483000000000086</v>
      </c>
      <c r="D1233" s="397">
        <v>3.0249999999998067</v>
      </c>
      <c r="E1233" s="397">
        <v>26.451000000000086</v>
      </c>
      <c r="F1233" s="397">
        <v>37.739000000000253</v>
      </c>
      <c r="G1233" s="295">
        <v>2.256999999999949</v>
      </c>
      <c r="H1233" s="295">
        <v>19.792999999999935</v>
      </c>
      <c r="I1233" s="295">
        <v>13.017000000000042</v>
      </c>
      <c r="J1233" s="295">
        <v>34.034000000000063</v>
      </c>
      <c r="K1233" s="397">
        <v>69.10099999999953</v>
      </c>
      <c r="L1233" s="295">
        <v>7.1530000000000147</v>
      </c>
      <c r="M1233" s="295">
        <v>27.699000000000016</v>
      </c>
      <c r="N1233" s="295">
        <v>20.286999999999985</v>
      </c>
      <c r="O1233" s="295">
        <v>42.4969999999999</v>
      </c>
      <c r="P1233" s="397">
        <v>97.635999999999882</v>
      </c>
      <c r="Q1233" s="295">
        <v>9.8419999999999952</v>
      </c>
      <c r="R1233" s="295">
        <v>36.021999999999984</v>
      </c>
      <c r="S1233" s="295">
        <v>27.736000000000008</v>
      </c>
      <c r="T1233" s="295">
        <v>41.171999999999954</v>
      </c>
      <c r="U1233" s="397">
        <v>114.77199999999964</v>
      </c>
      <c r="V1233" s="295">
        <v>-2.0659999999999688</v>
      </c>
      <c r="W1233" s="295">
        <v>17.907999999999959</v>
      </c>
      <c r="X1233" s="295">
        <v>8.0189999999999753</v>
      </c>
      <c r="Y1233" s="295">
        <v>27.927999999999987</v>
      </c>
      <c r="Z1233" s="397">
        <v>51.78900000000025</v>
      </c>
      <c r="AA1233" s="295">
        <v>1.7940000000001337</v>
      </c>
      <c r="AB1233" s="295">
        <v>19.701000000000075</v>
      </c>
      <c r="AC1233" s="295">
        <v>24.423999999999936</v>
      </c>
      <c r="AD1233" s="295">
        <v>43.281000000000226</v>
      </c>
      <c r="AE1233" s="397">
        <v>89.199999999999974</v>
      </c>
      <c r="AF1233" s="295">
        <v>30.585999999999913</v>
      </c>
      <c r="AG1233" s="295">
        <v>54.508999999999986</v>
      </c>
      <c r="AH1233" s="295">
        <v>43.184000000000147</v>
      </c>
      <c r="AI1233" s="295">
        <v>73.972999999999871</v>
      </c>
      <c r="AJ1233" s="397">
        <v>204.3179999999999</v>
      </c>
      <c r="AK1233" s="295">
        <v>45.188000000000073</v>
      </c>
      <c r="AL1233" s="295">
        <v>71.429999999999964</v>
      </c>
      <c r="AM1233" s="295">
        <v>65.44599999999997</v>
      </c>
      <c r="AN1233" s="295">
        <v>91.180000000000348</v>
      </c>
      <c r="AO1233" s="397">
        <v>276.29700000000025</v>
      </c>
      <c r="AP1233" s="295">
        <v>29.948999999999927</v>
      </c>
      <c r="AQ1233" s="295">
        <v>123.01300000000022</v>
      </c>
      <c r="AR1233" s="295">
        <v>166.45700000000025</v>
      </c>
      <c r="AS1233" s="295">
        <v>143.48500000000021</v>
      </c>
      <c r="AT1233" s="397">
        <v>462.904</v>
      </c>
      <c r="AU1233" s="295">
        <v>142.25000000000003</v>
      </c>
      <c r="AV1233" s="295">
        <v>251.62500000000003</v>
      </c>
      <c r="AW1233" s="295">
        <v>208.60099999999997</v>
      </c>
      <c r="AX1233" s="295">
        <v>164.02899999999994</v>
      </c>
      <c r="AY1233" s="397">
        <v>766.50499999999965</v>
      </c>
      <c r="AZ1233" s="295">
        <v>181.34100000000001</v>
      </c>
      <c r="BA1233" s="295">
        <v>164.0630000000001</v>
      </c>
      <c r="BB1233" s="295">
        <v>110.35399999999997</v>
      </c>
      <c r="BC1233" s="295">
        <v>72.778999999999712</v>
      </c>
      <c r="BD1233" s="397">
        <v>528.5370000000006</v>
      </c>
      <c r="BE1233" s="295">
        <v>52.211000000000027</v>
      </c>
      <c r="BF1233" s="295">
        <v>88.680000000000021</v>
      </c>
      <c r="BG1233" s="295">
        <v>-7.7990000000000883</v>
      </c>
      <c r="BH1233" s="295">
        <v>14.273000000000224</v>
      </c>
      <c r="BI1233" s="399">
        <v>147.36500000000049</v>
      </c>
      <c r="BJ1233" s="295">
        <v>-4.7959222411956333</v>
      </c>
      <c r="BK1233" s="295">
        <v>71.12493166045337</v>
      </c>
      <c r="BL1233" s="295">
        <v>52.415072461052922</v>
      </c>
      <c r="BM1233" s="295">
        <v>40.761834741483831</v>
      </c>
      <c r="BN1233" s="397">
        <v>159.50591662179437</v>
      </c>
      <c r="BO1233" s="295">
        <v>33.55101207283117</v>
      </c>
      <c r="BP1233" s="295">
        <v>98.792019050686363</v>
      </c>
      <c r="BQ1233" s="295">
        <v>71.311050276144144</v>
      </c>
      <c r="BR1233" s="295">
        <v>65.823586948923221</v>
      </c>
      <c r="BS1233" s="397">
        <v>269.47766834858442</v>
      </c>
      <c r="BT1233" s="397">
        <v>335.00696642879655</v>
      </c>
      <c r="BU1233" s="397">
        <v>395.97157891792449</v>
      </c>
      <c r="BV1233" s="397">
        <v>455.63761659540313</v>
      </c>
      <c r="BW1233" s="118"/>
    </row>
    <row r="1234" spans="1:75" s="123" customFormat="1" hidden="1" outlineLevel="1" x14ac:dyDescent="0.5">
      <c r="A1234" s="184" t="s">
        <v>1190</v>
      </c>
      <c r="B1234" s="513"/>
      <c r="C1234" s="401"/>
      <c r="D1234" s="401"/>
      <c r="E1234" s="401"/>
      <c r="F1234" s="401"/>
      <c r="G1234" s="118"/>
      <c r="H1234" s="118"/>
      <c r="I1234" s="118"/>
      <c r="J1234" s="118"/>
      <c r="K1234" s="401"/>
      <c r="L1234" s="118"/>
      <c r="M1234" s="118"/>
      <c r="N1234" s="118"/>
      <c r="O1234" s="118"/>
      <c r="P1234" s="401"/>
      <c r="Q1234" s="118"/>
      <c r="R1234" s="118"/>
      <c r="S1234" s="118"/>
      <c r="T1234" s="118"/>
      <c r="U1234" s="401"/>
      <c r="V1234" s="118"/>
      <c r="W1234" s="118"/>
      <c r="X1234" s="118"/>
      <c r="Y1234" s="118"/>
      <c r="Z1234" s="401"/>
      <c r="AA1234" s="118"/>
      <c r="AB1234" s="118"/>
      <c r="AC1234" s="118"/>
      <c r="AD1234" s="118"/>
      <c r="AE1234" s="401"/>
      <c r="AF1234" s="118"/>
      <c r="AG1234" s="118"/>
      <c r="AH1234" s="118"/>
      <c r="AI1234" s="118"/>
      <c r="AJ1234" s="401"/>
      <c r="AK1234" s="118"/>
      <c r="AL1234" s="118"/>
      <c r="AM1234" s="118"/>
      <c r="AN1234" s="118"/>
      <c r="AO1234" s="401"/>
      <c r="AP1234" s="118"/>
      <c r="AQ1234" s="118"/>
      <c r="AR1234" s="118"/>
      <c r="AS1234" s="118"/>
      <c r="AT1234" s="401"/>
      <c r="AU1234" s="118"/>
      <c r="AV1234" s="118"/>
      <c r="AW1234" s="118"/>
      <c r="AX1234" s="118"/>
      <c r="AY1234" s="401"/>
      <c r="AZ1234" s="118"/>
      <c r="BA1234" s="118"/>
      <c r="BB1234" s="118"/>
      <c r="BC1234" s="118"/>
      <c r="BD1234" s="401"/>
      <c r="BE1234" s="118"/>
      <c r="BF1234" s="118"/>
      <c r="BG1234" s="118"/>
      <c r="BH1234" s="118"/>
      <c r="BI1234" s="402"/>
      <c r="BJ1234" s="118"/>
      <c r="BK1234" s="118"/>
      <c r="BL1234" s="118"/>
      <c r="BM1234" s="118"/>
      <c r="BN1234" s="401">
        <v>0</v>
      </c>
      <c r="BO1234" s="118"/>
      <c r="BP1234" s="118"/>
      <c r="BQ1234" s="118"/>
      <c r="BR1234" s="118"/>
      <c r="BS1234" s="401">
        <v>0</v>
      </c>
      <c r="BT1234" s="401"/>
      <c r="BU1234" s="401"/>
      <c r="BV1234" s="401"/>
      <c r="BW1234" s="118"/>
    </row>
    <row r="1235" spans="1:75" s="123" customFormat="1" hidden="1" outlineLevel="1" x14ac:dyDescent="0.5">
      <c r="A1235" s="497" t="s">
        <v>1191</v>
      </c>
      <c r="B1235" s="677"/>
      <c r="C1235" s="406"/>
      <c r="D1235" s="406"/>
      <c r="E1235" s="406"/>
      <c r="F1235" s="406"/>
      <c r="G1235" s="723"/>
      <c r="H1235" s="723"/>
      <c r="I1235" s="723"/>
      <c r="J1235" s="723"/>
      <c r="K1235" s="406"/>
      <c r="L1235" s="723"/>
      <c r="M1235" s="723"/>
      <c r="N1235" s="723"/>
      <c r="O1235" s="723"/>
      <c r="P1235" s="406"/>
      <c r="Q1235" s="723"/>
      <c r="R1235" s="723"/>
      <c r="S1235" s="723"/>
      <c r="T1235" s="723"/>
      <c r="U1235" s="406"/>
      <c r="V1235" s="723"/>
      <c r="W1235" s="723"/>
      <c r="X1235" s="723"/>
      <c r="Y1235" s="723"/>
      <c r="Z1235" s="406"/>
      <c r="AA1235" s="723"/>
      <c r="AB1235" s="723"/>
      <c r="AC1235" s="723"/>
      <c r="AD1235" s="723"/>
      <c r="AE1235" s="406"/>
      <c r="AF1235" s="723"/>
      <c r="AG1235" s="723"/>
      <c r="AH1235" s="723"/>
      <c r="AI1235" s="723"/>
      <c r="AJ1235" s="406"/>
      <c r="AK1235" s="723"/>
      <c r="AL1235" s="723"/>
      <c r="AM1235" s="723"/>
      <c r="AN1235" s="723"/>
      <c r="AO1235" s="406"/>
      <c r="AP1235" s="723"/>
      <c r="AQ1235" s="723"/>
      <c r="AR1235" s="723"/>
      <c r="AS1235" s="723"/>
      <c r="AT1235" s="406"/>
      <c r="AU1235" s="723"/>
      <c r="AV1235" s="723"/>
      <c r="AW1235" s="723"/>
      <c r="AX1235" s="723"/>
      <c r="AY1235" s="406"/>
      <c r="AZ1235" s="723"/>
      <c r="BA1235" s="723"/>
      <c r="BB1235" s="723"/>
      <c r="BC1235" s="723"/>
      <c r="BD1235" s="406"/>
      <c r="BE1235" s="723"/>
      <c r="BF1235" s="723"/>
      <c r="BG1235" s="723"/>
      <c r="BH1235" s="723"/>
      <c r="BI1235" s="407"/>
      <c r="BJ1235" s="723"/>
      <c r="BK1235" s="723"/>
      <c r="BL1235" s="723"/>
      <c r="BM1235" s="723"/>
      <c r="BN1235" s="406">
        <v>0</v>
      </c>
      <c r="BO1235" s="723"/>
      <c r="BP1235" s="723"/>
      <c r="BQ1235" s="723"/>
      <c r="BR1235" s="723"/>
      <c r="BS1235" s="406">
        <v>0</v>
      </c>
      <c r="BT1235" s="406"/>
      <c r="BU1235" s="406"/>
      <c r="BV1235" s="406"/>
      <c r="BW1235" s="118"/>
    </row>
    <row r="1236" spans="1:75" s="123" customFormat="1" hidden="1" outlineLevel="1" x14ac:dyDescent="0.5">
      <c r="A1236" s="615" t="s">
        <v>1192</v>
      </c>
      <c r="B1236" s="725"/>
      <c r="C1236" s="726">
        <v>0</v>
      </c>
      <c r="D1236" s="726">
        <v>0</v>
      </c>
      <c r="E1236" s="726">
        <v>0</v>
      </c>
      <c r="F1236" s="726">
        <v>0</v>
      </c>
      <c r="G1236" s="727">
        <v>0</v>
      </c>
      <c r="H1236" s="727">
        <v>0</v>
      </c>
      <c r="I1236" s="727">
        <v>0</v>
      </c>
      <c r="J1236" s="727">
        <v>0</v>
      </c>
      <c r="K1236" s="726">
        <v>0</v>
      </c>
      <c r="L1236" s="727">
        <v>0</v>
      </c>
      <c r="M1236" s="727">
        <v>0</v>
      </c>
      <c r="N1236" s="727">
        <v>0</v>
      </c>
      <c r="O1236" s="727">
        <v>0</v>
      </c>
      <c r="P1236" s="726">
        <v>0</v>
      </c>
      <c r="Q1236" s="727">
        <v>0</v>
      </c>
      <c r="R1236" s="727">
        <v>0</v>
      </c>
      <c r="S1236" s="727">
        <v>0</v>
      </c>
      <c r="T1236" s="727">
        <v>0</v>
      </c>
      <c r="U1236" s="726">
        <v>0</v>
      </c>
      <c r="V1236" s="727">
        <v>0</v>
      </c>
      <c r="W1236" s="727">
        <v>0</v>
      </c>
      <c r="X1236" s="727">
        <v>0</v>
      </c>
      <c r="Y1236" s="727">
        <v>0</v>
      </c>
      <c r="Z1236" s="726">
        <v>0</v>
      </c>
      <c r="AA1236" s="727">
        <v>0</v>
      </c>
      <c r="AB1236" s="727">
        <v>0</v>
      </c>
      <c r="AC1236" s="727">
        <v>0</v>
      </c>
      <c r="AD1236" s="727">
        <v>0</v>
      </c>
      <c r="AE1236" s="726">
        <v>0</v>
      </c>
      <c r="AF1236" s="727">
        <v>0</v>
      </c>
      <c r="AG1236" s="727">
        <v>0</v>
      </c>
      <c r="AH1236" s="727">
        <v>0</v>
      </c>
      <c r="AI1236" s="727">
        <v>0</v>
      </c>
      <c r="AJ1236" s="726">
        <v>0</v>
      </c>
      <c r="AK1236" s="727">
        <v>0</v>
      </c>
      <c r="AL1236" s="727">
        <v>0</v>
      </c>
      <c r="AM1236" s="727">
        <v>0</v>
      </c>
      <c r="AN1236" s="727">
        <v>0</v>
      </c>
      <c r="AO1236" s="726">
        <v>0</v>
      </c>
      <c r="AP1236" s="727">
        <v>0</v>
      </c>
      <c r="AQ1236" s="727">
        <v>0</v>
      </c>
      <c r="AR1236" s="727">
        <v>0</v>
      </c>
      <c r="AS1236" s="727">
        <v>0</v>
      </c>
      <c r="AT1236" s="726">
        <v>0</v>
      </c>
      <c r="AU1236" s="727">
        <v>0</v>
      </c>
      <c r="AV1236" s="727">
        <v>0</v>
      </c>
      <c r="AW1236" s="727">
        <v>0</v>
      </c>
      <c r="AX1236" s="727">
        <v>0</v>
      </c>
      <c r="AY1236" s="726">
        <v>0</v>
      </c>
      <c r="AZ1236" s="727">
        <v>0</v>
      </c>
      <c r="BA1236" s="727">
        <v>0</v>
      </c>
      <c r="BB1236" s="727">
        <v>0</v>
      </c>
      <c r="BC1236" s="727">
        <v>0</v>
      </c>
      <c r="BD1236" s="726">
        <v>0</v>
      </c>
      <c r="BE1236" s="727">
        <v>0</v>
      </c>
      <c r="BF1236" s="727">
        <v>0</v>
      </c>
      <c r="BG1236" s="727">
        <v>0</v>
      </c>
      <c r="BH1236" s="727">
        <v>0</v>
      </c>
      <c r="BI1236" s="728">
        <v>0</v>
      </c>
      <c r="BJ1236" s="727">
        <v>0</v>
      </c>
      <c r="BK1236" s="727">
        <v>0</v>
      </c>
      <c r="BL1236" s="727">
        <v>0</v>
      </c>
      <c r="BM1236" s="727">
        <v>0</v>
      </c>
      <c r="BN1236" s="726">
        <v>0</v>
      </c>
      <c r="BO1236" s="727">
        <v>0</v>
      </c>
      <c r="BP1236" s="727">
        <v>0</v>
      </c>
      <c r="BQ1236" s="727">
        <v>0</v>
      </c>
      <c r="BR1236" s="727">
        <v>0</v>
      </c>
      <c r="BS1236" s="726">
        <v>0</v>
      </c>
      <c r="BT1236" s="726">
        <v>0</v>
      </c>
      <c r="BU1236" s="726">
        <v>0</v>
      </c>
      <c r="BV1236" s="726">
        <v>0</v>
      </c>
      <c r="BW1236" s="118"/>
    </row>
    <row r="1237" spans="1:75" s="198" customFormat="1" ht="14.25" hidden="1" outlineLevel="1" x14ac:dyDescent="0.45">
      <c r="A1237" s="192" t="s">
        <v>1193</v>
      </c>
      <c r="B1237" s="517"/>
      <c r="C1237" s="518">
        <v>-28.651000000000085</v>
      </c>
      <c r="D1237" s="518">
        <v>-7.0510000000001227</v>
      </c>
      <c r="E1237" s="518">
        <v>20.588000000000076</v>
      </c>
      <c r="F1237" s="518">
        <v>-12.788999999999824</v>
      </c>
      <c r="G1237" s="327">
        <v>-0.1610000000000327</v>
      </c>
      <c r="H1237" s="327">
        <v>-17.835000000000029</v>
      </c>
      <c r="I1237" s="327">
        <v>9.5490000000000137</v>
      </c>
      <c r="J1237" s="327">
        <v>26.642000000000049</v>
      </c>
      <c r="K1237" s="518">
        <v>18.194999999999659</v>
      </c>
      <c r="L1237" s="327">
        <v>1.7950000000000199</v>
      </c>
      <c r="M1237" s="327">
        <v>27.253</v>
      </c>
      <c r="N1237" s="327">
        <v>19.428999999999988</v>
      </c>
      <c r="O1237" s="327">
        <v>42.524999999999935</v>
      </c>
      <c r="P1237" s="518">
        <v>91.001999999999896</v>
      </c>
      <c r="Q1237" s="327">
        <v>7.1559999999999953</v>
      </c>
      <c r="R1237" s="327">
        <v>29.935000000000002</v>
      </c>
      <c r="S1237" s="327">
        <v>20.709999999999976</v>
      </c>
      <c r="T1237" s="327">
        <v>33.30199999999995</v>
      </c>
      <c r="U1237" s="518">
        <v>91.102999999999696</v>
      </c>
      <c r="V1237" s="327">
        <v>-13.469999999999965</v>
      </c>
      <c r="W1237" s="327">
        <v>6.9179999999999859</v>
      </c>
      <c r="X1237" s="327">
        <v>2.5169999999999679</v>
      </c>
      <c r="Y1237" s="327">
        <v>9.4360000000000177</v>
      </c>
      <c r="Z1237" s="518">
        <v>5.4010000000000584</v>
      </c>
      <c r="AA1237" s="327">
        <v>-3.3699999999999264</v>
      </c>
      <c r="AB1237" s="327">
        <v>-7.8619999999999521</v>
      </c>
      <c r="AC1237" s="327">
        <v>13.150999999999922</v>
      </c>
      <c r="AD1237" s="327">
        <v>0.26100000000023016</v>
      </c>
      <c r="AE1237" s="518">
        <v>2.1799999999999251</v>
      </c>
      <c r="AF1237" s="327">
        <v>25.460999999999935</v>
      </c>
      <c r="AG1237" s="327">
        <v>62.905999999999977</v>
      </c>
      <c r="AH1237" s="327">
        <v>20.114000000000065</v>
      </c>
      <c r="AI1237" s="327">
        <v>27.249999999999897</v>
      </c>
      <c r="AJ1237" s="518">
        <v>135.73099999999988</v>
      </c>
      <c r="AK1237" s="327">
        <v>35.722000000000037</v>
      </c>
      <c r="AL1237" s="327">
        <v>63.756999999999998</v>
      </c>
      <c r="AM1237" s="327">
        <v>52.462999999999965</v>
      </c>
      <c r="AN1237" s="327">
        <v>68.433000000000362</v>
      </c>
      <c r="AO1237" s="518">
        <v>220.37500000000011</v>
      </c>
      <c r="AP1237" s="327">
        <v>-3.2120000000000335</v>
      </c>
      <c r="AQ1237" s="327">
        <v>98.423000000000101</v>
      </c>
      <c r="AR1237" s="327">
        <v>46.411000000000122</v>
      </c>
      <c r="AS1237" s="327">
        <v>130.19300000000024</v>
      </c>
      <c r="AT1237" s="518">
        <v>271.81500000000017</v>
      </c>
      <c r="AU1237" s="327">
        <v>130.65600000000003</v>
      </c>
      <c r="AV1237" s="327">
        <v>226.74600000000007</v>
      </c>
      <c r="AW1237" s="327">
        <v>184.09900000000002</v>
      </c>
      <c r="AX1237" s="327">
        <v>147.04499999999987</v>
      </c>
      <c r="AY1237" s="518">
        <v>688.54599999999994</v>
      </c>
      <c r="AZ1237" s="327">
        <v>200.71099999999998</v>
      </c>
      <c r="BA1237" s="327">
        <v>122.27500000000012</v>
      </c>
      <c r="BB1237" s="327">
        <v>98.759999999999991</v>
      </c>
      <c r="BC1237" s="327">
        <v>106.89599999999972</v>
      </c>
      <c r="BD1237" s="518">
        <v>528.64200000000017</v>
      </c>
      <c r="BE1237" s="327">
        <v>41.890000000000008</v>
      </c>
      <c r="BF1237" s="327">
        <v>76.477000000000018</v>
      </c>
      <c r="BG1237" s="327">
        <v>-2.1870000000000105</v>
      </c>
      <c r="BH1237" s="327">
        <v>11.381000000000224</v>
      </c>
      <c r="BI1237" s="525">
        <v>127.56100000000038</v>
      </c>
      <c r="BJ1237" s="327">
        <v>-7.4909222411956335</v>
      </c>
      <c r="BK1237" s="327">
        <v>68.429931660453377</v>
      </c>
      <c r="BL1237" s="327">
        <v>49.720072461052936</v>
      </c>
      <c r="BM1237" s="327">
        <v>38.066834741483817</v>
      </c>
      <c r="BN1237" s="518">
        <v>148.7259166217944</v>
      </c>
      <c r="BO1237" s="327">
        <v>30.856012072831184</v>
      </c>
      <c r="BP1237" s="327">
        <v>96.097019050686356</v>
      </c>
      <c r="BQ1237" s="327">
        <v>68.616050276144151</v>
      </c>
      <c r="BR1237" s="327">
        <v>63.128586948923228</v>
      </c>
      <c r="BS1237" s="518">
        <v>258.69766834858444</v>
      </c>
      <c r="BT1237" s="518">
        <v>324.22696642879657</v>
      </c>
      <c r="BU1237" s="518">
        <v>385.1915789179244</v>
      </c>
      <c r="BV1237" s="518">
        <v>444.8576165954031</v>
      </c>
      <c r="BW1237" s="295"/>
    </row>
    <row r="1238" spans="1:75" s="198" customFormat="1" ht="14.25" collapsed="1" x14ac:dyDescent="0.45">
      <c r="A1238" s="206" t="s">
        <v>1194</v>
      </c>
      <c r="B1238" s="522"/>
      <c r="C1238" s="397">
        <v>-18.483000000000086</v>
      </c>
      <c r="D1238" s="397">
        <v>3.0249999999998067</v>
      </c>
      <c r="E1238" s="397">
        <v>26.451000000000086</v>
      </c>
      <c r="F1238" s="397">
        <v>37.739000000000253</v>
      </c>
      <c r="G1238" s="295">
        <v>2.256999999999949</v>
      </c>
      <c r="H1238" s="295">
        <v>19.792999999999935</v>
      </c>
      <c r="I1238" s="295">
        <v>13.017000000000042</v>
      </c>
      <c r="J1238" s="295">
        <v>34.034000000000063</v>
      </c>
      <c r="K1238" s="397">
        <v>69.10099999999953</v>
      </c>
      <c r="L1238" s="295">
        <v>7.1530000000000147</v>
      </c>
      <c r="M1238" s="295">
        <v>27.699000000000016</v>
      </c>
      <c r="N1238" s="295">
        <v>20.286999999999985</v>
      </c>
      <c r="O1238" s="295">
        <v>42.4969999999999</v>
      </c>
      <c r="P1238" s="397">
        <v>97.635999999999882</v>
      </c>
      <c r="Q1238" s="295">
        <v>9.8419999999999952</v>
      </c>
      <c r="R1238" s="295">
        <v>36.021999999999984</v>
      </c>
      <c r="S1238" s="295">
        <v>27.736000000000008</v>
      </c>
      <c r="T1238" s="295">
        <v>41.171999999999954</v>
      </c>
      <c r="U1238" s="397">
        <v>114.77199999999964</v>
      </c>
      <c r="V1238" s="295">
        <v>-2.0659999999999688</v>
      </c>
      <c r="W1238" s="295">
        <v>17.907999999999959</v>
      </c>
      <c r="X1238" s="295">
        <v>8.0189999999999753</v>
      </c>
      <c r="Y1238" s="295">
        <v>27.927999999999987</v>
      </c>
      <c r="Z1238" s="397">
        <v>51.78900000000025</v>
      </c>
      <c r="AA1238" s="295">
        <v>1.7940000000001337</v>
      </c>
      <c r="AB1238" s="295">
        <v>19.701000000000075</v>
      </c>
      <c r="AC1238" s="295">
        <v>24.423999999999936</v>
      </c>
      <c r="AD1238" s="295">
        <v>43.281000000000226</v>
      </c>
      <c r="AE1238" s="397">
        <v>89.199999999999974</v>
      </c>
      <c r="AF1238" s="295">
        <v>30.585999999999913</v>
      </c>
      <c r="AG1238" s="295">
        <v>54.508999999999986</v>
      </c>
      <c r="AH1238" s="295">
        <v>43.184000000000147</v>
      </c>
      <c r="AI1238" s="295">
        <v>73.972999999999871</v>
      </c>
      <c r="AJ1238" s="397">
        <v>204.3179999999999</v>
      </c>
      <c r="AK1238" s="295">
        <v>45.188000000000073</v>
      </c>
      <c r="AL1238" s="295">
        <v>71.429999999999964</v>
      </c>
      <c r="AM1238" s="295">
        <v>65.44599999999997</v>
      </c>
      <c r="AN1238" s="295">
        <v>91.180000000000348</v>
      </c>
      <c r="AO1238" s="397">
        <v>276.29700000000025</v>
      </c>
      <c r="AP1238" s="295">
        <v>29.948999999999927</v>
      </c>
      <c r="AQ1238" s="295">
        <v>123.01300000000022</v>
      </c>
      <c r="AR1238" s="295">
        <v>166.45700000000025</v>
      </c>
      <c r="AS1238" s="295">
        <v>143.48500000000021</v>
      </c>
      <c r="AT1238" s="397">
        <v>462.904</v>
      </c>
      <c r="AU1238" s="295">
        <v>142.25000000000003</v>
      </c>
      <c r="AV1238" s="295">
        <v>251.62500000000003</v>
      </c>
      <c r="AW1238" s="295">
        <v>208.60099999999997</v>
      </c>
      <c r="AX1238" s="295">
        <v>164.02899999999994</v>
      </c>
      <c r="AY1238" s="397">
        <v>766.50499999999965</v>
      </c>
      <c r="AZ1238" s="295">
        <v>181.34100000000001</v>
      </c>
      <c r="BA1238" s="295">
        <v>164.0630000000001</v>
      </c>
      <c r="BB1238" s="295">
        <v>110.35399999999997</v>
      </c>
      <c r="BC1238" s="295">
        <v>72.778999999999712</v>
      </c>
      <c r="BD1238" s="397">
        <v>528.5370000000006</v>
      </c>
      <c r="BE1238" s="295">
        <v>52.211000000000027</v>
      </c>
      <c r="BF1238" s="295">
        <v>88.680000000000021</v>
      </c>
      <c r="BG1238" s="295">
        <v>-7.7990000000000883</v>
      </c>
      <c r="BH1238" s="295">
        <v>14.273000000000224</v>
      </c>
      <c r="BI1238" s="399">
        <v>147.36500000000049</v>
      </c>
      <c r="BJ1238" s="295">
        <v>-4.7959222411956333</v>
      </c>
      <c r="BK1238" s="295">
        <v>71.12493166045337</v>
      </c>
      <c r="BL1238" s="295">
        <v>52.415072461052922</v>
      </c>
      <c r="BM1238" s="295">
        <v>40.761834741483831</v>
      </c>
      <c r="BN1238" s="397">
        <v>159.50591662179437</v>
      </c>
      <c r="BO1238" s="295">
        <v>33.55101207283117</v>
      </c>
      <c r="BP1238" s="295">
        <v>98.792019050686363</v>
      </c>
      <c r="BQ1238" s="295">
        <v>71.311050276144144</v>
      </c>
      <c r="BR1238" s="295">
        <v>65.823586948923221</v>
      </c>
      <c r="BS1238" s="397">
        <v>269.47766834858442</v>
      </c>
      <c r="BT1238" s="397">
        <v>335.00696642879655</v>
      </c>
      <c r="BU1238" s="397">
        <v>395.97157891792449</v>
      </c>
      <c r="BV1238" s="397">
        <v>455.63761659540313</v>
      </c>
      <c r="BW1238" s="295"/>
    </row>
    <row r="1239" spans="1:75" s="198" customFormat="1" ht="14.25" x14ac:dyDescent="0.45">
      <c r="A1239" s="206"/>
      <c r="B1239" s="522"/>
      <c r="C1239" s="397"/>
      <c r="D1239" s="397"/>
      <c r="E1239" s="397"/>
      <c r="F1239" s="397"/>
      <c r="G1239" s="295"/>
      <c r="H1239" s="295"/>
      <c r="I1239" s="295"/>
      <c r="J1239" s="295"/>
      <c r="K1239" s="397"/>
      <c r="L1239" s="295"/>
      <c r="M1239" s="295"/>
      <c r="N1239" s="295"/>
      <c r="O1239" s="295"/>
      <c r="P1239" s="397"/>
      <c r="Q1239" s="295"/>
      <c r="R1239" s="295"/>
      <c r="S1239" s="295"/>
      <c r="T1239" s="295"/>
      <c r="U1239" s="397"/>
      <c r="V1239" s="295"/>
      <c r="W1239" s="295"/>
      <c r="X1239" s="295"/>
      <c r="Y1239" s="295"/>
      <c r="Z1239" s="397"/>
      <c r="AA1239" s="295"/>
      <c r="AB1239" s="295"/>
      <c r="AC1239" s="295"/>
      <c r="AD1239" s="295"/>
      <c r="AE1239" s="397"/>
      <c r="AF1239" s="295"/>
      <c r="AG1239" s="295"/>
      <c r="AH1239" s="295"/>
      <c r="AI1239" s="295"/>
      <c r="AJ1239" s="397"/>
      <c r="AK1239" s="295"/>
      <c r="AL1239" s="295"/>
      <c r="AM1239" s="295"/>
      <c r="AN1239" s="295"/>
      <c r="AO1239" s="397"/>
      <c r="AP1239" s="295"/>
      <c r="AQ1239" s="295"/>
      <c r="AR1239" s="295"/>
      <c r="AS1239" s="295"/>
      <c r="AT1239" s="397"/>
      <c r="AU1239" s="295"/>
      <c r="AV1239" s="295"/>
      <c r="AW1239" s="295"/>
      <c r="AX1239" s="295"/>
      <c r="AY1239" s="397"/>
      <c r="AZ1239" s="295"/>
      <c r="BA1239" s="295"/>
      <c r="BB1239" s="295"/>
      <c r="BC1239" s="295"/>
      <c r="BD1239" s="397"/>
      <c r="BE1239" s="295"/>
      <c r="BF1239" s="295"/>
      <c r="BG1239" s="295"/>
      <c r="BH1239" s="295"/>
      <c r="BI1239" s="399"/>
      <c r="BJ1239" s="295"/>
      <c r="BK1239" s="295"/>
      <c r="BL1239" s="295"/>
      <c r="BM1239" s="295"/>
      <c r="BN1239" s="397"/>
      <c r="BO1239" s="295"/>
      <c r="BP1239" s="295"/>
      <c r="BQ1239" s="295"/>
      <c r="BR1239" s="295"/>
      <c r="BS1239" s="397"/>
      <c r="BT1239" s="397"/>
      <c r="BU1239" s="397"/>
      <c r="BV1239" s="397"/>
      <c r="BW1239" s="197"/>
    </row>
    <row r="1240" spans="1:75" s="162" customFormat="1" ht="14.25" x14ac:dyDescent="0.45">
      <c r="A1240" s="178" t="s">
        <v>1195</v>
      </c>
      <c r="B1240" s="729"/>
      <c r="C1240" s="730">
        <v>0.39999999999999891</v>
      </c>
      <c r="D1240" s="730">
        <v>0.40003966679890757</v>
      </c>
      <c r="E1240" s="730">
        <v>0.39999999999999913</v>
      </c>
      <c r="F1240" s="730">
        <v>0.39999682024865485</v>
      </c>
      <c r="G1240" s="473">
        <v>0.39989364530710553</v>
      </c>
      <c r="H1240" s="473">
        <v>0.40001212525387358</v>
      </c>
      <c r="I1240" s="473">
        <v>0.39999999999999897</v>
      </c>
      <c r="J1240" s="473">
        <v>0.39999647409340078</v>
      </c>
      <c r="K1240" s="730">
        <v>0.39999826340650368</v>
      </c>
      <c r="L1240" s="473">
        <v>0.40001677570877325</v>
      </c>
      <c r="M1240" s="473">
        <v>0.39999999999999974</v>
      </c>
      <c r="N1240" s="473">
        <v>0.39998816953062633</v>
      </c>
      <c r="O1240" s="473">
        <v>0.40000564740431244</v>
      </c>
      <c r="P1240" s="730">
        <v>0.40000122905233954</v>
      </c>
      <c r="Q1240" s="473">
        <v>0.37111821086261992</v>
      </c>
      <c r="R1240" s="473">
        <v>0.38929201139292025</v>
      </c>
      <c r="S1240" s="473">
        <v>0.38859007142227298</v>
      </c>
      <c r="T1240" s="473">
        <v>0.40100385538663008</v>
      </c>
      <c r="U1240" s="730">
        <v>0.39188165291708482</v>
      </c>
      <c r="V1240" s="473">
        <v>0.38803317535545345</v>
      </c>
      <c r="W1240" s="473">
        <v>0.37700469646895185</v>
      </c>
      <c r="X1240" s="473">
        <v>0.41398713826366629</v>
      </c>
      <c r="Y1240" s="473">
        <v>0.38999191839765868</v>
      </c>
      <c r="Z1240" s="730">
        <v>0.38953981800178999</v>
      </c>
      <c r="AA1240" s="473">
        <v>0.36201991465147026</v>
      </c>
      <c r="AB1240" s="473">
        <v>0.38998637602179725</v>
      </c>
      <c r="AC1240" s="473">
        <v>0.32097083599766513</v>
      </c>
      <c r="AD1240" s="473">
        <v>0.33999725513518347</v>
      </c>
      <c r="AE1240" s="730">
        <v>0.34725657499963414</v>
      </c>
      <c r="AF1240" s="473">
        <v>0.25999225781476903</v>
      </c>
      <c r="AG1240" s="473">
        <v>0.21000304352236984</v>
      </c>
      <c r="AH1240" s="473">
        <v>0.2099957924007084</v>
      </c>
      <c r="AI1240" s="473">
        <v>0.21000245629398687</v>
      </c>
      <c r="AJ1240" s="730">
        <v>0.21000189459113569</v>
      </c>
      <c r="AK1240" s="473">
        <v>0.26000163759927891</v>
      </c>
      <c r="AL1240" s="473">
        <v>0.21000243314384326</v>
      </c>
      <c r="AM1240" s="473">
        <v>0.1369947913232677</v>
      </c>
      <c r="AN1240" s="473">
        <v>0.14900368659293436</v>
      </c>
      <c r="AO1240" s="730">
        <v>0.17390862367436716</v>
      </c>
      <c r="AP1240" s="473">
        <v>0.24300482774309415</v>
      </c>
      <c r="AQ1240" s="473">
        <v>0.16099660341840624</v>
      </c>
      <c r="AR1240" s="473">
        <v>0.23300187997640762</v>
      </c>
      <c r="AS1240" s="473">
        <v>0.22500027006297849</v>
      </c>
      <c r="AT1240" s="730">
        <v>0.21321261092518548</v>
      </c>
      <c r="AU1240" s="473">
        <v>0.23899959876955987</v>
      </c>
      <c r="AV1240" s="473">
        <v>1.2999188041060936E-2</v>
      </c>
      <c r="AW1240" s="473">
        <v>0.22599903528626042</v>
      </c>
      <c r="AX1240" s="473">
        <v>0.18799936635545472</v>
      </c>
      <c r="AY1240" s="730">
        <v>0.16080382754165867</v>
      </c>
      <c r="AZ1240" s="473">
        <v>0.14799780117552536</v>
      </c>
      <c r="BA1240" s="473">
        <v>0.24300044295153361</v>
      </c>
      <c r="BB1240" s="473">
        <v>0.24900131343446111</v>
      </c>
      <c r="BC1240" s="473">
        <v>0.26000000000000073</v>
      </c>
      <c r="BD1240" s="730">
        <v>0.21682210585275152</v>
      </c>
      <c r="BE1240" s="473">
        <v>0.26699799239073951</v>
      </c>
      <c r="BF1240" s="473">
        <v>0.24287958472781912</v>
      </c>
      <c r="BG1240" s="473">
        <v>-0.63090757005439568</v>
      </c>
      <c r="BH1240" s="473">
        <v>-0.31694039490680226</v>
      </c>
      <c r="BI1240" s="731">
        <v>0.24200027775920244</v>
      </c>
      <c r="BJ1240" s="732">
        <v>0.23</v>
      </c>
      <c r="BK1240" s="732">
        <v>0.23</v>
      </c>
      <c r="BL1240" s="732">
        <v>0.23</v>
      </c>
      <c r="BM1240" s="732">
        <v>0.23</v>
      </c>
      <c r="BN1240" s="730">
        <v>0.23000000000000018</v>
      </c>
      <c r="BO1240" s="732">
        <v>0.23</v>
      </c>
      <c r="BP1240" s="732">
        <v>0.23</v>
      </c>
      <c r="BQ1240" s="732">
        <v>0.23</v>
      </c>
      <c r="BR1240" s="732">
        <v>0.23</v>
      </c>
      <c r="BS1240" s="730">
        <v>0.2300000000000002</v>
      </c>
      <c r="BT1240" s="733">
        <v>0.23</v>
      </c>
      <c r="BU1240" s="733">
        <v>0.23</v>
      </c>
      <c r="BV1240" s="733">
        <v>0.23</v>
      </c>
      <c r="BW1240" s="473"/>
    </row>
    <row r="1241" spans="1:75" s="162" customFormat="1" ht="14.25" x14ac:dyDescent="0.45">
      <c r="A1241" s="178" t="s">
        <v>1196</v>
      </c>
      <c r="B1241" s="729"/>
      <c r="C1241" s="180">
        <v>6.874061236279605</v>
      </c>
      <c r="D1241" s="180">
        <v>0.11676016830295161</v>
      </c>
      <c r="E1241" s="180">
        <v>0.73797819091884087</v>
      </c>
      <c r="F1241" s="180">
        <v>0.63308401713746221</v>
      </c>
      <c r="G1241" s="181">
        <v>0.40880195599022445</v>
      </c>
      <c r="H1241" s="181">
        <v>0.39270497094899992</v>
      </c>
      <c r="I1241" s="181" t="s">
        <v>279</v>
      </c>
      <c r="J1241" s="181" t="s">
        <v>279</v>
      </c>
      <c r="K1241" s="180">
        <v>0.22928084784254546</v>
      </c>
      <c r="L1241" s="181">
        <v>0.4176086956521744</v>
      </c>
      <c r="M1241" s="181">
        <v>0.71700507614212228</v>
      </c>
      <c r="N1241" s="181">
        <v>0.63223317616802455</v>
      </c>
      <c r="O1241" s="181">
        <v>1.0194040194040417</v>
      </c>
      <c r="P1241" s="180">
        <v>0.54411764705882493</v>
      </c>
      <c r="Q1241" s="181">
        <v>0.3709601873536299</v>
      </c>
      <c r="R1241" s="181">
        <v>0.38928463930972373</v>
      </c>
      <c r="S1241" s="181">
        <v>0.38856496388477663</v>
      </c>
      <c r="T1241" s="181">
        <v>0.40019815562838179</v>
      </c>
      <c r="U1241" s="180">
        <v>0.39074364848516219</v>
      </c>
      <c r="V1241" s="181">
        <v>0.38777044075803957</v>
      </c>
      <c r="W1241" s="181">
        <v>0.37694880662169206</v>
      </c>
      <c r="X1241" s="181">
        <v>0.41399510064969558</v>
      </c>
      <c r="Y1241" s="181">
        <v>0.39621902243118906</v>
      </c>
      <c r="Z1241" s="180">
        <v>0.39188799454654843</v>
      </c>
      <c r="AA1241" s="181">
        <v>0.36207535515749706</v>
      </c>
      <c r="AB1241" s="181">
        <v>0.20280549530007139</v>
      </c>
      <c r="AC1241" s="181">
        <v>0.32098542344295783</v>
      </c>
      <c r="AD1241" s="181">
        <v>8.9157544832842953E-2</v>
      </c>
      <c r="AE1241" s="180">
        <v>0.18293381407096476</v>
      </c>
      <c r="AF1241" s="181">
        <v>0.38126282747796969</v>
      </c>
      <c r="AG1241" s="181">
        <v>3.3587078651685354</v>
      </c>
      <c r="AH1241" s="181">
        <v>0.23431795552605114</v>
      </c>
      <c r="AI1241" s="181">
        <v>0.1610765971199776</v>
      </c>
      <c r="AJ1241" s="180">
        <v>0.29774642407363783</v>
      </c>
      <c r="AK1241" s="181">
        <v>0.30140221402213779</v>
      </c>
      <c r="AL1241" s="181">
        <v>0.23239295718287603</v>
      </c>
      <c r="AM1241" s="181">
        <v>0.13556162194553575</v>
      </c>
      <c r="AN1241" s="181">
        <v>0.14856265908070102</v>
      </c>
      <c r="AO1241" s="180">
        <v>0.14336483816117807</v>
      </c>
      <c r="AP1241" s="181">
        <v>0.24971718177293167</v>
      </c>
      <c r="AQ1241" s="181">
        <v>0.16120889616591233</v>
      </c>
      <c r="AR1241" s="181">
        <v>1.1633555356127442E-2</v>
      </c>
      <c r="AS1241" s="181">
        <v>0.22827101350090459</v>
      </c>
      <c r="AT1241" s="180">
        <v>9.8769936411967726E-2</v>
      </c>
      <c r="AU1241" s="181">
        <v>0.23702811244979868</v>
      </c>
      <c r="AV1241" s="181">
        <v>1.3437307251741793E-2</v>
      </c>
      <c r="AW1241" s="181">
        <v>0.22705263524576086</v>
      </c>
      <c r="AX1241" s="181">
        <v>0.1844639975009085</v>
      </c>
      <c r="AY1241" s="180">
        <v>0.16032602152609177</v>
      </c>
      <c r="AZ1241" s="181">
        <v>1.11910024629552</v>
      </c>
      <c r="BA1241" s="181">
        <v>-0.10591741166453808</v>
      </c>
      <c r="BB1241" s="181">
        <v>4.2281414001388344E-2</v>
      </c>
      <c r="BC1241" s="181">
        <v>2.8774362818590715</v>
      </c>
      <c r="BD1241" s="180">
        <v>1.0091710788330632</v>
      </c>
      <c r="BE1241" s="181">
        <v>0.21816714490674127</v>
      </c>
      <c r="BF1241" s="181">
        <v>0.12001197126895481</v>
      </c>
      <c r="BG1241" s="181">
        <v>3.1148459383753697</v>
      </c>
      <c r="BH1241" s="181">
        <v>1.1171067738231919</v>
      </c>
      <c r="BI1241" s="182">
        <v>0.67783951508153739</v>
      </c>
      <c r="BJ1241" s="181">
        <v>0.23</v>
      </c>
      <c r="BK1241" s="181">
        <v>0.23</v>
      </c>
      <c r="BL1241" s="181">
        <v>0.23</v>
      </c>
      <c r="BM1241" s="181">
        <v>0.23</v>
      </c>
      <c r="BN1241" s="180">
        <v>0.23000000000000093</v>
      </c>
      <c r="BO1241" s="181">
        <v>0.23</v>
      </c>
      <c r="BP1241" s="181">
        <v>0.23</v>
      </c>
      <c r="BQ1241" s="181">
        <v>0.23</v>
      </c>
      <c r="BR1241" s="181">
        <v>0.23</v>
      </c>
      <c r="BS1241" s="180">
        <v>0.23000000000000095</v>
      </c>
      <c r="BT1241" s="180">
        <v>0.23</v>
      </c>
      <c r="BU1241" s="180">
        <v>0.23</v>
      </c>
      <c r="BV1241" s="180">
        <v>0.23</v>
      </c>
      <c r="BW1241" s="473"/>
    </row>
    <row r="1242" spans="1:75" s="162" customFormat="1" ht="14.25" x14ac:dyDescent="0.45">
      <c r="A1242" s="211" t="s">
        <v>1197</v>
      </c>
      <c r="B1242" s="734"/>
      <c r="C1242" s="423">
        <v>1.4549081653711177E-2</v>
      </c>
      <c r="D1242" s="423">
        <v>-0.17467797675148897</v>
      </c>
      <c r="E1242" s="423">
        <v>-0.14639089778432859</v>
      </c>
      <c r="F1242" s="423">
        <v>0.76641447896059633</v>
      </c>
      <c r="G1242" s="422">
        <v>0.51063829787228965</v>
      </c>
      <c r="H1242" s="422">
        <v>-6.8068068068068047E-2</v>
      </c>
      <c r="I1242" s="422">
        <v>0.54897441806867908</v>
      </c>
      <c r="J1242" s="422">
        <v>0.20462598945753907</v>
      </c>
      <c r="K1242" s="423">
        <v>0.51551366097968521</v>
      </c>
      <c r="L1242" s="422">
        <v>0.34055841293166539</v>
      </c>
      <c r="M1242" s="422">
        <v>0.38879544282222073</v>
      </c>
      <c r="N1242" s="422">
        <v>0.38277527161827324</v>
      </c>
      <c r="O1242" s="422">
        <v>0.34831233966506242</v>
      </c>
      <c r="P1242" s="423">
        <v>0.36767335920364463</v>
      </c>
      <c r="Q1242" s="422">
        <v>0.37117750439367325</v>
      </c>
      <c r="R1242" s="422">
        <v>0.38929351041475407</v>
      </c>
      <c r="S1242" s="422">
        <v>0.38859858884657422</v>
      </c>
      <c r="T1242" s="422">
        <v>0.50927823929226501</v>
      </c>
      <c r="U1242" s="423">
        <v>0.43228096394545201</v>
      </c>
      <c r="V1242" s="422">
        <v>0.38781075307912616</v>
      </c>
      <c r="W1242" s="422">
        <v>0.37709346299297725</v>
      </c>
      <c r="X1242" s="422">
        <v>0.41396973224680172</v>
      </c>
      <c r="Y1242" s="422">
        <v>0.39198997096859284</v>
      </c>
      <c r="Z1242" s="423">
        <v>0.39443535188215767</v>
      </c>
      <c r="AA1242" s="422">
        <v>0.36210486466023595</v>
      </c>
      <c r="AB1242" s="422">
        <v>-2.4497586660816664</v>
      </c>
      <c r="AC1242" s="422">
        <v>0.32095833118190864</v>
      </c>
      <c r="AD1242" s="422">
        <v>0.62754823939822613</v>
      </c>
      <c r="AE1242" s="423">
        <v>0.70972770389042006</v>
      </c>
      <c r="AF1242" s="422">
        <v>0.22959847499167949</v>
      </c>
      <c r="AG1242" s="422">
        <v>3.870780421461209E-2</v>
      </c>
      <c r="AH1242" s="422">
        <v>0.20743488362613566</v>
      </c>
      <c r="AI1242" s="422">
        <v>0.39641040508130726</v>
      </c>
      <c r="AJ1242" s="423">
        <v>0.187936432991228</v>
      </c>
      <c r="AK1242" s="422">
        <v>0.24819530674523815</v>
      </c>
      <c r="AL1242" s="422">
        <v>0.20721941757230608</v>
      </c>
      <c r="AM1242" s="422">
        <v>0.12638121546961334</v>
      </c>
      <c r="AN1242" s="422">
        <v>0.25329172313468906</v>
      </c>
      <c r="AO1242" s="423">
        <v>0.20995460320526624</v>
      </c>
      <c r="AP1242" s="422">
        <v>0.30701186623516502</v>
      </c>
      <c r="AQ1242" s="422">
        <v>0.16094354742459621</v>
      </c>
      <c r="AR1242" s="422">
        <v>0.51312719091717618</v>
      </c>
      <c r="AS1242" s="422">
        <v>0.25448189792333265</v>
      </c>
      <c r="AT1242" s="423">
        <v>0.2902669221655918</v>
      </c>
      <c r="AU1242" s="422">
        <v>0.23914027797678747</v>
      </c>
      <c r="AV1242" s="422">
        <v>1.3985471988150236E-2</v>
      </c>
      <c r="AW1242" s="422">
        <v>0.22538755746398509</v>
      </c>
      <c r="AX1242" s="422">
        <v>0.22556469127292833</v>
      </c>
      <c r="AY1242" s="423">
        <v>0.16918698619083289</v>
      </c>
      <c r="AZ1242" s="422">
        <v>-4.3693481634764613</v>
      </c>
      <c r="BA1242" s="422">
        <v>0.31073925716143302</v>
      </c>
      <c r="BB1242" s="422">
        <v>0.26327789307532667</v>
      </c>
      <c r="BC1242" s="422">
        <v>0.9366301522916648</v>
      </c>
      <c r="BD1242" s="423">
        <v>1.4339723994455198E-3</v>
      </c>
      <c r="BE1242" s="422">
        <v>9.6542770111689711E-4</v>
      </c>
      <c r="BF1242" s="422">
        <v>5.1351956976399807E-4</v>
      </c>
      <c r="BG1242" s="422">
        <v>0.73280514410379993</v>
      </c>
      <c r="BH1242" s="422">
        <v>1.1263221884498176</v>
      </c>
      <c r="BI1242" s="424">
        <v>1.7966730055129932E-2</v>
      </c>
      <c r="BJ1242" s="422">
        <v>0.23</v>
      </c>
      <c r="BK1242" s="422">
        <v>0.23</v>
      </c>
      <c r="BL1242" s="422">
        <v>0.22999999999999998</v>
      </c>
      <c r="BM1242" s="422">
        <v>0.23</v>
      </c>
      <c r="BN1242" s="423">
        <v>0.23000000000000012</v>
      </c>
      <c r="BO1242" s="422">
        <v>0.22999999999999998</v>
      </c>
      <c r="BP1242" s="422">
        <v>0.23000000000000004</v>
      </c>
      <c r="BQ1242" s="422">
        <v>0.23</v>
      </c>
      <c r="BR1242" s="422">
        <v>0.23</v>
      </c>
      <c r="BS1242" s="423">
        <v>0.23000000000000032</v>
      </c>
      <c r="BT1242" s="423">
        <v>0.23</v>
      </c>
      <c r="BU1242" s="423">
        <v>0.23</v>
      </c>
      <c r="BV1242" s="423">
        <v>0.23000000000000004</v>
      </c>
      <c r="BW1242" s="473"/>
    </row>
    <row r="1243" spans="1:75" s="162" customFormat="1" ht="14.25" x14ac:dyDescent="0.45">
      <c r="A1243" s="211" t="s">
        <v>1198</v>
      </c>
      <c r="B1243" s="734"/>
      <c r="C1243" s="423">
        <v>0</v>
      </c>
      <c r="D1243" s="423">
        <v>6.7075086396480021E-2</v>
      </c>
      <c r="E1243" s="423">
        <v>0.1980284674558932</v>
      </c>
      <c r="F1243" s="423">
        <v>6.2637010105330834E-2</v>
      </c>
      <c r="G1243" s="422">
        <v>0</v>
      </c>
      <c r="H1243" s="422">
        <v>0.45245245245245203</v>
      </c>
      <c r="I1243" s="422">
        <v>1.0878082507490228E-2</v>
      </c>
      <c r="J1243" s="422">
        <v>0.32568799252507774</v>
      </c>
      <c r="K1243" s="423">
        <v>0.11405187507634755</v>
      </c>
      <c r="L1243" s="422">
        <v>0</v>
      </c>
      <c r="M1243" s="422">
        <v>0</v>
      </c>
      <c r="N1243" s="422">
        <v>0</v>
      </c>
      <c r="O1243" s="422">
        <v>3.8811864064796968E-2</v>
      </c>
      <c r="P1243" s="423">
        <v>1.8174455879871786E-2</v>
      </c>
      <c r="Q1243" s="422">
        <v>0</v>
      </c>
      <c r="R1243" s="422">
        <v>0</v>
      </c>
      <c r="S1243" s="422">
        <v>0</v>
      </c>
      <c r="T1243" s="422">
        <v>-0.10808429532132208</v>
      </c>
      <c r="U1243" s="423">
        <v>-4.0104347361959995E-2</v>
      </c>
      <c r="V1243" s="422">
        <v>0</v>
      </c>
      <c r="W1243" s="422">
        <v>0</v>
      </c>
      <c r="X1243" s="422">
        <v>0</v>
      </c>
      <c r="Y1243" s="422">
        <v>-1.4581683821588793E-2</v>
      </c>
      <c r="Z1243" s="423">
        <v>-2.5835866261397999E-2</v>
      </c>
      <c r="AA1243" s="422">
        <v>0</v>
      </c>
      <c r="AB1243" s="422">
        <v>0</v>
      </c>
      <c r="AC1243" s="422">
        <v>0</v>
      </c>
      <c r="AD1243" s="422">
        <v>0.35822522620734315</v>
      </c>
      <c r="AE1243" s="423">
        <v>0.217969553248649</v>
      </c>
      <c r="AF1243" s="422">
        <v>0</v>
      </c>
      <c r="AG1243" s="422">
        <v>0</v>
      </c>
      <c r="AH1243" s="422">
        <v>-2.7310153670566106E-2</v>
      </c>
      <c r="AI1243" s="422">
        <v>-0.11459294204464622</v>
      </c>
      <c r="AJ1243" s="423">
        <v>-3.1174672597599484E-2</v>
      </c>
      <c r="AK1243" s="422">
        <v>0</v>
      </c>
      <c r="AL1243" s="422">
        <v>0</v>
      </c>
      <c r="AM1243" s="422">
        <v>1.0967508550381486E-2</v>
      </c>
      <c r="AN1243" s="422">
        <v>-0.10414154098645961</v>
      </c>
      <c r="AO1243" s="423">
        <v>-2.8638616252201099E-2</v>
      </c>
      <c r="AP1243" s="422">
        <v>0</v>
      </c>
      <c r="AQ1243" s="422">
        <v>0</v>
      </c>
      <c r="AR1243" s="422">
        <v>1.2242975984931707E-3</v>
      </c>
      <c r="AS1243" s="422">
        <v>-2.9792569897497432E-2</v>
      </c>
      <c r="AT1243" s="423">
        <v>-1.3039986641964898E-2</v>
      </c>
      <c r="AU1243" s="422">
        <v>0</v>
      </c>
      <c r="AV1243" s="422">
        <v>-1.0291033882906116E-3</v>
      </c>
      <c r="AW1243" s="422">
        <v>4.8587434541928461E-4</v>
      </c>
      <c r="AX1243" s="422">
        <v>-3.7193857734451531E-2</v>
      </c>
      <c r="AY1243" s="423">
        <v>-8.3353606690448716E-3</v>
      </c>
      <c r="AZ1243" s="422">
        <v>0.14208484221417489</v>
      </c>
      <c r="BA1243" s="422">
        <v>0</v>
      </c>
      <c r="BB1243" s="422">
        <v>9.7921721083861512E-4</v>
      </c>
      <c r="BC1243" s="422">
        <v>-1.1854824998178373</v>
      </c>
      <c r="BD1243" s="423">
        <v>-0.20937817949237369</v>
      </c>
      <c r="BE1243" s="422">
        <v>0.2750969589027415</v>
      </c>
      <c r="BF1243" s="422">
        <v>0.25386540185240503</v>
      </c>
      <c r="BG1243" s="422">
        <v>0.32529567114479219</v>
      </c>
      <c r="BH1243" s="422">
        <v>-1.898844984802379</v>
      </c>
      <c r="BI1243" s="424">
        <v>0.15156841454855183</v>
      </c>
      <c r="BJ1243" s="443">
        <v>0</v>
      </c>
      <c r="BK1243" s="443">
        <v>0</v>
      </c>
      <c r="BL1243" s="443">
        <v>0</v>
      </c>
      <c r="BM1243" s="443">
        <v>0</v>
      </c>
      <c r="BN1243" s="423">
        <v>0</v>
      </c>
      <c r="BO1243" s="443">
        <v>0</v>
      </c>
      <c r="BP1243" s="443">
        <v>0</v>
      </c>
      <c r="BQ1243" s="443">
        <v>0</v>
      </c>
      <c r="BR1243" s="443">
        <v>0</v>
      </c>
      <c r="BS1243" s="423">
        <v>0</v>
      </c>
      <c r="BT1243" s="735">
        <v>0</v>
      </c>
      <c r="BU1243" s="735">
        <v>0</v>
      </c>
      <c r="BV1243" s="735">
        <v>0</v>
      </c>
      <c r="BW1243" s="473"/>
    </row>
    <row r="1244" spans="1:75" s="123" customFormat="1" x14ac:dyDescent="0.5">
      <c r="A1244" s="118"/>
      <c r="B1244" s="513"/>
      <c r="C1244" s="401"/>
      <c r="D1244" s="401"/>
      <c r="E1244" s="401"/>
      <c r="F1244" s="401"/>
      <c r="G1244" s="119"/>
      <c r="H1244" s="119"/>
      <c r="I1244" s="119"/>
      <c r="J1244" s="119"/>
      <c r="K1244" s="401"/>
      <c r="L1244" s="119"/>
      <c r="M1244" s="119"/>
      <c r="N1244" s="119"/>
      <c r="O1244" s="119"/>
      <c r="P1244" s="401"/>
      <c r="Q1244" s="119"/>
      <c r="R1244" s="119"/>
      <c r="S1244" s="119"/>
      <c r="T1244" s="119"/>
      <c r="U1244" s="401"/>
      <c r="V1244" s="119"/>
      <c r="W1244" s="119"/>
      <c r="X1244" s="119"/>
      <c r="Y1244" s="119"/>
      <c r="Z1244" s="401"/>
      <c r="AA1244" s="119"/>
      <c r="AB1244" s="119"/>
      <c r="AC1244" s="119"/>
      <c r="AD1244" s="119"/>
      <c r="AE1244" s="401"/>
      <c r="AF1244" s="119"/>
      <c r="AG1244" s="119"/>
      <c r="AH1244" s="119"/>
      <c r="AI1244" s="119"/>
      <c r="AJ1244" s="401"/>
      <c r="AK1244" s="119"/>
      <c r="AL1244" s="119"/>
      <c r="AM1244" s="119"/>
      <c r="AN1244" s="119"/>
      <c r="AO1244" s="401"/>
      <c r="AP1244" s="119"/>
      <c r="AQ1244" s="119"/>
      <c r="AR1244" s="119"/>
      <c r="AS1244" s="119"/>
      <c r="AT1244" s="401"/>
      <c r="AU1244" s="119"/>
      <c r="AV1244" s="119"/>
      <c r="AW1244" s="119"/>
      <c r="AX1244" s="119"/>
      <c r="AY1244" s="401"/>
      <c r="AZ1244" s="119"/>
      <c r="BA1244" s="119"/>
      <c r="BB1244" s="119"/>
      <c r="BC1244" s="119"/>
      <c r="BD1244" s="401"/>
      <c r="BE1244" s="119"/>
      <c r="BF1244" s="119"/>
      <c r="BG1244" s="119"/>
      <c r="BH1244" s="119"/>
      <c r="BI1244" s="402"/>
      <c r="BJ1244" s="118"/>
      <c r="BK1244" s="118"/>
      <c r="BL1244" s="118"/>
      <c r="BM1244" s="118"/>
      <c r="BN1244" s="401"/>
      <c r="BO1244" s="118"/>
      <c r="BP1244" s="118"/>
      <c r="BQ1244" s="118"/>
      <c r="BR1244" s="118"/>
      <c r="BS1244" s="401"/>
      <c r="BT1244" s="401"/>
      <c r="BU1244" s="401"/>
      <c r="BV1244" s="401"/>
      <c r="BW1244" s="122"/>
    </row>
    <row r="1245" spans="1:75" s="741" customFormat="1" ht="14.25" hidden="1" outlineLevel="1" x14ac:dyDescent="0.45">
      <c r="A1245" s="736" t="s">
        <v>1199</v>
      </c>
      <c r="B1245" s="737"/>
      <c r="C1245" s="738"/>
      <c r="D1245" s="738"/>
      <c r="E1245" s="738"/>
      <c r="F1245" s="738">
        <v>-1.3563721811448703</v>
      </c>
      <c r="G1245" s="739">
        <v>-4.1120812359279717E-3</v>
      </c>
      <c r="H1245" s="739">
        <v>-0.46070985740855619</v>
      </c>
      <c r="I1245" s="739">
        <v>0.24555001351566558</v>
      </c>
      <c r="J1245" s="739">
        <v>0.68298139915207579</v>
      </c>
      <c r="K1245" s="738">
        <v>0.47050075347352543</v>
      </c>
      <c r="L1245" s="739">
        <v>4.5845874649001812E-2</v>
      </c>
      <c r="M1245" s="739">
        <v>0.69106460539927028</v>
      </c>
      <c r="N1245" s="739">
        <v>0.49178287987082447</v>
      </c>
      <c r="O1245" s="739">
        <v>1.0702382044460736</v>
      </c>
      <c r="P1245" s="738">
        <v>2.3063301211929543</v>
      </c>
      <c r="Q1245" s="739">
        <v>0.17928570630425752</v>
      </c>
      <c r="R1245" s="739">
        <v>0.74751815731218096</v>
      </c>
      <c r="S1245" s="739">
        <v>0.5141160478332969</v>
      </c>
      <c r="T1245" s="739">
        <v>0.8218202734192237</v>
      </c>
      <c r="U1245" s="738">
        <v>2.2667823956577862</v>
      </c>
      <c r="V1245" s="739">
        <v>-0.33187082680750452</v>
      </c>
      <c r="W1245" s="739">
        <v>0.17020073057888585</v>
      </c>
      <c r="X1245" s="739">
        <v>6.1797111563230686E-2</v>
      </c>
      <c r="Y1245" s="739">
        <v>0.23125395767523252</v>
      </c>
      <c r="Z1245" s="738">
        <v>0.13273047826740694</v>
      </c>
      <c r="AA1245" s="739">
        <v>-8.960498188809253E-2</v>
      </c>
      <c r="AB1245" s="739">
        <v>-0.27684748953520194</v>
      </c>
      <c r="AC1245" s="739">
        <v>0.61969155560816003</v>
      </c>
      <c r="AD1245" s="739">
        <v>1.2185850751912754E-2</v>
      </c>
      <c r="AE1245" s="738">
        <v>8.0580725327066255E-2</v>
      </c>
      <c r="AF1245" s="739">
        <v>1.1817577375751449</v>
      </c>
      <c r="AG1245" s="739">
        <v>2.8690529498211723</v>
      </c>
      <c r="AH1245" s="739">
        <v>0.91087182171330505</v>
      </c>
      <c r="AI1245" s="739">
        <v>1.3037129121784008</v>
      </c>
      <c r="AJ1245" s="738">
        <v>6.2798659256420812</v>
      </c>
      <c r="AK1245" s="739">
        <v>1.7881690904545668</v>
      </c>
      <c r="AL1245" s="739">
        <v>3.4526929564565467</v>
      </c>
      <c r="AM1245" s="739">
        <v>2.7956754663238139</v>
      </c>
      <c r="AN1245" s="739">
        <v>3.5789990841866981</v>
      </c>
      <c r="AO1245" s="738">
        <v>11.548658461193082</v>
      </c>
      <c r="AP1245" s="739">
        <v>-0.16692095435340884</v>
      </c>
      <c r="AQ1245" s="739">
        <v>5.0769842229864057</v>
      </c>
      <c r="AR1245" s="739">
        <v>2.3736198677266112</v>
      </c>
      <c r="AS1245" s="739">
        <v>6.3452663571193009</v>
      </c>
      <c r="AT1245" s="738">
        <v>13.819478960165499</v>
      </c>
      <c r="AU1245" s="739">
        <v>6.2207533274383726</v>
      </c>
      <c r="AV1245" s="739">
        <v>10.712423956983631</v>
      </c>
      <c r="AW1245" s="739">
        <v>8.5904906718010174</v>
      </c>
      <c r="AX1245" s="739">
        <v>6.8452395361334739</v>
      </c>
      <c r="AY1245" s="738">
        <v>32.371015410676826</v>
      </c>
      <c r="AZ1245" s="739">
        <v>8.877664220378346</v>
      </c>
      <c r="BA1245" s="739">
        <v>4.9958380613852187</v>
      </c>
      <c r="BB1245" s="739">
        <v>4.1703471091885209</v>
      </c>
      <c r="BC1245" s="739">
        <v>4.58252728849215</v>
      </c>
      <c r="BD1245" s="738">
        <v>22.473346904410636</v>
      </c>
      <c r="BE1245" s="739">
        <v>1.9000292511068049</v>
      </c>
      <c r="BF1245" s="739">
        <v>3.6486545607180121</v>
      </c>
      <c r="BG1245" s="739">
        <v>-0.11904279144731759</v>
      </c>
      <c r="BH1245" s="739">
        <v>0.62298219128143639</v>
      </c>
      <c r="BI1245" s="740">
        <v>6.4163633890688265</v>
      </c>
      <c r="BJ1245" s="739">
        <v>-0.40897062597959144</v>
      </c>
      <c r="BK1245" s="739">
        <v>3.7355925989536809</v>
      </c>
      <c r="BL1245" s="739">
        <v>2.7139492713531488</v>
      </c>
      <c r="BM1245" s="739">
        <v>2.077654419700607</v>
      </c>
      <c r="BN1245" s="738">
        <v>8.1185475356212713</v>
      </c>
      <c r="BO1245" s="739">
        <v>1.6839256565671004</v>
      </c>
      <c r="BP1245" s="739">
        <v>5.2438421112748976</v>
      </c>
      <c r="BQ1245" s="739">
        <v>3.743880506657542</v>
      </c>
      <c r="BR1245" s="739">
        <v>3.4441249957473201</v>
      </c>
      <c r="BS1245" s="738">
        <v>14.115962273319868</v>
      </c>
      <c r="BT1245" s="738">
        <v>17.684525271104711</v>
      </c>
      <c r="BU1245" s="738">
        <v>21.001357795680256</v>
      </c>
      <c r="BV1245" s="738">
        <v>24.244762694758595</v>
      </c>
      <c r="BW1245" s="739"/>
    </row>
    <row r="1246" spans="1:75" s="741" customFormat="1" ht="14.25" hidden="1" outlineLevel="1" x14ac:dyDescent="0.45">
      <c r="A1246" s="736" t="s">
        <v>1200</v>
      </c>
      <c r="B1246" s="737"/>
      <c r="C1246" s="738"/>
      <c r="D1246" s="738"/>
      <c r="E1246" s="738"/>
      <c r="F1246" s="738">
        <v>-1.3563721811448703</v>
      </c>
      <c r="G1246" s="739">
        <v>-3.9472659005317604E-3</v>
      </c>
      <c r="H1246" s="739">
        <v>-0.46070985740855619</v>
      </c>
      <c r="I1246" s="739">
        <v>0.23260056320564096</v>
      </c>
      <c r="J1246" s="739">
        <v>0.64792155971028242</v>
      </c>
      <c r="K1246" s="738">
        <v>0.45018597542644351</v>
      </c>
      <c r="L1246" s="739">
        <v>4.4008337213994719E-2</v>
      </c>
      <c r="M1246" s="739">
        <v>0.6604765779708317</v>
      </c>
      <c r="N1246" s="739">
        <v>0.46938079688243567</v>
      </c>
      <c r="O1246" s="739">
        <v>1.0178921869180839</v>
      </c>
      <c r="P1246" s="738">
        <v>2.1992734823473485</v>
      </c>
      <c r="Q1246" s="739">
        <v>0.17054452081875277</v>
      </c>
      <c r="R1246" s="739">
        <v>0.70862285238274592</v>
      </c>
      <c r="S1246" s="739">
        <v>0.48828611972789743</v>
      </c>
      <c r="T1246" s="739">
        <v>0.78867838466579088</v>
      </c>
      <c r="U1246" s="738">
        <v>2.1559493284817557</v>
      </c>
      <c r="V1246" s="739">
        <v>-0.33187082680750452</v>
      </c>
      <c r="W1246" s="739">
        <v>0.16947369207551222</v>
      </c>
      <c r="X1246" s="739">
        <v>6.1500569924827775E-2</v>
      </c>
      <c r="Y1246" s="739">
        <v>0.23014207541518786</v>
      </c>
      <c r="Z1246" s="738">
        <v>0.13196718828035731</v>
      </c>
      <c r="AA1246" s="739">
        <v>-8.960498188809253E-2</v>
      </c>
      <c r="AB1246" s="739">
        <v>-0.27684748953520194</v>
      </c>
      <c r="AC1246" s="739">
        <v>0.55877013974181866</v>
      </c>
      <c r="AD1246" s="739">
        <v>1.0169026361320162E-2</v>
      </c>
      <c r="AE1246" s="738">
        <v>7.4521741342006828E-2</v>
      </c>
      <c r="AF1246" s="739">
        <v>1.0091466474262514</v>
      </c>
      <c r="AG1246" s="739">
        <v>2.2877770060044957</v>
      </c>
      <c r="AH1246" s="739">
        <v>0.7260501891488188</v>
      </c>
      <c r="AI1246" s="739">
        <v>1.0601961475701178</v>
      </c>
      <c r="AJ1246" s="738">
        <v>5.1155108359424784</v>
      </c>
      <c r="AK1246" s="739">
        <v>1.4326629752393807</v>
      </c>
      <c r="AL1246" s="739">
        <v>2.8559702621094178</v>
      </c>
      <c r="AM1246" s="739">
        <v>2.1705679214860352</v>
      </c>
      <c r="AN1246" s="739">
        <v>2.6557498130229331</v>
      </c>
      <c r="AO1246" s="738">
        <v>9.0692905734442011</v>
      </c>
      <c r="AP1246" s="739">
        <v>-0.16692095435340884</v>
      </c>
      <c r="AQ1246" s="739">
        <v>3.7050289096001667</v>
      </c>
      <c r="AR1246" s="739">
        <v>1.6407691630002088</v>
      </c>
      <c r="AS1246" s="739">
        <v>4.3139539792334656</v>
      </c>
      <c r="AT1246" s="738">
        <v>9.9557663121613249</v>
      </c>
      <c r="AU1246" s="739">
        <v>4.1863490531932213</v>
      </c>
      <c r="AV1246" s="739">
        <v>7.0904438893179558</v>
      </c>
      <c r="AW1246" s="739">
        <v>5.8834340611904121</v>
      </c>
      <c r="AX1246" s="739">
        <v>4.9058518176190118</v>
      </c>
      <c r="AY1246" s="738">
        <v>22.130211119680123</v>
      </c>
      <c r="AZ1246" s="739">
        <v>7.2177218119538047</v>
      </c>
      <c r="BA1246" s="739">
        <v>4.5396469429974839</v>
      </c>
      <c r="BB1246" s="739">
        <v>3.7841595983487788</v>
      </c>
      <c r="BC1246" s="739">
        <v>4.2073894757325583</v>
      </c>
      <c r="BD1246" s="738">
        <v>19.90220009134859</v>
      </c>
      <c r="BE1246" s="739">
        <v>1.763137075847472</v>
      </c>
      <c r="BF1246" s="739">
        <v>3.3649454670892966</v>
      </c>
      <c r="BG1246" s="739">
        <v>-0.11904279144731759</v>
      </c>
      <c r="BH1246" s="739">
        <v>0.57183857079047096</v>
      </c>
      <c r="BI1246" s="740">
        <v>5.9054711659621786</v>
      </c>
      <c r="BJ1246" s="739">
        <v>-0.40897062597959144</v>
      </c>
      <c r="BK1246" s="739">
        <v>3.4302962341172458</v>
      </c>
      <c r="BL1246" s="739">
        <v>2.4921480912333784</v>
      </c>
      <c r="BM1246" s="739">
        <v>1.9078552981640102</v>
      </c>
      <c r="BN1246" s="738">
        <v>7.454870721721865</v>
      </c>
      <c r="BO1246" s="739">
        <v>1.5463045514849409</v>
      </c>
      <c r="BP1246" s="739">
        <v>4.8152820121899902</v>
      </c>
      <c r="BQ1246" s="739">
        <v>3.4379068013384231</v>
      </c>
      <c r="BR1246" s="739">
        <v>3.162649215562277</v>
      </c>
      <c r="BS1246" s="738">
        <v>12.962316137116501</v>
      </c>
      <c r="BT1246" s="738">
        <v>16.239233490454282</v>
      </c>
      <c r="BU1246" s="738">
        <v>19.284993384463046</v>
      </c>
      <c r="BV1246" s="738">
        <v>22.263326625122676</v>
      </c>
      <c r="BW1246" s="739"/>
    </row>
    <row r="1247" spans="1:75" s="741" customFormat="1" ht="14.25" collapsed="1" x14ac:dyDescent="0.45">
      <c r="A1247" s="736" t="s">
        <v>1201</v>
      </c>
      <c r="B1247" s="737"/>
      <c r="C1247" s="738"/>
      <c r="D1247" s="738"/>
      <c r="E1247" s="738"/>
      <c r="F1247" s="738">
        <v>1.0163528340540613</v>
      </c>
      <c r="G1247" s="739">
        <v>5.5335274145951387E-2</v>
      </c>
      <c r="H1247" s="739">
        <v>0.48635385871278958</v>
      </c>
      <c r="I1247" s="739">
        <v>0.31707629398343634</v>
      </c>
      <c r="J1247" s="739">
        <v>0.82769170344492715</v>
      </c>
      <c r="K1247" s="738">
        <v>1.7097170150009917</v>
      </c>
      <c r="L1247" s="739">
        <v>0.17537138500930438</v>
      </c>
      <c r="M1247" s="739">
        <v>0.67128538998327081</v>
      </c>
      <c r="N1247" s="739">
        <v>0.49010902395151434</v>
      </c>
      <c r="O1247" s="739">
        <v>1.0172219698402769</v>
      </c>
      <c r="P1247" s="738">
        <v>2.3595994123477038</v>
      </c>
      <c r="Q1247" s="739">
        <v>0.23455829707911752</v>
      </c>
      <c r="R1247" s="739">
        <v>0.85271462797832831</v>
      </c>
      <c r="S1247" s="739">
        <v>0.65394030983935214</v>
      </c>
      <c r="T1247" s="739">
        <v>0.9750605505212887</v>
      </c>
      <c r="U1247" s="738">
        <v>2.7160753908050022</v>
      </c>
      <c r="V1247" s="739">
        <v>-5.0901642775374588E-2</v>
      </c>
      <c r="W1247" s="739">
        <v>0.438701196543549</v>
      </c>
      <c r="X1247" s="739">
        <v>0.19593685746015047</v>
      </c>
      <c r="Y1247" s="739">
        <v>0.6811581053619491</v>
      </c>
      <c r="Z1247" s="738">
        <v>1.2654043165805191</v>
      </c>
      <c r="AA1247" s="739">
        <v>4.7361200991357419E-2</v>
      </c>
      <c r="AB1247" s="739">
        <v>0.64879713189580601</v>
      </c>
      <c r="AC1247" s="739">
        <v>1.0377463229453443</v>
      </c>
      <c r="AD1247" s="739">
        <v>1.6863050955705445</v>
      </c>
      <c r="AE1247" s="738">
        <v>3.0492382237189157</v>
      </c>
      <c r="AF1247" s="739">
        <v>1.2122760047986849</v>
      </c>
      <c r="AG1247" s="739">
        <v>2.0125686869507722</v>
      </c>
      <c r="AH1247" s="739">
        <v>1.5965385459025405</v>
      </c>
      <c r="AI1247" s="739">
        <v>2.9168144993041594</v>
      </c>
      <c r="AJ1247" s="738">
        <v>7.8040620403032221</v>
      </c>
      <c r="AK1247" s="739">
        <v>1.8482250875409953</v>
      </c>
      <c r="AL1247" s="739">
        <v>3.199679342228706</v>
      </c>
      <c r="AM1247" s="739">
        <v>2.7875310650885039</v>
      </c>
      <c r="AN1247" s="739">
        <v>3.7158507892331918</v>
      </c>
      <c r="AO1247" s="738">
        <v>11.659360673557998</v>
      </c>
      <c r="AP1247" s="739">
        <v>1.2683022227537428</v>
      </c>
      <c r="AQ1247" s="739">
        <v>4.9046141401589081</v>
      </c>
      <c r="AR1247" s="739">
        <v>6.196590391813543</v>
      </c>
      <c r="AS1247" s="739">
        <v>5.0670985769181645</v>
      </c>
      <c r="AT1247" s="738">
        <v>17.829649322061272</v>
      </c>
      <c r="AU1247" s="739">
        <v>4.8900846477949624</v>
      </c>
      <c r="AV1247" s="739">
        <v>8.4843376850356922</v>
      </c>
      <c r="AW1247" s="739">
        <v>7.0315687270356406</v>
      </c>
      <c r="AX1247" s="739">
        <v>5.6632401374846824</v>
      </c>
      <c r="AY1247" s="738">
        <v>26.121080317214499</v>
      </c>
      <c r="AZ1247" s="739">
        <v>6.6260853151098358</v>
      </c>
      <c r="BA1247" s="739">
        <v>6.1160516542301311</v>
      </c>
      <c r="BB1247" s="739">
        <v>4.2551045329660893</v>
      </c>
      <c r="BC1247" s="739">
        <v>2.8824523883850115</v>
      </c>
      <c r="BD1247" s="738">
        <v>20.062481239002491</v>
      </c>
      <c r="BE1247" s="739">
        <v>2.2124080365019583</v>
      </c>
      <c r="BF1247" s="739">
        <v>3.9266443675656175</v>
      </c>
      <c r="BG1247" s="739">
        <v>-0.42451519455767533</v>
      </c>
      <c r="BH1247" s="739">
        <v>0.72285549241030722</v>
      </c>
      <c r="BI1247" s="740">
        <v>6.869686295436205</v>
      </c>
      <c r="BJ1247" s="739">
        <v>-0.26183576040140066</v>
      </c>
      <c r="BK1247" s="739">
        <v>3.5653927938627317</v>
      </c>
      <c r="BL1247" s="739">
        <v>2.6272311426737196</v>
      </c>
      <c r="BM1247" s="739">
        <v>2.0429248426499047</v>
      </c>
      <c r="BN1247" s="738">
        <v>7.9952170729534631</v>
      </c>
      <c r="BO1247" s="739">
        <v>1.6813605903669457</v>
      </c>
      <c r="BP1247" s="739">
        <v>4.9503245468185328</v>
      </c>
      <c r="BQ1247" s="739">
        <v>3.5729358330637928</v>
      </c>
      <c r="BR1247" s="739">
        <v>3.2976647457346293</v>
      </c>
      <c r="BS1247" s="738">
        <v>13.502459265773657</v>
      </c>
      <c r="BT1247" s="738">
        <v>16.779160625310727</v>
      </c>
      <c r="BU1247" s="738">
        <v>19.824704634819355</v>
      </c>
      <c r="BV1247" s="738">
        <v>22.802822077298114</v>
      </c>
      <c r="BW1247" s="742"/>
    </row>
    <row r="1248" spans="1:75" s="750" customFormat="1" ht="14.25" x14ac:dyDescent="0.45">
      <c r="A1248" s="743" t="s">
        <v>203</v>
      </c>
      <c r="B1248" s="744"/>
      <c r="C1248" s="745"/>
      <c r="D1248" s="745"/>
      <c r="E1248" s="745"/>
      <c r="F1248" s="745"/>
      <c r="G1248" s="746"/>
      <c r="H1248" s="746"/>
      <c r="I1248" s="746"/>
      <c r="J1248" s="746"/>
      <c r="K1248" s="745"/>
      <c r="L1248" s="746"/>
      <c r="M1248" s="746"/>
      <c r="N1248" s="746"/>
      <c r="O1248" s="746"/>
      <c r="P1248" s="745"/>
      <c r="Q1248" s="746"/>
      <c r="R1248" s="746"/>
      <c r="S1248" s="746"/>
      <c r="T1248" s="746"/>
      <c r="U1248" s="745"/>
      <c r="V1248" s="746"/>
      <c r="W1248" s="747"/>
      <c r="X1248" s="746"/>
      <c r="Y1248" s="747"/>
      <c r="Z1248" s="748"/>
      <c r="AA1248" s="746"/>
      <c r="AB1248" s="746"/>
      <c r="AC1248" s="746"/>
      <c r="AD1248" s="747"/>
      <c r="AE1248" s="748"/>
      <c r="AF1248" s="746"/>
      <c r="AG1248" s="746"/>
      <c r="AH1248" s="746"/>
      <c r="AI1248" s="747"/>
      <c r="AJ1248" s="748"/>
      <c r="AK1248" s="746"/>
      <c r="AL1248" s="746"/>
      <c r="AM1248" s="746"/>
      <c r="AN1248" s="747"/>
      <c r="AO1248" s="748"/>
      <c r="AP1248" s="746"/>
      <c r="AQ1248" s="746"/>
      <c r="AR1248" s="746"/>
      <c r="AS1248" s="747"/>
      <c r="AT1248" s="748"/>
      <c r="AU1248" s="746"/>
      <c r="AV1248" s="746"/>
      <c r="AW1248" s="746"/>
      <c r="AX1248" s="747"/>
      <c r="AY1248" s="748"/>
      <c r="AZ1248" s="746"/>
      <c r="BA1248" s="746"/>
      <c r="BB1248" s="746"/>
      <c r="BC1248" s="747"/>
      <c r="BD1248" s="748"/>
      <c r="BE1248" s="746"/>
      <c r="BF1248" s="746"/>
      <c r="BG1248" s="746"/>
      <c r="BH1248" s="747"/>
      <c r="BI1248" s="749"/>
      <c r="BJ1248" s="746" t="s">
        <v>189</v>
      </c>
      <c r="BK1248" s="746" t="s">
        <v>189</v>
      </c>
      <c r="BL1248" s="746" t="s">
        <v>189</v>
      </c>
      <c r="BM1248" s="746" t="s">
        <v>189</v>
      </c>
      <c r="BN1248" s="748" t="s">
        <v>189</v>
      </c>
      <c r="BO1248" s="746" t="s">
        <v>189</v>
      </c>
      <c r="BP1248" s="746" t="s">
        <v>189</v>
      </c>
      <c r="BQ1248" s="746" t="s">
        <v>189</v>
      </c>
      <c r="BR1248" s="746" t="s">
        <v>189</v>
      </c>
      <c r="BS1248" s="748" t="s">
        <v>189</v>
      </c>
      <c r="BT1248" s="748" t="s">
        <v>189</v>
      </c>
      <c r="BU1248" s="748" t="s">
        <v>189</v>
      </c>
      <c r="BV1248" s="748" t="s">
        <v>189</v>
      </c>
      <c r="BW1248" s="746"/>
    </row>
    <row r="1249" spans="1:75" s="123" customFormat="1" x14ac:dyDescent="0.5">
      <c r="A1249" s="119"/>
      <c r="B1249" s="513"/>
      <c r="C1249" s="401"/>
      <c r="D1249" s="401"/>
      <c r="E1249" s="401"/>
      <c r="F1249" s="401"/>
      <c r="G1249" s="119"/>
      <c r="H1249" s="119"/>
      <c r="I1249" s="119"/>
      <c r="J1249" s="119"/>
      <c r="K1249" s="401"/>
      <c r="L1249" s="119"/>
      <c r="M1249" s="119"/>
      <c r="N1249" s="119"/>
      <c r="O1249" s="119"/>
      <c r="P1249" s="401"/>
      <c r="Q1249" s="119"/>
      <c r="R1249" s="119"/>
      <c r="S1249" s="119"/>
      <c r="T1249" s="119"/>
      <c r="U1249" s="401"/>
      <c r="V1249" s="119"/>
      <c r="W1249" s="119"/>
      <c r="X1249" s="119"/>
      <c r="Y1249" s="119"/>
      <c r="Z1249" s="401"/>
      <c r="AA1249" s="119"/>
      <c r="AB1249" s="119"/>
      <c r="AC1249" s="119"/>
      <c r="AD1249" s="119"/>
      <c r="AE1249" s="401"/>
      <c r="AF1249" s="119"/>
      <c r="AG1249" s="119"/>
      <c r="AH1249" s="119"/>
      <c r="AI1249" s="119"/>
      <c r="AJ1249" s="401"/>
      <c r="AK1249" s="119"/>
      <c r="AL1249" s="119"/>
      <c r="AM1249" s="119"/>
      <c r="AN1249" s="119"/>
      <c r="AO1249" s="401"/>
      <c r="AP1249" s="119"/>
      <c r="AQ1249" s="119"/>
      <c r="AR1249" s="119"/>
      <c r="AS1249" s="119"/>
      <c r="AT1249" s="401"/>
      <c r="AU1249" s="119"/>
      <c r="AV1249" s="119"/>
      <c r="AW1249" s="119"/>
      <c r="AX1249" s="119"/>
      <c r="AY1249" s="401"/>
      <c r="AZ1249" s="119"/>
      <c r="BA1249" s="119"/>
      <c r="BB1249" s="119"/>
      <c r="BC1249" s="119"/>
      <c r="BD1249" s="401"/>
      <c r="BE1249" s="119"/>
      <c r="BF1249" s="119"/>
      <c r="BG1249" s="119"/>
      <c r="BH1249" s="119"/>
      <c r="BI1249" s="402"/>
      <c r="BJ1249" s="119"/>
      <c r="BK1249" s="119"/>
      <c r="BL1249" s="119"/>
      <c r="BM1249" s="119"/>
      <c r="BN1249" s="401"/>
      <c r="BO1249" s="119"/>
      <c r="BP1249" s="119"/>
      <c r="BQ1249" s="119"/>
      <c r="BR1249" s="119"/>
      <c r="BS1249" s="401"/>
      <c r="BT1249" s="401"/>
      <c r="BU1249" s="401"/>
      <c r="BV1249" s="401"/>
      <c r="BW1249" s="122"/>
    </row>
    <row r="1250" spans="1:75" s="751" customFormat="1" ht="14.25" x14ac:dyDescent="0.45">
      <c r="A1250" s="118" t="s">
        <v>1202</v>
      </c>
      <c r="B1250" s="513"/>
      <c r="C1250" s="401"/>
      <c r="D1250" s="401"/>
      <c r="E1250" s="401"/>
      <c r="F1250" s="403">
        <v>9.4288279999999993</v>
      </c>
      <c r="G1250" s="302">
        <v>39.152923000000001</v>
      </c>
      <c r="H1250" s="302">
        <v>38.712000000000003</v>
      </c>
      <c r="I1250" s="302">
        <v>38.888207999999999</v>
      </c>
      <c r="J1250" s="302">
        <v>39.008383000000002</v>
      </c>
      <c r="K1250" s="403">
        <v>38.671563999999996</v>
      </c>
      <c r="L1250" s="302">
        <v>39.152923000000001</v>
      </c>
      <c r="M1250" s="302">
        <v>39.436255000000003</v>
      </c>
      <c r="N1250" s="302">
        <v>39.507272</v>
      </c>
      <c r="O1250" s="302">
        <v>39.734144999999998</v>
      </c>
      <c r="P1250" s="403">
        <v>39.457490999999997</v>
      </c>
      <c r="Q1250" s="302">
        <v>39.913946000000003</v>
      </c>
      <c r="R1250" s="302">
        <v>40.045850000000002</v>
      </c>
      <c r="S1250" s="302">
        <v>40.282733999999998</v>
      </c>
      <c r="T1250" s="302">
        <v>40.522241999999999</v>
      </c>
      <c r="U1250" s="403">
        <v>40.190448000000004</v>
      </c>
      <c r="V1250" s="302">
        <v>40.588081000000003</v>
      </c>
      <c r="W1250" s="302">
        <v>40.646124</v>
      </c>
      <c r="X1250" s="302">
        <v>40.730058999999997</v>
      </c>
      <c r="Y1250" s="302">
        <v>40.803626000000001</v>
      </c>
      <c r="Z1250" s="403">
        <v>40.691482999999998</v>
      </c>
      <c r="AA1250" s="302">
        <v>37.609515999999999</v>
      </c>
      <c r="AB1250" s="302">
        <v>28.398306999999999</v>
      </c>
      <c r="AC1250" s="302">
        <v>21.221848000000001</v>
      </c>
      <c r="AD1250" s="302">
        <v>21.418282999999999</v>
      </c>
      <c r="AE1250" s="403">
        <v>27.053616000000002</v>
      </c>
      <c r="AF1250" s="302">
        <v>21.545024999999999</v>
      </c>
      <c r="AG1250" s="302">
        <v>21.925702000000001</v>
      </c>
      <c r="AH1250" s="302">
        <v>22.082141</v>
      </c>
      <c r="AI1250" s="302">
        <v>20.901841000000001</v>
      </c>
      <c r="AJ1250" s="403">
        <v>21.613678</v>
      </c>
      <c r="AK1250" s="302">
        <v>19.976858</v>
      </c>
      <c r="AL1250" s="302">
        <v>18.465876000000002</v>
      </c>
      <c r="AM1250" s="302">
        <v>18.765768999999999</v>
      </c>
      <c r="AN1250" s="302">
        <v>19.120709000000002</v>
      </c>
      <c r="AO1250" s="403">
        <v>19.082303</v>
      </c>
      <c r="AP1250" s="302">
        <v>19.242640999999999</v>
      </c>
      <c r="AQ1250" s="302">
        <v>19.386115</v>
      </c>
      <c r="AR1250" s="302">
        <v>19.552835999999999</v>
      </c>
      <c r="AS1250" s="302">
        <v>20.518129999999999</v>
      </c>
      <c r="AT1250" s="403">
        <v>19.668976000000001</v>
      </c>
      <c r="AU1250" s="302">
        <v>21.003243999999999</v>
      </c>
      <c r="AV1250" s="302">
        <v>21.166637999999999</v>
      </c>
      <c r="AW1250" s="302">
        <v>21.430557</v>
      </c>
      <c r="AX1250" s="302">
        <v>21.481352000000001</v>
      </c>
      <c r="AY1250" s="403">
        <v>21.270447999999998</v>
      </c>
      <c r="AZ1250" s="302">
        <v>22.608536999999998</v>
      </c>
      <c r="BA1250" s="302">
        <v>24.475373000000001</v>
      </c>
      <c r="BB1250" s="302">
        <v>23.681481999999999</v>
      </c>
      <c r="BC1250" s="302">
        <v>23.326865999999999</v>
      </c>
      <c r="BD1250" s="403">
        <v>23.523064999999999</v>
      </c>
      <c r="BE1250" s="302">
        <v>22.047028999999998</v>
      </c>
      <c r="BF1250" s="302">
        <v>20.960329000000002</v>
      </c>
      <c r="BG1250" s="302">
        <v>18.371545000000001</v>
      </c>
      <c r="BH1250" s="302">
        <v>18.26858</v>
      </c>
      <c r="BI1250" s="514">
        <v>19.880576000000001</v>
      </c>
      <c r="BJ1250" s="118">
        <v>18.31652878065</v>
      </c>
      <c r="BK1250" s="118">
        <v>18.318360433528063</v>
      </c>
      <c r="BL1250" s="118">
        <v>18.320192269571418</v>
      </c>
      <c r="BM1250" s="118">
        <v>18.322024288798374</v>
      </c>
      <c r="BN1250" s="401">
        <v>18.319276443136964</v>
      </c>
      <c r="BO1250" s="118">
        <v>18.323856491227257</v>
      </c>
      <c r="BP1250" s="118">
        <v>18.325688876876381</v>
      </c>
      <c r="BQ1250" s="118">
        <v>18.32752144576407</v>
      </c>
      <c r="BR1250" s="118">
        <v>18.329354197908643</v>
      </c>
      <c r="BS1250" s="401">
        <v>18.326605252944088</v>
      </c>
      <c r="BT1250" s="401">
        <v>18.333936673921407</v>
      </c>
      <c r="BU1250" s="401">
        <v>18.341270248590973</v>
      </c>
      <c r="BV1250" s="401">
        <v>18.348606756690408</v>
      </c>
      <c r="BW1250" s="118"/>
    </row>
    <row r="1251" spans="1:75" s="751" customFormat="1" ht="14.25" x14ac:dyDescent="0.45">
      <c r="A1251" s="118" t="s">
        <v>1203</v>
      </c>
      <c r="B1251" s="513"/>
      <c r="C1251" s="401"/>
      <c r="D1251" s="401"/>
      <c r="E1251" s="401"/>
      <c r="F1251" s="403">
        <v>9.4288279999999993</v>
      </c>
      <c r="G1251" s="302">
        <v>40.787725999999999</v>
      </c>
      <c r="H1251" s="302">
        <v>38.712000000000003</v>
      </c>
      <c r="I1251" s="302">
        <v>41.053210999999997</v>
      </c>
      <c r="J1251" s="302">
        <v>41.119174999999998</v>
      </c>
      <c r="K1251" s="403">
        <v>40.416629999999998</v>
      </c>
      <c r="L1251" s="302">
        <v>40.787725999999999</v>
      </c>
      <c r="M1251" s="302">
        <v>41.262628999999997</v>
      </c>
      <c r="N1251" s="302">
        <v>41.392831000000001</v>
      </c>
      <c r="O1251" s="302">
        <v>41.777509000000002</v>
      </c>
      <c r="P1251" s="403">
        <v>41.378210000000003</v>
      </c>
      <c r="Q1251" s="302">
        <v>41.959718000000002</v>
      </c>
      <c r="R1251" s="302">
        <v>42.24391</v>
      </c>
      <c r="S1251" s="302">
        <v>42.413657000000001</v>
      </c>
      <c r="T1251" s="302">
        <v>42.225070000000002</v>
      </c>
      <c r="U1251" s="403">
        <v>42.256559000000003</v>
      </c>
      <c r="V1251" s="302">
        <v>40.588081000000003</v>
      </c>
      <c r="W1251" s="302">
        <v>40.820495000000001</v>
      </c>
      <c r="X1251" s="302">
        <v>40.926450000000003</v>
      </c>
      <c r="Y1251" s="302">
        <v>41.00076</v>
      </c>
      <c r="Z1251" s="403">
        <v>40.926839999999999</v>
      </c>
      <c r="AA1251" s="302">
        <v>37.609515999999999</v>
      </c>
      <c r="AB1251" s="302">
        <v>28.398306999999999</v>
      </c>
      <c r="AC1251" s="302">
        <v>23.535616999999998</v>
      </c>
      <c r="AD1251" s="302">
        <v>25.666174000000002</v>
      </c>
      <c r="AE1251" s="403">
        <v>29.253208000000001</v>
      </c>
      <c r="AF1251" s="302">
        <v>25.230228</v>
      </c>
      <c r="AG1251" s="302">
        <v>27.496561</v>
      </c>
      <c r="AH1251" s="302">
        <v>27.703319</v>
      </c>
      <c r="AI1251" s="302">
        <v>25.702791000000001</v>
      </c>
      <c r="AJ1251" s="403">
        <v>26.533225000000002</v>
      </c>
      <c r="AK1251" s="302">
        <v>24.933986999999998</v>
      </c>
      <c r="AL1251" s="302">
        <v>22.324112</v>
      </c>
      <c r="AM1251" s="302">
        <v>24.170172000000001</v>
      </c>
      <c r="AN1251" s="302">
        <v>25.767863999999999</v>
      </c>
      <c r="AO1251" s="403">
        <v>24.299033999999999</v>
      </c>
      <c r="AP1251" s="302">
        <v>19.242640999999999</v>
      </c>
      <c r="AQ1251" s="302">
        <v>26.564705</v>
      </c>
      <c r="AR1251" s="302">
        <v>28.286124000000001</v>
      </c>
      <c r="AS1251" s="302">
        <v>30.179506</v>
      </c>
      <c r="AT1251" s="403">
        <v>27.302268000000002</v>
      </c>
      <c r="AU1251" s="302">
        <v>31.210011000000002</v>
      </c>
      <c r="AV1251" s="302">
        <v>31.979098</v>
      </c>
      <c r="AW1251" s="302">
        <v>31.291079</v>
      </c>
      <c r="AX1251" s="302">
        <v>29.973388</v>
      </c>
      <c r="AY1251" s="403">
        <v>31.113395000000001</v>
      </c>
      <c r="AZ1251" s="302">
        <v>27.808081999999999</v>
      </c>
      <c r="BA1251" s="302">
        <v>26.934913999999999</v>
      </c>
      <c r="BB1251" s="302">
        <v>26.098265000000001</v>
      </c>
      <c r="BC1251" s="302">
        <v>25.406728000000001</v>
      </c>
      <c r="BD1251" s="403">
        <v>26.561987999999999</v>
      </c>
      <c r="BE1251" s="302">
        <v>23.758787999999999</v>
      </c>
      <c r="BF1251" s="302">
        <v>22.72756</v>
      </c>
      <c r="BG1251" s="302">
        <v>18.371545000000001</v>
      </c>
      <c r="BH1251" s="302">
        <v>19.902470000000001</v>
      </c>
      <c r="BI1251" s="514">
        <v>21.600477999999999</v>
      </c>
      <c r="BJ1251" s="118">
        <v>18.31652878065</v>
      </c>
      <c r="BK1251" s="118">
        <v>19.948694512112063</v>
      </c>
      <c r="BL1251" s="118">
        <v>19.950689381563272</v>
      </c>
      <c r="BM1251" s="118">
        <v>19.95268445050143</v>
      </c>
      <c r="BN1251" s="401">
        <v>19.950167101951152</v>
      </c>
      <c r="BO1251" s="118">
        <v>19.95467971894648</v>
      </c>
      <c r="BP1251" s="118">
        <v>19.956675186918375</v>
      </c>
      <c r="BQ1251" s="118">
        <v>19.958670854437067</v>
      </c>
      <c r="BR1251" s="118">
        <v>19.960666721522514</v>
      </c>
      <c r="BS1251" s="401">
        <v>19.957673120456107</v>
      </c>
      <c r="BT1251" s="401">
        <v>19.96565703790041</v>
      </c>
      <c r="BU1251" s="401">
        <v>19.973643300715569</v>
      </c>
      <c r="BV1251" s="401">
        <v>19.981632758035854</v>
      </c>
      <c r="BW1251" s="118"/>
    </row>
    <row r="1252" spans="1:75" s="751" customFormat="1" ht="14.25" x14ac:dyDescent="0.45">
      <c r="A1252" s="118" t="s">
        <v>1204</v>
      </c>
      <c r="B1252" s="513"/>
      <c r="C1252" s="401"/>
      <c r="D1252" s="401"/>
      <c r="E1252" s="401"/>
      <c r="F1252" s="403">
        <v>37.131790000000002</v>
      </c>
      <c r="G1252" s="118">
        <v>40.787725999999999</v>
      </c>
      <c r="H1252" s="302">
        <v>40.696705999999999</v>
      </c>
      <c r="I1252" s="118">
        <v>41.053210999999997</v>
      </c>
      <c r="J1252" s="118">
        <v>41.119174999999998</v>
      </c>
      <c r="K1252" s="401">
        <v>40.416629999999998</v>
      </c>
      <c r="L1252" s="118">
        <v>40.787725999999999</v>
      </c>
      <c r="M1252" s="118">
        <v>41.262628999999997</v>
      </c>
      <c r="N1252" s="118">
        <v>41.392831000000001</v>
      </c>
      <c r="O1252" s="118">
        <v>41.777509000000002</v>
      </c>
      <c r="P1252" s="401">
        <v>41.378210000000003</v>
      </c>
      <c r="Q1252" s="118">
        <v>41.959718000000002</v>
      </c>
      <c r="R1252" s="118">
        <v>42.24391</v>
      </c>
      <c r="S1252" s="118">
        <v>42.413657000000001</v>
      </c>
      <c r="T1252" s="118">
        <v>42.225070000000002</v>
      </c>
      <c r="U1252" s="401">
        <v>42.256559000000003</v>
      </c>
      <c r="V1252" s="118">
        <v>40.588081000000003</v>
      </c>
      <c r="W1252" s="118">
        <v>40.820495000000001</v>
      </c>
      <c r="X1252" s="118">
        <v>40.926450000000003</v>
      </c>
      <c r="Y1252" s="118">
        <v>41.00076</v>
      </c>
      <c r="Z1252" s="401">
        <v>40.926839999999999</v>
      </c>
      <c r="AA1252" s="302">
        <v>37.879106999999998</v>
      </c>
      <c r="AB1252" s="302">
        <v>30.365424000000001</v>
      </c>
      <c r="AC1252" s="118">
        <v>23.535616999999998</v>
      </c>
      <c r="AD1252" s="118">
        <v>25.666174000000002</v>
      </c>
      <c r="AE1252" s="401">
        <v>29.253208000000001</v>
      </c>
      <c r="AF1252" s="302">
        <v>25.230228</v>
      </c>
      <c r="AG1252" s="302">
        <v>27.084292999999999</v>
      </c>
      <c r="AH1252" s="302">
        <v>27.048517</v>
      </c>
      <c r="AI1252" s="302">
        <v>25.360886000000001</v>
      </c>
      <c r="AJ1252" s="403">
        <v>26.180980999999999</v>
      </c>
      <c r="AK1252" s="302">
        <v>24.449403</v>
      </c>
      <c r="AL1252" s="118">
        <v>22.324112</v>
      </c>
      <c r="AM1252" s="302">
        <v>23.478124000000001</v>
      </c>
      <c r="AN1252" s="302">
        <v>24.538122000000001</v>
      </c>
      <c r="AO1252" s="403">
        <v>23.69744</v>
      </c>
      <c r="AP1252" s="302">
        <v>23.613457</v>
      </c>
      <c r="AQ1252" s="302">
        <v>25.081075999999999</v>
      </c>
      <c r="AR1252" s="302">
        <v>26.862676</v>
      </c>
      <c r="AS1252" s="302">
        <v>28.316994000000001</v>
      </c>
      <c r="AT1252" s="403">
        <v>25.962596999999999</v>
      </c>
      <c r="AU1252" s="302">
        <v>29.089476000000001</v>
      </c>
      <c r="AV1252" s="302">
        <v>29.657589000000002</v>
      </c>
      <c r="AW1252" s="302">
        <v>29.666353000000001</v>
      </c>
      <c r="AX1252" s="302">
        <v>28.963808</v>
      </c>
      <c r="AY1252" s="403">
        <v>29.344307000000001</v>
      </c>
      <c r="AZ1252" s="302">
        <v>27.367743000000001</v>
      </c>
      <c r="BA1252" s="302">
        <v>26.824985999999999</v>
      </c>
      <c r="BB1252" s="302">
        <v>25.934498000000001</v>
      </c>
      <c r="BC1252" s="302">
        <v>25.248985999999999</v>
      </c>
      <c r="BD1252" s="403">
        <v>26.344548</v>
      </c>
      <c r="BE1252" s="302">
        <v>23.599173</v>
      </c>
      <c r="BF1252" s="302">
        <v>22.584168999999999</v>
      </c>
      <c r="BG1252" s="118">
        <v>18.371545000000001</v>
      </c>
      <c r="BH1252" s="302">
        <v>19.745301999999999</v>
      </c>
      <c r="BI1252" s="514">
        <v>21.451488999999999</v>
      </c>
      <c r="BJ1252" s="118">
        <v>18.31652878065</v>
      </c>
      <c r="BK1252" s="118">
        <v>19.948694512112063</v>
      </c>
      <c r="BL1252" s="118">
        <v>19.950689381563272</v>
      </c>
      <c r="BM1252" s="118">
        <v>19.95268445050143</v>
      </c>
      <c r="BN1252" s="401">
        <v>19.950167101951152</v>
      </c>
      <c r="BO1252" s="118">
        <v>19.95467971894648</v>
      </c>
      <c r="BP1252" s="118">
        <v>19.956675186918375</v>
      </c>
      <c r="BQ1252" s="118">
        <v>19.958670854437067</v>
      </c>
      <c r="BR1252" s="118">
        <v>19.960666721522514</v>
      </c>
      <c r="BS1252" s="401">
        <v>19.957673120456107</v>
      </c>
      <c r="BT1252" s="401">
        <v>19.96565703790041</v>
      </c>
      <c r="BU1252" s="401">
        <v>19.973643300715569</v>
      </c>
      <c r="BV1252" s="401">
        <v>19.981632758035854</v>
      </c>
      <c r="BW1252" s="118"/>
    </row>
    <row r="1253" spans="1:75" s="123" customFormat="1" x14ac:dyDescent="0.5">
      <c r="A1253" s="752"/>
      <c r="B1253" s="513"/>
      <c r="C1253" s="401"/>
      <c r="D1253" s="401"/>
      <c r="E1253" s="401"/>
      <c r="F1253" s="401"/>
      <c r="G1253" s="119"/>
      <c r="H1253" s="119"/>
      <c r="I1253" s="119"/>
      <c r="J1253" s="119"/>
      <c r="K1253" s="401"/>
      <c r="L1253" s="119"/>
      <c r="M1253" s="119"/>
      <c r="N1253" s="119"/>
      <c r="O1253" s="119"/>
      <c r="P1253" s="401"/>
      <c r="Q1253" s="119"/>
      <c r="R1253" s="119"/>
      <c r="S1253" s="119"/>
      <c r="T1253" s="119"/>
      <c r="U1253" s="401"/>
      <c r="V1253" s="119"/>
      <c r="W1253" s="119"/>
      <c r="X1253" s="119"/>
      <c r="Y1253" s="119"/>
      <c r="Z1253" s="401"/>
      <c r="AA1253" s="119"/>
      <c r="AB1253" s="119"/>
      <c r="AC1253" s="119"/>
      <c r="AD1253" s="119"/>
      <c r="AE1253" s="401"/>
      <c r="AF1253" s="119"/>
      <c r="AG1253" s="119"/>
      <c r="AH1253" s="119"/>
      <c r="AI1253" s="119"/>
      <c r="AJ1253" s="401"/>
      <c r="AK1253" s="119"/>
      <c r="AL1253" s="119"/>
      <c r="AM1253" s="119"/>
      <c r="AN1253" s="119"/>
      <c r="AO1253" s="401"/>
      <c r="AP1253" s="119"/>
      <c r="AQ1253" s="119"/>
      <c r="AR1253" s="119"/>
      <c r="AS1253" s="119"/>
      <c r="AT1253" s="401"/>
      <c r="AU1253" s="119"/>
      <c r="AV1253" s="119"/>
      <c r="AW1253" s="119"/>
      <c r="AX1253" s="119"/>
      <c r="AY1253" s="401"/>
      <c r="AZ1253" s="119"/>
      <c r="BA1253" s="119"/>
      <c r="BB1253" s="119"/>
      <c r="BC1253" s="119"/>
      <c r="BD1253" s="401"/>
      <c r="BE1253" s="119"/>
      <c r="BF1253" s="119"/>
      <c r="BG1253" s="119"/>
      <c r="BH1253" s="119"/>
      <c r="BI1253" s="402"/>
      <c r="BJ1253" s="118"/>
      <c r="BK1253" s="118"/>
      <c r="BL1253" s="118"/>
      <c r="BM1253" s="118"/>
      <c r="BN1253" s="401"/>
      <c r="BO1253" s="118"/>
      <c r="BP1253" s="118"/>
      <c r="BQ1253" s="118"/>
      <c r="BR1253" s="118"/>
      <c r="BS1253" s="401"/>
      <c r="BT1253" s="401"/>
      <c r="BU1253" s="401"/>
      <c r="BV1253" s="401"/>
      <c r="BW1253" s="122"/>
    </row>
    <row r="1254" spans="1:75" s="123" customFormat="1" x14ac:dyDescent="0.5">
      <c r="A1254" s="753" t="s">
        <v>1205</v>
      </c>
      <c r="B1254" s="754"/>
      <c r="C1254" s="755"/>
      <c r="D1254" s="755"/>
      <c r="E1254" s="755"/>
      <c r="F1254" s="755"/>
      <c r="G1254" s="755"/>
      <c r="H1254" s="755"/>
      <c r="I1254" s="755"/>
      <c r="J1254" s="755"/>
      <c r="K1254" s="755"/>
      <c r="L1254" s="755"/>
      <c r="M1254" s="755"/>
      <c r="N1254" s="755"/>
      <c r="O1254" s="755"/>
      <c r="P1254" s="755"/>
      <c r="Q1254" s="755"/>
      <c r="R1254" s="755"/>
      <c r="S1254" s="755"/>
      <c r="T1254" s="755"/>
      <c r="U1254" s="755"/>
      <c r="V1254" s="755"/>
      <c r="W1254" s="755"/>
      <c r="X1254" s="755"/>
      <c r="Y1254" s="755"/>
      <c r="Z1254" s="755"/>
      <c r="AA1254" s="755"/>
      <c r="AB1254" s="755"/>
      <c r="AC1254" s="755"/>
      <c r="AD1254" s="755"/>
      <c r="AE1254" s="755"/>
      <c r="AF1254" s="755"/>
      <c r="AG1254" s="755"/>
      <c r="AH1254" s="755"/>
      <c r="AI1254" s="755"/>
      <c r="AJ1254" s="755"/>
      <c r="AK1254" s="755"/>
      <c r="AL1254" s="755"/>
      <c r="AM1254" s="755"/>
      <c r="AN1254" s="755"/>
      <c r="AO1254" s="755"/>
      <c r="AP1254" s="755"/>
      <c r="AQ1254" s="755"/>
      <c r="AR1254" s="755"/>
      <c r="AS1254" s="755"/>
      <c r="AT1254" s="755"/>
      <c r="AU1254" s="755"/>
      <c r="AV1254" s="755"/>
      <c r="AW1254" s="755"/>
      <c r="AX1254" s="755"/>
      <c r="AY1254" s="755"/>
      <c r="AZ1254" s="755"/>
      <c r="BA1254" s="755"/>
      <c r="BB1254" s="755"/>
      <c r="BC1254" s="755"/>
      <c r="BD1254" s="755"/>
      <c r="BE1254" s="755"/>
      <c r="BF1254" s="755"/>
      <c r="BG1254" s="755"/>
      <c r="BH1254" s="755"/>
      <c r="BI1254" s="756"/>
      <c r="BJ1254" s="755"/>
      <c r="BK1254" s="755"/>
      <c r="BL1254" s="755"/>
      <c r="BM1254" s="755"/>
      <c r="BN1254" s="755"/>
      <c r="BO1254" s="755"/>
      <c r="BP1254" s="755"/>
      <c r="BQ1254" s="755"/>
      <c r="BR1254" s="755"/>
      <c r="BS1254" s="755"/>
      <c r="BT1254" s="755"/>
      <c r="BU1254" s="755"/>
      <c r="BV1254" s="755"/>
      <c r="BW1254" s="122"/>
    </row>
    <row r="1255" spans="1:75" s="123" customFormat="1" ht="15" hidden="1" customHeight="1" outlineLevel="2" x14ac:dyDescent="0.5">
      <c r="A1255" s="588" t="s">
        <v>1206</v>
      </c>
      <c r="B1255" s="757"/>
      <c r="C1255" s="758"/>
      <c r="D1255" s="758"/>
      <c r="E1255" s="758"/>
      <c r="F1255" s="758">
        <v>41306</v>
      </c>
      <c r="G1255" s="759">
        <v>41397</v>
      </c>
      <c r="H1255" s="759">
        <v>41488</v>
      </c>
      <c r="I1255" s="759">
        <v>41579</v>
      </c>
      <c r="J1255" s="759">
        <v>41670</v>
      </c>
      <c r="K1255" s="758">
        <v>41670</v>
      </c>
      <c r="L1255" s="759">
        <v>41761</v>
      </c>
      <c r="M1255" s="759">
        <v>41852</v>
      </c>
      <c r="N1255" s="759">
        <v>41943</v>
      </c>
      <c r="O1255" s="759">
        <v>42034</v>
      </c>
      <c r="P1255" s="758">
        <v>42034</v>
      </c>
      <c r="Q1255" s="759">
        <v>42125</v>
      </c>
      <c r="R1255" s="759">
        <v>42216</v>
      </c>
      <c r="S1255" s="759">
        <v>42307</v>
      </c>
      <c r="T1255" s="759">
        <v>42398</v>
      </c>
      <c r="U1255" s="758">
        <v>42398</v>
      </c>
      <c r="V1255" s="759">
        <v>42489</v>
      </c>
      <c r="W1255" s="759">
        <v>42580</v>
      </c>
      <c r="X1255" s="759">
        <v>42671</v>
      </c>
      <c r="Y1255" s="759">
        <v>42762</v>
      </c>
      <c r="Z1255" s="758">
        <v>42762</v>
      </c>
      <c r="AA1255" s="759">
        <v>42853</v>
      </c>
      <c r="AB1255" s="759">
        <v>42944</v>
      </c>
      <c r="AC1255" s="759">
        <v>43035</v>
      </c>
      <c r="AD1255" s="759">
        <v>43133</v>
      </c>
      <c r="AE1255" s="758">
        <v>43133</v>
      </c>
      <c r="AF1255" s="759">
        <v>43224</v>
      </c>
      <c r="AG1255" s="759">
        <v>43315</v>
      </c>
      <c r="AH1255" s="759">
        <v>43406</v>
      </c>
      <c r="AI1255" s="759">
        <v>43497</v>
      </c>
      <c r="AJ1255" s="758">
        <v>43497</v>
      </c>
      <c r="AK1255" s="759">
        <v>43588</v>
      </c>
      <c r="AL1255" s="759">
        <v>43679</v>
      </c>
      <c r="AM1255" s="759">
        <v>43770</v>
      </c>
      <c r="AN1255" s="759">
        <v>43861</v>
      </c>
      <c r="AO1255" s="758">
        <v>43861</v>
      </c>
      <c r="AP1255" s="759">
        <v>43952</v>
      </c>
      <c r="AQ1255" s="759">
        <v>44043</v>
      </c>
      <c r="AR1255" s="759">
        <v>44134</v>
      </c>
      <c r="AS1255" s="759">
        <v>44225</v>
      </c>
      <c r="AT1255" s="758">
        <v>44225</v>
      </c>
      <c r="AU1255" s="759">
        <v>44316</v>
      </c>
      <c r="AV1255" s="759">
        <v>44407</v>
      </c>
      <c r="AW1255" s="759">
        <v>44498</v>
      </c>
      <c r="AX1255" s="759">
        <v>44589</v>
      </c>
      <c r="AY1255" s="758">
        <v>44589</v>
      </c>
      <c r="AZ1255" s="759">
        <v>44680</v>
      </c>
      <c r="BA1255" s="759">
        <v>44771</v>
      </c>
      <c r="BB1255" s="759">
        <v>44862</v>
      </c>
      <c r="BC1255" s="759">
        <v>44953</v>
      </c>
      <c r="BD1255" s="758">
        <v>44953</v>
      </c>
      <c r="BE1255" s="759">
        <v>45044</v>
      </c>
      <c r="BF1255" s="759">
        <v>45135</v>
      </c>
      <c r="BG1255" s="759">
        <v>45226</v>
      </c>
      <c r="BH1255" s="759">
        <v>45324</v>
      </c>
      <c r="BI1255" s="760">
        <v>45324</v>
      </c>
      <c r="BJ1255" s="759"/>
      <c r="BK1255" s="759"/>
      <c r="BL1255" s="759"/>
      <c r="BM1255" s="759"/>
      <c r="BN1255" s="758"/>
      <c r="BO1255" s="759"/>
      <c r="BP1255" s="759"/>
      <c r="BQ1255" s="759"/>
      <c r="BR1255" s="759"/>
      <c r="BS1255" s="758"/>
      <c r="BT1255" s="758"/>
      <c r="BU1255" s="758"/>
      <c r="BV1255" s="758"/>
      <c r="BW1255" s="118"/>
    </row>
    <row r="1256" spans="1:75" s="123" customFormat="1" ht="15" hidden="1" customHeight="1" outlineLevel="1" collapsed="1" x14ac:dyDescent="0.5">
      <c r="A1256" s="225" t="s">
        <v>1207</v>
      </c>
      <c r="B1256" s="761"/>
      <c r="C1256" s="762"/>
      <c r="D1256" s="762"/>
      <c r="E1256" s="762"/>
      <c r="F1256" s="762">
        <v>36.229999999999997</v>
      </c>
      <c r="G1256" s="763">
        <v>38.79</v>
      </c>
      <c r="H1256" s="763">
        <v>68.86</v>
      </c>
      <c r="I1256" s="763">
        <v>68.59</v>
      </c>
      <c r="J1256" s="763">
        <v>56.74</v>
      </c>
      <c r="K1256" s="762">
        <v>56.74</v>
      </c>
      <c r="L1256" s="763">
        <v>63.35</v>
      </c>
      <c r="M1256" s="763">
        <v>82.14</v>
      </c>
      <c r="N1256" s="763">
        <v>80.319999999999993</v>
      </c>
      <c r="O1256" s="763">
        <v>87.53</v>
      </c>
      <c r="P1256" s="762">
        <v>87.53</v>
      </c>
      <c r="Q1256" s="763">
        <v>87.35</v>
      </c>
      <c r="R1256" s="763">
        <v>101.46</v>
      </c>
      <c r="S1256" s="763">
        <v>103.09</v>
      </c>
      <c r="T1256" s="763">
        <v>61.62</v>
      </c>
      <c r="U1256" s="762">
        <v>61.62</v>
      </c>
      <c r="V1256" s="763">
        <v>43.27</v>
      </c>
      <c r="W1256" s="763">
        <v>30.81</v>
      </c>
      <c r="X1256" s="763">
        <v>29.02</v>
      </c>
      <c r="Y1256" s="763">
        <v>26.09</v>
      </c>
      <c r="Z1256" s="762">
        <v>26.09</v>
      </c>
      <c r="AA1256" s="763">
        <v>47.97</v>
      </c>
      <c r="AB1256" s="763">
        <v>69.87</v>
      </c>
      <c r="AC1256" s="763">
        <v>86.64</v>
      </c>
      <c r="AD1256" s="763">
        <v>92.04</v>
      </c>
      <c r="AE1256" s="762">
        <v>92.04</v>
      </c>
      <c r="AF1256" s="763">
        <v>100.84</v>
      </c>
      <c r="AG1256" s="763">
        <v>134.74</v>
      </c>
      <c r="AH1256" s="763">
        <v>124.91</v>
      </c>
      <c r="AI1256" s="763">
        <v>133.63999999999999</v>
      </c>
      <c r="AJ1256" s="762">
        <v>133.63999999999999</v>
      </c>
      <c r="AK1256" s="763">
        <v>108.8</v>
      </c>
      <c r="AL1256" s="763">
        <v>136.83000000000001</v>
      </c>
      <c r="AM1256" s="763">
        <v>175.84</v>
      </c>
      <c r="AN1256" s="763">
        <v>208.75</v>
      </c>
      <c r="AO1256" s="762">
        <v>208.75</v>
      </c>
      <c r="AP1256" s="763">
        <v>137.46</v>
      </c>
      <c r="AQ1256" s="763">
        <v>287.43</v>
      </c>
      <c r="AR1256" s="763">
        <v>335.23</v>
      </c>
      <c r="AS1256" s="763">
        <v>475.36</v>
      </c>
      <c r="AT1256" s="762">
        <v>475.36</v>
      </c>
      <c r="AU1256" s="763">
        <v>688.02</v>
      </c>
      <c r="AV1256" s="763">
        <v>664.08</v>
      </c>
      <c r="AW1256" s="763">
        <v>659.63</v>
      </c>
      <c r="AX1256" s="763">
        <v>391.92</v>
      </c>
      <c r="AY1256" s="762">
        <v>391.92</v>
      </c>
      <c r="AZ1256" s="763">
        <v>336.12</v>
      </c>
      <c r="BA1256" s="763">
        <v>279.43</v>
      </c>
      <c r="BB1256" s="763">
        <v>255.58</v>
      </c>
      <c r="BC1256" s="763">
        <v>310.64999999999998</v>
      </c>
      <c r="BD1256" s="762">
        <v>310.64999999999998</v>
      </c>
      <c r="BE1256" s="763">
        <v>255.13</v>
      </c>
      <c r="BF1256" s="763">
        <v>387.29</v>
      </c>
      <c r="BG1256" s="763">
        <v>213.13</v>
      </c>
      <c r="BH1256" s="763">
        <v>272.64</v>
      </c>
      <c r="BI1256" s="764">
        <v>272.64</v>
      </c>
      <c r="BJ1256" s="763">
        <v>334.75</v>
      </c>
      <c r="BK1256" s="763">
        <v>334.75</v>
      </c>
      <c r="BL1256" s="763">
        <v>334.75</v>
      </c>
      <c r="BM1256" s="763">
        <v>334.75</v>
      </c>
      <c r="BN1256" s="762">
        <v>334.75</v>
      </c>
      <c r="BO1256" s="763">
        <v>334.75</v>
      </c>
      <c r="BP1256" s="763">
        <v>334.75</v>
      </c>
      <c r="BQ1256" s="763">
        <v>334.75</v>
      </c>
      <c r="BR1256" s="763">
        <v>334.75</v>
      </c>
      <c r="BS1256" s="762">
        <v>334.75</v>
      </c>
      <c r="BT1256" s="762">
        <v>334.75</v>
      </c>
      <c r="BU1256" s="762">
        <v>334.75</v>
      </c>
      <c r="BV1256" s="762">
        <v>334.75</v>
      </c>
      <c r="BW1256" s="118"/>
    </row>
    <row r="1257" spans="1:75" s="123" customFormat="1" ht="15" hidden="1" customHeight="1" outlineLevel="1" x14ac:dyDescent="0.5">
      <c r="A1257" s="225"/>
      <c r="B1257" s="761"/>
      <c r="C1257" s="762"/>
      <c r="D1257" s="762"/>
      <c r="E1257" s="762"/>
      <c r="F1257" s="762"/>
      <c r="G1257" s="763"/>
      <c r="H1257" s="763"/>
      <c r="I1257" s="763"/>
      <c r="J1257" s="763"/>
      <c r="K1257" s="762"/>
      <c r="L1257" s="763"/>
      <c r="M1257" s="763"/>
      <c r="N1257" s="763"/>
      <c r="O1257" s="763"/>
      <c r="P1257" s="762"/>
      <c r="Q1257" s="763"/>
      <c r="R1257" s="763"/>
      <c r="S1257" s="763"/>
      <c r="T1257" s="763"/>
      <c r="U1257" s="762"/>
      <c r="V1257" s="763"/>
      <c r="W1257" s="763"/>
      <c r="X1257" s="763"/>
      <c r="Y1257" s="763"/>
      <c r="Z1257" s="762"/>
      <c r="AA1257" s="763"/>
      <c r="AB1257" s="763"/>
      <c r="AC1257" s="763"/>
      <c r="AD1257" s="763"/>
      <c r="AE1257" s="762"/>
      <c r="AF1257" s="763"/>
      <c r="AG1257" s="763"/>
      <c r="AH1257" s="763"/>
      <c r="AI1257" s="763"/>
      <c r="AJ1257" s="762"/>
      <c r="AK1257" s="763"/>
      <c r="AL1257" s="763"/>
      <c r="AM1257" s="763"/>
      <c r="AN1257" s="763"/>
      <c r="AO1257" s="762"/>
      <c r="AP1257" s="763"/>
      <c r="AQ1257" s="763"/>
      <c r="AR1257" s="763"/>
      <c r="AS1257" s="763"/>
      <c r="AT1257" s="762"/>
      <c r="AU1257" s="763"/>
      <c r="AV1257" s="763"/>
      <c r="AW1257" s="763"/>
      <c r="AX1257" s="763"/>
      <c r="AY1257" s="762"/>
      <c r="AZ1257" s="763"/>
      <c r="BA1257" s="763"/>
      <c r="BB1257" s="763"/>
      <c r="BC1257" s="763"/>
      <c r="BD1257" s="762"/>
      <c r="BE1257" s="763"/>
      <c r="BF1257" s="763"/>
      <c r="BG1257" s="763"/>
      <c r="BH1257" s="763"/>
      <c r="BI1257" s="764"/>
      <c r="BJ1257" s="763"/>
      <c r="BK1257" s="763"/>
      <c r="BL1257" s="763"/>
      <c r="BM1257" s="763"/>
      <c r="BN1257" s="762"/>
      <c r="BO1257" s="763"/>
      <c r="BP1257" s="763"/>
      <c r="BQ1257" s="763"/>
      <c r="BR1257" s="763"/>
      <c r="BS1257" s="762"/>
      <c r="BT1257" s="762"/>
      <c r="BU1257" s="762"/>
      <c r="BV1257" s="762"/>
      <c r="BW1257" s="119"/>
    </row>
    <row r="1258" spans="1:75" s="123" customFormat="1" ht="15" hidden="1" customHeight="1" outlineLevel="1" x14ac:dyDescent="0.5">
      <c r="A1258" s="588" t="s">
        <v>1208</v>
      </c>
      <c r="B1258" s="513"/>
      <c r="C1258" s="401"/>
      <c r="D1258" s="401"/>
      <c r="E1258" s="401"/>
      <c r="F1258" s="403">
        <v>37.967635000000001</v>
      </c>
      <c r="G1258" s="302">
        <v>38.108091999999999</v>
      </c>
      <c r="H1258" s="302">
        <v>38.912765</v>
      </c>
      <c r="I1258" s="302">
        <v>38.905743000000001</v>
      </c>
      <c r="J1258" s="118">
        <v>39.124763999999999</v>
      </c>
      <c r="K1258" s="403">
        <v>39.124763999999999</v>
      </c>
      <c r="L1258" s="302">
        <v>39.373424999999997</v>
      </c>
      <c r="M1258" s="302">
        <v>39.48648</v>
      </c>
      <c r="N1258" s="302">
        <v>39.523758999999998</v>
      </c>
      <c r="O1258" s="118">
        <v>39.892539999999997</v>
      </c>
      <c r="P1258" s="403">
        <v>39.892539999999997</v>
      </c>
      <c r="Q1258" s="302">
        <v>39.954425999999998</v>
      </c>
      <c r="R1258" s="302">
        <v>40.190838999999997</v>
      </c>
      <c r="S1258" s="302">
        <v>40.394857999999999</v>
      </c>
      <c r="T1258" s="118">
        <v>40.583275</v>
      </c>
      <c r="U1258" s="403">
        <v>40.583275</v>
      </c>
      <c r="V1258" s="302">
        <v>40.605725</v>
      </c>
      <c r="W1258" s="302">
        <v>40.694088000000001</v>
      </c>
      <c r="X1258" s="302">
        <v>40.760465000000003</v>
      </c>
      <c r="Y1258" s="118">
        <v>40.828633000000004</v>
      </c>
      <c r="Z1258" s="403">
        <v>40.828633000000004</v>
      </c>
      <c r="AA1258" s="302">
        <v>33.075569000000002</v>
      </c>
      <c r="AB1258" s="302">
        <v>21.151990999999999</v>
      </c>
      <c r="AC1258" s="302">
        <v>21.305261000000002</v>
      </c>
      <c r="AD1258" s="118">
        <v>21.517337999999999</v>
      </c>
      <c r="AE1258" s="403">
        <v>21.517337999999999</v>
      </c>
      <c r="AF1258" s="302">
        <v>21.612196999999998</v>
      </c>
      <c r="AG1258" s="302">
        <v>22.229438999999999</v>
      </c>
      <c r="AH1258" s="302">
        <v>21.20994</v>
      </c>
      <c r="AI1258" s="118">
        <v>20.477813000000001</v>
      </c>
      <c r="AJ1258" s="403">
        <v>20.477813000000001</v>
      </c>
      <c r="AK1258" s="302">
        <v>18.357816</v>
      </c>
      <c r="AL1258" s="302">
        <v>18.591763</v>
      </c>
      <c r="AM1258" s="302">
        <v>18.928308999999999</v>
      </c>
      <c r="AN1258" s="118">
        <v>19.236681000000001</v>
      </c>
      <c r="AO1258" s="403">
        <v>19.236681000000001</v>
      </c>
      <c r="AP1258" s="302">
        <v>19.264126999999998</v>
      </c>
      <c r="AQ1258" s="302">
        <v>19.485825999999999</v>
      </c>
      <c r="AR1258" s="302">
        <v>19.844455</v>
      </c>
      <c r="AS1258" s="118">
        <v>20.995387000000001</v>
      </c>
      <c r="AT1258" s="403">
        <v>20.995387000000001</v>
      </c>
      <c r="AU1258" s="302">
        <v>21.020537999999998</v>
      </c>
      <c r="AV1258" s="302">
        <v>21.407717000000002</v>
      </c>
      <c r="AW1258" s="302">
        <v>21.465133000000002</v>
      </c>
      <c r="AX1258" s="118">
        <v>21.506967</v>
      </c>
      <c r="AY1258" s="403">
        <v>21.506967</v>
      </c>
      <c r="AZ1258" s="302">
        <v>24.661781000000001</v>
      </c>
      <c r="BA1258" s="302">
        <v>23.715191000000001</v>
      </c>
      <c r="BB1258" s="302">
        <v>23.609535999999999</v>
      </c>
      <c r="BC1258" s="118">
        <v>22.045385</v>
      </c>
      <c r="BD1258" s="403">
        <v>22.045385</v>
      </c>
      <c r="BE1258" s="302">
        <v>22.051251000000001</v>
      </c>
      <c r="BF1258" s="302">
        <v>18.397853000000001</v>
      </c>
      <c r="BG1258" s="302">
        <v>18.218397</v>
      </c>
      <c r="BH1258" s="118">
        <v>18.315612999999999</v>
      </c>
      <c r="BI1258" s="514">
        <v>18.315612999999999</v>
      </c>
      <c r="BJ1258" s="118">
        <v>18.3174445613</v>
      </c>
      <c r="BK1258" s="118">
        <v>18.31927630575613</v>
      </c>
      <c r="BL1258" s="118">
        <v>18.321108233386706</v>
      </c>
      <c r="BM1258" s="118">
        <v>18.322940344210046</v>
      </c>
      <c r="BN1258" s="401">
        <v>18.322940344210046</v>
      </c>
      <c r="BO1258" s="118">
        <v>18.324772638244468</v>
      </c>
      <c r="BP1258" s="118">
        <v>18.326605115508293</v>
      </c>
      <c r="BQ1258" s="118">
        <v>18.328437776019843</v>
      </c>
      <c r="BR1258" s="118">
        <v>18.330270619797446</v>
      </c>
      <c r="BS1258" s="401">
        <v>18.330270619797446</v>
      </c>
      <c r="BT1258" s="401">
        <v>18.337602728045365</v>
      </c>
      <c r="BU1258" s="401">
        <v>18.344937769136582</v>
      </c>
      <c r="BV1258" s="401">
        <v>18.352275744244235</v>
      </c>
      <c r="BW1258" s="118"/>
    </row>
    <row r="1259" spans="1:75" s="123" customFormat="1" ht="15" hidden="1" customHeight="1" outlineLevel="1" x14ac:dyDescent="0.5">
      <c r="A1259" s="765" t="s">
        <v>1209</v>
      </c>
      <c r="B1259" s="720"/>
      <c r="C1259" s="417"/>
      <c r="D1259" s="417"/>
      <c r="E1259" s="417"/>
      <c r="F1259" s="417"/>
      <c r="G1259" s="378"/>
      <c r="H1259" s="378"/>
      <c r="I1259" s="378"/>
      <c r="J1259" s="378"/>
      <c r="K1259" s="417"/>
      <c r="L1259" s="378"/>
      <c r="M1259" s="378"/>
      <c r="N1259" s="378"/>
      <c r="O1259" s="378"/>
      <c r="P1259" s="417"/>
      <c r="Q1259" s="378"/>
      <c r="R1259" s="378"/>
      <c r="S1259" s="378"/>
      <c r="T1259" s="378"/>
      <c r="U1259" s="417"/>
      <c r="V1259" s="378"/>
      <c r="W1259" s="378"/>
      <c r="X1259" s="378"/>
      <c r="Y1259" s="378"/>
      <c r="Z1259" s="417"/>
      <c r="AA1259" s="378"/>
      <c r="AB1259" s="378"/>
      <c r="AC1259" s="378"/>
      <c r="AD1259" s="378"/>
      <c r="AE1259" s="417"/>
      <c r="AF1259" s="378"/>
      <c r="AG1259" s="378"/>
      <c r="AH1259" s="378"/>
      <c r="AI1259" s="378"/>
      <c r="AJ1259" s="417"/>
      <c r="AK1259" s="378"/>
      <c r="AL1259" s="378"/>
      <c r="AM1259" s="378"/>
      <c r="AN1259" s="378"/>
      <c r="AO1259" s="417"/>
      <c r="AP1259" s="378"/>
      <c r="AQ1259" s="378"/>
      <c r="AR1259" s="378"/>
      <c r="AS1259" s="378"/>
      <c r="AT1259" s="417"/>
      <c r="AU1259" s="378"/>
      <c r="AV1259" s="378"/>
      <c r="AW1259" s="378"/>
      <c r="AX1259" s="378"/>
      <c r="AY1259" s="417"/>
      <c r="AZ1259" s="378"/>
      <c r="BA1259" s="378"/>
      <c r="BB1259" s="378"/>
      <c r="BC1259" s="378"/>
      <c r="BD1259" s="417"/>
      <c r="BE1259" s="378"/>
      <c r="BF1259" s="378"/>
      <c r="BG1259" s="378"/>
      <c r="BH1259" s="378"/>
      <c r="BI1259" s="418"/>
      <c r="BJ1259" s="766">
        <v>1E-4</v>
      </c>
      <c r="BK1259" s="766">
        <v>1E-4</v>
      </c>
      <c r="BL1259" s="766">
        <v>1E-4</v>
      </c>
      <c r="BM1259" s="766">
        <v>1E-4</v>
      </c>
      <c r="BN1259" s="417"/>
      <c r="BO1259" s="766">
        <v>1E-4</v>
      </c>
      <c r="BP1259" s="766">
        <v>1E-4</v>
      </c>
      <c r="BQ1259" s="766">
        <v>1E-4</v>
      </c>
      <c r="BR1259" s="766">
        <v>1E-4</v>
      </c>
      <c r="BS1259" s="417"/>
      <c r="BT1259" s="417"/>
      <c r="BU1259" s="417"/>
      <c r="BV1259" s="417"/>
      <c r="BW1259" s="118"/>
    </row>
    <row r="1260" spans="1:75" s="123" customFormat="1" ht="15" hidden="1" customHeight="1" outlineLevel="1" x14ac:dyDescent="0.5">
      <c r="A1260" s="765" t="s">
        <v>1210</v>
      </c>
      <c r="B1260" s="720"/>
      <c r="C1260" s="417"/>
      <c r="D1260" s="417"/>
      <c r="E1260" s="417"/>
      <c r="F1260" s="417"/>
      <c r="G1260" s="378"/>
      <c r="H1260" s="378"/>
      <c r="I1260" s="378"/>
      <c r="J1260" s="378"/>
      <c r="K1260" s="417"/>
      <c r="L1260" s="378"/>
      <c r="M1260" s="378"/>
      <c r="N1260" s="378"/>
      <c r="O1260" s="378"/>
      <c r="P1260" s="417"/>
      <c r="Q1260" s="378"/>
      <c r="R1260" s="378"/>
      <c r="S1260" s="378"/>
      <c r="T1260" s="378"/>
      <c r="U1260" s="417"/>
      <c r="V1260" s="378"/>
      <c r="W1260" s="378"/>
      <c r="X1260" s="378"/>
      <c r="Y1260" s="378"/>
      <c r="Z1260" s="417"/>
      <c r="AA1260" s="378"/>
      <c r="AB1260" s="378"/>
      <c r="AC1260" s="378"/>
      <c r="AD1260" s="378"/>
      <c r="AE1260" s="417"/>
      <c r="AF1260" s="378"/>
      <c r="AG1260" s="378"/>
      <c r="AH1260" s="378"/>
      <c r="AI1260" s="378"/>
      <c r="AJ1260" s="417"/>
      <c r="AK1260" s="378"/>
      <c r="AL1260" s="378"/>
      <c r="AM1260" s="378"/>
      <c r="AN1260" s="378"/>
      <c r="AO1260" s="417"/>
      <c r="AP1260" s="378"/>
      <c r="AQ1260" s="378"/>
      <c r="AR1260" s="378"/>
      <c r="AS1260" s="378"/>
      <c r="AT1260" s="417"/>
      <c r="AU1260" s="378"/>
      <c r="AV1260" s="378"/>
      <c r="AW1260" s="378"/>
      <c r="AX1260" s="378"/>
      <c r="AY1260" s="417"/>
      <c r="AZ1260" s="378"/>
      <c r="BA1260" s="378"/>
      <c r="BB1260" s="378"/>
      <c r="BC1260" s="378"/>
      <c r="BD1260" s="417"/>
      <c r="BE1260" s="378"/>
      <c r="BF1260" s="378"/>
      <c r="BG1260" s="378"/>
      <c r="BH1260" s="378"/>
      <c r="BI1260" s="418"/>
      <c r="BJ1260" s="378"/>
      <c r="BK1260" s="378"/>
      <c r="BL1260" s="378"/>
      <c r="BM1260" s="378"/>
      <c r="BN1260" s="417"/>
      <c r="BO1260" s="378"/>
      <c r="BP1260" s="378"/>
      <c r="BQ1260" s="378"/>
      <c r="BR1260" s="378"/>
      <c r="BS1260" s="417"/>
      <c r="BT1260" s="767">
        <v>4.0000000000000002E-4</v>
      </c>
      <c r="BU1260" s="767">
        <v>4.0000000000000002E-4</v>
      </c>
      <c r="BV1260" s="767">
        <v>4.0000000000000002E-4</v>
      </c>
      <c r="BW1260" s="118"/>
    </row>
    <row r="1261" spans="1:75" s="123" customFormat="1" ht="15" hidden="1" customHeight="1" outlineLevel="2" x14ac:dyDescent="0.5">
      <c r="A1261" s="765" t="s">
        <v>1211</v>
      </c>
      <c r="B1261" s="720"/>
      <c r="C1261" s="417"/>
      <c r="D1261" s="417"/>
      <c r="E1261" s="417"/>
      <c r="F1261" s="417"/>
      <c r="G1261" s="378"/>
      <c r="H1261" s="378"/>
      <c r="I1261" s="378"/>
      <c r="J1261" s="378"/>
      <c r="K1261" s="417"/>
      <c r="L1261" s="378"/>
      <c r="M1261" s="378"/>
      <c r="N1261" s="378"/>
      <c r="O1261" s="378"/>
      <c r="P1261" s="417"/>
      <c r="Q1261" s="378"/>
      <c r="R1261" s="378"/>
      <c r="S1261" s="378"/>
      <c r="T1261" s="378"/>
      <c r="U1261" s="417"/>
      <c r="V1261" s="378"/>
      <c r="W1261" s="378"/>
      <c r="X1261" s="378"/>
      <c r="Y1261" s="378"/>
      <c r="Z1261" s="417"/>
      <c r="AA1261" s="378"/>
      <c r="AB1261" s="378"/>
      <c r="AC1261" s="378"/>
      <c r="AD1261" s="378"/>
      <c r="AE1261" s="417"/>
      <c r="AF1261" s="378"/>
      <c r="AG1261" s="378"/>
      <c r="AH1261" s="378"/>
      <c r="AI1261" s="378"/>
      <c r="AJ1261" s="417"/>
      <c r="AK1261" s="378"/>
      <c r="AL1261" s="378"/>
      <c r="AM1261" s="378"/>
      <c r="AN1261" s="378"/>
      <c r="AO1261" s="417"/>
      <c r="AP1261" s="378"/>
      <c r="AQ1261" s="378"/>
      <c r="AR1261" s="378"/>
      <c r="AS1261" s="378"/>
      <c r="AT1261" s="417"/>
      <c r="AU1261" s="378"/>
      <c r="AV1261" s="378"/>
      <c r="AW1261" s="378"/>
      <c r="AX1261" s="378"/>
      <c r="AY1261" s="417"/>
      <c r="AZ1261" s="378"/>
      <c r="BA1261" s="378"/>
      <c r="BB1261" s="378"/>
      <c r="BC1261" s="378"/>
      <c r="BD1261" s="417"/>
      <c r="BE1261" s="378"/>
      <c r="BF1261" s="378"/>
      <c r="BG1261" s="378"/>
      <c r="BH1261" s="378"/>
      <c r="BI1261" s="418"/>
      <c r="BJ1261" s="378">
        <v>0</v>
      </c>
      <c r="BK1261" s="378">
        <v>0</v>
      </c>
      <c r="BL1261" s="378">
        <v>0</v>
      </c>
      <c r="BM1261" s="378">
        <v>0</v>
      </c>
      <c r="BN1261" s="417"/>
      <c r="BO1261" s="378">
        <v>0</v>
      </c>
      <c r="BP1261" s="378">
        <v>0</v>
      </c>
      <c r="BQ1261" s="378">
        <v>0</v>
      </c>
      <c r="BR1261" s="378">
        <v>0</v>
      </c>
      <c r="BS1261" s="417"/>
      <c r="BT1261" s="417"/>
      <c r="BU1261" s="417"/>
      <c r="BV1261" s="417"/>
      <c r="BW1261" s="118"/>
    </row>
    <row r="1262" spans="1:75" s="123" customFormat="1" ht="15" hidden="1" customHeight="1" outlineLevel="2" x14ac:dyDescent="0.5">
      <c r="A1262" s="768" t="s">
        <v>1212</v>
      </c>
      <c r="B1262" s="769"/>
      <c r="C1262" s="770"/>
      <c r="D1262" s="770"/>
      <c r="E1262" s="770"/>
      <c r="F1262" s="770"/>
      <c r="G1262" s="771"/>
      <c r="H1262" s="771"/>
      <c r="I1262" s="771"/>
      <c r="J1262" s="771"/>
      <c r="K1262" s="770"/>
      <c r="L1262" s="771"/>
      <c r="M1262" s="771"/>
      <c r="N1262" s="771"/>
      <c r="O1262" s="771"/>
      <c r="P1262" s="770"/>
      <c r="Q1262" s="771"/>
      <c r="R1262" s="771"/>
      <c r="S1262" s="771"/>
      <c r="T1262" s="771"/>
      <c r="U1262" s="770"/>
      <c r="V1262" s="771"/>
      <c r="W1262" s="771"/>
      <c r="X1262" s="771"/>
      <c r="Y1262" s="771"/>
      <c r="Z1262" s="770"/>
      <c r="AA1262" s="771"/>
      <c r="AB1262" s="771"/>
      <c r="AC1262" s="771"/>
      <c r="AD1262" s="771"/>
      <c r="AE1262" s="770"/>
      <c r="AF1262" s="771"/>
      <c r="AG1262" s="771"/>
      <c r="AH1262" s="771"/>
      <c r="AI1262" s="771"/>
      <c r="AJ1262" s="770"/>
      <c r="AK1262" s="771"/>
      <c r="AL1262" s="771"/>
      <c r="AM1262" s="771"/>
      <c r="AN1262" s="771"/>
      <c r="AO1262" s="770"/>
      <c r="AP1262" s="771"/>
      <c r="AQ1262" s="771"/>
      <c r="AR1262" s="771"/>
      <c r="AS1262" s="771"/>
      <c r="AT1262" s="770"/>
      <c r="AU1262" s="771"/>
      <c r="AV1262" s="771"/>
      <c r="AW1262" s="771"/>
      <c r="AX1262" s="771"/>
      <c r="AY1262" s="770"/>
      <c r="AZ1262" s="771"/>
      <c r="BA1262" s="771"/>
      <c r="BB1262" s="771"/>
      <c r="BC1262" s="771"/>
      <c r="BD1262" s="770"/>
      <c r="BE1262" s="771"/>
      <c r="BF1262" s="771"/>
      <c r="BG1262" s="771"/>
      <c r="BH1262" s="771"/>
      <c r="BI1262" s="772"/>
      <c r="BJ1262" s="771"/>
      <c r="BK1262" s="771"/>
      <c r="BL1262" s="771"/>
      <c r="BM1262" s="771"/>
      <c r="BN1262" s="770"/>
      <c r="BO1262" s="771"/>
      <c r="BP1262" s="771"/>
      <c r="BQ1262" s="771"/>
      <c r="BR1262" s="771"/>
      <c r="BS1262" s="770">
        <v>0</v>
      </c>
      <c r="BT1262" s="770">
        <v>0</v>
      </c>
      <c r="BU1262" s="770">
        <v>0</v>
      </c>
      <c r="BV1262" s="770">
        <v>0</v>
      </c>
      <c r="BW1262" s="118"/>
    </row>
    <row r="1263" spans="1:75" s="123" customFormat="1" ht="15" hidden="1" customHeight="1" outlineLevel="1" x14ac:dyDescent="0.5">
      <c r="A1263" s="773" t="s">
        <v>1213</v>
      </c>
      <c r="B1263" s="720"/>
      <c r="C1263" s="417"/>
      <c r="D1263" s="417"/>
      <c r="E1263" s="417"/>
      <c r="F1263" s="417"/>
      <c r="G1263" s="378">
        <v>3.6993876495072797E-3</v>
      </c>
      <c r="H1263" s="378">
        <v>2.1115541549548089E-2</v>
      </c>
      <c r="I1263" s="378">
        <v>-1.8045492269691543E-4</v>
      </c>
      <c r="J1263" s="378">
        <v>5.629528781907478E-3</v>
      </c>
      <c r="K1263" s="417"/>
      <c r="L1263" s="378">
        <v>6.3555910522552495E-3</v>
      </c>
      <c r="M1263" s="378">
        <v>2.8713529493560319E-3</v>
      </c>
      <c r="N1263" s="378">
        <v>9.4409529540229187E-4</v>
      </c>
      <c r="O1263" s="378">
        <v>9.3306155419072834E-3</v>
      </c>
      <c r="P1263" s="417"/>
      <c r="Q1263" s="378">
        <v>1.5513176147721186E-3</v>
      </c>
      <c r="R1263" s="378">
        <v>5.9170666098418145E-3</v>
      </c>
      <c r="S1263" s="378">
        <v>5.0762563080606338E-3</v>
      </c>
      <c r="T1263" s="378">
        <v>4.664380798169887E-3</v>
      </c>
      <c r="U1263" s="417"/>
      <c r="V1263" s="378">
        <v>5.5318354667033276E-4</v>
      </c>
      <c r="W1263" s="378">
        <v>2.1761217168267954E-3</v>
      </c>
      <c r="X1263" s="378">
        <v>1.6311214543007768E-3</v>
      </c>
      <c r="Y1263" s="378">
        <v>1.672404865842525E-3</v>
      </c>
      <c r="Z1263" s="417"/>
      <c r="AA1263" s="378">
        <v>-0.18989281370257982</v>
      </c>
      <c r="AB1263" s="378">
        <v>-0.36049502277647894</v>
      </c>
      <c r="AC1263" s="378">
        <v>7.2461263811998133E-3</v>
      </c>
      <c r="AD1263" s="378">
        <v>9.9542080240180297E-3</v>
      </c>
      <c r="AE1263" s="417"/>
      <c r="AF1263" s="378">
        <v>4.4084914221267368E-3</v>
      </c>
      <c r="AG1263" s="378">
        <v>2.855989143537796E-2</v>
      </c>
      <c r="AH1263" s="378">
        <v>-4.5862560904033622E-2</v>
      </c>
      <c r="AI1263" s="378">
        <v>-3.4518108019164551E-2</v>
      </c>
      <c r="AJ1263" s="417"/>
      <c r="AK1263" s="378">
        <v>-0.10352653381491472</v>
      </c>
      <c r="AL1263" s="378">
        <v>1.274372724947237E-2</v>
      </c>
      <c r="AM1263" s="378">
        <v>1.8101887378835446E-2</v>
      </c>
      <c r="AN1263" s="378">
        <v>1.6291576812276443E-2</v>
      </c>
      <c r="AO1263" s="417"/>
      <c r="AP1263" s="378">
        <v>1.4267533988840952E-3</v>
      </c>
      <c r="AQ1263" s="378">
        <v>1.1508385508463448E-2</v>
      </c>
      <c r="AR1263" s="378">
        <v>1.8404608560088853E-2</v>
      </c>
      <c r="AS1263" s="378">
        <v>5.7997662319272614E-2</v>
      </c>
      <c r="AT1263" s="417"/>
      <c r="AU1263" s="378">
        <v>1.1979298119151327E-3</v>
      </c>
      <c r="AV1263" s="378">
        <v>1.8419081376509272E-2</v>
      </c>
      <c r="AW1263" s="378">
        <v>2.6820234964801681E-3</v>
      </c>
      <c r="AX1263" s="378">
        <v>1.9489280592857039E-3</v>
      </c>
      <c r="AY1263" s="417"/>
      <c r="AZ1263" s="378">
        <v>0.1466880011486511</v>
      </c>
      <c r="BA1263" s="378">
        <v>-3.8382872672496737E-2</v>
      </c>
      <c r="BB1263" s="378">
        <v>-4.4551612508624272E-3</v>
      </c>
      <c r="BC1263" s="378">
        <v>-6.6250814924952328E-2</v>
      </c>
      <c r="BD1263" s="417"/>
      <c r="BE1263" s="378">
        <v>2.6608743734812812E-4</v>
      </c>
      <c r="BF1263" s="378">
        <v>-0.1656775844599474</v>
      </c>
      <c r="BG1263" s="378">
        <v>-9.7541816428254879E-3</v>
      </c>
      <c r="BH1263" s="378">
        <v>5.3361445576138866E-3</v>
      </c>
      <c r="BI1263" s="418"/>
      <c r="BJ1263" s="378">
        <v>9.9999999999988987E-5</v>
      </c>
      <c r="BK1263" s="378">
        <v>9.9999999999988987E-5</v>
      </c>
      <c r="BL1263" s="378">
        <v>9.9999999999988987E-5</v>
      </c>
      <c r="BM1263" s="378">
        <v>9.9999999999988987E-5</v>
      </c>
      <c r="BN1263" s="417"/>
      <c r="BO1263" s="378">
        <v>9.9999999999988987E-5</v>
      </c>
      <c r="BP1263" s="378">
        <v>9.9999999999988987E-5</v>
      </c>
      <c r="BQ1263" s="378">
        <v>9.9999999999988987E-5</v>
      </c>
      <c r="BR1263" s="378">
        <v>9.9999999999988987E-5</v>
      </c>
      <c r="BS1263" s="417"/>
      <c r="BT1263" s="417"/>
      <c r="BU1263" s="417"/>
      <c r="BV1263" s="417"/>
      <c r="BW1263" s="118"/>
    </row>
    <row r="1264" spans="1:75" s="123" customFormat="1" ht="15" hidden="1" customHeight="1" outlineLevel="1" x14ac:dyDescent="0.5">
      <c r="A1264" s="773" t="s">
        <v>1214</v>
      </c>
      <c r="B1264" s="720"/>
      <c r="C1264" s="417"/>
      <c r="D1264" s="417"/>
      <c r="E1264" s="417"/>
      <c r="F1264" s="417"/>
      <c r="G1264" s="378"/>
      <c r="H1264" s="378"/>
      <c r="I1264" s="378"/>
      <c r="J1264" s="378"/>
      <c r="K1264" s="417">
        <v>3.0476720501553478E-2</v>
      </c>
      <c r="L1264" s="378">
        <v>3.3203787793941508E-2</v>
      </c>
      <c r="M1264" s="378">
        <v>1.4743619478081227E-2</v>
      </c>
      <c r="N1264" s="378">
        <v>1.5884955596401129E-2</v>
      </c>
      <c r="O1264" s="378">
        <v>1.9623786101303997E-2</v>
      </c>
      <c r="P1264" s="417">
        <v>1.9623786101303997E-2</v>
      </c>
      <c r="Q1264" s="378">
        <v>1.4756171199229007E-2</v>
      </c>
      <c r="R1264" s="378">
        <v>1.7837978974069024E-2</v>
      </c>
      <c r="S1264" s="378">
        <v>2.2039882390741283E-2</v>
      </c>
      <c r="T1264" s="378">
        <v>1.7314891455896264E-2</v>
      </c>
      <c r="U1264" s="417">
        <v>1.7314891455896264E-2</v>
      </c>
      <c r="V1264" s="378">
        <v>1.630104759858142E-2</v>
      </c>
      <c r="W1264" s="378">
        <v>1.2521485306639324E-2</v>
      </c>
      <c r="X1264" s="378">
        <v>9.0508301823961634E-3</v>
      </c>
      <c r="Y1264" s="378">
        <v>6.0457910309112961E-3</v>
      </c>
      <c r="Z1264" s="417">
        <v>6.0457910309112961E-3</v>
      </c>
      <c r="AA1264" s="378">
        <v>-0.18544567299315551</v>
      </c>
      <c r="AB1264" s="378">
        <v>-0.48021955916544934</v>
      </c>
      <c r="AC1264" s="378">
        <v>-0.47730574221859345</v>
      </c>
      <c r="AD1264" s="378">
        <v>-0.47298411876782653</v>
      </c>
      <c r="AE1264" s="417">
        <v>-0.47298411876782653</v>
      </c>
      <c r="AF1264" s="378">
        <v>-0.34658124853422789</v>
      </c>
      <c r="AG1264" s="378">
        <v>5.093837265721235E-2</v>
      </c>
      <c r="AH1264" s="378">
        <v>-4.4740592476196772E-3</v>
      </c>
      <c r="AI1264" s="378">
        <v>-4.8311041077664818E-2</v>
      </c>
      <c r="AJ1264" s="417">
        <v>-4.8311041077664818E-2</v>
      </c>
      <c r="AK1264" s="378">
        <v>-0.15058075770825141</v>
      </c>
      <c r="AL1264" s="378">
        <v>-0.16364227635254314</v>
      </c>
      <c r="AM1264" s="378">
        <v>-0.10757366593210549</v>
      </c>
      <c r="AN1264" s="378">
        <v>-6.06086206569032E-2</v>
      </c>
      <c r="AO1264" s="417">
        <v>-6.06086206569032E-2</v>
      </c>
      <c r="AP1264" s="378">
        <v>4.9369216904668667E-2</v>
      </c>
      <c r="AQ1264" s="378">
        <v>4.8089199501951452E-2</v>
      </c>
      <c r="AR1264" s="378">
        <v>4.8400837074246805E-2</v>
      </c>
      <c r="AS1264" s="378">
        <v>9.1424606978719458E-2</v>
      </c>
      <c r="AT1264" s="417">
        <v>9.1424606978719458E-2</v>
      </c>
      <c r="AU1264" s="378">
        <v>9.1175219100247729E-2</v>
      </c>
      <c r="AV1264" s="378">
        <v>9.8630204334165805E-2</v>
      </c>
      <c r="AW1264" s="378">
        <v>8.1669060702347362E-2</v>
      </c>
      <c r="AX1264" s="378">
        <v>2.4366304845916842E-2</v>
      </c>
      <c r="AY1264" s="417">
        <v>2.4366304845916842E-2</v>
      </c>
      <c r="AZ1264" s="378">
        <v>0.17322311160637294</v>
      </c>
      <c r="BA1264" s="378">
        <v>0.10778701904551524</v>
      </c>
      <c r="BB1264" s="378">
        <v>9.9901687075500289E-2</v>
      </c>
      <c r="BC1264" s="378">
        <v>2.5034585304380741E-2</v>
      </c>
      <c r="BD1264" s="417">
        <v>2.5034585304380741E-2</v>
      </c>
      <c r="BE1264" s="378">
        <v>-0.10585326339569723</v>
      </c>
      <c r="BF1264" s="378">
        <v>-0.22421653698677779</v>
      </c>
      <c r="BG1264" s="378">
        <v>-0.22834582602555165</v>
      </c>
      <c r="BH1264" s="378">
        <v>-0.16918606774161582</v>
      </c>
      <c r="BI1264" s="418">
        <v>-0.16918606774161582</v>
      </c>
      <c r="BJ1264" s="378">
        <v>-0.16932401879149628</v>
      </c>
      <c r="BK1264" s="378">
        <v>-4.2709708705613858E-3</v>
      </c>
      <c r="BL1264" s="378">
        <v>5.6377755620709014E-3</v>
      </c>
      <c r="BM1264" s="378">
        <v>4.0006000400016895E-4</v>
      </c>
      <c r="BN1264" s="417">
        <v>4.0006000400016895E-4</v>
      </c>
      <c r="BO1264" s="378">
        <v>4.0006000400016895E-4</v>
      </c>
      <c r="BP1264" s="378">
        <v>4.0006000400039099E-4</v>
      </c>
      <c r="BQ1264" s="378">
        <v>4.0006000400016895E-4</v>
      </c>
      <c r="BR1264" s="378">
        <v>4.0006000400016895E-4</v>
      </c>
      <c r="BS1264" s="417">
        <v>4.0006000400016895E-4</v>
      </c>
      <c r="BT1264" s="417">
        <v>3.9999999999995595E-4</v>
      </c>
      <c r="BU1264" s="417">
        <v>3.9999999999995595E-4</v>
      </c>
      <c r="BV1264" s="417">
        <v>3.9999999999995595E-4</v>
      </c>
      <c r="BW1264" s="118"/>
    </row>
    <row r="1265" spans="1:75" s="123" customFormat="1" ht="15" hidden="1" customHeight="1" outlineLevel="1" x14ac:dyDescent="0.5">
      <c r="A1265" s="588"/>
      <c r="B1265" s="513"/>
      <c r="C1265" s="401"/>
      <c r="D1265" s="401"/>
      <c r="E1265" s="401"/>
      <c r="F1265" s="401"/>
      <c r="G1265" s="119"/>
      <c r="H1265" s="119"/>
      <c r="I1265" s="119"/>
      <c r="J1265" s="119"/>
      <c r="K1265" s="401"/>
      <c r="L1265" s="119"/>
      <c r="M1265" s="119"/>
      <c r="N1265" s="119"/>
      <c r="O1265" s="119"/>
      <c r="P1265" s="401"/>
      <c r="Q1265" s="119"/>
      <c r="R1265" s="119"/>
      <c r="S1265" s="119"/>
      <c r="T1265" s="119"/>
      <c r="U1265" s="401"/>
      <c r="V1265" s="119"/>
      <c r="W1265" s="119"/>
      <c r="X1265" s="119"/>
      <c r="Y1265" s="119"/>
      <c r="Z1265" s="401"/>
      <c r="AA1265" s="119"/>
      <c r="AB1265" s="119"/>
      <c r="AC1265" s="119"/>
      <c r="AD1265" s="119"/>
      <c r="AE1265" s="401"/>
      <c r="AF1265" s="119"/>
      <c r="AG1265" s="119"/>
      <c r="AH1265" s="119"/>
      <c r="AI1265" s="119"/>
      <c r="AJ1265" s="401"/>
      <c r="AK1265" s="119"/>
      <c r="AL1265" s="119"/>
      <c r="AM1265" s="119"/>
      <c r="AN1265" s="119"/>
      <c r="AO1265" s="401"/>
      <c r="AP1265" s="119"/>
      <c r="AQ1265" s="119"/>
      <c r="AR1265" s="119"/>
      <c r="AS1265" s="119"/>
      <c r="AT1265" s="401"/>
      <c r="AU1265" s="119"/>
      <c r="AV1265" s="119"/>
      <c r="AW1265" s="119"/>
      <c r="AX1265" s="119"/>
      <c r="AY1265" s="401"/>
      <c r="AZ1265" s="119"/>
      <c r="BA1265" s="119"/>
      <c r="BB1265" s="119"/>
      <c r="BC1265" s="119"/>
      <c r="BD1265" s="401"/>
      <c r="BE1265" s="119"/>
      <c r="BF1265" s="119"/>
      <c r="BG1265" s="119"/>
      <c r="BH1265" s="119"/>
      <c r="BI1265" s="402"/>
      <c r="BJ1265" s="118"/>
      <c r="BK1265" s="118"/>
      <c r="BL1265" s="118"/>
      <c r="BM1265" s="118"/>
      <c r="BN1265" s="401"/>
      <c r="BO1265" s="118"/>
      <c r="BP1265" s="118"/>
      <c r="BQ1265" s="118"/>
      <c r="BR1265" s="118"/>
      <c r="BS1265" s="401"/>
      <c r="BT1265" s="401"/>
      <c r="BU1265" s="401"/>
      <c r="BV1265" s="401"/>
      <c r="BW1265" s="122"/>
    </row>
    <row r="1266" spans="1:75" s="123" customFormat="1" ht="15" hidden="1" customHeight="1" outlineLevel="1" x14ac:dyDescent="0.5">
      <c r="A1266" s="588" t="s">
        <v>1215</v>
      </c>
      <c r="B1266" s="513"/>
      <c r="C1266" s="401"/>
      <c r="D1266" s="401"/>
      <c r="E1266" s="401"/>
      <c r="F1266" s="401">
        <v>0</v>
      </c>
      <c r="G1266" s="118">
        <v>0</v>
      </c>
      <c r="H1266" s="118">
        <v>0</v>
      </c>
      <c r="I1266" s="118">
        <v>2.1650029999999987</v>
      </c>
      <c r="J1266" s="118">
        <v>2.1107919999999964</v>
      </c>
      <c r="K1266" s="401">
        <v>2.1107919999999964</v>
      </c>
      <c r="L1266" s="118">
        <v>1.634802999999998</v>
      </c>
      <c r="M1266" s="118">
        <v>1.8263739999999942</v>
      </c>
      <c r="N1266" s="118">
        <v>1.8855590000000007</v>
      </c>
      <c r="O1266" s="118">
        <v>2.043364000000004</v>
      </c>
      <c r="P1266" s="401">
        <v>2.043364000000004</v>
      </c>
      <c r="Q1266" s="118">
        <v>2.0457719999999995</v>
      </c>
      <c r="R1266" s="118">
        <v>2.1980599999999981</v>
      </c>
      <c r="S1266" s="118">
        <v>2.1309230000000028</v>
      </c>
      <c r="T1266" s="118">
        <v>1.7028280000000038</v>
      </c>
      <c r="U1266" s="401">
        <v>1.7028280000000038</v>
      </c>
      <c r="V1266" s="118">
        <v>1.7028280000000038</v>
      </c>
      <c r="W1266" s="118">
        <v>0.17437100000000072</v>
      </c>
      <c r="X1266" s="118">
        <v>0.19639100000000553</v>
      </c>
      <c r="Y1266" s="118">
        <v>0.19713399999999837</v>
      </c>
      <c r="Z1266" s="401">
        <v>0.19713399999999837</v>
      </c>
      <c r="AA1266" s="118">
        <v>0.19713399999999837</v>
      </c>
      <c r="AB1266" s="118">
        <v>0.19713399999999837</v>
      </c>
      <c r="AC1266" s="118">
        <v>2.3137689999999971</v>
      </c>
      <c r="AD1266" s="118">
        <v>4.2478910000000027</v>
      </c>
      <c r="AE1266" s="401">
        <v>4.2478910000000027</v>
      </c>
      <c r="AF1266" s="118">
        <v>3.6852030000000013</v>
      </c>
      <c r="AG1266" s="118">
        <v>5.5708589999999987</v>
      </c>
      <c r="AH1266" s="118">
        <v>5.6211780000000005</v>
      </c>
      <c r="AI1266" s="118">
        <v>4.8009500000000003</v>
      </c>
      <c r="AJ1266" s="401">
        <v>4.8009500000000003</v>
      </c>
      <c r="AK1266" s="118">
        <v>4.9571289999999983</v>
      </c>
      <c r="AL1266" s="118">
        <v>3.858235999999998</v>
      </c>
      <c r="AM1266" s="118">
        <v>5.4044030000000021</v>
      </c>
      <c r="AN1266" s="118">
        <v>6.6471549999999979</v>
      </c>
      <c r="AO1266" s="401">
        <v>6.6471549999999979</v>
      </c>
      <c r="AP1266" s="118">
        <v>6.6471549999999979</v>
      </c>
      <c r="AQ1266" s="118">
        <v>7.1785899999999998</v>
      </c>
      <c r="AR1266" s="118">
        <v>8.7332880000000017</v>
      </c>
      <c r="AS1266" s="118">
        <v>9.6613760000000006</v>
      </c>
      <c r="AT1266" s="401">
        <v>9.6613760000000006</v>
      </c>
      <c r="AU1266" s="118">
        <v>10.206767000000003</v>
      </c>
      <c r="AV1266" s="118">
        <v>10.812460000000002</v>
      </c>
      <c r="AW1266" s="118">
        <v>9.8605219999999996</v>
      </c>
      <c r="AX1266" s="118">
        <v>8.4920359999999988</v>
      </c>
      <c r="AY1266" s="401">
        <v>8.4920359999999988</v>
      </c>
      <c r="AZ1266" s="118">
        <v>5.1995450000000005</v>
      </c>
      <c r="BA1266" s="118">
        <v>2.459540999999998</v>
      </c>
      <c r="BB1266" s="118">
        <v>2.4167830000000023</v>
      </c>
      <c r="BC1266" s="118">
        <v>2.0798620000000021</v>
      </c>
      <c r="BD1266" s="401">
        <v>2.0798620000000021</v>
      </c>
      <c r="BE1266" s="118">
        <v>1.7117590000000007</v>
      </c>
      <c r="BF1266" s="118">
        <v>1.7672309999999989</v>
      </c>
      <c r="BG1266" s="118">
        <v>1.7672309999999989</v>
      </c>
      <c r="BH1266" s="118">
        <v>1.633890000000001</v>
      </c>
      <c r="BI1266" s="402">
        <v>1.633890000000001</v>
      </c>
      <c r="BJ1266" s="118">
        <v>1.6302525659557006</v>
      </c>
      <c r="BK1266" s="118">
        <v>1.6304155912122944</v>
      </c>
      <c r="BL1266" s="118">
        <v>1.6305786327714173</v>
      </c>
      <c r="BM1266" s="118">
        <v>1.630741690634693</v>
      </c>
      <c r="BN1266" s="401">
        <v>1.630741690634693</v>
      </c>
      <c r="BO1266" s="118">
        <v>1.6309047648037556</v>
      </c>
      <c r="BP1266" s="118">
        <v>1.6310678552802358</v>
      </c>
      <c r="BQ1266" s="118">
        <v>1.6312309620657643</v>
      </c>
      <c r="BR1266" s="118">
        <v>1.6313940851619719</v>
      </c>
      <c r="BS1266" s="401">
        <v>1.6313940851619719</v>
      </c>
      <c r="BT1266" s="401">
        <v>1.6320466427960376</v>
      </c>
      <c r="BU1266" s="401">
        <v>1.6326994614531536</v>
      </c>
      <c r="BV1266" s="401">
        <v>1.6333525412377377</v>
      </c>
      <c r="BW1266" s="118"/>
    </row>
    <row r="1267" spans="1:75" s="123" customFormat="1" ht="15" hidden="1" customHeight="1" outlineLevel="1" x14ac:dyDescent="0.5">
      <c r="A1267" s="765" t="s">
        <v>1216</v>
      </c>
      <c r="B1267" s="720"/>
      <c r="C1267" s="774"/>
      <c r="D1267" s="774"/>
      <c r="E1267" s="774"/>
      <c r="F1267" s="774">
        <v>1</v>
      </c>
      <c r="G1267" s="775">
        <v>1</v>
      </c>
      <c r="H1267" s="775">
        <v>1</v>
      </c>
      <c r="I1267" s="775">
        <v>1.0556473886130384</v>
      </c>
      <c r="J1267" s="775">
        <v>1.0539502806969008</v>
      </c>
      <c r="K1267" s="774">
        <v>1.0539502806969008</v>
      </c>
      <c r="L1267" s="775">
        <v>1.041520467167893</v>
      </c>
      <c r="M1267" s="775">
        <v>1.0462531479129058</v>
      </c>
      <c r="N1267" s="775">
        <v>1.0477069754422903</v>
      </c>
      <c r="O1267" s="775">
        <v>1.0512217071161676</v>
      </c>
      <c r="P1267" s="774">
        <v>1.0512217071161676</v>
      </c>
      <c r="Q1267" s="775">
        <v>1.0512026377252923</v>
      </c>
      <c r="R1267" s="775">
        <v>1.0546905726451741</v>
      </c>
      <c r="S1267" s="775">
        <v>1.0527523329825792</v>
      </c>
      <c r="T1267" s="775">
        <v>1.0419588611318333</v>
      </c>
      <c r="U1267" s="774">
        <v>1.0419588611318333</v>
      </c>
      <c r="V1267" s="775">
        <v>1.0419356630130359</v>
      </c>
      <c r="W1267" s="775">
        <v>1.0042849221734618</v>
      </c>
      <c r="X1267" s="775">
        <v>1.0048181736886468</v>
      </c>
      <c r="Y1267" s="775">
        <v>1.004828327218303</v>
      </c>
      <c r="Z1267" s="774">
        <v>1.004828327218303</v>
      </c>
      <c r="AA1267" s="775">
        <v>1.0059601091065129</v>
      </c>
      <c r="AB1267" s="775">
        <v>1.0093198791546383</v>
      </c>
      <c r="AC1267" s="775">
        <v>1.1086008286873368</v>
      </c>
      <c r="AD1267" s="775">
        <v>1.1974171247391292</v>
      </c>
      <c r="AE1267" s="774">
        <v>1.1974171247391292</v>
      </c>
      <c r="AF1267" s="775">
        <v>1.1705149643046471</v>
      </c>
      <c r="AG1267" s="775">
        <v>1.2506072690363441</v>
      </c>
      <c r="AH1267" s="775">
        <v>1.2650256436368985</v>
      </c>
      <c r="AI1267" s="775">
        <v>1.23444642257452</v>
      </c>
      <c r="AJ1267" s="774">
        <v>1.23444642257452</v>
      </c>
      <c r="AK1267" s="775">
        <v>1.2700282539055843</v>
      </c>
      <c r="AL1267" s="775">
        <v>1.2075239448781698</v>
      </c>
      <c r="AM1267" s="775">
        <v>1.2855195886753541</v>
      </c>
      <c r="AN1267" s="775">
        <v>1.3455458350637512</v>
      </c>
      <c r="AO1267" s="774">
        <v>1.3455458350637512</v>
      </c>
      <c r="AP1267" s="775">
        <v>1.3450535287687835</v>
      </c>
      <c r="AQ1267" s="775">
        <v>1.3684006005185514</v>
      </c>
      <c r="AR1267" s="775">
        <v>1.4400870671429375</v>
      </c>
      <c r="AS1267" s="775">
        <v>1.4601666070742112</v>
      </c>
      <c r="AT1267" s="774">
        <v>1.4601666070742112</v>
      </c>
      <c r="AU1267" s="775">
        <v>1.4855616445211823</v>
      </c>
      <c r="AV1267" s="775">
        <v>1.5050730070843148</v>
      </c>
      <c r="AW1267" s="775">
        <v>1.4593739065115505</v>
      </c>
      <c r="AX1267" s="775">
        <v>1.3948504686876582</v>
      </c>
      <c r="AY1267" s="774">
        <v>1.3948504686876582</v>
      </c>
      <c r="AZ1267" s="775">
        <v>1.2108341242670186</v>
      </c>
      <c r="BA1267" s="775">
        <v>1.1037116251772967</v>
      </c>
      <c r="BB1267" s="775">
        <v>1.1023646970444485</v>
      </c>
      <c r="BC1267" s="775">
        <v>1.0943445532931271</v>
      </c>
      <c r="BD1267" s="774">
        <v>1.0943445532931271</v>
      </c>
      <c r="BE1267" s="775">
        <v>1.0776263895413463</v>
      </c>
      <c r="BF1267" s="775">
        <v>1.0960563713602884</v>
      </c>
      <c r="BG1267" s="775">
        <v>1.0970025518710564</v>
      </c>
      <c r="BH1267" s="775">
        <v>1.0892074974503994</v>
      </c>
      <c r="BI1267" s="776">
        <v>1.0892074974503994</v>
      </c>
      <c r="BJ1267" s="777">
        <v>1.089</v>
      </c>
      <c r="BK1267" s="777">
        <v>1.089</v>
      </c>
      <c r="BL1267" s="777">
        <v>1.089</v>
      </c>
      <c r="BM1267" s="777">
        <v>1.089</v>
      </c>
      <c r="BN1267" s="774">
        <v>1.089</v>
      </c>
      <c r="BO1267" s="777">
        <v>1.089</v>
      </c>
      <c r="BP1267" s="777">
        <v>1.089</v>
      </c>
      <c r="BQ1267" s="777">
        <v>1.089</v>
      </c>
      <c r="BR1267" s="777">
        <v>1.089</v>
      </c>
      <c r="BS1267" s="774">
        <v>1.089</v>
      </c>
      <c r="BT1267" s="778">
        <v>1.089</v>
      </c>
      <c r="BU1267" s="778">
        <v>1.089</v>
      </c>
      <c r="BV1267" s="778">
        <v>1.089</v>
      </c>
      <c r="BW1267" s="118"/>
    </row>
    <row r="1268" spans="1:75" s="123" customFormat="1" ht="15" hidden="1" customHeight="1" outlineLevel="1" x14ac:dyDescent="0.5">
      <c r="A1268" s="588"/>
      <c r="B1268" s="513"/>
      <c r="C1268" s="779"/>
      <c r="D1268" s="779"/>
      <c r="E1268" s="779"/>
      <c r="F1268" s="779"/>
      <c r="G1268" s="780"/>
      <c r="H1268" s="780"/>
      <c r="I1268" s="780"/>
      <c r="J1268" s="780"/>
      <c r="K1268" s="779"/>
      <c r="L1268" s="780"/>
      <c r="M1268" s="780"/>
      <c r="N1268" s="780"/>
      <c r="O1268" s="780"/>
      <c r="P1268" s="779"/>
      <c r="Q1268" s="780"/>
      <c r="R1268" s="780"/>
      <c r="S1268" s="780"/>
      <c r="T1268" s="780"/>
      <c r="U1268" s="779"/>
      <c r="V1268" s="780"/>
      <c r="W1268" s="780"/>
      <c r="X1268" s="780"/>
      <c r="Y1268" s="780"/>
      <c r="Z1268" s="779"/>
      <c r="AA1268" s="780"/>
      <c r="AB1268" s="780"/>
      <c r="AC1268" s="780"/>
      <c r="AD1268" s="780"/>
      <c r="AE1268" s="779"/>
      <c r="AF1268" s="780"/>
      <c r="AG1268" s="780"/>
      <c r="AH1268" s="780"/>
      <c r="AI1268" s="780"/>
      <c r="AJ1268" s="779"/>
      <c r="AK1268" s="780"/>
      <c r="AL1268" s="780"/>
      <c r="AM1268" s="780"/>
      <c r="AN1268" s="780"/>
      <c r="AO1268" s="779"/>
      <c r="AP1268" s="780"/>
      <c r="AQ1268" s="780"/>
      <c r="AR1268" s="780"/>
      <c r="AS1268" s="780"/>
      <c r="AT1268" s="779"/>
      <c r="AU1268" s="780"/>
      <c r="AV1268" s="780"/>
      <c r="AW1268" s="780"/>
      <c r="AX1268" s="780"/>
      <c r="AY1268" s="779"/>
      <c r="AZ1268" s="780"/>
      <c r="BA1268" s="780"/>
      <c r="BB1268" s="780"/>
      <c r="BC1268" s="780"/>
      <c r="BD1268" s="779"/>
      <c r="BE1268" s="780"/>
      <c r="BF1268" s="780"/>
      <c r="BG1268" s="780"/>
      <c r="BH1268" s="780"/>
      <c r="BI1268" s="781"/>
      <c r="BJ1268" s="780"/>
      <c r="BK1268" s="780"/>
      <c r="BL1268" s="780"/>
      <c r="BM1268" s="780"/>
      <c r="BN1268" s="779"/>
      <c r="BO1268" s="780"/>
      <c r="BP1268" s="780"/>
      <c r="BQ1268" s="780"/>
      <c r="BR1268" s="780"/>
      <c r="BS1268" s="779"/>
      <c r="BT1268" s="779"/>
      <c r="BU1268" s="779"/>
      <c r="BV1268" s="779"/>
      <c r="BW1268" s="122"/>
    </row>
    <row r="1269" spans="1:75" s="123" customFormat="1" ht="15" hidden="1" customHeight="1" outlineLevel="1" x14ac:dyDescent="0.5">
      <c r="A1269" s="588" t="s">
        <v>1217</v>
      </c>
      <c r="B1269" s="513"/>
      <c r="C1269" s="401"/>
      <c r="D1269" s="401"/>
      <c r="E1269" s="401"/>
      <c r="F1269" s="401">
        <v>37.967635000000001</v>
      </c>
      <c r="G1269" s="118">
        <v>38.108091999999999</v>
      </c>
      <c r="H1269" s="118">
        <v>38.912765</v>
      </c>
      <c r="I1269" s="118">
        <v>41.070746</v>
      </c>
      <c r="J1269" s="118">
        <v>41.235555999999995</v>
      </c>
      <c r="K1269" s="401">
        <v>41.235555999999995</v>
      </c>
      <c r="L1269" s="118">
        <v>41.008227999999995</v>
      </c>
      <c r="M1269" s="118">
        <v>41.312853999999994</v>
      </c>
      <c r="N1269" s="118">
        <v>41.409317999999999</v>
      </c>
      <c r="O1269" s="118">
        <v>41.935904000000001</v>
      </c>
      <c r="P1269" s="401">
        <v>41.935904000000001</v>
      </c>
      <c r="Q1269" s="118">
        <v>42.000197999999997</v>
      </c>
      <c r="R1269" s="118">
        <v>42.388898999999995</v>
      </c>
      <c r="S1269" s="118">
        <v>42.525781000000002</v>
      </c>
      <c r="T1269" s="118">
        <v>42.286103000000004</v>
      </c>
      <c r="U1269" s="401">
        <v>42.286103000000004</v>
      </c>
      <c r="V1269" s="118">
        <v>42.308553000000003</v>
      </c>
      <c r="W1269" s="118">
        <v>40.868459000000001</v>
      </c>
      <c r="X1269" s="118">
        <v>40.956856000000009</v>
      </c>
      <c r="Y1269" s="118">
        <v>41.025767000000002</v>
      </c>
      <c r="Z1269" s="401">
        <v>41.025767000000002</v>
      </c>
      <c r="AA1269" s="118">
        <v>33.272703</v>
      </c>
      <c r="AB1269" s="118">
        <v>21.349124999999997</v>
      </c>
      <c r="AC1269" s="118">
        <v>23.619029999999999</v>
      </c>
      <c r="AD1269" s="118">
        <v>25.765229000000001</v>
      </c>
      <c r="AE1269" s="401">
        <v>25.765229000000001</v>
      </c>
      <c r="AF1269" s="118">
        <v>25.2974</v>
      </c>
      <c r="AG1269" s="118">
        <v>27.800297999999998</v>
      </c>
      <c r="AH1269" s="118">
        <v>26.831118</v>
      </c>
      <c r="AI1269" s="118">
        <v>25.278763000000001</v>
      </c>
      <c r="AJ1269" s="401">
        <v>25.278763000000001</v>
      </c>
      <c r="AK1269" s="118">
        <v>23.314944999999998</v>
      </c>
      <c r="AL1269" s="118">
        <v>22.449998999999998</v>
      </c>
      <c r="AM1269" s="118">
        <v>24.332712000000001</v>
      </c>
      <c r="AN1269" s="118">
        <v>25.883835999999999</v>
      </c>
      <c r="AO1269" s="401">
        <v>25.883835999999999</v>
      </c>
      <c r="AP1269" s="118">
        <v>25.911281999999996</v>
      </c>
      <c r="AQ1269" s="118">
        <v>26.664415999999999</v>
      </c>
      <c r="AR1269" s="118">
        <v>28.577743000000002</v>
      </c>
      <c r="AS1269" s="118">
        <v>30.656763000000002</v>
      </c>
      <c r="AT1269" s="401">
        <v>30.656763000000002</v>
      </c>
      <c r="AU1269" s="118">
        <v>31.227305000000001</v>
      </c>
      <c r="AV1269" s="118">
        <v>32.220177000000007</v>
      </c>
      <c r="AW1269" s="118">
        <v>31.325655000000001</v>
      </c>
      <c r="AX1269" s="118">
        <v>29.999002999999998</v>
      </c>
      <c r="AY1269" s="401">
        <v>29.999002999999998</v>
      </c>
      <c r="AZ1269" s="118">
        <v>29.861326000000002</v>
      </c>
      <c r="BA1269" s="118">
        <v>26.174731999999999</v>
      </c>
      <c r="BB1269" s="118">
        <v>26.026319000000001</v>
      </c>
      <c r="BC1269" s="118">
        <v>24.125247000000002</v>
      </c>
      <c r="BD1269" s="401">
        <v>24.125247000000002</v>
      </c>
      <c r="BE1269" s="118">
        <v>23.763010000000001</v>
      </c>
      <c r="BF1269" s="118">
        <v>20.165084</v>
      </c>
      <c r="BG1269" s="118">
        <v>19.985627999999998</v>
      </c>
      <c r="BH1269" s="118">
        <v>19.949503</v>
      </c>
      <c r="BI1269" s="402">
        <v>19.949503</v>
      </c>
      <c r="BJ1269" s="118">
        <v>19.947697127255701</v>
      </c>
      <c r="BK1269" s="118">
        <v>19.949691896968424</v>
      </c>
      <c r="BL1269" s="118">
        <v>19.951686866158123</v>
      </c>
      <c r="BM1269" s="118">
        <v>19.953682034844739</v>
      </c>
      <c r="BN1269" s="401">
        <v>19.953682034844739</v>
      </c>
      <c r="BO1269" s="118">
        <v>19.955677403048224</v>
      </c>
      <c r="BP1269" s="118">
        <v>19.957672970788529</v>
      </c>
      <c r="BQ1269" s="118">
        <v>19.959668738085607</v>
      </c>
      <c r="BR1269" s="118">
        <v>19.961664704959418</v>
      </c>
      <c r="BS1269" s="401">
        <v>19.961664704959418</v>
      </c>
      <c r="BT1269" s="401">
        <v>19.969649370841402</v>
      </c>
      <c r="BU1269" s="401">
        <v>19.977637230589735</v>
      </c>
      <c r="BV1269" s="401">
        <v>19.985628285481972</v>
      </c>
      <c r="BW1269" s="118"/>
    </row>
    <row r="1270" spans="1:75" s="123" customFormat="1" ht="15" hidden="1" customHeight="1" outlineLevel="1" x14ac:dyDescent="0.5">
      <c r="A1270" s="752"/>
      <c r="B1270" s="513"/>
      <c r="C1270" s="401"/>
      <c r="D1270" s="401"/>
      <c r="E1270" s="401"/>
      <c r="F1270" s="401"/>
      <c r="G1270" s="119"/>
      <c r="H1270" s="119"/>
      <c r="I1270" s="119"/>
      <c r="J1270" s="119"/>
      <c r="K1270" s="401"/>
      <c r="L1270" s="119"/>
      <c r="M1270" s="119"/>
      <c r="N1270" s="119"/>
      <c r="O1270" s="119"/>
      <c r="P1270" s="401"/>
      <c r="Q1270" s="119"/>
      <c r="R1270" s="119"/>
      <c r="S1270" s="119"/>
      <c r="T1270" s="119"/>
      <c r="U1270" s="401"/>
      <c r="V1270" s="119"/>
      <c r="W1270" s="119"/>
      <c r="X1270" s="119"/>
      <c r="Y1270" s="119"/>
      <c r="Z1270" s="401"/>
      <c r="AA1270" s="119"/>
      <c r="AB1270" s="119"/>
      <c r="AC1270" s="119"/>
      <c r="AD1270" s="119"/>
      <c r="AE1270" s="401"/>
      <c r="AF1270" s="119"/>
      <c r="AG1270" s="119"/>
      <c r="AH1270" s="119"/>
      <c r="AI1270" s="119"/>
      <c r="AJ1270" s="401"/>
      <c r="AK1270" s="119"/>
      <c r="AL1270" s="119"/>
      <c r="AM1270" s="119"/>
      <c r="AN1270" s="119"/>
      <c r="AO1270" s="401"/>
      <c r="AP1270" s="119"/>
      <c r="AQ1270" s="119"/>
      <c r="AR1270" s="119"/>
      <c r="AS1270" s="119"/>
      <c r="AT1270" s="401"/>
      <c r="AU1270" s="119"/>
      <c r="AV1270" s="119"/>
      <c r="AW1270" s="119"/>
      <c r="AX1270" s="119"/>
      <c r="AY1270" s="401"/>
      <c r="AZ1270" s="119"/>
      <c r="BA1270" s="119"/>
      <c r="BB1270" s="119"/>
      <c r="BC1270" s="119"/>
      <c r="BD1270" s="401"/>
      <c r="BE1270" s="119"/>
      <c r="BF1270" s="119"/>
      <c r="BG1270" s="119"/>
      <c r="BH1270" s="119"/>
      <c r="BI1270" s="402"/>
      <c r="BJ1270" s="119"/>
      <c r="BK1270" s="119"/>
      <c r="BL1270" s="119"/>
      <c r="BM1270" s="119"/>
      <c r="BN1270" s="401"/>
      <c r="BO1270" s="119"/>
      <c r="BP1270" s="119"/>
      <c r="BQ1270" s="119"/>
      <c r="BR1270" s="119"/>
      <c r="BS1270" s="401"/>
      <c r="BT1270" s="401"/>
      <c r="BU1270" s="401"/>
      <c r="BV1270" s="401"/>
      <c r="BW1270" s="122"/>
    </row>
    <row r="1271" spans="1:75" s="123" customFormat="1" ht="15" hidden="1" customHeight="1" outlineLevel="2" x14ac:dyDescent="0.5">
      <c r="A1271" s="184" t="s">
        <v>1218</v>
      </c>
      <c r="B1271" s="513"/>
      <c r="C1271" s="401"/>
      <c r="D1271" s="401"/>
      <c r="E1271" s="401"/>
      <c r="F1271" s="403">
        <v>0</v>
      </c>
      <c r="G1271" s="118"/>
      <c r="H1271" s="118"/>
      <c r="I1271" s="118"/>
      <c r="J1271" s="118"/>
      <c r="K1271" s="401">
        <v>8.1595770000000005</v>
      </c>
      <c r="L1271" s="118"/>
      <c r="M1271" s="118"/>
      <c r="N1271" s="118"/>
      <c r="O1271" s="118"/>
      <c r="P1271" s="401">
        <v>9.1473060000000004</v>
      </c>
      <c r="Q1271" s="118"/>
      <c r="R1271" s="118"/>
      <c r="S1271" s="118"/>
      <c r="T1271" s="118"/>
      <c r="U1271" s="401">
        <v>6.7163060000000012</v>
      </c>
      <c r="V1271" s="118"/>
      <c r="W1271" s="118"/>
      <c r="X1271" s="118"/>
      <c r="Y1271" s="118"/>
      <c r="Z1271" s="401">
        <v>6.5355730000000012</v>
      </c>
      <c r="AA1271" s="118"/>
      <c r="AB1271" s="118"/>
      <c r="AC1271" s="118"/>
      <c r="AD1271" s="118"/>
      <c r="AE1271" s="401">
        <v>8.4736590000000014</v>
      </c>
      <c r="AF1271" s="118"/>
      <c r="AG1271" s="118"/>
      <c r="AH1271" s="118"/>
      <c r="AI1271" s="118"/>
      <c r="AJ1271" s="401">
        <v>8.6165780000000023</v>
      </c>
      <c r="AK1271" s="118"/>
      <c r="AL1271" s="118"/>
      <c r="AM1271" s="118"/>
      <c r="AN1271" s="118"/>
      <c r="AO1271" s="401">
        <v>7.4994160000000019</v>
      </c>
      <c r="AP1271" s="118"/>
      <c r="AQ1271" s="118"/>
      <c r="AR1271" s="118"/>
      <c r="AS1271" s="118"/>
      <c r="AT1271" s="401">
        <v>7.1347350000000027</v>
      </c>
      <c r="AU1271" s="118"/>
      <c r="AV1271" s="118"/>
      <c r="AW1271" s="118"/>
      <c r="AX1271" s="118"/>
      <c r="AY1271" s="401">
        <v>8.4775060000000018</v>
      </c>
      <c r="AZ1271" s="118"/>
      <c r="BA1271" s="118"/>
      <c r="BB1271" s="118"/>
      <c r="BC1271" s="118"/>
      <c r="BD1271" s="401">
        <v>7.7001070000000009</v>
      </c>
      <c r="BE1271" s="118"/>
      <c r="BF1271" s="118"/>
      <c r="BG1271" s="118"/>
      <c r="BH1271" s="118"/>
      <c r="BI1271" s="402">
        <v>3.4159520000000003</v>
      </c>
      <c r="BJ1271" s="118"/>
      <c r="BK1271" s="118"/>
      <c r="BL1271" s="118"/>
      <c r="BM1271" s="118"/>
      <c r="BN1271" s="401"/>
      <c r="BO1271" s="118"/>
      <c r="BP1271" s="118"/>
      <c r="BQ1271" s="118"/>
      <c r="BR1271" s="118"/>
      <c r="BS1271" s="401"/>
      <c r="BT1271" s="401"/>
      <c r="BU1271" s="401"/>
      <c r="BV1271" s="401"/>
      <c r="BW1271" s="119"/>
    </row>
    <row r="1272" spans="1:75" s="123" customFormat="1" ht="15" hidden="1" customHeight="1" outlineLevel="2" x14ac:dyDescent="0.5">
      <c r="A1272" s="496" t="s">
        <v>1219</v>
      </c>
      <c r="B1272" s="513"/>
      <c r="C1272" s="401"/>
      <c r="D1272" s="401"/>
      <c r="E1272" s="401"/>
      <c r="F1272" s="403">
        <v>8.1595770000000005</v>
      </c>
      <c r="G1272" s="118"/>
      <c r="H1272" s="118"/>
      <c r="I1272" s="118"/>
      <c r="J1272" s="118"/>
      <c r="K1272" s="403">
        <v>1.4175</v>
      </c>
      <c r="L1272" s="118"/>
      <c r="M1272" s="118"/>
      <c r="N1272" s="118"/>
      <c r="O1272" s="118"/>
      <c r="P1272" s="403">
        <v>1.2627349999999999</v>
      </c>
      <c r="Q1272" s="118"/>
      <c r="R1272" s="118"/>
      <c r="S1272" s="118"/>
      <c r="T1272" s="118"/>
      <c r="U1272" s="403">
        <v>0.68759999999999999</v>
      </c>
      <c r="V1272" s="118"/>
      <c r="W1272" s="118"/>
      <c r="X1272" s="118"/>
      <c r="Y1272" s="118"/>
      <c r="Z1272" s="403">
        <v>3.0622340000000001</v>
      </c>
      <c r="AA1272" s="118"/>
      <c r="AB1272" s="118"/>
      <c r="AC1272" s="118"/>
      <c r="AD1272" s="118"/>
      <c r="AE1272" s="403">
        <v>1.2423999999999999</v>
      </c>
      <c r="AF1272" s="118"/>
      <c r="AG1272" s="118"/>
      <c r="AH1272" s="118"/>
      <c r="AI1272" s="118"/>
      <c r="AJ1272" s="403">
        <v>0.42835000000000001</v>
      </c>
      <c r="AK1272" s="118"/>
      <c r="AL1272" s="118"/>
      <c r="AM1272" s="118"/>
      <c r="AN1272" s="118"/>
      <c r="AO1272" s="403">
        <v>0.53405000000000002</v>
      </c>
      <c r="AP1272" s="118"/>
      <c r="AQ1272" s="118"/>
      <c r="AR1272" s="118"/>
      <c r="AS1272" s="118"/>
      <c r="AT1272" s="403">
        <v>1.7692000000000001</v>
      </c>
      <c r="AU1272" s="118"/>
      <c r="AV1272" s="118"/>
      <c r="AW1272" s="118"/>
      <c r="AX1272" s="118"/>
      <c r="AY1272" s="403">
        <v>0.15045</v>
      </c>
      <c r="AZ1272" s="118"/>
      <c r="BA1272" s="118"/>
      <c r="BB1272" s="118"/>
      <c r="BC1272" s="118"/>
      <c r="BD1272" s="403">
        <v>8.5500000000000007E-2</v>
      </c>
      <c r="BE1272" s="118"/>
      <c r="BF1272" s="118"/>
      <c r="BG1272" s="118"/>
      <c r="BH1272" s="118"/>
      <c r="BI1272" s="514">
        <v>0.38574999999999998</v>
      </c>
      <c r="BJ1272" s="118"/>
      <c r="BK1272" s="118"/>
      <c r="BL1272" s="118"/>
      <c r="BM1272" s="118"/>
      <c r="BN1272" s="401"/>
      <c r="BO1272" s="118"/>
      <c r="BP1272" s="118"/>
      <c r="BQ1272" s="118"/>
      <c r="BR1272" s="118"/>
      <c r="BS1272" s="401"/>
      <c r="BT1272" s="401"/>
      <c r="BU1272" s="401"/>
      <c r="BV1272" s="401"/>
      <c r="BW1272" s="119"/>
    </row>
    <row r="1273" spans="1:75" s="123" customFormat="1" ht="15" hidden="1" customHeight="1" outlineLevel="2" x14ac:dyDescent="0.5">
      <c r="A1273" s="496" t="s">
        <v>1220</v>
      </c>
      <c r="B1273" s="513"/>
      <c r="C1273" s="401"/>
      <c r="D1273" s="401"/>
      <c r="E1273" s="401"/>
      <c r="F1273" s="403">
        <v>0</v>
      </c>
      <c r="G1273" s="118"/>
      <c r="H1273" s="118"/>
      <c r="I1273" s="118"/>
      <c r="J1273" s="118"/>
      <c r="K1273" s="403">
        <v>-0.31777100000000003</v>
      </c>
      <c r="L1273" s="118"/>
      <c r="M1273" s="118"/>
      <c r="N1273" s="118"/>
      <c r="O1273" s="118"/>
      <c r="P1273" s="403">
        <v>-1.603534</v>
      </c>
      <c r="Q1273" s="118"/>
      <c r="R1273" s="118"/>
      <c r="S1273" s="118"/>
      <c r="T1273" s="118"/>
      <c r="U1273" s="403">
        <v>-0.61064099999999999</v>
      </c>
      <c r="V1273" s="118"/>
      <c r="W1273" s="118"/>
      <c r="X1273" s="118"/>
      <c r="Y1273" s="118"/>
      <c r="Z1273" s="403">
        <v>-0.17558499999999999</v>
      </c>
      <c r="AA1273" s="118"/>
      <c r="AB1273" s="118"/>
      <c r="AC1273" s="118"/>
      <c r="AD1273" s="118"/>
      <c r="AE1273" s="403">
        <v>-0.72959300000000005</v>
      </c>
      <c r="AF1273" s="118"/>
      <c r="AG1273" s="118"/>
      <c r="AH1273" s="118"/>
      <c r="AI1273" s="118"/>
      <c r="AJ1273" s="403">
        <v>-0.88227199999999995</v>
      </c>
      <c r="AK1273" s="118"/>
      <c r="AL1273" s="118"/>
      <c r="AM1273" s="118"/>
      <c r="AN1273" s="118"/>
      <c r="AO1273" s="403">
        <v>-0.64309000000000005</v>
      </c>
      <c r="AP1273" s="118"/>
      <c r="AQ1273" s="118"/>
      <c r="AR1273" s="118"/>
      <c r="AS1273" s="118"/>
      <c r="AT1273" s="403">
        <v>-0.29294900000000001</v>
      </c>
      <c r="AU1273" s="118"/>
      <c r="AV1273" s="118"/>
      <c r="AW1273" s="118"/>
      <c r="AX1273" s="118"/>
      <c r="AY1273" s="403">
        <v>-0.466974</v>
      </c>
      <c r="AZ1273" s="118"/>
      <c r="BA1273" s="118"/>
      <c r="BB1273" s="118"/>
      <c r="BC1273" s="118"/>
      <c r="BD1273" s="403">
        <v>-4.2492850000000004</v>
      </c>
      <c r="BE1273" s="118"/>
      <c r="BF1273" s="118"/>
      <c r="BG1273" s="118"/>
      <c r="BH1273" s="118"/>
      <c r="BI1273" s="514">
        <v>-0.15048600000000001</v>
      </c>
      <c r="BJ1273" s="118"/>
      <c r="BK1273" s="118"/>
      <c r="BL1273" s="118"/>
      <c r="BM1273" s="118"/>
      <c r="BN1273" s="401"/>
      <c r="BO1273" s="118"/>
      <c r="BP1273" s="118"/>
      <c r="BQ1273" s="118"/>
      <c r="BR1273" s="118"/>
      <c r="BS1273" s="401"/>
      <c r="BT1273" s="401"/>
      <c r="BU1273" s="401"/>
      <c r="BV1273" s="401"/>
      <c r="BW1273" s="119"/>
    </row>
    <row r="1274" spans="1:75" s="123" customFormat="1" ht="15" hidden="1" customHeight="1" outlineLevel="3" x14ac:dyDescent="0.5">
      <c r="A1274" s="513" t="s">
        <v>1221</v>
      </c>
      <c r="B1274" s="513"/>
      <c r="C1274" s="401"/>
      <c r="D1274" s="401"/>
      <c r="E1274" s="401"/>
      <c r="F1274" s="403">
        <v>0</v>
      </c>
      <c r="G1274" s="118"/>
      <c r="H1274" s="118"/>
      <c r="I1274" s="118"/>
      <c r="J1274" s="118"/>
      <c r="K1274" s="403">
        <v>-9.5674999999999996E-2</v>
      </c>
      <c r="L1274" s="118"/>
      <c r="M1274" s="118"/>
      <c r="N1274" s="118"/>
      <c r="O1274" s="118"/>
      <c r="P1274" s="403">
        <v>-5.4882E-2</v>
      </c>
      <c r="Q1274" s="118"/>
      <c r="R1274" s="118"/>
      <c r="S1274" s="118"/>
      <c r="T1274" s="118"/>
      <c r="U1274" s="401"/>
      <c r="V1274" s="118"/>
      <c r="W1274" s="118"/>
      <c r="X1274" s="118"/>
      <c r="Y1274" s="118"/>
      <c r="Z1274" s="401"/>
      <c r="AA1274" s="118"/>
      <c r="AB1274" s="118"/>
      <c r="AC1274" s="118"/>
      <c r="AD1274" s="118"/>
      <c r="AE1274" s="401"/>
      <c r="AF1274" s="118"/>
      <c r="AG1274" s="118"/>
      <c r="AH1274" s="118"/>
      <c r="AI1274" s="118"/>
      <c r="AJ1274" s="401"/>
      <c r="AK1274" s="118"/>
      <c r="AL1274" s="118"/>
      <c r="AM1274" s="118"/>
      <c r="AN1274" s="118"/>
      <c r="AO1274" s="401"/>
      <c r="AP1274" s="118"/>
      <c r="AQ1274" s="118"/>
      <c r="AR1274" s="118"/>
      <c r="AS1274" s="118"/>
      <c r="AT1274" s="401"/>
      <c r="AU1274" s="118"/>
      <c r="AV1274" s="118"/>
      <c r="AW1274" s="118"/>
      <c r="AX1274" s="118"/>
      <c r="AY1274" s="401"/>
      <c r="AZ1274" s="118"/>
      <c r="BA1274" s="118"/>
      <c r="BB1274" s="118"/>
      <c r="BC1274" s="118"/>
      <c r="BD1274" s="401"/>
      <c r="BE1274" s="118"/>
      <c r="BF1274" s="118"/>
      <c r="BG1274" s="118"/>
      <c r="BH1274" s="118"/>
      <c r="BI1274" s="402"/>
      <c r="BJ1274" s="118"/>
      <c r="BK1274" s="118"/>
      <c r="BL1274" s="118"/>
      <c r="BM1274" s="118"/>
      <c r="BN1274" s="401"/>
      <c r="BO1274" s="118"/>
      <c r="BP1274" s="118"/>
      <c r="BQ1274" s="118"/>
      <c r="BR1274" s="118"/>
      <c r="BS1274" s="401"/>
      <c r="BT1274" s="401"/>
      <c r="BU1274" s="401"/>
      <c r="BV1274" s="401"/>
      <c r="BW1274" s="119"/>
    </row>
    <row r="1275" spans="1:75" s="123" customFormat="1" ht="15" hidden="1" customHeight="1" outlineLevel="3" x14ac:dyDescent="0.5">
      <c r="A1275" s="677" t="s">
        <v>1222</v>
      </c>
      <c r="B1275" s="677"/>
      <c r="C1275" s="406"/>
      <c r="D1275" s="406"/>
      <c r="E1275" s="406"/>
      <c r="F1275" s="406"/>
      <c r="G1275" s="723"/>
      <c r="H1275" s="723"/>
      <c r="I1275" s="723"/>
      <c r="J1275" s="723"/>
      <c r="K1275" s="406"/>
      <c r="L1275" s="723"/>
      <c r="M1275" s="723"/>
      <c r="N1275" s="723"/>
      <c r="O1275" s="723"/>
      <c r="P1275" s="406"/>
      <c r="Q1275" s="723"/>
      <c r="R1275" s="723"/>
      <c r="S1275" s="723"/>
      <c r="T1275" s="723"/>
      <c r="U1275" s="408">
        <v>-0.25769199999999998</v>
      </c>
      <c r="V1275" s="723"/>
      <c r="W1275" s="723"/>
      <c r="X1275" s="723"/>
      <c r="Y1275" s="723"/>
      <c r="Z1275" s="408">
        <v>-0.94856300000000005</v>
      </c>
      <c r="AA1275" s="723"/>
      <c r="AB1275" s="723"/>
      <c r="AC1275" s="723"/>
      <c r="AD1275" s="723"/>
      <c r="AE1275" s="408">
        <v>-0.36988799999999999</v>
      </c>
      <c r="AF1275" s="723"/>
      <c r="AG1275" s="723"/>
      <c r="AH1275" s="723"/>
      <c r="AI1275" s="723"/>
      <c r="AJ1275" s="408">
        <v>-0.66324000000000005</v>
      </c>
      <c r="AK1275" s="723"/>
      <c r="AL1275" s="723"/>
      <c r="AM1275" s="723"/>
      <c r="AN1275" s="723"/>
      <c r="AO1275" s="408">
        <v>-0.25564100000000001</v>
      </c>
      <c r="AP1275" s="723"/>
      <c r="AQ1275" s="723"/>
      <c r="AR1275" s="723"/>
      <c r="AS1275" s="723"/>
      <c r="AT1275" s="408">
        <v>-0.13347999999999999</v>
      </c>
      <c r="AU1275" s="723"/>
      <c r="AV1275" s="723"/>
      <c r="AW1275" s="723"/>
      <c r="AX1275" s="723"/>
      <c r="AY1275" s="408">
        <v>-0.46087499999999998</v>
      </c>
      <c r="AZ1275" s="723"/>
      <c r="BA1275" s="723"/>
      <c r="BB1275" s="723"/>
      <c r="BC1275" s="723"/>
      <c r="BD1275" s="408">
        <v>-0.12037</v>
      </c>
      <c r="BE1275" s="723"/>
      <c r="BF1275" s="723"/>
      <c r="BG1275" s="723"/>
      <c r="BH1275" s="723"/>
      <c r="BI1275" s="515">
        <v>-7.4660000000000004E-2</v>
      </c>
      <c r="BJ1275" s="723"/>
      <c r="BK1275" s="723"/>
      <c r="BL1275" s="723"/>
      <c r="BM1275" s="723"/>
      <c r="BN1275" s="406"/>
      <c r="BO1275" s="723"/>
      <c r="BP1275" s="723"/>
      <c r="BQ1275" s="723"/>
      <c r="BR1275" s="723"/>
      <c r="BS1275" s="406"/>
      <c r="BT1275" s="406"/>
      <c r="BU1275" s="406"/>
      <c r="BV1275" s="406"/>
      <c r="BW1275" s="119"/>
    </row>
    <row r="1276" spans="1:75" s="123" customFormat="1" ht="15" hidden="1" customHeight="1" outlineLevel="2" x14ac:dyDescent="0.5">
      <c r="A1276" s="496" t="s">
        <v>1223</v>
      </c>
      <c r="B1276" s="513"/>
      <c r="C1276" s="401"/>
      <c r="D1276" s="401"/>
      <c r="E1276" s="401"/>
      <c r="F1276" s="401">
        <v>0</v>
      </c>
      <c r="G1276" s="118"/>
      <c r="H1276" s="118"/>
      <c r="I1276" s="118"/>
      <c r="J1276" s="118"/>
      <c r="K1276" s="401">
        <v>-9.5674999999999996E-2</v>
      </c>
      <c r="L1276" s="118"/>
      <c r="M1276" s="118"/>
      <c r="N1276" s="118"/>
      <c r="O1276" s="118"/>
      <c r="P1276" s="401">
        <v>-5.4882E-2</v>
      </c>
      <c r="Q1276" s="118"/>
      <c r="R1276" s="118"/>
      <c r="S1276" s="118"/>
      <c r="T1276" s="118"/>
      <c r="U1276" s="401">
        <v>-0.25769199999999998</v>
      </c>
      <c r="V1276" s="118"/>
      <c r="W1276" s="118"/>
      <c r="X1276" s="118"/>
      <c r="Y1276" s="118"/>
      <c r="Z1276" s="401">
        <v>-0.94856300000000005</v>
      </c>
      <c r="AA1276" s="118"/>
      <c r="AB1276" s="118"/>
      <c r="AC1276" s="118"/>
      <c r="AD1276" s="118"/>
      <c r="AE1276" s="401">
        <v>-0.36988799999999999</v>
      </c>
      <c r="AF1276" s="118"/>
      <c r="AG1276" s="118"/>
      <c r="AH1276" s="118"/>
      <c r="AI1276" s="118"/>
      <c r="AJ1276" s="401">
        <v>-0.66324000000000005</v>
      </c>
      <c r="AK1276" s="118"/>
      <c r="AL1276" s="118"/>
      <c r="AM1276" s="118"/>
      <c r="AN1276" s="118"/>
      <c r="AO1276" s="401">
        <v>-0.25564100000000001</v>
      </c>
      <c r="AP1276" s="118"/>
      <c r="AQ1276" s="118"/>
      <c r="AR1276" s="118"/>
      <c r="AS1276" s="118"/>
      <c r="AT1276" s="401">
        <v>-0.13347999999999999</v>
      </c>
      <c r="AU1276" s="118"/>
      <c r="AV1276" s="118"/>
      <c r="AW1276" s="118"/>
      <c r="AX1276" s="118"/>
      <c r="AY1276" s="401">
        <v>-0.46087499999999998</v>
      </c>
      <c r="AZ1276" s="118"/>
      <c r="BA1276" s="118"/>
      <c r="BB1276" s="118"/>
      <c r="BC1276" s="118"/>
      <c r="BD1276" s="401">
        <v>-0.12037</v>
      </c>
      <c r="BE1276" s="118"/>
      <c r="BF1276" s="118"/>
      <c r="BG1276" s="118"/>
      <c r="BH1276" s="118"/>
      <c r="BI1276" s="402">
        <v>-7.4660000000000004E-2</v>
      </c>
      <c r="BJ1276" s="118"/>
      <c r="BK1276" s="118"/>
      <c r="BL1276" s="118"/>
      <c r="BM1276" s="118"/>
      <c r="BN1276" s="401"/>
      <c r="BO1276" s="118"/>
      <c r="BP1276" s="118"/>
      <c r="BQ1276" s="118"/>
      <c r="BR1276" s="118"/>
      <c r="BS1276" s="401"/>
      <c r="BT1276" s="401"/>
      <c r="BU1276" s="401"/>
      <c r="BV1276" s="401"/>
      <c r="BW1276" s="119"/>
    </row>
    <row r="1277" spans="1:75" s="123" customFormat="1" ht="15" hidden="1" customHeight="1" outlineLevel="2" x14ac:dyDescent="0.5">
      <c r="A1277" s="497" t="s">
        <v>1224</v>
      </c>
      <c r="B1277" s="677"/>
      <c r="C1277" s="406"/>
      <c r="D1277" s="406"/>
      <c r="E1277" s="406"/>
      <c r="F1277" s="406"/>
      <c r="G1277" s="723"/>
      <c r="H1277" s="723"/>
      <c r="I1277" s="723"/>
      <c r="J1277" s="723"/>
      <c r="K1277" s="408">
        <v>-1.6324999999999999E-2</v>
      </c>
      <c r="L1277" s="723"/>
      <c r="M1277" s="723"/>
      <c r="N1277" s="723"/>
      <c r="O1277" s="723"/>
      <c r="P1277" s="408">
        <v>-2.0353189999999999</v>
      </c>
      <c r="Q1277" s="723"/>
      <c r="R1277" s="723"/>
      <c r="S1277" s="723"/>
      <c r="T1277" s="723"/>
      <c r="U1277" s="406"/>
      <c r="V1277" s="723"/>
      <c r="W1277" s="723"/>
      <c r="X1277" s="723"/>
      <c r="Y1277" s="723"/>
      <c r="Z1277" s="406"/>
      <c r="AA1277" s="723"/>
      <c r="AB1277" s="723"/>
      <c r="AC1277" s="723"/>
      <c r="AD1277" s="723"/>
      <c r="AE1277" s="406"/>
      <c r="AF1277" s="723"/>
      <c r="AG1277" s="723"/>
      <c r="AH1277" s="723"/>
      <c r="AI1277" s="723"/>
      <c r="AJ1277" s="406"/>
      <c r="AK1277" s="723"/>
      <c r="AL1277" s="723"/>
      <c r="AM1277" s="723"/>
      <c r="AN1277" s="723"/>
      <c r="AO1277" s="406"/>
      <c r="AP1277" s="723"/>
      <c r="AQ1277" s="723"/>
      <c r="AR1277" s="723"/>
      <c r="AS1277" s="723"/>
      <c r="AT1277" s="406"/>
      <c r="AU1277" s="723"/>
      <c r="AV1277" s="723"/>
      <c r="AW1277" s="723"/>
      <c r="AX1277" s="723"/>
      <c r="AY1277" s="406"/>
      <c r="AZ1277" s="723"/>
      <c r="BA1277" s="723"/>
      <c r="BB1277" s="723"/>
      <c r="BC1277" s="723"/>
      <c r="BD1277" s="406"/>
      <c r="BE1277" s="723"/>
      <c r="BF1277" s="723"/>
      <c r="BG1277" s="723"/>
      <c r="BH1277" s="723"/>
      <c r="BI1277" s="407"/>
      <c r="BJ1277" s="723"/>
      <c r="BK1277" s="723"/>
      <c r="BL1277" s="723"/>
      <c r="BM1277" s="723"/>
      <c r="BN1277" s="406"/>
      <c r="BO1277" s="723"/>
      <c r="BP1277" s="723"/>
      <c r="BQ1277" s="723"/>
      <c r="BR1277" s="723"/>
      <c r="BS1277" s="406"/>
      <c r="BT1277" s="406"/>
      <c r="BU1277" s="406"/>
      <c r="BV1277" s="406"/>
      <c r="BW1277" s="119"/>
    </row>
    <row r="1278" spans="1:75" s="123" customFormat="1" ht="15" hidden="1" customHeight="1" outlineLevel="1" x14ac:dyDescent="0.5">
      <c r="A1278" s="184" t="s">
        <v>1225</v>
      </c>
      <c r="B1278" s="513"/>
      <c r="C1278" s="401"/>
      <c r="D1278" s="401"/>
      <c r="E1278" s="401"/>
      <c r="F1278" s="401">
        <v>8.1595770000000005</v>
      </c>
      <c r="G1278" s="302">
        <v>8.2465770000000003</v>
      </c>
      <c r="H1278" s="302">
        <v>9.3620660000000004</v>
      </c>
      <c r="I1278" s="302">
        <v>9.4105299999999996</v>
      </c>
      <c r="J1278" s="118">
        <v>9.1473060000000004</v>
      </c>
      <c r="K1278" s="401">
        <v>9.1473060000000004</v>
      </c>
      <c r="L1278" s="302">
        <v>6.1340909999999997</v>
      </c>
      <c r="M1278" s="302">
        <v>7.0676350000000001</v>
      </c>
      <c r="N1278" s="302">
        <v>7.0624469999999997</v>
      </c>
      <c r="O1278" s="118">
        <v>6.7163060000000012</v>
      </c>
      <c r="P1278" s="401">
        <v>6.7163060000000012</v>
      </c>
      <c r="Q1278" s="302">
        <v>6.7895620000000001</v>
      </c>
      <c r="R1278" s="302">
        <v>6.925446</v>
      </c>
      <c r="S1278" s="302">
        <v>6.6817919999999997</v>
      </c>
      <c r="T1278" s="118">
        <v>6.5355730000000012</v>
      </c>
      <c r="U1278" s="401">
        <v>6.5355730000000012</v>
      </c>
      <c r="V1278" s="302">
        <v>7.5902570000000003</v>
      </c>
      <c r="W1278" s="302">
        <v>8.7828710000000001</v>
      </c>
      <c r="X1278" s="302">
        <v>8.5944870000000009</v>
      </c>
      <c r="Y1278" s="118">
        <v>8.4736590000000014</v>
      </c>
      <c r="Z1278" s="401">
        <v>8.4736590000000014</v>
      </c>
      <c r="AA1278" s="302">
        <v>8.2212490000000003</v>
      </c>
      <c r="AB1278" s="302">
        <v>8.9972100000000008</v>
      </c>
      <c r="AC1278" s="302">
        <v>8.8375859999999999</v>
      </c>
      <c r="AD1278" s="118">
        <v>8.6165780000000023</v>
      </c>
      <c r="AE1278" s="401">
        <v>8.6165780000000023</v>
      </c>
      <c r="AF1278" s="302">
        <v>8.5647389999999994</v>
      </c>
      <c r="AG1278" s="302">
        <v>8.0319979999999997</v>
      </c>
      <c r="AH1278" s="302">
        <v>7.6824490000000001</v>
      </c>
      <c r="AI1278" s="118">
        <v>7.4994160000000019</v>
      </c>
      <c r="AJ1278" s="401">
        <v>7.4994160000000019</v>
      </c>
      <c r="AK1278" s="302">
        <v>7.7611270000000001</v>
      </c>
      <c r="AL1278" s="302">
        <v>7.6118160000000001</v>
      </c>
      <c r="AM1278" s="302">
        <v>7.3093859999999999</v>
      </c>
      <c r="AN1278" s="118">
        <v>7.1347350000000027</v>
      </c>
      <c r="AO1278" s="401">
        <v>7.1347350000000027</v>
      </c>
      <c r="AP1278" s="302">
        <v>7.7667650000000004</v>
      </c>
      <c r="AQ1278" s="302">
        <v>7.6970369999999999</v>
      </c>
      <c r="AR1278" s="302">
        <v>8.5355690000000006</v>
      </c>
      <c r="AS1278" s="118">
        <v>8.4775060000000018</v>
      </c>
      <c r="AT1278" s="401">
        <v>8.4775060000000018</v>
      </c>
      <c r="AU1278" s="302">
        <v>8.5080740000000006</v>
      </c>
      <c r="AV1278" s="302">
        <v>7.8950500000000003</v>
      </c>
      <c r="AW1278" s="302">
        <v>7.8443059999999996</v>
      </c>
      <c r="AX1278" s="118">
        <v>7.7001070000000009</v>
      </c>
      <c r="AY1278" s="401">
        <v>7.7001070000000009</v>
      </c>
      <c r="AZ1278" s="302">
        <v>4.527577</v>
      </c>
      <c r="BA1278" s="302">
        <v>4.4468620000000003</v>
      </c>
      <c r="BB1278" s="302">
        <v>4.473306</v>
      </c>
      <c r="BC1278" s="118">
        <v>3.4159520000000003</v>
      </c>
      <c r="BD1278" s="401">
        <v>3.4159520000000003</v>
      </c>
      <c r="BE1278" s="302">
        <v>3.3934600000000001</v>
      </c>
      <c r="BF1278" s="302">
        <v>3.6399759999999999</v>
      </c>
      <c r="BG1278" s="302">
        <v>3.6376249999999999</v>
      </c>
      <c r="BH1278" s="118">
        <v>3.5765560000000001</v>
      </c>
      <c r="BI1278" s="402">
        <v>3.5765560000000001</v>
      </c>
      <c r="BJ1278" s="118"/>
      <c r="BK1278" s="118"/>
      <c r="BL1278" s="118"/>
      <c r="BM1278" s="118"/>
      <c r="BN1278" s="401"/>
      <c r="BO1278" s="118"/>
      <c r="BP1278" s="118"/>
      <c r="BQ1278" s="118"/>
      <c r="BR1278" s="118"/>
      <c r="BS1278" s="401"/>
      <c r="BT1278" s="401"/>
      <c r="BU1278" s="401"/>
      <c r="BV1278" s="401"/>
      <c r="BW1278" s="119"/>
    </row>
    <row r="1279" spans="1:75" s="123" customFormat="1" ht="15" hidden="1" customHeight="1" outlineLevel="2" x14ac:dyDescent="0.5">
      <c r="A1279" s="782"/>
      <c r="B1279" s="783"/>
      <c r="C1279" s="784"/>
      <c r="D1279" s="784"/>
      <c r="E1279" s="784"/>
      <c r="F1279" s="784"/>
      <c r="G1279" s="785"/>
      <c r="H1279" s="785"/>
      <c r="I1279" s="785"/>
      <c r="J1279" s="785"/>
      <c r="K1279" s="784"/>
      <c r="L1279" s="785"/>
      <c r="M1279" s="785"/>
      <c r="N1279" s="785"/>
      <c r="O1279" s="785"/>
      <c r="P1279" s="784"/>
      <c r="Q1279" s="785"/>
      <c r="R1279" s="785"/>
      <c r="S1279" s="785"/>
      <c r="T1279" s="785"/>
      <c r="U1279" s="784"/>
      <c r="V1279" s="785"/>
      <c r="W1279" s="785"/>
      <c r="X1279" s="785"/>
      <c r="Y1279" s="785"/>
      <c r="Z1279" s="784"/>
      <c r="AA1279" s="785"/>
      <c r="AB1279" s="785"/>
      <c r="AC1279" s="785"/>
      <c r="AD1279" s="785"/>
      <c r="AE1279" s="784"/>
      <c r="AF1279" s="785"/>
      <c r="AG1279" s="785"/>
      <c r="AH1279" s="785"/>
      <c r="AI1279" s="785"/>
      <c r="AJ1279" s="784"/>
      <c r="AK1279" s="785"/>
      <c r="AL1279" s="785"/>
      <c r="AM1279" s="785"/>
      <c r="AN1279" s="785"/>
      <c r="AO1279" s="784"/>
      <c r="AP1279" s="785"/>
      <c r="AQ1279" s="785"/>
      <c r="AR1279" s="785"/>
      <c r="AS1279" s="785"/>
      <c r="AT1279" s="784"/>
      <c r="AU1279" s="785"/>
      <c r="AV1279" s="785"/>
      <c r="AW1279" s="785"/>
      <c r="AX1279" s="785"/>
      <c r="AY1279" s="784"/>
      <c r="AZ1279" s="785"/>
      <c r="BA1279" s="785"/>
      <c r="BB1279" s="785"/>
      <c r="BC1279" s="785"/>
      <c r="BD1279" s="784"/>
      <c r="BE1279" s="785"/>
      <c r="BF1279" s="785"/>
      <c r="BG1279" s="785"/>
      <c r="BH1279" s="785"/>
      <c r="BI1279" s="786"/>
      <c r="BJ1279" s="785"/>
      <c r="BK1279" s="785"/>
      <c r="BL1279" s="785"/>
      <c r="BM1279" s="785"/>
      <c r="BN1279" s="784"/>
      <c r="BO1279" s="785"/>
      <c r="BP1279" s="785"/>
      <c r="BQ1279" s="785"/>
      <c r="BR1279" s="785"/>
      <c r="BS1279" s="784"/>
      <c r="BT1279" s="784"/>
      <c r="BU1279" s="784"/>
      <c r="BV1279" s="784"/>
      <c r="BW1279" s="787"/>
    </row>
    <row r="1280" spans="1:75" s="794" customFormat="1" ht="15" hidden="1" customHeight="1" outlineLevel="2" x14ac:dyDescent="0.5">
      <c r="A1280" s="788" t="s">
        <v>1226</v>
      </c>
      <c r="B1280" s="789"/>
      <c r="C1280" s="790"/>
      <c r="D1280" s="790"/>
      <c r="E1280" s="790"/>
      <c r="F1280" s="790"/>
      <c r="G1280" s="791"/>
      <c r="H1280" s="791"/>
      <c r="I1280" s="791"/>
      <c r="J1280" s="791"/>
      <c r="K1280" s="792">
        <v>41.41</v>
      </c>
      <c r="L1280" s="791"/>
      <c r="M1280" s="791"/>
      <c r="N1280" s="791"/>
      <c r="O1280" s="791"/>
      <c r="P1280" s="792">
        <v>46.46</v>
      </c>
      <c r="Q1280" s="791"/>
      <c r="R1280" s="791"/>
      <c r="S1280" s="791"/>
      <c r="T1280" s="791"/>
      <c r="U1280" s="792">
        <v>51.26</v>
      </c>
      <c r="V1280" s="791"/>
      <c r="W1280" s="791"/>
      <c r="X1280" s="791"/>
      <c r="Y1280" s="791"/>
      <c r="Z1280" s="792">
        <v>55.71</v>
      </c>
      <c r="AA1280" s="791"/>
      <c r="AB1280" s="791"/>
      <c r="AC1280" s="791"/>
      <c r="AD1280" s="791"/>
      <c r="AE1280" s="792">
        <v>49</v>
      </c>
      <c r="AF1280" s="791"/>
      <c r="AG1280" s="791"/>
      <c r="AH1280" s="791"/>
      <c r="AI1280" s="791"/>
      <c r="AJ1280" s="792">
        <v>50.31</v>
      </c>
      <c r="AK1280" s="791"/>
      <c r="AL1280" s="791"/>
      <c r="AM1280" s="791"/>
      <c r="AN1280" s="791"/>
      <c r="AO1280" s="792">
        <v>54.37</v>
      </c>
      <c r="AP1280" s="791"/>
      <c r="AQ1280" s="791"/>
      <c r="AR1280" s="791"/>
      <c r="AS1280" s="791"/>
      <c r="AT1280" s="792">
        <v>58.34</v>
      </c>
      <c r="AU1280" s="791"/>
      <c r="AV1280" s="791"/>
      <c r="AW1280" s="791"/>
      <c r="AX1280" s="791"/>
      <c r="AY1280" s="792">
        <v>102.44</v>
      </c>
      <c r="AZ1280" s="791"/>
      <c r="BA1280" s="791"/>
      <c r="BB1280" s="791"/>
      <c r="BC1280" s="791"/>
      <c r="BD1280" s="792">
        <v>111.76</v>
      </c>
      <c r="BE1280" s="791"/>
      <c r="BF1280" s="791"/>
      <c r="BG1280" s="791"/>
      <c r="BH1280" s="791"/>
      <c r="BI1280" s="793">
        <v>180.03</v>
      </c>
      <c r="BJ1280" s="791"/>
      <c r="BK1280" s="791"/>
      <c r="BL1280" s="791"/>
      <c r="BM1280" s="791"/>
      <c r="BN1280" s="790"/>
      <c r="BO1280" s="791"/>
      <c r="BP1280" s="791"/>
      <c r="BQ1280" s="791"/>
      <c r="BR1280" s="791"/>
      <c r="BS1280" s="790"/>
      <c r="BT1280" s="790"/>
      <c r="BU1280" s="790"/>
      <c r="BV1280" s="790"/>
      <c r="BW1280" s="791"/>
    </row>
    <row r="1281" spans="1:75" s="794" customFormat="1" ht="15" hidden="1" customHeight="1" outlineLevel="2" x14ac:dyDescent="0.5">
      <c r="A1281" s="795" t="s">
        <v>1227</v>
      </c>
      <c r="B1281" s="789"/>
      <c r="C1281" s="790"/>
      <c r="D1281" s="790"/>
      <c r="E1281" s="790"/>
      <c r="F1281" s="792">
        <v>41.41</v>
      </c>
      <c r="G1281" s="791"/>
      <c r="H1281" s="791"/>
      <c r="I1281" s="791"/>
      <c r="J1281" s="791"/>
      <c r="K1281" s="792">
        <v>70.319999999999993</v>
      </c>
      <c r="L1281" s="791"/>
      <c r="M1281" s="791"/>
      <c r="N1281" s="791"/>
      <c r="O1281" s="791"/>
      <c r="P1281" s="792">
        <v>62.97</v>
      </c>
      <c r="Q1281" s="791"/>
      <c r="R1281" s="791"/>
      <c r="S1281" s="791"/>
      <c r="T1281" s="791"/>
      <c r="U1281" s="792">
        <v>89.75</v>
      </c>
      <c r="V1281" s="791"/>
      <c r="W1281" s="791"/>
      <c r="X1281" s="791"/>
      <c r="Y1281" s="791"/>
      <c r="Z1281" s="792">
        <v>35.82</v>
      </c>
      <c r="AA1281" s="791"/>
      <c r="AB1281" s="791"/>
      <c r="AC1281" s="791"/>
      <c r="AD1281" s="791"/>
      <c r="AE1281" s="792">
        <v>50.21</v>
      </c>
      <c r="AF1281" s="791"/>
      <c r="AG1281" s="791"/>
      <c r="AH1281" s="791"/>
      <c r="AI1281" s="791"/>
      <c r="AJ1281" s="792">
        <v>123.13</v>
      </c>
      <c r="AK1281" s="791"/>
      <c r="AL1281" s="791"/>
      <c r="AM1281" s="791"/>
      <c r="AN1281" s="791"/>
      <c r="AO1281" s="792">
        <v>110.17</v>
      </c>
      <c r="AP1281" s="791"/>
      <c r="AQ1281" s="791"/>
      <c r="AR1281" s="791"/>
      <c r="AS1281" s="791"/>
      <c r="AT1281" s="792">
        <v>273.61</v>
      </c>
      <c r="AU1281" s="791"/>
      <c r="AV1281" s="791"/>
      <c r="AW1281" s="791"/>
      <c r="AX1281" s="791"/>
      <c r="AY1281" s="792">
        <v>618.79</v>
      </c>
      <c r="AZ1281" s="791"/>
      <c r="BA1281" s="791"/>
      <c r="BB1281" s="791"/>
      <c r="BC1281" s="791"/>
      <c r="BD1281" s="792">
        <v>263.56</v>
      </c>
      <c r="BE1281" s="791"/>
      <c r="BF1281" s="791"/>
      <c r="BG1281" s="791"/>
      <c r="BH1281" s="791"/>
      <c r="BI1281" s="796">
        <v>267.89999999999998</v>
      </c>
      <c r="BJ1281" s="791"/>
      <c r="BK1281" s="791"/>
      <c r="BL1281" s="791"/>
      <c r="BM1281" s="791"/>
      <c r="BN1281" s="790"/>
      <c r="BO1281" s="791"/>
      <c r="BP1281" s="791"/>
      <c r="BQ1281" s="791"/>
      <c r="BR1281" s="791"/>
      <c r="BS1281" s="790"/>
      <c r="BT1281" s="790"/>
      <c r="BU1281" s="790"/>
      <c r="BV1281" s="790"/>
      <c r="BW1281" s="791"/>
    </row>
    <row r="1282" spans="1:75" s="794" customFormat="1" ht="15" hidden="1" customHeight="1" outlineLevel="2" x14ac:dyDescent="0.5">
      <c r="A1282" s="795" t="s">
        <v>1228</v>
      </c>
      <c r="B1282" s="789"/>
      <c r="C1282" s="790"/>
      <c r="D1282" s="790"/>
      <c r="E1282" s="790"/>
      <c r="F1282" s="790"/>
      <c r="G1282" s="791"/>
      <c r="H1282" s="791"/>
      <c r="I1282" s="791"/>
      <c r="J1282" s="791"/>
      <c r="K1282" s="792">
        <v>27.26</v>
      </c>
      <c r="L1282" s="791"/>
      <c r="M1282" s="791"/>
      <c r="N1282" s="791"/>
      <c r="O1282" s="791"/>
      <c r="P1282" s="792">
        <v>39.5</v>
      </c>
      <c r="Q1282" s="791"/>
      <c r="R1282" s="791"/>
      <c r="S1282" s="791"/>
      <c r="T1282" s="791"/>
      <c r="U1282" s="792">
        <v>42.09</v>
      </c>
      <c r="V1282" s="791"/>
      <c r="W1282" s="791"/>
      <c r="X1282" s="791"/>
      <c r="Y1282" s="791"/>
      <c r="Z1282" s="792">
        <v>28.61</v>
      </c>
      <c r="AA1282" s="791"/>
      <c r="AB1282" s="791"/>
      <c r="AC1282" s="791"/>
      <c r="AD1282" s="791"/>
      <c r="AE1282" s="792">
        <v>35.770000000000003</v>
      </c>
      <c r="AF1282" s="791"/>
      <c r="AG1282" s="791"/>
      <c r="AH1282" s="791"/>
      <c r="AI1282" s="791"/>
      <c r="AJ1282" s="792">
        <v>49.9</v>
      </c>
      <c r="AK1282" s="791"/>
      <c r="AL1282" s="791"/>
      <c r="AM1282" s="791"/>
      <c r="AN1282" s="791"/>
      <c r="AO1282" s="792">
        <v>42.2</v>
      </c>
      <c r="AP1282" s="791"/>
      <c r="AQ1282" s="791"/>
      <c r="AR1282" s="791"/>
      <c r="AS1282" s="791"/>
      <c r="AT1282" s="792">
        <v>49.08</v>
      </c>
      <c r="AU1282" s="791"/>
      <c r="AV1282" s="791"/>
      <c r="AW1282" s="791"/>
      <c r="AX1282" s="791"/>
      <c r="AY1282" s="792">
        <v>68.63</v>
      </c>
      <c r="AZ1282" s="791"/>
      <c r="BA1282" s="791"/>
      <c r="BB1282" s="791"/>
      <c r="BC1282" s="791"/>
      <c r="BD1282" s="792">
        <v>54.44</v>
      </c>
      <c r="BE1282" s="791"/>
      <c r="BF1282" s="791"/>
      <c r="BG1282" s="791"/>
      <c r="BH1282" s="791"/>
      <c r="BI1282" s="796">
        <v>80.56</v>
      </c>
      <c r="BJ1282" s="791"/>
      <c r="BK1282" s="791"/>
      <c r="BL1282" s="791"/>
      <c r="BM1282" s="791"/>
      <c r="BN1282" s="790"/>
      <c r="BO1282" s="791"/>
      <c r="BP1282" s="791"/>
      <c r="BQ1282" s="791"/>
      <c r="BR1282" s="791"/>
      <c r="BS1282" s="790"/>
      <c r="BT1282" s="790"/>
      <c r="BU1282" s="790"/>
      <c r="BV1282" s="790"/>
      <c r="BW1282" s="791"/>
    </row>
    <row r="1283" spans="1:75" s="794" customFormat="1" ht="15" hidden="1" customHeight="1" outlineLevel="3" x14ac:dyDescent="0.5">
      <c r="A1283" s="789" t="s">
        <v>1229</v>
      </c>
      <c r="B1283" s="789"/>
      <c r="C1283" s="790"/>
      <c r="D1283" s="790"/>
      <c r="E1283" s="790"/>
      <c r="F1283" s="790"/>
      <c r="G1283" s="791"/>
      <c r="H1283" s="791"/>
      <c r="I1283" s="791"/>
      <c r="J1283" s="791"/>
      <c r="K1283" s="792">
        <v>35.75</v>
      </c>
      <c r="L1283" s="791"/>
      <c r="M1283" s="791"/>
      <c r="N1283" s="791"/>
      <c r="O1283" s="791"/>
      <c r="P1283" s="792">
        <v>57</v>
      </c>
      <c r="Q1283" s="791"/>
      <c r="R1283" s="791"/>
      <c r="S1283" s="791"/>
      <c r="T1283" s="791"/>
      <c r="U1283" s="790"/>
      <c r="V1283" s="791"/>
      <c r="W1283" s="791"/>
      <c r="X1283" s="791"/>
      <c r="Y1283" s="791"/>
      <c r="Z1283" s="790"/>
      <c r="AA1283" s="791"/>
      <c r="AB1283" s="791"/>
      <c r="AC1283" s="791"/>
      <c r="AD1283" s="791"/>
      <c r="AE1283" s="790"/>
      <c r="AF1283" s="791"/>
      <c r="AG1283" s="791"/>
      <c r="AH1283" s="791"/>
      <c r="AI1283" s="791"/>
      <c r="AJ1283" s="790"/>
      <c r="AK1283" s="791"/>
      <c r="AL1283" s="791"/>
      <c r="AM1283" s="791"/>
      <c r="AN1283" s="791"/>
      <c r="AO1283" s="790"/>
      <c r="AP1283" s="791"/>
      <c r="AQ1283" s="791"/>
      <c r="AR1283" s="791"/>
      <c r="AS1283" s="791"/>
      <c r="AT1283" s="790"/>
      <c r="AU1283" s="791"/>
      <c r="AV1283" s="791"/>
      <c r="AW1283" s="791"/>
      <c r="AX1283" s="791"/>
      <c r="AY1283" s="790"/>
      <c r="AZ1283" s="791"/>
      <c r="BA1283" s="791"/>
      <c r="BB1283" s="791"/>
      <c r="BC1283" s="791"/>
      <c r="BD1283" s="790"/>
      <c r="BE1283" s="791"/>
      <c r="BF1283" s="791"/>
      <c r="BG1283" s="791"/>
      <c r="BH1283" s="791"/>
      <c r="BI1283" s="793"/>
      <c r="BJ1283" s="791"/>
      <c r="BK1283" s="791"/>
      <c r="BL1283" s="791"/>
      <c r="BM1283" s="791"/>
      <c r="BN1283" s="790"/>
      <c r="BO1283" s="791"/>
      <c r="BP1283" s="791"/>
      <c r="BQ1283" s="791"/>
      <c r="BR1283" s="791"/>
      <c r="BS1283" s="790"/>
      <c r="BT1283" s="790"/>
      <c r="BU1283" s="790"/>
      <c r="BV1283" s="790"/>
      <c r="BW1283" s="791"/>
    </row>
    <row r="1284" spans="1:75" s="794" customFormat="1" ht="15" hidden="1" customHeight="1" outlineLevel="3" x14ac:dyDescent="0.5">
      <c r="A1284" s="797" t="s">
        <v>1230</v>
      </c>
      <c r="B1284" s="797"/>
      <c r="C1284" s="798"/>
      <c r="D1284" s="798"/>
      <c r="E1284" s="798"/>
      <c r="F1284" s="798"/>
      <c r="G1284" s="799"/>
      <c r="H1284" s="799"/>
      <c r="I1284" s="799"/>
      <c r="J1284" s="799"/>
      <c r="K1284" s="798"/>
      <c r="L1284" s="799"/>
      <c r="M1284" s="799"/>
      <c r="N1284" s="799"/>
      <c r="O1284" s="799"/>
      <c r="P1284" s="798"/>
      <c r="Q1284" s="799"/>
      <c r="R1284" s="799"/>
      <c r="S1284" s="799"/>
      <c r="T1284" s="799"/>
      <c r="U1284" s="800">
        <v>62.96</v>
      </c>
      <c r="V1284" s="799"/>
      <c r="W1284" s="799"/>
      <c r="X1284" s="799"/>
      <c r="Y1284" s="799"/>
      <c r="Z1284" s="800">
        <v>56.47</v>
      </c>
      <c r="AA1284" s="799"/>
      <c r="AB1284" s="799"/>
      <c r="AC1284" s="799"/>
      <c r="AD1284" s="799"/>
      <c r="AE1284" s="800">
        <v>48.04</v>
      </c>
      <c r="AF1284" s="799"/>
      <c r="AG1284" s="799"/>
      <c r="AH1284" s="799"/>
      <c r="AI1284" s="799"/>
      <c r="AJ1284" s="800">
        <v>51.91</v>
      </c>
      <c r="AK1284" s="799"/>
      <c r="AL1284" s="799"/>
      <c r="AM1284" s="799"/>
      <c r="AN1284" s="799"/>
      <c r="AO1284" s="800">
        <v>90.88</v>
      </c>
      <c r="AP1284" s="799"/>
      <c r="AQ1284" s="799"/>
      <c r="AR1284" s="799"/>
      <c r="AS1284" s="799"/>
      <c r="AT1284" s="800">
        <v>130.36000000000001</v>
      </c>
      <c r="AU1284" s="799"/>
      <c r="AV1284" s="799"/>
      <c r="AW1284" s="799"/>
      <c r="AX1284" s="799"/>
      <c r="AY1284" s="800">
        <v>149.75</v>
      </c>
      <c r="AZ1284" s="799"/>
      <c r="BA1284" s="799"/>
      <c r="BB1284" s="799"/>
      <c r="BC1284" s="799"/>
      <c r="BD1284" s="800">
        <v>305.39999999999998</v>
      </c>
      <c r="BE1284" s="799"/>
      <c r="BF1284" s="799"/>
      <c r="BG1284" s="799"/>
      <c r="BH1284" s="799"/>
      <c r="BI1284" s="801">
        <v>215.91</v>
      </c>
      <c r="BJ1284" s="799"/>
      <c r="BK1284" s="799"/>
      <c r="BL1284" s="799"/>
      <c r="BM1284" s="799"/>
      <c r="BN1284" s="798"/>
      <c r="BO1284" s="799"/>
      <c r="BP1284" s="799"/>
      <c r="BQ1284" s="799"/>
      <c r="BR1284" s="799"/>
      <c r="BS1284" s="798"/>
      <c r="BT1284" s="798"/>
      <c r="BU1284" s="798"/>
      <c r="BV1284" s="798"/>
      <c r="BW1284" s="791"/>
    </row>
    <row r="1285" spans="1:75" s="794" customFormat="1" ht="15" hidden="1" customHeight="1" outlineLevel="2" x14ac:dyDescent="0.5">
      <c r="A1285" s="795" t="s">
        <v>1231</v>
      </c>
      <c r="B1285" s="789"/>
      <c r="C1285" s="790"/>
      <c r="D1285" s="790"/>
      <c r="E1285" s="790"/>
      <c r="F1285" s="790"/>
      <c r="G1285" s="791"/>
      <c r="H1285" s="791"/>
      <c r="I1285" s="791"/>
      <c r="J1285" s="791"/>
      <c r="K1285" s="790">
        <v>35.75</v>
      </c>
      <c r="L1285" s="791"/>
      <c r="M1285" s="791"/>
      <c r="N1285" s="791"/>
      <c r="O1285" s="791"/>
      <c r="P1285" s="790">
        <v>57.000000000000007</v>
      </c>
      <c r="Q1285" s="791"/>
      <c r="R1285" s="791"/>
      <c r="S1285" s="791"/>
      <c r="T1285" s="791"/>
      <c r="U1285" s="790">
        <v>62.96</v>
      </c>
      <c r="V1285" s="791"/>
      <c r="W1285" s="791"/>
      <c r="X1285" s="791"/>
      <c r="Y1285" s="791"/>
      <c r="Z1285" s="790">
        <v>56.469999999999992</v>
      </c>
      <c r="AA1285" s="791"/>
      <c r="AB1285" s="791"/>
      <c r="AC1285" s="791"/>
      <c r="AD1285" s="791"/>
      <c r="AE1285" s="790">
        <v>48.04</v>
      </c>
      <c r="AF1285" s="791"/>
      <c r="AG1285" s="791"/>
      <c r="AH1285" s="791"/>
      <c r="AI1285" s="791"/>
      <c r="AJ1285" s="790">
        <v>51.91</v>
      </c>
      <c r="AK1285" s="791"/>
      <c r="AL1285" s="791"/>
      <c r="AM1285" s="791"/>
      <c r="AN1285" s="791"/>
      <c r="AO1285" s="790">
        <v>90.88</v>
      </c>
      <c r="AP1285" s="791"/>
      <c r="AQ1285" s="791"/>
      <c r="AR1285" s="791"/>
      <c r="AS1285" s="791"/>
      <c r="AT1285" s="790">
        <v>130.36000000000001</v>
      </c>
      <c r="AU1285" s="791"/>
      <c r="AV1285" s="791"/>
      <c r="AW1285" s="791"/>
      <c r="AX1285" s="791"/>
      <c r="AY1285" s="790">
        <v>149.75</v>
      </c>
      <c r="AZ1285" s="791"/>
      <c r="BA1285" s="791"/>
      <c r="BB1285" s="791"/>
      <c r="BC1285" s="791"/>
      <c r="BD1285" s="790">
        <v>305.39999999999998</v>
      </c>
      <c r="BE1285" s="791"/>
      <c r="BF1285" s="791"/>
      <c r="BG1285" s="791"/>
      <c r="BH1285" s="791"/>
      <c r="BI1285" s="793">
        <v>215.91</v>
      </c>
      <c r="BJ1285" s="791"/>
      <c r="BK1285" s="791"/>
      <c r="BL1285" s="791"/>
      <c r="BM1285" s="791"/>
      <c r="BN1285" s="790"/>
      <c r="BO1285" s="791"/>
      <c r="BP1285" s="791"/>
      <c r="BQ1285" s="791"/>
      <c r="BR1285" s="791"/>
      <c r="BS1285" s="790"/>
      <c r="BT1285" s="790"/>
      <c r="BU1285" s="790"/>
      <c r="BV1285" s="790"/>
      <c r="BW1285" s="791"/>
    </row>
    <row r="1286" spans="1:75" s="794" customFormat="1" ht="15" hidden="1" customHeight="1" outlineLevel="2" x14ac:dyDescent="0.5">
      <c r="A1286" s="802" t="s">
        <v>1232</v>
      </c>
      <c r="B1286" s="797"/>
      <c r="C1286" s="798"/>
      <c r="D1286" s="798"/>
      <c r="E1286" s="798"/>
      <c r="F1286" s="798"/>
      <c r="G1286" s="799"/>
      <c r="H1286" s="799"/>
      <c r="I1286" s="799"/>
      <c r="J1286" s="799"/>
      <c r="K1286" s="800">
        <v>29</v>
      </c>
      <c r="L1286" s="799"/>
      <c r="M1286" s="799"/>
      <c r="N1286" s="799"/>
      <c r="O1286" s="799"/>
      <c r="P1286" s="800">
        <v>46.06</v>
      </c>
      <c r="Q1286" s="799"/>
      <c r="R1286" s="799"/>
      <c r="S1286" s="799"/>
      <c r="T1286" s="799"/>
      <c r="U1286" s="798"/>
      <c r="V1286" s="799"/>
      <c r="W1286" s="799"/>
      <c r="X1286" s="799"/>
      <c r="Y1286" s="799"/>
      <c r="Z1286" s="798"/>
      <c r="AA1286" s="799"/>
      <c r="AB1286" s="799"/>
      <c r="AC1286" s="799"/>
      <c r="AD1286" s="799"/>
      <c r="AE1286" s="798"/>
      <c r="AF1286" s="799"/>
      <c r="AG1286" s="799"/>
      <c r="AH1286" s="799"/>
      <c r="AI1286" s="799"/>
      <c r="AJ1286" s="798"/>
      <c r="AK1286" s="799"/>
      <c r="AL1286" s="799"/>
      <c r="AM1286" s="799"/>
      <c r="AN1286" s="799"/>
      <c r="AO1286" s="798"/>
      <c r="AP1286" s="799"/>
      <c r="AQ1286" s="799"/>
      <c r="AR1286" s="799"/>
      <c r="AS1286" s="799"/>
      <c r="AT1286" s="798"/>
      <c r="AU1286" s="799"/>
      <c r="AV1286" s="799"/>
      <c r="AW1286" s="799"/>
      <c r="AX1286" s="799"/>
      <c r="AY1286" s="798"/>
      <c r="AZ1286" s="799"/>
      <c r="BA1286" s="799"/>
      <c r="BB1286" s="799"/>
      <c r="BC1286" s="799"/>
      <c r="BD1286" s="798"/>
      <c r="BE1286" s="799"/>
      <c r="BF1286" s="799"/>
      <c r="BG1286" s="799"/>
      <c r="BH1286" s="799"/>
      <c r="BI1286" s="803"/>
      <c r="BJ1286" s="799"/>
      <c r="BK1286" s="799"/>
      <c r="BL1286" s="799"/>
      <c r="BM1286" s="799"/>
      <c r="BN1286" s="798"/>
      <c r="BO1286" s="799"/>
      <c r="BP1286" s="799"/>
      <c r="BQ1286" s="799"/>
      <c r="BR1286" s="799"/>
      <c r="BS1286" s="798"/>
      <c r="BT1286" s="798"/>
      <c r="BU1286" s="798"/>
      <c r="BV1286" s="798"/>
      <c r="BW1286" s="791"/>
    </row>
    <row r="1287" spans="1:75" s="794" customFormat="1" ht="15" hidden="1" customHeight="1" outlineLevel="1" x14ac:dyDescent="0.5">
      <c r="A1287" s="788" t="s">
        <v>1233</v>
      </c>
      <c r="B1287" s="789"/>
      <c r="C1287" s="790"/>
      <c r="D1287" s="790"/>
      <c r="E1287" s="790"/>
      <c r="F1287" s="792">
        <v>41.41</v>
      </c>
      <c r="G1287" s="804">
        <v>41.34</v>
      </c>
      <c r="H1287" s="804">
        <v>45.63</v>
      </c>
      <c r="I1287" s="804">
        <v>46.02</v>
      </c>
      <c r="J1287" s="791">
        <v>46.46</v>
      </c>
      <c r="K1287" s="792">
        <v>46.46</v>
      </c>
      <c r="L1287" s="804">
        <v>47.15</v>
      </c>
      <c r="M1287" s="804">
        <v>49.88</v>
      </c>
      <c r="N1287" s="804">
        <v>50</v>
      </c>
      <c r="O1287" s="791">
        <v>51.26</v>
      </c>
      <c r="P1287" s="792">
        <v>51.26</v>
      </c>
      <c r="Q1287" s="804">
        <v>52.15</v>
      </c>
      <c r="R1287" s="804">
        <v>54.2</v>
      </c>
      <c r="S1287" s="804">
        <v>54.86</v>
      </c>
      <c r="T1287" s="791">
        <v>55.71</v>
      </c>
      <c r="U1287" s="792">
        <v>55.71</v>
      </c>
      <c r="V1287" s="804">
        <v>53.51</v>
      </c>
      <c r="W1287" s="804">
        <v>49.23</v>
      </c>
      <c r="X1287" s="804">
        <v>49.01</v>
      </c>
      <c r="Y1287" s="791">
        <v>49</v>
      </c>
      <c r="Z1287" s="792">
        <v>49</v>
      </c>
      <c r="AA1287" s="804">
        <v>49.09</v>
      </c>
      <c r="AB1287" s="804">
        <v>49.81</v>
      </c>
      <c r="AC1287" s="804">
        <v>50.2</v>
      </c>
      <c r="AD1287" s="791">
        <v>50.31</v>
      </c>
      <c r="AE1287" s="792">
        <v>50.31</v>
      </c>
      <c r="AF1287" s="804">
        <v>50.66</v>
      </c>
      <c r="AG1287" s="804">
        <v>52.63</v>
      </c>
      <c r="AH1287" s="804">
        <v>54.34</v>
      </c>
      <c r="AI1287" s="791">
        <v>54.37</v>
      </c>
      <c r="AJ1287" s="792">
        <v>54.37</v>
      </c>
      <c r="AK1287" s="804">
        <v>55.87</v>
      </c>
      <c r="AL1287" s="804">
        <v>56.68</v>
      </c>
      <c r="AM1287" s="804">
        <v>57.54</v>
      </c>
      <c r="AN1287" s="791">
        <v>58.34</v>
      </c>
      <c r="AO1287" s="792">
        <v>58.34</v>
      </c>
      <c r="AP1287" s="804">
        <v>66.739999999999995</v>
      </c>
      <c r="AQ1287" s="804">
        <v>69.34</v>
      </c>
      <c r="AR1287" s="804">
        <v>101.78</v>
      </c>
      <c r="AS1287" s="791">
        <v>102.44</v>
      </c>
      <c r="AT1287" s="792">
        <v>102.44</v>
      </c>
      <c r="AU1287" s="804">
        <v>106.07</v>
      </c>
      <c r="AV1287" s="804">
        <v>107.35</v>
      </c>
      <c r="AW1287" s="804">
        <v>112.01</v>
      </c>
      <c r="AX1287" s="791">
        <v>111.76</v>
      </c>
      <c r="AY1287" s="792">
        <v>111.76</v>
      </c>
      <c r="AZ1287" s="804">
        <v>156.01</v>
      </c>
      <c r="BA1287" s="804">
        <v>156.47</v>
      </c>
      <c r="BB1287" s="804">
        <v>157.54</v>
      </c>
      <c r="BC1287" s="791">
        <v>180.03</v>
      </c>
      <c r="BD1287" s="792">
        <v>180.03</v>
      </c>
      <c r="BE1287" s="804">
        <v>179.73</v>
      </c>
      <c r="BF1287" s="804">
        <v>188.11</v>
      </c>
      <c r="BG1287" s="804">
        <v>189.03</v>
      </c>
      <c r="BH1287" s="791">
        <v>192.94</v>
      </c>
      <c r="BI1287" s="796">
        <v>192.94</v>
      </c>
      <c r="BJ1287" s="791"/>
      <c r="BK1287" s="791"/>
      <c r="BL1287" s="791"/>
      <c r="BM1287" s="791"/>
      <c r="BN1287" s="790"/>
      <c r="BO1287" s="791"/>
      <c r="BP1287" s="791"/>
      <c r="BQ1287" s="791"/>
      <c r="BR1287" s="791"/>
      <c r="BS1287" s="790"/>
      <c r="BT1287" s="790"/>
      <c r="BU1287" s="790"/>
      <c r="BV1287" s="790"/>
      <c r="BW1287" s="791"/>
    </row>
    <row r="1288" spans="1:75" s="123" customFormat="1" ht="15" hidden="1" customHeight="1" outlineLevel="1" x14ac:dyDescent="0.5">
      <c r="A1288" s="805" t="s">
        <v>1234</v>
      </c>
      <c r="B1288" s="806"/>
      <c r="C1288" s="807"/>
      <c r="D1288" s="807"/>
      <c r="E1288" s="807"/>
      <c r="F1288" s="807">
        <v>0</v>
      </c>
      <c r="G1288" s="808">
        <v>0</v>
      </c>
      <c r="H1288" s="808">
        <v>3.1583037057798431</v>
      </c>
      <c r="I1288" s="808">
        <v>3.0965980769791512</v>
      </c>
      <c r="J1288" s="808">
        <v>1.6572842030313715</v>
      </c>
      <c r="K1288" s="807">
        <v>1.6572842030313715</v>
      </c>
      <c r="L1288" s="808">
        <v>1.5686231128650359</v>
      </c>
      <c r="M1288" s="808">
        <v>2.7757719150231308</v>
      </c>
      <c r="N1288" s="808">
        <v>2.6660033994023902</v>
      </c>
      <c r="O1288" s="808">
        <v>2.7830505954529881</v>
      </c>
      <c r="P1288" s="807">
        <v>2.7830505954529881</v>
      </c>
      <c r="Q1288" s="808">
        <v>2.7360341431024615</v>
      </c>
      <c r="R1288" s="808">
        <v>3.2258681052631575</v>
      </c>
      <c r="S1288" s="808">
        <v>3.1260338360655737</v>
      </c>
      <c r="T1288" s="808">
        <v>0.62682954284323245</v>
      </c>
      <c r="U1288" s="807">
        <v>0.62682954284323245</v>
      </c>
      <c r="V1288" s="808">
        <v>0</v>
      </c>
      <c r="W1288" s="808">
        <v>0</v>
      </c>
      <c r="X1288" s="808">
        <v>0</v>
      </c>
      <c r="Y1288" s="808">
        <v>0</v>
      </c>
      <c r="Z1288" s="807">
        <v>0</v>
      </c>
      <c r="AA1288" s="808">
        <v>0</v>
      </c>
      <c r="AB1288" s="808">
        <v>2.583140583941606</v>
      </c>
      <c r="AC1288" s="808">
        <v>3.7170087008310246</v>
      </c>
      <c r="AD1288" s="808">
        <v>3.9066688389830522</v>
      </c>
      <c r="AE1288" s="807">
        <v>3.9066688389830522</v>
      </c>
      <c r="AF1288" s="808">
        <v>4.2619853532328449</v>
      </c>
      <c r="AG1288" s="808">
        <v>4.8946664374350597</v>
      </c>
      <c r="AH1288" s="808">
        <v>4.3403284439196215</v>
      </c>
      <c r="AI1288" s="808">
        <v>4.4483590715354699</v>
      </c>
      <c r="AJ1288" s="807">
        <v>4.4483590715354699</v>
      </c>
      <c r="AK1288" s="808">
        <v>3.7757026848345587</v>
      </c>
      <c r="AL1288" s="808">
        <v>4.4587228853321648</v>
      </c>
      <c r="AM1288" s="808">
        <v>4.91754074044586</v>
      </c>
      <c r="AN1288" s="808">
        <v>5.1407688208383249</v>
      </c>
      <c r="AO1288" s="807">
        <v>5.1407688208383249</v>
      </c>
      <c r="AP1288" s="808">
        <v>3.9958214811581558</v>
      </c>
      <c r="AQ1288" s="808">
        <v>5.8401934360713907</v>
      </c>
      <c r="AR1288" s="808">
        <v>5.9440640248486112</v>
      </c>
      <c r="AS1288" s="808">
        <v>6.6506048837091907</v>
      </c>
      <c r="AT1288" s="807">
        <v>6.6506048837091907</v>
      </c>
      <c r="AU1288" s="808">
        <v>7.1964095001598798</v>
      </c>
      <c r="AV1288" s="808">
        <v>6.6187977148837502</v>
      </c>
      <c r="AW1288" s="808">
        <v>6.5122854505101344</v>
      </c>
      <c r="AX1288" s="808">
        <v>5.5043426646254341</v>
      </c>
      <c r="AY1288" s="807">
        <v>5.5043426646254341</v>
      </c>
      <c r="AZ1288" s="808">
        <v>2.4261034555218375</v>
      </c>
      <c r="BA1288" s="808">
        <v>1.9567911517016785</v>
      </c>
      <c r="BB1288" s="808">
        <v>1.7159516403474451</v>
      </c>
      <c r="BC1288" s="808">
        <v>1.4363162731047803</v>
      </c>
      <c r="BD1288" s="807">
        <v>1.4363162731047803</v>
      </c>
      <c r="BE1288" s="808">
        <v>1.0028882687257477</v>
      </c>
      <c r="BF1288" s="808">
        <v>1.8720091396111442</v>
      </c>
      <c r="BG1288" s="808">
        <v>0.41132999812321103</v>
      </c>
      <c r="BH1288" s="808">
        <v>1.0455234492370891</v>
      </c>
      <c r="BI1288" s="809">
        <v>1.0455234492370891</v>
      </c>
      <c r="BJ1288" s="808"/>
      <c r="BK1288" s="808"/>
      <c r="BL1288" s="808"/>
      <c r="BM1288" s="808"/>
      <c r="BN1288" s="807"/>
      <c r="BO1288" s="808"/>
      <c r="BP1288" s="808"/>
      <c r="BQ1288" s="808"/>
      <c r="BR1288" s="808"/>
      <c r="BS1288" s="807"/>
      <c r="BT1288" s="807"/>
      <c r="BU1288" s="807"/>
      <c r="BV1288" s="807"/>
      <c r="BW1288" s="785"/>
    </row>
    <row r="1289" spans="1:75" s="123" customFormat="1" ht="15" hidden="1" customHeight="1" outlineLevel="1" x14ac:dyDescent="0.5">
      <c r="A1289" s="752"/>
      <c r="B1289" s="513"/>
      <c r="C1289" s="401"/>
      <c r="D1289" s="401"/>
      <c r="E1289" s="401"/>
      <c r="F1289" s="401"/>
      <c r="G1289" s="119"/>
      <c r="H1289" s="119"/>
      <c r="I1289" s="119"/>
      <c r="J1289" s="119"/>
      <c r="K1289" s="401"/>
      <c r="L1289" s="119"/>
      <c r="M1289" s="119"/>
      <c r="N1289" s="119"/>
      <c r="O1289" s="119"/>
      <c r="P1289" s="401"/>
      <c r="Q1289" s="119"/>
      <c r="R1289" s="119"/>
      <c r="S1289" s="119"/>
      <c r="T1289" s="119"/>
      <c r="U1289" s="401"/>
      <c r="V1289" s="119"/>
      <c r="W1289" s="119"/>
      <c r="X1289" s="119"/>
      <c r="Y1289" s="119"/>
      <c r="Z1289" s="401"/>
      <c r="AA1289" s="119"/>
      <c r="AB1289" s="119"/>
      <c r="AC1289" s="119"/>
      <c r="AD1289" s="119"/>
      <c r="AE1289" s="401"/>
      <c r="AF1289" s="119"/>
      <c r="AG1289" s="119"/>
      <c r="AH1289" s="119"/>
      <c r="AI1289" s="119"/>
      <c r="AJ1289" s="401"/>
      <c r="AK1289" s="119"/>
      <c r="AL1289" s="119"/>
      <c r="AM1289" s="119"/>
      <c r="AN1289" s="119"/>
      <c r="AO1289" s="401"/>
      <c r="AP1289" s="119"/>
      <c r="AQ1289" s="119"/>
      <c r="AR1289" s="119"/>
      <c r="AS1289" s="119"/>
      <c r="AT1289" s="401"/>
      <c r="AU1289" s="119"/>
      <c r="AV1289" s="119"/>
      <c r="AW1289" s="119"/>
      <c r="AX1289" s="119"/>
      <c r="AY1289" s="401"/>
      <c r="AZ1289" s="119"/>
      <c r="BA1289" s="119"/>
      <c r="BB1289" s="119"/>
      <c r="BC1289" s="119"/>
      <c r="BD1289" s="401"/>
      <c r="BE1289" s="119"/>
      <c r="BF1289" s="119"/>
      <c r="BG1289" s="119"/>
      <c r="BH1289" s="119"/>
      <c r="BI1289" s="402"/>
      <c r="BJ1289" s="118"/>
      <c r="BK1289" s="118"/>
      <c r="BL1289" s="118"/>
      <c r="BM1289" s="118"/>
      <c r="BN1289" s="401"/>
      <c r="BO1289" s="118"/>
      <c r="BP1289" s="118"/>
      <c r="BQ1289" s="118"/>
      <c r="BR1289" s="118"/>
      <c r="BS1289" s="401"/>
      <c r="BT1289" s="401"/>
      <c r="BU1289" s="401"/>
      <c r="BV1289" s="401"/>
      <c r="BW1289" s="122"/>
    </row>
    <row r="1290" spans="1:75" s="123" customFormat="1" ht="15" hidden="1" customHeight="1" outlineLevel="1" x14ac:dyDescent="0.5">
      <c r="A1290" s="810" t="s">
        <v>1235</v>
      </c>
      <c r="B1290" s="522"/>
      <c r="C1290" s="397"/>
      <c r="D1290" s="397"/>
      <c r="E1290" s="397"/>
      <c r="F1290" s="671">
        <v>8.0930769999999992</v>
      </c>
      <c r="G1290" s="295"/>
      <c r="H1290" s="295"/>
      <c r="I1290" s="295"/>
      <c r="J1290" s="295"/>
      <c r="K1290" s="671">
        <v>8.6949310000000004</v>
      </c>
      <c r="L1290" s="295"/>
      <c r="M1290" s="295"/>
      <c r="N1290" s="295"/>
      <c r="O1290" s="295"/>
      <c r="P1290" s="671">
        <v>5.1545959999999997</v>
      </c>
      <c r="Q1290" s="295"/>
      <c r="R1290" s="295"/>
      <c r="S1290" s="295"/>
      <c r="T1290" s="295"/>
      <c r="U1290" s="671">
        <v>4.8828399999999998</v>
      </c>
      <c r="V1290" s="295"/>
      <c r="W1290" s="295"/>
      <c r="X1290" s="295"/>
      <c r="Y1290" s="295"/>
      <c r="Z1290" s="671">
        <v>5.2701929999999999</v>
      </c>
      <c r="AA1290" s="295"/>
      <c r="AB1290" s="295"/>
      <c r="AC1290" s="295"/>
      <c r="AD1290" s="295"/>
      <c r="AE1290" s="671">
        <v>6.1451539999999998</v>
      </c>
      <c r="AF1290" s="295"/>
      <c r="AG1290" s="295"/>
      <c r="AH1290" s="295"/>
      <c r="AI1290" s="295"/>
      <c r="AJ1290" s="671">
        <v>5.8983790000000003</v>
      </c>
      <c r="AK1290" s="295"/>
      <c r="AL1290" s="295"/>
      <c r="AM1290" s="295"/>
      <c r="AN1290" s="295"/>
      <c r="AO1290" s="671">
        <v>5.7337100000000003</v>
      </c>
      <c r="AP1290" s="295"/>
      <c r="AQ1290" s="295"/>
      <c r="AR1290" s="295"/>
      <c r="AS1290" s="295"/>
      <c r="AT1290" s="671">
        <v>6.566961</v>
      </c>
      <c r="AU1290" s="295"/>
      <c r="AV1290" s="295"/>
      <c r="AW1290" s="295"/>
      <c r="AX1290" s="295"/>
      <c r="AY1290" s="671">
        <v>6.555237</v>
      </c>
      <c r="AZ1290" s="638">
        <v>3.4936970000000001</v>
      </c>
      <c r="BA1290" s="638">
        <v>3.4745870000000001</v>
      </c>
      <c r="BB1290" s="638">
        <v>3.4808409999999999</v>
      </c>
      <c r="BC1290" s="295">
        <v>2.457767</v>
      </c>
      <c r="BD1290" s="671">
        <v>2.457767</v>
      </c>
      <c r="BE1290" s="638">
        <v>3.2167210000000002</v>
      </c>
      <c r="BF1290" s="638">
        <v>3.3396219999999999</v>
      </c>
      <c r="BG1290" s="638">
        <v>2.5606599999999999</v>
      </c>
      <c r="BH1290" s="295">
        <v>2.4674659999999999</v>
      </c>
      <c r="BI1290" s="673">
        <v>2.4674659999999999</v>
      </c>
      <c r="BJ1290" s="295"/>
      <c r="BK1290" s="295"/>
      <c r="BL1290" s="295"/>
      <c r="BM1290" s="295"/>
      <c r="BN1290" s="397"/>
      <c r="BO1290" s="295"/>
      <c r="BP1290" s="295"/>
      <c r="BQ1290" s="295"/>
      <c r="BR1290" s="295"/>
      <c r="BS1290" s="397"/>
      <c r="BT1290" s="397"/>
      <c r="BU1290" s="397"/>
      <c r="BV1290" s="397"/>
      <c r="BW1290" s="118"/>
    </row>
    <row r="1291" spans="1:75" s="123" customFormat="1" ht="15" hidden="1" customHeight="1" outlineLevel="1" x14ac:dyDescent="0.5">
      <c r="A1291" s="810" t="s">
        <v>1236</v>
      </c>
      <c r="B1291" s="811"/>
      <c r="C1291" s="812"/>
      <c r="D1291" s="812"/>
      <c r="E1291" s="812"/>
      <c r="F1291" s="813">
        <v>41.48</v>
      </c>
      <c r="G1291" s="814"/>
      <c r="H1291" s="814"/>
      <c r="I1291" s="814"/>
      <c r="J1291" s="814"/>
      <c r="K1291" s="813">
        <v>46.03</v>
      </c>
      <c r="L1291" s="814"/>
      <c r="M1291" s="814"/>
      <c r="N1291" s="814"/>
      <c r="O1291" s="814"/>
      <c r="P1291" s="813">
        <v>48.23</v>
      </c>
      <c r="Q1291" s="814"/>
      <c r="R1291" s="814"/>
      <c r="S1291" s="814"/>
      <c r="T1291" s="814"/>
      <c r="U1291" s="813">
        <v>49.84</v>
      </c>
      <c r="V1291" s="814"/>
      <c r="W1291" s="814"/>
      <c r="X1291" s="814"/>
      <c r="Y1291" s="814"/>
      <c r="Z1291" s="813">
        <v>50.77</v>
      </c>
      <c r="AA1291" s="814"/>
      <c r="AB1291" s="814"/>
      <c r="AC1291" s="814"/>
      <c r="AD1291" s="814"/>
      <c r="AE1291" s="813">
        <v>52.08</v>
      </c>
      <c r="AF1291" s="814"/>
      <c r="AG1291" s="814"/>
      <c r="AH1291" s="814"/>
      <c r="AI1291" s="814"/>
      <c r="AJ1291" s="813">
        <v>52.08</v>
      </c>
      <c r="AK1291" s="814"/>
      <c r="AL1291" s="814"/>
      <c r="AM1291" s="814"/>
      <c r="AN1291" s="814"/>
      <c r="AO1291" s="813">
        <v>53.27</v>
      </c>
      <c r="AP1291" s="814"/>
      <c r="AQ1291" s="814"/>
      <c r="AR1291" s="814"/>
      <c r="AS1291" s="814"/>
      <c r="AT1291" s="813">
        <v>89.25</v>
      </c>
      <c r="AU1291" s="814"/>
      <c r="AV1291" s="814"/>
      <c r="AW1291" s="814"/>
      <c r="AX1291" s="814"/>
      <c r="AY1291" s="813">
        <v>90.78</v>
      </c>
      <c r="AZ1291" s="815">
        <v>131.54</v>
      </c>
      <c r="BA1291" s="815">
        <v>133.01</v>
      </c>
      <c r="BB1291" s="815">
        <v>135.32</v>
      </c>
      <c r="BC1291" s="814">
        <v>160.25</v>
      </c>
      <c r="BD1291" s="813">
        <v>160.25</v>
      </c>
      <c r="BE1291" s="815">
        <v>175.73</v>
      </c>
      <c r="BF1291" s="815">
        <v>181.5</v>
      </c>
      <c r="BG1291" s="815">
        <v>162.66999999999999</v>
      </c>
      <c r="BH1291" s="814">
        <v>166.63</v>
      </c>
      <c r="BI1291" s="816">
        <v>166.63</v>
      </c>
      <c r="BJ1291" s="814"/>
      <c r="BK1291" s="814"/>
      <c r="BL1291" s="814"/>
      <c r="BM1291" s="814"/>
      <c r="BN1291" s="812"/>
      <c r="BO1291" s="814"/>
      <c r="BP1291" s="814"/>
      <c r="BQ1291" s="814"/>
      <c r="BR1291" s="814"/>
      <c r="BS1291" s="812"/>
      <c r="BT1291" s="812"/>
      <c r="BU1291" s="812"/>
      <c r="BV1291" s="812"/>
      <c r="BW1291" s="785"/>
    </row>
    <row r="1292" spans="1:75" s="123" customFormat="1" ht="15" hidden="1" customHeight="1" outlineLevel="1" x14ac:dyDescent="0.5">
      <c r="A1292" s="752"/>
      <c r="B1292" s="513"/>
      <c r="C1292" s="401"/>
      <c r="D1292" s="401"/>
      <c r="E1292" s="401"/>
      <c r="F1292" s="401"/>
      <c r="G1292" s="119"/>
      <c r="H1292" s="119"/>
      <c r="I1292" s="119"/>
      <c r="J1292" s="119"/>
      <c r="K1292" s="401"/>
      <c r="L1292" s="119"/>
      <c r="M1292" s="119"/>
      <c r="N1292" s="119"/>
      <c r="O1292" s="119"/>
      <c r="P1292" s="401"/>
      <c r="Q1292" s="119"/>
      <c r="R1292" s="119"/>
      <c r="S1292" s="119"/>
      <c r="T1292" s="119"/>
      <c r="U1292" s="401"/>
      <c r="V1292" s="119"/>
      <c r="W1292" s="119"/>
      <c r="X1292" s="119"/>
      <c r="Y1292" s="119"/>
      <c r="Z1292" s="401"/>
      <c r="AA1292" s="119"/>
      <c r="AB1292" s="119"/>
      <c r="AC1292" s="119"/>
      <c r="AD1292" s="119"/>
      <c r="AE1292" s="401"/>
      <c r="AF1292" s="119"/>
      <c r="AG1292" s="119"/>
      <c r="AH1292" s="119"/>
      <c r="AI1292" s="119"/>
      <c r="AJ1292" s="401"/>
      <c r="AK1292" s="119"/>
      <c r="AL1292" s="119"/>
      <c r="AM1292" s="119"/>
      <c r="AN1292" s="119"/>
      <c r="AO1292" s="401"/>
      <c r="AP1292" s="119"/>
      <c r="AQ1292" s="119"/>
      <c r="AR1292" s="119"/>
      <c r="AS1292" s="119"/>
      <c r="AT1292" s="401"/>
      <c r="AU1292" s="119"/>
      <c r="AV1292" s="119"/>
      <c r="AW1292" s="119"/>
      <c r="AX1292" s="119"/>
      <c r="AY1292" s="401"/>
      <c r="AZ1292" s="119"/>
      <c r="BA1292" s="119"/>
      <c r="BB1292" s="119"/>
      <c r="BC1292" s="119"/>
      <c r="BD1292" s="401"/>
      <c r="BE1292" s="119"/>
      <c r="BF1292" s="119"/>
      <c r="BG1292" s="119"/>
      <c r="BH1292" s="119"/>
      <c r="BI1292" s="402"/>
      <c r="BJ1292" s="118"/>
      <c r="BK1292" s="118"/>
      <c r="BL1292" s="118"/>
      <c r="BM1292" s="118"/>
      <c r="BN1292" s="401"/>
      <c r="BO1292" s="118"/>
      <c r="BP1292" s="118"/>
      <c r="BQ1292" s="118"/>
      <c r="BR1292" s="118"/>
      <c r="BS1292" s="401"/>
      <c r="BT1292" s="401"/>
      <c r="BU1292" s="401"/>
      <c r="BV1292" s="401"/>
      <c r="BW1292" s="122"/>
    </row>
    <row r="1293" spans="1:75" s="123" customFormat="1" ht="15" hidden="1" customHeight="1" outlineLevel="1" x14ac:dyDescent="0.5">
      <c r="A1293" s="752" t="s">
        <v>1237</v>
      </c>
      <c r="B1293" s="513"/>
      <c r="C1293" s="401"/>
      <c r="D1293" s="401"/>
      <c r="E1293" s="401"/>
      <c r="F1293" s="401"/>
      <c r="G1293" s="302">
        <v>4.1713E-2</v>
      </c>
      <c r="H1293" s="302">
        <v>7.0696999999999996E-2</v>
      </c>
      <c r="I1293" s="302">
        <v>0.273283</v>
      </c>
      <c r="J1293" s="118">
        <v>0.28974699999999998</v>
      </c>
      <c r="K1293" s="403">
        <v>0.28974699999999998</v>
      </c>
      <c r="L1293" s="302">
        <v>0.37781900000000002</v>
      </c>
      <c r="M1293" s="302">
        <v>0.75963999999999998</v>
      </c>
      <c r="N1293" s="302">
        <v>0.74073999999999995</v>
      </c>
      <c r="O1293" s="118">
        <v>0.71999800000000003</v>
      </c>
      <c r="P1293" s="403">
        <v>0.71999800000000003</v>
      </c>
      <c r="Q1293" s="302">
        <v>0.74485199999999996</v>
      </c>
      <c r="R1293" s="302">
        <v>0.81936200000000003</v>
      </c>
      <c r="S1293" s="302">
        <v>0.81775699999999996</v>
      </c>
      <c r="T1293" s="118">
        <v>0.80591500000000005</v>
      </c>
      <c r="U1293" s="403">
        <v>0.80591500000000005</v>
      </c>
      <c r="V1293" s="302">
        <v>1.233282</v>
      </c>
      <c r="W1293" s="302">
        <v>1.182588</v>
      </c>
      <c r="X1293" s="302">
        <v>1.151993</v>
      </c>
      <c r="Y1293" s="118">
        <v>1.1180190000000001</v>
      </c>
      <c r="Z1293" s="403">
        <v>1.1180190000000001</v>
      </c>
      <c r="AA1293" s="302">
        <v>1.0297400000000001</v>
      </c>
      <c r="AB1293" s="302">
        <v>0.83837700000000004</v>
      </c>
      <c r="AC1293" s="302">
        <v>0.82530700000000001</v>
      </c>
      <c r="AD1293" s="118">
        <v>0.80271300000000001</v>
      </c>
      <c r="AE1293" s="403">
        <v>0.80271300000000001</v>
      </c>
      <c r="AF1293" s="302">
        <v>0.76846300000000001</v>
      </c>
      <c r="AG1293" s="302">
        <v>0.59440800000000005</v>
      </c>
      <c r="AH1293" s="302">
        <v>0.43604799999999999</v>
      </c>
      <c r="AI1293" s="118">
        <v>0.41546899999999998</v>
      </c>
      <c r="AJ1293" s="403">
        <v>0.41546899999999998</v>
      </c>
      <c r="AK1293" s="302">
        <v>0.37137399999999998</v>
      </c>
      <c r="AL1293" s="302">
        <v>0.23277400000000001</v>
      </c>
      <c r="AM1293" s="302">
        <v>0.22709399999999999</v>
      </c>
      <c r="AN1293" s="118">
        <v>0.21998500000000001</v>
      </c>
      <c r="AO1293" s="403">
        <v>0.21998500000000001</v>
      </c>
      <c r="AP1293" s="302">
        <v>0.20191999999999999</v>
      </c>
      <c r="AQ1293" s="302">
        <v>0.10001</v>
      </c>
      <c r="AR1293" s="302">
        <v>9.4390000000000002E-2</v>
      </c>
      <c r="AS1293" s="118">
        <v>9.2249999999999999E-2</v>
      </c>
      <c r="AT1293" s="403">
        <v>9.2249999999999999E-2</v>
      </c>
      <c r="AU1293" s="302">
        <v>8.9829999999999993E-2</v>
      </c>
      <c r="AV1293" s="302">
        <v>2.3689999999999999E-2</v>
      </c>
      <c r="AW1293" s="302">
        <v>2.1479999999999999E-2</v>
      </c>
      <c r="AX1293" s="118">
        <v>1.975E-2</v>
      </c>
      <c r="AY1293" s="403">
        <v>1.975E-2</v>
      </c>
      <c r="AZ1293" s="302">
        <v>2.469E-2</v>
      </c>
      <c r="BA1293" s="302">
        <v>2.2669999999999999E-2</v>
      </c>
      <c r="BB1293" s="302">
        <v>2.4389999999999998E-2</v>
      </c>
      <c r="BC1293" s="118">
        <v>2.0920000000000001E-2</v>
      </c>
      <c r="BD1293" s="403">
        <v>2.0920000000000001E-2</v>
      </c>
      <c r="BE1293" s="302">
        <v>1.967E-2</v>
      </c>
      <c r="BF1293" s="302">
        <v>1.891E-2</v>
      </c>
      <c r="BG1293" s="118">
        <v>1.891E-2</v>
      </c>
      <c r="BH1293" s="118">
        <v>1.5939999999999999E-2</v>
      </c>
      <c r="BI1293" s="514">
        <v>1.5939999999999999E-2</v>
      </c>
      <c r="BJ1293" s="118"/>
      <c r="BK1293" s="118"/>
      <c r="BL1293" s="118"/>
      <c r="BM1293" s="118"/>
      <c r="BN1293" s="401"/>
      <c r="BO1293" s="118"/>
      <c r="BP1293" s="118"/>
      <c r="BQ1293" s="118"/>
      <c r="BR1293" s="118"/>
      <c r="BS1293" s="401"/>
      <c r="BT1293" s="401"/>
      <c r="BU1293" s="401"/>
      <c r="BV1293" s="401"/>
      <c r="BW1293" s="118"/>
    </row>
    <row r="1294" spans="1:75" s="123" customFormat="1" ht="15" hidden="1" customHeight="1" outlineLevel="1" x14ac:dyDescent="0.5">
      <c r="A1294" s="817" t="s">
        <v>1238</v>
      </c>
      <c r="B1294" s="783"/>
      <c r="C1294" s="790"/>
      <c r="D1294" s="790"/>
      <c r="E1294" s="790"/>
      <c r="F1294" s="790"/>
      <c r="G1294" s="804">
        <v>36.69</v>
      </c>
      <c r="H1294" s="804">
        <v>49.97</v>
      </c>
      <c r="I1294" s="804">
        <v>65.209999999999994</v>
      </c>
      <c r="J1294" s="791">
        <v>65.36</v>
      </c>
      <c r="K1294" s="792">
        <v>65.36</v>
      </c>
      <c r="L1294" s="804">
        <v>64.010000000000005</v>
      </c>
      <c r="M1294" s="804">
        <v>63.62</v>
      </c>
      <c r="N1294" s="804">
        <v>63.54</v>
      </c>
      <c r="O1294" s="791">
        <v>64.09</v>
      </c>
      <c r="P1294" s="792">
        <v>64.09</v>
      </c>
      <c r="Q1294" s="804">
        <v>65.8</v>
      </c>
      <c r="R1294" s="804">
        <v>70.88</v>
      </c>
      <c r="S1294" s="804">
        <v>72.56</v>
      </c>
      <c r="T1294" s="791">
        <v>73.11</v>
      </c>
      <c r="U1294" s="792">
        <v>73.11</v>
      </c>
      <c r="V1294" s="804">
        <v>61.02</v>
      </c>
      <c r="W1294" s="804">
        <v>56.42</v>
      </c>
      <c r="X1294" s="804">
        <v>54.31</v>
      </c>
      <c r="Y1294" s="791">
        <v>53.52</v>
      </c>
      <c r="Z1294" s="792">
        <v>53.52</v>
      </c>
      <c r="AA1294" s="804">
        <v>53.38</v>
      </c>
      <c r="AB1294" s="804">
        <v>52.84</v>
      </c>
      <c r="AC1294" s="804">
        <v>52.2</v>
      </c>
      <c r="AD1294" s="791">
        <v>52.65</v>
      </c>
      <c r="AE1294" s="792">
        <v>52.65</v>
      </c>
      <c r="AF1294" s="804">
        <v>52.81</v>
      </c>
      <c r="AG1294" s="804">
        <v>52.74</v>
      </c>
      <c r="AH1294" s="804">
        <v>52.55</v>
      </c>
      <c r="AI1294" s="791">
        <v>52.4</v>
      </c>
      <c r="AJ1294" s="792">
        <v>52.4</v>
      </c>
      <c r="AK1294" s="804">
        <v>52.36</v>
      </c>
      <c r="AL1294" s="804">
        <v>49.53</v>
      </c>
      <c r="AM1294" s="804">
        <v>49.09</v>
      </c>
      <c r="AN1294" s="791">
        <v>49</v>
      </c>
      <c r="AO1294" s="792">
        <v>49</v>
      </c>
      <c r="AP1294" s="804">
        <v>47.78</v>
      </c>
      <c r="AQ1294" s="804">
        <v>46.63</v>
      </c>
      <c r="AR1294" s="804">
        <v>45.93</v>
      </c>
      <c r="AS1294" s="791">
        <v>61.04</v>
      </c>
      <c r="AT1294" s="792">
        <v>61.04</v>
      </c>
      <c r="AU1294" s="804">
        <v>73.510000000000005</v>
      </c>
      <c r="AV1294" s="804">
        <v>157.52000000000001</v>
      </c>
      <c r="AW1294" s="804">
        <v>278.37</v>
      </c>
      <c r="AX1294" s="791">
        <v>399.89</v>
      </c>
      <c r="AY1294" s="792">
        <v>399.89</v>
      </c>
      <c r="AZ1294" s="804">
        <v>423.88</v>
      </c>
      <c r="BA1294" s="804">
        <v>436.17</v>
      </c>
      <c r="BB1294" s="804">
        <v>437.37</v>
      </c>
      <c r="BC1294" s="791">
        <v>443.92</v>
      </c>
      <c r="BD1294" s="792">
        <v>443.92</v>
      </c>
      <c r="BE1294" s="804">
        <v>444.3</v>
      </c>
      <c r="BF1294" s="804">
        <v>439.49</v>
      </c>
      <c r="BG1294" s="791">
        <v>439.49</v>
      </c>
      <c r="BH1294" s="791">
        <v>437.02</v>
      </c>
      <c r="BI1294" s="796">
        <v>437.02</v>
      </c>
      <c r="BJ1294" s="791"/>
      <c r="BK1294" s="791"/>
      <c r="BL1294" s="791"/>
      <c r="BM1294" s="791"/>
      <c r="BN1294" s="790"/>
      <c r="BO1294" s="791"/>
      <c r="BP1294" s="791"/>
      <c r="BQ1294" s="791"/>
      <c r="BR1294" s="791"/>
      <c r="BS1294" s="790"/>
      <c r="BT1294" s="790"/>
      <c r="BU1294" s="790"/>
      <c r="BV1294" s="790"/>
      <c r="BW1294" s="785"/>
    </row>
    <row r="1295" spans="1:75" s="123" customFormat="1" ht="15" hidden="1" customHeight="1" outlineLevel="2" x14ac:dyDescent="0.5">
      <c r="A1295" s="782"/>
      <c r="B1295" s="783"/>
      <c r="C1295" s="784"/>
      <c r="D1295" s="784"/>
      <c r="E1295" s="784"/>
      <c r="F1295" s="784"/>
      <c r="G1295" s="785"/>
      <c r="H1295" s="785"/>
      <c r="I1295" s="785"/>
      <c r="J1295" s="785"/>
      <c r="K1295" s="784"/>
      <c r="L1295" s="785"/>
      <c r="M1295" s="785"/>
      <c r="N1295" s="785"/>
      <c r="O1295" s="785"/>
      <c r="P1295" s="784"/>
      <c r="Q1295" s="785"/>
      <c r="R1295" s="785"/>
      <c r="S1295" s="785"/>
      <c r="T1295" s="785"/>
      <c r="U1295" s="784"/>
      <c r="V1295" s="785"/>
      <c r="W1295" s="785"/>
      <c r="X1295" s="785"/>
      <c r="Y1295" s="785"/>
      <c r="Z1295" s="784"/>
      <c r="AA1295" s="785"/>
      <c r="AB1295" s="785"/>
      <c r="AC1295" s="785"/>
      <c r="AD1295" s="785"/>
      <c r="AE1295" s="784"/>
      <c r="AF1295" s="785"/>
      <c r="AG1295" s="785"/>
      <c r="AH1295" s="785"/>
      <c r="AI1295" s="785"/>
      <c r="AJ1295" s="784"/>
      <c r="AK1295" s="785"/>
      <c r="AL1295" s="785"/>
      <c r="AM1295" s="785"/>
      <c r="AN1295" s="785"/>
      <c r="AO1295" s="784"/>
      <c r="AP1295" s="785"/>
      <c r="AQ1295" s="785"/>
      <c r="AR1295" s="785"/>
      <c r="AS1295" s="785"/>
      <c r="AT1295" s="784"/>
      <c r="AU1295" s="785"/>
      <c r="AV1295" s="785"/>
      <c r="AW1295" s="785"/>
      <c r="AX1295" s="785"/>
      <c r="AY1295" s="784"/>
      <c r="AZ1295" s="785"/>
      <c r="BA1295" s="785"/>
      <c r="BB1295" s="785"/>
      <c r="BC1295" s="785"/>
      <c r="BD1295" s="784"/>
      <c r="BE1295" s="785"/>
      <c r="BF1295" s="785"/>
      <c r="BG1295" s="785"/>
      <c r="BH1295" s="785"/>
      <c r="BI1295" s="786"/>
      <c r="BJ1295" s="785"/>
      <c r="BK1295" s="785"/>
      <c r="BL1295" s="785"/>
      <c r="BM1295" s="785"/>
      <c r="BN1295" s="784"/>
      <c r="BO1295" s="785"/>
      <c r="BP1295" s="785"/>
      <c r="BQ1295" s="785"/>
      <c r="BR1295" s="785"/>
      <c r="BS1295" s="784"/>
      <c r="BT1295" s="784"/>
      <c r="BU1295" s="784"/>
      <c r="BV1295" s="784"/>
      <c r="BW1295" s="787"/>
    </row>
    <row r="1296" spans="1:75" s="123" customFormat="1" ht="15" hidden="1" customHeight="1" outlineLevel="2" x14ac:dyDescent="0.5">
      <c r="A1296" s="752" t="s">
        <v>1239</v>
      </c>
      <c r="B1296" s="783"/>
      <c r="C1296" s="401"/>
      <c r="D1296" s="401"/>
      <c r="E1296" s="401"/>
      <c r="F1296" s="401"/>
      <c r="G1296" s="118"/>
      <c r="H1296" s="118"/>
      <c r="I1296" s="118"/>
      <c r="J1296" s="118"/>
      <c r="K1296" s="401"/>
      <c r="L1296" s="118"/>
      <c r="M1296" s="118"/>
      <c r="N1296" s="118"/>
      <c r="O1296" s="118"/>
      <c r="P1296" s="401"/>
      <c r="Q1296" s="118"/>
      <c r="R1296" s="118"/>
      <c r="S1296" s="118"/>
      <c r="T1296" s="118"/>
      <c r="U1296" s="401"/>
      <c r="V1296" s="118"/>
      <c r="W1296" s="118"/>
      <c r="X1296" s="118"/>
      <c r="Y1296" s="118"/>
      <c r="Z1296" s="401"/>
      <c r="AA1296" s="118"/>
      <c r="AB1296" s="118"/>
      <c r="AC1296" s="118"/>
      <c r="AD1296" s="118"/>
      <c r="AE1296" s="401"/>
      <c r="AF1296" s="118"/>
      <c r="AG1296" s="118"/>
      <c r="AH1296" s="118"/>
      <c r="AI1296" s="118"/>
      <c r="AJ1296" s="401"/>
      <c r="AK1296" s="118"/>
      <c r="AL1296" s="118"/>
      <c r="AM1296" s="118"/>
      <c r="AN1296" s="118"/>
      <c r="AO1296" s="401"/>
      <c r="AP1296" s="118"/>
      <c r="AQ1296" s="118"/>
      <c r="AR1296" s="118"/>
      <c r="AS1296" s="118"/>
      <c r="AT1296" s="401"/>
      <c r="AU1296" s="118"/>
      <c r="AV1296" s="118"/>
      <c r="AW1296" s="118"/>
      <c r="AX1296" s="118"/>
      <c r="AY1296" s="401"/>
      <c r="AZ1296" s="118"/>
      <c r="BA1296" s="118"/>
      <c r="BB1296" s="118"/>
      <c r="BC1296" s="118"/>
      <c r="BD1296" s="401"/>
      <c r="BE1296" s="118"/>
      <c r="BF1296" s="118"/>
      <c r="BG1296" s="118"/>
      <c r="BH1296" s="118"/>
      <c r="BI1296" s="402"/>
      <c r="BJ1296" s="118"/>
      <c r="BK1296" s="118"/>
      <c r="BL1296" s="118"/>
      <c r="BM1296" s="118"/>
      <c r="BN1296" s="401"/>
      <c r="BO1296" s="118"/>
      <c r="BP1296" s="118"/>
      <c r="BQ1296" s="118"/>
      <c r="BR1296" s="118"/>
      <c r="BS1296" s="401"/>
      <c r="BT1296" s="401"/>
      <c r="BU1296" s="401"/>
      <c r="BV1296" s="401"/>
      <c r="BW1296" s="785"/>
    </row>
    <row r="1297" spans="1:75" s="123" customFormat="1" ht="15" hidden="1" customHeight="1" outlineLevel="2" x14ac:dyDescent="0.5">
      <c r="A1297" s="752" t="s">
        <v>1240</v>
      </c>
      <c r="B1297" s="783"/>
      <c r="C1297" s="401"/>
      <c r="D1297" s="401"/>
      <c r="E1297" s="401"/>
      <c r="F1297" s="401"/>
      <c r="G1297" s="118"/>
      <c r="H1297" s="118"/>
      <c r="I1297" s="118"/>
      <c r="J1297" s="118"/>
      <c r="K1297" s="401"/>
      <c r="L1297" s="118"/>
      <c r="M1297" s="118"/>
      <c r="N1297" s="118"/>
      <c r="O1297" s="118"/>
      <c r="P1297" s="401"/>
      <c r="Q1297" s="118"/>
      <c r="R1297" s="118"/>
      <c r="S1297" s="118"/>
      <c r="T1297" s="118"/>
      <c r="U1297" s="401"/>
      <c r="V1297" s="118"/>
      <c r="W1297" s="118"/>
      <c r="X1297" s="118"/>
      <c r="Y1297" s="118"/>
      <c r="Z1297" s="401"/>
      <c r="AA1297" s="118"/>
      <c r="AB1297" s="118"/>
      <c r="AC1297" s="118"/>
      <c r="AD1297" s="118"/>
      <c r="AE1297" s="401"/>
      <c r="AF1297" s="118"/>
      <c r="AG1297" s="118"/>
      <c r="AH1297" s="118"/>
      <c r="AI1297" s="118"/>
      <c r="AJ1297" s="401"/>
      <c r="AK1297" s="118"/>
      <c r="AL1297" s="118"/>
      <c r="AM1297" s="118"/>
      <c r="AN1297" s="118"/>
      <c r="AO1297" s="401"/>
      <c r="AP1297" s="118"/>
      <c r="AQ1297" s="118"/>
      <c r="AR1297" s="118"/>
      <c r="AS1297" s="118"/>
      <c r="AT1297" s="401"/>
      <c r="AU1297" s="118"/>
      <c r="AV1297" s="118"/>
      <c r="AW1297" s="118"/>
      <c r="AX1297" s="118"/>
      <c r="AY1297" s="401"/>
      <c r="AZ1297" s="118"/>
      <c r="BA1297" s="118"/>
      <c r="BB1297" s="118"/>
      <c r="BC1297" s="118"/>
      <c r="BD1297" s="401"/>
      <c r="BE1297" s="118"/>
      <c r="BF1297" s="118"/>
      <c r="BG1297" s="118"/>
      <c r="BH1297" s="118"/>
      <c r="BI1297" s="402"/>
      <c r="BJ1297" s="118"/>
      <c r="BK1297" s="118"/>
      <c r="BL1297" s="118"/>
      <c r="BM1297" s="118"/>
      <c r="BN1297" s="401"/>
      <c r="BO1297" s="118"/>
      <c r="BP1297" s="118"/>
      <c r="BQ1297" s="118"/>
      <c r="BR1297" s="118"/>
      <c r="BS1297" s="401"/>
      <c r="BT1297" s="401"/>
      <c r="BU1297" s="401"/>
      <c r="BV1297" s="401"/>
      <c r="BW1297" s="785"/>
    </row>
    <row r="1298" spans="1:75" s="123" customFormat="1" ht="15" hidden="1" customHeight="1" outlineLevel="1" x14ac:dyDescent="0.5">
      <c r="A1298" s="782"/>
      <c r="B1298" s="783"/>
      <c r="C1298" s="784"/>
      <c r="D1298" s="784"/>
      <c r="E1298" s="784"/>
      <c r="F1298" s="784"/>
      <c r="G1298" s="785"/>
      <c r="H1298" s="785"/>
      <c r="I1298" s="785"/>
      <c r="J1298" s="785"/>
      <c r="K1298" s="784"/>
      <c r="L1298" s="785"/>
      <c r="M1298" s="785"/>
      <c r="N1298" s="785"/>
      <c r="O1298" s="785"/>
      <c r="P1298" s="784"/>
      <c r="Q1298" s="785"/>
      <c r="R1298" s="785"/>
      <c r="S1298" s="785"/>
      <c r="T1298" s="785"/>
      <c r="U1298" s="784"/>
      <c r="V1298" s="785"/>
      <c r="W1298" s="785"/>
      <c r="X1298" s="785"/>
      <c r="Y1298" s="785"/>
      <c r="Z1298" s="784"/>
      <c r="AA1298" s="785"/>
      <c r="AB1298" s="785"/>
      <c r="AC1298" s="785"/>
      <c r="AD1298" s="785"/>
      <c r="AE1298" s="784"/>
      <c r="AF1298" s="785"/>
      <c r="AG1298" s="785"/>
      <c r="AH1298" s="785"/>
      <c r="AI1298" s="785"/>
      <c r="AJ1298" s="784"/>
      <c r="AK1298" s="785"/>
      <c r="AL1298" s="785"/>
      <c r="AM1298" s="785"/>
      <c r="AN1298" s="785"/>
      <c r="AO1298" s="784"/>
      <c r="AP1298" s="785"/>
      <c r="AQ1298" s="785"/>
      <c r="AR1298" s="785"/>
      <c r="AS1298" s="785"/>
      <c r="AT1298" s="784"/>
      <c r="AU1298" s="785"/>
      <c r="AV1298" s="785"/>
      <c r="AW1298" s="785"/>
      <c r="AX1298" s="785"/>
      <c r="AY1298" s="784"/>
      <c r="AZ1298" s="785"/>
      <c r="BA1298" s="785"/>
      <c r="BB1298" s="785"/>
      <c r="BC1298" s="785"/>
      <c r="BD1298" s="784"/>
      <c r="BE1298" s="785"/>
      <c r="BF1298" s="785"/>
      <c r="BG1298" s="785"/>
      <c r="BH1298" s="785"/>
      <c r="BI1298" s="786"/>
      <c r="BJ1298" s="785"/>
      <c r="BK1298" s="785"/>
      <c r="BL1298" s="785"/>
      <c r="BM1298" s="785"/>
      <c r="BN1298" s="784"/>
      <c r="BO1298" s="785"/>
      <c r="BP1298" s="785"/>
      <c r="BQ1298" s="785"/>
      <c r="BR1298" s="785"/>
      <c r="BS1298" s="784"/>
      <c r="BT1298" s="784"/>
      <c r="BU1298" s="784"/>
      <c r="BV1298" s="784"/>
      <c r="BW1298" s="787"/>
    </row>
    <row r="1299" spans="1:75" s="123" customFormat="1" ht="15" hidden="1" customHeight="1" outlineLevel="1" x14ac:dyDescent="0.5">
      <c r="A1299" s="805" t="s">
        <v>1241</v>
      </c>
      <c r="B1299" s="806"/>
      <c r="C1299" s="807"/>
      <c r="D1299" s="807"/>
      <c r="E1299" s="807"/>
      <c r="F1299" s="807">
        <v>0</v>
      </c>
      <c r="G1299" s="808">
        <v>4.1713E-2</v>
      </c>
      <c r="H1299" s="808">
        <v>3.2290007057798431</v>
      </c>
      <c r="I1299" s="808">
        <v>3.3698810769791514</v>
      </c>
      <c r="J1299" s="808">
        <v>1.9470312030313714</v>
      </c>
      <c r="K1299" s="807">
        <v>1.9470312030313714</v>
      </c>
      <c r="L1299" s="808">
        <v>1.9464421128650358</v>
      </c>
      <c r="M1299" s="808">
        <v>3.5354119150231309</v>
      </c>
      <c r="N1299" s="808">
        <v>3.4067433994023899</v>
      </c>
      <c r="O1299" s="808">
        <v>3.503048595452988</v>
      </c>
      <c r="P1299" s="807">
        <v>3.503048595452988</v>
      </c>
      <c r="Q1299" s="808">
        <v>3.4808861431024614</v>
      </c>
      <c r="R1299" s="808">
        <v>4.0452301052631574</v>
      </c>
      <c r="S1299" s="808">
        <v>3.9437908360655736</v>
      </c>
      <c r="T1299" s="808">
        <v>1.4327445428432326</v>
      </c>
      <c r="U1299" s="807">
        <v>1.4327445428432326</v>
      </c>
      <c r="V1299" s="808">
        <v>1.233282</v>
      </c>
      <c r="W1299" s="808">
        <v>1.182588</v>
      </c>
      <c r="X1299" s="808">
        <v>1.151993</v>
      </c>
      <c r="Y1299" s="808">
        <v>1.1180190000000001</v>
      </c>
      <c r="Z1299" s="807">
        <v>1.1180190000000001</v>
      </c>
      <c r="AA1299" s="808">
        <v>1.0297400000000001</v>
      </c>
      <c r="AB1299" s="808">
        <v>3.4215175839416059</v>
      </c>
      <c r="AC1299" s="808">
        <v>4.5423157008310246</v>
      </c>
      <c r="AD1299" s="808">
        <v>4.7093818389830524</v>
      </c>
      <c r="AE1299" s="807">
        <v>4.7093818389830524</v>
      </c>
      <c r="AF1299" s="808">
        <v>5.0304483532328446</v>
      </c>
      <c r="AG1299" s="808">
        <v>5.4890744374350593</v>
      </c>
      <c r="AH1299" s="808">
        <v>4.7763764439196219</v>
      </c>
      <c r="AI1299" s="808">
        <v>4.8638280715354698</v>
      </c>
      <c r="AJ1299" s="807">
        <v>4.8638280715354698</v>
      </c>
      <c r="AK1299" s="808">
        <v>4.147076684834559</v>
      </c>
      <c r="AL1299" s="808">
        <v>4.6914968853321648</v>
      </c>
      <c r="AM1299" s="808">
        <v>5.1446347404458601</v>
      </c>
      <c r="AN1299" s="808">
        <v>5.3607538208383252</v>
      </c>
      <c r="AO1299" s="807">
        <v>5.3607538208383252</v>
      </c>
      <c r="AP1299" s="808">
        <v>4.1977414811581557</v>
      </c>
      <c r="AQ1299" s="808">
        <v>5.9402034360713909</v>
      </c>
      <c r="AR1299" s="808">
        <v>6.0384540248486109</v>
      </c>
      <c r="AS1299" s="808">
        <v>6.7428548837091906</v>
      </c>
      <c r="AT1299" s="807">
        <v>6.7428548837091906</v>
      </c>
      <c r="AU1299" s="808">
        <v>7.2862395001598799</v>
      </c>
      <c r="AV1299" s="808">
        <v>6.6424877148837504</v>
      </c>
      <c r="AW1299" s="808">
        <v>6.5337654505101348</v>
      </c>
      <c r="AX1299" s="808">
        <v>5.5240926646254342</v>
      </c>
      <c r="AY1299" s="807">
        <v>5.5240926646254342</v>
      </c>
      <c r="AZ1299" s="808">
        <v>2.4507934555218376</v>
      </c>
      <c r="BA1299" s="808">
        <v>1.9794611517016785</v>
      </c>
      <c r="BB1299" s="808">
        <v>1.740341640347445</v>
      </c>
      <c r="BC1299" s="808">
        <v>1.4572362731047803</v>
      </c>
      <c r="BD1299" s="807">
        <v>1.4572362731047803</v>
      </c>
      <c r="BE1299" s="808">
        <v>1.0225582687257477</v>
      </c>
      <c r="BF1299" s="808">
        <v>1.8909191396111442</v>
      </c>
      <c r="BG1299" s="808">
        <v>0.43023999812321101</v>
      </c>
      <c r="BH1299" s="808">
        <v>1.0614634492370891</v>
      </c>
      <c r="BI1299" s="809">
        <v>1.0614634492370891</v>
      </c>
      <c r="BJ1299" s="808"/>
      <c r="BK1299" s="808"/>
      <c r="BL1299" s="808"/>
      <c r="BM1299" s="808"/>
      <c r="BN1299" s="807"/>
      <c r="BO1299" s="808"/>
      <c r="BP1299" s="808"/>
      <c r="BQ1299" s="808"/>
      <c r="BR1299" s="808"/>
      <c r="BS1299" s="807"/>
      <c r="BT1299" s="807"/>
      <c r="BU1299" s="807"/>
      <c r="BV1299" s="807"/>
      <c r="BW1299" s="785"/>
    </row>
    <row r="1300" spans="1:75" s="123" customFormat="1" ht="15" hidden="1" customHeight="1" outlineLevel="1" x14ac:dyDescent="0.5">
      <c r="A1300" s="782"/>
      <c r="B1300" s="783"/>
      <c r="C1300" s="784"/>
      <c r="D1300" s="784"/>
      <c r="E1300" s="784"/>
      <c r="F1300" s="784"/>
      <c r="G1300" s="785"/>
      <c r="H1300" s="785"/>
      <c r="I1300" s="785"/>
      <c r="J1300" s="785"/>
      <c r="K1300" s="784"/>
      <c r="L1300" s="785"/>
      <c r="M1300" s="785"/>
      <c r="N1300" s="785"/>
      <c r="O1300" s="785"/>
      <c r="P1300" s="784"/>
      <c r="Q1300" s="785"/>
      <c r="R1300" s="785"/>
      <c r="S1300" s="785"/>
      <c r="T1300" s="785"/>
      <c r="U1300" s="784"/>
      <c r="V1300" s="785"/>
      <c r="W1300" s="785"/>
      <c r="X1300" s="785"/>
      <c r="Y1300" s="785"/>
      <c r="Z1300" s="784"/>
      <c r="AA1300" s="785"/>
      <c r="AB1300" s="785"/>
      <c r="AC1300" s="785"/>
      <c r="AD1300" s="785"/>
      <c r="AE1300" s="784"/>
      <c r="AF1300" s="785"/>
      <c r="AG1300" s="785"/>
      <c r="AH1300" s="785"/>
      <c r="AI1300" s="785"/>
      <c r="AJ1300" s="784"/>
      <c r="AK1300" s="785"/>
      <c r="AL1300" s="785"/>
      <c r="AM1300" s="785"/>
      <c r="AN1300" s="785"/>
      <c r="AO1300" s="784"/>
      <c r="AP1300" s="785"/>
      <c r="AQ1300" s="785"/>
      <c r="AR1300" s="785"/>
      <c r="AS1300" s="785"/>
      <c r="AT1300" s="784"/>
      <c r="AU1300" s="785"/>
      <c r="AV1300" s="785"/>
      <c r="AW1300" s="785"/>
      <c r="AX1300" s="785"/>
      <c r="AY1300" s="784"/>
      <c r="AZ1300" s="785"/>
      <c r="BA1300" s="785"/>
      <c r="BB1300" s="785"/>
      <c r="BC1300" s="785"/>
      <c r="BD1300" s="784"/>
      <c r="BE1300" s="785"/>
      <c r="BF1300" s="785"/>
      <c r="BG1300" s="785"/>
      <c r="BH1300" s="785"/>
      <c r="BI1300" s="786"/>
      <c r="BJ1300" s="785"/>
      <c r="BK1300" s="785"/>
      <c r="BL1300" s="785"/>
      <c r="BM1300" s="785"/>
      <c r="BN1300" s="784"/>
      <c r="BO1300" s="785"/>
      <c r="BP1300" s="785"/>
      <c r="BQ1300" s="785"/>
      <c r="BR1300" s="785"/>
      <c r="BS1300" s="784"/>
      <c r="BT1300" s="784"/>
      <c r="BU1300" s="784"/>
      <c r="BV1300" s="784"/>
      <c r="BW1300" s="787"/>
    </row>
    <row r="1301" spans="1:75" s="123" customFormat="1" ht="15" hidden="1" customHeight="1" outlineLevel="1" x14ac:dyDescent="0.5">
      <c r="A1301" s="206" t="s">
        <v>1242</v>
      </c>
      <c r="B1301" s="811"/>
      <c r="C1301" s="397"/>
      <c r="D1301" s="397"/>
      <c r="E1301" s="397"/>
      <c r="F1301" s="397">
        <v>37.967635000000001</v>
      </c>
      <c r="G1301" s="295">
        <v>38.149805000000001</v>
      </c>
      <c r="H1301" s="295">
        <v>42.141765705779846</v>
      </c>
      <c r="I1301" s="295">
        <v>42.275624076979156</v>
      </c>
      <c r="J1301" s="295">
        <v>41.071795203031371</v>
      </c>
      <c r="K1301" s="397">
        <v>41.071795203031371</v>
      </c>
      <c r="L1301" s="295">
        <v>41.319867112865033</v>
      </c>
      <c r="M1301" s="295">
        <v>43.021891915023133</v>
      </c>
      <c r="N1301" s="295">
        <v>42.930502399402386</v>
      </c>
      <c r="O1301" s="295">
        <v>43.395588595452985</v>
      </c>
      <c r="P1301" s="397">
        <v>43.395588595452985</v>
      </c>
      <c r="Q1301" s="295">
        <v>43.435312143102458</v>
      </c>
      <c r="R1301" s="295">
        <v>44.236069105263155</v>
      </c>
      <c r="S1301" s="295">
        <v>44.338648836065573</v>
      </c>
      <c r="T1301" s="295">
        <v>42.016019542843232</v>
      </c>
      <c r="U1301" s="397">
        <v>42.016019542843232</v>
      </c>
      <c r="V1301" s="295">
        <v>41.839007000000002</v>
      </c>
      <c r="W1301" s="295">
        <v>41.876676000000003</v>
      </c>
      <c r="X1301" s="295">
        <v>41.912458000000001</v>
      </c>
      <c r="Y1301" s="295">
        <v>41.946652</v>
      </c>
      <c r="Z1301" s="397">
        <v>41.946652</v>
      </c>
      <c r="AA1301" s="295">
        <v>34.105308999999998</v>
      </c>
      <c r="AB1301" s="295">
        <v>24.573508583941603</v>
      </c>
      <c r="AC1301" s="295">
        <v>25.847576700831027</v>
      </c>
      <c r="AD1301" s="295">
        <v>26.226719838983051</v>
      </c>
      <c r="AE1301" s="397">
        <v>26.226719838983051</v>
      </c>
      <c r="AF1301" s="295">
        <v>26.642645353232844</v>
      </c>
      <c r="AG1301" s="295">
        <v>27.718513437435057</v>
      </c>
      <c r="AH1301" s="295">
        <v>25.98631644391962</v>
      </c>
      <c r="AI1301" s="295">
        <v>25.34164107153547</v>
      </c>
      <c r="AJ1301" s="397">
        <v>25.34164107153547</v>
      </c>
      <c r="AK1301" s="295">
        <v>22.504892684834559</v>
      </c>
      <c r="AL1301" s="295">
        <v>23.283259885332164</v>
      </c>
      <c r="AM1301" s="295">
        <v>24.072943740445858</v>
      </c>
      <c r="AN1301" s="295">
        <v>24.597434820838327</v>
      </c>
      <c r="AO1301" s="397">
        <v>24.597434820838327</v>
      </c>
      <c r="AP1301" s="295">
        <v>23.461868481158156</v>
      </c>
      <c r="AQ1301" s="295">
        <v>25.426029436071389</v>
      </c>
      <c r="AR1301" s="295">
        <v>25.882909024848612</v>
      </c>
      <c r="AS1301" s="295">
        <v>27.738241883709193</v>
      </c>
      <c r="AT1301" s="397">
        <v>27.738241883709193</v>
      </c>
      <c r="AU1301" s="295">
        <v>28.306777500159878</v>
      </c>
      <c r="AV1301" s="295">
        <v>28.050204714883751</v>
      </c>
      <c r="AW1301" s="295">
        <v>27.998898450510136</v>
      </c>
      <c r="AX1301" s="295">
        <v>27.031059664625435</v>
      </c>
      <c r="AY1301" s="397">
        <v>27.031059664625435</v>
      </c>
      <c r="AZ1301" s="295">
        <v>27.112574455521838</v>
      </c>
      <c r="BA1301" s="295">
        <v>25.694652151701678</v>
      </c>
      <c r="BB1301" s="295">
        <v>25.349877640347444</v>
      </c>
      <c r="BC1301" s="295">
        <v>23.502621273104779</v>
      </c>
      <c r="BD1301" s="397">
        <v>23.502621273104779</v>
      </c>
      <c r="BE1301" s="295">
        <v>23.07380926872575</v>
      </c>
      <c r="BF1301" s="295">
        <v>20.288772139611147</v>
      </c>
      <c r="BG1301" s="295">
        <v>18.648636998123209</v>
      </c>
      <c r="BH1301" s="295">
        <v>19.377076449237087</v>
      </c>
      <c r="BI1301" s="399">
        <v>19.377076449237087</v>
      </c>
      <c r="BJ1301" s="295"/>
      <c r="BK1301" s="295"/>
      <c r="BL1301" s="295"/>
      <c r="BM1301" s="295"/>
      <c r="BN1301" s="397"/>
      <c r="BO1301" s="295"/>
      <c r="BP1301" s="295"/>
      <c r="BQ1301" s="295"/>
      <c r="BR1301" s="295"/>
      <c r="BS1301" s="397"/>
      <c r="BT1301" s="397"/>
      <c r="BU1301" s="397"/>
      <c r="BV1301" s="397"/>
      <c r="BW1301" s="785"/>
    </row>
    <row r="1302" spans="1:75" s="123" customFormat="1" ht="15" hidden="1" customHeight="1" outlineLevel="1" x14ac:dyDescent="0.5">
      <c r="A1302" s="206"/>
      <c r="B1302" s="811"/>
      <c r="C1302" s="397"/>
      <c r="D1302" s="397"/>
      <c r="E1302" s="397"/>
      <c r="F1302" s="397"/>
      <c r="G1302" s="295"/>
      <c r="H1302" s="295"/>
      <c r="I1302" s="295"/>
      <c r="J1302" s="295"/>
      <c r="K1302" s="397"/>
      <c r="L1302" s="295"/>
      <c r="M1302" s="295"/>
      <c r="N1302" s="295"/>
      <c r="O1302" s="295"/>
      <c r="P1302" s="397"/>
      <c r="Q1302" s="295"/>
      <c r="R1302" s="295"/>
      <c r="S1302" s="295"/>
      <c r="T1302" s="295"/>
      <c r="U1302" s="397"/>
      <c r="V1302" s="295"/>
      <c r="W1302" s="295"/>
      <c r="X1302" s="295"/>
      <c r="Y1302" s="295"/>
      <c r="Z1302" s="397"/>
      <c r="AA1302" s="295"/>
      <c r="AB1302" s="295"/>
      <c r="AC1302" s="295"/>
      <c r="AD1302" s="295"/>
      <c r="AE1302" s="397"/>
      <c r="AF1302" s="295"/>
      <c r="AG1302" s="295"/>
      <c r="AH1302" s="295"/>
      <c r="AI1302" s="295"/>
      <c r="AJ1302" s="397"/>
      <c r="AK1302" s="295"/>
      <c r="AL1302" s="295"/>
      <c r="AM1302" s="295"/>
      <c r="AN1302" s="295"/>
      <c r="AO1302" s="397"/>
      <c r="AP1302" s="295"/>
      <c r="AQ1302" s="295"/>
      <c r="AR1302" s="295"/>
      <c r="AS1302" s="295"/>
      <c r="AT1302" s="397"/>
      <c r="AU1302" s="295"/>
      <c r="AV1302" s="295"/>
      <c r="AW1302" s="295"/>
      <c r="AX1302" s="295"/>
      <c r="AY1302" s="397"/>
      <c r="AZ1302" s="295"/>
      <c r="BA1302" s="295"/>
      <c r="BB1302" s="295"/>
      <c r="BC1302" s="295"/>
      <c r="BD1302" s="397"/>
      <c r="BE1302" s="295"/>
      <c r="BF1302" s="295"/>
      <c r="BG1302" s="295"/>
      <c r="BH1302" s="295"/>
      <c r="BI1302" s="399"/>
      <c r="BJ1302" s="295"/>
      <c r="BK1302" s="295"/>
      <c r="BL1302" s="295"/>
      <c r="BM1302" s="295"/>
      <c r="BN1302" s="397"/>
      <c r="BO1302" s="295"/>
      <c r="BP1302" s="295"/>
      <c r="BQ1302" s="295"/>
      <c r="BR1302" s="295"/>
      <c r="BS1302" s="397"/>
      <c r="BT1302" s="397"/>
      <c r="BU1302" s="397"/>
      <c r="BV1302" s="397"/>
      <c r="BW1302" s="785"/>
    </row>
    <row r="1303" spans="1:75" s="123" customFormat="1" ht="15" hidden="1" customHeight="1" outlineLevel="1" x14ac:dyDescent="0.5">
      <c r="A1303" s="588" t="s">
        <v>1243</v>
      </c>
      <c r="B1303" s="513"/>
      <c r="C1303" s="401"/>
      <c r="D1303" s="401"/>
      <c r="E1303" s="401"/>
      <c r="F1303" s="403">
        <v>38.108091999999999</v>
      </c>
      <c r="G1303" s="302">
        <v>38.879641999999997</v>
      </c>
      <c r="H1303" s="302">
        <v>38.912765</v>
      </c>
      <c r="I1303" s="302">
        <v>38.905743000000001</v>
      </c>
      <c r="J1303" s="118">
        <v>38.887453999999998</v>
      </c>
      <c r="K1303" s="403">
        <v>38.887453999999998</v>
      </c>
      <c r="L1303" s="302">
        <v>39.374139</v>
      </c>
      <c r="M1303" s="302">
        <v>39.497517999999999</v>
      </c>
      <c r="N1303" s="302">
        <v>39.577120999999998</v>
      </c>
      <c r="O1303" s="118">
        <v>39.892539999999997</v>
      </c>
      <c r="P1303" s="403">
        <v>39.892539999999997</v>
      </c>
      <c r="Q1303" s="302">
        <v>39.953933999999997</v>
      </c>
      <c r="R1303" s="302">
        <v>40.201115999999999</v>
      </c>
      <c r="S1303" s="302">
        <v>40.480240999999999</v>
      </c>
      <c r="T1303" s="118">
        <v>40.583844999999997</v>
      </c>
      <c r="U1303" s="403">
        <v>40.583844999999997</v>
      </c>
      <c r="V1303" s="302">
        <v>40.606527</v>
      </c>
      <c r="W1303" s="302">
        <v>40.711221999999999</v>
      </c>
      <c r="X1303" s="302">
        <v>40.802548000000002</v>
      </c>
      <c r="Y1303" s="118">
        <v>35.902419000000002</v>
      </c>
      <c r="Z1303" s="403">
        <v>35.902419000000002</v>
      </c>
      <c r="AA1303" s="302">
        <v>33.147754999999997</v>
      </c>
      <c r="AB1303" s="302">
        <v>21.152190999999998</v>
      </c>
      <c r="AC1303" s="302">
        <v>21.309940999999998</v>
      </c>
      <c r="AD1303" s="118">
        <v>21.518618</v>
      </c>
      <c r="AE1303" s="403">
        <v>21.518618</v>
      </c>
      <c r="AF1303" s="302">
        <v>21.63429</v>
      </c>
      <c r="AG1303" s="302">
        <v>22.233789000000002</v>
      </c>
      <c r="AH1303" s="302">
        <v>21.216239999999999</v>
      </c>
      <c r="AI1303" s="118">
        <v>20.478213</v>
      </c>
      <c r="AJ1303" s="403">
        <v>20.478213</v>
      </c>
      <c r="AK1303" s="302">
        <v>18.363482000000001</v>
      </c>
      <c r="AL1303" s="302">
        <v>18.676037999999998</v>
      </c>
      <c r="AM1303" s="302">
        <v>18.99701</v>
      </c>
      <c r="AN1303" s="118">
        <v>19.238681</v>
      </c>
      <c r="AO1303" s="403">
        <v>19.238681</v>
      </c>
      <c r="AP1303" s="302">
        <v>19.290966000000001</v>
      </c>
      <c r="AQ1303" s="302">
        <v>19.514206000000001</v>
      </c>
      <c r="AR1303" s="302">
        <v>20.401430999999999</v>
      </c>
      <c r="AS1303" s="118">
        <v>20.996817</v>
      </c>
      <c r="AT1303" s="403">
        <v>20.996817</v>
      </c>
      <c r="AU1303" s="302">
        <v>21.030373999999998</v>
      </c>
      <c r="AV1303" s="302">
        <v>21.413557000000001</v>
      </c>
      <c r="AW1303" s="302">
        <v>21.468715</v>
      </c>
      <c r="AX1303" s="118">
        <v>21.708770999999999</v>
      </c>
      <c r="AY1303" s="403">
        <v>21.708770999999999</v>
      </c>
      <c r="AZ1303" s="302">
        <v>24.681190999999998</v>
      </c>
      <c r="BA1303" s="302">
        <v>23.725732000000001</v>
      </c>
      <c r="BB1303" s="302">
        <v>23.612501000000002</v>
      </c>
      <c r="BC1303" s="118">
        <v>22.045437</v>
      </c>
      <c r="BD1303" s="403">
        <v>22.045437</v>
      </c>
      <c r="BE1303" s="302">
        <v>22.052211</v>
      </c>
      <c r="BF1303" s="302">
        <v>18.400192000000001</v>
      </c>
      <c r="BG1303" s="302">
        <v>18.219414</v>
      </c>
      <c r="BH1303" s="118">
        <v>18.315612999999999</v>
      </c>
      <c r="BI1303" s="514">
        <v>18.315612999999999</v>
      </c>
      <c r="BJ1303" s="118"/>
      <c r="BK1303" s="118"/>
      <c r="BL1303" s="118"/>
      <c r="BM1303" s="118"/>
      <c r="BN1303" s="401"/>
      <c r="BO1303" s="118"/>
      <c r="BP1303" s="118"/>
      <c r="BQ1303" s="118"/>
      <c r="BR1303" s="118"/>
      <c r="BS1303" s="401"/>
      <c r="BT1303" s="401"/>
      <c r="BU1303" s="401"/>
      <c r="BV1303" s="401"/>
      <c r="BW1303" s="118"/>
    </row>
    <row r="1304" spans="1:75" s="123" customFormat="1" ht="15" hidden="1" customHeight="1" outlineLevel="1" x14ac:dyDescent="0.5">
      <c r="A1304" s="588" t="s">
        <v>1244</v>
      </c>
      <c r="B1304" s="513"/>
      <c r="C1304" s="779"/>
      <c r="D1304" s="779"/>
      <c r="E1304" s="779"/>
      <c r="F1304" s="818">
        <v>41380</v>
      </c>
      <c r="G1304" s="819">
        <v>41435</v>
      </c>
      <c r="H1304" s="819">
        <v>41527</v>
      </c>
      <c r="I1304" s="819">
        <v>41618</v>
      </c>
      <c r="J1304" s="780">
        <v>41719</v>
      </c>
      <c r="K1304" s="818">
        <v>41719</v>
      </c>
      <c r="L1304" s="819">
        <v>41796</v>
      </c>
      <c r="M1304" s="819">
        <v>41887</v>
      </c>
      <c r="N1304" s="819">
        <v>41978</v>
      </c>
      <c r="O1304" s="780">
        <v>42083</v>
      </c>
      <c r="P1304" s="818">
        <v>42083</v>
      </c>
      <c r="Q1304" s="819">
        <v>42160</v>
      </c>
      <c r="R1304" s="819">
        <v>42251</v>
      </c>
      <c r="S1304" s="819">
        <v>42342</v>
      </c>
      <c r="T1304" s="780">
        <v>42454</v>
      </c>
      <c r="U1304" s="818">
        <v>42454</v>
      </c>
      <c r="V1304" s="819">
        <v>42524</v>
      </c>
      <c r="W1304" s="819">
        <v>42615</v>
      </c>
      <c r="X1304" s="819">
        <v>42706</v>
      </c>
      <c r="Y1304" s="780">
        <v>42818</v>
      </c>
      <c r="Z1304" s="818">
        <v>42818</v>
      </c>
      <c r="AA1304" s="819">
        <v>42886</v>
      </c>
      <c r="AB1304" s="819">
        <v>42979</v>
      </c>
      <c r="AC1304" s="819">
        <v>43070</v>
      </c>
      <c r="AD1304" s="780">
        <v>43182</v>
      </c>
      <c r="AE1304" s="818">
        <v>43182</v>
      </c>
      <c r="AF1304" s="819">
        <v>43259</v>
      </c>
      <c r="AG1304" s="819">
        <v>43343</v>
      </c>
      <c r="AH1304" s="819">
        <v>43434</v>
      </c>
      <c r="AI1304" s="780">
        <v>43546</v>
      </c>
      <c r="AJ1304" s="818">
        <v>43546</v>
      </c>
      <c r="AK1304" s="819">
        <v>43623</v>
      </c>
      <c r="AL1304" s="819">
        <v>43714</v>
      </c>
      <c r="AM1304" s="819">
        <v>43798</v>
      </c>
      <c r="AN1304" s="780">
        <v>43917</v>
      </c>
      <c r="AO1304" s="818">
        <v>43917</v>
      </c>
      <c r="AP1304" s="819">
        <v>43980</v>
      </c>
      <c r="AQ1304" s="819">
        <v>44078</v>
      </c>
      <c r="AR1304" s="819">
        <v>44174</v>
      </c>
      <c r="AS1304" s="780">
        <v>44279</v>
      </c>
      <c r="AT1304" s="818">
        <v>44279</v>
      </c>
      <c r="AU1304" s="819">
        <v>44351</v>
      </c>
      <c r="AV1304" s="819">
        <v>44442</v>
      </c>
      <c r="AW1304" s="819">
        <v>44533</v>
      </c>
      <c r="AX1304" s="780">
        <v>44645</v>
      </c>
      <c r="AY1304" s="818">
        <v>44645</v>
      </c>
      <c r="AZ1304" s="819">
        <v>44708</v>
      </c>
      <c r="BA1304" s="819">
        <v>44806</v>
      </c>
      <c r="BB1304" s="819">
        <v>44897</v>
      </c>
      <c r="BC1304" s="780">
        <v>45009</v>
      </c>
      <c r="BD1304" s="818">
        <v>45009</v>
      </c>
      <c r="BE1304" s="819">
        <v>45065</v>
      </c>
      <c r="BF1304" s="819">
        <v>45170</v>
      </c>
      <c r="BG1304" s="819">
        <v>45261</v>
      </c>
      <c r="BH1304" s="780">
        <v>45373</v>
      </c>
      <c r="BI1304" s="820">
        <v>45373</v>
      </c>
      <c r="BJ1304" s="780"/>
      <c r="BK1304" s="780"/>
      <c r="BL1304" s="780"/>
      <c r="BM1304" s="780"/>
      <c r="BN1304" s="779"/>
      <c r="BO1304" s="780"/>
      <c r="BP1304" s="780"/>
      <c r="BQ1304" s="780"/>
      <c r="BR1304" s="780"/>
      <c r="BS1304" s="779"/>
      <c r="BT1304" s="779"/>
      <c r="BU1304" s="779"/>
      <c r="BV1304" s="779"/>
      <c r="BW1304" s="118"/>
    </row>
    <row r="1305" spans="1:75" s="123" customFormat="1" ht="15" hidden="1" customHeight="1" outlineLevel="1" x14ac:dyDescent="0.5">
      <c r="A1305" s="588"/>
      <c r="B1305" s="513"/>
      <c r="C1305" s="779"/>
      <c r="D1305" s="779"/>
      <c r="E1305" s="779"/>
      <c r="F1305" s="779"/>
      <c r="G1305" s="780"/>
      <c r="H1305" s="780"/>
      <c r="I1305" s="780"/>
      <c r="J1305" s="780"/>
      <c r="K1305" s="779"/>
      <c r="L1305" s="780"/>
      <c r="M1305" s="780"/>
      <c r="N1305" s="780"/>
      <c r="O1305" s="780"/>
      <c r="P1305" s="779"/>
      <c r="Q1305" s="780"/>
      <c r="R1305" s="780"/>
      <c r="S1305" s="780"/>
      <c r="T1305" s="780"/>
      <c r="U1305" s="779"/>
      <c r="V1305" s="780"/>
      <c r="W1305" s="780"/>
      <c r="X1305" s="780"/>
      <c r="Y1305" s="780"/>
      <c r="Z1305" s="779"/>
      <c r="AA1305" s="780"/>
      <c r="AB1305" s="780"/>
      <c r="AC1305" s="780"/>
      <c r="AD1305" s="780"/>
      <c r="AE1305" s="779"/>
      <c r="AF1305" s="780"/>
      <c r="AG1305" s="780"/>
      <c r="AH1305" s="780"/>
      <c r="AI1305" s="780"/>
      <c r="AJ1305" s="779"/>
      <c r="AK1305" s="780"/>
      <c r="AL1305" s="780"/>
      <c r="AM1305" s="780"/>
      <c r="AN1305" s="780"/>
      <c r="AO1305" s="779"/>
      <c r="AP1305" s="780"/>
      <c r="AQ1305" s="780"/>
      <c r="AR1305" s="780"/>
      <c r="AS1305" s="780"/>
      <c r="AT1305" s="779"/>
      <c r="AU1305" s="780"/>
      <c r="AV1305" s="780"/>
      <c r="AW1305" s="780"/>
      <c r="AX1305" s="780"/>
      <c r="AY1305" s="779"/>
      <c r="AZ1305" s="780"/>
      <c r="BA1305" s="780"/>
      <c r="BB1305" s="780"/>
      <c r="BC1305" s="780"/>
      <c r="BD1305" s="779"/>
      <c r="BE1305" s="780"/>
      <c r="BF1305" s="780"/>
      <c r="BG1305" s="780"/>
      <c r="BH1305" s="780"/>
      <c r="BI1305" s="781"/>
      <c r="BJ1305" s="780"/>
      <c r="BK1305" s="780"/>
      <c r="BL1305" s="780"/>
      <c r="BM1305" s="780"/>
      <c r="BN1305" s="779"/>
      <c r="BO1305" s="780"/>
      <c r="BP1305" s="780"/>
      <c r="BQ1305" s="780"/>
      <c r="BR1305" s="780"/>
      <c r="BS1305" s="779"/>
      <c r="BT1305" s="779"/>
      <c r="BU1305" s="779"/>
      <c r="BV1305" s="779"/>
      <c r="BW1305" s="122"/>
    </row>
    <row r="1306" spans="1:75" s="123" customFormat="1" ht="15" hidden="1" customHeight="1" outlineLevel="1" x14ac:dyDescent="0.5">
      <c r="A1306" s="206" t="s">
        <v>1245</v>
      </c>
      <c r="B1306" s="522"/>
      <c r="C1306" s="397"/>
      <c r="D1306" s="397"/>
      <c r="E1306" s="397"/>
      <c r="F1306" s="397">
        <v>38.108091999999999</v>
      </c>
      <c r="G1306" s="295">
        <v>38.921354999999998</v>
      </c>
      <c r="H1306" s="295">
        <v>42.141765705779846</v>
      </c>
      <c r="I1306" s="295">
        <v>42.275624076979156</v>
      </c>
      <c r="J1306" s="295">
        <v>40.83448520303137</v>
      </c>
      <c r="K1306" s="397">
        <v>40.83448520303137</v>
      </c>
      <c r="L1306" s="295">
        <v>41.320581112865035</v>
      </c>
      <c r="M1306" s="295">
        <v>43.032929915023132</v>
      </c>
      <c r="N1306" s="295">
        <v>42.983864399402385</v>
      </c>
      <c r="O1306" s="295">
        <v>43.395588595452985</v>
      </c>
      <c r="P1306" s="397">
        <v>43.395588595452985</v>
      </c>
      <c r="Q1306" s="295">
        <v>43.434820143102456</v>
      </c>
      <c r="R1306" s="295">
        <v>44.246346105263157</v>
      </c>
      <c r="S1306" s="295">
        <v>44.424031836065573</v>
      </c>
      <c r="T1306" s="295">
        <v>42.016589542843228</v>
      </c>
      <c r="U1306" s="397">
        <v>42.016589542843228</v>
      </c>
      <c r="V1306" s="295">
        <v>41.839809000000002</v>
      </c>
      <c r="W1306" s="295">
        <v>41.893810000000002</v>
      </c>
      <c r="X1306" s="295">
        <v>41.954540999999999</v>
      </c>
      <c r="Y1306" s="295">
        <v>37.020437999999999</v>
      </c>
      <c r="Z1306" s="397">
        <v>37.020437999999999</v>
      </c>
      <c r="AA1306" s="295">
        <v>34.177494999999993</v>
      </c>
      <c r="AB1306" s="295">
        <v>24.573708583941603</v>
      </c>
      <c r="AC1306" s="295">
        <v>25.852256700831024</v>
      </c>
      <c r="AD1306" s="295">
        <v>26.227999838983052</v>
      </c>
      <c r="AE1306" s="397">
        <v>26.227999838983052</v>
      </c>
      <c r="AF1306" s="295">
        <v>26.664738353232845</v>
      </c>
      <c r="AG1306" s="295">
        <v>27.722863437435059</v>
      </c>
      <c r="AH1306" s="295">
        <v>25.992616443919623</v>
      </c>
      <c r="AI1306" s="295">
        <v>25.342041071535469</v>
      </c>
      <c r="AJ1306" s="397">
        <v>25.342041071535469</v>
      </c>
      <c r="AK1306" s="295">
        <v>22.51055868483456</v>
      </c>
      <c r="AL1306" s="295">
        <v>23.367534885332162</v>
      </c>
      <c r="AM1306" s="295">
        <v>24.141644740445859</v>
      </c>
      <c r="AN1306" s="295">
        <v>24.599434820838326</v>
      </c>
      <c r="AO1306" s="397">
        <v>24.599434820838326</v>
      </c>
      <c r="AP1306" s="295">
        <v>23.488707481158158</v>
      </c>
      <c r="AQ1306" s="295">
        <v>25.454409436071394</v>
      </c>
      <c r="AR1306" s="295">
        <v>26.439885024848611</v>
      </c>
      <c r="AS1306" s="295">
        <v>27.739671883709192</v>
      </c>
      <c r="AT1306" s="397">
        <v>27.739671883709192</v>
      </c>
      <c r="AU1306" s="295">
        <v>28.316613500159878</v>
      </c>
      <c r="AV1306" s="295">
        <v>28.05604471488375</v>
      </c>
      <c r="AW1306" s="295">
        <v>28.002480450510134</v>
      </c>
      <c r="AX1306" s="295">
        <v>27.232863664625434</v>
      </c>
      <c r="AY1306" s="397">
        <v>27.232863664625434</v>
      </c>
      <c r="AZ1306" s="295">
        <v>27.131984455521835</v>
      </c>
      <c r="BA1306" s="295">
        <v>25.705193151701678</v>
      </c>
      <c r="BB1306" s="295">
        <v>25.352842640347447</v>
      </c>
      <c r="BC1306" s="295">
        <v>23.502673273104779</v>
      </c>
      <c r="BD1306" s="397">
        <v>23.502673273104779</v>
      </c>
      <c r="BE1306" s="295">
        <v>23.074769268725749</v>
      </c>
      <c r="BF1306" s="295">
        <v>20.291111139611147</v>
      </c>
      <c r="BG1306" s="295">
        <v>18.649653998123213</v>
      </c>
      <c r="BH1306" s="295">
        <v>19.377076449237087</v>
      </c>
      <c r="BI1306" s="399">
        <v>19.377076449237087</v>
      </c>
      <c r="BJ1306" s="295"/>
      <c r="BK1306" s="295"/>
      <c r="BL1306" s="295"/>
      <c r="BM1306" s="295"/>
      <c r="BN1306" s="397"/>
      <c r="BO1306" s="295"/>
      <c r="BP1306" s="295"/>
      <c r="BQ1306" s="295"/>
      <c r="BR1306" s="295"/>
      <c r="BS1306" s="397"/>
      <c r="BT1306" s="397"/>
      <c r="BU1306" s="397"/>
      <c r="BV1306" s="397"/>
      <c r="BW1306" s="119"/>
    </row>
    <row r="1307" spans="1:75" s="123" customFormat="1" ht="15" hidden="1" customHeight="1" outlineLevel="1" x14ac:dyDescent="0.5">
      <c r="A1307" s="588"/>
      <c r="B1307" s="513"/>
      <c r="C1307" s="401"/>
      <c r="D1307" s="401"/>
      <c r="E1307" s="401"/>
      <c r="F1307" s="401"/>
      <c r="G1307" s="119"/>
      <c r="H1307" s="119"/>
      <c r="I1307" s="119"/>
      <c r="J1307" s="119"/>
      <c r="K1307" s="401"/>
      <c r="L1307" s="119"/>
      <c r="M1307" s="119"/>
      <c r="N1307" s="119"/>
      <c r="O1307" s="119"/>
      <c r="P1307" s="401"/>
      <c r="Q1307" s="119"/>
      <c r="R1307" s="119"/>
      <c r="S1307" s="119"/>
      <c r="T1307" s="119"/>
      <c r="U1307" s="401"/>
      <c r="V1307" s="119"/>
      <c r="W1307" s="119"/>
      <c r="X1307" s="119"/>
      <c r="Y1307" s="119"/>
      <c r="Z1307" s="401"/>
      <c r="AA1307" s="119"/>
      <c r="AB1307" s="119"/>
      <c r="AC1307" s="119"/>
      <c r="AD1307" s="119"/>
      <c r="AE1307" s="401"/>
      <c r="AF1307" s="119"/>
      <c r="AG1307" s="119"/>
      <c r="AH1307" s="119"/>
      <c r="AI1307" s="119"/>
      <c r="AJ1307" s="401"/>
      <c r="AK1307" s="119"/>
      <c r="AL1307" s="119"/>
      <c r="AM1307" s="119"/>
      <c r="AN1307" s="119"/>
      <c r="AO1307" s="401"/>
      <c r="AP1307" s="119"/>
      <c r="AQ1307" s="119"/>
      <c r="AR1307" s="119"/>
      <c r="AS1307" s="119"/>
      <c r="AT1307" s="401"/>
      <c r="AU1307" s="119"/>
      <c r="AV1307" s="119"/>
      <c r="AW1307" s="119"/>
      <c r="AX1307" s="119"/>
      <c r="AY1307" s="401"/>
      <c r="AZ1307" s="119"/>
      <c r="BA1307" s="119"/>
      <c r="BB1307" s="119"/>
      <c r="BC1307" s="119"/>
      <c r="BD1307" s="401"/>
      <c r="BE1307" s="119"/>
      <c r="BF1307" s="119"/>
      <c r="BG1307" s="119"/>
      <c r="BH1307" s="119"/>
      <c r="BI1307" s="402"/>
      <c r="BJ1307" s="118"/>
      <c r="BK1307" s="118"/>
      <c r="BL1307" s="118"/>
      <c r="BM1307" s="118"/>
      <c r="BN1307" s="401"/>
      <c r="BO1307" s="118"/>
      <c r="BP1307" s="118"/>
      <c r="BQ1307" s="118"/>
      <c r="BR1307" s="118"/>
      <c r="BS1307" s="401"/>
      <c r="BT1307" s="401"/>
      <c r="BU1307" s="401"/>
      <c r="BV1307" s="401"/>
      <c r="BW1307" s="122"/>
    </row>
    <row r="1308" spans="1:75" s="123" customFormat="1" ht="15" hidden="1" customHeight="1" outlineLevel="2" x14ac:dyDescent="0.5">
      <c r="A1308" s="184" t="s">
        <v>1246</v>
      </c>
      <c r="B1308" s="513"/>
      <c r="C1308" s="401"/>
      <c r="D1308" s="401"/>
      <c r="E1308" s="401"/>
      <c r="F1308" s="401"/>
      <c r="G1308" s="119"/>
      <c r="H1308" s="302">
        <v>0</v>
      </c>
      <c r="I1308" s="302">
        <v>0</v>
      </c>
      <c r="J1308" s="302">
        <v>0</v>
      </c>
      <c r="K1308" s="401"/>
      <c r="L1308" s="302">
        <v>0</v>
      </c>
      <c r="M1308" s="302">
        <v>0</v>
      </c>
      <c r="N1308" s="302">
        <v>0</v>
      </c>
      <c r="O1308" s="302">
        <v>0</v>
      </c>
      <c r="P1308" s="401"/>
      <c r="Q1308" s="302">
        <v>0</v>
      </c>
      <c r="R1308" s="302">
        <v>0</v>
      </c>
      <c r="S1308" s="302">
        <v>0</v>
      </c>
      <c r="T1308" s="302">
        <v>0</v>
      </c>
      <c r="U1308" s="401"/>
      <c r="V1308" s="302">
        <v>0</v>
      </c>
      <c r="W1308" s="302">
        <v>0</v>
      </c>
      <c r="X1308" s="302">
        <v>0</v>
      </c>
      <c r="Y1308" s="302">
        <v>0</v>
      </c>
      <c r="Z1308" s="401"/>
      <c r="AA1308" s="302">
        <v>0</v>
      </c>
      <c r="AB1308" s="302">
        <v>0</v>
      </c>
      <c r="AC1308" s="302">
        <v>0</v>
      </c>
      <c r="AD1308" s="302">
        <v>0</v>
      </c>
      <c r="AE1308" s="401"/>
      <c r="AF1308" s="302">
        <v>0</v>
      </c>
      <c r="AG1308" s="302">
        <v>0</v>
      </c>
      <c r="AH1308" s="302">
        <v>0</v>
      </c>
      <c r="AI1308" s="302">
        <v>0</v>
      </c>
      <c r="AJ1308" s="401"/>
      <c r="AK1308" s="302">
        <v>0</v>
      </c>
      <c r="AL1308" s="302">
        <v>0</v>
      </c>
      <c r="AM1308" s="302">
        <v>0</v>
      </c>
      <c r="AN1308" s="302">
        <v>0</v>
      </c>
      <c r="AO1308" s="401"/>
      <c r="AP1308" s="302">
        <v>0</v>
      </c>
      <c r="AQ1308" s="302">
        <v>0</v>
      </c>
      <c r="AR1308" s="302">
        <v>0</v>
      </c>
      <c r="AS1308" s="302">
        <v>0</v>
      </c>
      <c r="AT1308" s="401"/>
      <c r="AU1308" s="302">
        <v>0</v>
      </c>
      <c r="AV1308" s="302">
        <v>0</v>
      </c>
      <c r="AW1308" s="302">
        <v>0</v>
      </c>
      <c r="AX1308" s="302">
        <v>0</v>
      </c>
      <c r="AY1308" s="401"/>
      <c r="AZ1308" s="302">
        <v>0</v>
      </c>
      <c r="BA1308" s="302">
        <v>0</v>
      </c>
      <c r="BB1308" s="302">
        <v>0</v>
      </c>
      <c r="BC1308" s="302">
        <v>0</v>
      </c>
      <c r="BD1308" s="401"/>
      <c r="BE1308" s="302">
        <v>0</v>
      </c>
      <c r="BF1308" s="302">
        <v>0</v>
      </c>
      <c r="BG1308" s="302">
        <v>0</v>
      </c>
      <c r="BH1308" s="302">
        <v>0</v>
      </c>
      <c r="BI1308" s="402"/>
      <c r="BJ1308" s="118"/>
      <c r="BK1308" s="118"/>
      <c r="BL1308" s="118"/>
      <c r="BM1308" s="118"/>
      <c r="BN1308" s="401"/>
      <c r="BO1308" s="118"/>
      <c r="BP1308" s="118"/>
      <c r="BQ1308" s="118"/>
      <c r="BR1308" s="118"/>
      <c r="BS1308" s="401"/>
      <c r="BT1308" s="401"/>
      <c r="BU1308" s="401"/>
      <c r="BV1308" s="401"/>
      <c r="BW1308" s="122"/>
    </row>
    <row r="1309" spans="1:75" s="123" customFormat="1" ht="15" hidden="1" customHeight="1" outlineLevel="2" x14ac:dyDescent="0.5">
      <c r="A1309" s="184" t="s">
        <v>1247</v>
      </c>
      <c r="B1309" s="513"/>
      <c r="C1309" s="401"/>
      <c r="D1309" s="401"/>
      <c r="E1309" s="401"/>
      <c r="F1309" s="401"/>
      <c r="G1309" s="119"/>
      <c r="H1309" s="302">
        <v>0</v>
      </c>
      <c r="I1309" s="302">
        <v>0</v>
      </c>
      <c r="J1309" s="302">
        <v>0</v>
      </c>
      <c r="K1309" s="401"/>
      <c r="L1309" s="302">
        <v>0</v>
      </c>
      <c r="M1309" s="302">
        <v>0</v>
      </c>
      <c r="N1309" s="302">
        <v>0</v>
      </c>
      <c r="O1309" s="302">
        <v>0</v>
      </c>
      <c r="P1309" s="401"/>
      <c r="Q1309" s="302">
        <v>0</v>
      </c>
      <c r="R1309" s="302">
        <v>0</v>
      </c>
      <c r="S1309" s="302">
        <v>0</v>
      </c>
      <c r="T1309" s="302">
        <v>0</v>
      </c>
      <c r="U1309" s="401"/>
      <c r="V1309" s="302">
        <v>0</v>
      </c>
      <c r="W1309" s="302">
        <v>0</v>
      </c>
      <c r="X1309" s="302">
        <v>0</v>
      </c>
      <c r="Y1309" s="302">
        <v>0</v>
      </c>
      <c r="Z1309" s="401"/>
      <c r="AA1309" s="302">
        <v>5670.5150000000003</v>
      </c>
      <c r="AB1309" s="302">
        <v>8227.8729999999996</v>
      </c>
      <c r="AC1309" s="302">
        <v>0</v>
      </c>
      <c r="AD1309" s="302">
        <v>0</v>
      </c>
      <c r="AE1309" s="401"/>
      <c r="AF1309" s="302">
        <v>0</v>
      </c>
      <c r="AG1309" s="302">
        <v>0</v>
      </c>
      <c r="AH1309" s="302">
        <v>0</v>
      </c>
      <c r="AI1309" s="302">
        <v>886.7</v>
      </c>
      <c r="AJ1309" s="401"/>
      <c r="AK1309" s="302">
        <v>0</v>
      </c>
      <c r="AL1309" s="302">
        <v>0</v>
      </c>
      <c r="AM1309" s="302">
        <v>0</v>
      </c>
      <c r="AN1309" s="302">
        <v>0</v>
      </c>
      <c r="AO1309" s="401"/>
      <c r="AP1309" s="302">
        <v>0</v>
      </c>
      <c r="AQ1309" s="302">
        <v>0</v>
      </c>
      <c r="AR1309" s="302">
        <v>0</v>
      </c>
      <c r="AS1309" s="302">
        <v>0</v>
      </c>
      <c r="AT1309" s="401"/>
      <c r="AU1309" s="302">
        <v>0</v>
      </c>
      <c r="AV1309" s="302">
        <v>0</v>
      </c>
      <c r="AW1309" s="302">
        <v>0</v>
      </c>
      <c r="AX1309" s="302">
        <v>0</v>
      </c>
      <c r="AY1309" s="401"/>
      <c r="AZ1309" s="302">
        <v>0</v>
      </c>
      <c r="BA1309" s="302">
        <v>0</v>
      </c>
      <c r="BB1309" s="302">
        <v>127.557</v>
      </c>
      <c r="BC1309" s="302">
        <v>1329.559</v>
      </c>
      <c r="BD1309" s="401"/>
      <c r="BE1309" s="302">
        <v>0</v>
      </c>
      <c r="BF1309" s="302">
        <v>1797.4090000000001</v>
      </c>
      <c r="BG1309" s="302">
        <v>0</v>
      </c>
      <c r="BH1309" s="302">
        <v>0</v>
      </c>
      <c r="BI1309" s="402"/>
      <c r="BJ1309" s="118"/>
      <c r="BK1309" s="118"/>
      <c r="BL1309" s="118"/>
      <c r="BM1309" s="118"/>
      <c r="BN1309" s="401"/>
      <c r="BO1309" s="118"/>
      <c r="BP1309" s="118"/>
      <c r="BQ1309" s="118"/>
      <c r="BR1309" s="118"/>
      <c r="BS1309" s="401"/>
      <c r="BT1309" s="401"/>
      <c r="BU1309" s="401"/>
      <c r="BV1309" s="401"/>
      <c r="BW1309" s="122"/>
    </row>
    <row r="1310" spans="1:75" s="123" customFormat="1" ht="15" hidden="1" customHeight="1" outlineLevel="2" x14ac:dyDescent="0.5">
      <c r="A1310" s="445" t="s">
        <v>1248</v>
      </c>
      <c r="B1310" s="677"/>
      <c r="C1310" s="406"/>
      <c r="D1310" s="406"/>
      <c r="E1310" s="406"/>
      <c r="F1310" s="406"/>
      <c r="G1310" s="312"/>
      <c r="H1310" s="357">
        <v>0</v>
      </c>
      <c r="I1310" s="357">
        <v>0</v>
      </c>
      <c r="J1310" s="357">
        <v>0</v>
      </c>
      <c r="K1310" s="406"/>
      <c r="L1310" s="357">
        <v>0</v>
      </c>
      <c r="M1310" s="357">
        <v>0</v>
      </c>
      <c r="N1310" s="357">
        <v>0</v>
      </c>
      <c r="O1310" s="357">
        <v>0</v>
      </c>
      <c r="P1310" s="406"/>
      <c r="Q1310" s="357">
        <v>0</v>
      </c>
      <c r="R1310" s="357">
        <v>0</v>
      </c>
      <c r="S1310" s="357">
        <v>0</v>
      </c>
      <c r="T1310" s="357">
        <v>0</v>
      </c>
      <c r="U1310" s="406"/>
      <c r="V1310" s="357">
        <v>0</v>
      </c>
      <c r="W1310" s="357">
        <v>0</v>
      </c>
      <c r="X1310" s="357">
        <v>0</v>
      </c>
      <c r="Y1310" s="357">
        <v>0</v>
      </c>
      <c r="Z1310" s="406"/>
      <c r="AA1310" s="357">
        <v>2178.8449999999998</v>
      </c>
      <c r="AB1310" s="357">
        <v>4142.8990000000003</v>
      </c>
      <c r="AC1310" s="357">
        <v>0</v>
      </c>
      <c r="AD1310" s="357">
        <v>0</v>
      </c>
      <c r="AE1310" s="406"/>
      <c r="AF1310" s="357">
        <v>0</v>
      </c>
      <c r="AG1310" s="357">
        <v>0</v>
      </c>
      <c r="AH1310" s="357">
        <v>1160.8789999999999</v>
      </c>
      <c r="AI1310" s="357">
        <v>0</v>
      </c>
      <c r="AJ1310" s="406"/>
      <c r="AK1310" s="357">
        <v>2167.3960000000002</v>
      </c>
      <c r="AL1310" s="357">
        <v>0</v>
      </c>
      <c r="AM1310" s="357">
        <v>0</v>
      </c>
      <c r="AN1310" s="357">
        <v>0</v>
      </c>
      <c r="AO1310" s="406"/>
      <c r="AP1310" s="357">
        <v>0</v>
      </c>
      <c r="AQ1310" s="357">
        <v>0</v>
      </c>
      <c r="AR1310" s="357">
        <v>0</v>
      </c>
      <c r="AS1310" s="357">
        <v>0</v>
      </c>
      <c r="AT1310" s="406"/>
      <c r="AU1310" s="357">
        <v>0</v>
      </c>
      <c r="AV1310" s="357">
        <v>0</v>
      </c>
      <c r="AW1310" s="357">
        <v>0</v>
      </c>
      <c r="AX1310" s="357">
        <v>0</v>
      </c>
      <c r="AY1310" s="406"/>
      <c r="AZ1310" s="357">
        <v>0</v>
      </c>
      <c r="BA1310" s="357">
        <v>1000</v>
      </c>
      <c r="BB1310" s="357">
        <v>0</v>
      </c>
      <c r="BC1310" s="357">
        <v>1262.434</v>
      </c>
      <c r="BD1310" s="406"/>
      <c r="BE1310" s="357">
        <v>0</v>
      </c>
      <c r="BF1310" s="357">
        <v>1901.4780000000001</v>
      </c>
      <c r="BG1310" s="357">
        <v>189.078</v>
      </c>
      <c r="BH1310" s="357">
        <v>0</v>
      </c>
      <c r="BI1310" s="407"/>
      <c r="BJ1310" s="312"/>
      <c r="BK1310" s="312"/>
      <c r="BL1310" s="312"/>
      <c r="BM1310" s="312"/>
      <c r="BN1310" s="406"/>
      <c r="BO1310" s="312"/>
      <c r="BP1310" s="312"/>
      <c r="BQ1310" s="312"/>
      <c r="BR1310" s="312"/>
      <c r="BS1310" s="406"/>
      <c r="BT1310" s="406"/>
      <c r="BU1310" s="406"/>
      <c r="BV1310" s="406"/>
      <c r="BW1310" s="122"/>
    </row>
    <row r="1311" spans="1:75" s="198" customFormat="1" ht="15" hidden="1" customHeight="1" outlineLevel="1" x14ac:dyDescent="0.45">
      <c r="A1311" s="206" t="s">
        <v>1249</v>
      </c>
      <c r="B1311" s="522"/>
      <c r="C1311" s="397"/>
      <c r="D1311" s="397"/>
      <c r="E1311" s="397"/>
      <c r="F1311" s="397"/>
      <c r="G1311" s="295"/>
      <c r="H1311" s="295">
        <v>0</v>
      </c>
      <c r="I1311" s="295">
        <v>0</v>
      </c>
      <c r="J1311" s="295">
        <v>0</v>
      </c>
      <c r="K1311" s="397"/>
      <c r="L1311" s="295">
        <v>0</v>
      </c>
      <c r="M1311" s="295">
        <v>0</v>
      </c>
      <c r="N1311" s="295">
        <v>0</v>
      </c>
      <c r="O1311" s="295">
        <v>0</v>
      </c>
      <c r="P1311" s="397">
        <v>0</v>
      </c>
      <c r="Q1311" s="295">
        <v>0</v>
      </c>
      <c r="R1311" s="295">
        <v>0</v>
      </c>
      <c r="S1311" s="295">
        <v>0</v>
      </c>
      <c r="T1311" s="295">
        <v>0</v>
      </c>
      <c r="U1311" s="397">
        <v>0</v>
      </c>
      <c r="V1311" s="295">
        <v>0</v>
      </c>
      <c r="W1311" s="295">
        <v>0</v>
      </c>
      <c r="X1311" s="295">
        <v>0</v>
      </c>
      <c r="Y1311" s="295">
        <v>0</v>
      </c>
      <c r="Z1311" s="397">
        <v>0</v>
      </c>
      <c r="AA1311" s="295">
        <v>7849.3600000000006</v>
      </c>
      <c r="AB1311" s="295">
        <v>12370.772000000001</v>
      </c>
      <c r="AC1311" s="295">
        <v>0</v>
      </c>
      <c r="AD1311" s="295">
        <v>0</v>
      </c>
      <c r="AE1311" s="397">
        <v>20220.132000000001</v>
      </c>
      <c r="AF1311" s="295">
        <v>0</v>
      </c>
      <c r="AG1311" s="295">
        <v>0</v>
      </c>
      <c r="AH1311" s="295">
        <v>1160.8789999999999</v>
      </c>
      <c r="AI1311" s="295">
        <v>886.7</v>
      </c>
      <c r="AJ1311" s="397">
        <v>2047.579</v>
      </c>
      <c r="AK1311" s="295">
        <v>2167.3960000000002</v>
      </c>
      <c r="AL1311" s="295">
        <v>0</v>
      </c>
      <c r="AM1311" s="295">
        <v>0</v>
      </c>
      <c r="AN1311" s="295">
        <v>0</v>
      </c>
      <c r="AO1311" s="397">
        <v>2167.3960000000002</v>
      </c>
      <c r="AP1311" s="295">
        <v>0</v>
      </c>
      <c r="AQ1311" s="295">
        <v>0</v>
      </c>
      <c r="AR1311" s="295">
        <v>0</v>
      </c>
      <c r="AS1311" s="295">
        <v>0</v>
      </c>
      <c r="AT1311" s="397">
        <v>0</v>
      </c>
      <c r="AU1311" s="295">
        <v>0</v>
      </c>
      <c r="AV1311" s="295">
        <v>0</v>
      </c>
      <c r="AW1311" s="295">
        <v>0</v>
      </c>
      <c r="AX1311" s="295">
        <v>0</v>
      </c>
      <c r="AY1311" s="397">
        <v>0</v>
      </c>
      <c r="AZ1311" s="295">
        <v>0</v>
      </c>
      <c r="BA1311" s="295">
        <v>1000</v>
      </c>
      <c r="BB1311" s="295">
        <v>127.557</v>
      </c>
      <c r="BC1311" s="295">
        <v>2591.9929999999999</v>
      </c>
      <c r="BD1311" s="397">
        <v>3719.55</v>
      </c>
      <c r="BE1311" s="295">
        <v>0</v>
      </c>
      <c r="BF1311" s="295">
        <v>3698.8870000000002</v>
      </c>
      <c r="BG1311" s="295">
        <v>189.078</v>
      </c>
      <c r="BH1311" s="295">
        <v>0</v>
      </c>
      <c r="BI1311" s="399">
        <v>3887.9650000000001</v>
      </c>
      <c r="BJ1311" s="295"/>
      <c r="BK1311" s="295"/>
      <c r="BL1311" s="295"/>
      <c r="BM1311" s="295"/>
      <c r="BN1311" s="397"/>
      <c r="BO1311" s="295"/>
      <c r="BP1311" s="295"/>
      <c r="BQ1311" s="295"/>
      <c r="BR1311" s="295"/>
      <c r="BS1311" s="397"/>
      <c r="BT1311" s="397"/>
      <c r="BU1311" s="397"/>
      <c r="BV1311" s="397"/>
      <c r="BW1311" s="197"/>
    </row>
    <row r="1312" spans="1:75" s="123" customFormat="1" ht="15" hidden="1" customHeight="1" outlineLevel="2" x14ac:dyDescent="0.5">
      <c r="A1312" s="206"/>
      <c r="B1312" s="522"/>
      <c r="C1312" s="397"/>
      <c r="D1312" s="397"/>
      <c r="E1312" s="397"/>
      <c r="F1312" s="397"/>
      <c r="G1312" s="295"/>
      <c r="H1312" s="295"/>
      <c r="I1312" s="295"/>
      <c r="J1312" s="295"/>
      <c r="K1312" s="397"/>
      <c r="L1312" s="295"/>
      <c r="M1312" s="295"/>
      <c r="N1312" s="295"/>
      <c r="O1312" s="295"/>
      <c r="P1312" s="397"/>
      <c r="Q1312" s="295"/>
      <c r="R1312" s="295"/>
      <c r="S1312" s="295"/>
      <c r="T1312" s="295"/>
      <c r="U1312" s="397"/>
      <c r="V1312" s="295"/>
      <c r="W1312" s="295"/>
      <c r="X1312" s="295"/>
      <c r="Y1312" s="295"/>
      <c r="Z1312" s="397"/>
      <c r="AA1312" s="295"/>
      <c r="AB1312" s="295"/>
      <c r="AC1312" s="295"/>
      <c r="AD1312" s="295"/>
      <c r="AE1312" s="397"/>
      <c r="AF1312" s="295"/>
      <c r="AG1312" s="295"/>
      <c r="AH1312" s="295"/>
      <c r="AI1312" s="295"/>
      <c r="AJ1312" s="397"/>
      <c r="AK1312" s="295"/>
      <c r="AL1312" s="295"/>
      <c r="AM1312" s="295"/>
      <c r="AN1312" s="295"/>
      <c r="AO1312" s="397"/>
      <c r="AP1312" s="295"/>
      <c r="AQ1312" s="295"/>
      <c r="AR1312" s="295"/>
      <c r="AS1312" s="295"/>
      <c r="AT1312" s="397"/>
      <c r="AU1312" s="295"/>
      <c r="AV1312" s="295"/>
      <c r="AW1312" s="295"/>
      <c r="AX1312" s="295"/>
      <c r="AY1312" s="397"/>
      <c r="AZ1312" s="295"/>
      <c r="BA1312" s="295"/>
      <c r="BB1312" s="295"/>
      <c r="BC1312" s="295"/>
      <c r="BD1312" s="397"/>
      <c r="BE1312" s="295"/>
      <c r="BF1312" s="295"/>
      <c r="BG1312" s="295"/>
      <c r="BH1312" s="295"/>
      <c r="BI1312" s="399"/>
      <c r="BJ1312" s="295"/>
      <c r="BK1312" s="295"/>
      <c r="BL1312" s="295"/>
      <c r="BM1312" s="295"/>
      <c r="BN1312" s="397"/>
      <c r="BO1312" s="295"/>
      <c r="BP1312" s="295"/>
      <c r="BQ1312" s="295"/>
      <c r="BR1312" s="295"/>
      <c r="BS1312" s="397"/>
      <c r="BT1312" s="397"/>
      <c r="BU1312" s="397"/>
      <c r="BV1312" s="397"/>
      <c r="BW1312" s="119"/>
    </row>
    <row r="1313" spans="1:75" s="828" customFormat="1" ht="15" hidden="1" customHeight="1" outlineLevel="2" x14ac:dyDescent="0.5">
      <c r="A1313" s="821" t="s">
        <v>1250</v>
      </c>
      <c r="B1313" s="822"/>
      <c r="C1313" s="823"/>
      <c r="D1313" s="823"/>
      <c r="E1313" s="823"/>
      <c r="F1313" s="823"/>
      <c r="G1313" s="824"/>
      <c r="H1313" s="825">
        <v>0</v>
      </c>
      <c r="I1313" s="825">
        <v>0</v>
      </c>
      <c r="J1313" s="825">
        <v>0</v>
      </c>
      <c r="K1313" s="823"/>
      <c r="L1313" s="825">
        <v>0</v>
      </c>
      <c r="M1313" s="825">
        <v>0</v>
      </c>
      <c r="N1313" s="825">
        <v>0</v>
      </c>
      <c r="O1313" s="825">
        <v>0</v>
      </c>
      <c r="P1313" s="823"/>
      <c r="Q1313" s="825">
        <v>0</v>
      </c>
      <c r="R1313" s="825">
        <v>0</v>
      </c>
      <c r="S1313" s="825">
        <v>0</v>
      </c>
      <c r="T1313" s="825">
        <v>0</v>
      </c>
      <c r="U1313" s="823"/>
      <c r="V1313" s="825">
        <v>0</v>
      </c>
      <c r="W1313" s="825">
        <v>0</v>
      </c>
      <c r="X1313" s="825">
        <v>0</v>
      </c>
      <c r="Y1313" s="825">
        <v>0</v>
      </c>
      <c r="Z1313" s="823"/>
      <c r="AA1313" s="825">
        <v>0</v>
      </c>
      <c r="AB1313" s="825">
        <v>0</v>
      </c>
      <c r="AC1313" s="825">
        <v>0</v>
      </c>
      <c r="AD1313" s="825">
        <v>0</v>
      </c>
      <c r="AE1313" s="823"/>
      <c r="AF1313" s="825">
        <v>0</v>
      </c>
      <c r="AG1313" s="825">
        <v>0</v>
      </c>
      <c r="AH1313" s="825">
        <v>0</v>
      </c>
      <c r="AI1313" s="825">
        <v>0</v>
      </c>
      <c r="AJ1313" s="823"/>
      <c r="AK1313" s="825">
        <v>0</v>
      </c>
      <c r="AL1313" s="825">
        <v>0</v>
      </c>
      <c r="AM1313" s="825">
        <v>0</v>
      </c>
      <c r="AN1313" s="825">
        <v>0</v>
      </c>
      <c r="AO1313" s="823"/>
      <c r="AP1313" s="825">
        <v>0</v>
      </c>
      <c r="AQ1313" s="825">
        <v>0</v>
      </c>
      <c r="AR1313" s="825">
        <v>0</v>
      </c>
      <c r="AS1313" s="825">
        <v>0</v>
      </c>
      <c r="AT1313" s="823"/>
      <c r="AU1313" s="825">
        <v>0</v>
      </c>
      <c r="AV1313" s="825">
        <v>0</v>
      </c>
      <c r="AW1313" s="825">
        <v>0</v>
      </c>
      <c r="AX1313" s="825">
        <v>0</v>
      </c>
      <c r="AY1313" s="823"/>
      <c r="AZ1313" s="825">
        <v>0</v>
      </c>
      <c r="BA1313" s="825">
        <v>0</v>
      </c>
      <c r="BB1313" s="825">
        <v>0</v>
      </c>
      <c r="BC1313" s="825">
        <v>0</v>
      </c>
      <c r="BD1313" s="823"/>
      <c r="BE1313" s="825">
        <v>0</v>
      </c>
      <c r="BF1313" s="825">
        <v>0</v>
      </c>
      <c r="BG1313" s="825">
        <v>0</v>
      </c>
      <c r="BH1313" s="825">
        <v>0</v>
      </c>
      <c r="BI1313" s="826"/>
      <c r="BJ1313" s="824"/>
      <c r="BK1313" s="824"/>
      <c r="BL1313" s="824"/>
      <c r="BM1313" s="824"/>
      <c r="BN1313" s="823"/>
      <c r="BO1313" s="824"/>
      <c r="BP1313" s="824"/>
      <c r="BQ1313" s="824"/>
      <c r="BR1313" s="824"/>
      <c r="BS1313" s="823"/>
      <c r="BT1313" s="823"/>
      <c r="BU1313" s="823"/>
      <c r="BV1313" s="823"/>
      <c r="BW1313" s="827"/>
    </row>
    <row r="1314" spans="1:75" s="828" customFormat="1" ht="15" hidden="1" customHeight="1" outlineLevel="2" x14ac:dyDescent="0.5">
      <c r="A1314" s="821" t="s">
        <v>1251</v>
      </c>
      <c r="B1314" s="822"/>
      <c r="C1314" s="823"/>
      <c r="D1314" s="823"/>
      <c r="E1314" s="823"/>
      <c r="F1314" s="823"/>
      <c r="G1314" s="824"/>
      <c r="H1314" s="825">
        <v>0</v>
      </c>
      <c r="I1314" s="825">
        <v>0</v>
      </c>
      <c r="J1314" s="825">
        <v>0</v>
      </c>
      <c r="K1314" s="823"/>
      <c r="L1314" s="825">
        <v>0</v>
      </c>
      <c r="M1314" s="825">
        <v>0</v>
      </c>
      <c r="N1314" s="825">
        <v>0</v>
      </c>
      <c r="O1314" s="825">
        <v>0</v>
      </c>
      <c r="P1314" s="823"/>
      <c r="Q1314" s="825">
        <v>0</v>
      </c>
      <c r="R1314" s="825">
        <v>0</v>
      </c>
      <c r="S1314" s="825">
        <v>0</v>
      </c>
      <c r="T1314" s="825">
        <v>0</v>
      </c>
      <c r="U1314" s="823"/>
      <c r="V1314" s="825">
        <v>0</v>
      </c>
      <c r="W1314" s="825">
        <v>0</v>
      </c>
      <c r="X1314" s="825">
        <v>0</v>
      </c>
      <c r="Y1314" s="825">
        <v>0</v>
      </c>
      <c r="Z1314" s="823"/>
      <c r="AA1314" s="824">
        <v>35.09381423027714</v>
      </c>
      <c r="AB1314" s="824">
        <v>52.504456498052413</v>
      </c>
      <c r="AC1314" s="825">
        <v>0</v>
      </c>
      <c r="AD1314" s="825">
        <v>0</v>
      </c>
      <c r="AE1314" s="823"/>
      <c r="AF1314" s="825">
        <v>0</v>
      </c>
      <c r="AG1314" s="825">
        <v>0</v>
      </c>
      <c r="AH1314" s="825">
        <v>0</v>
      </c>
      <c r="AI1314" s="824">
        <v>118.21134543814144</v>
      </c>
      <c r="AJ1314" s="823"/>
      <c r="AK1314" s="825">
        <v>0</v>
      </c>
      <c r="AL1314" s="825">
        <v>0</v>
      </c>
      <c r="AM1314" s="825">
        <v>0</v>
      </c>
      <c r="AN1314" s="825">
        <v>0</v>
      </c>
      <c r="AO1314" s="823"/>
      <c r="AP1314" s="825">
        <v>0</v>
      </c>
      <c r="AQ1314" s="825">
        <v>0</v>
      </c>
      <c r="AR1314" s="825">
        <v>0</v>
      </c>
      <c r="AS1314" s="825">
        <v>0</v>
      </c>
      <c r="AT1314" s="823"/>
      <c r="AU1314" s="825">
        <v>0</v>
      </c>
      <c r="AV1314" s="825">
        <v>0</v>
      </c>
      <c r="AW1314" s="825">
        <v>0</v>
      </c>
      <c r="AX1314" s="825">
        <v>0</v>
      </c>
      <c r="AY1314" s="823"/>
      <c r="AZ1314" s="825">
        <v>0</v>
      </c>
      <c r="BA1314" s="825">
        <v>0</v>
      </c>
      <c r="BB1314" s="824">
        <v>248.59474587831306</v>
      </c>
      <c r="BC1314" s="824">
        <v>258.73240676043713</v>
      </c>
      <c r="BD1314" s="823"/>
      <c r="BE1314" s="825">
        <v>0</v>
      </c>
      <c r="BF1314" s="825">
        <v>299.23</v>
      </c>
      <c r="BG1314" s="825">
        <v>0</v>
      </c>
      <c r="BH1314" s="825">
        <v>0</v>
      </c>
      <c r="BI1314" s="826"/>
      <c r="BJ1314" s="824"/>
      <c r="BK1314" s="824"/>
      <c r="BL1314" s="824"/>
      <c r="BM1314" s="824"/>
      <c r="BN1314" s="823"/>
      <c r="BO1314" s="824"/>
      <c r="BP1314" s="824"/>
      <c r="BQ1314" s="824"/>
      <c r="BR1314" s="824"/>
      <c r="BS1314" s="823"/>
      <c r="BT1314" s="823"/>
      <c r="BU1314" s="823"/>
      <c r="BV1314" s="823"/>
      <c r="BW1314" s="827"/>
    </row>
    <row r="1315" spans="1:75" s="828" customFormat="1" ht="15" hidden="1" customHeight="1" outlineLevel="2" x14ac:dyDescent="0.5">
      <c r="A1315" s="829" t="s">
        <v>1252</v>
      </c>
      <c r="B1315" s="830"/>
      <c r="C1315" s="831"/>
      <c r="D1315" s="831"/>
      <c r="E1315" s="831"/>
      <c r="F1315" s="831"/>
      <c r="G1315" s="832"/>
      <c r="H1315" s="833">
        <v>0</v>
      </c>
      <c r="I1315" s="833">
        <v>0</v>
      </c>
      <c r="J1315" s="833">
        <v>0</v>
      </c>
      <c r="K1315" s="831"/>
      <c r="L1315" s="833">
        <v>0</v>
      </c>
      <c r="M1315" s="833">
        <v>0</v>
      </c>
      <c r="N1315" s="833">
        <v>0</v>
      </c>
      <c r="O1315" s="833">
        <v>0</v>
      </c>
      <c r="P1315" s="831"/>
      <c r="Q1315" s="833">
        <v>0</v>
      </c>
      <c r="R1315" s="833">
        <v>0</v>
      </c>
      <c r="S1315" s="833">
        <v>0</v>
      </c>
      <c r="T1315" s="833">
        <v>0</v>
      </c>
      <c r="U1315" s="831"/>
      <c r="V1315" s="833">
        <v>0</v>
      </c>
      <c r="W1315" s="833">
        <v>0</v>
      </c>
      <c r="X1315" s="833">
        <v>0</v>
      </c>
      <c r="Y1315" s="833">
        <v>0</v>
      </c>
      <c r="Z1315" s="831"/>
      <c r="AA1315" s="832">
        <v>46.419089012756757</v>
      </c>
      <c r="AB1315" s="832">
        <v>64.733897688550954</v>
      </c>
      <c r="AC1315" s="833">
        <v>0</v>
      </c>
      <c r="AD1315" s="833">
        <v>0</v>
      </c>
      <c r="AE1315" s="831"/>
      <c r="AF1315" s="833">
        <v>0</v>
      </c>
      <c r="AG1315" s="833">
        <v>0</v>
      </c>
      <c r="AH1315" s="832">
        <v>125.06212964486394</v>
      </c>
      <c r="AI1315" s="833">
        <v>0</v>
      </c>
      <c r="AJ1315" s="831"/>
      <c r="AK1315" s="832">
        <v>115.36055247864256</v>
      </c>
      <c r="AL1315" s="833">
        <v>0</v>
      </c>
      <c r="AM1315" s="833">
        <v>0</v>
      </c>
      <c r="AN1315" s="833">
        <v>0</v>
      </c>
      <c r="AO1315" s="831"/>
      <c r="AP1315" s="833">
        <v>0</v>
      </c>
      <c r="AQ1315" s="833">
        <v>0</v>
      </c>
      <c r="AR1315" s="833">
        <v>0</v>
      </c>
      <c r="AS1315" s="833">
        <v>0</v>
      </c>
      <c r="AT1315" s="831"/>
      <c r="AU1315" s="833">
        <v>0</v>
      </c>
      <c r="AV1315" s="833">
        <v>0</v>
      </c>
      <c r="AW1315" s="833">
        <v>0</v>
      </c>
      <c r="AX1315" s="833">
        <v>0</v>
      </c>
      <c r="AY1315" s="831"/>
      <c r="AZ1315" s="833">
        <v>0</v>
      </c>
      <c r="BA1315" s="833">
        <v>254.72</v>
      </c>
      <c r="BB1315" s="833">
        <v>0</v>
      </c>
      <c r="BC1315" s="832">
        <v>292.73530339011779</v>
      </c>
      <c r="BD1315" s="831"/>
      <c r="BE1315" s="833">
        <v>0</v>
      </c>
      <c r="BF1315" s="833">
        <v>350.64</v>
      </c>
      <c r="BG1315" s="833">
        <v>235.93</v>
      </c>
      <c r="BH1315" s="833">
        <v>0</v>
      </c>
      <c r="BI1315" s="834"/>
      <c r="BJ1315" s="832"/>
      <c r="BK1315" s="832"/>
      <c r="BL1315" s="832"/>
      <c r="BM1315" s="832"/>
      <c r="BN1315" s="831"/>
      <c r="BO1315" s="832"/>
      <c r="BP1315" s="832"/>
      <c r="BQ1315" s="832"/>
      <c r="BR1315" s="832"/>
      <c r="BS1315" s="831"/>
      <c r="BT1315" s="831"/>
      <c r="BU1315" s="831"/>
      <c r="BV1315" s="831"/>
      <c r="BW1315" s="827"/>
    </row>
    <row r="1316" spans="1:75" s="231" customFormat="1" ht="15" hidden="1" customHeight="1" outlineLevel="1" x14ac:dyDescent="0.45">
      <c r="A1316" s="230" t="s">
        <v>1253</v>
      </c>
      <c r="B1316" s="835"/>
      <c r="C1316" s="762"/>
      <c r="D1316" s="762"/>
      <c r="E1316" s="762"/>
      <c r="F1316" s="762"/>
      <c r="G1316" s="763"/>
      <c r="H1316" s="763" t="s">
        <v>189</v>
      </c>
      <c r="I1316" s="763" t="s">
        <v>189</v>
      </c>
      <c r="J1316" s="763" t="s">
        <v>189</v>
      </c>
      <c r="K1316" s="762"/>
      <c r="L1316" s="763" t="s">
        <v>189</v>
      </c>
      <c r="M1316" s="763" t="s">
        <v>189</v>
      </c>
      <c r="N1316" s="763" t="s">
        <v>189</v>
      </c>
      <c r="O1316" s="763" t="s">
        <v>189</v>
      </c>
      <c r="P1316" s="762" t="s">
        <v>189</v>
      </c>
      <c r="Q1316" s="763" t="s">
        <v>189</v>
      </c>
      <c r="R1316" s="763" t="s">
        <v>189</v>
      </c>
      <c r="S1316" s="763" t="s">
        <v>189</v>
      </c>
      <c r="T1316" s="763" t="s">
        <v>189</v>
      </c>
      <c r="U1316" s="762" t="s">
        <v>189</v>
      </c>
      <c r="V1316" s="763" t="s">
        <v>189</v>
      </c>
      <c r="W1316" s="763" t="s">
        <v>189</v>
      </c>
      <c r="X1316" s="763" t="s">
        <v>189</v>
      </c>
      <c r="Y1316" s="763" t="s">
        <v>189</v>
      </c>
      <c r="Z1316" s="762" t="s">
        <v>189</v>
      </c>
      <c r="AA1316" s="763">
        <v>38.237512357695401</v>
      </c>
      <c r="AB1316" s="763">
        <v>56.60002463872101</v>
      </c>
      <c r="AC1316" s="763" t="s">
        <v>189</v>
      </c>
      <c r="AD1316" s="763" t="s">
        <v>189</v>
      </c>
      <c r="AE1316" s="762">
        <v>49.471783863725513</v>
      </c>
      <c r="AF1316" s="763" t="s">
        <v>189</v>
      </c>
      <c r="AG1316" s="763" t="s">
        <v>189</v>
      </c>
      <c r="AH1316" s="763">
        <v>125.06212964486394</v>
      </c>
      <c r="AI1316" s="763">
        <v>118.21134543814144</v>
      </c>
      <c r="AJ1316" s="762">
        <v>122.09541121490307</v>
      </c>
      <c r="AK1316" s="763">
        <v>115.36055247864256</v>
      </c>
      <c r="AL1316" s="763" t="s">
        <v>189</v>
      </c>
      <c r="AM1316" s="763" t="s">
        <v>189</v>
      </c>
      <c r="AN1316" s="763" t="s">
        <v>189</v>
      </c>
      <c r="AO1316" s="762">
        <v>115.36055247864256</v>
      </c>
      <c r="AP1316" s="763" t="s">
        <v>189</v>
      </c>
      <c r="AQ1316" s="763" t="s">
        <v>189</v>
      </c>
      <c r="AR1316" s="763" t="s">
        <v>189</v>
      </c>
      <c r="AS1316" s="763" t="s">
        <v>189</v>
      </c>
      <c r="AT1316" s="762" t="s">
        <v>189</v>
      </c>
      <c r="AU1316" s="763" t="s">
        <v>189</v>
      </c>
      <c r="AV1316" s="763" t="s">
        <v>189</v>
      </c>
      <c r="AW1316" s="763" t="s">
        <v>189</v>
      </c>
      <c r="AX1316" s="763" t="s">
        <v>189</v>
      </c>
      <c r="AY1316" s="762" t="s">
        <v>189</v>
      </c>
      <c r="AZ1316" s="763" t="s">
        <v>189</v>
      </c>
      <c r="BA1316" s="763">
        <v>254.72</v>
      </c>
      <c r="BB1316" s="763">
        <v>248.59474587831306</v>
      </c>
      <c r="BC1316" s="763">
        <v>275.29356753664075</v>
      </c>
      <c r="BD1316" s="762">
        <v>268.84676909841238</v>
      </c>
      <c r="BE1316" s="763" t="s">
        <v>189</v>
      </c>
      <c r="BF1316" s="763">
        <v>325.65821583357371</v>
      </c>
      <c r="BG1316" s="763">
        <v>235.93</v>
      </c>
      <c r="BH1316" s="836">
        <v>0</v>
      </c>
      <c r="BI1316" s="764">
        <v>321.2945881791631</v>
      </c>
      <c r="BJ1316" s="763"/>
      <c r="BK1316" s="763"/>
      <c r="BL1316" s="763"/>
      <c r="BM1316" s="763"/>
      <c r="BN1316" s="762"/>
      <c r="BO1316" s="763"/>
      <c r="BP1316" s="763"/>
      <c r="BQ1316" s="763"/>
      <c r="BR1316" s="763"/>
      <c r="BS1316" s="762"/>
      <c r="BT1316" s="762"/>
      <c r="BU1316" s="762"/>
      <c r="BV1316" s="762"/>
      <c r="BW1316" s="230"/>
    </row>
    <row r="1317" spans="1:75" s="123" customFormat="1" ht="15" hidden="1" customHeight="1" outlineLevel="2" x14ac:dyDescent="0.5">
      <c r="A1317" s="206"/>
      <c r="B1317" s="522"/>
      <c r="C1317" s="397"/>
      <c r="D1317" s="397"/>
      <c r="E1317" s="397"/>
      <c r="F1317" s="397"/>
      <c r="G1317" s="295"/>
      <c r="H1317" s="295"/>
      <c r="I1317" s="295"/>
      <c r="J1317" s="295"/>
      <c r="K1317" s="397"/>
      <c r="L1317" s="295"/>
      <c r="M1317" s="295"/>
      <c r="N1317" s="295"/>
      <c r="O1317" s="295"/>
      <c r="P1317" s="397"/>
      <c r="Q1317" s="295"/>
      <c r="R1317" s="295"/>
      <c r="S1317" s="295"/>
      <c r="T1317" s="295"/>
      <c r="U1317" s="397"/>
      <c r="V1317" s="295"/>
      <c r="W1317" s="295"/>
      <c r="X1317" s="295"/>
      <c r="Y1317" s="295"/>
      <c r="Z1317" s="397"/>
      <c r="AA1317" s="295"/>
      <c r="AB1317" s="295"/>
      <c r="AC1317" s="295"/>
      <c r="AD1317" s="295"/>
      <c r="AE1317" s="397"/>
      <c r="AF1317" s="295"/>
      <c r="AG1317" s="295"/>
      <c r="AH1317" s="295"/>
      <c r="AI1317" s="295"/>
      <c r="AJ1317" s="397"/>
      <c r="AK1317" s="295"/>
      <c r="AL1317" s="295"/>
      <c r="AM1317" s="295"/>
      <c r="AN1317" s="295"/>
      <c r="AO1317" s="397"/>
      <c r="AP1317" s="295"/>
      <c r="AQ1317" s="295"/>
      <c r="AR1317" s="295"/>
      <c r="AS1317" s="295"/>
      <c r="AT1317" s="397"/>
      <c r="AU1317" s="295"/>
      <c r="AV1317" s="295"/>
      <c r="AW1317" s="295"/>
      <c r="AX1317" s="295"/>
      <c r="AY1317" s="397"/>
      <c r="AZ1317" s="295"/>
      <c r="BA1317" s="295"/>
      <c r="BB1317" s="295"/>
      <c r="BC1317" s="295"/>
      <c r="BD1317" s="397"/>
      <c r="BE1317" s="295"/>
      <c r="BF1317" s="295"/>
      <c r="BG1317" s="295"/>
      <c r="BH1317" s="295"/>
      <c r="BI1317" s="399"/>
      <c r="BJ1317" s="295"/>
      <c r="BK1317" s="295"/>
      <c r="BL1317" s="295"/>
      <c r="BM1317" s="295"/>
      <c r="BN1317" s="397"/>
      <c r="BO1317" s="295"/>
      <c r="BP1317" s="295"/>
      <c r="BQ1317" s="295"/>
      <c r="BR1317" s="295"/>
      <c r="BS1317" s="397"/>
      <c r="BT1317" s="397"/>
      <c r="BU1317" s="397"/>
      <c r="BV1317" s="397"/>
      <c r="BW1317" s="119"/>
    </row>
    <row r="1318" spans="1:75" s="123" customFormat="1" ht="15" hidden="1" customHeight="1" outlineLevel="2" x14ac:dyDescent="0.5">
      <c r="A1318" s="184" t="s">
        <v>1254</v>
      </c>
      <c r="B1318" s="513"/>
      <c r="C1318" s="401"/>
      <c r="D1318" s="401"/>
      <c r="E1318" s="401"/>
      <c r="F1318" s="401"/>
      <c r="G1318" s="119"/>
      <c r="H1318" s="119">
        <v>0</v>
      </c>
      <c r="I1318" s="119">
        <v>0</v>
      </c>
      <c r="J1318" s="119">
        <v>0</v>
      </c>
      <c r="K1318" s="401"/>
      <c r="L1318" s="119">
        <v>0</v>
      </c>
      <c r="M1318" s="119">
        <v>0</v>
      </c>
      <c r="N1318" s="119">
        <v>0</v>
      </c>
      <c r="O1318" s="119">
        <v>0</v>
      </c>
      <c r="P1318" s="401"/>
      <c r="Q1318" s="119">
        <v>0</v>
      </c>
      <c r="R1318" s="119">
        <v>0</v>
      </c>
      <c r="S1318" s="119">
        <v>0</v>
      </c>
      <c r="T1318" s="119">
        <v>0</v>
      </c>
      <c r="U1318" s="401"/>
      <c r="V1318" s="119">
        <v>0</v>
      </c>
      <c r="W1318" s="119">
        <v>0</v>
      </c>
      <c r="X1318" s="119">
        <v>0</v>
      </c>
      <c r="Y1318" s="119">
        <v>0</v>
      </c>
      <c r="Z1318" s="401"/>
      <c r="AA1318" s="302">
        <v>0</v>
      </c>
      <c r="AB1318" s="119">
        <v>0</v>
      </c>
      <c r="AC1318" s="119">
        <v>0</v>
      </c>
      <c r="AD1318" s="119">
        <v>0</v>
      </c>
      <c r="AE1318" s="401"/>
      <c r="AF1318" s="119">
        <v>0</v>
      </c>
      <c r="AG1318" s="119">
        <v>0</v>
      </c>
      <c r="AH1318" s="302">
        <v>0</v>
      </c>
      <c r="AI1318" s="302">
        <v>0</v>
      </c>
      <c r="AJ1318" s="401"/>
      <c r="AK1318" s="302">
        <v>0</v>
      </c>
      <c r="AL1318" s="119">
        <v>0</v>
      </c>
      <c r="AM1318" s="119">
        <v>0</v>
      </c>
      <c r="AN1318" s="119">
        <v>0</v>
      </c>
      <c r="AO1318" s="401"/>
      <c r="AP1318" s="119">
        <v>0</v>
      </c>
      <c r="AQ1318" s="119">
        <v>0</v>
      </c>
      <c r="AR1318" s="119">
        <v>0</v>
      </c>
      <c r="AS1318" s="119">
        <v>0</v>
      </c>
      <c r="AT1318" s="401"/>
      <c r="AU1318" s="119">
        <v>0</v>
      </c>
      <c r="AV1318" s="119">
        <v>0</v>
      </c>
      <c r="AW1318" s="119">
        <v>0</v>
      </c>
      <c r="AX1318" s="119">
        <v>0</v>
      </c>
      <c r="AY1318" s="401"/>
      <c r="AZ1318" s="119">
        <v>0</v>
      </c>
      <c r="BA1318" s="119">
        <v>0</v>
      </c>
      <c r="BB1318" s="302">
        <v>0</v>
      </c>
      <c r="BC1318" s="302">
        <v>0</v>
      </c>
      <c r="BD1318" s="401"/>
      <c r="BE1318" s="119">
        <v>0</v>
      </c>
      <c r="BF1318" s="119">
        <v>0</v>
      </c>
      <c r="BG1318" s="119">
        <v>0</v>
      </c>
      <c r="BH1318" s="119">
        <v>0</v>
      </c>
      <c r="BI1318" s="402"/>
      <c r="BJ1318" s="118"/>
      <c r="BK1318" s="118"/>
      <c r="BL1318" s="118"/>
      <c r="BM1318" s="118"/>
      <c r="BN1318" s="401"/>
      <c r="BO1318" s="118"/>
      <c r="BP1318" s="118"/>
      <c r="BQ1318" s="118"/>
      <c r="BR1318" s="118"/>
      <c r="BS1318" s="401"/>
      <c r="BT1318" s="401"/>
      <c r="BU1318" s="401"/>
      <c r="BV1318" s="401"/>
      <c r="BW1318" s="122"/>
    </row>
    <row r="1319" spans="1:75" s="123" customFormat="1" ht="15" hidden="1" customHeight="1" outlineLevel="2" x14ac:dyDescent="0.5">
      <c r="A1319" s="184" t="s">
        <v>1255</v>
      </c>
      <c r="B1319" s="513"/>
      <c r="C1319" s="401"/>
      <c r="D1319" s="401"/>
      <c r="E1319" s="401"/>
      <c r="F1319" s="401"/>
      <c r="G1319" s="119"/>
      <c r="H1319" s="119">
        <v>0</v>
      </c>
      <c r="I1319" s="119">
        <v>0</v>
      </c>
      <c r="J1319" s="119">
        <v>0</v>
      </c>
      <c r="K1319" s="401"/>
      <c r="L1319" s="119">
        <v>0</v>
      </c>
      <c r="M1319" s="119">
        <v>0</v>
      </c>
      <c r="N1319" s="119">
        <v>0</v>
      </c>
      <c r="O1319" s="119">
        <v>0</v>
      </c>
      <c r="P1319" s="401"/>
      <c r="Q1319" s="119">
        <v>0</v>
      </c>
      <c r="R1319" s="119">
        <v>0</v>
      </c>
      <c r="S1319" s="119">
        <v>0</v>
      </c>
      <c r="T1319" s="119">
        <v>0</v>
      </c>
      <c r="U1319" s="401"/>
      <c r="V1319" s="119">
        <v>0</v>
      </c>
      <c r="W1319" s="119">
        <v>0</v>
      </c>
      <c r="X1319" s="119">
        <v>0</v>
      </c>
      <c r="Y1319" s="119">
        <v>0</v>
      </c>
      <c r="Z1319" s="401"/>
      <c r="AA1319" s="119">
        <v>199</v>
      </c>
      <c r="AB1319" s="119">
        <v>432</v>
      </c>
      <c r="AC1319" s="119">
        <v>0</v>
      </c>
      <c r="AD1319" s="119">
        <v>0</v>
      </c>
      <c r="AE1319" s="401"/>
      <c r="AF1319" s="119">
        <v>0</v>
      </c>
      <c r="AG1319" s="119">
        <v>0</v>
      </c>
      <c r="AH1319" s="302">
        <v>0</v>
      </c>
      <c r="AI1319" s="119">
        <v>104.81800000000001</v>
      </c>
      <c r="AJ1319" s="401"/>
      <c r="AK1319" s="302">
        <v>0</v>
      </c>
      <c r="AL1319" s="119">
        <v>0</v>
      </c>
      <c r="AM1319" s="119">
        <v>0</v>
      </c>
      <c r="AN1319" s="119">
        <v>0</v>
      </c>
      <c r="AO1319" s="401"/>
      <c r="AP1319" s="119">
        <v>0</v>
      </c>
      <c r="AQ1319" s="119">
        <v>0</v>
      </c>
      <c r="AR1319" s="119">
        <v>0</v>
      </c>
      <c r="AS1319" s="119">
        <v>0</v>
      </c>
      <c r="AT1319" s="401"/>
      <c r="AU1319" s="119">
        <v>0</v>
      </c>
      <c r="AV1319" s="119">
        <v>0</v>
      </c>
      <c r="AW1319" s="119">
        <v>0</v>
      </c>
      <c r="AX1319" s="119">
        <v>0</v>
      </c>
      <c r="AY1319" s="401"/>
      <c r="AZ1319" s="119">
        <v>0</v>
      </c>
      <c r="BA1319" s="119">
        <v>0</v>
      </c>
      <c r="BB1319" s="119">
        <v>31.70999999999998</v>
      </c>
      <c r="BC1319" s="119">
        <v>344</v>
      </c>
      <c r="BD1319" s="401"/>
      <c r="BE1319" s="119">
        <v>0</v>
      </c>
      <c r="BF1319" s="119">
        <v>537.83869506999997</v>
      </c>
      <c r="BG1319" s="119">
        <v>0</v>
      </c>
      <c r="BH1319" s="119">
        <v>0</v>
      </c>
      <c r="BI1319" s="402"/>
      <c r="BJ1319" s="118"/>
      <c r="BK1319" s="118"/>
      <c r="BL1319" s="118"/>
      <c r="BM1319" s="118"/>
      <c r="BN1319" s="401"/>
      <c r="BO1319" s="118"/>
      <c r="BP1319" s="118"/>
      <c r="BQ1319" s="118"/>
      <c r="BR1319" s="118"/>
      <c r="BS1319" s="401"/>
      <c r="BT1319" s="401"/>
      <c r="BU1319" s="401"/>
      <c r="BV1319" s="401"/>
      <c r="BW1319" s="122"/>
    </row>
    <row r="1320" spans="1:75" s="123" customFormat="1" ht="15" hidden="1" customHeight="1" outlineLevel="2" x14ac:dyDescent="0.5">
      <c r="A1320" s="445" t="s">
        <v>1256</v>
      </c>
      <c r="B1320" s="677"/>
      <c r="C1320" s="406"/>
      <c r="D1320" s="406"/>
      <c r="E1320" s="406"/>
      <c r="F1320" s="406"/>
      <c r="G1320" s="312"/>
      <c r="H1320" s="312">
        <v>0</v>
      </c>
      <c r="I1320" s="312">
        <v>0</v>
      </c>
      <c r="J1320" s="312">
        <v>0</v>
      </c>
      <c r="K1320" s="406"/>
      <c r="L1320" s="312">
        <v>0</v>
      </c>
      <c r="M1320" s="312">
        <v>0</v>
      </c>
      <c r="N1320" s="312">
        <v>0</v>
      </c>
      <c r="O1320" s="312">
        <v>0</v>
      </c>
      <c r="P1320" s="406"/>
      <c r="Q1320" s="312">
        <v>0</v>
      </c>
      <c r="R1320" s="312">
        <v>0</v>
      </c>
      <c r="S1320" s="312">
        <v>0</v>
      </c>
      <c r="T1320" s="312">
        <v>0</v>
      </c>
      <c r="U1320" s="406"/>
      <c r="V1320" s="312">
        <v>0</v>
      </c>
      <c r="W1320" s="312">
        <v>0</v>
      </c>
      <c r="X1320" s="312">
        <v>0</v>
      </c>
      <c r="Y1320" s="312">
        <v>0</v>
      </c>
      <c r="Z1320" s="406"/>
      <c r="AA1320" s="312">
        <v>101.13999999999999</v>
      </c>
      <c r="AB1320" s="312">
        <v>268.18600000000004</v>
      </c>
      <c r="AC1320" s="312">
        <v>0</v>
      </c>
      <c r="AD1320" s="312">
        <v>0</v>
      </c>
      <c r="AE1320" s="406"/>
      <c r="AF1320" s="312">
        <v>0</v>
      </c>
      <c r="AG1320" s="312">
        <v>0</v>
      </c>
      <c r="AH1320" s="312">
        <v>145.18199999999999</v>
      </c>
      <c r="AI1320" s="357">
        <v>0</v>
      </c>
      <c r="AJ1320" s="406"/>
      <c r="AK1320" s="312">
        <v>250.03200000000001</v>
      </c>
      <c r="AL1320" s="312">
        <v>0</v>
      </c>
      <c r="AM1320" s="312">
        <v>0</v>
      </c>
      <c r="AN1320" s="312">
        <v>0</v>
      </c>
      <c r="AO1320" s="406"/>
      <c r="AP1320" s="312">
        <v>0</v>
      </c>
      <c r="AQ1320" s="312">
        <v>0</v>
      </c>
      <c r="AR1320" s="312">
        <v>0</v>
      </c>
      <c r="AS1320" s="312">
        <v>0</v>
      </c>
      <c r="AT1320" s="406"/>
      <c r="AU1320" s="312">
        <v>0</v>
      </c>
      <c r="AV1320" s="312">
        <v>0</v>
      </c>
      <c r="AW1320" s="312">
        <v>0</v>
      </c>
      <c r="AX1320" s="312">
        <v>0</v>
      </c>
      <c r="AY1320" s="406"/>
      <c r="AZ1320" s="312">
        <v>0</v>
      </c>
      <c r="BA1320" s="312">
        <v>254.72</v>
      </c>
      <c r="BB1320" s="357">
        <v>0</v>
      </c>
      <c r="BC1320" s="312">
        <v>369.55899999999997</v>
      </c>
      <c r="BD1320" s="406"/>
      <c r="BE1320" s="312">
        <v>0</v>
      </c>
      <c r="BF1320" s="312">
        <v>666.73424592000003</v>
      </c>
      <c r="BG1320" s="312">
        <v>44.609172540000003</v>
      </c>
      <c r="BH1320" s="312">
        <v>0</v>
      </c>
      <c r="BI1320" s="407"/>
      <c r="BJ1320" s="312"/>
      <c r="BK1320" s="312"/>
      <c r="BL1320" s="312"/>
      <c r="BM1320" s="312"/>
      <c r="BN1320" s="406"/>
      <c r="BO1320" s="312"/>
      <c r="BP1320" s="312"/>
      <c r="BQ1320" s="312"/>
      <c r="BR1320" s="312"/>
      <c r="BS1320" s="406"/>
      <c r="BT1320" s="406"/>
      <c r="BU1320" s="406"/>
      <c r="BV1320" s="406"/>
      <c r="BW1320" s="122"/>
    </row>
    <row r="1321" spans="1:75" s="198" customFormat="1" ht="15" hidden="1" customHeight="1" outlineLevel="1" x14ac:dyDescent="0.45">
      <c r="A1321" s="206" t="s">
        <v>1257</v>
      </c>
      <c r="B1321" s="522"/>
      <c r="C1321" s="397"/>
      <c r="D1321" s="397"/>
      <c r="E1321" s="397"/>
      <c r="F1321" s="397"/>
      <c r="G1321" s="295"/>
      <c r="H1321" s="295">
        <v>0</v>
      </c>
      <c r="I1321" s="295">
        <v>0</v>
      </c>
      <c r="J1321" s="295">
        <v>0</v>
      </c>
      <c r="K1321" s="397"/>
      <c r="L1321" s="295">
        <v>0</v>
      </c>
      <c r="M1321" s="295">
        <v>0</v>
      </c>
      <c r="N1321" s="295">
        <v>0</v>
      </c>
      <c r="O1321" s="295">
        <v>0</v>
      </c>
      <c r="P1321" s="397">
        <v>0</v>
      </c>
      <c r="Q1321" s="295">
        <v>0</v>
      </c>
      <c r="R1321" s="295">
        <v>0</v>
      </c>
      <c r="S1321" s="295">
        <v>0</v>
      </c>
      <c r="T1321" s="295">
        <v>0</v>
      </c>
      <c r="U1321" s="397">
        <v>0</v>
      </c>
      <c r="V1321" s="295">
        <v>0</v>
      </c>
      <c r="W1321" s="295">
        <v>0</v>
      </c>
      <c r="X1321" s="295">
        <v>0</v>
      </c>
      <c r="Y1321" s="295">
        <v>0</v>
      </c>
      <c r="Z1321" s="397">
        <v>0</v>
      </c>
      <c r="AA1321" s="295">
        <v>300.14</v>
      </c>
      <c r="AB1321" s="295">
        <v>700.18600000000004</v>
      </c>
      <c r="AC1321" s="295">
        <v>0</v>
      </c>
      <c r="AD1321" s="295">
        <v>0</v>
      </c>
      <c r="AE1321" s="397">
        <v>1000.326</v>
      </c>
      <c r="AF1321" s="295">
        <v>0</v>
      </c>
      <c r="AG1321" s="295">
        <v>0</v>
      </c>
      <c r="AH1321" s="295">
        <v>145.18199999999999</v>
      </c>
      <c r="AI1321" s="295">
        <v>104.81800000000001</v>
      </c>
      <c r="AJ1321" s="397">
        <v>250</v>
      </c>
      <c r="AK1321" s="295">
        <v>250.03200000000001</v>
      </c>
      <c r="AL1321" s="295">
        <v>0</v>
      </c>
      <c r="AM1321" s="295">
        <v>0</v>
      </c>
      <c r="AN1321" s="295">
        <v>0</v>
      </c>
      <c r="AO1321" s="397">
        <v>250.03200000000001</v>
      </c>
      <c r="AP1321" s="295">
        <v>0</v>
      </c>
      <c r="AQ1321" s="295">
        <v>0</v>
      </c>
      <c r="AR1321" s="295">
        <v>0</v>
      </c>
      <c r="AS1321" s="295">
        <v>0</v>
      </c>
      <c r="AT1321" s="397">
        <v>0</v>
      </c>
      <c r="AU1321" s="295">
        <v>0</v>
      </c>
      <c r="AV1321" s="295">
        <v>0</v>
      </c>
      <c r="AW1321" s="295">
        <v>0</v>
      </c>
      <c r="AX1321" s="295">
        <v>0</v>
      </c>
      <c r="AY1321" s="397">
        <v>0</v>
      </c>
      <c r="AZ1321" s="295">
        <v>0</v>
      </c>
      <c r="BA1321" s="295">
        <v>254.72</v>
      </c>
      <c r="BB1321" s="295">
        <v>31.70999999999998</v>
      </c>
      <c r="BC1321" s="295">
        <v>713.55899999999997</v>
      </c>
      <c r="BD1321" s="397">
        <v>999.98899999999992</v>
      </c>
      <c r="BE1321" s="295">
        <v>0</v>
      </c>
      <c r="BF1321" s="295">
        <v>1204.57294099</v>
      </c>
      <c r="BG1321" s="295">
        <v>44.609172540000003</v>
      </c>
      <c r="BH1321" s="295">
        <v>0</v>
      </c>
      <c r="BI1321" s="399">
        <v>1249.1821135299999</v>
      </c>
      <c r="BJ1321" s="295"/>
      <c r="BK1321" s="295"/>
      <c r="BL1321" s="295"/>
      <c r="BM1321" s="295"/>
      <c r="BN1321" s="397"/>
      <c r="BO1321" s="295"/>
      <c r="BP1321" s="295"/>
      <c r="BQ1321" s="295"/>
      <c r="BR1321" s="295"/>
      <c r="BS1321" s="397"/>
      <c r="BT1321" s="397"/>
      <c r="BU1321" s="397"/>
      <c r="BV1321" s="397"/>
      <c r="BW1321" s="197"/>
    </row>
    <row r="1322" spans="1:75" s="123" customFormat="1" ht="15" hidden="1" customHeight="1" outlineLevel="2" x14ac:dyDescent="0.5">
      <c r="A1322" s="206"/>
      <c r="B1322" s="522"/>
      <c r="C1322" s="397"/>
      <c r="D1322" s="397"/>
      <c r="E1322" s="397"/>
      <c r="F1322" s="397"/>
      <c r="G1322" s="295"/>
      <c r="H1322" s="295"/>
      <c r="I1322" s="295"/>
      <c r="J1322" s="295"/>
      <c r="K1322" s="397"/>
      <c r="L1322" s="295"/>
      <c r="M1322" s="295"/>
      <c r="N1322" s="295"/>
      <c r="O1322" s="295"/>
      <c r="P1322" s="397"/>
      <c r="Q1322" s="295"/>
      <c r="R1322" s="295"/>
      <c r="S1322" s="295"/>
      <c r="T1322" s="295"/>
      <c r="U1322" s="397"/>
      <c r="V1322" s="295"/>
      <c r="W1322" s="295"/>
      <c r="X1322" s="295"/>
      <c r="Y1322" s="295"/>
      <c r="Z1322" s="397"/>
      <c r="AA1322" s="295"/>
      <c r="AB1322" s="295"/>
      <c r="AC1322" s="295"/>
      <c r="AD1322" s="295"/>
      <c r="AE1322" s="397"/>
      <c r="AF1322" s="295"/>
      <c r="AG1322" s="295"/>
      <c r="AH1322" s="295"/>
      <c r="AI1322" s="295"/>
      <c r="AJ1322" s="397"/>
      <c r="AK1322" s="295"/>
      <c r="AL1322" s="295"/>
      <c r="AM1322" s="295"/>
      <c r="AN1322" s="295"/>
      <c r="AO1322" s="397"/>
      <c r="AP1322" s="295"/>
      <c r="AQ1322" s="295"/>
      <c r="AR1322" s="295"/>
      <c r="AS1322" s="295"/>
      <c r="AT1322" s="397"/>
      <c r="AU1322" s="295"/>
      <c r="AV1322" s="295"/>
      <c r="AW1322" s="295"/>
      <c r="AX1322" s="295"/>
      <c r="AY1322" s="397"/>
      <c r="AZ1322" s="295"/>
      <c r="BA1322" s="295"/>
      <c r="BB1322" s="295"/>
      <c r="BC1322" s="295"/>
      <c r="BD1322" s="397"/>
      <c r="BE1322" s="295"/>
      <c r="BF1322" s="295"/>
      <c r="BG1322" s="295"/>
      <c r="BH1322" s="295"/>
      <c r="BI1322" s="399"/>
      <c r="BJ1322" s="295"/>
      <c r="BK1322" s="295"/>
      <c r="BL1322" s="295"/>
      <c r="BM1322" s="295"/>
      <c r="BN1322" s="397"/>
      <c r="BO1322" s="295"/>
      <c r="BP1322" s="295"/>
      <c r="BQ1322" s="295"/>
      <c r="BR1322" s="295"/>
      <c r="BS1322" s="397"/>
      <c r="BT1322" s="397"/>
      <c r="BU1322" s="397"/>
      <c r="BV1322" s="397"/>
      <c r="BW1322" s="119"/>
    </row>
    <row r="1323" spans="1:75" s="224" customFormat="1" ht="15" hidden="1" customHeight="1" outlineLevel="2" x14ac:dyDescent="0.5">
      <c r="A1323" s="218" t="s">
        <v>1258</v>
      </c>
      <c r="B1323" s="757"/>
      <c r="C1323" s="425"/>
      <c r="D1323" s="425"/>
      <c r="E1323" s="425"/>
      <c r="F1323" s="425"/>
      <c r="G1323" s="254"/>
      <c r="H1323" s="254"/>
      <c r="I1323" s="254"/>
      <c r="J1323" s="254"/>
      <c r="K1323" s="425"/>
      <c r="L1323" s="254"/>
      <c r="M1323" s="254"/>
      <c r="N1323" s="254"/>
      <c r="O1323" s="254"/>
      <c r="P1323" s="425"/>
      <c r="Q1323" s="254"/>
      <c r="R1323" s="254"/>
      <c r="S1323" s="254"/>
      <c r="T1323" s="254"/>
      <c r="U1323" s="425"/>
      <c r="V1323" s="254"/>
      <c r="W1323" s="254"/>
      <c r="X1323" s="254"/>
      <c r="Y1323" s="254"/>
      <c r="Z1323" s="425"/>
      <c r="AA1323" s="256">
        <v>300</v>
      </c>
      <c r="AB1323" s="256">
        <v>700</v>
      </c>
      <c r="AC1323" s="256">
        <v>0</v>
      </c>
      <c r="AD1323" s="256">
        <v>0</v>
      </c>
      <c r="AE1323" s="425"/>
      <c r="AF1323" s="256">
        <v>0</v>
      </c>
      <c r="AG1323" s="256">
        <v>0</v>
      </c>
      <c r="AH1323" s="256">
        <v>0</v>
      </c>
      <c r="AI1323" s="256">
        <v>555</v>
      </c>
      <c r="AJ1323" s="425"/>
      <c r="AK1323" s="256">
        <v>700</v>
      </c>
      <c r="AL1323" s="256">
        <v>450</v>
      </c>
      <c r="AM1323" s="256">
        <v>450</v>
      </c>
      <c r="AN1323" s="256">
        <v>450</v>
      </c>
      <c r="AO1323" s="425"/>
      <c r="AP1323" s="256">
        <v>450</v>
      </c>
      <c r="AQ1323" s="256">
        <v>450</v>
      </c>
      <c r="AR1323" s="256">
        <v>450</v>
      </c>
      <c r="AS1323" s="256">
        <v>450</v>
      </c>
      <c r="AT1323" s="425"/>
      <c r="AU1323" s="256">
        <v>450</v>
      </c>
      <c r="AV1323" s="256">
        <v>450</v>
      </c>
      <c r="AW1323" s="256">
        <v>450</v>
      </c>
      <c r="AX1323" s="256">
        <v>450</v>
      </c>
      <c r="AY1323" s="425"/>
      <c r="AZ1323" s="256">
        <v>450</v>
      </c>
      <c r="BA1323" s="256">
        <v>450</v>
      </c>
      <c r="BB1323" s="256">
        <v>2195</v>
      </c>
      <c r="BC1323" s="256">
        <v>2164</v>
      </c>
      <c r="BD1323" s="425"/>
      <c r="BE1323" s="256">
        <v>1450</v>
      </c>
      <c r="BF1323" s="256">
        <v>1450</v>
      </c>
      <c r="BG1323" s="256">
        <v>245</v>
      </c>
      <c r="BH1323" s="256">
        <v>201</v>
      </c>
      <c r="BI1323" s="426"/>
      <c r="BJ1323" s="487"/>
      <c r="BK1323" s="487"/>
      <c r="BL1323" s="487"/>
      <c r="BM1323" s="487"/>
      <c r="BN1323" s="425"/>
      <c r="BO1323" s="487"/>
      <c r="BP1323" s="487"/>
      <c r="BQ1323" s="487"/>
      <c r="BR1323" s="487"/>
      <c r="BS1323" s="425"/>
      <c r="BT1323" s="425"/>
      <c r="BU1323" s="425"/>
      <c r="BV1323" s="425"/>
      <c r="BW1323" s="223"/>
    </row>
    <row r="1324" spans="1:75" s="224" customFormat="1" ht="15" hidden="1" customHeight="1" outlineLevel="2" x14ac:dyDescent="0.5">
      <c r="A1324" s="218" t="s">
        <v>1259</v>
      </c>
      <c r="B1324" s="757"/>
      <c r="C1324" s="425"/>
      <c r="D1324" s="425"/>
      <c r="E1324" s="425"/>
      <c r="F1324" s="425"/>
      <c r="G1324" s="254"/>
      <c r="H1324" s="254"/>
      <c r="I1324" s="254"/>
      <c r="J1324" s="254"/>
      <c r="K1324" s="425"/>
      <c r="L1324" s="254"/>
      <c r="M1324" s="254"/>
      <c r="N1324" s="254"/>
      <c r="O1324" s="254"/>
      <c r="P1324" s="425"/>
      <c r="Q1324" s="254"/>
      <c r="R1324" s="254"/>
      <c r="S1324" s="254"/>
      <c r="T1324" s="254"/>
      <c r="U1324" s="425"/>
      <c r="V1324" s="254"/>
      <c r="W1324" s="254"/>
      <c r="X1324" s="254"/>
      <c r="Y1324" s="254"/>
      <c r="Z1324" s="425"/>
      <c r="AA1324" s="256">
        <v>101</v>
      </c>
      <c r="AB1324" s="256">
        <v>268</v>
      </c>
      <c r="AC1324" s="256">
        <v>0</v>
      </c>
      <c r="AD1324" s="256">
        <v>0</v>
      </c>
      <c r="AE1324" s="425"/>
      <c r="AF1324" s="256">
        <v>0</v>
      </c>
      <c r="AG1324" s="256">
        <v>0</v>
      </c>
      <c r="AH1324" s="256">
        <v>0</v>
      </c>
      <c r="AI1324" s="256">
        <v>450</v>
      </c>
      <c r="AJ1324" s="425"/>
      <c r="AK1324" s="256">
        <v>700</v>
      </c>
      <c r="AL1324" s="256">
        <v>450</v>
      </c>
      <c r="AM1324" s="256">
        <v>450</v>
      </c>
      <c r="AN1324" s="256">
        <v>450</v>
      </c>
      <c r="AO1324" s="425"/>
      <c r="AP1324" s="256">
        <v>450</v>
      </c>
      <c r="AQ1324" s="256">
        <v>450</v>
      </c>
      <c r="AR1324" s="256">
        <v>450</v>
      </c>
      <c r="AS1324" s="256">
        <v>450</v>
      </c>
      <c r="AT1324" s="425"/>
      <c r="AU1324" s="256">
        <v>450</v>
      </c>
      <c r="AV1324" s="256">
        <v>450</v>
      </c>
      <c r="AW1324" s="256">
        <v>450</v>
      </c>
      <c r="AX1324" s="256">
        <v>450</v>
      </c>
      <c r="AY1324" s="425"/>
      <c r="AZ1324" s="256">
        <v>450</v>
      </c>
      <c r="BA1324" s="256">
        <v>2450</v>
      </c>
      <c r="BB1324" s="256">
        <v>2164</v>
      </c>
      <c r="BC1324" s="256">
        <v>1820</v>
      </c>
      <c r="BD1324" s="425"/>
      <c r="BE1324" s="256">
        <v>1450</v>
      </c>
      <c r="BF1324" s="256">
        <v>912</v>
      </c>
      <c r="BG1324" s="256">
        <v>245</v>
      </c>
      <c r="BH1324" s="256">
        <v>201</v>
      </c>
      <c r="BI1324" s="426"/>
      <c r="BJ1324" s="487"/>
      <c r="BK1324" s="487"/>
      <c r="BL1324" s="487"/>
      <c r="BM1324" s="487"/>
      <c r="BN1324" s="425"/>
      <c r="BO1324" s="487"/>
      <c r="BP1324" s="487"/>
      <c r="BQ1324" s="487"/>
      <c r="BR1324" s="487"/>
      <c r="BS1324" s="425"/>
      <c r="BT1324" s="425"/>
      <c r="BU1324" s="425"/>
      <c r="BV1324" s="425"/>
      <c r="BW1324" s="223"/>
    </row>
    <row r="1325" spans="1:75" s="224" customFormat="1" ht="15" hidden="1" customHeight="1" outlineLevel="2" x14ac:dyDescent="0.5">
      <c r="A1325" s="584" t="s">
        <v>1260</v>
      </c>
      <c r="B1325" s="837"/>
      <c r="C1325" s="838"/>
      <c r="D1325" s="838"/>
      <c r="E1325" s="838"/>
      <c r="F1325" s="838"/>
      <c r="G1325" s="269"/>
      <c r="H1325" s="269"/>
      <c r="I1325" s="269"/>
      <c r="J1325" s="269"/>
      <c r="K1325" s="838"/>
      <c r="L1325" s="269"/>
      <c r="M1325" s="269"/>
      <c r="N1325" s="269"/>
      <c r="O1325" s="269"/>
      <c r="P1325" s="838"/>
      <c r="Q1325" s="269"/>
      <c r="R1325" s="269"/>
      <c r="S1325" s="269"/>
      <c r="T1325" s="269"/>
      <c r="U1325" s="838"/>
      <c r="V1325" s="269"/>
      <c r="W1325" s="269"/>
      <c r="X1325" s="269"/>
      <c r="Y1325" s="269"/>
      <c r="Z1325" s="838"/>
      <c r="AA1325" s="356">
        <v>0</v>
      </c>
      <c r="AB1325" s="356">
        <v>0</v>
      </c>
      <c r="AC1325" s="356">
        <v>0</v>
      </c>
      <c r="AD1325" s="356">
        <v>0</v>
      </c>
      <c r="AE1325" s="838"/>
      <c r="AF1325" s="356">
        <v>0</v>
      </c>
      <c r="AG1325" s="356">
        <v>0</v>
      </c>
      <c r="AH1325" s="356">
        <v>555</v>
      </c>
      <c r="AI1325" s="356">
        <v>450</v>
      </c>
      <c r="AJ1325" s="838"/>
      <c r="AK1325" s="356">
        <v>450</v>
      </c>
      <c r="AL1325" s="356">
        <v>450</v>
      </c>
      <c r="AM1325" s="356">
        <v>450</v>
      </c>
      <c r="AN1325" s="356">
        <v>450</v>
      </c>
      <c r="AO1325" s="838"/>
      <c r="AP1325" s="356">
        <v>450</v>
      </c>
      <c r="AQ1325" s="356">
        <v>450</v>
      </c>
      <c r="AR1325" s="356">
        <v>450</v>
      </c>
      <c r="AS1325" s="356">
        <v>450</v>
      </c>
      <c r="AT1325" s="838"/>
      <c r="AU1325" s="356">
        <v>450</v>
      </c>
      <c r="AV1325" s="356">
        <v>450</v>
      </c>
      <c r="AW1325" s="356">
        <v>450</v>
      </c>
      <c r="AX1325" s="356">
        <v>450</v>
      </c>
      <c r="AY1325" s="838"/>
      <c r="AZ1325" s="356">
        <v>450</v>
      </c>
      <c r="BA1325" s="356">
        <v>2195</v>
      </c>
      <c r="BB1325" s="356">
        <v>2164</v>
      </c>
      <c r="BC1325" s="356">
        <v>1450</v>
      </c>
      <c r="BD1325" s="838"/>
      <c r="BE1325" s="356">
        <v>1450</v>
      </c>
      <c r="BF1325" s="356">
        <v>245</v>
      </c>
      <c r="BG1325" s="356">
        <v>201</v>
      </c>
      <c r="BH1325" s="356">
        <v>201</v>
      </c>
      <c r="BI1325" s="839"/>
      <c r="BJ1325" s="269"/>
      <c r="BK1325" s="269"/>
      <c r="BL1325" s="269"/>
      <c r="BM1325" s="269"/>
      <c r="BN1325" s="838"/>
      <c r="BO1325" s="269"/>
      <c r="BP1325" s="269"/>
      <c r="BQ1325" s="269"/>
      <c r="BR1325" s="269"/>
      <c r="BS1325" s="838"/>
      <c r="BT1325" s="838"/>
      <c r="BU1325" s="838"/>
      <c r="BV1325" s="838"/>
      <c r="BW1325" s="223"/>
    </row>
    <row r="1326" spans="1:75" s="169" customFormat="1" ht="15" hidden="1" customHeight="1" outlineLevel="1" x14ac:dyDescent="0.45">
      <c r="A1326" s="163" t="s">
        <v>1261</v>
      </c>
      <c r="B1326" s="761"/>
      <c r="C1326" s="840"/>
      <c r="D1326" s="840"/>
      <c r="E1326" s="840"/>
      <c r="F1326" s="840"/>
      <c r="G1326" s="247"/>
      <c r="H1326" s="247"/>
      <c r="I1326" s="247"/>
      <c r="J1326" s="247"/>
      <c r="K1326" s="840"/>
      <c r="L1326" s="247"/>
      <c r="M1326" s="247"/>
      <c r="N1326" s="247"/>
      <c r="O1326" s="247"/>
      <c r="P1326" s="840"/>
      <c r="Q1326" s="247"/>
      <c r="R1326" s="247"/>
      <c r="S1326" s="247"/>
      <c r="T1326" s="247"/>
      <c r="U1326" s="840"/>
      <c r="V1326" s="247"/>
      <c r="W1326" s="247"/>
      <c r="X1326" s="247"/>
      <c r="Y1326" s="247"/>
      <c r="Z1326" s="840"/>
      <c r="AA1326" s="247">
        <v>0</v>
      </c>
      <c r="AB1326" s="247">
        <v>0</v>
      </c>
      <c r="AC1326" s="247">
        <v>0</v>
      </c>
      <c r="AD1326" s="247">
        <v>0</v>
      </c>
      <c r="AE1326" s="840">
        <v>0</v>
      </c>
      <c r="AF1326" s="247">
        <v>0</v>
      </c>
      <c r="AG1326" s="247">
        <v>0</v>
      </c>
      <c r="AH1326" s="247">
        <v>555</v>
      </c>
      <c r="AI1326" s="247">
        <v>450</v>
      </c>
      <c r="AJ1326" s="840">
        <v>450</v>
      </c>
      <c r="AK1326" s="247">
        <v>450</v>
      </c>
      <c r="AL1326" s="247">
        <v>450</v>
      </c>
      <c r="AM1326" s="247">
        <v>450</v>
      </c>
      <c r="AN1326" s="247">
        <v>450</v>
      </c>
      <c r="AO1326" s="840">
        <v>450</v>
      </c>
      <c r="AP1326" s="247">
        <v>450</v>
      </c>
      <c r="AQ1326" s="247">
        <v>450</v>
      </c>
      <c r="AR1326" s="247">
        <v>450</v>
      </c>
      <c r="AS1326" s="247">
        <v>450</v>
      </c>
      <c r="AT1326" s="840">
        <v>450</v>
      </c>
      <c r="AU1326" s="247">
        <v>450</v>
      </c>
      <c r="AV1326" s="247">
        <v>450</v>
      </c>
      <c r="AW1326" s="247">
        <v>450</v>
      </c>
      <c r="AX1326" s="247">
        <v>450</v>
      </c>
      <c r="AY1326" s="840">
        <v>450</v>
      </c>
      <c r="AZ1326" s="247">
        <v>450</v>
      </c>
      <c r="BA1326" s="247">
        <v>2195</v>
      </c>
      <c r="BB1326" s="247">
        <v>2164</v>
      </c>
      <c r="BC1326" s="247">
        <v>1450</v>
      </c>
      <c r="BD1326" s="840">
        <v>1450</v>
      </c>
      <c r="BE1326" s="247">
        <v>1450</v>
      </c>
      <c r="BF1326" s="247">
        <v>245</v>
      </c>
      <c r="BG1326" s="247">
        <v>201</v>
      </c>
      <c r="BH1326" s="247">
        <v>201</v>
      </c>
      <c r="BI1326" s="841">
        <v>201</v>
      </c>
      <c r="BJ1326" s="247"/>
      <c r="BK1326" s="247"/>
      <c r="BL1326" s="247"/>
      <c r="BM1326" s="247"/>
      <c r="BN1326" s="840"/>
      <c r="BO1326" s="247"/>
      <c r="BP1326" s="247"/>
      <c r="BQ1326" s="247"/>
      <c r="BR1326" s="247"/>
      <c r="BS1326" s="840"/>
      <c r="BT1326" s="840"/>
      <c r="BU1326" s="840"/>
      <c r="BV1326" s="840"/>
      <c r="BW1326" s="168"/>
    </row>
    <row r="1327" spans="1:75" s="169" customFormat="1" ht="15" hidden="1" customHeight="1" outlineLevel="1" x14ac:dyDescent="0.45">
      <c r="A1327" s="163"/>
      <c r="B1327" s="761"/>
      <c r="C1327" s="840"/>
      <c r="D1327" s="840"/>
      <c r="E1327" s="840"/>
      <c r="F1327" s="840"/>
      <c r="G1327" s="247"/>
      <c r="H1327" s="247"/>
      <c r="I1327" s="247"/>
      <c r="J1327" s="247"/>
      <c r="K1327" s="840"/>
      <c r="L1327" s="247"/>
      <c r="M1327" s="247"/>
      <c r="N1327" s="247"/>
      <c r="O1327" s="247"/>
      <c r="P1327" s="840"/>
      <c r="Q1327" s="247"/>
      <c r="R1327" s="247"/>
      <c r="S1327" s="247"/>
      <c r="T1327" s="247"/>
      <c r="U1327" s="840"/>
      <c r="V1327" s="247"/>
      <c r="W1327" s="247"/>
      <c r="X1327" s="247"/>
      <c r="Y1327" s="247"/>
      <c r="Z1327" s="840"/>
      <c r="AA1327" s="247"/>
      <c r="AB1327" s="247"/>
      <c r="AC1327" s="247"/>
      <c r="AD1327" s="247"/>
      <c r="AE1327" s="840"/>
      <c r="AF1327" s="247"/>
      <c r="AG1327" s="247"/>
      <c r="AH1327" s="247"/>
      <c r="AI1327" s="247"/>
      <c r="AJ1327" s="840"/>
      <c r="AK1327" s="247"/>
      <c r="AL1327" s="247"/>
      <c r="AM1327" s="247"/>
      <c r="AN1327" s="247"/>
      <c r="AO1327" s="840"/>
      <c r="AP1327" s="247"/>
      <c r="AQ1327" s="247"/>
      <c r="AR1327" s="247"/>
      <c r="AS1327" s="247"/>
      <c r="AT1327" s="840"/>
      <c r="AU1327" s="247"/>
      <c r="AV1327" s="247"/>
      <c r="AW1327" s="247"/>
      <c r="AX1327" s="247"/>
      <c r="AY1327" s="840"/>
      <c r="AZ1327" s="247"/>
      <c r="BA1327" s="247"/>
      <c r="BB1327" s="247"/>
      <c r="BC1327" s="247"/>
      <c r="BD1327" s="840"/>
      <c r="BE1327" s="247"/>
      <c r="BF1327" s="247"/>
      <c r="BG1327" s="247"/>
      <c r="BH1327" s="247"/>
      <c r="BI1327" s="841"/>
      <c r="BJ1327" s="247"/>
      <c r="BK1327" s="247"/>
      <c r="BL1327" s="247"/>
      <c r="BM1327" s="247"/>
      <c r="BN1327" s="840"/>
      <c r="BO1327" s="247"/>
      <c r="BP1327" s="247"/>
      <c r="BQ1327" s="247"/>
      <c r="BR1327" s="247"/>
      <c r="BS1327" s="840"/>
      <c r="BT1327" s="840"/>
      <c r="BU1327" s="840"/>
      <c r="BV1327" s="840"/>
      <c r="BW1327" s="168"/>
    </row>
    <row r="1328" spans="1:75" s="224" customFormat="1" ht="15" hidden="1" customHeight="1" outlineLevel="1" x14ac:dyDescent="0.5">
      <c r="A1328" s="588" t="s">
        <v>1262</v>
      </c>
      <c r="B1328" s="757"/>
      <c r="C1328" s="425"/>
      <c r="D1328" s="425"/>
      <c r="E1328" s="425"/>
      <c r="F1328" s="425"/>
      <c r="G1328" s="254"/>
      <c r="H1328" s="254"/>
      <c r="I1328" s="254"/>
      <c r="J1328" s="254"/>
      <c r="K1328" s="425"/>
      <c r="L1328" s="254"/>
      <c r="M1328" s="254"/>
      <c r="N1328" s="254"/>
      <c r="O1328" s="254"/>
      <c r="P1328" s="425"/>
      <c r="Q1328" s="254"/>
      <c r="R1328" s="254"/>
      <c r="S1328" s="254"/>
      <c r="T1328" s="254"/>
      <c r="U1328" s="425"/>
      <c r="V1328" s="254"/>
      <c r="W1328" s="254"/>
      <c r="X1328" s="254"/>
      <c r="Y1328" s="254"/>
      <c r="Z1328" s="425"/>
      <c r="AA1328" s="256">
        <v>300</v>
      </c>
      <c r="AB1328" s="256">
        <v>700</v>
      </c>
      <c r="AC1328" s="254"/>
      <c r="AD1328" s="254"/>
      <c r="AE1328" s="425"/>
      <c r="AF1328" s="254"/>
      <c r="AG1328" s="254"/>
      <c r="AH1328" s="256">
        <v>700</v>
      </c>
      <c r="AI1328" s="254"/>
      <c r="AJ1328" s="425"/>
      <c r="AK1328" s="256">
        <v>250</v>
      </c>
      <c r="AL1328" s="254"/>
      <c r="AM1328" s="254"/>
      <c r="AN1328" s="254"/>
      <c r="AO1328" s="425"/>
      <c r="AP1328" s="254"/>
      <c r="AQ1328" s="254"/>
      <c r="AR1328" s="254"/>
      <c r="AS1328" s="254"/>
      <c r="AT1328" s="425"/>
      <c r="AU1328" s="254"/>
      <c r="AV1328" s="254"/>
      <c r="AW1328" s="254"/>
      <c r="AX1328" s="254"/>
      <c r="AY1328" s="425"/>
      <c r="AZ1328" s="254"/>
      <c r="BA1328" s="256">
        <v>2000</v>
      </c>
      <c r="BB1328" s="254"/>
      <c r="BC1328" s="254"/>
      <c r="BD1328" s="425"/>
      <c r="BE1328" s="254"/>
      <c r="BF1328" s="254"/>
      <c r="BG1328" s="254"/>
      <c r="BH1328" s="254"/>
      <c r="BI1328" s="426"/>
      <c r="BJ1328" s="487"/>
      <c r="BK1328" s="487"/>
      <c r="BL1328" s="487"/>
      <c r="BM1328" s="487"/>
      <c r="BN1328" s="425"/>
      <c r="BO1328" s="487"/>
      <c r="BP1328" s="487"/>
      <c r="BQ1328" s="487"/>
      <c r="BR1328" s="487"/>
      <c r="BS1328" s="425"/>
      <c r="BT1328" s="425"/>
      <c r="BU1328" s="425"/>
      <c r="BV1328" s="425"/>
      <c r="BW1328" s="223"/>
    </row>
    <row r="1329" spans="1:75" s="198" customFormat="1" ht="15" hidden="1" customHeight="1" outlineLevel="1" x14ac:dyDescent="0.45">
      <c r="A1329" s="206"/>
      <c r="B1329" s="522"/>
      <c r="C1329" s="397"/>
      <c r="D1329" s="397"/>
      <c r="E1329" s="397"/>
      <c r="F1329" s="397"/>
      <c r="G1329" s="295"/>
      <c r="H1329" s="295"/>
      <c r="I1329" s="295"/>
      <c r="J1329" s="295"/>
      <c r="K1329" s="397"/>
      <c r="L1329" s="295"/>
      <c r="M1329" s="295"/>
      <c r="N1329" s="295"/>
      <c r="O1329" s="295"/>
      <c r="P1329" s="397"/>
      <c r="Q1329" s="295"/>
      <c r="R1329" s="295"/>
      <c r="S1329" s="295"/>
      <c r="T1329" s="295"/>
      <c r="U1329" s="397"/>
      <c r="V1329" s="295"/>
      <c r="W1329" s="295"/>
      <c r="X1329" s="295"/>
      <c r="Y1329" s="295"/>
      <c r="Z1329" s="397"/>
      <c r="AA1329" s="295"/>
      <c r="AB1329" s="295"/>
      <c r="AC1329" s="295"/>
      <c r="AD1329" s="295"/>
      <c r="AE1329" s="397"/>
      <c r="AF1329" s="295"/>
      <c r="AG1329" s="295"/>
      <c r="AH1329" s="295"/>
      <c r="AI1329" s="295"/>
      <c r="AJ1329" s="397"/>
      <c r="AK1329" s="295"/>
      <c r="AL1329" s="295"/>
      <c r="AM1329" s="295"/>
      <c r="AN1329" s="295"/>
      <c r="AO1329" s="397"/>
      <c r="AP1329" s="295"/>
      <c r="AQ1329" s="295"/>
      <c r="AR1329" s="295"/>
      <c r="AS1329" s="295"/>
      <c r="AT1329" s="397"/>
      <c r="AU1329" s="295"/>
      <c r="AV1329" s="295"/>
      <c r="AW1329" s="295"/>
      <c r="AX1329" s="295"/>
      <c r="AY1329" s="397"/>
      <c r="AZ1329" s="295"/>
      <c r="BA1329" s="295"/>
      <c r="BB1329" s="295"/>
      <c r="BC1329" s="295"/>
      <c r="BD1329" s="397"/>
      <c r="BE1329" s="295"/>
      <c r="BF1329" s="295"/>
      <c r="BG1329" s="295"/>
      <c r="BH1329" s="295"/>
      <c r="BI1329" s="399"/>
      <c r="BJ1329" s="295"/>
      <c r="BK1329" s="295"/>
      <c r="BL1329" s="295"/>
      <c r="BM1329" s="295"/>
      <c r="BN1329" s="397"/>
      <c r="BO1329" s="295"/>
      <c r="BP1329" s="295"/>
      <c r="BQ1329" s="295"/>
      <c r="BR1329" s="295"/>
      <c r="BS1329" s="397"/>
      <c r="BT1329" s="397"/>
      <c r="BU1329" s="397"/>
      <c r="BV1329" s="397"/>
      <c r="BW1329" s="197"/>
    </row>
    <row r="1330" spans="1:75" s="123" customFormat="1" ht="15" hidden="1" customHeight="1" outlineLevel="2" x14ac:dyDescent="0.5">
      <c r="A1330" s="184" t="s">
        <v>1263</v>
      </c>
      <c r="B1330" s="513"/>
      <c r="C1330" s="401"/>
      <c r="D1330" s="401"/>
      <c r="E1330" s="401"/>
      <c r="F1330" s="401"/>
      <c r="G1330" s="119"/>
      <c r="H1330" s="302">
        <v>0</v>
      </c>
      <c r="I1330" s="302">
        <v>36.000999999999998</v>
      </c>
      <c r="J1330" s="302">
        <v>2.4700000000000002</v>
      </c>
      <c r="K1330" s="401"/>
      <c r="L1330" s="302">
        <v>0.95599999999999996</v>
      </c>
      <c r="M1330" s="302">
        <v>0.44800000000000001</v>
      </c>
      <c r="N1330" s="302">
        <v>0</v>
      </c>
      <c r="O1330" s="302">
        <v>0</v>
      </c>
      <c r="P1330" s="401"/>
      <c r="Q1330" s="302">
        <v>0</v>
      </c>
      <c r="R1330" s="302">
        <v>3.0649999999999999</v>
      </c>
      <c r="S1330" s="302">
        <v>0</v>
      </c>
      <c r="T1330" s="302">
        <v>0</v>
      </c>
      <c r="U1330" s="401"/>
      <c r="V1330" s="302">
        <v>0</v>
      </c>
      <c r="W1330" s="302">
        <v>1.0740000000000001</v>
      </c>
      <c r="X1330" s="302">
        <v>4.6669999999999998</v>
      </c>
      <c r="Y1330" s="302">
        <v>0</v>
      </c>
      <c r="Z1330" s="401"/>
      <c r="AA1330" s="302">
        <v>0</v>
      </c>
      <c r="AB1330" s="302">
        <v>0.98699999999999999</v>
      </c>
      <c r="AC1330" s="302">
        <v>0</v>
      </c>
      <c r="AD1330" s="302">
        <v>0</v>
      </c>
      <c r="AE1330" s="401"/>
      <c r="AF1330" s="302">
        <v>0</v>
      </c>
      <c r="AG1330" s="302">
        <v>1.2969999999999999</v>
      </c>
      <c r="AH1330" s="302">
        <v>0</v>
      </c>
      <c r="AI1330" s="302">
        <v>0</v>
      </c>
      <c r="AJ1330" s="401"/>
      <c r="AK1330" s="302">
        <v>0</v>
      </c>
      <c r="AL1330" s="302">
        <v>1.355</v>
      </c>
      <c r="AM1330" s="302">
        <v>0</v>
      </c>
      <c r="AN1330" s="302">
        <v>0</v>
      </c>
      <c r="AO1330" s="401"/>
      <c r="AP1330" s="302">
        <v>0</v>
      </c>
      <c r="AQ1330" s="302">
        <v>3.839</v>
      </c>
      <c r="AR1330" s="302">
        <v>0</v>
      </c>
      <c r="AS1330" s="302">
        <v>0</v>
      </c>
      <c r="AT1330" s="401"/>
      <c r="AU1330" s="302">
        <v>0</v>
      </c>
      <c r="AV1330" s="302">
        <v>9.2639999999999993</v>
      </c>
      <c r="AW1330" s="302">
        <v>0</v>
      </c>
      <c r="AX1330" s="302">
        <v>0</v>
      </c>
      <c r="AY1330" s="401"/>
      <c r="AZ1330" s="302">
        <v>0</v>
      </c>
      <c r="BA1330" s="302">
        <v>0</v>
      </c>
      <c r="BB1330" s="302">
        <v>0</v>
      </c>
      <c r="BC1330" s="302">
        <v>0</v>
      </c>
      <c r="BD1330" s="401"/>
      <c r="BE1330" s="302">
        <v>0</v>
      </c>
      <c r="BF1330" s="302">
        <v>0</v>
      </c>
      <c r="BG1330" s="302">
        <v>0</v>
      </c>
      <c r="BH1330" s="302">
        <v>0</v>
      </c>
      <c r="BI1330" s="402"/>
      <c r="BJ1330" s="118"/>
      <c r="BK1330" s="118"/>
      <c r="BL1330" s="118"/>
      <c r="BM1330" s="118"/>
      <c r="BN1330" s="401"/>
      <c r="BO1330" s="118"/>
      <c r="BP1330" s="118"/>
      <c r="BQ1330" s="118"/>
      <c r="BR1330" s="118"/>
      <c r="BS1330" s="401"/>
      <c r="BT1330" s="401"/>
      <c r="BU1330" s="401"/>
      <c r="BV1330" s="401"/>
      <c r="BW1330" s="122"/>
    </row>
    <row r="1331" spans="1:75" s="123" customFormat="1" ht="15" hidden="1" customHeight="1" outlineLevel="2" x14ac:dyDescent="0.5">
      <c r="A1331" s="184" t="s">
        <v>1264</v>
      </c>
      <c r="B1331" s="513"/>
      <c r="C1331" s="401"/>
      <c r="D1331" s="401"/>
      <c r="E1331" s="401"/>
      <c r="F1331" s="401"/>
      <c r="G1331" s="119"/>
      <c r="H1331" s="302">
        <v>2.5049999999999999</v>
      </c>
      <c r="I1331" s="302">
        <v>0</v>
      </c>
      <c r="J1331" s="302">
        <v>0</v>
      </c>
      <c r="K1331" s="401"/>
      <c r="L1331" s="302">
        <v>871.37799999999993</v>
      </c>
      <c r="M1331" s="302">
        <v>15.363</v>
      </c>
      <c r="N1331" s="302">
        <v>10.497</v>
      </c>
      <c r="O1331" s="302">
        <v>13.228</v>
      </c>
      <c r="P1331" s="401"/>
      <c r="Q1331" s="302">
        <v>2.8660000000000001</v>
      </c>
      <c r="R1331" s="302">
        <v>26.3</v>
      </c>
      <c r="S1331" s="302">
        <v>14.513</v>
      </c>
      <c r="T1331" s="302">
        <v>9.0690000000000008</v>
      </c>
      <c r="U1331" s="401"/>
      <c r="V1331" s="302">
        <v>2.2829999999999999</v>
      </c>
      <c r="W1331" s="302">
        <v>51.762999999999998</v>
      </c>
      <c r="X1331" s="302">
        <v>30.547999999999998</v>
      </c>
      <c r="Y1331" s="302">
        <v>7.2910000000000004</v>
      </c>
      <c r="Z1331" s="401"/>
      <c r="AA1331" s="302">
        <v>5672.6850000000004</v>
      </c>
      <c r="AB1331" s="302">
        <v>8281.3860000000004</v>
      </c>
      <c r="AC1331" s="302">
        <v>40.414000000000001</v>
      </c>
      <c r="AD1331" s="302">
        <v>8.81</v>
      </c>
      <c r="AE1331" s="401"/>
      <c r="AF1331" s="302">
        <v>3.5840000000000001</v>
      </c>
      <c r="AG1331" s="302">
        <v>40.83</v>
      </c>
      <c r="AH1331" s="302">
        <v>6.125</v>
      </c>
      <c r="AI1331" s="302">
        <v>891.12900000000002</v>
      </c>
      <c r="AJ1331" s="401"/>
      <c r="AK1331" s="302">
        <v>2.3050000000000002</v>
      </c>
      <c r="AL1331" s="302">
        <v>50.853000000000002</v>
      </c>
      <c r="AM1331" s="302">
        <v>1.7529999999999999</v>
      </c>
      <c r="AN1331" s="302">
        <v>2.4449999999999998</v>
      </c>
      <c r="AO1331" s="401"/>
      <c r="AP1331" s="302">
        <v>1.929</v>
      </c>
      <c r="AQ1331" s="302">
        <v>22.963000000000001</v>
      </c>
      <c r="AR1331" s="302">
        <v>1.6259999999999999</v>
      </c>
      <c r="AS1331" s="302">
        <v>2.0939999999999999</v>
      </c>
      <c r="AT1331" s="401"/>
      <c r="AU1331" s="302">
        <v>1.583</v>
      </c>
      <c r="AV1331" s="302">
        <v>17.184999999999999</v>
      </c>
      <c r="AW1331" s="302">
        <v>1.0289999999999999</v>
      </c>
      <c r="AX1331" s="302">
        <v>1.9610000000000001</v>
      </c>
      <c r="AY1331" s="401"/>
      <c r="AZ1331" s="302">
        <v>0.81100000000000005</v>
      </c>
      <c r="BA1331" s="302">
        <v>0.24299999999999999</v>
      </c>
      <c r="BB1331" s="302">
        <v>0.83</v>
      </c>
      <c r="BC1331" s="302">
        <v>1330.327</v>
      </c>
      <c r="BD1331" s="401"/>
      <c r="BE1331" s="302">
        <v>0.40300000000000002</v>
      </c>
      <c r="BF1331" s="302">
        <v>1797.4090000000001</v>
      </c>
      <c r="BG1331" s="302">
        <v>0.104</v>
      </c>
      <c r="BH1331" s="302">
        <v>0.79500000000000004</v>
      </c>
      <c r="BI1331" s="402"/>
      <c r="BJ1331" s="118"/>
      <c r="BK1331" s="118"/>
      <c r="BL1331" s="118"/>
      <c r="BM1331" s="118"/>
      <c r="BN1331" s="401"/>
      <c r="BO1331" s="118"/>
      <c r="BP1331" s="118"/>
      <c r="BQ1331" s="118"/>
      <c r="BR1331" s="118"/>
      <c r="BS1331" s="401"/>
      <c r="BT1331" s="401"/>
      <c r="BU1331" s="401"/>
      <c r="BV1331" s="401"/>
      <c r="BW1331" s="122"/>
    </row>
    <row r="1332" spans="1:75" s="123" customFormat="1" ht="15" hidden="1" customHeight="1" outlineLevel="2" x14ac:dyDescent="0.5">
      <c r="A1332" s="445" t="s">
        <v>1265</v>
      </c>
      <c r="B1332" s="677"/>
      <c r="C1332" s="406"/>
      <c r="D1332" s="406"/>
      <c r="E1332" s="406"/>
      <c r="F1332" s="406"/>
      <c r="G1332" s="312"/>
      <c r="H1332" s="357">
        <v>0</v>
      </c>
      <c r="I1332" s="357">
        <v>1.8819999999999999</v>
      </c>
      <c r="J1332" s="357">
        <v>0</v>
      </c>
      <c r="K1332" s="406"/>
      <c r="L1332" s="357">
        <v>9.4860000000000007</v>
      </c>
      <c r="M1332" s="357">
        <v>10.587999999999999</v>
      </c>
      <c r="N1332" s="357">
        <v>0</v>
      </c>
      <c r="O1332" s="357">
        <v>0</v>
      </c>
      <c r="P1332" s="406"/>
      <c r="Q1332" s="357">
        <v>1.095</v>
      </c>
      <c r="R1332" s="357">
        <v>0.22500000000000001</v>
      </c>
      <c r="S1332" s="357">
        <v>0</v>
      </c>
      <c r="T1332" s="357">
        <v>0</v>
      </c>
      <c r="U1332" s="406"/>
      <c r="V1332" s="357">
        <v>1.0860000000000001</v>
      </c>
      <c r="W1332" s="357">
        <v>0.23100000000000001</v>
      </c>
      <c r="X1332" s="357">
        <v>5.1120000000000001</v>
      </c>
      <c r="Y1332" s="357">
        <v>0</v>
      </c>
      <c r="Z1332" s="406"/>
      <c r="AA1332" s="357">
        <v>2179.933</v>
      </c>
      <c r="AB1332" s="357">
        <v>4143.8779999999997</v>
      </c>
      <c r="AC1332" s="357">
        <v>0.752</v>
      </c>
      <c r="AD1332" s="357">
        <v>0</v>
      </c>
      <c r="AE1332" s="406"/>
      <c r="AF1332" s="357">
        <v>9.7210000000000001</v>
      </c>
      <c r="AG1332" s="357">
        <v>1.222</v>
      </c>
      <c r="AH1332" s="357">
        <v>1162.8630000000001</v>
      </c>
      <c r="AI1332" s="357">
        <v>0</v>
      </c>
      <c r="AJ1332" s="406"/>
      <c r="AK1332" s="357">
        <v>2168.9850000000001</v>
      </c>
      <c r="AL1332" s="357">
        <v>0.13200000000000001</v>
      </c>
      <c r="AM1332" s="357">
        <v>0</v>
      </c>
      <c r="AN1332" s="357">
        <v>0</v>
      </c>
      <c r="AO1332" s="406"/>
      <c r="AP1332" s="357">
        <v>2.0699999999999998</v>
      </c>
      <c r="AQ1332" s="357">
        <v>0</v>
      </c>
      <c r="AR1332" s="357">
        <v>0</v>
      </c>
      <c r="AS1332" s="357">
        <v>0</v>
      </c>
      <c r="AT1332" s="406"/>
      <c r="AU1332" s="357">
        <v>0.03</v>
      </c>
      <c r="AV1332" s="357">
        <v>7.0000000000000001E-3</v>
      </c>
      <c r="AW1332" s="357">
        <v>0</v>
      </c>
      <c r="AX1332" s="357">
        <v>0.378</v>
      </c>
      <c r="AY1332" s="406"/>
      <c r="AZ1332" s="357">
        <v>3.5000000000000003E-2</v>
      </c>
      <c r="BA1332" s="357">
        <v>1000</v>
      </c>
      <c r="BB1332" s="357">
        <v>0</v>
      </c>
      <c r="BC1332" s="357">
        <v>1262.837</v>
      </c>
      <c r="BD1332" s="406"/>
      <c r="BE1332" s="357">
        <v>0</v>
      </c>
      <c r="BF1332" s="357">
        <v>1901.4780000000001</v>
      </c>
      <c r="BG1332" s="357">
        <v>189.078</v>
      </c>
      <c r="BH1332" s="357">
        <v>0.10299999999999999</v>
      </c>
      <c r="BI1332" s="407"/>
      <c r="BJ1332" s="312"/>
      <c r="BK1332" s="312"/>
      <c r="BL1332" s="312"/>
      <c r="BM1332" s="312"/>
      <c r="BN1332" s="406"/>
      <c r="BO1332" s="312"/>
      <c r="BP1332" s="312"/>
      <c r="BQ1332" s="312"/>
      <c r="BR1332" s="312"/>
      <c r="BS1332" s="406"/>
      <c r="BT1332" s="406"/>
      <c r="BU1332" s="406"/>
      <c r="BV1332" s="406"/>
      <c r="BW1332" s="122"/>
    </row>
    <row r="1333" spans="1:75" s="198" customFormat="1" ht="15" hidden="1" customHeight="1" outlineLevel="1" x14ac:dyDescent="0.45">
      <c r="A1333" s="206" t="s">
        <v>1266</v>
      </c>
      <c r="B1333" s="522"/>
      <c r="C1333" s="397"/>
      <c r="D1333" s="397"/>
      <c r="E1333" s="397"/>
      <c r="F1333" s="397"/>
      <c r="G1333" s="295"/>
      <c r="H1333" s="295">
        <v>2.5049999999999999</v>
      </c>
      <c r="I1333" s="295">
        <v>37.882999999999996</v>
      </c>
      <c r="J1333" s="295">
        <v>2.4700000000000002</v>
      </c>
      <c r="K1333" s="397"/>
      <c r="L1333" s="295">
        <v>881.81999999999994</v>
      </c>
      <c r="M1333" s="295">
        <v>26.399000000000001</v>
      </c>
      <c r="N1333" s="295">
        <v>10.497</v>
      </c>
      <c r="O1333" s="295">
        <v>13.228</v>
      </c>
      <c r="P1333" s="397">
        <v>931.94399999999985</v>
      </c>
      <c r="Q1333" s="295">
        <v>3.9610000000000003</v>
      </c>
      <c r="R1333" s="295">
        <v>29.590000000000003</v>
      </c>
      <c r="S1333" s="295">
        <v>14.513</v>
      </c>
      <c r="T1333" s="295">
        <v>9.0690000000000008</v>
      </c>
      <c r="U1333" s="397">
        <v>57.133000000000003</v>
      </c>
      <c r="V1333" s="295">
        <v>3.3689999999999998</v>
      </c>
      <c r="W1333" s="295">
        <v>53.067999999999998</v>
      </c>
      <c r="X1333" s="295">
        <v>40.326999999999998</v>
      </c>
      <c r="Y1333" s="295">
        <v>7.2910000000000004</v>
      </c>
      <c r="Z1333" s="397">
        <v>104.05499999999999</v>
      </c>
      <c r="AA1333" s="295">
        <v>7852.6180000000004</v>
      </c>
      <c r="AB1333" s="295">
        <v>12426.251</v>
      </c>
      <c r="AC1333" s="295">
        <v>41.166000000000004</v>
      </c>
      <c r="AD1333" s="295">
        <v>8.81</v>
      </c>
      <c r="AE1333" s="397">
        <v>20328.845000000001</v>
      </c>
      <c r="AF1333" s="295">
        <v>13.305</v>
      </c>
      <c r="AG1333" s="295">
        <v>43.348999999999997</v>
      </c>
      <c r="AH1333" s="295">
        <v>1168.9880000000001</v>
      </c>
      <c r="AI1333" s="295">
        <v>891.12900000000002</v>
      </c>
      <c r="AJ1333" s="397">
        <v>2116.7710000000002</v>
      </c>
      <c r="AK1333" s="295">
        <v>2171.29</v>
      </c>
      <c r="AL1333" s="295">
        <v>52.339999999999996</v>
      </c>
      <c r="AM1333" s="295">
        <v>1.7529999999999999</v>
      </c>
      <c r="AN1333" s="295">
        <v>2.4449999999999998</v>
      </c>
      <c r="AO1333" s="397">
        <v>2227.8280000000004</v>
      </c>
      <c r="AP1333" s="295">
        <v>3.9989999999999997</v>
      </c>
      <c r="AQ1333" s="295">
        <v>26.802</v>
      </c>
      <c r="AR1333" s="295">
        <v>1.6259999999999999</v>
      </c>
      <c r="AS1333" s="295">
        <v>2.0939999999999999</v>
      </c>
      <c r="AT1333" s="397">
        <v>34.521000000000001</v>
      </c>
      <c r="AU1333" s="295">
        <v>1.613</v>
      </c>
      <c r="AV1333" s="295">
        <v>26.456</v>
      </c>
      <c r="AW1333" s="295">
        <v>1.0289999999999999</v>
      </c>
      <c r="AX1333" s="295">
        <v>2.339</v>
      </c>
      <c r="AY1333" s="397">
        <v>31.436999999999998</v>
      </c>
      <c r="AZ1333" s="295">
        <v>0.84600000000000009</v>
      </c>
      <c r="BA1333" s="295">
        <v>1000.2430000000001</v>
      </c>
      <c r="BB1333" s="295">
        <v>0.83</v>
      </c>
      <c r="BC1333" s="295">
        <v>2593.1639999999998</v>
      </c>
      <c r="BD1333" s="397">
        <v>3595.0829999999996</v>
      </c>
      <c r="BE1333" s="295">
        <v>0.40300000000000002</v>
      </c>
      <c r="BF1333" s="295">
        <v>3698.8870000000002</v>
      </c>
      <c r="BG1333" s="295">
        <v>189.18200000000002</v>
      </c>
      <c r="BH1333" s="295">
        <v>0.89800000000000002</v>
      </c>
      <c r="BI1333" s="399">
        <v>3889.37</v>
      </c>
      <c r="BJ1333" s="295"/>
      <c r="BK1333" s="295"/>
      <c r="BL1333" s="295"/>
      <c r="BM1333" s="295"/>
      <c r="BN1333" s="397"/>
      <c r="BO1333" s="295"/>
      <c r="BP1333" s="295"/>
      <c r="BQ1333" s="295"/>
      <c r="BR1333" s="295"/>
      <c r="BS1333" s="397"/>
      <c r="BT1333" s="397"/>
      <c r="BU1333" s="397"/>
      <c r="BV1333" s="397"/>
      <c r="BW1333" s="197"/>
    </row>
    <row r="1334" spans="1:75" s="123" customFormat="1" ht="15" hidden="1" customHeight="1" outlineLevel="2" x14ac:dyDescent="0.5">
      <c r="A1334" s="588"/>
      <c r="B1334" s="513"/>
      <c r="C1334" s="401"/>
      <c r="D1334" s="401"/>
      <c r="E1334" s="401"/>
      <c r="F1334" s="401"/>
      <c r="G1334" s="119"/>
      <c r="H1334" s="119"/>
      <c r="I1334" s="119"/>
      <c r="J1334" s="119"/>
      <c r="K1334" s="401"/>
      <c r="L1334" s="119"/>
      <c r="M1334" s="119"/>
      <c r="N1334" s="119"/>
      <c r="O1334" s="119"/>
      <c r="P1334" s="401"/>
      <c r="Q1334" s="119"/>
      <c r="R1334" s="119"/>
      <c r="S1334" s="119"/>
      <c r="T1334" s="119"/>
      <c r="U1334" s="401"/>
      <c r="V1334" s="119"/>
      <c r="W1334" s="119"/>
      <c r="X1334" s="119"/>
      <c r="Y1334" s="119"/>
      <c r="Z1334" s="401"/>
      <c r="AA1334" s="119"/>
      <c r="AB1334" s="119"/>
      <c r="AC1334" s="119"/>
      <c r="AD1334" s="119"/>
      <c r="AE1334" s="401"/>
      <c r="AF1334" s="119"/>
      <c r="AG1334" s="119"/>
      <c r="AH1334" s="119"/>
      <c r="AI1334" s="119"/>
      <c r="AJ1334" s="401"/>
      <c r="AK1334" s="119"/>
      <c r="AL1334" s="119"/>
      <c r="AM1334" s="119"/>
      <c r="AN1334" s="119"/>
      <c r="AO1334" s="401"/>
      <c r="AP1334" s="119"/>
      <c r="AQ1334" s="119"/>
      <c r="AR1334" s="119"/>
      <c r="AS1334" s="119"/>
      <c r="AT1334" s="401"/>
      <c r="AU1334" s="119"/>
      <c r="AV1334" s="119"/>
      <c r="AW1334" s="119"/>
      <c r="AX1334" s="119"/>
      <c r="AY1334" s="401"/>
      <c r="AZ1334" s="119"/>
      <c r="BA1334" s="119"/>
      <c r="BB1334" s="119"/>
      <c r="BC1334" s="119"/>
      <c r="BD1334" s="401"/>
      <c r="BE1334" s="119"/>
      <c r="BF1334" s="119"/>
      <c r="BG1334" s="119"/>
      <c r="BH1334" s="119"/>
      <c r="BI1334" s="402"/>
      <c r="BJ1334" s="118"/>
      <c r="BK1334" s="118"/>
      <c r="BL1334" s="118"/>
      <c r="BM1334" s="118"/>
      <c r="BN1334" s="401"/>
      <c r="BO1334" s="118"/>
      <c r="BP1334" s="118"/>
      <c r="BQ1334" s="118"/>
      <c r="BR1334" s="118"/>
      <c r="BS1334" s="401"/>
      <c r="BT1334" s="401"/>
      <c r="BU1334" s="401"/>
      <c r="BV1334" s="401"/>
      <c r="BW1334" s="122"/>
    </row>
    <row r="1335" spans="1:75" s="828" customFormat="1" ht="15" hidden="1" customHeight="1" outlineLevel="2" x14ac:dyDescent="0.5">
      <c r="A1335" s="821" t="s">
        <v>1267</v>
      </c>
      <c r="B1335" s="822"/>
      <c r="C1335" s="823"/>
      <c r="D1335" s="823"/>
      <c r="E1335" s="823"/>
      <c r="F1335" s="823"/>
      <c r="G1335" s="824"/>
      <c r="H1335" s="825">
        <v>0</v>
      </c>
      <c r="I1335" s="825">
        <v>66.45</v>
      </c>
      <c r="J1335" s="825">
        <v>75.11</v>
      </c>
      <c r="K1335" s="823"/>
      <c r="L1335" s="825">
        <v>55.96</v>
      </c>
      <c r="M1335" s="825">
        <v>63.33</v>
      </c>
      <c r="N1335" s="825">
        <v>0</v>
      </c>
      <c r="O1335" s="825">
        <v>0</v>
      </c>
      <c r="P1335" s="823"/>
      <c r="Q1335" s="825">
        <v>0</v>
      </c>
      <c r="R1335" s="824">
        <v>90.311109298531804</v>
      </c>
      <c r="S1335" s="825">
        <v>0</v>
      </c>
      <c r="T1335" s="825">
        <v>0</v>
      </c>
      <c r="U1335" s="823"/>
      <c r="V1335" s="825">
        <v>0</v>
      </c>
      <c r="W1335" s="825">
        <v>40.9</v>
      </c>
      <c r="X1335" s="825">
        <v>30.35</v>
      </c>
      <c r="Y1335" s="825">
        <v>0</v>
      </c>
      <c r="Z1335" s="823"/>
      <c r="AA1335" s="825">
        <v>0</v>
      </c>
      <c r="AB1335" s="825">
        <v>59.87</v>
      </c>
      <c r="AC1335" s="825">
        <v>0</v>
      </c>
      <c r="AD1335" s="825">
        <v>0</v>
      </c>
      <c r="AE1335" s="823"/>
      <c r="AF1335" s="825">
        <v>0</v>
      </c>
      <c r="AG1335" s="825">
        <v>101.24</v>
      </c>
      <c r="AH1335" s="825">
        <v>0</v>
      </c>
      <c r="AI1335" s="825">
        <v>0</v>
      </c>
      <c r="AJ1335" s="823"/>
      <c r="AK1335" s="825">
        <v>0</v>
      </c>
      <c r="AL1335" s="825">
        <v>102.87</v>
      </c>
      <c r="AM1335" s="825">
        <v>0</v>
      </c>
      <c r="AN1335" s="825">
        <v>0</v>
      </c>
      <c r="AO1335" s="823"/>
      <c r="AP1335" s="825">
        <v>0</v>
      </c>
      <c r="AQ1335" s="825">
        <v>150.24</v>
      </c>
      <c r="AR1335" s="825">
        <v>0</v>
      </c>
      <c r="AS1335" s="825">
        <v>0</v>
      </c>
      <c r="AT1335" s="823"/>
      <c r="AU1335" s="825">
        <v>0</v>
      </c>
      <c r="AV1335" s="825">
        <v>687.2</v>
      </c>
      <c r="AW1335" s="825">
        <v>0</v>
      </c>
      <c r="AX1335" s="825">
        <v>0</v>
      </c>
      <c r="AY1335" s="823"/>
      <c r="AZ1335" s="825">
        <v>0</v>
      </c>
      <c r="BA1335" s="825">
        <v>0</v>
      </c>
      <c r="BB1335" s="825">
        <v>0</v>
      </c>
      <c r="BC1335" s="825">
        <v>0</v>
      </c>
      <c r="BD1335" s="823"/>
      <c r="BE1335" s="825">
        <v>0</v>
      </c>
      <c r="BF1335" s="825">
        <v>0</v>
      </c>
      <c r="BG1335" s="825">
        <v>0</v>
      </c>
      <c r="BH1335" s="825">
        <v>0</v>
      </c>
      <c r="BI1335" s="826"/>
      <c r="BJ1335" s="824"/>
      <c r="BK1335" s="824"/>
      <c r="BL1335" s="824"/>
      <c r="BM1335" s="824"/>
      <c r="BN1335" s="823"/>
      <c r="BO1335" s="824"/>
      <c r="BP1335" s="824"/>
      <c r="BQ1335" s="824"/>
      <c r="BR1335" s="824"/>
      <c r="BS1335" s="823"/>
      <c r="BT1335" s="823"/>
      <c r="BU1335" s="823"/>
      <c r="BV1335" s="823"/>
      <c r="BW1335" s="827"/>
    </row>
    <row r="1336" spans="1:75" s="828" customFormat="1" ht="15" hidden="1" customHeight="1" outlineLevel="2" x14ac:dyDescent="0.5">
      <c r="A1336" s="821" t="s">
        <v>1268</v>
      </c>
      <c r="B1336" s="822"/>
      <c r="C1336" s="823"/>
      <c r="D1336" s="823"/>
      <c r="E1336" s="823"/>
      <c r="F1336" s="823"/>
      <c r="G1336" s="824"/>
      <c r="H1336" s="825">
        <v>71.069999999999993</v>
      </c>
      <c r="I1336" s="825">
        <v>0</v>
      </c>
      <c r="J1336" s="825">
        <v>0</v>
      </c>
      <c r="K1336" s="823"/>
      <c r="L1336" s="824">
        <v>70.840819621335399</v>
      </c>
      <c r="M1336" s="825">
        <v>87.13</v>
      </c>
      <c r="N1336" s="825">
        <v>77.05</v>
      </c>
      <c r="O1336" s="825">
        <v>91.43</v>
      </c>
      <c r="P1336" s="823"/>
      <c r="Q1336" s="825">
        <v>96.02</v>
      </c>
      <c r="R1336" s="825">
        <v>95.72</v>
      </c>
      <c r="S1336" s="825">
        <v>99.14</v>
      </c>
      <c r="T1336" s="825">
        <v>80.69</v>
      </c>
      <c r="U1336" s="823"/>
      <c r="V1336" s="825">
        <v>42.2</v>
      </c>
      <c r="W1336" s="825">
        <v>29.87</v>
      </c>
      <c r="X1336" s="825">
        <v>35.479999999999997</v>
      </c>
      <c r="Y1336" s="825">
        <v>34.96</v>
      </c>
      <c r="Z1336" s="823"/>
      <c r="AA1336" s="825">
        <v>35.049999999999997</v>
      </c>
      <c r="AB1336" s="825">
        <v>52.58</v>
      </c>
      <c r="AC1336" s="825">
        <v>72.180000000000007</v>
      </c>
      <c r="AD1336" s="825">
        <v>99.63</v>
      </c>
      <c r="AE1336" s="823"/>
      <c r="AF1336" s="825">
        <v>95.28</v>
      </c>
      <c r="AG1336" s="825">
        <v>159.91999999999999</v>
      </c>
      <c r="AH1336" s="825">
        <v>136.68</v>
      </c>
      <c r="AI1336" s="825">
        <v>118.25</v>
      </c>
      <c r="AJ1336" s="823"/>
      <c r="AK1336" s="825">
        <v>102.95</v>
      </c>
      <c r="AL1336" s="825">
        <v>111.45</v>
      </c>
      <c r="AM1336" s="825">
        <v>173.24</v>
      </c>
      <c r="AN1336" s="825">
        <v>217.45</v>
      </c>
      <c r="AO1336" s="823"/>
      <c r="AP1336" s="825">
        <v>111.59</v>
      </c>
      <c r="AQ1336" s="825">
        <v>254.8</v>
      </c>
      <c r="AR1336" s="825">
        <v>374.86</v>
      </c>
      <c r="AS1336" s="825">
        <v>439.5</v>
      </c>
      <c r="AT1336" s="823"/>
      <c r="AU1336" s="825">
        <v>574.28</v>
      </c>
      <c r="AV1336" s="825">
        <v>660.77</v>
      </c>
      <c r="AW1336" s="825">
        <v>686.37</v>
      </c>
      <c r="AX1336" s="825">
        <v>568.03</v>
      </c>
      <c r="AY1336" s="823"/>
      <c r="AZ1336" s="825">
        <v>328.57</v>
      </c>
      <c r="BA1336" s="825">
        <v>231.66</v>
      </c>
      <c r="BB1336" s="825">
        <v>248.64</v>
      </c>
      <c r="BC1336" s="825">
        <v>258.43</v>
      </c>
      <c r="BD1336" s="823"/>
      <c r="BE1336" s="825">
        <v>237.63</v>
      </c>
      <c r="BF1336" s="825">
        <v>299.23</v>
      </c>
      <c r="BG1336" s="825">
        <v>289.87</v>
      </c>
      <c r="BH1336" s="825">
        <v>308.62</v>
      </c>
      <c r="BI1336" s="826"/>
      <c r="BJ1336" s="824"/>
      <c r="BK1336" s="824"/>
      <c r="BL1336" s="824"/>
      <c r="BM1336" s="824"/>
      <c r="BN1336" s="823"/>
      <c r="BO1336" s="824"/>
      <c r="BP1336" s="824"/>
      <c r="BQ1336" s="824"/>
      <c r="BR1336" s="824"/>
      <c r="BS1336" s="823"/>
      <c r="BT1336" s="823"/>
      <c r="BU1336" s="823"/>
      <c r="BV1336" s="823"/>
      <c r="BW1336" s="827"/>
    </row>
    <row r="1337" spans="1:75" s="828" customFormat="1" ht="15" hidden="1" customHeight="1" outlineLevel="2" x14ac:dyDescent="0.5">
      <c r="A1337" s="829" t="s">
        <v>1269</v>
      </c>
      <c r="B1337" s="830"/>
      <c r="C1337" s="831"/>
      <c r="D1337" s="831"/>
      <c r="E1337" s="831"/>
      <c r="F1337" s="831"/>
      <c r="G1337" s="832"/>
      <c r="H1337" s="833">
        <v>0</v>
      </c>
      <c r="I1337" s="833">
        <v>70.209999999999994</v>
      </c>
      <c r="J1337" s="833">
        <v>0</v>
      </c>
      <c r="K1337" s="831"/>
      <c r="L1337" s="832">
        <v>66.11444022770398</v>
      </c>
      <c r="M1337" s="833">
        <v>84.28</v>
      </c>
      <c r="N1337" s="833">
        <v>0</v>
      </c>
      <c r="O1337" s="833">
        <v>0</v>
      </c>
      <c r="P1337" s="831"/>
      <c r="Q1337" s="833">
        <v>92.43</v>
      </c>
      <c r="R1337" s="833">
        <v>99.12</v>
      </c>
      <c r="S1337" s="833">
        <v>0</v>
      </c>
      <c r="T1337" s="833">
        <v>0</v>
      </c>
      <c r="U1337" s="831"/>
      <c r="V1337" s="833">
        <v>41.51</v>
      </c>
      <c r="W1337" s="833">
        <v>28.64</v>
      </c>
      <c r="X1337" s="833">
        <v>33.64</v>
      </c>
      <c r="Y1337" s="833">
        <v>0</v>
      </c>
      <c r="Z1337" s="831"/>
      <c r="AA1337" s="833">
        <v>46.55</v>
      </c>
      <c r="AB1337" s="833">
        <v>64.59</v>
      </c>
      <c r="AC1337" s="833">
        <v>77.2</v>
      </c>
      <c r="AD1337" s="833">
        <v>0</v>
      </c>
      <c r="AE1337" s="831"/>
      <c r="AF1337" s="833">
        <v>96.62</v>
      </c>
      <c r="AG1337" s="833">
        <v>134.5</v>
      </c>
      <c r="AH1337" s="833">
        <v>125.06</v>
      </c>
      <c r="AI1337" s="833">
        <v>0</v>
      </c>
      <c r="AJ1337" s="831"/>
      <c r="AK1337" s="833">
        <v>115.36</v>
      </c>
      <c r="AL1337" s="833">
        <v>122.25</v>
      </c>
      <c r="AM1337" s="833">
        <v>0</v>
      </c>
      <c r="AN1337" s="833">
        <v>0</v>
      </c>
      <c r="AO1337" s="831"/>
      <c r="AP1337" s="833">
        <v>114.99</v>
      </c>
      <c r="AQ1337" s="833">
        <v>0</v>
      </c>
      <c r="AR1337" s="833">
        <v>0</v>
      </c>
      <c r="AS1337" s="833">
        <v>0</v>
      </c>
      <c r="AT1337" s="831"/>
      <c r="AU1337" s="833">
        <v>596.34</v>
      </c>
      <c r="AV1337" s="833">
        <v>664.35</v>
      </c>
      <c r="AW1337" s="833">
        <v>0</v>
      </c>
      <c r="AX1337" s="833">
        <v>535.94000000000005</v>
      </c>
      <c r="AY1337" s="831"/>
      <c r="AZ1337" s="833">
        <v>335.07</v>
      </c>
      <c r="BA1337" s="833">
        <v>254.72</v>
      </c>
      <c r="BB1337" s="833">
        <v>0</v>
      </c>
      <c r="BC1337" s="833">
        <v>293.08</v>
      </c>
      <c r="BD1337" s="831"/>
      <c r="BE1337" s="833">
        <v>0</v>
      </c>
      <c r="BF1337" s="833">
        <v>350.64</v>
      </c>
      <c r="BG1337" s="833">
        <v>235.93</v>
      </c>
      <c r="BH1337" s="833">
        <v>280.77999999999997</v>
      </c>
      <c r="BI1337" s="834"/>
      <c r="BJ1337" s="832"/>
      <c r="BK1337" s="832"/>
      <c r="BL1337" s="832"/>
      <c r="BM1337" s="832"/>
      <c r="BN1337" s="831"/>
      <c r="BO1337" s="832"/>
      <c r="BP1337" s="832"/>
      <c r="BQ1337" s="832"/>
      <c r="BR1337" s="832"/>
      <c r="BS1337" s="831"/>
      <c r="BT1337" s="831"/>
      <c r="BU1337" s="831"/>
      <c r="BV1337" s="831"/>
      <c r="BW1337" s="827"/>
    </row>
    <row r="1338" spans="1:75" s="231" customFormat="1" ht="15" hidden="1" customHeight="1" outlineLevel="1" x14ac:dyDescent="0.45">
      <c r="A1338" s="230" t="s">
        <v>1270</v>
      </c>
      <c r="B1338" s="835"/>
      <c r="C1338" s="762"/>
      <c r="D1338" s="762"/>
      <c r="E1338" s="762"/>
      <c r="F1338" s="762"/>
      <c r="G1338" s="763"/>
      <c r="H1338" s="763">
        <v>71.069999999999993</v>
      </c>
      <c r="I1338" s="763">
        <v>66.636794076498703</v>
      </c>
      <c r="J1338" s="763">
        <v>75.11</v>
      </c>
      <c r="K1338" s="762"/>
      <c r="L1338" s="763">
        <v>70.773843936404248</v>
      </c>
      <c r="M1338" s="763">
        <v>85.583039887874534</v>
      </c>
      <c r="N1338" s="763">
        <v>77.05</v>
      </c>
      <c r="O1338" s="763">
        <v>91.43</v>
      </c>
      <c r="P1338" s="762">
        <v>71.557226206724877</v>
      </c>
      <c r="Q1338" s="763">
        <v>95.027561221913643</v>
      </c>
      <c r="R1338" s="763">
        <v>95.185588036498814</v>
      </c>
      <c r="S1338" s="763">
        <v>99.14</v>
      </c>
      <c r="T1338" s="763">
        <v>80.69</v>
      </c>
      <c r="U1338" s="762">
        <v>93.87818161132796</v>
      </c>
      <c r="V1338" s="763">
        <v>41.977577916295637</v>
      </c>
      <c r="W1338" s="763">
        <v>30.087873106203364</v>
      </c>
      <c r="X1338" s="763">
        <v>34.653065440027767</v>
      </c>
      <c r="Y1338" s="763">
        <v>34.96</v>
      </c>
      <c r="Z1338" s="762">
        <v>32.583472586612849</v>
      </c>
      <c r="AA1338" s="763">
        <v>38.242467722229705</v>
      </c>
      <c r="AB1338" s="763">
        <v>56.585646595260307</v>
      </c>
      <c r="AC1338" s="763">
        <v>72.271702861584799</v>
      </c>
      <c r="AD1338" s="763">
        <v>99.63</v>
      </c>
      <c r="AE1338" s="762">
        <v>49.550469552500395</v>
      </c>
      <c r="AF1338" s="763">
        <v>96.259040962044352</v>
      </c>
      <c r="AG1338" s="763">
        <v>157.44771228863411</v>
      </c>
      <c r="AH1338" s="763">
        <v>125.12088385851695</v>
      </c>
      <c r="AI1338" s="763">
        <v>118.25</v>
      </c>
      <c r="AJ1338" s="762">
        <v>122.70894841718825</v>
      </c>
      <c r="AK1338" s="763">
        <v>115.34682578098736</v>
      </c>
      <c r="AL1338" s="763">
        <v>111.25511463507834</v>
      </c>
      <c r="AM1338" s="763">
        <v>173.24000000000004</v>
      </c>
      <c r="AN1338" s="763">
        <v>217.44999999999996</v>
      </c>
      <c r="AO1338" s="762">
        <v>115.40830666460786</v>
      </c>
      <c r="AP1338" s="763">
        <v>113.34993998499625</v>
      </c>
      <c r="AQ1338" s="763">
        <v>239.82328781434222</v>
      </c>
      <c r="AR1338" s="763">
        <v>374.86</v>
      </c>
      <c r="AS1338" s="763">
        <v>439.5</v>
      </c>
      <c r="AT1338" s="762">
        <v>243.64489817792071</v>
      </c>
      <c r="AU1338" s="763">
        <v>574.69029138251699</v>
      </c>
      <c r="AV1338" s="763">
        <v>670.02584290898085</v>
      </c>
      <c r="AW1338" s="763">
        <v>686.37</v>
      </c>
      <c r="AX1338" s="763">
        <v>562.84401453612656</v>
      </c>
      <c r="AY1338" s="762">
        <v>657.69462798613097</v>
      </c>
      <c r="AZ1338" s="763">
        <v>328.83891252955078</v>
      </c>
      <c r="BA1338" s="763">
        <v>254.7143977813391</v>
      </c>
      <c r="BB1338" s="763">
        <v>248.64</v>
      </c>
      <c r="BC1338" s="763">
        <v>275.3040974539212</v>
      </c>
      <c r="BD1338" s="762">
        <v>269.58196427453828</v>
      </c>
      <c r="BE1338" s="763">
        <v>237.63</v>
      </c>
      <c r="BF1338" s="763">
        <v>325.65821583357371</v>
      </c>
      <c r="BG1338" s="763">
        <v>235.9596527153746</v>
      </c>
      <c r="BH1338" s="763">
        <v>305.42677060133627</v>
      </c>
      <c r="BI1338" s="764">
        <v>321.28141527805269</v>
      </c>
      <c r="BJ1338" s="763"/>
      <c r="BK1338" s="763"/>
      <c r="BL1338" s="763"/>
      <c r="BM1338" s="763"/>
      <c r="BN1338" s="762"/>
      <c r="BO1338" s="763"/>
      <c r="BP1338" s="763"/>
      <c r="BQ1338" s="763"/>
      <c r="BR1338" s="763"/>
      <c r="BS1338" s="762"/>
      <c r="BT1338" s="762"/>
      <c r="BU1338" s="762"/>
      <c r="BV1338" s="762"/>
      <c r="BW1338" s="230"/>
    </row>
    <row r="1339" spans="1:75" s="123" customFormat="1" ht="15" hidden="1" customHeight="1" outlineLevel="2" x14ac:dyDescent="0.5">
      <c r="A1339" s="588"/>
      <c r="B1339" s="513"/>
      <c r="C1339" s="401"/>
      <c r="D1339" s="401"/>
      <c r="E1339" s="401"/>
      <c r="F1339" s="401"/>
      <c r="G1339" s="119"/>
      <c r="H1339" s="119"/>
      <c r="I1339" s="119"/>
      <c r="J1339" s="119"/>
      <c r="K1339" s="401"/>
      <c r="L1339" s="119"/>
      <c r="M1339" s="119"/>
      <c r="N1339" s="119"/>
      <c r="O1339" s="119"/>
      <c r="P1339" s="401"/>
      <c r="Q1339" s="119"/>
      <c r="R1339" s="119"/>
      <c r="S1339" s="119"/>
      <c r="T1339" s="119"/>
      <c r="U1339" s="401"/>
      <c r="V1339" s="119"/>
      <c r="W1339" s="119"/>
      <c r="X1339" s="119"/>
      <c r="Y1339" s="119"/>
      <c r="Z1339" s="401"/>
      <c r="AA1339" s="119"/>
      <c r="AB1339" s="119"/>
      <c r="AC1339" s="119"/>
      <c r="AD1339" s="119"/>
      <c r="AE1339" s="401"/>
      <c r="AF1339" s="119"/>
      <c r="AG1339" s="119"/>
      <c r="AH1339" s="119"/>
      <c r="AI1339" s="119"/>
      <c r="AJ1339" s="401"/>
      <c r="AK1339" s="119"/>
      <c r="AL1339" s="119"/>
      <c r="AM1339" s="119"/>
      <c r="AN1339" s="119"/>
      <c r="AO1339" s="401"/>
      <c r="AP1339" s="119"/>
      <c r="AQ1339" s="119"/>
      <c r="AR1339" s="119"/>
      <c r="AS1339" s="119"/>
      <c r="AT1339" s="401"/>
      <c r="AU1339" s="119"/>
      <c r="AV1339" s="119"/>
      <c r="AW1339" s="119"/>
      <c r="AX1339" s="119"/>
      <c r="AY1339" s="401"/>
      <c r="AZ1339" s="119"/>
      <c r="BA1339" s="119"/>
      <c r="BB1339" s="119"/>
      <c r="BC1339" s="119"/>
      <c r="BD1339" s="401"/>
      <c r="BE1339" s="119"/>
      <c r="BF1339" s="119"/>
      <c r="BG1339" s="119"/>
      <c r="BH1339" s="119"/>
      <c r="BI1339" s="402"/>
      <c r="BJ1339" s="118"/>
      <c r="BK1339" s="118"/>
      <c r="BL1339" s="118"/>
      <c r="BM1339" s="118"/>
      <c r="BN1339" s="401"/>
      <c r="BO1339" s="118"/>
      <c r="BP1339" s="118"/>
      <c r="BQ1339" s="118"/>
      <c r="BR1339" s="118"/>
      <c r="BS1339" s="401"/>
      <c r="BT1339" s="401"/>
      <c r="BU1339" s="401"/>
      <c r="BV1339" s="401"/>
      <c r="BW1339" s="122"/>
    </row>
    <row r="1340" spans="1:75" s="123" customFormat="1" ht="15" hidden="1" customHeight="1" outlineLevel="2" x14ac:dyDescent="0.5">
      <c r="A1340" s="184" t="s">
        <v>1271</v>
      </c>
      <c r="B1340" s="513"/>
      <c r="C1340" s="401"/>
      <c r="D1340" s="401"/>
      <c r="E1340" s="401"/>
      <c r="F1340" s="401"/>
      <c r="G1340" s="119"/>
      <c r="H1340" s="119">
        <v>0</v>
      </c>
      <c r="I1340" s="119">
        <v>2.3922664500000002</v>
      </c>
      <c r="J1340" s="119">
        <v>0.18552170000000001</v>
      </c>
      <c r="K1340" s="401"/>
      <c r="L1340" s="119">
        <v>5.3497759999999998E-2</v>
      </c>
      <c r="M1340" s="119">
        <v>2.8371839999999999E-2</v>
      </c>
      <c r="N1340" s="119">
        <v>0</v>
      </c>
      <c r="O1340" s="119">
        <v>0</v>
      </c>
      <c r="P1340" s="401"/>
      <c r="Q1340" s="119">
        <v>0</v>
      </c>
      <c r="R1340" s="119">
        <v>0.27680354999999995</v>
      </c>
      <c r="S1340" s="119">
        <v>0</v>
      </c>
      <c r="T1340" s="119">
        <v>0</v>
      </c>
      <c r="U1340" s="401"/>
      <c r="V1340" s="119">
        <v>0</v>
      </c>
      <c r="W1340" s="119">
        <v>4.3926600000000003E-2</v>
      </c>
      <c r="X1340" s="119">
        <v>0.14164345</v>
      </c>
      <c r="Y1340" s="119">
        <v>0</v>
      </c>
      <c r="Z1340" s="401"/>
      <c r="AA1340" s="119">
        <v>0</v>
      </c>
      <c r="AB1340" s="119">
        <v>5.9091690000000002E-2</v>
      </c>
      <c r="AC1340" s="119">
        <v>0</v>
      </c>
      <c r="AD1340" s="119">
        <v>0</v>
      </c>
      <c r="AE1340" s="401"/>
      <c r="AF1340" s="119">
        <v>0</v>
      </c>
      <c r="AG1340" s="119">
        <v>0.13130828</v>
      </c>
      <c r="AH1340" s="119">
        <v>0</v>
      </c>
      <c r="AI1340" s="119">
        <v>0</v>
      </c>
      <c r="AJ1340" s="401"/>
      <c r="AK1340" s="119">
        <v>0</v>
      </c>
      <c r="AL1340" s="119">
        <v>0.13938884999999998</v>
      </c>
      <c r="AM1340" s="119">
        <v>0</v>
      </c>
      <c r="AN1340" s="119">
        <v>0</v>
      </c>
      <c r="AO1340" s="401"/>
      <c r="AP1340" s="119">
        <v>0</v>
      </c>
      <c r="AQ1340" s="119">
        <v>0.57677136000000007</v>
      </c>
      <c r="AR1340" s="119">
        <v>0</v>
      </c>
      <c r="AS1340" s="119">
        <v>0</v>
      </c>
      <c r="AT1340" s="401"/>
      <c r="AU1340" s="119">
        <v>0</v>
      </c>
      <c r="AV1340" s="119">
        <v>6.3662207999999998</v>
      </c>
      <c r="AW1340" s="119">
        <v>0</v>
      </c>
      <c r="AX1340" s="119">
        <v>0</v>
      </c>
      <c r="AY1340" s="401"/>
      <c r="AZ1340" s="119">
        <v>0</v>
      </c>
      <c r="BA1340" s="119">
        <v>0</v>
      </c>
      <c r="BB1340" s="119">
        <v>0</v>
      </c>
      <c r="BC1340" s="119">
        <v>0</v>
      </c>
      <c r="BD1340" s="401"/>
      <c r="BE1340" s="119">
        <v>0</v>
      </c>
      <c r="BF1340" s="119">
        <v>0</v>
      </c>
      <c r="BG1340" s="119">
        <v>0</v>
      </c>
      <c r="BH1340" s="119">
        <v>0</v>
      </c>
      <c r="BI1340" s="402"/>
      <c r="BJ1340" s="118"/>
      <c r="BK1340" s="118"/>
      <c r="BL1340" s="118"/>
      <c r="BM1340" s="118"/>
      <c r="BN1340" s="401"/>
      <c r="BO1340" s="118"/>
      <c r="BP1340" s="118"/>
      <c r="BQ1340" s="118"/>
      <c r="BR1340" s="118"/>
      <c r="BS1340" s="401"/>
      <c r="BT1340" s="401"/>
      <c r="BU1340" s="401"/>
      <c r="BV1340" s="401"/>
      <c r="BW1340" s="122"/>
    </row>
    <row r="1341" spans="1:75" s="123" customFormat="1" ht="15" hidden="1" customHeight="1" outlineLevel="2" x14ac:dyDescent="0.5">
      <c r="A1341" s="184" t="s">
        <v>1272</v>
      </c>
      <c r="B1341" s="513"/>
      <c r="C1341" s="401"/>
      <c r="D1341" s="401"/>
      <c r="E1341" s="401"/>
      <c r="F1341" s="401"/>
      <c r="G1341" s="119"/>
      <c r="H1341" s="119">
        <v>0.17803034999999998</v>
      </c>
      <c r="I1341" s="119">
        <v>0</v>
      </c>
      <c r="J1341" s="119">
        <v>0</v>
      </c>
      <c r="K1341" s="401"/>
      <c r="L1341" s="119">
        <v>61.729131719999991</v>
      </c>
      <c r="M1341" s="119">
        <v>1.33857819</v>
      </c>
      <c r="N1341" s="119">
        <v>0.80879384999999993</v>
      </c>
      <c r="O1341" s="119">
        <v>1.2094360400000002</v>
      </c>
      <c r="P1341" s="401"/>
      <c r="Q1341" s="119">
        <v>0.27519331999999996</v>
      </c>
      <c r="R1341" s="119">
        <v>2.517436</v>
      </c>
      <c r="S1341" s="119">
        <v>1.4388188200000001</v>
      </c>
      <c r="T1341" s="119">
        <v>0.73177761000000008</v>
      </c>
      <c r="U1341" s="401"/>
      <c r="V1341" s="119">
        <v>9.63426E-2</v>
      </c>
      <c r="W1341" s="119">
        <v>1.5461608100000002</v>
      </c>
      <c r="X1341" s="119">
        <v>1.0838430399999996</v>
      </c>
      <c r="Y1341" s="119">
        <v>0.25489336000000001</v>
      </c>
      <c r="Z1341" s="401"/>
      <c r="AA1341" s="119">
        <v>198.82760924999999</v>
      </c>
      <c r="AB1341" s="119">
        <v>435.43527588000001</v>
      </c>
      <c r="AC1341" s="119">
        <v>2.9170825200000006</v>
      </c>
      <c r="AD1341" s="119">
        <v>0.87774030000000003</v>
      </c>
      <c r="AE1341" s="401"/>
      <c r="AF1341" s="119">
        <v>0.34148351999999998</v>
      </c>
      <c r="AG1341" s="119">
        <v>6.5295335999999988</v>
      </c>
      <c r="AH1341" s="119">
        <v>0.83716500000000005</v>
      </c>
      <c r="AI1341" s="119">
        <v>105.37600424999999</v>
      </c>
      <c r="AJ1341" s="401"/>
      <c r="AK1341" s="119">
        <v>0.23729975</v>
      </c>
      <c r="AL1341" s="119">
        <v>5.66756685</v>
      </c>
      <c r="AM1341" s="119">
        <v>0.30368972</v>
      </c>
      <c r="AN1341" s="119">
        <v>0.53166524999999987</v>
      </c>
      <c r="AO1341" s="401"/>
      <c r="AP1341" s="119">
        <v>0.21525711</v>
      </c>
      <c r="AQ1341" s="119">
        <v>5.8509724000000007</v>
      </c>
      <c r="AR1341" s="119">
        <v>0.60952235999999993</v>
      </c>
      <c r="AS1341" s="119">
        <v>0.92031299999999994</v>
      </c>
      <c r="AT1341" s="401"/>
      <c r="AU1341" s="119">
        <v>0.90908523999999991</v>
      </c>
      <c r="AV1341" s="119">
        <v>11.355332449999999</v>
      </c>
      <c r="AW1341" s="119">
        <v>0.70627472999999996</v>
      </c>
      <c r="AX1341" s="119">
        <v>1.1139068299999999</v>
      </c>
      <c r="AY1341" s="401"/>
      <c r="AZ1341" s="119">
        <v>0.26647027000000001</v>
      </c>
      <c r="BA1341" s="119">
        <v>5.6293379999999997E-2</v>
      </c>
      <c r="BB1341" s="119">
        <v>0.20637119999999998</v>
      </c>
      <c r="BC1341" s="119">
        <v>343.79640661000002</v>
      </c>
      <c r="BD1341" s="401"/>
      <c r="BE1341" s="119">
        <v>9.5764890000000005E-2</v>
      </c>
      <c r="BF1341" s="119">
        <v>537.83869506999997</v>
      </c>
      <c r="BG1341" s="119">
        <v>3.014648E-2</v>
      </c>
      <c r="BH1341" s="119">
        <v>0.24535290000000001</v>
      </c>
      <c r="BI1341" s="402"/>
      <c r="BJ1341" s="118"/>
      <c r="BK1341" s="118"/>
      <c r="BL1341" s="118"/>
      <c r="BM1341" s="118"/>
      <c r="BN1341" s="401"/>
      <c r="BO1341" s="118"/>
      <c r="BP1341" s="118"/>
      <c r="BQ1341" s="118"/>
      <c r="BR1341" s="118"/>
      <c r="BS1341" s="401"/>
      <c r="BT1341" s="401"/>
      <c r="BU1341" s="401"/>
      <c r="BV1341" s="401"/>
      <c r="BW1341" s="122"/>
    </row>
    <row r="1342" spans="1:75" s="123" customFormat="1" ht="15" hidden="1" customHeight="1" outlineLevel="2" x14ac:dyDescent="0.5">
      <c r="A1342" s="445" t="s">
        <v>1273</v>
      </c>
      <c r="B1342" s="677"/>
      <c r="C1342" s="406"/>
      <c r="D1342" s="406"/>
      <c r="E1342" s="406"/>
      <c r="F1342" s="406"/>
      <c r="G1342" s="312"/>
      <c r="H1342" s="312">
        <v>0</v>
      </c>
      <c r="I1342" s="312">
        <v>0.13213521999999997</v>
      </c>
      <c r="J1342" s="312">
        <v>0</v>
      </c>
      <c r="K1342" s="406"/>
      <c r="L1342" s="312">
        <v>0.62716158</v>
      </c>
      <c r="M1342" s="312">
        <v>0.89235663999999992</v>
      </c>
      <c r="N1342" s="312">
        <v>0</v>
      </c>
      <c r="O1342" s="312">
        <v>0</v>
      </c>
      <c r="P1342" s="406"/>
      <c r="Q1342" s="312">
        <v>0.10121085</v>
      </c>
      <c r="R1342" s="312">
        <v>2.2302000000000002E-2</v>
      </c>
      <c r="S1342" s="312">
        <v>0</v>
      </c>
      <c r="T1342" s="312">
        <v>0</v>
      </c>
      <c r="U1342" s="406"/>
      <c r="V1342" s="312">
        <v>4.5079860000000006E-2</v>
      </c>
      <c r="W1342" s="312">
        <v>6.6158400000000004E-3</v>
      </c>
      <c r="X1342" s="312">
        <v>0.17196768000000001</v>
      </c>
      <c r="Y1342" s="312">
        <v>0</v>
      </c>
      <c r="Z1342" s="406"/>
      <c r="AA1342" s="312">
        <v>101.47588114999999</v>
      </c>
      <c r="AB1342" s="312">
        <v>267.65308002</v>
      </c>
      <c r="AC1342" s="312">
        <v>5.8054399999999999E-2</v>
      </c>
      <c r="AD1342" s="312">
        <v>0</v>
      </c>
      <c r="AE1342" s="406"/>
      <c r="AF1342" s="312">
        <v>0.93924302000000004</v>
      </c>
      <c r="AG1342" s="312">
        <v>0.16435900000000001</v>
      </c>
      <c r="AH1342" s="312">
        <v>145.42764678</v>
      </c>
      <c r="AI1342" s="312">
        <v>0</v>
      </c>
      <c r="AJ1342" s="406"/>
      <c r="AK1342" s="312">
        <v>250.21410960000003</v>
      </c>
      <c r="AL1342" s="312">
        <v>1.6137000000000002E-2</v>
      </c>
      <c r="AM1342" s="312">
        <v>0</v>
      </c>
      <c r="AN1342" s="312">
        <v>0</v>
      </c>
      <c r="AO1342" s="406"/>
      <c r="AP1342" s="312">
        <v>0.23802929999999997</v>
      </c>
      <c r="AQ1342" s="312">
        <v>0</v>
      </c>
      <c r="AR1342" s="312">
        <v>0</v>
      </c>
      <c r="AS1342" s="312">
        <v>0</v>
      </c>
      <c r="AT1342" s="406"/>
      <c r="AU1342" s="312">
        <v>1.7890199999999998E-2</v>
      </c>
      <c r="AV1342" s="312">
        <v>4.6504500000000004E-3</v>
      </c>
      <c r="AW1342" s="312">
        <v>0</v>
      </c>
      <c r="AX1342" s="312">
        <v>0.20258532000000001</v>
      </c>
      <c r="AY1342" s="406"/>
      <c r="AZ1342" s="312">
        <v>1.172745E-2</v>
      </c>
      <c r="BA1342" s="312">
        <v>254.72</v>
      </c>
      <c r="BB1342" s="312">
        <v>0</v>
      </c>
      <c r="BC1342" s="312">
        <v>370.11226795999994</v>
      </c>
      <c r="BD1342" s="406"/>
      <c r="BE1342" s="312">
        <v>0</v>
      </c>
      <c r="BF1342" s="312">
        <v>666.73424592000003</v>
      </c>
      <c r="BG1342" s="312">
        <v>44.609172540000003</v>
      </c>
      <c r="BH1342" s="312">
        <v>2.8920339999999996E-2</v>
      </c>
      <c r="BI1342" s="407"/>
      <c r="BJ1342" s="312"/>
      <c r="BK1342" s="312"/>
      <c r="BL1342" s="312"/>
      <c r="BM1342" s="312"/>
      <c r="BN1342" s="406"/>
      <c r="BO1342" s="312"/>
      <c r="BP1342" s="312"/>
      <c r="BQ1342" s="312"/>
      <c r="BR1342" s="312"/>
      <c r="BS1342" s="406"/>
      <c r="BT1342" s="406"/>
      <c r="BU1342" s="406"/>
      <c r="BV1342" s="406"/>
      <c r="BW1342" s="122"/>
    </row>
    <row r="1343" spans="1:75" s="198" customFormat="1" ht="15" hidden="1" customHeight="1" outlineLevel="1" x14ac:dyDescent="0.45">
      <c r="A1343" s="206" t="s">
        <v>1274</v>
      </c>
      <c r="B1343" s="522"/>
      <c r="C1343" s="397"/>
      <c r="D1343" s="397"/>
      <c r="E1343" s="397"/>
      <c r="F1343" s="397"/>
      <c r="G1343" s="295"/>
      <c r="H1343" s="295">
        <v>0.17803034999999998</v>
      </c>
      <c r="I1343" s="295">
        <v>2.52440167</v>
      </c>
      <c r="J1343" s="295">
        <v>0.18552170000000001</v>
      </c>
      <c r="K1343" s="397"/>
      <c r="L1343" s="295">
        <v>62.409791059999989</v>
      </c>
      <c r="M1343" s="295">
        <v>2.25930667</v>
      </c>
      <c r="N1343" s="295">
        <v>0.80879384999999993</v>
      </c>
      <c r="O1343" s="295">
        <v>1.2094360400000002</v>
      </c>
      <c r="P1343" s="397">
        <v>66.687327619999991</v>
      </c>
      <c r="Q1343" s="295">
        <v>0.37640416999999998</v>
      </c>
      <c r="R1343" s="295">
        <v>2.8165415499999997</v>
      </c>
      <c r="S1343" s="295">
        <v>1.4388188200000001</v>
      </c>
      <c r="T1343" s="295">
        <v>0.73177761000000008</v>
      </c>
      <c r="U1343" s="397">
        <v>5.3635421499999998</v>
      </c>
      <c r="V1343" s="295">
        <v>0.14142246</v>
      </c>
      <c r="W1343" s="295">
        <v>1.5967032500000002</v>
      </c>
      <c r="X1343" s="295">
        <v>1.3974541699999998</v>
      </c>
      <c r="Y1343" s="295">
        <v>0.25489336000000001</v>
      </c>
      <c r="Z1343" s="397">
        <v>3.3904732399999999</v>
      </c>
      <c r="AA1343" s="295">
        <v>300.30349039999999</v>
      </c>
      <c r="AB1343" s="295">
        <v>703.14744758999996</v>
      </c>
      <c r="AC1343" s="295">
        <v>2.9751369200000006</v>
      </c>
      <c r="AD1343" s="295">
        <v>0.87774030000000003</v>
      </c>
      <c r="AE1343" s="397">
        <v>1007.3038152099999</v>
      </c>
      <c r="AF1343" s="295">
        <v>1.2807265400000001</v>
      </c>
      <c r="AG1343" s="295">
        <v>6.8252008799999988</v>
      </c>
      <c r="AH1343" s="295">
        <v>146.26481178</v>
      </c>
      <c r="AI1343" s="295">
        <v>105.37600424999999</v>
      </c>
      <c r="AJ1343" s="397">
        <v>259.74674345</v>
      </c>
      <c r="AK1343" s="295">
        <v>250.45140935000003</v>
      </c>
      <c r="AL1343" s="295">
        <v>5.8230926999999992</v>
      </c>
      <c r="AM1343" s="295">
        <v>0.30368972</v>
      </c>
      <c r="AN1343" s="295">
        <v>0.53166524999999987</v>
      </c>
      <c r="AO1343" s="397">
        <v>257.10985702000005</v>
      </c>
      <c r="AP1343" s="295">
        <v>0.45328640999999997</v>
      </c>
      <c r="AQ1343" s="295">
        <v>6.4277437600000011</v>
      </c>
      <c r="AR1343" s="295">
        <v>0.60952235999999993</v>
      </c>
      <c r="AS1343" s="295">
        <v>0.92031299999999994</v>
      </c>
      <c r="AT1343" s="397">
        <v>8.4108655300000006</v>
      </c>
      <c r="AU1343" s="295">
        <v>0.92697543999999987</v>
      </c>
      <c r="AV1343" s="295">
        <v>17.726203699999999</v>
      </c>
      <c r="AW1343" s="295">
        <v>0.70627472999999996</v>
      </c>
      <c r="AX1343" s="295">
        <v>1.31649215</v>
      </c>
      <c r="AY1343" s="397">
        <v>20.675946019999998</v>
      </c>
      <c r="AZ1343" s="295">
        <v>0.27819771999999998</v>
      </c>
      <c r="BA1343" s="295">
        <v>254.77629338</v>
      </c>
      <c r="BB1343" s="295">
        <v>0.20637119999999998</v>
      </c>
      <c r="BC1343" s="295">
        <v>713.9086745699999</v>
      </c>
      <c r="BD1343" s="397">
        <v>969.16953686999989</v>
      </c>
      <c r="BE1343" s="295">
        <v>9.5764890000000005E-2</v>
      </c>
      <c r="BF1343" s="295">
        <v>1204.57294099</v>
      </c>
      <c r="BG1343" s="295">
        <v>44.639319020000002</v>
      </c>
      <c r="BH1343" s="295">
        <v>0.27427324000000003</v>
      </c>
      <c r="BI1343" s="399">
        <v>1249.5822981399999</v>
      </c>
      <c r="BJ1343" s="295"/>
      <c r="BK1343" s="295"/>
      <c r="BL1343" s="295"/>
      <c r="BM1343" s="295"/>
      <c r="BN1343" s="397"/>
      <c r="BO1343" s="295"/>
      <c r="BP1343" s="295"/>
      <c r="BQ1343" s="295"/>
      <c r="BR1343" s="295"/>
      <c r="BS1343" s="397"/>
      <c r="BT1343" s="397"/>
      <c r="BU1343" s="397"/>
      <c r="BV1343" s="397"/>
      <c r="BW1343" s="197"/>
    </row>
    <row r="1344" spans="1:75" s="123" customFormat="1" collapsed="1" x14ac:dyDescent="0.5">
      <c r="A1344" s="588"/>
      <c r="B1344" s="513"/>
      <c r="C1344" s="401"/>
      <c r="D1344" s="401"/>
      <c r="E1344" s="401"/>
      <c r="F1344" s="401"/>
      <c r="G1344" s="119"/>
      <c r="H1344" s="119"/>
      <c r="I1344" s="119"/>
      <c r="J1344" s="119"/>
      <c r="K1344" s="401"/>
      <c r="L1344" s="119"/>
      <c r="M1344" s="119"/>
      <c r="N1344" s="119"/>
      <c r="O1344" s="119"/>
      <c r="P1344" s="401"/>
      <c r="Q1344" s="119"/>
      <c r="R1344" s="119"/>
      <c r="S1344" s="119"/>
      <c r="T1344" s="119"/>
      <c r="U1344" s="401"/>
      <c r="V1344" s="119"/>
      <c r="W1344" s="119"/>
      <c r="X1344" s="119"/>
      <c r="Y1344" s="119"/>
      <c r="Z1344" s="401"/>
      <c r="AA1344" s="119"/>
      <c r="AB1344" s="119"/>
      <c r="AC1344" s="119"/>
      <c r="AD1344" s="119"/>
      <c r="AE1344" s="401"/>
      <c r="AF1344" s="119"/>
      <c r="AG1344" s="119"/>
      <c r="AH1344" s="119"/>
      <c r="AI1344" s="119"/>
      <c r="AJ1344" s="401"/>
      <c r="AK1344" s="119"/>
      <c r="AL1344" s="119"/>
      <c r="AM1344" s="119"/>
      <c r="AN1344" s="119"/>
      <c r="AO1344" s="401"/>
      <c r="AP1344" s="119"/>
      <c r="AQ1344" s="119"/>
      <c r="AR1344" s="119"/>
      <c r="AS1344" s="119"/>
      <c r="AT1344" s="401"/>
      <c r="AU1344" s="119"/>
      <c r="AV1344" s="119"/>
      <c r="AW1344" s="119"/>
      <c r="AX1344" s="119"/>
      <c r="AY1344" s="401"/>
      <c r="AZ1344" s="119"/>
      <c r="BA1344" s="119"/>
      <c r="BB1344" s="119"/>
      <c r="BC1344" s="119"/>
      <c r="BD1344" s="401"/>
      <c r="BE1344" s="119"/>
      <c r="BF1344" s="119"/>
      <c r="BG1344" s="119"/>
      <c r="BH1344" s="119"/>
      <c r="BI1344" s="402"/>
      <c r="BJ1344" s="118"/>
      <c r="BK1344" s="118"/>
      <c r="BL1344" s="118"/>
      <c r="BM1344" s="118"/>
      <c r="BN1344" s="401"/>
      <c r="BO1344" s="118"/>
      <c r="BP1344" s="118"/>
      <c r="BQ1344" s="118"/>
      <c r="BR1344" s="118"/>
      <c r="BS1344" s="401"/>
      <c r="BT1344" s="401"/>
      <c r="BU1344" s="401"/>
      <c r="BV1344" s="401"/>
      <c r="BW1344" s="122"/>
    </row>
    <row r="1345" spans="1:75" s="198" customFormat="1" ht="14.25" x14ac:dyDescent="0.45">
      <c r="A1345" s="239" t="s">
        <v>1275</v>
      </c>
      <c r="B1345" s="239"/>
      <c r="C1345" s="239"/>
      <c r="D1345" s="239"/>
      <c r="E1345" s="239"/>
      <c r="F1345" s="239"/>
      <c r="G1345" s="239"/>
      <c r="H1345" s="239"/>
      <c r="I1345" s="239"/>
      <c r="J1345" s="239"/>
      <c r="K1345" s="239"/>
      <c r="L1345" s="239"/>
      <c r="M1345" s="239"/>
      <c r="N1345" s="239"/>
      <c r="O1345" s="239"/>
      <c r="P1345" s="239"/>
      <c r="Q1345" s="239"/>
      <c r="R1345" s="239"/>
      <c r="S1345" s="239"/>
      <c r="T1345" s="239"/>
      <c r="U1345" s="239"/>
      <c r="V1345" s="239"/>
      <c r="W1345" s="239"/>
      <c r="X1345" s="239"/>
      <c r="Y1345" s="239"/>
      <c r="Z1345" s="239"/>
      <c r="AA1345" s="239"/>
      <c r="AB1345" s="239"/>
      <c r="AC1345" s="239"/>
      <c r="AD1345" s="239"/>
      <c r="AE1345" s="239"/>
      <c r="AF1345" s="239"/>
      <c r="AG1345" s="239"/>
      <c r="AH1345" s="239"/>
      <c r="AI1345" s="239"/>
      <c r="AJ1345" s="239"/>
      <c r="AK1345" s="239"/>
      <c r="AL1345" s="239"/>
      <c r="AM1345" s="239"/>
      <c r="AN1345" s="239"/>
      <c r="AO1345" s="239"/>
      <c r="AP1345" s="239"/>
      <c r="AQ1345" s="239"/>
      <c r="AR1345" s="239"/>
      <c r="AS1345" s="239"/>
      <c r="AT1345" s="239"/>
      <c r="AU1345" s="239"/>
      <c r="AV1345" s="239"/>
      <c r="AW1345" s="239"/>
      <c r="AX1345" s="239"/>
      <c r="AY1345" s="239"/>
      <c r="AZ1345" s="239"/>
      <c r="BA1345" s="239"/>
      <c r="BB1345" s="239"/>
      <c r="BC1345" s="239"/>
      <c r="BD1345" s="239"/>
      <c r="BE1345" s="239"/>
      <c r="BF1345" s="239"/>
      <c r="BG1345" s="239"/>
      <c r="BH1345" s="239"/>
      <c r="BI1345" s="241"/>
      <c r="BJ1345" s="239"/>
      <c r="BK1345" s="239"/>
      <c r="BL1345" s="239"/>
      <c r="BM1345" s="239"/>
      <c r="BN1345" s="239"/>
      <c r="BO1345" s="239"/>
      <c r="BP1345" s="239"/>
      <c r="BQ1345" s="239"/>
      <c r="BR1345" s="239"/>
      <c r="BS1345" s="239"/>
      <c r="BT1345" s="239"/>
      <c r="BU1345" s="239"/>
      <c r="BV1345" s="239"/>
      <c r="BW1345" s="197"/>
    </row>
    <row r="1346" spans="1:75" s="123" customFormat="1" hidden="1" outlineLevel="1" x14ac:dyDescent="0.5">
      <c r="A1346" s="122" t="s">
        <v>1276</v>
      </c>
      <c r="B1346" s="513"/>
      <c r="C1346" s="401"/>
      <c r="D1346" s="674">
        <v>27.212000000000007</v>
      </c>
      <c r="E1346" s="674">
        <v>69.227000000000004</v>
      </c>
      <c r="F1346" s="674">
        <v>69.133999999999986</v>
      </c>
      <c r="G1346" s="122">
        <v>10.267999999999999</v>
      </c>
      <c r="H1346" s="122">
        <v>35.441000000000003</v>
      </c>
      <c r="I1346" s="122">
        <v>18.234999999999999</v>
      </c>
      <c r="J1346" s="122">
        <v>53.500000000000014</v>
      </c>
      <c r="K1346" s="674">
        <v>117.444</v>
      </c>
      <c r="L1346" s="122">
        <v>6.4699999999999989</v>
      </c>
      <c r="M1346" s="122">
        <v>39.701000000000001</v>
      </c>
      <c r="N1346" s="122">
        <v>36.881</v>
      </c>
      <c r="O1346" s="122">
        <v>55.067999999999998</v>
      </c>
      <c r="P1346" s="674">
        <v>138.12000000000003</v>
      </c>
      <c r="Q1346" s="122">
        <v>25.145</v>
      </c>
      <c r="R1346" s="122">
        <v>50.199999999999989</v>
      </c>
      <c r="S1346" s="122">
        <v>42.875</v>
      </c>
      <c r="T1346" s="122">
        <v>50.999999999999986</v>
      </c>
      <c r="U1346" s="674">
        <v>169.22</v>
      </c>
      <c r="V1346" s="122">
        <v>11.340999999999999</v>
      </c>
      <c r="W1346" s="119">
        <v>40.826000000000008</v>
      </c>
      <c r="X1346" s="122">
        <v>38.656999999999989</v>
      </c>
      <c r="Y1346" s="122">
        <v>65.405000000000001</v>
      </c>
      <c r="Z1346" s="674">
        <v>156.22900000000001</v>
      </c>
      <c r="AA1346" s="122">
        <v>27.660999999999998</v>
      </c>
      <c r="AB1346" s="119">
        <v>49.010999999999996</v>
      </c>
      <c r="AC1346" s="122">
        <v>50.855000000000004</v>
      </c>
      <c r="AD1346" s="122">
        <v>90.245000000000005</v>
      </c>
      <c r="AE1346" s="674">
        <v>217.77199999999999</v>
      </c>
      <c r="AF1346" s="122">
        <v>85.192000000000007</v>
      </c>
      <c r="AG1346" s="119">
        <v>119.953</v>
      </c>
      <c r="AH1346" s="122">
        <v>86.676999999999992</v>
      </c>
      <c r="AI1346" s="122">
        <v>140.43699999999995</v>
      </c>
      <c r="AJ1346" s="674">
        <v>432.25900000000013</v>
      </c>
      <c r="AK1346" s="122">
        <v>102.07899999999999</v>
      </c>
      <c r="AL1346" s="119">
        <v>56.986999999999995</v>
      </c>
      <c r="AM1346" s="122">
        <v>120.18600000000001</v>
      </c>
      <c r="AN1346" s="122">
        <v>140.47899999999998</v>
      </c>
      <c r="AO1346" s="674">
        <v>419.73100000000005</v>
      </c>
      <c r="AP1346" s="122">
        <v>88.477000000000004</v>
      </c>
      <c r="AQ1346" s="119">
        <v>95.871999999999986</v>
      </c>
      <c r="AR1346" s="122">
        <v>223.59000000000006</v>
      </c>
      <c r="AS1346" s="122">
        <v>199.61099999999999</v>
      </c>
      <c r="AT1346" s="674">
        <v>607.55000000000007</v>
      </c>
      <c r="AU1346" s="122">
        <v>201.709</v>
      </c>
      <c r="AV1346" s="119">
        <v>299.76700000000005</v>
      </c>
      <c r="AW1346" s="122">
        <v>238.256</v>
      </c>
      <c r="AX1346" s="122">
        <v>201.13000000000005</v>
      </c>
      <c r="AY1346" s="674">
        <v>940.86200000000019</v>
      </c>
      <c r="AZ1346" s="122">
        <v>421.29200000000009</v>
      </c>
      <c r="BA1346" s="119">
        <v>218.71699999999996</v>
      </c>
      <c r="BB1346" s="122">
        <v>178.66599999999997</v>
      </c>
      <c r="BC1346" s="122">
        <v>83.411000000000044</v>
      </c>
      <c r="BD1346" s="674">
        <v>902.0859999999999</v>
      </c>
      <c r="BE1346" s="122">
        <v>131.01</v>
      </c>
      <c r="BF1346" s="119">
        <v>174.16800000000001</v>
      </c>
      <c r="BG1346" s="122">
        <v>73.509000000000015</v>
      </c>
      <c r="BH1346" s="122">
        <v>79.610000000000014</v>
      </c>
      <c r="BI1346" s="842">
        <v>458.29700000000008</v>
      </c>
      <c r="BJ1346" s="118">
        <v>36.434489049358945</v>
      </c>
      <c r="BK1346" s="118">
        <v>111.12232978172341</v>
      </c>
      <c r="BL1346" s="118">
        <v>94.629746267899947</v>
      </c>
      <c r="BM1346" s="118">
        <v>84.420136880860468</v>
      </c>
      <c r="BN1346" s="401">
        <v>326.6067019798428</v>
      </c>
      <c r="BO1346" s="118">
        <v>78.110140675605706</v>
      </c>
      <c r="BP1346" s="118">
        <v>141.54340875462569</v>
      </c>
      <c r="BQ1346" s="118">
        <v>116.48899280616823</v>
      </c>
      <c r="BR1346" s="118">
        <v>112.0040123561183</v>
      </c>
      <c r="BS1346" s="401">
        <v>448.14655459251793</v>
      </c>
      <c r="BT1346" s="401">
        <v>517.14849154472677</v>
      </c>
      <c r="BU1346" s="401">
        <v>584.8472223663191</v>
      </c>
      <c r="BV1346" s="401">
        <v>650.50065041796233</v>
      </c>
      <c r="BW1346" s="122"/>
    </row>
    <row r="1347" spans="1:75" s="123" customFormat="1" hidden="1" outlineLevel="1" x14ac:dyDescent="0.5">
      <c r="A1347" s="445" t="s">
        <v>1277</v>
      </c>
      <c r="B1347" s="677"/>
      <c r="C1347" s="406"/>
      <c r="D1347" s="406">
        <v>-39.021999999999998</v>
      </c>
      <c r="E1347" s="406">
        <v>-52.106000000000009</v>
      </c>
      <c r="F1347" s="406">
        <v>-72.99799999999999</v>
      </c>
      <c r="G1347" s="312">
        <v>-29.890999999999998</v>
      </c>
      <c r="H1347" s="312">
        <v>15.611000000000011</v>
      </c>
      <c r="I1347" s="312">
        <v>-19.20900000000001</v>
      </c>
      <c r="J1347" s="312">
        <v>3.5660000000000096</v>
      </c>
      <c r="K1347" s="406">
        <v>-29.923000000000002</v>
      </c>
      <c r="L1347" s="312">
        <v>-63.688999999999986</v>
      </c>
      <c r="M1347" s="312">
        <v>-12.206999999999997</v>
      </c>
      <c r="N1347" s="312">
        <v>-29.914000000000001</v>
      </c>
      <c r="O1347" s="312">
        <v>50.180999999999997</v>
      </c>
      <c r="P1347" s="406">
        <v>-55.629000000000019</v>
      </c>
      <c r="Q1347" s="312">
        <v>-39.524000000000001</v>
      </c>
      <c r="R1347" s="312">
        <v>-22.201000000000001</v>
      </c>
      <c r="S1347" s="312">
        <v>-74.125</v>
      </c>
      <c r="T1347" s="312">
        <v>108.51600000000003</v>
      </c>
      <c r="U1347" s="406">
        <v>-27.333999999999975</v>
      </c>
      <c r="V1347" s="312">
        <v>-117.633</v>
      </c>
      <c r="W1347" s="312">
        <v>-26.099</v>
      </c>
      <c r="X1347" s="312">
        <v>23.783999999999999</v>
      </c>
      <c r="Y1347" s="312">
        <v>42.564000000000021</v>
      </c>
      <c r="Z1347" s="406">
        <v>-77.384000000000015</v>
      </c>
      <c r="AA1347" s="312">
        <v>97.393999999999977</v>
      </c>
      <c r="AB1347" s="312">
        <v>142.33199999999997</v>
      </c>
      <c r="AC1347" s="312">
        <v>19.509000000000015</v>
      </c>
      <c r="AD1347" s="312">
        <v>78.09499999999997</v>
      </c>
      <c r="AE1347" s="406">
        <v>337.32999999999987</v>
      </c>
      <c r="AF1347" s="312">
        <v>-88.425999999999988</v>
      </c>
      <c r="AG1347" s="312">
        <v>-67.698999999999984</v>
      </c>
      <c r="AH1347" s="312">
        <v>-38.980999999999995</v>
      </c>
      <c r="AI1347" s="312">
        <v>12.450000000000017</v>
      </c>
      <c r="AJ1347" s="406">
        <v>-182.65600000000001</v>
      </c>
      <c r="AK1347" s="312">
        <v>-63.255000000000003</v>
      </c>
      <c r="AL1347" s="312">
        <v>1.3219999999999885</v>
      </c>
      <c r="AM1347" s="312">
        <v>-6.3219999999999743</v>
      </c>
      <c r="AN1347" s="312">
        <v>-12.287999999999982</v>
      </c>
      <c r="AO1347" s="406">
        <v>-80.543000000000006</v>
      </c>
      <c r="AP1347" s="312">
        <v>-105.345</v>
      </c>
      <c r="AQ1347" s="312">
        <v>49.270999999999987</v>
      </c>
      <c r="AR1347" s="312">
        <v>-4.6019999999999754</v>
      </c>
      <c r="AS1347" s="312">
        <v>-46.103999999999957</v>
      </c>
      <c r="AT1347" s="406">
        <v>-106.77999999999992</v>
      </c>
      <c r="AU1347" s="312">
        <v>-10.833999999999975</v>
      </c>
      <c r="AV1347" s="312">
        <v>-173.92399999999998</v>
      </c>
      <c r="AW1347" s="312">
        <v>-21.292000000000002</v>
      </c>
      <c r="AX1347" s="312">
        <v>-72.698000000000008</v>
      </c>
      <c r="AY1347" s="406">
        <v>-278.74799999999993</v>
      </c>
      <c r="AZ1347" s="312">
        <v>-285.34299999999996</v>
      </c>
      <c r="BA1347" s="312">
        <v>-162.15</v>
      </c>
      <c r="BB1347" s="312">
        <v>-35.16100000000003</v>
      </c>
      <c r="BC1347" s="312">
        <v>-15.745000000000047</v>
      </c>
      <c r="BD1347" s="406">
        <v>-498.39900000000006</v>
      </c>
      <c r="BE1347" s="312">
        <v>-44.272000000000006</v>
      </c>
      <c r="BF1347" s="312">
        <v>-12.550999999999988</v>
      </c>
      <c r="BG1347" s="312">
        <v>-5.6919999999999931</v>
      </c>
      <c r="BH1347" s="312">
        <v>-193.56799999999998</v>
      </c>
      <c r="BI1347" s="407">
        <v>-256.08300000000003</v>
      </c>
      <c r="BJ1347" s="312">
        <v>20.416691015957468</v>
      </c>
      <c r="BK1347" s="312">
        <v>-29.10080410656262</v>
      </c>
      <c r="BL1347" s="312">
        <v>-12.536955031195887</v>
      </c>
      <c r="BM1347" s="312">
        <v>-36.553795630867768</v>
      </c>
      <c r="BN1347" s="406">
        <v>-57.774863752668807</v>
      </c>
      <c r="BO1347" s="312">
        <v>-46.604697618509547</v>
      </c>
      <c r="BP1347" s="312">
        <v>-30.795319052040298</v>
      </c>
      <c r="BQ1347" s="312">
        <v>-12.738882763283783</v>
      </c>
      <c r="BR1347" s="312">
        <v>-26.065891449594432</v>
      </c>
      <c r="BS1347" s="406">
        <v>-116.20479088342807</v>
      </c>
      <c r="BT1347" s="406">
        <v>-96.031977286518838</v>
      </c>
      <c r="BU1347" s="406">
        <v>-87.501589925128997</v>
      </c>
      <c r="BV1347" s="406">
        <v>-67.672333743228592</v>
      </c>
      <c r="BW1347" s="122"/>
    </row>
    <row r="1348" spans="1:75" s="123" customFormat="1" collapsed="1" x14ac:dyDescent="0.5">
      <c r="A1348" s="206" t="s">
        <v>1278</v>
      </c>
      <c r="B1348" s="522"/>
      <c r="C1348" s="397"/>
      <c r="D1348" s="397">
        <v>-11.809999999999993</v>
      </c>
      <c r="E1348" s="397">
        <v>17.120999999999999</v>
      </c>
      <c r="F1348" s="397">
        <v>-3.864000000000003</v>
      </c>
      <c r="G1348" s="295">
        <v>-19.623000000000001</v>
      </c>
      <c r="H1348" s="295">
        <v>51.052000000000014</v>
      </c>
      <c r="I1348" s="295">
        <v>-0.97400000000001108</v>
      </c>
      <c r="J1348" s="295">
        <v>57.066000000000024</v>
      </c>
      <c r="K1348" s="397">
        <v>87.521000000000001</v>
      </c>
      <c r="L1348" s="295">
        <v>-57.218999999999987</v>
      </c>
      <c r="M1348" s="295">
        <v>27.494000000000003</v>
      </c>
      <c r="N1348" s="295">
        <v>6.9669999999999979</v>
      </c>
      <c r="O1348" s="295">
        <v>105.249</v>
      </c>
      <c r="P1348" s="397">
        <v>82.491000000000014</v>
      </c>
      <c r="Q1348" s="295">
        <v>-14.379000000000003</v>
      </c>
      <c r="R1348" s="295">
        <v>27.998999999999988</v>
      </c>
      <c r="S1348" s="295">
        <v>-31.250000000000004</v>
      </c>
      <c r="T1348" s="295">
        <v>159.51600000000002</v>
      </c>
      <c r="U1348" s="397">
        <v>141.88600000000002</v>
      </c>
      <c r="V1348" s="295">
        <v>-106.292</v>
      </c>
      <c r="W1348" s="295">
        <v>14.727000000000007</v>
      </c>
      <c r="X1348" s="295">
        <v>62.440999999999988</v>
      </c>
      <c r="Y1348" s="295">
        <v>107.96900000000002</v>
      </c>
      <c r="Z1348" s="397">
        <v>78.844999999999999</v>
      </c>
      <c r="AA1348" s="295">
        <v>125.05499999999998</v>
      </c>
      <c r="AB1348" s="295">
        <v>191.34299999999996</v>
      </c>
      <c r="AC1348" s="295">
        <v>70.364000000000019</v>
      </c>
      <c r="AD1348" s="295">
        <v>168.33999999999997</v>
      </c>
      <c r="AE1348" s="397">
        <v>555.10199999999986</v>
      </c>
      <c r="AF1348" s="295">
        <v>-3.233999999999984</v>
      </c>
      <c r="AG1348" s="295">
        <v>52.254000000000019</v>
      </c>
      <c r="AH1348" s="295">
        <v>47.695999999999998</v>
      </c>
      <c r="AI1348" s="295">
        <v>152.88699999999997</v>
      </c>
      <c r="AJ1348" s="397">
        <v>249.60300000000012</v>
      </c>
      <c r="AK1348" s="295">
        <v>38.823999999999991</v>
      </c>
      <c r="AL1348" s="295">
        <v>58.308999999999983</v>
      </c>
      <c r="AM1348" s="295">
        <v>113.86400000000003</v>
      </c>
      <c r="AN1348" s="295">
        <v>128.191</v>
      </c>
      <c r="AO1348" s="397">
        <v>339.18800000000005</v>
      </c>
      <c r="AP1348" s="295">
        <v>-16.867999999999995</v>
      </c>
      <c r="AQ1348" s="295">
        <v>145.14299999999997</v>
      </c>
      <c r="AR1348" s="295">
        <v>218.98800000000008</v>
      </c>
      <c r="AS1348" s="295">
        <v>153.50700000000003</v>
      </c>
      <c r="AT1348" s="397">
        <v>500.77000000000015</v>
      </c>
      <c r="AU1348" s="295">
        <v>190.87500000000003</v>
      </c>
      <c r="AV1348" s="295">
        <v>125.84300000000006</v>
      </c>
      <c r="AW1348" s="295">
        <v>216.964</v>
      </c>
      <c r="AX1348" s="295">
        <v>128.43200000000004</v>
      </c>
      <c r="AY1348" s="397">
        <v>662.11400000000026</v>
      </c>
      <c r="AZ1348" s="295">
        <v>135.94900000000013</v>
      </c>
      <c r="BA1348" s="295">
        <v>56.566999999999943</v>
      </c>
      <c r="BB1348" s="295">
        <v>143.50499999999994</v>
      </c>
      <c r="BC1348" s="295">
        <v>67.665999999999997</v>
      </c>
      <c r="BD1348" s="397">
        <v>403.68699999999984</v>
      </c>
      <c r="BE1348" s="295">
        <v>86.737999999999985</v>
      </c>
      <c r="BF1348" s="295">
        <v>161.61700000000002</v>
      </c>
      <c r="BG1348" s="295">
        <v>67.817000000000021</v>
      </c>
      <c r="BH1348" s="295">
        <v>-113.95799999999998</v>
      </c>
      <c r="BI1348" s="399">
        <v>202.21400000000006</v>
      </c>
      <c r="BJ1348" s="295">
        <v>56.851180065316413</v>
      </c>
      <c r="BK1348" s="295">
        <v>82.021525675160788</v>
      </c>
      <c r="BL1348" s="295">
        <v>82.092791236704059</v>
      </c>
      <c r="BM1348" s="295">
        <v>47.866341249992701</v>
      </c>
      <c r="BN1348" s="397">
        <v>268.83183822717399</v>
      </c>
      <c r="BO1348" s="295">
        <v>31.505443057096159</v>
      </c>
      <c r="BP1348" s="295">
        <v>110.74808970258539</v>
      </c>
      <c r="BQ1348" s="295">
        <v>103.75011004288444</v>
      </c>
      <c r="BR1348" s="295">
        <v>85.938120906523864</v>
      </c>
      <c r="BS1348" s="397">
        <v>331.94176370908986</v>
      </c>
      <c r="BT1348" s="397">
        <v>421.11651425820793</v>
      </c>
      <c r="BU1348" s="397">
        <v>497.34563244119011</v>
      </c>
      <c r="BV1348" s="397">
        <v>582.82831667473374</v>
      </c>
      <c r="BW1348" s="122"/>
    </row>
    <row r="1349" spans="1:75" s="741" customFormat="1" ht="14.25" hidden="1" outlineLevel="1" x14ac:dyDescent="0.45">
      <c r="A1349" s="843" t="s">
        <v>1279</v>
      </c>
      <c r="B1349" s="737"/>
      <c r="C1349" s="844"/>
      <c r="D1349" s="844"/>
      <c r="E1349" s="845"/>
      <c r="F1349" s="845">
        <v>7.3321944148307709</v>
      </c>
      <c r="G1349" s="846">
        <v>0.25174239917175079</v>
      </c>
      <c r="H1349" s="846">
        <v>0.91550423641248191</v>
      </c>
      <c r="I1349" s="846">
        <v>0.44417962823906759</v>
      </c>
      <c r="J1349" s="846">
        <v>1.3010961431011205</v>
      </c>
      <c r="K1349" s="845">
        <v>2.9058335640551922</v>
      </c>
      <c r="L1349" s="846">
        <v>0.15862615140643044</v>
      </c>
      <c r="M1349" s="846">
        <v>0.96215391413862661</v>
      </c>
      <c r="N1349" s="846">
        <v>0.89099969992388295</v>
      </c>
      <c r="O1349" s="846">
        <v>1.3181255014510318</v>
      </c>
      <c r="P1349" s="845">
        <v>3.3379887626845148</v>
      </c>
      <c r="Q1349" s="846">
        <v>0.59926522861759934</v>
      </c>
      <c r="R1349" s="846">
        <v>1.1883369697549302</v>
      </c>
      <c r="S1349" s="846">
        <v>1.010877227587331</v>
      </c>
      <c r="T1349" s="846">
        <v>1.207813273015296</v>
      </c>
      <c r="U1349" s="845">
        <v>4.0045854183252354</v>
      </c>
      <c r="V1349" s="846">
        <v>0.2794170042185537</v>
      </c>
      <c r="W1349" s="846">
        <v>1.0001348587272154</v>
      </c>
      <c r="X1349" s="846">
        <v>0.94454808565121062</v>
      </c>
      <c r="Y1349" s="846">
        <v>1.5952143326123711</v>
      </c>
      <c r="Z1349" s="845">
        <v>3.8172749227646214</v>
      </c>
      <c r="AA1349" s="846">
        <v>0.73547875489809544</v>
      </c>
      <c r="AB1349" s="846">
        <v>1.725842318698787</v>
      </c>
      <c r="AC1349" s="846">
        <v>2.1607676569515899</v>
      </c>
      <c r="AD1349" s="846">
        <v>3.5161064520173517</v>
      </c>
      <c r="AE1349" s="845">
        <v>7.4443801172165456</v>
      </c>
      <c r="AF1349" s="846">
        <v>3.3765846269799864</v>
      </c>
      <c r="AG1349" s="846">
        <v>4.3624728197828082</v>
      </c>
      <c r="AH1349" s="846">
        <v>3.1287586877225793</v>
      </c>
      <c r="AI1349" s="846">
        <v>5.4638813349102806</v>
      </c>
      <c r="AJ1349" s="845">
        <v>16.291234857428755</v>
      </c>
      <c r="AK1349" s="846">
        <v>4.0939702102194886</v>
      </c>
      <c r="AL1349" s="846">
        <v>2.5527107192438381</v>
      </c>
      <c r="AM1349" s="846">
        <v>4.9724925416335477</v>
      </c>
      <c r="AN1349" s="846">
        <v>5.451713032946774</v>
      </c>
      <c r="AO1349" s="845">
        <v>17.273567336051304</v>
      </c>
      <c r="AP1349" s="846">
        <v>4.5979655287442096</v>
      </c>
      <c r="AQ1349" s="846">
        <v>3.6089992341341635</v>
      </c>
      <c r="AR1349" s="846">
        <v>7.9045824730175136</v>
      </c>
      <c r="AS1349" s="846">
        <v>6.6141241675725242</v>
      </c>
      <c r="AT1349" s="845">
        <v>22.252730066234793</v>
      </c>
      <c r="AU1349" s="846">
        <v>6.462958311677621</v>
      </c>
      <c r="AV1349" s="846">
        <v>9.3738416261771995</v>
      </c>
      <c r="AW1349" s="846">
        <v>7.6141829433238781</v>
      </c>
      <c r="AX1349" s="846">
        <v>6.7102858041940419</v>
      </c>
      <c r="AY1349" s="845">
        <v>30.239772933811953</v>
      </c>
      <c r="AZ1349" s="846">
        <v>15.149984094552083</v>
      </c>
      <c r="BA1349" s="846">
        <v>8.1202041335643376</v>
      </c>
      <c r="BB1349" s="846">
        <v>6.8458956945988536</v>
      </c>
      <c r="BC1349" s="846">
        <v>3.2830280231283635</v>
      </c>
      <c r="BD1349" s="845">
        <v>33.961539324541519</v>
      </c>
      <c r="BE1349" s="846">
        <v>5.5141701672661076</v>
      </c>
      <c r="BF1349" s="846">
        <v>7.6632951359494816</v>
      </c>
      <c r="BG1349" s="846">
        <v>4.0012421383177088</v>
      </c>
      <c r="BH1349" s="846">
        <v>4.0000060294023809</v>
      </c>
      <c r="BI1349" s="847">
        <v>21.216984179701953</v>
      </c>
      <c r="BJ1349" s="846">
        <v>1.9891590533163235</v>
      </c>
      <c r="BK1349" s="846">
        <v>5.5704061092446073</v>
      </c>
      <c r="BL1349" s="846">
        <v>4.7431817747284812</v>
      </c>
      <c r="BM1349" s="846">
        <v>4.2310164875453093</v>
      </c>
      <c r="BN1349" s="845">
        <v>16.371126131966093</v>
      </c>
      <c r="BO1349" s="846">
        <v>3.9143770672220835</v>
      </c>
      <c r="BP1349" s="846">
        <v>7.0925345744669714</v>
      </c>
      <c r="BQ1349" s="846">
        <v>5.8365105399927595</v>
      </c>
      <c r="BR1349" s="846">
        <v>5.6112360332809121</v>
      </c>
      <c r="BS1349" s="845">
        <v>22.454849916004441</v>
      </c>
      <c r="BT1349" s="845">
        <v>25.901901979135175</v>
      </c>
      <c r="BU1349" s="845">
        <v>29.28094857613516</v>
      </c>
      <c r="BV1349" s="845">
        <v>32.554929734476062</v>
      </c>
      <c r="BW1349" s="742"/>
    </row>
    <row r="1350" spans="1:75" s="741" customFormat="1" ht="14.25" collapsed="1" x14ac:dyDescent="0.45">
      <c r="A1350" s="843" t="s">
        <v>1280</v>
      </c>
      <c r="B1350" s="737"/>
      <c r="C1350" s="844"/>
      <c r="D1350" s="844"/>
      <c r="E1350" s="845"/>
      <c r="F1350" s="845">
        <v>-0.40980703009960551</v>
      </c>
      <c r="G1350" s="846">
        <v>-0.48110061345415533</v>
      </c>
      <c r="H1350" s="846">
        <v>1.3187642074808847</v>
      </c>
      <c r="I1350" s="846">
        <v>-2.372530616423673E-2</v>
      </c>
      <c r="J1350" s="846">
        <v>1.3878196729384775</v>
      </c>
      <c r="K1350" s="845">
        <v>2.1654700057872218</v>
      </c>
      <c r="L1350" s="846">
        <v>-1.4028484941768999</v>
      </c>
      <c r="M1350" s="846">
        <v>0.6663172140582706</v>
      </c>
      <c r="N1350" s="846">
        <v>0.16831417015183131</v>
      </c>
      <c r="O1350" s="846">
        <v>2.5192741865006836</v>
      </c>
      <c r="P1350" s="845">
        <v>1.993585512761427</v>
      </c>
      <c r="Q1350" s="846">
        <v>-0.34268581118681501</v>
      </c>
      <c r="R1350" s="846">
        <v>0.66279376127825262</v>
      </c>
      <c r="S1350" s="846">
        <v>-0.73679098220650963</v>
      </c>
      <c r="T1350" s="846">
        <v>3.7777557266334907</v>
      </c>
      <c r="U1350" s="845">
        <v>3.3577272583884556</v>
      </c>
      <c r="V1350" s="846">
        <v>-2.6187983610262333</v>
      </c>
      <c r="W1350" s="846">
        <v>0.36077465498642303</v>
      </c>
      <c r="X1350" s="846">
        <v>1.5256881552150257</v>
      </c>
      <c r="Y1350" s="846">
        <v>2.6333414307442111</v>
      </c>
      <c r="Z1350" s="845">
        <v>1.926486383996419</v>
      </c>
      <c r="AA1350" s="846">
        <v>3.3250893204794227</v>
      </c>
      <c r="AB1350" s="846">
        <v>6.7378312376156781</v>
      </c>
      <c r="AC1350" s="846">
        <v>2.9896815537064536</v>
      </c>
      <c r="AD1350" s="846">
        <v>6.5588271941115943</v>
      </c>
      <c r="AE1350" s="845">
        <v>18.975764982767014</v>
      </c>
      <c r="AF1350" s="846">
        <v>-0.12817957887657552</v>
      </c>
      <c r="AG1350" s="846">
        <v>1.900383106090977</v>
      </c>
      <c r="AH1350" s="846">
        <v>1.7216709665726333</v>
      </c>
      <c r="AI1350" s="846">
        <v>5.9482645289377318</v>
      </c>
      <c r="AJ1350" s="845">
        <v>9.4071866499454977</v>
      </c>
      <c r="AK1350" s="846">
        <v>1.5570714783800919</v>
      </c>
      <c r="AL1350" s="846">
        <v>2.6119292001401884</v>
      </c>
      <c r="AM1350" s="846">
        <v>4.7109304807595089</v>
      </c>
      <c r="AN1350" s="846">
        <v>4.9748399789753623</v>
      </c>
      <c r="AO1350" s="845">
        <v>13.958908819173637</v>
      </c>
      <c r="AP1350" s="846">
        <v>-0.87659484994809167</v>
      </c>
      <c r="AQ1350" s="846">
        <v>5.4637535030033257</v>
      </c>
      <c r="AR1350" s="846">
        <v>7.7418878599273651</v>
      </c>
      <c r="AS1350" s="846">
        <v>5.0864649673192144</v>
      </c>
      <c r="AT1350" s="845">
        <v>18.341699671250758</v>
      </c>
      <c r="AU1350" s="846">
        <v>6.1158261046431548</v>
      </c>
      <c r="AV1350" s="846">
        <v>3.9351641500332515</v>
      </c>
      <c r="AW1350" s="846">
        <v>6.9337334132837034</v>
      </c>
      <c r="AX1350" s="846">
        <v>4.2848676299122426</v>
      </c>
      <c r="AY1350" s="845">
        <v>21.280673484844719</v>
      </c>
      <c r="AZ1350" s="846">
        <v>4.8888305205659321</v>
      </c>
      <c r="BA1350" s="846">
        <v>2.1001366479209826</v>
      </c>
      <c r="BB1350" s="846">
        <v>5.4986413847817062</v>
      </c>
      <c r="BC1350" s="846">
        <v>2.6633102853700796</v>
      </c>
      <c r="BD1350" s="845">
        <v>15.197921179694827</v>
      </c>
      <c r="BE1350" s="846">
        <v>3.6507754520137974</v>
      </c>
      <c r="BF1350" s="846">
        <v>7.1110581162254114</v>
      </c>
      <c r="BG1350" s="846">
        <v>3.6914151749349342</v>
      </c>
      <c r="BH1350" s="846">
        <v>-5.725821970840804</v>
      </c>
      <c r="BI1350" s="847">
        <v>9.3615520915787176</v>
      </c>
      <c r="BJ1350" s="846">
        <v>3.1038184552400181</v>
      </c>
      <c r="BK1350" s="846">
        <v>4.1116237268238551</v>
      </c>
      <c r="BL1350" s="846">
        <v>4.1147846907268892</v>
      </c>
      <c r="BM1350" s="846">
        <v>2.3989925450251772</v>
      </c>
      <c r="BN1350" s="845">
        <v>13.475167243129603</v>
      </c>
      <c r="BO1350" s="846">
        <v>1.5788498487992524</v>
      </c>
      <c r="BP1350" s="846">
        <v>5.5494258770709912</v>
      </c>
      <c r="BQ1350" s="846">
        <v>5.1982474584383196</v>
      </c>
      <c r="BR1350" s="846">
        <v>4.3053732676104151</v>
      </c>
      <c r="BS1350" s="845">
        <v>16.632287827625454</v>
      </c>
      <c r="BT1350" s="845">
        <v>21.092043876082357</v>
      </c>
      <c r="BU1350" s="845">
        <v>24.900095838968564</v>
      </c>
      <c r="BV1350" s="845">
        <v>29.168202805666233</v>
      </c>
      <c r="BW1350" s="742"/>
    </row>
    <row r="1351" spans="1:75" s="750" customFormat="1" ht="14.25" x14ac:dyDescent="0.45">
      <c r="A1351" s="743" t="s">
        <v>1281</v>
      </c>
      <c r="B1351" s="744"/>
      <c r="C1351" s="745"/>
      <c r="D1351" s="745"/>
      <c r="E1351" s="745"/>
      <c r="F1351" s="745"/>
      <c r="G1351" s="746"/>
      <c r="H1351" s="746"/>
      <c r="I1351" s="746"/>
      <c r="J1351" s="746"/>
      <c r="K1351" s="745"/>
      <c r="L1351" s="746"/>
      <c r="M1351" s="746"/>
      <c r="N1351" s="746"/>
      <c r="O1351" s="746"/>
      <c r="P1351" s="745"/>
      <c r="Q1351" s="746"/>
      <c r="R1351" s="746"/>
      <c r="S1351" s="746"/>
      <c r="T1351" s="746"/>
      <c r="U1351" s="745"/>
      <c r="V1351" s="746"/>
      <c r="W1351" s="848"/>
      <c r="X1351" s="746"/>
      <c r="Y1351" s="848"/>
      <c r="Z1351" s="748"/>
      <c r="AA1351" s="746"/>
      <c r="AB1351" s="746"/>
      <c r="AC1351" s="746"/>
      <c r="AD1351" s="848"/>
      <c r="AE1351" s="748"/>
      <c r="AF1351" s="746"/>
      <c r="AG1351" s="746"/>
      <c r="AH1351" s="746"/>
      <c r="AI1351" s="848"/>
      <c r="AJ1351" s="748"/>
      <c r="AK1351" s="746"/>
      <c r="AL1351" s="746"/>
      <c r="AM1351" s="746"/>
      <c r="AN1351" s="848"/>
      <c r="AO1351" s="748"/>
      <c r="AP1351" s="746"/>
      <c r="AQ1351" s="746"/>
      <c r="AR1351" s="746"/>
      <c r="AS1351" s="848"/>
      <c r="AT1351" s="748"/>
      <c r="AU1351" s="746"/>
      <c r="AV1351" s="746"/>
      <c r="AW1351" s="746"/>
      <c r="AX1351" s="848"/>
      <c r="AY1351" s="748"/>
      <c r="AZ1351" s="746"/>
      <c r="BA1351" s="746"/>
      <c r="BB1351" s="746"/>
      <c r="BC1351" s="848"/>
      <c r="BD1351" s="748"/>
      <c r="BE1351" s="746"/>
      <c r="BF1351" s="746"/>
      <c r="BG1351" s="746"/>
      <c r="BH1351" s="848"/>
      <c r="BI1351" s="749"/>
      <c r="BJ1351" s="746" t="s">
        <v>189</v>
      </c>
      <c r="BK1351" s="746" t="s">
        <v>189</v>
      </c>
      <c r="BL1351" s="746" t="s">
        <v>189</v>
      </c>
      <c r="BM1351" s="746" t="s">
        <v>189</v>
      </c>
      <c r="BN1351" s="748" t="s">
        <v>189</v>
      </c>
      <c r="BO1351" s="746" t="s">
        <v>189</v>
      </c>
      <c r="BP1351" s="746" t="s">
        <v>189</v>
      </c>
      <c r="BQ1351" s="746" t="s">
        <v>189</v>
      </c>
      <c r="BR1351" s="746" t="s">
        <v>189</v>
      </c>
      <c r="BS1351" s="748" t="s">
        <v>189</v>
      </c>
      <c r="BT1351" s="748" t="s">
        <v>189</v>
      </c>
      <c r="BU1351" s="748" t="s">
        <v>189</v>
      </c>
      <c r="BV1351" s="748" t="s">
        <v>189</v>
      </c>
      <c r="BW1351" s="746"/>
    </row>
    <row r="1352" spans="1:75" s="198" customFormat="1" ht="14.25" x14ac:dyDescent="0.45">
      <c r="A1352" s="670" t="s">
        <v>1282</v>
      </c>
      <c r="B1352" s="522"/>
      <c r="C1352" s="397"/>
      <c r="D1352" s="672">
        <v>-39.906999999999996</v>
      </c>
      <c r="E1352" s="672">
        <v>-25.593</v>
      </c>
      <c r="F1352" s="672">
        <v>-49.368000000000002</v>
      </c>
      <c r="G1352" s="197">
        <v>-9.7370000000000001</v>
      </c>
      <c r="H1352" s="197">
        <v>-20.878999999999998</v>
      </c>
      <c r="I1352" s="197">
        <v>-27.006</v>
      </c>
      <c r="J1352" s="197">
        <v>-36.245999999999995</v>
      </c>
      <c r="K1352" s="672">
        <v>-93.867999999999995</v>
      </c>
      <c r="L1352" s="197">
        <v>-16.515000000000001</v>
      </c>
      <c r="M1352" s="197">
        <v>-22.536999999999995</v>
      </c>
      <c r="N1352" s="197">
        <v>-31.061</v>
      </c>
      <c r="O1352" s="197">
        <v>-49.948999999999998</v>
      </c>
      <c r="P1352" s="672">
        <v>-120.062</v>
      </c>
      <c r="Q1352" s="197">
        <v>-29.227</v>
      </c>
      <c r="R1352" s="197">
        <v>-27.077000000000002</v>
      </c>
      <c r="S1352" s="197">
        <v>-43.568999999999996</v>
      </c>
      <c r="T1352" s="197">
        <v>-53.975000000000001</v>
      </c>
      <c r="U1352" s="672">
        <v>-153.84799999999998</v>
      </c>
      <c r="V1352" s="197">
        <v>-48.991000000000007</v>
      </c>
      <c r="W1352" s="295">
        <v>-25.832999999999991</v>
      </c>
      <c r="X1352" s="197">
        <v>-33.321000000000005</v>
      </c>
      <c r="Y1352" s="197">
        <v>-73.201000000000008</v>
      </c>
      <c r="Z1352" s="672">
        <v>-181.346</v>
      </c>
      <c r="AA1352" s="197">
        <v>-13.456</v>
      </c>
      <c r="AB1352" s="197">
        <v>-31.230000000000004</v>
      </c>
      <c r="AC1352" s="197">
        <v>-44.914000000000001</v>
      </c>
      <c r="AD1352" s="197">
        <v>-37.280999999999999</v>
      </c>
      <c r="AE1352" s="672">
        <v>-126.881</v>
      </c>
      <c r="AF1352" s="197">
        <v>-17.673999999999999</v>
      </c>
      <c r="AG1352" s="197">
        <v>-25.241999999999997</v>
      </c>
      <c r="AH1352" s="197">
        <v>-30.362000000000009</v>
      </c>
      <c r="AI1352" s="197">
        <v>-6.7139999999999986</v>
      </c>
      <c r="AJ1352" s="672">
        <v>-79.992000000000004</v>
      </c>
      <c r="AK1352" s="197">
        <v>-7.9160000000000004</v>
      </c>
      <c r="AL1352" s="197">
        <v>-17.367000000000001</v>
      </c>
      <c r="AM1352" s="197">
        <v>-69.331000000000003</v>
      </c>
      <c r="AN1352" s="197">
        <v>-52.009</v>
      </c>
      <c r="AO1352" s="672">
        <v>-146.62299999999999</v>
      </c>
      <c r="AP1352" s="197">
        <v>-16.632000000000001</v>
      </c>
      <c r="AQ1352" s="197">
        <v>-30.898999999999997</v>
      </c>
      <c r="AR1352" s="197">
        <v>-24.223999999999997</v>
      </c>
      <c r="AS1352" s="197">
        <v>-52.228000000000009</v>
      </c>
      <c r="AT1352" s="672">
        <v>-123.983</v>
      </c>
      <c r="AU1352" s="197">
        <v>-50.250999999999998</v>
      </c>
      <c r="AV1352" s="197">
        <v>-31.887000000000008</v>
      </c>
      <c r="AW1352" s="197">
        <v>-71.635999999999996</v>
      </c>
      <c r="AX1352" s="197">
        <v>-31.609000000000009</v>
      </c>
      <c r="AY1352" s="672">
        <v>-185.38300000000001</v>
      </c>
      <c r="AZ1352" s="197">
        <v>-29.364000000000001</v>
      </c>
      <c r="BA1352" s="197">
        <v>-33.194000000000003</v>
      </c>
      <c r="BB1352" s="197">
        <v>-47.116999999999997</v>
      </c>
      <c r="BC1352" s="197">
        <v>-63.966999999999999</v>
      </c>
      <c r="BD1352" s="672">
        <v>-173.642</v>
      </c>
      <c r="BE1352" s="197">
        <v>-34.19</v>
      </c>
      <c r="BF1352" s="197">
        <v>-47.406000000000006</v>
      </c>
      <c r="BG1352" s="197">
        <v>-50.244</v>
      </c>
      <c r="BH1352" s="197">
        <v>-137.51599999999999</v>
      </c>
      <c r="BI1352" s="849">
        <v>-269.35599999999999</v>
      </c>
      <c r="BJ1352" s="638">
        <v>-50</v>
      </c>
      <c r="BK1352" s="638">
        <v>-50</v>
      </c>
      <c r="BL1352" s="638">
        <v>-50</v>
      </c>
      <c r="BM1352" s="638">
        <v>-50</v>
      </c>
      <c r="BN1352" s="397">
        <v>-200</v>
      </c>
      <c r="BO1352" s="638">
        <v>-50</v>
      </c>
      <c r="BP1352" s="638">
        <v>-50</v>
      </c>
      <c r="BQ1352" s="638">
        <v>-50</v>
      </c>
      <c r="BR1352" s="638">
        <v>-50</v>
      </c>
      <c r="BS1352" s="397">
        <v>-200</v>
      </c>
      <c r="BT1352" s="671">
        <v>-200</v>
      </c>
      <c r="BU1352" s="671">
        <v>-200</v>
      </c>
      <c r="BV1352" s="671">
        <v>-200</v>
      </c>
      <c r="BW1352" s="197"/>
    </row>
    <row r="1353" spans="1:75" s="722" customFormat="1" ht="14.25" x14ac:dyDescent="0.45">
      <c r="A1353" s="719" t="s">
        <v>1283</v>
      </c>
      <c r="B1353" s="720"/>
      <c r="C1353" s="414"/>
      <c r="D1353" s="414"/>
      <c r="E1353" s="414"/>
      <c r="F1353" s="414"/>
      <c r="G1353" s="413"/>
      <c r="H1353" s="413"/>
      <c r="I1353" s="413"/>
      <c r="J1353" s="413"/>
      <c r="K1353" s="414"/>
      <c r="L1353" s="413"/>
      <c r="M1353" s="413"/>
      <c r="N1353" s="413"/>
      <c r="O1353" s="413"/>
      <c r="P1353" s="414"/>
      <c r="Q1353" s="413"/>
      <c r="R1353" s="413"/>
      <c r="S1353" s="413"/>
      <c r="T1353" s="413"/>
      <c r="U1353" s="414"/>
      <c r="V1353" s="413"/>
      <c r="W1353" s="410"/>
      <c r="X1353" s="413"/>
      <c r="Y1353" s="410"/>
      <c r="Z1353" s="201"/>
      <c r="AA1353" s="413"/>
      <c r="AB1353" s="413"/>
      <c r="AC1353" s="413"/>
      <c r="AD1353" s="410"/>
      <c r="AE1353" s="201"/>
      <c r="AF1353" s="413"/>
      <c r="AG1353" s="413"/>
      <c r="AH1353" s="413"/>
      <c r="AI1353" s="410"/>
      <c r="AJ1353" s="201"/>
      <c r="AK1353" s="413"/>
      <c r="AL1353" s="413"/>
      <c r="AM1353" s="413"/>
      <c r="AN1353" s="410"/>
      <c r="AO1353" s="201"/>
      <c r="AP1353" s="413"/>
      <c r="AQ1353" s="413"/>
      <c r="AR1353" s="413"/>
      <c r="AS1353" s="410"/>
      <c r="AT1353" s="201"/>
      <c r="AU1353" s="413"/>
      <c r="AV1353" s="413"/>
      <c r="AW1353" s="413"/>
      <c r="AX1353" s="410"/>
      <c r="AY1353" s="201"/>
      <c r="AZ1353" s="413"/>
      <c r="BA1353" s="413"/>
      <c r="BB1353" s="413"/>
      <c r="BC1353" s="410"/>
      <c r="BD1353" s="201"/>
      <c r="BE1353" s="413"/>
      <c r="BF1353" s="413"/>
      <c r="BG1353" s="413"/>
      <c r="BH1353" s="410"/>
      <c r="BI1353" s="203"/>
      <c r="BJ1353" s="413" t="s">
        <v>189</v>
      </c>
      <c r="BK1353" s="413" t="s">
        <v>189</v>
      </c>
      <c r="BL1353" s="413" t="s">
        <v>189</v>
      </c>
      <c r="BM1353" s="413" t="s">
        <v>189</v>
      </c>
      <c r="BN1353" s="201" t="s">
        <v>189</v>
      </c>
      <c r="BO1353" s="413" t="s">
        <v>189</v>
      </c>
      <c r="BP1353" s="413" t="s">
        <v>189</v>
      </c>
      <c r="BQ1353" s="413" t="s">
        <v>189</v>
      </c>
      <c r="BR1353" s="413" t="s">
        <v>189</v>
      </c>
      <c r="BS1353" s="201" t="s">
        <v>189</v>
      </c>
      <c r="BT1353" s="201" t="s">
        <v>189</v>
      </c>
      <c r="BU1353" s="201" t="s">
        <v>189</v>
      </c>
      <c r="BV1353" s="201" t="s">
        <v>189</v>
      </c>
      <c r="BW1353" s="413"/>
    </row>
    <row r="1354" spans="1:75" s="123" customFormat="1" x14ac:dyDescent="0.5">
      <c r="A1354" s="122" t="s">
        <v>1284</v>
      </c>
      <c r="B1354" s="513"/>
      <c r="C1354" s="401"/>
      <c r="D1354" s="674">
        <v>0</v>
      </c>
      <c r="E1354" s="674">
        <v>0</v>
      </c>
      <c r="F1354" s="674">
        <v>0</v>
      </c>
      <c r="G1354" s="122">
        <v>0</v>
      </c>
      <c r="H1354" s="122">
        <v>0</v>
      </c>
      <c r="I1354" s="122">
        <v>0</v>
      </c>
      <c r="J1354" s="122">
        <v>0</v>
      </c>
      <c r="K1354" s="674">
        <v>0</v>
      </c>
      <c r="L1354" s="122">
        <v>0</v>
      </c>
      <c r="M1354" s="122">
        <v>0</v>
      </c>
      <c r="N1354" s="122">
        <v>0</v>
      </c>
      <c r="O1354" s="122">
        <v>0</v>
      </c>
      <c r="P1354" s="674">
        <v>0</v>
      </c>
      <c r="Q1354" s="122">
        <v>0</v>
      </c>
      <c r="R1354" s="122">
        <v>0</v>
      </c>
      <c r="S1354" s="122">
        <v>0</v>
      </c>
      <c r="T1354" s="122">
        <v>0</v>
      </c>
      <c r="U1354" s="674">
        <v>0</v>
      </c>
      <c r="V1354" s="122">
        <v>0</v>
      </c>
      <c r="W1354" s="119">
        <v>-116.1</v>
      </c>
      <c r="X1354" s="122">
        <v>0</v>
      </c>
      <c r="Y1354" s="122">
        <v>0</v>
      </c>
      <c r="Z1354" s="674">
        <v>-116.1</v>
      </c>
      <c r="AA1354" s="122">
        <v>0</v>
      </c>
      <c r="AB1354" s="122">
        <v>0</v>
      </c>
      <c r="AC1354" s="122">
        <v>0</v>
      </c>
      <c r="AD1354" s="122">
        <v>0</v>
      </c>
      <c r="AE1354" s="674">
        <v>0</v>
      </c>
      <c r="AF1354" s="122">
        <v>0</v>
      </c>
      <c r="AG1354" s="122">
        <v>0</v>
      </c>
      <c r="AH1354" s="122">
        <v>0</v>
      </c>
      <c r="AI1354" s="122">
        <v>0</v>
      </c>
      <c r="AJ1354" s="674">
        <v>0</v>
      </c>
      <c r="AK1354" s="122">
        <v>0</v>
      </c>
      <c r="AL1354" s="122">
        <v>0</v>
      </c>
      <c r="AM1354" s="122">
        <v>0</v>
      </c>
      <c r="AN1354" s="122">
        <v>0</v>
      </c>
      <c r="AO1354" s="674">
        <v>0</v>
      </c>
      <c r="AP1354" s="122">
        <v>0</v>
      </c>
      <c r="AQ1354" s="122">
        <v>-3.05</v>
      </c>
      <c r="AR1354" s="122">
        <v>-17.501999999999999</v>
      </c>
      <c r="AS1354" s="122">
        <v>-78.070999999999998</v>
      </c>
      <c r="AT1354" s="674">
        <v>-98.62299999999999</v>
      </c>
      <c r="AU1354" s="122">
        <v>-1.1719999999999999</v>
      </c>
      <c r="AV1354" s="122">
        <v>-0.76700000000000013</v>
      </c>
      <c r="AW1354" s="122">
        <v>-2.8769999999999998</v>
      </c>
      <c r="AX1354" s="122">
        <v>-4.1540000000000008</v>
      </c>
      <c r="AY1354" s="674">
        <v>-8.9700000000000006</v>
      </c>
      <c r="AZ1354" s="122">
        <v>-1.115</v>
      </c>
      <c r="BA1354" s="122">
        <v>-0.40500000000000003</v>
      </c>
      <c r="BB1354" s="122">
        <v>-0.79300000000000015</v>
      </c>
      <c r="BC1354" s="122">
        <v>-0.39999999999999991</v>
      </c>
      <c r="BD1354" s="674">
        <v>-2.7130000000000001</v>
      </c>
      <c r="BE1354" s="122">
        <v>-33.131</v>
      </c>
      <c r="BF1354" s="122">
        <v>-0.59599999999999653</v>
      </c>
      <c r="BG1354" s="122">
        <v>-0.59400000000000119</v>
      </c>
      <c r="BH1354" s="122">
        <v>-3.7540000000000049</v>
      </c>
      <c r="BI1354" s="842">
        <v>-38.075000000000003</v>
      </c>
      <c r="BJ1354" s="302">
        <v>0</v>
      </c>
      <c r="BK1354" s="302">
        <v>0</v>
      </c>
      <c r="BL1354" s="302">
        <v>0</v>
      </c>
      <c r="BM1354" s="302">
        <v>0</v>
      </c>
      <c r="BN1354" s="401">
        <v>0</v>
      </c>
      <c r="BO1354" s="302">
        <v>0</v>
      </c>
      <c r="BP1354" s="302">
        <v>0</v>
      </c>
      <c r="BQ1354" s="302">
        <v>0</v>
      </c>
      <c r="BR1354" s="302">
        <v>0</v>
      </c>
      <c r="BS1354" s="401">
        <v>0</v>
      </c>
      <c r="BT1354" s="403">
        <v>0</v>
      </c>
      <c r="BU1354" s="403">
        <v>0</v>
      </c>
      <c r="BV1354" s="403">
        <v>0</v>
      </c>
      <c r="BW1354" s="122"/>
    </row>
    <row r="1355" spans="1:75" s="123" customFormat="1" x14ac:dyDescent="0.5">
      <c r="A1355" s="122" t="s">
        <v>1285</v>
      </c>
      <c r="B1355" s="513"/>
      <c r="C1355" s="401"/>
      <c r="D1355" s="674">
        <v>0</v>
      </c>
      <c r="E1355" s="674">
        <v>0</v>
      </c>
      <c r="F1355" s="674">
        <v>0</v>
      </c>
      <c r="G1355" s="122">
        <v>0</v>
      </c>
      <c r="H1355" s="122">
        <v>0</v>
      </c>
      <c r="I1355" s="122">
        <v>0</v>
      </c>
      <c r="J1355" s="122">
        <v>0</v>
      </c>
      <c r="K1355" s="674">
        <v>0</v>
      </c>
      <c r="L1355" s="122">
        <v>0</v>
      </c>
      <c r="M1355" s="122">
        <v>0</v>
      </c>
      <c r="N1355" s="122">
        <v>0</v>
      </c>
      <c r="O1355" s="122">
        <v>0</v>
      </c>
      <c r="P1355" s="674">
        <v>0</v>
      </c>
      <c r="Q1355" s="122">
        <v>0</v>
      </c>
      <c r="R1355" s="122">
        <v>0</v>
      </c>
      <c r="S1355" s="122">
        <v>0</v>
      </c>
      <c r="T1355" s="122">
        <v>0</v>
      </c>
      <c r="U1355" s="674">
        <v>0</v>
      </c>
      <c r="V1355" s="122">
        <v>0</v>
      </c>
      <c r="W1355" s="119">
        <v>0</v>
      </c>
      <c r="X1355" s="122">
        <v>0</v>
      </c>
      <c r="Y1355" s="122">
        <v>0</v>
      </c>
      <c r="Z1355" s="674">
        <v>0</v>
      </c>
      <c r="AA1355" s="122">
        <v>4.9000000000000004</v>
      </c>
      <c r="AB1355" s="122">
        <v>10.222999999999999</v>
      </c>
      <c r="AC1355" s="122">
        <v>0</v>
      </c>
      <c r="AD1355" s="122">
        <v>0</v>
      </c>
      <c r="AE1355" s="674">
        <v>15.122999999999999</v>
      </c>
      <c r="AF1355" s="122">
        <v>0</v>
      </c>
      <c r="AG1355" s="122">
        <v>0</v>
      </c>
      <c r="AH1355" s="122">
        <v>0</v>
      </c>
      <c r="AI1355" s="122">
        <v>0</v>
      </c>
      <c r="AJ1355" s="674">
        <v>0</v>
      </c>
      <c r="AK1355" s="122">
        <v>0</v>
      </c>
      <c r="AL1355" s="122">
        <v>0</v>
      </c>
      <c r="AM1355" s="122">
        <v>24.077999999999999</v>
      </c>
      <c r="AN1355" s="122">
        <v>0</v>
      </c>
      <c r="AO1355" s="674">
        <v>24.077999999999999</v>
      </c>
      <c r="AP1355" s="122">
        <v>0</v>
      </c>
      <c r="AQ1355" s="122">
        <v>25.006</v>
      </c>
      <c r="AR1355" s="122">
        <v>0</v>
      </c>
      <c r="AS1355" s="122">
        <v>0</v>
      </c>
      <c r="AT1355" s="674">
        <v>25.006</v>
      </c>
      <c r="AU1355" s="122">
        <v>0</v>
      </c>
      <c r="AV1355" s="122">
        <v>0</v>
      </c>
      <c r="AW1355" s="122">
        <v>0</v>
      </c>
      <c r="AX1355" s="122">
        <v>0</v>
      </c>
      <c r="AY1355" s="674">
        <v>0</v>
      </c>
      <c r="AZ1355" s="122">
        <v>0</v>
      </c>
      <c r="BA1355" s="122">
        <v>0</v>
      </c>
      <c r="BB1355" s="122">
        <v>5.2869999999999999</v>
      </c>
      <c r="BC1355" s="122">
        <v>0</v>
      </c>
      <c r="BD1355" s="674">
        <v>5.2869999999999999</v>
      </c>
      <c r="BE1355" s="122">
        <v>0</v>
      </c>
      <c r="BF1355" s="122">
        <v>0</v>
      </c>
      <c r="BG1355" s="122">
        <v>0</v>
      </c>
      <c r="BH1355" s="122">
        <v>0</v>
      </c>
      <c r="BI1355" s="842">
        <v>0</v>
      </c>
      <c r="BJ1355" s="302">
        <v>0</v>
      </c>
      <c r="BK1355" s="302">
        <v>0</v>
      </c>
      <c r="BL1355" s="302">
        <v>0</v>
      </c>
      <c r="BM1355" s="302">
        <v>0</v>
      </c>
      <c r="BN1355" s="401">
        <v>0</v>
      </c>
      <c r="BO1355" s="302">
        <v>0</v>
      </c>
      <c r="BP1355" s="302">
        <v>0</v>
      </c>
      <c r="BQ1355" s="302">
        <v>0</v>
      </c>
      <c r="BR1355" s="302">
        <v>0</v>
      </c>
      <c r="BS1355" s="401">
        <v>0</v>
      </c>
      <c r="BT1355" s="403">
        <v>0</v>
      </c>
      <c r="BU1355" s="403">
        <v>0</v>
      </c>
      <c r="BV1355" s="403">
        <v>0</v>
      </c>
      <c r="BW1355" s="122"/>
    </row>
    <row r="1356" spans="1:75" s="123" customFormat="1" x14ac:dyDescent="0.5">
      <c r="A1356" s="122" t="s">
        <v>1286</v>
      </c>
      <c r="B1356" s="513"/>
      <c r="C1356" s="401"/>
      <c r="D1356" s="674">
        <v>0</v>
      </c>
      <c r="E1356" s="674">
        <v>0</v>
      </c>
      <c r="F1356" s="674">
        <v>0</v>
      </c>
      <c r="G1356" s="122">
        <v>0</v>
      </c>
      <c r="H1356" s="122">
        <v>0</v>
      </c>
      <c r="I1356" s="122">
        <v>0</v>
      </c>
      <c r="J1356" s="122">
        <v>0</v>
      </c>
      <c r="K1356" s="674">
        <v>0</v>
      </c>
      <c r="L1356" s="122">
        <v>0</v>
      </c>
      <c r="M1356" s="122">
        <v>0</v>
      </c>
      <c r="N1356" s="122">
        <v>0</v>
      </c>
      <c r="O1356" s="122">
        <v>0</v>
      </c>
      <c r="P1356" s="674">
        <v>0</v>
      </c>
      <c r="Q1356" s="122">
        <v>0</v>
      </c>
      <c r="R1356" s="122">
        <v>0</v>
      </c>
      <c r="S1356" s="122">
        <v>0</v>
      </c>
      <c r="T1356" s="122">
        <v>0</v>
      </c>
      <c r="U1356" s="674">
        <v>0</v>
      </c>
      <c r="V1356" s="122">
        <v>0</v>
      </c>
      <c r="W1356" s="119">
        <v>0</v>
      </c>
      <c r="X1356" s="122">
        <v>0</v>
      </c>
      <c r="Y1356" s="122">
        <v>0</v>
      </c>
      <c r="Z1356" s="674">
        <v>0</v>
      </c>
      <c r="AA1356" s="122">
        <v>0</v>
      </c>
      <c r="AB1356" s="122">
        <v>0</v>
      </c>
      <c r="AC1356" s="122">
        <v>0</v>
      </c>
      <c r="AD1356" s="122">
        <v>0</v>
      </c>
      <c r="AE1356" s="674">
        <v>0</v>
      </c>
      <c r="AF1356" s="122">
        <v>0</v>
      </c>
      <c r="AG1356" s="122">
        <v>0</v>
      </c>
      <c r="AH1356" s="122">
        <v>0</v>
      </c>
      <c r="AI1356" s="122">
        <v>0</v>
      </c>
      <c r="AJ1356" s="674">
        <v>0</v>
      </c>
      <c r="AK1356" s="122">
        <v>0</v>
      </c>
      <c r="AL1356" s="122">
        <v>0</v>
      </c>
      <c r="AM1356" s="122">
        <v>0</v>
      </c>
      <c r="AN1356" s="122">
        <v>0</v>
      </c>
      <c r="AO1356" s="674">
        <v>0</v>
      </c>
      <c r="AP1356" s="122">
        <v>0</v>
      </c>
      <c r="AQ1356" s="122">
        <v>0</v>
      </c>
      <c r="AR1356" s="122">
        <v>0</v>
      </c>
      <c r="AS1356" s="122">
        <v>0</v>
      </c>
      <c r="AT1356" s="674">
        <v>0</v>
      </c>
      <c r="AU1356" s="122">
        <v>0</v>
      </c>
      <c r="AV1356" s="122">
        <v>0</v>
      </c>
      <c r="AW1356" s="122">
        <v>0</v>
      </c>
      <c r="AX1356" s="122">
        <v>0</v>
      </c>
      <c r="AY1356" s="674">
        <v>0</v>
      </c>
      <c r="AZ1356" s="122">
        <v>0</v>
      </c>
      <c r="BA1356" s="122">
        <v>0</v>
      </c>
      <c r="BB1356" s="122">
        <v>0</v>
      </c>
      <c r="BC1356" s="122">
        <v>0</v>
      </c>
      <c r="BD1356" s="674">
        <v>0</v>
      </c>
      <c r="BE1356" s="122">
        <v>0</v>
      </c>
      <c r="BF1356" s="122">
        <v>0</v>
      </c>
      <c r="BG1356" s="122">
        <v>0</v>
      </c>
      <c r="BH1356" s="122">
        <v>0</v>
      </c>
      <c r="BI1356" s="842">
        <v>0</v>
      </c>
      <c r="BJ1356" s="118">
        <v>0</v>
      </c>
      <c r="BK1356" s="118">
        <v>0</v>
      </c>
      <c r="BL1356" s="118">
        <v>0</v>
      </c>
      <c r="BM1356" s="118">
        <v>0</v>
      </c>
      <c r="BN1356" s="401">
        <v>0</v>
      </c>
      <c r="BO1356" s="118">
        <v>0</v>
      </c>
      <c r="BP1356" s="118">
        <v>0</v>
      </c>
      <c r="BQ1356" s="118">
        <v>0</v>
      </c>
      <c r="BR1356" s="118">
        <v>0</v>
      </c>
      <c r="BS1356" s="401">
        <v>0</v>
      </c>
      <c r="BT1356" s="401">
        <v>0</v>
      </c>
      <c r="BU1356" s="401">
        <v>0</v>
      </c>
      <c r="BV1356" s="401">
        <v>0</v>
      </c>
      <c r="BW1356" s="122"/>
    </row>
    <row r="1357" spans="1:75" s="858" customFormat="1" x14ac:dyDescent="0.5">
      <c r="A1357" s="850" t="s">
        <v>1287</v>
      </c>
      <c r="B1357" s="851"/>
      <c r="C1357" s="852">
        <v>0</v>
      </c>
      <c r="D1357" s="852">
        <v>0</v>
      </c>
      <c r="E1357" s="852">
        <v>0</v>
      </c>
      <c r="F1357" s="852">
        <v>0</v>
      </c>
      <c r="G1357" s="853">
        <v>0</v>
      </c>
      <c r="H1357" s="853">
        <v>0</v>
      </c>
      <c r="I1357" s="853">
        <v>0</v>
      </c>
      <c r="J1357" s="853">
        <v>0</v>
      </c>
      <c r="K1357" s="854">
        <v>0</v>
      </c>
      <c r="L1357" s="853">
        <v>0</v>
      </c>
      <c r="M1357" s="853">
        <v>0</v>
      </c>
      <c r="N1357" s="853">
        <v>0</v>
      </c>
      <c r="O1357" s="853">
        <v>0</v>
      </c>
      <c r="P1357" s="854">
        <v>0</v>
      </c>
      <c r="Q1357" s="853">
        <v>0</v>
      </c>
      <c r="R1357" s="853">
        <v>0</v>
      </c>
      <c r="S1357" s="853">
        <v>0</v>
      </c>
      <c r="T1357" s="853">
        <v>0</v>
      </c>
      <c r="U1357" s="854">
        <v>0</v>
      </c>
      <c r="V1357" s="853">
        <v>0</v>
      </c>
      <c r="W1357" s="853">
        <v>0</v>
      </c>
      <c r="X1357" s="853">
        <v>0</v>
      </c>
      <c r="Y1357" s="853">
        <v>0</v>
      </c>
      <c r="Z1357" s="854">
        <v>0</v>
      </c>
      <c r="AA1357" s="853">
        <v>0</v>
      </c>
      <c r="AB1357" s="853">
        <v>0</v>
      </c>
      <c r="AC1357" s="853">
        <v>0</v>
      </c>
      <c r="AD1357" s="853">
        <v>0</v>
      </c>
      <c r="AE1357" s="854">
        <v>0</v>
      </c>
      <c r="AF1357" s="853">
        <v>0</v>
      </c>
      <c r="AG1357" s="853">
        <v>0</v>
      </c>
      <c r="AH1357" s="853">
        <v>0</v>
      </c>
      <c r="AI1357" s="853">
        <v>0</v>
      </c>
      <c r="AJ1357" s="854">
        <v>0</v>
      </c>
      <c r="AK1357" s="853">
        <v>0</v>
      </c>
      <c r="AL1357" s="853">
        <v>0</v>
      </c>
      <c r="AM1357" s="853">
        <v>0</v>
      </c>
      <c r="AN1357" s="853">
        <v>0</v>
      </c>
      <c r="AO1357" s="854">
        <v>0</v>
      </c>
      <c r="AP1357" s="853">
        <v>0</v>
      </c>
      <c r="AQ1357" s="853">
        <v>0</v>
      </c>
      <c r="AR1357" s="853">
        <v>0</v>
      </c>
      <c r="AS1357" s="853">
        <v>0</v>
      </c>
      <c r="AT1357" s="854">
        <v>0</v>
      </c>
      <c r="AU1357" s="853">
        <v>0</v>
      </c>
      <c r="AV1357" s="853">
        <v>0</v>
      </c>
      <c r="AW1357" s="853">
        <v>0</v>
      </c>
      <c r="AX1357" s="853">
        <v>0</v>
      </c>
      <c r="AY1357" s="854">
        <v>0</v>
      </c>
      <c r="AZ1357" s="853">
        <v>0</v>
      </c>
      <c r="BA1357" s="853">
        <v>0</v>
      </c>
      <c r="BB1357" s="853">
        <v>0</v>
      </c>
      <c r="BC1357" s="853">
        <v>0</v>
      </c>
      <c r="BD1357" s="854">
        <v>0</v>
      </c>
      <c r="BE1357" s="853">
        <v>0</v>
      </c>
      <c r="BF1357" s="853">
        <v>0</v>
      </c>
      <c r="BG1357" s="853">
        <v>0</v>
      </c>
      <c r="BH1357" s="853">
        <v>0</v>
      </c>
      <c r="BI1357" s="855">
        <v>0</v>
      </c>
      <c r="BJ1357" s="853">
        <v>0</v>
      </c>
      <c r="BK1357" s="853">
        <v>0</v>
      </c>
      <c r="BL1357" s="853">
        <v>0</v>
      </c>
      <c r="BM1357" s="853">
        <v>0</v>
      </c>
      <c r="BN1357" s="856">
        <v>0</v>
      </c>
      <c r="BO1357" s="853">
        <v>0</v>
      </c>
      <c r="BP1357" s="853">
        <v>0</v>
      </c>
      <c r="BQ1357" s="853">
        <v>0</v>
      </c>
      <c r="BR1357" s="853">
        <v>0</v>
      </c>
      <c r="BS1357" s="856">
        <v>0</v>
      </c>
      <c r="BT1357" s="852">
        <v>0</v>
      </c>
      <c r="BU1357" s="852">
        <v>0</v>
      </c>
      <c r="BV1357" s="852">
        <v>0</v>
      </c>
      <c r="BW1357" s="857"/>
    </row>
    <row r="1358" spans="1:75" s="858" customFormat="1" x14ac:dyDescent="0.5">
      <c r="A1358" s="859"/>
      <c r="B1358" s="851"/>
      <c r="C1358" s="856"/>
      <c r="D1358" s="856"/>
      <c r="E1358" s="856"/>
      <c r="F1358" s="856"/>
      <c r="G1358" s="860"/>
      <c r="H1358" s="860"/>
      <c r="I1358" s="860"/>
      <c r="J1358" s="860"/>
      <c r="K1358" s="856"/>
      <c r="L1358" s="860"/>
      <c r="M1358" s="860"/>
      <c r="N1358" s="860"/>
      <c r="O1358" s="860"/>
      <c r="P1358" s="856"/>
      <c r="Q1358" s="860"/>
      <c r="R1358" s="860"/>
      <c r="S1358" s="860"/>
      <c r="T1358" s="860"/>
      <c r="U1358" s="856"/>
      <c r="V1358" s="860"/>
      <c r="W1358" s="860"/>
      <c r="X1358" s="860"/>
      <c r="Y1358" s="860"/>
      <c r="Z1358" s="856"/>
      <c r="AA1358" s="860"/>
      <c r="AB1358" s="860"/>
      <c r="AC1358" s="860"/>
      <c r="AD1358" s="860"/>
      <c r="AE1358" s="856"/>
      <c r="AF1358" s="860"/>
      <c r="AG1358" s="860"/>
      <c r="AH1358" s="860"/>
      <c r="AI1358" s="860"/>
      <c r="AJ1358" s="856"/>
      <c r="AK1358" s="860"/>
      <c r="AL1358" s="860"/>
      <c r="AM1358" s="860"/>
      <c r="AN1358" s="860"/>
      <c r="AO1358" s="856"/>
      <c r="AP1358" s="860"/>
      <c r="AQ1358" s="860"/>
      <c r="AR1358" s="860"/>
      <c r="AS1358" s="860"/>
      <c r="AT1358" s="856"/>
      <c r="AU1358" s="860"/>
      <c r="AV1358" s="860"/>
      <c r="AW1358" s="860"/>
      <c r="AX1358" s="860"/>
      <c r="AY1358" s="856"/>
      <c r="AZ1358" s="860"/>
      <c r="BA1358" s="860"/>
      <c r="BB1358" s="860"/>
      <c r="BC1358" s="860"/>
      <c r="BD1358" s="856"/>
      <c r="BE1358" s="860"/>
      <c r="BF1358" s="860"/>
      <c r="BG1358" s="860"/>
      <c r="BH1358" s="860"/>
      <c r="BI1358" s="861"/>
      <c r="BJ1358" s="860"/>
      <c r="BK1358" s="860"/>
      <c r="BL1358" s="860"/>
      <c r="BM1358" s="860"/>
      <c r="BN1358" s="856"/>
      <c r="BO1358" s="860"/>
      <c r="BP1358" s="860"/>
      <c r="BQ1358" s="860"/>
      <c r="BR1358" s="860"/>
      <c r="BS1358" s="856"/>
      <c r="BT1358" s="856"/>
      <c r="BU1358" s="856"/>
      <c r="BV1358" s="856"/>
      <c r="BW1358" s="857"/>
    </row>
    <row r="1359" spans="1:75" s="858" customFormat="1" x14ac:dyDescent="0.5">
      <c r="A1359" s="850" t="s">
        <v>1288</v>
      </c>
      <c r="B1359" s="851"/>
      <c r="C1359" s="401"/>
      <c r="D1359" s="674">
        <v>51.600999999999999</v>
      </c>
      <c r="E1359" s="674">
        <v>3.3700000000000294</v>
      </c>
      <c r="F1359" s="674">
        <v>-44.640999999999977</v>
      </c>
      <c r="G1359" s="122">
        <v>30.652999999999995</v>
      </c>
      <c r="H1359" s="122">
        <v>-26.339000000000041</v>
      </c>
      <c r="I1359" s="122">
        <v>20.012000000000185</v>
      </c>
      <c r="J1359" s="122">
        <v>-23.957000000000164</v>
      </c>
      <c r="K1359" s="674">
        <v>0.36899999999997801</v>
      </c>
      <c r="L1359" s="122">
        <v>62.736000000000004</v>
      </c>
      <c r="M1359" s="122">
        <v>194.97600000000006</v>
      </c>
      <c r="N1359" s="122">
        <v>-0.17700000000000005</v>
      </c>
      <c r="O1359" s="122">
        <v>-0.50499999999999967</v>
      </c>
      <c r="P1359" s="674">
        <v>257.03000000000009</v>
      </c>
      <c r="Q1359" s="122">
        <v>-8.3000000000000004E-2</v>
      </c>
      <c r="R1359" s="122">
        <v>293.81400000000002</v>
      </c>
      <c r="S1359" s="122">
        <v>-6.5000000000000002E-2</v>
      </c>
      <c r="T1359" s="122">
        <v>-4.5999999999999985E-2</v>
      </c>
      <c r="U1359" s="674">
        <v>293.62</v>
      </c>
      <c r="V1359" s="122">
        <v>-8.5000000000000006E-2</v>
      </c>
      <c r="W1359" s="119">
        <v>-8.1000000000000003E-2</v>
      </c>
      <c r="X1359" s="122">
        <v>-9.6000000000000002E-2</v>
      </c>
      <c r="Y1359" s="122">
        <v>0.26200000000000001</v>
      </c>
      <c r="Z1359" s="674">
        <v>0</v>
      </c>
      <c r="AA1359" s="122">
        <v>-1.365</v>
      </c>
      <c r="AB1359" s="122">
        <v>465.55</v>
      </c>
      <c r="AC1359" s="122">
        <v>-27.315999999999988</v>
      </c>
      <c r="AD1359" s="122">
        <v>-143.71599999999998</v>
      </c>
      <c r="AE1359" s="674">
        <v>293.15300000000002</v>
      </c>
      <c r="AF1359" s="122">
        <v>15.762999999999987</v>
      </c>
      <c r="AG1359" s="122">
        <v>-2.622999999999994</v>
      </c>
      <c r="AH1359" s="122">
        <v>106.13</v>
      </c>
      <c r="AI1359" s="122">
        <v>-51.948</v>
      </c>
      <c r="AJ1359" s="674">
        <v>67.322000000000102</v>
      </c>
      <c r="AK1359" s="122">
        <v>314.88900000000001</v>
      </c>
      <c r="AL1359" s="122">
        <v>-131.869</v>
      </c>
      <c r="AM1359" s="122">
        <v>-11.841999999999993</v>
      </c>
      <c r="AN1359" s="122">
        <v>-74.894000000000005</v>
      </c>
      <c r="AO1359" s="674">
        <v>96.283999999999992</v>
      </c>
      <c r="AP1359" s="122">
        <v>2.765999999999996</v>
      </c>
      <c r="AQ1359" s="122">
        <v>-137.06099999999998</v>
      </c>
      <c r="AR1359" s="122">
        <v>-101.22399999999999</v>
      </c>
      <c r="AS1359" s="122">
        <v>-14.424000000000003</v>
      </c>
      <c r="AT1359" s="674">
        <v>-249.94299999999998</v>
      </c>
      <c r="AU1359" s="122">
        <v>-11.497999999999999</v>
      </c>
      <c r="AV1359" s="122">
        <v>-38.801000000000002</v>
      </c>
      <c r="AW1359" s="122">
        <v>1761.0869999999998</v>
      </c>
      <c r="AX1359" s="122">
        <v>-115.03499999999998</v>
      </c>
      <c r="AY1359" s="674">
        <v>1595.7529999999999</v>
      </c>
      <c r="AZ1359" s="122">
        <v>-32.517000000000003</v>
      </c>
      <c r="BA1359" s="122">
        <v>70.512</v>
      </c>
      <c r="BB1359" s="122">
        <v>-1.1709999999999994</v>
      </c>
      <c r="BC1359" s="122">
        <v>-10.656999999999998</v>
      </c>
      <c r="BD1359" s="674">
        <v>26.166999999999938</v>
      </c>
      <c r="BE1359" s="122">
        <v>-11.295</v>
      </c>
      <c r="BF1359" s="122">
        <v>-9.5280000000000005</v>
      </c>
      <c r="BG1359" s="122">
        <v>-10.354000000000001</v>
      </c>
      <c r="BH1359" s="122">
        <v>-10.677</v>
      </c>
      <c r="BI1359" s="842">
        <v>-41.853999999999999</v>
      </c>
      <c r="BJ1359" s="302">
        <v>0</v>
      </c>
      <c r="BK1359" s="302">
        <v>0</v>
      </c>
      <c r="BL1359" s="302">
        <v>0</v>
      </c>
      <c r="BM1359" s="302">
        <v>0</v>
      </c>
      <c r="BN1359" s="401">
        <v>0</v>
      </c>
      <c r="BO1359" s="302">
        <v>0</v>
      </c>
      <c r="BP1359" s="302">
        <v>0</v>
      </c>
      <c r="BQ1359" s="302">
        <v>0</v>
      </c>
      <c r="BR1359" s="302">
        <v>0</v>
      </c>
      <c r="BS1359" s="401">
        <v>0</v>
      </c>
      <c r="BT1359" s="403">
        <v>0</v>
      </c>
      <c r="BU1359" s="403">
        <v>0</v>
      </c>
      <c r="BV1359" s="403">
        <v>0</v>
      </c>
      <c r="BW1359" s="857"/>
    </row>
    <row r="1360" spans="1:75" s="858" customFormat="1" x14ac:dyDescent="0.5">
      <c r="A1360" s="859" t="s">
        <v>1289</v>
      </c>
      <c r="B1360" s="851"/>
      <c r="C1360" s="401"/>
      <c r="D1360" s="401">
        <v>0</v>
      </c>
      <c r="E1360" s="401">
        <v>1E-3</v>
      </c>
      <c r="F1360" s="401">
        <v>97.692999999999998</v>
      </c>
      <c r="G1360" s="119">
        <v>0</v>
      </c>
      <c r="H1360" s="119">
        <v>1.5489999999999999</v>
      </c>
      <c r="I1360" s="119">
        <v>1.149</v>
      </c>
      <c r="J1360" s="119">
        <v>8.4379999999999988</v>
      </c>
      <c r="K1360" s="401">
        <v>11.135999999999999</v>
      </c>
      <c r="L1360" s="119">
        <v>8.5470000000000006</v>
      </c>
      <c r="M1360" s="119">
        <v>43.954999999999998</v>
      </c>
      <c r="N1360" s="119">
        <v>-7.0000000000000284E-2</v>
      </c>
      <c r="O1360" s="119">
        <v>17.662999999999997</v>
      </c>
      <c r="P1360" s="401">
        <v>70.094999999999999</v>
      </c>
      <c r="Q1360" s="119">
        <v>2.9200000000000004</v>
      </c>
      <c r="R1360" s="119">
        <v>39.926000000000002</v>
      </c>
      <c r="S1360" s="119">
        <v>10.278</v>
      </c>
      <c r="T1360" s="119">
        <v>8.2880000000000003</v>
      </c>
      <c r="U1360" s="401">
        <v>61.412000000000006</v>
      </c>
      <c r="V1360" s="119">
        <v>7.8999999999999987E-2</v>
      </c>
      <c r="W1360" s="119">
        <v>-2.5059999999999998</v>
      </c>
      <c r="X1360" s="119">
        <v>0.37799999999999989</v>
      </c>
      <c r="Y1360" s="119">
        <v>0.41900000000000026</v>
      </c>
      <c r="Z1360" s="401">
        <v>-1.6299999999999997</v>
      </c>
      <c r="AA1360" s="119">
        <v>-297.72199999999998</v>
      </c>
      <c r="AB1360" s="119">
        <v>-694.54000000000008</v>
      </c>
      <c r="AC1360" s="119">
        <v>2.4239999999999995</v>
      </c>
      <c r="AD1360" s="119">
        <v>8.6490000000000009</v>
      </c>
      <c r="AE1360" s="401">
        <v>-981.18900000000008</v>
      </c>
      <c r="AF1360" s="119">
        <v>2.5720000000000001</v>
      </c>
      <c r="AG1360" s="119">
        <v>69.795000000000002</v>
      </c>
      <c r="AH1360" s="119">
        <v>-139.648</v>
      </c>
      <c r="AI1360" s="119">
        <v>-97.176000000000016</v>
      </c>
      <c r="AJ1360" s="401">
        <v>-164.45699999999999</v>
      </c>
      <c r="AK1360" s="119">
        <v>-249.05600000000001</v>
      </c>
      <c r="AL1360" s="119">
        <v>1.2999999999999901E-2</v>
      </c>
      <c r="AM1360" s="119">
        <v>61.207000000000001</v>
      </c>
      <c r="AN1360" s="119">
        <v>8.0980000000000025</v>
      </c>
      <c r="AO1360" s="401">
        <v>-179.738</v>
      </c>
      <c r="AP1360" s="119">
        <v>0.41600000000000004</v>
      </c>
      <c r="AQ1360" s="119">
        <v>0.8910000000000009</v>
      </c>
      <c r="AR1360" s="119">
        <v>3.3860000000000001</v>
      </c>
      <c r="AS1360" s="119">
        <v>1.3359999999999994</v>
      </c>
      <c r="AT1360" s="401">
        <v>6.0289999999999999</v>
      </c>
      <c r="AU1360" s="119">
        <v>0.46599999999999997</v>
      </c>
      <c r="AV1360" s="119">
        <v>6.8649999999999984</v>
      </c>
      <c r="AW1360" s="119">
        <v>3.3949999999999996</v>
      </c>
      <c r="AX1360" s="119">
        <v>0.64800000000000324</v>
      </c>
      <c r="AY1360" s="401">
        <v>11.374000000000002</v>
      </c>
      <c r="AZ1360" s="119">
        <v>-241.63000000000002</v>
      </c>
      <c r="BA1360" s="119">
        <v>-252.31699999999998</v>
      </c>
      <c r="BB1360" s="119">
        <v>-30.353999999999964</v>
      </c>
      <c r="BC1360" s="119">
        <v>-636.13900000000001</v>
      </c>
      <c r="BD1360" s="401">
        <v>-1160.44</v>
      </c>
      <c r="BE1360" s="119">
        <v>0.36</v>
      </c>
      <c r="BF1360" s="119">
        <v>-1204.018</v>
      </c>
      <c r="BG1360" s="119">
        <v>-43.550999999999924</v>
      </c>
      <c r="BH1360" s="119">
        <v>6.032</v>
      </c>
      <c r="BI1360" s="402">
        <v>-1241.1769999999999</v>
      </c>
      <c r="BJ1360" s="302">
        <v>0</v>
      </c>
      <c r="BK1360" s="302">
        <v>0</v>
      </c>
      <c r="BL1360" s="302">
        <v>0</v>
      </c>
      <c r="BM1360" s="302">
        <v>0</v>
      </c>
      <c r="BN1360" s="401">
        <v>0</v>
      </c>
      <c r="BO1360" s="302">
        <v>0</v>
      </c>
      <c r="BP1360" s="302">
        <v>0</v>
      </c>
      <c r="BQ1360" s="302">
        <v>0</v>
      </c>
      <c r="BR1360" s="302">
        <v>0</v>
      </c>
      <c r="BS1360" s="401">
        <v>0</v>
      </c>
      <c r="BT1360" s="403">
        <v>0</v>
      </c>
      <c r="BU1360" s="403">
        <v>0</v>
      </c>
      <c r="BV1360" s="403">
        <v>0</v>
      </c>
      <c r="BW1360" s="857"/>
    </row>
    <row r="1361" spans="1:75" s="858" customFormat="1" x14ac:dyDescent="0.5">
      <c r="A1361" s="862" t="s">
        <v>1290</v>
      </c>
      <c r="B1361" s="863"/>
      <c r="C1361" s="864"/>
      <c r="D1361" s="864"/>
      <c r="E1361" s="864"/>
      <c r="F1361" s="864"/>
      <c r="G1361" s="865"/>
      <c r="H1361" s="865"/>
      <c r="I1361" s="865"/>
      <c r="J1361" s="865"/>
      <c r="K1361" s="864"/>
      <c r="L1361" s="865"/>
      <c r="M1361" s="865"/>
      <c r="N1361" s="865"/>
      <c r="O1361" s="865"/>
      <c r="P1361" s="864"/>
      <c r="Q1361" s="865"/>
      <c r="R1361" s="865"/>
      <c r="S1361" s="865"/>
      <c r="T1361" s="865"/>
      <c r="U1361" s="864"/>
      <c r="V1361" s="865"/>
      <c r="W1361" s="865"/>
      <c r="X1361" s="865"/>
      <c r="Y1361" s="865"/>
      <c r="Z1361" s="864"/>
      <c r="AA1361" s="865"/>
      <c r="AB1361" s="865"/>
      <c r="AC1361" s="865"/>
      <c r="AD1361" s="865"/>
      <c r="AE1361" s="864"/>
      <c r="AF1361" s="865"/>
      <c r="AG1361" s="865"/>
      <c r="AH1361" s="865"/>
      <c r="AI1361" s="865"/>
      <c r="AJ1361" s="864"/>
      <c r="AK1361" s="865"/>
      <c r="AL1361" s="865"/>
      <c r="AM1361" s="865"/>
      <c r="AN1361" s="865"/>
      <c r="AO1361" s="864"/>
      <c r="AP1361" s="865"/>
      <c r="AQ1361" s="865"/>
      <c r="AR1361" s="865"/>
      <c r="AS1361" s="865"/>
      <c r="AT1361" s="864"/>
      <c r="AU1361" s="865"/>
      <c r="AV1361" s="865"/>
      <c r="AW1361" s="865"/>
      <c r="AX1361" s="865"/>
      <c r="AY1361" s="864"/>
      <c r="AZ1361" s="865"/>
      <c r="BA1361" s="865"/>
      <c r="BB1361" s="865"/>
      <c r="BC1361" s="865"/>
      <c r="BD1361" s="864"/>
      <c r="BE1361" s="865"/>
      <c r="BF1361" s="865"/>
      <c r="BG1361" s="865"/>
      <c r="BH1361" s="865"/>
      <c r="BI1361" s="866"/>
      <c r="BJ1361" s="867">
        <v>348</v>
      </c>
      <c r="BK1361" s="867">
        <v>348</v>
      </c>
      <c r="BL1361" s="867">
        <v>348</v>
      </c>
      <c r="BM1361" s="867">
        <v>348</v>
      </c>
      <c r="BN1361" s="864">
        <v>348</v>
      </c>
      <c r="BO1361" s="867">
        <v>383</v>
      </c>
      <c r="BP1361" s="867">
        <v>383</v>
      </c>
      <c r="BQ1361" s="867">
        <v>383</v>
      </c>
      <c r="BR1361" s="867">
        <v>383</v>
      </c>
      <c r="BS1361" s="864">
        <v>383</v>
      </c>
      <c r="BT1361" s="868">
        <v>421</v>
      </c>
      <c r="BU1361" s="868">
        <v>463</v>
      </c>
      <c r="BV1361" s="868">
        <v>509</v>
      </c>
      <c r="BW1361" s="857"/>
    </row>
    <row r="1362" spans="1:75" s="205" customFormat="1" ht="14.25" x14ac:dyDescent="0.45">
      <c r="A1362" s="719"/>
      <c r="B1362" s="720"/>
      <c r="C1362" s="414"/>
      <c r="D1362" s="414"/>
      <c r="E1362" s="414"/>
      <c r="F1362" s="414"/>
      <c r="G1362" s="413"/>
      <c r="H1362" s="413"/>
      <c r="I1362" s="413"/>
      <c r="J1362" s="413"/>
      <c r="K1362" s="414"/>
      <c r="L1362" s="413"/>
      <c r="M1362" s="413"/>
      <c r="N1362" s="413"/>
      <c r="O1362" s="413"/>
      <c r="P1362" s="414"/>
      <c r="Q1362" s="413"/>
      <c r="R1362" s="413"/>
      <c r="S1362" s="413"/>
      <c r="T1362" s="413"/>
      <c r="U1362" s="414"/>
      <c r="V1362" s="413"/>
      <c r="W1362" s="413"/>
      <c r="X1362" s="413"/>
      <c r="Y1362" s="413"/>
      <c r="Z1362" s="414"/>
      <c r="AA1362" s="413"/>
      <c r="AB1362" s="413"/>
      <c r="AC1362" s="413"/>
      <c r="AD1362" s="413"/>
      <c r="AE1362" s="414"/>
      <c r="AF1362" s="413"/>
      <c r="AG1362" s="413"/>
      <c r="AH1362" s="413"/>
      <c r="AI1362" s="413"/>
      <c r="AJ1362" s="414"/>
      <c r="AK1362" s="413"/>
      <c r="AL1362" s="413"/>
      <c r="AM1362" s="413"/>
      <c r="AN1362" s="413"/>
      <c r="AO1362" s="414"/>
      <c r="AP1362" s="413"/>
      <c r="AQ1362" s="413"/>
      <c r="AR1362" s="413"/>
      <c r="AS1362" s="413"/>
      <c r="AT1362" s="414"/>
      <c r="AU1362" s="413"/>
      <c r="AV1362" s="413"/>
      <c r="AW1362" s="413"/>
      <c r="AX1362" s="413"/>
      <c r="AY1362" s="414"/>
      <c r="AZ1362" s="413"/>
      <c r="BA1362" s="413"/>
      <c r="BB1362" s="413"/>
      <c r="BC1362" s="413"/>
      <c r="BD1362" s="414"/>
      <c r="BE1362" s="413"/>
      <c r="BF1362" s="413"/>
      <c r="BG1362" s="413"/>
      <c r="BH1362" s="413"/>
      <c r="BI1362" s="416"/>
      <c r="BJ1362" s="413"/>
      <c r="BK1362" s="413"/>
      <c r="BL1362" s="413"/>
      <c r="BM1362" s="413"/>
      <c r="BN1362" s="414"/>
      <c r="BO1362" s="413"/>
      <c r="BP1362" s="413"/>
      <c r="BQ1362" s="413"/>
      <c r="BR1362" s="413"/>
      <c r="BS1362" s="414"/>
      <c r="BT1362" s="414"/>
      <c r="BU1362" s="414"/>
      <c r="BV1362" s="414"/>
      <c r="BW1362" s="204"/>
    </row>
    <row r="1363" spans="1:75" s="123" customFormat="1" x14ac:dyDescent="0.5">
      <c r="A1363" s="358" t="s">
        <v>1291</v>
      </c>
      <c r="B1363" s="513"/>
      <c r="C1363" s="401"/>
      <c r="D1363" s="401">
        <v>1.119</v>
      </c>
      <c r="E1363" s="401">
        <v>1.5569999999999999</v>
      </c>
      <c r="F1363" s="401">
        <v>116.18300000000001</v>
      </c>
      <c r="G1363" s="119">
        <v>3.6309999999999998</v>
      </c>
      <c r="H1363" s="119">
        <v>60.650999999999996</v>
      </c>
      <c r="I1363" s="119">
        <v>1.5649999999999977</v>
      </c>
      <c r="J1363" s="119">
        <v>1.7750000000000057</v>
      </c>
      <c r="K1363" s="401">
        <v>67.622</v>
      </c>
      <c r="L1363" s="119">
        <v>2.2309999999999999</v>
      </c>
      <c r="M1363" s="119">
        <v>4.5190000000000001</v>
      </c>
      <c r="N1363" s="119">
        <v>4.91</v>
      </c>
      <c r="O1363" s="119">
        <v>5.411999999999999</v>
      </c>
      <c r="P1363" s="401">
        <v>17.071999999999999</v>
      </c>
      <c r="Q1363" s="119">
        <v>5.2990000000000004</v>
      </c>
      <c r="R1363" s="119">
        <v>6.2809999999999997</v>
      </c>
      <c r="S1363" s="119">
        <v>6.0750000000000011</v>
      </c>
      <c r="T1363" s="119">
        <v>6.5679999999999978</v>
      </c>
      <c r="U1363" s="401">
        <v>24.222999999999999</v>
      </c>
      <c r="V1363" s="119">
        <v>3.9980000000000002</v>
      </c>
      <c r="W1363" s="119">
        <v>10.305</v>
      </c>
      <c r="X1363" s="119">
        <v>7.4079999999999977</v>
      </c>
      <c r="Y1363" s="119">
        <v>7.5030000000000001</v>
      </c>
      <c r="Z1363" s="401">
        <v>29.213999999999999</v>
      </c>
      <c r="AA1363" s="119">
        <v>5.2889999999999997</v>
      </c>
      <c r="AB1363" s="119">
        <v>30.876999999999995</v>
      </c>
      <c r="AC1363" s="119">
        <v>6.7630000000000052</v>
      </c>
      <c r="AD1363" s="119">
        <v>7.7800000000000011</v>
      </c>
      <c r="AE1363" s="401">
        <v>50.709000000000003</v>
      </c>
      <c r="AF1363" s="119">
        <v>7.9969999999999999</v>
      </c>
      <c r="AG1363" s="119">
        <v>6.0950000000000006</v>
      </c>
      <c r="AH1363" s="119">
        <v>3.6850000000000005</v>
      </c>
      <c r="AI1363" s="119">
        <v>6.2059999999999995</v>
      </c>
      <c r="AJ1363" s="401">
        <v>23.983000000000001</v>
      </c>
      <c r="AK1363" s="119">
        <v>5.6950000000000003</v>
      </c>
      <c r="AL1363" s="119">
        <v>5.298</v>
      </c>
      <c r="AM1363" s="119">
        <v>5.1160000000000014</v>
      </c>
      <c r="AN1363" s="119">
        <v>5.722999999999999</v>
      </c>
      <c r="AO1363" s="401">
        <v>21.832000000000001</v>
      </c>
      <c r="AP1363" s="119">
        <v>5.8280000000000003</v>
      </c>
      <c r="AQ1363" s="119">
        <v>6.8609999999999998</v>
      </c>
      <c r="AR1363" s="119">
        <v>118.78300000000002</v>
      </c>
      <c r="AS1363" s="119">
        <v>14.231999999999999</v>
      </c>
      <c r="AT1363" s="401">
        <v>145.70400000000001</v>
      </c>
      <c r="AU1363" s="119">
        <v>15.307</v>
      </c>
      <c r="AV1363" s="119">
        <v>10.124000000000001</v>
      </c>
      <c r="AW1363" s="119">
        <v>11.995000000000001</v>
      </c>
      <c r="AX1363" s="119">
        <v>11.052</v>
      </c>
      <c r="AY1363" s="401">
        <v>48.478000000000002</v>
      </c>
      <c r="AZ1363" s="119">
        <v>12.802</v>
      </c>
      <c r="BA1363" s="119">
        <v>10.736000000000001</v>
      </c>
      <c r="BB1363" s="119">
        <v>10.187000000000001</v>
      </c>
      <c r="BC1363" s="119">
        <v>9.820999999999998</v>
      </c>
      <c r="BD1363" s="401">
        <v>43.545999999999999</v>
      </c>
      <c r="BE1363" s="119">
        <v>10.18</v>
      </c>
      <c r="BF1363" s="119">
        <v>8.5380000000000003</v>
      </c>
      <c r="BG1363" s="119">
        <v>9.82</v>
      </c>
      <c r="BH1363" s="119">
        <v>10.846</v>
      </c>
      <c r="BI1363" s="402">
        <v>39.384</v>
      </c>
      <c r="BJ1363" s="118">
        <v>10.864600040554574</v>
      </c>
      <c r="BK1363" s="118">
        <v>9.2825719103325284</v>
      </c>
      <c r="BL1363" s="118">
        <v>11.15476023964195</v>
      </c>
      <c r="BM1363" s="118">
        <v>12.257184633538428</v>
      </c>
      <c r="BN1363" s="401">
        <v>43.55911682406748</v>
      </c>
      <c r="BO1363" s="118">
        <v>12.820646886008108</v>
      </c>
      <c r="BP1363" s="118">
        <v>10.679340305533767</v>
      </c>
      <c r="BQ1363" s="118">
        <v>12.776079266836469</v>
      </c>
      <c r="BR1363" s="118">
        <v>13.45245986416738</v>
      </c>
      <c r="BS1363" s="401">
        <v>49.728526322545726</v>
      </c>
      <c r="BT1363" s="401">
        <v>50.939933137009618</v>
      </c>
      <c r="BU1363" s="401">
        <v>52.573188899822647</v>
      </c>
      <c r="BV1363" s="401">
        <v>53.689330691013481</v>
      </c>
      <c r="BW1363" s="122"/>
    </row>
    <row r="1364" spans="1:75" s="177" customFormat="1" ht="14.25" x14ac:dyDescent="0.45">
      <c r="A1364" s="438" t="s">
        <v>1292</v>
      </c>
      <c r="B1364" s="660"/>
      <c r="C1364" s="417"/>
      <c r="D1364" s="417">
        <v>1.4480713087769428E-3</v>
      </c>
      <c r="E1364" s="417">
        <v>1.6251184656042683E-3</v>
      </c>
      <c r="F1364" s="417">
        <v>9.7383504072768357E-2</v>
      </c>
      <c r="G1364" s="378">
        <v>1.2049632139431931E-2</v>
      </c>
      <c r="H1364" s="378">
        <v>0.15873152960758757</v>
      </c>
      <c r="I1364" s="378">
        <v>3.9536975282442998E-3</v>
      </c>
      <c r="J1364" s="378">
        <v>3.7630328136461469E-3</v>
      </c>
      <c r="K1364" s="417">
        <v>4.360006473405844E-2</v>
      </c>
      <c r="L1364" s="378">
        <v>6.0914010495448506E-3</v>
      </c>
      <c r="M1364" s="378">
        <v>1.0418059506738657E-2</v>
      </c>
      <c r="N1364" s="378">
        <v>1.0130499819466654E-2</v>
      </c>
      <c r="O1364" s="378">
        <v>9.287367841201797E-3</v>
      </c>
      <c r="P1364" s="417">
        <v>9.1420150346306298E-3</v>
      </c>
      <c r="Q1364" s="378">
        <v>1.2543644734817552E-2</v>
      </c>
      <c r="R1364" s="378">
        <v>1.2389977551672577E-2</v>
      </c>
      <c r="S1364" s="378">
        <v>1.1410357787498758E-2</v>
      </c>
      <c r="T1364" s="378">
        <v>1.0148205831819133E-2</v>
      </c>
      <c r="U1364" s="417">
        <v>1.1485505494057391E-2</v>
      </c>
      <c r="V1364" s="378">
        <v>8.7780158785920048E-3</v>
      </c>
      <c r="W1364" s="378">
        <v>1.896459390372501E-2</v>
      </c>
      <c r="X1364" s="378">
        <v>1.3485567821046802E-2</v>
      </c>
      <c r="Y1364" s="378">
        <v>1.2788347144907328E-2</v>
      </c>
      <c r="Z1364" s="417">
        <v>1.3684199185805605E-2</v>
      </c>
      <c r="AA1364" s="378">
        <v>9.4096925704526026E-3</v>
      </c>
      <c r="AB1364" s="378">
        <v>5.017990463591656E-2</v>
      </c>
      <c r="AC1364" s="378">
        <v>1.1414866162677464E-2</v>
      </c>
      <c r="AD1364" s="378">
        <v>1.1606829828657532E-2</v>
      </c>
      <c r="AE1364" s="417">
        <v>2.0780895132888066E-2</v>
      </c>
      <c r="AF1364" s="378">
        <v>1.4346813633150702E-2</v>
      </c>
      <c r="AG1364" s="378">
        <v>9.5115777514911109E-3</v>
      </c>
      <c r="AH1364" s="378">
        <v>5.788946176153627E-3</v>
      </c>
      <c r="AI1364" s="378">
        <v>9.2503849358539624E-3</v>
      </c>
      <c r="AJ1364" s="417">
        <v>9.5715567957733987E-3</v>
      </c>
      <c r="AK1364" s="378">
        <v>9.5167114790423463E-3</v>
      </c>
      <c r="AL1364" s="378">
        <v>7.4987898328978614E-3</v>
      </c>
      <c r="AM1364" s="378">
        <v>7.5510017327748338E-3</v>
      </c>
      <c r="AN1364" s="378">
        <v>8.6063256418276723E-3</v>
      </c>
      <c r="AO1364" s="417">
        <v>8.2464662992924858E-3</v>
      </c>
      <c r="AP1364" s="378">
        <v>1.2068876256743185E-2</v>
      </c>
      <c r="AQ1364" s="378">
        <v>9.6731624375072239E-3</v>
      </c>
      <c r="AR1364" s="378">
        <v>0.14073598392441825</v>
      </c>
      <c r="AS1364" s="378">
        <v>1.7517687547080628E-2</v>
      </c>
      <c r="AT1364" s="417">
        <v>5.1148869665586141E-2</v>
      </c>
      <c r="AU1364" s="378">
        <v>1.7782460803539065E-2</v>
      </c>
      <c r="AV1364" s="378">
        <v>1.0238062251544456E-2</v>
      </c>
      <c r="AW1364" s="378">
        <v>1.1918388598091469E-2</v>
      </c>
      <c r="AX1364" s="378">
        <v>1.2242714133954257E-2</v>
      </c>
      <c r="AY1364" s="417">
        <v>1.2897132610766145E-2</v>
      </c>
      <c r="AZ1364" s="378">
        <v>1.3373140065935993E-2</v>
      </c>
      <c r="BA1364" s="378">
        <v>1.0826727980476392E-2</v>
      </c>
      <c r="BB1364" s="378">
        <v>1.1721779473595793E-2</v>
      </c>
      <c r="BC1364" s="378">
        <v>1.2713285065741186E-2</v>
      </c>
      <c r="BD1364" s="417">
        <v>1.2128193551998801E-2</v>
      </c>
      <c r="BE1364" s="378">
        <v>1.3772353015982964E-2</v>
      </c>
      <c r="BF1364" s="378">
        <v>1.0666113664443415E-2</v>
      </c>
      <c r="BG1364" s="378">
        <v>1.307198242869979E-2</v>
      </c>
      <c r="BH1364" s="378">
        <v>1.4691301167610324E-2</v>
      </c>
      <c r="BI1364" s="418">
        <v>1.3001770147560715E-2</v>
      </c>
      <c r="BJ1364" s="766">
        <v>1.4999999999999999E-2</v>
      </c>
      <c r="BK1364" s="766">
        <v>1.0999999999999999E-2</v>
      </c>
      <c r="BL1364" s="766">
        <v>1.2999999999999999E-2</v>
      </c>
      <c r="BM1364" s="766">
        <v>1.4999999999999999E-2</v>
      </c>
      <c r="BN1364" s="417">
        <v>1.3430157385404066E-2</v>
      </c>
      <c r="BO1364" s="766">
        <v>1.4999999999999999E-2</v>
      </c>
      <c r="BP1364" s="766">
        <v>1.0999999999999999E-2</v>
      </c>
      <c r="BQ1364" s="766">
        <v>1.2999999999999999E-2</v>
      </c>
      <c r="BR1364" s="766">
        <v>1.4999999999999999E-2</v>
      </c>
      <c r="BS1364" s="417">
        <v>1.3421407064488213E-2</v>
      </c>
      <c r="BT1364" s="767">
        <v>1.2999999999999999E-2</v>
      </c>
      <c r="BU1364" s="767">
        <v>1.2999999999999999E-2</v>
      </c>
      <c r="BV1364" s="767">
        <v>1.2999999999999999E-2</v>
      </c>
      <c r="BW1364" s="176"/>
    </row>
    <row r="1365" spans="1:75" s="205" customFormat="1" ht="14.25" x14ac:dyDescent="0.45">
      <c r="A1365" s="719"/>
      <c r="B1365" s="720"/>
      <c r="C1365" s="414"/>
      <c r="D1365" s="414"/>
      <c r="E1365" s="414"/>
      <c r="F1365" s="414"/>
      <c r="G1365" s="413"/>
      <c r="H1365" s="413"/>
      <c r="I1365" s="413"/>
      <c r="J1365" s="413"/>
      <c r="K1365" s="414"/>
      <c r="L1365" s="413"/>
      <c r="M1365" s="413"/>
      <c r="N1365" s="413"/>
      <c r="O1365" s="413"/>
      <c r="P1365" s="414"/>
      <c r="Q1365" s="413"/>
      <c r="R1365" s="413"/>
      <c r="S1365" s="413"/>
      <c r="T1365" s="413"/>
      <c r="U1365" s="414"/>
      <c r="V1365" s="413"/>
      <c r="W1365" s="413"/>
      <c r="X1365" s="413"/>
      <c r="Y1365" s="413"/>
      <c r="Z1365" s="414"/>
      <c r="AA1365" s="413"/>
      <c r="AB1365" s="413"/>
      <c r="AC1365" s="413"/>
      <c r="AD1365" s="413"/>
      <c r="AE1365" s="414"/>
      <c r="AF1365" s="413"/>
      <c r="AG1365" s="413"/>
      <c r="AH1365" s="413"/>
      <c r="AI1365" s="413"/>
      <c r="AJ1365" s="414"/>
      <c r="AK1365" s="413"/>
      <c r="AL1365" s="413"/>
      <c r="AM1365" s="413"/>
      <c r="AN1365" s="413"/>
      <c r="AO1365" s="414"/>
      <c r="AP1365" s="413"/>
      <c r="AQ1365" s="413"/>
      <c r="AR1365" s="413"/>
      <c r="AS1365" s="413"/>
      <c r="AT1365" s="414"/>
      <c r="AU1365" s="413"/>
      <c r="AV1365" s="413"/>
      <c r="AW1365" s="413"/>
      <c r="AX1365" s="413"/>
      <c r="AY1365" s="414"/>
      <c r="AZ1365" s="413"/>
      <c r="BA1365" s="413"/>
      <c r="BB1365" s="413"/>
      <c r="BC1365" s="413"/>
      <c r="BD1365" s="414"/>
      <c r="BE1365" s="413"/>
      <c r="BF1365" s="413"/>
      <c r="BG1365" s="413"/>
      <c r="BH1365" s="413"/>
      <c r="BI1365" s="416"/>
      <c r="BJ1365" s="413"/>
      <c r="BK1365" s="413"/>
      <c r="BL1365" s="413"/>
      <c r="BM1365" s="413"/>
      <c r="BN1365" s="414"/>
      <c r="BO1365" s="413"/>
      <c r="BP1365" s="413"/>
      <c r="BQ1365" s="413"/>
      <c r="BR1365" s="413"/>
      <c r="BS1365" s="414"/>
      <c r="BT1365" s="414"/>
      <c r="BU1365" s="414"/>
      <c r="BV1365" s="414"/>
      <c r="BW1365" s="204"/>
    </row>
    <row r="1366" spans="1:75" s="123" customFormat="1" hidden="1" outlineLevel="1" x14ac:dyDescent="0.5">
      <c r="A1366" s="119" t="s">
        <v>1293</v>
      </c>
      <c r="B1366" s="513"/>
      <c r="C1366" s="401"/>
      <c r="D1366" s="401">
        <v>-12.69499999999999</v>
      </c>
      <c r="E1366" s="401">
        <v>43.634</v>
      </c>
      <c r="F1366" s="401">
        <v>19.765999999999984</v>
      </c>
      <c r="G1366" s="119">
        <v>0.53099999999999881</v>
      </c>
      <c r="H1366" s="119">
        <v>14.562000000000005</v>
      </c>
      <c r="I1366" s="119">
        <v>-8.7710000000000008</v>
      </c>
      <c r="J1366" s="119">
        <v>17.254000000000019</v>
      </c>
      <c r="K1366" s="401">
        <v>23.576000000000008</v>
      </c>
      <c r="L1366" s="119">
        <v>-10.045000000000002</v>
      </c>
      <c r="M1366" s="119">
        <v>17.164000000000005</v>
      </c>
      <c r="N1366" s="119">
        <v>5.82</v>
      </c>
      <c r="O1366" s="119">
        <v>5.1189999999999998</v>
      </c>
      <c r="P1366" s="401">
        <v>18.058000000000035</v>
      </c>
      <c r="Q1366" s="119">
        <v>-4.0820000000000007</v>
      </c>
      <c r="R1366" s="119">
        <v>23.122999999999987</v>
      </c>
      <c r="S1366" s="119">
        <v>-0.69399999999999551</v>
      </c>
      <c r="T1366" s="119">
        <v>-2.9750000000000156</v>
      </c>
      <c r="U1366" s="401">
        <v>15.372000000000014</v>
      </c>
      <c r="V1366" s="119">
        <v>-37.650000000000006</v>
      </c>
      <c r="W1366" s="119">
        <v>14.993000000000016</v>
      </c>
      <c r="X1366" s="119">
        <v>5.3359999999999843</v>
      </c>
      <c r="Y1366" s="119">
        <v>-7.7960000000000065</v>
      </c>
      <c r="Z1366" s="401">
        <v>-25.11699999999999</v>
      </c>
      <c r="AA1366" s="119">
        <v>14.204999999999998</v>
      </c>
      <c r="AB1366" s="119">
        <v>17.780999999999992</v>
      </c>
      <c r="AC1366" s="119">
        <v>5.9410000000000025</v>
      </c>
      <c r="AD1366" s="119">
        <v>52.964000000000006</v>
      </c>
      <c r="AE1366" s="401">
        <v>90.890999999999991</v>
      </c>
      <c r="AF1366" s="119">
        <v>67.518000000000001</v>
      </c>
      <c r="AG1366" s="119">
        <v>94.711000000000013</v>
      </c>
      <c r="AH1366" s="119">
        <v>56.314999999999984</v>
      </c>
      <c r="AI1366" s="119">
        <v>133.72299999999996</v>
      </c>
      <c r="AJ1366" s="401">
        <v>352.26700000000011</v>
      </c>
      <c r="AK1366" s="119">
        <v>94.162999999999997</v>
      </c>
      <c r="AL1366" s="119">
        <v>39.61999999999999</v>
      </c>
      <c r="AM1366" s="119">
        <v>50.855000000000004</v>
      </c>
      <c r="AN1366" s="119">
        <v>88.469999999999985</v>
      </c>
      <c r="AO1366" s="401">
        <v>273.10800000000006</v>
      </c>
      <c r="AP1366" s="119">
        <v>71.844999999999999</v>
      </c>
      <c r="AQ1366" s="119">
        <v>64.972999999999985</v>
      </c>
      <c r="AR1366" s="119">
        <v>199.36600000000007</v>
      </c>
      <c r="AS1366" s="119">
        <v>147.38299999999998</v>
      </c>
      <c r="AT1366" s="401">
        <v>483.56700000000006</v>
      </c>
      <c r="AU1366" s="119">
        <v>151.458</v>
      </c>
      <c r="AV1366" s="119">
        <v>267.88000000000005</v>
      </c>
      <c r="AW1366" s="119">
        <v>166.62</v>
      </c>
      <c r="AX1366" s="119">
        <v>169.52100000000004</v>
      </c>
      <c r="AY1366" s="401">
        <v>755.47900000000016</v>
      </c>
      <c r="AZ1366" s="119">
        <v>391.92800000000011</v>
      </c>
      <c r="BA1366" s="119">
        <v>185.52299999999997</v>
      </c>
      <c r="BB1366" s="119">
        <v>131.54899999999998</v>
      </c>
      <c r="BC1366" s="119">
        <v>19.444000000000045</v>
      </c>
      <c r="BD1366" s="401">
        <v>728.44399999999996</v>
      </c>
      <c r="BE1366" s="119">
        <v>96.82</v>
      </c>
      <c r="BF1366" s="119">
        <v>126.762</v>
      </c>
      <c r="BG1366" s="119">
        <v>23.265000000000015</v>
      </c>
      <c r="BH1366" s="119">
        <v>-57.905999999999977</v>
      </c>
      <c r="BI1366" s="402">
        <v>188.94100000000009</v>
      </c>
      <c r="BJ1366" s="119">
        <v>-13.565510950641055</v>
      </c>
      <c r="BK1366" s="119">
        <v>61.122329781723408</v>
      </c>
      <c r="BL1366" s="119">
        <v>44.629746267899947</v>
      </c>
      <c r="BM1366" s="119">
        <v>34.420136880860468</v>
      </c>
      <c r="BN1366" s="401">
        <v>126.6067019798428</v>
      </c>
      <c r="BO1366" s="119">
        <v>28.110140675605706</v>
      </c>
      <c r="BP1366" s="119">
        <v>91.543408754625688</v>
      </c>
      <c r="BQ1366" s="119">
        <v>66.488992806168227</v>
      </c>
      <c r="BR1366" s="119">
        <v>62.004012356118295</v>
      </c>
      <c r="BS1366" s="401">
        <v>248.14655459251793</v>
      </c>
      <c r="BT1366" s="401">
        <v>317.14849154472677</v>
      </c>
      <c r="BU1366" s="401">
        <v>384.8472223663191</v>
      </c>
      <c r="BV1366" s="401">
        <v>450.50065041796233</v>
      </c>
      <c r="BW1366" s="118"/>
    </row>
    <row r="1367" spans="1:75" s="123" customFormat="1" hidden="1" outlineLevel="1" x14ac:dyDescent="0.5">
      <c r="A1367" s="119" t="s">
        <v>1294</v>
      </c>
      <c r="B1367" s="513"/>
      <c r="C1367" s="401"/>
      <c r="D1367" s="401">
        <v>-12.69499999999999</v>
      </c>
      <c r="E1367" s="401">
        <v>43.634</v>
      </c>
      <c r="F1367" s="401">
        <v>19.765999999999984</v>
      </c>
      <c r="G1367" s="119">
        <v>0.53099999999999881</v>
      </c>
      <c r="H1367" s="119">
        <v>14.562000000000005</v>
      </c>
      <c r="I1367" s="119">
        <v>-8.7710000000000008</v>
      </c>
      <c r="J1367" s="119">
        <v>17.254000000000019</v>
      </c>
      <c r="K1367" s="401">
        <v>23.576000000000008</v>
      </c>
      <c r="L1367" s="119">
        <v>-10.045000000000002</v>
      </c>
      <c r="M1367" s="119">
        <v>17.164000000000005</v>
      </c>
      <c r="N1367" s="119">
        <v>5.82</v>
      </c>
      <c r="O1367" s="119">
        <v>5.1189999999999998</v>
      </c>
      <c r="P1367" s="401">
        <v>18.058000000000035</v>
      </c>
      <c r="Q1367" s="119">
        <v>-4.0820000000000007</v>
      </c>
      <c r="R1367" s="119">
        <v>23.122999999999987</v>
      </c>
      <c r="S1367" s="119">
        <v>-0.69399999999999551</v>
      </c>
      <c r="T1367" s="119">
        <v>-2.9750000000000156</v>
      </c>
      <c r="U1367" s="401">
        <v>15.372000000000014</v>
      </c>
      <c r="V1367" s="119">
        <v>-37.650000000000006</v>
      </c>
      <c r="W1367" s="119">
        <v>14.993000000000016</v>
      </c>
      <c r="X1367" s="119">
        <v>5.3359999999999843</v>
      </c>
      <c r="Y1367" s="119">
        <v>-7.7960000000000065</v>
      </c>
      <c r="Z1367" s="401">
        <v>-25.11699999999999</v>
      </c>
      <c r="AA1367" s="119">
        <v>14.204999999999998</v>
      </c>
      <c r="AB1367" s="119">
        <v>17.780999999999992</v>
      </c>
      <c r="AC1367" s="119">
        <v>5.9410000000000025</v>
      </c>
      <c r="AD1367" s="119">
        <v>52.964000000000006</v>
      </c>
      <c r="AE1367" s="401">
        <v>90.890999999999991</v>
      </c>
      <c r="AF1367" s="119">
        <v>67.518000000000001</v>
      </c>
      <c r="AG1367" s="119">
        <v>94.711000000000013</v>
      </c>
      <c r="AH1367" s="119">
        <v>56.314999999999984</v>
      </c>
      <c r="AI1367" s="119">
        <v>133.72299999999996</v>
      </c>
      <c r="AJ1367" s="401">
        <v>352.26700000000011</v>
      </c>
      <c r="AK1367" s="119">
        <v>94.162999999999997</v>
      </c>
      <c r="AL1367" s="119">
        <v>39.61999999999999</v>
      </c>
      <c r="AM1367" s="119">
        <v>50.855000000000004</v>
      </c>
      <c r="AN1367" s="119">
        <v>88.469999999999985</v>
      </c>
      <c r="AO1367" s="401">
        <v>273.10800000000006</v>
      </c>
      <c r="AP1367" s="119">
        <v>71.844999999999999</v>
      </c>
      <c r="AQ1367" s="119">
        <v>64.972999999999985</v>
      </c>
      <c r="AR1367" s="119">
        <v>199.36600000000007</v>
      </c>
      <c r="AS1367" s="119">
        <v>147.38299999999998</v>
      </c>
      <c r="AT1367" s="401">
        <v>483.56700000000006</v>
      </c>
      <c r="AU1367" s="119">
        <v>151.458</v>
      </c>
      <c r="AV1367" s="119">
        <v>267.88000000000005</v>
      </c>
      <c r="AW1367" s="119">
        <v>166.62</v>
      </c>
      <c r="AX1367" s="119">
        <v>169.52100000000004</v>
      </c>
      <c r="AY1367" s="401">
        <v>755.47900000000016</v>
      </c>
      <c r="AZ1367" s="119">
        <v>391.92800000000011</v>
      </c>
      <c r="BA1367" s="119">
        <v>185.52299999999997</v>
      </c>
      <c r="BB1367" s="119">
        <v>131.54899999999998</v>
      </c>
      <c r="BC1367" s="119">
        <v>19.444000000000045</v>
      </c>
      <c r="BD1367" s="401">
        <v>728.44399999999996</v>
      </c>
      <c r="BE1367" s="119">
        <v>96.82</v>
      </c>
      <c r="BF1367" s="119">
        <v>126.762</v>
      </c>
      <c r="BG1367" s="119">
        <v>23.265000000000015</v>
      </c>
      <c r="BH1367" s="119">
        <v>-57.905999999999977</v>
      </c>
      <c r="BI1367" s="402">
        <v>188.94100000000009</v>
      </c>
      <c r="BJ1367" s="119">
        <v>-13.565510950641055</v>
      </c>
      <c r="BK1367" s="119">
        <v>61.122329781723408</v>
      </c>
      <c r="BL1367" s="119">
        <v>44.629746267899947</v>
      </c>
      <c r="BM1367" s="119">
        <v>34.420136880860468</v>
      </c>
      <c r="BN1367" s="401">
        <v>126.6067019798428</v>
      </c>
      <c r="BO1367" s="119">
        <v>28.110140675605706</v>
      </c>
      <c r="BP1367" s="119">
        <v>91.543408754625688</v>
      </c>
      <c r="BQ1367" s="119">
        <v>66.488992806168227</v>
      </c>
      <c r="BR1367" s="119">
        <v>62.004012356118295</v>
      </c>
      <c r="BS1367" s="401">
        <v>248.14655459251793</v>
      </c>
      <c r="BT1367" s="401">
        <v>317.14849154472677</v>
      </c>
      <c r="BU1367" s="401">
        <v>384.8472223663191</v>
      </c>
      <c r="BV1367" s="401">
        <v>450.50065041796233</v>
      </c>
      <c r="BW1367" s="118"/>
    </row>
    <row r="1368" spans="1:75" s="123" customFormat="1" hidden="1" outlineLevel="1" x14ac:dyDescent="0.5">
      <c r="A1368" s="119" t="s">
        <v>1295</v>
      </c>
      <c r="B1368" s="513"/>
      <c r="C1368" s="401"/>
      <c r="D1368" s="401">
        <v>-12.69499999999999</v>
      </c>
      <c r="E1368" s="401">
        <v>43.634</v>
      </c>
      <c r="F1368" s="401">
        <v>19.765999999999984</v>
      </c>
      <c r="G1368" s="119">
        <v>0.53099999999999881</v>
      </c>
      <c r="H1368" s="119">
        <v>14.562000000000005</v>
      </c>
      <c r="I1368" s="119">
        <v>-8.7710000000000008</v>
      </c>
      <c r="J1368" s="119">
        <v>17.254000000000019</v>
      </c>
      <c r="K1368" s="401">
        <v>23.576000000000008</v>
      </c>
      <c r="L1368" s="119">
        <v>-10.045000000000002</v>
      </c>
      <c r="M1368" s="119">
        <v>17.164000000000005</v>
      </c>
      <c r="N1368" s="119">
        <v>5.82</v>
      </c>
      <c r="O1368" s="119">
        <v>5.1189999999999998</v>
      </c>
      <c r="P1368" s="401">
        <v>18.058000000000035</v>
      </c>
      <c r="Q1368" s="119">
        <v>-4.0820000000000007</v>
      </c>
      <c r="R1368" s="119">
        <v>23.122999999999987</v>
      </c>
      <c r="S1368" s="119">
        <v>-0.69399999999999551</v>
      </c>
      <c r="T1368" s="119">
        <v>-2.9750000000000156</v>
      </c>
      <c r="U1368" s="401">
        <v>15.372000000000014</v>
      </c>
      <c r="V1368" s="119">
        <v>-37.650000000000006</v>
      </c>
      <c r="W1368" s="119">
        <v>-101.10699999999997</v>
      </c>
      <c r="X1368" s="119">
        <v>5.3359999999999843</v>
      </c>
      <c r="Y1368" s="119">
        <v>-7.7960000000000065</v>
      </c>
      <c r="Z1368" s="401">
        <v>-141.21699999999998</v>
      </c>
      <c r="AA1368" s="119">
        <v>19.104999999999997</v>
      </c>
      <c r="AB1368" s="119">
        <v>28.003999999999991</v>
      </c>
      <c r="AC1368" s="119">
        <v>5.9410000000000025</v>
      </c>
      <c r="AD1368" s="119">
        <v>52.964000000000006</v>
      </c>
      <c r="AE1368" s="401">
        <v>106.014</v>
      </c>
      <c r="AF1368" s="119">
        <v>67.518000000000001</v>
      </c>
      <c r="AG1368" s="119">
        <v>94.711000000000013</v>
      </c>
      <c r="AH1368" s="119">
        <v>56.314999999999984</v>
      </c>
      <c r="AI1368" s="119">
        <v>133.72299999999996</v>
      </c>
      <c r="AJ1368" s="401">
        <v>352.26700000000011</v>
      </c>
      <c r="AK1368" s="119">
        <v>94.162999999999997</v>
      </c>
      <c r="AL1368" s="119">
        <v>39.61999999999999</v>
      </c>
      <c r="AM1368" s="119">
        <v>74.933000000000007</v>
      </c>
      <c r="AN1368" s="119">
        <v>88.469999999999985</v>
      </c>
      <c r="AO1368" s="401">
        <v>297.18600000000004</v>
      </c>
      <c r="AP1368" s="119">
        <v>71.844999999999999</v>
      </c>
      <c r="AQ1368" s="119">
        <v>86.928999999999988</v>
      </c>
      <c r="AR1368" s="119">
        <v>181.86400000000006</v>
      </c>
      <c r="AS1368" s="119">
        <v>69.311999999999983</v>
      </c>
      <c r="AT1368" s="401">
        <v>409.95000000000005</v>
      </c>
      <c r="AU1368" s="119">
        <v>150.286</v>
      </c>
      <c r="AV1368" s="119">
        <v>267.11300000000006</v>
      </c>
      <c r="AW1368" s="119">
        <v>163.74299999999999</v>
      </c>
      <c r="AX1368" s="119">
        <v>165.36700000000005</v>
      </c>
      <c r="AY1368" s="401">
        <v>746.50900000000013</v>
      </c>
      <c r="AZ1368" s="119">
        <v>390.8130000000001</v>
      </c>
      <c r="BA1368" s="119">
        <v>185.11799999999997</v>
      </c>
      <c r="BB1368" s="119">
        <v>136.04299999999998</v>
      </c>
      <c r="BC1368" s="119">
        <v>19.044000000000047</v>
      </c>
      <c r="BD1368" s="401">
        <v>731.01800000000003</v>
      </c>
      <c r="BE1368" s="119">
        <v>63.688999999999993</v>
      </c>
      <c r="BF1368" s="119">
        <v>126.166</v>
      </c>
      <c r="BG1368" s="119">
        <v>22.671000000000014</v>
      </c>
      <c r="BH1368" s="119">
        <v>-61.659999999999982</v>
      </c>
      <c r="BI1368" s="402">
        <v>150.8660000000001</v>
      </c>
      <c r="BJ1368" s="119">
        <v>-13.565510950641055</v>
      </c>
      <c r="BK1368" s="119">
        <v>61.122329781723408</v>
      </c>
      <c r="BL1368" s="119">
        <v>44.629746267899947</v>
      </c>
      <c r="BM1368" s="119">
        <v>34.420136880860468</v>
      </c>
      <c r="BN1368" s="401">
        <v>126.6067019798428</v>
      </c>
      <c r="BO1368" s="119">
        <v>28.110140675605706</v>
      </c>
      <c r="BP1368" s="119">
        <v>91.543408754625688</v>
      </c>
      <c r="BQ1368" s="119">
        <v>66.488992806168227</v>
      </c>
      <c r="BR1368" s="119">
        <v>62.004012356118295</v>
      </c>
      <c r="BS1368" s="401">
        <v>248.14655459251793</v>
      </c>
      <c r="BT1368" s="401">
        <v>317.14849154472677</v>
      </c>
      <c r="BU1368" s="401">
        <v>384.8472223663191</v>
      </c>
      <c r="BV1368" s="401">
        <v>450.50065041796233</v>
      </c>
      <c r="BW1368" s="118"/>
    </row>
    <row r="1369" spans="1:75" s="123" customFormat="1" hidden="1" outlineLevel="1" x14ac:dyDescent="0.5">
      <c r="A1369" s="295" t="s">
        <v>1296</v>
      </c>
      <c r="B1369" s="522"/>
      <c r="C1369" s="397"/>
      <c r="D1369" s="397">
        <v>38.906000000000006</v>
      </c>
      <c r="E1369" s="397">
        <v>47.005000000000031</v>
      </c>
      <c r="F1369" s="397">
        <v>72.818000000000012</v>
      </c>
      <c r="G1369" s="295">
        <v>31.183999999999994</v>
      </c>
      <c r="H1369" s="295">
        <v>-10.228000000000037</v>
      </c>
      <c r="I1369" s="295">
        <v>12.390000000000185</v>
      </c>
      <c r="J1369" s="295">
        <v>1.7349999999998538</v>
      </c>
      <c r="K1369" s="397">
        <v>35.080999999999989</v>
      </c>
      <c r="L1369" s="295">
        <v>61.238</v>
      </c>
      <c r="M1369" s="295">
        <v>256.09500000000008</v>
      </c>
      <c r="N1369" s="295">
        <v>5.5730000000000004</v>
      </c>
      <c r="O1369" s="295">
        <v>22.276999999999997</v>
      </c>
      <c r="P1369" s="397">
        <v>345.18300000000011</v>
      </c>
      <c r="Q1369" s="295">
        <v>-1.2450000000000006</v>
      </c>
      <c r="R1369" s="295">
        <v>356.863</v>
      </c>
      <c r="S1369" s="295">
        <v>9.5190000000000055</v>
      </c>
      <c r="T1369" s="295">
        <v>5.2669999999999852</v>
      </c>
      <c r="U1369" s="397">
        <v>370.404</v>
      </c>
      <c r="V1369" s="295">
        <v>-37.656000000000006</v>
      </c>
      <c r="W1369" s="295">
        <v>-103.69399999999997</v>
      </c>
      <c r="X1369" s="295">
        <v>5.6179999999999843</v>
      </c>
      <c r="Y1369" s="295">
        <v>-7.1150000000000055</v>
      </c>
      <c r="Z1369" s="397">
        <v>-142.84699999999998</v>
      </c>
      <c r="AA1369" s="295">
        <v>-279.98199999999997</v>
      </c>
      <c r="AB1369" s="295">
        <v>-200.9860000000001</v>
      </c>
      <c r="AC1369" s="295">
        <v>-18.950999999999986</v>
      </c>
      <c r="AD1369" s="295">
        <v>-82.10299999999998</v>
      </c>
      <c r="AE1369" s="397">
        <v>-582.02200000000005</v>
      </c>
      <c r="AF1369" s="295">
        <v>85.852999999999994</v>
      </c>
      <c r="AG1369" s="295">
        <v>161.88300000000004</v>
      </c>
      <c r="AH1369" s="295">
        <v>22.796999999999997</v>
      </c>
      <c r="AI1369" s="295">
        <v>-15.401000000000067</v>
      </c>
      <c r="AJ1369" s="397">
        <v>255.13200000000023</v>
      </c>
      <c r="AK1369" s="295">
        <v>159.99600000000001</v>
      </c>
      <c r="AL1369" s="295">
        <v>-92.236000000000004</v>
      </c>
      <c r="AM1369" s="295">
        <v>124.29800000000002</v>
      </c>
      <c r="AN1369" s="295">
        <v>21.673999999999982</v>
      </c>
      <c r="AO1369" s="397">
        <v>213.73200000000003</v>
      </c>
      <c r="AP1369" s="295">
        <v>75.026999999999987</v>
      </c>
      <c r="AQ1369" s="295">
        <v>-49.240999999999993</v>
      </c>
      <c r="AR1369" s="295">
        <v>84.026000000000067</v>
      </c>
      <c r="AS1369" s="295">
        <v>56.223999999999975</v>
      </c>
      <c r="AT1369" s="397">
        <v>166.03600000000006</v>
      </c>
      <c r="AU1369" s="295">
        <v>139.25400000000002</v>
      </c>
      <c r="AV1369" s="295">
        <v>235.17700000000008</v>
      </c>
      <c r="AW1369" s="295">
        <v>1928.2249999999997</v>
      </c>
      <c r="AX1369" s="295">
        <v>50.980000000000068</v>
      </c>
      <c r="AY1369" s="397">
        <v>2353.636</v>
      </c>
      <c r="AZ1369" s="295">
        <v>116.66600000000008</v>
      </c>
      <c r="BA1369" s="295">
        <v>3.3129999999999882</v>
      </c>
      <c r="BB1369" s="295">
        <v>104.51800000000003</v>
      </c>
      <c r="BC1369" s="295">
        <v>-627.75199999999995</v>
      </c>
      <c r="BD1369" s="397">
        <v>-403.25500000000011</v>
      </c>
      <c r="BE1369" s="295">
        <v>52.753999999999991</v>
      </c>
      <c r="BF1369" s="295">
        <v>-1087.3800000000001</v>
      </c>
      <c r="BG1369" s="295">
        <v>-31.233999999999909</v>
      </c>
      <c r="BH1369" s="295">
        <v>-66.304999999999993</v>
      </c>
      <c r="BI1369" s="399">
        <v>-1132.1649999999997</v>
      </c>
      <c r="BJ1369" s="295">
        <v>-13.565510950641055</v>
      </c>
      <c r="BK1369" s="295">
        <v>61.122329781723408</v>
      </c>
      <c r="BL1369" s="295">
        <v>44.629746267899947</v>
      </c>
      <c r="BM1369" s="295">
        <v>34.420136880860468</v>
      </c>
      <c r="BN1369" s="397">
        <v>126.6067019798428</v>
      </c>
      <c r="BO1369" s="295">
        <v>28.110140675605706</v>
      </c>
      <c r="BP1369" s="295">
        <v>91.543408754625688</v>
      </c>
      <c r="BQ1369" s="295">
        <v>66.488992806168227</v>
      </c>
      <c r="BR1369" s="295">
        <v>62.004012356118295</v>
      </c>
      <c r="BS1369" s="397">
        <v>248.14655459251793</v>
      </c>
      <c r="BT1369" s="397">
        <v>317.14849154472677</v>
      </c>
      <c r="BU1369" s="397">
        <v>384.8472223663191</v>
      </c>
      <c r="BV1369" s="397">
        <v>450.50065041796233</v>
      </c>
      <c r="BW1369" s="118"/>
    </row>
    <row r="1370" spans="1:75" s="123" customFormat="1" collapsed="1" x14ac:dyDescent="0.5">
      <c r="A1370" s="119" t="s">
        <v>1297</v>
      </c>
      <c r="B1370" s="513"/>
      <c r="C1370" s="401"/>
      <c r="D1370" s="401">
        <v>-51.716999999999992</v>
      </c>
      <c r="E1370" s="401">
        <v>-8.4720000000000013</v>
      </c>
      <c r="F1370" s="401">
        <v>-53.232000000000006</v>
      </c>
      <c r="G1370" s="119">
        <v>-29.36</v>
      </c>
      <c r="H1370" s="119">
        <v>30.173000000000016</v>
      </c>
      <c r="I1370" s="119">
        <v>-27.980000000000011</v>
      </c>
      <c r="J1370" s="119">
        <v>20.820000000000029</v>
      </c>
      <c r="K1370" s="401">
        <v>-6.3469999999999942</v>
      </c>
      <c r="L1370" s="119">
        <v>-73.73399999999998</v>
      </c>
      <c r="M1370" s="119">
        <v>4.9570000000000078</v>
      </c>
      <c r="N1370" s="119">
        <v>-24.094000000000001</v>
      </c>
      <c r="O1370" s="119">
        <v>55.3</v>
      </c>
      <c r="P1370" s="401">
        <v>-37.570999999999984</v>
      </c>
      <c r="Q1370" s="119">
        <v>-43.606000000000002</v>
      </c>
      <c r="R1370" s="119">
        <v>0.92199999999998639</v>
      </c>
      <c r="S1370" s="119">
        <v>-74.819000000000003</v>
      </c>
      <c r="T1370" s="119">
        <v>105.54100000000003</v>
      </c>
      <c r="U1370" s="401">
        <v>-11.961999999999961</v>
      </c>
      <c r="V1370" s="119">
        <v>-155.28300000000002</v>
      </c>
      <c r="W1370" s="119">
        <v>-11.105999999999984</v>
      </c>
      <c r="X1370" s="119">
        <v>29.119999999999983</v>
      </c>
      <c r="Y1370" s="119">
        <v>34.768000000000015</v>
      </c>
      <c r="Z1370" s="401">
        <v>-102.501</v>
      </c>
      <c r="AA1370" s="119">
        <v>111.59899999999998</v>
      </c>
      <c r="AB1370" s="119">
        <v>160.11299999999994</v>
      </c>
      <c r="AC1370" s="119">
        <v>25.450000000000017</v>
      </c>
      <c r="AD1370" s="119">
        <v>131.05899999999997</v>
      </c>
      <c r="AE1370" s="401">
        <v>428.22099999999989</v>
      </c>
      <c r="AF1370" s="119">
        <v>-20.907999999999983</v>
      </c>
      <c r="AG1370" s="119">
        <v>27.012000000000022</v>
      </c>
      <c r="AH1370" s="119">
        <v>17.333999999999989</v>
      </c>
      <c r="AI1370" s="119">
        <v>146.17299999999997</v>
      </c>
      <c r="AJ1370" s="401">
        <v>169.6110000000001</v>
      </c>
      <c r="AK1370" s="119">
        <v>30.907999999999991</v>
      </c>
      <c r="AL1370" s="119">
        <v>40.941999999999979</v>
      </c>
      <c r="AM1370" s="119">
        <v>44.53300000000003</v>
      </c>
      <c r="AN1370" s="119">
        <v>76.182000000000002</v>
      </c>
      <c r="AO1370" s="401">
        <v>192.56500000000005</v>
      </c>
      <c r="AP1370" s="119">
        <v>-33.5</v>
      </c>
      <c r="AQ1370" s="119">
        <v>114.24399999999997</v>
      </c>
      <c r="AR1370" s="119">
        <v>194.7640000000001</v>
      </c>
      <c r="AS1370" s="119">
        <v>101.27900000000002</v>
      </c>
      <c r="AT1370" s="401">
        <v>376.78700000000015</v>
      </c>
      <c r="AU1370" s="119">
        <v>140.62400000000002</v>
      </c>
      <c r="AV1370" s="119">
        <v>93.956000000000046</v>
      </c>
      <c r="AW1370" s="119">
        <v>145.328</v>
      </c>
      <c r="AX1370" s="119">
        <v>96.823000000000036</v>
      </c>
      <c r="AY1370" s="401">
        <v>476.73100000000022</v>
      </c>
      <c r="AZ1370" s="119">
        <v>106.58500000000012</v>
      </c>
      <c r="BA1370" s="119">
        <v>23.372999999999941</v>
      </c>
      <c r="BB1370" s="119">
        <v>96.387999999999948</v>
      </c>
      <c r="BC1370" s="119">
        <v>3.6989999999999981</v>
      </c>
      <c r="BD1370" s="401">
        <v>230.04499999999985</v>
      </c>
      <c r="BE1370" s="119">
        <v>52.547999999999988</v>
      </c>
      <c r="BF1370" s="119">
        <v>114.21100000000001</v>
      </c>
      <c r="BG1370" s="119">
        <v>17.573000000000022</v>
      </c>
      <c r="BH1370" s="119">
        <v>-251.47399999999999</v>
      </c>
      <c r="BI1370" s="402">
        <v>-67.141999999999939</v>
      </c>
      <c r="BJ1370" s="119">
        <v>6.851180065316413</v>
      </c>
      <c r="BK1370" s="119">
        <v>32.021525675160788</v>
      </c>
      <c r="BL1370" s="119">
        <v>32.092791236704059</v>
      </c>
      <c r="BM1370" s="119">
        <v>-2.1336587500072994</v>
      </c>
      <c r="BN1370" s="401">
        <v>68.831838227173989</v>
      </c>
      <c r="BO1370" s="119">
        <v>-18.494556942903841</v>
      </c>
      <c r="BP1370" s="119">
        <v>60.748089702585389</v>
      </c>
      <c r="BQ1370" s="119">
        <v>53.750110042884444</v>
      </c>
      <c r="BR1370" s="119">
        <v>35.938120906523864</v>
      </c>
      <c r="BS1370" s="401">
        <v>131.94176370908986</v>
      </c>
      <c r="BT1370" s="401">
        <v>221.11651425820793</v>
      </c>
      <c r="BU1370" s="401">
        <v>297.34563244119011</v>
      </c>
      <c r="BV1370" s="401">
        <v>382.82831667473374</v>
      </c>
      <c r="BW1370" s="118"/>
    </row>
    <row r="1371" spans="1:75" s="123" customFormat="1" x14ac:dyDescent="0.5">
      <c r="A1371" s="119" t="s">
        <v>1298</v>
      </c>
      <c r="B1371" s="513"/>
      <c r="C1371" s="401"/>
      <c r="D1371" s="401">
        <v>-51.716999999999992</v>
      </c>
      <c r="E1371" s="401">
        <v>-8.4720000000000013</v>
      </c>
      <c r="F1371" s="401">
        <v>-53.232000000000006</v>
      </c>
      <c r="G1371" s="119">
        <v>-29.36</v>
      </c>
      <c r="H1371" s="119">
        <v>30.173000000000016</v>
      </c>
      <c r="I1371" s="119">
        <v>-27.980000000000011</v>
      </c>
      <c r="J1371" s="119">
        <v>20.820000000000029</v>
      </c>
      <c r="K1371" s="401">
        <v>-6.3469999999999942</v>
      </c>
      <c r="L1371" s="119">
        <v>-73.73399999999998</v>
      </c>
      <c r="M1371" s="119">
        <v>4.9570000000000078</v>
      </c>
      <c r="N1371" s="119">
        <v>-24.094000000000001</v>
      </c>
      <c r="O1371" s="119">
        <v>55.3</v>
      </c>
      <c r="P1371" s="401">
        <v>-37.570999999999984</v>
      </c>
      <c r="Q1371" s="119">
        <v>-43.606000000000002</v>
      </c>
      <c r="R1371" s="119">
        <v>0.92199999999998639</v>
      </c>
      <c r="S1371" s="119">
        <v>-74.819000000000003</v>
      </c>
      <c r="T1371" s="119">
        <v>105.54100000000003</v>
      </c>
      <c r="U1371" s="401">
        <v>-11.961999999999961</v>
      </c>
      <c r="V1371" s="119">
        <v>-155.28300000000002</v>
      </c>
      <c r="W1371" s="119">
        <v>-11.105999999999984</v>
      </c>
      <c r="X1371" s="119">
        <v>29.119999999999983</v>
      </c>
      <c r="Y1371" s="119">
        <v>34.768000000000015</v>
      </c>
      <c r="Z1371" s="401">
        <v>-102.501</v>
      </c>
      <c r="AA1371" s="119">
        <v>111.59899999999998</v>
      </c>
      <c r="AB1371" s="119">
        <v>160.11299999999994</v>
      </c>
      <c r="AC1371" s="119">
        <v>25.450000000000017</v>
      </c>
      <c r="AD1371" s="119">
        <v>131.05899999999997</v>
      </c>
      <c r="AE1371" s="401">
        <v>428.22099999999989</v>
      </c>
      <c r="AF1371" s="119">
        <v>-20.907999999999983</v>
      </c>
      <c r="AG1371" s="119">
        <v>27.012000000000022</v>
      </c>
      <c r="AH1371" s="119">
        <v>17.333999999999989</v>
      </c>
      <c r="AI1371" s="119">
        <v>146.17299999999997</v>
      </c>
      <c r="AJ1371" s="401">
        <v>169.6110000000001</v>
      </c>
      <c r="AK1371" s="119">
        <v>30.907999999999991</v>
      </c>
      <c r="AL1371" s="119">
        <v>40.941999999999979</v>
      </c>
      <c r="AM1371" s="119">
        <v>44.53300000000003</v>
      </c>
      <c r="AN1371" s="119">
        <v>76.182000000000002</v>
      </c>
      <c r="AO1371" s="401">
        <v>192.56500000000005</v>
      </c>
      <c r="AP1371" s="119">
        <v>-33.5</v>
      </c>
      <c r="AQ1371" s="119">
        <v>114.24399999999997</v>
      </c>
      <c r="AR1371" s="119">
        <v>194.7640000000001</v>
      </c>
      <c r="AS1371" s="119">
        <v>101.27900000000002</v>
      </c>
      <c r="AT1371" s="401">
        <v>376.78700000000015</v>
      </c>
      <c r="AU1371" s="119">
        <v>140.62400000000002</v>
      </c>
      <c r="AV1371" s="119">
        <v>93.956000000000046</v>
      </c>
      <c r="AW1371" s="119">
        <v>145.328</v>
      </c>
      <c r="AX1371" s="119">
        <v>96.823000000000036</v>
      </c>
      <c r="AY1371" s="401">
        <v>476.73100000000022</v>
      </c>
      <c r="AZ1371" s="119">
        <v>106.58500000000012</v>
      </c>
      <c r="BA1371" s="119">
        <v>23.372999999999941</v>
      </c>
      <c r="BB1371" s="119">
        <v>96.387999999999948</v>
      </c>
      <c r="BC1371" s="119">
        <v>3.6989999999999981</v>
      </c>
      <c r="BD1371" s="401">
        <v>230.04499999999985</v>
      </c>
      <c r="BE1371" s="119">
        <v>52.547999999999988</v>
      </c>
      <c r="BF1371" s="119">
        <v>114.21100000000001</v>
      </c>
      <c r="BG1371" s="119">
        <v>17.573000000000022</v>
      </c>
      <c r="BH1371" s="119">
        <v>-251.47399999999999</v>
      </c>
      <c r="BI1371" s="402">
        <v>-67.141999999999939</v>
      </c>
      <c r="BJ1371" s="119">
        <v>6.851180065316413</v>
      </c>
      <c r="BK1371" s="119">
        <v>32.021525675160788</v>
      </c>
      <c r="BL1371" s="119">
        <v>32.092791236704059</v>
      </c>
      <c r="BM1371" s="119">
        <v>-2.1336587500072994</v>
      </c>
      <c r="BN1371" s="401">
        <v>68.831838227173989</v>
      </c>
      <c r="BO1371" s="119">
        <v>-18.494556942903841</v>
      </c>
      <c r="BP1371" s="119">
        <v>60.748089702585389</v>
      </c>
      <c r="BQ1371" s="119">
        <v>53.750110042884444</v>
      </c>
      <c r="BR1371" s="119">
        <v>35.938120906523864</v>
      </c>
      <c r="BS1371" s="401">
        <v>131.94176370908986</v>
      </c>
      <c r="BT1371" s="401">
        <v>221.11651425820793</v>
      </c>
      <c r="BU1371" s="401">
        <v>297.34563244119011</v>
      </c>
      <c r="BV1371" s="401">
        <v>382.82831667473374</v>
      </c>
      <c r="BW1371" s="118"/>
    </row>
    <row r="1372" spans="1:75" s="123" customFormat="1" x14ac:dyDescent="0.5">
      <c r="A1372" s="119" t="s">
        <v>1299</v>
      </c>
      <c r="B1372" s="513"/>
      <c r="C1372" s="401"/>
      <c r="D1372" s="401">
        <v>-51.716999999999992</v>
      </c>
      <c r="E1372" s="401">
        <v>-8.4720000000000013</v>
      </c>
      <c r="F1372" s="401">
        <v>-53.232000000000006</v>
      </c>
      <c r="G1372" s="119">
        <v>-29.36</v>
      </c>
      <c r="H1372" s="119">
        <v>30.173000000000016</v>
      </c>
      <c r="I1372" s="119">
        <v>-27.980000000000011</v>
      </c>
      <c r="J1372" s="119">
        <v>20.820000000000029</v>
      </c>
      <c r="K1372" s="401">
        <v>-6.3469999999999942</v>
      </c>
      <c r="L1372" s="119">
        <v>-73.73399999999998</v>
      </c>
      <c r="M1372" s="119">
        <v>4.9570000000000078</v>
      </c>
      <c r="N1372" s="119">
        <v>-24.094000000000001</v>
      </c>
      <c r="O1372" s="119">
        <v>55.3</v>
      </c>
      <c r="P1372" s="401">
        <v>-37.570999999999984</v>
      </c>
      <c r="Q1372" s="119">
        <v>-43.606000000000002</v>
      </c>
      <c r="R1372" s="119">
        <v>0.92199999999998639</v>
      </c>
      <c r="S1372" s="119">
        <v>-74.819000000000003</v>
      </c>
      <c r="T1372" s="119">
        <v>105.54100000000003</v>
      </c>
      <c r="U1372" s="401">
        <v>-11.961999999999961</v>
      </c>
      <c r="V1372" s="119">
        <v>-155.28300000000002</v>
      </c>
      <c r="W1372" s="119">
        <v>-127.20599999999997</v>
      </c>
      <c r="X1372" s="119">
        <v>29.119999999999983</v>
      </c>
      <c r="Y1372" s="119">
        <v>34.768000000000015</v>
      </c>
      <c r="Z1372" s="401">
        <v>-218.601</v>
      </c>
      <c r="AA1372" s="119">
        <v>116.49899999999998</v>
      </c>
      <c r="AB1372" s="119">
        <v>170.33599999999996</v>
      </c>
      <c r="AC1372" s="119">
        <v>25.450000000000017</v>
      </c>
      <c r="AD1372" s="119">
        <v>131.05899999999997</v>
      </c>
      <c r="AE1372" s="401">
        <v>443.34399999999988</v>
      </c>
      <c r="AF1372" s="119">
        <v>-20.907999999999983</v>
      </c>
      <c r="AG1372" s="119">
        <v>27.012000000000022</v>
      </c>
      <c r="AH1372" s="119">
        <v>17.333999999999989</v>
      </c>
      <c r="AI1372" s="119">
        <v>146.17299999999997</v>
      </c>
      <c r="AJ1372" s="401">
        <v>169.6110000000001</v>
      </c>
      <c r="AK1372" s="119">
        <v>30.907999999999991</v>
      </c>
      <c r="AL1372" s="119">
        <v>40.941999999999979</v>
      </c>
      <c r="AM1372" s="119">
        <v>68.611000000000033</v>
      </c>
      <c r="AN1372" s="119">
        <v>76.182000000000002</v>
      </c>
      <c r="AO1372" s="401">
        <v>216.64300000000006</v>
      </c>
      <c r="AP1372" s="119">
        <v>-33.5</v>
      </c>
      <c r="AQ1372" s="119">
        <v>136.19999999999999</v>
      </c>
      <c r="AR1372" s="119">
        <v>177.26200000000009</v>
      </c>
      <c r="AS1372" s="119">
        <v>23.208000000000027</v>
      </c>
      <c r="AT1372" s="401">
        <v>303.17000000000019</v>
      </c>
      <c r="AU1372" s="119">
        <v>139.45200000000003</v>
      </c>
      <c r="AV1372" s="119">
        <v>93.18900000000005</v>
      </c>
      <c r="AW1372" s="119">
        <v>142.45099999999999</v>
      </c>
      <c r="AX1372" s="119">
        <v>92.66900000000004</v>
      </c>
      <c r="AY1372" s="401">
        <v>467.76100000000019</v>
      </c>
      <c r="AZ1372" s="119">
        <v>105.47000000000013</v>
      </c>
      <c r="BA1372" s="119">
        <v>22.96799999999994</v>
      </c>
      <c r="BB1372" s="119">
        <v>100.88199999999995</v>
      </c>
      <c r="BC1372" s="119">
        <v>3.2989999999999982</v>
      </c>
      <c r="BD1372" s="401">
        <v>232.61899999999986</v>
      </c>
      <c r="BE1372" s="119">
        <v>19.416999999999987</v>
      </c>
      <c r="BF1372" s="119">
        <v>113.61500000000001</v>
      </c>
      <c r="BG1372" s="119">
        <v>16.979000000000021</v>
      </c>
      <c r="BH1372" s="119">
        <v>-255.22800000000001</v>
      </c>
      <c r="BI1372" s="402">
        <v>-105.21699999999994</v>
      </c>
      <c r="BJ1372" s="119">
        <v>6.851180065316413</v>
      </c>
      <c r="BK1372" s="119">
        <v>32.021525675160788</v>
      </c>
      <c r="BL1372" s="119">
        <v>32.092791236704059</v>
      </c>
      <c r="BM1372" s="119">
        <v>-2.1336587500072994</v>
      </c>
      <c r="BN1372" s="401">
        <v>68.831838227173989</v>
      </c>
      <c r="BO1372" s="119">
        <v>-18.494556942903841</v>
      </c>
      <c r="BP1372" s="119">
        <v>60.748089702585389</v>
      </c>
      <c r="BQ1372" s="119">
        <v>53.750110042884444</v>
      </c>
      <c r="BR1372" s="119">
        <v>35.938120906523864</v>
      </c>
      <c r="BS1372" s="401">
        <v>131.94176370908986</v>
      </c>
      <c r="BT1372" s="401">
        <v>221.11651425820793</v>
      </c>
      <c r="BU1372" s="401">
        <v>297.34563244119011</v>
      </c>
      <c r="BV1372" s="401">
        <v>382.82831667473374</v>
      </c>
      <c r="BW1372" s="118"/>
    </row>
    <row r="1373" spans="1:75" s="123" customFormat="1" x14ac:dyDescent="0.5">
      <c r="A1373" s="295" t="s">
        <v>1300</v>
      </c>
      <c r="B1373" s="522"/>
      <c r="C1373" s="397"/>
      <c r="D1373" s="397">
        <v>-0.11599999999999255</v>
      </c>
      <c r="E1373" s="397">
        <v>-5.1009999999999716</v>
      </c>
      <c r="F1373" s="397">
        <v>-0.17999999999999261</v>
      </c>
      <c r="G1373" s="295">
        <v>1.2929999999999957</v>
      </c>
      <c r="H1373" s="295">
        <v>5.3829999999999742</v>
      </c>
      <c r="I1373" s="295">
        <v>-6.8189999999998259</v>
      </c>
      <c r="J1373" s="295">
        <v>5.3009999999998634</v>
      </c>
      <c r="K1373" s="397">
        <v>5.1579999999999835</v>
      </c>
      <c r="L1373" s="295">
        <v>-2.4509999999999756</v>
      </c>
      <c r="M1373" s="295">
        <v>243.88800000000003</v>
      </c>
      <c r="N1373" s="295">
        <v>-24.341000000000001</v>
      </c>
      <c r="O1373" s="295">
        <v>72.457999999999998</v>
      </c>
      <c r="P1373" s="397">
        <v>289.55400000000009</v>
      </c>
      <c r="Q1373" s="295">
        <v>-40.768999999999998</v>
      </c>
      <c r="R1373" s="295">
        <v>334.66199999999998</v>
      </c>
      <c r="S1373" s="295">
        <v>-64.605999999999995</v>
      </c>
      <c r="T1373" s="295">
        <v>113.78300000000002</v>
      </c>
      <c r="U1373" s="397">
        <v>343.07000000000005</v>
      </c>
      <c r="V1373" s="295">
        <v>-155.28900000000002</v>
      </c>
      <c r="W1373" s="295">
        <v>-129.79299999999998</v>
      </c>
      <c r="X1373" s="295">
        <v>29.401999999999983</v>
      </c>
      <c r="Y1373" s="295">
        <v>35.449000000000012</v>
      </c>
      <c r="Z1373" s="397">
        <v>-220.23099999999999</v>
      </c>
      <c r="AA1373" s="295">
        <v>-182.58799999999999</v>
      </c>
      <c r="AB1373" s="295">
        <v>-58.65400000000011</v>
      </c>
      <c r="AC1373" s="295">
        <v>0.55800000000002825</v>
      </c>
      <c r="AD1373" s="295">
        <v>-4.0080000000000098</v>
      </c>
      <c r="AE1373" s="397">
        <v>-244.69200000000023</v>
      </c>
      <c r="AF1373" s="295">
        <v>-2.572999999999996</v>
      </c>
      <c r="AG1373" s="295">
        <v>94.184000000000026</v>
      </c>
      <c r="AH1373" s="295">
        <v>-16.184000000000012</v>
      </c>
      <c r="AI1373" s="295">
        <v>-2.9510000000000502</v>
      </c>
      <c r="AJ1373" s="397">
        <v>72.476000000000226</v>
      </c>
      <c r="AK1373" s="295">
        <v>96.741000000000014</v>
      </c>
      <c r="AL1373" s="295">
        <v>-90.914000000000016</v>
      </c>
      <c r="AM1373" s="295">
        <v>117.97600000000004</v>
      </c>
      <c r="AN1373" s="295">
        <v>9.3859999999999992</v>
      </c>
      <c r="AO1373" s="397">
        <v>133.18900000000002</v>
      </c>
      <c r="AP1373" s="295">
        <v>-30.318000000000005</v>
      </c>
      <c r="AQ1373" s="295">
        <v>3.0000000000010907E-2</v>
      </c>
      <c r="AR1373" s="295">
        <v>79.424000000000092</v>
      </c>
      <c r="AS1373" s="295">
        <v>10.120000000000022</v>
      </c>
      <c r="AT1373" s="397">
        <v>59.256000000000199</v>
      </c>
      <c r="AU1373" s="295">
        <v>128.42000000000002</v>
      </c>
      <c r="AV1373" s="295">
        <v>61.253000000000043</v>
      </c>
      <c r="AW1373" s="295">
        <v>1906.9329999999998</v>
      </c>
      <c r="AX1373" s="295">
        <v>-21.71799999999994</v>
      </c>
      <c r="AY1373" s="397">
        <v>2074.8879999999999</v>
      </c>
      <c r="AZ1373" s="295">
        <v>-168.67699999999991</v>
      </c>
      <c r="BA1373" s="295">
        <v>-158.83700000000005</v>
      </c>
      <c r="BB1373" s="295">
        <v>69.356999999999999</v>
      </c>
      <c r="BC1373" s="295">
        <v>-643.49699999999996</v>
      </c>
      <c r="BD1373" s="397">
        <v>-901.65400000000022</v>
      </c>
      <c r="BE1373" s="295">
        <v>8.4819999999999869</v>
      </c>
      <c r="BF1373" s="295">
        <v>-1099.931</v>
      </c>
      <c r="BG1373" s="295">
        <v>-36.925999999999902</v>
      </c>
      <c r="BH1373" s="295">
        <v>-259.87300000000005</v>
      </c>
      <c r="BI1373" s="399">
        <v>-1388.2479999999998</v>
      </c>
      <c r="BJ1373" s="295">
        <v>6.851180065316413</v>
      </c>
      <c r="BK1373" s="295">
        <v>32.021525675160788</v>
      </c>
      <c r="BL1373" s="295">
        <v>32.092791236704059</v>
      </c>
      <c r="BM1373" s="295">
        <v>-2.1336587500072994</v>
      </c>
      <c r="BN1373" s="397">
        <v>68.831838227173989</v>
      </c>
      <c r="BO1373" s="295">
        <v>-18.494556942903841</v>
      </c>
      <c r="BP1373" s="295">
        <v>60.748089702585389</v>
      </c>
      <c r="BQ1373" s="295">
        <v>53.750110042884444</v>
      </c>
      <c r="BR1373" s="295">
        <v>35.938120906523864</v>
      </c>
      <c r="BS1373" s="397">
        <v>131.94176370908986</v>
      </c>
      <c r="BT1373" s="397">
        <v>221.11651425820793</v>
      </c>
      <c r="BU1373" s="397">
        <v>297.34563244119011</v>
      </c>
      <c r="BV1373" s="397">
        <v>382.82831667473374</v>
      </c>
      <c r="BW1373" s="118"/>
    </row>
    <row r="1374" spans="1:75" s="123" customFormat="1" x14ac:dyDescent="0.5">
      <c r="A1374" s="118"/>
      <c r="B1374" s="513"/>
      <c r="C1374" s="401"/>
      <c r="D1374" s="401"/>
      <c r="E1374" s="401"/>
      <c r="F1374" s="401"/>
      <c r="G1374" s="119"/>
      <c r="H1374" s="119"/>
      <c r="I1374" s="119"/>
      <c r="J1374" s="119"/>
      <c r="K1374" s="401"/>
      <c r="L1374" s="119"/>
      <c r="M1374" s="119"/>
      <c r="N1374" s="119"/>
      <c r="O1374" s="119"/>
      <c r="P1374" s="401"/>
      <c r="Q1374" s="119"/>
      <c r="R1374" s="119"/>
      <c r="S1374" s="119"/>
      <c r="T1374" s="119"/>
      <c r="U1374" s="401"/>
      <c r="V1374" s="119"/>
      <c r="W1374" s="119"/>
      <c r="X1374" s="119"/>
      <c r="Y1374" s="119"/>
      <c r="Z1374" s="401"/>
      <c r="AA1374" s="119"/>
      <c r="AB1374" s="119"/>
      <c r="AC1374" s="119"/>
      <c r="AD1374" s="119"/>
      <c r="AE1374" s="401"/>
      <c r="AF1374" s="119"/>
      <c r="AG1374" s="119"/>
      <c r="AH1374" s="119"/>
      <c r="AI1374" s="119"/>
      <c r="AJ1374" s="401"/>
      <c r="AK1374" s="119"/>
      <c r="AL1374" s="119"/>
      <c r="AM1374" s="119"/>
      <c r="AN1374" s="119"/>
      <c r="AO1374" s="401"/>
      <c r="AP1374" s="119"/>
      <c r="AQ1374" s="119"/>
      <c r="AR1374" s="119"/>
      <c r="AS1374" s="119"/>
      <c r="AT1374" s="401"/>
      <c r="AU1374" s="119"/>
      <c r="AV1374" s="119"/>
      <c r="AW1374" s="119"/>
      <c r="AX1374" s="119"/>
      <c r="AY1374" s="401"/>
      <c r="AZ1374" s="119"/>
      <c r="BA1374" s="119"/>
      <c r="BB1374" s="119"/>
      <c r="BC1374" s="119"/>
      <c r="BD1374" s="401"/>
      <c r="BE1374" s="119"/>
      <c r="BF1374" s="119"/>
      <c r="BG1374" s="119"/>
      <c r="BH1374" s="119"/>
      <c r="BI1374" s="402"/>
      <c r="BJ1374" s="118"/>
      <c r="BK1374" s="118"/>
      <c r="BL1374" s="118"/>
      <c r="BM1374" s="118"/>
      <c r="BN1374" s="401"/>
      <c r="BO1374" s="118"/>
      <c r="BP1374" s="118"/>
      <c r="BQ1374" s="118"/>
      <c r="BR1374" s="118"/>
      <c r="BS1374" s="401"/>
      <c r="BT1374" s="401"/>
      <c r="BU1374" s="401"/>
      <c r="BV1374" s="401"/>
      <c r="BW1374" s="122"/>
    </row>
    <row r="1375" spans="1:75" s="198" customFormat="1" ht="14.25" x14ac:dyDescent="0.45">
      <c r="A1375" s="239" t="s">
        <v>1301</v>
      </c>
      <c r="B1375" s="239"/>
      <c r="C1375" s="239"/>
      <c r="D1375" s="239"/>
      <c r="E1375" s="239"/>
      <c r="F1375" s="239"/>
      <c r="G1375" s="239"/>
      <c r="H1375" s="239"/>
      <c r="I1375" s="239"/>
      <c r="J1375" s="239"/>
      <c r="K1375" s="239"/>
      <c r="L1375" s="239"/>
      <c r="M1375" s="239"/>
      <c r="N1375" s="239"/>
      <c r="O1375" s="239"/>
      <c r="P1375" s="239"/>
      <c r="Q1375" s="239"/>
      <c r="R1375" s="239"/>
      <c r="S1375" s="239"/>
      <c r="T1375" s="239"/>
      <c r="U1375" s="239"/>
      <c r="V1375" s="239"/>
      <c r="W1375" s="239"/>
      <c r="X1375" s="239"/>
      <c r="Y1375" s="239"/>
      <c r="Z1375" s="239"/>
      <c r="AA1375" s="239"/>
      <c r="AB1375" s="239"/>
      <c r="AC1375" s="239"/>
      <c r="AD1375" s="239"/>
      <c r="AE1375" s="239"/>
      <c r="AF1375" s="239"/>
      <c r="AG1375" s="239"/>
      <c r="AH1375" s="239"/>
      <c r="AI1375" s="239"/>
      <c r="AJ1375" s="239"/>
      <c r="AK1375" s="239"/>
      <c r="AL1375" s="239"/>
      <c r="AM1375" s="239"/>
      <c r="AN1375" s="239"/>
      <c r="AO1375" s="239"/>
      <c r="AP1375" s="239"/>
      <c r="AQ1375" s="239"/>
      <c r="AR1375" s="239"/>
      <c r="AS1375" s="239"/>
      <c r="AT1375" s="239"/>
      <c r="AU1375" s="239"/>
      <c r="AV1375" s="239"/>
      <c r="AW1375" s="239"/>
      <c r="AX1375" s="239"/>
      <c r="AY1375" s="239"/>
      <c r="AZ1375" s="239"/>
      <c r="BA1375" s="239"/>
      <c r="BB1375" s="239"/>
      <c r="BC1375" s="239"/>
      <c r="BD1375" s="239"/>
      <c r="BE1375" s="239"/>
      <c r="BF1375" s="239"/>
      <c r="BG1375" s="239"/>
      <c r="BH1375" s="239"/>
      <c r="BI1375" s="241"/>
      <c r="BJ1375" s="239"/>
      <c r="BK1375" s="239"/>
      <c r="BL1375" s="239"/>
      <c r="BM1375" s="239"/>
      <c r="BN1375" s="239"/>
      <c r="BO1375" s="239"/>
      <c r="BP1375" s="239"/>
      <c r="BQ1375" s="239"/>
      <c r="BR1375" s="239"/>
      <c r="BS1375" s="239"/>
      <c r="BT1375" s="239"/>
      <c r="BU1375" s="239"/>
      <c r="BV1375" s="239"/>
      <c r="BW1375" s="197"/>
    </row>
    <row r="1376" spans="1:75" s="123" customFormat="1" x14ac:dyDescent="0.5">
      <c r="A1376" s="118" t="s">
        <v>1302</v>
      </c>
      <c r="B1376" s="513"/>
      <c r="C1376" s="401"/>
      <c r="D1376" s="401">
        <v>13.364000000000001</v>
      </c>
      <c r="E1376" s="401">
        <v>8.5120000000000005</v>
      </c>
      <c r="F1376" s="401">
        <v>8.3539999999999992</v>
      </c>
      <c r="G1376" s="119">
        <v>9.6690000000000005</v>
      </c>
      <c r="H1376" s="119">
        <v>15.012</v>
      </c>
      <c r="I1376" s="119">
        <v>8.1969999999999992</v>
      </c>
      <c r="J1376" s="119">
        <v>13.388999999999999</v>
      </c>
      <c r="K1376" s="401">
        <v>13.388999999999999</v>
      </c>
      <c r="L1376" s="119">
        <v>10.942</v>
      </c>
      <c r="M1376" s="119">
        <v>181.49299999999999</v>
      </c>
      <c r="N1376" s="119">
        <v>157.12700000000001</v>
      </c>
      <c r="O1376" s="119">
        <v>211.102</v>
      </c>
      <c r="P1376" s="401">
        <v>211.102</v>
      </c>
      <c r="Q1376" s="119">
        <v>179.274</v>
      </c>
      <c r="R1376" s="119">
        <v>454.64</v>
      </c>
      <c r="S1376" s="119">
        <v>387.649</v>
      </c>
      <c r="T1376" s="119">
        <v>480.69799999999998</v>
      </c>
      <c r="U1376" s="401">
        <v>480.69799999999998</v>
      </c>
      <c r="V1376" s="119">
        <v>337.25099999999998</v>
      </c>
      <c r="W1376" s="119">
        <v>208.53100000000001</v>
      </c>
      <c r="X1376" s="119">
        <v>225.57900000000001</v>
      </c>
      <c r="Y1376" s="119">
        <v>229.7</v>
      </c>
      <c r="Z1376" s="401">
        <v>229.7</v>
      </c>
      <c r="AA1376" s="119">
        <v>80.150000000000006</v>
      </c>
      <c r="AB1376" s="119">
        <v>21.637</v>
      </c>
      <c r="AC1376" s="119">
        <v>22.161999999999999</v>
      </c>
      <c r="AD1376" s="119">
        <v>17.907</v>
      </c>
      <c r="AE1376" s="401">
        <v>17.907</v>
      </c>
      <c r="AF1376" s="119">
        <v>20.795999999999999</v>
      </c>
      <c r="AG1376" s="119">
        <v>22.199000000000002</v>
      </c>
      <c r="AH1376" s="119">
        <v>7.7549999999999999</v>
      </c>
      <c r="AI1376" s="119">
        <v>5.8029999999999999</v>
      </c>
      <c r="AJ1376" s="401">
        <v>5.8029999999999999</v>
      </c>
      <c r="AK1376" s="119">
        <v>37.549999999999997</v>
      </c>
      <c r="AL1376" s="119">
        <v>11.555</v>
      </c>
      <c r="AM1376" s="119">
        <v>38.253</v>
      </c>
      <c r="AN1376" s="119">
        <v>47.658000000000001</v>
      </c>
      <c r="AO1376" s="401">
        <v>47.658000000000001</v>
      </c>
      <c r="AP1376" s="119">
        <v>17.207999999999998</v>
      </c>
      <c r="AQ1376" s="119">
        <v>17.387</v>
      </c>
      <c r="AR1376" s="119">
        <v>89.884</v>
      </c>
      <c r="AS1376" s="119">
        <v>100.446</v>
      </c>
      <c r="AT1376" s="401">
        <v>100.446</v>
      </c>
      <c r="AU1376" s="119">
        <v>229.52699999999999</v>
      </c>
      <c r="AV1376" s="119">
        <v>291.46100000000001</v>
      </c>
      <c r="AW1376" s="119">
        <v>2198.9609999999998</v>
      </c>
      <c r="AX1376" s="119">
        <v>2177.8890000000001</v>
      </c>
      <c r="AY1376" s="401">
        <v>2177.8890000000001</v>
      </c>
      <c r="AZ1376" s="119">
        <v>2243.2550000000001</v>
      </c>
      <c r="BA1376" s="119">
        <v>2085.0810000000001</v>
      </c>
      <c r="BB1376" s="119">
        <v>2150.4659999999999</v>
      </c>
      <c r="BC1376" s="119">
        <v>1508.1010000000001</v>
      </c>
      <c r="BD1376" s="401">
        <v>1508.1010000000001</v>
      </c>
      <c r="BE1376" s="119">
        <v>1516.6890000000001</v>
      </c>
      <c r="BF1376" s="119">
        <v>417.04700000000003</v>
      </c>
      <c r="BG1376" s="119">
        <v>380.69499999999999</v>
      </c>
      <c r="BH1376" s="119">
        <v>123.688</v>
      </c>
      <c r="BI1376" s="402">
        <v>123.688</v>
      </c>
      <c r="BJ1376" s="118">
        <v>130.53918006531643</v>
      </c>
      <c r="BK1376" s="118">
        <v>162.5607057404772</v>
      </c>
      <c r="BL1376" s="118">
        <v>194.65349697718125</v>
      </c>
      <c r="BM1376" s="118">
        <v>192.51983822717395</v>
      </c>
      <c r="BN1376" s="401">
        <v>192.51983822717395</v>
      </c>
      <c r="BO1376" s="118">
        <v>174.02528128427011</v>
      </c>
      <c r="BP1376" s="118">
        <v>234.7733709868555</v>
      </c>
      <c r="BQ1376" s="118">
        <v>288.52348102973997</v>
      </c>
      <c r="BR1376" s="118">
        <v>324.46160193626383</v>
      </c>
      <c r="BS1376" s="401">
        <v>324.46160193626383</v>
      </c>
      <c r="BT1376" s="401">
        <v>545.5781161944717</v>
      </c>
      <c r="BU1376" s="401">
        <v>842.92374863566181</v>
      </c>
      <c r="BV1376" s="401">
        <v>1225.7520653103957</v>
      </c>
      <c r="BW1376" s="122"/>
    </row>
    <row r="1377" spans="1:75" s="123" customFormat="1" x14ac:dyDescent="0.5">
      <c r="A1377" s="184" t="s">
        <v>1303</v>
      </c>
      <c r="B1377" s="513"/>
      <c r="C1377" s="401"/>
      <c r="D1377" s="401">
        <v>2.3919999999999999</v>
      </c>
      <c r="E1377" s="401">
        <v>4.1139999999999999</v>
      </c>
      <c r="F1377" s="401">
        <v>2.9249999999999998</v>
      </c>
      <c r="G1377" s="119">
        <v>0</v>
      </c>
      <c r="H1377" s="119">
        <v>0</v>
      </c>
      <c r="I1377" s="119">
        <v>0</v>
      </c>
      <c r="J1377" s="119">
        <v>1.8069999999999999</v>
      </c>
      <c r="K1377" s="401">
        <v>1.8069999999999999</v>
      </c>
      <c r="L1377" s="119">
        <v>0.90300000000000002</v>
      </c>
      <c r="M1377" s="119">
        <v>0.45100000000000001</v>
      </c>
      <c r="N1377" s="119">
        <v>0.33300000000000002</v>
      </c>
      <c r="O1377" s="119">
        <v>0.255</v>
      </c>
      <c r="P1377" s="401">
        <v>0.255</v>
      </c>
      <c r="Q1377" s="119">
        <v>0.23599999999999999</v>
      </c>
      <c r="R1377" s="119">
        <v>0</v>
      </c>
      <c r="S1377" s="119">
        <v>0</v>
      </c>
      <c r="T1377" s="119">
        <v>0.182</v>
      </c>
      <c r="U1377" s="401">
        <v>0.182</v>
      </c>
      <c r="V1377" s="119">
        <v>0.13900000000000001</v>
      </c>
      <c r="W1377" s="119">
        <v>0.32200000000000001</v>
      </c>
      <c r="X1377" s="119">
        <v>0.28499999999999998</v>
      </c>
      <c r="Y1377" s="119">
        <v>0</v>
      </c>
      <c r="Z1377" s="401">
        <v>0</v>
      </c>
      <c r="AA1377" s="119">
        <v>0</v>
      </c>
      <c r="AB1377" s="119">
        <v>0</v>
      </c>
      <c r="AC1377" s="119">
        <v>5.9859999999999998</v>
      </c>
      <c r="AD1377" s="119">
        <v>6.0330000000000004</v>
      </c>
      <c r="AE1377" s="401">
        <v>6.0330000000000004</v>
      </c>
      <c r="AF1377" s="119">
        <v>6.08</v>
      </c>
      <c r="AG1377" s="119">
        <v>336.56200000000001</v>
      </c>
      <c r="AH1377" s="119">
        <v>340.59899999999999</v>
      </c>
      <c r="AI1377" s="119">
        <v>344.68099999999998</v>
      </c>
      <c r="AJ1377" s="401">
        <v>344.68099999999998</v>
      </c>
      <c r="AK1377" s="119">
        <v>374.98500000000001</v>
      </c>
      <c r="AL1377" s="119">
        <v>310.32900000000001</v>
      </c>
      <c r="AM1377" s="119">
        <v>346.08499999999998</v>
      </c>
      <c r="AN1377" s="119">
        <v>374.72899999999998</v>
      </c>
      <c r="AO1377" s="401">
        <v>374.72899999999998</v>
      </c>
      <c r="AP1377" s="119">
        <v>379.91300000000001</v>
      </c>
      <c r="AQ1377" s="119">
        <v>89.352000000000004</v>
      </c>
      <c r="AR1377" s="119">
        <v>89.802999999999997</v>
      </c>
      <c r="AS1377" s="119">
        <v>37.417999999999999</v>
      </c>
      <c r="AT1377" s="401">
        <v>37.417999999999999</v>
      </c>
      <c r="AU1377" s="119">
        <v>43.388999999999996</v>
      </c>
      <c r="AV1377" s="119">
        <v>276.947</v>
      </c>
      <c r="AW1377" s="119">
        <v>163.50200000000001</v>
      </c>
      <c r="AX1377" s="119">
        <v>62.125</v>
      </c>
      <c r="AY1377" s="401">
        <v>62.125</v>
      </c>
      <c r="AZ1377" s="119">
        <v>353.56299999999999</v>
      </c>
      <c r="BA1377" s="119">
        <v>43.917000000000002</v>
      </c>
      <c r="BB1377" s="119">
        <v>44.95</v>
      </c>
      <c r="BC1377" s="119">
        <v>44.863</v>
      </c>
      <c r="BD1377" s="401">
        <v>44.863</v>
      </c>
      <c r="BE1377" s="119">
        <v>44.042999999999999</v>
      </c>
      <c r="BF1377" s="119">
        <v>42.795000000000002</v>
      </c>
      <c r="BG1377" s="119">
        <v>84.957999999999998</v>
      </c>
      <c r="BH1377" s="119">
        <v>81.503000000000014</v>
      </c>
      <c r="BI1377" s="402">
        <v>81.503000000000014</v>
      </c>
      <c r="BJ1377" s="118">
        <v>81.503000000000156</v>
      </c>
      <c r="BK1377" s="118">
        <v>81.503000000000156</v>
      </c>
      <c r="BL1377" s="118">
        <v>81.503000000000156</v>
      </c>
      <c r="BM1377" s="118">
        <v>81.503000000000156</v>
      </c>
      <c r="BN1377" s="401">
        <v>81.503000000000156</v>
      </c>
      <c r="BO1377" s="118">
        <v>81.503000000000156</v>
      </c>
      <c r="BP1377" s="118">
        <v>81.503000000000156</v>
      </c>
      <c r="BQ1377" s="118">
        <v>81.503000000000156</v>
      </c>
      <c r="BR1377" s="118">
        <v>81.503000000000156</v>
      </c>
      <c r="BS1377" s="401">
        <v>81.503000000000156</v>
      </c>
      <c r="BT1377" s="401">
        <v>81.503000000000156</v>
      </c>
      <c r="BU1377" s="401">
        <v>81.503000000000156</v>
      </c>
      <c r="BV1377" s="401">
        <v>81.503000000000156</v>
      </c>
      <c r="BW1377" s="122"/>
    </row>
    <row r="1378" spans="1:75" s="123" customFormat="1" x14ac:dyDescent="0.5">
      <c r="A1378" s="869" t="s">
        <v>1304</v>
      </c>
      <c r="B1378" s="870"/>
      <c r="C1378" s="871"/>
      <c r="D1378" s="871">
        <v>111.837</v>
      </c>
      <c r="E1378" s="871">
        <v>122.3</v>
      </c>
      <c r="F1378" s="871">
        <v>82.501000000000005</v>
      </c>
      <c r="G1378" s="872">
        <v>113.994</v>
      </c>
      <c r="H1378" s="872">
        <v>87.575000000000003</v>
      </c>
      <c r="I1378" s="872">
        <v>108.245</v>
      </c>
      <c r="J1378" s="872">
        <v>118.59</v>
      </c>
      <c r="K1378" s="871">
        <v>118.59</v>
      </c>
      <c r="L1378" s="872">
        <v>149.14599999999999</v>
      </c>
      <c r="M1378" s="872">
        <v>277.678</v>
      </c>
      <c r="N1378" s="872">
        <v>281.01400000000001</v>
      </c>
      <c r="O1378" s="872">
        <v>409.15799999999996</v>
      </c>
      <c r="P1378" s="871">
        <v>409.15799999999996</v>
      </c>
      <c r="Q1378" s="872">
        <v>459.97299999999996</v>
      </c>
      <c r="R1378" s="872">
        <v>691.69100000000003</v>
      </c>
      <c r="S1378" s="872">
        <v>718.69299999999998</v>
      </c>
      <c r="T1378" s="872">
        <v>666.42199999999991</v>
      </c>
      <c r="U1378" s="871">
        <v>666.42199999999991</v>
      </c>
      <c r="V1378" s="872">
        <v>680.15899999999999</v>
      </c>
      <c r="W1378" s="872">
        <v>689.74299999999994</v>
      </c>
      <c r="X1378" s="872">
        <v>733.80199999999991</v>
      </c>
      <c r="Y1378" s="872">
        <v>751.35900000000004</v>
      </c>
      <c r="Z1378" s="871">
        <v>751.35900000000004</v>
      </c>
      <c r="AA1378" s="872">
        <v>776.29200000000003</v>
      </c>
      <c r="AB1378" s="872">
        <v>1249.905</v>
      </c>
      <c r="AC1378" s="872">
        <v>1223.191</v>
      </c>
      <c r="AD1378" s="872">
        <v>1089.5170000000001</v>
      </c>
      <c r="AE1378" s="871">
        <v>1089.5170000000001</v>
      </c>
      <c r="AF1378" s="872">
        <v>1115.6100000000001</v>
      </c>
      <c r="AG1378" s="872">
        <v>728.43299999999999</v>
      </c>
      <c r="AH1378" s="872">
        <v>839.6579999999999</v>
      </c>
      <c r="AI1378" s="872">
        <v>806.73599999999999</v>
      </c>
      <c r="AJ1378" s="871">
        <v>806.73599999999999</v>
      </c>
      <c r="AK1378" s="872">
        <v>1313.682</v>
      </c>
      <c r="AL1378" s="872">
        <v>1194.8180000000002</v>
      </c>
      <c r="AM1378" s="872">
        <v>1080.587</v>
      </c>
      <c r="AN1378" s="872">
        <v>1005.681</v>
      </c>
      <c r="AO1378" s="871">
        <v>1005.681</v>
      </c>
      <c r="AP1378" s="872">
        <v>1018.1680000000001</v>
      </c>
      <c r="AQ1378" s="872">
        <v>1158.72</v>
      </c>
      <c r="AR1378" s="872">
        <v>1066.806</v>
      </c>
      <c r="AS1378" s="872">
        <v>1064.5050000000001</v>
      </c>
      <c r="AT1378" s="871">
        <v>1064.5050000000001</v>
      </c>
      <c r="AU1378" s="872">
        <v>1078.7139999999999</v>
      </c>
      <c r="AV1378" s="872">
        <v>843.32600000000002</v>
      </c>
      <c r="AW1378" s="872">
        <v>2752.1080000000002</v>
      </c>
      <c r="AX1378" s="872">
        <v>2758.3449999999998</v>
      </c>
      <c r="AY1378" s="871">
        <v>2758.3449999999998</v>
      </c>
      <c r="AZ1378" s="872">
        <v>2643.8119999999999</v>
      </c>
      <c r="BA1378" s="872">
        <v>3117.085</v>
      </c>
      <c r="BB1378" s="872">
        <v>3126.348</v>
      </c>
      <c r="BC1378" s="872">
        <v>3118.4569999999999</v>
      </c>
      <c r="BD1378" s="871">
        <v>3118.4569999999999</v>
      </c>
      <c r="BE1378" s="872">
        <v>3109.895</v>
      </c>
      <c r="BF1378" s="872">
        <v>3103.6950000000002</v>
      </c>
      <c r="BG1378" s="872">
        <v>3053.3469999999998</v>
      </c>
      <c r="BH1378" s="872">
        <v>2973.1759999999999</v>
      </c>
      <c r="BI1378" s="873">
        <v>2973.1759999999999</v>
      </c>
      <c r="BJ1378" s="872">
        <v>2973.1759999999999</v>
      </c>
      <c r="BK1378" s="872">
        <v>2973.1759999999999</v>
      </c>
      <c r="BL1378" s="872">
        <v>2973.1759999999999</v>
      </c>
      <c r="BM1378" s="872">
        <v>2973.1759999999999</v>
      </c>
      <c r="BN1378" s="871">
        <v>2973.1759999999999</v>
      </c>
      <c r="BO1378" s="872">
        <v>2973.1759999999999</v>
      </c>
      <c r="BP1378" s="872">
        <v>2973.1759999999999</v>
      </c>
      <c r="BQ1378" s="872">
        <v>2973.1759999999999</v>
      </c>
      <c r="BR1378" s="872">
        <v>2973.1759999999999</v>
      </c>
      <c r="BS1378" s="871">
        <v>2973.1759999999999</v>
      </c>
      <c r="BT1378" s="871">
        <v>2973.1759999999999</v>
      </c>
      <c r="BU1378" s="871">
        <v>2973.1759999999999</v>
      </c>
      <c r="BV1378" s="871">
        <v>2973.1759999999999</v>
      </c>
      <c r="BW1378" s="122"/>
    </row>
    <row r="1379" spans="1:75" s="123" customFormat="1" x14ac:dyDescent="0.5">
      <c r="A1379" s="118" t="s">
        <v>1305</v>
      </c>
      <c r="B1379" s="513"/>
      <c r="C1379" s="401"/>
      <c r="D1379" s="401">
        <v>114.229</v>
      </c>
      <c r="E1379" s="401">
        <v>126.414</v>
      </c>
      <c r="F1379" s="401">
        <v>85.426000000000002</v>
      </c>
      <c r="G1379" s="119">
        <v>113.994</v>
      </c>
      <c r="H1379" s="119">
        <v>87.575000000000003</v>
      </c>
      <c r="I1379" s="119">
        <v>108.245</v>
      </c>
      <c r="J1379" s="119">
        <v>120.39700000000001</v>
      </c>
      <c r="K1379" s="401">
        <v>120.39700000000001</v>
      </c>
      <c r="L1379" s="119">
        <v>150.04899999999998</v>
      </c>
      <c r="M1379" s="119">
        <v>278.12900000000002</v>
      </c>
      <c r="N1379" s="119">
        <v>281.34700000000004</v>
      </c>
      <c r="O1379" s="119">
        <v>409.41299999999995</v>
      </c>
      <c r="P1379" s="401">
        <v>409.41299999999995</v>
      </c>
      <c r="Q1379" s="119">
        <v>460.20899999999995</v>
      </c>
      <c r="R1379" s="119">
        <v>691.69100000000003</v>
      </c>
      <c r="S1379" s="119">
        <v>718.69299999999998</v>
      </c>
      <c r="T1379" s="119">
        <v>666.60399999999993</v>
      </c>
      <c r="U1379" s="401">
        <v>666.60399999999993</v>
      </c>
      <c r="V1379" s="119">
        <v>680.298</v>
      </c>
      <c r="W1379" s="119">
        <v>690.06499999999994</v>
      </c>
      <c r="X1379" s="119">
        <v>734.08699999999988</v>
      </c>
      <c r="Y1379" s="119">
        <v>751.35900000000004</v>
      </c>
      <c r="Z1379" s="401">
        <v>751.35900000000004</v>
      </c>
      <c r="AA1379" s="119">
        <v>776.29200000000003</v>
      </c>
      <c r="AB1379" s="119">
        <v>1249.905</v>
      </c>
      <c r="AC1379" s="119">
        <v>1229.1770000000001</v>
      </c>
      <c r="AD1379" s="119">
        <v>1095.55</v>
      </c>
      <c r="AE1379" s="401">
        <v>1095.55</v>
      </c>
      <c r="AF1379" s="119">
        <v>1121.69</v>
      </c>
      <c r="AG1379" s="119">
        <v>1064.9949999999999</v>
      </c>
      <c r="AH1379" s="119">
        <v>1180.2569999999998</v>
      </c>
      <c r="AI1379" s="119">
        <v>1151.4169999999999</v>
      </c>
      <c r="AJ1379" s="401">
        <v>1151.4169999999999</v>
      </c>
      <c r="AK1379" s="119">
        <v>1688.6669999999999</v>
      </c>
      <c r="AL1379" s="119">
        <v>1505.1470000000002</v>
      </c>
      <c r="AM1379" s="119">
        <v>1426.672</v>
      </c>
      <c r="AN1379" s="119">
        <v>1380.41</v>
      </c>
      <c r="AO1379" s="401">
        <v>1380.41</v>
      </c>
      <c r="AP1379" s="119">
        <v>1398.0810000000001</v>
      </c>
      <c r="AQ1379" s="119">
        <v>1248.0720000000001</v>
      </c>
      <c r="AR1379" s="119">
        <v>1156.6089999999999</v>
      </c>
      <c r="AS1379" s="119">
        <v>1101.923</v>
      </c>
      <c r="AT1379" s="401">
        <v>1101.923</v>
      </c>
      <c r="AU1379" s="119">
        <v>1122.1029999999998</v>
      </c>
      <c r="AV1379" s="119">
        <v>1120.2730000000001</v>
      </c>
      <c r="AW1379" s="119">
        <v>2915.61</v>
      </c>
      <c r="AX1379" s="119">
        <v>2820.47</v>
      </c>
      <c r="AY1379" s="401">
        <v>2820.47</v>
      </c>
      <c r="AZ1379" s="119">
        <v>2997.375</v>
      </c>
      <c r="BA1379" s="119">
        <v>3161.002</v>
      </c>
      <c r="BB1379" s="119">
        <v>3171.2979999999998</v>
      </c>
      <c r="BC1379" s="119">
        <v>3163.3199999999997</v>
      </c>
      <c r="BD1379" s="401">
        <v>3163.3199999999997</v>
      </c>
      <c r="BE1379" s="119">
        <v>3153.9380000000001</v>
      </c>
      <c r="BF1379" s="119">
        <v>3146.4900000000002</v>
      </c>
      <c r="BG1379" s="119">
        <v>3138.3049999999998</v>
      </c>
      <c r="BH1379" s="119">
        <v>3054.6790000000001</v>
      </c>
      <c r="BI1379" s="402">
        <v>3054.6790000000001</v>
      </c>
      <c r="BJ1379" s="118">
        <v>3054.6790000000001</v>
      </c>
      <c r="BK1379" s="118">
        <v>3054.6790000000001</v>
      </c>
      <c r="BL1379" s="118">
        <v>3054.6790000000001</v>
      </c>
      <c r="BM1379" s="118">
        <v>3054.6790000000001</v>
      </c>
      <c r="BN1379" s="401">
        <v>3054.6790000000001</v>
      </c>
      <c r="BO1379" s="118">
        <v>3054.6790000000001</v>
      </c>
      <c r="BP1379" s="118">
        <v>3054.6790000000001</v>
      </c>
      <c r="BQ1379" s="118">
        <v>3054.6790000000001</v>
      </c>
      <c r="BR1379" s="118">
        <v>3054.6790000000001</v>
      </c>
      <c r="BS1379" s="401">
        <v>3054.6790000000001</v>
      </c>
      <c r="BT1379" s="401">
        <v>3054.6790000000001</v>
      </c>
      <c r="BU1379" s="401">
        <v>3054.6790000000001</v>
      </c>
      <c r="BV1379" s="401">
        <v>3054.6790000000001</v>
      </c>
      <c r="BW1379" s="122"/>
    </row>
    <row r="1380" spans="1:75" s="123" customFormat="1" x14ac:dyDescent="0.5">
      <c r="A1380" s="118" t="s">
        <v>1306</v>
      </c>
      <c r="B1380" s="513"/>
      <c r="C1380" s="401"/>
      <c r="D1380" s="401">
        <v>0</v>
      </c>
      <c r="E1380" s="401">
        <v>0</v>
      </c>
      <c r="F1380" s="401">
        <v>0</v>
      </c>
      <c r="G1380" s="119">
        <v>0</v>
      </c>
      <c r="H1380" s="119">
        <v>0</v>
      </c>
      <c r="I1380" s="119">
        <v>0</v>
      </c>
      <c r="J1380" s="119">
        <v>0</v>
      </c>
      <c r="K1380" s="401">
        <v>0</v>
      </c>
      <c r="L1380" s="119">
        <v>0</v>
      </c>
      <c r="M1380" s="119">
        <v>0</v>
      </c>
      <c r="N1380" s="119">
        <v>0</v>
      </c>
      <c r="O1380" s="119">
        <v>0</v>
      </c>
      <c r="P1380" s="401">
        <v>0</v>
      </c>
      <c r="Q1380" s="119">
        <v>0</v>
      </c>
      <c r="R1380" s="119">
        <v>0</v>
      </c>
      <c r="S1380" s="119">
        <v>0</v>
      </c>
      <c r="T1380" s="119">
        <v>0</v>
      </c>
      <c r="U1380" s="401">
        <v>0</v>
      </c>
      <c r="V1380" s="119">
        <v>0</v>
      </c>
      <c r="W1380" s="119">
        <v>0</v>
      </c>
      <c r="X1380" s="119">
        <v>0</v>
      </c>
      <c r="Y1380" s="119">
        <v>0</v>
      </c>
      <c r="Z1380" s="401">
        <v>0</v>
      </c>
      <c r="AA1380" s="119">
        <v>0</v>
      </c>
      <c r="AB1380" s="119">
        <v>0</v>
      </c>
      <c r="AC1380" s="119">
        <v>0</v>
      </c>
      <c r="AD1380" s="119">
        <v>0</v>
      </c>
      <c r="AE1380" s="401">
        <v>0</v>
      </c>
      <c r="AF1380" s="119">
        <v>0</v>
      </c>
      <c r="AG1380" s="119">
        <v>0</v>
      </c>
      <c r="AH1380" s="119">
        <v>0</v>
      </c>
      <c r="AI1380" s="119">
        <v>0</v>
      </c>
      <c r="AJ1380" s="401">
        <v>0</v>
      </c>
      <c r="AK1380" s="119">
        <v>492.82900000000001</v>
      </c>
      <c r="AL1380" s="119">
        <v>472.96499999999997</v>
      </c>
      <c r="AM1380" s="119">
        <v>468</v>
      </c>
      <c r="AN1380" s="119">
        <v>468.85399999999998</v>
      </c>
      <c r="AO1380" s="401">
        <v>468.85399999999998</v>
      </c>
      <c r="AP1380" s="119">
        <v>457.63800000000003</v>
      </c>
      <c r="AQ1380" s="119">
        <v>469.87799999999999</v>
      </c>
      <c r="AR1380" s="119">
        <v>470.31100000000004</v>
      </c>
      <c r="AS1380" s="119">
        <v>519.69299999999998</v>
      </c>
      <c r="AT1380" s="401">
        <v>519.69299999999998</v>
      </c>
      <c r="AU1380" s="119">
        <v>604.58400000000006</v>
      </c>
      <c r="AV1380" s="119">
        <v>616.58399999999995</v>
      </c>
      <c r="AW1380" s="119">
        <v>613.59199999999998</v>
      </c>
      <c r="AX1380" s="119">
        <v>614.34699999999998</v>
      </c>
      <c r="AY1380" s="401">
        <v>614.34699999999998</v>
      </c>
      <c r="AZ1380" s="119">
        <v>607.38299999999992</v>
      </c>
      <c r="BA1380" s="119">
        <v>602.73400000000004</v>
      </c>
      <c r="BB1380" s="119">
        <v>598.95100000000002</v>
      </c>
      <c r="BC1380" s="119">
        <v>586.19299999999998</v>
      </c>
      <c r="BD1380" s="401">
        <v>586.19299999999998</v>
      </c>
      <c r="BE1380" s="119">
        <v>585.74099999999999</v>
      </c>
      <c r="BF1380" s="119">
        <v>590.024</v>
      </c>
      <c r="BG1380" s="119">
        <v>659.56499999999994</v>
      </c>
      <c r="BH1380" s="119">
        <v>661.68900000000008</v>
      </c>
      <c r="BI1380" s="402">
        <v>661.68900000000008</v>
      </c>
      <c r="BJ1380" s="118">
        <v>641.68900000000008</v>
      </c>
      <c r="BK1380" s="118">
        <v>621.68900000000008</v>
      </c>
      <c r="BL1380" s="118">
        <v>601.68900000000008</v>
      </c>
      <c r="BM1380" s="118">
        <v>581.68900000000008</v>
      </c>
      <c r="BN1380" s="401">
        <v>581.68900000000008</v>
      </c>
      <c r="BO1380" s="118">
        <v>561.68900000000008</v>
      </c>
      <c r="BP1380" s="118">
        <v>541.68900000000008</v>
      </c>
      <c r="BQ1380" s="118">
        <v>521.68900000000008</v>
      </c>
      <c r="BR1380" s="118">
        <v>501.68900000000008</v>
      </c>
      <c r="BS1380" s="401">
        <v>501.68900000000008</v>
      </c>
      <c r="BT1380" s="401">
        <v>421.68900000000008</v>
      </c>
      <c r="BU1380" s="401">
        <v>341.68900000000008</v>
      </c>
      <c r="BV1380" s="401">
        <v>261.68900000000008</v>
      </c>
      <c r="BW1380" s="122"/>
    </row>
    <row r="1381" spans="1:75" s="123" customFormat="1" x14ac:dyDescent="0.5">
      <c r="A1381" s="118" t="s">
        <v>1307</v>
      </c>
      <c r="B1381" s="513"/>
      <c r="C1381" s="401"/>
      <c r="D1381" s="401">
        <v>100.86499999999999</v>
      </c>
      <c r="E1381" s="401">
        <v>117.902</v>
      </c>
      <c r="F1381" s="401">
        <v>77.072000000000003</v>
      </c>
      <c r="G1381" s="119">
        <v>104.325</v>
      </c>
      <c r="H1381" s="119">
        <v>72.563000000000002</v>
      </c>
      <c r="I1381" s="119">
        <v>100.048</v>
      </c>
      <c r="J1381" s="119">
        <v>107.00800000000001</v>
      </c>
      <c r="K1381" s="401">
        <v>107.00800000000001</v>
      </c>
      <c r="L1381" s="119">
        <v>139.10699999999997</v>
      </c>
      <c r="M1381" s="119">
        <v>96.636000000000024</v>
      </c>
      <c r="N1381" s="119">
        <v>124.22000000000003</v>
      </c>
      <c r="O1381" s="119">
        <v>198.31099999999995</v>
      </c>
      <c r="P1381" s="401">
        <v>198.31099999999995</v>
      </c>
      <c r="Q1381" s="119">
        <v>280.93499999999995</v>
      </c>
      <c r="R1381" s="119">
        <v>237.05100000000004</v>
      </c>
      <c r="S1381" s="119">
        <v>331.04399999999998</v>
      </c>
      <c r="T1381" s="119">
        <v>185.90599999999995</v>
      </c>
      <c r="U1381" s="401">
        <v>185.90599999999995</v>
      </c>
      <c r="V1381" s="119">
        <v>343.04700000000003</v>
      </c>
      <c r="W1381" s="119">
        <v>481.53399999999993</v>
      </c>
      <c r="X1381" s="119">
        <v>508.50799999999987</v>
      </c>
      <c r="Y1381" s="119">
        <v>521.65900000000011</v>
      </c>
      <c r="Z1381" s="401">
        <v>521.65900000000011</v>
      </c>
      <c r="AA1381" s="119">
        <v>696.14200000000005</v>
      </c>
      <c r="AB1381" s="119">
        <v>1228.268</v>
      </c>
      <c r="AC1381" s="119">
        <v>1207.0150000000001</v>
      </c>
      <c r="AD1381" s="119">
        <v>1077.643</v>
      </c>
      <c r="AE1381" s="401">
        <v>1077.643</v>
      </c>
      <c r="AF1381" s="119">
        <v>1100.894</v>
      </c>
      <c r="AG1381" s="119">
        <v>1042.7959999999998</v>
      </c>
      <c r="AH1381" s="119">
        <v>1172.5019999999997</v>
      </c>
      <c r="AI1381" s="119">
        <v>1145.6139999999998</v>
      </c>
      <c r="AJ1381" s="401">
        <v>1145.6139999999998</v>
      </c>
      <c r="AK1381" s="119">
        <v>2143.9459999999999</v>
      </c>
      <c r="AL1381" s="119">
        <v>1966.557</v>
      </c>
      <c r="AM1381" s="119">
        <v>1856.4190000000001</v>
      </c>
      <c r="AN1381" s="119">
        <v>1801.6060000000002</v>
      </c>
      <c r="AO1381" s="401">
        <v>1801.6060000000002</v>
      </c>
      <c r="AP1381" s="119">
        <v>1838.511</v>
      </c>
      <c r="AQ1381" s="119">
        <v>1700.5630000000001</v>
      </c>
      <c r="AR1381" s="119">
        <v>1537.0360000000001</v>
      </c>
      <c r="AS1381" s="119">
        <v>1521.17</v>
      </c>
      <c r="AT1381" s="401">
        <v>1521.17</v>
      </c>
      <c r="AU1381" s="119">
        <v>1497.1599999999999</v>
      </c>
      <c r="AV1381" s="119">
        <v>1445.396</v>
      </c>
      <c r="AW1381" s="119">
        <v>1330.2410000000004</v>
      </c>
      <c r="AX1381" s="119">
        <v>1256.9279999999999</v>
      </c>
      <c r="AY1381" s="401">
        <v>1256.9279999999999</v>
      </c>
      <c r="AZ1381" s="119">
        <v>1361.5029999999997</v>
      </c>
      <c r="BA1381" s="119">
        <v>1678.6549999999997</v>
      </c>
      <c r="BB1381" s="119">
        <v>1619.7829999999999</v>
      </c>
      <c r="BC1381" s="119">
        <v>2241.4119999999998</v>
      </c>
      <c r="BD1381" s="401">
        <v>2241.4119999999998</v>
      </c>
      <c r="BE1381" s="119">
        <v>2222.9899999999998</v>
      </c>
      <c r="BF1381" s="119">
        <v>3319.4670000000001</v>
      </c>
      <c r="BG1381" s="119">
        <v>3417.1749999999997</v>
      </c>
      <c r="BH1381" s="119">
        <v>3592.6800000000003</v>
      </c>
      <c r="BI1381" s="402">
        <v>3592.6800000000003</v>
      </c>
      <c r="BJ1381" s="118">
        <v>3565.8288199346839</v>
      </c>
      <c r="BK1381" s="118">
        <v>3513.8072942595231</v>
      </c>
      <c r="BL1381" s="118">
        <v>3461.7145030228194</v>
      </c>
      <c r="BM1381" s="118">
        <v>3443.8481617728266</v>
      </c>
      <c r="BN1381" s="401">
        <v>3443.8481617728266</v>
      </c>
      <c r="BO1381" s="118">
        <v>3442.3427187157304</v>
      </c>
      <c r="BP1381" s="118">
        <v>3361.5946290131451</v>
      </c>
      <c r="BQ1381" s="118">
        <v>3287.8445189702607</v>
      </c>
      <c r="BR1381" s="118">
        <v>3231.9063980637366</v>
      </c>
      <c r="BS1381" s="401">
        <v>3231.9063980637366</v>
      </c>
      <c r="BT1381" s="401">
        <v>2930.7898838055289</v>
      </c>
      <c r="BU1381" s="401">
        <v>2553.4442513643385</v>
      </c>
      <c r="BV1381" s="401">
        <v>2090.6159346896047</v>
      </c>
      <c r="BW1381" s="122"/>
    </row>
    <row r="1382" spans="1:75" s="123" customFormat="1" x14ac:dyDescent="0.5">
      <c r="A1382" s="118"/>
      <c r="B1382" s="513"/>
      <c r="C1382" s="401"/>
      <c r="D1382" s="401"/>
      <c r="E1382" s="401"/>
      <c r="F1382" s="401"/>
      <c r="G1382" s="119"/>
      <c r="H1382" s="119"/>
      <c r="I1382" s="119"/>
      <c r="J1382" s="119"/>
      <c r="K1382" s="401"/>
      <c r="L1382" s="119"/>
      <c r="M1382" s="119"/>
      <c r="N1382" s="119"/>
      <c r="O1382" s="119"/>
      <c r="P1382" s="401"/>
      <c r="Q1382" s="119"/>
      <c r="R1382" s="119"/>
      <c r="S1382" s="119"/>
      <c r="T1382" s="119"/>
      <c r="U1382" s="401"/>
      <c r="V1382" s="119"/>
      <c r="W1382" s="119"/>
      <c r="X1382" s="119"/>
      <c r="Y1382" s="119"/>
      <c r="Z1382" s="401"/>
      <c r="AA1382" s="119"/>
      <c r="AB1382" s="119"/>
      <c r="AC1382" s="119"/>
      <c r="AD1382" s="119"/>
      <c r="AE1382" s="401"/>
      <c r="AF1382" s="119"/>
      <c r="AG1382" s="119"/>
      <c r="AH1382" s="119"/>
      <c r="AI1382" s="119"/>
      <c r="AJ1382" s="401"/>
      <c r="AK1382" s="119"/>
      <c r="AL1382" s="119"/>
      <c r="AM1382" s="119"/>
      <c r="AN1382" s="119"/>
      <c r="AO1382" s="401"/>
      <c r="AP1382" s="119"/>
      <c r="AQ1382" s="119"/>
      <c r="AR1382" s="119"/>
      <c r="AS1382" s="119"/>
      <c r="AT1382" s="401"/>
      <c r="AU1382" s="119"/>
      <c r="AV1382" s="119"/>
      <c r="AW1382" s="119"/>
      <c r="AX1382" s="119"/>
      <c r="AY1382" s="401"/>
      <c r="AZ1382" s="119"/>
      <c r="BA1382" s="119"/>
      <c r="BB1382" s="119"/>
      <c r="BC1382" s="119"/>
      <c r="BD1382" s="401"/>
      <c r="BE1382" s="119"/>
      <c r="BF1382" s="119"/>
      <c r="BG1382" s="119"/>
      <c r="BH1382" s="119"/>
      <c r="BI1382" s="402"/>
      <c r="BJ1382" s="118"/>
      <c r="BK1382" s="118"/>
      <c r="BL1382" s="118"/>
      <c r="BM1382" s="118"/>
      <c r="BN1382" s="401"/>
      <c r="BO1382" s="118"/>
      <c r="BP1382" s="118"/>
      <c r="BQ1382" s="118"/>
      <c r="BR1382" s="118"/>
      <c r="BS1382" s="401"/>
      <c r="BT1382" s="401"/>
      <c r="BU1382" s="401"/>
      <c r="BV1382" s="401"/>
      <c r="BW1382" s="122"/>
    </row>
    <row r="1383" spans="1:75" s="123" customFormat="1" x14ac:dyDescent="0.5">
      <c r="A1383" s="118" t="s">
        <v>1308</v>
      </c>
      <c r="B1383" s="513"/>
      <c r="C1383" s="401"/>
      <c r="D1383" s="401"/>
      <c r="E1383" s="401"/>
      <c r="F1383" s="401"/>
      <c r="G1383" s="119"/>
      <c r="H1383" s="119"/>
      <c r="I1383" s="119"/>
      <c r="J1383" s="119"/>
      <c r="K1383" s="401">
        <v>-0.9</v>
      </c>
      <c r="L1383" s="119">
        <v>-0.3</v>
      </c>
      <c r="M1383" s="119">
        <v>0</v>
      </c>
      <c r="N1383" s="119">
        <v>-0.9</v>
      </c>
      <c r="O1383" s="119">
        <v>-0.43900000000000006</v>
      </c>
      <c r="P1383" s="401">
        <v>-1.639</v>
      </c>
      <c r="Q1383" s="119">
        <v>-0.54900000000000004</v>
      </c>
      <c r="R1383" s="119">
        <v>-0.54400000000000004</v>
      </c>
      <c r="S1383" s="119">
        <v>-0.45</v>
      </c>
      <c r="T1383" s="119">
        <v>-0.76800000000000002</v>
      </c>
      <c r="U1383" s="401">
        <v>-2.3109999999999999</v>
      </c>
      <c r="V1383" s="119">
        <v>-0.61499999999999999</v>
      </c>
      <c r="W1383" s="119">
        <v>-0.67700000000000005</v>
      </c>
      <c r="X1383" s="119">
        <v>-0.625</v>
      </c>
      <c r="Y1383" s="119">
        <v>-0.50100000000000011</v>
      </c>
      <c r="Z1383" s="401">
        <v>-2.4180000000000001</v>
      </c>
      <c r="AA1383" s="119">
        <v>-0.74199999999999999</v>
      </c>
      <c r="AB1383" s="119">
        <v>-0.83899999999999997</v>
      </c>
      <c r="AC1383" s="119">
        <v>-0.96599999999999997</v>
      </c>
      <c r="AD1383" s="119">
        <v>-0.75700000000000012</v>
      </c>
      <c r="AE1383" s="401">
        <v>-3.3039999999999998</v>
      </c>
      <c r="AF1383" s="119">
        <v>-0.9</v>
      </c>
      <c r="AG1383" s="119">
        <v>-0.91100000000000003</v>
      </c>
      <c r="AH1383" s="119">
        <v>-0.748</v>
      </c>
      <c r="AI1383" s="119">
        <v>-0.57999999999999963</v>
      </c>
      <c r="AJ1383" s="401">
        <v>-3.1389999999999998</v>
      </c>
      <c r="AK1383" s="119">
        <v>-0.81899999999999995</v>
      </c>
      <c r="AL1383" s="119">
        <v>-1.1839999999999999</v>
      </c>
      <c r="AM1383" s="119">
        <v>-1.387</v>
      </c>
      <c r="AN1383" s="119">
        <v>-1.5399999999999996</v>
      </c>
      <c r="AO1383" s="401">
        <v>-4.93</v>
      </c>
      <c r="AP1383" s="119">
        <v>-1.8859999999999999</v>
      </c>
      <c r="AQ1383" s="119">
        <v>-1.4259999999999999</v>
      </c>
      <c r="AR1383" s="119">
        <v>-1.109</v>
      </c>
      <c r="AS1383" s="119">
        <v>-1.1530000000000005</v>
      </c>
      <c r="AT1383" s="401">
        <v>-5.5739999999999998</v>
      </c>
      <c r="AU1383" s="119">
        <v>-2.8010000000000002</v>
      </c>
      <c r="AV1383" s="119">
        <v>-3.048</v>
      </c>
      <c r="AW1383" s="119">
        <v>-3.073</v>
      </c>
      <c r="AX1383" s="119">
        <v>-3.2859999999999996</v>
      </c>
      <c r="AY1383" s="401">
        <v>-12.208</v>
      </c>
      <c r="AZ1383" s="119">
        <v>-2.109</v>
      </c>
      <c r="BA1383" s="119">
        <v>-1.048</v>
      </c>
      <c r="BB1383" s="119">
        <v>-0.82299999999999995</v>
      </c>
      <c r="BC1383" s="119">
        <v>-0.9229999999999996</v>
      </c>
      <c r="BD1383" s="401">
        <v>-4.9029999999999996</v>
      </c>
      <c r="BE1383" s="119">
        <v>-1.0549999999999999</v>
      </c>
      <c r="BF1383" s="119">
        <v>-1.264</v>
      </c>
      <c r="BG1383" s="119">
        <v>-1.4970000000000001</v>
      </c>
      <c r="BH1383" s="119">
        <v>-1.8120000000000003</v>
      </c>
      <c r="BI1383" s="402">
        <v>-5.6280000000000001</v>
      </c>
      <c r="BJ1383" s="302">
        <v>-1.5</v>
      </c>
      <c r="BK1383" s="302">
        <v>-1.5</v>
      </c>
      <c r="BL1383" s="302">
        <v>-1.5</v>
      </c>
      <c r="BM1383" s="302">
        <v>-1.5</v>
      </c>
      <c r="BN1383" s="401">
        <v>-6</v>
      </c>
      <c r="BO1383" s="302">
        <v>-1.5</v>
      </c>
      <c r="BP1383" s="302">
        <v>-1.5</v>
      </c>
      <c r="BQ1383" s="302">
        <v>-1.5</v>
      </c>
      <c r="BR1383" s="302">
        <v>-1.5</v>
      </c>
      <c r="BS1383" s="401">
        <v>-6</v>
      </c>
      <c r="BT1383" s="403">
        <v>-6</v>
      </c>
      <c r="BU1383" s="403">
        <v>-6</v>
      </c>
      <c r="BV1383" s="403">
        <v>-6</v>
      </c>
      <c r="BW1383" s="122"/>
    </row>
    <row r="1384" spans="1:75" s="123" customFormat="1" x14ac:dyDescent="0.5">
      <c r="A1384" s="118" t="s">
        <v>1309</v>
      </c>
      <c r="B1384" s="513"/>
      <c r="C1384" s="186"/>
      <c r="D1384" s="186"/>
      <c r="E1384" s="186"/>
      <c r="F1384" s="186"/>
      <c r="G1384" s="187"/>
      <c r="H1384" s="187"/>
      <c r="I1384" s="187"/>
      <c r="J1384" s="187"/>
      <c r="K1384" s="186">
        <v>6.6</v>
      </c>
      <c r="L1384" s="187">
        <v>2.4</v>
      </c>
      <c r="M1384" s="187">
        <v>4.3</v>
      </c>
      <c r="N1384" s="187">
        <v>6.0000000000000009</v>
      </c>
      <c r="O1384" s="187">
        <v>6.5510000000000002</v>
      </c>
      <c r="P1384" s="186">
        <v>19.251000000000001</v>
      </c>
      <c r="Q1384" s="187">
        <v>6.3010000000000002</v>
      </c>
      <c r="R1384" s="187">
        <v>8.07</v>
      </c>
      <c r="S1384" s="187">
        <v>11.661</v>
      </c>
      <c r="T1384" s="187">
        <v>13.899999999999999</v>
      </c>
      <c r="U1384" s="186">
        <v>39.932000000000002</v>
      </c>
      <c r="V1384" s="187">
        <v>12.05</v>
      </c>
      <c r="W1384" s="187">
        <v>12.311</v>
      </c>
      <c r="X1384" s="187">
        <v>12.388</v>
      </c>
      <c r="Y1384" s="187">
        <v>13.139999999999997</v>
      </c>
      <c r="Z1384" s="186">
        <v>49.888999999999996</v>
      </c>
      <c r="AA1384" s="187">
        <v>13.234999999999999</v>
      </c>
      <c r="AB1384" s="187">
        <v>15.336</v>
      </c>
      <c r="AC1384" s="187">
        <v>19.911000000000001</v>
      </c>
      <c r="AD1384" s="187">
        <v>17.905999999999999</v>
      </c>
      <c r="AE1384" s="186">
        <v>66.388000000000005</v>
      </c>
      <c r="AF1384" s="187">
        <v>16.160000000000004</v>
      </c>
      <c r="AG1384" s="187">
        <v>16.576999999999998</v>
      </c>
      <c r="AH1384" s="187">
        <v>18.725000000000001</v>
      </c>
      <c r="AI1384" s="187">
        <v>20.28</v>
      </c>
      <c r="AJ1384" s="186">
        <v>71.742000000000004</v>
      </c>
      <c r="AK1384" s="187">
        <v>22.219000000000001</v>
      </c>
      <c r="AL1384" s="187">
        <v>25.977000000000004</v>
      </c>
      <c r="AM1384" s="187">
        <v>23.43</v>
      </c>
      <c r="AN1384" s="187">
        <v>21.812999999999988</v>
      </c>
      <c r="AO1384" s="186">
        <v>93.438999999999993</v>
      </c>
      <c r="AP1384" s="187">
        <v>21.709000000000003</v>
      </c>
      <c r="AQ1384" s="187">
        <v>21.029999999999998</v>
      </c>
      <c r="AR1384" s="187">
        <v>16.987999999999996</v>
      </c>
      <c r="AS1384" s="187">
        <v>16.494999999999997</v>
      </c>
      <c r="AT1384" s="186">
        <v>76.221999999999994</v>
      </c>
      <c r="AU1384" s="187">
        <v>16.454000000000001</v>
      </c>
      <c r="AV1384" s="187">
        <v>17.02</v>
      </c>
      <c r="AW1384" s="187">
        <v>16.867999999999999</v>
      </c>
      <c r="AX1384" s="187">
        <v>28.748999999999999</v>
      </c>
      <c r="AY1384" s="186">
        <v>79.090999999999994</v>
      </c>
      <c r="AZ1384" s="187">
        <v>24.145000000000003</v>
      </c>
      <c r="BA1384" s="187">
        <v>33.704999999999998</v>
      </c>
      <c r="BB1384" s="187">
        <v>44.78</v>
      </c>
      <c r="BC1384" s="187">
        <v>54.003</v>
      </c>
      <c r="BD1384" s="186">
        <v>156.63300000000001</v>
      </c>
      <c r="BE1384" s="187">
        <v>57.494999999999997</v>
      </c>
      <c r="BF1384" s="187">
        <v>60.427000000000007</v>
      </c>
      <c r="BG1384" s="187">
        <v>61.284999999999997</v>
      </c>
      <c r="BH1384" s="187">
        <v>64.319999999999993</v>
      </c>
      <c r="BI1384" s="188">
        <v>243.52699999999999</v>
      </c>
      <c r="BJ1384" s="187">
        <v>59.538901000000003</v>
      </c>
      <c r="BK1384" s="187">
        <v>59.538901000000003</v>
      </c>
      <c r="BL1384" s="187">
        <v>59.538901000000003</v>
      </c>
      <c r="BM1384" s="187">
        <v>59.538901000000003</v>
      </c>
      <c r="BN1384" s="186">
        <v>238.15560400000001</v>
      </c>
      <c r="BO1384" s="187">
        <v>59.538901000000003</v>
      </c>
      <c r="BP1384" s="187">
        <v>59.538901000000003</v>
      </c>
      <c r="BQ1384" s="187">
        <v>59.538901000000003</v>
      </c>
      <c r="BR1384" s="187">
        <v>59.538901000000003</v>
      </c>
      <c r="BS1384" s="186">
        <v>238.15560400000001</v>
      </c>
      <c r="BT1384" s="186">
        <v>238.15560400000001</v>
      </c>
      <c r="BU1384" s="186">
        <v>238.15560400000001</v>
      </c>
      <c r="BV1384" s="186">
        <v>238.15560400000001</v>
      </c>
      <c r="BW1384" s="122"/>
    </row>
    <row r="1385" spans="1:75" s="123" customFormat="1" x14ac:dyDescent="0.5">
      <c r="A1385" s="445" t="s">
        <v>1310</v>
      </c>
      <c r="B1385" s="677"/>
      <c r="C1385" s="874"/>
      <c r="D1385" s="874"/>
      <c r="E1385" s="874"/>
      <c r="F1385" s="874"/>
      <c r="G1385" s="875"/>
      <c r="H1385" s="875"/>
      <c r="I1385" s="875"/>
      <c r="J1385" s="875"/>
      <c r="K1385" s="874">
        <v>0</v>
      </c>
      <c r="L1385" s="875">
        <v>0</v>
      </c>
      <c r="M1385" s="875">
        <v>1.5760000000000001</v>
      </c>
      <c r="N1385" s="875">
        <v>2.3330000000000002</v>
      </c>
      <c r="O1385" s="875">
        <v>2.9430000000000001</v>
      </c>
      <c r="P1385" s="874">
        <v>6.8520000000000003</v>
      </c>
      <c r="Q1385" s="875">
        <v>2.702</v>
      </c>
      <c r="R1385" s="875">
        <v>4.4930000000000003</v>
      </c>
      <c r="S1385" s="875">
        <v>6.415</v>
      </c>
      <c r="T1385" s="875">
        <v>6.1930000000000014</v>
      </c>
      <c r="U1385" s="874">
        <v>19.803000000000001</v>
      </c>
      <c r="V1385" s="875">
        <v>6.4420000000000002</v>
      </c>
      <c r="W1385" s="875">
        <v>6.4790000000000001</v>
      </c>
      <c r="X1385" s="875">
        <v>6.6289999999999996</v>
      </c>
      <c r="Y1385" s="875">
        <v>6.8540000000000001</v>
      </c>
      <c r="Z1385" s="874">
        <v>26.404</v>
      </c>
      <c r="AA1385" s="875">
        <v>6.7149999999999999</v>
      </c>
      <c r="AB1385" s="875">
        <v>6.79</v>
      </c>
      <c r="AC1385" s="875">
        <v>6.8789999999999996</v>
      </c>
      <c r="AD1385" s="875">
        <v>7.5419999999999998</v>
      </c>
      <c r="AE1385" s="874">
        <v>27.925999999999998</v>
      </c>
      <c r="AF1385" s="875">
        <v>7.2720000000000002</v>
      </c>
      <c r="AG1385" s="875">
        <v>9</v>
      </c>
      <c r="AH1385" s="875">
        <v>11.282999999999999</v>
      </c>
      <c r="AI1385" s="875">
        <v>11.661</v>
      </c>
      <c r="AJ1385" s="874">
        <v>39.216000000000001</v>
      </c>
      <c r="AK1385" s="875">
        <v>11.689</v>
      </c>
      <c r="AL1385" s="875">
        <v>9.9179999999999993</v>
      </c>
      <c r="AM1385" s="875">
        <v>9.6379999999999999</v>
      </c>
      <c r="AN1385" s="875">
        <v>11.3</v>
      </c>
      <c r="AO1385" s="874">
        <v>42.545000000000002</v>
      </c>
      <c r="AP1385" s="875">
        <v>11.125</v>
      </c>
      <c r="AQ1385" s="875">
        <v>11.113</v>
      </c>
      <c r="AR1385" s="875">
        <v>7.3689999999999998</v>
      </c>
      <c r="AS1385" s="875">
        <v>7.4480000000000004</v>
      </c>
      <c r="AT1385" s="874">
        <v>37.055</v>
      </c>
      <c r="AU1385" s="875">
        <v>5.9809999999999999</v>
      </c>
      <c r="AV1385" s="875">
        <v>5.8650000000000002</v>
      </c>
      <c r="AW1385" s="875">
        <v>4.0229999999999997</v>
      </c>
      <c r="AX1385" s="875">
        <v>2.6080000000000001</v>
      </c>
      <c r="AY1385" s="874">
        <v>18.477</v>
      </c>
      <c r="AZ1385" s="875">
        <v>0</v>
      </c>
      <c r="BA1385" s="875">
        <v>0</v>
      </c>
      <c r="BB1385" s="875">
        <v>0</v>
      </c>
      <c r="BC1385" s="875">
        <v>0</v>
      </c>
      <c r="BD1385" s="874">
        <v>0</v>
      </c>
      <c r="BE1385" s="875">
        <v>0</v>
      </c>
      <c r="BF1385" s="875">
        <v>0</v>
      </c>
      <c r="BG1385" s="875">
        <v>0</v>
      </c>
      <c r="BH1385" s="875">
        <v>0</v>
      </c>
      <c r="BI1385" s="876">
        <v>0</v>
      </c>
      <c r="BJ1385" s="877">
        <v>0</v>
      </c>
      <c r="BK1385" s="877">
        <v>0</v>
      </c>
      <c r="BL1385" s="877">
        <v>0</v>
      </c>
      <c r="BM1385" s="877">
        <v>0</v>
      </c>
      <c r="BN1385" s="874">
        <v>0</v>
      </c>
      <c r="BO1385" s="877">
        <v>0</v>
      </c>
      <c r="BP1385" s="877">
        <v>0</v>
      </c>
      <c r="BQ1385" s="877">
        <v>0</v>
      </c>
      <c r="BR1385" s="877">
        <v>0</v>
      </c>
      <c r="BS1385" s="874">
        <v>0</v>
      </c>
      <c r="BT1385" s="878">
        <v>0</v>
      </c>
      <c r="BU1385" s="878">
        <v>0</v>
      </c>
      <c r="BV1385" s="878">
        <v>0</v>
      </c>
      <c r="BW1385" s="118"/>
    </row>
    <row r="1386" spans="1:75" s="123" customFormat="1" x14ac:dyDescent="0.5">
      <c r="A1386" s="879" t="s">
        <v>1311</v>
      </c>
      <c r="B1386" s="880"/>
      <c r="C1386" s="612"/>
      <c r="D1386" s="612"/>
      <c r="E1386" s="612"/>
      <c r="F1386" s="612"/>
      <c r="G1386" s="613"/>
      <c r="H1386" s="613"/>
      <c r="I1386" s="613"/>
      <c r="J1386" s="613"/>
      <c r="K1386" s="612">
        <v>5.6999999999999993</v>
      </c>
      <c r="L1386" s="613">
        <v>2.1</v>
      </c>
      <c r="M1386" s="613">
        <v>2.7239999999999998</v>
      </c>
      <c r="N1386" s="613">
        <v>2.7670000000000003</v>
      </c>
      <c r="O1386" s="613">
        <v>3.169</v>
      </c>
      <c r="P1386" s="612">
        <v>10.760000000000002</v>
      </c>
      <c r="Q1386" s="613">
        <v>3.05</v>
      </c>
      <c r="R1386" s="613">
        <v>3.0329999999999995</v>
      </c>
      <c r="S1386" s="613">
        <v>4.7960000000000003</v>
      </c>
      <c r="T1386" s="613">
        <v>6.9389999999999965</v>
      </c>
      <c r="U1386" s="612">
        <v>17.818000000000001</v>
      </c>
      <c r="V1386" s="613">
        <v>4.9930000000000003</v>
      </c>
      <c r="W1386" s="613">
        <v>5.1550000000000002</v>
      </c>
      <c r="X1386" s="613">
        <v>5.1340000000000003</v>
      </c>
      <c r="Y1386" s="613">
        <v>5.7849999999999975</v>
      </c>
      <c r="Z1386" s="612">
        <v>21.066999999999997</v>
      </c>
      <c r="AA1386" s="613">
        <v>5.7779999999999987</v>
      </c>
      <c r="AB1386" s="613">
        <v>7.7069999999999999</v>
      </c>
      <c r="AC1386" s="613">
        <v>12.066000000000001</v>
      </c>
      <c r="AD1386" s="613">
        <v>9.6069999999999975</v>
      </c>
      <c r="AE1386" s="612">
        <v>35.158000000000001</v>
      </c>
      <c r="AF1386" s="613">
        <v>7.9880000000000031</v>
      </c>
      <c r="AG1386" s="613">
        <v>6.6659999999999986</v>
      </c>
      <c r="AH1386" s="613">
        <v>6.6940000000000008</v>
      </c>
      <c r="AI1386" s="613">
        <v>8.0390000000000033</v>
      </c>
      <c r="AJ1386" s="612">
        <v>29.387000000000008</v>
      </c>
      <c r="AK1386" s="613">
        <v>9.7110000000000021</v>
      </c>
      <c r="AL1386" s="613">
        <v>14.875000000000004</v>
      </c>
      <c r="AM1386" s="613">
        <v>12.404999999999999</v>
      </c>
      <c r="AN1386" s="613">
        <v>8.9729999999999883</v>
      </c>
      <c r="AO1386" s="612">
        <v>45.963999999999984</v>
      </c>
      <c r="AP1386" s="613">
        <v>8.698000000000004</v>
      </c>
      <c r="AQ1386" s="613">
        <v>8.4909999999999997</v>
      </c>
      <c r="AR1386" s="613">
        <v>8.5099999999999962</v>
      </c>
      <c r="AS1386" s="613">
        <v>7.8939999999999966</v>
      </c>
      <c r="AT1386" s="612">
        <v>33.592999999999996</v>
      </c>
      <c r="AU1386" s="613">
        <v>7.6720000000000006</v>
      </c>
      <c r="AV1386" s="613">
        <v>8.1069999999999993</v>
      </c>
      <c r="AW1386" s="613">
        <v>9.7719999999999985</v>
      </c>
      <c r="AX1386" s="613">
        <v>22.855</v>
      </c>
      <c r="AY1386" s="612">
        <v>48.405999999999992</v>
      </c>
      <c r="AZ1386" s="613">
        <v>22.036000000000001</v>
      </c>
      <c r="BA1386" s="613">
        <v>32.656999999999996</v>
      </c>
      <c r="BB1386" s="613">
        <v>43.957000000000001</v>
      </c>
      <c r="BC1386" s="613">
        <v>53.08</v>
      </c>
      <c r="BD1386" s="612">
        <v>151.73000000000002</v>
      </c>
      <c r="BE1386" s="613">
        <v>56.44</v>
      </c>
      <c r="BF1386" s="613">
        <v>59.163000000000004</v>
      </c>
      <c r="BG1386" s="613">
        <v>59.787999999999997</v>
      </c>
      <c r="BH1386" s="613">
        <v>62.507999999999996</v>
      </c>
      <c r="BI1386" s="614">
        <v>237.899</v>
      </c>
      <c r="BJ1386" s="613">
        <v>58.038901000000003</v>
      </c>
      <c r="BK1386" s="613">
        <v>58.038901000000003</v>
      </c>
      <c r="BL1386" s="613">
        <v>58.038901000000003</v>
      </c>
      <c r="BM1386" s="613">
        <v>58.038901000000003</v>
      </c>
      <c r="BN1386" s="612">
        <v>232.15560400000001</v>
      </c>
      <c r="BO1386" s="613">
        <v>58.038901000000003</v>
      </c>
      <c r="BP1386" s="613">
        <v>58.038901000000003</v>
      </c>
      <c r="BQ1386" s="613">
        <v>58.038901000000003</v>
      </c>
      <c r="BR1386" s="613">
        <v>58.038901000000003</v>
      </c>
      <c r="BS1386" s="612">
        <v>232.15560400000001</v>
      </c>
      <c r="BT1386" s="612">
        <v>232.15560400000001</v>
      </c>
      <c r="BU1386" s="612">
        <v>232.15560400000001</v>
      </c>
      <c r="BV1386" s="612">
        <v>232.15560400000001</v>
      </c>
      <c r="BW1386" s="118"/>
    </row>
    <row r="1387" spans="1:75" s="123" customFormat="1" x14ac:dyDescent="0.5">
      <c r="A1387" s="295" t="s">
        <v>1312</v>
      </c>
      <c r="B1387" s="522"/>
      <c r="C1387" s="180"/>
      <c r="D1387" s="180"/>
      <c r="E1387" s="180"/>
      <c r="F1387" s="180"/>
      <c r="G1387" s="181"/>
      <c r="H1387" s="181"/>
      <c r="I1387" s="181"/>
      <c r="J1387" s="181"/>
      <c r="K1387" s="180">
        <v>5.2997250186536365E-2</v>
      </c>
      <c r="L1387" s="181">
        <v>6.2119609829688748E-2</v>
      </c>
      <c r="M1387" s="181">
        <v>5.0894721354203157E-2</v>
      </c>
      <c r="N1387" s="181">
        <v>3.9565593519650527E-2</v>
      </c>
      <c r="O1387" s="181">
        <v>3.6701604030343393E-2</v>
      </c>
      <c r="P1387" s="180">
        <v>3.8465044533298541E-2</v>
      </c>
      <c r="Q1387" s="181">
        <v>2.8058167801642556E-2</v>
      </c>
      <c r="R1387" s="181">
        <v>2.1064328500737906E-2</v>
      </c>
      <c r="S1387" s="181">
        <v>2.7203938785465523E-2</v>
      </c>
      <c r="T1387" s="181">
        <v>4.0072273310344256E-2</v>
      </c>
      <c r="U1387" s="180">
        <v>2.8090841980342875E-2</v>
      </c>
      <c r="V1387" s="181">
        <v>2.9656203643620691E-2</v>
      </c>
      <c r="W1387" s="181">
        <v>3.0094215912134233E-2</v>
      </c>
      <c r="X1387" s="181">
        <v>2.883961824299654E-2</v>
      </c>
      <c r="Y1387" s="181">
        <v>3.115562598707727E-2</v>
      </c>
      <c r="Z1387" s="180">
        <v>2.950757561167431E-2</v>
      </c>
      <c r="AA1387" s="181">
        <v>3.0840108818652338E-2</v>
      </c>
      <c r="AB1387" s="181">
        <v>3.1014601397441763E-2</v>
      </c>
      <c r="AC1387" s="181">
        <v>3.9685781951669073E-2</v>
      </c>
      <c r="AD1387" s="181">
        <v>3.1289142460905847E-2</v>
      </c>
      <c r="AE1387" s="180">
        <v>3.2322329693646686E-2</v>
      </c>
      <c r="AF1387" s="181">
        <v>2.8821417618300243E-2</v>
      </c>
      <c r="AG1387" s="181">
        <v>2.4387600408838032E-2</v>
      </c>
      <c r="AH1387" s="181">
        <v>2.3851220263916929E-2</v>
      </c>
      <c r="AI1387" s="181">
        <v>2.7581900385731464E-2</v>
      </c>
      <c r="AJ1387" s="180">
        <v>2.6015639748855728E-2</v>
      </c>
      <c r="AK1387" s="181">
        <v>2.7354120511928523E-2</v>
      </c>
      <c r="AL1387" s="181">
        <v>3.7259527323757743E-2</v>
      </c>
      <c r="AM1387" s="181">
        <v>3.38492928792671E-2</v>
      </c>
      <c r="AN1387" s="181">
        <v>2.5572462792323093E-2</v>
      </c>
      <c r="AO1387" s="180">
        <v>3.0638091378354153E-2</v>
      </c>
      <c r="AP1387" s="181">
        <v>2.5043809751408245E-2</v>
      </c>
      <c r="AQ1387" s="181">
        <v>2.5670473324860651E-2</v>
      </c>
      <c r="AR1387" s="181">
        <v>2.8311447547512525E-2</v>
      </c>
      <c r="AS1387" s="181">
        <v>2.7961525451045174E-2</v>
      </c>
      <c r="AT1387" s="180">
        <v>2.7396662578738486E-2</v>
      </c>
      <c r="AU1387" s="181">
        <v>2.7596799677701612E-2</v>
      </c>
      <c r="AV1387" s="181">
        <v>2.8922892503308983E-2</v>
      </c>
      <c r="AW1387" s="181">
        <v>1.9370234469135994E-2</v>
      </c>
      <c r="AX1387" s="181">
        <v>3.1875427120960656E-2</v>
      </c>
      <c r="AY1387" s="180">
        <v>2.426835467915095E-2</v>
      </c>
      <c r="AZ1387" s="181">
        <v>3.0301254158541527E-2</v>
      </c>
      <c r="BA1387" s="181">
        <v>4.2422865634890485E-2</v>
      </c>
      <c r="BB1387" s="181">
        <v>5.5533692339276408E-2</v>
      </c>
      <c r="BC1387" s="181">
        <v>6.7034823567893129E-2</v>
      </c>
      <c r="BD1387" s="180">
        <v>4.8580824694158614E-2</v>
      </c>
      <c r="BE1387" s="181">
        <v>7.2848548677777111E-2</v>
      </c>
      <c r="BF1387" s="181">
        <v>7.656717924560047E-2</v>
      </c>
      <c r="BG1387" s="181">
        <v>7.7568505233051172E-2</v>
      </c>
      <c r="BH1387" s="181">
        <v>7.6421133518649015E-2</v>
      </c>
      <c r="BI1387" s="182">
        <v>7.6167823489692005E-2</v>
      </c>
      <c r="BJ1387" s="881">
        <v>7.5999999999999998E-2</v>
      </c>
      <c r="BK1387" s="881">
        <v>7.5999999999999998E-2</v>
      </c>
      <c r="BL1387" s="881">
        <v>7.5999999999999998E-2</v>
      </c>
      <c r="BM1387" s="881">
        <v>7.5999999999999998E-2</v>
      </c>
      <c r="BN1387" s="180">
        <v>7.5999999999999998E-2</v>
      </c>
      <c r="BO1387" s="881">
        <v>7.5999999999999998E-2</v>
      </c>
      <c r="BP1387" s="881">
        <v>7.5999999999999998E-2</v>
      </c>
      <c r="BQ1387" s="881">
        <v>7.5999999999999998E-2</v>
      </c>
      <c r="BR1387" s="881">
        <v>7.5999999999999998E-2</v>
      </c>
      <c r="BS1387" s="180">
        <v>7.5999999999999998E-2</v>
      </c>
      <c r="BT1387" s="882">
        <v>7.5999999999999998E-2</v>
      </c>
      <c r="BU1387" s="882">
        <v>7.5999999999999998E-2</v>
      </c>
      <c r="BV1387" s="882">
        <v>7.5999999999999998E-2</v>
      </c>
      <c r="BW1387" s="122"/>
    </row>
    <row r="1388" spans="1:75" s="123" customFormat="1" x14ac:dyDescent="0.5">
      <c r="A1388" s="118" t="s">
        <v>1313</v>
      </c>
      <c r="B1388" s="513"/>
      <c r="C1388" s="186"/>
      <c r="D1388" s="186"/>
      <c r="E1388" s="186"/>
      <c r="F1388" s="186"/>
      <c r="G1388" s="187"/>
      <c r="H1388" s="187"/>
      <c r="I1388" s="187"/>
      <c r="J1388" s="187"/>
      <c r="K1388" s="186">
        <v>0</v>
      </c>
      <c r="L1388" s="187">
        <v>0</v>
      </c>
      <c r="M1388" s="187">
        <v>0</v>
      </c>
      <c r="N1388" s="187">
        <v>0</v>
      </c>
      <c r="O1388" s="187">
        <v>6.0999999999999999E-2</v>
      </c>
      <c r="P1388" s="186">
        <v>6.0999999999999999E-2</v>
      </c>
      <c r="Q1388" s="187">
        <v>0.10299999999999999</v>
      </c>
      <c r="R1388" s="187">
        <v>0.12</v>
      </c>
      <c r="S1388" s="187">
        <v>0.20799999999999999</v>
      </c>
      <c r="T1388" s="187">
        <v>1.5129999999999999</v>
      </c>
      <c r="U1388" s="186">
        <v>1.944</v>
      </c>
      <c r="V1388" s="187">
        <v>0.90700000000000003</v>
      </c>
      <c r="W1388" s="187">
        <v>0.72499999999999998</v>
      </c>
      <c r="X1388" s="187">
        <v>0.67200000000000004</v>
      </c>
      <c r="Y1388" s="187">
        <v>0.68499999999999961</v>
      </c>
      <c r="Z1388" s="186">
        <v>2.9889999999999999</v>
      </c>
      <c r="AA1388" s="187">
        <v>0.314</v>
      </c>
      <c r="AB1388" s="187">
        <v>9.5000000000000001E-2</v>
      </c>
      <c r="AC1388" s="187">
        <v>0.03</v>
      </c>
      <c r="AD1388" s="187">
        <v>7.4999999999999956E-2</v>
      </c>
      <c r="AE1388" s="186">
        <v>0.51400000000000001</v>
      </c>
      <c r="AF1388" s="187">
        <v>0.16200000000000001</v>
      </c>
      <c r="AG1388" s="187">
        <v>0.19900000000000001</v>
      </c>
      <c r="AH1388" s="187">
        <v>0.28199999999999997</v>
      </c>
      <c r="AI1388" s="187">
        <v>0.19099999999999995</v>
      </c>
      <c r="AJ1388" s="186">
        <v>0.83399999999999996</v>
      </c>
      <c r="AK1388" s="187">
        <v>0.28199999999999997</v>
      </c>
      <c r="AL1388" s="187">
        <v>0.28000000000000003</v>
      </c>
      <c r="AM1388" s="187">
        <v>0.47899999999999998</v>
      </c>
      <c r="AN1388" s="187">
        <v>0.29100000000000015</v>
      </c>
      <c r="AO1388" s="186">
        <v>1.3320000000000001</v>
      </c>
      <c r="AP1388" s="187">
        <v>0.19400000000000001</v>
      </c>
      <c r="AQ1388" s="187">
        <v>0.186</v>
      </c>
      <c r="AR1388" s="187">
        <v>0.223</v>
      </c>
      <c r="AS1388" s="187">
        <v>0.79499999999999993</v>
      </c>
      <c r="AT1388" s="186">
        <v>1.3979999999999999</v>
      </c>
      <c r="AU1388" s="187">
        <v>0.34499999999999997</v>
      </c>
      <c r="AV1388" s="187">
        <v>0.39100000000000001</v>
      </c>
      <c r="AW1388" s="187">
        <v>0.57199999999999995</v>
      </c>
      <c r="AX1388" s="187">
        <v>0.62800000000000011</v>
      </c>
      <c r="AY1388" s="186">
        <v>1.9359999999999999</v>
      </c>
      <c r="AZ1388" s="187">
        <v>1.181</v>
      </c>
      <c r="BA1388" s="187">
        <v>6.3929999999999998</v>
      </c>
      <c r="BB1388" s="187">
        <v>12.54</v>
      </c>
      <c r="BC1388" s="187">
        <v>18.406000000000006</v>
      </c>
      <c r="BD1388" s="186">
        <v>38.520000000000003</v>
      </c>
      <c r="BE1388" s="187">
        <v>16.623999999999999</v>
      </c>
      <c r="BF1388" s="187">
        <v>14.741</v>
      </c>
      <c r="BG1388" s="187">
        <v>5.1479999999999997</v>
      </c>
      <c r="BH1388" s="187">
        <v>3.0900000000000034</v>
      </c>
      <c r="BI1388" s="188">
        <v>39.603000000000002</v>
      </c>
      <c r="BJ1388" s="187">
        <v>1.23688</v>
      </c>
      <c r="BK1388" s="187">
        <v>1.3053918006531644</v>
      </c>
      <c r="BL1388" s="187">
        <v>1.6256070574047721</v>
      </c>
      <c r="BM1388" s="187">
        <v>1.9465349697718126</v>
      </c>
      <c r="BN1388" s="186">
        <v>6.1144138278297495</v>
      </c>
      <c r="BO1388" s="187">
        <v>1.9251983822717393</v>
      </c>
      <c r="BP1388" s="187">
        <v>1.7402528128427011</v>
      </c>
      <c r="BQ1388" s="187">
        <v>2.3477337098685549</v>
      </c>
      <c r="BR1388" s="187">
        <v>2.8852348102973999</v>
      </c>
      <c r="BS1388" s="186">
        <v>8.8984197152803954</v>
      </c>
      <c r="BT1388" s="186">
        <v>12.978464077450553</v>
      </c>
      <c r="BU1388" s="186">
        <v>21.823124647778869</v>
      </c>
      <c r="BV1388" s="186">
        <v>33.716949945426471</v>
      </c>
      <c r="BW1388" s="122"/>
    </row>
    <row r="1389" spans="1:75" s="123" customFormat="1" x14ac:dyDescent="0.5">
      <c r="A1389" s="295" t="s">
        <v>1314</v>
      </c>
      <c r="B1389" s="522"/>
      <c r="C1389" s="180"/>
      <c r="D1389" s="180"/>
      <c r="E1389" s="180"/>
      <c r="F1389" s="180"/>
      <c r="G1389" s="181"/>
      <c r="H1389" s="181"/>
      <c r="I1389" s="181"/>
      <c r="J1389" s="181"/>
      <c r="K1389" s="180">
        <v>0</v>
      </c>
      <c r="L1389" s="181">
        <v>0</v>
      </c>
      <c r="M1389" s="181">
        <v>0</v>
      </c>
      <c r="N1389" s="181">
        <v>0</v>
      </c>
      <c r="O1389" s="181">
        <v>1.3252622688598669E-3</v>
      </c>
      <c r="P1389" s="180">
        <v>4.3519826491445856E-4</v>
      </c>
      <c r="Q1389" s="181">
        <v>2.1107854991085518E-3</v>
      </c>
      <c r="R1389" s="181">
        <v>1.5144010070766696E-3</v>
      </c>
      <c r="S1389" s="181">
        <v>1.975568955548511E-3</v>
      </c>
      <c r="T1389" s="181">
        <v>1.3939128021401582E-2</v>
      </c>
      <c r="U1389" s="180">
        <v>5.1761977445996402E-3</v>
      </c>
      <c r="V1389" s="181">
        <v>8.8709687278791232E-3</v>
      </c>
      <c r="W1389" s="181">
        <v>1.0626953618844154E-2</v>
      </c>
      <c r="X1389" s="181">
        <v>1.2383957982999703E-2</v>
      </c>
      <c r="Y1389" s="181">
        <v>1.2036575374660364E-2</v>
      </c>
      <c r="Z1389" s="180">
        <v>1.1943328128855285E-2</v>
      </c>
      <c r="AA1389" s="181">
        <v>8.2630553245366858E-3</v>
      </c>
      <c r="AB1389" s="181">
        <v>7.6101602819160065E-3</v>
      </c>
      <c r="AC1389" s="181">
        <v>5.5849536431284872E-3</v>
      </c>
      <c r="AD1389" s="181">
        <v>1.4171981902646496E-2</v>
      </c>
      <c r="AE1389" s="180">
        <v>1.4493570945183847E-2</v>
      </c>
      <c r="AF1389" s="181">
        <v>3.3485776296411127E-2</v>
      </c>
      <c r="AG1389" s="181">
        <v>3.7027561344342361E-2</v>
      </c>
      <c r="AH1389" s="181">
        <v>7.5315483741737327E-2</v>
      </c>
      <c r="AI1389" s="181">
        <v>0.11270098834636375</v>
      </c>
      <c r="AJ1389" s="180">
        <v>5.898891305501034E-2</v>
      </c>
      <c r="AK1389" s="181">
        <v>5.203792125112449E-2</v>
      </c>
      <c r="AL1389" s="181">
        <v>4.5616535994297935E-2</v>
      </c>
      <c r="AM1389" s="181">
        <v>7.6935432059106967E-2</v>
      </c>
      <c r="AN1389" s="181">
        <v>2.7097810524845493E-2</v>
      </c>
      <c r="AO1389" s="180">
        <v>3.9461989690110798E-2</v>
      </c>
      <c r="AP1389" s="181">
        <v>2.3926247957327413E-2</v>
      </c>
      <c r="AQ1389" s="181">
        <v>4.3011995953172427E-2</v>
      </c>
      <c r="AR1389" s="181">
        <v>1.6630776258261787E-2</v>
      </c>
      <c r="AS1389" s="181">
        <v>3.3415646508695426E-2</v>
      </c>
      <c r="AT1389" s="180">
        <v>2.4861620540180058E-2</v>
      </c>
      <c r="AU1389" s="181">
        <v>8.364320717149586E-3</v>
      </c>
      <c r="AV1389" s="181">
        <v>6.0039770589725662E-3</v>
      </c>
      <c r="AW1389" s="181">
        <v>1.8374395985901184E-3</v>
      </c>
      <c r="AX1389" s="181">
        <v>1.1478574774095526E-3</v>
      </c>
      <c r="AY1389" s="180">
        <v>1.5811057858589851E-3</v>
      </c>
      <c r="AZ1389" s="181">
        <v>2.1370034543095632E-3</v>
      </c>
      <c r="BA1389" s="181">
        <v>1.1816088214962979E-2</v>
      </c>
      <c r="BB1389" s="181">
        <v>2.3685252459717712E-2</v>
      </c>
      <c r="BC1389" s="181">
        <v>4.0247452076181751E-2</v>
      </c>
      <c r="BD1389" s="180">
        <v>1.9291582732380751E-2</v>
      </c>
      <c r="BE1389" s="181">
        <v>4.4812875757172715E-2</v>
      </c>
      <c r="BF1389" s="181">
        <v>6.2157319382711053E-2</v>
      </c>
      <c r="BG1389" s="181">
        <v>5.2618515760734667E-2</v>
      </c>
      <c r="BH1389" s="181">
        <v>4.6384819245918897E-2</v>
      </c>
      <c r="BI1389" s="182">
        <v>6.4973038641674169E-2</v>
      </c>
      <c r="BJ1389" s="881">
        <v>0.04</v>
      </c>
      <c r="BK1389" s="881">
        <v>0.04</v>
      </c>
      <c r="BL1389" s="881">
        <v>0.04</v>
      </c>
      <c r="BM1389" s="881">
        <v>0.04</v>
      </c>
      <c r="BN1389" s="180">
        <v>3.5952694529120852E-2</v>
      </c>
      <c r="BO1389" s="881">
        <v>0.04</v>
      </c>
      <c r="BP1389" s="881">
        <v>0.04</v>
      </c>
      <c r="BQ1389" s="881">
        <v>0.04</v>
      </c>
      <c r="BR1389" s="881">
        <v>0.04</v>
      </c>
      <c r="BS1389" s="180">
        <v>3.4834845803120185E-2</v>
      </c>
      <c r="BT1389" s="882">
        <v>0.04</v>
      </c>
      <c r="BU1389" s="882">
        <v>0.04</v>
      </c>
      <c r="BV1389" s="882">
        <v>0.04</v>
      </c>
      <c r="BW1389" s="122"/>
    </row>
    <row r="1390" spans="1:75" s="123" customFormat="1" hidden="1" outlineLevel="1" x14ac:dyDescent="0.5">
      <c r="A1390" s="118" t="s">
        <v>1315</v>
      </c>
      <c r="B1390" s="513"/>
      <c r="C1390" s="186">
        <v>3.2410000000000001</v>
      </c>
      <c r="D1390" s="186">
        <v>3.15</v>
      </c>
      <c r="E1390" s="186">
        <v>5.1340000000000003</v>
      </c>
      <c r="F1390" s="186">
        <v>5.7760000000000007</v>
      </c>
      <c r="G1390" s="187">
        <v>0.84</v>
      </c>
      <c r="H1390" s="187">
        <v>1.1910000000000001</v>
      </c>
      <c r="I1390" s="187">
        <v>2.165</v>
      </c>
      <c r="J1390" s="187">
        <v>1.5369999999999999</v>
      </c>
      <c r="K1390" s="186">
        <v>5.7329999999999997</v>
      </c>
      <c r="L1390" s="187">
        <v>2.056</v>
      </c>
      <c r="M1390" s="187">
        <v>4.3460000000000001</v>
      </c>
      <c r="N1390" s="187">
        <v>5.21</v>
      </c>
      <c r="O1390" s="187">
        <v>5.9390000000000001</v>
      </c>
      <c r="P1390" s="186">
        <v>17.551000000000002</v>
      </c>
      <c r="Q1390" s="187">
        <v>5.649</v>
      </c>
      <c r="R1390" s="187">
        <v>7.4059999999999997</v>
      </c>
      <c r="S1390" s="187">
        <v>11.003</v>
      </c>
      <c r="T1390" s="187">
        <v>11.618999999999998</v>
      </c>
      <c r="U1390" s="186">
        <v>35.677</v>
      </c>
      <c r="V1390" s="187">
        <v>10.528</v>
      </c>
      <c r="W1390" s="187">
        <v>10.909000000000001</v>
      </c>
      <c r="X1390" s="187">
        <v>11.090999999999999</v>
      </c>
      <c r="Y1390" s="187">
        <v>11.953999999999997</v>
      </c>
      <c r="Z1390" s="186">
        <v>44.481999999999999</v>
      </c>
      <c r="AA1390" s="187">
        <v>12.178999999999998</v>
      </c>
      <c r="AB1390" s="187">
        <v>14.401999999999999</v>
      </c>
      <c r="AC1390" s="187">
        <v>18.914999999999999</v>
      </c>
      <c r="AD1390" s="187">
        <v>17.073999999999998</v>
      </c>
      <c r="AE1390" s="186">
        <v>62.57</v>
      </c>
      <c r="AF1390" s="187">
        <v>15.098000000000003</v>
      </c>
      <c r="AG1390" s="187">
        <v>15.466999999999999</v>
      </c>
      <c r="AH1390" s="187">
        <v>17.695</v>
      </c>
      <c r="AI1390" s="187">
        <v>19.509000000000004</v>
      </c>
      <c r="AJ1390" s="186">
        <v>67.769000000000005</v>
      </c>
      <c r="AK1390" s="187">
        <v>21.118000000000002</v>
      </c>
      <c r="AL1390" s="187">
        <v>24.513000000000002</v>
      </c>
      <c r="AM1390" s="187">
        <v>21.564</v>
      </c>
      <c r="AN1390" s="187">
        <v>19.981999999999989</v>
      </c>
      <c r="AO1390" s="186">
        <v>87.176999999999992</v>
      </c>
      <c r="AP1390" s="187">
        <v>19.629000000000005</v>
      </c>
      <c r="AQ1390" s="187">
        <v>19.417999999999999</v>
      </c>
      <c r="AR1390" s="187">
        <v>15.655999999999995</v>
      </c>
      <c r="AS1390" s="187">
        <v>14.546999999999997</v>
      </c>
      <c r="AT1390" s="186">
        <v>69.25</v>
      </c>
      <c r="AU1390" s="187">
        <v>13.308</v>
      </c>
      <c r="AV1390" s="187">
        <v>13.581</v>
      </c>
      <c r="AW1390" s="187">
        <v>13.222999999999999</v>
      </c>
      <c r="AX1390" s="187">
        <v>24.835000000000001</v>
      </c>
      <c r="AY1390" s="186">
        <v>64.947000000000003</v>
      </c>
      <c r="AZ1390" s="187">
        <v>20.855</v>
      </c>
      <c r="BA1390" s="187">
        <v>26.263999999999996</v>
      </c>
      <c r="BB1390" s="187">
        <v>31.417000000000002</v>
      </c>
      <c r="BC1390" s="187">
        <v>34.673999999999992</v>
      </c>
      <c r="BD1390" s="186">
        <v>113.21000000000001</v>
      </c>
      <c r="BE1390" s="187">
        <v>39.816000000000003</v>
      </c>
      <c r="BF1390" s="187">
        <v>44.422000000000004</v>
      </c>
      <c r="BG1390" s="187">
        <v>54.64</v>
      </c>
      <c r="BH1390" s="187">
        <v>59.417999999999992</v>
      </c>
      <c r="BI1390" s="188">
        <v>198.29599999999999</v>
      </c>
      <c r="BJ1390" s="187">
        <v>56.802021000000003</v>
      </c>
      <c r="BK1390" s="187">
        <v>56.733509199346841</v>
      </c>
      <c r="BL1390" s="187">
        <v>56.413293942595232</v>
      </c>
      <c r="BM1390" s="187">
        <v>56.092366030228192</v>
      </c>
      <c r="BN1390" s="186">
        <v>226.04119017217027</v>
      </c>
      <c r="BO1390" s="187">
        <v>56.113702617728265</v>
      </c>
      <c r="BP1390" s="187">
        <v>56.298648187157305</v>
      </c>
      <c r="BQ1390" s="187">
        <v>55.691167290131446</v>
      </c>
      <c r="BR1390" s="187">
        <v>55.153666189702605</v>
      </c>
      <c r="BS1390" s="186">
        <v>223.25718428471961</v>
      </c>
      <c r="BT1390" s="186">
        <v>219.17713992254946</v>
      </c>
      <c r="BU1390" s="186">
        <v>210.33247935222113</v>
      </c>
      <c r="BV1390" s="186">
        <v>198.43865405457353</v>
      </c>
      <c r="BW1390" s="122"/>
    </row>
    <row r="1391" spans="1:75" s="123" customFormat="1" hidden="1" outlineLevel="1" x14ac:dyDescent="0.5">
      <c r="A1391" s="295" t="s">
        <v>1316</v>
      </c>
      <c r="B1391" s="522"/>
      <c r="C1391" s="180"/>
      <c r="D1391" s="180">
        <v>2.7576184681648266E-2</v>
      </c>
      <c r="E1391" s="180">
        <v>4.2669015928159144E-2</v>
      </c>
      <c r="F1391" s="180">
        <v>5.4531722054380671E-2</v>
      </c>
      <c r="G1391" s="181">
        <v>3.369772339785377E-2</v>
      </c>
      <c r="H1391" s="181">
        <v>4.7269173335185467E-2</v>
      </c>
      <c r="I1391" s="181">
        <v>8.8448575222142792E-2</v>
      </c>
      <c r="J1391" s="181">
        <v>5.3778395920259618E-2</v>
      </c>
      <c r="K1391" s="180">
        <v>5.3304076371826846E-2</v>
      </c>
      <c r="L1391" s="181">
        <v>6.0818056099923835E-2</v>
      </c>
      <c r="M1391" s="181">
        <v>8.1199874818416645E-2</v>
      </c>
      <c r="N1391" s="181">
        <v>7.4498280533928166E-2</v>
      </c>
      <c r="O1391" s="181">
        <v>6.8782210898141183E-2</v>
      </c>
      <c r="P1391" s="180">
        <v>6.2741635372111776E-2</v>
      </c>
      <c r="Q1391" s="181">
        <v>5.1967406528353709E-2</v>
      </c>
      <c r="R1391" s="181">
        <v>5.1435020401076476E-2</v>
      </c>
      <c r="S1391" s="181">
        <v>6.241137165481174E-2</v>
      </c>
      <c r="T1391" s="181">
        <v>6.7098968668812528E-2</v>
      </c>
      <c r="U1391" s="180">
        <v>5.6246322220939088E-2</v>
      </c>
      <c r="V1391" s="181">
        <v>6.2531646697384077E-2</v>
      </c>
      <c r="W1391" s="181">
        <v>6.368531549669687E-2</v>
      </c>
      <c r="X1391" s="181">
        <v>6.2302338514428242E-2</v>
      </c>
      <c r="Y1391" s="181">
        <v>6.4379317726797197E-2</v>
      </c>
      <c r="Z1391" s="180">
        <v>6.2303886569444952E-2</v>
      </c>
      <c r="AA1391" s="181">
        <v>6.5005483783725657E-2</v>
      </c>
      <c r="AB1391" s="181">
        <v>5.7956700314773089E-2</v>
      </c>
      <c r="AC1391" s="181">
        <v>6.2212544804891481E-2</v>
      </c>
      <c r="AD1391" s="181">
        <v>5.5608495719528112E-2</v>
      </c>
      <c r="AE1391" s="180">
        <v>5.7523413417471782E-2</v>
      </c>
      <c r="AF1391" s="181">
        <v>5.4474932799336129E-2</v>
      </c>
      <c r="AG1391" s="181">
        <v>5.6586110939618635E-2</v>
      </c>
      <c r="AH1391" s="181">
        <v>6.3048602116822533E-2</v>
      </c>
      <c r="AI1391" s="181">
        <v>6.6935600774379281E-2</v>
      </c>
      <c r="AJ1391" s="180">
        <v>5.999434750536644E-2</v>
      </c>
      <c r="AK1391" s="181">
        <v>5.9485564511472203E-2</v>
      </c>
      <c r="AL1391" s="181">
        <v>6.1401196187379728E-2</v>
      </c>
      <c r="AM1391" s="181">
        <v>5.8841285904757422E-2</v>
      </c>
      <c r="AN1391" s="181">
        <v>5.6947392345503237E-2</v>
      </c>
      <c r="AO1391" s="180">
        <v>5.8109322341197034E-2</v>
      </c>
      <c r="AP1391" s="181">
        <v>5.6517008692848036E-2</v>
      </c>
      <c r="AQ1391" s="181">
        <v>5.8705600167488416E-2</v>
      </c>
      <c r="AR1391" s="181">
        <v>5.2085079060382629E-2</v>
      </c>
      <c r="AS1391" s="181">
        <v>5.1527275238960515E-2</v>
      </c>
      <c r="AT1391" s="180">
        <v>5.6476613686709747E-2</v>
      </c>
      <c r="AU1391" s="181">
        <v>4.7869943966482413E-2</v>
      </c>
      <c r="AV1391" s="181">
        <v>4.8452177511710784E-2</v>
      </c>
      <c r="AW1391" s="181">
        <v>2.6210868848279296E-2</v>
      </c>
      <c r="AX1391" s="181">
        <v>3.4636894882916561E-2</v>
      </c>
      <c r="AY1391" s="180">
        <v>3.2561187277337873E-2</v>
      </c>
      <c r="AZ1391" s="181">
        <v>2.8677285145960407E-2</v>
      </c>
      <c r="BA1391" s="181">
        <v>3.411808013702311E-2</v>
      </c>
      <c r="BB1391" s="181">
        <v>3.9691107496486272E-2</v>
      </c>
      <c r="BC1391" s="181">
        <v>4.3789854415846381E-2</v>
      </c>
      <c r="BD1391" s="180">
        <v>3.6247513106344803E-2</v>
      </c>
      <c r="BE1391" s="181">
        <v>5.1391527536399251E-2</v>
      </c>
      <c r="BF1391" s="181">
        <v>5.7489769559489277E-2</v>
      </c>
      <c r="BG1391" s="181">
        <v>7.0889528432694124E-2</v>
      </c>
      <c r="BH1391" s="181">
        <v>7.2643356232979572E-2</v>
      </c>
      <c r="BI1391" s="182">
        <v>6.3488180810814532E-2</v>
      </c>
      <c r="BJ1391" s="183">
        <v>7.4380347002090896E-2</v>
      </c>
      <c r="BK1391" s="183">
        <v>7.4290633090215816E-2</v>
      </c>
      <c r="BL1391" s="183">
        <v>7.3871321919711019E-2</v>
      </c>
      <c r="BM1391" s="183">
        <v>7.3451077550509489E-2</v>
      </c>
      <c r="BN1391" s="180">
        <v>7.3998344890631798E-2</v>
      </c>
      <c r="BO1391" s="183">
        <v>7.3479017098331129E-2</v>
      </c>
      <c r="BP1391" s="183">
        <v>7.3721197136795452E-2</v>
      </c>
      <c r="BQ1391" s="183">
        <v>7.2925721216705847E-2</v>
      </c>
      <c r="BR1391" s="183">
        <v>7.2221881500089014E-2</v>
      </c>
      <c r="BS1391" s="180">
        <v>7.3086954237980353E-2</v>
      </c>
      <c r="BT1391" s="180">
        <v>7.1751283824765047E-2</v>
      </c>
      <c r="BU1391" s="180">
        <v>6.8855837013388682E-2</v>
      </c>
      <c r="BV1391" s="180">
        <v>6.4962195390930941E-2</v>
      </c>
      <c r="BW1391" s="122"/>
    </row>
    <row r="1392" spans="1:75" s="123" customFormat="1" collapsed="1" x14ac:dyDescent="0.5">
      <c r="A1392" s="295"/>
      <c r="B1392" s="522"/>
      <c r="C1392" s="180"/>
      <c r="D1392" s="180"/>
      <c r="E1392" s="180"/>
      <c r="F1392" s="180"/>
      <c r="G1392" s="181"/>
      <c r="H1392" s="181"/>
      <c r="I1392" s="181"/>
      <c r="J1392" s="181"/>
      <c r="K1392" s="180"/>
      <c r="L1392" s="181"/>
      <c r="M1392" s="181"/>
      <c r="N1392" s="181"/>
      <c r="O1392" s="181"/>
      <c r="P1392" s="180"/>
      <c r="Q1392" s="181"/>
      <c r="R1392" s="181"/>
      <c r="S1392" s="181"/>
      <c r="T1392" s="181"/>
      <c r="U1392" s="180"/>
      <c r="V1392" s="181"/>
      <c r="W1392" s="181"/>
      <c r="X1392" s="181"/>
      <c r="Y1392" s="181"/>
      <c r="Z1392" s="180"/>
      <c r="AA1392" s="181"/>
      <c r="AB1392" s="181"/>
      <c r="AC1392" s="181"/>
      <c r="AD1392" s="181"/>
      <c r="AE1392" s="180"/>
      <c r="AF1392" s="181"/>
      <c r="AG1392" s="181"/>
      <c r="AH1392" s="181"/>
      <c r="AI1392" s="181"/>
      <c r="AJ1392" s="180"/>
      <c r="AK1392" s="181"/>
      <c r="AL1392" s="181"/>
      <c r="AM1392" s="181"/>
      <c r="AN1392" s="181"/>
      <c r="AO1392" s="180"/>
      <c r="AP1392" s="181"/>
      <c r="AQ1392" s="181"/>
      <c r="AR1392" s="181"/>
      <c r="AS1392" s="181"/>
      <c r="AT1392" s="180"/>
      <c r="AU1392" s="181"/>
      <c r="AV1392" s="181"/>
      <c r="AW1392" s="181"/>
      <c r="AX1392" s="181"/>
      <c r="AY1392" s="180"/>
      <c r="AZ1392" s="181"/>
      <c r="BA1392" s="181"/>
      <c r="BB1392" s="181"/>
      <c r="BC1392" s="181"/>
      <c r="BD1392" s="180"/>
      <c r="BE1392" s="181"/>
      <c r="BF1392" s="181"/>
      <c r="BG1392" s="181"/>
      <c r="BH1392" s="181"/>
      <c r="BI1392" s="182"/>
      <c r="BJ1392" s="183"/>
      <c r="BK1392" s="183"/>
      <c r="BL1392" s="183"/>
      <c r="BM1392" s="183"/>
      <c r="BN1392" s="180"/>
      <c r="BO1392" s="183"/>
      <c r="BP1392" s="183"/>
      <c r="BQ1392" s="183"/>
      <c r="BR1392" s="183"/>
      <c r="BS1392" s="180"/>
      <c r="BT1392" s="180"/>
      <c r="BU1392" s="180"/>
      <c r="BV1392" s="180"/>
      <c r="BW1392" s="122"/>
    </row>
    <row r="1393" spans="1:75" s="123" customFormat="1" x14ac:dyDescent="0.5">
      <c r="A1393" s="295" t="s">
        <v>1317</v>
      </c>
      <c r="B1393" s="522"/>
      <c r="C1393" s="883"/>
      <c r="D1393" s="883">
        <v>13.046666666666651</v>
      </c>
      <c r="E1393" s="883">
        <v>15.612388001558248</v>
      </c>
      <c r="F1393" s="883">
        <v>16.719355955678683</v>
      </c>
      <c r="G1393" s="884">
        <v>13.370238095238076</v>
      </c>
      <c r="H1393" s="884">
        <v>34.238455079764904</v>
      </c>
      <c r="I1393" s="884">
        <v>14.129792147805999</v>
      </c>
      <c r="J1393" s="884">
        <v>42.911515940143168</v>
      </c>
      <c r="K1393" s="883">
        <v>25.912262340833731</v>
      </c>
      <c r="L1393" s="884">
        <v>11.599708171206236</v>
      </c>
      <c r="M1393" s="884">
        <v>14.218131615278415</v>
      </c>
      <c r="N1393" s="884">
        <v>9.7149712092130489</v>
      </c>
      <c r="O1393" s="884">
        <v>14.936016164337422</v>
      </c>
      <c r="P1393" s="883">
        <v>12.817560252977033</v>
      </c>
      <c r="Q1393" s="884">
        <v>5.9966365728447499</v>
      </c>
      <c r="R1393" s="884">
        <v>10.676883607885502</v>
      </c>
      <c r="S1393" s="884">
        <v>6.1126965373080013</v>
      </c>
      <c r="T1393" s="884">
        <v>8.0229796023754147</v>
      </c>
      <c r="U1393" s="883">
        <v>7.6639011127617156</v>
      </c>
      <c r="V1393" s="884">
        <v>1.6396276595744714</v>
      </c>
      <c r="W1393" s="884">
        <v>5.2376936474470632</v>
      </c>
      <c r="X1393" s="884">
        <v>3.6597241006221219</v>
      </c>
      <c r="Y1393" s="884">
        <v>6.2015225029278946</v>
      </c>
      <c r="Z1393" s="883">
        <v>4.2516748347646214</v>
      </c>
      <c r="AA1393" s="884">
        <v>2.4291813777814282</v>
      </c>
      <c r="AB1393" s="884">
        <v>4.4048743230106933</v>
      </c>
      <c r="AC1393" s="884">
        <v>3.8759714512291783</v>
      </c>
      <c r="AD1393" s="884">
        <v>5.9700128850884537</v>
      </c>
      <c r="AE1393" s="883">
        <v>4.2875179798625522</v>
      </c>
      <c r="AF1393" s="884">
        <v>5.1490263611074276</v>
      </c>
      <c r="AG1393" s="884">
        <v>6.662830542445203</v>
      </c>
      <c r="AH1393" s="884">
        <v>4.9593105397004802</v>
      </c>
      <c r="AI1393" s="884">
        <v>6.7414014044799782</v>
      </c>
      <c r="AJ1393" s="883">
        <v>5.9033924065575683</v>
      </c>
      <c r="AK1393" s="884">
        <v>4.7535277961928211</v>
      </c>
      <c r="AL1393" s="884">
        <v>5.4549014808468987</v>
      </c>
      <c r="AM1393" s="884">
        <v>5.3938044889630845</v>
      </c>
      <c r="AN1393" s="884">
        <v>7.2567811029927158</v>
      </c>
      <c r="AO1393" s="883">
        <v>5.6828980120903454</v>
      </c>
      <c r="AP1393" s="884">
        <v>3.9445208619899121</v>
      </c>
      <c r="AQ1393" s="884">
        <v>9.5677721701514074</v>
      </c>
      <c r="AR1393" s="884">
        <v>16.480135411343902</v>
      </c>
      <c r="AS1393" s="884">
        <v>15.427304598886391</v>
      </c>
      <c r="AT1393" s="883">
        <v>10.767480144404336</v>
      </c>
      <c r="AU1393" s="884">
        <v>17.151938683498649</v>
      </c>
      <c r="AV1393" s="884">
        <v>21.380605257344826</v>
      </c>
      <c r="AW1393" s="884">
        <v>23.49413900022688</v>
      </c>
      <c r="AX1393" s="884">
        <v>10.387517616267356</v>
      </c>
      <c r="AY1393" s="883">
        <v>16.740804040217412</v>
      </c>
      <c r="AZ1393" s="884">
        <v>12.926684248381683</v>
      </c>
      <c r="BA1393" s="884">
        <v>10.654051172707895</v>
      </c>
      <c r="BB1393" s="884">
        <v>6.8809561702263116</v>
      </c>
      <c r="BC1393" s="884">
        <v>4.7548307088884973</v>
      </c>
      <c r="BD1393" s="883">
        <v>8.2188145923504958</v>
      </c>
      <c r="BE1393" s="884">
        <v>3.6834438416716893</v>
      </c>
      <c r="BF1393" s="884">
        <v>4.4558326955112335</v>
      </c>
      <c r="BG1393" s="884">
        <v>1.7116947291361653</v>
      </c>
      <c r="BH1393" s="884">
        <v>1.8983136423306108</v>
      </c>
      <c r="BI1393" s="885">
        <v>2.7782607818614609</v>
      </c>
      <c r="BJ1393" s="884">
        <v>1.6020373966525481</v>
      </c>
      <c r="BK1393" s="884">
        <v>3.3189547252659044</v>
      </c>
      <c r="BL1393" s="884">
        <v>2.9406985274595834</v>
      </c>
      <c r="BM1393" s="884">
        <v>2.7077323820494157</v>
      </c>
      <c r="BN1393" s="883">
        <v>2.6414323696610684</v>
      </c>
      <c r="BO1393" s="884">
        <v>2.5562486073929795</v>
      </c>
      <c r="BP1393" s="884">
        <v>4.0240106757168208</v>
      </c>
      <c r="BQ1393" s="884">
        <v>3.4597203255188371</v>
      </c>
      <c r="BR1393" s="884">
        <v>3.3726546629346585</v>
      </c>
      <c r="BS1393" s="883">
        <v>3.353428785651845</v>
      </c>
      <c r="BT1393" s="883">
        <v>3.801366546291999</v>
      </c>
      <c r="BU1393" s="883">
        <v>4.327609931635199</v>
      </c>
      <c r="BV1393" s="883">
        <v>4.9477197724629418</v>
      </c>
      <c r="BW1393" s="122"/>
    </row>
    <row r="1394" spans="1:75" s="890" customFormat="1" ht="14.25" x14ac:dyDescent="0.45">
      <c r="A1394" s="886" t="s">
        <v>1318</v>
      </c>
      <c r="B1394" s="887"/>
      <c r="C1394" s="883"/>
      <c r="D1394" s="883">
        <v>2.4543154001508656</v>
      </c>
      <c r="E1394" s="883">
        <v>1.4709434338897613</v>
      </c>
      <c r="F1394" s="883">
        <v>0.79808638204015636</v>
      </c>
      <c r="G1394" s="884"/>
      <c r="H1394" s="884"/>
      <c r="I1394" s="884"/>
      <c r="J1394" s="884"/>
      <c r="K1394" s="883">
        <v>0.72032580525731327</v>
      </c>
      <c r="L1394" s="884"/>
      <c r="M1394" s="884"/>
      <c r="N1394" s="884"/>
      <c r="O1394" s="884"/>
      <c r="P1394" s="883">
        <v>0.88153502162597075</v>
      </c>
      <c r="Q1394" s="884"/>
      <c r="R1394" s="884"/>
      <c r="S1394" s="884"/>
      <c r="T1394" s="884"/>
      <c r="U1394" s="883">
        <v>0.67991588186888596</v>
      </c>
      <c r="V1394" s="884"/>
      <c r="W1394" s="888"/>
      <c r="X1394" s="884"/>
      <c r="Y1394" s="888"/>
      <c r="Z1394" s="883">
        <v>2.7583054414322978</v>
      </c>
      <c r="AA1394" s="888"/>
      <c r="AB1394" s="888"/>
      <c r="AC1394" s="884"/>
      <c r="AD1394" s="888"/>
      <c r="AE1394" s="883">
        <v>4.0170089834867877</v>
      </c>
      <c r="AF1394" s="888"/>
      <c r="AG1394" s="888"/>
      <c r="AH1394" s="884"/>
      <c r="AI1394" s="888"/>
      <c r="AJ1394" s="883">
        <v>2.8635553544781254</v>
      </c>
      <c r="AK1394" s="888"/>
      <c r="AL1394" s="888"/>
      <c r="AM1394" s="884"/>
      <c r="AN1394" s="888"/>
      <c r="AO1394" s="883">
        <v>3.6365372271495993</v>
      </c>
      <c r="AP1394" s="888"/>
      <c r="AQ1394" s="888"/>
      <c r="AR1394" s="884"/>
      <c r="AS1394" s="888"/>
      <c r="AT1394" s="883">
        <v>2.040064480827414</v>
      </c>
      <c r="AU1394" s="888"/>
      <c r="AV1394" s="888"/>
      <c r="AW1394" s="884"/>
      <c r="AX1394" s="888"/>
      <c r="AY1394" s="883">
        <v>1.1560456742376508</v>
      </c>
      <c r="AZ1394" s="888"/>
      <c r="BA1394" s="888"/>
      <c r="BB1394" s="884"/>
      <c r="BC1394" s="888"/>
      <c r="BD1394" s="883">
        <v>2.4089496287825707</v>
      </c>
      <c r="BE1394" s="888"/>
      <c r="BF1394" s="888"/>
      <c r="BG1394" s="884"/>
      <c r="BH1394" s="888"/>
      <c r="BI1394" s="885">
        <v>6.5212608772993415</v>
      </c>
      <c r="BJ1394" s="888"/>
      <c r="BK1394" s="888"/>
      <c r="BL1394" s="888"/>
      <c r="BM1394" s="888"/>
      <c r="BN1394" s="883">
        <v>5.767889269796175</v>
      </c>
      <c r="BO1394" s="888"/>
      <c r="BP1394" s="888"/>
      <c r="BQ1394" s="888"/>
      <c r="BR1394" s="888"/>
      <c r="BS1394" s="883">
        <v>4.3168230129445613</v>
      </c>
      <c r="BT1394" s="883">
        <v>3.5176261401568185</v>
      </c>
      <c r="BU1394" s="883">
        <v>2.8052523214256873</v>
      </c>
      <c r="BV1394" s="883">
        <v>2.1293295905047724</v>
      </c>
      <c r="BW1394" s="889"/>
    </row>
    <row r="1395" spans="1:75" s="890" customFormat="1" ht="14.25" x14ac:dyDescent="0.45">
      <c r="A1395" s="886" t="s">
        <v>1319</v>
      </c>
      <c r="B1395" s="887"/>
      <c r="C1395" s="883"/>
      <c r="D1395" s="883">
        <v>-8.5406435224386161</v>
      </c>
      <c r="E1395" s="883">
        <v>6.8863968226155023</v>
      </c>
      <c r="F1395" s="883">
        <v>-19.946169772256713</v>
      </c>
      <c r="G1395" s="884"/>
      <c r="H1395" s="884"/>
      <c r="I1395" s="884"/>
      <c r="J1395" s="884"/>
      <c r="K1395" s="883">
        <v>1.2226551341963645</v>
      </c>
      <c r="L1395" s="884"/>
      <c r="M1395" s="884"/>
      <c r="N1395" s="884"/>
      <c r="O1395" s="884"/>
      <c r="P1395" s="883">
        <v>2.4040319550011504</v>
      </c>
      <c r="Q1395" s="884"/>
      <c r="R1395" s="884"/>
      <c r="S1395" s="884"/>
      <c r="T1395" s="884"/>
      <c r="U1395" s="883">
        <v>1.3102490731996104</v>
      </c>
      <c r="V1395" s="884"/>
      <c r="W1395" s="888"/>
      <c r="X1395" s="884"/>
      <c r="Y1395" s="888"/>
      <c r="Z1395" s="883">
        <v>6.6162597501426861</v>
      </c>
      <c r="AA1395" s="888"/>
      <c r="AB1395" s="888"/>
      <c r="AC1395" s="884"/>
      <c r="AD1395" s="888"/>
      <c r="AE1395" s="883">
        <v>1.9413423118634059</v>
      </c>
      <c r="AF1395" s="888"/>
      <c r="AG1395" s="888"/>
      <c r="AH1395" s="884"/>
      <c r="AI1395" s="888"/>
      <c r="AJ1395" s="883">
        <v>4.5897445142886877</v>
      </c>
      <c r="AK1395" s="888"/>
      <c r="AL1395" s="888"/>
      <c r="AM1395" s="884"/>
      <c r="AN1395" s="888"/>
      <c r="AO1395" s="883">
        <v>5.3115263511680837</v>
      </c>
      <c r="AP1395" s="888"/>
      <c r="AQ1395" s="888"/>
      <c r="AR1395" s="884"/>
      <c r="AS1395" s="888"/>
      <c r="AT1395" s="883">
        <v>3.0376620005191994</v>
      </c>
      <c r="AU1395" s="888"/>
      <c r="AV1395" s="888"/>
      <c r="AW1395" s="884"/>
      <c r="AX1395" s="888"/>
      <c r="AY1395" s="883">
        <v>1.8983558722516054</v>
      </c>
      <c r="AZ1395" s="888"/>
      <c r="BA1395" s="888"/>
      <c r="BB1395" s="884"/>
      <c r="BC1395" s="888"/>
      <c r="BD1395" s="883">
        <v>5.5523512027883006</v>
      </c>
      <c r="BE1395" s="888"/>
      <c r="BF1395" s="888"/>
      <c r="BG1395" s="884"/>
      <c r="BH1395" s="888"/>
      <c r="BI1395" s="885">
        <v>17.766722383217775</v>
      </c>
      <c r="BJ1395" s="888"/>
      <c r="BK1395" s="888"/>
      <c r="BL1395" s="888"/>
      <c r="BM1395" s="888"/>
      <c r="BN1395" s="883">
        <v>12.810417785644248</v>
      </c>
      <c r="BO1395" s="888"/>
      <c r="BP1395" s="888"/>
      <c r="BQ1395" s="888"/>
      <c r="BR1395" s="888"/>
      <c r="BS1395" s="883">
        <v>9.7363656864104158</v>
      </c>
      <c r="BT1395" s="883">
        <v>6.9595700585812521</v>
      </c>
      <c r="BU1395" s="883">
        <v>5.1341443149523931</v>
      </c>
      <c r="BV1395" s="883">
        <v>3.5870184664626388</v>
      </c>
      <c r="BW1395" s="889"/>
    </row>
    <row r="1396" spans="1:75" x14ac:dyDescent="0.5">
      <c r="A1396" s="891"/>
      <c r="B1396" s="891"/>
      <c r="C1396" s="892"/>
      <c r="D1396" s="892"/>
      <c r="E1396" s="892"/>
      <c r="F1396" s="892"/>
      <c r="G1396" s="893"/>
      <c r="H1396" s="893"/>
      <c r="I1396" s="893"/>
      <c r="J1396" s="893"/>
      <c r="K1396" s="892"/>
      <c r="L1396" s="893"/>
      <c r="M1396" s="893"/>
      <c r="N1396" s="893"/>
      <c r="O1396" s="893"/>
      <c r="P1396" s="892"/>
      <c r="Q1396" s="893"/>
      <c r="R1396" s="893"/>
      <c r="S1396" s="893"/>
      <c r="T1396" s="893"/>
      <c r="U1396" s="892"/>
      <c r="V1396" s="893"/>
      <c r="W1396" s="893"/>
      <c r="X1396" s="893"/>
      <c r="Y1396" s="893"/>
      <c r="Z1396" s="892"/>
      <c r="AA1396" s="893"/>
      <c r="AB1396" s="893"/>
      <c r="AC1396" s="893"/>
      <c r="AD1396" s="893"/>
      <c r="AE1396" s="892"/>
      <c r="AF1396" s="893"/>
      <c r="AG1396" s="893"/>
      <c r="AH1396" s="893"/>
      <c r="AI1396" s="893"/>
      <c r="AJ1396" s="892"/>
      <c r="AK1396" s="893"/>
      <c r="AL1396" s="893"/>
      <c r="AM1396" s="893"/>
      <c r="AN1396" s="893"/>
      <c r="AO1396" s="892"/>
      <c r="AP1396" s="893"/>
      <c r="AQ1396" s="893"/>
      <c r="AR1396" s="893"/>
      <c r="AS1396" s="893"/>
      <c r="AT1396" s="892"/>
      <c r="AU1396" s="893"/>
      <c r="AV1396" s="893"/>
      <c r="AW1396" s="893"/>
      <c r="AX1396" s="893"/>
      <c r="AY1396" s="892"/>
      <c r="AZ1396" s="893"/>
      <c r="BA1396" s="893"/>
      <c r="BB1396" s="893"/>
      <c r="BC1396" s="893"/>
      <c r="BD1396" s="892"/>
      <c r="BE1396" s="893"/>
      <c r="BF1396" s="893"/>
      <c r="BG1396" s="893"/>
      <c r="BH1396" s="893"/>
      <c r="BI1396" s="894"/>
      <c r="BJ1396" s="893"/>
      <c r="BK1396" s="893"/>
      <c r="BL1396" s="893"/>
      <c r="BM1396" s="893"/>
      <c r="BN1396" s="892"/>
      <c r="BO1396" s="893"/>
      <c r="BP1396" s="893"/>
      <c r="BQ1396" s="893"/>
      <c r="BR1396" s="893"/>
      <c r="BS1396" s="892"/>
      <c r="BT1396" s="892"/>
      <c r="BU1396" s="892"/>
      <c r="BV1396" s="892"/>
      <c r="BW1396" s="152"/>
    </row>
    <row r="1397" spans="1:75" s="198" customFormat="1" ht="14.25" x14ac:dyDescent="0.45">
      <c r="A1397" s="239" t="s">
        <v>1320</v>
      </c>
      <c r="B1397" s="239"/>
      <c r="C1397" s="239"/>
      <c r="D1397" s="239"/>
      <c r="E1397" s="239"/>
      <c r="F1397" s="239"/>
      <c r="G1397" s="239"/>
      <c r="H1397" s="239"/>
      <c r="I1397" s="239"/>
      <c r="J1397" s="239"/>
      <c r="K1397" s="239"/>
      <c r="L1397" s="239"/>
      <c r="M1397" s="239"/>
      <c r="N1397" s="239"/>
      <c r="O1397" s="239"/>
      <c r="P1397" s="239"/>
      <c r="Q1397" s="239"/>
      <c r="R1397" s="239"/>
      <c r="S1397" s="239"/>
      <c r="T1397" s="239"/>
      <c r="U1397" s="239"/>
      <c r="V1397" s="239"/>
      <c r="W1397" s="239"/>
      <c r="X1397" s="239"/>
      <c r="Y1397" s="239"/>
      <c r="Z1397" s="239"/>
      <c r="AA1397" s="239"/>
      <c r="AB1397" s="239"/>
      <c r="AC1397" s="239"/>
      <c r="AD1397" s="239"/>
      <c r="AE1397" s="239"/>
      <c r="AF1397" s="239"/>
      <c r="AG1397" s="239"/>
      <c r="AH1397" s="239"/>
      <c r="AI1397" s="239"/>
      <c r="AJ1397" s="239"/>
      <c r="AK1397" s="239"/>
      <c r="AL1397" s="239"/>
      <c r="AM1397" s="239"/>
      <c r="AN1397" s="239"/>
      <c r="AO1397" s="239"/>
      <c r="AP1397" s="239"/>
      <c r="AQ1397" s="239"/>
      <c r="AR1397" s="239"/>
      <c r="AS1397" s="239"/>
      <c r="AT1397" s="239"/>
      <c r="AU1397" s="239"/>
      <c r="AV1397" s="239"/>
      <c r="AW1397" s="239"/>
      <c r="AX1397" s="239"/>
      <c r="AY1397" s="239"/>
      <c r="AZ1397" s="239"/>
      <c r="BA1397" s="239"/>
      <c r="BB1397" s="239"/>
      <c r="BC1397" s="239"/>
      <c r="BD1397" s="239"/>
      <c r="BE1397" s="239"/>
      <c r="BF1397" s="239"/>
      <c r="BG1397" s="239"/>
      <c r="BH1397" s="239"/>
      <c r="BI1397" s="241"/>
      <c r="BJ1397" s="239"/>
      <c r="BK1397" s="239"/>
      <c r="BL1397" s="239"/>
      <c r="BM1397" s="239"/>
      <c r="BN1397" s="239"/>
      <c r="BO1397" s="239"/>
      <c r="BP1397" s="239"/>
      <c r="BQ1397" s="239"/>
      <c r="BR1397" s="239"/>
      <c r="BS1397" s="239"/>
      <c r="BT1397" s="239"/>
      <c r="BU1397" s="239"/>
      <c r="BV1397" s="239"/>
      <c r="BW1397" s="197"/>
    </row>
    <row r="1398" spans="1:75" s="902" customFormat="1" ht="14.25" x14ac:dyDescent="0.45">
      <c r="A1398" s="895" t="s">
        <v>1321</v>
      </c>
      <c r="B1398" s="896" t="s">
        <v>1322</v>
      </c>
      <c r="C1398" s="897"/>
      <c r="D1398" s="897"/>
      <c r="E1398" s="897"/>
      <c r="F1398" s="898">
        <v>36.229999999999997</v>
      </c>
      <c r="G1398" s="899">
        <v>38.79</v>
      </c>
      <c r="H1398" s="899">
        <v>68.86</v>
      </c>
      <c r="I1398" s="899">
        <v>68.59</v>
      </c>
      <c r="J1398" s="899">
        <v>56.74</v>
      </c>
      <c r="K1398" s="898">
        <v>56.74</v>
      </c>
      <c r="L1398" s="899">
        <v>63.35</v>
      </c>
      <c r="M1398" s="899">
        <v>82.14</v>
      </c>
      <c r="N1398" s="899">
        <v>80.319999999999993</v>
      </c>
      <c r="O1398" s="899">
        <v>87.53</v>
      </c>
      <c r="P1398" s="898">
        <v>87.53</v>
      </c>
      <c r="Q1398" s="899">
        <v>87.35</v>
      </c>
      <c r="R1398" s="899">
        <v>101.46</v>
      </c>
      <c r="S1398" s="899">
        <v>103.09</v>
      </c>
      <c r="T1398" s="899">
        <v>61.62</v>
      </c>
      <c r="U1398" s="898">
        <v>61.62</v>
      </c>
      <c r="V1398" s="899">
        <v>43.27</v>
      </c>
      <c r="W1398" s="900">
        <v>30.81</v>
      </c>
      <c r="X1398" s="899">
        <v>29.02</v>
      </c>
      <c r="Y1398" s="899">
        <v>26.09</v>
      </c>
      <c r="Z1398" s="864">
        <v>26.09</v>
      </c>
      <c r="AA1398" s="899">
        <v>47.97</v>
      </c>
      <c r="AB1398" s="899">
        <v>69.87</v>
      </c>
      <c r="AC1398" s="899">
        <v>86.64</v>
      </c>
      <c r="AD1398" s="899">
        <v>92.04</v>
      </c>
      <c r="AE1398" s="864">
        <v>92.04</v>
      </c>
      <c r="AF1398" s="899">
        <v>100.84</v>
      </c>
      <c r="AG1398" s="899">
        <v>134.74</v>
      </c>
      <c r="AH1398" s="899">
        <v>124.91</v>
      </c>
      <c r="AI1398" s="899">
        <v>133.63999999999999</v>
      </c>
      <c r="AJ1398" s="864">
        <v>133.63999999999999</v>
      </c>
      <c r="AK1398" s="899">
        <v>108.8</v>
      </c>
      <c r="AL1398" s="899">
        <v>136.83000000000001</v>
      </c>
      <c r="AM1398" s="899">
        <v>175.84</v>
      </c>
      <c r="AN1398" s="899">
        <v>208.75</v>
      </c>
      <c r="AO1398" s="864">
        <v>208.75</v>
      </c>
      <c r="AP1398" s="899">
        <v>137.46</v>
      </c>
      <c r="AQ1398" s="899">
        <v>287.43</v>
      </c>
      <c r="AR1398" s="899">
        <v>335.23</v>
      </c>
      <c r="AS1398" s="899">
        <v>475.36</v>
      </c>
      <c r="AT1398" s="864">
        <v>475.36</v>
      </c>
      <c r="AU1398" s="899">
        <v>688.02</v>
      </c>
      <c r="AV1398" s="899">
        <v>664.08</v>
      </c>
      <c r="AW1398" s="899">
        <v>659.63</v>
      </c>
      <c r="AX1398" s="899">
        <v>391.92</v>
      </c>
      <c r="AY1398" s="864">
        <v>391.92</v>
      </c>
      <c r="AZ1398" s="899">
        <v>336.12</v>
      </c>
      <c r="BA1398" s="899">
        <v>279.43</v>
      </c>
      <c r="BB1398" s="899">
        <v>255.58</v>
      </c>
      <c r="BC1398" s="899">
        <v>310.64999999999998</v>
      </c>
      <c r="BD1398" s="864">
        <v>310.64999999999998</v>
      </c>
      <c r="BE1398" s="899">
        <v>255.13</v>
      </c>
      <c r="BF1398" s="899">
        <v>387.29</v>
      </c>
      <c r="BG1398" s="899">
        <v>213.13</v>
      </c>
      <c r="BH1398" s="899">
        <v>272.64</v>
      </c>
      <c r="BI1398" s="866">
        <v>272.64</v>
      </c>
      <c r="BJ1398" s="900">
        <v>334.75</v>
      </c>
      <c r="BK1398" s="900">
        <v>334.75</v>
      </c>
      <c r="BL1398" s="900">
        <v>334.75</v>
      </c>
      <c r="BM1398" s="900">
        <v>334.75</v>
      </c>
      <c r="BN1398" s="864">
        <v>334.75</v>
      </c>
      <c r="BO1398" s="900">
        <v>334.75</v>
      </c>
      <c r="BP1398" s="900">
        <v>334.75</v>
      </c>
      <c r="BQ1398" s="900">
        <v>334.75</v>
      </c>
      <c r="BR1398" s="900">
        <v>334.75</v>
      </c>
      <c r="BS1398" s="864">
        <v>334.75</v>
      </c>
      <c r="BT1398" s="864">
        <v>334.75</v>
      </c>
      <c r="BU1398" s="864">
        <v>334.75</v>
      </c>
      <c r="BV1398" s="864">
        <v>334.75</v>
      </c>
      <c r="BW1398" s="901"/>
    </row>
    <row r="1399" spans="1:75" s="123" customFormat="1" x14ac:dyDescent="0.5">
      <c r="A1399" s="122" t="s">
        <v>1323</v>
      </c>
      <c r="B1399" s="513"/>
      <c r="C1399" s="401"/>
      <c r="D1399" s="401"/>
      <c r="E1399" s="401"/>
      <c r="F1399" s="674">
        <v>1375.56741605</v>
      </c>
      <c r="G1399" s="122">
        <v>1478.2128886799999</v>
      </c>
      <c r="H1399" s="122">
        <v>2679.5329978999998</v>
      </c>
      <c r="I1399" s="122">
        <v>2817.04246814</v>
      </c>
      <c r="J1399" s="122">
        <v>2339.7054474399997</v>
      </c>
      <c r="K1399" s="674">
        <v>2339.7054474399997</v>
      </c>
      <c r="L1399" s="122">
        <v>2597.8712437999998</v>
      </c>
      <c r="M1399" s="122">
        <v>3393.4378275599997</v>
      </c>
      <c r="N1399" s="122">
        <v>3325.9964217599995</v>
      </c>
      <c r="O1399" s="122">
        <v>3670.64967712</v>
      </c>
      <c r="P1399" s="674">
        <v>3670.64967712</v>
      </c>
      <c r="Q1399" s="122">
        <v>3668.7172952999995</v>
      </c>
      <c r="R1399" s="122">
        <v>4300.7776925399994</v>
      </c>
      <c r="S1399" s="122">
        <v>4383.9827632900005</v>
      </c>
      <c r="T1399" s="122">
        <v>2605.6696668600002</v>
      </c>
      <c r="U1399" s="674">
        <v>2605.6696668600002</v>
      </c>
      <c r="V1399" s="122">
        <v>1830.6910883100002</v>
      </c>
      <c r="W1399" s="119">
        <v>1259.15722179</v>
      </c>
      <c r="X1399" s="122">
        <v>1188.5679611200003</v>
      </c>
      <c r="Y1399" s="122">
        <v>1070.3622610300001</v>
      </c>
      <c r="Z1399" s="401">
        <v>1070.3622610300001</v>
      </c>
      <c r="AA1399" s="122">
        <v>1596.09156291</v>
      </c>
      <c r="AB1399" s="122">
        <v>1491.6633637499999</v>
      </c>
      <c r="AC1399" s="122">
        <v>2046.3527591999998</v>
      </c>
      <c r="AD1399" s="122">
        <v>2371.4316771600002</v>
      </c>
      <c r="AE1399" s="401">
        <v>2371.4316771600002</v>
      </c>
      <c r="AF1399" s="122">
        <v>2550.9898160000002</v>
      </c>
      <c r="AG1399" s="122">
        <v>3745.8121525199999</v>
      </c>
      <c r="AH1399" s="122">
        <v>3351.47494938</v>
      </c>
      <c r="AI1399" s="122">
        <v>3378.2538873199996</v>
      </c>
      <c r="AJ1399" s="401">
        <v>3378.2538873199996</v>
      </c>
      <c r="AK1399" s="122">
        <v>2536.6660159999997</v>
      </c>
      <c r="AL1399" s="122">
        <v>3071.8333631700002</v>
      </c>
      <c r="AM1399" s="122">
        <v>4278.6640780799999</v>
      </c>
      <c r="AN1399" s="122">
        <v>5403.2507649999998</v>
      </c>
      <c r="AO1399" s="401">
        <v>5403.2507649999998</v>
      </c>
      <c r="AP1399" s="122">
        <v>3561.7648237199996</v>
      </c>
      <c r="AQ1399" s="122">
        <v>7664.1530908799996</v>
      </c>
      <c r="AR1399" s="122">
        <v>9580.1167858900008</v>
      </c>
      <c r="AS1399" s="122">
        <v>14572.998859680001</v>
      </c>
      <c r="AT1399" s="401">
        <v>14572.998859680001</v>
      </c>
      <c r="AU1399" s="122">
        <v>21485.010386099999</v>
      </c>
      <c r="AV1399" s="122">
        <v>21396.775142160004</v>
      </c>
      <c r="AW1399" s="122">
        <v>20663.341807650002</v>
      </c>
      <c r="AX1399" s="122">
        <v>11757.209255759999</v>
      </c>
      <c r="AY1399" s="401">
        <v>11757.209255759999</v>
      </c>
      <c r="AZ1399" s="122">
        <v>10036.988895120001</v>
      </c>
      <c r="BA1399" s="122">
        <v>7314.00536276</v>
      </c>
      <c r="BB1399" s="122">
        <v>6651.8066100200003</v>
      </c>
      <c r="BC1399" s="122">
        <v>7494.50798055</v>
      </c>
      <c r="BD1399" s="401">
        <v>7494.50798055</v>
      </c>
      <c r="BE1399" s="122">
        <v>6062.6567413000002</v>
      </c>
      <c r="BF1399" s="122">
        <v>7809.7353823600006</v>
      </c>
      <c r="BG1399" s="122">
        <v>4259.5368956399998</v>
      </c>
      <c r="BH1399" s="122">
        <v>5439.0324979199995</v>
      </c>
      <c r="BI1399" s="402">
        <v>5439.0324979199995</v>
      </c>
      <c r="BJ1399" s="118">
        <v>6677.4916133488459</v>
      </c>
      <c r="BK1399" s="118">
        <v>6678.1593625101805</v>
      </c>
      <c r="BL1399" s="118">
        <v>6678.8271784464314</v>
      </c>
      <c r="BM1399" s="118">
        <v>6679.4950611642762</v>
      </c>
      <c r="BN1399" s="401">
        <v>6679.4950611642762</v>
      </c>
      <c r="BO1399" s="118">
        <v>6680.1630106703933</v>
      </c>
      <c r="BP1399" s="118">
        <v>6680.8310269714602</v>
      </c>
      <c r="BQ1399" s="118">
        <v>6681.4991100741572</v>
      </c>
      <c r="BR1399" s="118">
        <v>6682.1672599851654</v>
      </c>
      <c r="BS1399" s="401">
        <v>6682.1672599851654</v>
      </c>
      <c r="BT1399" s="401">
        <v>6684.8401268891594</v>
      </c>
      <c r="BU1399" s="401">
        <v>6687.5140629399139</v>
      </c>
      <c r="BV1399" s="401">
        <v>6690.1890685650906</v>
      </c>
      <c r="BW1399" s="122"/>
    </row>
    <row r="1400" spans="1:75" s="123" customFormat="1" x14ac:dyDescent="0.5">
      <c r="A1400" s="122" t="s">
        <v>1324</v>
      </c>
      <c r="B1400" s="513"/>
      <c r="C1400" s="401"/>
      <c r="D1400" s="401"/>
      <c r="E1400" s="401"/>
      <c r="F1400" s="674">
        <v>1452.6394160499999</v>
      </c>
      <c r="G1400" s="122">
        <v>1582.5378886799999</v>
      </c>
      <c r="H1400" s="122">
        <v>2752.0959978999999</v>
      </c>
      <c r="I1400" s="122">
        <v>2917.0904681399998</v>
      </c>
      <c r="J1400" s="122">
        <v>2446.7134474399995</v>
      </c>
      <c r="K1400" s="674">
        <v>2446.7134474399995</v>
      </c>
      <c r="L1400" s="122">
        <v>2736.9782437999997</v>
      </c>
      <c r="M1400" s="122">
        <v>3490.0738275599997</v>
      </c>
      <c r="N1400" s="122">
        <v>3450.2164217599993</v>
      </c>
      <c r="O1400" s="122">
        <v>3868.9606771200001</v>
      </c>
      <c r="P1400" s="674">
        <v>3868.9606771200001</v>
      </c>
      <c r="Q1400" s="122">
        <v>3949.6522952999994</v>
      </c>
      <c r="R1400" s="122">
        <v>4537.8286925399998</v>
      </c>
      <c r="S1400" s="122">
        <v>4715.0267632900004</v>
      </c>
      <c r="T1400" s="122">
        <v>2791.5756668600002</v>
      </c>
      <c r="U1400" s="674">
        <v>2791.5756668600002</v>
      </c>
      <c r="V1400" s="122">
        <v>2173.7380883100004</v>
      </c>
      <c r="W1400" s="119">
        <v>1740.6912217899999</v>
      </c>
      <c r="X1400" s="122">
        <v>1697.0759611200001</v>
      </c>
      <c r="Y1400" s="122">
        <v>1592.0212610300002</v>
      </c>
      <c r="Z1400" s="401">
        <v>1592.0212610300002</v>
      </c>
      <c r="AA1400" s="122">
        <v>2292.2335629099998</v>
      </c>
      <c r="AB1400" s="122">
        <v>2719.9313637499999</v>
      </c>
      <c r="AC1400" s="122">
        <v>3253.3677591999999</v>
      </c>
      <c r="AD1400" s="122">
        <v>3449.0746771600002</v>
      </c>
      <c r="AE1400" s="401">
        <v>3449.0746771600002</v>
      </c>
      <c r="AF1400" s="122">
        <v>3651.8838160000005</v>
      </c>
      <c r="AG1400" s="122">
        <v>4788.6081525199997</v>
      </c>
      <c r="AH1400" s="122">
        <v>4523.9769493799995</v>
      </c>
      <c r="AI1400" s="122">
        <v>4523.8678873199997</v>
      </c>
      <c r="AJ1400" s="401">
        <v>4523.8678873199997</v>
      </c>
      <c r="AK1400" s="122">
        <v>4680.6120159999991</v>
      </c>
      <c r="AL1400" s="122">
        <v>5038.3903631700005</v>
      </c>
      <c r="AM1400" s="122">
        <v>6135.0830780799997</v>
      </c>
      <c r="AN1400" s="122">
        <v>7204.8567650000005</v>
      </c>
      <c r="AO1400" s="401">
        <v>7204.8567650000005</v>
      </c>
      <c r="AP1400" s="122">
        <v>5400.2758237199996</v>
      </c>
      <c r="AQ1400" s="122">
        <v>9364.7160908799997</v>
      </c>
      <c r="AR1400" s="122">
        <v>11117.152785890001</v>
      </c>
      <c r="AS1400" s="122">
        <v>16094.168859680001</v>
      </c>
      <c r="AT1400" s="401">
        <v>16094.168859680001</v>
      </c>
      <c r="AU1400" s="122">
        <v>22982.170386099999</v>
      </c>
      <c r="AV1400" s="122">
        <v>22872.686142160004</v>
      </c>
      <c r="AW1400" s="122">
        <v>22007.153807650004</v>
      </c>
      <c r="AX1400" s="122">
        <v>13014.137255759999</v>
      </c>
      <c r="AY1400" s="401">
        <v>13014.137255759999</v>
      </c>
      <c r="AZ1400" s="122">
        <v>11398.491895120002</v>
      </c>
      <c r="BA1400" s="122">
        <v>8992.6603627599998</v>
      </c>
      <c r="BB1400" s="122">
        <v>8271.5896100200007</v>
      </c>
      <c r="BC1400" s="122">
        <v>9735.9199805499993</v>
      </c>
      <c r="BD1400" s="401">
        <v>9735.9199805499993</v>
      </c>
      <c r="BE1400" s="122">
        <v>8285.6467412999991</v>
      </c>
      <c r="BF1400" s="122">
        <v>11129.202382360001</v>
      </c>
      <c r="BG1400" s="122">
        <v>7676.7118956399991</v>
      </c>
      <c r="BH1400" s="122">
        <v>9031.7124979199998</v>
      </c>
      <c r="BI1400" s="402">
        <v>9031.7124979199998</v>
      </c>
      <c r="BJ1400" s="118">
        <v>10243.32043328353</v>
      </c>
      <c r="BK1400" s="118">
        <v>10191.966656769704</v>
      </c>
      <c r="BL1400" s="118">
        <v>10140.541681469251</v>
      </c>
      <c r="BM1400" s="118">
        <v>10123.343222937103</v>
      </c>
      <c r="BN1400" s="401">
        <v>10123.343222937103</v>
      </c>
      <c r="BO1400" s="118">
        <v>10122.505729386125</v>
      </c>
      <c r="BP1400" s="118">
        <v>10042.425655984605</v>
      </c>
      <c r="BQ1400" s="118">
        <v>9969.3436290444188</v>
      </c>
      <c r="BR1400" s="118">
        <v>9914.0736580489029</v>
      </c>
      <c r="BS1400" s="401">
        <v>9914.0736580489029</v>
      </c>
      <c r="BT1400" s="401">
        <v>9615.6300106946874</v>
      </c>
      <c r="BU1400" s="401">
        <v>9240.9583143042528</v>
      </c>
      <c r="BV1400" s="401">
        <v>8780.8050032546962</v>
      </c>
      <c r="BW1400" s="122"/>
    </row>
    <row r="1401" spans="1:75" s="910" customFormat="1" x14ac:dyDescent="0.5">
      <c r="A1401" s="903"/>
      <c r="B1401" s="904"/>
      <c r="C1401" s="905"/>
      <c r="D1401" s="905"/>
      <c r="E1401" s="905"/>
      <c r="F1401" s="905"/>
      <c r="G1401" s="906"/>
      <c r="H1401" s="906"/>
      <c r="I1401" s="906"/>
      <c r="J1401" s="906"/>
      <c r="K1401" s="905"/>
      <c r="L1401" s="906"/>
      <c r="M1401" s="906"/>
      <c r="N1401" s="906"/>
      <c r="O1401" s="906"/>
      <c r="P1401" s="905"/>
      <c r="Q1401" s="906"/>
      <c r="R1401" s="906"/>
      <c r="S1401" s="906"/>
      <c r="T1401" s="906"/>
      <c r="U1401" s="905"/>
      <c r="V1401" s="906"/>
      <c r="W1401" s="907"/>
      <c r="X1401" s="906"/>
      <c r="Y1401" s="907"/>
      <c r="Z1401" s="905"/>
      <c r="AA1401" s="907"/>
      <c r="AB1401" s="907"/>
      <c r="AC1401" s="906"/>
      <c r="AD1401" s="907"/>
      <c r="AE1401" s="905"/>
      <c r="AF1401" s="907"/>
      <c r="AG1401" s="907"/>
      <c r="AH1401" s="906"/>
      <c r="AI1401" s="907"/>
      <c r="AJ1401" s="905"/>
      <c r="AK1401" s="907"/>
      <c r="AL1401" s="907"/>
      <c r="AM1401" s="906"/>
      <c r="AN1401" s="907"/>
      <c r="AO1401" s="905"/>
      <c r="AP1401" s="907"/>
      <c r="AQ1401" s="907"/>
      <c r="AR1401" s="906"/>
      <c r="AS1401" s="907"/>
      <c r="AT1401" s="905"/>
      <c r="AU1401" s="907"/>
      <c r="AV1401" s="907"/>
      <c r="AW1401" s="906"/>
      <c r="AX1401" s="907"/>
      <c r="AY1401" s="905"/>
      <c r="AZ1401" s="907"/>
      <c r="BA1401" s="907"/>
      <c r="BB1401" s="906"/>
      <c r="BC1401" s="907"/>
      <c r="BD1401" s="905"/>
      <c r="BE1401" s="907"/>
      <c r="BF1401" s="907"/>
      <c r="BG1401" s="906"/>
      <c r="BH1401" s="907"/>
      <c r="BI1401" s="908"/>
      <c r="BJ1401" s="907"/>
      <c r="BK1401" s="907"/>
      <c r="BL1401" s="907"/>
      <c r="BM1401" s="907"/>
      <c r="BN1401" s="905"/>
      <c r="BO1401" s="907"/>
      <c r="BP1401" s="907"/>
      <c r="BQ1401" s="907"/>
      <c r="BR1401" s="907"/>
      <c r="BS1401" s="905"/>
      <c r="BT1401" s="905"/>
      <c r="BU1401" s="905"/>
      <c r="BV1401" s="905"/>
      <c r="BW1401" s="909"/>
    </row>
    <row r="1402" spans="1:75" s="910" customFormat="1" x14ac:dyDescent="0.5">
      <c r="A1402" s="911" t="s">
        <v>1325</v>
      </c>
      <c r="B1402" s="904"/>
      <c r="C1402" s="905"/>
      <c r="D1402" s="905"/>
      <c r="E1402" s="905"/>
      <c r="F1402" s="912">
        <v>35.647069389755714</v>
      </c>
      <c r="G1402" s="906"/>
      <c r="H1402" s="906"/>
      <c r="I1402" s="906"/>
      <c r="J1402" s="906"/>
      <c r="K1402" s="912">
        <v>33.186778573392793</v>
      </c>
      <c r="L1402" s="906"/>
      <c r="M1402" s="906"/>
      <c r="N1402" s="906"/>
      <c r="O1402" s="906"/>
      <c r="P1402" s="912">
        <v>37.095279623294729</v>
      </c>
      <c r="Q1402" s="906"/>
      <c r="R1402" s="906"/>
      <c r="S1402" s="906"/>
      <c r="T1402" s="906"/>
      <c r="U1402" s="912">
        <v>22.687146390931659</v>
      </c>
      <c r="V1402" s="906"/>
      <c r="W1402" s="907"/>
      <c r="X1402" s="906"/>
      <c r="Y1402" s="907"/>
      <c r="Z1402" s="905">
        <v>20.617916074842046</v>
      </c>
      <c r="AA1402" s="907"/>
      <c r="AB1402" s="907"/>
      <c r="AC1402" s="906"/>
      <c r="AD1402" s="907"/>
      <c r="AE1402" s="905">
        <v>30.184588165022433</v>
      </c>
      <c r="AF1402" s="907"/>
      <c r="AG1402" s="907"/>
      <c r="AH1402" s="906"/>
      <c r="AI1402" s="907"/>
      <c r="AJ1402" s="905">
        <v>17.124415376227262</v>
      </c>
      <c r="AK1402" s="907"/>
      <c r="AL1402" s="907"/>
      <c r="AM1402" s="906"/>
      <c r="AN1402" s="907"/>
      <c r="AO1402" s="905">
        <v>17.904069171941771</v>
      </c>
      <c r="AP1402" s="907"/>
      <c r="AQ1402" s="907"/>
      <c r="AR1402" s="906"/>
      <c r="AS1402" s="907"/>
      <c r="AT1402" s="905">
        <v>26.661208608955636</v>
      </c>
      <c r="AU1402" s="907"/>
      <c r="AV1402" s="907"/>
      <c r="AW1402" s="906"/>
      <c r="AX1402" s="907"/>
      <c r="AY1402" s="905">
        <v>15.003973619793747</v>
      </c>
      <c r="AZ1402" s="907"/>
      <c r="BA1402" s="907"/>
      <c r="BB1402" s="906"/>
      <c r="BC1402" s="907"/>
      <c r="BD1402" s="905">
        <v>15.484126629166909</v>
      </c>
      <c r="BE1402" s="907"/>
      <c r="BF1402" s="907"/>
      <c r="BG1402" s="906"/>
      <c r="BH1402" s="907"/>
      <c r="BI1402" s="908">
        <v>39.687401764055103</v>
      </c>
      <c r="BJ1402" s="907"/>
      <c r="BK1402" s="907"/>
      <c r="BL1402" s="907"/>
      <c r="BM1402" s="907"/>
      <c r="BN1402" s="905">
        <v>41.868781916179053</v>
      </c>
      <c r="BO1402" s="907"/>
      <c r="BP1402" s="907"/>
      <c r="BQ1402" s="907"/>
      <c r="BR1402" s="907"/>
      <c r="BS1402" s="905">
        <v>24.791780031400055</v>
      </c>
      <c r="BT1402" s="905">
        <v>19.950342420290223</v>
      </c>
      <c r="BU1402" s="905">
        <v>16.885497472283035</v>
      </c>
      <c r="BV1402" s="905">
        <v>14.680200497344066</v>
      </c>
      <c r="BW1402" s="909"/>
    </row>
    <row r="1403" spans="1:75" s="910" customFormat="1" x14ac:dyDescent="0.5">
      <c r="A1403" s="911" t="s">
        <v>1326</v>
      </c>
      <c r="B1403" s="904"/>
      <c r="C1403" s="905"/>
      <c r="D1403" s="905"/>
      <c r="E1403" s="905"/>
      <c r="F1403" s="912">
        <v>15.042190885980249</v>
      </c>
      <c r="G1403" s="906"/>
      <c r="H1403" s="906"/>
      <c r="I1403" s="906"/>
      <c r="J1403" s="906"/>
      <c r="K1403" s="912">
        <v>16.470084799838464</v>
      </c>
      <c r="L1403" s="906"/>
      <c r="M1403" s="906"/>
      <c r="N1403" s="906"/>
      <c r="O1403" s="906"/>
      <c r="P1403" s="912">
        <v>17.198361836585015</v>
      </c>
      <c r="Q1403" s="906"/>
      <c r="R1403" s="906"/>
      <c r="S1403" s="906"/>
      <c r="T1403" s="906"/>
      <c r="U1403" s="912">
        <v>10.209657737441722</v>
      </c>
      <c r="V1403" s="906"/>
      <c r="W1403" s="907"/>
      <c r="X1403" s="906"/>
      <c r="Y1403" s="907"/>
      <c r="Z1403" s="905">
        <v>8.417914590134469</v>
      </c>
      <c r="AA1403" s="907"/>
      <c r="AB1403" s="907"/>
      <c r="AC1403" s="906"/>
      <c r="AD1403" s="907"/>
      <c r="AE1403" s="905">
        <v>12.856728956499056</v>
      </c>
      <c r="AF1403" s="907"/>
      <c r="AG1403" s="907"/>
      <c r="AH1403" s="906"/>
      <c r="AI1403" s="907"/>
      <c r="AJ1403" s="905">
        <v>11.307775665875967</v>
      </c>
      <c r="AK1403" s="907"/>
      <c r="AL1403" s="907"/>
      <c r="AM1403" s="906"/>
      <c r="AN1403" s="907"/>
      <c r="AO1403" s="905">
        <v>14.542985448651443</v>
      </c>
      <c r="AP1403" s="907"/>
      <c r="AQ1403" s="907"/>
      <c r="AR1403" s="906"/>
      <c r="AS1403" s="907"/>
      <c r="AT1403" s="905">
        <v>21.584137367336862</v>
      </c>
      <c r="AU1403" s="907"/>
      <c r="AV1403" s="907"/>
      <c r="AW1403" s="906"/>
      <c r="AX1403" s="907"/>
      <c r="AY1403" s="905">
        <v>11.969609300179805</v>
      </c>
      <c r="AZ1403" s="907"/>
      <c r="BA1403" s="907"/>
      <c r="BB1403" s="906"/>
      <c r="BC1403" s="907"/>
      <c r="BD1403" s="905">
        <v>10.46364560509301</v>
      </c>
      <c r="BE1403" s="907"/>
      <c r="BF1403" s="907"/>
      <c r="BG1403" s="906"/>
      <c r="BH1403" s="907"/>
      <c r="BI1403" s="908">
        <v>16.393932487085184</v>
      </c>
      <c r="BJ1403" s="907"/>
      <c r="BK1403" s="907"/>
      <c r="BL1403" s="907"/>
      <c r="BM1403" s="907"/>
      <c r="BN1403" s="905">
        <v>16.954964332685485</v>
      </c>
      <c r="BO1403" s="907"/>
      <c r="BP1403" s="907"/>
      <c r="BQ1403" s="907"/>
      <c r="BR1403" s="907"/>
      <c r="BS1403" s="905">
        <v>13.24212277457454</v>
      </c>
      <c r="BT1403" s="905">
        <v>11.540981380683791</v>
      </c>
      <c r="BU1403" s="905">
        <v>10.15225601637823</v>
      </c>
      <c r="BV1403" s="905">
        <v>8.9434063960000234</v>
      </c>
      <c r="BW1403" s="909"/>
    </row>
    <row r="1404" spans="1:75" s="910" customFormat="1" x14ac:dyDescent="0.5">
      <c r="A1404" s="911" t="s">
        <v>1327</v>
      </c>
      <c r="B1404" s="904"/>
      <c r="C1404" s="905"/>
      <c r="D1404" s="905"/>
      <c r="E1404" s="905"/>
      <c r="F1404" s="912">
        <v>-88.407463364389159</v>
      </c>
      <c r="G1404" s="906"/>
      <c r="H1404" s="906"/>
      <c r="I1404" s="906"/>
      <c r="J1404" s="906"/>
      <c r="K1404" s="912">
        <v>26.202163894379634</v>
      </c>
      <c r="L1404" s="906"/>
      <c r="M1404" s="906"/>
      <c r="N1404" s="906"/>
      <c r="O1404" s="906"/>
      <c r="P1404" s="912">
        <v>43.90581665030124</v>
      </c>
      <c r="Q1404" s="906"/>
      <c r="R1404" s="906"/>
      <c r="S1404" s="906"/>
      <c r="T1404" s="906"/>
      <c r="U1404" s="912">
        <v>18.351699008922651</v>
      </c>
      <c r="V1404" s="906"/>
      <c r="W1404" s="907"/>
      <c r="X1404" s="906"/>
      <c r="Y1404" s="907"/>
      <c r="Z1404" s="905">
        <v>13.542789721605681</v>
      </c>
      <c r="AA1404" s="907"/>
      <c r="AB1404" s="907"/>
      <c r="AC1404" s="906"/>
      <c r="AD1404" s="907"/>
      <c r="AE1404" s="905">
        <v>4.8503973401645117</v>
      </c>
      <c r="AF1404" s="907"/>
      <c r="AG1404" s="907"/>
      <c r="AH1404" s="906"/>
      <c r="AI1404" s="907"/>
      <c r="AJ1404" s="905">
        <v>14.206160138299611</v>
      </c>
      <c r="AK1404" s="907"/>
      <c r="AL1404" s="907"/>
      <c r="AM1404" s="906"/>
      <c r="AN1404" s="907"/>
      <c r="AO1404" s="905">
        <v>14.954607319539605</v>
      </c>
      <c r="AP1404" s="907"/>
      <c r="AQ1404" s="907"/>
      <c r="AR1404" s="906"/>
      <c r="AS1404" s="907"/>
      <c r="AT1404" s="905">
        <v>25.916900206641767</v>
      </c>
      <c r="AU1404" s="907"/>
      <c r="AV1404" s="907"/>
      <c r="AW1404" s="906"/>
      <c r="AX1404" s="907"/>
      <c r="AY1404" s="905">
        <v>18.416710367701025</v>
      </c>
      <c r="AZ1404" s="907"/>
      <c r="BA1404" s="907"/>
      <c r="BB1404" s="906"/>
      <c r="BC1404" s="907"/>
      <c r="BD1404" s="905">
        <v>20.440295506667301</v>
      </c>
      <c r="BE1404" s="907"/>
      <c r="BF1404" s="907"/>
      <c r="BG1404" s="906"/>
      <c r="BH1404" s="907"/>
      <c r="BI1404" s="908">
        <v>29.123375839061577</v>
      </c>
      <c r="BJ1404" s="907"/>
      <c r="BK1404" s="907"/>
      <c r="BL1404" s="907"/>
      <c r="BM1404" s="907"/>
      <c r="BN1404" s="905">
        <v>24.841992233578722</v>
      </c>
      <c r="BO1404" s="907"/>
      <c r="BP1404" s="907"/>
      <c r="BQ1404" s="907"/>
      <c r="BR1404" s="907"/>
      <c r="BS1404" s="905">
        <v>20.126515574363491</v>
      </c>
      <c r="BT1404" s="905">
        <v>15.870913315309135</v>
      </c>
      <c r="BU1404" s="905">
        <v>13.44372335612128</v>
      </c>
      <c r="BV1404" s="905">
        <v>11.476538415146074</v>
      </c>
      <c r="BW1404" s="909"/>
    </row>
    <row r="1405" spans="1:75" s="217" customFormat="1" x14ac:dyDescent="0.5">
      <c r="A1405" s="913" t="s">
        <v>1328</v>
      </c>
      <c r="B1405" s="212"/>
      <c r="C1405" s="213"/>
      <c r="D1405" s="213"/>
      <c r="E1405" s="213"/>
      <c r="F1405" s="914">
        <v>-3.8698212373231365E-2</v>
      </c>
      <c r="G1405" s="214"/>
      <c r="H1405" s="214"/>
      <c r="I1405" s="214"/>
      <c r="J1405" s="214"/>
      <c r="K1405" s="914">
        <v>-2.71273463373118E-3</v>
      </c>
      <c r="L1405" s="214"/>
      <c r="M1405" s="214"/>
      <c r="N1405" s="214"/>
      <c r="O1405" s="214"/>
      <c r="P1405" s="914">
        <v>-1.0235517770652054E-2</v>
      </c>
      <c r="Q1405" s="214"/>
      <c r="R1405" s="214"/>
      <c r="S1405" s="214"/>
      <c r="T1405" s="214"/>
      <c r="U1405" s="914">
        <v>-4.5907584342473242E-3</v>
      </c>
      <c r="V1405" s="214"/>
      <c r="W1405" s="214"/>
      <c r="X1405" s="214"/>
      <c r="Y1405" s="214"/>
      <c r="Z1405" s="213">
        <v>-9.5762905449753244E-2</v>
      </c>
      <c r="AA1405" s="214"/>
      <c r="AB1405" s="214"/>
      <c r="AC1405" s="214"/>
      <c r="AD1405" s="214"/>
      <c r="AE1405" s="213">
        <v>0.18057488399279228</v>
      </c>
      <c r="AF1405" s="214"/>
      <c r="AG1405" s="214"/>
      <c r="AH1405" s="214"/>
      <c r="AI1405" s="214"/>
      <c r="AJ1405" s="213">
        <v>5.0206706084649576E-2</v>
      </c>
      <c r="AK1405" s="214"/>
      <c r="AL1405" s="214"/>
      <c r="AM1405" s="214"/>
      <c r="AN1405" s="214"/>
      <c r="AO1405" s="213">
        <v>3.5638730900175067E-2</v>
      </c>
      <c r="AP1405" s="214"/>
      <c r="AQ1405" s="214"/>
      <c r="AR1405" s="214"/>
      <c r="AS1405" s="214"/>
      <c r="AT1405" s="213">
        <v>2.585514509594038E-2</v>
      </c>
      <c r="AU1405" s="214"/>
      <c r="AV1405" s="214"/>
      <c r="AW1405" s="214"/>
      <c r="AX1405" s="214"/>
      <c r="AY1405" s="213">
        <v>4.0547972705890556E-2</v>
      </c>
      <c r="AZ1405" s="214"/>
      <c r="BA1405" s="214"/>
      <c r="BB1405" s="214"/>
      <c r="BC1405" s="214"/>
      <c r="BD1405" s="213">
        <v>3.0695143776885741E-2</v>
      </c>
      <c r="BE1405" s="214"/>
      <c r="BF1405" s="214"/>
      <c r="BG1405" s="214"/>
      <c r="BH1405" s="214"/>
      <c r="BI1405" s="215">
        <v>-1.2344474872263854E-2</v>
      </c>
      <c r="BJ1405" s="214"/>
      <c r="BK1405" s="214"/>
      <c r="BL1405" s="214"/>
      <c r="BM1405" s="214"/>
      <c r="BN1405" s="213">
        <v>1.030494634652461E-2</v>
      </c>
      <c r="BO1405" s="214"/>
      <c r="BP1405" s="214"/>
      <c r="BQ1405" s="214"/>
      <c r="BR1405" s="214"/>
      <c r="BS1405" s="213">
        <v>1.9745354849046801E-2</v>
      </c>
      <c r="BT1405" s="213">
        <v>3.3077307768182358E-2</v>
      </c>
      <c r="BU1405" s="213">
        <v>4.4462804809486008E-2</v>
      </c>
      <c r="BV1405" s="213">
        <v>5.722234644660687E-2</v>
      </c>
      <c r="BW1405" s="216"/>
    </row>
    <row r="1406" spans="1:75" s="217" customFormat="1" x14ac:dyDescent="0.5">
      <c r="A1406" s="913" t="s">
        <v>1329</v>
      </c>
      <c r="B1406" s="212"/>
      <c r="C1406" s="213"/>
      <c r="D1406" s="213"/>
      <c r="E1406" s="213"/>
      <c r="F1406" s="914">
        <v>-3.6645019687506372E-2</v>
      </c>
      <c r="G1406" s="214"/>
      <c r="H1406" s="214"/>
      <c r="I1406" s="214"/>
      <c r="J1406" s="214"/>
      <c r="K1406" s="914">
        <v>-2.5940920897953423E-3</v>
      </c>
      <c r="L1406" s="214"/>
      <c r="M1406" s="214"/>
      <c r="N1406" s="214"/>
      <c r="O1406" s="214"/>
      <c r="P1406" s="914">
        <v>-9.710876676050197E-3</v>
      </c>
      <c r="Q1406" s="214"/>
      <c r="R1406" s="214"/>
      <c r="S1406" s="214"/>
      <c r="T1406" s="214"/>
      <c r="U1406" s="914">
        <v>-4.2850352014477079E-3</v>
      </c>
      <c r="V1406" s="214"/>
      <c r="W1406" s="214"/>
      <c r="X1406" s="214"/>
      <c r="Y1406" s="214"/>
      <c r="Z1406" s="213">
        <v>-6.438419040565091E-2</v>
      </c>
      <c r="AA1406" s="214"/>
      <c r="AB1406" s="214"/>
      <c r="AC1406" s="214"/>
      <c r="AD1406" s="214"/>
      <c r="AE1406" s="213">
        <v>0.1241553286264596</v>
      </c>
      <c r="AF1406" s="214"/>
      <c r="AG1406" s="214"/>
      <c r="AH1406" s="214"/>
      <c r="AI1406" s="214"/>
      <c r="AJ1406" s="213">
        <v>3.7492474189046214E-2</v>
      </c>
      <c r="AK1406" s="214"/>
      <c r="AL1406" s="214"/>
      <c r="AM1406" s="214"/>
      <c r="AN1406" s="214"/>
      <c r="AO1406" s="213">
        <v>2.6727110098211652E-2</v>
      </c>
      <c r="AP1406" s="214"/>
      <c r="AQ1406" s="214"/>
      <c r="AR1406" s="214"/>
      <c r="AS1406" s="214"/>
      <c r="AT1406" s="213">
        <v>2.3411398456489898E-2</v>
      </c>
      <c r="AU1406" s="214"/>
      <c r="AV1406" s="214"/>
      <c r="AW1406" s="214"/>
      <c r="AX1406" s="214"/>
      <c r="AY1406" s="213">
        <v>3.663177901316518E-2</v>
      </c>
      <c r="AZ1406" s="214"/>
      <c r="BA1406" s="214"/>
      <c r="BB1406" s="214"/>
      <c r="BC1406" s="214"/>
      <c r="BD1406" s="213">
        <v>2.3628480971451472E-2</v>
      </c>
      <c r="BE1406" s="214"/>
      <c r="BF1406" s="214"/>
      <c r="BG1406" s="214"/>
      <c r="BH1406" s="214"/>
      <c r="BI1406" s="215">
        <v>-7.4340276016827064E-3</v>
      </c>
      <c r="BJ1406" s="214"/>
      <c r="BK1406" s="214"/>
      <c r="BL1406" s="214"/>
      <c r="BM1406" s="214"/>
      <c r="BN1406" s="213">
        <v>6.7993188328552678E-3</v>
      </c>
      <c r="BO1406" s="214"/>
      <c r="BP1406" s="214"/>
      <c r="BQ1406" s="214"/>
      <c r="BR1406" s="214"/>
      <c r="BS1406" s="213">
        <v>1.3308531715615284E-2</v>
      </c>
      <c r="BT1406" s="213">
        <v>2.2995530611335701E-2</v>
      </c>
      <c r="BU1406" s="213">
        <v>3.2176926064142422E-2</v>
      </c>
      <c r="BV1406" s="213">
        <v>4.3598316615940616E-2</v>
      </c>
      <c r="BW1406" s="216"/>
    </row>
    <row r="1407" spans="1:75" s="217" customFormat="1" hidden="1" outlineLevel="1" x14ac:dyDescent="0.5">
      <c r="A1407" s="211"/>
      <c r="B1407" s="212"/>
      <c r="C1407" s="213"/>
      <c r="D1407" s="213"/>
      <c r="E1407" s="213"/>
      <c r="F1407" s="213"/>
      <c r="G1407" s="214"/>
      <c r="H1407" s="214"/>
      <c r="I1407" s="214"/>
      <c r="J1407" s="214"/>
      <c r="K1407" s="213"/>
      <c r="L1407" s="214"/>
      <c r="M1407" s="214"/>
      <c r="N1407" s="214"/>
      <c r="O1407" s="214"/>
      <c r="P1407" s="213"/>
      <c r="Q1407" s="214"/>
      <c r="R1407" s="214"/>
      <c r="S1407" s="214"/>
      <c r="T1407" s="214"/>
      <c r="U1407" s="213"/>
      <c r="V1407" s="214"/>
      <c r="W1407" s="214"/>
      <c r="X1407" s="214"/>
      <c r="Y1407" s="214"/>
      <c r="Z1407" s="213"/>
      <c r="AA1407" s="214"/>
      <c r="AB1407" s="214"/>
      <c r="AC1407" s="214"/>
      <c r="AD1407" s="214"/>
      <c r="AE1407" s="213"/>
      <c r="AF1407" s="214"/>
      <c r="AG1407" s="214"/>
      <c r="AH1407" s="214"/>
      <c r="AI1407" s="214"/>
      <c r="AJ1407" s="213"/>
      <c r="AK1407" s="214"/>
      <c r="AL1407" s="214"/>
      <c r="AM1407" s="214"/>
      <c r="AN1407" s="214"/>
      <c r="AO1407" s="213"/>
      <c r="AP1407" s="214"/>
      <c r="AQ1407" s="214"/>
      <c r="AR1407" s="214"/>
      <c r="AS1407" s="214"/>
      <c r="AT1407" s="213"/>
      <c r="AU1407" s="214"/>
      <c r="AV1407" s="214"/>
      <c r="AW1407" s="214"/>
      <c r="AX1407" s="214"/>
      <c r="AY1407" s="213"/>
      <c r="AZ1407" s="214"/>
      <c r="BA1407" s="214"/>
      <c r="BB1407" s="214"/>
      <c r="BC1407" s="214"/>
      <c r="BD1407" s="213"/>
      <c r="BE1407" s="214"/>
      <c r="BF1407" s="214"/>
      <c r="BG1407" s="214"/>
      <c r="BH1407" s="214"/>
      <c r="BI1407" s="215"/>
      <c r="BJ1407" s="214"/>
      <c r="BK1407" s="214"/>
      <c r="BL1407" s="214"/>
      <c r="BM1407" s="214"/>
      <c r="BN1407" s="213"/>
      <c r="BO1407" s="214"/>
      <c r="BP1407" s="214"/>
      <c r="BQ1407" s="214"/>
      <c r="BR1407" s="214"/>
      <c r="BS1407" s="213"/>
      <c r="BT1407" s="213"/>
      <c r="BU1407" s="213"/>
      <c r="BV1407" s="213"/>
      <c r="BW1407" s="216"/>
    </row>
    <row r="1408" spans="1:75" s="921" customFormat="1" hidden="1" outlineLevel="1" x14ac:dyDescent="0.5">
      <c r="A1408" s="915" t="s">
        <v>1330</v>
      </c>
      <c r="B1408" s="916"/>
      <c r="C1408" s="917"/>
      <c r="D1408" s="917"/>
      <c r="E1408" s="917"/>
      <c r="F1408" s="918">
        <v>37.99</v>
      </c>
      <c r="G1408" s="919">
        <v>39.58</v>
      </c>
      <c r="H1408" s="919">
        <v>77.180000000000007</v>
      </c>
      <c r="I1408" s="919">
        <v>76.8</v>
      </c>
      <c r="J1408" s="919">
        <v>76.25</v>
      </c>
      <c r="K1408" s="918">
        <v>77.180000000000007</v>
      </c>
      <c r="L1408" s="919">
        <v>75.16</v>
      </c>
      <c r="M1408" s="919">
        <v>93.05</v>
      </c>
      <c r="N1408" s="919">
        <v>88.46</v>
      </c>
      <c r="O1408" s="919">
        <v>99.07</v>
      </c>
      <c r="P1408" s="918">
        <v>99.07</v>
      </c>
      <c r="Q1408" s="919">
        <v>99.19</v>
      </c>
      <c r="R1408" s="919">
        <v>105.63</v>
      </c>
      <c r="S1408" s="919">
        <v>103.69</v>
      </c>
      <c r="T1408" s="919">
        <v>105.64</v>
      </c>
      <c r="U1408" s="918">
        <v>105.64</v>
      </c>
      <c r="V1408" s="919">
        <v>59.49</v>
      </c>
      <c r="W1408" s="920">
        <v>42.77</v>
      </c>
      <c r="X1408" s="919">
        <v>36.380000000000003</v>
      </c>
      <c r="Y1408" s="919">
        <v>38.99</v>
      </c>
      <c r="Z1408" s="784">
        <v>59.49</v>
      </c>
      <c r="AA1408" s="919">
        <v>48.75</v>
      </c>
      <c r="AB1408" s="919">
        <v>77.400000000000006</v>
      </c>
      <c r="AC1408" s="919">
        <v>86.88</v>
      </c>
      <c r="AD1408" s="919">
        <v>105.78</v>
      </c>
      <c r="AE1408" s="784">
        <v>105.78</v>
      </c>
      <c r="AF1408" s="919">
        <v>100.84</v>
      </c>
      <c r="AG1408" s="919">
        <v>160.87</v>
      </c>
      <c r="AH1408" s="919">
        <v>159.15</v>
      </c>
      <c r="AI1408" s="919">
        <v>142.38999999999999</v>
      </c>
      <c r="AJ1408" s="784">
        <v>160.87</v>
      </c>
      <c r="AK1408" s="919">
        <v>156.21</v>
      </c>
      <c r="AL1408" s="919">
        <v>139.99</v>
      </c>
      <c r="AM1408" s="919">
        <v>188.59</v>
      </c>
      <c r="AN1408" s="919">
        <v>241.97</v>
      </c>
      <c r="AO1408" s="784">
        <v>241.97</v>
      </c>
      <c r="AP1408" s="919">
        <v>252.1</v>
      </c>
      <c r="AQ1408" s="919">
        <v>291.86</v>
      </c>
      <c r="AR1408" s="919">
        <v>394.08</v>
      </c>
      <c r="AS1408" s="919">
        <v>515.57000000000005</v>
      </c>
      <c r="AT1408" s="784">
        <v>515.57000000000005</v>
      </c>
      <c r="AU1408" s="919">
        <v>720.01</v>
      </c>
      <c r="AV1408" s="919">
        <v>713.52</v>
      </c>
      <c r="AW1408" s="919">
        <v>738.52</v>
      </c>
      <c r="AX1408" s="919">
        <v>676.58</v>
      </c>
      <c r="AY1408" s="784">
        <v>738.52</v>
      </c>
      <c r="AZ1408" s="919">
        <v>426.45</v>
      </c>
      <c r="BA1408" s="919">
        <v>347.83</v>
      </c>
      <c r="BB1408" s="919">
        <v>329.31</v>
      </c>
      <c r="BC1408" s="919">
        <v>319.41000000000003</v>
      </c>
      <c r="BD1408" s="784">
        <v>426.45</v>
      </c>
      <c r="BE1408" s="919">
        <v>347.05</v>
      </c>
      <c r="BF1408" s="919">
        <v>389.93</v>
      </c>
      <c r="BG1408" s="919">
        <v>401.84</v>
      </c>
      <c r="BH1408" s="919">
        <v>317.13</v>
      </c>
      <c r="BI1408" s="786">
        <v>401.84</v>
      </c>
      <c r="BJ1408" s="920">
        <v>0</v>
      </c>
      <c r="BK1408" s="920">
        <v>0</v>
      </c>
      <c r="BL1408" s="920">
        <v>0</v>
      </c>
      <c r="BM1408" s="920">
        <v>0</v>
      </c>
      <c r="BN1408" s="784">
        <v>0</v>
      </c>
      <c r="BO1408" s="920">
        <v>0</v>
      </c>
      <c r="BP1408" s="920">
        <v>0</v>
      </c>
      <c r="BQ1408" s="920">
        <v>0</v>
      </c>
      <c r="BR1408" s="920">
        <v>0</v>
      </c>
      <c r="BS1408" s="784">
        <v>0</v>
      </c>
      <c r="BT1408" s="784">
        <v>0</v>
      </c>
      <c r="BU1408" s="784">
        <v>0</v>
      </c>
      <c r="BV1408" s="784">
        <v>0</v>
      </c>
      <c r="BW1408" s="787"/>
    </row>
    <row r="1409" spans="1:75" s="921" customFormat="1" hidden="1" outlineLevel="1" x14ac:dyDescent="0.5">
      <c r="A1409" s="915" t="s">
        <v>1331</v>
      </c>
      <c r="B1409" s="916"/>
      <c r="C1409" s="917"/>
      <c r="D1409" s="917"/>
      <c r="E1409" s="917"/>
      <c r="F1409" s="918">
        <v>31.1</v>
      </c>
      <c r="G1409" s="919">
        <v>32.75</v>
      </c>
      <c r="H1409" s="919">
        <v>39.549999999999997</v>
      </c>
      <c r="I1409" s="919">
        <v>60.52</v>
      </c>
      <c r="J1409" s="919">
        <v>54.96</v>
      </c>
      <c r="K1409" s="918">
        <v>32.75</v>
      </c>
      <c r="L1409" s="919">
        <v>54.85</v>
      </c>
      <c r="M1409" s="919">
        <v>61.3</v>
      </c>
      <c r="N1409" s="919">
        <v>72.63</v>
      </c>
      <c r="O1409" s="919">
        <v>77.599999999999994</v>
      </c>
      <c r="P1409" s="918">
        <v>54.85</v>
      </c>
      <c r="Q1409" s="919">
        <v>84.85</v>
      </c>
      <c r="R1409" s="919">
        <v>86.93</v>
      </c>
      <c r="S1409" s="919">
        <v>91.06</v>
      </c>
      <c r="T1409" s="919">
        <v>60.22</v>
      </c>
      <c r="U1409" s="918">
        <v>60.22</v>
      </c>
      <c r="V1409" s="919">
        <v>36.65</v>
      </c>
      <c r="W1409" s="920">
        <v>25.39</v>
      </c>
      <c r="X1409" s="919">
        <v>28.13</v>
      </c>
      <c r="Y1409" s="919">
        <v>26.09</v>
      </c>
      <c r="Z1409" s="784">
        <v>25.39</v>
      </c>
      <c r="AA1409" s="919">
        <v>25.08</v>
      </c>
      <c r="AB1409" s="919">
        <v>42.54</v>
      </c>
      <c r="AC1409" s="919">
        <v>45.16</v>
      </c>
      <c r="AD1409" s="919">
        <v>82.11</v>
      </c>
      <c r="AE1409" s="784">
        <v>25.08</v>
      </c>
      <c r="AF1409" s="919">
        <v>75.31</v>
      </c>
      <c r="AG1409" s="919">
        <v>97.73</v>
      </c>
      <c r="AH1409" s="919">
        <v>104.17</v>
      </c>
      <c r="AI1409" s="919">
        <v>107.4</v>
      </c>
      <c r="AJ1409" s="784">
        <v>75.31</v>
      </c>
      <c r="AK1409" s="919">
        <v>101.25</v>
      </c>
      <c r="AL1409" s="919">
        <v>85.15</v>
      </c>
      <c r="AM1409" s="919">
        <v>134.05000000000001</v>
      </c>
      <c r="AN1409" s="919">
        <v>172.68</v>
      </c>
      <c r="AO1409" s="784">
        <v>85.15</v>
      </c>
      <c r="AP1409" s="919">
        <v>80.430000000000007</v>
      </c>
      <c r="AQ1409" s="919">
        <v>142.28</v>
      </c>
      <c r="AR1409" s="919">
        <v>293.89</v>
      </c>
      <c r="AS1409" s="919">
        <v>341.13</v>
      </c>
      <c r="AT1409" s="784">
        <v>80.430000000000007</v>
      </c>
      <c r="AU1409" s="919">
        <v>441.46</v>
      </c>
      <c r="AV1409" s="919">
        <v>605.92999999999995</v>
      </c>
      <c r="AW1409" s="919">
        <v>630.01</v>
      </c>
      <c r="AX1409" s="919">
        <v>366.91</v>
      </c>
      <c r="AY1409" s="784">
        <v>366.91</v>
      </c>
      <c r="AZ1409" s="919">
        <v>320</v>
      </c>
      <c r="BA1409" s="919">
        <v>212.26</v>
      </c>
      <c r="BB1409" s="919">
        <v>231.64</v>
      </c>
      <c r="BC1409" s="919">
        <v>233.97</v>
      </c>
      <c r="BD1409" s="784">
        <v>212.26</v>
      </c>
      <c r="BE1409" s="919">
        <v>232.18</v>
      </c>
      <c r="BF1409" s="919">
        <v>241.41</v>
      </c>
      <c r="BG1409" s="919">
        <v>213.13</v>
      </c>
      <c r="BH1409" s="919">
        <v>213.37</v>
      </c>
      <c r="BI1409" s="786">
        <v>213.13</v>
      </c>
      <c r="BJ1409" s="920">
        <v>0</v>
      </c>
      <c r="BK1409" s="920">
        <v>0</v>
      </c>
      <c r="BL1409" s="920">
        <v>0</v>
      </c>
      <c r="BM1409" s="920">
        <v>0</v>
      </c>
      <c r="BN1409" s="784">
        <v>0</v>
      </c>
      <c r="BO1409" s="920">
        <v>0</v>
      </c>
      <c r="BP1409" s="920">
        <v>0</v>
      </c>
      <c r="BQ1409" s="920">
        <v>0</v>
      </c>
      <c r="BR1409" s="920">
        <v>0</v>
      </c>
      <c r="BS1409" s="784">
        <v>0</v>
      </c>
      <c r="BT1409" s="784">
        <v>0</v>
      </c>
      <c r="BU1409" s="784">
        <v>0</v>
      </c>
      <c r="BV1409" s="784">
        <v>0</v>
      </c>
      <c r="BW1409" s="787"/>
    </row>
    <row r="1410" spans="1:75" s="921" customFormat="1" hidden="1" outlineLevel="1" x14ac:dyDescent="0.5">
      <c r="A1410" s="915" t="s">
        <v>1332</v>
      </c>
      <c r="B1410" s="916"/>
      <c r="C1410" s="917"/>
      <c r="D1410" s="917"/>
      <c r="E1410" s="917"/>
      <c r="F1410" s="918">
        <v>34.545000000000002</v>
      </c>
      <c r="G1410" s="919">
        <v>36.164999999999999</v>
      </c>
      <c r="H1410" s="919">
        <v>58.365000000000002</v>
      </c>
      <c r="I1410" s="919">
        <v>68.66</v>
      </c>
      <c r="J1410" s="919">
        <v>65.605000000000004</v>
      </c>
      <c r="K1410" s="918">
        <v>57.198749999999997</v>
      </c>
      <c r="L1410" s="919">
        <v>65.004999999999995</v>
      </c>
      <c r="M1410" s="919">
        <v>77.174999999999997</v>
      </c>
      <c r="N1410" s="919">
        <v>80.545000000000002</v>
      </c>
      <c r="O1410" s="919">
        <v>88.334999999999994</v>
      </c>
      <c r="P1410" s="918">
        <v>77.765000000000001</v>
      </c>
      <c r="Q1410" s="919">
        <v>92.02</v>
      </c>
      <c r="R1410" s="919">
        <v>96.28</v>
      </c>
      <c r="S1410" s="919">
        <v>97.375</v>
      </c>
      <c r="T1410" s="919">
        <v>82.93</v>
      </c>
      <c r="U1410" s="918">
        <v>92.151250000000005</v>
      </c>
      <c r="V1410" s="919">
        <v>48.07</v>
      </c>
      <c r="W1410" s="920">
        <v>34.08</v>
      </c>
      <c r="X1410" s="919">
        <v>32.255000000000003</v>
      </c>
      <c r="Y1410" s="919">
        <v>32.54</v>
      </c>
      <c r="Z1410" s="784">
        <v>36.736249999999998</v>
      </c>
      <c r="AA1410" s="919">
        <v>36.914999999999999</v>
      </c>
      <c r="AB1410" s="919">
        <v>59.97</v>
      </c>
      <c r="AC1410" s="919">
        <v>66.02</v>
      </c>
      <c r="AD1410" s="919">
        <v>93.944999999999993</v>
      </c>
      <c r="AE1410" s="784">
        <v>64.212500000000006</v>
      </c>
      <c r="AF1410" s="919">
        <v>86.309365079365094</v>
      </c>
      <c r="AG1410" s="919">
        <v>126.400634920635</v>
      </c>
      <c r="AH1410" s="919">
        <v>132.65656250000001</v>
      </c>
      <c r="AI1410" s="919">
        <v>124.693833333333</v>
      </c>
      <c r="AJ1410" s="784">
        <v>117.48952</v>
      </c>
      <c r="AK1410" s="919">
        <v>128.202857142857</v>
      </c>
      <c r="AL1410" s="919">
        <v>109.90111111111101</v>
      </c>
      <c r="AM1410" s="919">
        <v>162.37375</v>
      </c>
      <c r="AN1410" s="919">
        <v>208.890655737705</v>
      </c>
      <c r="AO1410" s="784">
        <v>151.931474103586</v>
      </c>
      <c r="AP1410" s="919">
        <v>153.79761904761901</v>
      </c>
      <c r="AQ1410" s="919">
        <v>234.16380952380999</v>
      </c>
      <c r="AR1410" s="919">
        <v>349.10546875</v>
      </c>
      <c r="AS1410" s="919">
        <v>449.74885245901697</v>
      </c>
      <c r="AT1410" s="784">
        <v>295.69322709163299</v>
      </c>
      <c r="AU1410" s="919">
        <v>543.70301587301606</v>
      </c>
      <c r="AV1410" s="919">
        <v>663.30222222222199</v>
      </c>
      <c r="AW1410" s="919">
        <v>679.66499999999996</v>
      </c>
      <c r="AX1410" s="919">
        <v>550.27548387096795</v>
      </c>
      <c r="AY1410" s="784">
        <v>609.74988095238098</v>
      </c>
      <c r="AZ1410" s="919">
        <v>365.85920634920598</v>
      </c>
      <c r="BA1410" s="919">
        <v>271.72967741935503</v>
      </c>
      <c r="BB1410" s="919">
        <v>266.301875</v>
      </c>
      <c r="BC1410" s="919">
        <v>276.42590163934398</v>
      </c>
      <c r="BD1410" s="784">
        <v>295.20668000000001</v>
      </c>
      <c r="BE1410" s="919">
        <v>273.14603174603201</v>
      </c>
      <c r="BF1410" s="919">
        <v>298.92870967741902</v>
      </c>
      <c r="BG1410" s="919">
        <v>308.61421875000002</v>
      </c>
      <c r="BH1410" s="919">
        <v>267.093114754098</v>
      </c>
      <c r="BI1410" s="786">
        <v>287.14308</v>
      </c>
      <c r="BJ1410" s="920">
        <v>0</v>
      </c>
      <c r="BK1410" s="920">
        <v>0</v>
      </c>
      <c r="BL1410" s="920">
        <v>0</v>
      </c>
      <c r="BM1410" s="920">
        <v>0</v>
      </c>
      <c r="BN1410" s="784">
        <v>0</v>
      </c>
      <c r="BO1410" s="920">
        <v>0</v>
      </c>
      <c r="BP1410" s="920">
        <v>0</v>
      </c>
      <c r="BQ1410" s="920">
        <v>0</v>
      </c>
      <c r="BR1410" s="920">
        <v>0</v>
      </c>
      <c r="BS1410" s="784">
        <v>0</v>
      </c>
      <c r="BT1410" s="784">
        <v>0</v>
      </c>
      <c r="BU1410" s="784">
        <v>0</v>
      </c>
      <c r="BV1410" s="784">
        <v>0</v>
      </c>
      <c r="BW1410" s="787"/>
    </row>
    <row r="1411" spans="1:75" s="921" customFormat="1" hidden="1" outlineLevel="1" x14ac:dyDescent="0.5">
      <c r="A1411" s="915" t="s">
        <v>1333</v>
      </c>
      <c r="B1411" s="916"/>
      <c r="C1411" s="922"/>
      <c r="D1411" s="922"/>
      <c r="E1411" s="922"/>
      <c r="F1411" s="923">
        <v>36.229999999999997</v>
      </c>
      <c r="G1411" s="924">
        <v>38.79</v>
      </c>
      <c r="H1411" s="924">
        <v>68.86</v>
      </c>
      <c r="I1411" s="924">
        <v>68.59</v>
      </c>
      <c r="J1411" s="924">
        <v>56.74</v>
      </c>
      <c r="K1411" s="923">
        <v>56.74</v>
      </c>
      <c r="L1411" s="924">
        <v>63.35</v>
      </c>
      <c r="M1411" s="924">
        <v>82.14</v>
      </c>
      <c r="N1411" s="924">
        <v>80.319999999999993</v>
      </c>
      <c r="O1411" s="924">
        <v>87.53</v>
      </c>
      <c r="P1411" s="923">
        <v>87.53</v>
      </c>
      <c r="Q1411" s="924">
        <v>87.35</v>
      </c>
      <c r="R1411" s="924">
        <v>101.46</v>
      </c>
      <c r="S1411" s="924">
        <v>103.09</v>
      </c>
      <c r="T1411" s="924">
        <v>61.62</v>
      </c>
      <c r="U1411" s="923">
        <v>61.62</v>
      </c>
      <c r="V1411" s="924">
        <v>43.27</v>
      </c>
      <c r="W1411" s="925">
        <v>30.81</v>
      </c>
      <c r="X1411" s="924">
        <v>29.02</v>
      </c>
      <c r="Y1411" s="924">
        <v>26.09</v>
      </c>
      <c r="Z1411" s="926">
        <v>26.09</v>
      </c>
      <c r="AA1411" s="924">
        <v>47.97</v>
      </c>
      <c r="AB1411" s="924">
        <v>69.87</v>
      </c>
      <c r="AC1411" s="924">
        <v>86.64</v>
      </c>
      <c r="AD1411" s="924">
        <v>92.04</v>
      </c>
      <c r="AE1411" s="926">
        <v>92.04</v>
      </c>
      <c r="AF1411" s="924">
        <v>100.84</v>
      </c>
      <c r="AG1411" s="924">
        <v>134.74</v>
      </c>
      <c r="AH1411" s="924">
        <v>124.91</v>
      </c>
      <c r="AI1411" s="924">
        <v>133.63999999999999</v>
      </c>
      <c r="AJ1411" s="926">
        <v>133.63999999999999</v>
      </c>
      <c r="AK1411" s="924">
        <v>108.8</v>
      </c>
      <c r="AL1411" s="924">
        <v>136.83000000000001</v>
      </c>
      <c r="AM1411" s="924">
        <v>175.84</v>
      </c>
      <c r="AN1411" s="924">
        <v>208.75</v>
      </c>
      <c r="AO1411" s="926">
        <v>208.75</v>
      </c>
      <c r="AP1411" s="924">
        <v>137.46</v>
      </c>
      <c r="AQ1411" s="924">
        <v>287.43</v>
      </c>
      <c r="AR1411" s="924">
        <v>335.23</v>
      </c>
      <c r="AS1411" s="924">
        <v>475.36</v>
      </c>
      <c r="AT1411" s="926">
        <v>475.36</v>
      </c>
      <c r="AU1411" s="924">
        <v>688.02</v>
      </c>
      <c r="AV1411" s="924">
        <v>664.08</v>
      </c>
      <c r="AW1411" s="924">
        <v>659.63</v>
      </c>
      <c r="AX1411" s="924">
        <v>391.92</v>
      </c>
      <c r="AY1411" s="926">
        <v>391.92</v>
      </c>
      <c r="AZ1411" s="924">
        <v>336.12</v>
      </c>
      <c r="BA1411" s="924">
        <v>279.43</v>
      </c>
      <c r="BB1411" s="924">
        <v>255.58</v>
      </c>
      <c r="BC1411" s="924">
        <v>310.64999999999998</v>
      </c>
      <c r="BD1411" s="926">
        <v>310.64999999999998</v>
      </c>
      <c r="BE1411" s="924">
        <v>255.13</v>
      </c>
      <c r="BF1411" s="924">
        <v>387.29</v>
      </c>
      <c r="BG1411" s="924">
        <v>213.13</v>
      </c>
      <c r="BH1411" s="924">
        <v>272.64</v>
      </c>
      <c r="BI1411" s="927">
        <v>272.64</v>
      </c>
      <c r="BJ1411" s="925">
        <v>334.75</v>
      </c>
      <c r="BK1411" s="925">
        <v>334.75</v>
      </c>
      <c r="BL1411" s="925">
        <v>334.75</v>
      </c>
      <c r="BM1411" s="925">
        <v>334.75</v>
      </c>
      <c r="BN1411" s="926">
        <v>334.75</v>
      </c>
      <c r="BO1411" s="925">
        <v>334.75</v>
      </c>
      <c r="BP1411" s="925">
        <v>334.75</v>
      </c>
      <c r="BQ1411" s="925">
        <v>334.75</v>
      </c>
      <c r="BR1411" s="925">
        <v>334.75</v>
      </c>
      <c r="BS1411" s="926">
        <v>334.75</v>
      </c>
      <c r="BT1411" s="926">
        <v>334.75</v>
      </c>
      <c r="BU1411" s="926">
        <v>334.75</v>
      </c>
      <c r="BV1411" s="926">
        <v>334.75</v>
      </c>
      <c r="BW1411" s="787"/>
    </row>
    <row r="1412" spans="1:75" s="937" customFormat="1" hidden="1" outlineLevel="1" x14ac:dyDescent="0.5">
      <c r="A1412" s="928" t="s">
        <v>1334</v>
      </c>
      <c r="B1412" s="929"/>
      <c r="C1412" s="930"/>
      <c r="D1412" s="930"/>
      <c r="E1412" s="930"/>
      <c r="F1412" s="931">
        <v>1</v>
      </c>
      <c r="G1412" s="932">
        <v>1</v>
      </c>
      <c r="H1412" s="932">
        <v>1</v>
      </c>
      <c r="I1412" s="932">
        <v>1</v>
      </c>
      <c r="J1412" s="932">
        <v>1</v>
      </c>
      <c r="K1412" s="931">
        <v>1</v>
      </c>
      <c r="L1412" s="932">
        <v>1</v>
      </c>
      <c r="M1412" s="932">
        <v>1</v>
      </c>
      <c r="N1412" s="932">
        <v>1</v>
      </c>
      <c r="O1412" s="932">
        <v>1</v>
      </c>
      <c r="P1412" s="931">
        <v>1</v>
      </c>
      <c r="Q1412" s="932">
        <v>1</v>
      </c>
      <c r="R1412" s="932">
        <v>1</v>
      </c>
      <c r="S1412" s="932">
        <v>1</v>
      </c>
      <c r="T1412" s="932">
        <v>1</v>
      </c>
      <c r="U1412" s="931">
        <v>1</v>
      </c>
      <c r="V1412" s="932">
        <v>1</v>
      </c>
      <c r="W1412" s="933">
        <v>1</v>
      </c>
      <c r="X1412" s="932">
        <v>1</v>
      </c>
      <c r="Y1412" s="932">
        <v>1</v>
      </c>
      <c r="Z1412" s="934">
        <v>1</v>
      </c>
      <c r="AA1412" s="932">
        <v>1</v>
      </c>
      <c r="AB1412" s="932">
        <v>1</v>
      </c>
      <c r="AC1412" s="932">
        <v>1</v>
      </c>
      <c r="AD1412" s="932">
        <v>1</v>
      </c>
      <c r="AE1412" s="934">
        <v>1</v>
      </c>
      <c r="AF1412" s="932">
        <v>1</v>
      </c>
      <c r="AG1412" s="932">
        <v>1</v>
      </c>
      <c r="AH1412" s="932">
        <v>1</v>
      </c>
      <c r="AI1412" s="932">
        <v>1</v>
      </c>
      <c r="AJ1412" s="934">
        <v>1</v>
      </c>
      <c r="AK1412" s="932">
        <v>1</v>
      </c>
      <c r="AL1412" s="932">
        <v>1</v>
      </c>
      <c r="AM1412" s="932">
        <v>1</v>
      </c>
      <c r="AN1412" s="932">
        <v>1</v>
      </c>
      <c r="AO1412" s="934">
        <v>1</v>
      </c>
      <c r="AP1412" s="932">
        <v>1</v>
      </c>
      <c r="AQ1412" s="932">
        <v>1</v>
      </c>
      <c r="AR1412" s="932">
        <v>1</v>
      </c>
      <c r="AS1412" s="932">
        <v>1</v>
      </c>
      <c r="AT1412" s="934">
        <v>1</v>
      </c>
      <c r="AU1412" s="932">
        <v>1</v>
      </c>
      <c r="AV1412" s="932">
        <v>1</v>
      </c>
      <c r="AW1412" s="932">
        <v>1</v>
      </c>
      <c r="AX1412" s="932">
        <v>1</v>
      </c>
      <c r="AY1412" s="934">
        <v>1</v>
      </c>
      <c r="AZ1412" s="932">
        <v>1</v>
      </c>
      <c r="BA1412" s="932">
        <v>1</v>
      </c>
      <c r="BB1412" s="932">
        <v>1</v>
      </c>
      <c r="BC1412" s="932">
        <v>1</v>
      </c>
      <c r="BD1412" s="934">
        <v>1</v>
      </c>
      <c r="BE1412" s="932">
        <v>1</v>
      </c>
      <c r="BF1412" s="932">
        <v>1</v>
      </c>
      <c r="BG1412" s="932">
        <v>1</v>
      </c>
      <c r="BH1412" s="932">
        <v>1</v>
      </c>
      <c r="BI1412" s="935">
        <v>1</v>
      </c>
      <c r="BJ1412" s="933">
        <v>1</v>
      </c>
      <c r="BK1412" s="933">
        <v>1</v>
      </c>
      <c r="BL1412" s="933">
        <v>1</v>
      </c>
      <c r="BM1412" s="933">
        <v>1</v>
      </c>
      <c r="BN1412" s="934">
        <v>1</v>
      </c>
      <c r="BO1412" s="933">
        <v>1</v>
      </c>
      <c r="BP1412" s="933">
        <v>1</v>
      </c>
      <c r="BQ1412" s="933">
        <v>1</v>
      </c>
      <c r="BR1412" s="933">
        <v>1</v>
      </c>
      <c r="BS1412" s="934">
        <v>1</v>
      </c>
      <c r="BT1412" s="934">
        <v>1</v>
      </c>
      <c r="BU1412" s="934">
        <v>1</v>
      </c>
      <c r="BV1412" s="934">
        <v>1</v>
      </c>
      <c r="BW1412" s="936"/>
    </row>
    <row r="1413" spans="1:75" s="937" customFormat="1" hidden="1" outlineLevel="1" x14ac:dyDescent="0.5">
      <c r="A1413" s="928" t="s">
        <v>1335</v>
      </c>
      <c r="B1413" s="929"/>
      <c r="C1413" s="930"/>
      <c r="D1413" s="930"/>
      <c r="E1413" s="930"/>
      <c r="F1413" s="931">
        <v>1</v>
      </c>
      <c r="G1413" s="932">
        <v>1</v>
      </c>
      <c r="H1413" s="932">
        <v>1</v>
      </c>
      <c r="I1413" s="932">
        <v>1</v>
      </c>
      <c r="J1413" s="932">
        <v>1</v>
      </c>
      <c r="K1413" s="931">
        <v>1</v>
      </c>
      <c r="L1413" s="932">
        <v>1</v>
      </c>
      <c r="M1413" s="932">
        <v>1</v>
      </c>
      <c r="N1413" s="932">
        <v>1</v>
      </c>
      <c r="O1413" s="932">
        <v>1</v>
      </c>
      <c r="P1413" s="931">
        <v>1</v>
      </c>
      <c r="Q1413" s="932">
        <v>1</v>
      </c>
      <c r="R1413" s="932">
        <v>1</v>
      </c>
      <c r="S1413" s="932">
        <v>1</v>
      </c>
      <c r="T1413" s="932">
        <v>1</v>
      </c>
      <c r="U1413" s="931">
        <v>1</v>
      </c>
      <c r="V1413" s="932">
        <v>1</v>
      </c>
      <c r="W1413" s="933">
        <v>1</v>
      </c>
      <c r="X1413" s="932">
        <v>1</v>
      </c>
      <c r="Y1413" s="932">
        <v>1</v>
      </c>
      <c r="Z1413" s="934">
        <v>1</v>
      </c>
      <c r="AA1413" s="932">
        <v>1</v>
      </c>
      <c r="AB1413" s="932">
        <v>1</v>
      </c>
      <c r="AC1413" s="932">
        <v>1</v>
      </c>
      <c r="AD1413" s="932">
        <v>1</v>
      </c>
      <c r="AE1413" s="934">
        <v>1</v>
      </c>
      <c r="AF1413" s="932">
        <v>1</v>
      </c>
      <c r="AG1413" s="932">
        <v>1</v>
      </c>
      <c r="AH1413" s="932">
        <v>1</v>
      </c>
      <c r="AI1413" s="932">
        <v>1</v>
      </c>
      <c r="AJ1413" s="934">
        <v>1</v>
      </c>
      <c r="AK1413" s="932">
        <v>1</v>
      </c>
      <c r="AL1413" s="932">
        <v>1</v>
      </c>
      <c r="AM1413" s="932">
        <v>1</v>
      </c>
      <c r="AN1413" s="932">
        <v>1</v>
      </c>
      <c r="AO1413" s="934">
        <v>1</v>
      </c>
      <c r="AP1413" s="932">
        <v>1</v>
      </c>
      <c r="AQ1413" s="932">
        <v>1</v>
      </c>
      <c r="AR1413" s="932">
        <v>1</v>
      </c>
      <c r="AS1413" s="932">
        <v>1</v>
      </c>
      <c r="AT1413" s="934">
        <v>1</v>
      </c>
      <c r="AU1413" s="932">
        <v>1</v>
      </c>
      <c r="AV1413" s="932">
        <v>1</v>
      </c>
      <c r="AW1413" s="932">
        <v>1</v>
      </c>
      <c r="AX1413" s="932">
        <v>1</v>
      </c>
      <c r="AY1413" s="934">
        <v>1</v>
      </c>
      <c r="AZ1413" s="932">
        <v>1</v>
      </c>
      <c r="BA1413" s="932">
        <v>1</v>
      </c>
      <c r="BB1413" s="932">
        <v>1</v>
      </c>
      <c r="BC1413" s="932">
        <v>1</v>
      </c>
      <c r="BD1413" s="934">
        <v>1</v>
      </c>
      <c r="BE1413" s="932">
        <v>1</v>
      </c>
      <c r="BF1413" s="932">
        <v>1</v>
      </c>
      <c r="BG1413" s="932">
        <v>1</v>
      </c>
      <c r="BH1413" s="932">
        <v>1</v>
      </c>
      <c r="BI1413" s="935">
        <v>1</v>
      </c>
      <c r="BJ1413" s="933">
        <v>1</v>
      </c>
      <c r="BK1413" s="933">
        <v>1</v>
      </c>
      <c r="BL1413" s="933">
        <v>1</v>
      </c>
      <c r="BM1413" s="933">
        <v>1</v>
      </c>
      <c r="BN1413" s="934">
        <v>1</v>
      </c>
      <c r="BO1413" s="933">
        <v>1</v>
      </c>
      <c r="BP1413" s="933">
        <v>1</v>
      </c>
      <c r="BQ1413" s="933">
        <v>1</v>
      </c>
      <c r="BR1413" s="933">
        <v>1</v>
      </c>
      <c r="BS1413" s="934">
        <v>1</v>
      </c>
      <c r="BT1413" s="934">
        <v>1</v>
      </c>
      <c r="BU1413" s="934">
        <v>1</v>
      </c>
      <c r="BV1413" s="934">
        <v>1</v>
      </c>
      <c r="BW1413" s="936"/>
    </row>
    <row r="1414" spans="1:75" s="921" customFormat="1" hidden="1" outlineLevel="1" x14ac:dyDescent="0.5">
      <c r="A1414" s="915" t="s">
        <v>1336</v>
      </c>
      <c r="B1414" s="916"/>
      <c r="C1414" s="917"/>
      <c r="D1414" s="917"/>
      <c r="E1414" s="917"/>
      <c r="F1414" s="918">
        <v>36.229999999999997</v>
      </c>
      <c r="G1414" s="919">
        <v>38.79</v>
      </c>
      <c r="H1414" s="919">
        <v>68.86</v>
      </c>
      <c r="I1414" s="919">
        <v>68.59</v>
      </c>
      <c r="J1414" s="919">
        <v>56.74</v>
      </c>
      <c r="K1414" s="918">
        <v>56.74</v>
      </c>
      <c r="L1414" s="919">
        <v>63.35</v>
      </c>
      <c r="M1414" s="919">
        <v>82.14</v>
      </c>
      <c r="N1414" s="919">
        <v>80.319999999999993</v>
      </c>
      <c r="O1414" s="919">
        <v>87.53</v>
      </c>
      <c r="P1414" s="918">
        <v>87.53</v>
      </c>
      <c r="Q1414" s="919">
        <v>87.35</v>
      </c>
      <c r="R1414" s="919">
        <v>101.46</v>
      </c>
      <c r="S1414" s="919">
        <v>103.09</v>
      </c>
      <c r="T1414" s="919">
        <v>61.62</v>
      </c>
      <c r="U1414" s="918">
        <v>61.62</v>
      </c>
      <c r="V1414" s="919">
        <v>43.27</v>
      </c>
      <c r="W1414" s="920">
        <v>30.81</v>
      </c>
      <c r="X1414" s="919">
        <v>29.02</v>
      </c>
      <c r="Y1414" s="919">
        <v>26.09</v>
      </c>
      <c r="Z1414" s="784">
        <v>26.09</v>
      </c>
      <c r="AA1414" s="919">
        <v>47.97</v>
      </c>
      <c r="AB1414" s="919">
        <v>69.87</v>
      </c>
      <c r="AC1414" s="919">
        <v>86.64</v>
      </c>
      <c r="AD1414" s="919">
        <v>92.04</v>
      </c>
      <c r="AE1414" s="784">
        <v>92.04</v>
      </c>
      <c r="AF1414" s="919">
        <v>100.84</v>
      </c>
      <c r="AG1414" s="919">
        <v>134.74</v>
      </c>
      <c r="AH1414" s="919">
        <v>124.91</v>
      </c>
      <c r="AI1414" s="919">
        <v>133.63999999999999</v>
      </c>
      <c r="AJ1414" s="784">
        <v>133.63999999999999</v>
      </c>
      <c r="AK1414" s="919">
        <v>108.8</v>
      </c>
      <c r="AL1414" s="919">
        <v>136.83000000000001</v>
      </c>
      <c r="AM1414" s="919">
        <v>175.84</v>
      </c>
      <c r="AN1414" s="919">
        <v>208.75</v>
      </c>
      <c r="AO1414" s="784">
        <v>208.75</v>
      </c>
      <c r="AP1414" s="919">
        <v>137.46</v>
      </c>
      <c r="AQ1414" s="919">
        <v>287.43</v>
      </c>
      <c r="AR1414" s="919">
        <v>335.23</v>
      </c>
      <c r="AS1414" s="919">
        <v>475.36</v>
      </c>
      <c r="AT1414" s="784">
        <v>475.36</v>
      </c>
      <c r="AU1414" s="919">
        <v>688.02</v>
      </c>
      <c r="AV1414" s="919">
        <v>664.08</v>
      </c>
      <c r="AW1414" s="919">
        <v>659.63</v>
      </c>
      <c r="AX1414" s="919">
        <v>391.92</v>
      </c>
      <c r="AY1414" s="784">
        <v>391.92</v>
      </c>
      <c r="AZ1414" s="919">
        <v>336.12</v>
      </c>
      <c r="BA1414" s="919">
        <v>279.43</v>
      </c>
      <c r="BB1414" s="919">
        <v>255.58</v>
      </c>
      <c r="BC1414" s="919">
        <v>310.64999999999998</v>
      </c>
      <c r="BD1414" s="784">
        <v>310.64999999999998</v>
      </c>
      <c r="BE1414" s="919">
        <v>255.13</v>
      </c>
      <c r="BF1414" s="919">
        <v>387.29</v>
      </c>
      <c r="BG1414" s="919">
        <v>213.13</v>
      </c>
      <c r="BH1414" s="919">
        <v>272.64</v>
      </c>
      <c r="BI1414" s="786">
        <v>272.64</v>
      </c>
      <c r="BJ1414" s="920">
        <v>334.75</v>
      </c>
      <c r="BK1414" s="920">
        <v>334.75</v>
      </c>
      <c r="BL1414" s="920">
        <v>334.75</v>
      </c>
      <c r="BM1414" s="920">
        <v>334.75</v>
      </c>
      <c r="BN1414" s="784">
        <v>334.75</v>
      </c>
      <c r="BO1414" s="920">
        <v>334.75</v>
      </c>
      <c r="BP1414" s="920">
        <v>334.75</v>
      </c>
      <c r="BQ1414" s="920">
        <v>334.75</v>
      </c>
      <c r="BR1414" s="920">
        <v>334.75</v>
      </c>
      <c r="BS1414" s="784">
        <v>334.75</v>
      </c>
      <c r="BT1414" s="784">
        <v>334.75</v>
      </c>
      <c r="BU1414" s="784">
        <v>334.75</v>
      </c>
      <c r="BV1414" s="784">
        <v>334.75</v>
      </c>
      <c r="BW1414" s="787"/>
    </row>
    <row r="1415" spans="1:75" s="123" customFormat="1" hidden="1" outlineLevel="1" x14ac:dyDescent="0.5">
      <c r="A1415" s="184"/>
      <c r="B1415" s="513"/>
      <c r="C1415" s="401"/>
      <c r="D1415" s="401"/>
      <c r="E1415" s="401"/>
      <c r="F1415" s="401"/>
      <c r="G1415" s="119"/>
      <c r="H1415" s="119"/>
      <c r="I1415" s="119"/>
      <c r="J1415" s="119"/>
      <c r="K1415" s="401"/>
      <c r="L1415" s="119"/>
      <c r="M1415" s="119"/>
      <c r="N1415" s="119"/>
      <c r="O1415" s="119"/>
      <c r="P1415" s="401"/>
      <c r="Q1415" s="119"/>
      <c r="R1415" s="119"/>
      <c r="S1415" s="119"/>
      <c r="T1415" s="119"/>
      <c r="U1415" s="401"/>
      <c r="V1415" s="119"/>
      <c r="W1415" s="119"/>
      <c r="X1415" s="119"/>
      <c r="Y1415" s="119"/>
      <c r="Z1415" s="401"/>
      <c r="AA1415" s="119"/>
      <c r="AB1415" s="119"/>
      <c r="AC1415" s="119"/>
      <c r="AD1415" s="119"/>
      <c r="AE1415" s="401"/>
      <c r="AF1415" s="119"/>
      <c r="AG1415" s="119"/>
      <c r="AH1415" s="119"/>
      <c r="AI1415" s="119"/>
      <c r="AJ1415" s="401"/>
      <c r="AK1415" s="119"/>
      <c r="AL1415" s="119"/>
      <c r="AM1415" s="119"/>
      <c r="AN1415" s="119"/>
      <c r="AO1415" s="401"/>
      <c r="AP1415" s="119"/>
      <c r="AQ1415" s="119"/>
      <c r="AR1415" s="119"/>
      <c r="AS1415" s="119"/>
      <c r="AT1415" s="401"/>
      <c r="AU1415" s="119"/>
      <c r="AV1415" s="119"/>
      <c r="AW1415" s="119"/>
      <c r="AX1415" s="119"/>
      <c r="AY1415" s="401"/>
      <c r="AZ1415" s="119"/>
      <c r="BA1415" s="119"/>
      <c r="BB1415" s="119"/>
      <c r="BC1415" s="119"/>
      <c r="BD1415" s="401"/>
      <c r="BE1415" s="119"/>
      <c r="BF1415" s="119"/>
      <c r="BG1415" s="119"/>
      <c r="BH1415" s="119"/>
      <c r="BI1415" s="402"/>
      <c r="BJ1415" s="118"/>
      <c r="BK1415" s="118"/>
      <c r="BL1415" s="118"/>
      <c r="BM1415" s="118"/>
      <c r="BN1415" s="401"/>
      <c r="BO1415" s="118"/>
      <c r="BP1415" s="118"/>
      <c r="BQ1415" s="118"/>
      <c r="BR1415" s="118"/>
      <c r="BS1415" s="401"/>
      <c r="BT1415" s="401"/>
      <c r="BU1415" s="401"/>
      <c r="BV1415" s="401"/>
      <c r="BW1415" s="122"/>
    </row>
    <row r="1416" spans="1:75" s="198" customFormat="1" ht="14.25" hidden="1" outlineLevel="1" x14ac:dyDescent="0.45">
      <c r="A1416" s="635" t="s">
        <v>1337</v>
      </c>
      <c r="B1416" s="522"/>
      <c r="C1416" s="397"/>
      <c r="D1416" s="397"/>
      <c r="E1416" s="397"/>
      <c r="F1416" s="397"/>
      <c r="G1416" s="295"/>
      <c r="H1416" s="295"/>
      <c r="I1416" s="295"/>
      <c r="J1416" s="295"/>
      <c r="K1416" s="397"/>
      <c r="L1416" s="295"/>
      <c r="M1416" s="295"/>
      <c r="N1416" s="295"/>
      <c r="O1416" s="295"/>
      <c r="P1416" s="397"/>
      <c r="Q1416" s="295"/>
      <c r="R1416" s="295"/>
      <c r="S1416" s="295"/>
      <c r="T1416" s="295"/>
      <c r="U1416" s="397"/>
      <c r="V1416" s="295"/>
      <c r="W1416" s="295"/>
      <c r="X1416" s="295"/>
      <c r="Y1416" s="295"/>
      <c r="Z1416" s="397"/>
      <c r="AA1416" s="295"/>
      <c r="AB1416" s="295"/>
      <c r="AC1416" s="295"/>
      <c r="AD1416" s="295"/>
      <c r="AE1416" s="397"/>
      <c r="AF1416" s="295"/>
      <c r="AG1416" s="295"/>
      <c r="AH1416" s="295"/>
      <c r="AI1416" s="295"/>
      <c r="AJ1416" s="397"/>
      <c r="AK1416" s="295"/>
      <c r="AL1416" s="295"/>
      <c r="AM1416" s="295"/>
      <c r="AN1416" s="295"/>
      <c r="AO1416" s="397"/>
      <c r="AP1416" s="295"/>
      <c r="AQ1416" s="295"/>
      <c r="AR1416" s="295"/>
      <c r="AS1416" s="295"/>
      <c r="AT1416" s="397"/>
      <c r="AU1416" s="295"/>
      <c r="AV1416" s="295"/>
      <c r="AW1416" s="295"/>
      <c r="AX1416" s="295"/>
      <c r="AY1416" s="397"/>
      <c r="AZ1416" s="295"/>
      <c r="BA1416" s="295"/>
      <c r="BB1416" s="295"/>
      <c r="BC1416" s="295"/>
      <c r="BD1416" s="397"/>
      <c r="BE1416" s="295"/>
      <c r="BF1416" s="295"/>
      <c r="BG1416" s="295"/>
      <c r="BH1416" s="295"/>
      <c r="BI1416" s="399"/>
      <c r="BJ1416" s="295"/>
      <c r="BK1416" s="295"/>
      <c r="BL1416" s="295"/>
      <c r="BM1416" s="295"/>
      <c r="BN1416" s="397"/>
      <c r="BO1416" s="295"/>
      <c r="BP1416" s="295"/>
      <c r="BQ1416" s="295"/>
      <c r="BR1416" s="295"/>
      <c r="BS1416" s="397"/>
      <c r="BT1416" s="397"/>
      <c r="BU1416" s="397"/>
      <c r="BV1416" s="397"/>
      <c r="BW1416" s="197"/>
    </row>
    <row r="1417" spans="1:75" s="123" customFormat="1" hidden="1" outlineLevel="1" x14ac:dyDescent="0.5">
      <c r="A1417" s="541" t="s">
        <v>1338</v>
      </c>
      <c r="B1417" s="513"/>
      <c r="C1417" s="401"/>
      <c r="D1417" s="674">
        <v>0</v>
      </c>
      <c r="E1417" s="674">
        <v>0</v>
      </c>
      <c r="F1417" s="674">
        <v>0</v>
      </c>
      <c r="G1417" s="122">
        <v>0</v>
      </c>
      <c r="H1417" s="122">
        <v>0</v>
      </c>
      <c r="I1417" s="122">
        <v>0</v>
      </c>
      <c r="J1417" s="122">
        <v>0</v>
      </c>
      <c r="K1417" s="674">
        <v>0</v>
      </c>
      <c r="L1417" s="122">
        <v>0</v>
      </c>
      <c r="M1417" s="122">
        <v>0</v>
      </c>
      <c r="N1417" s="122">
        <v>0</v>
      </c>
      <c r="O1417" s="122">
        <v>0</v>
      </c>
      <c r="P1417" s="674">
        <v>0</v>
      </c>
      <c r="Q1417" s="122">
        <v>0</v>
      </c>
      <c r="R1417" s="122">
        <v>0</v>
      </c>
      <c r="S1417" s="122">
        <v>0</v>
      </c>
      <c r="T1417" s="122">
        <v>0</v>
      </c>
      <c r="U1417" s="674">
        <v>0</v>
      </c>
      <c r="V1417" s="122">
        <v>0</v>
      </c>
      <c r="W1417" s="119">
        <v>0</v>
      </c>
      <c r="X1417" s="122">
        <v>0</v>
      </c>
      <c r="Y1417" s="122">
        <v>0</v>
      </c>
      <c r="Z1417" s="401">
        <v>0</v>
      </c>
      <c r="AA1417" s="122">
        <v>0</v>
      </c>
      <c r="AB1417" s="122">
        <v>0</v>
      </c>
      <c r="AC1417" s="122">
        <v>0</v>
      </c>
      <c r="AD1417" s="122">
        <v>0</v>
      </c>
      <c r="AE1417" s="401">
        <v>0</v>
      </c>
      <c r="AF1417" s="122">
        <v>0</v>
      </c>
      <c r="AG1417" s="122">
        <v>0</v>
      </c>
      <c r="AH1417" s="122">
        <v>0</v>
      </c>
      <c r="AI1417" s="122">
        <v>0</v>
      </c>
      <c r="AJ1417" s="401">
        <v>0</v>
      </c>
      <c r="AK1417" s="122">
        <v>0</v>
      </c>
      <c r="AL1417" s="122">
        <v>0</v>
      </c>
      <c r="AM1417" s="122">
        <v>0</v>
      </c>
      <c r="AN1417" s="122">
        <v>0</v>
      </c>
      <c r="AO1417" s="401">
        <v>0</v>
      </c>
      <c r="AP1417" s="122">
        <v>0</v>
      </c>
      <c r="AQ1417" s="122">
        <v>0</v>
      </c>
      <c r="AR1417" s="122">
        <v>0</v>
      </c>
      <c r="AS1417" s="122">
        <v>0</v>
      </c>
      <c r="AT1417" s="401">
        <v>0</v>
      </c>
      <c r="AU1417" s="122">
        <v>0</v>
      </c>
      <c r="AV1417" s="122">
        <v>0</v>
      </c>
      <c r="AW1417" s="122">
        <v>0</v>
      </c>
      <c r="AX1417" s="122">
        <v>0</v>
      </c>
      <c r="AY1417" s="401">
        <v>0</v>
      </c>
      <c r="AZ1417" s="122">
        <v>0</v>
      </c>
      <c r="BA1417" s="122">
        <v>0</v>
      </c>
      <c r="BB1417" s="122">
        <v>0</v>
      </c>
      <c r="BC1417" s="122">
        <v>0</v>
      </c>
      <c r="BD1417" s="401">
        <v>0</v>
      </c>
      <c r="BE1417" s="122">
        <v>0</v>
      </c>
      <c r="BF1417" s="122">
        <v>0</v>
      </c>
      <c r="BG1417" s="122">
        <v>0</v>
      </c>
      <c r="BH1417" s="122">
        <v>0</v>
      </c>
      <c r="BI1417" s="402">
        <v>0</v>
      </c>
      <c r="BJ1417" s="118">
        <v>0</v>
      </c>
      <c r="BK1417" s="118">
        <v>0</v>
      </c>
      <c r="BL1417" s="118">
        <v>0</v>
      </c>
      <c r="BM1417" s="118">
        <v>0</v>
      </c>
      <c r="BN1417" s="401">
        <v>0</v>
      </c>
      <c r="BO1417" s="118">
        <v>0</v>
      </c>
      <c r="BP1417" s="118">
        <v>0</v>
      </c>
      <c r="BQ1417" s="118">
        <v>0</v>
      </c>
      <c r="BR1417" s="118">
        <v>0</v>
      </c>
      <c r="BS1417" s="401">
        <v>0</v>
      </c>
      <c r="BT1417" s="401">
        <v>0</v>
      </c>
      <c r="BU1417" s="401">
        <v>0</v>
      </c>
      <c r="BV1417" s="401">
        <v>0</v>
      </c>
      <c r="BW1417" s="122"/>
    </row>
    <row r="1418" spans="1:75" s="123" customFormat="1" hidden="1" outlineLevel="1" x14ac:dyDescent="0.5">
      <c r="A1418" s="541" t="s">
        <v>1339</v>
      </c>
      <c r="B1418" s="513"/>
      <c r="C1418" s="401"/>
      <c r="D1418" s="401"/>
      <c r="E1418" s="401"/>
      <c r="F1418" s="401"/>
      <c r="G1418" s="119"/>
      <c r="H1418" s="119"/>
      <c r="I1418" s="119"/>
      <c r="J1418" s="119"/>
      <c r="K1418" s="401"/>
      <c r="L1418" s="119"/>
      <c r="M1418" s="119"/>
      <c r="N1418" s="119"/>
      <c r="O1418" s="119"/>
      <c r="P1418" s="401"/>
      <c r="Q1418" s="119"/>
      <c r="R1418" s="119"/>
      <c r="S1418" s="119"/>
      <c r="T1418" s="119"/>
      <c r="U1418" s="401"/>
      <c r="V1418" s="119"/>
      <c r="W1418" s="119"/>
      <c r="X1418" s="119"/>
      <c r="Y1418" s="119"/>
      <c r="Z1418" s="401"/>
      <c r="AA1418" s="119"/>
      <c r="AB1418" s="119"/>
      <c r="AC1418" s="119"/>
      <c r="AD1418" s="119"/>
      <c r="AE1418" s="401"/>
      <c r="AF1418" s="119"/>
      <c r="AG1418" s="119"/>
      <c r="AH1418" s="119"/>
      <c r="AI1418" s="119"/>
      <c r="AJ1418" s="401"/>
      <c r="AK1418" s="119"/>
      <c r="AL1418" s="119"/>
      <c r="AM1418" s="119"/>
      <c r="AN1418" s="119"/>
      <c r="AO1418" s="401"/>
      <c r="AP1418" s="119"/>
      <c r="AQ1418" s="119"/>
      <c r="AR1418" s="119"/>
      <c r="AS1418" s="119"/>
      <c r="AT1418" s="401"/>
      <c r="AU1418" s="119"/>
      <c r="AV1418" s="119"/>
      <c r="AW1418" s="119"/>
      <c r="AX1418" s="119"/>
      <c r="AY1418" s="401"/>
      <c r="AZ1418" s="119"/>
      <c r="BA1418" s="119"/>
      <c r="BB1418" s="119"/>
      <c r="BC1418" s="119"/>
      <c r="BD1418" s="401"/>
      <c r="BE1418" s="119"/>
      <c r="BF1418" s="119"/>
      <c r="BG1418" s="119"/>
      <c r="BH1418" s="119"/>
      <c r="BI1418" s="402"/>
      <c r="BJ1418" s="118"/>
      <c r="BK1418" s="118"/>
      <c r="BL1418" s="118"/>
      <c r="BM1418" s="118"/>
      <c r="BN1418" s="401"/>
      <c r="BO1418" s="118"/>
      <c r="BP1418" s="118"/>
      <c r="BQ1418" s="118"/>
      <c r="BR1418" s="118"/>
      <c r="BS1418" s="401"/>
      <c r="BT1418" s="401"/>
      <c r="BU1418" s="401"/>
      <c r="BV1418" s="401"/>
      <c r="BW1418" s="122"/>
    </row>
    <row r="1419" spans="1:75" s="123" customFormat="1" hidden="1" outlineLevel="1" x14ac:dyDescent="0.5">
      <c r="A1419" s="541" t="s">
        <v>1340</v>
      </c>
      <c r="B1419" s="513"/>
      <c r="C1419" s="401"/>
      <c r="D1419" s="401">
        <v>0</v>
      </c>
      <c r="E1419" s="401">
        <v>0</v>
      </c>
      <c r="F1419" s="401">
        <v>0</v>
      </c>
      <c r="G1419" s="119">
        <v>0</v>
      </c>
      <c r="H1419" s="119">
        <v>0</v>
      </c>
      <c r="I1419" s="119">
        <v>0</v>
      </c>
      <c r="J1419" s="119">
        <v>0</v>
      </c>
      <c r="K1419" s="401">
        <v>0</v>
      </c>
      <c r="L1419" s="119">
        <v>0</v>
      </c>
      <c r="M1419" s="119">
        <v>0</v>
      </c>
      <c r="N1419" s="119">
        <v>0</v>
      </c>
      <c r="O1419" s="119">
        <v>0</v>
      </c>
      <c r="P1419" s="401">
        <v>0</v>
      </c>
      <c r="Q1419" s="119">
        <v>0</v>
      </c>
      <c r="R1419" s="119">
        <v>0</v>
      </c>
      <c r="S1419" s="119">
        <v>0</v>
      </c>
      <c r="T1419" s="119">
        <v>0</v>
      </c>
      <c r="U1419" s="401">
        <v>0</v>
      </c>
      <c r="V1419" s="119">
        <v>0</v>
      </c>
      <c r="W1419" s="119">
        <v>0</v>
      </c>
      <c r="X1419" s="119">
        <v>0</v>
      </c>
      <c r="Y1419" s="119">
        <v>0</v>
      </c>
      <c r="Z1419" s="401">
        <v>0</v>
      </c>
      <c r="AA1419" s="119">
        <v>0</v>
      </c>
      <c r="AB1419" s="119">
        <v>0</v>
      </c>
      <c r="AC1419" s="119">
        <v>0</v>
      </c>
      <c r="AD1419" s="119">
        <v>0</v>
      </c>
      <c r="AE1419" s="401">
        <v>0</v>
      </c>
      <c r="AF1419" s="119">
        <v>0</v>
      </c>
      <c r="AG1419" s="119">
        <v>0</v>
      </c>
      <c r="AH1419" s="119">
        <v>0</v>
      </c>
      <c r="AI1419" s="119">
        <v>0</v>
      </c>
      <c r="AJ1419" s="401">
        <v>0</v>
      </c>
      <c r="AK1419" s="119">
        <v>0</v>
      </c>
      <c r="AL1419" s="119">
        <v>0</v>
      </c>
      <c r="AM1419" s="119">
        <v>0</v>
      </c>
      <c r="AN1419" s="119">
        <v>0</v>
      </c>
      <c r="AO1419" s="401">
        <v>0</v>
      </c>
      <c r="AP1419" s="119">
        <v>0</v>
      </c>
      <c r="AQ1419" s="119">
        <v>0</v>
      </c>
      <c r="AR1419" s="119">
        <v>0</v>
      </c>
      <c r="AS1419" s="119">
        <v>0</v>
      </c>
      <c r="AT1419" s="401">
        <v>0</v>
      </c>
      <c r="AU1419" s="119">
        <v>0</v>
      </c>
      <c r="AV1419" s="119">
        <v>30.515000000000001</v>
      </c>
      <c r="AW1419" s="119">
        <v>13.571</v>
      </c>
      <c r="AX1419" s="119">
        <v>0</v>
      </c>
      <c r="AY1419" s="401">
        <v>0</v>
      </c>
      <c r="AZ1419" s="119">
        <v>0</v>
      </c>
      <c r="BA1419" s="119">
        <v>0</v>
      </c>
      <c r="BB1419" s="119">
        <v>0</v>
      </c>
      <c r="BC1419" s="119">
        <v>0</v>
      </c>
      <c r="BD1419" s="401">
        <v>0</v>
      </c>
      <c r="BE1419" s="119">
        <v>0</v>
      </c>
      <c r="BF1419" s="119">
        <v>0</v>
      </c>
      <c r="BG1419" s="119">
        <v>0</v>
      </c>
      <c r="BH1419" s="119">
        <v>0</v>
      </c>
      <c r="BI1419" s="402">
        <v>0</v>
      </c>
      <c r="BJ1419" s="118">
        <v>0</v>
      </c>
      <c r="BK1419" s="118">
        <v>0</v>
      </c>
      <c r="BL1419" s="118">
        <v>0</v>
      </c>
      <c r="BM1419" s="118">
        <v>0</v>
      </c>
      <c r="BN1419" s="401">
        <v>0</v>
      </c>
      <c r="BO1419" s="118">
        <v>0</v>
      </c>
      <c r="BP1419" s="118">
        <v>0</v>
      </c>
      <c r="BQ1419" s="118">
        <v>0</v>
      </c>
      <c r="BR1419" s="118">
        <v>0</v>
      </c>
      <c r="BS1419" s="401">
        <v>0</v>
      </c>
      <c r="BT1419" s="401">
        <v>0</v>
      </c>
      <c r="BU1419" s="401">
        <v>0</v>
      </c>
      <c r="BV1419" s="401">
        <v>0</v>
      </c>
      <c r="BW1419" s="122"/>
    </row>
    <row r="1420" spans="1:75" s="123" customFormat="1" collapsed="1" x14ac:dyDescent="0.5">
      <c r="A1420" s="496"/>
      <c r="B1420" s="513"/>
      <c r="C1420" s="401"/>
      <c r="D1420" s="401"/>
      <c r="E1420" s="401"/>
      <c r="F1420" s="401"/>
      <c r="G1420" s="119"/>
      <c r="H1420" s="119"/>
      <c r="I1420" s="119"/>
      <c r="J1420" s="119"/>
      <c r="K1420" s="401"/>
      <c r="L1420" s="119"/>
      <c r="M1420" s="119"/>
      <c r="N1420" s="119"/>
      <c r="O1420" s="119"/>
      <c r="P1420" s="401"/>
      <c r="Q1420" s="119"/>
      <c r="R1420" s="119"/>
      <c r="S1420" s="119"/>
      <c r="T1420" s="119"/>
      <c r="U1420" s="401"/>
      <c r="V1420" s="119"/>
      <c r="W1420" s="119"/>
      <c r="X1420" s="119"/>
      <c r="Y1420" s="119"/>
      <c r="Z1420" s="401"/>
      <c r="AA1420" s="119"/>
      <c r="AB1420" s="119"/>
      <c r="AC1420" s="119"/>
      <c r="AD1420" s="119"/>
      <c r="AE1420" s="401"/>
      <c r="AF1420" s="119"/>
      <c r="AG1420" s="119"/>
      <c r="AH1420" s="119"/>
      <c r="AI1420" s="119"/>
      <c r="AJ1420" s="401"/>
      <c r="AK1420" s="119"/>
      <c r="AL1420" s="119"/>
      <c r="AM1420" s="119"/>
      <c r="AN1420" s="119"/>
      <c r="AO1420" s="401"/>
      <c r="AP1420" s="119"/>
      <c r="AQ1420" s="119"/>
      <c r="AR1420" s="119"/>
      <c r="AS1420" s="119"/>
      <c r="AT1420" s="401"/>
      <c r="AU1420" s="119"/>
      <c r="AV1420" s="119"/>
      <c r="AW1420" s="119"/>
      <c r="AX1420" s="119"/>
      <c r="AY1420" s="401"/>
      <c r="AZ1420" s="119"/>
      <c r="BA1420" s="119"/>
      <c r="BB1420" s="119"/>
      <c r="BC1420" s="119"/>
      <c r="BD1420" s="401"/>
      <c r="BE1420" s="119"/>
      <c r="BF1420" s="119"/>
      <c r="BG1420" s="119"/>
      <c r="BH1420" s="119"/>
      <c r="BI1420" s="402"/>
      <c r="BJ1420" s="118"/>
      <c r="BK1420" s="118"/>
      <c r="BL1420" s="118"/>
      <c r="BM1420" s="118"/>
      <c r="BN1420" s="401"/>
      <c r="BO1420" s="118"/>
      <c r="BP1420" s="118"/>
      <c r="BQ1420" s="118"/>
      <c r="BR1420" s="118"/>
      <c r="BS1420" s="401"/>
      <c r="BT1420" s="401"/>
      <c r="BU1420" s="401"/>
      <c r="BV1420" s="401"/>
      <c r="BW1420" s="122"/>
    </row>
    <row r="1421" spans="1:75" s="198" customFormat="1" ht="14.25" x14ac:dyDescent="0.45">
      <c r="A1421" s="239" t="s">
        <v>1341</v>
      </c>
      <c r="B1421" s="239"/>
      <c r="C1421" s="239"/>
      <c r="D1421" s="239"/>
      <c r="E1421" s="239"/>
      <c r="F1421" s="239"/>
      <c r="G1421" s="239"/>
      <c r="H1421" s="239"/>
      <c r="I1421" s="239"/>
      <c r="J1421" s="239"/>
      <c r="K1421" s="239"/>
      <c r="L1421" s="239"/>
      <c r="M1421" s="239"/>
      <c r="N1421" s="239"/>
      <c r="O1421" s="239"/>
      <c r="P1421" s="239"/>
      <c r="Q1421" s="239"/>
      <c r="R1421" s="239"/>
      <c r="S1421" s="239"/>
      <c r="T1421" s="239"/>
      <c r="U1421" s="239"/>
      <c r="V1421" s="239"/>
      <c r="W1421" s="239"/>
      <c r="X1421" s="239"/>
      <c r="Y1421" s="239"/>
      <c r="Z1421" s="239"/>
      <c r="AA1421" s="239"/>
      <c r="AB1421" s="239"/>
      <c r="AC1421" s="239"/>
      <c r="AD1421" s="239"/>
      <c r="AE1421" s="239"/>
      <c r="AF1421" s="239"/>
      <c r="AG1421" s="239"/>
      <c r="AH1421" s="239"/>
      <c r="AI1421" s="239"/>
      <c r="AJ1421" s="239"/>
      <c r="AK1421" s="239"/>
      <c r="AL1421" s="239"/>
      <c r="AM1421" s="239"/>
      <c r="AN1421" s="239"/>
      <c r="AO1421" s="239"/>
      <c r="AP1421" s="239"/>
      <c r="AQ1421" s="239"/>
      <c r="AR1421" s="239"/>
      <c r="AS1421" s="239"/>
      <c r="AT1421" s="239"/>
      <c r="AU1421" s="239"/>
      <c r="AV1421" s="239"/>
      <c r="AW1421" s="239"/>
      <c r="AX1421" s="239"/>
      <c r="AY1421" s="239"/>
      <c r="AZ1421" s="239"/>
      <c r="BA1421" s="239"/>
      <c r="BB1421" s="239"/>
      <c r="BC1421" s="239"/>
      <c r="BD1421" s="239"/>
      <c r="BE1421" s="239"/>
      <c r="BF1421" s="239"/>
      <c r="BG1421" s="239"/>
      <c r="BH1421" s="239"/>
      <c r="BI1421" s="241"/>
      <c r="BJ1421" s="239"/>
      <c r="BK1421" s="239"/>
      <c r="BL1421" s="239"/>
      <c r="BM1421" s="239"/>
      <c r="BN1421" s="239"/>
      <c r="BO1421" s="239"/>
      <c r="BP1421" s="239"/>
      <c r="BQ1421" s="239"/>
      <c r="BR1421" s="239"/>
      <c r="BS1421" s="239"/>
      <c r="BT1421" s="239"/>
      <c r="BU1421" s="239"/>
      <c r="BV1421" s="239"/>
      <c r="BW1421" s="197"/>
    </row>
    <row r="1422" spans="1:75" s="198" customFormat="1" ht="14.25" hidden="1" outlineLevel="1" x14ac:dyDescent="0.45">
      <c r="A1422" s="463" t="s">
        <v>1342</v>
      </c>
      <c r="B1422" s="522"/>
      <c r="C1422" s="397"/>
      <c r="D1422" s="397"/>
      <c r="E1422" s="397"/>
      <c r="F1422" s="397"/>
      <c r="G1422" s="295"/>
      <c r="H1422" s="295"/>
      <c r="I1422" s="295"/>
      <c r="J1422" s="295"/>
      <c r="K1422" s="397"/>
      <c r="L1422" s="295"/>
      <c r="M1422" s="295"/>
      <c r="N1422" s="295"/>
      <c r="O1422" s="295"/>
      <c r="P1422" s="397"/>
      <c r="Q1422" s="295"/>
      <c r="R1422" s="295"/>
      <c r="S1422" s="295"/>
      <c r="T1422" s="295"/>
      <c r="U1422" s="397"/>
      <c r="V1422" s="295"/>
      <c r="W1422" s="295"/>
      <c r="X1422" s="295"/>
      <c r="Y1422" s="295"/>
      <c r="Z1422" s="397"/>
      <c r="AA1422" s="295"/>
      <c r="AB1422" s="295"/>
      <c r="AC1422" s="295"/>
      <c r="AD1422" s="295"/>
      <c r="AE1422" s="397"/>
      <c r="AF1422" s="295"/>
      <c r="AG1422" s="295"/>
      <c r="AH1422" s="295"/>
      <c r="AI1422" s="295"/>
      <c r="AJ1422" s="397"/>
      <c r="AK1422" s="295"/>
      <c r="AL1422" s="295"/>
      <c r="AM1422" s="295"/>
      <c r="AN1422" s="295"/>
      <c r="AO1422" s="397"/>
      <c r="AP1422" s="295"/>
      <c r="AQ1422" s="295"/>
      <c r="AR1422" s="295"/>
      <c r="AS1422" s="295"/>
      <c r="AT1422" s="397"/>
      <c r="AU1422" s="295"/>
      <c r="AV1422" s="295"/>
      <c r="AW1422" s="295"/>
      <c r="AX1422" s="295"/>
      <c r="AY1422" s="397"/>
      <c r="AZ1422" s="295"/>
      <c r="BA1422" s="295"/>
      <c r="BB1422" s="295"/>
      <c r="BC1422" s="295"/>
      <c r="BD1422" s="397"/>
      <c r="BE1422" s="295"/>
      <c r="BF1422" s="295"/>
      <c r="BG1422" s="295"/>
      <c r="BH1422" s="295"/>
      <c r="BI1422" s="399"/>
      <c r="BJ1422" s="295"/>
      <c r="BK1422" s="295"/>
      <c r="BL1422" s="295"/>
      <c r="BM1422" s="295"/>
      <c r="BN1422" s="397"/>
      <c r="BO1422" s="295"/>
      <c r="BP1422" s="295"/>
      <c r="BQ1422" s="295"/>
      <c r="BR1422" s="295"/>
      <c r="BS1422" s="397"/>
      <c r="BT1422" s="397"/>
      <c r="BU1422" s="397"/>
      <c r="BV1422" s="397"/>
      <c r="BW1422" s="197"/>
    </row>
    <row r="1423" spans="1:75" s="123" customFormat="1" hidden="1" outlineLevel="1" x14ac:dyDescent="0.5">
      <c r="A1423" s="464" t="s">
        <v>1070</v>
      </c>
      <c r="B1423" s="118"/>
      <c r="C1423" s="401"/>
      <c r="D1423" s="403">
        <v>-7.0510000000000002</v>
      </c>
      <c r="E1423" s="403">
        <v>20.588000000000001</v>
      </c>
      <c r="F1423" s="403">
        <v>-12.789</v>
      </c>
      <c r="G1423" s="302">
        <v>-0.161</v>
      </c>
      <c r="H1423" s="302">
        <v>-17.995999999999999</v>
      </c>
      <c r="I1423" s="302">
        <v>-8.4469999999999992</v>
      </c>
      <c r="J1423" s="122">
        <v>18.195</v>
      </c>
      <c r="K1423" s="403">
        <v>18.195</v>
      </c>
      <c r="L1423" s="302">
        <v>1.7949999999999999</v>
      </c>
      <c r="M1423" s="302">
        <v>29.047999999999998</v>
      </c>
      <c r="N1423" s="302">
        <v>48.476999999999997</v>
      </c>
      <c r="O1423" s="122">
        <v>91.001999999999995</v>
      </c>
      <c r="P1423" s="403">
        <v>91.001999999999995</v>
      </c>
      <c r="Q1423" s="302">
        <v>7.1559999999999997</v>
      </c>
      <c r="R1423" s="302">
        <v>37.091000000000001</v>
      </c>
      <c r="S1423" s="302">
        <v>57.801000000000002</v>
      </c>
      <c r="T1423" s="122">
        <v>91.102999999999994</v>
      </c>
      <c r="U1423" s="403">
        <v>91.102999999999994</v>
      </c>
      <c r="V1423" s="938">
        <v>-13.47</v>
      </c>
      <c r="W1423" s="938">
        <v>-6.5519999999999996</v>
      </c>
      <c r="X1423" s="302">
        <v>-4.0350000000000001</v>
      </c>
      <c r="Y1423" s="939">
        <v>5.4009999999999998</v>
      </c>
      <c r="Z1423" s="403">
        <v>5.4009999999999998</v>
      </c>
      <c r="AA1423" s="938">
        <v>-3.37</v>
      </c>
      <c r="AB1423" s="938">
        <v>-11.231999999999999</v>
      </c>
      <c r="AC1423" s="302">
        <v>1.919</v>
      </c>
      <c r="AD1423" s="939">
        <v>2.1800000000000002</v>
      </c>
      <c r="AE1423" s="403">
        <v>2.1800000000000002</v>
      </c>
      <c r="AF1423" s="938">
        <v>25.460999999999999</v>
      </c>
      <c r="AG1423" s="938">
        <v>88.367000000000004</v>
      </c>
      <c r="AH1423" s="302">
        <v>108.48099999999999</v>
      </c>
      <c r="AI1423" s="939">
        <v>135.73099999999999</v>
      </c>
      <c r="AJ1423" s="403">
        <v>135.73099999999999</v>
      </c>
      <c r="AK1423" s="938">
        <v>35.722000000000001</v>
      </c>
      <c r="AL1423" s="938">
        <v>99.478999999999999</v>
      </c>
      <c r="AM1423" s="302">
        <v>151.94200000000001</v>
      </c>
      <c r="AN1423" s="939">
        <v>220.375</v>
      </c>
      <c r="AO1423" s="403">
        <v>220.375</v>
      </c>
      <c r="AP1423" s="938">
        <v>-3.2120000000000002</v>
      </c>
      <c r="AQ1423" s="938">
        <v>95.210999999999999</v>
      </c>
      <c r="AR1423" s="302">
        <v>141.62200000000001</v>
      </c>
      <c r="AS1423" s="939">
        <v>271.815</v>
      </c>
      <c r="AT1423" s="403">
        <v>271.815</v>
      </c>
      <c r="AU1423" s="938">
        <v>130.65600000000001</v>
      </c>
      <c r="AV1423" s="938">
        <v>357.40199999999999</v>
      </c>
      <c r="AW1423" s="302">
        <v>541.50099999999998</v>
      </c>
      <c r="AX1423" s="300">
        <v>688.54600000000005</v>
      </c>
      <c r="AY1423" s="403">
        <v>688.54600000000005</v>
      </c>
      <c r="AZ1423" s="938">
        <v>200.71100000000001</v>
      </c>
      <c r="BA1423" s="938">
        <v>322.98599999999999</v>
      </c>
      <c r="BB1423" s="302">
        <v>421.74599999999998</v>
      </c>
      <c r="BC1423" s="300">
        <v>528.64200000000005</v>
      </c>
      <c r="BD1423" s="403">
        <v>528.64200000000005</v>
      </c>
      <c r="BE1423" s="938">
        <v>41.89</v>
      </c>
      <c r="BF1423" s="938">
        <v>118.367</v>
      </c>
      <c r="BG1423" s="302">
        <v>116.18</v>
      </c>
      <c r="BH1423" s="300">
        <v>127.56100000000001</v>
      </c>
      <c r="BI1423" s="514">
        <v>127.56100000000001</v>
      </c>
      <c r="BJ1423" s="251"/>
      <c r="BK1423" s="251"/>
      <c r="BL1423" s="251"/>
      <c r="BM1423" s="251">
        <v>0</v>
      </c>
      <c r="BN1423" s="401"/>
      <c r="BO1423" s="251"/>
      <c r="BP1423" s="251"/>
      <c r="BQ1423" s="251"/>
      <c r="BR1423" s="251">
        <v>0</v>
      </c>
      <c r="BS1423" s="401"/>
      <c r="BT1423" s="401"/>
      <c r="BU1423" s="401"/>
      <c r="BV1423" s="401"/>
      <c r="BW1423" s="122"/>
    </row>
    <row r="1424" spans="1:75" s="123" customFormat="1" hidden="1" outlineLevel="1" x14ac:dyDescent="0.5">
      <c r="A1424" s="464" t="s">
        <v>1343</v>
      </c>
      <c r="B1424" s="251"/>
      <c r="C1424" s="401"/>
      <c r="D1424" s="940">
        <v>31.263000000000002</v>
      </c>
      <c r="E1424" s="940">
        <v>29.186</v>
      </c>
      <c r="F1424" s="940">
        <v>26.748000000000001</v>
      </c>
      <c r="G1424" s="938">
        <v>6.63</v>
      </c>
      <c r="H1424" s="302">
        <v>13.228</v>
      </c>
      <c r="I1424" s="302">
        <v>19.959</v>
      </c>
      <c r="J1424" s="122">
        <v>27.654</v>
      </c>
      <c r="K1424" s="940">
        <v>27.654</v>
      </c>
      <c r="L1424" s="938">
        <v>7.64</v>
      </c>
      <c r="M1424" s="938">
        <v>15.978</v>
      </c>
      <c r="N1424" s="938">
        <v>24.995000000000001</v>
      </c>
      <c r="O1424" s="939">
        <v>34.463000000000001</v>
      </c>
      <c r="P1424" s="940">
        <v>34.463000000000001</v>
      </c>
      <c r="Q1424" s="938">
        <v>9.9789999999999992</v>
      </c>
      <c r="R1424" s="938">
        <v>20.873999999999999</v>
      </c>
      <c r="S1424" s="938">
        <v>32.104999999999997</v>
      </c>
      <c r="T1424" s="939">
        <v>44.594999999999999</v>
      </c>
      <c r="U1424" s="940">
        <v>44.594999999999999</v>
      </c>
      <c r="V1424" s="938">
        <v>12.554</v>
      </c>
      <c r="W1424" s="938">
        <v>26.212</v>
      </c>
      <c r="X1424" s="938">
        <v>41.247999999999998</v>
      </c>
      <c r="Y1424" s="939">
        <v>56.994999999999997</v>
      </c>
      <c r="Z1424" s="940">
        <v>56.994999999999997</v>
      </c>
      <c r="AA1424" s="938">
        <v>16.02</v>
      </c>
      <c r="AB1424" s="938">
        <v>32.545999999999999</v>
      </c>
      <c r="AC1424" s="938">
        <v>51.091999999999999</v>
      </c>
      <c r="AD1424" s="939">
        <v>70.135000000000005</v>
      </c>
      <c r="AE1424" s="940">
        <v>70.135000000000005</v>
      </c>
      <c r="AF1424" s="938">
        <v>22.745000000000001</v>
      </c>
      <c r="AG1424" s="938">
        <v>41.939</v>
      </c>
      <c r="AH1424" s="938">
        <v>64.933999999999997</v>
      </c>
      <c r="AI1424" s="939">
        <v>91.372</v>
      </c>
      <c r="AJ1424" s="940">
        <v>91.372</v>
      </c>
      <c r="AK1424" s="938">
        <v>27.189</v>
      </c>
      <c r="AL1424" s="938">
        <v>52.51</v>
      </c>
      <c r="AM1424" s="938">
        <v>75.944999999999993</v>
      </c>
      <c r="AN1424" s="939">
        <v>100.739</v>
      </c>
      <c r="AO1424" s="940">
        <v>100.739</v>
      </c>
      <c r="AP1424" s="938">
        <v>24.87</v>
      </c>
      <c r="AQ1424" s="938">
        <v>50.212000000000003</v>
      </c>
      <c r="AR1424" s="938">
        <v>76.688000000000002</v>
      </c>
      <c r="AS1424" s="939">
        <v>100.04</v>
      </c>
      <c r="AT1424" s="940">
        <v>100.04</v>
      </c>
      <c r="AU1424" s="938">
        <v>23.885999999999999</v>
      </c>
      <c r="AV1424" s="938">
        <v>46.555999999999997</v>
      </c>
      <c r="AW1424" s="938">
        <v>71.375</v>
      </c>
      <c r="AX1424" s="300">
        <v>96.022000000000006</v>
      </c>
      <c r="AY1424" s="940">
        <v>96.022000000000006</v>
      </c>
      <c r="AZ1424" s="938">
        <v>24.757999999999999</v>
      </c>
      <c r="BA1424" s="938">
        <v>51.728000000000002</v>
      </c>
      <c r="BB1424" s="938">
        <v>79.760000000000005</v>
      </c>
      <c r="BC1424" s="300">
        <v>108.58799999999999</v>
      </c>
      <c r="BD1424" s="940">
        <v>108.58799999999999</v>
      </c>
      <c r="BE1424" s="938">
        <v>27.77</v>
      </c>
      <c r="BF1424" s="938">
        <v>55.905999999999999</v>
      </c>
      <c r="BG1424" s="938">
        <v>84.36</v>
      </c>
      <c r="BH1424" s="300">
        <v>118.989</v>
      </c>
      <c r="BI1424" s="941">
        <v>118.989</v>
      </c>
      <c r="BJ1424" s="251"/>
      <c r="BK1424" s="251"/>
      <c r="BL1424" s="251"/>
      <c r="BM1424" s="251">
        <v>0</v>
      </c>
      <c r="BN1424" s="401"/>
      <c r="BO1424" s="251"/>
      <c r="BP1424" s="251"/>
      <c r="BQ1424" s="251"/>
      <c r="BR1424" s="251">
        <v>0</v>
      </c>
      <c r="BS1424" s="401"/>
      <c r="BT1424" s="401"/>
      <c r="BU1424" s="401"/>
      <c r="BV1424" s="401"/>
      <c r="BW1424" s="122"/>
    </row>
    <row r="1425" spans="1:75" s="123" customFormat="1" hidden="1" outlineLevel="1" x14ac:dyDescent="0.5">
      <c r="A1425" s="464" t="s">
        <v>1344</v>
      </c>
      <c r="B1425" s="251"/>
      <c r="C1425" s="401"/>
      <c r="D1425" s="724"/>
      <c r="E1425" s="724"/>
      <c r="F1425" s="724"/>
      <c r="G1425" s="251"/>
      <c r="H1425" s="119"/>
      <c r="I1425" s="119"/>
      <c r="J1425" s="119">
        <v>0</v>
      </c>
      <c r="K1425" s="724"/>
      <c r="L1425" s="251"/>
      <c r="M1425" s="251"/>
      <c r="N1425" s="251"/>
      <c r="O1425" s="251">
        <v>0</v>
      </c>
      <c r="P1425" s="724"/>
      <c r="Q1425" s="251"/>
      <c r="R1425" s="251"/>
      <c r="S1425" s="251"/>
      <c r="T1425" s="251">
        <v>0</v>
      </c>
      <c r="U1425" s="724"/>
      <c r="V1425" s="251"/>
      <c r="W1425" s="251"/>
      <c r="X1425" s="251"/>
      <c r="Y1425" s="251">
        <v>0</v>
      </c>
      <c r="Z1425" s="724"/>
      <c r="AA1425" s="251"/>
      <c r="AB1425" s="251"/>
      <c r="AC1425" s="251"/>
      <c r="AD1425" s="251">
        <v>0</v>
      </c>
      <c r="AE1425" s="724"/>
      <c r="AF1425" s="251"/>
      <c r="AG1425" s="251"/>
      <c r="AH1425" s="251"/>
      <c r="AI1425" s="429">
        <v>0</v>
      </c>
      <c r="AJ1425" s="724"/>
      <c r="AK1425" s="251"/>
      <c r="AL1425" s="251"/>
      <c r="AM1425" s="251"/>
      <c r="AN1425" s="429">
        <v>0</v>
      </c>
      <c r="AO1425" s="724"/>
      <c r="AP1425" s="251"/>
      <c r="AQ1425" s="251"/>
      <c r="AR1425" s="251"/>
      <c r="AS1425" s="429">
        <v>0</v>
      </c>
      <c r="AT1425" s="724"/>
      <c r="AU1425" s="251"/>
      <c r="AV1425" s="251"/>
      <c r="AW1425" s="251"/>
      <c r="AX1425" s="300">
        <v>0</v>
      </c>
      <c r="AY1425" s="724"/>
      <c r="AZ1425" s="251"/>
      <c r="BA1425" s="251"/>
      <c r="BB1425" s="251"/>
      <c r="BC1425" s="300">
        <v>0</v>
      </c>
      <c r="BD1425" s="724"/>
      <c r="BE1425" s="251"/>
      <c r="BF1425" s="251"/>
      <c r="BG1425" s="251"/>
      <c r="BH1425" s="300">
        <v>0</v>
      </c>
      <c r="BI1425" s="942"/>
      <c r="BJ1425" s="251"/>
      <c r="BK1425" s="251"/>
      <c r="BL1425" s="251"/>
      <c r="BM1425" s="251">
        <v>0</v>
      </c>
      <c r="BN1425" s="401"/>
      <c r="BO1425" s="251"/>
      <c r="BP1425" s="251"/>
      <c r="BQ1425" s="251"/>
      <c r="BR1425" s="251">
        <v>0</v>
      </c>
      <c r="BS1425" s="401"/>
      <c r="BT1425" s="401"/>
      <c r="BU1425" s="401"/>
      <c r="BV1425" s="401"/>
      <c r="BW1425" s="122"/>
    </row>
    <row r="1426" spans="1:75" s="123" customFormat="1" hidden="1" outlineLevel="1" x14ac:dyDescent="0.5">
      <c r="A1426" s="184" t="s">
        <v>1114</v>
      </c>
      <c r="B1426" s="251"/>
      <c r="C1426" s="401"/>
      <c r="D1426" s="724"/>
      <c r="E1426" s="724"/>
      <c r="F1426" s="724"/>
      <c r="G1426" s="251"/>
      <c r="H1426" s="119"/>
      <c r="I1426" s="119"/>
      <c r="J1426" s="119">
        <v>0</v>
      </c>
      <c r="K1426" s="724"/>
      <c r="L1426" s="251"/>
      <c r="M1426" s="251"/>
      <c r="N1426" s="251"/>
      <c r="O1426" s="251">
        <v>0</v>
      </c>
      <c r="P1426" s="724"/>
      <c r="Q1426" s="251"/>
      <c r="R1426" s="251"/>
      <c r="S1426" s="251"/>
      <c r="T1426" s="251">
        <v>0</v>
      </c>
      <c r="U1426" s="724"/>
      <c r="V1426" s="251"/>
      <c r="W1426" s="251"/>
      <c r="X1426" s="251"/>
      <c r="Y1426" s="251">
        <v>0</v>
      </c>
      <c r="Z1426" s="724"/>
      <c r="AA1426" s="251"/>
      <c r="AB1426" s="251"/>
      <c r="AC1426" s="251"/>
      <c r="AD1426" s="251">
        <v>33.700000000000003</v>
      </c>
      <c r="AE1426" s="940">
        <v>33.700000000000003</v>
      </c>
      <c r="AF1426" s="251"/>
      <c r="AG1426" s="251"/>
      <c r="AH1426" s="251"/>
      <c r="AI1426" s="300">
        <v>32.085999999999999</v>
      </c>
      <c r="AJ1426" s="940">
        <v>32.085999999999999</v>
      </c>
      <c r="AK1426" s="251"/>
      <c r="AL1426" s="251"/>
      <c r="AM1426" s="251"/>
      <c r="AN1426" s="300">
        <v>0</v>
      </c>
      <c r="AO1426" s="724"/>
      <c r="AP1426" s="938">
        <v>20.459</v>
      </c>
      <c r="AQ1426" s="938">
        <v>20.459</v>
      </c>
      <c r="AR1426" s="938">
        <v>20.459</v>
      </c>
      <c r="AS1426" s="300">
        <v>20.459</v>
      </c>
      <c r="AT1426" s="940">
        <v>20.459</v>
      </c>
      <c r="AU1426" s="251"/>
      <c r="AV1426" s="251"/>
      <c r="AW1426" s="251"/>
      <c r="AX1426" s="300">
        <v>0</v>
      </c>
      <c r="AY1426" s="401"/>
      <c r="AZ1426" s="251"/>
      <c r="BA1426" s="251"/>
      <c r="BB1426" s="251"/>
      <c r="BC1426" s="300">
        <v>0</v>
      </c>
      <c r="BD1426" s="401"/>
      <c r="BE1426" s="251"/>
      <c r="BF1426" s="251"/>
      <c r="BG1426" s="251"/>
      <c r="BH1426" s="300">
        <v>0</v>
      </c>
      <c r="BI1426" s="402"/>
      <c r="BJ1426" s="251"/>
      <c r="BK1426" s="251"/>
      <c r="BL1426" s="251"/>
      <c r="BM1426" s="251">
        <v>0</v>
      </c>
      <c r="BN1426" s="401"/>
      <c r="BO1426" s="251"/>
      <c r="BP1426" s="251"/>
      <c r="BQ1426" s="251"/>
      <c r="BR1426" s="251">
        <v>0</v>
      </c>
      <c r="BS1426" s="401"/>
      <c r="BT1426" s="401"/>
      <c r="BU1426" s="401"/>
      <c r="BV1426" s="401"/>
      <c r="BW1426" s="122"/>
    </row>
    <row r="1427" spans="1:75" s="123" customFormat="1" hidden="1" outlineLevel="1" x14ac:dyDescent="0.5">
      <c r="A1427" s="184" t="s">
        <v>1345</v>
      </c>
      <c r="B1427" s="251"/>
      <c r="C1427" s="401"/>
      <c r="D1427" s="724"/>
      <c r="E1427" s="724"/>
      <c r="F1427" s="724"/>
      <c r="G1427" s="251"/>
      <c r="H1427" s="119"/>
      <c r="I1427" s="119"/>
      <c r="J1427" s="119">
        <v>0</v>
      </c>
      <c r="K1427" s="724"/>
      <c r="L1427" s="251"/>
      <c r="M1427" s="251"/>
      <c r="N1427" s="251"/>
      <c r="O1427" s="251">
        <v>0</v>
      </c>
      <c r="P1427" s="724"/>
      <c r="Q1427" s="251"/>
      <c r="R1427" s="251"/>
      <c r="S1427" s="251"/>
      <c r="T1427" s="251">
        <v>0</v>
      </c>
      <c r="U1427" s="724"/>
      <c r="V1427" s="251"/>
      <c r="W1427" s="251"/>
      <c r="X1427" s="251"/>
      <c r="Y1427" s="251">
        <v>0</v>
      </c>
      <c r="Z1427" s="724"/>
      <c r="AA1427" s="251"/>
      <c r="AB1427" s="251"/>
      <c r="AC1427" s="251"/>
      <c r="AD1427" s="251">
        <v>0</v>
      </c>
      <c r="AE1427" s="724"/>
      <c r="AF1427" s="938">
        <v>17.04</v>
      </c>
      <c r="AG1427" s="938">
        <v>34.118000000000002</v>
      </c>
      <c r="AH1427" s="938">
        <v>51.094999999999999</v>
      </c>
      <c r="AI1427" s="300">
        <v>68.611999999999995</v>
      </c>
      <c r="AJ1427" s="940">
        <v>68.611999999999995</v>
      </c>
      <c r="AK1427" s="938">
        <v>16.279</v>
      </c>
      <c r="AL1427" s="938">
        <v>33.226999999999997</v>
      </c>
      <c r="AM1427" s="938">
        <v>48.854999999999997</v>
      </c>
      <c r="AN1427" s="300">
        <v>65.194999999999993</v>
      </c>
      <c r="AO1427" s="940">
        <v>65.194999999999993</v>
      </c>
      <c r="AP1427" s="938">
        <v>15.907</v>
      </c>
      <c r="AQ1427" s="938">
        <v>31.355</v>
      </c>
      <c r="AR1427" s="938">
        <v>47.069000000000003</v>
      </c>
      <c r="AS1427" s="300">
        <v>64.132000000000005</v>
      </c>
      <c r="AT1427" s="940">
        <v>64.132000000000005</v>
      </c>
      <c r="AU1427" s="938">
        <v>16.603000000000002</v>
      </c>
      <c r="AV1427" s="938">
        <v>35.540999999999997</v>
      </c>
      <c r="AW1427" s="938">
        <v>54.084000000000003</v>
      </c>
      <c r="AX1427" s="300">
        <v>72.478999999999999</v>
      </c>
      <c r="AY1427" s="940">
        <v>72.478999999999999</v>
      </c>
      <c r="AZ1427" s="938">
        <v>18.390999999999998</v>
      </c>
      <c r="BA1427" s="938">
        <v>37.19</v>
      </c>
      <c r="BB1427" s="938">
        <v>55.911999999999999</v>
      </c>
      <c r="BC1427" s="300">
        <v>75.185000000000002</v>
      </c>
      <c r="BD1427" s="940">
        <v>75.185000000000002</v>
      </c>
      <c r="BE1427" s="938">
        <v>19.864999999999998</v>
      </c>
      <c r="BF1427" s="938">
        <v>38.857999999999997</v>
      </c>
      <c r="BG1427" s="938">
        <v>62.938000000000002</v>
      </c>
      <c r="BH1427" s="300">
        <v>86.698999999999998</v>
      </c>
      <c r="BI1427" s="941">
        <v>86.698999999999998</v>
      </c>
      <c r="BJ1427" s="251"/>
      <c r="BK1427" s="251"/>
      <c r="BL1427" s="251"/>
      <c r="BM1427" s="251">
        <v>0</v>
      </c>
      <c r="BN1427" s="401"/>
      <c r="BO1427" s="251"/>
      <c r="BP1427" s="251"/>
      <c r="BQ1427" s="251"/>
      <c r="BR1427" s="251">
        <v>0</v>
      </c>
      <c r="BS1427" s="401"/>
      <c r="BT1427" s="401"/>
      <c r="BU1427" s="401"/>
      <c r="BV1427" s="401"/>
      <c r="BW1427" s="122"/>
    </row>
    <row r="1428" spans="1:75" s="123" customFormat="1" hidden="1" outlineLevel="1" x14ac:dyDescent="0.5">
      <c r="A1428" s="464" t="s">
        <v>1346</v>
      </c>
      <c r="B1428" s="118"/>
      <c r="C1428" s="401"/>
      <c r="D1428" s="403">
        <v>2.1150000000000002</v>
      </c>
      <c r="E1428" s="401"/>
      <c r="F1428" s="401"/>
      <c r="G1428" s="119"/>
      <c r="H1428" s="119"/>
      <c r="I1428" s="119"/>
      <c r="J1428" s="122">
        <v>0</v>
      </c>
      <c r="K1428" s="401"/>
      <c r="L1428" s="119"/>
      <c r="M1428" s="119"/>
      <c r="N1428" s="119"/>
      <c r="O1428" s="122">
        <v>0</v>
      </c>
      <c r="P1428" s="724"/>
      <c r="Q1428" s="119"/>
      <c r="R1428" s="119"/>
      <c r="S1428" s="119"/>
      <c r="T1428" s="122">
        <v>0</v>
      </c>
      <c r="U1428" s="724"/>
      <c r="V1428" s="251"/>
      <c r="W1428" s="251"/>
      <c r="X1428" s="119"/>
      <c r="Y1428" s="939">
        <v>0</v>
      </c>
      <c r="Z1428" s="724"/>
      <c r="AA1428" s="251"/>
      <c r="AB1428" s="251"/>
      <c r="AC1428" s="119"/>
      <c r="AD1428" s="939">
        <v>0</v>
      </c>
      <c r="AE1428" s="724"/>
      <c r="AF1428" s="251"/>
      <c r="AG1428" s="251"/>
      <c r="AH1428" s="119"/>
      <c r="AI1428" s="429">
        <v>0</v>
      </c>
      <c r="AJ1428" s="724"/>
      <c r="AK1428" s="251"/>
      <c r="AL1428" s="251"/>
      <c r="AM1428" s="119"/>
      <c r="AN1428" s="429">
        <v>0</v>
      </c>
      <c r="AO1428" s="724"/>
      <c r="AP1428" s="251"/>
      <c r="AQ1428" s="251"/>
      <c r="AR1428" s="119"/>
      <c r="AS1428" s="429">
        <v>0</v>
      </c>
      <c r="AT1428" s="724"/>
      <c r="AU1428" s="251"/>
      <c r="AV1428" s="251"/>
      <c r="AW1428" s="119"/>
      <c r="AX1428" s="300">
        <v>0</v>
      </c>
      <c r="AY1428" s="724"/>
      <c r="AZ1428" s="251"/>
      <c r="BA1428" s="251"/>
      <c r="BB1428" s="119"/>
      <c r="BC1428" s="300">
        <v>0</v>
      </c>
      <c r="BD1428" s="724"/>
      <c r="BE1428" s="251"/>
      <c r="BF1428" s="251"/>
      <c r="BG1428" s="119"/>
      <c r="BH1428" s="300">
        <v>0</v>
      </c>
      <c r="BI1428" s="942"/>
      <c r="BJ1428" s="251"/>
      <c r="BK1428" s="251"/>
      <c r="BL1428" s="251"/>
      <c r="BM1428" s="251">
        <v>0</v>
      </c>
      <c r="BN1428" s="401"/>
      <c r="BO1428" s="251"/>
      <c r="BP1428" s="251"/>
      <c r="BQ1428" s="251"/>
      <c r="BR1428" s="251">
        <v>0</v>
      </c>
      <c r="BS1428" s="401"/>
      <c r="BT1428" s="401"/>
      <c r="BU1428" s="401"/>
      <c r="BV1428" s="401"/>
      <c r="BW1428" s="122"/>
    </row>
    <row r="1429" spans="1:75" s="123" customFormat="1" hidden="1" outlineLevel="1" x14ac:dyDescent="0.5">
      <c r="A1429" s="464" t="s">
        <v>1347</v>
      </c>
      <c r="B1429" s="118"/>
      <c r="C1429" s="401"/>
      <c r="D1429" s="401"/>
      <c r="E1429" s="401"/>
      <c r="F1429" s="401"/>
      <c r="G1429" s="119"/>
      <c r="H1429" s="119"/>
      <c r="I1429" s="119"/>
      <c r="J1429" s="122">
        <v>0</v>
      </c>
      <c r="K1429" s="401"/>
      <c r="L1429" s="119"/>
      <c r="M1429" s="119"/>
      <c r="N1429" s="119"/>
      <c r="O1429" s="122">
        <v>0</v>
      </c>
      <c r="P1429" s="724"/>
      <c r="Q1429" s="119"/>
      <c r="R1429" s="119"/>
      <c r="S1429" s="119"/>
      <c r="T1429" s="122">
        <v>1.1659999999999999</v>
      </c>
      <c r="U1429" s="940">
        <v>1.1659999999999999</v>
      </c>
      <c r="V1429" s="251"/>
      <c r="W1429" s="251"/>
      <c r="X1429" s="119"/>
      <c r="Y1429" s="939">
        <v>1.022</v>
      </c>
      <c r="Z1429" s="940">
        <v>1.022</v>
      </c>
      <c r="AA1429" s="251"/>
      <c r="AB1429" s="251"/>
      <c r="AC1429" s="119"/>
      <c r="AD1429" s="939">
        <v>9.9000000000000005E-2</v>
      </c>
      <c r="AE1429" s="940">
        <v>9.9000000000000005E-2</v>
      </c>
      <c r="AF1429" s="251"/>
      <c r="AG1429" s="251"/>
      <c r="AH1429" s="119"/>
      <c r="AI1429" s="429">
        <v>0</v>
      </c>
      <c r="AJ1429" s="724"/>
      <c r="AK1429" s="251"/>
      <c r="AL1429" s="251"/>
      <c r="AM1429" s="119"/>
      <c r="AN1429" s="429">
        <v>0</v>
      </c>
      <c r="AO1429" s="724"/>
      <c r="AP1429" s="251"/>
      <c r="AQ1429" s="251"/>
      <c r="AR1429" s="119"/>
      <c r="AS1429" s="429">
        <v>0</v>
      </c>
      <c r="AT1429" s="724"/>
      <c r="AU1429" s="251"/>
      <c r="AV1429" s="251"/>
      <c r="AW1429" s="119"/>
      <c r="AX1429" s="300">
        <v>0</v>
      </c>
      <c r="AY1429" s="724"/>
      <c r="AZ1429" s="251"/>
      <c r="BA1429" s="251"/>
      <c r="BB1429" s="119"/>
      <c r="BC1429" s="300">
        <v>0</v>
      </c>
      <c r="BD1429" s="724"/>
      <c r="BE1429" s="251"/>
      <c r="BF1429" s="251"/>
      <c r="BG1429" s="119"/>
      <c r="BH1429" s="300">
        <v>0</v>
      </c>
      <c r="BI1429" s="942"/>
      <c r="BJ1429" s="251"/>
      <c r="BK1429" s="251"/>
      <c r="BL1429" s="251"/>
      <c r="BM1429" s="251">
        <v>0</v>
      </c>
      <c r="BN1429" s="401"/>
      <c r="BO1429" s="251"/>
      <c r="BP1429" s="251"/>
      <c r="BQ1429" s="251"/>
      <c r="BR1429" s="251">
        <v>0</v>
      </c>
      <c r="BS1429" s="401"/>
      <c r="BT1429" s="401"/>
      <c r="BU1429" s="401"/>
      <c r="BV1429" s="401"/>
      <c r="BW1429" s="122"/>
    </row>
    <row r="1430" spans="1:75" s="123" customFormat="1" hidden="1" outlineLevel="1" x14ac:dyDescent="0.5">
      <c r="A1430" s="464" t="s">
        <v>1348</v>
      </c>
      <c r="B1430" s="118"/>
      <c r="C1430" s="401"/>
      <c r="D1430" s="401"/>
      <c r="E1430" s="403">
        <v>0.67400000000000004</v>
      </c>
      <c r="F1430" s="401"/>
      <c r="G1430" s="119"/>
      <c r="H1430" s="119"/>
      <c r="I1430" s="119"/>
      <c r="J1430" s="122">
        <v>0</v>
      </c>
      <c r="K1430" s="401"/>
      <c r="L1430" s="119"/>
      <c r="M1430" s="119"/>
      <c r="N1430" s="119"/>
      <c r="O1430" s="122">
        <v>0</v>
      </c>
      <c r="P1430" s="401"/>
      <c r="Q1430" s="119"/>
      <c r="R1430" s="119"/>
      <c r="S1430" s="119"/>
      <c r="T1430" s="122">
        <v>0</v>
      </c>
      <c r="U1430" s="401"/>
      <c r="V1430" s="251"/>
      <c r="W1430" s="251"/>
      <c r="X1430" s="119"/>
      <c r="Y1430" s="939">
        <v>0</v>
      </c>
      <c r="Z1430" s="401"/>
      <c r="AA1430" s="251"/>
      <c r="AB1430" s="251"/>
      <c r="AC1430" s="119"/>
      <c r="AD1430" s="939">
        <v>0</v>
      </c>
      <c r="AE1430" s="401"/>
      <c r="AF1430" s="251"/>
      <c r="AG1430" s="251"/>
      <c r="AH1430" s="119"/>
      <c r="AI1430" s="429">
        <v>0</v>
      </c>
      <c r="AJ1430" s="401"/>
      <c r="AK1430" s="251"/>
      <c r="AL1430" s="251"/>
      <c r="AM1430" s="119"/>
      <c r="AN1430" s="429">
        <v>0</v>
      </c>
      <c r="AO1430" s="401"/>
      <c r="AP1430" s="251"/>
      <c r="AQ1430" s="251"/>
      <c r="AR1430" s="119"/>
      <c r="AS1430" s="429">
        <v>0</v>
      </c>
      <c r="AT1430" s="401"/>
      <c r="AU1430" s="251"/>
      <c r="AV1430" s="251"/>
      <c r="AW1430" s="119"/>
      <c r="AX1430" s="300">
        <v>0</v>
      </c>
      <c r="AY1430" s="401"/>
      <c r="AZ1430" s="251"/>
      <c r="BA1430" s="251"/>
      <c r="BB1430" s="119"/>
      <c r="BC1430" s="300">
        <v>0</v>
      </c>
      <c r="BD1430" s="401"/>
      <c r="BE1430" s="251"/>
      <c r="BF1430" s="251"/>
      <c r="BG1430" s="119"/>
      <c r="BH1430" s="300">
        <v>0</v>
      </c>
      <c r="BI1430" s="402"/>
      <c r="BJ1430" s="251"/>
      <c r="BK1430" s="251"/>
      <c r="BL1430" s="251"/>
      <c r="BM1430" s="251">
        <v>0</v>
      </c>
      <c r="BN1430" s="401"/>
      <c r="BO1430" s="251"/>
      <c r="BP1430" s="251"/>
      <c r="BQ1430" s="251"/>
      <c r="BR1430" s="251">
        <v>0</v>
      </c>
      <c r="BS1430" s="401"/>
      <c r="BT1430" s="401"/>
      <c r="BU1430" s="401"/>
      <c r="BV1430" s="401"/>
      <c r="BW1430" s="122"/>
    </row>
    <row r="1431" spans="1:75" s="123" customFormat="1" hidden="1" outlineLevel="1" x14ac:dyDescent="0.5">
      <c r="A1431" s="184" t="s">
        <v>1139</v>
      </c>
      <c r="B1431" s="118"/>
      <c r="C1431" s="401"/>
      <c r="D1431" s="401"/>
      <c r="E1431" s="401"/>
      <c r="F1431" s="401"/>
      <c r="G1431" s="119"/>
      <c r="H1431" s="119"/>
      <c r="I1431" s="119"/>
      <c r="J1431" s="119">
        <v>1.385</v>
      </c>
      <c r="K1431" s="403">
        <v>1.385</v>
      </c>
      <c r="L1431" s="119"/>
      <c r="M1431" s="119"/>
      <c r="N1431" s="119"/>
      <c r="O1431" s="119">
        <v>0</v>
      </c>
      <c r="P1431" s="401"/>
      <c r="Q1431" s="119"/>
      <c r="R1431" s="119"/>
      <c r="S1431" s="119"/>
      <c r="T1431" s="119">
        <v>0</v>
      </c>
      <c r="U1431" s="401"/>
      <c r="V1431" s="251"/>
      <c r="W1431" s="251"/>
      <c r="X1431" s="119"/>
      <c r="Y1431" s="251">
        <v>17.137</v>
      </c>
      <c r="Z1431" s="403">
        <v>17.137</v>
      </c>
      <c r="AA1431" s="251"/>
      <c r="AB1431" s="251"/>
      <c r="AC1431" s="119"/>
      <c r="AD1431" s="251">
        <v>6.4809999999999999</v>
      </c>
      <c r="AE1431" s="403">
        <v>6.4809999999999999</v>
      </c>
      <c r="AF1431" s="251"/>
      <c r="AG1431" s="251"/>
      <c r="AH1431" s="302">
        <v>5.3369999999999997</v>
      </c>
      <c r="AI1431" s="300">
        <v>6.5330000000000004</v>
      </c>
      <c r="AJ1431" s="403">
        <v>6.5330000000000004</v>
      </c>
      <c r="AK1431" s="251"/>
      <c r="AL1431" s="251"/>
      <c r="AM1431" s="302">
        <v>1.66</v>
      </c>
      <c r="AN1431" s="300">
        <v>15.167999999999999</v>
      </c>
      <c r="AO1431" s="403">
        <v>15.167999999999999</v>
      </c>
      <c r="AP1431" s="938">
        <v>4.7830000000000004</v>
      </c>
      <c r="AQ1431" s="938">
        <v>4.7830000000000004</v>
      </c>
      <c r="AR1431" s="302">
        <v>4.7830000000000004</v>
      </c>
      <c r="AS1431" s="300">
        <v>6.484</v>
      </c>
      <c r="AT1431" s="403">
        <v>6.484</v>
      </c>
      <c r="AU1431" s="251"/>
      <c r="AV1431" s="938">
        <v>7.3540000000000001</v>
      </c>
      <c r="AW1431" s="302">
        <v>7.3540000000000001</v>
      </c>
      <c r="AX1431" s="300">
        <v>9.6300000000000008</v>
      </c>
      <c r="AY1431" s="403">
        <v>9.6300000000000008</v>
      </c>
      <c r="AZ1431" s="938">
        <v>5.923</v>
      </c>
      <c r="BA1431" s="938">
        <v>8.1539999999999999</v>
      </c>
      <c r="BB1431" s="302">
        <v>19.079999999999998</v>
      </c>
      <c r="BC1431" s="300">
        <v>24.186</v>
      </c>
      <c r="BD1431" s="403">
        <v>24.186</v>
      </c>
      <c r="BE1431" s="938">
        <v>2.4750000000000001</v>
      </c>
      <c r="BF1431" s="938">
        <v>2.8940000000000001</v>
      </c>
      <c r="BG1431" s="302">
        <v>7.165</v>
      </c>
      <c r="BH1431" s="300">
        <v>8.3390000000000004</v>
      </c>
      <c r="BI1431" s="514">
        <v>8.3390000000000004</v>
      </c>
      <c r="BJ1431" s="251"/>
      <c r="BK1431" s="251"/>
      <c r="BL1431" s="251"/>
      <c r="BM1431" s="251">
        <v>0</v>
      </c>
      <c r="BN1431" s="401"/>
      <c r="BO1431" s="251"/>
      <c r="BP1431" s="251"/>
      <c r="BQ1431" s="251"/>
      <c r="BR1431" s="251">
        <v>0</v>
      </c>
      <c r="BS1431" s="401"/>
      <c r="BT1431" s="401"/>
      <c r="BU1431" s="401"/>
      <c r="BV1431" s="401"/>
      <c r="BW1431" s="122"/>
    </row>
    <row r="1432" spans="1:75" s="123" customFormat="1" hidden="1" outlineLevel="1" x14ac:dyDescent="0.5">
      <c r="A1432" s="184" t="s">
        <v>1102</v>
      </c>
      <c r="B1432" s="118"/>
      <c r="C1432" s="401"/>
      <c r="D1432" s="401"/>
      <c r="E1432" s="401"/>
      <c r="F1432" s="401"/>
      <c r="G1432" s="119"/>
      <c r="H1432" s="119"/>
      <c r="I1432" s="119"/>
      <c r="J1432" s="119">
        <v>0</v>
      </c>
      <c r="K1432" s="401"/>
      <c r="L1432" s="119"/>
      <c r="M1432" s="119"/>
      <c r="N1432" s="119"/>
      <c r="O1432" s="119">
        <v>0</v>
      </c>
      <c r="P1432" s="401"/>
      <c r="Q1432" s="119"/>
      <c r="R1432" s="119"/>
      <c r="S1432" s="119"/>
      <c r="T1432" s="119">
        <v>0</v>
      </c>
      <c r="U1432" s="401"/>
      <c r="V1432" s="251"/>
      <c r="W1432" s="251"/>
      <c r="X1432" s="119"/>
      <c r="Y1432" s="251">
        <v>0</v>
      </c>
      <c r="Z1432" s="401"/>
      <c r="AA1432" s="251"/>
      <c r="AB1432" s="251"/>
      <c r="AC1432" s="119"/>
      <c r="AD1432" s="251">
        <v>0</v>
      </c>
      <c r="AE1432" s="401"/>
      <c r="AF1432" s="251"/>
      <c r="AG1432" s="251"/>
      <c r="AH1432" s="119"/>
      <c r="AI1432" s="300">
        <v>0</v>
      </c>
      <c r="AJ1432" s="401"/>
      <c r="AK1432" s="251"/>
      <c r="AL1432" s="251"/>
      <c r="AM1432" s="119"/>
      <c r="AN1432" s="300">
        <v>0</v>
      </c>
      <c r="AO1432" s="401"/>
      <c r="AP1432" s="251"/>
      <c r="AQ1432" s="251"/>
      <c r="AR1432" s="119"/>
      <c r="AS1432" s="300">
        <v>0</v>
      </c>
      <c r="AT1432" s="401"/>
      <c r="AU1432" s="251"/>
      <c r="AV1432" s="251"/>
      <c r="AW1432" s="119"/>
      <c r="AX1432" s="300">
        <v>0</v>
      </c>
      <c r="AY1432" s="401"/>
      <c r="AZ1432" s="251"/>
      <c r="BA1432" s="251"/>
      <c r="BB1432" s="302">
        <v>-0.77500000000000002</v>
      </c>
      <c r="BC1432" s="300">
        <v>0</v>
      </c>
      <c r="BD1432" s="401"/>
      <c r="BE1432" s="251"/>
      <c r="BF1432" s="251"/>
      <c r="BG1432" s="119"/>
      <c r="BH1432" s="300">
        <v>0</v>
      </c>
      <c r="BI1432" s="402"/>
      <c r="BJ1432" s="251"/>
      <c r="BK1432" s="251"/>
      <c r="BL1432" s="251"/>
      <c r="BM1432" s="251">
        <v>0</v>
      </c>
      <c r="BN1432" s="401"/>
      <c r="BO1432" s="251"/>
      <c r="BP1432" s="251"/>
      <c r="BQ1432" s="251"/>
      <c r="BR1432" s="251">
        <v>0</v>
      </c>
      <c r="BS1432" s="401"/>
      <c r="BT1432" s="401"/>
      <c r="BU1432" s="401"/>
      <c r="BV1432" s="401"/>
      <c r="BW1432" s="122"/>
    </row>
    <row r="1433" spans="1:75" s="123" customFormat="1" hidden="1" outlineLevel="1" x14ac:dyDescent="0.5">
      <c r="A1433" s="184" t="s">
        <v>1100</v>
      </c>
      <c r="B1433" s="118"/>
      <c r="C1433" s="401"/>
      <c r="D1433" s="401"/>
      <c r="E1433" s="401"/>
      <c r="F1433" s="401"/>
      <c r="G1433" s="119"/>
      <c r="H1433" s="119"/>
      <c r="I1433" s="119"/>
      <c r="J1433" s="119">
        <v>0</v>
      </c>
      <c r="K1433" s="401"/>
      <c r="L1433" s="119"/>
      <c r="M1433" s="119"/>
      <c r="N1433" s="119"/>
      <c r="O1433" s="119">
        <v>0</v>
      </c>
      <c r="P1433" s="401"/>
      <c r="Q1433" s="119"/>
      <c r="R1433" s="119"/>
      <c r="S1433" s="119"/>
      <c r="T1433" s="119">
        <v>0</v>
      </c>
      <c r="U1433" s="401"/>
      <c r="V1433" s="251"/>
      <c r="W1433" s="251"/>
      <c r="X1433" s="119"/>
      <c r="Y1433" s="251">
        <v>0</v>
      </c>
      <c r="Z1433" s="401"/>
      <c r="AA1433" s="251"/>
      <c r="AB1433" s="251"/>
      <c r="AC1433" s="119"/>
      <c r="AD1433" s="251">
        <v>0</v>
      </c>
      <c r="AE1433" s="401"/>
      <c r="AF1433" s="251"/>
      <c r="AG1433" s="251"/>
      <c r="AH1433" s="119"/>
      <c r="AI1433" s="300">
        <v>0</v>
      </c>
      <c r="AJ1433" s="401"/>
      <c r="AK1433" s="251"/>
      <c r="AL1433" s="251"/>
      <c r="AM1433" s="119"/>
      <c r="AN1433" s="300">
        <v>0</v>
      </c>
      <c r="AO1433" s="401"/>
      <c r="AP1433" s="251"/>
      <c r="AQ1433" s="938">
        <v>9.3520000000000003</v>
      </c>
      <c r="AR1433" s="302">
        <v>9.3520000000000003</v>
      </c>
      <c r="AS1433" s="300">
        <v>0</v>
      </c>
      <c r="AT1433" s="401"/>
      <c r="AU1433" s="251"/>
      <c r="AV1433" s="251"/>
      <c r="AW1433" s="119"/>
      <c r="AX1433" s="300">
        <v>0</v>
      </c>
      <c r="AY1433" s="401"/>
      <c r="AZ1433" s="251"/>
      <c r="BA1433" s="251"/>
      <c r="BB1433" s="119"/>
      <c r="BC1433" s="300">
        <v>0</v>
      </c>
      <c r="BD1433" s="401"/>
      <c r="BE1433" s="251"/>
      <c r="BF1433" s="251"/>
      <c r="BG1433" s="119"/>
      <c r="BH1433" s="300">
        <v>0</v>
      </c>
      <c r="BI1433" s="402"/>
      <c r="BJ1433" s="251"/>
      <c r="BK1433" s="251"/>
      <c r="BL1433" s="251"/>
      <c r="BM1433" s="251">
        <v>0</v>
      </c>
      <c r="BN1433" s="401"/>
      <c r="BO1433" s="251"/>
      <c r="BP1433" s="251"/>
      <c r="BQ1433" s="251"/>
      <c r="BR1433" s="251">
        <v>0</v>
      </c>
      <c r="BS1433" s="401"/>
      <c r="BT1433" s="401"/>
      <c r="BU1433" s="401"/>
      <c r="BV1433" s="401"/>
      <c r="BW1433" s="122"/>
    </row>
    <row r="1434" spans="1:75" s="123" customFormat="1" hidden="1" outlineLevel="1" x14ac:dyDescent="0.5">
      <c r="A1434" s="184" t="s">
        <v>1135</v>
      </c>
      <c r="B1434" s="118"/>
      <c r="C1434" s="401"/>
      <c r="D1434" s="401"/>
      <c r="E1434" s="401"/>
      <c r="F1434" s="401"/>
      <c r="G1434" s="119"/>
      <c r="H1434" s="119"/>
      <c r="I1434" s="119"/>
      <c r="J1434" s="119">
        <v>0</v>
      </c>
      <c r="K1434" s="401"/>
      <c r="L1434" s="119"/>
      <c r="M1434" s="119"/>
      <c r="N1434" s="119"/>
      <c r="O1434" s="119">
        <v>0</v>
      </c>
      <c r="P1434" s="401"/>
      <c r="Q1434" s="119"/>
      <c r="R1434" s="119"/>
      <c r="S1434" s="119"/>
      <c r="T1434" s="119">
        <v>0</v>
      </c>
      <c r="U1434" s="401"/>
      <c r="V1434" s="251"/>
      <c r="W1434" s="251"/>
      <c r="X1434" s="119"/>
      <c r="Y1434" s="251">
        <v>0</v>
      </c>
      <c r="Z1434" s="401"/>
      <c r="AA1434" s="251"/>
      <c r="AB1434" s="251"/>
      <c r="AC1434" s="119"/>
      <c r="AD1434" s="251">
        <v>0</v>
      </c>
      <c r="AE1434" s="401"/>
      <c r="AF1434" s="251"/>
      <c r="AG1434" s="251"/>
      <c r="AH1434" s="119"/>
      <c r="AI1434" s="300">
        <v>8.4969999999999999</v>
      </c>
      <c r="AJ1434" s="403">
        <v>8.4969999999999999</v>
      </c>
      <c r="AK1434" s="251"/>
      <c r="AL1434" s="251"/>
      <c r="AM1434" s="302">
        <v>-1.5289999999999999</v>
      </c>
      <c r="AN1434" s="300">
        <v>-1.5289999999999999</v>
      </c>
      <c r="AO1434" s="403">
        <v>-1.5289999999999999</v>
      </c>
      <c r="AP1434" s="251"/>
      <c r="AQ1434" s="251"/>
      <c r="AR1434" s="119"/>
      <c r="AS1434" s="300">
        <v>9.3520000000000003</v>
      </c>
      <c r="AT1434" s="403">
        <v>9.3520000000000003</v>
      </c>
      <c r="AU1434" s="251"/>
      <c r="AV1434" s="251"/>
      <c r="AW1434" s="119"/>
      <c r="AX1434" s="300">
        <v>0</v>
      </c>
      <c r="AY1434" s="401"/>
      <c r="AZ1434" s="251"/>
      <c r="BA1434" s="251"/>
      <c r="BB1434" s="119"/>
      <c r="BC1434" s="300">
        <v>0</v>
      </c>
      <c r="BD1434" s="401"/>
      <c r="BE1434" s="251"/>
      <c r="BF1434" s="251"/>
      <c r="BG1434" s="119"/>
      <c r="BH1434" s="300">
        <v>0</v>
      </c>
      <c r="BI1434" s="402"/>
      <c r="BJ1434" s="251"/>
      <c r="BK1434" s="251"/>
      <c r="BL1434" s="251"/>
      <c r="BM1434" s="251">
        <v>0</v>
      </c>
      <c r="BN1434" s="401"/>
      <c r="BO1434" s="251"/>
      <c r="BP1434" s="251"/>
      <c r="BQ1434" s="251"/>
      <c r="BR1434" s="251">
        <v>0</v>
      </c>
      <c r="BS1434" s="401"/>
      <c r="BT1434" s="401"/>
      <c r="BU1434" s="401"/>
      <c r="BV1434" s="401"/>
      <c r="BW1434" s="122"/>
    </row>
    <row r="1435" spans="1:75" s="123" customFormat="1" hidden="1" outlineLevel="1" x14ac:dyDescent="0.5">
      <c r="A1435" s="184" t="s">
        <v>1349</v>
      </c>
      <c r="B1435" s="118"/>
      <c r="C1435" s="401"/>
      <c r="D1435" s="401"/>
      <c r="E1435" s="401"/>
      <c r="F1435" s="401"/>
      <c r="G1435" s="119"/>
      <c r="H1435" s="119"/>
      <c r="I1435" s="119"/>
      <c r="J1435" s="119">
        <v>0</v>
      </c>
      <c r="K1435" s="401"/>
      <c r="L1435" s="119"/>
      <c r="M1435" s="119"/>
      <c r="N1435" s="119"/>
      <c r="O1435" s="119">
        <v>0</v>
      </c>
      <c r="P1435" s="401"/>
      <c r="Q1435" s="119"/>
      <c r="R1435" s="119"/>
      <c r="S1435" s="119"/>
      <c r="T1435" s="119">
        <v>0</v>
      </c>
      <c r="U1435" s="401"/>
      <c r="V1435" s="251"/>
      <c r="W1435" s="251"/>
      <c r="X1435" s="119"/>
      <c r="Y1435" s="251">
        <v>4.6150000000000002</v>
      </c>
      <c r="Z1435" s="403">
        <v>4.6150000000000002</v>
      </c>
      <c r="AA1435" s="251"/>
      <c r="AB1435" s="251"/>
      <c r="AC1435" s="119"/>
      <c r="AD1435" s="251">
        <v>7.7069999999999999</v>
      </c>
      <c r="AE1435" s="403">
        <v>7.7069999999999999</v>
      </c>
      <c r="AF1435" s="251"/>
      <c r="AG1435" s="251"/>
      <c r="AH1435" s="119"/>
      <c r="AI1435" s="300">
        <v>6.8739999999999997</v>
      </c>
      <c r="AJ1435" s="403">
        <v>6.8739999999999997</v>
      </c>
      <c r="AK1435" s="938">
        <v>-1.786</v>
      </c>
      <c r="AL1435" s="938">
        <v>-2.1059999999999999</v>
      </c>
      <c r="AM1435" s="302">
        <v>-3.516</v>
      </c>
      <c r="AN1435" s="300">
        <v>-3.5169999999999999</v>
      </c>
      <c r="AO1435" s="403">
        <v>-3.5169999999999999</v>
      </c>
      <c r="AP1435" s="251"/>
      <c r="AQ1435" s="938">
        <v>4.78</v>
      </c>
      <c r="AR1435" s="302">
        <v>5.5609999999999999</v>
      </c>
      <c r="AS1435" s="300">
        <v>7.37</v>
      </c>
      <c r="AT1435" s="403">
        <v>7.37</v>
      </c>
      <c r="AU1435" s="938">
        <v>0.5</v>
      </c>
      <c r="AV1435" s="938">
        <v>0.5</v>
      </c>
      <c r="AW1435" s="302">
        <v>0.84</v>
      </c>
      <c r="AX1435" s="300">
        <v>1.94</v>
      </c>
      <c r="AY1435" s="403">
        <v>1.94</v>
      </c>
      <c r="AZ1435" s="938">
        <v>0.56000000000000005</v>
      </c>
      <c r="BA1435" s="938">
        <v>0.56000000000000005</v>
      </c>
      <c r="BB1435" s="302">
        <v>0.56000000000000005</v>
      </c>
      <c r="BC1435" s="300">
        <v>0.56000000000000005</v>
      </c>
      <c r="BD1435" s="403">
        <v>0.56000000000000005</v>
      </c>
      <c r="BE1435" s="251"/>
      <c r="BF1435" s="251"/>
      <c r="BG1435" s="302">
        <v>-1.5760000000000001</v>
      </c>
      <c r="BH1435" s="300">
        <v>0</v>
      </c>
      <c r="BI1435" s="402"/>
      <c r="BJ1435" s="251"/>
      <c r="BK1435" s="251"/>
      <c r="BL1435" s="251"/>
      <c r="BM1435" s="251">
        <v>0</v>
      </c>
      <c r="BN1435" s="401"/>
      <c r="BO1435" s="251"/>
      <c r="BP1435" s="251"/>
      <c r="BQ1435" s="251"/>
      <c r="BR1435" s="251">
        <v>0</v>
      </c>
      <c r="BS1435" s="401"/>
      <c r="BT1435" s="401"/>
      <c r="BU1435" s="401"/>
      <c r="BV1435" s="401"/>
      <c r="BW1435" s="122"/>
    </row>
    <row r="1436" spans="1:75" s="123" customFormat="1" hidden="1" outlineLevel="1" x14ac:dyDescent="0.5">
      <c r="A1436" s="464" t="s">
        <v>1350</v>
      </c>
      <c r="B1436" s="118"/>
      <c r="C1436" s="401"/>
      <c r="D1436" s="401"/>
      <c r="E1436" s="401"/>
      <c r="F1436" s="401"/>
      <c r="G1436" s="119"/>
      <c r="H1436" s="119"/>
      <c r="I1436" s="119"/>
      <c r="J1436" s="122">
        <v>0</v>
      </c>
      <c r="K1436" s="401"/>
      <c r="L1436" s="119"/>
      <c r="M1436" s="302">
        <v>1.5760000000000001</v>
      </c>
      <c r="N1436" s="302">
        <v>4.7539999999999996</v>
      </c>
      <c r="O1436" s="122">
        <v>7.9690000000000003</v>
      </c>
      <c r="P1436" s="403">
        <v>7.9690000000000003</v>
      </c>
      <c r="Q1436" s="302">
        <v>3.25</v>
      </c>
      <c r="R1436" s="302">
        <v>8.2880000000000003</v>
      </c>
      <c r="S1436" s="302">
        <v>15.153</v>
      </c>
      <c r="T1436" s="122">
        <v>22.114000000000001</v>
      </c>
      <c r="U1436" s="403">
        <v>22.114000000000001</v>
      </c>
      <c r="V1436" s="938">
        <v>7.0570000000000004</v>
      </c>
      <c r="W1436" s="938">
        <v>14.212999999999999</v>
      </c>
      <c r="X1436" s="302">
        <v>21.466999999999999</v>
      </c>
      <c r="Y1436" s="939">
        <v>28.821999999999999</v>
      </c>
      <c r="Z1436" s="403">
        <v>28.821999999999999</v>
      </c>
      <c r="AA1436" s="938">
        <v>7.4580000000000002</v>
      </c>
      <c r="AB1436" s="938">
        <v>15.018000000000001</v>
      </c>
      <c r="AC1436" s="302">
        <v>22.684999999999999</v>
      </c>
      <c r="AD1436" s="939">
        <v>30.457000000000001</v>
      </c>
      <c r="AE1436" s="403">
        <v>30.457000000000001</v>
      </c>
      <c r="AF1436" s="938">
        <v>7.8810000000000002</v>
      </c>
      <c r="AG1436" s="938">
        <v>17.645</v>
      </c>
      <c r="AH1436" s="302">
        <v>29.669</v>
      </c>
      <c r="AI1436" s="429">
        <v>41.868000000000002</v>
      </c>
      <c r="AJ1436" s="403">
        <v>41.868000000000002</v>
      </c>
      <c r="AK1436" s="938">
        <v>12.377000000000001</v>
      </c>
      <c r="AL1436" s="938">
        <v>22.962</v>
      </c>
      <c r="AM1436" s="302">
        <v>33.527999999999999</v>
      </c>
      <c r="AN1436" s="429">
        <v>46.244999999999997</v>
      </c>
      <c r="AO1436" s="403">
        <v>46.244999999999997</v>
      </c>
      <c r="AP1436" s="938">
        <v>12.916</v>
      </c>
      <c r="AQ1436" s="938">
        <v>25.378</v>
      </c>
      <c r="AR1436" s="302">
        <v>33.81</v>
      </c>
      <c r="AS1436" s="429">
        <v>42.372</v>
      </c>
      <c r="AT1436" s="403">
        <v>42.372</v>
      </c>
      <c r="AU1436" s="938">
        <v>8.67</v>
      </c>
      <c r="AV1436" s="938">
        <v>17.460999999999999</v>
      </c>
      <c r="AW1436" s="302">
        <v>24.236000000000001</v>
      </c>
      <c r="AX1436" s="300">
        <v>28.815999999999999</v>
      </c>
      <c r="AY1436" s="403">
        <v>28.815999999999999</v>
      </c>
      <c r="AZ1436" s="251"/>
      <c r="BA1436" s="251"/>
      <c r="BB1436" s="119"/>
      <c r="BC1436" s="300">
        <v>0</v>
      </c>
      <c r="BD1436" s="401"/>
      <c r="BE1436" s="251"/>
      <c r="BF1436" s="251"/>
      <c r="BG1436" s="119"/>
      <c r="BH1436" s="300">
        <v>0</v>
      </c>
      <c r="BI1436" s="402"/>
      <c r="BJ1436" s="251"/>
      <c r="BK1436" s="251"/>
      <c r="BL1436" s="251"/>
      <c r="BM1436" s="251">
        <v>0</v>
      </c>
      <c r="BN1436" s="401"/>
      <c r="BO1436" s="251"/>
      <c r="BP1436" s="251"/>
      <c r="BQ1436" s="251"/>
      <c r="BR1436" s="251">
        <v>0</v>
      </c>
      <c r="BS1436" s="401"/>
      <c r="BT1436" s="401"/>
      <c r="BU1436" s="401"/>
      <c r="BV1436" s="401"/>
      <c r="BW1436" s="122"/>
    </row>
    <row r="1437" spans="1:75" s="123" customFormat="1" hidden="1" outlineLevel="1" x14ac:dyDescent="0.5">
      <c r="A1437" s="464" t="s">
        <v>1351</v>
      </c>
      <c r="B1437" s="118"/>
      <c r="C1437" s="401"/>
      <c r="D1437" s="401"/>
      <c r="E1437" s="401"/>
      <c r="F1437" s="401"/>
      <c r="G1437" s="119"/>
      <c r="H1437" s="119"/>
      <c r="I1437" s="119"/>
      <c r="J1437" s="119">
        <v>0</v>
      </c>
      <c r="K1437" s="401"/>
      <c r="L1437" s="119"/>
      <c r="M1437" s="119"/>
      <c r="N1437" s="119"/>
      <c r="O1437" s="119">
        <v>0</v>
      </c>
      <c r="P1437" s="401"/>
      <c r="Q1437" s="119"/>
      <c r="R1437" s="119"/>
      <c r="S1437" s="119"/>
      <c r="T1437" s="119">
        <v>0</v>
      </c>
      <c r="U1437" s="401"/>
      <c r="V1437" s="251"/>
      <c r="W1437" s="251"/>
      <c r="X1437" s="119"/>
      <c r="Y1437" s="251">
        <v>0</v>
      </c>
      <c r="Z1437" s="401"/>
      <c r="AA1437" s="251"/>
      <c r="AB1437" s="251"/>
      <c r="AC1437" s="119"/>
      <c r="AD1437" s="251">
        <v>0</v>
      </c>
      <c r="AE1437" s="401"/>
      <c r="AF1437" s="251"/>
      <c r="AG1437" s="251"/>
      <c r="AH1437" s="119"/>
      <c r="AI1437" s="429">
        <v>0</v>
      </c>
      <c r="AJ1437" s="401"/>
      <c r="AK1437" s="251"/>
      <c r="AL1437" s="938">
        <v>-70.481999999999999</v>
      </c>
      <c r="AM1437" s="302">
        <v>-70.481999999999999</v>
      </c>
      <c r="AN1437" s="429">
        <v>-70.481999999999999</v>
      </c>
      <c r="AO1437" s="403">
        <v>-70.481999999999999</v>
      </c>
      <c r="AP1437" s="251"/>
      <c r="AQ1437" s="938">
        <v>-84.003</v>
      </c>
      <c r="AR1437" s="302">
        <v>-84.003</v>
      </c>
      <c r="AS1437" s="429">
        <v>-84.003</v>
      </c>
      <c r="AT1437" s="403">
        <v>-84.003</v>
      </c>
      <c r="AU1437" s="938">
        <v>-0.31900000000000001</v>
      </c>
      <c r="AV1437" s="938">
        <v>-5.07</v>
      </c>
      <c r="AW1437" s="302">
        <v>-39.078000000000003</v>
      </c>
      <c r="AX1437" s="300">
        <v>-55.243000000000002</v>
      </c>
      <c r="AY1437" s="403">
        <v>-55.243000000000002</v>
      </c>
      <c r="AZ1437" s="251"/>
      <c r="BA1437" s="251"/>
      <c r="BB1437" s="119"/>
      <c r="BC1437" s="300">
        <v>0</v>
      </c>
      <c r="BD1437" s="401"/>
      <c r="BE1437" s="251"/>
      <c r="BF1437" s="251"/>
      <c r="BG1437" s="119"/>
      <c r="BH1437" s="300">
        <v>0</v>
      </c>
      <c r="BI1437" s="402"/>
      <c r="BJ1437" s="251"/>
      <c r="BK1437" s="251"/>
      <c r="BL1437" s="251"/>
      <c r="BM1437" s="251">
        <v>0</v>
      </c>
      <c r="BN1437" s="401"/>
      <c r="BO1437" s="251"/>
      <c r="BP1437" s="251"/>
      <c r="BQ1437" s="251"/>
      <c r="BR1437" s="251">
        <v>0</v>
      </c>
      <c r="BS1437" s="401"/>
      <c r="BT1437" s="401"/>
      <c r="BU1437" s="401"/>
      <c r="BV1437" s="401"/>
      <c r="BW1437" s="122"/>
    </row>
    <row r="1438" spans="1:75" s="123" customFormat="1" hidden="1" outlineLevel="1" x14ac:dyDescent="0.5">
      <c r="A1438" s="464" t="s">
        <v>1352</v>
      </c>
      <c r="B1438" s="118"/>
      <c r="C1438" s="401"/>
      <c r="D1438" s="401"/>
      <c r="E1438" s="401"/>
      <c r="F1438" s="401"/>
      <c r="G1438" s="302">
        <v>0</v>
      </c>
      <c r="H1438" s="302">
        <v>-1.032</v>
      </c>
      <c r="I1438" s="302">
        <v>-1.44</v>
      </c>
      <c r="J1438" s="122">
        <v>-3.6850000000000001</v>
      </c>
      <c r="K1438" s="403">
        <v>-3.6850000000000001</v>
      </c>
      <c r="L1438" s="302">
        <v>-5.3639999999999999</v>
      </c>
      <c r="M1438" s="302">
        <v>-7.6120000000000001</v>
      </c>
      <c r="N1438" s="302">
        <v>-7.9370000000000003</v>
      </c>
      <c r="O1438" s="122">
        <v>-16.420999999999999</v>
      </c>
      <c r="P1438" s="403">
        <v>-16.420999999999999</v>
      </c>
      <c r="Q1438" s="302">
        <v>-1.075</v>
      </c>
      <c r="R1438" s="302">
        <v>-3.7389999999999999</v>
      </c>
      <c r="S1438" s="302">
        <v>-6.5640000000000001</v>
      </c>
      <c r="T1438" s="122">
        <v>-10.443</v>
      </c>
      <c r="U1438" s="403">
        <v>-10.443</v>
      </c>
      <c r="V1438" s="938">
        <v>7.5999999999999998E-2</v>
      </c>
      <c r="W1438" s="938">
        <v>1.7689999999999999</v>
      </c>
      <c r="X1438" s="302">
        <v>2.2749999999999999</v>
      </c>
      <c r="Y1438" s="939">
        <v>3.2879999999999998</v>
      </c>
      <c r="Z1438" s="403">
        <v>3.2879999999999998</v>
      </c>
      <c r="AA1438" s="251"/>
      <c r="AB1438" s="251"/>
      <c r="AC1438" s="119"/>
      <c r="AD1438" s="939">
        <v>0</v>
      </c>
      <c r="AE1438" s="401"/>
      <c r="AF1438" s="251"/>
      <c r="AG1438" s="251"/>
      <c r="AH1438" s="119"/>
      <c r="AI1438" s="429">
        <v>0</v>
      </c>
      <c r="AJ1438" s="401"/>
      <c r="AK1438" s="251"/>
      <c r="AL1438" s="251"/>
      <c r="AM1438" s="119"/>
      <c r="AN1438" s="429">
        <v>0</v>
      </c>
      <c r="AO1438" s="401"/>
      <c r="AP1438" s="251"/>
      <c r="AQ1438" s="251"/>
      <c r="AR1438" s="119"/>
      <c r="AS1438" s="429">
        <v>0</v>
      </c>
      <c r="AT1438" s="401"/>
      <c r="AU1438" s="251"/>
      <c r="AV1438" s="251"/>
      <c r="AW1438" s="119"/>
      <c r="AX1438" s="300">
        <v>0</v>
      </c>
      <c r="AY1438" s="401"/>
      <c r="AZ1438" s="251"/>
      <c r="BA1438" s="251"/>
      <c r="BB1438" s="119"/>
      <c r="BC1438" s="300">
        <v>0</v>
      </c>
      <c r="BD1438" s="401"/>
      <c r="BE1438" s="251"/>
      <c r="BF1438" s="251"/>
      <c r="BG1438" s="119"/>
      <c r="BH1438" s="300">
        <v>0</v>
      </c>
      <c r="BI1438" s="402"/>
      <c r="BJ1438" s="251"/>
      <c r="BK1438" s="251"/>
      <c r="BL1438" s="251"/>
      <c r="BM1438" s="251">
        <v>0</v>
      </c>
      <c r="BN1438" s="401"/>
      <c r="BO1438" s="251"/>
      <c r="BP1438" s="251"/>
      <c r="BQ1438" s="251"/>
      <c r="BR1438" s="251">
        <v>0</v>
      </c>
      <c r="BS1438" s="401"/>
      <c r="BT1438" s="401"/>
      <c r="BU1438" s="401"/>
      <c r="BV1438" s="401"/>
      <c r="BW1438" s="122"/>
    </row>
    <row r="1439" spans="1:75" s="123" customFormat="1" hidden="1" outlineLevel="1" x14ac:dyDescent="0.5">
      <c r="A1439" s="184" t="s">
        <v>1353</v>
      </c>
      <c r="B1439" s="118"/>
      <c r="C1439" s="401"/>
      <c r="D1439" s="403">
        <v>1.119</v>
      </c>
      <c r="E1439" s="403">
        <v>1.5569999999999999</v>
      </c>
      <c r="F1439" s="403">
        <v>116.18300000000001</v>
      </c>
      <c r="G1439" s="302">
        <v>3.6309999999999998</v>
      </c>
      <c r="H1439" s="302">
        <v>64.281999999999996</v>
      </c>
      <c r="I1439" s="302">
        <v>65.846999999999994</v>
      </c>
      <c r="J1439" s="119">
        <v>67.622</v>
      </c>
      <c r="K1439" s="403">
        <v>67.622</v>
      </c>
      <c r="L1439" s="302">
        <v>2.2309999999999999</v>
      </c>
      <c r="M1439" s="302">
        <v>6.75</v>
      </c>
      <c r="N1439" s="302">
        <v>11.66</v>
      </c>
      <c r="O1439" s="119">
        <v>17.071999999999999</v>
      </c>
      <c r="P1439" s="403">
        <v>17.071999999999999</v>
      </c>
      <c r="Q1439" s="302">
        <v>5.2990000000000004</v>
      </c>
      <c r="R1439" s="302">
        <v>11.58</v>
      </c>
      <c r="S1439" s="302">
        <v>17.655000000000001</v>
      </c>
      <c r="T1439" s="119">
        <v>24.222999999999999</v>
      </c>
      <c r="U1439" s="403">
        <v>24.222999999999999</v>
      </c>
      <c r="V1439" s="938">
        <v>3.9980000000000002</v>
      </c>
      <c r="W1439" s="938">
        <v>14.303000000000001</v>
      </c>
      <c r="X1439" s="302">
        <v>21.710999999999999</v>
      </c>
      <c r="Y1439" s="251">
        <v>29.213999999999999</v>
      </c>
      <c r="Z1439" s="403">
        <v>29.213999999999999</v>
      </c>
      <c r="AA1439" s="938">
        <v>5.2889999999999997</v>
      </c>
      <c r="AB1439" s="938">
        <v>36.165999999999997</v>
      </c>
      <c r="AC1439" s="302">
        <v>42.929000000000002</v>
      </c>
      <c r="AD1439" s="251">
        <v>50.709000000000003</v>
      </c>
      <c r="AE1439" s="403">
        <v>50.709000000000003</v>
      </c>
      <c r="AF1439" s="938">
        <v>7.9969999999999999</v>
      </c>
      <c r="AG1439" s="938">
        <v>14.092000000000001</v>
      </c>
      <c r="AH1439" s="302">
        <v>17.777000000000001</v>
      </c>
      <c r="AI1439" s="300">
        <v>23.983000000000001</v>
      </c>
      <c r="AJ1439" s="403">
        <v>23.983000000000001</v>
      </c>
      <c r="AK1439" s="938">
        <v>5.6950000000000003</v>
      </c>
      <c r="AL1439" s="938">
        <v>10.993</v>
      </c>
      <c r="AM1439" s="302">
        <v>16.109000000000002</v>
      </c>
      <c r="AN1439" s="300">
        <v>21.832000000000001</v>
      </c>
      <c r="AO1439" s="403">
        <v>21.832000000000001</v>
      </c>
      <c r="AP1439" s="938">
        <v>5.8280000000000003</v>
      </c>
      <c r="AQ1439" s="938">
        <v>12.689</v>
      </c>
      <c r="AR1439" s="302">
        <v>131.47200000000001</v>
      </c>
      <c r="AS1439" s="300">
        <v>145.70400000000001</v>
      </c>
      <c r="AT1439" s="403">
        <v>145.70400000000001</v>
      </c>
      <c r="AU1439" s="938">
        <v>15.307</v>
      </c>
      <c r="AV1439" s="938">
        <v>25.431000000000001</v>
      </c>
      <c r="AW1439" s="302">
        <v>37.426000000000002</v>
      </c>
      <c r="AX1439" s="300">
        <v>48.478000000000002</v>
      </c>
      <c r="AY1439" s="403">
        <v>48.478000000000002</v>
      </c>
      <c r="AZ1439" s="938">
        <v>12.802</v>
      </c>
      <c r="BA1439" s="938">
        <v>23.538</v>
      </c>
      <c r="BB1439" s="302">
        <v>33.725000000000001</v>
      </c>
      <c r="BC1439" s="300">
        <v>43.545999999999999</v>
      </c>
      <c r="BD1439" s="403">
        <v>43.545999999999999</v>
      </c>
      <c r="BE1439" s="938">
        <v>10.18</v>
      </c>
      <c r="BF1439" s="938">
        <v>18.718</v>
      </c>
      <c r="BG1439" s="302">
        <v>28.538</v>
      </c>
      <c r="BH1439" s="300">
        <v>39.384</v>
      </c>
      <c r="BI1439" s="514">
        <v>39.384</v>
      </c>
      <c r="BJ1439" s="251"/>
      <c r="BK1439" s="251"/>
      <c r="BL1439" s="251"/>
      <c r="BM1439" s="251">
        <v>0</v>
      </c>
      <c r="BN1439" s="401"/>
      <c r="BO1439" s="251"/>
      <c r="BP1439" s="251"/>
      <c r="BQ1439" s="251"/>
      <c r="BR1439" s="251">
        <v>0</v>
      </c>
      <c r="BS1439" s="401"/>
      <c r="BT1439" s="401"/>
      <c r="BU1439" s="401"/>
      <c r="BV1439" s="401"/>
      <c r="BW1439" s="122"/>
    </row>
    <row r="1440" spans="1:75" s="123" customFormat="1" hidden="1" outlineLevel="1" x14ac:dyDescent="0.5">
      <c r="A1440" s="184" t="s">
        <v>1354</v>
      </c>
      <c r="B1440" s="118"/>
      <c r="C1440" s="401"/>
      <c r="D1440" s="401"/>
      <c r="E1440" s="401"/>
      <c r="F1440" s="401"/>
      <c r="G1440" s="119"/>
      <c r="H1440" s="119"/>
      <c r="I1440" s="119"/>
      <c r="J1440" s="119">
        <v>0</v>
      </c>
      <c r="K1440" s="401"/>
      <c r="L1440" s="119"/>
      <c r="M1440" s="119"/>
      <c r="N1440" s="119"/>
      <c r="O1440" s="119">
        <v>0</v>
      </c>
      <c r="P1440" s="401"/>
      <c r="Q1440" s="119"/>
      <c r="R1440" s="119"/>
      <c r="S1440" s="119"/>
      <c r="T1440" s="119">
        <v>0</v>
      </c>
      <c r="U1440" s="401"/>
      <c r="V1440" s="251"/>
      <c r="W1440" s="251"/>
      <c r="X1440" s="119"/>
      <c r="Y1440" s="251">
        <v>0</v>
      </c>
      <c r="Z1440" s="401"/>
      <c r="AA1440" s="251"/>
      <c r="AB1440" s="251"/>
      <c r="AC1440" s="119"/>
      <c r="AD1440" s="251">
        <v>0</v>
      </c>
      <c r="AE1440" s="401"/>
      <c r="AF1440" s="251"/>
      <c r="AG1440" s="251"/>
      <c r="AH1440" s="119"/>
      <c r="AI1440" s="300">
        <v>0</v>
      </c>
      <c r="AJ1440" s="401"/>
      <c r="AK1440" s="251"/>
      <c r="AL1440" s="251"/>
      <c r="AM1440" s="119"/>
      <c r="AN1440" s="300">
        <v>0</v>
      </c>
      <c r="AO1440" s="401"/>
      <c r="AP1440" s="251"/>
      <c r="AQ1440" s="251"/>
      <c r="AR1440" s="119"/>
      <c r="AS1440" s="300">
        <v>0</v>
      </c>
      <c r="AT1440" s="401"/>
      <c r="AU1440" s="251"/>
      <c r="AV1440" s="251"/>
      <c r="AW1440" s="119"/>
      <c r="AX1440" s="300">
        <v>0</v>
      </c>
      <c r="AY1440" s="401"/>
      <c r="AZ1440" s="251"/>
      <c r="BA1440" s="251"/>
      <c r="BB1440" s="119"/>
      <c r="BC1440" s="300">
        <v>4.47</v>
      </c>
      <c r="BD1440" s="403">
        <v>4.47</v>
      </c>
      <c r="BE1440" s="251"/>
      <c r="BF1440" s="251"/>
      <c r="BG1440" s="119"/>
      <c r="BH1440" s="300">
        <v>0</v>
      </c>
      <c r="BI1440" s="402"/>
      <c r="BJ1440" s="251"/>
      <c r="BK1440" s="251"/>
      <c r="BL1440" s="251"/>
      <c r="BM1440" s="251">
        <v>0</v>
      </c>
      <c r="BN1440" s="401"/>
      <c r="BO1440" s="251"/>
      <c r="BP1440" s="251"/>
      <c r="BQ1440" s="251"/>
      <c r="BR1440" s="251">
        <v>0</v>
      </c>
      <c r="BS1440" s="401"/>
      <c r="BT1440" s="401"/>
      <c r="BU1440" s="401"/>
      <c r="BV1440" s="401"/>
      <c r="BW1440" s="122"/>
    </row>
    <row r="1441" spans="1:75" s="123" customFormat="1" hidden="1" outlineLevel="1" x14ac:dyDescent="0.5">
      <c r="A1441" s="184" t="s">
        <v>1054</v>
      </c>
      <c r="B1441" s="118"/>
      <c r="C1441" s="401"/>
      <c r="D1441" s="401"/>
      <c r="E1441" s="401"/>
      <c r="F1441" s="401"/>
      <c r="G1441" s="119"/>
      <c r="H1441" s="119"/>
      <c r="I1441" s="119"/>
      <c r="J1441" s="119">
        <v>0</v>
      </c>
      <c r="K1441" s="401"/>
      <c r="L1441" s="119"/>
      <c r="M1441" s="119"/>
      <c r="N1441" s="119"/>
      <c r="O1441" s="119">
        <v>0</v>
      </c>
      <c r="P1441" s="401"/>
      <c r="Q1441" s="119"/>
      <c r="R1441" s="119"/>
      <c r="S1441" s="119"/>
      <c r="T1441" s="119">
        <v>0</v>
      </c>
      <c r="U1441" s="401"/>
      <c r="V1441" s="251"/>
      <c r="W1441" s="251"/>
      <c r="X1441" s="119"/>
      <c r="Y1441" s="251">
        <v>0</v>
      </c>
      <c r="Z1441" s="401"/>
      <c r="AA1441" s="251"/>
      <c r="AB1441" s="251"/>
      <c r="AC1441" s="119"/>
      <c r="AD1441" s="251">
        <v>0</v>
      </c>
      <c r="AE1441" s="401"/>
      <c r="AF1441" s="938">
        <v>3.0920000000000001</v>
      </c>
      <c r="AG1441" s="938">
        <v>6.4109999999999996</v>
      </c>
      <c r="AH1441" s="302">
        <v>11.254</v>
      </c>
      <c r="AI1441" s="300">
        <v>16.785</v>
      </c>
      <c r="AJ1441" s="403">
        <v>16.785</v>
      </c>
      <c r="AK1441" s="938">
        <v>5.5140000000000002</v>
      </c>
      <c r="AL1441" s="938">
        <v>11.186</v>
      </c>
      <c r="AM1441" s="302">
        <v>16.864000000000001</v>
      </c>
      <c r="AN1441" s="300">
        <v>22.608000000000001</v>
      </c>
      <c r="AO1441" s="403">
        <v>22.608000000000001</v>
      </c>
      <c r="AP1441" s="938">
        <v>5.7809999999999997</v>
      </c>
      <c r="AQ1441" s="938">
        <v>11.728999999999999</v>
      </c>
      <c r="AR1441" s="302">
        <v>17.887</v>
      </c>
      <c r="AS1441" s="300">
        <v>24.010999999999999</v>
      </c>
      <c r="AT1441" s="403">
        <v>24.010999999999999</v>
      </c>
      <c r="AU1441" s="938">
        <v>6.15</v>
      </c>
      <c r="AV1441" s="938">
        <v>12.757</v>
      </c>
      <c r="AW1441" s="302">
        <v>19.468</v>
      </c>
      <c r="AX1441" s="300">
        <v>26.411999999999999</v>
      </c>
      <c r="AY1441" s="403">
        <v>26.411999999999999</v>
      </c>
      <c r="AZ1441" s="938">
        <v>7.0709999999999997</v>
      </c>
      <c r="BA1441" s="938">
        <v>14.962</v>
      </c>
      <c r="BB1441" s="302">
        <v>23.526</v>
      </c>
      <c r="BC1441" s="300">
        <v>32.051000000000002</v>
      </c>
      <c r="BD1441" s="403">
        <v>32.051000000000002</v>
      </c>
      <c r="BE1441" s="938">
        <v>8.4860000000000007</v>
      </c>
      <c r="BF1441" s="938">
        <v>17.28</v>
      </c>
      <c r="BG1441" s="714">
        <v>25.92</v>
      </c>
      <c r="BH1441" s="300">
        <v>33.822000000000003</v>
      </c>
      <c r="BI1441" s="514">
        <v>33.822000000000003</v>
      </c>
      <c r="BJ1441" s="251"/>
      <c r="BK1441" s="251"/>
      <c r="BL1441" s="251"/>
      <c r="BM1441" s="251">
        <v>0</v>
      </c>
      <c r="BN1441" s="401"/>
      <c r="BO1441" s="251"/>
      <c r="BP1441" s="251"/>
      <c r="BQ1441" s="251"/>
      <c r="BR1441" s="251">
        <v>0</v>
      </c>
      <c r="BS1441" s="401"/>
      <c r="BT1441" s="401"/>
      <c r="BU1441" s="401"/>
      <c r="BV1441" s="401"/>
      <c r="BW1441" s="122"/>
    </row>
    <row r="1442" spans="1:75" s="123" customFormat="1" hidden="1" outlineLevel="1" x14ac:dyDescent="0.5">
      <c r="A1442" s="464" t="s">
        <v>1355</v>
      </c>
      <c r="B1442" s="118"/>
      <c r="C1442" s="401"/>
      <c r="D1442" s="401"/>
      <c r="E1442" s="401"/>
      <c r="F1442" s="401"/>
      <c r="G1442" s="119"/>
      <c r="H1442" s="119"/>
      <c r="I1442" s="119"/>
      <c r="J1442" s="119">
        <v>0</v>
      </c>
      <c r="K1442" s="401"/>
      <c r="L1442" s="119"/>
      <c r="M1442" s="119"/>
      <c r="N1442" s="119"/>
      <c r="O1442" s="119">
        <v>0</v>
      </c>
      <c r="P1442" s="401"/>
      <c r="Q1442" s="119"/>
      <c r="R1442" s="119"/>
      <c r="S1442" s="119"/>
      <c r="T1442" s="119">
        <v>0</v>
      </c>
      <c r="U1442" s="401"/>
      <c r="V1442" s="251"/>
      <c r="W1442" s="251"/>
      <c r="X1442" s="302">
        <v>5.1870000000000003</v>
      </c>
      <c r="Y1442" s="939">
        <v>6.835</v>
      </c>
      <c r="Z1442" s="403">
        <v>6.835</v>
      </c>
      <c r="AA1442" s="938">
        <v>1.38</v>
      </c>
      <c r="AB1442" s="938">
        <v>1.86</v>
      </c>
      <c r="AC1442" s="302">
        <v>2.1080000000000001</v>
      </c>
      <c r="AD1442" s="939">
        <v>2.5270000000000001</v>
      </c>
      <c r="AE1442" s="403">
        <v>2.5270000000000001</v>
      </c>
      <c r="AF1442" s="938">
        <v>0.19</v>
      </c>
      <c r="AG1442" s="938">
        <v>0.38</v>
      </c>
      <c r="AH1442" s="302">
        <v>0.38</v>
      </c>
      <c r="AI1442" s="429">
        <v>0.38</v>
      </c>
      <c r="AJ1442" s="403">
        <v>0.38</v>
      </c>
      <c r="AK1442" s="251"/>
      <c r="AL1442" s="251"/>
      <c r="AM1442" s="119"/>
      <c r="AN1442" s="429">
        <v>0</v>
      </c>
      <c r="AO1442" s="401"/>
      <c r="AP1442" s="251"/>
      <c r="AQ1442" s="251"/>
      <c r="AR1442" s="119"/>
      <c r="AS1442" s="429">
        <v>0</v>
      </c>
      <c r="AT1442" s="401"/>
      <c r="AU1442" s="251"/>
      <c r="AV1442" s="251"/>
      <c r="AW1442" s="119"/>
      <c r="AX1442" s="300">
        <v>0</v>
      </c>
      <c r="AY1442" s="401"/>
      <c r="AZ1442" s="251"/>
      <c r="BA1442" s="251"/>
      <c r="BB1442" s="119"/>
      <c r="BC1442" s="300">
        <v>0</v>
      </c>
      <c r="BD1442" s="401"/>
      <c r="BE1442" s="251"/>
      <c r="BF1442" s="251"/>
      <c r="BG1442" s="119"/>
      <c r="BH1442" s="300">
        <v>0</v>
      </c>
      <c r="BI1442" s="402"/>
      <c r="BJ1442" s="251"/>
      <c r="BK1442" s="251"/>
      <c r="BL1442" s="251"/>
      <c r="BM1442" s="251">
        <v>0</v>
      </c>
      <c r="BN1442" s="401"/>
      <c r="BO1442" s="251"/>
      <c r="BP1442" s="251"/>
      <c r="BQ1442" s="251"/>
      <c r="BR1442" s="251">
        <v>0</v>
      </c>
      <c r="BS1442" s="401"/>
      <c r="BT1442" s="401"/>
      <c r="BU1442" s="401"/>
      <c r="BV1442" s="401"/>
      <c r="BW1442" s="122"/>
    </row>
    <row r="1443" spans="1:75" s="123" customFormat="1" hidden="1" outlineLevel="1" x14ac:dyDescent="0.5">
      <c r="A1443" s="464" t="s">
        <v>1356</v>
      </c>
      <c r="B1443" s="118"/>
      <c r="C1443" s="401"/>
      <c r="D1443" s="401"/>
      <c r="E1443" s="403">
        <v>12.35</v>
      </c>
      <c r="F1443" s="401"/>
      <c r="G1443" s="119"/>
      <c r="H1443" s="119"/>
      <c r="I1443" s="119"/>
      <c r="J1443" s="122">
        <v>0</v>
      </c>
      <c r="K1443" s="401"/>
      <c r="L1443" s="119"/>
      <c r="M1443" s="119"/>
      <c r="N1443" s="119"/>
      <c r="O1443" s="122">
        <v>0</v>
      </c>
      <c r="P1443" s="401"/>
      <c r="Q1443" s="119"/>
      <c r="R1443" s="119"/>
      <c r="S1443" s="119"/>
      <c r="T1443" s="122">
        <v>0</v>
      </c>
      <c r="U1443" s="401"/>
      <c r="V1443" s="251"/>
      <c r="W1443" s="251"/>
      <c r="X1443" s="119"/>
      <c r="Y1443" s="939">
        <v>0</v>
      </c>
      <c r="Z1443" s="401"/>
      <c r="AA1443" s="251"/>
      <c r="AB1443" s="251"/>
      <c r="AC1443" s="119"/>
      <c r="AD1443" s="939">
        <v>0</v>
      </c>
      <c r="AE1443" s="401"/>
      <c r="AF1443" s="251"/>
      <c r="AG1443" s="251"/>
      <c r="AH1443" s="119"/>
      <c r="AI1443" s="429">
        <v>0</v>
      </c>
      <c r="AJ1443" s="401"/>
      <c r="AK1443" s="251"/>
      <c r="AL1443" s="251"/>
      <c r="AM1443" s="119"/>
      <c r="AN1443" s="429">
        <v>0</v>
      </c>
      <c r="AO1443" s="401"/>
      <c r="AP1443" s="251"/>
      <c r="AQ1443" s="251"/>
      <c r="AR1443" s="119"/>
      <c r="AS1443" s="429">
        <v>0</v>
      </c>
      <c r="AT1443" s="401"/>
      <c r="AU1443" s="251"/>
      <c r="AV1443" s="251"/>
      <c r="AW1443" s="119"/>
      <c r="AX1443" s="300">
        <v>0</v>
      </c>
      <c r="AY1443" s="401"/>
      <c r="AZ1443" s="251"/>
      <c r="BA1443" s="251"/>
      <c r="BB1443" s="119"/>
      <c r="BC1443" s="300">
        <v>0</v>
      </c>
      <c r="BD1443" s="401"/>
      <c r="BE1443" s="251"/>
      <c r="BF1443" s="251"/>
      <c r="BG1443" s="119"/>
      <c r="BH1443" s="300">
        <v>0</v>
      </c>
      <c r="BI1443" s="402"/>
      <c r="BJ1443" s="251"/>
      <c r="BK1443" s="251"/>
      <c r="BL1443" s="251"/>
      <c r="BM1443" s="251">
        <v>0</v>
      </c>
      <c r="BN1443" s="401"/>
      <c r="BO1443" s="251"/>
      <c r="BP1443" s="251"/>
      <c r="BQ1443" s="251"/>
      <c r="BR1443" s="251">
        <v>0</v>
      </c>
      <c r="BS1443" s="401"/>
      <c r="BT1443" s="401"/>
      <c r="BU1443" s="401"/>
      <c r="BV1443" s="401"/>
      <c r="BW1443" s="122"/>
    </row>
    <row r="1444" spans="1:75" s="123" customFormat="1" hidden="1" outlineLevel="1" x14ac:dyDescent="0.5">
      <c r="A1444" s="464" t="s">
        <v>1357</v>
      </c>
      <c r="B1444" s="118"/>
      <c r="C1444" s="401"/>
      <c r="D1444" s="401"/>
      <c r="E1444" s="401"/>
      <c r="F1444" s="401"/>
      <c r="G1444" s="119"/>
      <c r="H1444" s="119"/>
      <c r="I1444" s="119"/>
      <c r="J1444" s="119">
        <v>0</v>
      </c>
      <c r="K1444" s="401"/>
      <c r="L1444" s="119"/>
      <c r="M1444" s="119"/>
      <c r="N1444" s="119"/>
      <c r="O1444" s="119">
        <v>0</v>
      </c>
      <c r="P1444" s="401"/>
      <c r="Q1444" s="119"/>
      <c r="R1444" s="119"/>
      <c r="S1444" s="119"/>
      <c r="T1444" s="119">
        <v>0</v>
      </c>
      <c r="U1444" s="401"/>
      <c r="V1444" s="251"/>
      <c r="W1444" s="251"/>
      <c r="X1444" s="119"/>
      <c r="Y1444" s="251">
        <v>0</v>
      </c>
      <c r="Z1444" s="401"/>
      <c r="AA1444" s="251"/>
      <c r="AB1444" s="251"/>
      <c r="AC1444" s="302">
        <v>1.88</v>
      </c>
      <c r="AD1444" s="939">
        <v>1.88</v>
      </c>
      <c r="AE1444" s="403">
        <v>1.88</v>
      </c>
      <c r="AF1444" s="251"/>
      <c r="AG1444" s="938">
        <v>0.91700000000000004</v>
      </c>
      <c r="AH1444" s="302">
        <v>0.91700000000000004</v>
      </c>
      <c r="AI1444" s="429">
        <v>0.91700000000000004</v>
      </c>
      <c r="AJ1444" s="403">
        <v>0.91700000000000004</v>
      </c>
      <c r="AK1444" s="251"/>
      <c r="AL1444" s="938">
        <v>-0.95399999999999996</v>
      </c>
      <c r="AM1444" s="302">
        <v>5.9029999999999996</v>
      </c>
      <c r="AN1444" s="429">
        <v>6.4720000000000004</v>
      </c>
      <c r="AO1444" s="403">
        <v>6.4720000000000004</v>
      </c>
      <c r="AP1444" s="251"/>
      <c r="AQ1444" s="251"/>
      <c r="AR1444" s="302">
        <v>-0.152</v>
      </c>
      <c r="AS1444" s="429">
        <v>-0.152</v>
      </c>
      <c r="AT1444" s="403">
        <v>-0.152</v>
      </c>
      <c r="AU1444" s="938">
        <v>0.105</v>
      </c>
      <c r="AV1444" s="938">
        <v>3.2709999999999999</v>
      </c>
      <c r="AW1444" s="302">
        <v>21.783999999999999</v>
      </c>
      <c r="AX1444" s="300">
        <v>29.138000000000002</v>
      </c>
      <c r="AY1444" s="403">
        <v>29.138000000000002</v>
      </c>
      <c r="AZ1444" s="938">
        <v>146.11600000000001</v>
      </c>
      <c r="BA1444" s="938">
        <v>169.578</v>
      </c>
      <c r="BB1444" s="302">
        <v>169.578</v>
      </c>
      <c r="BC1444" s="300">
        <v>169.578</v>
      </c>
      <c r="BD1444" s="403">
        <v>169.578</v>
      </c>
      <c r="BE1444" s="251"/>
      <c r="BF1444" s="251"/>
      <c r="BG1444" s="119"/>
      <c r="BH1444" s="300">
        <v>0</v>
      </c>
      <c r="BI1444" s="402"/>
      <c r="BJ1444" s="251"/>
      <c r="BK1444" s="251"/>
      <c r="BL1444" s="251"/>
      <c r="BM1444" s="251">
        <v>0</v>
      </c>
      <c r="BN1444" s="401"/>
      <c r="BO1444" s="251"/>
      <c r="BP1444" s="251"/>
      <c r="BQ1444" s="251"/>
      <c r="BR1444" s="251">
        <v>0</v>
      </c>
      <c r="BS1444" s="401"/>
      <c r="BT1444" s="401"/>
      <c r="BU1444" s="401"/>
      <c r="BV1444" s="401"/>
      <c r="BW1444" s="122"/>
    </row>
    <row r="1445" spans="1:75" s="123" customFormat="1" hidden="1" outlineLevel="1" x14ac:dyDescent="0.5">
      <c r="A1445" s="464" t="s">
        <v>1358</v>
      </c>
      <c r="B1445" s="118"/>
      <c r="C1445" s="401"/>
      <c r="D1445" s="401"/>
      <c r="E1445" s="401"/>
      <c r="F1445" s="401"/>
      <c r="G1445" s="119"/>
      <c r="H1445" s="119"/>
      <c r="I1445" s="119"/>
      <c r="J1445" s="119">
        <v>0</v>
      </c>
      <c r="K1445" s="401"/>
      <c r="L1445" s="119"/>
      <c r="M1445" s="119"/>
      <c r="N1445" s="119"/>
      <c r="O1445" s="119">
        <v>0</v>
      </c>
      <c r="P1445" s="401"/>
      <c r="Q1445" s="119"/>
      <c r="R1445" s="119"/>
      <c r="S1445" s="119"/>
      <c r="T1445" s="119">
        <v>0</v>
      </c>
      <c r="U1445" s="401"/>
      <c r="V1445" s="251"/>
      <c r="W1445" s="251"/>
      <c r="X1445" s="119"/>
      <c r="Y1445" s="251">
        <v>0</v>
      </c>
      <c r="Z1445" s="401"/>
      <c r="AA1445" s="251"/>
      <c r="AB1445" s="251"/>
      <c r="AC1445" s="119"/>
      <c r="AD1445" s="251">
        <v>0</v>
      </c>
      <c r="AE1445" s="401"/>
      <c r="AF1445" s="251"/>
      <c r="AG1445" s="251"/>
      <c r="AH1445" s="119"/>
      <c r="AI1445" s="300">
        <v>0</v>
      </c>
      <c r="AJ1445" s="401"/>
      <c r="AK1445" s="251"/>
      <c r="AL1445" s="251"/>
      <c r="AM1445" s="119"/>
      <c r="AN1445" s="300">
        <v>0</v>
      </c>
      <c r="AO1445" s="401"/>
      <c r="AP1445" s="251"/>
      <c r="AQ1445" s="251"/>
      <c r="AR1445" s="119"/>
      <c r="AS1445" s="300">
        <v>0</v>
      </c>
      <c r="AT1445" s="401"/>
      <c r="AU1445" s="251"/>
      <c r="AV1445" s="251"/>
      <c r="AW1445" s="119"/>
      <c r="AX1445" s="300">
        <v>0</v>
      </c>
      <c r="AY1445" s="401"/>
      <c r="AZ1445" s="938">
        <v>-3.177</v>
      </c>
      <c r="BA1445" s="938">
        <v>-1.724</v>
      </c>
      <c r="BB1445" s="302">
        <v>-1.724</v>
      </c>
      <c r="BC1445" s="300">
        <v>0</v>
      </c>
      <c r="BD1445" s="401"/>
      <c r="BE1445" s="251"/>
      <c r="BF1445" s="251"/>
      <c r="BG1445" s="119"/>
      <c r="BH1445" s="300">
        <v>0</v>
      </c>
      <c r="BI1445" s="402"/>
      <c r="BJ1445" s="251"/>
      <c r="BK1445" s="251"/>
      <c r="BL1445" s="251"/>
      <c r="BM1445" s="251">
        <v>0</v>
      </c>
      <c r="BN1445" s="401"/>
      <c r="BO1445" s="251"/>
      <c r="BP1445" s="251"/>
      <c r="BQ1445" s="251"/>
      <c r="BR1445" s="251">
        <v>0</v>
      </c>
      <c r="BS1445" s="401"/>
      <c r="BT1445" s="401"/>
      <c r="BU1445" s="401"/>
      <c r="BV1445" s="401"/>
      <c r="BW1445" s="122"/>
    </row>
    <row r="1446" spans="1:75" s="123" customFormat="1" hidden="1" outlineLevel="1" x14ac:dyDescent="0.5">
      <c r="A1446" s="464" t="s">
        <v>1359</v>
      </c>
      <c r="B1446" s="118"/>
      <c r="C1446" s="401"/>
      <c r="D1446" s="401"/>
      <c r="E1446" s="401"/>
      <c r="F1446" s="403">
        <v>-57.185000000000002</v>
      </c>
      <c r="G1446" s="119"/>
      <c r="H1446" s="119"/>
      <c r="I1446" s="119"/>
      <c r="J1446" s="122">
        <v>0</v>
      </c>
      <c r="K1446" s="401"/>
      <c r="L1446" s="119"/>
      <c r="M1446" s="119"/>
      <c r="N1446" s="119"/>
      <c r="O1446" s="122">
        <v>0</v>
      </c>
      <c r="P1446" s="401"/>
      <c r="Q1446" s="119"/>
      <c r="R1446" s="119"/>
      <c r="S1446" s="119"/>
      <c r="T1446" s="122">
        <v>0</v>
      </c>
      <c r="U1446" s="401"/>
      <c r="V1446" s="251"/>
      <c r="W1446" s="251"/>
      <c r="X1446" s="119"/>
      <c r="Y1446" s="939">
        <v>0</v>
      </c>
      <c r="Z1446" s="401"/>
      <c r="AA1446" s="251"/>
      <c r="AB1446" s="251"/>
      <c r="AC1446" s="119"/>
      <c r="AD1446" s="939">
        <v>0</v>
      </c>
      <c r="AE1446" s="401"/>
      <c r="AF1446" s="251"/>
      <c r="AG1446" s="251"/>
      <c r="AH1446" s="119"/>
      <c r="AI1446" s="429">
        <v>0</v>
      </c>
      <c r="AJ1446" s="401"/>
      <c r="AK1446" s="251"/>
      <c r="AL1446" s="251"/>
      <c r="AM1446" s="119"/>
      <c r="AN1446" s="429">
        <v>0</v>
      </c>
      <c r="AO1446" s="401"/>
      <c r="AP1446" s="251"/>
      <c r="AQ1446" s="251"/>
      <c r="AR1446" s="119"/>
      <c r="AS1446" s="429">
        <v>0</v>
      </c>
      <c r="AT1446" s="401"/>
      <c r="AU1446" s="251"/>
      <c r="AV1446" s="251"/>
      <c r="AW1446" s="119"/>
      <c r="AX1446" s="300">
        <v>0</v>
      </c>
      <c r="AY1446" s="401"/>
      <c r="AZ1446" s="251"/>
      <c r="BA1446" s="251"/>
      <c r="BB1446" s="119"/>
      <c r="BC1446" s="300">
        <v>0</v>
      </c>
      <c r="BD1446" s="401"/>
      <c r="BE1446" s="251"/>
      <c r="BF1446" s="251"/>
      <c r="BG1446" s="119"/>
      <c r="BH1446" s="300">
        <v>0</v>
      </c>
      <c r="BI1446" s="402"/>
      <c r="BJ1446" s="251"/>
      <c r="BK1446" s="251"/>
      <c r="BL1446" s="251"/>
      <c r="BM1446" s="251">
        <v>0</v>
      </c>
      <c r="BN1446" s="401"/>
      <c r="BO1446" s="251"/>
      <c r="BP1446" s="251"/>
      <c r="BQ1446" s="251"/>
      <c r="BR1446" s="251">
        <v>0</v>
      </c>
      <c r="BS1446" s="401"/>
      <c r="BT1446" s="401"/>
      <c r="BU1446" s="401"/>
      <c r="BV1446" s="401"/>
      <c r="BW1446" s="122"/>
    </row>
    <row r="1447" spans="1:75" s="123" customFormat="1" hidden="1" outlineLevel="1" x14ac:dyDescent="0.5">
      <c r="A1447" s="464" t="s">
        <v>1360</v>
      </c>
      <c r="B1447" s="118"/>
      <c r="C1447" s="401"/>
      <c r="D1447" s="403">
        <v>-0.42699999999999999</v>
      </c>
      <c r="E1447" s="403">
        <v>4.2990000000000004</v>
      </c>
      <c r="F1447" s="403">
        <v>-4.6859999999999999</v>
      </c>
      <c r="G1447" s="119"/>
      <c r="H1447" s="302">
        <v>-13.108000000000001</v>
      </c>
      <c r="I1447" s="302">
        <v>-12.872</v>
      </c>
      <c r="J1447" s="122">
        <v>5.6020000000000003</v>
      </c>
      <c r="K1447" s="403">
        <v>5.6020000000000003</v>
      </c>
      <c r="L1447" s="119"/>
      <c r="M1447" s="119"/>
      <c r="N1447" s="119"/>
      <c r="O1447" s="122">
        <v>2.6930000000000001</v>
      </c>
      <c r="P1447" s="403">
        <v>2.6930000000000001</v>
      </c>
      <c r="Q1447" s="119"/>
      <c r="R1447" s="119"/>
      <c r="S1447" s="119"/>
      <c r="T1447" s="122">
        <v>-6.0110000000000001</v>
      </c>
      <c r="U1447" s="403">
        <v>-6.0110000000000001</v>
      </c>
      <c r="V1447" s="251"/>
      <c r="W1447" s="251"/>
      <c r="X1447" s="119"/>
      <c r="Y1447" s="939">
        <v>-0.221</v>
      </c>
      <c r="Z1447" s="403">
        <v>-0.221</v>
      </c>
      <c r="AA1447" s="251"/>
      <c r="AB1447" s="251"/>
      <c r="AC1447" s="119"/>
      <c r="AD1447" s="939">
        <v>6.5720000000000001</v>
      </c>
      <c r="AE1447" s="403">
        <v>6.5720000000000001</v>
      </c>
      <c r="AF1447" s="251"/>
      <c r="AG1447" s="251"/>
      <c r="AH1447" s="302">
        <v>-0.67</v>
      </c>
      <c r="AI1447" s="429">
        <v>-5.0179999999999998</v>
      </c>
      <c r="AJ1447" s="403">
        <v>-5.0179999999999998</v>
      </c>
      <c r="AK1447" s="251"/>
      <c r="AL1447" s="251"/>
      <c r="AM1447" s="302">
        <v>0.66700000000000004</v>
      </c>
      <c r="AN1447" s="429">
        <v>-7.7089999999999996</v>
      </c>
      <c r="AO1447" s="403">
        <v>-7.7089999999999996</v>
      </c>
      <c r="AP1447" s="251"/>
      <c r="AQ1447" s="251"/>
      <c r="AR1447" s="302">
        <v>0.11700000000000001</v>
      </c>
      <c r="AS1447" s="429">
        <v>-4.92</v>
      </c>
      <c r="AT1447" s="403">
        <v>-4.92</v>
      </c>
      <c r="AU1447" s="251"/>
      <c r="AV1447" s="938">
        <v>-0.23899999999999999</v>
      </c>
      <c r="AW1447" s="302">
        <v>-0.122</v>
      </c>
      <c r="AX1447" s="300">
        <v>-6.9210000000000003</v>
      </c>
      <c r="AY1447" s="403">
        <v>-6.9210000000000003</v>
      </c>
      <c r="AZ1447" s="938">
        <v>5.4930000000000003</v>
      </c>
      <c r="BA1447" s="938">
        <v>5.4930000000000003</v>
      </c>
      <c r="BB1447" s="302">
        <v>5.6269999999999998</v>
      </c>
      <c r="BC1447" s="300">
        <v>-91.988</v>
      </c>
      <c r="BD1447" s="403">
        <v>-91.988</v>
      </c>
      <c r="BE1447" s="938">
        <v>16.527000000000001</v>
      </c>
      <c r="BF1447" s="938">
        <v>43.716999999999999</v>
      </c>
      <c r="BG1447" s="302">
        <v>40.884</v>
      </c>
      <c r="BH1447" s="300">
        <v>25.265999999999998</v>
      </c>
      <c r="BI1447" s="514">
        <v>25.265999999999998</v>
      </c>
      <c r="BJ1447" s="251"/>
      <c r="BK1447" s="251"/>
      <c r="BL1447" s="251"/>
      <c r="BM1447" s="251">
        <v>0</v>
      </c>
      <c r="BN1447" s="401"/>
      <c r="BO1447" s="251"/>
      <c r="BP1447" s="251"/>
      <c r="BQ1447" s="251"/>
      <c r="BR1447" s="251">
        <v>0</v>
      </c>
      <c r="BS1447" s="401"/>
      <c r="BT1447" s="401"/>
      <c r="BU1447" s="401"/>
      <c r="BV1447" s="401"/>
      <c r="BW1447" s="122"/>
    </row>
    <row r="1448" spans="1:75" s="123" customFormat="1" hidden="1" outlineLevel="1" x14ac:dyDescent="0.5">
      <c r="A1448" s="464" t="s">
        <v>1361</v>
      </c>
      <c r="B1448" s="118"/>
      <c r="C1448" s="401"/>
      <c r="D1448" s="403">
        <v>0.193</v>
      </c>
      <c r="E1448" s="403">
        <v>0.57299999999999995</v>
      </c>
      <c r="F1448" s="401"/>
      <c r="G1448" s="119"/>
      <c r="H1448" s="302">
        <v>0.33500000000000002</v>
      </c>
      <c r="I1448" s="302">
        <v>0.89700000000000002</v>
      </c>
      <c r="J1448" s="122">
        <v>0.67100000000000004</v>
      </c>
      <c r="K1448" s="403">
        <v>0.67100000000000004</v>
      </c>
      <c r="L1448" s="119"/>
      <c r="M1448" s="119"/>
      <c r="N1448" s="119"/>
      <c r="O1448" s="122">
        <v>1.3420000000000001</v>
      </c>
      <c r="P1448" s="403">
        <v>1.3420000000000001</v>
      </c>
      <c r="Q1448" s="119"/>
      <c r="R1448" s="119"/>
      <c r="S1448" s="119"/>
      <c r="T1448" s="122">
        <v>0</v>
      </c>
      <c r="U1448" s="401"/>
      <c r="V1448" s="251"/>
      <c r="W1448" s="251"/>
      <c r="X1448" s="119"/>
      <c r="Y1448" s="939">
        <v>0</v>
      </c>
      <c r="Z1448" s="401"/>
      <c r="AA1448" s="251"/>
      <c r="AB1448" s="251"/>
      <c r="AC1448" s="119"/>
      <c r="AD1448" s="939">
        <v>0</v>
      </c>
      <c r="AE1448" s="401"/>
      <c r="AF1448" s="251"/>
      <c r="AG1448" s="251"/>
      <c r="AH1448" s="119"/>
      <c r="AI1448" s="429">
        <v>0</v>
      </c>
      <c r="AJ1448" s="401"/>
      <c r="AK1448" s="251"/>
      <c r="AL1448" s="251"/>
      <c r="AM1448" s="119"/>
      <c r="AN1448" s="429">
        <v>0</v>
      </c>
      <c r="AO1448" s="401"/>
      <c r="AP1448" s="251"/>
      <c r="AQ1448" s="251"/>
      <c r="AR1448" s="119"/>
      <c r="AS1448" s="429">
        <v>0</v>
      </c>
      <c r="AT1448" s="401"/>
      <c r="AU1448" s="251"/>
      <c r="AV1448" s="251"/>
      <c r="AW1448" s="119"/>
      <c r="AX1448" s="300">
        <v>0</v>
      </c>
      <c r="AY1448" s="401"/>
      <c r="AZ1448" s="251"/>
      <c r="BA1448" s="251"/>
      <c r="BB1448" s="119"/>
      <c r="BC1448" s="300">
        <v>0</v>
      </c>
      <c r="BD1448" s="401"/>
      <c r="BE1448" s="251"/>
      <c r="BF1448" s="251"/>
      <c r="BG1448" s="119"/>
      <c r="BH1448" s="300">
        <v>0</v>
      </c>
      <c r="BI1448" s="402"/>
      <c r="BJ1448" s="251"/>
      <c r="BK1448" s="251"/>
      <c r="BL1448" s="251"/>
      <c r="BM1448" s="251">
        <v>0</v>
      </c>
      <c r="BN1448" s="401"/>
      <c r="BO1448" s="251"/>
      <c r="BP1448" s="251"/>
      <c r="BQ1448" s="251"/>
      <c r="BR1448" s="251">
        <v>0</v>
      </c>
      <c r="BS1448" s="401"/>
      <c r="BT1448" s="401"/>
      <c r="BU1448" s="401"/>
      <c r="BV1448" s="401"/>
      <c r="BW1448" s="122"/>
    </row>
    <row r="1449" spans="1:75" s="123" customFormat="1" hidden="1" outlineLevel="1" x14ac:dyDescent="0.5">
      <c r="A1449" s="464" t="s">
        <v>1069</v>
      </c>
      <c r="B1449" s="118"/>
      <c r="C1449" s="401"/>
      <c r="D1449" s="401"/>
      <c r="E1449" s="401"/>
      <c r="F1449" s="401"/>
      <c r="G1449" s="119"/>
      <c r="H1449" s="119"/>
      <c r="I1449" s="119"/>
      <c r="J1449" s="119">
        <v>0</v>
      </c>
      <c r="K1449" s="401"/>
      <c r="L1449" s="119"/>
      <c r="M1449" s="119"/>
      <c r="N1449" s="119"/>
      <c r="O1449" s="119">
        <v>0</v>
      </c>
      <c r="P1449" s="401"/>
      <c r="Q1449" s="119"/>
      <c r="R1449" s="119"/>
      <c r="S1449" s="119"/>
      <c r="T1449" s="119">
        <v>0</v>
      </c>
      <c r="U1449" s="401"/>
      <c r="V1449" s="251"/>
      <c r="W1449" s="251"/>
      <c r="X1449" s="119"/>
      <c r="Y1449" s="251">
        <v>0</v>
      </c>
      <c r="Z1449" s="401"/>
      <c r="AA1449" s="251"/>
      <c r="AB1449" s="251"/>
      <c r="AC1449" s="119"/>
      <c r="AD1449" s="251">
        <v>0</v>
      </c>
      <c r="AE1449" s="401"/>
      <c r="AF1449" s="251"/>
      <c r="AG1449" s="251"/>
      <c r="AH1449" s="119"/>
      <c r="AI1449" s="300">
        <v>0</v>
      </c>
      <c r="AJ1449" s="401"/>
      <c r="AK1449" s="251"/>
      <c r="AL1449" s="251"/>
      <c r="AM1449" s="119"/>
      <c r="AN1449" s="300">
        <v>0</v>
      </c>
      <c r="AO1449" s="401"/>
      <c r="AP1449" s="251"/>
      <c r="AQ1449" s="251"/>
      <c r="AR1449" s="119"/>
      <c r="AS1449" s="429">
        <v>0.88800000000000001</v>
      </c>
      <c r="AT1449" s="403">
        <v>0.88800000000000001</v>
      </c>
      <c r="AU1449" s="938">
        <v>2.0950000000000002</v>
      </c>
      <c r="AV1449" s="938">
        <v>4.5810000000000004</v>
      </c>
      <c r="AW1449" s="302">
        <v>6.8940000000000001</v>
      </c>
      <c r="AX1449" s="300">
        <v>8.2140000000000004</v>
      </c>
      <c r="AY1449" s="403">
        <v>8.2140000000000004</v>
      </c>
      <c r="AZ1449" s="938">
        <v>1.375</v>
      </c>
      <c r="BA1449" s="938">
        <v>4.1959999999999997</v>
      </c>
      <c r="BB1449" s="302">
        <v>6.1180000000000003</v>
      </c>
      <c r="BC1449" s="300">
        <v>2.0550000000000002</v>
      </c>
      <c r="BD1449" s="403">
        <v>2.0550000000000002</v>
      </c>
      <c r="BE1449" s="938">
        <v>1.6020000000000001</v>
      </c>
      <c r="BF1449" s="938">
        <v>4.984</v>
      </c>
      <c r="BG1449" s="714">
        <v>7.6769999999999996</v>
      </c>
      <c r="BH1449" s="300">
        <v>10.875</v>
      </c>
      <c r="BI1449" s="514">
        <v>10.875</v>
      </c>
      <c r="BJ1449" s="251"/>
      <c r="BK1449" s="251"/>
      <c r="BL1449" s="251"/>
      <c r="BM1449" s="251">
        <v>0</v>
      </c>
      <c r="BN1449" s="401"/>
      <c r="BO1449" s="251"/>
      <c r="BP1449" s="251"/>
      <c r="BQ1449" s="251"/>
      <c r="BR1449" s="251">
        <v>0</v>
      </c>
      <c r="BS1449" s="401"/>
      <c r="BT1449" s="401"/>
      <c r="BU1449" s="401"/>
      <c r="BV1449" s="401"/>
      <c r="BW1449" s="122"/>
    </row>
    <row r="1450" spans="1:75" s="123" customFormat="1" hidden="1" outlineLevel="1" x14ac:dyDescent="0.5">
      <c r="A1450" s="464" t="s">
        <v>1362</v>
      </c>
      <c r="B1450" s="118"/>
      <c r="C1450" s="401"/>
      <c r="D1450" s="401"/>
      <c r="E1450" s="401"/>
      <c r="F1450" s="403">
        <v>0.86299999999999999</v>
      </c>
      <c r="G1450" s="714">
        <v>0.16800000000000001</v>
      </c>
      <c r="H1450" s="119"/>
      <c r="I1450" s="119"/>
      <c r="J1450" s="122">
        <v>0</v>
      </c>
      <c r="K1450" s="401"/>
      <c r="L1450" s="714">
        <v>0.16800000000000001</v>
      </c>
      <c r="M1450" s="714">
        <v>0.43099999999999999</v>
      </c>
      <c r="N1450" s="714">
        <v>1.103</v>
      </c>
      <c r="O1450" s="943">
        <v>0</v>
      </c>
      <c r="P1450" s="724"/>
      <c r="Q1450" s="714">
        <v>0.53600000000000003</v>
      </c>
      <c r="R1450" s="714">
        <v>1.2509999999999999</v>
      </c>
      <c r="S1450" s="714">
        <v>2.0699999999999998</v>
      </c>
      <c r="T1450" s="943">
        <v>2.4729999999999999</v>
      </c>
      <c r="U1450" s="940">
        <v>2.4729999999999999</v>
      </c>
      <c r="V1450" s="307">
        <v>1.1259999999999999</v>
      </c>
      <c r="W1450" s="307">
        <v>2.222</v>
      </c>
      <c r="X1450" s="714">
        <v>2.9710000000000001</v>
      </c>
      <c r="Y1450" s="429">
        <v>3.121</v>
      </c>
      <c r="Z1450" s="940">
        <v>3.121</v>
      </c>
      <c r="AA1450" s="307">
        <v>0.88400000000000001</v>
      </c>
      <c r="AB1450" s="307">
        <v>2.3140000000000001</v>
      </c>
      <c r="AC1450" s="714">
        <v>4.9139999999999997</v>
      </c>
      <c r="AD1450" s="429">
        <v>5.3250000000000002</v>
      </c>
      <c r="AE1450" s="940">
        <v>5.3250000000000002</v>
      </c>
      <c r="AF1450" s="307">
        <v>0.78600000000000003</v>
      </c>
      <c r="AG1450" s="307">
        <v>1.276</v>
      </c>
      <c r="AH1450" s="714">
        <v>2.6480000000000001</v>
      </c>
      <c r="AI1450" s="429">
        <v>3.6389999999999998</v>
      </c>
      <c r="AJ1450" s="940">
        <v>3.6389999999999998</v>
      </c>
      <c r="AK1450" s="307">
        <v>1.089</v>
      </c>
      <c r="AL1450" s="307">
        <v>2.2509999999999999</v>
      </c>
      <c r="AM1450" s="714">
        <v>3.306</v>
      </c>
      <c r="AN1450" s="429">
        <v>4.3339999999999996</v>
      </c>
      <c r="AO1450" s="940">
        <v>4.3339999999999996</v>
      </c>
      <c r="AP1450" s="307">
        <v>1.145</v>
      </c>
      <c r="AQ1450" s="300"/>
      <c r="AR1450" s="715"/>
      <c r="AS1450" s="429">
        <v>0</v>
      </c>
      <c r="AT1450" s="724"/>
      <c r="AU1450" s="300"/>
      <c r="AV1450" s="300"/>
      <c r="AW1450" s="715"/>
      <c r="AX1450" s="300">
        <v>0</v>
      </c>
      <c r="AY1450" s="724"/>
      <c r="AZ1450" s="300"/>
      <c r="BA1450" s="300"/>
      <c r="BB1450" s="715"/>
      <c r="BC1450" s="300">
        <v>0</v>
      </c>
      <c r="BD1450" s="724"/>
      <c r="BE1450" s="300"/>
      <c r="BF1450" s="300"/>
      <c r="BG1450" s="715"/>
      <c r="BH1450" s="300">
        <v>0</v>
      </c>
      <c r="BI1450" s="942"/>
      <c r="BJ1450" s="300"/>
      <c r="BK1450" s="300"/>
      <c r="BL1450" s="300"/>
      <c r="BM1450" s="300">
        <v>0</v>
      </c>
      <c r="BN1450" s="401"/>
      <c r="BO1450" s="300"/>
      <c r="BP1450" s="300"/>
      <c r="BQ1450" s="300"/>
      <c r="BR1450" s="300">
        <v>0</v>
      </c>
      <c r="BS1450" s="401"/>
      <c r="BT1450" s="401"/>
      <c r="BU1450" s="401"/>
      <c r="BV1450" s="401"/>
      <c r="BW1450" s="122"/>
    </row>
    <row r="1451" spans="1:75" s="123" customFormat="1" hidden="1" outlineLevel="1" x14ac:dyDescent="0.5">
      <c r="A1451" s="464" t="s">
        <v>1363</v>
      </c>
      <c r="B1451" s="118"/>
      <c r="C1451" s="401"/>
      <c r="D1451" s="401"/>
      <c r="E1451" s="401"/>
      <c r="F1451" s="401"/>
      <c r="G1451" s="715"/>
      <c r="H1451" s="119"/>
      <c r="I1451" s="119"/>
      <c r="J1451" s="119">
        <v>0</v>
      </c>
      <c r="K1451" s="401"/>
      <c r="L1451" s="715"/>
      <c r="M1451" s="715"/>
      <c r="N1451" s="715"/>
      <c r="O1451" s="715">
        <v>0</v>
      </c>
      <c r="P1451" s="724"/>
      <c r="Q1451" s="715"/>
      <c r="R1451" s="715"/>
      <c r="S1451" s="715"/>
      <c r="T1451" s="715">
        <v>0</v>
      </c>
      <c r="U1451" s="724"/>
      <c r="V1451" s="300"/>
      <c r="W1451" s="300"/>
      <c r="X1451" s="715"/>
      <c r="Y1451" s="300">
        <v>0</v>
      </c>
      <c r="Z1451" s="724"/>
      <c r="AA1451" s="300"/>
      <c r="AB1451" s="300"/>
      <c r="AC1451" s="715"/>
      <c r="AD1451" s="429">
        <v>0</v>
      </c>
      <c r="AE1451" s="724"/>
      <c r="AF1451" s="300"/>
      <c r="AG1451" s="300"/>
      <c r="AH1451" s="715"/>
      <c r="AI1451" s="429">
        <v>0</v>
      </c>
      <c r="AJ1451" s="724"/>
      <c r="AK1451" s="300"/>
      <c r="AL1451" s="300"/>
      <c r="AM1451" s="715"/>
      <c r="AN1451" s="429">
        <v>0</v>
      </c>
      <c r="AO1451" s="724"/>
      <c r="AP1451" s="300"/>
      <c r="AQ1451" s="307">
        <v>2.4039999999999999</v>
      </c>
      <c r="AR1451" s="714">
        <v>3.274</v>
      </c>
      <c r="AS1451" s="429">
        <v>3.9980000000000002</v>
      </c>
      <c r="AT1451" s="940">
        <v>3.9980000000000002</v>
      </c>
      <c r="AU1451" s="307">
        <v>-1.944</v>
      </c>
      <c r="AV1451" s="307">
        <v>-4.069</v>
      </c>
      <c r="AW1451" s="714">
        <v>-6.03</v>
      </c>
      <c r="AX1451" s="300">
        <v>-6.649</v>
      </c>
      <c r="AY1451" s="940">
        <v>-6.649</v>
      </c>
      <c r="AZ1451" s="307">
        <v>1.2689999999999999</v>
      </c>
      <c r="BA1451" s="307">
        <v>3.3479999999999999</v>
      </c>
      <c r="BB1451" s="714">
        <v>5.5419999999999998</v>
      </c>
      <c r="BC1451" s="300">
        <v>5.2130000000000001</v>
      </c>
      <c r="BD1451" s="940">
        <v>5.2130000000000001</v>
      </c>
      <c r="BE1451" s="307">
        <v>2.2149999999999999</v>
      </c>
      <c r="BF1451" s="307">
        <v>4.4539999999999997</v>
      </c>
      <c r="BG1451" s="714">
        <v>6.601</v>
      </c>
      <c r="BH1451" s="300">
        <v>7.3620000000000001</v>
      </c>
      <c r="BI1451" s="941">
        <v>7.3620000000000001</v>
      </c>
      <c r="BJ1451" s="300"/>
      <c r="BK1451" s="300"/>
      <c r="BL1451" s="300"/>
      <c r="BM1451" s="300">
        <v>0</v>
      </c>
      <c r="BN1451" s="401"/>
      <c r="BO1451" s="300"/>
      <c r="BP1451" s="300"/>
      <c r="BQ1451" s="300"/>
      <c r="BR1451" s="300">
        <v>0</v>
      </c>
      <c r="BS1451" s="401"/>
      <c r="BT1451" s="401"/>
      <c r="BU1451" s="401"/>
      <c r="BV1451" s="401"/>
      <c r="BW1451" s="122"/>
    </row>
    <row r="1452" spans="1:75" s="198" customFormat="1" ht="14.25" hidden="1" outlineLevel="1" x14ac:dyDescent="0.45">
      <c r="A1452" s="516" t="s">
        <v>1364</v>
      </c>
      <c r="B1452" s="517"/>
      <c r="C1452" s="518"/>
      <c r="D1452" s="519">
        <v>27.212000000000007</v>
      </c>
      <c r="E1452" s="519">
        <v>69.227000000000004</v>
      </c>
      <c r="F1452" s="519">
        <v>69.133999999999986</v>
      </c>
      <c r="G1452" s="520">
        <v>10.267999999999999</v>
      </c>
      <c r="H1452" s="520">
        <v>45.708999999999996</v>
      </c>
      <c r="I1452" s="520">
        <v>63.943999999999996</v>
      </c>
      <c r="J1452" s="520">
        <v>117.444</v>
      </c>
      <c r="K1452" s="519">
        <v>117.444</v>
      </c>
      <c r="L1452" s="520">
        <v>6.4699999999999989</v>
      </c>
      <c r="M1452" s="520">
        <v>46.170999999999992</v>
      </c>
      <c r="N1452" s="520">
        <v>83.051999999999992</v>
      </c>
      <c r="O1452" s="520">
        <v>138.12000000000003</v>
      </c>
      <c r="P1452" s="519">
        <v>138.12000000000003</v>
      </c>
      <c r="Q1452" s="520">
        <v>25.145</v>
      </c>
      <c r="R1452" s="520">
        <v>75.345000000000013</v>
      </c>
      <c r="S1452" s="520">
        <v>118.22</v>
      </c>
      <c r="T1452" s="520">
        <v>169.22</v>
      </c>
      <c r="U1452" s="519">
        <v>169.22</v>
      </c>
      <c r="V1452" s="327">
        <v>11.340999999999999</v>
      </c>
      <c r="W1452" s="327">
        <v>52.166999999999994</v>
      </c>
      <c r="X1452" s="520">
        <v>90.823999999999998</v>
      </c>
      <c r="Y1452" s="520">
        <v>156.22900000000001</v>
      </c>
      <c r="Z1452" s="519">
        <v>156.22900000000001</v>
      </c>
      <c r="AA1452" s="327">
        <v>27.660999999999998</v>
      </c>
      <c r="AB1452" s="520">
        <v>76.671999999999997</v>
      </c>
      <c r="AC1452" s="520">
        <v>127.527</v>
      </c>
      <c r="AD1452" s="520">
        <v>217.77199999999999</v>
      </c>
      <c r="AE1452" s="519">
        <v>217.77199999999999</v>
      </c>
      <c r="AF1452" s="327">
        <v>85.192000000000007</v>
      </c>
      <c r="AG1452" s="520">
        <v>205.14500000000004</v>
      </c>
      <c r="AH1452" s="520">
        <v>291.82199999999995</v>
      </c>
      <c r="AI1452" s="520">
        <v>432.25900000000013</v>
      </c>
      <c r="AJ1452" s="519">
        <v>432.25900000000013</v>
      </c>
      <c r="AK1452" s="327">
        <v>102.07899999999999</v>
      </c>
      <c r="AL1452" s="520">
        <v>159.066</v>
      </c>
      <c r="AM1452" s="520">
        <v>279.25200000000001</v>
      </c>
      <c r="AN1452" s="520">
        <v>419.73100000000005</v>
      </c>
      <c r="AO1452" s="519">
        <v>419.73100000000005</v>
      </c>
      <c r="AP1452" s="327">
        <v>88.477000000000004</v>
      </c>
      <c r="AQ1452" s="520">
        <v>184.34899999999999</v>
      </c>
      <c r="AR1452" s="520">
        <v>407.93900000000002</v>
      </c>
      <c r="AS1452" s="520">
        <v>607.55000000000007</v>
      </c>
      <c r="AT1452" s="519">
        <v>607.55000000000007</v>
      </c>
      <c r="AU1452" s="327">
        <v>201.709</v>
      </c>
      <c r="AV1452" s="520">
        <v>501.476</v>
      </c>
      <c r="AW1452" s="520">
        <v>739.7320000000002</v>
      </c>
      <c r="AX1452" s="520">
        <v>940.86200000000019</v>
      </c>
      <c r="AY1452" s="519">
        <v>940.86200000000019</v>
      </c>
      <c r="AZ1452" s="327">
        <v>421.29200000000009</v>
      </c>
      <c r="BA1452" s="520">
        <v>640.00900000000001</v>
      </c>
      <c r="BB1452" s="520">
        <v>818.67499999999995</v>
      </c>
      <c r="BC1452" s="520">
        <v>902.0859999999999</v>
      </c>
      <c r="BD1452" s="519">
        <v>902.0859999999999</v>
      </c>
      <c r="BE1452" s="327">
        <v>131.01</v>
      </c>
      <c r="BF1452" s="520">
        <v>305.178</v>
      </c>
      <c r="BG1452" s="520">
        <v>378.68700000000007</v>
      </c>
      <c r="BH1452" s="520">
        <v>458.29700000000008</v>
      </c>
      <c r="BI1452" s="521">
        <v>458.29700000000008</v>
      </c>
      <c r="BJ1452" s="327">
        <v>0</v>
      </c>
      <c r="BK1452" s="327">
        <v>0</v>
      </c>
      <c r="BL1452" s="327">
        <v>0</v>
      </c>
      <c r="BM1452" s="327">
        <v>0</v>
      </c>
      <c r="BN1452" s="518">
        <v>0</v>
      </c>
      <c r="BO1452" s="327">
        <v>0</v>
      </c>
      <c r="BP1452" s="327">
        <v>0</v>
      </c>
      <c r="BQ1452" s="327">
        <v>0</v>
      </c>
      <c r="BR1452" s="327">
        <v>0</v>
      </c>
      <c r="BS1452" s="518">
        <v>0</v>
      </c>
      <c r="BT1452" s="518">
        <v>0</v>
      </c>
      <c r="BU1452" s="518">
        <v>0</v>
      </c>
      <c r="BV1452" s="518">
        <v>0</v>
      </c>
      <c r="BW1452" s="197"/>
    </row>
    <row r="1453" spans="1:75" s="123" customFormat="1" hidden="1" outlineLevel="1" x14ac:dyDescent="0.5">
      <c r="A1453" s="184" t="s">
        <v>1365</v>
      </c>
      <c r="B1453" s="513"/>
      <c r="C1453" s="401"/>
      <c r="D1453" s="403">
        <v>6.8000000000000005E-2</v>
      </c>
      <c r="E1453" s="403">
        <v>-7.28</v>
      </c>
      <c r="F1453" s="403">
        <v>-5.282</v>
      </c>
      <c r="G1453" s="302">
        <v>-0.67200000000000004</v>
      </c>
      <c r="H1453" s="302">
        <v>-5.5659999999999998</v>
      </c>
      <c r="I1453" s="302">
        <v>-5.0030000000000001</v>
      </c>
      <c r="J1453" s="119">
        <v>-4.9950000000000001</v>
      </c>
      <c r="K1453" s="403">
        <v>-4.9950000000000001</v>
      </c>
      <c r="L1453" s="302">
        <v>3.1059999999999999</v>
      </c>
      <c r="M1453" s="302">
        <v>-2.109</v>
      </c>
      <c r="N1453" s="302">
        <v>-5.6260000000000003</v>
      </c>
      <c r="O1453" s="119">
        <v>-3.9910000000000001</v>
      </c>
      <c r="P1453" s="403">
        <v>-3.9910000000000001</v>
      </c>
      <c r="Q1453" s="302">
        <v>0.47199999999999998</v>
      </c>
      <c r="R1453" s="302">
        <v>3.1280000000000001</v>
      </c>
      <c r="S1453" s="302">
        <v>-6.4050000000000002</v>
      </c>
      <c r="T1453" s="119">
        <v>-2.629</v>
      </c>
      <c r="U1453" s="403">
        <v>-2.629</v>
      </c>
      <c r="V1453" s="302">
        <v>-3.504</v>
      </c>
      <c r="W1453" s="302">
        <v>-0.42199999999999999</v>
      </c>
      <c r="X1453" s="302">
        <v>-1.4450000000000001</v>
      </c>
      <c r="Y1453" s="119">
        <v>0.58799999999999997</v>
      </c>
      <c r="Z1453" s="403">
        <v>0.58799999999999997</v>
      </c>
      <c r="AA1453" s="302">
        <v>8.0000000000000002E-3</v>
      </c>
      <c r="AB1453" s="302">
        <v>-0.61699999999999999</v>
      </c>
      <c r="AC1453" s="302">
        <v>-0.31900000000000001</v>
      </c>
      <c r="AD1453" s="119">
        <v>2.758</v>
      </c>
      <c r="AE1453" s="403">
        <v>2.758</v>
      </c>
      <c r="AF1453" s="302">
        <v>-6.9429999999999996</v>
      </c>
      <c r="AG1453" s="302">
        <v>-9.0500000000000007</v>
      </c>
      <c r="AH1453" s="302">
        <v>-11.098000000000001</v>
      </c>
      <c r="AI1453" s="119">
        <v>-8.5830000000000002</v>
      </c>
      <c r="AJ1453" s="403">
        <v>-8.5830000000000002</v>
      </c>
      <c r="AK1453" s="302">
        <v>-7.218</v>
      </c>
      <c r="AL1453" s="302">
        <v>-0.504</v>
      </c>
      <c r="AM1453" s="302">
        <v>-2.8090000000000002</v>
      </c>
      <c r="AN1453" s="119">
        <v>-7.3090000000000002</v>
      </c>
      <c r="AO1453" s="403">
        <v>-7.3090000000000002</v>
      </c>
      <c r="AP1453" s="302">
        <v>1.554</v>
      </c>
      <c r="AQ1453" s="302">
        <v>-6.431</v>
      </c>
      <c r="AR1453" s="302">
        <v>-6.07</v>
      </c>
      <c r="AS1453" s="119">
        <v>-10.484999999999999</v>
      </c>
      <c r="AT1453" s="403">
        <v>-10.484999999999999</v>
      </c>
      <c r="AU1453" s="302">
        <v>-0.72199999999999998</v>
      </c>
      <c r="AV1453" s="302">
        <v>-0.30599999999999999</v>
      </c>
      <c r="AW1453" s="302">
        <v>-1.131</v>
      </c>
      <c r="AX1453" s="119">
        <v>1.5640000000000001</v>
      </c>
      <c r="AY1453" s="403">
        <v>1.5640000000000001</v>
      </c>
      <c r="AZ1453" s="302">
        <v>-7.7149999999999999</v>
      </c>
      <c r="BA1453" s="302">
        <v>2.3319999999999999</v>
      </c>
      <c r="BB1453" s="302">
        <v>-0.67500000000000004</v>
      </c>
      <c r="BC1453" s="119">
        <v>-1.8460000000000001</v>
      </c>
      <c r="BD1453" s="403">
        <v>-1.8460000000000001</v>
      </c>
      <c r="BE1453" s="302">
        <v>-0.46200000000000002</v>
      </c>
      <c r="BF1453" s="302">
        <v>5.3319999999999999</v>
      </c>
      <c r="BG1453" s="714">
        <v>3.6760000000000002</v>
      </c>
      <c r="BH1453" s="119">
        <v>4.6900000000000004</v>
      </c>
      <c r="BI1453" s="514">
        <v>4.6900000000000004</v>
      </c>
      <c r="BJ1453" s="118"/>
      <c r="BK1453" s="118"/>
      <c r="BL1453" s="118"/>
      <c r="BM1453" s="118">
        <v>0</v>
      </c>
      <c r="BN1453" s="401"/>
      <c r="BO1453" s="118"/>
      <c r="BP1453" s="118"/>
      <c r="BQ1453" s="118"/>
      <c r="BR1453" s="118">
        <v>0</v>
      </c>
      <c r="BS1453" s="401"/>
      <c r="BT1453" s="401"/>
      <c r="BU1453" s="401"/>
      <c r="BV1453" s="401"/>
      <c r="BW1453" s="122"/>
    </row>
    <row r="1454" spans="1:75" s="123" customFormat="1" hidden="1" outlineLevel="1" x14ac:dyDescent="0.5">
      <c r="A1454" s="184" t="s">
        <v>1366</v>
      </c>
      <c r="B1454" s="513"/>
      <c r="C1454" s="401"/>
      <c r="D1454" s="403">
        <v>-57.103000000000002</v>
      </c>
      <c r="E1454" s="403">
        <v>-39.475000000000001</v>
      </c>
      <c r="F1454" s="403">
        <v>-107.45399999999999</v>
      </c>
      <c r="G1454" s="302">
        <v>-12.436999999999999</v>
      </c>
      <c r="H1454" s="302">
        <v>-53.482999999999997</v>
      </c>
      <c r="I1454" s="302">
        <v>-94.98</v>
      </c>
      <c r="J1454" s="119">
        <v>-100.937</v>
      </c>
      <c r="K1454" s="403">
        <v>-100.937</v>
      </c>
      <c r="L1454" s="302">
        <v>-29.631</v>
      </c>
      <c r="M1454" s="302">
        <v>-93.185000000000002</v>
      </c>
      <c r="N1454" s="302">
        <v>-156.66</v>
      </c>
      <c r="O1454" s="119">
        <v>-106.036</v>
      </c>
      <c r="P1454" s="403">
        <v>-106.036</v>
      </c>
      <c r="Q1454" s="302">
        <v>-42.253</v>
      </c>
      <c r="R1454" s="302">
        <v>-148.31</v>
      </c>
      <c r="S1454" s="302">
        <v>-201.67400000000001</v>
      </c>
      <c r="T1454" s="119">
        <v>-166.505</v>
      </c>
      <c r="U1454" s="403">
        <v>-166.505</v>
      </c>
      <c r="V1454" s="302">
        <v>-37.228000000000002</v>
      </c>
      <c r="W1454" s="302">
        <v>-48.718000000000004</v>
      </c>
      <c r="X1454" s="302">
        <v>-23.260999999999999</v>
      </c>
      <c r="Y1454" s="119">
        <v>-4.3040000000000003</v>
      </c>
      <c r="Z1454" s="403">
        <v>-4.3040000000000003</v>
      </c>
      <c r="AA1454" s="302">
        <v>66.066999999999993</v>
      </c>
      <c r="AB1454" s="302">
        <v>140.33099999999999</v>
      </c>
      <c r="AC1454" s="302">
        <v>190.62</v>
      </c>
      <c r="AD1454" s="119">
        <v>220.767</v>
      </c>
      <c r="AE1454" s="403">
        <v>220.767</v>
      </c>
      <c r="AF1454" s="302">
        <v>-4.032</v>
      </c>
      <c r="AG1454" s="302">
        <v>-24.995000000000001</v>
      </c>
      <c r="AH1454" s="302">
        <v>-39.814999999999998</v>
      </c>
      <c r="AI1454" s="119">
        <v>-7.399</v>
      </c>
      <c r="AJ1454" s="403">
        <v>-7.399</v>
      </c>
      <c r="AK1454" s="302">
        <v>1.653</v>
      </c>
      <c r="AL1454" s="302">
        <v>51.189</v>
      </c>
      <c r="AM1454" s="302">
        <v>102.788</v>
      </c>
      <c r="AN1454" s="119">
        <v>93.266000000000005</v>
      </c>
      <c r="AO1454" s="403">
        <v>93.266000000000005</v>
      </c>
      <c r="AP1454" s="302">
        <v>-55.837000000000003</v>
      </c>
      <c r="AQ1454" s="302">
        <v>-48.984000000000002</v>
      </c>
      <c r="AR1454" s="302">
        <v>-57.780999999999999</v>
      </c>
      <c r="AS1454" s="119">
        <v>-104.621</v>
      </c>
      <c r="AT1454" s="403">
        <v>-104.621</v>
      </c>
      <c r="AU1454" s="302">
        <v>-49.54</v>
      </c>
      <c r="AV1454" s="302">
        <v>-101.64100000000001</v>
      </c>
      <c r="AW1454" s="302">
        <v>-89.224999999999994</v>
      </c>
      <c r="AX1454" s="119">
        <v>-190.07400000000001</v>
      </c>
      <c r="AY1454" s="403">
        <v>-190.07400000000001</v>
      </c>
      <c r="AZ1454" s="302">
        <v>-83.114999999999995</v>
      </c>
      <c r="BA1454" s="302">
        <v>-124.958</v>
      </c>
      <c r="BB1454" s="302">
        <v>-96.597999999999999</v>
      </c>
      <c r="BC1454" s="119">
        <v>-77.192999999999998</v>
      </c>
      <c r="BD1454" s="403">
        <v>-77.192999999999998</v>
      </c>
      <c r="BE1454" s="302">
        <v>35.914999999999999</v>
      </c>
      <c r="BF1454" s="302">
        <v>64.847999999999999</v>
      </c>
      <c r="BG1454" s="302">
        <v>81.165999999999997</v>
      </c>
      <c r="BH1454" s="119">
        <v>47.274000000000001</v>
      </c>
      <c r="BI1454" s="514">
        <v>47.274000000000001</v>
      </c>
      <c r="BJ1454" s="118"/>
      <c r="BK1454" s="118"/>
      <c r="BL1454" s="118"/>
      <c r="BM1454" s="118">
        <v>0</v>
      </c>
      <c r="BN1454" s="401"/>
      <c r="BO1454" s="118"/>
      <c r="BP1454" s="118"/>
      <c r="BQ1454" s="118"/>
      <c r="BR1454" s="118">
        <v>0</v>
      </c>
      <c r="BS1454" s="401"/>
      <c r="BT1454" s="401"/>
      <c r="BU1454" s="401"/>
      <c r="BV1454" s="401"/>
      <c r="BW1454" s="122"/>
    </row>
    <row r="1455" spans="1:75" s="123" customFormat="1" hidden="1" outlineLevel="1" x14ac:dyDescent="0.5">
      <c r="A1455" s="184" t="s">
        <v>1367</v>
      </c>
      <c r="B1455" s="513"/>
      <c r="C1455" s="401"/>
      <c r="D1455" s="403">
        <v>-1.4770000000000001</v>
      </c>
      <c r="E1455" s="403">
        <v>-36.371000000000002</v>
      </c>
      <c r="F1455" s="403">
        <v>-24.454000000000001</v>
      </c>
      <c r="G1455" s="302">
        <v>-44.707000000000001</v>
      </c>
      <c r="H1455" s="302">
        <v>-18.998999999999999</v>
      </c>
      <c r="I1455" s="302">
        <v>-11.973000000000001</v>
      </c>
      <c r="J1455" s="119">
        <v>-22.818999999999999</v>
      </c>
      <c r="K1455" s="403">
        <v>-22.818999999999999</v>
      </c>
      <c r="L1455" s="302">
        <v>-19.664999999999999</v>
      </c>
      <c r="M1455" s="302">
        <v>-22.369</v>
      </c>
      <c r="N1455" s="302">
        <v>4.3959999999999999</v>
      </c>
      <c r="O1455" s="119">
        <v>15.122999999999999</v>
      </c>
      <c r="P1455" s="403">
        <v>15.122999999999999</v>
      </c>
      <c r="Q1455" s="302">
        <v>-11.189</v>
      </c>
      <c r="R1455" s="302">
        <v>5.4139999999999997</v>
      </c>
      <c r="S1455" s="302">
        <v>-3.6789999999999998</v>
      </c>
      <c r="T1455" s="119">
        <v>8.9290000000000003</v>
      </c>
      <c r="U1455" s="403">
        <v>8.9290000000000003</v>
      </c>
      <c r="V1455" s="302">
        <v>-33.097999999999999</v>
      </c>
      <c r="W1455" s="302">
        <v>-16.402999999999999</v>
      </c>
      <c r="X1455" s="302">
        <v>-30.378</v>
      </c>
      <c r="Y1455" s="119">
        <v>-36.889000000000003</v>
      </c>
      <c r="Z1455" s="403">
        <v>-36.889000000000003</v>
      </c>
      <c r="AA1455" s="302">
        <v>8.6539999999999999</v>
      </c>
      <c r="AB1455" s="302">
        <v>37.329000000000001</v>
      </c>
      <c r="AC1455" s="302">
        <v>38.418999999999997</v>
      </c>
      <c r="AD1455" s="119">
        <v>45.536999999999999</v>
      </c>
      <c r="AE1455" s="403">
        <v>45.536999999999999</v>
      </c>
      <c r="AF1455" s="302">
        <v>-31.495999999999999</v>
      </c>
      <c r="AG1455" s="302">
        <v>-40.646000000000001</v>
      </c>
      <c r="AH1455" s="302">
        <v>-51.613999999999997</v>
      </c>
      <c r="AI1455" s="119">
        <v>-88.433999999999997</v>
      </c>
      <c r="AJ1455" s="403">
        <v>-88.433999999999997</v>
      </c>
      <c r="AK1455" s="302">
        <v>-17.846</v>
      </c>
      <c r="AL1455" s="302">
        <v>-2.8820000000000001</v>
      </c>
      <c r="AM1455" s="302">
        <v>42.177999999999997</v>
      </c>
      <c r="AN1455" s="119">
        <v>28.404</v>
      </c>
      <c r="AO1455" s="403">
        <v>28.404</v>
      </c>
      <c r="AP1455" s="302">
        <v>-8.3239999999999998</v>
      </c>
      <c r="AQ1455" s="302">
        <v>-10.307</v>
      </c>
      <c r="AR1455" s="302">
        <v>-47.287999999999997</v>
      </c>
      <c r="AS1455" s="119">
        <v>-67.349000000000004</v>
      </c>
      <c r="AT1455" s="403">
        <v>-67.349000000000004</v>
      </c>
      <c r="AU1455" s="302">
        <v>-12.574999999999999</v>
      </c>
      <c r="AV1455" s="302">
        <v>-57.918999999999997</v>
      </c>
      <c r="AW1455" s="302">
        <v>-39.167999999999999</v>
      </c>
      <c r="AX1455" s="119">
        <v>-49.555</v>
      </c>
      <c r="AY1455" s="403">
        <v>-49.555</v>
      </c>
      <c r="AZ1455" s="302">
        <v>-160.11600000000001</v>
      </c>
      <c r="BA1455" s="302">
        <v>-153.471</v>
      </c>
      <c r="BB1455" s="302">
        <v>-152.892</v>
      </c>
      <c r="BC1455" s="119">
        <v>-102.521</v>
      </c>
      <c r="BD1455" s="403">
        <v>-102.521</v>
      </c>
      <c r="BE1455" s="302">
        <v>-4.3109999999999999</v>
      </c>
      <c r="BF1455" s="302">
        <v>-24.68</v>
      </c>
      <c r="BG1455" s="302">
        <v>-12.788</v>
      </c>
      <c r="BH1455" s="119">
        <v>-65.658000000000001</v>
      </c>
      <c r="BI1455" s="514">
        <v>-65.658000000000001</v>
      </c>
      <c r="BJ1455" s="118"/>
      <c r="BK1455" s="118"/>
      <c r="BL1455" s="118"/>
      <c r="BM1455" s="118">
        <v>0</v>
      </c>
      <c r="BN1455" s="401"/>
      <c r="BO1455" s="118"/>
      <c r="BP1455" s="118"/>
      <c r="BQ1455" s="118"/>
      <c r="BR1455" s="118">
        <v>0</v>
      </c>
      <c r="BS1455" s="401"/>
      <c r="BT1455" s="401"/>
      <c r="BU1455" s="401"/>
      <c r="BV1455" s="401"/>
      <c r="BW1455" s="122"/>
    </row>
    <row r="1456" spans="1:75" s="123" customFormat="1" hidden="1" outlineLevel="1" x14ac:dyDescent="0.5">
      <c r="A1456" s="184" t="s">
        <v>1368</v>
      </c>
      <c r="B1456" s="513"/>
      <c r="C1456" s="401"/>
      <c r="D1456" s="401"/>
      <c r="E1456" s="401"/>
      <c r="F1456" s="401"/>
      <c r="G1456" s="119"/>
      <c r="H1456" s="119"/>
      <c r="I1456" s="119"/>
      <c r="J1456" s="119">
        <v>0</v>
      </c>
      <c r="K1456" s="401"/>
      <c r="L1456" s="119"/>
      <c r="M1456" s="119"/>
      <c r="N1456" s="119"/>
      <c r="O1456" s="119">
        <v>0</v>
      </c>
      <c r="P1456" s="401"/>
      <c r="Q1456" s="119"/>
      <c r="R1456" s="119"/>
      <c r="S1456" s="119"/>
      <c r="T1456" s="119">
        <v>0</v>
      </c>
      <c r="U1456" s="401"/>
      <c r="V1456" s="119"/>
      <c r="W1456" s="119"/>
      <c r="X1456" s="119"/>
      <c r="Y1456" s="119">
        <v>0</v>
      </c>
      <c r="Z1456" s="401"/>
      <c r="AA1456" s="119"/>
      <c r="AB1456" s="119"/>
      <c r="AC1456" s="119"/>
      <c r="AD1456" s="119">
        <v>0</v>
      </c>
      <c r="AE1456" s="401"/>
      <c r="AF1456" s="302">
        <v>-18.648</v>
      </c>
      <c r="AG1456" s="302">
        <v>-27.645</v>
      </c>
      <c r="AH1456" s="302">
        <v>-39.604999999999997</v>
      </c>
      <c r="AI1456" s="119">
        <v>-59.000999999999998</v>
      </c>
      <c r="AJ1456" s="403">
        <v>-59.000999999999998</v>
      </c>
      <c r="AK1456" s="302">
        <v>-4.5419999999999998</v>
      </c>
      <c r="AL1456" s="302">
        <v>-27.555</v>
      </c>
      <c r="AM1456" s="302">
        <v>-49.387</v>
      </c>
      <c r="AN1456" s="119">
        <v>-64.3</v>
      </c>
      <c r="AO1456" s="403">
        <v>-64.3</v>
      </c>
      <c r="AP1456" s="302">
        <v>-7.6</v>
      </c>
      <c r="AQ1456" s="302">
        <v>-22.934000000000001</v>
      </c>
      <c r="AR1456" s="302">
        <v>-44.920999999999999</v>
      </c>
      <c r="AS1456" s="119">
        <v>-69.507999999999996</v>
      </c>
      <c r="AT1456" s="403">
        <v>-69.507999999999996</v>
      </c>
      <c r="AU1456" s="302">
        <v>-13.577999999999999</v>
      </c>
      <c r="AV1456" s="302">
        <v>-43.351999999999997</v>
      </c>
      <c r="AW1456" s="302">
        <v>-50.350999999999999</v>
      </c>
      <c r="AX1456" s="119">
        <v>-68.453999999999994</v>
      </c>
      <c r="AY1456" s="403">
        <v>-68.453999999999994</v>
      </c>
      <c r="AZ1456" s="302">
        <v>-12.148</v>
      </c>
      <c r="BA1456" s="302">
        <v>-32.46</v>
      </c>
      <c r="BB1456" s="302">
        <v>-43.38</v>
      </c>
      <c r="BC1456" s="119">
        <v>-51.369</v>
      </c>
      <c r="BD1456" s="403">
        <v>-51.369</v>
      </c>
      <c r="BE1456" s="302">
        <v>-9.5830000000000002</v>
      </c>
      <c r="BF1456" s="302">
        <v>-13.959</v>
      </c>
      <c r="BG1456" s="302">
        <v>-18.617000000000001</v>
      </c>
      <c r="BH1456" s="119">
        <v>-25.367999999999999</v>
      </c>
      <c r="BI1456" s="514">
        <v>-25.367999999999999</v>
      </c>
      <c r="BJ1456" s="118"/>
      <c r="BK1456" s="118"/>
      <c r="BL1456" s="118"/>
      <c r="BM1456" s="118">
        <v>0</v>
      </c>
      <c r="BN1456" s="401"/>
      <c r="BO1456" s="118"/>
      <c r="BP1456" s="118"/>
      <c r="BQ1456" s="118"/>
      <c r="BR1456" s="118">
        <v>0</v>
      </c>
      <c r="BS1456" s="401"/>
      <c r="BT1456" s="401"/>
      <c r="BU1456" s="401"/>
      <c r="BV1456" s="401"/>
      <c r="BW1456" s="122"/>
    </row>
    <row r="1457" spans="1:75" s="123" customFormat="1" hidden="1" outlineLevel="1" x14ac:dyDescent="0.5">
      <c r="A1457" s="184" t="s">
        <v>1369</v>
      </c>
      <c r="B1457" s="513"/>
      <c r="C1457" s="401"/>
      <c r="D1457" s="403">
        <v>-0.79700000000000004</v>
      </c>
      <c r="E1457" s="403">
        <v>-0.57299999999999995</v>
      </c>
      <c r="F1457" s="403">
        <v>-0.371</v>
      </c>
      <c r="G1457" s="119"/>
      <c r="H1457" s="119"/>
      <c r="I1457" s="119"/>
      <c r="J1457" s="119">
        <v>-3.129</v>
      </c>
      <c r="K1457" s="403">
        <v>-3.129</v>
      </c>
      <c r="L1457" s="119"/>
      <c r="M1457" s="119"/>
      <c r="N1457" s="119"/>
      <c r="O1457" s="119">
        <v>-6.03</v>
      </c>
      <c r="P1457" s="403">
        <v>-6.03</v>
      </c>
      <c r="Q1457" s="119"/>
      <c r="R1457" s="119"/>
      <c r="S1457" s="119"/>
      <c r="T1457" s="119">
        <v>1.8879999999999999</v>
      </c>
      <c r="U1457" s="403">
        <v>1.8879999999999999</v>
      </c>
      <c r="V1457" s="119"/>
      <c r="W1457" s="119"/>
      <c r="X1457" s="119"/>
      <c r="Y1457" s="119">
        <v>0</v>
      </c>
      <c r="Z1457" s="401"/>
      <c r="AA1457" s="119"/>
      <c r="AB1457" s="302">
        <v>0</v>
      </c>
      <c r="AC1457" s="119"/>
      <c r="AD1457" s="119">
        <v>0</v>
      </c>
      <c r="AE1457" s="401"/>
      <c r="AF1457" s="119"/>
      <c r="AG1457" s="119"/>
      <c r="AH1457" s="119"/>
      <c r="AI1457" s="119">
        <v>0</v>
      </c>
      <c r="AJ1457" s="401"/>
      <c r="AK1457" s="119"/>
      <c r="AL1457" s="119"/>
      <c r="AM1457" s="119"/>
      <c r="AN1457" s="119">
        <v>0</v>
      </c>
      <c r="AO1457" s="401"/>
      <c r="AP1457" s="119"/>
      <c r="AQ1457" s="119"/>
      <c r="AR1457" s="119"/>
      <c r="AS1457" s="119">
        <v>0</v>
      </c>
      <c r="AT1457" s="401"/>
      <c r="AU1457" s="119"/>
      <c r="AV1457" s="119"/>
      <c r="AW1457" s="119"/>
      <c r="AX1457" s="119">
        <v>0</v>
      </c>
      <c r="AY1457" s="401"/>
      <c r="AZ1457" s="119"/>
      <c r="BA1457" s="119"/>
      <c r="BB1457" s="119"/>
      <c r="BC1457" s="119">
        <v>0</v>
      </c>
      <c r="BD1457" s="401"/>
      <c r="BE1457" s="119"/>
      <c r="BF1457" s="119"/>
      <c r="BG1457" s="119"/>
      <c r="BH1457" s="119">
        <v>0</v>
      </c>
      <c r="BI1457" s="402"/>
      <c r="BJ1457" s="118"/>
      <c r="BK1457" s="118"/>
      <c r="BL1457" s="118"/>
      <c r="BM1457" s="118">
        <v>0</v>
      </c>
      <c r="BN1457" s="401"/>
      <c r="BO1457" s="118"/>
      <c r="BP1457" s="118"/>
      <c r="BQ1457" s="118"/>
      <c r="BR1457" s="118">
        <v>0</v>
      </c>
      <c r="BS1457" s="401"/>
      <c r="BT1457" s="401"/>
      <c r="BU1457" s="401"/>
      <c r="BV1457" s="401"/>
      <c r="BW1457" s="122"/>
    </row>
    <row r="1458" spans="1:75" s="123" customFormat="1" hidden="1" outlineLevel="1" x14ac:dyDescent="0.5">
      <c r="A1458" s="184" t="s">
        <v>1370</v>
      </c>
      <c r="B1458" s="513"/>
      <c r="C1458" s="401"/>
      <c r="D1458" s="403">
        <v>5.4749999999999996</v>
      </c>
      <c r="E1458" s="403">
        <v>14.374000000000001</v>
      </c>
      <c r="F1458" s="403">
        <v>36.154000000000003</v>
      </c>
      <c r="G1458" s="302">
        <v>25.978000000000002</v>
      </c>
      <c r="H1458" s="302">
        <v>45.813000000000002</v>
      </c>
      <c r="I1458" s="302">
        <v>48.258000000000003</v>
      </c>
      <c r="J1458" s="119">
        <v>57.317999999999998</v>
      </c>
      <c r="K1458" s="403">
        <v>57.317999999999998</v>
      </c>
      <c r="L1458" s="302">
        <v>4.3460000000000001</v>
      </c>
      <c r="M1458" s="302">
        <v>35.581000000000003</v>
      </c>
      <c r="N1458" s="302">
        <v>44.817999999999998</v>
      </c>
      <c r="O1458" s="119">
        <v>25.47</v>
      </c>
      <c r="P1458" s="403">
        <v>25.47</v>
      </c>
      <c r="Q1458" s="302">
        <v>7.673</v>
      </c>
      <c r="R1458" s="302">
        <v>47.701000000000001</v>
      </c>
      <c r="S1458" s="302">
        <v>48.015000000000001</v>
      </c>
      <c r="T1458" s="119">
        <v>44.378</v>
      </c>
      <c r="U1458" s="403">
        <v>44.378</v>
      </c>
      <c r="V1458" s="302">
        <v>-30.545999999999999</v>
      </c>
      <c r="W1458" s="302">
        <v>-81.399000000000001</v>
      </c>
      <c r="X1458" s="302">
        <v>-73.573999999999998</v>
      </c>
      <c r="Y1458" s="119">
        <v>-50.307000000000002</v>
      </c>
      <c r="Z1458" s="403">
        <v>-50.307000000000002</v>
      </c>
      <c r="AA1458" s="302">
        <v>1.2190000000000001</v>
      </c>
      <c r="AB1458" s="302">
        <v>29.873999999999999</v>
      </c>
      <c r="AC1458" s="302">
        <v>10.491</v>
      </c>
      <c r="AD1458" s="119">
        <v>64.459999999999994</v>
      </c>
      <c r="AE1458" s="403">
        <v>64.459999999999994</v>
      </c>
      <c r="AF1458" s="302">
        <v>-46.664000000000001</v>
      </c>
      <c r="AG1458" s="302">
        <v>-31.707000000000001</v>
      </c>
      <c r="AH1458" s="302">
        <v>-11.529</v>
      </c>
      <c r="AI1458" s="119">
        <v>10.148</v>
      </c>
      <c r="AJ1458" s="403">
        <v>10.148</v>
      </c>
      <c r="AK1458" s="302">
        <v>-38.594999999999999</v>
      </c>
      <c r="AL1458" s="302">
        <v>-40.073</v>
      </c>
      <c r="AM1458" s="302">
        <v>-41.473999999999997</v>
      </c>
      <c r="AN1458" s="119">
        <v>7.4450000000000003</v>
      </c>
      <c r="AO1458" s="403">
        <v>7.4450000000000003</v>
      </c>
      <c r="AP1458" s="302">
        <v>-52.988999999999997</v>
      </c>
      <c r="AQ1458" s="302">
        <v>-13.127000000000001</v>
      </c>
      <c r="AR1458" s="302">
        <v>10.843999999999999</v>
      </c>
      <c r="AS1458" s="119">
        <v>63.582999999999998</v>
      </c>
      <c r="AT1458" s="403">
        <v>63.582999999999998</v>
      </c>
      <c r="AU1458" s="302">
        <v>-32.25</v>
      </c>
      <c r="AV1458" s="302">
        <v>6.93</v>
      </c>
      <c r="AW1458" s="302">
        <v>-17.98</v>
      </c>
      <c r="AX1458" s="119">
        <v>43.435000000000002</v>
      </c>
      <c r="AY1458" s="403">
        <v>43.435000000000002</v>
      </c>
      <c r="AZ1458" s="302">
        <v>-14.778</v>
      </c>
      <c r="BA1458" s="302">
        <v>-63.82</v>
      </c>
      <c r="BB1458" s="302">
        <v>-44.999000000000002</v>
      </c>
      <c r="BC1458" s="119">
        <v>-56.264000000000003</v>
      </c>
      <c r="BD1458" s="403">
        <v>-56.264000000000003</v>
      </c>
      <c r="BE1458" s="302">
        <v>-54.353999999999999</v>
      </c>
      <c r="BF1458" s="302">
        <v>-32.204999999999998</v>
      </c>
      <c r="BG1458" s="714">
        <v>-2.859</v>
      </c>
      <c r="BH1458" s="119">
        <v>-41.07</v>
      </c>
      <c r="BI1458" s="514">
        <v>-41.07</v>
      </c>
      <c r="BJ1458" s="118"/>
      <c r="BK1458" s="118"/>
      <c r="BL1458" s="118"/>
      <c r="BM1458" s="118">
        <v>0</v>
      </c>
      <c r="BN1458" s="401"/>
      <c r="BO1458" s="118"/>
      <c r="BP1458" s="118"/>
      <c r="BQ1458" s="118"/>
      <c r="BR1458" s="118">
        <v>0</v>
      </c>
      <c r="BS1458" s="401"/>
      <c r="BT1458" s="401"/>
      <c r="BU1458" s="401"/>
      <c r="BV1458" s="401"/>
      <c r="BW1458" s="122"/>
    </row>
    <row r="1459" spans="1:75" s="123" customFormat="1" hidden="1" outlineLevel="1" x14ac:dyDescent="0.5">
      <c r="A1459" s="184" t="s">
        <v>1371</v>
      </c>
      <c r="B1459" s="513"/>
      <c r="C1459" s="401"/>
      <c r="D1459" s="403">
        <v>2.5030000000000001</v>
      </c>
      <c r="E1459" s="403">
        <v>11.417999999999999</v>
      </c>
      <c r="F1459" s="403">
        <v>16.224</v>
      </c>
      <c r="G1459" s="302">
        <v>1.2569999999999999</v>
      </c>
      <c r="H1459" s="302">
        <v>15.624000000000001</v>
      </c>
      <c r="I1459" s="302">
        <v>9.6069999999999993</v>
      </c>
      <c r="J1459" s="119">
        <v>8.75</v>
      </c>
      <c r="K1459" s="403">
        <v>8.75</v>
      </c>
      <c r="L1459" s="302">
        <v>0.33800000000000002</v>
      </c>
      <c r="M1459" s="302">
        <v>17.596</v>
      </c>
      <c r="N1459" s="302">
        <v>16.332000000000001</v>
      </c>
      <c r="O1459" s="119">
        <v>19.954999999999998</v>
      </c>
      <c r="P1459" s="403">
        <v>19.954999999999998</v>
      </c>
      <c r="Q1459" s="302">
        <v>3.0459999999999998</v>
      </c>
      <c r="R1459" s="302">
        <v>12.773</v>
      </c>
      <c r="S1459" s="302">
        <v>15.295</v>
      </c>
      <c r="T1459" s="119">
        <v>33.213000000000001</v>
      </c>
      <c r="U1459" s="403">
        <v>33.213000000000001</v>
      </c>
      <c r="V1459" s="302">
        <v>10.972</v>
      </c>
      <c r="W1459" s="302">
        <v>15.311999999999999</v>
      </c>
      <c r="X1459" s="302">
        <v>22.652000000000001</v>
      </c>
      <c r="Y1459" s="119">
        <v>23.977</v>
      </c>
      <c r="Z1459" s="403">
        <v>23.977</v>
      </c>
      <c r="AA1459" s="302">
        <v>22.231999999999999</v>
      </c>
      <c r="AB1459" s="302">
        <v>30.349</v>
      </c>
      <c r="AC1459" s="302">
        <v>20.617000000000001</v>
      </c>
      <c r="AD1459" s="119">
        <v>3.3660000000000001</v>
      </c>
      <c r="AE1459" s="403">
        <v>3.3660000000000001</v>
      </c>
      <c r="AF1459" s="302">
        <v>28.158999999999999</v>
      </c>
      <c r="AG1459" s="302">
        <v>20.8</v>
      </c>
      <c r="AH1459" s="302">
        <v>20.893000000000001</v>
      </c>
      <c r="AI1459" s="119">
        <v>8.4130000000000003</v>
      </c>
      <c r="AJ1459" s="403">
        <v>8.4130000000000003</v>
      </c>
      <c r="AK1459" s="302">
        <v>21.640999999999998</v>
      </c>
      <c r="AL1459" s="302">
        <v>12.987</v>
      </c>
      <c r="AM1459" s="302">
        <v>14.406000000000001</v>
      </c>
      <c r="AN1459" s="119">
        <v>9.7989999999999995</v>
      </c>
      <c r="AO1459" s="403">
        <v>9.7989999999999995</v>
      </c>
      <c r="AP1459" s="302">
        <v>26.678999999999998</v>
      </c>
      <c r="AQ1459" s="302">
        <v>67.647000000000006</v>
      </c>
      <c r="AR1459" s="302">
        <v>111.43600000000001</v>
      </c>
      <c r="AS1459" s="119">
        <v>116.205</v>
      </c>
      <c r="AT1459" s="403">
        <v>116.205</v>
      </c>
      <c r="AU1459" s="302">
        <v>82.744</v>
      </c>
      <c r="AV1459" s="302">
        <v>116.492</v>
      </c>
      <c r="AW1459" s="302">
        <v>104.419</v>
      </c>
      <c r="AX1459" s="119">
        <v>107.306</v>
      </c>
      <c r="AY1459" s="403">
        <v>107.306</v>
      </c>
      <c r="AZ1459" s="302">
        <v>48.908999999999999</v>
      </c>
      <c r="BA1459" s="302">
        <v>2.911</v>
      </c>
      <c r="BB1459" s="302">
        <v>-26.603999999999999</v>
      </c>
      <c r="BC1459" s="119">
        <v>-62.085999999999999</v>
      </c>
      <c r="BD1459" s="403">
        <v>-62.085999999999999</v>
      </c>
      <c r="BE1459" s="302">
        <v>19.16</v>
      </c>
      <c r="BF1459" s="302">
        <v>5.2160000000000002</v>
      </c>
      <c r="BG1459" s="714">
        <v>-22.734999999999999</v>
      </c>
      <c r="BH1459" s="119">
        <v>-42.973999999999997</v>
      </c>
      <c r="BI1459" s="514">
        <v>-42.973999999999997</v>
      </c>
      <c r="BJ1459" s="118"/>
      <c r="BK1459" s="118"/>
      <c r="BL1459" s="118"/>
      <c r="BM1459" s="118">
        <v>0</v>
      </c>
      <c r="BN1459" s="401"/>
      <c r="BO1459" s="118"/>
      <c r="BP1459" s="118"/>
      <c r="BQ1459" s="118"/>
      <c r="BR1459" s="118">
        <v>0</v>
      </c>
      <c r="BS1459" s="401"/>
      <c r="BT1459" s="401"/>
      <c r="BU1459" s="401"/>
      <c r="BV1459" s="401"/>
      <c r="BW1459" s="122"/>
    </row>
    <row r="1460" spans="1:75" s="123" customFormat="1" hidden="1" outlineLevel="1" x14ac:dyDescent="0.5">
      <c r="A1460" s="184" t="s">
        <v>1372</v>
      </c>
      <c r="B1460" s="513"/>
      <c r="C1460" s="401"/>
      <c r="D1460" s="403">
        <v>3.395</v>
      </c>
      <c r="E1460" s="403">
        <v>3.915</v>
      </c>
      <c r="F1460" s="403">
        <v>2.6890000000000001</v>
      </c>
      <c r="G1460" s="302">
        <v>0.53400000000000003</v>
      </c>
      <c r="H1460" s="302">
        <v>1.456</v>
      </c>
      <c r="I1460" s="302">
        <v>18.323</v>
      </c>
      <c r="J1460" s="119">
        <v>28.882999999999999</v>
      </c>
      <c r="K1460" s="403">
        <v>28.882999999999999</v>
      </c>
      <c r="L1460" s="302">
        <v>-22.821999999999999</v>
      </c>
      <c r="M1460" s="302">
        <v>-12.542</v>
      </c>
      <c r="N1460" s="302">
        <v>-10.808</v>
      </c>
      <c r="O1460" s="119">
        <v>-3.1309999999999998</v>
      </c>
      <c r="P1460" s="403">
        <v>-3.1309999999999998</v>
      </c>
      <c r="Q1460" s="302">
        <v>1.444</v>
      </c>
      <c r="R1460" s="302">
        <v>15.962</v>
      </c>
      <c r="S1460" s="302">
        <v>10.317</v>
      </c>
      <c r="T1460" s="119">
        <v>39.58</v>
      </c>
      <c r="U1460" s="403">
        <v>39.58</v>
      </c>
      <c r="V1460" s="302">
        <v>-25.143000000000001</v>
      </c>
      <c r="W1460" s="302">
        <v>-23.31</v>
      </c>
      <c r="X1460" s="302">
        <v>-25.372</v>
      </c>
      <c r="Y1460" s="119">
        <v>-23.82</v>
      </c>
      <c r="Z1460" s="403">
        <v>-23.82</v>
      </c>
      <c r="AA1460" s="302">
        <v>-1.0860000000000001</v>
      </c>
      <c r="AB1460" s="302">
        <v>2.2690000000000001</v>
      </c>
      <c r="AC1460" s="302">
        <v>0.44800000000000001</v>
      </c>
      <c r="AD1460" s="119">
        <v>0.68</v>
      </c>
      <c r="AE1460" s="403">
        <v>0.68</v>
      </c>
      <c r="AF1460" s="302">
        <v>12.191000000000001</v>
      </c>
      <c r="AG1460" s="302">
        <v>8.1790000000000003</v>
      </c>
      <c r="AH1460" s="302">
        <v>9.2379999999999995</v>
      </c>
      <c r="AI1460" s="119">
        <v>51.213999999999999</v>
      </c>
      <c r="AJ1460" s="403">
        <v>51.213999999999999</v>
      </c>
      <c r="AK1460" s="302">
        <v>15.231</v>
      </c>
      <c r="AL1460" s="302">
        <v>3.1789999999999998</v>
      </c>
      <c r="AM1460" s="302">
        <v>-53.015999999999998</v>
      </c>
      <c r="AN1460" s="119">
        <v>-45.767000000000003</v>
      </c>
      <c r="AO1460" s="403">
        <v>-45.767000000000003</v>
      </c>
      <c r="AP1460" s="302">
        <v>4.6959999999999997</v>
      </c>
      <c r="AQ1460" s="302">
        <v>8.7769999999999992</v>
      </c>
      <c r="AR1460" s="302">
        <v>29.152999999999999</v>
      </c>
      <c r="AS1460" s="119">
        <v>43.856000000000002</v>
      </c>
      <c r="AT1460" s="403">
        <v>43.856000000000002</v>
      </c>
      <c r="AU1460" s="302">
        <v>41.981000000000002</v>
      </c>
      <c r="AV1460" s="302">
        <v>-51.661000000000001</v>
      </c>
      <c r="AW1460" s="302">
        <v>-28.106000000000002</v>
      </c>
      <c r="AX1460" s="119">
        <v>-9.7780000000000005</v>
      </c>
      <c r="AY1460" s="403">
        <v>-9.7780000000000005</v>
      </c>
      <c r="AZ1460" s="302">
        <v>-30.056999999999999</v>
      </c>
      <c r="BA1460" s="302">
        <v>-24.902000000000001</v>
      </c>
      <c r="BB1460" s="302">
        <v>-36.595999999999997</v>
      </c>
      <c r="BC1460" s="119">
        <v>-37.652999999999999</v>
      </c>
      <c r="BD1460" s="403">
        <v>-37.652999999999999</v>
      </c>
      <c r="BE1460" s="302">
        <v>-0.55600000000000005</v>
      </c>
      <c r="BF1460" s="302">
        <v>-2.3149999999999999</v>
      </c>
      <c r="BG1460" s="714">
        <v>-0.54100000000000004</v>
      </c>
      <c r="BH1460" s="119">
        <v>-5.9370000000000003</v>
      </c>
      <c r="BI1460" s="514">
        <v>-5.9370000000000003</v>
      </c>
      <c r="BJ1460" s="118"/>
      <c r="BK1460" s="118"/>
      <c r="BL1460" s="118"/>
      <c r="BM1460" s="118">
        <v>0</v>
      </c>
      <c r="BN1460" s="401"/>
      <c r="BO1460" s="118"/>
      <c r="BP1460" s="118"/>
      <c r="BQ1460" s="118"/>
      <c r="BR1460" s="118">
        <v>0</v>
      </c>
      <c r="BS1460" s="401"/>
      <c r="BT1460" s="401"/>
      <c r="BU1460" s="401"/>
      <c r="BV1460" s="401"/>
      <c r="BW1460" s="122"/>
    </row>
    <row r="1461" spans="1:75" s="123" customFormat="1" hidden="1" outlineLevel="1" x14ac:dyDescent="0.5">
      <c r="A1461" s="184" t="s">
        <v>1373</v>
      </c>
      <c r="B1461" s="513"/>
      <c r="C1461" s="401"/>
      <c r="D1461" s="401"/>
      <c r="E1461" s="401"/>
      <c r="F1461" s="401"/>
      <c r="G1461" s="119"/>
      <c r="H1461" s="119"/>
      <c r="I1461" s="119"/>
      <c r="J1461" s="119">
        <v>0</v>
      </c>
      <c r="K1461" s="401"/>
      <c r="L1461" s="119"/>
      <c r="M1461" s="119"/>
      <c r="N1461" s="119"/>
      <c r="O1461" s="119">
        <v>0</v>
      </c>
      <c r="P1461" s="401"/>
      <c r="Q1461" s="119"/>
      <c r="R1461" s="119"/>
      <c r="S1461" s="119"/>
      <c r="T1461" s="119">
        <v>0</v>
      </c>
      <c r="U1461" s="401"/>
      <c r="V1461" s="119"/>
      <c r="W1461" s="119"/>
      <c r="X1461" s="119"/>
      <c r="Y1461" s="119">
        <v>0</v>
      </c>
      <c r="Z1461" s="401"/>
      <c r="AA1461" s="119"/>
      <c r="AB1461" s="119"/>
      <c r="AC1461" s="119"/>
      <c r="AD1461" s="119">
        <v>0</v>
      </c>
      <c r="AE1461" s="401"/>
      <c r="AF1461" s="302">
        <v>-16.588999999999999</v>
      </c>
      <c r="AG1461" s="302">
        <v>-43.024999999999999</v>
      </c>
      <c r="AH1461" s="302">
        <v>-57.805999999999997</v>
      </c>
      <c r="AI1461" s="119">
        <v>-70.875</v>
      </c>
      <c r="AJ1461" s="403">
        <v>-70.875</v>
      </c>
      <c r="AK1461" s="302">
        <v>-27.131</v>
      </c>
      <c r="AL1461" s="302">
        <v>-44.512999999999998</v>
      </c>
      <c r="AM1461" s="302">
        <v>-61.887</v>
      </c>
      <c r="AN1461" s="119">
        <v>-77.004000000000005</v>
      </c>
      <c r="AO1461" s="403">
        <v>-77.004000000000005</v>
      </c>
      <c r="AP1461" s="302">
        <v>-7.0650000000000004</v>
      </c>
      <c r="AQ1461" s="302">
        <v>-18.388000000000002</v>
      </c>
      <c r="AR1461" s="302">
        <v>-36.81</v>
      </c>
      <c r="AS1461" s="119">
        <v>-58.92</v>
      </c>
      <c r="AT1461" s="403">
        <v>-58.92</v>
      </c>
      <c r="AU1461" s="302">
        <v>-19.379000000000001</v>
      </c>
      <c r="AV1461" s="302">
        <v>-38.933</v>
      </c>
      <c r="AW1461" s="302">
        <v>-59.194000000000003</v>
      </c>
      <c r="AX1461" s="119">
        <v>-77.251999999999995</v>
      </c>
      <c r="AY1461" s="403">
        <v>-77.251999999999995</v>
      </c>
      <c r="AZ1461" s="302">
        <v>-19.379000000000001</v>
      </c>
      <c r="BA1461" s="302">
        <v>-38.329000000000001</v>
      </c>
      <c r="BB1461" s="302">
        <v>-56.936</v>
      </c>
      <c r="BC1461" s="119">
        <v>-76.968000000000004</v>
      </c>
      <c r="BD1461" s="403">
        <v>-76.968000000000004</v>
      </c>
      <c r="BE1461" s="302">
        <v>-21.542999999999999</v>
      </c>
      <c r="BF1461" s="302">
        <v>-41.654000000000003</v>
      </c>
      <c r="BG1461" s="714">
        <v>-65.021000000000001</v>
      </c>
      <c r="BH1461" s="119">
        <v>-95.634</v>
      </c>
      <c r="BI1461" s="514">
        <v>-95.634</v>
      </c>
      <c r="BJ1461" s="118"/>
      <c r="BK1461" s="118"/>
      <c r="BL1461" s="118"/>
      <c r="BM1461" s="118">
        <v>0</v>
      </c>
      <c r="BN1461" s="401"/>
      <c r="BO1461" s="118"/>
      <c r="BP1461" s="118"/>
      <c r="BQ1461" s="118"/>
      <c r="BR1461" s="118">
        <v>0</v>
      </c>
      <c r="BS1461" s="401"/>
      <c r="BT1461" s="401"/>
      <c r="BU1461" s="401"/>
      <c r="BV1461" s="401"/>
      <c r="BW1461" s="122"/>
    </row>
    <row r="1462" spans="1:75" s="123" customFormat="1" hidden="1" outlineLevel="1" x14ac:dyDescent="0.5">
      <c r="A1462" s="184" t="s">
        <v>1374</v>
      </c>
      <c r="B1462" s="513"/>
      <c r="C1462" s="401"/>
      <c r="D1462" s="403">
        <v>8.6379999999999999</v>
      </c>
      <c r="E1462" s="403">
        <v>1.732</v>
      </c>
      <c r="F1462" s="403">
        <v>10.923</v>
      </c>
      <c r="G1462" s="302">
        <v>0.115</v>
      </c>
      <c r="H1462" s="302">
        <v>0.76400000000000001</v>
      </c>
      <c r="I1462" s="302">
        <v>3.476</v>
      </c>
      <c r="J1462" s="119">
        <v>7.1959999999999997</v>
      </c>
      <c r="K1462" s="403">
        <v>7.1959999999999997</v>
      </c>
      <c r="L1462" s="302">
        <v>0.59299999999999997</v>
      </c>
      <c r="M1462" s="302">
        <v>1.0640000000000001</v>
      </c>
      <c r="N1462" s="302">
        <v>2.2029999999999998</v>
      </c>
      <c r="O1462" s="119">
        <v>3.5739999999999998</v>
      </c>
      <c r="P1462" s="403">
        <v>3.5739999999999998</v>
      </c>
      <c r="Q1462" s="302">
        <v>1.266</v>
      </c>
      <c r="R1462" s="302">
        <v>1.548</v>
      </c>
      <c r="S1462" s="302">
        <v>2.2080000000000002</v>
      </c>
      <c r="T1462" s="119">
        <v>13.597</v>
      </c>
      <c r="U1462" s="403">
        <v>13.597</v>
      </c>
      <c r="V1462" s="302">
        <v>0.89400000000000002</v>
      </c>
      <c r="W1462" s="302">
        <v>2.2570000000000001</v>
      </c>
      <c r="X1462" s="302">
        <v>2.9529999999999998</v>
      </c>
      <c r="Y1462" s="119">
        <v>4.6619999999999999</v>
      </c>
      <c r="Z1462" s="403">
        <v>4.6619999999999999</v>
      </c>
      <c r="AA1462" s="302">
        <v>0.72599999999999998</v>
      </c>
      <c r="AB1462" s="302">
        <v>1.1659999999999999</v>
      </c>
      <c r="AC1462" s="302">
        <v>0.84599999999999997</v>
      </c>
      <c r="AD1462" s="119">
        <v>1.0589999999999999</v>
      </c>
      <c r="AE1462" s="403">
        <v>1.0589999999999999</v>
      </c>
      <c r="AF1462" s="119"/>
      <c r="AG1462" s="119"/>
      <c r="AH1462" s="119"/>
      <c r="AI1462" s="119">
        <v>0</v>
      </c>
      <c r="AJ1462" s="401"/>
      <c r="AK1462" s="119"/>
      <c r="AL1462" s="119"/>
      <c r="AM1462" s="119"/>
      <c r="AN1462" s="119">
        <v>0</v>
      </c>
      <c r="AO1462" s="401"/>
      <c r="AP1462" s="119"/>
      <c r="AQ1462" s="119"/>
      <c r="AR1462" s="119"/>
      <c r="AS1462" s="119">
        <v>0</v>
      </c>
      <c r="AT1462" s="401"/>
      <c r="AU1462" s="119"/>
      <c r="AV1462" s="119"/>
      <c r="AW1462" s="119"/>
      <c r="AX1462" s="119">
        <v>0</v>
      </c>
      <c r="AY1462" s="401"/>
      <c r="AZ1462" s="119"/>
      <c r="BA1462" s="119"/>
      <c r="BB1462" s="119"/>
      <c r="BC1462" s="119">
        <v>0</v>
      </c>
      <c r="BD1462" s="401"/>
      <c r="BE1462" s="119"/>
      <c r="BF1462" s="119"/>
      <c r="BG1462" s="119"/>
      <c r="BH1462" s="119">
        <v>0</v>
      </c>
      <c r="BI1462" s="402"/>
      <c r="BJ1462" s="118"/>
      <c r="BK1462" s="118"/>
      <c r="BL1462" s="118"/>
      <c r="BM1462" s="118">
        <v>0</v>
      </c>
      <c r="BN1462" s="401"/>
      <c r="BO1462" s="118"/>
      <c r="BP1462" s="118"/>
      <c r="BQ1462" s="118"/>
      <c r="BR1462" s="118">
        <v>0</v>
      </c>
      <c r="BS1462" s="401"/>
      <c r="BT1462" s="401"/>
      <c r="BU1462" s="401"/>
      <c r="BV1462" s="401"/>
      <c r="BW1462" s="122"/>
    </row>
    <row r="1463" spans="1:75" s="123" customFormat="1" hidden="1" outlineLevel="1" x14ac:dyDescent="0.5">
      <c r="A1463" s="184" t="s">
        <v>1375</v>
      </c>
      <c r="B1463" s="513"/>
      <c r="C1463" s="401"/>
      <c r="D1463" s="403">
        <v>0.27600000000000002</v>
      </c>
      <c r="E1463" s="403">
        <v>0.154</v>
      </c>
      <c r="F1463" s="403">
        <v>-1.427</v>
      </c>
      <c r="G1463" s="302">
        <v>4.1000000000000002E-2</v>
      </c>
      <c r="H1463" s="302">
        <v>0.111</v>
      </c>
      <c r="I1463" s="302">
        <v>-1.1970000000000001</v>
      </c>
      <c r="J1463" s="119">
        <v>-0.19</v>
      </c>
      <c r="K1463" s="403">
        <v>-0.19</v>
      </c>
      <c r="L1463" s="302">
        <v>4.5999999999999999E-2</v>
      </c>
      <c r="M1463" s="302">
        <v>6.8000000000000005E-2</v>
      </c>
      <c r="N1463" s="302">
        <v>-0.46500000000000002</v>
      </c>
      <c r="O1463" s="119">
        <v>-0.56299999999999994</v>
      </c>
      <c r="P1463" s="403">
        <v>-0.56299999999999994</v>
      </c>
      <c r="Q1463" s="302">
        <v>1.7000000000000001E-2</v>
      </c>
      <c r="R1463" s="302">
        <v>5.8999999999999997E-2</v>
      </c>
      <c r="S1463" s="302">
        <v>7.2999999999999995E-2</v>
      </c>
      <c r="T1463" s="119">
        <v>0.215</v>
      </c>
      <c r="U1463" s="403">
        <v>0.215</v>
      </c>
      <c r="V1463" s="302">
        <v>0.02</v>
      </c>
      <c r="W1463" s="302">
        <v>8.9510000000000005</v>
      </c>
      <c r="X1463" s="302">
        <v>8.4770000000000003</v>
      </c>
      <c r="Y1463" s="119">
        <v>8.7089999999999996</v>
      </c>
      <c r="Z1463" s="403">
        <v>8.7089999999999996</v>
      </c>
      <c r="AA1463" s="302">
        <v>-0.42599999999999999</v>
      </c>
      <c r="AB1463" s="302">
        <v>-0.97499999999999998</v>
      </c>
      <c r="AC1463" s="302">
        <v>-1.887</v>
      </c>
      <c r="AD1463" s="119">
        <v>-1.2969999999999999</v>
      </c>
      <c r="AE1463" s="403">
        <v>-1.2969999999999999</v>
      </c>
      <c r="AF1463" s="302">
        <v>-4.4039999999999999</v>
      </c>
      <c r="AG1463" s="302">
        <v>-8.0359999999999996</v>
      </c>
      <c r="AH1463" s="302">
        <v>-13.77</v>
      </c>
      <c r="AI1463" s="119">
        <v>-18.138999999999999</v>
      </c>
      <c r="AJ1463" s="403">
        <v>-18.138999999999999</v>
      </c>
      <c r="AK1463" s="302">
        <v>-6.4480000000000004</v>
      </c>
      <c r="AL1463" s="302">
        <v>-13.760999999999999</v>
      </c>
      <c r="AM1463" s="302">
        <v>-19.053999999999998</v>
      </c>
      <c r="AN1463" s="119">
        <v>-25.077000000000002</v>
      </c>
      <c r="AO1463" s="403">
        <v>-25.077000000000002</v>
      </c>
      <c r="AP1463" s="302">
        <v>-6.4589999999999996</v>
      </c>
      <c r="AQ1463" s="302">
        <v>-12.327</v>
      </c>
      <c r="AR1463" s="302">
        <v>-19.239000000000001</v>
      </c>
      <c r="AS1463" s="119">
        <v>-19.541</v>
      </c>
      <c r="AT1463" s="403">
        <v>-19.541</v>
      </c>
      <c r="AU1463" s="302">
        <v>-7.5149999999999997</v>
      </c>
      <c r="AV1463" s="302">
        <v>-14.368</v>
      </c>
      <c r="AW1463" s="302">
        <v>-25.314</v>
      </c>
      <c r="AX1463" s="119">
        <v>-35.94</v>
      </c>
      <c r="AY1463" s="403">
        <v>-35.94</v>
      </c>
      <c r="AZ1463" s="302">
        <v>-6.944</v>
      </c>
      <c r="BA1463" s="302">
        <v>-14.795999999999999</v>
      </c>
      <c r="BB1463" s="302">
        <v>-23.974</v>
      </c>
      <c r="BC1463" s="119">
        <v>-32.499000000000002</v>
      </c>
      <c r="BD1463" s="403">
        <v>-32.499000000000002</v>
      </c>
      <c r="BE1463" s="302">
        <v>-8.5380000000000003</v>
      </c>
      <c r="BF1463" s="302">
        <v>-17.405999999999999</v>
      </c>
      <c r="BG1463" s="302">
        <v>-24.795999999999999</v>
      </c>
      <c r="BH1463" s="119">
        <v>-31.405999999999999</v>
      </c>
      <c r="BI1463" s="514">
        <v>-31.405999999999999</v>
      </c>
      <c r="BJ1463" s="118"/>
      <c r="BK1463" s="118"/>
      <c r="BL1463" s="118"/>
      <c r="BM1463" s="118">
        <v>0</v>
      </c>
      <c r="BN1463" s="401"/>
      <c r="BO1463" s="118"/>
      <c r="BP1463" s="118"/>
      <c r="BQ1463" s="118"/>
      <c r="BR1463" s="118">
        <v>0</v>
      </c>
      <c r="BS1463" s="401"/>
      <c r="BT1463" s="401"/>
      <c r="BU1463" s="401"/>
      <c r="BV1463" s="401"/>
      <c r="BW1463" s="122"/>
    </row>
    <row r="1464" spans="1:75" s="198" customFormat="1" ht="14.25" hidden="1" outlineLevel="1" x14ac:dyDescent="0.45">
      <c r="A1464" s="516" t="s">
        <v>1376</v>
      </c>
      <c r="B1464" s="517"/>
      <c r="C1464" s="518"/>
      <c r="D1464" s="519">
        <v>-11.809999999999993</v>
      </c>
      <c r="E1464" s="519">
        <v>17.120999999999999</v>
      </c>
      <c r="F1464" s="519">
        <v>-3.864000000000003</v>
      </c>
      <c r="G1464" s="520">
        <v>-19.623000000000001</v>
      </c>
      <c r="H1464" s="520">
        <v>31.429000000000006</v>
      </c>
      <c r="I1464" s="520">
        <v>30.454999999999995</v>
      </c>
      <c r="J1464" s="520">
        <v>87.521000000000001</v>
      </c>
      <c r="K1464" s="519">
        <v>87.521000000000001</v>
      </c>
      <c r="L1464" s="520">
        <v>-57.218999999999987</v>
      </c>
      <c r="M1464" s="520">
        <v>-29.725000000000012</v>
      </c>
      <c r="N1464" s="520">
        <v>-22.75800000000001</v>
      </c>
      <c r="O1464" s="520">
        <v>82.491000000000014</v>
      </c>
      <c r="P1464" s="519">
        <v>82.491000000000014</v>
      </c>
      <c r="Q1464" s="520">
        <v>-14.379000000000003</v>
      </c>
      <c r="R1464" s="520">
        <v>13.620000000000012</v>
      </c>
      <c r="S1464" s="520">
        <v>-17.63000000000001</v>
      </c>
      <c r="T1464" s="520">
        <v>141.88600000000002</v>
      </c>
      <c r="U1464" s="519">
        <v>141.88600000000002</v>
      </c>
      <c r="V1464" s="327">
        <v>-106.292</v>
      </c>
      <c r="W1464" s="327">
        <v>-91.564999999999998</v>
      </c>
      <c r="X1464" s="520">
        <v>-29.123999999999985</v>
      </c>
      <c r="Y1464" s="520">
        <v>78.844999999999999</v>
      </c>
      <c r="Z1464" s="519">
        <v>78.844999999999999</v>
      </c>
      <c r="AA1464" s="327">
        <v>125.05499999999998</v>
      </c>
      <c r="AB1464" s="520">
        <v>316.39799999999997</v>
      </c>
      <c r="AC1464" s="520">
        <v>386.76199999999994</v>
      </c>
      <c r="AD1464" s="520">
        <v>555.10199999999986</v>
      </c>
      <c r="AE1464" s="519">
        <v>555.10199999999986</v>
      </c>
      <c r="AF1464" s="327">
        <v>-3.233999999999984</v>
      </c>
      <c r="AG1464" s="520">
        <v>49.02</v>
      </c>
      <c r="AH1464" s="520">
        <v>96.715999999999951</v>
      </c>
      <c r="AI1464" s="520">
        <v>249.60300000000012</v>
      </c>
      <c r="AJ1464" s="519">
        <v>249.60300000000012</v>
      </c>
      <c r="AK1464" s="327">
        <v>38.823999999999991</v>
      </c>
      <c r="AL1464" s="520">
        <v>97.132999999999981</v>
      </c>
      <c r="AM1464" s="520">
        <v>210.99699999999999</v>
      </c>
      <c r="AN1464" s="520">
        <v>339.18800000000005</v>
      </c>
      <c r="AO1464" s="519">
        <v>339.18800000000005</v>
      </c>
      <c r="AP1464" s="327">
        <v>-16.867999999999995</v>
      </c>
      <c r="AQ1464" s="520">
        <v>128.27499999999995</v>
      </c>
      <c r="AR1464" s="520">
        <v>347.26300000000003</v>
      </c>
      <c r="AS1464" s="520">
        <v>500.77000000000015</v>
      </c>
      <c r="AT1464" s="519">
        <v>500.77000000000015</v>
      </c>
      <c r="AU1464" s="327">
        <v>190.87500000000003</v>
      </c>
      <c r="AV1464" s="520">
        <v>316.71800000000007</v>
      </c>
      <c r="AW1464" s="520">
        <v>533.68200000000024</v>
      </c>
      <c r="AX1464" s="520">
        <v>662.11400000000026</v>
      </c>
      <c r="AY1464" s="519">
        <v>662.11400000000026</v>
      </c>
      <c r="AZ1464" s="327">
        <v>135.94900000000013</v>
      </c>
      <c r="BA1464" s="520">
        <v>192.51600000000008</v>
      </c>
      <c r="BB1464" s="520">
        <v>336.02100000000002</v>
      </c>
      <c r="BC1464" s="520">
        <v>403.68699999999984</v>
      </c>
      <c r="BD1464" s="519">
        <v>403.68699999999984</v>
      </c>
      <c r="BE1464" s="327">
        <v>86.737999999999985</v>
      </c>
      <c r="BF1464" s="520">
        <v>248.35500000000002</v>
      </c>
      <c r="BG1464" s="520">
        <v>316.17200000000003</v>
      </c>
      <c r="BH1464" s="520">
        <v>202.21400000000006</v>
      </c>
      <c r="BI1464" s="521">
        <v>202.21400000000006</v>
      </c>
      <c r="BJ1464" s="327">
        <v>0</v>
      </c>
      <c r="BK1464" s="327">
        <v>0</v>
      </c>
      <c r="BL1464" s="327">
        <v>0</v>
      </c>
      <c r="BM1464" s="327">
        <v>0</v>
      </c>
      <c r="BN1464" s="518">
        <v>0</v>
      </c>
      <c r="BO1464" s="327">
        <v>0</v>
      </c>
      <c r="BP1464" s="327">
        <v>0</v>
      </c>
      <c r="BQ1464" s="327">
        <v>0</v>
      </c>
      <c r="BR1464" s="327">
        <v>0</v>
      </c>
      <c r="BS1464" s="518">
        <v>0</v>
      </c>
      <c r="BT1464" s="518">
        <v>0</v>
      </c>
      <c r="BU1464" s="518">
        <v>0</v>
      </c>
      <c r="BV1464" s="518">
        <v>0</v>
      </c>
      <c r="BW1464" s="197"/>
    </row>
    <row r="1465" spans="1:75" s="198" customFormat="1" ht="14.25" hidden="1" outlineLevel="1" x14ac:dyDescent="0.45">
      <c r="A1465" s="206"/>
      <c r="B1465" s="522"/>
      <c r="C1465" s="397"/>
      <c r="D1465" s="397"/>
      <c r="E1465" s="397"/>
      <c r="F1465" s="397"/>
      <c r="G1465" s="295"/>
      <c r="H1465" s="295"/>
      <c r="I1465" s="295"/>
      <c r="J1465" s="295"/>
      <c r="K1465" s="397"/>
      <c r="L1465" s="295"/>
      <c r="M1465" s="295"/>
      <c r="N1465" s="295"/>
      <c r="O1465" s="295"/>
      <c r="P1465" s="397"/>
      <c r="Q1465" s="295"/>
      <c r="R1465" s="295"/>
      <c r="S1465" s="295"/>
      <c r="T1465" s="295"/>
      <c r="U1465" s="397"/>
      <c r="V1465" s="295"/>
      <c r="W1465" s="295"/>
      <c r="X1465" s="295"/>
      <c r="Y1465" s="295"/>
      <c r="Z1465" s="397"/>
      <c r="AA1465" s="295"/>
      <c r="AB1465" s="295"/>
      <c r="AC1465" s="295"/>
      <c r="AD1465" s="295"/>
      <c r="AE1465" s="397"/>
      <c r="AF1465" s="295"/>
      <c r="AG1465" s="295"/>
      <c r="AH1465" s="295"/>
      <c r="AI1465" s="295"/>
      <c r="AJ1465" s="397"/>
      <c r="AK1465" s="295"/>
      <c r="AL1465" s="295"/>
      <c r="AM1465" s="295"/>
      <c r="AN1465" s="295"/>
      <c r="AO1465" s="397"/>
      <c r="AP1465" s="295"/>
      <c r="AQ1465" s="295"/>
      <c r="AR1465" s="295"/>
      <c r="AS1465" s="295"/>
      <c r="AT1465" s="397"/>
      <c r="AU1465" s="295"/>
      <c r="AV1465" s="295"/>
      <c r="AW1465" s="295"/>
      <c r="AX1465" s="295"/>
      <c r="AY1465" s="397"/>
      <c r="AZ1465" s="295"/>
      <c r="BA1465" s="295"/>
      <c r="BB1465" s="295"/>
      <c r="BC1465" s="295"/>
      <c r="BD1465" s="397"/>
      <c r="BE1465" s="295"/>
      <c r="BF1465" s="295"/>
      <c r="BG1465" s="295"/>
      <c r="BH1465" s="295"/>
      <c r="BI1465" s="399"/>
      <c r="BJ1465" s="295"/>
      <c r="BK1465" s="295"/>
      <c r="BL1465" s="295"/>
      <c r="BM1465" s="295"/>
      <c r="BN1465" s="397"/>
      <c r="BO1465" s="295"/>
      <c r="BP1465" s="295"/>
      <c r="BQ1465" s="295"/>
      <c r="BR1465" s="295"/>
      <c r="BS1465" s="397"/>
      <c r="BT1465" s="397"/>
      <c r="BU1465" s="397"/>
      <c r="BV1465" s="397"/>
      <c r="BW1465" s="197"/>
    </row>
    <row r="1466" spans="1:75" s="198" customFormat="1" ht="14.25" hidden="1" outlineLevel="1" x14ac:dyDescent="0.45">
      <c r="A1466" s="463" t="s">
        <v>1377</v>
      </c>
      <c r="B1466" s="522"/>
      <c r="C1466" s="397"/>
      <c r="D1466" s="397"/>
      <c r="E1466" s="397"/>
      <c r="F1466" s="397"/>
      <c r="G1466" s="295"/>
      <c r="H1466" s="295"/>
      <c r="I1466" s="295"/>
      <c r="J1466" s="295"/>
      <c r="K1466" s="397"/>
      <c r="L1466" s="295"/>
      <c r="M1466" s="295"/>
      <c r="N1466" s="295"/>
      <c r="O1466" s="295"/>
      <c r="P1466" s="397"/>
      <c r="Q1466" s="295"/>
      <c r="R1466" s="295"/>
      <c r="S1466" s="295"/>
      <c r="T1466" s="295"/>
      <c r="U1466" s="397"/>
      <c r="V1466" s="295"/>
      <c r="W1466" s="295"/>
      <c r="X1466" s="295"/>
      <c r="Y1466" s="295"/>
      <c r="Z1466" s="397"/>
      <c r="AA1466" s="295"/>
      <c r="AB1466" s="295"/>
      <c r="AC1466" s="295"/>
      <c r="AD1466" s="295"/>
      <c r="AE1466" s="397"/>
      <c r="AF1466" s="295"/>
      <c r="AG1466" s="295"/>
      <c r="AH1466" s="295"/>
      <c r="AI1466" s="295"/>
      <c r="AJ1466" s="397"/>
      <c r="AK1466" s="295"/>
      <c r="AL1466" s="295"/>
      <c r="AM1466" s="295"/>
      <c r="AN1466" s="295"/>
      <c r="AO1466" s="397"/>
      <c r="AP1466" s="295"/>
      <c r="AQ1466" s="295"/>
      <c r="AR1466" s="295"/>
      <c r="AS1466" s="295"/>
      <c r="AT1466" s="397"/>
      <c r="AU1466" s="295"/>
      <c r="AV1466" s="295"/>
      <c r="AW1466" s="295"/>
      <c r="AX1466" s="295"/>
      <c r="AY1466" s="397"/>
      <c r="AZ1466" s="295"/>
      <c r="BA1466" s="295"/>
      <c r="BB1466" s="295"/>
      <c r="BC1466" s="295"/>
      <c r="BD1466" s="397"/>
      <c r="BE1466" s="295"/>
      <c r="BF1466" s="295"/>
      <c r="BG1466" s="295"/>
      <c r="BH1466" s="295"/>
      <c r="BI1466" s="399"/>
      <c r="BJ1466" s="295"/>
      <c r="BK1466" s="295"/>
      <c r="BL1466" s="295"/>
      <c r="BM1466" s="295"/>
      <c r="BN1466" s="397"/>
      <c r="BO1466" s="295"/>
      <c r="BP1466" s="295"/>
      <c r="BQ1466" s="295"/>
      <c r="BR1466" s="295"/>
      <c r="BS1466" s="397"/>
      <c r="BT1466" s="397"/>
      <c r="BU1466" s="397"/>
      <c r="BV1466" s="397"/>
      <c r="BW1466" s="197"/>
    </row>
    <row r="1467" spans="1:75" s="123" customFormat="1" hidden="1" outlineLevel="1" x14ac:dyDescent="0.5">
      <c r="A1467" s="464" t="s">
        <v>1378</v>
      </c>
      <c r="B1467" s="118"/>
      <c r="C1467" s="716"/>
      <c r="D1467" s="713">
        <v>-39.906999999999996</v>
      </c>
      <c r="E1467" s="713">
        <v>-25.593</v>
      </c>
      <c r="F1467" s="713">
        <v>-49.058</v>
      </c>
      <c r="G1467" s="714">
        <v>-9.7370000000000001</v>
      </c>
      <c r="H1467" s="714">
        <v>-30.616</v>
      </c>
      <c r="I1467" s="714">
        <v>-57.622</v>
      </c>
      <c r="J1467" s="943">
        <v>-93.867999999999995</v>
      </c>
      <c r="K1467" s="713">
        <v>-93.867999999999995</v>
      </c>
      <c r="L1467" s="714">
        <v>-16.515000000000001</v>
      </c>
      <c r="M1467" s="714">
        <v>-38.799999999999997</v>
      </c>
      <c r="N1467" s="714">
        <v>-69.69</v>
      </c>
      <c r="O1467" s="943">
        <v>-110.35899999999999</v>
      </c>
      <c r="P1467" s="305">
        <v>-110.35899999999999</v>
      </c>
      <c r="Q1467" s="714">
        <v>-29.227</v>
      </c>
      <c r="R1467" s="714">
        <v>-46.261000000000003</v>
      </c>
      <c r="S1467" s="714">
        <v>-76.801000000000002</v>
      </c>
      <c r="T1467" s="943">
        <v>-119.461</v>
      </c>
      <c r="U1467" s="305">
        <v>-119.461</v>
      </c>
      <c r="V1467" s="307">
        <v>-45.276000000000003</v>
      </c>
      <c r="W1467" s="307">
        <v>-70.998999999999995</v>
      </c>
      <c r="X1467" s="714">
        <v>-104.152</v>
      </c>
      <c r="Y1467" s="429">
        <v>-157.64400000000001</v>
      </c>
      <c r="Z1467" s="305">
        <v>-157.64400000000001</v>
      </c>
      <c r="AA1467" s="307">
        <v>-13.456</v>
      </c>
      <c r="AB1467" s="307">
        <v>-39.362000000000002</v>
      </c>
      <c r="AC1467" s="714">
        <v>-76.789000000000001</v>
      </c>
      <c r="AD1467" s="429">
        <v>-112.455</v>
      </c>
      <c r="AE1467" s="305">
        <v>-112.455</v>
      </c>
      <c r="AF1467" s="307">
        <v>-17.673999999999999</v>
      </c>
      <c r="AG1467" s="307">
        <v>-42.915999999999997</v>
      </c>
      <c r="AH1467" s="714">
        <v>-73.278000000000006</v>
      </c>
      <c r="AI1467" s="429">
        <v>-79.992000000000004</v>
      </c>
      <c r="AJ1467" s="305">
        <v>-79.992000000000004</v>
      </c>
      <c r="AK1467" s="307">
        <v>-7.9160000000000004</v>
      </c>
      <c r="AL1467" s="307">
        <v>-25.283000000000001</v>
      </c>
      <c r="AM1467" s="714">
        <v>-64.614000000000004</v>
      </c>
      <c r="AN1467" s="429">
        <v>-93.623000000000005</v>
      </c>
      <c r="AO1467" s="305">
        <v>-93.623000000000005</v>
      </c>
      <c r="AP1467" s="307">
        <v>-16.632000000000001</v>
      </c>
      <c r="AQ1467" s="307">
        <v>-47.530999999999999</v>
      </c>
      <c r="AR1467" s="714">
        <v>-71.754999999999995</v>
      </c>
      <c r="AS1467" s="429">
        <v>-111.126</v>
      </c>
      <c r="AT1467" s="305">
        <v>-111.126</v>
      </c>
      <c r="AU1467" s="307">
        <v>-50.250999999999998</v>
      </c>
      <c r="AV1467" s="307">
        <v>-82.138000000000005</v>
      </c>
      <c r="AW1467" s="714">
        <v>-153.774</v>
      </c>
      <c r="AX1467" s="429">
        <v>-185.38300000000001</v>
      </c>
      <c r="AY1467" s="305">
        <v>-185.38300000000001</v>
      </c>
      <c r="AZ1467" s="307">
        <v>-29.364000000000001</v>
      </c>
      <c r="BA1467" s="307">
        <v>-62.558</v>
      </c>
      <c r="BB1467" s="714">
        <v>-109.675</v>
      </c>
      <c r="BC1467" s="429">
        <v>-173.642</v>
      </c>
      <c r="BD1467" s="305">
        <v>-173.642</v>
      </c>
      <c r="BE1467" s="307">
        <v>-34.19</v>
      </c>
      <c r="BF1467" s="307">
        <v>-81.596000000000004</v>
      </c>
      <c r="BG1467" s="714">
        <v>-131.84</v>
      </c>
      <c r="BH1467" s="429">
        <v>-269.35599999999999</v>
      </c>
      <c r="BI1467" s="303">
        <v>-269.35599999999999</v>
      </c>
      <c r="BJ1467" s="300"/>
      <c r="BK1467" s="300"/>
      <c r="BL1467" s="300"/>
      <c r="BM1467" s="300">
        <v>0</v>
      </c>
      <c r="BN1467" s="401"/>
      <c r="BO1467" s="300"/>
      <c r="BP1467" s="300"/>
      <c r="BQ1467" s="300"/>
      <c r="BR1467" s="300">
        <v>0</v>
      </c>
      <c r="BS1467" s="401"/>
      <c r="BT1467" s="401"/>
      <c r="BU1467" s="401"/>
      <c r="BV1467" s="401"/>
      <c r="BW1467" s="122"/>
    </row>
    <row r="1468" spans="1:75" s="123" customFormat="1" hidden="1" outlineLevel="1" x14ac:dyDescent="0.5">
      <c r="A1468" s="464" t="s">
        <v>1379</v>
      </c>
      <c r="B1468" s="118"/>
      <c r="C1468" s="716"/>
      <c r="D1468" s="716"/>
      <c r="E1468" s="716"/>
      <c r="F1468" s="716"/>
      <c r="G1468" s="715"/>
      <c r="H1468" s="715"/>
      <c r="I1468" s="715"/>
      <c r="J1468" s="715">
        <v>0</v>
      </c>
      <c r="K1468" s="716"/>
      <c r="L1468" s="715"/>
      <c r="M1468" s="715"/>
      <c r="N1468" s="715"/>
      <c r="O1468" s="715">
        <v>0</v>
      </c>
      <c r="P1468" s="299"/>
      <c r="Q1468" s="715"/>
      <c r="R1468" s="715"/>
      <c r="S1468" s="715"/>
      <c r="T1468" s="715">
        <v>0</v>
      </c>
      <c r="U1468" s="299"/>
      <c r="V1468" s="300"/>
      <c r="W1468" s="300"/>
      <c r="X1468" s="715"/>
      <c r="Y1468" s="300">
        <v>0</v>
      </c>
      <c r="Z1468" s="299"/>
      <c r="AA1468" s="300"/>
      <c r="AB1468" s="300"/>
      <c r="AC1468" s="715"/>
      <c r="AD1468" s="300">
        <v>0</v>
      </c>
      <c r="AE1468" s="299"/>
      <c r="AF1468" s="300"/>
      <c r="AG1468" s="300"/>
      <c r="AH1468" s="715"/>
      <c r="AI1468" s="300">
        <v>0</v>
      </c>
      <c r="AJ1468" s="299"/>
      <c r="AK1468" s="300"/>
      <c r="AL1468" s="300"/>
      <c r="AM1468" s="714">
        <v>24.077999999999999</v>
      </c>
      <c r="AN1468" s="429">
        <v>24.077999999999999</v>
      </c>
      <c r="AO1468" s="305">
        <v>24.077999999999999</v>
      </c>
      <c r="AP1468" s="300"/>
      <c r="AQ1468" s="307">
        <v>25.006</v>
      </c>
      <c r="AR1468" s="714">
        <v>25.006</v>
      </c>
      <c r="AS1468" s="429">
        <v>25.006</v>
      </c>
      <c r="AT1468" s="305">
        <v>25.006</v>
      </c>
      <c r="AU1468" s="300"/>
      <c r="AV1468" s="300"/>
      <c r="AW1468" s="715"/>
      <c r="AX1468" s="429">
        <v>0</v>
      </c>
      <c r="AY1468" s="299"/>
      <c r="AZ1468" s="300"/>
      <c r="BA1468" s="300"/>
      <c r="BB1468" s="714">
        <v>5.2869999999999999</v>
      </c>
      <c r="BC1468" s="429">
        <v>5.2869999999999999</v>
      </c>
      <c r="BD1468" s="305">
        <v>5.2869999999999999</v>
      </c>
      <c r="BE1468" s="300"/>
      <c r="BF1468" s="300"/>
      <c r="BG1468" s="715"/>
      <c r="BH1468" s="429">
        <v>0</v>
      </c>
      <c r="BI1468" s="304"/>
      <c r="BJ1468" s="300"/>
      <c r="BK1468" s="300"/>
      <c r="BL1468" s="300"/>
      <c r="BM1468" s="300">
        <v>0</v>
      </c>
      <c r="BN1468" s="401"/>
      <c r="BO1468" s="300"/>
      <c r="BP1468" s="300"/>
      <c r="BQ1468" s="300"/>
      <c r="BR1468" s="300">
        <v>0</v>
      </c>
      <c r="BS1468" s="401"/>
      <c r="BT1468" s="401"/>
      <c r="BU1468" s="401"/>
      <c r="BV1468" s="401"/>
      <c r="BW1468" s="122"/>
    </row>
    <row r="1469" spans="1:75" s="123" customFormat="1" hidden="1" outlineLevel="1" x14ac:dyDescent="0.5">
      <c r="A1469" s="464" t="s">
        <v>1380</v>
      </c>
      <c r="B1469" s="118"/>
      <c r="C1469" s="716"/>
      <c r="D1469" s="716"/>
      <c r="E1469" s="716"/>
      <c r="F1469" s="716"/>
      <c r="G1469" s="715"/>
      <c r="H1469" s="715"/>
      <c r="I1469" s="715"/>
      <c r="J1469" s="943">
        <v>0</v>
      </c>
      <c r="K1469" s="716"/>
      <c r="L1469" s="715"/>
      <c r="M1469" s="715"/>
      <c r="N1469" s="715"/>
      <c r="O1469" s="943">
        <v>0</v>
      </c>
      <c r="P1469" s="299"/>
      <c r="Q1469" s="715"/>
      <c r="R1469" s="714">
        <v>-9.875</v>
      </c>
      <c r="S1469" s="714">
        <v>-13.999000000000001</v>
      </c>
      <c r="T1469" s="943">
        <v>-13.999000000000001</v>
      </c>
      <c r="U1469" s="305">
        <v>-13.999000000000001</v>
      </c>
      <c r="V1469" s="300"/>
      <c r="W1469" s="300"/>
      <c r="X1469" s="715"/>
      <c r="Y1469" s="429">
        <v>0</v>
      </c>
      <c r="Z1469" s="299"/>
      <c r="AA1469" s="300"/>
      <c r="AB1469" s="300"/>
      <c r="AC1469" s="715"/>
      <c r="AD1469" s="429">
        <v>0</v>
      </c>
      <c r="AE1469" s="299"/>
      <c r="AF1469" s="300"/>
      <c r="AG1469" s="300"/>
      <c r="AH1469" s="715"/>
      <c r="AI1469" s="429">
        <v>0</v>
      </c>
      <c r="AJ1469" s="299"/>
      <c r="AK1469" s="300"/>
      <c r="AL1469" s="300"/>
      <c r="AM1469" s="715"/>
      <c r="AN1469" s="429">
        <v>0</v>
      </c>
      <c r="AO1469" s="299"/>
      <c r="AP1469" s="300"/>
      <c r="AQ1469" s="300"/>
      <c r="AR1469" s="715"/>
      <c r="AS1469" s="429">
        <v>0</v>
      </c>
      <c r="AT1469" s="299"/>
      <c r="AU1469" s="300"/>
      <c r="AV1469" s="300"/>
      <c r="AW1469" s="715"/>
      <c r="AX1469" s="429">
        <v>0</v>
      </c>
      <c r="AY1469" s="299"/>
      <c r="AZ1469" s="300"/>
      <c r="BA1469" s="300"/>
      <c r="BB1469" s="715"/>
      <c r="BC1469" s="429">
        <v>0</v>
      </c>
      <c r="BD1469" s="299"/>
      <c r="BE1469" s="300"/>
      <c r="BF1469" s="300"/>
      <c r="BG1469" s="715"/>
      <c r="BH1469" s="429">
        <v>0</v>
      </c>
      <c r="BI1469" s="304"/>
      <c r="BJ1469" s="300"/>
      <c r="BK1469" s="300"/>
      <c r="BL1469" s="300"/>
      <c r="BM1469" s="300">
        <v>0</v>
      </c>
      <c r="BN1469" s="401"/>
      <c r="BO1469" s="300"/>
      <c r="BP1469" s="300"/>
      <c r="BQ1469" s="300"/>
      <c r="BR1469" s="300">
        <v>0</v>
      </c>
      <c r="BS1469" s="401"/>
      <c r="BT1469" s="401"/>
      <c r="BU1469" s="401"/>
      <c r="BV1469" s="401"/>
      <c r="BW1469" s="122"/>
    </row>
    <row r="1470" spans="1:75" s="123" customFormat="1" hidden="1" outlineLevel="1" x14ac:dyDescent="0.5">
      <c r="A1470" s="464" t="s">
        <v>1381</v>
      </c>
      <c r="B1470" s="118"/>
      <c r="C1470" s="716"/>
      <c r="D1470" s="716"/>
      <c r="E1470" s="716"/>
      <c r="F1470" s="716"/>
      <c r="G1470" s="715"/>
      <c r="H1470" s="715"/>
      <c r="I1470" s="715"/>
      <c r="J1470" s="715">
        <v>0</v>
      </c>
      <c r="K1470" s="716"/>
      <c r="L1470" s="715"/>
      <c r="M1470" s="715"/>
      <c r="N1470" s="715"/>
      <c r="O1470" s="715">
        <v>0</v>
      </c>
      <c r="P1470" s="299"/>
      <c r="Q1470" s="715"/>
      <c r="R1470" s="715"/>
      <c r="S1470" s="715"/>
      <c r="T1470" s="715">
        <v>0</v>
      </c>
      <c r="U1470" s="299"/>
      <c r="V1470" s="300"/>
      <c r="W1470" s="307">
        <v>-116.1</v>
      </c>
      <c r="X1470" s="714">
        <v>-116.1</v>
      </c>
      <c r="Y1470" s="429">
        <v>-116.1</v>
      </c>
      <c r="Z1470" s="305">
        <v>-116.1</v>
      </c>
      <c r="AA1470" s="300"/>
      <c r="AB1470" s="300"/>
      <c r="AC1470" s="715"/>
      <c r="AD1470" s="429">
        <v>0</v>
      </c>
      <c r="AE1470" s="299"/>
      <c r="AF1470" s="300"/>
      <c r="AG1470" s="300"/>
      <c r="AH1470" s="715"/>
      <c r="AI1470" s="429">
        <v>0</v>
      </c>
      <c r="AJ1470" s="299"/>
      <c r="AK1470" s="300"/>
      <c r="AL1470" s="300"/>
      <c r="AM1470" s="715"/>
      <c r="AN1470" s="429">
        <v>0</v>
      </c>
      <c r="AO1470" s="299"/>
      <c r="AP1470" s="300"/>
      <c r="AQ1470" s="300"/>
      <c r="AR1470" s="714">
        <v>-13.052</v>
      </c>
      <c r="AS1470" s="429">
        <v>-17.899999999999999</v>
      </c>
      <c r="AT1470" s="305">
        <v>-17.899999999999999</v>
      </c>
      <c r="AU1470" s="300"/>
      <c r="AV1470" s="300"/>
      <c r="AW1470" s="715"/>
      <c r="AX1470" s="429">
        <v>0</v>
      </c>
      <c r="AY1470" s="299"/>
      <c r="AZ1470" s="300"/>
      <c r="BA1470" s="300"/>
      <c r="BB1470" s="715"/>
      <c r="BC1470" s="429">
        <v>0</v>
      </c>
      <c r="BD1470" s="299"/>
      <c r="BE1470" s="300"/>
      <c r="BF1470" s="300"/>
      <c r="BG1470" s="715"/>
      <c r="BH1470" s="429">
        <v>0</v>
      </c>
      <c r="BI1470" s="304"/>
      <c r="BJ1470" s="300"/>
      <c r="BK1470" s="300"/>
      <c r="BL1470" s="300"/>
      <c r="BM1470" s="300">
        <v>0</v>
      </c>
      <c r="BN1470" s="401"/>
      <c r="BO1470" s="300"/>
      <c r="BP1470" s="300"/>
      <c r="BQ1470" s="300"/>
      <c r="BR1470" s="300">
        <v>0</v>
      </c>
      <c r="BS1470" s="401"/>
      <c r="BT1470" s="401"/>
      <c r="BU1470" s="401"/>
      <c r="BV1470" s="401"/>
      <c r="BW1470" s="122"/>
    </row>
    <row r="1471" spans="1:75" s="123" customFormat="1" hidden="1" outlineLevel="1" x14ac:dyDescent="0.5">
      <c r="A1471" s="464" t="s">
        <v>1285</v>
      </c>
      <c r="B1471" s="118"/>
      <c r="C1471" s="716"/>
      <c r="D1471" s="716"/>
      <c r="E1471" s="716"/>
      <c r="F1471" s="716"/>
      <c r="G1471" s="715"/>
      <c r="H1471" s="715"/>
      <c r="I1471" s="715"/>
      <c r="J1471" s="715">
        <v>0</v>
      </c>
      <c r="K1471" s="716"/>
      <c r="L1471" s="715"/>
      <c r="M1471" s="715"/>
      <c r="N1471" s="715"/>
      <c r="O1471" s="715">
        <v>0</v>
      </c>
      <c r="P1471" s="299"/>
      <c r="Q1471" s="715"/>
      <c r="R1471" s="715"/>
      <c r="S1471" s="715"/>
      <c r="T1471" s="715">
        <v>0</v>
      </c>
      <c r="U1471" s="299"/>
      <c r="V1471" s="300"/>
      <c r="W1471" s="300"/>
      <c r="X1471" s="715"/>
      <c r="Y1471" s="300">
        <v>0</v>
      </c>
      <c r="Z1471" s="299"/>
      <c r="AA1471" s="307">
        <v>4.9000000000000004</v>
      </c>
      <c r="AB1471" s="307">
        <v>15.122999999999999</v>
      </c>
      <c r="AC1471" s="714">
        <v>15.122999999999999</v>
      </c>
      <c r="AD1471" s="429">
        <v>15.122999999999999</v>
      </c>
      <c r="AE1471" s="305">
        <v>15.122999999999999</v>
      </c>
      <c r="AF1471" s="300"/>
      <c r="AG1471" s="300"/>
      <c r="AH1471" s="715"/>
      <c r="AI1471" s="429">
        <v>0</v>
      </c>
      <c r="AJ1471" s="299"/>
      <c r="AK1471" s="300"/>
      <c r="AL1471" s="300"/>
      <c r="AM1471" s="715"/>
      <c r="AN1471" s="429">
        <v>0</v>
      </c>
      <c r="AO1471" s="299"/>
      <c r="AP1471" s="300"/>
      <c r="AQ1471" s="300"/>
      <c r="AR1471" s="715"/>
      <c r="AS1471" s="429">
        <v>0</v>
      </c>
      <c r="AT1471" s="299"/>
      <c r="AU1471" s="300"/>
      <c r="AV1471" s="300"/>
      <c r="AW1471" s="715"/>
      <c r="AX1471" s="429">
        <v>0</v>
      </c>
      <c r="AY1471" s="299"/>
      <c r="AZ1471" s="300"/>
      <c r="BA1471" s="300"/>
      <c r="BB1471" s="715"/>
      <c r="BC1471" s="429">
        <v>0</v>
      </c>
      <c r="BD1471" s="299"/>
      <c r="BE1471" s="300"/>
      <c r="BF1471" s="300"/>
      <c r="BG1471" s="715"/>
      <c r="BH1471" s="429">
        <v>0</v>
      </c>
      <c r="BI1471" s="304"/>
      <c r="BJ1471" s="300"/>
      <c r="BK1471" s="300"/>
      <c r="BL1471" s="300"/>
      <c r="BM1471" s="300">
        <v>0</v>
      </c>
      <c r="BN1471" s="401"/>
      <c r="BO1471" s="300"/>
      <c r="BP1471" s="300"/>
      <c r="BQ1471" s="300"/>
      <c r="BR1471" s="300">
        <v>0</v>
      </c>
      <c r="BS1471" s="401"/>
      <c r="BT1471" s="401"/>
      <c r="BU1471" s="401"/>
      <c r="BV1471" s="401"/>
      <c r="BW1471" s="122"/>
    </row>
    <row r="1472" spans="1:75" s="123" customFormat="1" hidden="1" outlineLevel="1" x14ac:dyDescent="0.5">
      <c r="A1472" s="464" t="s">
        <v>1382</v>
      </c>
      <c r="B1472" s="118"/>
      <c r="C1472" s="716"/>
      <c r="D1472" s="716"/>
      <c r="E1472" s="716"/>
      <c r="F1472" s="716"/>
      <c r="G1472" s="715"/>
      <c r="H1472" s="715"/>
      <c r="I1472" s="715"/>
      <c r="J1472" s="943">
        <v>0</v>
      </c>
      <c r="K1472" s="716"/>
      <c r="L1472" s="715"/>
      <c r="M1472" s="715"/>
      <c r="N1472" s="715"/>
      <c r="O1472" s="943">
        <v>-9.25</v>
      </c>
      <c r="P1472" s="305">
        <v>-9.25</v>
      </c>
      <c r="Q1472" s="715"/>
      <c r="R1472" s="715"/>
      <c r="S1472" s="714">
        <v>-8.8550000000000004</v>
      </c>
      <c r="T1472" s="943">
        <v>-20.048999999999999</v>
      </c>
      <c r="U1472" s="305">
        <v>-20.048999999999999</v>
      </c>
      <c r="V1472" s="307">
        <v>-3.5510000000000002</v>
      </c>
      <c r="W1472" s="307">
        <v>-3.661</v>
      </c>
      <c r="X1472" s="714">
        <v>-3.8290000000000002</v>
      </c>
      <c r="Y1472" s="429">
        <v>-23.38</v>
      </c>
      <c r="Z1472" s="305">
        <v>-23.38</v>
      </c>
      <c r="AA1472" s="300"/>
      <c r="AB1472" s="307">
        <v>-5.2850000000000001</v>
      </c>
      <c r="AC1472" s="714">
        <v>-12.772</v>
      </c>
      <c r="AD1472" s="429">
        <v>-14.387</v>
      </c>
      <c r="AE1472" s="305">
        <v>-14.387</v>
      </c>
      <c r="AF1472" s="300"/>
      <c r="AG1472" s="300"/>
      <c r="AH1472" s="715"/>
      <c r="AI1472" s="429">
        <v>0</v>
      </c>
      <c r="AJ1472" s="299"/>
      <c r="AK1472" s="300"/>
      <c r="AL1472" s="300"/>
      <c r="AM1472" s="714">
        <v>-30</v>
      </c>
      <c r="AN1472" s="429">
        <v>-53</v>
      </c>
      <c r="AO1472" s="305">
        <v>-53</v>
      </c>
      <c r="AP1472" s="300"/>
      <c r="AQ1472" s="300"/>
      <c r="AR1472" s="715"/>
      <c r="AS1472" s="429">
        <v>-12.856999999999999</v>
      </c>
      <c r="AT1472" s="305">
        <v>-12.856999999999999</v>
      </c>
      <c r="AU1472" s="300"/>
      <c r="AV1472" s="300"/>
      <c r="AW1472" s="715"/>
      <c r="AX1472" s="429">
        <v>0</v>
      </c>
      <c r="AY1472" s="299"/>
      <c r="AZ1472" s="300"/>
      <c r="BA1472" s="300"/>
      <c r="BB1472" s="715"/>
      <c r="BC1472" s="429">
        <v>0</v>
      </c>
      <c r="BD1472" s="299"/>
      <c r="BE1472" s="300"/>
      <c r="BF1472" s="300"/>
      <c r="BG1472" s="715"/>
      <c r="BH1472" s="429">
        <v>0</v>
      </c>
      <c r="BI1472" s="304"/>
      <c r="BJ1472" s="300"/>
      <c r="BK1472" s="300"/>
      <c r="BL1472" s="300"/>
      <c r="BM1472" s="300">
        <v>0</v>
      </c>
      <c r="BN1472" s="401"/>
      <c r="BO1472" s="300"/>
      <c r="BP1472" s="300"/>
      <c r="BQ1472" s="300"/>
      <c r="BR1472" s="300">
        <v>0</v>
      </c>
      <c r="BS1472" s="401"/>
      <c r="BT1472" s="401"/>
      <c r="BU1472" s="401"/>
      <c r="BV1472" s="401"/>
      <c r="BW1472" s="122"/>
    </row>
    <row r="1473" spans="1:75" s="123" customFormat="1" hidden="1" outlineLevel="1" x14ac:dyDescent="0.5">
      <c r="A1473" s="464" t="s">
        <v>1383</v>
      </c>
      <c r="B1473" s="118"/>
      <c r="C1473" s="716"/>
      <c r="D1473" s="716"/>
      <c r="E1473" s="716"/>
      <c r="F1473" s="713">
        <v>-0.31</v>
      </c>
      <c r="G1473" s="715"/>
      <c r="H1473" s="715"/>
      <c r="I1473" s="715"/>
      <c r="J1473" s="943">
        <v>0</v>
      </c>
      <c r="K1473" s="716"/>
      <c r="L1473" s="715"/>
      <c r="M1473" s="714">
        <v>-0.252</v>
      </c>
      <c r="N1473" s="714">
        <v>-0.42299999999999999</v>
      </c>
      <c r="O1473" s="943">
        <v>-0.45300000000000001</v>
      </c>
      <c r="P1473" s="305">
        <v>-0.45300000000000001</v>
      </c>
      <c r="Q1473" s="715"/>
      <c r="R1473" s="714">
        <v>-0.16800000000000001</v>
      </c>
      <c r="S1473" s="714">
        <v>-0.218</v>
      </c>
      <c r="T1473" s="943">
        <v>-0.33900000000000002</v>
      </c>
      <c r="U1473" s="305">
        <v>-0.33900000000000002</v>
      </c>
      <c r="V1473" s="307">
        <v>-0.16400000000000001</v>
      </c>
      <c r="W1473" s="307">
        <v>-0.16400000000000001</v>
      </c>
      <c r="X1473" s="714">
        <v>-0.16400000000000001</v>
      </c>
      <c r="Y1473" s="429">
        <v>-0.32200000000000001</v>
      </c>
      <c r="Z1473" s="305">
        <v>-0.32200000000000001</v>
      </c>
      <c r="AA1473" s="300"/>
      <c r="AB1473" s="307">
        <v>-3.9E-2</v>
      </c>
      <c r="AC1473" s="714">
        <v>-3.9E-2</v>
      </c>
      <c r="AD1473" s="429">
        <v>-3.9E-2</v>
      </c>
      <c r="AE1473" s="305">
        <v>-3.9E-2</v>
      </c>
      <c r="AF1473" s="300"/>
      <c r="AG1473" s="300"/>
      <c r="AH1473" s="715"/>
      <c r="AI1473" s="429">
        <v>0</v>
      </c>
      <c r="AJ1473" s="299"/>
      <c r="AK1473" s="300"/>
      <c r="AL1473" s="300"/>
      <c r="AM1473" s="715"/>
      <c r="AN1473" s="429">
        <v>0</v>
      </c>
      <c r="AO1473" s="299"/>
      <c r="AP1473" s="300"/>
      <c r="AQ1473" s="300"/>
      <c r="AR1473" s="715"/>
      <c r="AS1473" s="429">
        <v>0</v>
      </c>
      <c r="AT1473" s="299"/>
      <c r="AU1473" s="300"/>
      <c r="AV1473" s="300"/>
      <c r="AW1473" s="715"/>
      <c r="AX1473" s="429">
        <v>0</v>
      </c>
      <c r="AY1473" s="299"/>
      <c r="AZ1473" s="300"/>
      <c r="BA1473" s="300"/>
      <c r="BB1473" s="715"/>
      <c r="BC1473" s="429">
        <v>0</v>
      </c>
      <c r="BD1473" s="299"/>
      <c r="BE1473" s="300"/>
      <c r="BF1473" s="300"/>
      <c r="BG1473" s="715"/>
      <c r="BH1473" s="429">
        <v>0</v>
      </c>
      <c r="BI1473" s="304"/>
      <c r="BJ1473" s="300"/>
      <c r="BK1473" s="300"/>
      <c r="BL1473" s="300"/>
      <c r="BM1473" s="300">
        <v>0</v>
      </c>
      <c r="BN1473" s="401"/>
      <c r="BO1473" s="300"/>
      <c r="BP1473" s="300"/>
      <c r="BQ1473" s="300"/>
      <c r="BR1473" s="300">
        <v>0</v>
      </c>
      <c r="BS1473" s="401"/>
      <c r="BT1473" s="401"/>
      <c r="BU1473" s="401"/>
      <c r="BV1473" s="401"/>
      <c r="BW1473" s="122"/>
    </row>
    <row r="1474" spans="1:75" s="123" customFormat="1" hidden="1" outlineLevel="1" x14ac:dyDescent="0.5">
      <c r="A1474" s="464" t="s">
        <v>1384</v>
      </c>
      <c r="B1474" s="118"/>
      <c r="C1474" s="716"/>
      <c r="D1474" s="716"/>
      <c r="E1474" s="716"/>
      <c r="F1474" s="716"/>
      <c r="G1474" s="715"/>
      <c r="H1474" s="715"/>
      <c r="I1474" s="715"/>
      <c r="J1474" s="715">
        <v>0</v>
      </c>
      <c r="K1474" s="716"/>
      <c r="L1474" s="715"/>
      <c r="M1474" s="715"/>
      <c r="N1474" s="715"/>
      <c r="O1474" s="715">
        <v>0</v>
      </c>
      <c r="P1474" s="299"/>
      <c r="Q1474" s="715"/>
      <c r="R1474" s="715"/>
      <c r="S1474" s="715"/>
      <c r="T1474" s="715">
        <v>0</v>
      </c>
      <c r="U1474" s="299"/>
      <c r="V1474" s="300"/>
      <c r="W1474" s="300"/>
      <c r="X1474" s="715"/>
      <c r="Y1474" s="300">
        <v>0</v>
      </c>
      <c r="Z1474" s="299"/>
      <c r="AA1474" s="300"/>
      <c r="AB1474" s="300"/>
      <c r="AC1474" s="715"/>
      <c r="AD1474" s="300">
        <v>0</v>
      </c>
      <c r="AE1474" s="299"/>
      <c r="AF1474" s="300"/>
      <c r="AG1474" s="300"/>
      <c r="AH1474" s="715"/>
      <c r="AI1474" s="300">
        <v>0</v>
      </c>
      <c r="AJ1474" s="299"/>
      <c r="AK1474" s="300"/>
      <c r="AL1474" s="300"/>
      <c r="AM1474" s="715"/>
      <c r="AN1474" s="300">
        <v>0</v>
      </c>
      <c r="AO1474" s="299"/>
      <c r="AP1474" s="300"/>
      <c r="AQ1474" s="307">
        <v>-3.05</v>
      </c>
      <c r="AR1474" s="714">
        <v>-7.5</v>
      </c>
      <c r="AS1474" s="429">
        <v>-80.722999999999999</v>
      </c>
      <c r="AT1474" s="305">
        <v>-80.722999999999999</v>
      </c>
      <c r="AU1474" s="307">
        <v>-1.1719999999999999</v>
      </c>
      <c r="AV1474" s="307">
        <v>-1.9390000000000001</v>
      </c>
      <c r="AW1474" s="714">
        <v>-4.8159999999999998</v>
      </c>
      <c r="AX1474" s="429">
        <v>-8.9700000000000006</v>
      </c>
      <c r="AY1474" s="305">
        <v>-8.9700000000000006</v>
      </c>
      <c r="AZ1474" s="307">
        <v>-1.115</v>
      </c>
      <c r="BA1474" s="307">
        <v>-1.52</v>
      </c>
      <c r="BB1474" s="714">
        <v>-2.3130000000000002</v>
      </c>
      <c r="BC1474" s="429">
        <v>-2.7130000000000001</v>
      </c>
      <c r="BD1474" s="305">
        <v>-2.7130000000000001</v>
      </c>
      <c r="BE1474" s="307">
        <v>-33.131</v>
      </c>
      <c r="BF1474" s="307">
        <v>-33.726999999999997</v>
      </c>
      <c r="BG1474" s="714">
        <v>-34.320999999999998</v>
      </c>
      <c r="BH1474" s="429">
        <v>-38.075000000000003</v>
      </c>
      <c r="BI1474" s="303">
        <v>-38.075000000000003</v>
      </c>
      <c r="BJ1474" s="300"/>
      <c r="BK1474" s="300"/>
      <c r="BL1474" s="300"/>
      <c r="BM1474" s="300">
        <v>0</v>
      </c>
      <c r="BN1474" s="401"/>
      <c r="BO1474" s="300"/>
      <c r="BP1474" s="300"/>
      <c r="BQ1474" s="300"/>
      <c r="BR1474" s="300">
        <v>0</v>
      </c>
      <c r="BS1474" s="401"/>
      <c r="BT1474" s="401"/>
      <c r="BU1474" s="401"/>
      <c r="BV1474" s="401"/>
      <c r="BW1474" s="122"/>
    </row>
    <row r="1475" spans="1:75" s="123" customFormat="1" hidden="1" outlineLevel="1" x14ac:dyDescent="0.5">
      <c r="A1475" s="464" t="s">
        <v>1385</v>
      </c>
      <c r="B1475" s="118"/>
      <c r="C1475" s="716"/>
      <c r="D1475" s="716"/>
      <c r="E1475" s="716"/>
      <c r="F1475" s="716"/>
      <c r="G1475" s="715"/>
      <c r="H1475" s="715"/>
      <c r="I1475" s="715"/>
      <c r="J1475" s="943">
        <v>0</v>
      </c>
      <c r="K1475" s="716"/>
      <c r="L1475" s="715"/>
      <c r="M1475" s="715"/>
      <c r="N1475" s="715"/>
      <c r="O1475" s="943">
        <v>-91.603999999999999</v>
      </c>
      <c r="P1475" s="305">
        <v>-91.603999999999999</v>
      </c>
      <c r="Q1475" s="714">
        <v>-19.471</v>
      </c>
      <c r="R1475" s="714">
        <v>-104.607</v>
      </c>
      <c r="S1475" s="714">
        <v>-156.05500000000001</v>
      </c>
      <c r="T1475" s="943">
        <v>-217.37899999999999</v>
      </c>
      <c r="U1475" s="305">
        <v>-217.37899999999999</v>
      </c>
      <c r="V1475" s="307">
        <v>-44.603999999999999</v>
      </c>
      <c r="W1475" s="307">
        <v>-136.79900000000001</v>
      </c>
      <c r="X1475" s="714">
        <v>-186.96700000000001</v>
      </c>
      <c r="Y1475" s="429">
        <v>-248.48500000000001</v>
      </c>
      <c r="Z1475" s="305">
        <v>-248.48500000000001</v>
      </c>
      <c r="AA1475" s="307">
        <v>-16.109000000000002</v>
      </c>
      <c r="AB1475" s="307">
        <v>-16.109000000000002</v>
      </c>
      <c r="AC1475" s="714">
        <v>-16.109000000000002</v>
      </c>
      <c r="AD1475" s="429">
        <v>-16.109000000000002</v>
      </c>
      <c r="AE1475" s="305">
        <v>-16.109000000000002</v>
      </c>
      <c r="AF1475" s="300"/>
      <c r="AG1475" s="300"/>
      <c r="AH1475" s="715"/>
      <c r="AI1475" s="429">
        <v>0</v>
      </c>
      <c r="AJ1475" s="299"/>
      <c r="AK1475" s="300"/>
      <c r="AL1475" s="300"/>
      <c r="AM1475" s="715"/>
      <c r="AN1475" s="429">
        <v>0</v>
      </c>
      <c r="AO1475" s="299"/>
      <c r="AP1475" s="300"/>
      <c r="AQ1475" s="300"/>
      <c r="AR1475" s="715"/>
      <c r="AS1475" s="429">
        <v>0</v>
      </c>
      <c r="AT1475" s="299"/>
      <c r="AU1475" s="300"/>
      <c r="AV1475" s="300"/>
      <c r="AW1475" s="715"/>
      <c r="AX1475" s="429">
        <v>0</v>
      </c>
      <c r="AY1475" s="299"/>
      <c r="AZ1475" s="300"/>
      <c r="BA1475" s="300"/>
      <c r="BB1475" s="715"/>
      <c r="BC1475" s="429">
        <v>0</v>
      </c>
      <c r="BD1475" s="299"/>
      <c r="BE1475" s="300"/>
      <c r="BF1475" s="300"/>
      <c r="BG1475" s="715"/>
      <c r="BH1475" s="429">
        <v>0</v>
      </c>
      <c r="BI1475" s="304"/>
      <c r="BJ1475" s="300"/>
      <c r="BK1475" s="300"/>
      <c r="BL1475" s="300"/>
      <c r="BM1475" s="300">
        <v>0</v>
      </c>
      <c r="BN1475" s="401"/>
      <c r="BO1475" s="300"/>
      <c r="BP1475" s="300"/>
      <c r="BQ1475" s="300"/>
      <c r="BR1475" s="300">
        <v>0</v>
      </c>
      <c r="BS1475" s="401"/>
      <c r="BT1475" s="401"/>
      <c r="BU1475" s="401"/>
      <c r="BV1475" s="401"/>
      <c r="BW1475" s="122"/>
    </row>
    <row r="1476" spans="1:75" s="123" customFormat="1" hidden="1" outlineLevel="1" x14ac:dyDescent="0.5">
      <c r="A1476" s="464" t="s">
        <v>1386</v>
      </c>
      <c r="B1476" s="118"/>
      <c r="C1476" s="716"/>
      <c r="D1476" s="716"/>
      <c r="E1476" s="716"/>
      <c r="F1476" s="716"/>
      <c r="G1476" s="715"/>
      <c r="H1476" s="715"/>
      <c r="I1476" s="715"/>
      <c r="J1476" s="943">
        <v>0</v>
      </c>
      <c r="K1476" s="716"/>
      <c r="L1476" s="715"/>
      <c r="M1476" s="715"/>
      <c r="N1476" s="715"/>
      <c r="O1476" s="943">
        <v>11.118</v>
      </c>
      <c r="P1476" s="305">
        <v>11.118</v>
      </c>
      <c r="Q1476" s="714">
        <v>15</v>
      </c>
      <c r="R1476" s="714">
        <v>35</v>
      </c>
      <c r="S1476" s="714">
        <v>73.087000000000003</v>
      </c>
      <c r="T1476" s="943">
        <v>143.83000000000001</v>
      </c>
      <c r="U1476" s="305">
        <v>143.83000000000001</v>
      </c>
      <c r="V1476" s="307">
        <v>54.368000000000002</v>
      </c>
      <c r="W1476" s="307">
        <v>77.313000000000002</v>
      </c>
      <c r="X1476" s="714">
        <v>115.938</v>
      </c>
      <c r="Y1476" s="429">
        <v>187.33799999999999</v>
      </c>
      <c r="Z1476" s="305">
        <v>187.33799999999999</v>
      </c>
      <c r="AA1476" s="307">
        <v>46.89</v>
      </c>
      <c r="AB1476" s="307">
        <v>46.89</v>
      </c>
      <c r="AC1476" s="714">
        <v>46.89</v>
      </c>
      <c r="AD1476" s="429">
        <v>46.89</v>
      </c>
      <c r="AE1476" s="305">
        <v>46.89</v>
      </c>
      <c r="AF1476" s="300"/>
      <c r="AG1476" s="300"/>
      <c r="AH1476" s="715"/>
      <c r="AI1476" s="429">
        <v>0</v>
      </c>
      <c r="AJ1476" s="299"/>
      <c r="AK1476" s="300"/>
      <c r="AL1476" s="300"/>
      <c r="AM1476" s="715"/>
      <c r="AN1476" s="429">
        <v>0</v>
      </c>
      <c r="AO1476" s="299"/>
      <c r="AP1476" s="300"/>
      <c r="AQ1476" s="300"/>
      <c r="AR1476" s="715"/>
      <c r="AS1476" s="429">
        <v>0</v>
      </c>
      <c r="AT1476" s="299"/>
      <c r="AU1476" s="300"/>
      <c r="AV1476" s="300"/>
      <c r="AW1476" s="715"/>
      <c r="AX1476" s="429">
        <v>0</v>
      </c>
      <c r="AY1476" s="299"/>
      <c r="AZ1476" s="300"/>
      <c r="BA1476" s="300"/>
      <c r="BB1476" s="715"/>
      <c r="BC1476" s="429">
        <v>0</v>
      </c>
      <c r="BD1476" s="299"/>
      <c r="BE1476" s="300"/>
      <c r="BF1476" s="300"/>
      <c r="BG1476" s="715"/>
      <c r="BH1476" s="429">
        <v>0</v>
      </c>
      <c r="BI1476" s="304"/>
      <c r="BJ1476" s="300"/>
      <c r="BK1476" s="300"/>
      <c r="BL1476" s="300"/>
      <c r="BM1476" s="300">
        <v>0</v>
      </c>
      <c r="BN1476" s="401"/>
      <c r="BO1476" s="300"/>
      <c r="BP1476" s="300"/>
      <c r="BQ1476" s="300"/>
      <c r="BR1476" s="300">
        <v>0</v>
      </c>
      <c r="BS1476" s="401"/>
      <c r="BT1476" s="401"/>
      <c r="BU1476" s="401"/>
      <c r="BV1476" s="401"/>
      <c r="BW1476" s="122"/>
    </row>
    <row r="1477" spans="1:75" s="123" customFormat="1" hidden="1" outlineLevel="1" x14ac:dyDescent="0.5">
      <c r="A1477" s="464" t="s">
        <v>1387</v>
      </c>
      <c r="B1477" s="118"/>
      <c r="C1477" s="716"/>
      <c r="D1477" s="716"/>
      <c r="E1477" s="716"/>
      <c r="F1477" s="716"/>
      <c r="G1477" s="715"/>
      <c r="H1477" s="715"/>
      <c r="I1477" s="715"/>
      <c r="J1477" s="715">
        <v>0</v>
      </c>
      <c r="K1477" s="716"/>
      <c r="L1477" s="715"/>
      <c r="M1477" s="715"/>
      <c r="N1477" s="715"/>
      <c r="O1477" s="715">
        <v>0</v>
      </c>
      <c r="P1477" s="299"/>
      <c r="Q1477" s="715"/>
      <c r="R1477" s="715"/>
      <c r="S1477" s="715"/>
      <c r="T1477" s="715">
        <v>0</v>
      </c>
      <c r="U1477" s="299"/>
      <c r="V1477" s="307">
        <v>31.896000000000001</v>
      </c>
      <c r="W1477" s="307">
        <v>31.896000000000001</v>
      </c>
      <c r="X1477" s="714">
        <v>31.896000000000001</v>
      </c>
      <c r="Y1477" s="429">
        <v>37.095999999999997</v>
      </c>
      <c r="Z1477" s="305">
        <v>37.095999999999997</v>
      </c>
      <c r="AA1477" s="307">
        <v>145.02000000000001</v>
      </c>
      <c r="AB1477" s="307">
        <v>145.02000000000001</v>
      </c>
      <c r="AC1477" s="714">
        <v>145.02000000000001</v>
      </c>
      <c r="AD1477" s="429">
        <v>145.02000000000001</v>
      </c>
      <c r="AE1477" s="305">
        <v>145.02000000000001</v>
      </c>
      <c r="AF1477" s="300"/>
      <c r="AG1477" s="300"/>
      <c r="AH1477" s="715"/>
      <c r="AI1477" s="429">
        <v>0</v>
      </c>
      <c r="AJ1477" s="299"/>
      <c r="AK1477" s="300"/>
      <c r="AL1477" s="300"/>
      <c r="AM1477" s="715"/>
      <c r="AN1477" s="429">
        <v>0</v>
      </c>
      <c r="AO1477" s="299"/>
      <c r="AP1477" s="300"/>
      <c r="AQ1477" s="300"/>
      <c r="AR1477" s="715"/>
      <c r="AS1477" s="429">
        <v>0</v>
      </c>
      <c r="AT1477" s="299"/>
      <c r="AU1477" s="300"/>
      <c r="AV1477" s="300"/>
      <c r="AW1477" s="715"/>
      <c r="AX1477" s="429">
        <v>0</v>
      </c>
      <c r="AY1477" s="299"/>
      <c r="AZ1477" s="300"/>
      <c r="BA1477" s="300"/>
      <c r="BB1477" s="715"/>
      <c r="BC1477" s="429">
        <v>0</v>
      </c>
      <c r="BD1477" s="299"/>
      <c r="BE1477" s="300"/>
      <c r="BF1477" s="300"/>
      <c r="BG1477" s="715"/>
      <c r="BH1477" s="429">
        <v>0</v>
      </c>
      <c r="BI1477" s="304"/>
      <c r="BJ1477" s="300"/>
      <c r="BK1477" s="300"/>
      <c r="BL1477" s="300"/>
      <c r="BM1477" s="300">
        <v>0</v>
      </c>
      <c r="BN1477" s="401"/>
      <c r="BO1477" s="300"/>
      <c r="BP1477" s="300"/>
      <c r="BQ1477" s="300"/>
      <c r="BR1477" s="300">
        <v>0</v>
      </c>
      <c r="BS1477" s="401"/>
      <c r="BT1477" s="401"/>
      <c r="BU1477" s="401"/>
      <c r="BV1477" s="401"/>
      <c r="BW1477" s="122"/>
    </row>
    <row r="1478" spans="1:75" s="198" customFormat="1" ht="14.25" hidden="1" outlineLevel="1" x14ac:dyDescent="0.45">
      <c r="A1478" s="516" t="s">
        <v>1388</v>
      </c>
      <c r="B1478" s="517"/>
      <c r="C1478" s="518"/>
      <c r="D1478" s="519">
        <v>-39.906999999999996</v>
      </c>
      <c r="E1478" s="519">
        <v>-25.593</v>
      </c>
      <c r="F1478" s="519">
        <v>-49.368000000000002</v>
      </c>
      <c r="G1478" s="520">
        <v>-9.7370000000000001</v>
      </c>
      <c r="H1478" s="520">
        <v>-30.616</v>
      </c>
      <c r="I1478" s="520">
        <v>-57.622</v>
      </c>
      <c r="J1478" s="520">
        <v>-93.867999999999995</v>
      </c>
      <c r="K1478" s="519">
        <v>-93.867999999999995</v>
      </c>
      <c r="L1478" s="520">
        <v>-16.515000000000001</v>
      </c>
      <c r="M1478" s="520">
        <v>-39.052</v>
      </c>
      <c r="N1478" s="520">
        <v>-70.113</v>
      </c>
      <c r="O1478" s="520">
        <v>-200.548</v>
      </c>
      <c r="P1478" s="519">
        <v>-200.548</v>
      </c>
      <c r="Q1478" s="520">
        <v>-33.698</v>
      </c>
      <c r="R1478" s="520">
        <v>-125.911</v>
      </c>
      <c r="S1478" s="520">
        <v>-182.84100000000001</v>
      </c>
      <c r="T1478" s="520">
        <v>-227.39699999999996</v>
      </c>
      <c r="U1478" s="519">
        <v>-227.39699999999996</v>
      </c>
      <c r="V1478" s="327">
        <v>-7.330999999999996</v>
      </c>
      <c r="W1478" s="327">
        <v>-218.51399999999995</v>
      </c>
      <c r="X1478" s="520">
        <v>-263.37799999999999</v>
      </c>
      <c r="Y1478" s="520">
        <v>-321.49700000000007</v>
      </c>
      <c r="Z1478" s="519">
        <v>-321.49700000000007</v>
      </c>
      <c r="AA1478" s="520">
        <v>167.245</v>
      </c>
      <c r="AB1478" s="520">
        <v>146.238</v>
      </c>
      <c r="AC1478" s="520">
        <v>101.324</v>
      </c>
      <c r="AD1478" s="520">
        <v>64.043000000000021</v>
      </c>
      <c r="AE1478" s="519">
        <v>64.043000000000021</v>
      </c>
      <c r="AF1478" s="520">
        <v>-17.673999999999999</v>
      </c>
      <c r="AG1478" s="520">
        <v>-42.915999999999997</v>
      </c>
      <c r="AH1478" s="520">
        <v>-73.278000000000006</v>
      </c>
      <c r="AI1478" s="520">
        <v>-79.992000000000004</v>
      </c>
      <c r="AJ1478" s="519">
        <v>-79.992000000000004</v>
      </c>
      <c r="AK1478" s="520">
        <v>-7.9160000000000004</v>
      </c>
      <c r="AL1478" s="520">
        <v>-25.283000000000001</v>
      </c>
      <c r="AM1478" s="520">
        <v>-70.536000000000001</v>
      </c>
      <c r="AN1478" s="520">
        <v>-122.545</v>
      </c>
      <c r="AO1478" s="519">
        <v>-122.545</v>
      </c>
      <c r="AP1478" s="520">
        <v>-16.632000000000001</v>
      </c>
      <c r="AQ1478" s="520">
        <v>-25.574999999999999</v>
      </c>
      <c r="AR1478" s="520">
        <v>-67.300999999999988</v>
      </c>
      <c r="AS1478" s="520">
        <v>-197.60000000000002</v>
      </c>
      <c r="AT1478" s="519">
        <v>-197.60000000000002</v>
      </c>
      <c r="AU1478" s="520">
        <v>-51.422999999999995</v>
      </c>
      <c r="AV1478" s="520">
        <v>-84.076999999999998</v>
      </c>
      <c r="AW1478" s="520">
        <v>-158.59</v>
      </c>
      <c r="AX1478" s="520">
        <v>-194.35300000000001</v>
      </c>
      <c r="AY1478" s="519">
        <v>-194.35300000000001</v>
      </c>
      <c r="AZ1478" s="520">
        <v>-30.478999999999999</v>
      </c>
      <c r="BA1478" s="520">
        <v>-64.078000000000003</v>
      </c>
      <c r="BB1478" s="520">
        <v>-106.70099999999999</v>
      </c>
      <c r="BC1478" s="520">
        <v>-171.06799999999998</v>
      </c>
      <c r="BD1478" s="519">
        <v>-171.06799999999998</v>
      </c>
      <c r="BE1478" s="520">
        <v>-67.320999999999998</v>
      </c>
      <c r="BF1478" s="520">
        <v>-115.32300000000001</v>
      </c>
      <c r="BG1478" s="520">
        <v>-166.161</v>
      </c>
      <c r="BH1478" s="520">
        <v>-307.43099999999998</v>
      </c>
      <c r="BI1478" s="521">
        <v>-307.43099999999998</v>
      </c>
      <c r="BJ1478" s="327">
        <v>0</v>
      </c>
      <c r="BK1478" s="327">
        <v>0</v>
      </c>
      <c r="BL1478" s="327">
        <v>0</v>
      </c>
      <c r="BM1478" s="327">
        <v>0</v>
      </c>
      <c r="BN1478" s="518">
        <v>0</v>
      </c>
      <c r="BO1478" s="327">
        <v>0</v>
      </c>
      <c r="BP1478" s="327">
        <v>0</v>
      </c>
      <c r="BQ1478" s="327">
        <v>0</v>
      </c>
      <c r="BR1478" s="327">
        <v>0</v>
      </c>
      <c r="BS1478" s="518">
        <v>0</v>
      </c>
      <c r="BT1478" s="518">
        <v>0</v>
      </c>
      <c r="BU1478" s="518">
        <v>0</v>
      </c>
      <c r="BV1478" s="518">
        <v>0</v>
      </c>
      <c r="BW1478" s="197"/>
    </row>
    <row r="1479" spans="1:75" s="198" customFormat="1" ht="14.25" hidden="1" outlineLevel="1" x14ac:dyDescent="0.45">
      <c r="A1479" s="206"/>
      <c r="B1479" s="522"/>
      <c r="C1479" s="397"/>
      <c r="D1479" s="397"/>
      <c r="E1479" s="397"/>
      <c r="F1479" s="397"/>
      <c r="G1479" s="295"/>
      <c r="H1479" s="295"/>
      <c r="I1479" s="295"/>
      <c r="J1479" s="295"/>
      <c r="K1479" s="397"/>
      <c r="L1479" s="295"/>
      <c r="M1479" s="295"/>
      <c r="N1479" s="295"/>
      <c r="O1479" s="295"/>
      <c r="P1479" s="397"/>
      <c r="Q1479" s="295"/>
      <c r="R1479" s="295"/>
      <c r="S1479" s="295"/>
      <c r="T1479" s="295"/>
      <c r="U1479" s="397"/>
      <c r="V1479" s="295"/>
      <c r="W1479" s="295"/>
      <c r="X1479" s="295"/>
      <c r="Y1479" s="295"/>
      <c r="Z1479" s="397"/>
      <c r="AA1479" s="295"/>
      <c r="AB1479" s="295"/>
      <c r="AC1479" s="295"/>
      <c r="AD1479" s="295"/>
      <c r="AE1479" s="397"/>
      <c r="AF1479" s="295"/>
      <c r="AG1479" s="295"/>
      <c r="AH1479" s="295"/>
      <c r="AI1479" s="295"/>
      <c r="AJ1479" s="397"/>
      <c r="AK1479" s="295"/>
      <c r="AL1479" s="295"/>
      <c r="AM1479" s="295"/>
      <c r="AN1479" s="295"/>
      <c r="AO1479" s="397"/>
      <c r="AP1479" s="295"/>
      <c r="AQ1479" s="295"/>
      <c r="AR1479" s="295"/>
      <c r="AS1479" s="295"/>
      <c r="AT1479" s="397"/>
      <c r="AU1479" s="295"/>
      <c r="AV1479" s="295"/>
      <c r="AW1479" s="295"/>
      <c r="AX1479" s="295"/>
      <c r="AY1479" s="397"/>
      <c r="AZ1479" s="295"/>
      <c r="BA1479" s="295"/>
      <c r="BB1479" s="295"/>
      <c r="BC1479" s="295"/>
      <c r="BD1479" s="397"/>
      <c r="BE1479" s="295"/>
      <c r="BF1479" s="295"/>
      <c r="BG1479" s="295"/>
      <c r="BH1479" s="295"/>
      <c r="BI1479" s="399"/>
      <c r="BJ1479" s="295"/>
      <c r="BK1479" s="295"/>
      <c r="BL1479" s="295"/>
      <c r="BM1479" s="295"/>
      <c r="BN1479" s="397"/>
      <c r="BO1479" s="295"/>
      <c r="BP1479" s="295"/>
      <c r="BQ1479" s="295"/>
      <c r="BR1479" s="295"/>
      <c r="BS1479" s="397"/>
      <c r="BT1479" s="397"/>
      <c r="BU1479" s="397"/>
      <c r="BV1479" s="397"/>
      <c r="BW1479" s="197"/>
    </row>
    <row r="1480" spans="1:75" s="198" customFormat="1" ht="14.25" hidden="1" outlineLevel="1" x14ac:dyDescent="0.45">
      <c r="A1480" s="463" t="s">
        <v>1389</v>
      </c>
      <c r="B1480" s="522"/>
      <c r="C1480" s="397"/>
      <c r="D1480" s="397"/>
      <c r="E1480" s="397"/>
      <c r="F1480" s="397"/>
      <c r="G1480" s="295"/>
      <c r="H1480" s="295"/>
      <c r="I1480" s="295"/>
      <c r="J1480" s="295"/>
      <c r="K1480" s="397"/>
      <c r="L1480" s="295"/>
      <c r="M1480" s="295"/>
      <c r="N1480" s="295"/>
      <c r="O1480" s="295"/>
      <c r="P1480" s="397"/>
      <c r="Q1480" s="295"/>
      <c r="R1480" s="295"/>
      <c r="S1480" s="295"/>
      <c r="T1480" s="295"/>
      <c r="U1480" s="397"/>
      <c r="V1480" s="295"/>
      <c r="W1480" s="295"/>
      <c r="X1480" s="295"/>
      <c r="Y1480" s="295"/>
      <c r="Z1480" s="397"/>
      <c r="AA1480" s="295"/>
      <c r="AB1480" s="295"/>
      <c r="AC1480" s="295"/>
      <c r="AD1480" s="295"/>
      <c r="AE1480" s="397"/>
      <c r="AF1480" s="295"/>
      <c r="AG1480" s="295"/>
      <c r="AH1480" s="295"/>
      <c r="AI1480" s="295"/>
      <c r="AJ1480" s="397"/>
      <c r="AK1480" s="295"/>
      <c r="AL1480" s="295"/>
      <c r="AM1480" s="295"/>
      <c r="AN1480" s="295"/>
      <c r="AO1480" s="397"/>
      <c r="AP1480" s="295"/>
      <c r="AQ1480" s="295"/>
      <c r="AR1480" s="295"/>
      <c r="AS1480" s="295"/>
      <c r="AT1480" s="397"/>
      <c r="AU1480" s="295"/>
      <c r="AV1480" s="295"/>
      <c r="AW1480" s="295"/>
      <c r="AX1480" s="295"/>
      <c r="AY1480" s="397"/>
      <c r="AZ1480" s="295"/>
      <c r="BA1480" s="295"/>
      <c r="BB1480" s="295"/>
      <c r="BC1480" s="295"/>
      <c r="BD1480" s="397"/>
      <c r="BE1480" s="295"/>
      <c r="BF1480" s="295"/>
      <c r="BG1480" s="295"/>
      <c r="BH1480" s="295"/>
      <c r="BI1480" s="399"/>
      <c r="BJ1480" s="295"/>
      <c r="BK1480" s="295"/>
      <c r="BL1480" s="295"/>
      <c r="BM1480" s="295"/>
      <c r="BN1480" s="397"/>
      <c r="BO1480" s="295"/>
      <c r="BP1480" s="295"/>
      <c r="BQ1480" s="295"/>
      <c r="BR1480" s="295"/>
      <c r="BS1480" s="397"/>
      <c r="BT1480" s="397"/>
      <c r="BU1480" s="397"/>
      <c r="BV1480" s="397"/>
      <c r="BW1480" s="197"/>
    </row>
    <row r="1481" spans="1:75" s="123" customFormat="1" hidden="1" outlineLevel="1" x14ac:dyDescent="0.5">
      <c r="A1481" s="464" t="s">
        <v>1390</v>
      </c>
      <c r="B1481" s="118"/>
      <c r="C1481" s="716"/>
      <c r="D1481" s="713">
        <v>875.93600000000004</v>
      </c>
      <c r="E1481" s="713">
        <v>1007.33</v>
      </c>
      <c r="F1481" s="713">
        <v>1344.4680000000001</v>
      </c>
      <c r="G1481" s="714">
        <v>353.25799999999998</v>
      </c>
      <c r="H1481" s="714">
        <v>750.37599999999998</v>
      </c>
      <c r="I1481" s="714">
        <v>1190.1780000000001</v>
      </c>
      <c r="J1481" s="943">
        <v>1670.876</v>
      </c>
      <c r="K1481" s="713">
        <v>1670.876</v>
      </c>
      <c r="L1481" s="714">
        <v>469.59399999999999</v>
      </c>
      <c r="M1481" s="714">
        <v>749.94500000000005</v>
      </c>
      <c r="N1481" s="714">
        <v>749.94500000000005</v>
      </c>
      <c r="O1481" s="943">
        <v>749.94500000000005</v>
      </c>
      <c r="P1481" s="305">
        <v>749.94500000000005</v>
      </c>
      <c r="Q1481" s="715"/>
      <c r="R1481" s="715"/>
      <c r="S1481" s="715"/>
      <c r="T1481" s="943">
        <v>0</v>
      </c>
      <c r="U1481" s="299"/>
      <c r="V1481" s="300"/>
      <c r="W1481" s="300"/>
      <c r="X1481" s="715"/>
      <c r="Y1481" s="429">
        <v>0</v>
      </c>
      <c r="Z1481" s="299"/>
      <c r="AA1481" s="300"/>
      <c r="AB1481" s="300"/>
      <c r="AC1481" s="715"/>
      <c r="AD1481" s="429">
        <v>0</v>
      </c>
      <c r="AE1481" s="299"/>
      <c r="AF1481" s="300"/>
      <c r="AG1481" s="300"/>
      <c r="AH1481" s="715"/>
      <c r="AI1481" s="429">
        <v>0</v>
      </c>
      <c r="AJ1481" s="299"/>
      <c r="AK1481" s="300"/>
      <c r="AL1481" s="300"/>
      <c r="AM1481" s="715"/>
      <c r="AN1481" s="429">
        <v>0</v>
      </c>
      <c r="AO1481" s="299"/>
      <c r="AP1481" s="300"/>
      <c r="AQ1481" s="300"/>
      <c r="AR1481" s="715"/>
      <c r="AS1481" s="429">
        <v>0</v>
      </c>
      <c r="AT1481" s="299"/>
      <c r="AU1481" s="300"/>
      <c r="AV1481" s="300"/>
      <c r="AW1481" s="715"/>
      <c r="AX1481" s="429">
        <v>0</v>
      </c>
      <c r="AY1481" s="299"/>
      <c r="AZ1481" s="300"/>
      <c r="BA1481" s="300"/>
      <c r="BB1481" s="715"/>
      <c r="BC1481" s="429">
        <v>0</v>
      </c>
      <c r="BD1481" s="299"/>
      <c r="BE1481" s="300"/>
      <c r="BF1481" s="300"/>
      <c r="BG1481" s="715"/>
      <c r="BH1481" s="429">
        <v>0</v>
      </c>
      <c r="BI1481" s="304"/>
      <c r="BJ1481" s="300"/>
      <c r="BK1481" s="300"/>
      <c r="BL1481" s="300"/>
      <c r="BM1481" s="300">
        <v>0</v>
      </c>
      <c r="BN1481" s="401"/>
      <c r="BO1481" s="300"/>
      <c r="BP1481" s="300"/>
      <c r="BQ1481" s="300"/>
      <c r="BR1481" s="300">
        <v>0</v>
      </c>
      <c r="BS1481" s="401"/>
      <c r="BT1481" s="401"/>
      <c r="BU1481" s="401"/>
      <c r="BV1481" s="401"/>
      <c r="BW1481" s="122"/>
    </row>
    <row r="1482" spans="1:75" s="123" customFormat="1" hidden="1" outlineLevel="1" x14ac:dyDescent="0.5">
      <c r="A1482" s="464" t="s">
        <v>1391</v>
      </c>
      <c r="B1482" s="118"/>
      <c r="C1482" s="716"/>
      <c r="D1482" s="713">
        <v>-821.73400000000004</v>
      </c>
      <c r="E1482" s="713">
        <v>-1011.937</v>
      </c>
      <c r="F1482" s="713">
        <v>-1369.4690000000001</v>
      </c>
      <c r="G1482" s="714">
        <v>-321.76499999999999</v>
      </c>
      <c r="H1482" s="714">
        <v>-745.30200000000002</v>
      </c>
      <c r="I1482" s="714">
        <v>-1164.434</v>
      </c>
      <c r="J1482" s="943">
        <v>-1667.952</v>
      </c>
      <c r="K1482" s="713">
        <v>-1667.952</v>
      </c>
      <c r="L1482" s="714">
        <v>-405.87299999999999</v>
      </c>
      <c r="M1482" s="714">
        <v>-835.37</v>
      </c>
      <c r="N1482" s="714">
        <v>-835.37</v>
      </c>
      <c r="O1482" s="943">
        <v>-835.37</v>
      </c>
      <c r="P1482" s="305">
        <v>-835.37</v>
      </c>
      <c r="Q1482" s="715"/>
      <c r="R1482" s="715"/>
      <c r="S1482" s="715"/>
      <c r="T1482" s="943">
        <v>0</v>
      </c>
      <c r="U1482" s="299"/>
      <c r="V1482" s="300"/>
      <c r="W1482" s="300"/>
      <c r="X1482" s="715"/>
      <c r="Y1482" s="429">
        <v>0</v>
      </c>
      <c r="Z1482" s="299"/>
      <c r="AA1482" s="300"/>
      <c r="AB1482" s="300"/>
      <c r="AC1482" s="715"/>
      <c r="AD1482" s="429">
        <v>0</v>
      </c>
      <c r="AE1482" s="299"/>
      <c r="AF1482" s="300"/>
      <c r="AG1482" s="300"/>
      <c r="AH1482" s="715"/>
      <c r="AI1482" s="429">
        <v>0</v>
      </c>
      <c r="AJ1482" s="299"/>
      <c r="AK1482" s="300"/>
      <c r="AL1482" s="300"/>
      <c r="AM1482" s="715"/>
      <c r="AN1482" s="429">
        <v>0</v>
      </c>
      <c r="AO1482" s="299"/>
      <c r="AP1482" s="300"/>
      <c r="AQ1482" s="300"/>
      <c r="AR1482" s="715"/>
      <c r="AS1482" s="429">
        <v>0</v>
      </c>
      <c r="AT1482" s="299"/>
      <c r="AU1482" s="300"/>
      <c r="AV1482" s="300"/>
      <c r="AW1482" s="715"/>
      <c r="AX1482" s="429">
        <v>0</v>
      </c>
      <c r="AY1482" s="299"/>
      <c r="AZ1482" s="300"/>
      <c r="BA1482" s="300"/>
      <c r="BB1482" s="715"/>
      <c r="BC1482" s="429">
        <v>0</v>
      </c>
      <c r="BD1482" s="299"/>
      <c r="BE1482" s="300"/>
      <c r="BF1482" s="300"/>
      <c r="BG1482" s="715"/>
      <c r="BH1482" s="429">
        <v>0</v>
      </c>
      <c r="BI1482" s="304"/>
      <c r="BJ1482" s="300"/>
      <c r="BK1482" s="300"/>
      <c r="BL1482" s="300"/>
      <c r="BM1482" s="300">
        <v>0</v>
      </c>
      <c r="BN1482" s="401"/>
      <c r="BO1482" s="300"/>
      <c r="BP1482" s="300"/>
      <c r="BQ1482" s="300"/>
      <c r="BR1482" s="300">
        <v>0</v>
      </c>
      <c r="BS1482" s="401"/>
      <c r="BT1482" s="401"/>
      <c r="BU1482" s="401"/>
      <c r="BV1482" s="401"/>
      <c r="BW1482" s="122"/>
    </row>
    <row r="1483" spans="1:75" s="123" customFormat="1" hidden="1" outlineLevel="1" x14ac:dyDescent="0.5">
      <c r="A1483" s="464" t="s">
        <v>1392</v>
      </c>
      <c r="B1483" s="118"/>
      <c r="C1483" s="716"/>
      <c r="D1483" s="716"/>
      <c r="E1483" s="716"/>
      <c r="F1483" s="716"/>
      <c r="G1483" s="715"/>
      <c r="H1483" s="715"/>
      <c r="I1483" s="715"/>
      <c r="J1483" s="715">
        <v>0</v>
      </c>
      <c r="K1483" s="716"/>
      <c r="L1483" s="715"/>
      <c r="M1483" s="715"/>
      <c r="N1483" s="715"/>
      <c r="O1483" s="715">
        <v>0</v>
      </c>
      <c r="P1483" s="299"/>
      <c r="Q1483" s="715"/>
      <c r="R1483" s="715"/>
      <c r="S1483" s="715"/>
      <c r="T1483" s="715">
        <v>0</v>
      </c>
      <c r="U1483" s="299"/>
      <c r="V1483" s="300"/>
      <c r="W1483" s="300"/>
      <c r="X1483" s="715"/>
      <c r="Y1483" s="300">
        <v>0</v>
      </c>
      <c r="Z1483" s="299"/>
      <c r="AA1483" s="300"/>
      <c r="AB1483" s="307">
        <v>323</v>
      </c>
      <c r="AC1483" s="714">
        <v>446</v>
      </c>
      <c r="AD1483" s="429">
        <v>600</v>
      </c>
      <c r="AE1483" s="305">
        <v>600</v>
      </c>
      <c r="AF1483" s="307">
        <v>334</v>
      </c>
      <c r="AG1483" s="307">
        <v>510</v>
      </c>
      <c r="AH1483" s="714">
        <v>656</v>
      </c>
      <c r="AI1483" s="429">
        <v>866.5</v>
      </c>
      <c r="AJ1483" s="305">
        <v>866.5</v>
      </c>
      <c r="AK1483" s="307">
        <v>94</v>
      </c>
      <c r="AL1483" s="307">
        <v>302</v>
      </c>
      <c r="AM1483" s="714">
        <v>322.5</v>
      </c>
      <c r="AN1483" s="429">
        <v>322.5</v>
      </c>
      <c r="AO1483" s="305">
        <v>322.5</v>
      </c>
      <c r="AP1483" s="307">
        <v>71.099999999999994</v>
      </c>
      <c r="AQ1483" s="307">
        <v>283.2</v>
      </c>
      <c r="AR1483" s="714">
        <v>359.4</v>
      </c>
      <c r="AS1483" s="429">
        <v>359.40100000000001</v>
      </c>
      <c r="AT1483" s="305">
        <v>359.40100000000001</v>
      </c>
      <c r="AU1483" s="300"/>
      <c r="AV1483" s="300"/>
      <c r="AW1483" s="715"/>
      <c r="AX1483" s="429">
        <v>0</v>
      </c>
      <c r="AY1483" s="299"/>
      <c r="AZ1483" s="300"/>
      <c r="BA1483" s="300"/>
      <c r="BB1483" s="715"/>
      <c r="BC1483" s="429">
        <v>0</v>
      </c>
      <c r="BD1483" s="299"/>
      <c r="BE1483" s="300"/>
      <c r="BF1483" s="300"/>
      <c r="BG1483" s="715"/>
      <c r="BH1483" s="429">
        <v>0</v>
      </c>
      <c r="BI1483" s="304"/>
      <c r="BJ1483" s="300"/>
      <c r="BK1483" s="300"/>
      <c r="BL1483" s="300"/>
      <c r="BM1483" s="300">
        <v>0</v>
      </c>
      <c r="BN1483" s="401"/>
      <c r="BO1483" s="300"/>
      <c r="BP1483" s="300"/>
      <c r="BQ1483" s="300"/>
      <c r="BR1483" s="300">
        <v>0</v>
      </c>
      <c r="BS1483" s="401"/>
      <c r="BT1483" s="401"/>
      <c r="BU1483" s="401"/>
      <c r="BV1483" s="401"/>
      <c r="BW1483" s="122"/>
    </row>
    <row r="1484" spans="1:75" s="123" customFormat="1" hidden="1" outlineLevel="1" x14ac:dyDescent="0.5">
      <c r="A1484" s="464" t="s">
        <v>1393</v>
      </c>
      <c r="B1484" s="118"/>
      <c r="C1484" s="716"/>
      <c r="D1484" s="716"/>
      <c r="E1484" s="716"/>
      <c r="F1484" s="716"/>
      <c r="G1484" s="715"/>
      <c r="H1484" s="715"/>
      <c r="I1484" s="715"/>
      <c r="J1484" s="715">
        <v>0</v>
      </c>
      <c r="K1484" s="716"/>
      <c r="L1484" s="715"/>
      <c r="M1484" s="715"/>
      <c r="N1484" s="715"/>
      <c r="O1484" s="715">
        <v>0</v>
      </c>
      <c r="P1484" s="299"/>
      <c r="Q1484" s="715"/>
      <c r="R1484" s="715"/>
      <c r="S1484" s="715"/>
      <c r="T1484" s="715">
        <v>0</v>
      </c>
      <c r="U1484" s="299"/>
      <c r="V1484" s="300"/>
      <c r="W1484" s="300"/>
      <c r="X1484" s="715"/>
      <c r="Y1484" s="300">
        <v>0</v>
      </c>
      <c r="Z1484" s="299"/>
      <c r="AA1484" s="300"/>
      <c r="AB1484" s="307">
        <v>-40</v>
      </c>
      <c r="AC1484" s="714">
        <v>-105</v>
      </c>
      <c r="AD1484" s="429">
        <v>-400.03</v>
      </c>
      <c r="AE1484" s="305">
        <v>-400.03</v>
      </c>
      <c r="AF1484" s="307">
        <v>-314.97000000000003</v>
      </c>
      <c r="AG1484" s="307">
        <v>-709.97</v>
      </c>
      <c r="AH1484" s="714">
        <v>-748.47</v>
      </c>
      <c r="AI1484" s="429">
        <v>-1008.97</v>
      </c>
      <c r="AJ1484" s="305">
        <v>-1008.97</v>
      </c>
      <c r="AK1484" s="307">
        <v>-151.5</v>
      </c>
      <c r="AL1484" s="307">
        <v>-214.5</v>
      </c>
      <c r="AM1484" s="714">
        <v>-380</v>
      </c>
      <c r="AN1484" s="429">
        <v>-380</v>
      </c>
      <c r="AO1484" s="305">
        <v>-380</v>
      </c>
      <c r="AP1484" s="307">
        <v>-61.1</v>
      </c>
      <c r="AQ1484" s="307">
        <v>-191.6</v>
      </c>
      <c r="AR1484" s="714">
        <v>-359.4</v>
      </c>
      <c r="AS1484" s="429">
        <v>-359.40100000000001</v>
      </c>
      <c r="AT1484" s="305">
        <v>-359.40100000000001</v>
      </c>
      <c r="AU1484" s="300"/>
      <c r="AV1484" s="300"/>
      <c r="AW1484" s="715"/>
      <c r="AX1484" s="429">
        <v>0</v>
      </c>
      <c r="AY1484" s="299"/>
      <c r="AZ1484" s="300"/>
      <c r="BA1484" s="300"/>
      <c r="BB1484" s="715"/>
      <c r="BC1484" s="429">
        <v>0</v>
      </c>
      <c r="BD1484" s="299"/>
      <c r="BE1484" s="300"/>
      <c r="BF1484" s="300"/>
      <c r="BG1484" s="715"/>
      <c r="BH1484" s="429">
        <v>0</v>
      </c>
      <c r="BI1484" s="304"/>
      <c r="BJ1484" s="300"/>
      <c r="BK1484" s="300"/>
      <c r="BL1484" s="300"/>
      <c r="BM1484" s="300">
        <v>0</v>
      </c>
      <c r="BN1484" s="401"/>
      <c r="BO1484" s="300"/>
      <c r="BP1484" s="300"/>
      <c r="BQ1484" s="300"/>
      <c r="BR1484" s="300">
        <v>0</v>
      </c>
      <c r="BS1484" s="401"/>
      <c r="BT1484" s="401"/>
      <c r="BU1484" s="401"/>
      <c r="BV1484" s="401"/>
      <c r="BW1484" s="122"/>
    </row>
    <row r="1485" spans="1:75" s="123" customFormat="1" hidden="1" outlineLevel="1" x14ac:dyDescent="0.5">
      <c r="A1485" s="464" t="s">
        <v>1394</v>
      </c>
      <c r="B1485" s="118"/>
      <c r="C1485" s="716"/>
      <c r="D1485" s="716"/>
      <c r="E1485" s="716"/>
      <c r="F1485" s="716"/>
      <c r="G1485" s="715"/>
      <c r="H1485" s="715"/>
      <c r="I1485" s="715"/>
      <c r="J1485" s="715">
        <v>0</v>
      </c>
      <c r="K1485" s="716"/>
      <c r="L1485" s="715"/>
      <c r="M1485" s="715"/>
      <c r="N1485" s="715"/>
      <c r="O1485" s="715">
        <v>0</v>
      </c>
      <c r="P1485" s="299"/>
      <c r="Q1485" s="715"/>
      <c r="R1485" s="715"/>
      <c r="S1485" s="715"/>
      <c r="T1485" s="715">
        <v>0</v>
      </c>
      <c r="U1485" s="299"/>
      <c r="V1485" s="300"/>
      <c r="W1485" s="300"/>
      <c r="X1485" s="715"/>
      <c r="Y1485" s="300">
        <v>0</v>
      </c>
      <c r="Z1485" s="299"/>
      <c r="AA1485" s="300"/>
      <c r="AB1485" s="307">
        <v>180</v>
      </c>
      <c r="AC1485" s="714">
        <v>180</v>
      </c>
      <c r="AD1485" s="429">
        <v>180</v>
      </c>
      <c r="AE1485" s="305">
        <v>180</v>
      </c>
      <c r="AF1485" s="300"/>
      <c r="AG1485" s="300"/>
      <c r="AH1485" s="715"/>
      <c r="AI1485" s="429">
        <v>0</v>
      </c>
      <c r="AJ1485" s="299"/>
      <c r="AK1485" s="307">
        <v>320</v>
      </c>
      <c r="AL1485" s="307">
        <v>320</v>
      </c>
      <c r="AM1485" s="714">
        <v>320</v>
      </c>
      <c r="AN1485" s="429">
        <v>320</v>
      </c>
      <c r="AO1485" s="305">
        <v>320</v>
      </c>
      <c r="AP1485" s="300"/>
      <c r="AQ1485" s="300"/>
      <c r="AR1485" s="715"/>
      <c r="AS1485" s="429">
        <v>0</v>
      </c>
      <c r="AT1485" s="299"/>
      <c r="AU1485" s="300"/>
      <c r="AV1485" s="300"/>
      <c r="AW1485" s="714">
        <v>2000</v>
      </c>
      <c r="AX1485" s="429">
        <v>2000</v>
      </c>
      <c r="AY1485" s="305">
        <v>2000</v>
      </c>
      <c r="AZ1485" s="300"/>
      <c r="BA1485" s="307">
        <v>500</v>
      </c>
      <c r="BB1485" s="714">
        <v>500</v>
      </c>
      <c r="BC1485" s="429">
        <v>500</v>
      </c>
      <c r="BD1485" s="305">
        <v>500</v>
      </c>
      <c r="BE1485" s="300"/>
      <c r="BF1485" s="300"/>
      <c r="BG1485" s="715"/>
      <c r="BH1485" s="429">
        <v>0</v>
      </c>
      <c r="BI1485" s="304"/>
      <c r="BJ1485" s="300"/>
      <c r="BK1485" s="300"/>
      <c r="BL1485" s="300"/>
      <c r="BM1485" s="300">
        <v>0</v>
      </c>
      <c r="BN1485" s="401"/>
      <c r="BO1485" s="300"/>
      <c r="BP1485" s="300"/>
      <c r="BQ1485" s="300"/>
      <c r="BR1485" s="300">
        <v>0</v>
      </c>
      <c r="BS1485" s="401"/>
      <c r="BT1485" s="401"/>
      <c r="BU1485" s="401"/>
      <c r="BV1485" s="401"/>
      <c r="BW1485" s="122"/>
    </row>
    <row r="1486" spans="1:75" s="123" customFormat="1" hidden="1" outlineLevel="1" x14ac:dyDescent="0.5">
      <c r="A1486" s="464" t="s">
        <v>1395</v>
      </c>
      <c r="B1486" s="118"/>
      <c r="C1486" s="716"/>
      <c r="D1486" s="716"/>
      <c r="E1486" s="716"/>
      <c r="F1486" s="713">
        <v>-15</v>
      </c>
      <c r="G1486" s="715"/>
      <c r="H1486" s="715"/>
      <c r="I1486" s="715"/>
      <c r="J1486" s="943">
        <v>0</v>
      </c>
      <c r="K1486" s="716"/>
      <c r="L1486" s="715"/>
      <c r="M1486" s="715"/>
      <c r="N1486" s="715"/>
      <c r="O1486" s="943">
        <v>0</v>
      </c>
      <c r="P1486" s="299"/>
      <c r="Q1486" s="715"/>
      <c r="R1486" s="715"/>
      <c r="S1486" s="715"/>
      <c r="T1486" s="943">
        <v>0</v>
      </c>
      <c r="U1486" s="299"/>
      <c r="V1486" s="300"/>
      <c r="W1486" s="300"/>
      <c r="X1486" s="715"/>
      <c r="Y1486" s="429">
        <v>0</v>
      </c>
      <c r="Z1486" s="299"/>
      <c r="AA1486" s="300"/>
      <c r="AB1486" s="300"/>
      <c r="AC1486" s="714">
        <v>-100</v>
      </c>
      <c r="AD1486" s="429">
        <v>-100</v>
      </c>
      <c r="AE1486" s="305">
        <v>-100</v>
      </c>
      <c r="AF1486" s="300"/>
      <c r="AG1486" s="307">
        <v>-80</v>
      </c>
      <c r="AH1486" s="714">
        <v>-80</v>
      </c>
      <c r="AI1486" s="429">
        <v>-80</v>
      </c>
      <c r="AJ1486" s="305">
        <v>-80</v>
      </c>
      <c r="AK1486" s="300"/>
      <c r="AL1486" s="300"/>
      <c r="AM1486" s="714">
        <v>-234</v>
      </c>
      <c r="AN1486" s="429">
        <v>-324</v>
      </c>
      <c r="AO1486" s="305">
        <v>-324</v>
      </c>
      <c r="AP1486" s="300"/>
      <c r="AQ1486" s="300"/>
      <c r="AR1486" s="715"/>
      <c r="AS1486" s="429">
        <v>0</v>
      </c>
      <c r="AT1486" s="299"/>
      <c r="AU1486" s="300"/>
      <c r="AV1486" s="300"/>
      <c r="AW1486" s="715"/>
      <c r="AX1486" s="429">
        <v>-5</v>
      </c>
      <c r="AY1486" s="305">
        <v>-5</v>
      </c>
      <c r="AZ1486" s="307">
        <v>-5</v>
      </c>
      <c r="BA1486" s="307">
        <v>-10</v>
      </c>
      <c r="BB1486" s="714">
        <v>-15</v>
      </c>
      <c r="BC1486" s="429">
        <v>-21.25</v>
      </c>
      <c r="BD1486" s="305">
        <v>-21.25</v>
      </c>
      <c r="BE1486" s="307">
        <v>-6.25</v>
      </c>
      <c r="BF1486" s="307">
        <v>-12.5</v>
      </c>
      <c r="BG1486" s="714">
        <v>-18.75</v>
      </c>
      <c r="BH1486" s="429">
        <v>-25</v>
      </c>
      <c r="BI1486" s="303">
        <v>-25</v>
      </c>
      <c r="BJ1486" s="300"/>
      <c r="BK1486" s="300"/>
      <c r="BL1486" s="300"/>
      <c r="BM1486" s="300">
        <v>0</v>
      </c>
      <c r="BN1486" s="401"/>
      <c r="BO1486" s="300"/>
      <c r="BP1486" s="300"/>
      <c r="BQ1486" s="300"/>
      <c r="BR1486" s="300">
        <v>0</v>
      </c>
      <c r="BS1486" s="401"/>
      <c r="BT1486" s="401"/>
      <c r="BU1486" s="401"/>
      <c r="BV1486" s="401"/>
      <c r="BW1486" s="122"/>
    </row>
    <row r="1487" spans="1:75" s="123" customFormat="1" hidden="1" outlineLevel="1" x14ac:dyDescent="0.5">
      <c r="A1487" s="464" t="s">
        <v>1396</v>
      </c>
      <c r="B1487" s="118"/>
      <c r="C1487" s="716"/>
      <c r="D1487" s="716"/>
      <c r="E1487" s="716"/>
      <c r="F1487" s="716"/>
      <c r="G1487" s="715"/>
      <c r="H1487" s="715"/>
      <c r="I1487" s="715"/>
      <c r="J1487" s="715">
        <v>0</v>
      </c>
      <c r="K1487" s="716"/>
      <c r="L1487" s="715"/>
      <c r="M1487" s="715"/>
      <c r="N1487" s="715"/>
      <c r="O1487" s="715">
        <v>0</v>
      </c>
      <c r="P1487" s="299"/>
      <c r="Q1487" s="715"/>
      <c r="R1487" s="715"/>
      <c r="S1487" s="715"/>
      <c r="T1487" s="715">
        <v>0</v>
      </c>
      <c r="U1487" s="299"/>
      <c r="V1487" s="300"/>
      <c r="W1487" s="300"/>
      <c r="X1487" s="715"/>
      <c r="Y1487" s="300">
        <v>0</v>
      </c>
      <c r="Z1487" s="299"/>
      <c r="AA1487" s="300"/>
      <c r="AB1487" s="300"/>
      <c r="AC1487" s="715"/>
      <c r="AD1487" s="300">
        <v>0</v>
      </c>
      <c r="AE1487" s="299"/>
      <c r="AF1487" s="300"/>
      <c r="AG1487" s="300"/>
      <c r="AH1487" s="715"/>
      <c r="AI1487" s="300">
        <v>0</v>
      </c>
      <c r="AJ1487" s="299"/>
      <c r="AK1487" s="300"/>
      <c r="AL1487" s="300"/>
      <c r="AM1487" s="715"/>
      <c r="AN1487" s="300">
        <v>0</v>
      </c>
      <c r="AO1487" s="299"/>
      <c r="AP1487" s="300"/>
      <c r="AQ1487" s="300"/>
      <c r="AR1487" s="715"/>
      <c r="AS1487" s="300">
        <v>0</v>
      </c>
      <c r="AT1487" s="299"/>
      <c r="AU1487" s="300"/>
      <c r="AV1487" s="300"/>
      <c r="AW1487" s="715"/>
      <c r="AX1487" s="300">
        <v>0</v>
      </c>
      <c r="AY1487" s="299"/>
      <c r="AZ1487" s="300"/>
      <c r="BA1487" s="300"/>
      <c r="BB1487" s="714">
        <v>16</v>
      </c>
      <c r="BC1487" s="429">
        <v>16</v>
      </c>
      <c r="BD1487" s="305">
        <v>16</v>
      </c>
      <c r="BE1487" s="300"/>
      <c r="BF1487" s="300"/>
      <c r="BG1487" s="715"/>
      <c r="BH1487" s="429">
        <v>0</v>
      </c>
      <c r="BI1487" s="304"/>
      <c r="BJ1487" s="300"/>
      <c r="BK1487" s="300"/>
      <c r="BL1487" s="300"/>
      <c r="BM1487" s="300">
        <v>0</v>
      </c>
      <c r="BN1487" s="401"/>
      <c r="BO1487" s="300"/>
      <c r="BP1487" s="300"/>
      <c r="BQ1487" s="300"/>
      <c r="BR1487" s="300">
        <v>0</v>
      </c>
      <c r="BS1487" s="401"/>
      <c r="BT1487" s="401"/>
      <c r="BU1487" s="401"/>
      <c r="BV1487" s="401"/>
      <c r="BW1487" s="122"/>
    </row>
    <row r="1488" spans="1:75" s="123" customFormat="1" hidden="1" outlineLevel="1" x14ac:dyDescent="0.5">
      <c r="A1488" s="464" t="s">
        <v>1397</v>
      </c>
      <c r="B1488" s="118"/>
      <c r="C1488" s="716"/>
      <c r="D1488" s="716"/>
      <c r="E1488" s="716"/>
      <c r="F1488" s="716"/>
      <c r="G1488" s="715"/>
      <c r="H1488" s="715"/>
      <c r="I1488" s="715"/>
      <c r="J1488" s="715">
        <v>0</v>
      </c>
      <c r="K1488" s="716"/>
      <c r="L1488" s="715"/>
      <c r="M1488" s="715"/>
      <c r="N1488" s="715"/>
      <c r="O1488" s="715">
        <v>0</v>
      </c>
      <c r="P1488" s="299"/>
      <c r="Q1488" s="715"/>
      <c r="R1488" s="715"/>
      <c r="S1488" s="715"/>
      <c r="T1488" s="715">
        <v>0</v>
      </c>
      <c r="U1488" s="299"/>
      <c r="V1488" s="300"/>
      <c r="W1488" s="300"/>
      <c r="X1488" s="715"/>
      <c r="Y1488" s="300">
        <v>0</v>
      </c>
      <c r="Z1488" s="299"/>
      <c r="AA1488" s="300"/>
      <c r="AB1488" s="300"/>
      <c r="AC1488" s="715"/>
      <c r="AD1488" s="300">
        <v>0</v>
      </c>
      <c r="AE1488" s="299"/>
      <c r="AF1488" s="300"/>
      <c r="AG1488" s="300"/>
      <c r="AH1488" s="715"/>
      <c r="AI1488" s="300">
        <v>0</v>
      </c>
      <c r="AJ1488" s="299"/>
      <c r="AK1488" s="300"/>
      <c r="AL1488" s="300"/>
      <c r="AM1488" s="715"/>
      <c r="AN1488" s="300">
        <v>0</v>
      </c>
      <c r="AO1488" s="299"/>
      <c r="AP1488" s="300"/>
      <c r="AQ1488" s="300"/>
      <c r="AR1488" s="715"/>
      <c r="AS1488" s="300">
        <v>0</v>
      </c>
      <c r="AT1488" s="299"/>
      <c r="AU1488" s="300"/>
      <c r="AV1488" s="300"/>
      <c r="AW1488" s="715"/>
      <c r="AX1488" s="300">
        <v>0</v>
      </c>
      <c r="AY1488" s="299"/>
      <c r="AZ1488" s="300"/>
      <c r="BA1488" s="300"/>
      <c r="BB1488" s="714">
        <v>-4.0000000000000001E-3</v>
      </c>
      <c r="BC1488" s="429">
        <v>-0.01</v>
      </c>
      <c r="BD1488" s="305">
        <v>-0.01</v>
      </c>
      <c r="BE1488" s="307">
        <v>-6.0000000000000001E-3</v>
      </c>
      <c r="BF1488" s="307">
        <v>-1.2999999999999999E-2</v>
      </c>
      <c r="BG1488" s="714">
        <v>-0.02</v>
      </c>
      <c r="BH1488" s="429">
        <v>-2.5999999999999999E-2</v>
      </c>
      <c r="BI1488" s="303">
        <v>-2.5999999999999999E-2</v>
      </c>
      <c r="BJ1488" s="300"/>
      <c r="BK1488" s="300"/>
      <c r="BL1488" s="300"/>
      <c r="BM1488" s="300">
        <v>0</v>
      </c>
      <c r="BN1488" s="401"/>
      <c r="BO1488" s="300"/>
      <c r="BP1488" s="300"/>
      <c r="BQ1488" s="300"/>
      <c r="BR1488" s="300">
        <v>0</v>
      </c>
      <c r="BS1488" s="401"/>
      <c r="BT1488" s="401"/>
      <c r="BU1488" s="401"/>
      <c r="BV1488" s="401"/>
      <c r="BW1488" s="122"/>
    </row>
    <row r="1489" spans="1:75" s="123" customFormat="1" hidden="1" outlineLevel="1" x14ac:dyDescent="0.5">
      <c r="A1489" s="464" t="s">
        <v>1398</v>
      </c>
      <c r="B1489" s="118"/>
      <c r="C1489" s="716"/>
      <c r="D1489" s="716"/>
      <c r="E1489" s="716"/>
      <c r="F1489" s="716"/>
      <c r="G1489" s="715"/>
      <c r="H1489" s="715"/>
      <c r="I1489" s="715"/>
      <c r="J1489" s="715">
        <v>0</v>
      </c>
      <c r="K1489" s="716"/>
      <c r="L1489" s="715"/>
      <c r="M1489" s="715"/>
      <c r="N1489" s="715"/>
      <c r="O1489" s="715">
        <v>0</v>
      </c>
      <c r="P1489" s="299"/>
      <c r="Q1489" s="715"/>
      <c r="R1489" s="715"/>
      <c r="S1489" s="715"/>
      <c r="T1489" s="715">
        <v>0</v>
      </c>
      <c r="U1489" s="299"/>
      <c r="V1489" s="300"/>
      <c r="W1489" s="300"/>
      <c r="X1489" s="715"/>
      <c r="Y1489" s="300">
        <v>0</v>
      </c>
      <c r="Z1489" s="299"/>
      <c r="AA1489" s="300"/>
      <c r="AB1489" s="307">
        <v>14</v>
      </c>
      <c r="AC1489" s="714">
        <v>34</v>
      </c>
      <c r="AD1489" s="429">
        <v>34</v>
      </c>
      <c r="AE1489" s="305">
        <v>34</v>
      </c>
      <c r="AF1489" s="300"/>
      <c r="AG1489" s="300"/>
      <c r="AH1489" s="715"/>
      <c r="AI1489" s="429">
        <v>0</v>
      </c>
      <c r="AJ1489" s="299"/>
      <c r="AK1489" s="307">
        <v>60</v>
      </c>
      <c r="AL1489" s="307">
        <v>69</v>
      </c>
      <c r="AM1489" s="714">
        <v>99</v>
      </c>
      <c r="AN1489" s="429">
        <v>122</v>
      </c>
      <c r="AO1489" s="305">
        <v>122</v>
      </c>
      <c r="AP1489" s="300"/>
      <c r="AQ1489" s="300"/>
      <c r="AR1489" s="714">
        <v>0</v>
      </c>
      <c r="AS1489" s="429">
        <v>12.856999999999999</v>
      </c>
      <c r="AT1489" s="305">
        <v>12.856999999999999</v>
      </c>
      <c r="AU1489" s="300"/>
      <c r="AV1489" s="300"/>
      <c r="AW1489" s="715"/>
      <c r="AX1489" s="429">
        <v>0</v>
      </c>
      <c r="AY1489" s="299"/>
      <c r="AZ1489" s="300"/>
      <c r="BA1489" s="300"/>
      <c r="BB1489" s="715"/>
      <c r="BC1489" s="429">
        <v>0</v>
      </c>
      <c r="BD1489" s="299"/>
      <c r="BE1489" s="300"/>
      <c r="BF1489" s="300"/>
      <c r="BG1489" s="715"/>
      <c r="BH1489" s="429">
        <v>0</v>
      </c>
      <c r="BI1489" s="304"/>
      <c r="BJ1489" s="300"/>
      <c r="BK1489" s="300"/>
      <c r="BL1489" s="300"/>
      <c r="BM1489" s="300">
        <v>0</v>
      </c>
      <c r="BN1489" s="401"/>
      <c r="BO1489" s="300"/>
      <c r="BP1489" s="300"/>
      <c r="BQ1489" s="300"/>
      <c r="BR1489" s="300">
        <v>0</v>
      </c>
      <c r="BS1489" s="401"/>
      <c r="BT1489" s="401"/>
      <c r="BU1489" s="401"/>
      <c r="BV1489" s="401"/>
      <c r="BW1489" s="122"/>
    </row>
    <row r="1490" spans="1:75" s="123" customFormat="1" hidden="1" outlineLevel="1" x14ac:dyDescent="0.5">
      <c r="A1490" s="464" t="s">
        <v>1399</v>
      </c>
      <c r="B1490" s="118"/>
      <c r="C1490" s="716"/>
      <c r="D1490" s="716"/>
      <c r="E1490" s="716"/>
      <c r="F1490" s="716"/>
      <c r="G1490" s="715"/>
      <c r="H1490" s="715"/>
      <c r="I1490" s="715"/>
      <c r="J1490" s="715">
        <v>0</v>
      </c>
      <c r="K1490" s="716"/>
      <c r="L1490" s="715"/>
      <c r="M1490" s="715"/>
      <c r="N1490" s="715"/>
      <c r="O1490" s="715">
        <v>0</v>
      </c>
      <c r="P1490" s="299"/>
      <c r="Q1490" s="715"/>
      <c r="R1490" s="715"/>
      <c r="S1490" s="715"/>
      <c r="T1490" s="715">
        <v>0</v>
      </c>
      <c r="U1490" s="299"/>
      <c r="V1490" s="300"/>
      <c r="W1490" s="300"/>
      <c r="X1490" s="715"/>
      <c r="Y1490" s="300">
        <v>0</v>
      </c>
      <c r="Z1490" s="299"/>
      <c r="AA1490" s="300"/>
      <c r="AB1490" s="307">
        <v>-0.11700000000000001</v>
      </c>
      <c r="AC1490" s="714">
        <v>-0.84099999999999997</v>
      </c>
      <c r="AD1490" s="429">
        <v>-2.319</v>
      </c>
      <c r="AE1490" s="305">
        <v>-2.319</v>
      </c>
      <c r="AF1490" s="307">
        <v>-1.4910000000000001</v>
      </c>
      <c r="AG1490" s="307">
        <v>-31.974</v>
      </c>
      <c r="AH1490" s="714">
        <v>-31.974</v>
      </c>
      <c r="AI1490" s="429">
        <v>-31.974</v>
      </c>
      <c r="AJ1490" s="305">
        <v>-31.974</v>
      </c>
      <c r="AK1490" s="307">
        <v>-0.98299999999999998</v>
      </c>
      <c r="AL1490" s="307">
        <v>-5.8850000000000007</v>
      </c>
      <c r="AM1490" s="714">
        <v>-10.28</v>
      </c>
      <c r="AN1490" s="429">
        <v>-16.52</v>
      </c>
      <c r="AO1490" s="305">
        <v>-16.52</v>
      </c>
      <c r="AP1490" s="307">
        <v>-5.1660000000000004</v>
      </c>
      <c r="AQ1490" s="307">
        <v>-5.4080000000000004</v>
      </c>
      <c r="AR1490" s="714">
        <v>-10.872</v>
      </c>
      <c r="AS1490" s="429">
        <v>-34.456000000000003</v>
      </c>
      <c r="AT1490" s="305">
        <v>-34.456000000000003</v>
      </c>
      <c r="AU1490" s="307">
        <v>-5.7919999999999998</v>
      </c>
      <c r="AV1490" s="307">
        <v>-11.446</v>
      </c>
      <c r="AW1490" s="714">
        <v>-17.164000000000001</v>
      </c>
      <c r="AX1490" s="429">
        <v>-22.949000000000002</v>
      </c>
      <c r="AY1490" s="305">
        <v>-22.949000000000002</v>
      </c>
      <c r="AZ1490" s="307">
        <v>-10.91</v>
      </c>
      <c r="BA1490" s="307">
        <v>-12.807</v>
      </c>
      <c r="BB1490" s="714">
        <v>-13.157</v>
      </c>
      <c r="BC1490" s="429">
        <v>-13.863</v>
      </c>
      <c r="BD1490" s="305">
        <v>-13.863</v>
      </c>
      <c r="BE1490" s="307">
        <v>-1.1599999999999999</v>
      </c>
      <c r="BF1490" s="307">
        <v>-1.1599999999999999</v>
      </c>
      <c r="BG1490" s="714">
        <v>-1.1599999999999999</v>
      </c>
      <c r="BH1490" s="429">
        <v>-1.1599999999999999</v>
      </c>
      <c r="BI1490" s="303">
        <v>-1.1599999999999999</v>
      </c>
      <c r="BJ1490" s="300"/>
      <c r="BK1490" s="300"/>
      <c r="BL1490" s="300"/>
      <c r="BM1490" s="300">
        <v>0</v>
      </c>
      <c r="BN1490" s="401"/>
      <c r="BO1490" s="300"/>
      <c r="BP1490" s="300"/>
      <c r="BQ1490" s="300"/>
      <c r="BR1490" s="300">
        <v>0</v>
      </c>
      <c r="BS1490" s="401"/>
      <c r="BT1490" s="401"/>
      <c r="BU1490" s="401"/>
      <c r="BV1490" s="401"/>
      <c r="BW1490" s="122"/>
    </row>
    <row r="1491" spans="1:75" s="123" customFormat="1" hidden="1" outlineLevel="1" x14ac:dyDescent="0.5">
      <c r="A1491" s="464" t="s">
        <v>1400</v>
      </c>
      <c r="B1491" s="118"/>
      <c r="C1491" s="716"/>
      <c r="D1491" s="716"/>
      <c r="E1491" s="716"/>
      <c r="F1491" s="716"/>
      <c r="G1491" s="715"/>
      <c r="H1491" s="715"/>
      <c r="I1491" s="715"/>
      <c r="J1491" s="715">
        <v>0</v>
      </c>
      <c r="K1491" s="716"/>
      <c r="L1491" s="715"/>
      <c r="M1491" s="715"/>
      <c r="N1491" s="715"/>
      <c r="O1491" s="715">
        <v>0</v>
      </c>
      <c r="P1491" s="299"/>
      <c r="Q1491" s="715"/>
      <c r="R1491" s="715"/>
      <c r="S1491" s="715"/>
      <c r="T1491" s="715">
        <v>0</v>
      </c>
      <c r="U1491" s="299"/>
      <c r="V1491" s="300"/>
      <c r="W1491" s="300"/>
      <c r="X1491" s="715"/>
      <c r="Y1491" s="300">
        <v>0</v>
      </c>
      <c r="Z1491" s="299"/>
      <c r="AA1491" s="300"/>
      <c r="AB1491" s="300"/>
      <c r="AC1491" s="715"/>
      <c r="AD1491" s="300">
        <v>0</v>
      </c>
      <c r="AE1491" s="299"/>
      <c r="AF1491" s="300"/>
      <c r="AG1491" s="300"/>
      <c r="AH1491" s="715"/>
      <c r="AI1491" s="300">
        <v>0</v>
      </c>
      <c r="AJ1491" s="299"/>
      <c r="AK1491" s="300"/>
      <c r="AL1491" s="300"/>
      <c r="AM1491" s="715"/>
      <c r="AN1491" s="300">
        <v>0</v>
      </c>
      <c r="AO1491" s="299"/>
      <c r="AP1491" s="300"/>
      <c r="AQ1491" s="300"/>
      <c r="AR1491" s="715"/>
      <c r="AS1491" s="300">
        <v>0</v>
      </c>
      <c r="AT1491" s="299"/>
      <c r="AU1491" s="300"/>
      <c r="AV1491" s="300"/>
      <c r="AW1491" s="715"/>
      <c r="AX1491" s="300">
        <v>0</v>
      </c>
      <c r="AY1491" s="299"/>
      <c r="AZ1491" s="300"/>
      <c r="BA1491" s="300"/>
      <c r="BB1491" s="714">
        <v>-8.0589999999999993</v>
      </c>
      <c r="BC1491" s="429">
        <v>-8.0589999999999993</v>
      </c>
      <c r="BD1491" s="305">
        <v>-8.0589999999999993</v>
      </c>
      <c r="BE1491" s="300"/>
      <c r="BF1491" s="300"/>
      <c r="BG1491" s="715"/>
      <c r="BH1491" s="429">
        <v>0</v>
      </c>
      <c r="BI1491" s="304"/>
      <c r="BJ1491" s="300"/>
      <c r="BK1491" s="300"/>
      <c r="BL1491" s="300"/>
      <c r="BM1491" s="300">
        <v>0</v>
      </c>
      <c r="BN1491" s="401"/>
      <c r="BO1491" s="300"/>
      <c r="BP1491" s="300"/>
      <c r="BQ1491" s="300"/>
      <c r="BR1491" s="300">
        <v>0</v>
      </c>
      <c r="BS1491" s="401"/>
      <c r="BT1491" s="401"/>
      <c r="BU1491" s="401"/>
      <c r="BV1491" s="401"/>
      <c r="BW1491" s="122"/>
    </row>
    <row r="1492" spans="1:75" s="123" customFormat="1" hidden="1" outlineLevel="1" x14ac:dyDescent="0.5">
      <c r="A1492" s="464" t="s">
        <v>1401</v>
      </c>
      <c r="B1492" s="118"/>
      <c r="C1492" s="716"/>
      <c r="D1492" s="716"/>
      <c r="E1492" s="716"/>
      <c r="F1492" s="716"/>
      <c r="G1492" s="715"/>
      <c r="H1492" s="715"/>
      <c r="I1492" s="715"/>
      <c r="J1492" s="715">
        <v>0</v>
      </c>
      <c r="K1492" s="716"/>
      <c r="L1492" s="715"/>
      <c r="M1492" s="715"/>
      <c r="N1492" s="715"/>
      <c r="O1492" s="715">
        <v>0</v>
      </c>
      <c r="P1492" s="299"/>
      <c r="Q1492" s="715"/>
      <c r="R1492" s="715"/>
      <c r="S1492" s="715"/>
      <c r="T1492" s="715">
        <v>0</v>
      </c>
      <c r="U1492" s="299"/>
      <c r="V1492" s="300"/>
      <c r="W1492" s="300"/>
      <c r="X1492" s="715"/>
      <c r="Y1492" s="300">
        <v>0</v>
      </c>
      <c r="Z1492" s="299"/>
      <c r="AA1492" s="300"/>
      <c r="AB1492" s="300"/>
      <c r="AC1492" s="715"/>
      <c r="AD1492" s="300">
        <v>0</v>
      </c>
      <c r="AE1492" s="299"/>
      <c r="AF1492" s="300"/>
      <c r="AG1492" s="300"/>
      <c r="AH1492" s="715"/>
      <c r="AI1492" s="300">
        <v>0</v>
      </c>
      <c r="AJ1492" s="299"/>
      <c r="AK1492" s="300"/>
      <c r="AL1492" s="300"/>
      <c r="AM1492" s="714">
        <v>-4.6360000000000001</v>
      </c>
      <c r="AN1492" s="429">
        <v>-4.6360000000000001</v>
      </c>
      <c r="AO1492" s="305">
        <v>-4.6360000000000001</v>
      </c>
      <c r="AP1492" s="300"/>
      <c r="AQ1492" s="300"/>
      <c r="AR1492" s="715"/>
      <c r="AS1492" s="429">
        <v>0</v>
      </c>
      <c r="AT1492" s="299"/>
      <c r="AU1492" s="300"/>
      <c r="AV1492" s="307">
        <v>-3.6339999999999999</v>
      </c>
      <c r="AW1492" s="714">
        <v>-26.411000000000001</v>
      </c>
      <c r="AX1492" s="429">
        <v>-26.411000000000001</v>
      </c>
      <c r="AY1492" s="305">
        <v>-26.411000000000001</v>
      </c>
      <c r="AZ1492" s="300"/>
      <c r="BA1492" s="307">
        <v>-27.646000000000001</v>
      </c>
      <c r="BB1492" s="714">
        <v>-27.733000000000001</v>
      </c>
      <c r="BC1492" s="429">
        <v>-28.068999999999999</v>
      </c>
      <c r="BD1492" s="305">
        <v>-28.068999999999999</v>
      </c>
      <c r="BE1492" s="300"/>
      <c r="BF1492" s="300"/>
      <c r="BG1492" s="715"/>
      <c r="BH1492" s="429">
        <v>0</v>
      </c>
      <c r="BI1492" s="304"/>
      <c r="BJ1492" s="300"/>
      <c r="BK1492" s="300"/>
      <c r="BL1492" s="300"/>
      <c r="BM1492" s="300">
        <v>0</v>
      </c>
      <c r="BN1492" s="401"/>
      <c r="BO1492" s="300"/>
      <c r="BP1492" s="300"/>
      <c r="BQ1492" s="300"/>
      <c r="BR1492" s="300">
        <v>0</v>
      </c>
      <c r="BS1492" s="401"/>
      <c r="BT1492" s="401"/>
      <c r="BU1492" s="401"/>
      <c r="BV1492" s="401"/>
      <c r="BW1492" s="122"/>
    </row>
    <row r="1493" spans="1:75" s="123" customFormat="1" hidden="1" outlineLevel="1" x14ac:dyDescent="0.5">
      <c r="A1493" s="464" t="s">
        <v>1402</v>
      </c>
      <c r="B1493" s="118"/>
      <c r="C1493" s="716"/>
      <c r="D1493" s="716"/>
      <c r="E1493" s="716"/>
      <c r="F1493" s="716"/>
      <c r="G1493" s="715"/>
      <c r="H1493" s="715"/>
      <c r="I1493" s="715"/>
      <c r="J1493" s="715">
        <v>0</v>
      </c>
      <c r="K1493" s="716"/>
      <c r="L1493" s="715"/>
      <c r="M1493" s="715"/>
      <c r="N1493" s="715"/>
      <c r="O1493" s="715">
        <v>0</v>
      </c>
      <c r="P1493" s="299"/>
      <c r="Q1493" s="715"/>
      <c r="R1493" s="715"/>
      <c r="S1493" s="715"/>
      <c r="T1493" s="715">
        <v>0</v>
      </c>
      <c r="U1493" s="299"/>
      <c r="V1493" s="300"/>
      <c r="W1493" s="300"/>
      <c r="X1493" s="715"/>
      <c r="Y1493" s="300">
        <v>0</v>
      </c>
      <c r="Z1493" s="299"/>
      <c r="AA1493" s="300"/>
      <c r="AB1493" s="300"/>
      <c r="AC1493" s="715"/>
      <c r="AD1493" s="300">
        <v>0</v>
      </c>
      <c r="AE1493" s="299"/>
      <c r="AF1493" s="307">
        <v>-1.776</v>
      </c>
      <c r="AG1493" s="307">
        <v>-3.5670000000000002</v>
      </c>
      <c r="AH1493" s="714">
        <v>-4.9370000000000003</v>
      </c>
      <c r="AI1493" s="429">
        <v>-6.8849999999999998</v>
      </c>
      <c r="AJ1493" s="305">
        <v>-6.8849999999999998</v>
      </c>
      <c r="AK1493" s="307">
        <v>-2.129</v>
      </c>
      <c r="AL1493" s="307">
        <v>-4.399</v>
      </c>
      <c r="AM1493" s="714">
        <v>-7.1360000000000001</v>
      </c>
      <c r="AN1493" s="429">
        <v>-9.6820000000000004</v>
      </c>
      <c r="AO1493" s="305">
        <v>-9.6820000000000004</v>
      </c>
      <c r="AP1493" s="307">
        <v>-2.0680000000000001</v>
      </c>
      <c r="AQ1493" s="307">
        <v>-4.641</v>
      </c>
      <c r="AR1493" s="714">
        <v>-8.8010000000000002</v>
      </c>
      <c r="AS1493" s="429">
        <v>-12.497999999999999</v>
      </c>
      <c r="AT1493" s="305">
        <v>-12.497999999999999</v>
      </c>
      <c r="AU1493" s="307">
        <v>-3.6709999999999998</v>
      </c>
      <c r="AV1493" s="307">
        <v>-7.1079999999999997</v>
      </c>
      <c r="AW1493" s="714">
        <v>-10.510999999999999</v>
      </c>
      <c r="AX1493" s="429">
        <v>-14.157999999999999</v>
      </c>
      <c r="AY1493" s="305">
        <v>-14.157999999999999</v>
      </c>
      <c r="AZ1493" s="307">
        <v>-3.5590000000000002</v>
      </c>
      <c r="BA1493" s="307">
        <v>-3.1320000000000001</v>
      </c>
      <c r="BB1493" s="714">
        <v>-6.798</v>
      </c>
      <c r="BC1493" s="429">
        <v>-10.146000000000001</v>
      </c>
      <c r="BD1493" s="305">
        <v>-10.146000000000001</v>
      </c>
      <c r="BE1493" s="307">
        <v>-3.8769999999999998</v>
      </c>
      <c r="BF1493" s="307">
        <v>-5.4539999999999997</v>
      </c>
      <c r="BG1493" s="714">
        <v>-9.5510000000000002</v>
      </c>
      <c r="BH1493" s="429">
        <v>-13.972</v>
      </c>
      <c r="BI1493" s="303">
        <v>-13.972</v>
      </c>
      <c r="BJ1493" s="300"/>
      <c r="BK1493" s="300"/>
      <c r="BL1493" s="300"/>
      <c r="BM1493" s="300">
        <v>0</v>
      </c>
      <c r="BN1493" s="401"/>
      <c r="BO1493" s="300"/>
      <c r="BP1493" s="300"/>
      <c r="BQ1493" s="300"/>
      <c r="BR1493" s="300">
        <v>0</v>
      </c>
      <c r="BS1493" s="401"/>
      <c r="BT1493" s="401"/>
      <c r="BU1493" s="401"/>
      <c r="BV1493" s="401"/>
      <c r="BW1493" s="122"/>
    </row>
    <row r="1494" spans="1:75" s="123" customFormat="1" hidden="1" outlineLevel="1" x14ac:dyDescent="0.5">
      <c r="A1494" s="464" t="s">
        <v>1403</v>
      </c>
      <c r="B1494" s="118"/>
      <c r="C1494" s="716"/>
      <c r="D1494" s="716"/>
      <c r="E1494" s="716"/>
      <c r="F1494" s="716"/>
      <c r="G1494" s="715"/>
      <c r="H1494" s="715"/>
      <c r="I1494" s="715"/>
      <c r="J1494" s="943">
        <v>0</v>
      </c>
      <c r="K1494" s="716"/>
      <c r="L1494" s="715"/>
      <c r="M1494" s="714">
        <v>0</v>
      </c>
      <c r="N1494" s="714">
        <v>0</v>
      </c>
      <c r="O1494" s="943">
        <v>-2.133</v>
      </c>
      <c r="P1494" s="305">
        <v>-2.133</v>
      </c>
      <c r="Q1494" s="715"/>
      <c r="R1494" s="715"/>
      <c r="S1494" s="715"/>
      <c r="T1494" s="943">
        <v>0</v>
      </c>
      <c r="U1494" s="299"/>
      <c r="V1494" s="300"/>
      <c r="W1494" s="300"/>
      <c r="X1494" s="715"/>
      <c r="Y1494" s="429">
        <v>0</v>
      </c>
      <c r="Z1494" s="299"/>
      <c r="AA1494" s="300"/>
      <c r="AB1494" s="300"/>
      <c r="AC1494" s="715"/>
      <c r="AD1494" s="429">
        <v>0</v>
      </c>
      <c r="AE1494" s="299"/>
      <c r="AF1494" s="300"/>
      <c r="AG1494" s="300"/>
      <c r="AH1494" s="715"/>
      <c r="AI1494" s="429">
        <v>0</v>
      </c>
      <c r="AJ1494" s="299"/>
      <c r="AK1494" s="300"/>
      <c r="AL1494" s="300"/>
      <c r="AM1494" s="715"/>
      <c r="AN1494" s="429">
        <v>0</v>
      </c>
      <c r="AO1494" s="299"/>
      <c r="AP1494" s="300"/>
      <c r="AQ1494" s="300"/>
      <c r="AR1494" s="715"/>
      <c r="AS1494" s="429">
        <v>0</v>
      </c>
      <c r="AT1494" s="299"/>
      <c r="AU1494" s="300"/>
      <c r="AV1494" s="300"/>
      <c r="AW1494" s="715"/>
      <c r="AX1494" s="429">
        <v>0</v>
      </c>
      <c r="AY1494" s="299"/>
      <c r="AZ1494" s="300"/>
      <c r="BA1494" s="300"/>
      <c r="BB1494" s="715"/>
      <c r="BC1494" s="429">
        <v>0</v>
      </c>
      <c r="BD1494" s="299"/>
      <c r="BE1494" s="300"/>
      <c r="BF1494" s="300"/>
      <c r="BG1494" s="715"/>
      <c r="BH1494" s="429">
        <v>0</v>
      </c>
      <c r="BI1494" s="304"/>
      <c r="BJ1494" s="300"/>
      <c r="BK1494" s="300"/>
      <c r="BL1494" s="300"/>
      <c r="BM1494" s="300">
        <v>0</v>
      </c>
      <c r="BN1494" s="401"/>
      <c r="BO1494" s="300"/>
      <c r="BP1494" s="300"/>
      <c r="BQ1494" s="300"/>
      <c r="BR1494" s="300">
        <v>0</v>
      </c>
      <c r="BS1494" s="401"/>
      <c r="BT1494" s="401"/>
      <c r="BU1494" s="401"/>
      <c r="BV1494" s="401"/>
      <c r="BW1494" s="122"/>
    </row>
    <row r="1495" spans="1:75" s="123" customFormat="1" hidden="1" outlineLevel="1" x14ac:dyDescent="0.5">
      <c r="A1495" s="464" t="s">
        <v>1404</v>
      </c>
      <c r="B1495" s="118"/>
      <c r="C1495" s="716"/>
      <c r="D1495" s="716"/>
      <c r="E1495" s="713">
        <v>15</v>
      </c>
      <c r="F1495" s="716"/>
      <c r="G1495" s="715"/>
      <c r="H1495" s="715"/>
      <c r="I1495" s="715"/>
      <c r="J1495" s="943">
        <v>0</v>
      </c>
      <c r="K1495" s="716"/>
      <c r="L1495" s="715"/>
      <c r="M1495" s="714">
        <v>350</v>
      </c>
      <c r="N1495" s="714">
        <v>350</v>
      </c>
      <c r="O1495" s="943">
        <v>350</v>
      </c>
      <c r="P1495" s="305">
        <v>350</v>
      </c>
      <c r="Q1495" s="715"/>
      <c r="R1495" s="714">
        <v>296.25</v>
      </c>
      <c r="S1495" s="714">
        <v>296.25</v>
      </c>
      <c r="T1495" s="943">
        <v>296.25</v>
      </c>
      <c r="U1495" s="305">
        <v>296.25</v>
      </c>
      <c r="V1495" s="300"/>
      <c r="W1495" s="300"/>
      <c r="X1495" s="715"/>
      <c r="Y1495" s="429">
        <v>0</v>
      </c>
      <c r="Z1495" s="299"/>
      <c r="AA1495" s="300"/>
      <c r="AB1495" s="300"/>
      <c r="AC1495" s="715"/>
      <c r="AD1495" s="429">
        <v>0</v>
      </c>
      <c r="AE1495" s="299"/>
      <c r="AF1495" s="300"/>
      <c r="AG1495" s="307">
        <v>335</v>
      </c>
      <c r="AH1495" s="714">
        <v>335</v>
      </c>
      <c r="AI1495" s="429">
        <v>335</v>
      </c>
      <c r="AJ1495" s="305">
        <v>335</v>
      </c>
      <c r="AK1495" s="300"/>
      <c r="AL1495" s="300"/>
      <c r="AM1495" s="714">
        <v>350</v>
      </c>
      <c r="AN1495" s="429">
        <v>350</v>
      </c>
      <c r="AO1495" s="305">
        <v>350</v>
      </c>
      <c r="AP1495" s="300"/>
      <c r="AQ1495" s="300"/>
      <c r="AR1495" s="715"/>
      <c r="AS1495" s="429">
        <v>0</v>
      </c>
      <c r="AT1495" s="299"/>
      <c r="AU1495" s="300"/>
      <c r="AV1495" s="300"/>
      <c r="AW1495" s="715"/>
      <c r="AX1495" s="429">
        <v>0</v>
      </c>
      <c r="AY1495" s="299"/>
      <c r="AZ1495" s="300"/>
      <c r="BA1495" s="300"/>
      <c r="BB1495" s="715"/>
      <c r="BC1495" s="429">
        <v>0</v>
      </c>
      <c r="BD1495" s="299"/>
      <c r="BE1495" s="300"/>
      <c r="BF1495" s="300"/>
      <c r="BG1495" s="715"/>
      <c r="BH1495" s="429">
        <v>0</v>
      </c>
      <c r="BI1495" s="304"/>
      <c r="BJ1495" s="300"/>
      <c r="BK1495" s="300"/>
      <c r="BL1495" s="300"/>
      <c r="BM1495" s="300">
        <v>0</v>
      </c>
      <c r="BN1495" s="401"/>
      <c r="BO1495" s="300"/>
      <c r="BP1495" s="300"/>
      <c r="BQ1495" s="300"/>
      <c r="BR1495" s="300">
        <v>0</v>
      </c>
      <c r="BS1495" s="401"/>
      <c r="BT1495" s="401"/>
      <c r="BU1495" s="401"/>
      <c r="BV1495" s="401"/>
      <c r="BW1495" s="122"/>
    </row>
    <row r="1496" spans="1:75" s="123" customFormat="1" hidden="1" outlineLevel="1" x14ac:dyDescent="0.5">
      <c r="A1496" s="464" t="s">
        <v>1405</v>
      </c>
      <c r="B1496" s="118"/>
      <c r="C1496" s="716"/>
      <c r="D1496" s="716"/>
      <c r="E1496" s="716"/>
      <c r="F1496" s="716"/>
      <c r="G1496" s="715"/>
      <c r="H1496" s="715"/>
      <c r="I1496" s="715"/>
      <c r="J1496" s="715">
        <v>0</v>
      </c>
      <c r="K1496" s="716"/>
      <c r="L1496" s="715"/>
      <c r="M1496" s="715"/>
      <c r="N1496" s="715"/>
      <c r="O1496" s="715">
        <v>0</v>
      </c>
      <c r="P1496" s="299"/>
      <c r="Q1496" s="715"/>
      <c r="R1496" s="715"/>
      <c r="S1496" s="715"/>
      <c r="T1496" s="715">
        <v>0</v>
      </c>
      <c r="U1496" s="299"/>
      <c r="V1496" s="300"/>
      <c r="W1496" s="300"/>
      <c r="X1496" s="715"/>
      <c r="Y1496" s="300">
        <v>0</v>
      </c>
      <c r="Z1496" s="299"/>
      <c r="AA1496" s="300"/>
      <c r="AB1496" s="300"/>
      <c r="AC1496" s="715"/>
      <c r="AD1496" s="300">
        <v>0</v>
      </c>
      <c r="AE1496" s="299"/>
      <c r="AF1496" s="300"/>
      <c r="AG1496" s="300"/>
      <c r="AH1496" s="715"/>
      <c r="AI1496" s="300">
        <v>0</v>
      </c>
      <c r="AJ1496" s="299"/>
      <c r="AK1496" s="300"/>
      <c r="AL1496" s="307">
        <v>-278.56</v>
      </c>
      <c r="AM1496" s="714">
        <v>-278.56</v>
      </c>
      <c r="AN1496" s="429">
        <v>-278.56</v>
      </c>
      <c r="AO1496" s="305">
        <v>-278.56</v>
      </c>
      <c r="AP1496" s="300"/>
      <c r="AQ1496" s="307">
        <v>-215.846</v>
      </c>
      <c r="AR1496" s="714">
        <v>-215.846</v>
      </c>
      <c r="AS1496" s="429">
        <v>-215.846</v>
      </c>
      <c r="AT1496" s="305">
        <v>-215.846</v>
      </c>
      <c r="AU1496" s="307">
        <v>-2.0350000000000001</v>
      </c>
      <c r="AV1496" s="307">
        <v>-28.111000000000001</v>
      </c>
      <c r="AW1496" s="714">
        <v>-235.126</v>
      </c>
      <c r="AX1496" s="429">
        <v>-335.72899999999998</v>
      </c>
      <c r="AY1496" s="305">
        <v>-335.72899999999998</v>
      </c>
      <c r="AZ1496" s="307">
        <v>-13.048</v>
      </c>
      <c r="BA1496" s="307">
        <v>-13.048</v>
      </c>
      <c r="BB1496" s="714">
        <v>-13.053000000000001</v>
      </c>
      <c r="BC1496" s="429">
        <v>-13.064</v>
      </c>
      <c r="BD1496" s="305">
        <v>-13.064</v>
      </c>
      <c r="BE1496" s="307">
        <v>-2E-3</v>
      </c>
      <c r="BF1496" s="307">
        <v>-1.696</v>
      </c>
      <c r="BG1496" s="714">
        <v>-1.696</v>
      </c>
      <c r="BH1496" s="429">
        <v>-1.696</v>
      </c>
      <c r="BI1496" s="303">
        <v>-1.696</v>
      </c>
      <c r="BJ1496" s="300"/>
      <c r="BK1496" s="300"/>
      <c r="BL1496" s="300"/>
      <c r="BM1496" s="300">
        <v>0</v>
      </c>
      <c r="BN1496" s="401"/>
      <c r="BO1496" s="300"/>
      <c r="BP1496" s="300"/>
      <c r="BQ1496" s="300"/>
      <c r="BR1496" s="300">
        <v>0</v>
      </c>
      <c r="BS1496" s="401"/>
      <c r="BT1496" s="401"/>
      <c r="BU1496" s="401"/>
      <c r="BV1496" s="401"/>
      <c r="BW1496" s="122"/>
    </row>
    <row r="1497" spans="1:75" s="123" customFormat="1" hidden="1" outlineLevel="1" x14ac:dyDescent="0.5">
      <c r="A1497" s="464" t="s">
        <v>1406</v>
      </c>
      <c r="B1497" s="118"/>
      <c r="C1497" s="716"/>
      <c r="D1497" s="716"/>
      <c r="E1497" s="716"/>
      <c r="F1497" s="716"/>
      <c r="G1497" s="715"/>
      <c r="H1497" s="715"/>
      <c r="I1497" s="715"/>
      <c r="J1497" s="715">
        <v>0</v>
      </c>
      <c r="K1497" s="716"/>
      <c r="L1497" s="715"/>
      <c r="M1497" s="715"/>
      <c r="N1497" s="715"/>
      <c r="O1497" s="715">
        <v>0</v>
      </c>
      <c r="P1497" s="299"/>
      <c r="Q1497" s="715"/>
      <c r="R1497" s="715"/>
      <c r="S1497" s="715"/>
      <c r="T1497" s="715">
        <v>0</v>
      </c>
      <c r="U1497" s="299"/>
      <c r="V1497" s="300"/>
      <c r="W1497" s="300"/>
      <c r="X1497" s="715"/>
      <c r="Y1497" s="300">
        <v>0</v>
      </c>
      <c r="Z1497" s="299"/>
      <c r="AA1497" s="300"/>
      <c r="AB1497" s="300"/>
      <c r="AC1497" s="715"/>
      <c r="AD1497" s="300">
        <v>0</v>
      </c>
      <c r="AE1497" s="299"/>
      <c r="AF1497" s="300"/>
      <c r="AG1497" s="300"/>
      <c r="AH1497" s="715"/>
      <c r="AI1497" s="300">
        <v>0</v>
      </c>
      <c r="AJ1497" s="299"/>
      <c r="AK1497" s="300"/>
      <c r="AL1497" s="300"/>
      <c r="AM1497" s="715"/>
      <c r="AN1497" s="300">
        <v>0</v>
      </c>
      <c r="AO1497" s="299"/>
      <c r="AP1497" s="300"/>
      <c r="AQ1497" s="300"/>
      <c r="AR1497" s="715"/>
      <c r="AS1497" s="300">
        <v>0</v>
      </c>
      <c r="AT1497" s="299"/>
      <c r="AU1497" s="300"/>
      <c r="AV1497" s="300"/>
      <c r="AW1497" s="715"/>
      <c r="AX1497" s="300">
        <v>0</v>
      </c>
      <c r="AY1497" s="299"/>
      <c r="AZ1497" s="300"/>
      <c r="BA1497" s="307">
        <v>-395.37200000000001</v>
      </c>
      <c r="BB1497" s="714">
        <v>-395.37200000000001</v>
      </c>
      <c r="BC1497" s="429">
        <v>-395.37200000000001</v>
      </c>
      <c r="BD1497" s="305">
        <v>-395.37200000000001</v>
      </c>
      <c r="BE1497" s="300"/>
      <c r="BF1497" s="300"/>
      <c r="BG1497" s="715"/>
      <c r="BH1497" s="429">
        <v>0</v>
      </c>
      <c r="BI1497" s="304"/>
      <c r="BJ1497" s="300"/>
      <c r="BK1497" s="300"/>
      <c r="BL1497" s="300"/>
      <c r="BM1497" s="300">
        <v>0</v>
      </c>
      <c r="BN1497" s="401"/>
      <c r="BO1497" s="300"/>
      <c r="BP1497" s="300"/>
      <c r="BQ1497" s="300"/>
      <c r="BR1497" s="300">
        <v>0</v>
      </c>
      <c r="BS1497" s="401"/>
      <c r="BT1497" s="401"/>
      <c r="BU1497" s="401"/>
      <c r="BV1497" s="401"/>
      <c r="BW1497" s="122"/>
    </row>
    <row r="1498" spans="1:75" s="123" customFormat="1" hidden="1" outlineLevel="1" x14ac:dyDescent="0.5">
      <c r="A1498" s="464" t="s">
        <v>1407</v>
      </c>
      <c r="B1498" s="118"/>
      <c r="C1498" s="716"/>
      <c r="D1498" s="716"/>
      <c r="E1498" s="716"/>
      <c r="F1498" s="716"/>
      <c r="G1498" s="715"/>
      <c r="H1498" s="715"/>
      <c r="I1498" s="715"/>
      <c r="J1498" s="943">
        <v>0</v>
      </c>
      <c r="K1498" s="716"/>
      <c r="L1498" s="715"/>
      <c r="M1498" s="714">
        <v>40.39</v>
      </c>
      <c r="N1498" s="714">
        <v>40.39</v>
      </c>
      <c r="O1498" s="943">
        <v>40.39</v>
      </c>
      <c r="P1498" s="305">
        <v>40.39</v>
      </c>
      <c r="Q1498" s="715"/>
      <c r="R1498" s="714">
        <v>30.39</v>
      </c>
      <c r="S1498" s="714">
        <v>30.39</v>
      </c>
      <c r="T1498" s="943">
        <v>30.39</v>
      </c>
      <c r="U1498" s="305">
        <v>30.39</v>
      </c>
      <c r="V1498" s="300"/>
      <c r="W1498" s="300"/>
      <c r="X1498" s="715"/>
      <c r="Y1498" s="429">
        <v>0</v>
      </c>
      <c r="Z1498" s="299"/>
      <c r="AA1498" s="300"/>
      <c r="AB1498" s="300"/>
      <c r="AC1498" s="715"/>
      <c r="AD1498" s="429">
        <v>0</v>
      </c>
      <c r="AE1498" s="299"/>
      <c r="AF1498" s="300"/>
      <c r="AG1498" s="307">
        <v>51.021000000000001</v>
      </c>
      <c r="AH1498" s="714">
        <v>51.021000000000001</v>
      </c>
      <c r="AI1498" s="429">
        <v>51.021000000000001</v>
      </c>
      <c r="AJ1498" s="305">
        <v>51.021000000000001</v>
      </c>
      <c r="AK1498" s="300"/>
      <c r="AL1498" s="300"/>
      <c r="AM1498" s="714">
        <v>50.225000000000001</v>
      </c>
      <c r="AN1498" s="429">
        <v>50.225000000000001</v>
      </c>
      <c r="AO1498" s="305">
        <v>50.225000000000001</v>
      </c>
      <c r="AP1498" s="300"/>
      <c r="AQ1498" s="300"/>
      <c r="AR1498" s="715"/>
      <c r="AS1498" s="429">
        <v>0</v>
      </c>
      <c r="AT1498" s="299"/>
      <c r="AU1498" s="300"/>
      <c r="AV1498" s="300"/>
      <c r="AW1498" s="715"/>
      <c r="AX1498" s="429">
        <v>0</v>
      </c>
      <c r="AY1498" s="299"/>
      <c r="AZ1498" s="300"/>
      <c r="BA1498" s="300"/>
      <c r="BB1498" s="715"/>
      <c r="BC1498" s="429">
        <v>0</v>
      </c>
      <c r="BD1498" s="299"/>
      <c r="BE1498" s="300"/>
      <c r="BF1498" s="300"/>
      <c r="BG1498" s="715"/>
      <c r="BH1498" s="429">
        <v>0</v>
      </c>
      <c r="BI1498" s="304"/>
      <c r="BJ1498" s="300"/>
      <c r="BK1498" s="300"/>
      <c r="BL1498" s="300"/>
      <c r="BM1498" s="300">
        <v>0</v>
      </c>
      <c r="BN1498" s="401"/>
      <c r="BO1498" s="300"/>
      <c r="BP1498" s="300"/>
      <c r="BQ1498" s="300"/>
      <c r="BR1498" s="300">
        <v>0</v>
      </c>
      <c r="BS1498" s="401"/>
      <c r="BT1498" s="401"/>
      <c r="BU1498" s="401"/>
      <c r="BV1498" s="401"/>
      <c r="BW1498" s="122"/>
    </row>
    <row r="1499" spans="1:75" s="123" customFormat="1" hidden="1" outlineLevel="1" x14ac:dyDescent="0.5">
      <c r="A1499" s="464" t="s">
        <v>1408</v>
      </c>
      <c r="B1499" s="118"/>
      <c r="C1499" s="716"/>
      <c r="D1499" s="716"/>
      <c r="E1499" s="716"/>
      <c r="F1499" s="716"/>
      <c r="G1499" s="715"/>
      <c r="H1499" s="715"/>
      <c r="I1499" s="715"/>
      <c r="J1499" s="715">
        <v>0</v>
      </c>
      <c r="K1499" s="716"/>
      <c r="L1499" s="715"/>
      <c r="M1499" s="715"/>
      <c r="N1499" s="715"/>
      <c r="O1499" s="715">
        <v>0</v>
      </c>
      <c r="P1499" s="299"/>
      <c r="Q1499" s="715"/>
      <c r="R1499" s="715"/>
      <c r="S1499" s="715"/>
      <c r="T1499" s="715">
        <v>0</v>
      </c>
      <c r="U1499" s="299"/>
      <c r="V1499" s="300"/>
      <c r="W1499" s="300"/>
      <c r="X1499" s="715"/>
      <c r="Y1499" s="300">
        <v>0</v>
      </c>
      <c r="Z1499" s="299"/>
      <c r="AA1499" s="300"/>
      <c r="AB1499" s="300"/>
      <c r="AC1499" s="715"/>
      <c r="AD1499" s="300">
        <v>0</v>
      </c>
      <c r="AE1499" s="299"/>
      <c r="AF1499" s="300"/>
      <c r="AG1499" s="300"/>
      <c r="AH1499" s="715"/>
      <c r="AI1499" s="300">
        <v>0</v>
      </c>
      <c r="AJ1499" s="299"/>
      <c r="AK1499" s="300"/>
      <c r="AL1499" s="300"/>
      <c r="AM1499" s="715"/>
      <c r="AN1499" s="300">
        <v>0</v>
      </c>
      <c r="AO1499" s="299"/>
      <c r="AP1499" s="300"/>
      <c r="AQ1499" s="300"/>
      <c r="AR1499" s="715"/>
      <c r="AS1499" s="300">
        <v>0</v>
      </c>
      <c r="AT1499" s="299"/>
      <c r="AU1499" s="300"/>
      <c r="AV1499" s="300"/>
      <c r="AW1499" s="715"/>
      <c r="AX1499" s="300">
        <v>0</v>
      </c>
      <c r="AY1499" s="299"/>
      <c r="AZ1499" s="307">
        <v>-390.93400000000003</v>
      </c>
      <c r="BA1499" s="307">
        <v>-390.93400000000003</v>
      </c>
      <c r="BB1499" s="714">
        <v>-390.93400000000003</v>
      </c>
      <c r="BC1499" s="429">
        <v>-390.93400000000003</v>
      </c>
      <c r="BD1499" s="305">
        <v>-390.93400000000003</v>
      </c>
      <c r="BE1499" s="300"/>
      <c r="BF1499" s="300"/>
      <c r="BG1499" s="715"/>
      <c r="BH1499" s="429">
        <v>0</v>
      </c>
      <c r="BI1499" s="304"/>
      <c r="BJ1499" s="300"/>
      <c r="BK1499" s="300"/>
      <c r="BL1499" s="300"/>
      <c r="BM1499" s="300">
        <v>0</v>
      </c>
      <c r="BN1499" s="401"/>
      <c r="BO1499" s="300"/>
      <c r="BP1499" s="300"/>
      <c r="BQ1499" s="300"/>
      <c r="BR1499" s="300">
        <v>0</v>
      </c>
      <c r="BS1499" s="401"/>
      <c r="BT1499" s="401"/>
      <c r="BU1499" s="401"/>
      <c r="BV1499" s="401"/>
      <c r="BW1499" s="122"/>
    </row>
    <row r="1500" spans="1:75" s="123" customFormat="1" hidden="1" outlineLevel="1" x14ac:dyDescent="0.5">
      <c r="A1500" s="464" t="s">
        <v>1409</v>
      </c>
      <c r="B1500" s="118"/>
      <c r="C1500" s="716"/>
      <c r="D1500" s="716"/>
      <c r="E1500" s="716"/>
      <c r="F1500" s="716"/>
      <c r="G1500" s="715"/>
      <c r="H1500" s="715"/>
      <c r="I1500" s="715"/>
      <c r="J1500" s="943">
        <v>0</v>
      </c>
      <c r="K1500" s="716"/>
      <c r="L1500" s="715"/>
      <c r="M1500" s="714">
        <v>-73.325000000000003</v>
      </c>
      <c r="N1500" s="714">
        <v>-73.325000000000003</v>
      </c>
      <c r="O1500" s="943">
        <v>-73.325000000000003</v>
      </c>
      <c r="P1500" s="305">
        <v>-73.325000000000003</v>
      </c>
      <c r="Q1500" s="715"/>
      <c r="R1500" s="714">
        <v>-68.25</v>
      </c>
      <c r="S1500" s="714">
        <v>-68.25</v>
      </c>
      <c r="T1500" s="943">
        <v>-68.25</v>
      </c>
      <c r="U1500" s="305">
        <v>-68.25</v>
      </c>
      <c r="V1500" s="300"/>
      <c r="W1500" s="300"/>
      <c r="X1500" s="715"/>
      <c r="Y1500" s="429">
        <v>0</v>
      </c>
      <c r="Z1500" s="299"/>
      <c r="AA1500" s="300"/>
      <c r="AB1500" s="300"/>
      <c r="AC1500" s="715"/>
      <c r="AD1500" s="429">
        <v>0</v>
      </c>
      <c r="AE1500" s="299"/>
      <c r="AF1500" s="300"/>
      <c r="AG1500" s="307">
        <v>-91.856999999999999</v>
      </c>
      <c r="AH1500" s="714">
        <v>-91.856999999999999</v>
      </c>
      <c r="AI1500" s="429">
        <v>-91.856999999999999</v>
      </c>
      <c r="AJ1500" s="305">
        <v>-91.856999999999999</v>
      </c>
      <c r="AK1500" s="300"/>
      <c r="AL1500" s="300"/>
      <c r="AM1500" s="714">
        <v>-91.35</v>
      </c>
      <c r="AN1500" s="429">
        <v>-91.35</v>
      </c>
      <c r="AO1500" s="305">
        <v>-91.35</v>
      </c>
      <c r="AP1500" s="300"/>
      <c r="AQ1500" s="300"/>
      <c r="AR1500" s="715"/>
      <c r="AS1500" s="429">
        <v>0</v>
      </c>
      <c r="AT1500" s="299"/>
      <c r="AU1500" s="300"/>
      <c r="AV1500" s="300"/>
      <c r="AW1500" s="715"/>
      <c r="AX1500" s="429">
        <v>0</v>
      </c>
      <c r="AY1500" s="299"/>
      <c r="AZ1500" s="300"/>
      <c r="BA1500" s="300"/>
      <c r="BB1500" s="715"/>
      <c r="BC1500" s="429">
        <v>0</v>
      </c>
      <c r="BD1500" s="299"/>
      <c r="BE1500" s="300"/>
      <c r="BF1500" s="300"/>
      <c r="BG1500" s="715"/>
      <c r="BH1500" s="429">
        <v>0</v>
      </c>
      <c r="BI1500" s="304"/>
      <c r="BJ1500" s="300"/>
      <c r="BK1500" s="300"/>
      <c r="BL1500" s="300"/>
      <c r="BM1500" s="300">
        <v>0</v>
      </c>
      <c r="BN1500" s="401"/>
      <c r="BO1500" s="300"/>
      <c r="BP1500" s="300"/>
      <c r="BQ1500" s="300"/>
      <c r="BR1500" s="300">
        <v>0</v>
      </c>
      <c r="BS1500" s="401"/>
      <c r="BT1500" s="401"/>
      <c r="BU1500" s="401"/>
      <c r="BV1500" s="401"/>
      <c r="BW1500" s="122"/>
    </row>
    <row r="1501" spans="1:75" s="123" customFormat="1" hidden="1" outlineLevel="1" x14ac:dyDescent="0.5">
      <c r="A1501" s="464" t="s">
        <v>1410</v>
      </c>
      <c r="B1501" s="118"/>
      <c r="C1501" s="716"/>
      <c r="D1501" s="716"/>
      <c r="E1501" s="716"/>
      <c r="F1501" s="716"/>
      <c r="G1501" s="715"/>
      <c r="H1501" s="715"/>
      <c r="I1501" s="715"/>
      <c r="J1501" s="715">
        <v>0</v>
      </c>
      <c r="K1501" s="716"/>
      <c r="L1501" s="715"/>
      <c r="M1501" s="715"/>
      <c r="N1501" s="715"/>
      <c r="O1501" s="715">
        <v>0</v>
      </c>
      <c r="P1501" s="299"/>
      <c r="Q1501" s="715"/>
      <c r="R1501" s="715"/>
      <c r="S1501" s="715"/>
      <c r="T1501" s="715">
        <v>0</v>
      </c>
      <c r="U1501" s="299"/>
      <c r="V1501" s="300"/>
      <c r="W1501" s="300"/>
      <c r="X1501" s="715"/>
      <c r="Y1501" s="300">
        <v>0</v>
      </c>
      <c r="Z1501" s="299"/>
      <c r="AA1501" s="300"/>
      <c r="AB1501" s="300"/>
      <c r="AC1501" s="715"/>
      <c r="AD1501" s="300">
        <v>0</v>
      </c>
      <c r="AE1501" s="299"/>
      <c r="AF1501" s="300"/>
      <c r="AG1501" s="300"/>
      <c r="AH1501" s="715"/>
      <c r="AI1501" s="300">
        <v>0</v>
      </c>
      <c r="AJ1501" s="299"/>
      <c r="AK1501" s="300"/>
      <c r="AL1501" s="300"/>
      <c r="AM1501" s="715"/>
      <c r="AN1501" s="300">
        <v>0</v>
      </c>
      <c r="AO1501" s="299"/>
      <c r="AP1501" s="300"/>
      <c r="AQ1501" s="300"/>
      <c r="AR1501" s="715"/>
      <c r="AS1501" s="300">
        <v>0</v>
      </c>
      <c r="AT1501" s="299"/>
      <c r="AU1501" s="300"/>
      <c r="AV1501" s="300"/>
      <c r="AW1501" s="715"/>
      <c r="AX1501" s="429">
        <v>0</v>
      </c>
      <c r="AY1501" s="299"/>
      <c r="AZ1501" s="307">
        <v>231.79599999999999</v>
      </c>
      <c r="BA1501" s="307">
        <v>231.79599999999999</v>
      </c>
      <c r="BB1501" s="714">
        <v>231.79599999999999</v>
      </c>
      <c r="BC1501" s="429">
        <v>231.79599999999999</v>
      </c>
      <c r="BD1501" s="305">
        <v>231.79599999999999</v>
      </c>
      <c r="BE1501" s="300"/>
      <c r="BF1501" s="300"/>
      <c r="BG1501" s="715"/>
      <c r="BH1501" s="429">
        <v>0</v>
      </c>
      <c r="BI1501" s="304"/>
      <c r="BJ1501" s="300"/>
      <c r="BK1501" s="300"/>
      <c r="BL1501" s="300"/>
      <c r="BM1501" s="300">
        <v>0</v>
      </c>
      <c r="BN1501" s="401"/>
      <c r="BO1501" s="300"/>
      <c r="BP1501" s="300"/>
      <c r="BQ1501" s="300"/>
      <c r="BR1501" s="300">
        <v>0</v>
      </c>
      <c r="BS1501" s="401"/>
      <c r="BT1501" s="401"/>
      <c r="BU1501" s="401"/>
      <c r="BV1501" s="401"/>
      <c r="BW1501" s="122"/>
    </row>
    <row r="1502" spans="1:75" s="123" customFormat="1" hidden="1" outlineLevel="1" x14ac:dyDescent="0.5">
      <c r="A1502" s="464" t="s">
        <v>1411</v>
      </c>
      <c r="B1502" s="118"/>
      <c r="C1502" s="716"/>
      <c r="D1502" s="716"/>
      <c r="E1502" s="716"/>
      <c r="F1502" s="716"/>
      <c r="G1502" s="715"/>
      <c r="H1502" s="715"/>
      <c r="I1502" s="715"/>
      <c r="J1502" s="715">
        <v>0</v>
      </c>
      <c r="K1502" s="716"/>
      <c r="L1502" s="715"/>
      <c r="M1502" s="715"/>
      <c r="N1502" s="715"/>
      <c r="O1502" s="715">
        <v>0</v>
      </c>
      <c r="P1502" s="299"/>
      <c r="Q1502" s="715"/>
      <c r="R1502" s="715"/>
      <c r="S1502" s="715"/>
      <c r="T1502" s="715">
        <v>0</v>
      </c>
      <c r="U1502" s="299"/>
      <c r="V1502" s="300"/>
      <c r="W1502" s="300"/>
      <c r="X1502" s="715"/>
      <c r="Y1502" s="300">
        <v>0</v>
      </c>
      <c r="Z1502" s="299"/>
      <c r="AA1502" s="307">
        <v>-300.14</v>
      </c>
      <c r="AB1502" s="307">
        <v>-1000.326</v>
      </c>
      <c r="AC1502" s="714">
        <v>-1000.326</v>
      </c>
      <c r="AD1502" s="429">
        <v>-1000.326</v>
      </c>
      <c r="AE1502" s="305">
        <v>-1000.326</v>
      </c>
      <c r="AF1502" s="300"/>
      <c r="AG1502" s="300"/>
      <c r="AH1502" s="714">
        <v>-145.18199999999999</v>
      </c>
      <c r="AI1502" s="429">
        <v>-250</v>
      </c>
      <c r="AJ1502" s="305">
        <v>-250</v>
      </c>
      <c r="AK1502" s="307">
        <v>-250.03200000000001</v>
      </c>
      <c r="AL1502" s="307">
        <v>-250.03200000000001</v>
      </c>
      <c r="AM1502" s="714">
        <v>-250.03200000000001</v>
      </c>
      <c r="AN1502" s="429">
        <v>-250.03200000000001</v>
      </c>
      <c r="AO1502" s="305">
        <v>-250.03200000000001</v>
      </c>
      <c r="AP1502" s="300"/>
      <c r="AQ1502" s="300"/>
      <c r="AR1502" s="715"/>
      <c r="AS1502" s="429">
        <v>0</v>
      </c>
      <c r="AT1502" s="299"/>
      <c r="AU1502" s="300"/>
      <c r="AV1502" s="300"/>
      <c r="AW1502" s="715"/>
      <c r="AX1502" s="429">
        <v>0</v>
      </c>
      <c r="AY1502" s="299"/>
      <c r="AZ1502" s="300"/>
      <c r="BA1502" s="307">
        <v>-254.73099999999999</v>
      </c>
      <c r="BB1502" s="714">
        <v>-286.44099999999997</v>
      </c>
      <c r="BC1502" s="429">
        <v>-1000</v>
      </c>
      <c r="BD1502" s="305">
        <v>-1000</v>
      </c>
      <c r="BE1502" s="300"/>
      <c r="BF1502" s="307">
        <v>-1208.29</v>
      </c>
      <c r="BG1502" s="714">
        <v>-1252.8989999999999</v>
      </c>
      <c r="BH1502" s="429">
        <v>-1252.8989999999999</v>
      </c>
      <c r="BI1502" s="303">
        <v>-1252.8989999999999</v>
      </c>
      <c r="BJ1502" s="300"/>
      <c r="BK1502" s="300"/>
      <c r="BL1502" s="300"/>
      <c r="BM1502" s="300">
        <v>0</v>
      </c>
      <c r="BN1502" s="401"/>
      <c r="BO1502" s="300"/>
      <c r="BP1502" s="300"/>
      <c r="BQ1502" s="300"/>
      <c r="BR1502" s="300">
        <v>0</v>
      </c>
      <c r="BS1502" s="401"/>
      <c r="BT1502" s="401"/>
      <c r="BU1502" s="401"/>
      <c r="BV1502" s="401"/>
      <c r="BW1502" s="122"/>
    </row>
    <row r="1503" spans="1:75" s="123" customFormat="1" hidden="1" outlineLevel="1" x14ac:dyDescent="0.5">
      <c r="A1503" s="464" t="s">
        <v>1412</v>
      </c>
      <c r="B1503" s="118"/>
      <c r="C1503" s="716"/>
      <c r="D1503" s="716"/>
      <c r="E1503" s="716"/>
      <c r="F1503" s="716"/>
      <c r="G1503" s="715"/>
      <c r="H1503" s="715"/>
      <c r="I1503" s="715"/>
      <c r="J1503" s="715">
        <v>0</v>
      </c>
      <c r="K1503" s="716"/>
      <c r="L1503" s="715"/>
      <c r="M1503" s="715"/>
      <c r="N1503" s="715"/>
      <c r="O1503" s="715">
        <v>0</v>
      </c>
      <c r="P1503" s="299"/>
      <c r="Q1503" s="715"/>
      <c r="R1503" s="715"/>
      <c r="S1503" s="715"/>
      <c r="T1503" s="715">
        <v>0</v>
      </c>
      <c r="U1503" s="299"/>
      <c r="V1503" s="300"/>
      <c r="W1503" s="300"/>
      <c r="X1503" s="715"/>
      <c r="Y1503" s="300">
        <v>0</v>
      </c>
      <c r="Z1503" s="299"/>
      <c r="AA1503" s="307">
        <v>-1.2889999999999999</v>
      </c>
      <c r="AB1503" s="307">
        <v>-4.601</v>
      </c>
      <c r="AC1503" s="714">
        <v>-8.734</v>
      </c>
      <c r="AD1503" s="429">
        <v>-10.199999999999999</v>
      </c>
      <c r="AE1503" s="305">
        <v>-10.199999999999999</v>
      </c>
      <c r="AF1503" s="300"/>
      <c r="AG1503" s="300"/>
      <c r="AH1503" s="715"/>
      <c r="AI1503" s="429">
        <v>0</v>
      </c>
      <c r="AJ1503" s="299"/>
      <c r="AK1503" s="300"/>
      <c r="AL1503" s="300"/>
      <c r="AM1503" s="715"/>
      <c r="AN1503" s="429">
        <v>0</v>
      </c>
      <c r="AO1503" s="299"/>
      <c r="AP1503" s="300"/>
      <c r="AQ1503" s="300"/>
      <c r="AR1503" s="715"/>
      <c r="AS1503" s="429">
        <v>0</v>
      </c>
      <c r="AT1503" s="299"/>
      <c r="AU1503" s="300"/>
      <c r="AV1503" s="300"/>
      <c r="AW1503" s="715"/>
      <c r="AX1503" s="429">
        <v>0</v>
      </c>
      <c r="AY1503" s="299"/>
      <c r="AZ1503" s="300"/>
      <c r="BA1503" s="300"/>
      <c r="BB1503" s="715"/>
      <c r="BC1503" s="429">
        <v>0</v>
      </c>
      <c r="BD1503" s="299"/>
      <c r="BE1503" s="300"/>
      <c r="BF1503" s="300"/>
      <c r="BG1503" s="715"/>
      <c r="BH1503" s="429">
        <v>0</v>
      </c>
      <c r="BI1503" s="304"/>
      <c r="BJ1503" s="300"/>
      <c r="BK1503" s="300"/>
      <c r="BL1503" s="300"/>
      <c r="BM1503" s="300">
        <v>0</v>
      </c>
      <c r="BN1503" s="401"/>
      <c r="BO1503" s="300"/>
      <c r="BP1503" s="300"/>
      <c r="BQ1503" s="300"/>
      <c r="BR1503" s="300">
        <v>0</v>
      </c>
      <c r="BS1503" s="401"/>
      <c r="BT1503" s="401"/>
      <c r="BU1503" s="401"/>
      <c r="BV1503" s="401"/>
      <c r="BW1503" s="122"/>
    </row>
    <row r="1504" spans="1:75" s="123" customFormat="1" hidden="1" outlineLevel="1" x14ac:dyDescent="0.5">
      <c r="A1504" s="464" t="s">
        <v>1413</v>
      </c>
      <c r="B1504" s="118"/>
      <c r="C1504" s="716"/>
      <c r="D1504" s="716"/>
      <c r="E1504" s="713">
        <v>-2.835</v>
      </c>
      <c r="F1504" s="713">
        <v>-0.42599999999999999</v>
      </c>
      <c r="G1504" s="715"/>
      <c r="H1504" s="715"/>
      <c r="I1504" s="715"/>
      <c r="J1504" s="943">
        <v>0</v>
      </c>
      <c r="K1504" s="716"/>
      <c r="L1504" s="715"/>
      <c r="M1504" s="714">
        <v>-5.3849999999999998</v>
      </c>
      <c r="N1504" s="714">
        <v>-5.3849999999999998</v>
      </c>
      <c r="O1504" s="943">
        <v>-5.3849999999999998</v>
      </c>
      <c r="P1504" s="305">
        <v>-5.3849999999999998</v>
      </c>
      <c r="Q1504" s="715"/>
      <c r="R1504" s="714">
        <v>-2.3820000000000001</v>
      </c>
      <c r="S1504" s="714">
        <v>-2.3820000000000001</v>
      </c>
      <c r="T1504" s="943">
        <v>-2.3820000000000001</v>
      </c>
      <c r="U1504" s="305">
        <v>-2.3820000000000001</v>
      </c>
      <c r="V1504" s="300"/>
      <c r="W1504" s="300"/>
      <c r="X1504" s="715"/>
      <c r="Y1504" s="429">
        <v>0</v>
      </c>
      <c r="Z1504" s="299"/>
      <c r="AA1504" s="300"/>
      <c r="AB1504" s="307">
        <v>-7.9390000000000001</v>
      </c>
      <c r="AC1504" s="714">
        <v>-8.298</v>
      </c>
      <c r="AD1504" s="429">
        <v>-8.298</v>
      </c>
      <c r="AE1504" s="305">
        <v>-8.298</v>
      </c>
      <c r="AF1504" s="300"/>
      <c r="AG1504" s="307">
        <v>-6.3490000000000002</v>
      </c>
      <c r="AH1504" s="714">
        <v>-6.3490000000000002</v>
      </c>
      <c r="AI1504" s="429">
        <v>-6.3490000000000002</v>
      </c>
      <c r="AJ1504" s="305">
        <v>-6.3490000000000002</v>
      </c>
      <c r="AK1504" s="307">
        <v>-4.4989999999999997</v>
      </c>
      <c r="AL1504" s="307">
        <v>-4.6360000000000001</v>
      </c>
      <c r="AM1504" s="714">
        <v>-4.8179999999999996</v>
      </c>
      <c r="AN1504" s="429">
        <v>-4.8179999999999996</v>
      </c>
      <c r="AO1504" s="305">
        <v>-4.8179999999999996</v>
      </c>
      <c r="AP1504" s="300"/>
      <c r="AQ1504" s="300"/>
      <c r="AR1504" s="715"/>
      <c r="AS1504" s="429">
        <v>0</v>
      </c>
      <c r="AT1504" s="299"/>
      <c r="AU1504" s="300"/>
      <c r="AV1504" s="300"/>
      <c r="AW1504" s="715"/>
      <c r="AX1504" s="429">
        <v>0</v>
      </c>
      <c r="AY1504" s="299"/>
      <c r="AZ1504" s="300"/>
      <c r="BA1504" s="300"/>
      <c r="BB1504" s="715"/>
      <c r="BC1504" s="429">
        <v>0</v>
      </c>
      <c r="BD1504" s="299"/>
      <c r="BE1504" s="300"/>
      <c r="BF1504" s="300"/>
      <c r="BG1504" s="715"/>
      <c r="BH1504" s="429">
        <v>0</v>
      </c>
      <c r="BI1504" s="304"/>
      <c r="BJ1504" s="300"/>
      <c r="BK1504" s="300"/>
      <c r="BL1504" s="300"/>
      <c r="BM1504" s="300">
        <v>0</v>
      </c>
      <c r="BN1504" s="401"/>
      <c r="BO1504" s="300"/>
      <c r="BP1504" s="300"/>
      <c r="BQ1504" s="300"/>
      <c r="BR1504" s="300">
        <v>0</v>
      </c>
      <c r="BS1504" s="401"/>
      <c r="BT1504" s="401"/>
      <c r="BU1504" s="401"/>
      <c r="BV1504" s="401"/>
      <c r="BW1504" s="122"/>
    </row>
    <row r="1505" spans="1:75" s="123" customFormat="1" hidden="1" outlineLevel="1" x14ac:dyDescent="0.5">
      <c r="A1505" s="464" t="s">
        <v>1414</v>
      </c>
      <c r="B1505" s="118"/>
      <c r="C1505" s="716"/>
      <c r="D1505" s="713">
        <v>-2.601</v>
      </c>
      <c r="E1505" s="713">
        <v>-4.1879999999999997</v>
      </c>
      <c r="F1505" s="713">
        <v>-4.2140000000000004</v>
      </c>
      <c r="G1505" s="714">
        <v>-0.84</v>
      </c>
      <c r="H1505" s="714">
        <v>-0.76</v>
      </c>
      <c r="I1505" s="714">
        <v>-1.4179999999999999</v>
      </c>
      <c r="J1505" s="943">
        <v>-2.5550000000000002</v>
      </c>
      <c r="K1505" s="713">
        <v>-2.5550000000000002</v>
      </c>
      <c r="L1505" s="714">
        <v>-0.98499999999999999</v>
      </c>
      <c r="M1505" s="714">
        <v>-1.478</v>
      </c>
      <c r="N1505" s="714">
        <v>-1.655</v>
      </c>
      <c r="O1505" s="943">
        <v>-1.8029999999999999</v>
      </c>
      <c r="P1505" s="305">
        <v>-1.8029999999999999</v>
      </c>
      <c r="Q1505" s="714">
        <v>-8.3000000000000004E-2</v>
      </c>
      <c r="R1505" s="714">
        <v>-0.13700000000000001</v>
      </c>
      <c r="S1505" s="714">
        <v>-0.20200000000000001</v>
      </c>
      <c r="T1505" s="943">
        <v>-0.248</v>
      </c>
      <c r="U1505" s="305">
        <v>-0.248</v>
      </c>
      <c r="V1505" s="307">
        <v>-8.5000000000000006E-2</v>
      </c>
      <c r="W1505" s="307">
        <v>-0.16600000000000001</v>
      </c>
      <c r="X1505" s="714">
        <v>-0.26200000000000001</v>
      </c>
      <c r="Y1505" s="429">
        <v>0</v>
      </c>
      <c r="Z1505" s="299"/>
      <c r="AA1505" s="307">
        <v>-7.5999999999999998E-2</v>
      </c>
      <c r="AB1505" s="307">
        <v>-0.158</v>
      </c>
      <c r="AC1505" s="714">
        <v>-0.25800000000000001</v>
      </c>
      <c r="AD1505" s="429">
        <v>0</v>
      </c>
      <c r="AE1505" s="299"/>
      <c r="AF1505" s="300"/>
      <c r="AG1505" s="300"/>
      <c r="AH1505" s="715"/>
      <c r="AI1505" s="429">
        <v>0</v>
      </c>
      <c r="AJ1505" s="299"/>
      <c r="AK1505" s="300"/>
      <c r="AL1505" s="300"/>
      <c r="AM1505" s="715"/>
      <c r="AN1505" s="429">
        <v>0</v>
      </c>
      <c r="AO1505" s="299"/>
      <c r="AP1505" s="300"/>
      <c r="AQ1505" s="300"/>
      <c r="AR1505" s="715"/>
      <c r="AS1505" s="429">
        <v>0</v>
      </c>
      <c r="AT1505" s="299"/>
      <c r="AU1505" s="300"/>
      <c r="AV1505" s="300"/>
      <c r="AW1505" s="715"/>
      <c r="AX1505" s="429">
        <v>0</v>
      </c>
      <c r="AY1505" s="299"/>
      <c r="AZ1505" s="300"/>
      <c r="BA1505" s="300"/>
      <c r="BB1505" s="715"/>
      <c r="BC1505" s="429">
        <v>0</v>
      </c>
      <c r="BD1505" s="299"/>
      <c r="BE1505" s="300"/>
      <c r="BF1505" s="300"/>
      <c r="BG1505" s="715"/>
      <c r="BH1505" s="429">
        <v>0</v>
      </c>
      <c r="BI1505" s="304"/>
      <c r="BJ1505" s="300"/>
      <c r="BK1505" s="300"/>
      <c r="BL1505" s="300"/>
      <c r="BM1505" s="300">
        <v>0</v>
      </c>
      <c r="BN1505" s="401"/>
      <c r="BO1505" s="300"/>
      <c r="BP1505" s="300"/>
      <c r="BQ1505" s="300"/>
      <c r="BR1505" s="300">
        <v>0</v>
      </c>
      <c r="BS1505" s="401"/>
      <c r="BT1505" s="401"/>
      <c r="BU1505" s="401"/>
      <c r="BV1505" s="401"/>
      <c r="BW1505" s="122"/>
    </row>
    <row r="1506" spans="1:75" s="123" customFormat="1" hidden="1" outlineLevel="1" x14ac:dyDescent="0.5">
      <c r="A1506" s="464" t="s">
        <v>1415</v>
      </c>
      <c r="B1506" s="118"/>
      <c r="C1506" s="716"/>
      <c r="D1506" s="716"/>
      <c r="E1506" s="716"/>
      <c r="F1506" s="716"/>
      <c r="G1506" s="715"/>
      <c r="H1506" s="715"/>
      <c r="I1506" s="715"/>
      <c r="J1506" s="943">
        <v>0</v>
      </c>
      <c r="K1506" s="716"/>
      <c r="L1506" s="715"/>
      <c r="M1506" s="715"/>
      <c r="N1506" s="715"/>
      <c r="O1506" s="943">
        <v>1.776</v>
      </c>
      <c r="P1506" s="305">
        <v>1.776</v>
      </c>
      <c r="Q1506" s="715"/>
      <c r="R1506" s="715"/>
      <c r="S1506" s="715"/>
      <c r="T1506" s="943">
        <v>0</v>
      </c>
      <c r="U1506" s="299"/>
      <c r="V1506" s="300"/>
      <c r="W1506" s="300"/>
      <c r="X1506" s="715"/>
      <c r="Y1506" s="429">
        <v>0</v>
      </c>
      <c r="Z1506" s="299"/>
      <c r="AA1506" s="300"/>
      <c r="AB1506" s="300"/>
      <c r="AC1506" s="715"/>
      <c r="AD1506" s="429">
        <v>0</v>
      </c>
      <c r="AE1506" s="299"/>
      <c r="AF1506" s="300"/>
      <c r="AG1506" s="300"/>
      <c r="AH1506" s="715"/>
      <c r="AI1506" s="429">
        <v>0</v>
      </c>
      <c r="AJ1506" s="299"/>
      <c r="AK1506" s="300"/>
      <c r="AL1506" s="300"/>
      <c r="AM1506" s="715"/>
      <c r="AN1506" s="429">
        <v>0</v>
      </c>
      <c r="AO1506" s="299"/>
      <c r="AP1506" s="300"/>
      <c r="AQ1506" s="300"/>
      <c r="AR1506" s="715"/>
      <c r="AS1506" s="429">
        <v>0</v>
      </c>
      <c r="AT1506" s="299"/>
      <c r="AU1506" s="300"/>
      <c r="AV1506" s="300"/>
      <c r="AW1506" s="715"/>
      <c r="AX1506" s="429">
        <v>0</v>
      </c>
      <c r="AY1506" s="299"/>
      <c r="AZ1506" s="300"/>
      <c r="BA1506" s="300"/>
      <c r="BB1506" s="715"/>
      <c r="BC1506" s="429">
        <v>0</v>
      </c>
      <c r="BD1506" s="299"/>
      <c r="BE1506" s="300"/>
      <c r="BF1506" s="300"/>
      <c r="BG1506" s="715"/>
      <c r="BH1506" s="429">
        <v>0</v>
      </c>
      <c r="BI1506" s="304"/>
      <c r="BJ1506" s="300"/>
      <c r="BK1506" s="300"/>
      <c r="BL1506" s="300"/>
      <c r="BM1506" s="300">
        <v>0</v>
      </c>
      <c r="BN1506" s="401"/>
      <c r="BO1506" s="300"/>
      <c r="BP1506" s="300"/>
      <c r="BQ1506" s="300"/>
      <c r="BR1506" s="300">
        <v>0</v>
      </c>
      <c r="BS1506" s="401"/>
      <c r="BT1506" s="401"/>
      <c r="BU1506" s="401"/>
      <c r="BV1506" s="401"/>
      <c r="BW1506" s="122"/>
    </row>
    <row r="1507" spans="1:75" s="123" customFormat="1" hidden="1" outlineLevel="1" x14ac:dyDescent="0.5">
      <c r="A1507" s="464" t="s">
        <v>1416</v>
      </c>
      <c r="B1507" s="118"/>
      <c r="C1507" s="716"/>
      <c r="D1507" s="716"/>
      <c r="E1507" s="716"/>
      <c r="F1507" s="716"/>
      <c r="G1507" s="715"/>
      <c r="H1507" s="714">
        <v>0.69499999999999995</v>
      </c>
      <c r="I1507" s="714">
        <v>1.4359999999999999</v>
      </c>
      <c r="J1507" s="943">
        <v>7.6289999999999996</v>
      </c>
      <c r="K1507" s="713">
        <v>7.6289999999999996</v>
      </c>
      <c r="L1507" s="714">
        <v>3.5</v>
      </c>
      <c r="M1507" s="714">
        <v>5.806</v>
      </c>
      <c r="N1507" s="714">
        <v>6.22</v>
      </c>
      <c r="O1507" s="943">
        <v>16.399999999999999</v>
      </c>
      <c r="P1507" s="305">
        <v>16.399999999999999</v>
      </c>
      <c r="Q1507" s="714">
        <v>2.2210000000000001</v>
      </c>
      <c r="R1507" s="714">
        <v>11.670999999999999</v>
      </c>
      <c r="S1507" s="714">
        <v>20.465</v>
      </c>
      <c r="T1507" s="943">
        <v>25.606000000000002</v>
      </c>
      <c r="U1507" s="305">
        <v>25.606000000000002</v>
      </c>
      <c r="V1507" s="307">
        <v>0.29599999999999999</v>
      </c>
      <c r="W1507" s="307">
        <v>0.28799999999999998</v>
      </c>
      <c r="X1507" s="714">
        <v>1.591</v>
      </c>
      <c r="Y1507" s="429">
        <v>3.2610000000000001</v>
      </c>
      <c r="Z1507" s="305">
        <v>3.2610000000000001</v>
      </c>
      <c r="AA1507" s="307">
        <v>2.5670000000000002</v>
      </c>
      <c r="AB1507" s="307">
        <v>11.17</v>
      </c>
      <c r="AC1507" s="714">
        <v>15.369</v>
      </c>
      <c r="AD1507" s="429">
        <v>24.896000000000001</v>
      </c>
      <c r="AE1507" s="305">
        <v>24.896000000000001</v>
      </c>
      <c r="AF1507" s="307">
        <v>2.923</v>
      </c>
      <c r="AG1507" s="307">
        <v>29.209</v>
      </c>
      <c r="AH1507" s="714">
        <v>35.826999999999998</v>
      </c>
      <c r="AI1507" s="429">
        <v>44.024000000000001</v>
      </c>
      <c r="AJ1507" s="305">
        <v>44.024000000000001</v>
      </c>
      <c r="AK1507" s="307">
        <v>1.226</v>
      </c>
      <c r="AL1507" s="307">
        <v>7.2229999999999999</v>
      </c>
      <c r="AM1507" s="714">
        <v>18.509</v>
      </c>
      <c r="AN1507" s="429">
        <v>27.138000000000002</v>
      </c>
      <c r="AO1507" s="305">
        <v>27.138000000000002</v>
      </c>
      <c r="AP1507" s="307">
        <v>0.79700000000000004</v>
      </c>
      <c r="AQ1507" s="307">
        <v>8.125</v>
      </c>
      <c r="AR1507" s="714">
        <v>12.121</v>
      </c>
      <c r="AS1507" s="429">
        <v>14.377000000000001</v>
      </c>
      <c r="AT1507" s="305">
        <v>14.377000000000001</v>
      </c>
      <c r="AU1507" s="307">
        <v>1.393</v>
      </c>
      <c r="AV1507" s="307">
        <v>25.978999999999999</v>
      </c>
      <c r="AW1507" s="714">
        <v>30.08</v>
      </c>
      <c r="AX1507" s="429">
        <v>32.045000000000002</v>
      </c>
      <c r="AY1507" s="305">
        <v>32.045000000000002</v>
      </c>
      <c r="AZ1507" s="307">
        <v>149.57</v>
      </c>
      <c r="BA1507" s="307">
        <v>152.041</v>
      </c>
      <c r="BB1507" s="714">
        <v>153.56800000000001</v>
      </c>
      <c r="BC1507" s="429">
        <v>231.297</v>
      </c>
      <c r="BD1507" s="305">
        <v>231.297</v>
      </c>
      <c r="BE1507" s="307">
        <v>0.45600000000000002</v>
      </c>
      <c r="BF1507" s="307">
        <v>4.7279999999999998</v>
      </c>
      <c r="BG1507" s="714">
        <v>5.8159999999999998</v>
      </c>
      <c r="BH1507" s="429">
        <v>12.122</v>
      </c>
      <c r="BI1507" s="303">
        <v>12.122</v>
      </c>
      <c r="BJ1507" s="300"/>
      <c r="BK1507" s="300"/>
      <c r="BL1507" s="300"/>
      <c r="BM1507" s="300">
        <v>0</v>
      </c>
      <c r="BN1507" s="401"/>
      <c r="BO1507" s="300"/>
      <c r="BP1507" s="300"/>
      <c r="BQ1507" s="300"/>
      <c r="BR1507" s="300">
        <v>0</v>
      </c>
      <c r="BS1507" s="401"/>
      <c r="BT1507" s="401"/>
      <c r="BU1507" s="401"/>
      <c r="BV1507" s="401"/>
      <c r="BW1507" s="122"/>
    </row>
    <row r="1508" spans="1:75" s="123" customFormat="1" hidden="1" outlineLevel="1" x14ac:dyDescent="0.5">
      <c r="A1508" s="464" t="s">
        <v>1352</v>
      </c>
      <c r="B1508" s="118"/>
      <c r="C1508" s="716"/>
      <c r="D1508" s="716"/>
      <c r="E1508" s="716"/>
      <c r="F1508" s="716"/>
      <c r="G1508" s="715"/>
      <c r="H1508" s="714">
        <v>1.032</v>
      </c>
      <c r="I1508" s="714">
        <v>1.44</v>
      </c>
      <c r="J1508" s="943">
        <v>3.6850000000000001</v>
      </c>
      <c r="K1508" s="713">
        <v>3.6850000000000001</v>
      </c>
      <c r="L1508" s="714">
        <v>5.3639999999999999</v>
      </c>
      <c r="M1508" s="714">
        <v>7.6120000000000001</v>
      </c>
      <c r="N1508" s="714">
        <v>7.9370000000000003</v>
      </c>
      <c r="O1508" s="943">
        <v>16.420999999999999</v>
      </c>
      <c r="P1508" s="305">
        <v>16.420999999999999</v>
      </c>
      <c r="Q1508" s="714">
        <v>1.075</v>
      </c>
      <c r="R1508" s="714">
        <v>3.7389999999999999</v>
      </c>
      <c r="S1508" s="714">
        <v>6.5640000000000001</v>
      </c>
      <c r="T1508" s="943">
        <v>10.443</v>
      </c>
      <c r="U1508" s="305">
        <v>10.443</v>
      </c>
      <c r="V1508" s="307">
        <v>-7.5999999999999998E-2</v>
      </c>
      <c r="W1508" s="307">
        <v>-1.7689999999999999</v>
      </c>
      <c r="X1508" s="714">
        <v>-2.2749999999999999</v>
      </c>
      <c r="Y1508" s="429">
        <v>-3.2879999999999998</v>
      </c>
      <c r="Z1508" s="305">
        <v>-3.2879999999999998</v>
      </c>
      <c r="AA1508" s="300"/>
      <c r="AB1508" s="307">
        <v>0</v>
      </c>
      <c r="AC1508" s="714">
        <v>0</v>
      </c>
      <c r="AD1508" s="429">
        <v>0</v>
      </c>
      <c r="AE1508" s="299"/>
      <c r="AF1508" s="300"/>
      <c r="AG1508" s="300"/>
      <c r="AH1508" s="715"/>
      <c r="AI1508" s="429">
        <v>0</v>
      </c>
      <c r="AJ1508" s="299"/>
      <c r="AK1508" s="300"/>
      <c r="AL1508" s="300"/>
      <c r="AM1508" s="715"/>
      <c r="AN1508" s="429">
        <v>0</v>
      </c>
      <c r="AO1508" s="299"/>
      <c r="AP1508" s="300"/>
      <c r="AQ1508" s="300"/>
      <c r="AR1508" s="715"/>
      <c r="AS1508" s="429">
        <v>0</v>
      </c>
      <c r="AT1508" s="299"/>
      <c r="AU1508" s="300"/>
      <c r="AV1508" s="300"/>
      <c r="AW1508" s="715"/>
      <c r="AX1508" s="429">
        <v>0</v>
      </c>
      <c r="AY1508" s="299"/>
      <c r="AZ1508" s="300"/>
      <c r="BA1508" s="300"/>
      <c r="BB1508" s="715"/>
      <c r="BC1508" s="429">
        <v>0</v>
      </c>
      <c r="BD1508" s="299"/>
      <c r="BE1508" s="300"/>
      <c r="BF1508" s="300"/>
      <c r="BG1508" s="715"/>
      <c r="BH1508" s="429">
        <v>0</v>
      </c>
      <c r="BI1508" s="304"/>
      <c r="BJ1508" s="300"/>
      <c r="BK1508" s="300"/>
      <c r="BL1508" s="300"/>
      <c r="BM1508" s="300">
        <v>0</v>
      </c>
      <c r="BN1508" s="401"/>
      <c r="BO1508" s="300"/>
      <c r="BP1508" s="300"/>
      <c r="BQ1508" s="300"/>
      <c r="BR1508" s="300">
        <v>0</v>
      </c>
      <c r="BS1508" s="401"/>
      <c r="BT1508" s="401"/>
      <c r="BU1508" s="401"/>
      <c r="BV1508" s="401"/>
      <c r="BW1508" s="122"/>
    </row>
    <row r="1509" spans="1:75" s="123" customFormat="1" hidden="1" outlineLevel="1" x14ac:dyDescent="0.5">
      <c r="A1509" s="464" t="s">
        <v>1417</v>
      </c>
      <c r="B1509" s="118"/>
      <c r="C1509" s="716"/>
      <c r="D1509" s="716"/>
      <c r="E1509" s="716"/>
      <c r="F1509" s="716"/>
      <c r="G1509" s="715"/>
      <c r="H1509" s="714">
        <v>-0.17799999999999999</v>
      </c>
      <c r="I1509" s="714">
        <v>-0.17799999999999999</v>
      </c>
      <c r="J1509" s="943">
        <v>-0.17799999999999999</v>
      </c>
      <c r="K1509" s="713">
        <v>-0.17799999999999999</v>
      </c>
      <c r="L1509" s="714">
        <v>-0.317</v>
      </c>
      <c r="M1509" s="714">
        <v>-1.306</v>
      </c>
      <c r="N1509" s="714">
        <v>-2.1150000000000002</v>
      </c>
      <c r="O1509" s="943">
        <v>-3.1160000000000001</v>
      </c>
      <c r="P1509" s="305">
        <v>-3.1160000000000001</v>
      </c>
      <c r="Q1509" s="714">
        <v>-0.376</v>
      </c>
      <c r="R1509" s="714">
        <v>-2.9540000000000002</v>
      </c>
      <c r="S1509" s="714">
        <v>-4.2949999999999999</v>
      </c>
      <c r="T1509" s="943">
        <v>-5.0270000000000001</v>
      </c>
      <c r="U1509" s="305">
        <v>-5.0270000000000001</v>
      </c>
      <c r="V1509" s="307">
        <v>-0.14099999999999999</v>
      </c>
      <c r="W1509" s="307">
        <v>-0.94599999999999995</v>
      </c>
      <c r="X1509" s="714">
        <v>-1.365</v>
      </c>
      <c r="Y1509" s="429">
        <v>-1.603</v>
      </c>
      <c r="Z1509" s="305">
        <v>-1.603</v>
      </c>
      <c r="AA1509" s="307">
        <v>-0.14899999999999999</v>
      </c>
      <c r="AB1509" s="307">
        <v>-3.1059999999999999</v>
      </c>
      <c r="AC1509" s="714">
        <v>-4.8810000000000002</v>
      </c>
      <c r="AD1509" s="429">
        <v>-5.7590000000000003</v>
      </c>
      <c r="AE1509" s="305">
        <v>-5.7590000000000003</v>
      </c>
      <c r="AF1509" s="307">
        <v>-0.35099999999999998</v>
      </c>
      <c r="AG1509" s="307">
        <v>-7.8630000000000004</v>
      </c>
      <c r="AH1509" s="714">
        <v>-8.9469999999999992</v>
      </c>
      <c r="AI1509" s="429">
        <v>-9.5020000000000007</v>
      </c>
      <c r="AJ1509" s="305">
        <v>-9.5020000000000007</v>
      </c>
      <c r="AK1509" s="307">
        <v>-0.25</v>
      </c>
      <c r="AL1509" s="307">
        <v>-6.234</v>
      </c>
      <c r="AM1509" s="714">
        <v>-6.5380000000000003</v>
      </c>
      <c r="AN1509" s="429">
        <v>-7.069</v>
      </c>
      <c r="AO1509" s="305">
        <v>-7.069</v>
      </c>
      <c r="AP1509" s="307">
        <v>-0.38100000000000001</v>
      </c>
      <c r="AQ1509" s="307">
        <v>-6.8179999999999996</v>
      </c>
      <c r="AR1509" s="714">
        <v>-7.4279999999999999</v>
      </c>
      <c r="AS1509" s="429">
        <v>-8.3480000000000008</v>
      </c>
      <c r="AT1509" s="305">
        <v>-8.3480000000000008</v>
      </c>
      <c r="AU1509" s="307">
        <v>-0.92700000000000005</v>
      </c>
      <c r="AV1509" s="307">
        <v>-18.648</v>
      </c>
      <c r="AW1509" s="714">
        <v>-19.353999999999999</v>
      </c>
      <c r="AX1509" s="429">
        <v>-20.670999999999999</v>
      </c>
      <c r="AY1509" s="305">
        <v>-20.670999999999999</v>
      </c>
      <c r="AZ1509" s="307">
        <v>-0.26600000000000001</v>
      </c>
      <c r="BA1509" s="307">
        <v>-0.32300000000000001</v>
      </c>
      <c r="BB1509" s="714">
        <v>-0.49399999999999999</v>
      </c>
      <c r="BC1509" s="429">
        <v>-0.80300000000000005</v>
      </c>
      <c r="BD1509" s="305">
        <v>-0.80300000000000005</v>
      </c>
      <c r="BE1509" s="307">
        <v>-9.6000000000000002E-2</v>
      </c>
      <c r="BF1509" s="307">
        <v>-9.6000000000000002E-2</v>
      </c>
      <c r="BG1509" s="714">
        <v>-0.126</v>
      </c>
      <c r="BH1509" s="429">
        <v>-0.4</v>
      </c>
      <c r="BI1509" s="303">
        <v>-0.4</v>
      </c>
      <c r="BJ1509" s="300"/>
      <c r="BK1509" s="300"/>
      <c r="BL1509" s="300"/>
      <c r="BM1509" s="300">
        <v>0</v>
      </c>
      <c r="BN1509" s="401"/>
      <c r="BO1509" s="300"/>
      <c r="BP1509" s="300"/>
      <c r="BQ1509" s="300"/>
      <c r="BR1509" s="300">
        <v>0</v>
      </c>
      <c r="BS1509" s="401"/>
      <c r="BT1509" s="401"/>
      <c r="BU1509" s="401"/>
      <c r="BV1509" s="401"/>
      <c r="BW1509" s="122"/>
    </row>
    <row r="1510" spans="1:75" s="123" customFormat="1" hidden="1" outlineLevel="1" x14ac:dyDescent="0.5">
      <c r="A1510" s="464" t="s">
        <v>1418</v>
      </c>
      <c r="B1510" s="118"/>
      <c r="C1510" s="716"/>
      <c r="D1510" s="716"/>
      <c r="E1510" s="716"/>
      <c r="F1510" s="716"/>
      <c r="G1510" s="715"/>
      <c r="H1510" s="715"/>
      <c r="I1510" s="715"/>
      <c r="J1510" s="715">
        <v>0</v>
      </c>
      <c r="K1510" s="716"/>
      <c r="L1510" s="715"/>
      <c r="M1510" s="715"/>
      <c r="N1510" s="715"/>
      <c r="O1510" s="715">
        <v>0</v>
      </c>
      <c r="P1510" s="299"/>
      <c r="Q1510" s="715"/>
      <c r="R1510" s="715"/>
      <c r="S1510" s="715"/>
      <c r="T1510" s="715">
        <v>0</v>
      </c>
      <c r="U1510" s="299"/>
      <c r="V1510" s="300"/>
      <c r="W1510" s="300"/>
      <c r="X1510" s="715"/>
      <c r="Y1510" s="300">
        <v>0</v>
      </c>
      <c r="Z1510" s="299"/>
      <c r="AA1510" s="300"/>
      <c r="AB1510" s="300"/>
      <c r="AC1510" s="715"/>
      <c r="AD1510" s="300">
        <v>0</v>
      </c>
      <c r="AE1510" s="299"/>
      <c r="AF1510" s="300"/>
      <c r="AG1510" s="300"/>
      <c r="AH1510" s="715"/>
      <c r="AI1510" s="429">
        <v>0</v>
      </c>
      <c r="AJ1510" s="299"/>
      <c r="AK1510" s="300"/>
      <c r="AL1510" s="300"/>
      <c r="AM1510" s="714">
        <v>-0.89200000000000002</v>
      </c>
      <c r="AN1510" s="429">
        <v>0</v>
      </c>
      <c r="AO1510" s="299"/>
      <c r="AP1510" s="300"/>
      <c r="AQ1510" s="300"/>
      <c r="AR1510" s="715"/>
      <c r="AS1510" s="429">
        <v>0</v>
      </c>
      <c r="AT1510" s="299"/>
      <c r="AU1510" s="300"/>
      <c r="AV1510" s="300"/>
      <c r="AW1510" s="715"/>
      <c r="AX1510" s="429">
        <v>0</v>
      </c>
      <c r="AY1510" s="299"/>
      <c r="AZ1510" s="300"/>
      <c r="BA1510" s="300"/>
      <c r="BB1510" s="715"/>
      <c r="BC1510" s="429">
        <v>0</v>
      </c>
      <c r="BD1510" s="299"/>
      <c r="BE1510" s="300"/>
      <c r="BF1510" s="300"/>
      <c r="BG1510" s="715"/>
      <c r="BH1510" s="429">
        <v>0</v>
      </c>
      <c r="BI1510" s="304"/>
      <c r="BJ1510" s="300"/>
      <c r="BK1510" s="300"/>
      <c r="BL1510" s="300"/>
      <c r="BM1510" s="300">
        <v>0</v>
      </c>
      <c r="BN1510" s="401"/>
      <c r="BO1510" s="300"/>
      <c r="BP1510" s="300"/>
      <c r="BQ1510" s="300"/>
      <c r="BR1510" s="300">
        <v>0</v>
      </c>
      <c r="BS1510" s="401"/>
      <c r="BT1510" s="401"/>
      <c r="BU1510" s="401"/>
      <c r="BV1510" s="401"/>
      <c r="BW1510" s="122"/>
    </row>
    <row r="1511" spans="1:75" s="123" customFormat="1" hidden="1" outlineLevel="1" x14ac:dyDescent="0.5">
      <c r="A1511" s="464" t="s">
        <v>1419</v>
      </c>
      <c r="B1511" s="118"/>
      <c r="C1511" s="716"/>
      <c r="D1511" s="716"/>
      <c r="E1511" s="716"/>
      <c r="F1511" s="716"/>
      <c r="G1511" s="715"/>
      <c r="H1511" s="715"/>
      <c r="I1511" s="715"/>
      <c r="J1511" s="943">
        <v>0</v>
      </c>
      <c r="K1511" s="716"/>
      <c r="L1511" s="715"/>
      <c r="M1511" s="715"/>
      <c r="N1511" s="715"/>
      <c r="O1511" s="943">
        <v>0</v>
      </c>
      <c r="P1511" s="299"/>
      <c r="Q1511" s="715"/>
      <c r="R1511" s="715"/>
      <c r="S1511" s="715"/>
      <c r="T1511" s="943">
        <v>0</v>
      </c>
      <c r="U1511" s="299"/>
      <c r="V1511" s="300"/>
      <c r="W1511" s="300"/>
      <c r="X1511" s="715"/>
      <c r="Y1511" s="429">
        <v>0</v>
      </c>
      <c r="Z1511" s="299"/>
      <c r="AA1511" s="300"/>
      <c r="AB1511" s="300"/>
      <c r="AC1511" s="715"/>
      <c r="AD1511" s="429">
        <v>0</v>
      </c>
      <c r="AE1511" s="299"/>
      <c r="AF1511" s="300"/>
      <c r="AG1511" s="300"/>
      <c r="AH1511" s="715"/>
      <c r="AI1511" s="429">
        <v>0</v>
      </c>
      <c r="AJ1511" s="299"/>
      <c r="AK1511" s="300"/>
      <c r="AL1511" s="300"/>
      <c r="AM1511" s="715"/>
      <c r="AN1511" s="429">
        <v>0</v>
      </c>
      <c r="AO1511" s="299"/>
      <c r="AP1511" s="300"/>
      <c r="AQ1511" s="300"/>
      <c r="AR1511" s="715"/>
      <c r="AS1511" s="429">
        <v>0</v>
      </c>
      <c r="AT1511" s="299"/>
      <c r="AU1511" s="300"/>
      <c r="AV1511" s="300"/>
      <c r="AW1511" s="715"/>
      <c r="AX1511" s="429">
        <v>0</v>
      </c>
      <c r="AY1511" s="299"/>
      <c r="AZ1511" s="300"/>
      <c r="BA1511" s="300"/>
      <c r="BB1511" s="715"/>
      <c r="BC1511" s="429">
        <v>0</v>
      </c>
      <c r="BD1511" s="299"/>
      <c r="BE1511" s="300"/>
      <c r="BF1511" s="300"/>
      <c r="BG1511" s="715"/>
      <c r="BH1511" s="429">
        <v>0</v>
      </c>
      <c r="BI1511" s="304"/>
      <c r="BJ1511" s="300"/>
      <c r="BK1511" s="300"/>
      <c r="BL1511" s="300"/>
      <c r="BM1511" s="300">
        <v>0</v>
      </c>
      <c r="BN1511" s="401"/>
      <c r="BO1511" s="300"/>
      <c r="BP1511" s="300"/>
      <c r="BQ1511" s="300"/>
      <c r="BR1511" s="300">
        <v>0</v>
      </c>
      <c r="BS1511" s="401"/>
      <c r="BT1511" s="401"/>
      <c r="BU1511" s="401"/>
      <c r="BV1511" s="401"/>
      <c r="BW1511" s="122"/>
    </row>
    <row r="1512" spans="1:75" s="123" customFormat="1" hidden="1" outlineLevel="1" x14ac:dyDescent="0.5">
      <c r="A1512" s="464" t="s">
        <v>1420</v>
      </c>
      <c r="B1512" s="118"/>
      <c r="C1512" s="716"/>
      <c r="D1512" s="716"/>
      <c r="E1512" s="713">
        <v>1E-3</v>
      </c>
      <c r="F1512" s="716"/>
      <c r="G1512" s="715"/>
      <c r="H1512" s="715"/>
      <c r="I1512" s="715"/>
      <c r="J1512" s="943">
        <v>0</v>
      </c>
      <c r="K1512" s="716"/>
      <c r="L1512" s="715"/>
      <c r="M1512" s="715"/>
      <c r="N1512" s="715"/>
      <c r="O1512" s="943">
        <v>0</v>
      </c>
      <c r="P1512" s="299"/>
      <c r="Q1512" s="715"/>
      <c r="R1512" s="715"/>
      <c r="S1512" s="715"/>
      <c r="T1512" s="943">
        <v>0</v>
      </c>
      <c r="U1512" s="299"/>
      <c r="V1512" s="300"/>
      <c r="W1512" s="300"/>
      <c r="X1512" s="715"/>
      <c r="Y1512" s="429">
        <v>0</v>
      </c>
      <c r="Z1512" s="299"/>
      <c r="AA1512" s="300"/>
      <c r="AB1512" s="300"/>
      <c r="AC1512" s="715"/>
      <c r="AD1512" s="429">
        <v>0</v>
      </c>
      <c r="AE1512" s="299"/>
      <c r="AF1512" s="300"/>
      <c r="AG1512" s="300"/>
      <c r="AH1512" s="715"/>
      <c r="AI1512" s="429">
        <v>0</v>
      </c>
      <c r="AJ1512" s="299"/>
      <c r="AK1512" s="300"/>
      <c r="AL1512" s="300"/>
      <c r="AM1512" s="715"/>
      <c r="AN1512" s="429">
        <v>0</v>
      </c>
      <c r="AO1512" s="299"/>
      <c r="AP1512" s="300"/>
      <c r="AQ1512" s="300"/>
      <c r="AR1512" s="715"/>
      <c r="AS1512" s="429">
        <v>0</v>
      </c>
      <c r="AT1512" s="299"/>
      <c r="AU1512" s="300"/>
      <c r="AV1512" s="300"/>
      <c r="AW1512" s="715"/>
      <c r="AX1512" s="429">
        <v>0</v>
      </c>
      <c r="AY1512" s="299"/>
      <c r="AZ1512" s="300"/>
      <c r="BA1512" s="300"/>
      <c r="BB1512" s="715"/>
      <c r="BC1512" s="429">
        <v>0</v>
      </c>
      <c r="BD1512" s="299"/>
      <c r="BE1512" s="300"/>
      <c r="BF1512" s="300"/>
      <c r="BG1512" s="715"/>
      <c r="BH1512" s="429">
        <v>0</v>
      </c>
      <c r="BI1512" s="304"/>
      <c r="BJ1512" s="300"/>
      <c r="BK1512" s="300"/>
      <c r="BL1512" s="300"/>
      <c r="BM1512" s="300">
        <v>0</v>
      </c>
      <c r="BN1512" s="401"/>
      <c r="BO1512" s="300"/>
      <c r="BP1512" s="300"/>
      <c r="BQ1512" s="300"/>
      <c r="BR1512" s="300">
        <v>0</v>
      </c>
      <c r="BS1512" s="401"/>
      <c r="BT1512" s="401"/>
      <c r="BU1512" s="401"/>
      <c r="BV1512" s="401"/>
      <c r="BW1512" s="122"/>
    </row>
    <row r="1513" spans="1:75" s="123" customFormat="1" hidden="1" outlineLevel="1" x14ac:dyDescent="0.5">
      <c r="A1513" s="464" t="s">
        <v>1421</v>
      </c>
      <c r="B1513" s="118"/>
      <c r="C1513" s="716"/>
      <c r="D1513" s="716"/>
      <c r="E1513" s="716"/>
      <c r="F1513" s="716"/>
      <c r="G1513" s="715"/>
      <c r="H1513" s="715"/>
      <c r="I1513" s="715"/>
      <c r="J1513" s="715">
        <v>0</v>
      </c>
      <c r="K1513" s="716"/>
      <c r="L1513" s="715"/>
      <c r="M1513" s="715"/>
      <c r="N1513" s="715"/>
      <c r="O1513" s="715">
        <v>0</v>
      </c>
      <c r="P1513" s="299"/>
      <c r="Q1513" s="715"/>
      <c r="R1513" s="715"/>
      <c r="S1513" s="715"/>
      <c r="T1513" s="715">
        <v>0</v>
      </c>
      <c r="U1513" s="299"/>
      <c r="V1513" s="300"/>
      <c r="W1513" s="300"/>
      <c r="X1513" s="715"/>
      <c r="Y1513" s="300">
        <v>0</v>
      </c>
      <c r="Z1513" s="299"/>
      <c r="AA1513" s="300"/>
      <c r="AB1513" s="300"/>
      <c r="AC1513" s="715"/>
      <c r="AD1513" s="300">
        <v>0</v>
      </c>
      <c r="AE1513" s="299"/>
      <c r="AF1513" s="300"/>
      <c r="AG1513" s="300"/>
      <c r="AH1513" s="715"/>
      <c r="AI1513" s="429">
        <v>0</v>
      </c>
      <c r="AJ1513" s="299"/>
      <c r="AK1513" s="300"/>
      <c r="AL1513" s="300"/>
      <c r="AM1513" s="715"/>
      <c r="AN1513" s="429">
        <v>0</v>
      </c>
      <c r="AO1513" s="299"/>
      <c r="AP1513" s="300"/>
      <c r="AQ1513" s="300"/>
      <c r="AR1513" s="715"/>
      <c r="AS1513" s="429">
        <v>0</v>
      </c>
      <c r="AT1513" s="299"/>
      <c r="AU1513" s="300"/>
      <c r="AV1513" s="300"/>
      <c r="AW1513" s="715"/>
      <c r="AX1513" s="429">
        <v>0</v>
      </c>
      <c r="AY1513" s="299"/>
      <c r="AZ1513" s="300"/>
      <c r="BA1513" s="300"/>
      <c r="BB1513" s="715"/>
      <c r="BC1513" s="429">
        <v>0</v>
      </c>
      <c r="BD1513" s="299"/>
      <c r="BE1513" s="300"/>
      <c r="BF1513" s="300"/>
      <c r="BG1513" s="715"/>
      <c r="BH1513" s="429">
        <v>0</v>
      </c>
      <c r="BI1513" s="304"/>
      <c r="BJ1513" s="300"/>
      <c r="BK1513" s="300"/>
      <c r="BL1513" s="300"/>
      <c r="BM1513" s="300">
        <v>0</v>
      </c>
      <c r="BN1513" s="401"/>
      <c r="BO1513" s="300"/>
      <c r="BP1513" s="300"/>
      <c r="BQ1513" s="300"/>
      <c r="BR1513" s="300">
        <v>0</v>
      </c>
      <c r="BS1513" s="401"/>
      <c r="BT1513" s="401"/>
      <c r="BU1513" s="401"/>
      <c r="BV1513" s="401"/>
      <c r="BW1513" s="122"/>
    </row>
    <row r="1514" spans="1:75" s="123" customFormat="1" hidden="1" outlineLevel="1" x14ac:dyDescent="0.5">
      <c r="A1514" s="464" t="s">
        <v>1422</v>
      </c>
      <c r="B1514" s="118"/>
      <c r="C1514" s="716"/>
      <c r="D1514" s="716"/>
      <c r="E1514" s="716"/>
      <c r="F1514" s="716"/>
      <c r="G1514" s="715"/>
      <c r="H1514" s="715"/>
      <c r="I1514" s="715"/>
      <c r="J1514" s="715">
        <v>0</v>
      </c>
      <c r="K1514" s="716"/>
      <c r="L1514" s="715"/>
      <c r="M1514" s="715"/>
      <c r="N1514" s="715"/>
      <c r="O1514" s="715">
        <v>0</v>
      </c>
      <c r="P1514" s="299"/>
      <c r="Q1514" s="715"/>
      <c r="R1514" s="715"/>
      <c r="S1514" s="715"/>
      <c r="T1514" s="943">
        <v>0</v>
      </c>
      <c r="U1514" s="299"/>
      <c r="V1514" s="300"/>
      <c r="W1514" s="300"/>
      <c r="X1514" s="715"/>
      <c r="Y1514" s="429">
        <v>-0.61099999999999999</v>
      </c>
      <c r="Z1514" s="305">
        <v>-0.61099999999999999</v>
      </c>
      <c r="AA1514" s="300"/>
      <c r="AB1514" s="300"/>
      <c r="AC1514" s="715"/>
      <c r="AD1514" s="429">
        <v>-0.377</v>
      </c>
      <c r="AE1514" s="305">
        <v>-0.377</v>
      </c>
      <c r="AF1514" s="300"/>
      <c r="AG1514" s="300"/>
      <c r="AH1514" s="715"/>
      <c r="AI1514" s="429">
        <v>0</v>
      </c>
      <c r="AJ1514" s="299"/>
      <c r="AK1514" s="300"/>
      <c r="AL1514" s="300"/>
      <c r="AM1514" s="715"/>
      <c r="AN1514" s="429">
        <v>0</v>
      </c>
      <c r="AO1514" s="299"/>
      <c r="AP1514" s="300"/>
      <c r="AQ1514" s="300"/>
      <c r="AR1514" s="715"/>
      <c r="AS1514" s="429">
        <v>0</v>
      </c>
      <c r="AT1514" s="299"/>
      <c r="AU1514" s="300"/>
      <c r="AV1514" s="300"/>
      <c r="AW1514" s="715"/>
      <c r="AX1514" s="429">
        <v>0</v>
      </c>
      <c r="AY1514" s="299"/>
      <c r="AZ1514" s="300"/>
      <c r="BA1514" s="300"/>
      <c r="BB1514" s="715"/>
      <c r="BC1514" s="429">
        <v>0</v>
      </c>
      <c r="BD1514" s="299"/>
      <c r="BE1514" s="300"/>
      <c r="BF1514" s="300"/>
      <c r="BG1514" s="715"/>
      <c r="BH1514" s="429">
        <v>0</v>
      </c>
      <c r="BI1514" s="304"/>
      <c r="BJ1514" s="300"/>
      <c r="BK1514" s="300"/>
      <c r="BL1514" s="300"/>
      <c r="BM1514" s="300">
        <v>0</v>
      </c>
      <c r="BN1514" s="401"/>
      <c r="BO1514" s="300"/>
      <c r="BP1514" s="300"/>
      <c r="BQ1514" s="300"/>
      <c r="BR1514" s="300">
        <v>0</v>
      </c>
      <c r="BS1514" s="401"/>
      <c r="BT1514" s="401"/>
      <c r="BU1514" s="401"/>
      <c r="BV1514" s="401"/>
      <c r="BW1514" s="122"/>
    </row>
    <row r="1515" spans="1:75" s="123" customFormat="1" hidden="1" outlineLevel="1" x14ac:dyDescent="0.5">
      <c r="A1515" s="464" t="s">
        <v>1423</v>
      </c>
      <c r="B1515" s="118"/>
      <c r="C1515" s="716"/>
      <c r="D1515" s="716"/>
      <c r="E1515" s="716"/>
      <c r="F1515" s="716"/>
      <c r="G1515" s="715"/>
      <c r="H1515" s="715"/>
      <c r="I1515" s="715"/>
      <c r="J1515" s="715">
        <v>0</v>
      </c>
      <c r="K1515" s="716"/>
      <c r="L1515" s="715"/>
      <c r="M1515" s="715"/>
      <c r="N1515" s="715"/>
      <c r="O1515" s="715">
        <v>0</v>
      </c>
      <c r="P1515" s="299"/>
      <c r="Q1515" s="715"/>
      <c r="R1515" s="715"/>
      <c r="S1515" s="715"/>
      <c r="T1515" s="715">
        <v>0</v>
      </c>
      <c r="U1515" s="299"/>
      <c r="V1515" s="300"/>
      <c r="W1515" s="300"/>
      <c r="X1515" s="715"/>
      <c r="Y1515" s="300">
        <v>0</v>
      </c>
      <c r="Z1515" s="299"/>
      <c r="AA1515" s="300"/>
      <c r="AB1515" s="300"/>
      <c r="AC1515" s="715"/>
      <c r="AD1515" s="429">
        <v>0</v>
      </c>
      <c r="AE1515" s="299"/>
      <c r="AF1515" s="300"/>
      <c r="AG1515" s="300"/>
      <c r="AH1515" s="715"/>
      <c r="AI1515" s="429">
        <v>0</v>
      </c>
      <c r="AJ1515" s="299"/>
      <c r="AK1515" s="300"/>
      <c r="AL1515" s="300"/>
      <c r="AM1515" s="715"/>
      <c r="AN1515" s="429">
        <v>0</v>
      </c>
      <c r="AO1515" s="299"/>
      <c r="AP1515" s="300"/>
      <c r="AQ1515" s="300"/>
      <c r="AR1515" s="715"/>
      <c r="AS1515" s="429">
        <v>0</v>
      </c>
      <c r="AT1515" s="299"/>
      <c r="AU1515" s="300"/>
      <c r="AV1515" s="300"/>
      <c r="AW1515" s="715"/>
      <c r="AX1515" s="429">
        <v>0</v>
      </c>
      <c r="AY1515" s="299"/>
      <c r="AZ1515" s="300"/>
      <c r="BA1515" s="300"/>
      <c r="BB1515" s="715"/>
      <c r="BC1515" s="429">
        <v>0</v>
      </c>
      <c r="BD1515" s="299"/>
      <c r="BE1515" s="300"/>
      <c r="BF1515" s="300"/>
      <c r="BG1515" s="715"/>
      <c r="BH1515" s="429">
        <v>0</v>
      </c>
      <c r="BI1515" s="304"/>
      <c r="BJ1515" s="300"/>
      <c r="BK1515" s="300"/>
      <c r="BL1515" s="300"/>
      <c r="BM1515" s="300">
        <v>0</v>
      </c>
      <c r="BN1515" s="401"/>
      <c r="BO1515" s="300"/>
      <c r="BP1515" s="300"/>
      <c r="BQ1515" s="300"/>
      <c r="BR1515" s="300">
        <v>0</v>
      </c>
      <c r="BS1515" s="401"/>
      <c r="BT1515" s="401"/>
      <c r="BU1515" s="401"/>
      <c r="BV1515" s="401"/>
      <c r="BW1515" s="122"/>
    </row>
    <row r="1516" spans="1:75" s="123" customFormat="1" hidden="1" outlineLevel="1" x14ac:dyDescent="0.5">
      <c r="A1516" s="464" t="s">
        <v>1424</v>
      </c>
      <c r="B1516" s="118"/>
      <c r="C1516" s="716"/>
      <c r="D1516" s="716"/>
      <c r="E1516" s="716"/>
      <c r="F1516" s="713">
        <v>97.692999999999998</v>
      </c>
      <c r="G1516" s="715"/>
      <c r="H1516" s="715"/>
      <c r="I1516" s="715"/>
      <c r="J1516" s="943">
        <v>0</v>
      </c>
      <c r="K1516" s="716"/>
      <c r="L1516" s="715"/>
      <c r="M1516" s="715"/>
      <c r="N1516" s="715"/>
      <c r="O1516" s="943">
        <v>0</v>
      </c>
      <c r="P1516" s="299"/>
      <c r="Q1516" s="715"/>
      <c r="R1516" s="715"/>
      <c r="S1516" s="715"/>
      <c r="T1516" s="943">
        <v>0</v>
      </c>
      <c r="U1516" s="299"/>
      <c r="V1516" s="310"/>
      <c r="W1516" s="300"/>
      <c r="X1516" s="715"/>
      <c r="Y1516" s="429">
        <v>0</v>
      </c>
      <c r="Z1516" s="299"/>
      <c r="AA1516" s="300"/>
      <c r="AB1516" s="300"/>
      <c r="AC1516" s="715"/>
      <c r="AD1516" s="429">
        <v>0</v>
      </c>
      <c r="AE1516" s="299"/>
      <c r="AF1516" s="300"/>
      <c r="AG1516" s="300"/>
      <c r="AH1516" s="715"/>
      <c r="AI1516" s="429">
        <v>0</v>
      </c>
      <c r="AJ1516" s="299"/>
      <c r="AK1516" s="300"/>
      <c r="AL1516" s="300"/>
      <c r="AM1516" s="715"/>
      <c r="AN1516" s="429">
        <v>0</v>
      </c>
      <c r="AO1516" s="299"/>
      <c r="AP1516" s="300"/>
      <c r="AQ1516" s="300"/>
      <c r="AR1516" s="715"/>
      <c r="AS1516" s="429">
        <v>0</v>
      </c>
      <c r="AT1516" s="299"/>
      <c r="AU1516" s="300"/>
      <c r="AV1516" s="300"/>
      <c r="AW1516" s="715"/>
      <c r="AX1516" s="429">
        <v>0</v>
      </c>
      <c r="AY1516" s="299"/>
      <c r="AZ1516" s="300"/>
      <c r="BA1516" s="300"/>
      <c r="BB1516" s="715"/>
      <c r="BC1516" s="429">
        <v>0</v>
      </c>
      <c r="BD1516" s="299"/>
      <c r="BE1516" s="300"/>
      <c r="BF1516" s="300"/>
      <c r="BG1516" s="715"/>
      <c r="BH1516" s="429">
        <v>0</v>
      </c>
      <c r="BI1516" s="304"/>
      <c r="BJ1516" s="300"/>
      <c r="BK1516" s="300"/>
      <c r="BL1516" s="300"/>
      <c r="BM1516" s="300">
        <v>0</v>
      </c>
      <c r="BN1516" s="401"/>
      <c r="BO1516" s="300"/>
      <c r="BP1516" s="300"/>
      <c r="BQ1516" s="300"/>
      <c r="BR1516" s="300">
        <v>0</v>
      </c>
      <c r="BS1516" s="401"/>
      <c r="BT1516" s="401"/>
      <c r="BU1516" s="401"/>
      <c r="BV1516" s="401"/>
      <c r="BW1516" s="122"/>
    </row>
    <row r="1517" spans="1:75" s="198" customFormat="1" ht="14.25" hidden="1" outlineLevel="1" x14ac:dyDescent="0.45">
      <c r="A1517" s="516" t="s">
        <v>1425</v>
      </c>
      <c r="B1517" s="517"/>
      <c r="C1517" s="518"/>
      <c r="D1517" s="519">
        <v>51.600999999999999</v>
      </c>
      <c r="E1517" s="519">
        <v>3.3710000000000293</v>
      </c>
      <c r="F1517" s="519">
        <v>53.052000000000021</v>
      </c>
      <c r="G1517" s="520">
        <v>30.652999999999995</v>
      </c>
      <c r="H1517" s="520">
        <v>5.862999999999956</v>
      </c>
      <c r="I1517" s="520">
        <v>27.024000000000143</v>
      </c>
      <c r="J1517" s="520">
        <v>11.504999999999978</v>
      </c>
      <c r="K1517" s="519">
        <v>11.504999999999978</v>
      </c>
      <c r="L1517" s="520">
        <v>71.283000000000015</v>
      </c>
      <c r="M1517" s="520">
        <v>236.88900000000004</v>
      </c>
      <c r="N1517" s="520">
        <v>236.64200000000005</v>
      </c>
      <c r="O1517" s="520">
        <v>253.8000000000001</v>
      </c>
      <c r="P1517" s="519">
        <v>253.8000000000001</v>
      </c>
      <c r="Q1517" s="520">
        <v>2.8370000000000002</v>
      </c>
      <c r="R1517" s="520">
        <v>268.32699999999994</v>
      </c>
      <c r="S1517" s="520">
        <v>278.53999999999996</v>
      </c>
      <c r="T1517" s="520">
        <v>286.78199999999998</v>
      </c>
      <c r="U1517" s="519">
        <v>286.78199999999998</v>
      </c>
      <c r="V1517" s="520">
        <v>-6.0000000000000331E-3</v>
      </c>
      <c r="W1517" s="327">
        <v>-2.593</v>
      </c>
      <c r="X1517" s="520">
        <v>-2.3109999999999999</v>
      </c>
      <c r="Y1517" s="520">
        <v>-2.2409999999999997</v>
      </c>
      <c r="Z1517" s="519">
        <v>-2.2409999999999997</v>
      </c>
      <c r="AA1517" s="520">
        <v>-299.08699999999999</v>
      </c>
      <c r="AB1517" s="520">
        <v>-528.077</v>
      </c>
      <c r="AC1517" s="520">
        <v>-552.96900000000005</v>
      </c>
      <c r="AD1517" s="520">
        <v>-688.41300000000001</v>
      </c>
      <c r="AE1517" s="519">
        <v>-688.41300000000001</v>
      </c>
      <c r="AF1517" s="520">
        <v>18.334999999999972</v>
      </c>
      <c r="AG1517" s="520">
        <v>-6.3500000000000236</v>
      </c>
      <c r="AH1517" s="520">
        <v>-39.868000000000009</v>
      </c>
      <c r="AI1517" s="520">
        <v>-188.99200000000002</v>
      </c>
      <c r="AJ1517" s="519">
        <v>-188.99200000000002</v>
      </c>
      <c r="AK1517" s="520">
        <v>65.83299999999997</v>
      </c>
      <c r="AL1517" s="520">
        <v>-66.022999999999996</v>
      </c>
      <c r="AM1517" s="520">
        <v>-108.00800000000002</v>
      </c>
      <c r="AN1517" s="520">
        <v>-174.80400000000003</v>
      </c>
      <c r="AO1517" s="519">
        <v>-174.80400000000003</v>
      </c>
      <c r="AP1517" s="520">
        <v>3.1819999999999924</v>
      </c>
      <c r="AQ1517" s="520">
        <v>-132.98800000000003</v>
      </c>
      <c r="AR1517" s="520">
        <v>-230.82599999999999</v>
      </c>
      <c r="AS1517" s="520">
        <v>-243.91400000000002</v>
      </c>
      <c r="AT1517" s="519">
        <v>-243.91400000000002</v>
      </c>
      <c r="AU1517" s="520">
        <v>-11.031999999999998</v>
      </c>
      <c r="AV1517" s="520">
        <v>-42.968000000000004</v>
      </c>
      <c r="AW1517" s="520">
        <v>1721.5139999999999</v>
      </c>
      <c r="AX1517" s="520">
        <v>1607.127</v>
      </c>
      <c r="AY1517" s="519">
        <v>1607.127</v>
      </c>
      <c r="AZ1517" s="520">
        <v>-42.351000000000035</v>
      </c>
      <c r="BA1517" s="520">
        <v>-224.15600000000009</v>
      </c>
      <c r="BB1517" s="520">
        <v>-255.68100000000004</v>
      </c>
      <c r="BC1517" s="520">
        <v>-902.47699999999998</v>
      </c>
      <c r="BD1517" s="519">
        <v>-902.47699999999998</v>
      </c>
      <c r="BE1517" s="520">
        <v>-10.935</v>
      </c>
      <c r="BF1517" s="520">
        <v>-1224.481</v>
      </c>
      <c r="BG1517" s="520">
        <v>-1278.3859999999997</v>
      </c>
      <c r="BH1517" s="520">
        <v>-1283.0309999999999</v>
      </c>
      <c r="BI1517" s="521">
        <v>-1283.0309999999999</v>
      </c>
      <c r="BJ1517" s="327">
        <v>0</v>
      </c>
      <c r="BK1517" s="327">
        <v>0</v>
      </c>
      <c r="BL1517" s="327">
        <v>0</v>
      </c>
      <c r="BM1517" s="327">
        <v>0</v>
      </c>
      <c r="BN1517" s="518">
        <v>0</v>
      </c>
      <c r="BO1517" s="327">
        <v>0</v>
      </c>
      <c r="BP1517" s="327">
        <v>0</v>
      </c>
      <c r="BQ1517" s="327">
        <v>0</v>
      </c>
      <c r="BR1517" s="327">
        <v>0</v>
      </c>
      <c r="BS1517" s="518">
        <v>0</v>
      </c>
      <c r="BT1517" s="518">
        <v>0</v>
      </c>
      <c r="BU1517" s="518">
        <v>0</v>
      </c>
      <c r="BV1517" s="518">
        <v>0</v>
      </c>
      <c r="BW1517" s="197"/>
    </row>
    <row r="1518" spans="1:75" s="198" customFormat="1" ht="14.25" hidden="1" outlineLevel="1" x14ac:dyDescent="0.45">
      <c r="A1518" s="206"/>
      <c r="B1518" s="522"/>
      <c r="C1518" s="397"/>
      <c r="D1518" s="397"/>
      <c r="E1518" s="397"/>
      <c r="F1518" s="397"/>
      <c r="G1518" s="295"/>
      <c r="H1518" s="295"/>
      <c r="I1518" s="295"/>
      <c r="J1518" s="295"/>
      <c r="K1518" s="397"/>
      <c r="L1518" s="295"/>
      <c r="M1518" s="295"/>
      <c r="N1518" s="295"/>
      <c r="O1518" s="295"/>
      <c r="P1518" s="397"/>
      <c r="Q1518" s="295"/>
      <c r="R1518" s="295"/>
      <c r="S1518" s="295"/>
      <c r="T1518" s="295"/>
      <c r="U1518" s="397"/>
      <c r="V1518" s="295"/>
      <c r="W1518" s="295"/>
      <c r="X1518" s="295"/>
      <c r="Y1518" s="295"/>
      <c r="Z1518" s="397"/>
      <c r="AA1518" s="295"/>
      <c r="AB1518" s="295"/>
      <c r="AC1518" s="295"/>
      <c r="AD1518" s="295"/>
      <c r="AE1518" s="397"/>
      <c r="AF1518" s="295"/>
      <c r="AG1518" s="295"/>
      <c r="AH1518" s="295"/>
      <c r="AI1518" s="295"/>
      <c r="AJ1518" s="397"/>
      <c r="AK1518" s="295"/>
      <c r="AL1518" s="295"/>
      <c r="AM1518" s="295"/>
      <c r="AN1518" s="295"/>
      <c r="AO1518" s="397"/>
      <c r="AP1518" s="295"/>
      <c r="AQ1518" s="295"/>
      <c r="AR1518" s="295"/>
      <c r="AS1518" s="295"/>
      <c r="AT1518" s="397"/>
      <c r="AU1518" s="295"/>
      <c r="AV1518" s="295"/>
      <c r="AW1518" s="295"/>
      <c r="AX1518" s="295"/>
      <c r="AY1518" s="397"/>
      <c r="AZ1518" s="295"/>
      <c r="BA1518" s="295"/>
      <c r="BB1518" s="295"/>
      <c r="BC1518" s="295"/>
      <c r="BD1518" s="397"/>
      <c r="BE1518" s="295"/>
      <c r="BF1518" s="295"/>
      <c r="BG1518" s="295"/>
      <c r="BH1518" s="295"/>
      <c r="BI1518" s="399"/>
      <c r="BJ1518" s="295"/>
      <c r="BK1518" s="295"/>
      <c r="BL1518" s="295"/>
      <c r="BM1518" s="295"/>
      <c r="BN1518" s="397"/>
      <c r="BO1518" s="295"/>
      <c r="BP1518" s="295"/>
      <c r="BQ1518" s="295"/>
      <c r="BR1518" s="295"/>
      <c r="BS1518" s="397"/>
      <c r="BT1518" s="397"/>
      <c r="BU1518" s="397"/>
      <c r="BV1518" s="397"/>
      <c r="BW1518" s="197"/>
    </row>
    <row r="1519" spans="1:75" s="198" customFormat="1" ht="14.25" hidden="1" outlineLevel="1" x14ac:dyDescent="0.45">
      <c r="A1519" s="463" t="s">
        <v>1426</v>
      </c>
      <c r="B1519" s="522"/>
      <c r="C1519" s="397"/>
      <c r="D1519" s="671">
        <v>0.29399999999999998</v>
      </c>
      <c r="E1519" s="671">
        <v>0.249</v>
      </c>
      <c r="F1519" s="671">
        <v>2.1999999999999999E-2</v>
      </c>
      <c r="G1519" s="638">
        <v>2.1999999999999999E-2</v>
      </c>
      <c r="H1519" s="638">
        <v>-1.7999999999999999E-2</v>
      </c>
      <c r="I1519" s="638">
        <v>-1.4E-2</v>
      </c>
      <c r="J1519" s="197">
        <v>-0.123</v>
      </c>
      <c r="K1519" s="671">
        <v>-0.123</v>
      </c>
      <c r="L1519" s="638">
        <v>4.0000000000000001E-3</v>
      </c>
      <c r="M1519" s="638">
        <v>-8.0000000000000002E-3</v>
      </c>
      <c r="N1519" s="638">
        <v>-3.3000000000000002E-2</v>
      </c>
      <c r="O1519" s="197">
        <v>-0.19800000000000001</v>
      </c>
      <c r="P1519" s="671">
        <v>-0.19800000000000001</v>
      </c>
      <c r="Q1519" s="638">
        <v>7.2999999999999995E-2</v>
      </c>
      <c r="R1519" s="638">
        <v>-2.1999999999999999E-2</v>
      </c>
      <c r="S1519" s="638">
        <v>-2.4E-2</v>
      </c>
      <c r="T1519" s="197">
        <v>-0.308</v>
      </c>
      <c r="U1519" s="671">
        <v>-0.308</v>
      </c>
      <c r="V1519" s="638">
        <v>0.88800000000000001</v>
      </c>
      <c r="W1519" s="638">
        <v>0.45200000000000001</v>
      </c>
      <c r="X1519" s="638">
        <v>0.34200000000000003</v>
      </c>
      <c r="Y1519" s="197">
        <v>0.44900000000000001</v>
      </c>
      <c r="Z1519" s="671">
        <v>0.44900000000000001</v>
      </c>
      <c r="AA1519" s="638">
        <v>-8.5999999999999993E-2</v>
      </c>
      <c r="AB1519" s="638">
        <v>5.5E-2</v>
      </c>
      <c r="AC1519" s="638">
        <v>2.1999999999999999E-2</v>
      </c>
      <c r="AD1519" s="197">
        <v>0.152</v>
      </c>
      <c r="AE1519" s="671">
        <v>0.152</v>
      </c>
      <c r="AF1519" s="638">
        <v>-6.2E-2</v>
      </c>
      <c r="AG1519" s="638">
        <v>-0.124</v>
      </c>
      <c r="AH1519" s="638">
        <v>-0.13600000000000001</v>
      </c>
      <c r="AI1519" s="197">
        <v>-0.13</v>
      </c>
      <c r="AJ1519" s="671">
        <v>-0.13</v>
      </c>
      <c r="AK1519" s="638">
        <v>6.0000000000000001E-3</v>
      </c>
      <c r="AL1519" s="638">
        <v>-7.4999999999999997E-2</v>
      </c>
      <c r="AM1519" s="638">
        <v>-3.0000000000000001E-3</v>
      </c>
      <c r="AN1519" s="197">
        <v>1.6E-2</v>
      </c>
      <c r="AO1519" s="671">
        <v>1.6E-2</v>
      </c>
      <c r="AP1519" s="638">
        <v>-0.13200000000000001</v>
      </c>
      <c r="AQ1519" s="638">
        <v>1.7000000000000001E-2</v>
      </c>
      <c r="AR1519" s="638">
        <v>-0.01</v>
      </c>
      <c r="AS1519" s="197">
        <v>0.157</v>
      </c>
      <c r="AT1519" s="671">
        <v>0.157</v>
      </c>
      <c r="AU1519" s="638">
        <v>3.5999999999999997E-2</v>
      </c>
      <c r="AV1519" s="638">
        <v>9.1999999999999998E-2</v>
      </c>
      <c r="AW1519" s="638">
        <v>3.4000000000000002E-2</v>
      </c>
      <c r="AX1519" s="197">
        <v>-9.5000000000000001E-2</v>
      </c>
      <c r="AY1519" s="671">
        <v>-9.5000000000000001E-2</v>
      </c>
      <c r="AZ1519" s="638">
        <v>-0.27800000000000002</v>
      </c>
      <c r="BA1519" s="638">
        <v>-0.44</v>
      </c>
      <c r="BB1519" s="638">
        <v>-1.155</v>
      </c>
      <c r="BC1519" s="197">
        <v>-0.24299999999999999</v>
      </c>
      <c r="BD1519" s="671">
        <v>-0.24299999999999999</v>
      </c>
      <c r="BE1519" s="638">
        <v>-1.7999999999999999E-2</v>
      </c>
      <c r="BF1519" s="638">
        <v>0.27100000000000002</v>
      </c>
      <c r="BG1519" s="638">
        <v>-0.73299999999999998</v>
      </c>
      <c r="BH1519" s="197">
        <v>0.17299999999999999</v>
      </c>
      <c r="BI1519" s="673">
        <v>0.17299999999999999</v>
      </c>
      <c r="BJ1519" s="295"/>
      <c r="BK1519" s="295"/>
      <c r="BL1519" s="295"/>
      <c r="BM1519" s="295">
        <v>0</v>
      </c>
      <c r="BN1519" s="397"/>
      <c r="BO1519" s="295"/>
      <c r="BP1519" s="295"/>
      <c r="BQ1519" s="295"/>
      <c r="BR1519" s="295">
        <v>0</v>
      </c>
      <c r="BS1519" s="397"/>
      <c r="BT1519" s="397"/>
      <c r="BU1519" s="397"/>
      <c r="BV1519" s="397"/>
      <c r="BW1519" s="197"/>
    </row>
    <row r="1520" spans="1:75" s="198" customFormat="1" ht="14.25" hidden="1" outlineLevel="1" x14ac:dyDescent="0.45">
      <c r="A1520" s="463" t="s">
        <v>1427</v>
      </c>
      <c r="B1520" s="522"/>
      <c r="C1520" s="397"/>
      <c r="D1520" s="672">
        <v>0.17800000000000921</v>
      </c>
      <c r="E1520" s="672">
        <v>-4.851999999999971</v>
      </c>
      <c r="F1520" s="672">
        <v>-0.15799999999998418</v>
      </c>
      <c r="G1520" s="197">
        <v>1.3149999999999957</v>
      </c>
      <c r="H1520" s="197">
        <v>6.6579999999999631</v>
      </c>
      <c r="I1520" s="197">
        <v>-0.15699999999986214</v>
      </c>
      <c r="J1520" s="197">
        <v>5.0349999999999868</v>
      </c>
      <c r="K1520" s="672">
        <v>5.0349999999999868</v>
      </c>
      <c r="L1520" s="197">
        <v>-2.4469999999999721</v>
      </c>
      <c r="M1520" s="197">
        <v>168.10400000000001</v>
      </c>
      <c r="N1520" s="197">
        <v>143.73800000000006</v>
      </c>
      <c r="O1520" s="197">
        <v>135.5450000000001</v>
      </c>
      <c r="P1520" s="672">
        <v>135.5450000000001</v>
      </c>
      <c r="Q1520" s="197">
        <v>-45.167000000000002</v>
      </c>
      <c r="R1520" s="197">
        <v>156.01399999999995</v>
      </c>
      <c r="S1520" s="197">
        <v>78.044999999999945</v>
      </c>
      <c r="T1520" s="197">
        <v>200.96300000000005</v>
      </c>
      <c r="U1520" s="672">
        <v>200.96300000000005</v>
      </c>
      <c r="V1520" s="197">
        <v>-112.74099999999999</v>
      </c>
      <c r="W1520" s="295">
        <v>-312.21999999999991</v>
      </c>
      <c r="X1520" s="197">
        <v>-294.47099999999995</v>
      </c>
      <c r="Y1520" s="197">
        <v>-244.44400000000005</v>
      </c>
      <c r="Z1520" s="672">
        <v>-244.44400000000005</v>
      </c>
      <c r="AA1520" s="295">
        <v>-6.8730000000000064</v>
      </c>
      <c r="AB1520" s="197">
        <v>-65.386000000000024</v>
      </c>
      <c r="AC1520" s="197">
        <v>-64.861000000000089</v>
      </c>
      <c r="AD1520" s="197">
        <v>-69.116000000000142</v>
      </c>
      <c r="AE1520" s="672">
        <v>-69.116000000000142</v>
      </c>
      <c r="AF1520" s="295">
        <v>-2.6350000000000109</v>
      </c>
      <c r="AG1520" s="197">
        <v>-0.37000000000001643</v>
      </c>
      <c r="AH1520" s="197">
        <v>-16.566000000000063</v>
      </c>
      <c r="AI1520" s="197">
        <v>-19.510999999999914</v>
      </c>
      <c r="AJ1520" s="672">
        <v>-19.510999999999914</v>
      </c>
      <c r="AK1520" s="295">
        <v>96.746999999999957</v>
      </c>
      <c r="AL1520" s="197">
        <v>5.7519999999999838</v>
      </c>
      <c r="AM1520" s="197">
        <v>32.449999999999946</v>
      </c>
      <c r="AN1520" s="197">
        <v>41.854999999999997</v>
      </c>
      <c r="AO1520" s="672">
        <v>41.854999999999997</v>
      </c>
      <c r="AP1520" s="295">
        <v>-30.450000000000006</v>
      </c>
      <c r="AQ1520" s="197">
        <v>-30.271000000000068</v>
      </c>
      <c r="AR1520" s="197">
        <v>49.126000000000083</v>
      </c>
      <c r="AS1520" s="197">
        <v>59.413000000000139</v>
      </c>
      <c r="AT1520" s="672">
        <v>59.413000000000139</v>
      </c>
      <c r="AU1520" s="295">
        <v>128.45600000000005</v>
      </c>
      <c r="AV1520" s="197">
        <v>189.76500000000007</v>
      </c>
      <c r="AW1520" s="197">
        <v>2096.6400000000003</v>
      </c>
      <c r="AX1520" s="197">
        <v>2074.7930000000001</v>
      </c>
      <c r="AY1520" s="672">
        <v>2074.7930000000001</v>
      </c>
      <c r="AZ1520" s="295">
        <v>62.841000000000086</v>
      </c>
      <c r="BA1520" s="197">
        <v>-96.158000000000015</v>
      </c>
      <c r="BB1520" s="197">
        <v>-27.516000000000048</v>
      </c>
      <c r="BC1520" s="197">
        <v>-670.10100000000023</v>
      </c>
      <c r="BD1520" s="672">
        <v>-670.10100000000023</v>
      </c>
      <c r="BE1520" s="295">
        <v>8.4639999999999844</v>
      </c>
      <c r="BF1520" s="197">
        <v>-1091.1780000000001</v>
      </c>
      <c r="BG1520" s="197">
        <v>-1129.1079999999997</v>
      </c>
      <c r="BH1520" s="197">
        <v>-1388.075</v>
      </c>
      <c r="BI1520" s="849">
        <v>-1388.075</v>
      </c>
      <c r="BJ1520" s="295">
        <v>0</v>
      </c>
      <c r="BK1520" s="295">
        <v>0</v>
      </c>
      <c r="BL1520" s="295">
        <v>0</v>
      </c>
      <c r="BM1520" s="295">
        <v>0</v>
      </c>
      <c r="BN1520" s="397">
        <v>0</v>
      </c>
      <c r="BO1520" s="295">
        <v>0</v>
      </c>
      <c r="BP1520" s="295">
        <v>0</v>
      </c>
      <c r="BQ1520" s="295">
        <v>0</v>
      </c>
      <c r="BR1520" s="295">
        <v>0</v>
      </c>
      <c r="BS1520" s="397">
        <v>0</v>
      </c>
      <c r="BT1520" s="397">
        <v>0</v>
      </c>
      <c r="BU1520" s="397">
        <v>0</v>
      </c>
      <c r="BV1520" s="397">
        <v>0</v>
      </c>
      <c r="BW1520" s="197"/>
    </row>
    <row r="1521" spans="1:75" s="198" customFormat="1" ht="14.25" hidden="1" outlineLevel="1" x14ac:dyDescent="0.45">
      <c r="A1521" s="206"/>
      <c r="B1521" s="522"/>
      <c r="C1521" s="397"/>
      <c r="D1521" s="397"/>
      <c r="E1521" s="397"/>
      <c r="F1521" s="397"/>
      <c r="G1521" s="295"/>
      <c r="H1521" s="295"/>
      <c r="I1521" s="295"/>
      <c r="J1521" s="295"/>
      <c r="K1521" s="397"/>
      <c r="L1521" s="295"/>
      <c r="M1521" s="295"/>
      <c r="N1521" s="295"/>
      <c r="O1521" s="295"/>
      <c r="P1521" s="397"/>
      <c r="Q1521" s="295"/>
      <c r="R1521" s="295"/>
      <c r="S1521" s="295"/>
      <c r="T1521" s="295"/>
      <c r="U1521" s="397"/>
      <c r="V1521" s="295"/>
      <c r="W1521" s="295"/>
      <c r="X1521" s="295"/>
      <c r="Y1521" s="295"/>
      <c r="Z1521" s="397"/>
      <c r="AA1521" s="295"/>
      <c r="AB1521" s="295"/>
      <c r="AC1521" s="295"/>
      <c r="AD1521" s="295"/>
      <c r="AE1521" s="397"/>
      <c r="AF1521" s="295"/>
      <c r="AG1521" s="295"/>
      <c r="AH1521" s="295"/>
      <c r="AI1521" s="295"/>
      <c r="AJ1521" s="397"/>
      <c r="AK1521" s="295"/>
      <c r="AL1521" s="295"/>
      <c r="AM1521" s="295"/>
      <c r="AN1521" s="295"/>
      <c r="AO1521" s="397"/>
      <c r="AP1521" s="295"/>
      <c r="AQ1521" s="295"/>
      <c r="AR1521" s="295"/>
      <c r="AS1521" s="295"/>
      <c r="AT1521" s="397"/>
      <c r="AU1521" s="295"/>
      <c r="AV1521" s="295"/>
      <c r="AW1521" s="295"/>
      <c r="AX1521" s="295"/>
      <c r="AY1521" s="397"/>
      <c r="AZ1521" s="295"/>
      <c r="BA1521" s="295"/>
      <c r="BB1521" s="295"/>
      <c r="BC1521" s="295"/>
      <c r="BD1521" s="397"/>
      <c r="BE1521" s="295"/>
      <c r="BF1521" s="295"/>
      <c r="BG1521" s="295"/>
      <c r="BH1521" s="295"/>
      <c r="BI1521" s="399"/>
      <c r="BJ1521" s="295"/>
      <c r="BK1521" s="295"/>
      <c r="BL1521" s="295"/>
      <c r="BM1521" s="295"/>
      <c r="BN1521" s="397"/>
      <c r="BO1521" s="295"/>
      <c r="BP1521" s="295"/>
      <c r="BQ1521" s="295"/>
      <c r="BR1521" s="295"/>
      <c r="BS1521" s="397"/>
      <c r="BT1521" s="397"/>
      <c r="BU1521" s="397"/>
      <c r="BV1521" s="397"/>
      <c r="BW1521" s="197"/>
    </row>
    <row r="1522" spans="1:75" s="198" customFormat="1" ht="14.25" hidden="1" outlineLevel="1" x14ac:dyDescent="0.45">
      <c r="A1522" s="463" t="s">
        <v>1428</v>
      </c>
      <c r="B1522" s="522"/>
      <c r="C1522" s="397"/>
      <c r="D1522" s="636">
        <v>13.186</v>
      </c>
      <c r="E1522" s="672">
        <v>13.36400000000001</v>
      </c>
      <c r="F1522" s="672">
        <v>8.5120000000000395</v>
      </c>
      <c r="G1522" s="197">
        <v>8.354000000000056</v>
      </c>
      <c r="H1522" s="197">
        <v>8.354000000000056</v>
      </c>
      <c r="I1522" s="197">
        <v>8.354000000000056</v>
      </c>
      <c r="J1522" s="197">
        <v>8.354000000000056</v>
      </c>
      <c r="K1522" s="672">
        <v>8.354000000000056</v>
      </c>
      <c r="L1522" s="197">
        <v>13.389000000000042</v>
      </c>
      <c r="M1522" s="197">
        <v>13.389000000000042</v>
      </c>
      <c r="N1522" s="197">
        <v>13.389000000000042</v>
      </c>
      <c r="O1522" s="197">
        <v>13.389000000000042</v>
      </c>
      <c r="P1522" s="672">
        <v>13.389000000000042</v>
      </c>
      <c r="Q1522" s="197">
        <v>148.93400000000014</v>
      </c>
      <c r="R1522" s="197">
        <v>148.93400000000014</v>
      </c>
      <c r="S1522" s="197">
        <v>148.93400000000014</v>
      </c>
      <c r="T1522" s="197">
        <v>148.93400000000014</v>
      </c>
      <c r="U1522" s="672">
        <v>148.93400000000014</v>
      </c>
      <c r="V1522" s="197">
        <v>349.89700000000016</v>
      </c>
      <c r="W1522" s="295">
        <v>349.89700000000016</v>
      </c>
      <c r="X1522" s="197">
        <v>349.89700000000016</v>
      </c>
      <c r="Y1522" s="638">
        <v>331.46699999999998</v>
      </c>
      <c r="Z1522" s="671">
        <v>331.46699999999998</v>
      </c>
      <c r="AA1522" s="197">
        <v>87.022999999999939</v>
      </c>
      <c r="AB1522" s="197">
        <v>87.022999999999939</v>
      </c>
      <c r="AC1522" s="197">
        <v>87.022999999999939</v>
      </c>
      <c r="AD1522" s="197">
        <v>87.022999999999939</v>
      </c>
      <c r="AE1522" s="672">
        <v>87.022999999999939</v>
      </c>
      <c r="AF1522" s="638">
        <v>25.314</v>
      </c>
      <c r="AG1522" s="197">
        <v>25.314</v>
      </c>
      <c r="AH1522" s="197">
        <v>25.314</v>
      </c>
      <c r="AI1522" s="197">
        <v>25.314</v>
      </c>
      <c r="AJ1522" s="672">
        <v>25.314</v>
      </c>
      <c r="AK1522" s="197">
        <v>5.8030000000000861</v>
      </c>
      <c r="AL1522" s="197">
        <v>5.8030000000000861</v>
      </c>
      <c r="AM1522" s="197">
        <v>5.8030000000000861</v>
      </c>
      <c r="AN1522" s="197">
        <v>5.8030000000000861</v>
      </c>
      <c r="AO1522" s="672">
        <v>5.8030000000000861</v>
      </c>
      <c r="AP1522" s="197">
        <v>47.658000000000087</v>
      </c>
      <c r="AQ1522" s="197">
        <v>47.658000000000087</v>
      </c>
      <c r="AR1522" s="197">
        <v>47.658000000000087</v>
      </c>
      <c r="AS1522" s="197">
        <v>47.658000000000087</v>
      </c>
      <c r="AT1522" s="672">
        <v>47.658000000000087</v>
      </c>
      <c r="AU1522" s="197">
        <v>107.07100000000023</v>
      </c>
      <c r="AV1522" s="197">
        <v>107.07100000000023</v>
      </c>
      <c r="AW1522" s="197">
        <v>107.07100000000023</v>
      </c>
      <c r="AX1522" s="197">
        <v>107.07100000000023</v>
      </c>
      <c r="AY1522" s="672">
        <v>107.07100000000023</v>
      </c>
      <c r="AZ1522" s="197">
        <v>2181.8640000000005</v>
      </c>
      <c r="BA1522" s="197">
        <v>2181.8640000000005</v>
      </c>
      <c r="BB1522" s="197">
        <v>2181.8640000000005</v>
      </c>
      <c r="BC1522" s="197">
        <v>2181.8640000000005</v>
      </c>
      <c r="BD1522" s="672">
        <v>2181.8640000000005</v>
      </c>
      <c r="BE1522" s="197">
        <v>1511.7630000000004</v>
      </c>
      <c r="BF1522" s="197">
        <v>1511.7630000000004</v>
      </c>
      <c r="BG1522" s="197">
        <v>1511.7630000000004</v>
      </c>
      <c r="BH1522" s="197">
        <v>1511.7630000000004</v>
      </c>
      <c r="BI1522" s="849">
        <v>1511.7630000000004</v>
      </c>
      <c r="BJ1522" s="295"/>
      <c r="BK1522" s="295"/>
      <c r="BL1522" s="295"/>
      <c r="BM1522" s="295"/>
      <c r="BN1522" s="397"/>
      <c r="BO1522" s="295"/>
      <c r="BP1522" s="295"/>
      <c r="BQ1522" s="295"/>
      <c r="BR1522" s="295"/>
      <c r="BS1522" s="397"/>
      <c r="BT1522" s="397"/>
      <c r="BU1522" s="397"/>
      <c r="BV1522" s="397"/>
      <c r="BW1522" s="197"/>
    </row>
    <row r="1523" spans="1:75" s="198" customFormat="1" ht="14.25" hidden="1" outlineLevel="1" x14ac:dyDescent="0.45">
      <c r="A1523" s="463" t="s">
        <v>1429</v>
      </c>
      <c r="B1523" s="522"/>
      <c r="C1523" s="397"/>
      <c r="D1523" s="672">
        <v>13.36400000000001</v>
      </c>
      <c r="E1523" s="672">
        <v>8.5120000000000395</v>
      </c>
      <c r="F1523" s="672">
        <v>8.354000000000056</v>
      </c>
      <c r="G1523" s="197">
        <v>9.669000000000052</v>
      </c>
      <c r="H1523" s="197">
        <v>15.012000000000018</v>
      </c>
      <c r="I1523" s="197">
        <v>8.1970000000001946</v>
      </c>
      <c r="J1523" s="197">
        <v>13.389000000000042</v>
      </c>
      <c r="K1523" s="672">
        <v>13.389000000000042</v>
      </c>
      <c r="L1523" s="197">
        <v>10.942000000000069</v>
      </c>
      <c r="M1523" s="197">
        <v>181.49300000000005</v>
      </c>
      <c r="N1523" s="197">
        <v>157.12700000000009</v>
      </c>
      <c r="O1523" s="197">
        <v>148.93400000000014</v>
      </c>
      <c r="P1523" s="672">
        <v>148.93400000000014</v>
      </c>
      <c r="Q1523" s="197">
        <v>103.76700000000014</v>
      </c>
      <c r="R1523" s="197">
        <v>304.94800000000009</v>
      </c>
      <c r="S1523" s="197">
        <v>226.9790000000001</v>
      </c>
      <c r="T1523" s="197">
        <v>349.89700000000016</v>
      </c>
      <c r="U1523" s="672">
        <v>349.89700000000016</v>
      </c>
      <c r="V1523" s="197">
        <v>237.15600000000018</v>
      </c>
      <c r="W1523" s="295">
        <v>37.677000000000248</v>
      </c>
      <c r="X1523" s="197">
        <v>55.426000000000215</v>
      </c>
      <c r="Y1523" s="197">
        <v>87.022999999999939</v>
      </c>
      <c r="Z1523" s="672">
        <v>87.022999999999939</v>
      </c>
      <c r="AA1523" s="197">
        <v>80.149999999999935</v>
      </c>
      <c r="AB1523" s="197">
        <v>21.636999999999915</v>
      </c>
      <c r="AC1523" s="197">
        <v>22.16199999999985</v>
      </c>
      <c r="AD1523" s="197">
        <v>17.906999999999798</v>
      </c>
      <c r="AE1523" s="672">
        <v>17.906999999999798</v>
      </c>
      <c r="AF1523" s="197">
        <v>22.678999999999988</v>
      </c>
      <c r="AG1523" s="197">
        <v>24.943999999999985</v>
      </c>
      <c r="AH1523" s="197">
        <v>8.7479999999999372</v>
      </c>
      <c r="AI1523" s="197">
        <v>5.8030000000000861</v>
      </c>
      <c r="AJ1523" s="672">
        <v>5.8030000000000861</v>
      </c>
      <c r="AK1523" s="197">
        <v>102.55000000000004</v>
      </c>
      <c r="AL1523" s="197">
        <v>11.555000000000071</v>
      </c>
      <c r="AM1523" s="197">
        <v>38.253000000000029</v>
      </c>
      <c r="AN1523" s="197">
        <v>47.658000000000087</v>
      </c>
      <c r="AO1523" s="672">
        <v>47.658000000000087</v>
      </c>
      <c r="AP1523" s="197">
        <v>17.20800000000008</v>
      </c>
      <c r="AQ1523" s="197">
        <v>17.387000000000018</v>
      </c>
      <c r="AR1523" s="197">
        <v>96.784000000000162</v>
      </c>
      <c r="AS1523" s="197">
        <v>107.07100000000023</v>
      </c>
      <c r="AT1523" s="672">
        <v>107.07100000000023</v>
      </c>
      <c r="AU1523" s="197">
        <v>235.52700000000027</v>
      </c>
      <c r="AV1523" s="197">
        <v>296.8360000000003</v>
      </c>
      <c r="AW1523" s="197">
        <v>2203.7110000000007</v>
      </c>
      <c r="AX1523" s="197">
        <v>2181.8640000000005</v>
      </c>
      <c r="AY1523" s="672">
        <v>2181.8640000000005</v>
      </c>
      <c r="AZ1523" s="197">
        <v>2244.7050000000004</v>
      </c>
      <c r="BA1523" s="197">
        <v>2085.7060000000006</v>
      </c>
      <c r="BB1523" s="197">
        <v>2154.3480000000004</v>
      </c>
      <c r="BC1523" s="197">
        <v>1511.7630000000004</v>
      </c>
      <c r="BD1523" s="672">
        <v>1511.7630000000004</v>
      </c>
      <c r="BE1523" s="197">
        <v>1520.2270000000003</v>
      </c>
      <c r="BF1523" s="197">
        <v>420.58500000000026</v>
      </c>
      <c r="BG1523" s="197">
        <v>382.65500000000065</v>
      </c>
      <c r="BH1523" s="197">
        <v>123.68800000000033</v>
      </c>
      <c r="BI1523" s="849">
        <v>123.68800000000033</v>
      </c>
      <c r="BJ1523" s="295"/>
      <c r="BK1523" s="295"/>
      <c r="BL1523" s="295"/>
      <c r="BM1523" s="295"/>
      <c r="BN1523" s="397"/>
      <c r="BO1523" s="295"/>
      <c r="BP1523" s="295"/>
      <c r="BQ1523" s="295"/>
      <c r="BR1523" s="295"/>
      <c r="BS1523" s="397"/>
      <c r="BT1523" s="397"/>
      <c r="BU1523" s="397"/>
      <c r="BV1523" s="397"/>
      <c r="BW1523" s="197"/>
    </row>
    <row r="1524" spans="1:75" s="198" customFormat="1" ht="14.25" hidden="1" outlineLevel="1" x14ac:dyDescent="0.45">
      <c r="A1524" s="206"/>
      <c r="B1524" s="522"/>
      <c r="C1524" s="397"/>
      <c r="D1524" s="397"/>
      <c r="E1524" s="397"/>
      <c r="F1524" s="397"/>
      <c r="G1524" s="295"/>
      <c r="H1524" s="295"/>
      <c r="I1524" s="295"/>
      <c r="J1524" s="295"/>
      <c r="K1524" s="397"/>
      <c r="L1524" s="295"/>
      <c r="M1524" s="295"/>
      <c r="N1524" s="295"/>
      <c r="O1524" s="295"/>
      <c r="P1524" s="397"/>
      <c r="Q1524" s="295"/>
      <c r="R1524" s="295"/>
      <c r="S1524" s="295"/>
      <c r="T1524" s="295"/>
      <c r="U1524" s="397"/>
      <c r="V1524" s="295"/>
      <c r="W1524" s="295"/>
      <c r="X1524" s="295"/>
      <c r="Y1524" s="295"/>
      <c r="Z1524" s="397"/>
      <c r="AA1524" s="295"/>
      <c r="AB1524" s="295"/>
      <c r="AC1524" s="295"/>
      <c r="AD1524" s="295"/>
      <c r="AE1524" s="397"/>
      <c r="AF1524" s="295"/>
      <c r="AG1524" s="295"/>
      <c r="AH1524" s="295"/>
      <c r="AI1524" s="295"/>
      <c r="AJ1524" s="397"/>
      <c r="AK1524" s="295"/>
      <c r="AL1524" s="295"/>
      <c r="AM1524" s="295"/>
      <c r="AN1524" s="295"/>
      <c r="AO1524" s="397"/>
      <c r="AP1524" s="295"/>
      <c r="AQ1524" s="295"/>
      <c r="AR1524" s="295"/>
      <c r="AS1524" s="295"/>
      <c r="AT1524" s="397"/>
      <c r="AU1524" s="295"/>
      <c r="AV1524" s="295"/>
      <c r="AW1524" s="295"/>
      <c r="AX1524" s="295"/>
      <c r="AY1524" s="397"/>
      <c r="AZ1524" s="295"/>
      <c r="BA1524" s="295"/>
      <c r="BB1524" s="295"/>
      <c r="BC1524" s="295"/>
      <c r="BD1524" s="397"/>
      <c r="BE1524" s="295"/>
      <c r="BF1524" s="295"/>
      <c r="BG1524" s="295"/>
      <c r="BH1524" s="295"/>
      <c r="BI1524" s="399"/>
      <c r="BJ1524" s="295"/>
      <c r="BK1524" s="295"/>
      <c r="BL1524" s="295"/>
      <c r="BM1524" s="295"/>
      <c r="BN1524" s="397"/>
      <c r="BO1524" s="295"/>
      <c r="BP1524" s="295"/>
      <c r="BQ1524" s="295"/>
      <c r="BR1524" s="295"/>
      <c r="BS1524" s="397"/>
      <c r="BT1524" s="397"/>
      <c r="BU1524" s="397"/>
      <c r="BV1524" s="397"/>
      <c r="BW1524" s="197"/>
    </row>
    <row r="1525" spans="1:75" s="123" customFormat="1" hidden="1" outlineLevel="1" x14ac:dyDescent="0.5">
      <c r="A1525" s="944" t="s">
        <v>1430</v>
      </c>
      <c r="B1525" s="513"/>
      <c r="C1525" s="401"/>
      <c r="D1525" s="403">
        <v>2.0680000000000001</v>
      </c>
      <c r="E1525" s="403">
        <v>3.7370000000000001</v>
      </c>
      <c r="F1525" s="403">
        <v>5.3819999999999997</v>
      </c>
      <c r="G1525" s="119"/>
      <c r="H1525" s="119"/>
      <c r="I1525" s="119"/>
      <c r="J1525" s="122">
        <v>5.0380000000000003</v>
      </c>
      <c r="K1525" s="403">
        <v>5.0380000000000003</v>
      </c>
      <c r="L1525" s="119"/>
      <c r="M1525" s="119"/>
      <c r="N1525" s="119"/>
      <c r="O1525" s="122">
        <v>8.6110000000000007</v>
      </c>
      <c r="P1525" s="403">
        <v>8.6110000000000007</v>
      </c>
      <c r="Q1525" s="119"/>
      <c r="R1525" s="119"/>
      <c r="S1525" s="119"/>
      <c r="T1525" s="122">
        <v>13.369</v>
      </c>
      <c r="U1525" s="403">
        <v>13.369</v>
      </c>
      <c r="V1525" s="119"/>
      <c r="W1525" s="119"/>
      <c r="X1525" s="119"/>
      <c r="Y1525" s="122">
        <v>16.614999999999998</v>
      </c>
      <c r="Z1525" s="403">
        <v>16.614999999999998</v>
      </c>
      <c r="AA1525" s="119"/>
      <c r="AB1525" s="119"/>
      <c r="AC1525" s="119"/>
      <c r="AD1525" s="122">
        <v>28.18</v>
      </c>
      <c r="AE1525" s="403">
        <v>28.18</v>
      </c>
      <c r="AF1525" s="119"/>
      <c r="AG1525" s="119"/>
      <c r="AH1525" s="119"/>
      <c r="AI1525" s="122">
        <v>31.154</v>
      </c>
      <c r="AJ1525" s="403">
        <v>31.154</v>
      </c>
      <c r="AK1525" s="119"/>
      <c r="AL1525" s="119"/>
      <c r="AM1525" s="119"/>
      <c r="AN1525" s="122">
        <v>43.277999999999999</v>
      </c>
      <c r="AO1525" s="403">
        <v>43.277999999999999</v>
      </c>
      <c r="AP1525" s="119"/>
      <c r="AQ1525" s="119"/>
      <c r="AR1525" s="119"/>
      <c r="AS1525" s="122">
        <v>27.248999999999999</v>
      </c>
      <c r="AT1525" s="403">
        <v>27.248999999999999</v>
      </c>
      <c r="AU1525" s="119"/>
      <c r="AV1525" s="119"/>
      <c r="AW1525" s="119"/>
      <c r="AX1525" s="119">
        <v>39.466000000000001</v>
      </c>
      <c r="AY1525" s="403">
        <v>39.466000000000001</v>
      </c>
      <c r="AZ1525" s="119"/>
      <c r="BA1525" s="119"/>
      <c r="BB1525" s="119"/>
      <c r="BC1525" s="119">
        <v>133.821</v>
      </c>
      <c r="BD1525" s="403">
        <v>133.821</v>
      </c>
      <c r="BE1525" s="119"/>
      <c r="BF1525" s="119"/>
      <c r="BG1525" s="119"/>
      <c r="BH1525" s="119">
        <v>246.21</v>
      </c>
      <c r="BI1525" s="514">
        <v>246.21</v>
      </c>
      <c r="BJ1525" s="118"/>
      <c r="BK1525" s="118"/>
      <c r="BL1525" s="118"/>
      <c r="BM1525" s="118"/>
      <c r="BN1525" s="401"/>
      <c r="BO1525" s="118"/>
      <c r="BP1525" s="118"/>
      <c r="BQ1525" s="118"/>
      <c r="BR1525" s="118"/>
      <c r="BS1525" s="401"/>
      <c r="BT1525" s="401"/>
      <c r="BU1525" s="401"/>
      <c r="BV1525" s="401"/>
      <c r="BW1525" s="122"/>
    </row>
    <row r="1526" spans="1:75" s="123" customFormat="1" hidden="1" outlineLevel="1" x14ac:dyDescent="0.5">
      <c r="A1526" s="944" t="s">
        <v>1431</v>
      </c>
      <c r="B1526" s="513"/>
      <c r="C1526" s="401"/>
      <c r="D1526" s="403">
        <v>0.74399999999999999</v>
      </c>
      <c r="E1526" s="403">
        <v>1.6970000000000001</v>
      </c>
      <c r="F1526" s="403">
        <v>1.861</v>
      </c>
      <c r="G1526" s="119"/>
      <c r="H1526" s="119"/>
      <c r="I1526" s="119"/>
      <c r="J1526" s="122">
        <v>1.5209999999999999</v>
      </c>
      <c r="K1526" s="403">
        <v>1.5209999999999999</v>
      </c>
      <c r="L1526" s="119"/>
      <c r="M1526" s="119"/>
      <c r="N1526" s="119"/>
      <c r="O1526" s="122">
        <v>60.121000000000002</v>
      </c>
      <c r="P1526" s="403">
        <v>60.121000000000002</v>
      </c>
      <c r="Q1526" s="119"/>
      <c r="R1526" s="119"/>
      <c r="S1526" s="119"/>
      <c r="T1526" s="122">
        <v>29.135000000000002</v>
      </c>
      <c r="U1526" s="403">
        <v>29.135000000000002</v>
      </c>
      <c r="V1526" s="119"/>
      <c r="W1526" s="119"/>
      <c r="X1526" s="119"/>
      <c r="Y1526" s="122">
        <v>48.463999999999999</v>
      </c>
      <c r="Z1526" s="403">
        <v>48.463999999999999</v>
      </c>
      <c r="AA1526" s="119"/>
      <c r="AB1526" s="119"/>
      <c r="AC1526" s="119"/>
      <c r="AD1526" s="122">
        <v>4.0250000000000004</v>
      </c>
      <c r="AE1526" s="403">
        <v>4.0250000000000004</v>
      </c>
      <c r="AF1526" s="119"/>
      <c r="AG1526" s="119"/>
      <c r="AH1526" s="119"/>
      <c r="AI1526" s="122">
        <v>41.289000000000001</v>
      </c>
      <c r="AJ1526" s="403">
        <v>41.289000000000001</v>
      </c>
      <c r="AK1526" s="119"/>
      <c r="AL1526" s="119"/>
      <c r="AM1526" s="119"/>
      <c r="AN1526" s="122">
        <v>40.125999999999998</v>
      </c>
      <c r="AO1526" s="403">
        <v>40.125999999999998</v>
      </c>
      <c r="AP1526" s="119"/>
      <c r="AQ1526" s="119"/>
      <c r="AR1526" s="119"/>
      <c r="AS1526" s="122">
        <v>74.218999999999994</v>
      </c>
      <c r="AT1526" s="403">
        <v>74.218999999999994</v>
      </c>
      <c r="AU1526" s="119"/>
      <c r="AV1526" s="119"/>
      <c r="AW1526" s="119"/>
      <c r="AX1526" s="119">
        <v>158.91</v>
      </c>
      <c r="AY1526" s="403">
        <v>158.91</v>
      </c>
      <c r="AZ1526" s="119"/>
      <c r="BA1526" s="119"/>
      <c r="BB1526" s="119"/>
      <c r="BC1526" s="119">
        <v>41.354999999999997</v>
      </c>
      <c r="BD1526" s="403">
        <v>41.354999999999997</v>
      </c>
      <c r="BE1526" s="119"/>
      <c r="BF1526" s="119"/>
      <c r="BG1526" s="119"/>
      <c r="BH1526" s="119">
        <v>14.278</v>
      </c>
      <c r="BI1526" s="514">
        <v>14.278</v>
      </c>
      <c r="BJ1526" s="118"/>
      <c r="BK1526" s="118"/>
      <c r="BL1526" s="118"/>
      <c r="BM1526" s="118"/>
      <c r="BN1526" s="401"/>
      <c r="BO1526" s="118"/>
      <c r="BP1526" s="118"/>
      <c r="BQ1526" s="118"/>
      <c r="BR1526" s="118"/>
      <c r="BS1526" s="401"/>
      <c r="BT1526" s="401"/>
      <c r="BU1526" s="401"/>
      <c r="BV1526" s="401"/>
      <c r="BW1526" s="122"/>
    </row>
    <row r="1527" spans="1:75" s="198" customFormat="1" ht="14.25" collapsed="1" x14ac:dyDescent="0.45">
      <c r="A1527" s="206"/>
      <c r="B1527" s="522"/>
      <c r="C1527" s="397"/>
      <c r="D1527" s="397"/>
      <c r="E1527" s="397"/>
      <c r="F1527" s="397"/>
      <c r="G1527" s="295"/>
      <c r="H1527" s="295"/>
      <c r="I1527" s="295"/>
      <c r="J1527" s="295"/>
      <c r="K1527" s="397"/>
      <c r="L1527" s="295"/>
      <c r="M1527" s="295"/>
      <c r="N1527" s="295"/>
      <c r="O1527" s="295"/>
      <c r="P1527" s="397"/>
      <c r="Q1527" s="295"/>
      <c r="R1527" s="295"/>
      <c r="S1527" s="295"/>
      <c r="T1527" s="295"/>
      <c r="U1527" s="397"/>
      <c r="V1527" s="295"/>
      <c r="W1527" s="295"/>
      <c r="X1527" s="295"/>
      <c r="Y1527" s="295"/>
      <c r="Z1527" s="397"/>
      <c r="AA1527" s="295"/>
      <c r="AB1527" s="295"/>
      <c r="AC1527" s="295"/>
      <c r="AD1527" s="295"/>
      <c r="AE1527" s="397"/>
      <c r="AF1527" s="295"/>
      <c r="AG1527" s="295"/>
      <c r="AH1527" s="295"/>
      <c r="AI1527" s="295"/>
      <c r="AJ1527" s="397"/>
      <c r="AK1527" s="295"/>
      <c r="AL1527" s="295"/>
      <c r="AM1527" s="295"/>
      <c r="AN1527" s="295"/>
      <c r="AO1527" s="397"/>
      <c r="AP1527" s="295"/>
      <c r="AQ1527" s="295"/>
      <c r="AR1527" s="295"/>
      <c r="AS1527" s="295"/>
      <c r="AT1527" s="397"/>
      <c r="AU1527" s="295"/>
      <c r="AV1527" s="295"/>
      <c r="AW1527" s="295"/>
      <c r="AX1527" s="295"/>
      <c r="AY1527" s="397"/>
      <c r="AZ1527" s="295"/>
      <c r="BA1527" s="295"/>
      <c r="BB1527" s="295"/>
      <c r="BC1527" s="295"/>
      <c r="BD1527" s="397"/>
      <c r="BE1527" s="295"/>
      <c r="BF1527" s="295"/>
      <c r="BG1527" s="295"/>
      <c r="BH1527" s="295"/>
      <c r="BI1527" s="399"/>
      <c r="BJ1527" s="295"/>
      <c r="BK1527" s="295"/>
      <c r="BL1527" s="295"/>
      <c r="BM1527" s="295"/>
      <c r="BN1527" s="397"/>
      <c r="BO1527" s="295"/>
      <c r="BP1527" s="295"/>
      <c r="BQ1527" s="295"/>
      <c r="BR1527" s="295"/>
      <c r="BS1527" s="397"/>
      <c r="BT1527" s="397"/>
      <c r="BU1527" s="397"/>
      <c r="BV1527" s="397"/>
      <c r="BW1527" s="197"/>
    </row>
    <row r="1528" spans="1:75" s="198" customFormat="1" ht="14.25" x14ac:dyDescent="0.45">
      <c r="A1528" s="239" t="s">
        <v>1432</v>
      </c>
      <c r="B1528" s="239"/>
      <c r="C1528" s="239"/>
      <c r="D1528" s="239"/>
      <c r="E1528" s="239"/>
      <c r="F1528" s="239"/>
      <c r="G1528" s="239"/>
      <c r="H1528" s="239"/>
      <c r="I1528" s="239"/>
      <c r="J1528" s="239"/>
      <c r="K1528" s="239"/>
      <c r="L1528" s="239"/>
      <c r="M1528" s="239"/>
      <c r="N1528" s="239"/>
      <c r="O1528" s="239"/>
      <c r="P1528" s="239"/>
      <c r="Q1528" s="239"/>
      <c r="R1528" s="239"/>
      <c r="S1528" s="239"/>
      <c r="T1528" s="239"/>
      <c r="U1528" s="239"/>
      <c r="V1528" s="239"/>
      <c r="W1528" s="239"/>
      <c r="X1528" s="239"/>
      <c r="Y1528" s="239"/>
      <c r="Z1528" s="239"/>
      <c r="AA1528" s="239"/>
      <c r="AB1528" s="239"/>
      <c r="AC1528" s="239"/>
      <c r="AD1528" s="239"/>
      <c r="AE1528" s="239"/>
      <c r="AF1528" s="239"/>
      <c r="AG1528" s="239"/>
      <c r="AH1528" s="239"/>
      <c r="AI1528" s="239"/>
      <c r="AJ1528" s="239"/>
      <c r="AK1528" s="239"/>
      <c r="AL1528" s="239"/>
      <c r="AM1528" s="239"/>
      <c r="AN1528" s="239"/>
      <c r="AO1528" s="239"/>
      <c r="AP1528" s="239"/>
      <c r="AQ1528" s="239"/>
      <c r="AR1528" s="239"/>
      <c r="AS1528" s="239"/>
      <c r="AT1528" s="239"/>
      <c r="AU1528" s="239"/>
      <c r="AV1528" s="239"/>
      <c r="AW1528" s="239"/>
      <c r="AX1528" s="239"/>
      <c r="AY1528" s="239"/>
      <c r="AZ1528" s="239"/>
      <c r="BA1528" s="239"/>
      <c r="BB1528" s="239"/>
      <c r="BC1528" s="239"/>
      <c r="BD1528" s="239"/>
      <c r="BE1528" s="239"/>
      <c r="BF1528" s="239"/>
      <c r="BG1528" s="239"/>
      <c r="BH1528" s="239"/>
      <c r="BI1528" s="241"/>
      <c r="BJ1528" s="239"/>
      <c r="BK1528" s="239"/>
      <c r="BL1528" s="239"/>
      <c r="BM1528" s="239"/>
      <c r="BN1528" s="239"/>
      <c r="BO1528" s="239"/>
      <c r="BP1528" s="239"/>
      <c r="BQ1528" s="239"/>
      <c r="BR1528" s="239"/>
      <c r="BS1528" s="239"/>
      <c r="BT1528" s="239"/>
      <c r="BU1528" s="239"/>
      <c r="BV1528" s="239"/>
      <c r="BW1528" s="197"/>
    </row>
    <row r="1529" spans="1:75" s="198" customFormat="1" ht="14.25" x14ac:dyDescent="0.45">
      <c r="A1529" s="463" t="s">
        <v>1342</v>
      </c>
      <c r="B1529" s="522"/>
      <c r="C1529" s="397"/>
      <c r="D1529" s="397"/>
      <c r="E1529" s="397"/>
      <c r="F1529" s="397"/>
      <c r="G1529" s="295"/>
      <c r="H1529" s="295"/>
      <c r="I1529" s="295"/>
      <c r="J1529" s="295"/>
      <c r="K1529" s="397"/>
      <c r="L1529" s="295"/>
      <c r="M1529" s="295"/>
      <c r="N1529" s="295"/>
      <c r="O1529" s="295"/>
      <c r="P1529" s="397"/>
      <c r="Q1529" s="295"/>
      <c r="R1529" s="295"/>
      <c r="S1529" s="295"/>
      <c r="T1529" s="295"/>
      <c r="U1529" s="397"/>
      <c r="V1529" s="295"/>
      <c r="W1529" s="295"/>
      <c r="X1529" s="295"/>
      <c r="Y1529" s="295"/>
      <c r="Z1529" s="397"/>
      <c r="AA1529" s="295"/>
      <c r="AB1529" s="295"/>
      <c r="AC1529" s="295"/>
      <c r="AD1529" s="295"/>
      <c r="AE1529" s="397"/>
      <c r="AF1529" s="295"/>
      <c r="AG1529" s="295"/>
      <c r="AH1529" s="295"/>
      <c r="AI1529" s="295"/>
      <c r="AJ1529" s="397"/>
      <c r="AK1529" s="295"/>
      <c r="AL1529" s="295"/>
      <c r="AM1529" s="295"/>
      <c r="AN1529" s="295"/>
      <c r="AO1529" s="397"/>
      <c r="AP1529" s="295"/>
      <c r="AQ1529" s="295"/>
      <c r="AR1529" s="295"/>
      <c r="AS1529" s="295"/>
      <c r="AT1529" s="397"/>
      <c r="AU1529" s="295"/>
      <c r="AV1529" s="295"/>
      <c r="AW1529" s="295"/>
      <c r="AX1529" s="295"/>
      <c r="AY1529" s="397"/>
      <c r="AZ1529" s="295"/>
      <c r="BA1529" s="295"/>
      <c r="BB1529" s="295"/>
      <c r="BC1529" s="295"/>
      <c r="BD1529" s="397"/>
      <c r="BE1529" s="295"/>
      <c r="BF1529" s="295"/>
      <c r="BG1529" s="295"/>
      <c r="BH1529" s="295"/>
      <c r="BI1529" s="399"/>
      <c r="BJ1529" s="295"/>
      <c r="BK1529" s="295"/>
      <c r="BL1529" s="295"/>
      <c r="BM1529" s="295"/>
      <c r="BN1529" s="397"/>
      <c r="BO1529" s="295"/>
      <c r="BP1529" s="295"/>
      <c r="BQ1529" s="295"/>
      <c r="BR1529" s="295"/>
      <c r="BS1529" s="397"/>
      <c r="BT1529" s="397"/>
      <c r="BU1529" s="397"/>
      <c r="BV1529" s="397"/>
      <c r="BW1529" s="197"/>
    </row>
    <row r="1530" spans="1:75" s="123" customFormat="1" x14ac:dyDescent="0.5">
      <c r="A1530" s="184" t="s">
        <v>1070</v>
      </c>
      <c r="B1530" s="513"/>
      <c r="C1530" s="401"/>
      <c r="D1530" s="401">
        <v>-7.0510000000000002</v>
      </c>
      <c r="E1530" s="401">
        <v>20.588000000000001</v>
      </c>
      <c r="F1530" s="401">
        <v>-12.789</v>
      </c>
      <c r="G1530" s="119">
        <v>-0.161</v>
      </c>
      <c r="H1530" s="119">
        <v>-17.834999999999997</v>
      </c>
      <c r="I1530" s="119">
        <v>9.5489999999999995</v>
      </c>
      <c r="J1530" s="119">
        <v>26.641999999999999</v>
      </c>
      <c r="K1530" s="401">
        <v>18.195</v>
      </c>
      <c r="L1530" s="119">
        <v>1.7949999999999999</v>
      </c>
      <c r="M1530" s="119">
        <v>27.253</v>
      </c>
      <c r="N1530" s="119">
        <v>19.428999999999998</v>
      </c>
      <c r="O1530" s="119">
        <v>42.524999999999999</v>
      </c>
      <c r="P1530" s="401">
        <v>91.001999999999995</v>
      </c>
      <c r="Q1530" s="119">
        <v>7.1559999999999997</v>
      </c>
      <c r="R1530" s="119">
        <v>29.935000000000002</v>
      </c>
      <c r="S1530" s="119">
        <v>20.71</v>
      </c>
      <c r="T1530" s="119">
        <v>33.301999999999992</v>
      </c>
      <c r="U1530" s="401">
        <v>91.102999999999994</v>
      </c>
      <c r="V1530" s="119">
        <v>-13.47</v>
      </c>
      <c r="W1530" s="119">
        <v>6.918000000000001</v>
      </c>
      <c r="X1530" s="119">
        <v>2.5169999999999995</v>
      </c>
      <c r="Y1530" s="119">
        <v>9.4359999999999999</v>
      </c>
      <c r="Z1530" s="401">
        <v>5.4009999999999998</v>
      </c>
      <c r="AA1530" s="119">
        <v>-3.37</v>
      </c>
      <c r="AB1530" s="119">
        <v>-7.8619999999999992</v>
      </c>
      <c r="AC1530" s="119">
        <v>13.151</v>
      </c>
      <c r="AD1530" s="119">
        <v>0.26100000000000012</v>
      </c>
      <c r="AE1530" s="401">
        <v>2.1800000000000002</v>
      </c>
      <c r="AF1530" s="119">
        <v>25.460999999999999</v>
      </c>
      <c r="AG1530" s="119">
        <v>62.906000000000006</v>
      </c>
      <c r="AH1530" s="119">
        <v>20.11399999999999</v>
      </c>
      <c r="AI1530" s="119">
        <v>27.25</v>
      </c>
      <c r="AJ1530" s="401">
        <v>135.73099999999999</v>
      </c>
      <c r="AK1530" s="119">
        <v>35.722000000000001</v>
      </c>
      <c r="AL1530" s="119">
        <v>63.756999999999998</v>
      </c>
      <c r="AM1530" s="119">
        <v>52.463000000000008</v>
      </c>
      <c r="AN1530" s="119">
        <v>68.432999999999993</v>
      </c>
      <c r="AO1530" s="401">
        <v>220.375</v>
      </c>
      <c r="AP1530" s="119">
        <v>-3.2120000000000002</v>
      </c>
      <c r="AQ1530" s="119">
        <v>98.423000000000002</v>
      </c>
      <c r="AR1530" s="119">
        <v>46.411000000000016</v>
      </c>
      <c r="AS1530" s="119">
        <v>130.19299999999998</v>
      </c>
      <c r="AT1530" s="401">
        <v>271.815</v>
      </c>
      <c r="AU1530" s="119">
        <v>130.65600000000001</v>
      </c>
      <c r="AV1530" s="119">
        <v>226.74599999999998</v>
      </c>
      <c r="AW1530" s="119">
        <v>184.09899999999999</v>
      </c>
      <c r="AX1530" s="119">
        <v>147.04500000000007</v>
      </c>
      <c r="AY1530" s="401">
        <v>688.54600000000005</v>
      </c>
      <c r="AZ1530" s="119">
        <v>200.71100000000001</v>
      </c>
      <c r="BA1530" s="119">
        <v>122.27499999999998</v>
      </c>
      <c r="BB1530" s="119">
        <v>98.759999999999991</v>
      </c>
      <c r="BC1530" s="119">
        <v>106.89600000000007</v>
      </c>
      <c r="BD1530" s="401">
        <v>528.64200000000005</v>
      </c>
      <c r="BE1530" s="119">
        <v>41.89</v>
      </c>
      <c r="BF1530" s="119">
        <v>76.477000000000004</v>
      </c>
      <c r="BG1530" s="119">
        <v>-2.1869999999999976</v>
      </c>
      <c r="BH1530" s="119">
        <v>11.381</v>
      </c>
      <c r="BI1530" s="402">
        <v>127.56100000000001</v>
      </c>
      <c r="BJ1530" s="118">
        <v>-7.4909222411956335</v>
      </c>
      <c r="BK1530" s="118">
        <v>68.429931660453377</v>
      </c>
      <c r="BL1530" s="118">
        <v>49.720072461052936</v>
      </c>
      <c r="BM1530" s="118">
        <v>38.066834741483817</v>
      </c>
      <c r="BN1530" s="401">
        <v>148.72591662179451</v>
      </c>
      <c r="BO1530" s="118">
        <v>30.856012072831184</v>
      </c>
      <c r="BP1530" s="118">
        <v>96.097019050686356</v>
      </c>
      <c r="BQ1530" s="118">
        <v>68.616050276144151</v>
      </c>
      <c r="BR1530" s="118">
        <v>63.128586948923228</v>
      </c>
      <c r="BS1530" s="401">
        <v>258.6976683485849</v>
      </c>
      <c r="BT1530" s="401">
        <v>324.22696642879657</v>
      </c>
      <c r="BU1530" s="401">
        <v>385.1915789179244</v>
      </c>
      <c r="BV1530" s="401">
        <v>444.8576165954031</v>
      </c>
      <c r="BW1530" s="122"/>
    </row>
    <row r="1531" spans="1:75" s="123" customFormat="1" x14ac:dyDescent="0.5">
      <c r="A1531" s="184" t="s">
        <v>1343</v>
      </c>
      <c r="B1531" s="513"/>
      <c r="C1531" s="401"/>
      <c r="D1531" s="401">
        <v>31.263000000000002</v>
      </c>
      <c r="E1531" s="401">
        <v>29.186</v>
      </c>
      <c r="F1531" s="401">
        <v>26.748000000000001</v>
      </c>
      <c r="G1531" s="119">
        <v>6.63</v>
      </c>
      <c r="H1531" s="119">
        <v>6.5979999999999999</v>
      </c>
      <c r="I1531" s="119">
        <v>6.7309999999999999</v>
      </c>
      <c r="J1531" s="119">
        <v>7.6950000000000003</v>
      </c>
      <c r="K1531" s="401">
        <v>27.654</v>
      </c>
      <c r="L1531" s="119">
        <v>7.64</v>
      </c>
      <c r="M1531" s="119">
        <v>8.338000000000001</v>
      </c>
      <c r="N1531" s="119">
        <v>9.0170000000000012</v>
      </c>
      <c r="O1531" s="119">
        <v>9.468</v>
      </c>
      <c r="P1531" s="401">
        <v>34.463000000000001</v>
      </c>
      <c r="Q1531" s="119">
        <v>9.9789999999999992</v>
      </c>
      <c r="R1531" s="119">
        <v>10.895</v>
      </c>
      <c r="S1531" s="119">
        <v>11.230999999999998</v>
      </c>
      <c r="T1531" s="119">
        <v>12.490000000000002</v>
      </c>
      <c r="U1531" s="401">
        <v>44.594999999999999</v>
      </c>
      <c r="V1531" s="119">
        <v>12.554</v>
      </c>
      <c r="W1531" s="119">
        <v>13.657999999999999</v>
      </c>
      <c r="X1531" s="119">
        <v>15.035999999999998</v>
      </c>
      <c r="Y1531" s="119">
        <v>15.747</v>
      </c>
      <c r="Z1531" s="401">
        <v>56.994999999999997</v>
      </c>
      <c r="AA1531" s="119">
        <v>16.02</v>
      </c>
      <c r="AB1531" s="119">
        <v>16.526</v>
      </c>
      <c r="AC1531" s="119">
        <v>18.545999999999999</v>
      </c>
      <c r="AD1531" s="119">
        <v>19.043000000000006</v>
      </c>
      <c r="AE1531" s="401">
        <v>70.135000000000005</v>
      </c>
      <c r="AF1531" s="119">
        <v>22.745000000000001</v>
      </c>
      <c r="AG1531" s="119">
        <v>19.193999999999999</v>
      </c>
      <c r="AH1531" s="119">
        <v>22.994999999999997</v>
      </c>
      <c r="AI1531" s="119">
        <v>26.438000000000002</v>
      </c>
      <c r="AJ1531" s="401">
        <v>91.372</v>
      </c>
      <c r="AK1531" s="119">
        <v>27.189</v>
      </c>
      <c r="AL1531" s="119">
        <v>25.320999999999998</v>
      </c>
      <c r="AM1531" s="119">
        <v>23.434999999999995</v>
      </c>
      <c r="AN1531" s="119">
        <v>24.794000000000011</v>
      </c>
      <c r="AO1531" s="401">
        <v>100.739</v>
      </c>
      <c r="AP1531" s="119">
        <v>24.87</v>
      </c>
      <c r="AQ1531" s="119">
        <v>25.342000000000002</v>
      </c>
      <c r="AR1531" s="119">
        <v>26.475999999999999</v>
      </c>
      <c r="AS1531" s="119">
        <v>23.352000000000004</v>
      </c>
      <c r="AT1531" s="401">
        <v>100.04</v>
      </c>
      <c r="AU1531" s="119">
        <v>23.885999999999999</v>
      </c>
      <c r="AV1531" s="119">
        <v>22.669999999999998</v>
      </c>
      <c r="AW1531" s="119">
        <v>24.819000000000003</v>
      </c>
      <c r="AX1531" s="119">
        <v>24.647000000000006</v>
      </c>
      <c r="AY1531" s="401">
        <v>96.022000000000006</v>
      </c>
      <c r="AZ1531" s="119">
        <v>24.757999999999999</v>
      </c>
      <c r="BA1531" s="119">
        <v>26.970000000000002</v>
      </c>
      <c r="BB1531" s="119">
        <v>28.032000000000004</v>
      </c>
      <c r="BC1531" s="119">
        <v>28.827999999999989</v>
      </c>
      <c r="BD1531" s="401">
        <v>108.58799999999999</v>
      </c>
      <c r="BE1531" s="119">
        <v>27.77</v>
      </c>
      <c r="BF1531" s="119">
        <v>28.135999999999999</v>
      </c>
      <c r="BG1531" s="119">
        <v>28.454000000000001</v>
      </c>
      <c r="BH1531" s="119">
        <v>34.629000000000005</v>
      </c>
      <c r="BI1531" s="402">
        <v>118.989</v>
      </c>
      <c r="BJ1531" s="118">
        <v>33.06081125</v>
      </c>
      <c r="BK1531" s="118">
        <v>33.409826210937496</v>
      </c>
      <c r="BL1531" s="118">
        <v>33.754913567205072</v>
      </c>
      <c r="BM1531" s="118">
        <v>34.096117505838215</v>
      </c>
      <c r="BN1531" s="401">
        <v>134.32166853398078</v>
      </c>
      <c r="BO1531" s="118">
        <v>34.433481716766408</v>
      </c>
      <c r="BP1531" s="118">
        <v>34.767049398405575</v>
      </c>
      <c r="BQ1531" s="118">
        <v>35.096863263187601</v>
      </c>
      <c r="BR1531" s="118">
        <v>35.422965543027686</v>
      </c>
      <c r="BS1531" s="401">
        <v>139.72035992138728</v>
      </c>
      <c r="BT1531" s="401">
        <v>141.98159197892056</v>
      </c>
      <c r="BU1531" s="401">
        <v>147.08245454857206</v>
      </c>
      <c r="BV1531" s="401">
        <v>151.95370313154575</v>
      </c>
      <c r="BW1531" s="122"/>
    </row>
    <row r="1532" spans="1:75" s="123" customFormat="1" x14ac:dyDescent="0.5">
      <c r="A1532" s="184" t="s">
        <v>1344</v>
      </c>
      <c r="B1532" s="513"/>
      <c r="C1532" s="401"/>
      <c r="D1532" s="401">
        <v>0</v>
      </c>
      <c r="E1532" s="401">
        <v>0</v>
      </c>
      <c r="F1532" s="401">
        <v>0</v>
      </c>
      <c r="G1532" s="119">
        <v>0</v>
      </c>
      <c r="H1532" s="119">
        <v>0</v>
      </c>
      <c r="I1532" s="119">
        <v>0</v>
      </c>
      <c r="J1532" s="119">
        <v>0</v>
      </c>
      <c r="K1532" s="401">
        <v>0</v>
      </c>
      <c r="L1532" s="119">
        <v>0</v>
      </c>
      <c r="M1532" s="119">
        <v>0</v>
      </c>
      <c r="N1532" s="119">
        <v>0</v>
      </c>
      <c r="O1532" s="119">
        <v>0</v>
      </c>
      <c r="P1532" s="401">
        <v>0</v>
      </c>
      <c r="Q1532" s="119">
        <v>0</v>
      </c>
      <c r="R1532" s="119">
        <v>0</v>
      </c>
      <c r="S1532" s="119">
        <v>0</v>
      </c>
      <c r="T1532" s="119">
        <v>0</v>
      </c>
      <c r="U1532" s="401">
        <v>0</v>
      </c>
      <c r="V1532" s="119">
        <v>0</v>
      </c>
      <c r="W1532" s="119">
        <v>0</v>
      </c>
      <c r="X1532" s="119">
        <v>0</v>
      </c>
      <c r="Y1532" s="119">
        <v>0</v>
      </c>
      <c r="Z1532" s="401">
        <v>0</v>
      </c>
      <c r="AA1532" s="119">
        <v>0</v>
      </c>
      <c r="AB1532" s="119">
        <v>0</v>
      </c>
      <c r="AC1532" s="119">
        <v>0</v>
      </c>
      <c r="AD1532" s="119">
        <v>0</v>
      </c>
      <c r="AE1532" s="401">
        <v>0</v>
      </c>
      <c r="AF1532" s="119">
        <v>0</v>
      </c>
      <c r="AG1532" s="119">
        <v>0</v>
      </c>
      <c r="AH1532" s="119">
        <v>0</v>
      </c>
      <c r="AI1532" s="119">
        <v>0</v>
      </c>
      <c r="AJ1532" s="401">
        <v>0</v>
      </c>
      <c r="AK1532" s="119">
        <v>0</v>
      </c>
      <c r="AL1532" s="119">
        <v>0</v>
      </c>
      <c r="AM1532" s="119">
        <v>0</v>
      </c>
      <c r="AN1532" s="119">
        <v>0</v>
      </c>
      <c r="AO1532" s="401">
        <v>0</v>
      </c>
      <c r="AP1532" s="119">
        <v>0</v>
      </c>
      <c r="AQ1532" s="119">
        <v>0</v>
      </c>
      <c r="AR1532" s="119">
        <v>0</v>
      </c>
      <c r="AS1532" s="119">
        <v>0</v>
      </c>
      <c r="AT1532" s="401">
        <v>0</v>
      </c>
      <c r="AU1532" s="119">
        <v>0</v>
      </c>
      <c r="AV1532" s="119">
        <v>0</v>
      </c>
      <c r="AW1532" s="119">
        <v>0</v>
      </c>
      <c r="AX1532" s="119">
        <v>0</v>
      </c>
      <c r="AY1532" s="401">
        <v>0</v>
      </c>
      <c r="AZ1532" s="119">
        <v>0</v>
      </c>
      <c r="BA1532" s="119">
        <v>0</v>
      </c>
      <c r="BB1532" s="119">
        <v>0</v>
      </c>
      <c r="BC1532" s="119">
        <v>0</v>
      </c>
      <c r="BD1532" s="401">
        <v>0</v>
      </c>
      <c r="BE1532" s="119">
        <v>0</v>
      </c>
      <c r="BF1532" s="119">
        <v>0</v>
      </c>
      <c r="BG1532" s="119">
        <v>0</v>
      </c>
      <c r="BH1532" s="119">
        <v>0</v>
      </c>
      <c r="BI1532" s="402">
        <v>0</v>
      </c>
      <c r="BJ1532" s="118"/>
      <c r="BK1532" s="118"/>
      <c r="BL1532" s="118"/>
      <c r="BM1532" s="118"/>
      <c r="BN1532" s="401">
        <v>0</v>
      </c>
      <c r="BO1532" s="118"/>
      <c r="BP1532" s="118"/>
      <c r="BQ1532" s="118"/>
      <c r="BR1532" s="118"/>
      <c r="BS1532" s="401">
        <v>0</v>
      </c>
      <c r="BT1532" s="401"/>
      <c r="BU1532" s="401"/>
      <c r="BV1532" s="401"/>
      <c r="BW1532" s="122"/>
    </row>
    <row r="1533" spans="1:75" s="123" customFormat="1" x14ac:dyDescent="0.5">
      <c r="A1533" s="184" t="s">
        <v>1114</v>
      </c>
      <c r="B1533" s="513"/>
      <c r="C1533" s="401"/>
      <c r="D1533" s="401">
        <v>0</v>
      </c>
      <c r="E1533" s="401">
        <v>0</v>
      </c>
      <c r="F1533" s="401">
        <v>0</v>
      </c>
      <c r="G1533" s="119">
        <v>0</v>
      </c>
      <c r="H1533" s="119">
        <v>0</v>
      </c>
      <c r="I1533" s="119">
        <v>0</v>
      </c>
      <c r="J1533" s="119">
        <v>0</v>
      </c>
      <c r="K1533" s="401">
        <v>0</v>
      </c>
      <c r="L1533" s="119">
        <v>0</v>
      </c>
      <c r="M1533" s="119">
        <v>0</v>
      </c>
      <c r="N1533" s="119">
        <v>0</v>
      </c>
      <c r="O1533" s="119">
        <v>0</v>
      </c>
      <c r="P1533" s="401">
        <v>0</v>
      </c>
      <c r="Q1533" s="119">
        <v>0</v>
      </c>
      <c r="R1533" s="119">
        <v>0</v>
      </c>
      <c r="S1533" s="119">
        <v>0</v>
      </c>
      <c r="T1533" s="119">
        <v>0</v>
      </c>
      <c r="U1533" s="401">
        <v>0</v>
      </c>
      <c r="V1533" s="119">
        <v>0</v>
      </c>
      <c r="W1533" s="119">
        <v>0</v>
      </c>
      <c r="X1533" s="119">
        <v>0</v>
      </c>
      <c r="Y1533" s="119">
        <v>0</v>
      </c>
      <c r="Z1533" s="401">
        <v>0</v>
      </c>
      <c r="AA1533" s="119">
        <v>0</v>
      </c>
      <c r="AB1533" s="119">
        <v>0</v>
      </c>
      <c r="AC1533" s="119">
        <v>0</v>
      </c>
      <c r="AD1533" s="119">
        <v>33.700000000000003</v>
      </c>
      <c r="AE1533" s="401">
        <v>33.700000000000003</v>
      </c>
      <c r="AF1533" s="119">
        <v>0</v>
      </c>
      <c r="AG1533" s="119">
        <v>0</v>
      </c>
      <c r="AH1533" s="119">
        <v>0</v>
      </c>
      <c r="AI1533" s="119">
        <v>32.085999999999999</v>
      </c>
      <c r="AJ1533" s="401">
        <v>32.085999999999999</v>
      </c>
      <c r="AK1533" s="119">
        <v>0</v>
      </c>
      <c r="AL1533" s="119">
        <v>0</v>
      </c>
      <c r="AM1533" s="119">
        <v>0</v>
      </c>
      <c r="AN1533" s="119">
        <v>0</v>
      </c>
      <c r="AO1533" s="401">
        <v>0</v>
      </c>
      <c r="AP1533" s="119">
        <v>20.459</v>
      </c>
      <c r="AQ1533" s="119">
        <v>0</v>
      </c>
      <c r="AR1533" s="119">
        <v>0</v>
      </c>
      <c r="AS1533" s="119">
        <v>0</v>
      </c>
      <c r="AT1533" s="401">
        <v>20.459</v>
      </c>
      <c r="AU1533" s="119">
        <v>0</v>
      </c>
      <c r="AV1533" s="119">
        <v>0</v>
      </c>
      <c r="AW1533" s="119">
        <v>0</v>
      </c>
      <c r="AX1533" s="119">
        <v>0</v>
      </c>
      <c r="AY1533" s="401">
        <v>0</v>
      </c>
      <c r="AZ1533" s="119">
        <v>0</v>
      </c>
      <c r="BA1533" s="119">
        <v>0</v>
      </c>
      <c r="BB1533" s="119">
        <v>0</v>
      </c>
      <c r="BC1533" s="119">
        <v>0</v>
      </c>
      <c r="BD1533" s="401">
        <v>0</v>
      </c>
      <c r="BE1533" s="119">
        <v>0</v>
      </c>
      <c r="BF1533" s="119">
        <v>0</v>
      </c>
      <c r="BG1533" s="119">
        <v>0</v>
      </c>
      <c r="BH1533" s="119">
        <v>0</v>
      </c>
      <c r="BI1533" s="402">
        <v>0</v>
      </c>
      <c r="BJ1533" s="118"/>
      <c r="BK1533" s="118"/>
      <c r="BL1533" s="118"/>
      <c r="BM1533" s="118"/>
      <c r="BN1533" s="401">
        <v>0</v>
      </c>
      <c r="BO1533" s="118"/>
      <c r="BP1533" s="118"/>
      <c r="BQ1533" s="118"/>
      <c r="BR1533" s="118"/>
      <c r="BS1533" s="401">
        <v>0</v>
      </c>
      <c r="BT1533" s="401"/>
      <c r="BU1533" s="401"/>
      <c r="BV1533" s="401"/>
      <c r="BW1533" s="122"/>
    </row>
    <row r="1534" spans="1:75" s="123" customFormat="1" x14ac:dyDescent="0.5">
      <c r="A1534" s="184" t="s">
        <v>1345</v>
      </c>
      <c r="B1534" s="513"/>
      <c r="C1534" s="401"/>
      <c r="D1534" s="401">
        <v>0</v>
      </c>
      <c r="E1534" s="401">
        <v>0</v>
      </c>
      <c r="F1534" s="401">
        <v>0</v>
      </c>
      <c r="G1534" s="119">
        <v>0</v>
      </c>
      <c r="H1534" s="119">
        <v>0</v>
      </c>
      <c r="I1534" s="119">
        <v>0</v>
      </c>
      <c r="J1534" s="119">
        <v>0</v>
      </c>
      <c r="K1534" s="401">
        <v>0</v>
      </c>
      <c r="L1534" s="119">
        <v>0</v>
      </c>
      <c r="M1534" s="119">
        <v>0</v>
      </c>
      <c r="N1534" s="119">
        <v>0</v>
      </c>
      <c r="O1534" s="119">
        <v>0</v>
      </c>
      <c r="P1534" s="401">
        <v>0</v>
      </c>
      <c r="Q1534" s="119">
        <v>0</v>
      </c>
      <c r="R1534" s="119">
        <v>0</v>
      </c>
      <c r="S1534" s="119">
        <v>0</v>
      </c>
      <c r="T1534" s="119">
        <v>0</v>
      </c>
      <c r="U1534" s="401">
        <v>0</v>
      </c>
      <c r="V1534" s="119">
        <v>0</v>
      </c>
      <c r="W1534" s="119">
        <v>0</v>
      </c>
      <c r="X1534" s="119">
        <v>0</v>
      </c>
      <c r="Y1534" s="119">
        <v>0</v>
      </c>
      <c r="Z1534" s="401">
        <v>0</v>
      </c>
      <c r="AA1534" s="119">
        <v>0</v>
      </c>
      <c r="AB1534" s="119">
        <v>0</v>
      </c>
      <c r="AC1534" s="119">
        <v>0</v>
      </c>
      <c r="AD1534" s="119">
        <v>0</v>
      </c>
      <c r="AE1534" s="401">
        <v>0</v>
      </c>
      <c r="AF1534" s="119">
        <v>17.04</v>
      </c>
      <c r="AG1534" s="119">
        <v>17.078000000000003</v>
      </c>
      <c r="AH1534" s="119">
        <v>16.976999999999997</v>
      </c>
      <c r="AI1534" s="119">
        <v>17.516999999999996</v>
      </c>
      <c r="AJ1534" s="401">
        <v>68.611999999999995</v>
      </c>
      <c r="AK1534" s="119">
        <v>16.279</v>
      </c>
      <c r="AL1534" s="119">
        <v>16.947999999999997</v>
      </c>
      <c r="AM1534" s="119">
        <v>15.628</v>
      </c>
      <c r="AN1534" s="119">
        <v>16.339999999999996</v>
      </c>
      <c r="AO1534" s="401">
        <v>65.194999999999993</v>
      </c>
      <c r="AP1534" s="119">
        <v>15.907</v>
      </c>
      <c r="AQ1534" s="119">
        <v>15.448</v>
      </c>
      <c r="AR1534" s="119">
        <v>15.714000000000002</v>
      </c>
      <c r="AS1534" s="119">
        <v>17.063000000000002</v>
      </c>
      <c r="AT1534" s="401">
        <v>64.132000000000005</v>
      </c>
      <c r="AU1534" s="119">
        <v>16.603000000000002</v>
      </c>
      <c r="AV1534" s="119">
        <v>18.937999999999995</v>
      </c>
      <c r="AW1534" s="119">
        <v>18.543000000000006</v>
      </c>
      <c r="AX1534" s="119">
        <v>18.394999999999996</v>
      </c>
      <c r="AY1534" s="401">
        <v>72.478999999999999</v>
      </c>
      <c r="AZ1534" s="119">
        <v>18.390999999999998</v>
      </c>
      <c r="BA1534" s="119">
        <v>18.798999999999999</v>
      </c>
      <c r="BB1534" s="119">
        <v>18.722000000000001</v>
      </c>
      <c r="BC1534" s="119">
        <v>19.273000000000003</v>
      </c>
      <c r="BD1534" s="401">
        <v>75.185000000000002</v>
      </c>
      <c r="BE1534" s="119">
        <v>19.864999999999998</v>
      </c>
      <c r="BF1534" s="119">
        <v>18.992999999999999</v>
      </c>
      <c r="BG1534" s="119">
        <v>24.080000000000005</v>
      </c>
      <c r="BH1534" s="119">
        <v>23.760999999999996</v>
      </c>
      <c r="BI1534" s="402">
        <v>86.698999999999998</v>
      </c>
      <c r="BJ1534" s="118"/>
      <c r="BK1534" s="118"/>
      <c r="BL1534" s="118"/>
      <c r="BM1534" s="118"/>
      <c r="BN1534" s="401">
        <v>0</v>
      </c>
      <c r="BO1534" s="118"/>
      <c r="BP1534" s="118"/>
      <c r="BQ1534" s="118"/>
      <c r="BR1534" s="118"/>
      <c r="BS1534" s="401">
        <v>0</v>
      </c>
      <c r="BT1534" s="401"/>
      <c r="BU1534" s="401"/>
      <c r="BV1534" s="401"/>
      <c r="BW1534" s="122"/>
    </row>
    <row r="1535" spans="1:75" s="123" customFormat="1" x14ac:dyDescent="0.5">
      <c r="A1535" s="184" t="s">
        <v>1346</v>
      </c>
      <c r="B1535" s="513"/>
      <c r="C1535" s="401"/>
      <c r="D1535" s="401">
        <v>2.1150000000000002</v>
      </c>
      <c r="E1535" s="401">
        <v>0</v>
      </c>
      <c r="F1535" s="401">
        <v>0</v>
      </c>
      <c r="G1535" s="119">
        <v>0</v>
      </c>
      <c r="H1535" s="119">
        <v>0</v>
      </c>
      <c r="I1535" s="119">
        <v>0</v>
      </c>
      <c r="J1535" s="119">
        <v>0</v>
      </c>
      <c r="K1535" s="401">
        <v>0</v>
      </c>
      <c r="L1535" s="119">
        <v>0</v>
      </c>
      <c r="M1535" s="119">
        <v>0</v>
      </c>
      <c r="N1535" s="119">
        <v>0</v>
      </c>
      <c r="O1535" s="119">
        <v>0</v>
      </c>
      <c r="P1535" s="401">
        <v>0</v>
      </c>
      <c r="Q1535" s="119">
        <v>0</v>
      </c>
      <c r="R1535" s="119">
        <v>0</v>
      </c>
      <c r="S1535" s="119">
        <v>0</v>
      </c>
      <c r="T1535" s="119">
        <v>0</v>
      </c>
      <c r="U1535" s="401">
        <v>0</v>
      </c>
      <c r="V1535" s="119">
        <v>0</v>
      </c>
      <c r="W1535" s="119">
        <v>0</v>
      </c>
      <c r="X1535" s="119">
        <v>0</v>
      </c>
      <c r="Y1535" s="119">
        <v>0</v>
      </c>
      <c r="Z1535" s="401">
        <v>0</v>
      </c>
      <c r="AA1535" s="119">
        <v>0</v>
      </c>
      <c r="AB1535" s="119">
        <v>0</v>
      </c>
      <c r="AC1535" s="119">
        <v>0</v>
      </c>
      <c r="AD1535" s="119">
        <v>0</v>
      </c>
      <c r="AE1535" s="401">
        <v>0</v>
      </c>
      <c r="AF1535" s="119">
        <v>0</v>
      </c>
      <c r="AG1535" s="119">
        <v>0</v>
      </c>
      <c r="AH1535" s="119">
        <v>0</v>
      </c>
      <c r="AI1535" s="119">
        <v>0</v>
      </c>
      <c r="AJ1535" s="401">
        <v>0</v>
      </c>
      <c r="AK1535" s="119">
        <v>0</v>
      </c>
      <c r="AL1535" s="119">
        <v>0</v>
      </c>
      <c r="AM1535" s="119">
        <v>0</v>
      </c>
      <c r="AN1535" s="119">
        <v>0</v>
      </c>
      <c r="AO1535" s="401">
        <v>0</v>
      </c>
      <c r="AP1535" s="119">
        <v>0</v>
      </c>
      <c r="AQ1535" s="119">
        <v>0</v>
      </c>
      <c r="AR1535" s="119">
        <v>0</v>
      </c>
      <c r="AS1535" s="119">
        <v>0</v>
      </c>
      <c r="AT1535" s="401">
        <v>0</v>
      </c>
      <c r="AU1535" s="119">
        <v>0</v>
      </c>
      <c r="AV1535" s="119">
        <v>0</v>
      </c>
      <c r="AW1535" s="119">
        <v>0</v>
      </c>
      <c r="AX1535" s="119">
        <v>0</v>
      </c>
      <c r="AY1535" s="401">
        <v>0</v>
      </c>
      <c r="AZ1535" s="119">
        <v>0</v>
      </c>
      <c r="BA1535" s="119">
        <v>0</v>
      </c>
      <c r="BB1535" s="119">
        <v>0</v>
      </c>
      <c r="BC1535" s="119">
        <v>0</v>
      </c>
      <c r="BD1535" s="401">
        <v>0</v>
      </c>
      <c r="BE1535" s="119">
        <v>0</v>
      </c>
      <c r="BF1535" s="119">
        <v>0</v>
      </c>
      <c r="BG1535" s="119">
        <v>0</v>
      </c>
      <c r="BH1535" s="119">
        <v>0</v>
      </c>
      <c r="BI1535" s="402">
        <v>0</v>
      </c>
      <c r="BJ1535" s="118"/>
      <c r="BK1535" s="118"/>
      <c r="BL1535" s="118"/>
      <c r="BM1535" s="118"/>
      <c r="BN1535" s="401">
        <v>0</v>
      </c>
      <c r="BO1535" s="118"/>
      <c r="BP1535" s="118"/>
      <c r="BQ1535" s="118"/>
      <c r="BR1535" s="118"/>
      <c r="BS1535" s="401">
        <v>0</v>
      </c>
      <c r="BT1535" s="401"/>
      <c r="BU1535" s="401"/>
      <c r="BV1535" s="401"/>
      <c r="BW1535" s="122"/>
    </row>
    <row r="1536" spans="1:75" s="123" customFormat="1" x14ac:dyDescent="0.5">
      <c r="A1536" s="184" t="s">
        <v>1347</v>
      </c>
      <c r="B1536" s="513"/>
      <c r="C1536" s="401"/>
      <c r="D1536" s="401">
        <v>0</v>
      </c>
      <c r="E1536" s="401">
        <v>0</v>
      </c>
      <c r="F1536" s="401">
        <v>0</v>
      </c>
      <c r="G1536" s="119">
        <v>0</v>
      </c>
      <c r="H1536" s="119">
        <v>0</v>
      </c>
      <c r="I1536" s="119">
        <v>0</v>
      </c>
      <c r="J1536" s="119">
        <v>0</v>
      </c>
      <c r="K1536" s="401">
        <v>0</v>
      </c>
      <c r="L1536" s="119">
        <v>0</v>
      </c>
      <c r="M1536" s="119">
        <v>0</v>
      </c>
      <c r="N1536" s="119">
        <v>0</v>
      </c>
      <c r="O1536" s="119">
        <v>0</v>
      </c>
      <c r="P1536" s="401">
        <v>0</v>
      </c>
      <c r="Q1536" s="119">
        <v>0</v>
      </c>
      <c r="R1536" s="119">
        <v>0</v>
      </c>
      <c r="S1536" s="119">
        <v>0</v>
      </c>
      <c r="T1536" s="119">
        <v>1.1659999999999999</v>
      </c>
      <c r="U1536" s="401">
        <v>1.1659999999999999</v>
      </c>
      <c r="V1536" s="119">
        <v>0</v>
      </c>
      <c r="W1536" s="119">
        <v>0</v>
      </c>
      <c r="X1536" s="119">
        <v>0</v>
      </c>
      <c r="Y1536" s="119">
        <v>1.022</v>
      </c>
      <c r="Z1536" s="401">
        <v>1.022</v>
      </c>
      <c r="AA1536" s="119">
        <v>0</v>
      </c>
      <c r="AB1536" s="119">
        <v>0</v>
      </c>
      <c r="AC1536" s="119">
        <v>0</v>
      </c>
      <c r="AD1536" s="119">
        <v>9.9000000000000005E-2</v>
      </c>
      <c r="AE1536" s="401">
        <v>9.9000000000000005E-2</v>
      </c>
      <c r="AF1536" s="119">
        <v>0</v>
      </c>
      <c r="AG1536" s="119">
        <v>0</v>
      </c>
      <c r="AH1536" s="119">
        <v>0</v>
      </c>
      <c r="AI1536" s="119">
        <v>0</v>
      </c>
      <c r="AJ1536" s="401">
        <v>0</v>
      </c>
      <c r="AK1536" s="119">
        <v>0</v>
      </c>
      <c r="AL1536" s="119">
        <v>0</v>
      </c>
      <c r="AM1536" s="119">
        <v>0</v>
      </c>
      <c r="AN1536" s="119">
        <v>0</v>
      </c>
      <c r="AO1536" s="401">
        <v>0</v>
      </c>
      <c r="AP1536" s="119">
        <v>0</v>
      </c>
      <c r="AQ1536" s="119">
        <v>0</v>
      </c>
      <c r="AR1536" s="119">
        <v>0</v>
      </c>
      <c r="AS1536" s="119">
        <v>0</v>
      </c>
      <c r="AT1536" s="401">
        <v>0</v>
      </c>
      <c r="AU1536" s="119">
        <v>0</v>
      </c>
      <c r="AV1536" s="119">
        <v>0</v>
      </c>
      <c r="AW1536" s="119">
        <v>0</v>
      </c>
      <c r="AX1536" s="119">
        <v>0</v>
      </c>
      <c r="AY1536" s="401">
        <v>0</v>
      </c>
      <c r="AZ1536" s="119">
        <v>0</v>
      </c>
      <c r="BA1536" s="119">
        <v>0</v>
      </c>
      <c r="BB1536" s="119">
        <v>0</v>
      </c>
      <c r="BC1536" s="119">
        <v>0</v>
      </c>
      <c r="BD1536" s="401">
        <v>0</v>
      </c>
      <c r="BE1536" s="119">
        <v>0</v>
      </c>
      <c r="BF1536" s="119">
        <v>0</v>
      </c>
      <c r="BG1536" s="119">
        <v>0</v>
      </c>
      <c r="BH1536" s="119">
        <v>0</v>
      </c>
      <c r="BI1536" s="402">
        <v>0</v>
      </c>
      <c r="BJ1536" s="118"/>
      <c r="BK1536" s="118"/>
      <c r="BL1536" s="118"/>
      <c r="BM1536" s="118"/>
      <c r="BN1536" s="401">
        <v>0</v>
      </c>
      <c r="BO1536" s="118"/>
      <c r="BP1536" s="118"/>
      <c r="BQ1536" s="118"/>
      <c r="BR1536" s="118"/>
      <c r="BS1536" s="401">
        <v>0</v>
      </c>
      <c r="BT1536" s="401"/>
      <c r="BU1536" s="401"/>
      <c r="BV1536" s="401"/>
      <c r="BW1536" s="122"/>
    </row>
    <row r="1537" spans="1:75" s="123" customFormat="1" x14ac:dyDescent="0.5">
      <c r="A1537" s="184" t="s">
        <v>1348</v>
      </c>
      <c r="B1537" s="513"/>
      <c r="C1537" s="401"/>
      <c r="D1537" s="401">
        <v>0</v>
      </c>
      <c r="E1537" s="401">
        <v>0.67400000000000004</v>
      </c>
      <c r="F1537" s="401">
        <v>0</v>
      </c>
      <c r="G1537" s="119">
        <v>0</v>
      </c>
      <c r="H1537" s="119">
        <v>0</v>
      </c>
      <c r="I1537" s="119">
        <v>0</v>
      </c>
      <c r="J1537" s="119">
        <v>0</v>
      </c>
      <c r="K1537" s="401">
        <v>0</v>
      </c>
      <c r="L1537" s="119">
        <v>0</v>
      </c>
      <c r="M1537" s="119">
        <v>0</v>
      </c>
      <c r="N1537" s="119">
        <v>0</v>
      </c>
      <c r="O1537" s="119">
        <v>0</v>
      </c>
      <c r="P1537" s="401">
        <v>0</v>
      </c>
      <c r="Q1537" s="119">
        <v>0</v>
      </c>
      <c r="R1537" s="119">
        <v>0</v>
      </c>
      <c r="S1537" s="119">
        <v>0</v>
      </c>
      <c r="T1537" s="119">
        <v>0</v>
      </c>
      <c r="U1537" s="401">
        <v>0</v>
      </c>
      <c r="V1537" s="119">
        <v>0</v>
      </c>
      <c r="W1537" s="119">
        <v>0</v>
      </c>
      <c r="X1537" s="119">
        <v>0</v>
      </c>
      <c r="Y1537" s="119">
        <v>0</v>
      </c>
      <c r="Z1537" s="401">
        <v>0</v>
      </c>
      <c r="AA1537" s="119">
        <v>0</v>
      </c>
      <c r="AB1537" s="119">
        <v>0</v>
      </c>
      <c r="AC1537" s="119">
        <v>0</v>
      </c>
      <c r="AD1537" s="119">
        <v>0</v>
      </c>
      <c r="AE1537" s="401">
        <v>0</v>
      </c>
      <c r="AF1537" s="119">
        <v>0</v>
      </c>
      <c r="AG1537" s="119">
        <v>0</v>
      </c>
      <c r="AH1537" s="119">
        <v>0</v>
      </c>
      <c r="AI1537" s="119">
        <v>0</v>
      </c>
      <c r="AJ1537" s="401">
        <v>0</v>
      </c>
      <c r="AK1537" s="119">
        <v>0</v>
      </c>
      <c r="AL1537" s="119">
        <v>0</v>
      </c>
      <c r="AM1537" s="119">
        <v>0</v>
      </c>
      <c r="AN1537" s="119">
        <v>0</v>
      </c>
      <c r="AO1537" s="401">
        <v>0</v>
      </c>
      <c r="AP1537" s="119">
        <v>0</v>
      </c>
      <c r="AQ1537" s="119">
        <v>0</v>
      </c>
      <c r="AR1537" s="119">
        <v>0</v>
      </c>
      <c r="AS1537" s="119">
        <v>0</v>
      </c>
      <c r="AT1537" s="401">
        <v>0</v>
      </c>
      <c r="AU1537" s="119">
        <v>0</v>
      </c>
      <c r="AV1537" s="119">
        <v>0</v>
      </c>
      <c r="AW1537" s="119">
        <v>0</v>
      </c>
      <c r="AX1537" s="119">
        <v>0</v>
      </c>
      <c r="AY1537" s="401">
        <v>0</v>
      </c>
      <c r="AZ1537" s="119">
        <v>0</v>
      </c>
      <c r="BA1537" s="119">
        <v>0</v>
      </c>
      <c r="BB1537" s="119">
        <v>0</v>
      </c>
      <c r="BC1537" s="119">
        <v>0</v>
      </c>
      <c r="BD1537" s="401">
        <v>0</v>
      </c>
      <c r="BE1537" s="119">
        <v>0</v>
      </c>
      <c r="BF1537" s="119">
        <v>0</v>
      </c>
      <c r="BG1537" s="119">
        <v>0</v>
      </c>
      <c r="BH1537" s="119">
        <v>0</v>
      </c>
      <c r="BI1537" s="402">
        <v>0</v>
      </c>
      <c r="BJ1537" s="118"/>
      <c r="BK1537" s="118"/>
      <c r="BL1537" s="118"/>
      <c r="BM1537" s="118"/>
      <c r="BN1537" s="401">
        <v>0</v>
      </c>
      <c r="BO1537" s="118"/>
      <c r="BP1537" s="118"/>
      <c r="BQ1537" s="118"/>
      <c r="BR1537" s="118"/>
      <c r="BS1537" s="401">
        <v>0</v>
      </c>
      <c r="BT1537" s="401"/>
      <c r="BU1537" s="401"/>
      <c r="BV1537" s="401"/>
      <c r="BW1537" s="122"/>
    </row>
    <row r="1538" spans="1:75" s="123" customFormat="1" x14ac:dyDescent="0.5">
      <c r="A1538" s="184" t="s">
        <v>1139</v>
      </c>
      <c r="B1538" s="513"/>
      <c r="C1538" s="401"/>
      <c r="D1538" s="401">
        <v>0</v>
      </c>
      <c r="E1538" s="401">
        <v>0</v>
      </c>
      <c r="F1538" s="401">
        <v>0</v>
      </c>
      <c r="G1538" s="119">
        <v>0</v>
      </c>
      <c r="H1538" s="119">
        <v>0</v>
      </c>
      <c r="I1538" s="119">
        <v>0</v>
      </c>
      <c r="J1538" s="119">
        <v>1.385</v>
      </c>
      <c r="K1538" s="401">
        <v>1.385</v>
      </c>
      <c r="L1538" s="119">
        <v>0</v>
      </c>
      <c r="M1538" s="119">
        <v>0</v>
      </c>
      <c r="N1538" s="119">
        <v>0</v>
      </c>
      <c r="O1538" s="119">
        <v>0</v>
      </c>
      <c r="P1538" s="401">
        <v>0</v>
      </c>
      <c r="Q1538" s="119">
        <v>0</v>
      </c>
      <c r="R1538" s="119">
        <v>0</v>
      </c>
      <c r="S1538" s="119">
        <v>0</v>
      </c>
      <c r="T1538" s="119">
        <v>0</v>
      </c>
      <c r="U1538" s="401">
        <v>0</v>
      </c>
      <c r="V1538" s="119">
        <v>0</v>
      </c>
      <c r="W1538" s="119">
        <v>0</v>
      </c>
      <c r="X1538" s="119">
        <v>0</v>
      </c>
      <c r="Y1538" s="119">
        <v>17.137</v>
      </c>
      <c r="Z1538" s="401">
        <v>17.137</v>
      </c>
      <c r="AA1538" s="119">
        <v>0</v>
      </c>
      <c r="AB1538" s="119">
        <v>0</v>
      </c>
      <c r="AC1538" s="119">
        <v>0</v>
      </c>
      <c r="AD1538" s="119">
        <v>6.4809999999999999</v>
      </c>
      <c r="AE1538" s="401">
        <v>6.4809999999999999</v>
      </c>
      <c r="AF1538" s="119">
        <v>0</v>
      </c>
      <c r="AG1538" s="119">
        <v>0</v>
      </c>
      <c r="AH1538" s="119">
        <v>5.3369999999999997</v>
      </c>
      <c r="AI1538" s="119">
        <v>1.1960000000000006</v>
      </c>
      <c r="AJ1538" s="401">
        <v>6.5330000000000004</v>
      </c>
      <c r="AK1538" s="119">
        <v>0</v>
      </c>
      <c r="AL1538" s="119">
        <v>0</v>
      </c>
      <c r="AM1538" s="119">
        <v>1.66</v>
      </c>
      <c r="AN1538" s="119">
        <v>13.507999999999999</v>
      </c>
      <c r="AO1538" s="401">
        <v>15.167999999999999</v>
      </c>
      <c r="AP1538" s="119">
        <v>4.7830000000000004</v>
      </c>
      <c r="AQ1538" s="119">
        <v>0</v>
      </c>
      <c r="AR1538" s="119">
        <v>0</v>
      </c>
      <c r="AS1538" s="119">
        <v>1.7009999999999996</v>
      </c>
      <c r="AT1538" s="401">
        <v>6.484</v>
      </c>
      <c r="AU1538" s="119">
        <v>0</v>
      </c>
      <c r="AV1538" s="119">
        <v>7.3540000000000001</v>
      </c>
      <c r="AW1538" s="119">
        <v>0</v>
      </c>
      <c r="AX1538" s="119">
        <v>2.2760000000000007</v>
      </c>
      <c r="AY1538" s="401">
        <v>9.6300000000000008</v>
      </c>
      <c r="AZ1538" s="119">
        <v>5.923</v>
      </c>
      <c r="BA1538" s="119">
        <v>2.2309999999999999</v>
      </c>
      <c r="BB1538" s="119">
        <v>10.925999999999998</v>
      </c>
      <c r="BC1538" s="119">
        <v>5.1060000000000016</v>
      </c>
      <c r="BD1538" s="401">
        <v>24.186</v>
      </c>
      <c r="BE1538" s="119">
        <v>2.4750000000000001</v>
      </c>
      <c r="BF1538" s="119">
        <v>0.41900000000000004</v>
      </c>
      <c r="BG1538" s="119">
        <v>4.2709999999999999</v>
      </c>
      <c r="BH1538" s="119">
        <v>1.1740000000000004</v>
      </c>
      <c r="BI1538" s="402">
        <v>8.3390000000000004</v>
      </c>
      <c r="BJ1538" s="118">
        <v>0</v>
      </c>
      <c r="BK1538" s="118">
        <v>0</v>
      </c>
      <c r="BL1538" s="118">
        <v>0</v>
      </c>
      <c r="BM1538" s="118">
        <v>0</v>
      </c>
      <c r="BN1538" s="401">
        <v>0</v>
      </c>
      <c r="BO1538" s="118">
        <v>0</v>
      </c>
      <c r="BP1538" s="118">
        <v>0</v>
      </c>
      <c r="BQ1538" s="118">
        <v>0</v>
      </c>
      <c r="BR1538" s="118">
        <v>0</v>
      </c>
      <c r="BS1538" s="401">
        <v>0</v>
      </c>
      <c r="BT1538" s="401">
        <v>0</v>
      </c>
      <c r="BU1538" s="401">
        <v>0</v>
      </c>
      <c r="BV1538" s="401">
        <v>0</v>
      </c>
      <c r="BW1538" s="122"/>
    </row>
    <row r="1539" spans="1:75" s="123" customFormat="1" x14ac:dyDescent="0.5">
      <c r="A1539" s="184" t="s">
        <v>1102</v>
      </c>
      <c r="B1539" s="513"/>
      <c r="C1539" s="401"/>
      <c r="D1539" s="401">
        <v>0</v>
      </c>
      <c r="E1539" s="401">
        <v>0</v>
      </c>
      <c r="F1539" s="401">
        <v>0</v>
      </c>
      <c r="G1539" s="119">
        <v>0</v>
      </c>
      <c r="H1539" s="119">
        <v>0</v>
      </c>
      <c r="I1539" s="119">
        <v>0</v>
      </c>
      <c r="J1539" s="119">
        <v>0</v>
      </c>
      <c r="K1539" s="401">
        <v>0</v>
      </c>
      <c r="L1539" s="119">
        <v>0</v>
      </c>
      <c r="M1539" s="119">
        <v>0</v>
      </c>
      <c r="N1539" s="119">
        <v>0</v>
      </c>
      <c r="O1539" s="119">
        <v>0</v>
      </c>
      <c r="P1539" s="401">
        <v>0</v>
      </c>
      <c r="Q1539" s="119">
        <v>0</v>
      </c>
      <c r="R1539" s="119">
        <v>0</v>
      </c>
      <c r="S1539" s="119">
        <v>0</v>
      </c>
      <c r="T1539" s="119">
        <v>0</v>
      </c>
      <c r="U1539" s="401">
        <v>0</v>
      </c>
      <c r="V1539" s="119">
        <v>0</v>
      </c>
      <c r="W1539" s="119">
        <v>0</v>
      </c>
      <c r="X1539" s="119">
        <v>0</v>
      </c>
      <c r="Y1539" s="119">
        <v>0</v>
      </c>
      <c r="Z1539" s="401">
        <v>0</v>
      </c>
      <c r="AA1539" s="119">
        <v>0</v>
      </c>
      <c r="AB1539" s="119">
        <v>0</v>
      </c>
      <c r="AC1539" s="119">
        <v>0</v>
      </c>
      <c r="AD1539" s="119">
        <v>0</v>
      </c>
      <c r="AE1539" s="401">
        <v>0</v>
      </c>
      <c r="AF1539" s="119">
        <v>0</v>
      </c>
      <c r="AG1539" s="119">
        <v>0</v>
      </c>
      <c r="AH1539" s="119">
        <v>0</v>
      </c>
      <c r="AI1539" s="119">
        <v>0</v>
      </c>
      <c r="AJ1539" s="401">
        <v>0</v>
      </c>
      <c r="AK1539" s="119">
        <v>0</v>
      </c>
      <c r="AL1539" s="119">
        <v>0</v>
      </c>
      <c r="AM1539" s="119">
        <v>0</v>
      </c>
      <c r="AN1539" s="119">
        <v>0</v>
      </c>
      <c r="AO1539" s="401">
        <v>0</v>
      </c>
      <c r="AP1539" s="119">
        <v>0</v>
      </c>
      <c r="AQ1539" s="119">
        <v>0</v>
      </c>
      <c r="AR1539" s="119">
        <v>0</v>
      </c>
      <c r="AS1539" s="119">
        <v>0</v>
      </c>
      <c r="AT1539" s="401">
        <v>0</v>
      </c>
      <c r="AU1539" s="119">
        <v>0</v>
      </c>
      <c r="AV1539" s="119">
        <v>0</v>
      </c>
      <c r="AW1539" s="119">
        <v>0</v>
      </c>
      <c r="AX1539" s="119">
        <v>0</v>
      </c>
      <c r="AY1539" s="401">
        <v>0</v>
      </c>
      <c r="AZ1539" s="119">
        <v>0</v>
      </c>
      <c r="BA1539" s="119">
        <v>0</v>
      </c>
      <c r="BB1539" s="119">
        <v>-0.77500000000000002</v>
      </c>
      <c r="BC1539" s="119">
        <v>0.77500000000000002</v>
      </c>
      <c r="BD1539" s="401">
        <v>0</v>
      </c>
      <c r="BE1539" s="119">
        <v>0</v>
      </c>
      <c r="BF1539" s="119">
        <v>0</v>
      </c>
      <c r="BG1539" s="119">
        <v>0</v>
      </c>
      <c r="BH1539" s="119">
        <v>0</v>
      </c>
      <c r="BI1539" s="402">
        <v>0</v>
      </c>
      <c r="BJ1539" s="118">
        <v>0</v>
      </c>
      <c r="BK1539" s="118">
        <v>0</v>
      </c>
      <c r="BL1539" s="118">
        <v>0</v>
      </c>
      <c r="BM1539" s="118">
        <v>0</v>
      </c>
      <c r="BN1539" s="401">
        <v>0</v>
      </c>
      <c r="BO1539" s="118">
        <v>0</v>
      </c>
      <c r="BP1539" s="118">
        <v>0</v>
      </c>
      <c r="BQ1539" s="118">
        <v>0</v>
      </c>
      <c r="BR1539" s="118">
        <v>0</v>
      </c>
      <c r="BS1539" s="401">
        <v>0</v>
      </c>
      <c r="BT1539" s="401">
        <v>0</v>
      </c>
      <c r="BU1539" s="401">
        <v>0</v>
      </c>
      <c r="BV1539" s="401">
        <v>0</v>
      </c>
      <c r="BW1539" s="122"/>
    </row>
    <row r="1540" spans="1:75" s="123" customFormat="1" x14ac:dyDescent="0.5">
      <c r="A1540" s="184" t="s">
        <v>1100</v>
      </c>
      <c r="B1540" s="513"/>
      <c r="C1540" s="401"/>
      <c r="D1540" s="401">
        <v>0</v>
      </c>
      <c r="E1540" s="401">
        <v>0</v>
      </c>
      <c r="F1540" s="401">
        <v>0</v>
      </c>
      <c r="G1540" s="119">
        <v>0</v>
      </c>
      <c r="H1540" s="119">
        <v>0</v>
      </c>
      <c r="I1540" s="119">
        <v>0</v>
      </c>
      <c r="J1540" s="119">
        <v>0</v>
      </c>
      <c r="K1540" s="401">
        <v>0</v>
      </c>
      <c r="L1540" s="119">
        <v>0</v>
      </c>
      <c r="M1540" s="119">
        <v>0</v>
      </c>
      <c r="N1540" s="119">
        <v>0</v>
      </c>
      <c r="O1540" s="119">
        <v>0</v>
      </c>
      <c r="P1540" s="401">
        <v>0</v>
      </c>
      <c r="Q1540" s="119">
        <v>0</v>
      </c>
      <c r="R1540" s="119">
        <v>0</v>
      </c>
      <c r="S1540" s="119">
        <v>0</v>
      </c>
      <c r="T1540" s="119">
        <v>0</v>
      </c>
      <c r="U1540" s="401">
        <v>0</v>
      </c>
      <c r="V1540" s="119">
        <v>0</v>
      </c>
      <c r="W1540" s="119">
        <v>0</v>
      </c>
      <c r="X1540" s="119">
        <v>0</v>
      </c>
      <c r="Y1540" s="119">
        <v>0</v>
      </c>
      <c r="Z1540" s="401">
        <v>0</v>
      </c>
      <c r="AA1540" s="119">
        <v>0</v>
      </c>
      <c r="AB1540" s="119">
        <v>0</v>
      </c>
      <c r="AC1540" s="119">
        <v>0</v>
      </c>
      <c r="AD1540" s="119">
        <v>0</v>
      </c>
      <c r="AE1540" s="401">
        <v>0</v>
      </c>
      <c r="AF1540" s="119">
        <v>0</v>
      </c>
      <c r="AG1540" s="119">
        <v>0</v>
      </c>
      <c r="AH1540" s="119">
        <v>0</v>
      </c>
      <c r="AI1540" s="119">
        <v>0</v>
      </c>
      <c r="AJ1540" s="401">
        <v>0</v>
      </c>
      <c r="AK1540" s="119">
        <v>0</v>
      </c>
      <c r="AL1540" s="119">
        <v>0</v>
      </c>
      <c r="AM1540" s="119">
        <v>0</v>
      </c>
      <c r="AN1540" s="119">
        <v>0</v>
      </c>
      <c r="AO1540" s="401">
        <v>0</v>
      </c>
      <c r="AP1540" s="119">
        <v>0</v>
      </c>
      <c r="AQ1540" s="119">
        <v>9.3520000000000003</v>
      </c>
      <c r="AR1540" s="119">
        <v>0</v>
      </c>
      <c r="AS1540" s="119">
        <v>-9.3520000000000003</v>
      </c>
      <c r="AT1540" s="401">
        <v>0</v>
      </c>
      <c r="AU1540" s="119">
        <v>0</v>
      </c>
      <c r="AV1540" s="119">
        <v>0</v>
      </c>
      <c r="AW1540" s="119">
        <v>0</v>
      </c>
      <c r="AX1540" s="119">
        <v>0</v>
      </c>
      <c r="AY1540" s="401">
        <v>0</v>
      </c>
      <c r="AZ1540" s="119">
        <v>0</v>
      </c>
      <c r="BA1540" s="119">
        <v>0</v>
      </c>
      <c r="BB1540" s="119">
        <v>0</v>
      </c>
      <c r="BC1540" s="119">
        <v>0</v>
      </c>
      <c r="BD1540" s="401">
        <v>0</v>
      </c>
      <c r="BE1540" s="119">
        <v>0</v>
      </c>
      <c r="BF1540" s="119">
        <v>0</v>
      </c>
      <c r="BG1540" s="119">
        <v>0</v>
      </c>
      <c r="BH1540" s="119">
        <v>0</v>
      </c>
      <c r="BI1540" s="402">
        <v>0</v>
      </c>
      <c r="BJ1540" s="118">
        <v>0</v>
      </c>
      <c r="BK1540" s="118">
        <v>0</v>
      </c>
      <c r="BL1540" s="118">
        <v>0</v>
      </c>
      <c r="BM1540" s="118">
        <v>0</v>
      </c>
      <c r="BN1540" s="401">
        <v>0</v>
      </c>
      <c r="BO1540" s="118">
        <v>0</v>
      </c>
      <c r="BP1540" s="118">
        <v>0</v>
      </c>
      <c r="BQ1540" s="118">
        <v>0</v>
      </c>
      <c r="BR1540" s="118">
        <v>0</v>
      </c>
      <c r="BS1540" s="401">
        <v>0</v>
      </c>
      <c r="BT1540" s="401">
        <v>0</v>
      </c>
      <c r="BU1540" s="401">
        <v>0</v>
      </c>
      <c r="BV1540" s="401">
        <v>0</v>
      </c>
      <c r="BW1540" s="122"/>
    </row>
    <row r="1541" spans="1:75" s="123" customFormat="1" x14ac:dyDescent="0.5">
      <c r="A1541" s="184" t="s">
        <v>1135</v>
      </c>
      <c r="B1541" s="513"/>
      <c r="C1541" s="401"/>
      <c r="D1541" s="401">
        <v>0</v>
      </c>
      <c r="E1541" s="401">
        <v>0</v>
      </c>
      <c r="F1541" s="401">
        <v>0</v>
      </c>
      <c r="G1541" s="119">
        <v>0</v>
      </c>
      <c r="H1541" s="119">
        <v>0</v>
      </c>
      <c r="I1541" s="119">
        <v>0</v>
      </c>
      <c r="J1541" s="119">
        <v>0</v>
      </c>
      <c r="K1541" s="401">
        <v>0</v>
      </c>
      <c r="L1541" s="119">
        <v>0</v>
      </c>
      <c r="M1541" s="119">
        <v>0</v>
      </c>
      <c r="N1541" s="119">
        <v>0</v>
      </c>
      <c r="O1541" s="119">
        <v>0</v>
      </c>
      <c r="P1541" s="401">
        <v>0</v>
      </c>
      <c r="Q1541" s="119">
        <v>0</v>
      </c>
      <c r="R1541" s="119">
        <v>0</v>
      </c>
      <c r="S1541" s="119">
        <v>0</v>
      </c>
      <c r="T1541" s="119">
        <v>0</v>
      </c>
      <c r="U1541" s="401">
        <v>0</v>
      </c>
      <c r="V1541" s="119">
        <v>0</v>
      </c>
      <c r="W1541" s="119">
        <v>0</v>
      </c>
      <c r="X1541" s="119">
        <v>0</v>
      </c>
      <c r="Y1541" s="119">
        <v>0</v>
      </c>
      <c r="Z1541" s="401">
        <v>0</v>
      </c>
      <c r="AA1541" s="119">
        <v>0</v>
      </c>
      <c r="AB1541" s="119">
        <v>0</v>
      </c>
      <c r="AC1541" s="119">
        <v>0</v>
      </c>
      <c r="AD1541" s="119">
        <v>0</v>
      </c>
      <c r="AE1541" s="401">
        <v>0</v>
      </c>
      <c r="AF1541" s="119">
        <v>0</v>
      </c>
      <c r="AG1541" s="119">
        <v>0</v>
      </c>
      <c r="AH1541" s="119">
        <v>0</v>
      </c>
      <c r="AI1541" s="119">
        <v>8.4969999999999999</v>
      </c>
      <c r="AJ1541" s="401">
        <v>8.4969999999999999</v>
      </c>
      <c r="AK1541" s="119">
        <v>0</v>
      </c>
      <c r="AL1541" s="119">
        <v>0</v>
      </c>
      <c r="AM1541" s="119">
        <v>-1.5289999999999999</v>
      </c>
      <c r="AN1541" s="119">
        <v>0</v>
      </c>
      <c r="AO1541" s="401">
        <v>-1.5289999999999999</v>
      </c>
      <c r="AP1541" s="119">
        <v>0</v>
      </c>
      <c r="AQ1541" s="119">
        <v>0</v>
      </c>
      <c r="AR1541" s="119">
        <v>0</v>
      </c>
      <c r="AS1541" s="119">
        <v>9.3520000000000003</v>
      </c>
      <c r="AT1541" s="401">
        <v>9.3520000000000003</v>
      </c>
      <c r="AU1541" s="119">
        <v>0</v>
      </c>
      <c r="AV1541" s="119">
        <v>0</v>
      </c>
      <c r="AW1541" s="119">
        <v>0</v>
      </c>
      <c r="AX1541" s="119">
        <v>0</v>
      </c>
      <c r="AY1541" s="401">
        <v>0</v>
      </c>
      <c r="AZ1541" s="119">
        <v>0</v>
      </c>
      <c r="BA1541" s="119">
        <v>0</v>
      </c>
      <c r="BB1541" s="119">
        <v>0</v>
      </c>
      <c r="BC1541" s="119">
        <v>0</v>
      </c>
      <c r="BD1541" s="401">
        <v>0</v>
      </c>
      <c r="BE1541" s="119">
        <v>0</v>
      </c>
      <c r="BF1541" s="119">
        <v>0</v>
      </c>
      <c r="BG1541" s="119">
        <v>0</v>
      </c>
      <c r="BH1541" s="119">
        <v>0</v>
      </c>
      <c r="BI1541" s="402">
        <v>0</v>
      </c>
      <c r="BJ1541" s="118"/>
      <c r="BK1541" s="118"/>
      <c r="BL1541" s="118"/>
      <c r="BM1541" s="118"/>
      <c r="BN1541" s="401">
        <v>0</v>
      </c>
      <c r="BO1541" s="118"/>
      <c r="BP1541" s="118"/>
      <c r="BQ1541" s="118"/>
      <c r="BR1541" s="118"/>
      <c r="BS1541" s="401">
        <v>0</v>
      </c>
      <c r="BT1541" s="401"/>
      <c r="BU1541" s="401"/>
      <c r="BV1541" s="401"/>
      <c r="BW1541" s="122"/>
    </row>
    <row r="1542" spans="1:75" s="123" customFormat="1" x14ac:dyDescent="0.5">
      <c r="A1542" s="184" t="s">
        <v>1349</v>
      </c>
      <c r="B1542" s="513"/>
      <c r="C1542" s="401"/>
      <c r="D1542" s="401">
        <v>0</v>
      </c>
      <c r="E1542" s="401">
        <v>0</v>
      </c>
      <c r="F1542" s="401">
        <v>0</v>
      </c>
      <c r="G1542" s="119">
        <v>0</v>
      </c>
      <c r="H1542" s="119">
        <v>0</v>
      </c>
      <c r="I1542" s="119">
        <v>0</v>
      </c>
      <c r="J1542" s="119">
        <v>0</v>
      </c>
      <c r="K1542" s="401">
        <v>0</v>
      </c>
      <c r="L1542" s="119">
        <v>0</v>
      </c>
      <c r="M1542" s="119">
        <v>0</v>
      </c>
      <c r="N1542" s="119">
        <v>0</v>
      </c>
      <c r="O1542" s="119">
        <v>0</v>
      </c>
      <c r="P1542" s="401">
        <v>0</v>
      </c>
      <c r="Q1542" s="119">
        <v>0</v>
      </c>
      <c r="R1542" s="119">
        <v>0</v>
      </c>
      <c r="S1542" s="119">
        <v>0</v>
      </c>
      <c r="T1542" s="119">
        <v>0</v>
      </c>
      <c r="U1542" s="401">
        <v>0</v>
      </c>
      <c r="V1542" s="119">
        <v>0</v>
      </c>
      <c r="W1542" s="119">
        <v>0</v>
      </c>
      <c r="X1542" s="119">
        <v>0</v>
      </c>
      <c r="Y1542" s="119">
        <v>4.6150000000000002</v>
      </c>
      <c r="Z1542" s="401">
        <v>4.6150000000000002</v>
      </c>
      <c r="AA1542" s="119">
        <v>0</v>
      </c>
      <c r="AB1542" s="119">
        <v>0</v>
      </c>
      <c r="AC1542" s="119">
        <v>0</v>
      </c>
      <c r="AD1542" s="119">
        <v>7.7069999999999999</v>
      </c>
      <c r="AE1542" s="401">
        <v>7.7069999999999999</v>
      </c>
      <c r="AF1542" s="119">
        <v>0</v>
      </c>
      <c r="AG1542" s="119">
        <v>0</v>
      </c>
      <c r="AH1542" s="119">
        <v>0</v>
      </c>
      <c r="AI1542" s="119">
        <v>6.8739999999999997</v>
      </c>
      <c r="AJ1542" s="401">
        <v>6.8739999999999997</v>
      </c>
      <c r="AK1542" s="119">
        <v>-1.786</v>
      </c>
      <c r="AL1542" s="119">
        <v>-0.31999999999999984</v>
      </c>
      <c r="AM1542" s="119">
        <v>-1.4100000000000001</v>
      </c>
      <c r="AN1542" s="119">
        <v>-9.9999999999988987E-4</v>
      </c>
      <c r="AO1542" s="401">
        <v>-3.5169999999999999</v>
      </c>
      <c r="AP1542" s="119">
        <v>0</v>
      </c>
      <c r="AQ1542" s="119">
        <v>4.78</v>
      </c>
      <c r="AR1542" s="119">
        <v>0.78099999999999969</v>
      </c>
      <c r="AS1542" s="119">
        <v>1.8090000000000002</v>
      </c>
      <c r="AT1542" s="401">
        <v>7.37</v>
      </c>
      <c r="AU1542" s="119">
        <v>0.5</v>
      </c>
      <c r="AV1542" s="119">
        <v>0</v>
      </c>
      <c r="AW1542" s="119">
        <v>0.33999999999999997</v>
      </c>
      <c r="AX1542" s="119">
        <v>1.1000000000000001</v>
      </c>
      <c r="AY1542" s="401">
        <v>1.94</v>
      </c>
      <c r="AZ1542" s="119">
        <v>0.56000000000000005</v>
      </c>
      <c r="BA1542" s="119">
        <v>0</v>
      </c>
      <c r="BB1542" s="119">
        <v>0</v>
      </c>
      <c r="BC1542" s="119">
        <v>0</v>
      </c>
      <c r="BD1542" s="401">
        <v>0.56000000000000005</v>
      </c>
      <c r="BE1542" s="119">
        <v>0</v>
      </c>
      <c r="BF1542" s="119">
        <v>0</v>
      </c>
      <c r="BG1542" s="119">
        <v>-1.5760000000000001</v>
      </c>
      <c r="BH1542" s="119">
        <v>1.5760000000000001</v>
      </c>
      <c r="BI1542" s="402">
        <v>0</v>
      </c>
      <c r="BJ1542" s="118">
        <v>0</v>
      </c>
      <c r="BK1542" s="118">
        <v>0</v>
      </c>
      <c r="BL1542" s="118">
        <v>0</v>
      </c>
      <c r="BM1542" s="118">
        <v>0</v>
      </c>
      <c r="BN1542" s="401">
        <v>0</v>
      </c>
      <c r="BO1542" s="118">
        <v>0</v>
      </c>
      <c r="BP1542" s="118">
        <v>0</v>
      </c>
      <c r="BQ1542" s="118">
        <v>0</v>
      </c>
      <c r="BR1542" s="118">
        <v>0</v>
      </c>
      <c r="BS1542" s="401">
        <v>0</v>
      </c>
      <c r="BT1542" s="401">
        <v>0</v>
      </c>
      <c r="BU1542" s="401">
        <v>0</v>
      </c>
      <c r="BV1542" s="401">
        <v>0</v>
      </c>
      <c r="BW1542" s="122"/>
    </row>
    <row r="1543" spans="1:75" s="123" customFormat="1" x14ac:dyDescent="0.5">
      <c r="A1543" s="184" t="s">
        <v>1350</v>
      </c>
      <c r="B1543" s="513"/>
      <c r="C1543" s="401"/>
      <c r="D1543" s="401">
        <v>0</v>
      </c>
      <c r="E1543" s="401">
        <v>0</v>
      </c>
      <c r="F1543" s="401">
        <v>0</v>
      </c>
      <c r="G1543" s="119">
        <v>0</v>
      </c>
      <c r="H1543" s="119">
        <v>0</v>
      </c>
      <c r="I1543" s="119">
        <v>0</v>
      </c>
      <c r="J1543" s="119">
        <v>0</v>
      </c>
      <c r="K1543" s="401">
        <v>0</v>
      </c>
      <c r="L1543" s="119">
        <v>0</v>
      </c>
      <c r="M1543" s="119">
        <v>1.5760000000000001</v>
      </c>
      <c r="N1543" s="119">
        <v>3.1779999999999995</v>
      </c>
      <c r="O1543" s="119">
        <v>3.2150000000000007</v>
      </c>
      <c r="P1543" s="401">
        <v>7.9690000000000003</v>
      </c>
      <c r="Q1543" s="119">
        <v>3.25</v>
      </c>
      <c r="R1543" s="119">
        <v>5.0380000000000003</v>
      </c>
      <c r="S1543" s="119">
        <v>6.8650000000000002</v>
      </c>
      <c r="T1543" s="119">
        <v>6.9610000000000003</v>
      </c>
      <c r="U1543" s="401">
        <v>22.114000000000001</v>
      </c>
      <c r="V1543" s="119">
        <v>7.0570000000000004</v>
      </c>
      <c r="W1543" s="119">
        <v>7.1559999999999988</v>
      </c>
      <c r="X1543" s="119">
        <v>7.2539999999999996</v>
      </c>
      <c r="Y1543" s="119">
        <v>7.3550000000000004</v>
      </c>
      <c r="Z1543" s="401">
        <v>28.821999999999999</v>
      </c>
      <c r="AA1543" s="119">
        <v>7.4580000000000002</v>
      </c>
      <c r="AB1543" s="119">
        <v>7.5600000000000005</v>
      </c>
      <c r="AC1543" s="119">
        <v>7.666999999999998</v>
      </c>
      <c r="AD1543" s="119">
        <v>7.772000000000002</v>
      </c>
      <c r="AE1543" s="401">
        <v>30.457000000000001</v>
      </c>
      <c r="AF1543" s="119">
        <v>7.8810000000000002</v>
      </c>
      <c r="AG1543" s="119">
        <v>9.7639999999999993</v>
      </c>
      <c r="AH1543" s="119">
        <v>12.024000000000001</v>
      </c>
      <c r="AI1543" s="119">
        <v>12.199000000000002</v>
      </c>
      <c r="AJ1543" s="401">
        <v>41.868000000000002</v>
      </c>
      <c r="AK1543" s="119">
        <v>12.377000000000001</v>
      </c>
      <c r="AL1543" s="119">
        <v>10.584999999999999</v>
      </c>
      <c r="AM1543" s="119">
        <v>10.565999999999999</v>
      </c>
      <c r="AN1543" s="119">
        <v>12.716999999999999</v>
      </c>
      <c r="AO1543" s="401">
        <v>46.244999999999997</v>
      </c>
      <c r="AP1543" s="119">
        <v>12.916</v>
      </c>
      <c r="AQ1543" s="119">
        <v>12.462</v>
      </c>
      <c r="AR1543" s="119">
        <v>8.4320000000000022</v>
      </c>
      <c r="AS1543" s="119">
        <v>8.5619999999999976</v>
      </c>
      <c r="AT1543" s="401">
        <v>42.372</v>
      </c>
      <c r="AU1543" s="119">
        <v>8.67</v>
      </c>
      <c r="AV1543" s="119">
        <v>8.7909999999999986</v>
      </c>
      <c r="AW1543" s="119">
        <v>6.7750000000000021</v>
      </c>
      <c r="AX1543" s="119">
        <v>4.5799999999999983</v>
      </c>
      <c r="AY1543" s="401">
        <v>28.815999999999999</v>
      </c>
      <c r="AZ1543" s="119">
        <v>0</v>
      </c>
      <c r="BA1543" s="119">
        <v>0</v>
      </c>
      <c r="BB1543" s="119">
        <v>0</v>
      </c>
      <c r="BC1543" s="119">
        <v>0</v>
      </c>
      <c r="BD1543" s="401">
        <v>0</v>
      </c>
      <c r="BE1543" s="119">
        <v>0</v>
      </c>
      <c r="BF1543" s="119">
        <v>0</v>
      </c>
      <c r="BG1543" s="119">
        <v>0</v>
      </c>
      <c r="BH1543" s="119">
        <v>0</v>
      </c>
      <c r="BI1543" s="402">
        <v>0</v>
      </c>
      <c r="BJ1543" s="118"/>
      <c r="BK1543" s="118"/>
      <c r="BL1543" s="118"/>
      <c r="BM1543" s="118"/>
      <c r="BN1543" s="401">
        <v>0</v>
      </c>
      <c r="BO1543" s="118"/>
      <c r="BP1543" s="118"/>
      <c r="BQ1543" s="118"/>
      <c r="BR1543" s="118"/>
      <c r="BS1543" s="401">
        <v>0</v>
      </c>
      <c r="BT1543" s="401"/>
      <c r="BU1543" s="401"/>
      <c r="BV1543" s="401"/>
      <c r="BW1543" s="122"/>
    </row>
    <row r="1544" spans="1:75" s="123" customFormat="1" x14ac:dyDescent="0.5">
      <c r="A1544" s="184" t="s">
        <v>1351</v>
      </c>
      <c r="B1544" s="513"/>
      <c r="C1544" s="401"/>
      <c r="D1544" s="401">
        <v>0</v>
      </c>
      <c r="E1544" s="401">
        <v>0</v>
      </c>
      <c r="F1544" s="401">
        <v>0</v>
      </c>
      <c r="G1544" s="119">
        <v>0</v>
      </c>
      <c r="H1544" s="119">
        <v>0</v>
      </c>
      <c r="I1544" s="119">
        <v>0</v>
      </c>
      <c r="J1544" s="119">
        <v>0</v>
      </c>
      <c r="K1544" s="401">
        <v>0</v>
      </c>
      <c r="L1544" s="119">
        <v>0</v>
      </c>
      <c r="M1544" s="119">
        <v>0</v>
      </c>
      <c r="N1544" s="119">
        <v>0</v>
      </c>
      <c r="O1544" s="119">
        <v>0</v>
      </c>
      <c r="P1544" s="401">
        <v>0</v>
      </c>
      <c r="Q1544" s="119">
        <v>0</v>
      </c>
      <c r="R1544" s="119">
        <v>0</v>
      </c>
      <c r="S1544" s="119">
        <v>0</v>
      </c>
      <c r="T1544" s="119">
        <v>0</v>
      </c>
      <c r="U1544" s="401">
        <v>0</v>
      </c>
      <c r="V1544" s="119">
        <v>0</v>
      </c>
      <c r="W1544" s="119">
        <v>0</v>
      </c>
      <c r="X1544" s="119">
        <v>0</v>
      </c>
      <c r="Y1544" s="119">
        <v>0</v>
      </c>
      <c r="Z1544" s="401">
        <v>0</v>
      </c>
      <c r="AA1544" s="119">
        <v>0</v>
      </c>
      <c r="AB1544" s="119">
        <v>0</v>
      </c>
      <c r="AC1544" s="119">
        <v>0</v>
      </c>
      <c r="AD1544" s="119">
        <v>0</v>
      </c>
      <c r="AE1544" s="401">
        <v>0</v>
      </c>
      <c r="AF1544" s="119">
        <v>0</v>
      </c>
      <c r="AG1544" s="119">
        <v>0</v>
      </c>
      <c r="AH1544" s="119">
        <v>0</v>
      </c>
      <c r="AI1544" s="119">
        <v>0</v>
      </c>
      <c r="AJ1544" s="401">
        <v>0</v>
      </c>
      <c r="AK1544" s="119">
        <v>0</v>
      </c>
      <c r="AL1544" s="119">
        <v>-70.481999999999999</v>
      </c>
      <c r="AM1544" s="119">
        <v>0</v>
      </c>
      <c r="AN1544" s="119">
        <v>0</v>
      </c>
      <c r="AO1544" s="401">
        <v>-70.481999999999999</v>
      </c>
      <c r="AP1544" s="119">
        <v>0</v>
      </c>
      <c r="AQ1544" s="119">
        <v>-84.003</v>
      </c>
      <c r="AR1544" s="119">
        <v>0</v>
      </c>
      <c r="AS1544" s="119">
        <v>0</v>
      </c>
      <c r="AT1544" s="401">
        <v>-84.003</v>
      </c>
      <c r="AU1544" s="119">
        <v>-0.31900000000000001</v>
      </c>
      <c r="AV1544" s="119">
        <v>-4.7510000000000003</v>
      </c>
      <c r="AW1544" s="119">
        <v>-34.008000000000003</v>
      </c>
      <c r="AX1544" s="119">
        <v>-16.164999999999999</v>
      </c>
      <c r="AY1544" s="401">
        <v>-55.243000000000002</v>
      </c>
      <c r="AZ1544" s="119">
        <v>0</v>
      </c>
      <c r="BA1544" s="119">
        <v>0</v>
      </c>
      <c r="BB1544" s="119">
        <v>0</v>
      </c>
      <c r="BC1544" s="119">
        <v>0</v>
      </c>
      <c r="BD1544" s="401">
        <v>0</v>
      </c>
      <c r="BE1544" s="119">
        <v>0</v>
      </c>
      <c r="BF1544" s="119">
        <v>0</v>
      </c>
      <c r="BG1544" s="119">
        <v>0</v>
      </c>
      <c r="BH1544" s="119">
        <v>0</v>
      </c>
      <c r="BI1544" s="402">
        <v>0</v>
      </c>
      <c r="BJ1544" s="118"/>
      <c r="BK1544" s="118"/>
      <c r="BL1544" s="118"/>
      <c r="BM1544" s="118"/>
      <c r="BN1544" s="401">
        <v>0</v>
      </c>
      <c r="BO1544" s="118"/>
      <c r="BP1544" s="118"/>
      <c r="BQ1544" s="118"/>
      <c r="BR1544" s="118"/>
      <c r="BS1544" s="401">
        <v>0</v>
      </c>
      <c r="BT1544" s="401"/>
      <c r="BU1544" s="401"/>
      <c r="BV1544" s="401"/>
      <c r="BW1544" s="122"/>
    </row>
    <row r="1545" spans="1:75" s="123" customFormat="1" x14ac:dyDescent="0.5">
      <c r="A1545" s="184" t="s">
        <v>1352</v>
      </c>
      <c r="B1545" s="513"/>
      <c r="C1545" s="401"/>
      <c r="D1545" s="401">
        <v>0</v>
      </c>
      <c r="E1545" s="401">
        <v>0</v>
      </c>
      <c r="F1545" s="401">
        <v>0</v>
      </c>
      <c r="G1545" s="119">
        <v>0</v>
      </c>
      <c r="H1545" s="119">
        <v>-1.032</v>
      </c>
      <c r="I1545" s="119">
        <v>-0.40799999999999992</v>
      </c>
      <c r="J1545" s="119">
        <v>-2.2450000000000001</v>
      </c>
      <c r="K1545" s="401">
        <v>-3.6850000000000001</v>
      </c>
      <c r="L1545" s="119">
        <v>-5.3639999999999999</v>
      </c>
      <c r="M1545" s="119">
        <v>-2.2480000000000002</v>
      </c>
      <c r="N1545" s="119">
        <v>-0.32500000000000018</v>
      </c>
      <c r="O1545" s="119">
        <v>-8.4839999999999982</v>
      </c>
      <c r="P1545" s="401">
        <v>-16.420999999999999</v>
      </c>
      <c r="Q1545" s="119">
        <v>-1.075</v>
      </c>
      <c r="R1545" s="119">
        <v>-2.6639999999999997</v>
      </c>
      <c r="S1545" s="119">
        <v>-2.8250000000000002</v>
      </c>
      <c r="T1545" s="119">
        <v>-3.8789999999999996</v>
      </c>
      <c r="U1545" s="401">
        <v>-10.443</v>
      </c>
      <c r="V1545" s="119">
        <v>7.5999999999999998E-2</v>
      </c>
      <c r="W1545" s="119">
        <v>1.6929999999999998</v>
      </c>
      <c r="X1545" s="119">
        <v>0.50600000000000001</v>
      </c>
      <c r="Y1545" s="119">
        <v>1.0129999999999999</v>
      </c>
      <c r="Z1545" s="401">
        <v>3.2879999999999998</v>
      </c>
      <c r="AA1545" s="119">
        <v>0</v>
      </c>
      <c r="AB1545" s="119">
        <v>0</v>
      </c>
      <c r="AC1545" s="119">
        <v>0</v>
      </c>
      <c r="AD1545" s="119">
        <v>0</v>
      </c>
      <c r="AE1545" s="401">
        <v>0</v>
      </c>
      <c r="AF1545" s="119">
        <v>0</v>
      </c>
      <c r="AG1545" s="119">
        <v>0</v>
      </c>
      <c r="AH1545" s="119">
        <v>0</v>
      </c>
      <c r="AI1545" s="119">
        <v>0</v>
      </c>
      <c r="AJ1545" s="401">
        <v>0</v>
      </c>
      <c r="AK1545" s="119">
        <v>0</v>
      </c>
      <c r="AL1545" s="119">
        <v>0</v>
      </c>
      <c r="AM1545" s="119">
        <v>0</v>
      </c>
      <c r="AN1545" s="119">
        <v>0</v>
      </c>
      <c r="AO1545" s="401">
        <v>0</v>
      </c>
      <c r="AP1545" s="119">
        <v>0</v>
      </c>
      <c r="AQ1545" s="119">
        <v>0</v>
      </c>
      <c r="AR1545" s="119">
        <v>0</v>
      </c>
      <c r="AS1545" s="119">
        <v>0</v>
      </c>
      <c r="AT1545" s="401">
        <v>0</v>
      </c>
      <c r="AU1545" s="119">
        <v>0</v>
      </c>
      <c r="AV1545" s="119">
        <v>0</v>
      </c>
      <c r="AW1545" s="119">
        <v>0</v>
      </c>
      <c r="AX1545" s="119">
        <v>0</v>
      </c>
      <c r="AY1545" s="401">
        <v>0</v>
      </c>
      <c r="AZ1545" s="119">
        <v>0</v>
      </c>
      <c r="BA1545" s="119">
        <v>0</v>
      </c>
      <c r="BB1545" s="119">
        <v>0</v>
      </c>
      <c r="BC1545" s="119">
        <v>0</v>
      </c>
      <c r="BD1545" s="401">
        <v>0</v>
      </c>
      <c r="BE1545" s="119">
        <v>0</v>
      </c>
      <c r="BF1545" s="119">
        <v>0</v>
      </c>
      <c r="BG1545" s="119">
        <v>0</v>
      </c>
      <c r="BH1545" s="119">
        <v>0</v>
      </c>
      <c r="BI1545" s="402">
        <v>0</v>
      </c>
      <c r="BJ1545" s="118"/>
      <c r="BK1545" s="118"/>
      <c r="BL1545" s="118"/>
      <c r="BM1545" s="118"/>
      <c r="BN1545" s="401">
        <v>0</v>
      </c>
      <c r="BO1545" s="118"/>
      <c r="BP1545" s="118"/>
      <c r="BQ1545" s="118"/>
      <c r="BR1545" s="118"/>
      <c r="BS1545" s="401">
        <v>0</v>
      </c>
      <c r="BT1545" s="401"/>
      <c r="BU1545" s="401"/>
      <c r="BV1545" s="401"/>
      <c r="BW1545" s="122"/>
    </row>
    <row r="1546" spans="1:75" s="123" customFormat="1" x14ac:dyDescent="0.5">
      <c r="A1546" s="184" t="s">
        <v>1353</v>
      </c>
      <c r="B1546" s="513"/>
      <c r="C1546" s="401"/>
      <c r="D1546" s="401">
        <v>1.119</v>
      </c>
      <c r="E1546" s="401">
        <v>1.5569999999999999</v>
      </c>
      <c r="F1546" s="401">
        <v>116.18300000000001</v>
      </c>
      <c r="G1546" s="119">
        <v>3.6309999999999998</v>
      </c>
      <c r="H1546" s="119">
        <v>60.650999999999996</v>
      </c>
      <c r="I1546" s="119">
        <v>1.5649999999999977</v>
      </c>
      <c r="J1546" s="119">
        <v>1.7750000000000057</v>
      </c>
      <c r="K1546" s="401">
        <v>67.622</v>
      </c>
      <c r="L1546" s="119">
        <v>2.2309999999999999</v>
      </c>
      <c r="M1546" s="119">
        <v>4.5190000000000001</v>
      </c>
      <c r="N1546" s="119">
        <v>4.91</v>
      </c>
      <c r="O1546" s="119">
        <v>5.411999999999999</v>
      </c>
      <c r="P1546" s="401">
        <v>17.071999999999999</v>
      </c>
      <c r="Q1546" s="119">
        <v>5.2990000000000004</v>
      </c>
      <c r="R1546" s="119">
        <v>6.2809999999999997</v>
      </c>
      <c r="S1546" s="119">
        <v>6.0750000000000011</v>
      </c>
      <c r="T1546" s="119">
        <v>6.5679999999999978</v>
      </c>
      <c r="U1546" s="401">
        <v>24.222999999999999</v>
      </c>
      <c r="V1546" s="119">
        <v>3.9980000000000002</v>
      </c>
      <c r="W1546" s="119">
        <v>10.305</v>
      </c>
      <c r="X1546" s="119">
        <v>7.4079999999999977</v>
      </c>
      <c r="Y1546" s="119">
        <v>7.5030000000000001</v>
      </c>
      <c r="Z1546" s="401">
        <v>29.213999999999999</v>
      </c>
      <c r="AA1546" s="119">
        <v>5.2889999999999997</v>
      </c>
      <c r="AB1546" s="119">
        <v>30.876999999999995</v>
      </c>
      <c r="AC1546" s="119">
        <v>6.7630000000000052</v>
      </c>
      <c r="AD1546" s="119">
        <v>7.7800000000000011</v>
      </c>
      <c r="AE1546" s="401">
        <v>50.709000000000003</v>
      </c>
      <c r="AF1546" s="119">
        <v>7.9969999999999999</v>
      </c>
      <c r="AG1546" s="119">
        <v>6.0950000000000006</v>
      </c>
      <c r="AH1546" s="119">
        <v>3.6850000000000005</v>
      </c>
      <c r="AI1546" s="119">
        <v>6.2059999999999995</v>
      </c>
      <c r="AJ1546" s="401">
        <v>23.983000000000001</v>
      </c>
      <c r="AK1546" s="119">
        <v>5.6950000000000003</v>
      </c>
      <c r="AL1546" s="119">
        <v>5.298</v>
      </c>
      <c r="AM1546" s="119">
        <v>5.1160000000000014</v>
      </c>
      <c r="AN1546" s="119">
        <v>5.722999999999999</v>
      </c>
      <c r="AO1546" s="401">
        <v>21.832000000000001</v>
      </c>
      <c r="AP1546" s="119">
        <v>5.8280000000000003</v>
      </c>
      <c r="AQ1546" s="119">
        <v>6.8609999999999998</v>
      </c>
      <c r="AR1546" s="119">
        <v>118.78300000000002</v>
      </c>
      <c r="AS1546" s="119">
        <v>14.231999999999999</v>
      </c>
      <c r="AT1546" s="401">
        <v>145.70400000000001</v>
      </c>
      <c r="AU1546" s="119">
        <v>15.307</v>
      </c>
      <c r="AV1546" s="119">
        <v>10.124000000000001</v>
      </c>
      <c r="AW1546" s="119">
        <v>11.995000000000001</v>
      </c>
      <c r="AX1546" s="119">
        <v>11.052</v>
      </c>
      <c r="AY1546" s="401">
        <v>48.478000000000002</v>
      </c>
      <c r="AZ1546" s="119">
        <v>12.802</v>
      </c>
      <c r="BA1546" s="119">
        <v>10.736000000000001</v>
      </c>
      <c r="BB1546" s="119">
        <v>10.187000000000001</v>
      </c>
      <c r="BC1546" s="119">
        <v>9.820999999999998</v>
      </c>
      <c r="BD1546" s="401">
        <v>43.545999999999999</v>
      </c>
      <c r="BE1546" s="119">
        <v>10.18</v>
      </c>
      <c r="BF1546" s="119">
        <v>8.5380000000000003</v>
      </c>
      <c r="BG1546" s="119">
        <v>9.82</v>
      </c>
      <c r="BH1546" s="119">
        <v>10.846</v>
      </c>
      <c r="BI1546" s="402">
        <v>39.384</v>
      </c>
      <c r="BJ1546" s="118">
        <v>10.864600040554574</v>
      </c>
      <c r="BK1546" s="118">
        <v>9.2825719103325284</v>
      </c>
      <c r="BL1546" s="118">
        <v>11.15476023964195</v>
      </c>
      <c r="BM1546" s="118">
        <v>12.257184633538428</v>
      </c>
      <c r="BN1546" s="401">
        <v>43.55911682406748</v>
      </c>
      <c r="BO1546" s="118">
        <v>12.820646886008108</v>
      </c>
      <c r="BP1546" s="118">
        <v>10.679340305533767</v>
      </c>
      <c r="BQ1546" s="118">
        <v>12.776079266836469</v>
      </c>
      <c r="BR1546" s="118">
        <v>13.45245986416738</v>
      </c>
      <c r="BS1546" s="401">
        <v>49.728526322545726</v>
      </c>
      <c r="BT1546" s="401">
        <v>50.939933137009618</v>
      </c>
      <c r="BU1546" s="401">
        <v>52.573188899822647</v>
      </c>
      <c r="BV1546" s="401">
        <v>53.689330691013481</v>
      </c>
      <c r="BW1546" s="122"/>
    </row>
    <row r="1547" spans="1:75" s="123" customFormat="1" x14ac:dyDescent="0.5">
      <c r="A1547" s="184" t="s">
        <v>1354</v>
      </c>
      <c r="B1547" s="513"/>
      <c r="C1547" s="401"/>
      <c r="D1547" s="401">
        <v>0</v>
      </c>
      <c r="E1547" s="401">
        <v>0</v>
      </c>
      <c r="F1547" s="401">
        <v>0</v>
      </c>
      <c r="G1547" s="119">
        <v>0</v>
      </c>
      <c r="H1547" s="119">
        <v>0</v>
      </c>
      <c r="I1547" s="119">
        <v>0</v>
      </c>
      <c r="J1547" s="119">
        <v>0</v>
      </c>
      <c r="K1547" s="401">
        <v>0</v>
      </c>
      <c r="L1547" s="119">
        <v>0</v>
      </c>
      <c r="M1547" s="119">
        <v>0</v>
      </c>
      <c r="N1547" s="119">
        <v>0</v>
      </c>
      <c r="O1547" s="119">
        <v>0</v>
      </c>
      <c r="P1547" s="401">
        <v>0</v>
      </c>
      <c r="Q1547" s="119">
        <v>0</v>
      </c>
      <c r="R1547" s="119">
        <v>0</v>
      </c>
      <c r="S1547" s="119">
        <v>0</v>
      </c>
      <c r="T1547" s="119">
        <v>0</v>
      </c>
      <c r="U1547" s="401">
        <v>0</v>
      </c>
      <c r="V1547" s="119">
        <v>0</v>
      </c>
      <c r="W1547" s="119">
        <v>0</v>
      </c>
      <c r="X1547" s="119">
        <v>0</v>
      </c>
      <c r="Y1547" s="119">
        <v>0</v>
      </c>
      <c r="Z1547" s="401">
        <v>0</v>
      </c>
      <c r="AA1547" s="119">
        <v>0</v>
      </c>
      <c r="AB1547" s="119">
        <v>0</v>
      </c>
      <c r="AC1547" s="119">
        <v>0</v>
      </c>
      <c r="AD1547" s="119">
        <v>0</v>
      </c>
      <c r="AE1547" s="401">
        <v>0</v>
      </c>
      <c r="AF1547" s="119">
        <v>0</v>
      </c>
      <c r="AG1547" s="119">
        <v>0</v>
      </c>
      <c r="AH1547" s="119">
        <v>0</v>
      </c>
      <c r="AI1547" s="119">
        <v>0</v>
      </c>
      <c r="AJ1547" s="401">
        <v>0</v>
      </c>
      <c r="AK1547" s="119">
        <v>0</v>
      </c>
      <c r="AL1547" s="119">
        <v>0</v>
      </c>
      <c r="AM1547" s="119">
        <v>0</v>
      </c>
      <c r="AN1547" s="119">
        <v>0</v>
      </c>
      <c r="AO1547" s="401">
        <v>0</v>
      </c>
      <c r="AP1547" s="119">
        <v>0</v>
      </c>
      <c r="AQ1547" s="119">
        <v>0</v>
      </c>
      <c r="AR1547" s="119">
        <v>0</v>
      </c>
      <c r="AS1547" s="119">
        <v>0</v>
      </c>
      <c r="AT1547" s="401">
        <v>0</v>
      </c>
      <c r="AU1547" s="119">
        <v>0</v>
      </c>
      <c r="AV1547" s="119">
        <v>0</v>
      </c>
      <c r="AW1547" s="119">
        <v>0</v>
      </c>
      <c r="AX1547" s="119">
        <v>0</v>
      </c>
      <c r="AY1547" s="401">
        <v>0</v>
      </c>
      <c r="AZ1547" s="119">
        <v>0</v>
      </c>
      <c r="BA1547" s="119">
        <v>0</v>
      </c>
      <c r="BB1547" s="119">
        <v>0</v>
      </c>
      <c r="BC1547" s="119">
        <v>4.47</v>
      </c>
      <c r="BD1547" s="401">
        <v>4.47</v>
      </c>
      <c r="BE1547" s="119">
        <v>0</v>
      </c>
      <c r="BF1547" s="119">
        <v>0</v>
      </c>
      <c r="BG1547" s="119">
        <v>0</v>
      </c>
      <c r="BH1547" s="119">
        <v>0</v>
      </c>
      <c r="BI1547" s="402">
        <v>0</v>
      </c>
      <c r="BJ1547" s="118">
        <v>0</v>
      </c>
      <c r="BK1547" s="118">
        <v>0</v>
      </c>
      <c r="BL1547" s="118">
        <v>0</v>
      </c>
      <c r="BM1547" s="118">
        <v>0</v>
      </c>
      <c r="BN1547" s="401">
        <v>0</v>
      </c>
      <c r="BO1547" s="118">
        <v>0</v>
      </c>
      <c r="BP1547" s="118">
        <v>0</v>
      </c>
      <c r="BQ1547" s="118">
        <v>0</v>
      </c>
      <c r="BR1547" s="118">
        <v>0</v>
      </c>
      <c r="BS1547" s="401">
        <v>0</v>
      </c>
      <c r="BT1547" s="401">
        <v>0</v>
      </c>
      <c r="BU1547" s="401">
        <v>0</v>
      </c>
      <c r="BV1547" s="401">
        <v>0</v>
      </c>
      <c r="BW1547" s="122"/>
    </row>
    <row r="1548" spans="1:75" s="123" customFormat="1" x14ac:dyDescent="0.5">
      <c r="A1548" s="184" t="s">
        <v>1054</v>
      </c>
      <c r="B1548" s="513"/>
      <c r="C1548" s="401"/>
      <c r="D1548" s="401">
        <v>0</v>
      </c>
      <c r="E1548" s="401">
        <v>0</v>
      </c>
      <c r="F1548" s="401">
        <v>0</v>
      </c>
      <c r="G1548" s="119">
        <v>0</v>
      </c>
      <c r="H1548" s="119">
        <v>0</v>
      </c>
      <c r="I1548" s="119">
        <v>0</v>
      </c>
      <c r="J1548" s="119">
        <v>0</v>
      </c>
      <c r="K1548" s="401">
        <v>0</v>
      </c>
      <c r="L1548" s="119">
        <v>0</v>
      </c>
      <c r="M1548" s="119">
        <v>0</v>
      </c>
      <c r="N1548" s="119">
        <v>0</v>
      </c>
      <c r="O1548" s="119">
        <v>0</v>
      </c>
      <c r="P1548" s="401">
        <v>0</v>
      </c>
      <c r="Q1548" s="119">
        <v>0</v>
      </c>
      <c r="R1548" s="119">
        <v>0</v>
      </c>
      <c r="S1548" s="119">
        <v>0</v>
      </c>
      <c r="T1548" s="119">
        <v>0</v>
      </c>
      <c r="U1548" s="401">
        <v>0</v>
      </c>
      <c r="V1548" s="119">
        <v>0</v>
      </c>
      <c r="W1548" s="119">
        <v>0</v>
      </c>
      <c r="X1548" s="119">
        <v>0</v>
      </c>
      <c r="Y1548" s="119">
        <v>0</v>
      </c>
      <c r="Z1548" s="401">
        <v>0</v>
      </c>
      <c r="AA1548" s="119">
        <v>0</v>
      </c>
      <c r="AB1548" s="119">
        <v>0</v>
      </c>
      <c r="AC1548" s="119">
        <v>0</v>
      </c>
      <c r="AD1548" s="119">
        <v>0</v>
      </c>
      <c r="AE1548" s="401">
        <v>0</v>
      </c>
      <c r="AF1548" s="119">
        <v>3.0920000000000001</v>
      </c>
      <c r="AG1548" s="119">
        <v>3.3189999999999995</v>
      </c>
      <c r="AH1548" s="119">
        <v>4.843</v>
      </c>
      <c r="AI1548" s="119">
        <v>5.5310000000000006</v>
      </c>
      <c r="AJ1548" s="401">
        <v>16.785</v>
      </c>
      <c r="AK1548" s="119">
        <v>5.5140000000000002</v>
      </c>
      <c r="AL1548" s="119">
        <v>5.6719999999999997</v>
      </c>
      <c r="AM1548" s="119">
        <v>5.6780000000000008</v>
      </c>
      <c r="AN1548" s="119">
        <v>5.7439999999999998</v>
      </c>
      <c r="AO1548" s="401">
        <v>22.608000000000001</v>
      </c>
      <c r="AP1548" s="119">
        <v>5.7809999999999997</v>
      </c>
      <c r="AQ1548" s="119">
        <v>5.9479999999999995</v>
      </c>
      <c r="AR1548" s="119">
        <v>6.1580000000000013</v>
      </c>
      <c r="AS1548" s="119">
        <v>6.1239999999999988</v>
      </c>
      <c r="AT1548" s="401">
        <v>24.010999999999999</v>
      </c>
      <c r="AU1548" s="119">
        <v>6.15</v>
      </c>
      <c r="AV1548" s="119">
        <v>6.6069999999999993</v>
      </c>
      <c r="AW1548" s="119">
        <v>6.7110000000000003</v>
      </c>
      <c r="AX1548" s="119">
        <v>6.9439999999999991</v>
      </c>
      <c r="AY1548" s="401">
        <v>26.411999999999999</v>
      </c>
      <c r="AZ1548" s="119">
        <v>7.0709999999999997</v>
      </c>
      <c r="BA1548" s="119">
        <v>7.891</v>
      </c>
      <c r="BB1548" s="119">
        <v>8.5640000000000001</v>
      </c>
      <c r="BC1548" s="119">
        <v>8.5250000000000021</v>
      </c>
      <c r="BD1548" s="401">
        <v>32.051000000000002</v>
      </c>
      <c r="BE1548" s="119">
        <v>8.4860000000000007</v>
      </c>
      <c r="BF1548" s="119">
        <v>8.7940000000000005</v>
      </c>
      <c r="BG1548" s="119">
        <v>8.64</v>
      </c>
      <c r="BH1548" s="119">
        <v>7.902000000000001</v>
      </c>
      <c r="BI1548" s="402">
        <v>33.822000000000003</v>
      </c>
      <c r="BJ1548" s="118"/>
      <c r="BK1548" s="118"/>
      <c r="BL1548" s="118"/>
      <c r="BM1548" s="118"/>
      <c r="BN1548" s="401">
        <v>0</v>
      </c>
      <c r="BO1548" s="118"/>
      <c r="BP1548" s="118"/>
      <c r="BQ1548" s="118"/>
      <c r="BR1548" s="118"/>
      <c r="BS1548" s="401">
        <v>0</v>
      </c>
      <c r="BT1548" s="401"/>
      <c r="BU1548" s="401"/>
      <c r="BV1548" s="401"/>
      <c r="BW1548" s="122"/>
    </row>
    <row r="1549" spans="1:75" s="123" customFormat="1" x14ac:dyDescent="0.5">
      <c r="A1549" s="184" t="s">
        <v>1355</v>
      </c>
      <c r="B1549" s="513"/>
      <c r="C1549" s="401"/>
      <c r="D1549" s="401">
        <v>0</v>
      </c>
      <c r="E1549" s="401">
        <v>0</v>
      </c>
      <c r="F1549" s="401">
        <v>0</v>
      </c>
      <c r="G1549" s="119">
        <v>0</v>
      </c>
      <c r="H1549" s="119">
        <v>0</v>
      </c>
      <c r="I1549" s="119">
        <v>0</v>
      </c>
      <c r="J1549" s="119">
        <v>0</v>
      </c>
      <c r="K1549" s="401">
        <v>0</v>
      </c>
      <c r="L1549" s="119">
        <v>0</v>
      </c>
      <c r="M1549" s="119">
        <v>0</v>
      </c>
      <c r="N1549" s="119">
        <v>0</v>
      </c>
      <c r="O1549" s="119">
        <v>0</v>
      </c>
      <c r="P1549" s="401">
        <v>0</v>
      </c>
      <c r="Q1549" s="119">
        <v>0</v>
      </c>
      <c r="R1549" s="119">
        <v>0</v>
      </c>
      <c r="S1549" s="119">
        <v>0</v>
      </c>
      <c r="T1549" s="119">
        <v>0</v>
      </c>
      <c r="U1549" s="401">
        <v>0</v>
      </c>
      <c r="V1549" s="119">
        <v>0</v>
      </c>
      <c r="W1549" s="119">
        <v>0</v>
      </c>
      <c r="X1549" s="119">
        <v>5.1870000000000003</v>
      </c>
      <c r="Y1549" s="119">
        <v>1.6479999999999997</v>
      </c>
      <c r="Z1549" s="401">
        <v>6.835</v>
      </c>
      <c r="AA1549" s="119">
        <v>1.38</v>
      </c>
      <c r="AB1549" s="119">
        <v>0.4800000000000002</v>
      </c>
      <c r="AC1549" s="119">
        <v>0.248</v>
      </c>
      <c r="AD1549" s="119">
        <v>0.41900000000000004</v>
      </c>
      <c r="AE1549" s="401">
        <v>2.5270000000000001</v>
      </c>
      <c r="AF1549" s="119">
        <v>0.19</v>
      </c>
      <c r="AG1549" s="119">
        <v>0.19</v>
      </c>
      <c r="AH1549" s="119">
        <v>0</v>
      </c>
      <c r="AI1549" s="119">
        <v>0</v>
      </c>
      <c r="AJ1549" s="401">
        <v>0.38</v>
      </c>
      <c r="AK1549" s="119">
        <v>0</v>
      </c>
      <c r="AL1549" s="119">
        <v>0</v>
      </c>
      <c r="AM1549" s="119">
        <v>0</v>
      </c>
      <c r="AN1549" s="119">
        <v>0</v>
      </c>
      <c r="AO1549" s="401">
        <v>0</v>
      </c>
      <c r="AP1549" s="119">
        <v>0</v>
      </c>
      <c r="AQ1549" s="119">
        <v>0</v>
      </c>
      <c r="AR1549" s="119">
        <v>0</v>
      </c>
      <c r="AS1549" s="119">
        <v>0</v>
      </c>
      <c r="AT1549" s="401">
        <v>0</v>
      </c>
      <c r="AU1549" s="119">
        <v>0</v>
      </c>
      <c r="AV1549" s="119">
        <v>0</v>
      </c>
      <c r="AW1549" s="119">
        <v>0</v>
      </c>
      <c r="AX1549" s="119">
        <v>0</v>
      </c>
      <c r="AY1549" s="401">
        <v>0</v>
      </c>
      <c r="AZ1549" s="119">
        <v>0</v>
      </c>
      <c r="BA1549" s="119">
        <v>0</v>
      </c>
      <c r="BB1549" s="119">
        <v>0</v>
      </c>
      <c r="BC1549" s="119">
        <v>0</v>
      </c>
      <c r="BD1549" s="401">
        <v>0</v>
      </c>
      <c r="BE1549" s="119">
        <v>0</v>
      </c>
      <c r="BF1549" s="119">
        <v>0</v>
      </c>
      <c r="BG1549" s="119">
        <v>0</v>
      </c>
      <c r="BH1549" s="119">
        <v>0</v>
      </c>
      <c r="BI1549" s="402">
        <v>0</v>
      </c>
      <c r="BJ1549" s="118">
        <v>0</v>
      </c>
      <c r="BK1549" s="118">
        <v>0</v>
      </c>
      <c r="BL1549" s="118">
        <v>0</v>
      </c>
      <c r="BM1549" s="118">
        <v>0</v>
      </c>
      <c r="BN1549" s="401">
        <v>0</v>
      </c>
      <c r="BO1549" s="118">
        <v>0</v>
      </c>
      <c r="BP1549" s="118">
        <v>0</v>
      </c>
      <c r="BQ1549" s="118">
        <v>0</v>
      </c>
      <c r="BR1549" s="118">
        <v>0</v>
      </c>
      <c r="BS1549" s="401">
        <v>0</v>
      </c>
      <c r="BT1549" s="401">
        <v>0</v>
      </c>
      <c r="BU1549" s="401">
        <v>0</v>
      </c>
      <c r="BV1549" s="401">
        <v>0</v>
      </c>
      <c r="BW1549" s="122"/>
    </row>
    <row r="1550" spans="1:75" s="123" customFormat="1" x14ac:dyDescent="0.5">
      <c r="A1550" s="184" t="s">
        <v>1356</v>
      </c>
      <c r="B1550" s="513"/>
      <c r="C1550" s="401"/>
      <c r="D1550" s="401">
        <v>0</v>
      </c>
      <c r="E1550" s="401">
        <v>12.35</v>
      </c>
      <c r="F1550" s="401">
        <v>0</v>
      </c>
      <c r="G1550" s="119">
        <v>0</v>
      </c>
      <c r="H1550" s="119">
        <v>0</v>
      </c>
      <c r="I1550" s="119">
        <v>0</v>
      </c>
      <c r="J1550" s="119">
        <v>0</v>
      </c>
      <c r="K1550" s="401">
        <v>0</v>
      </c>
      <c r="L1550" s="119">
        <v>0</v>
      </c>
      <c r="M1550" s="119">
        <v>0</v>
      </c>
      <c r="N1550" s="119">
        <v>0</v>
      </c>
      <c r="O1550" s="119">
        <v>0</v>
      </c>
      <c r="P1550" s="401">
        <v>0</v>
      </c>
      <c r="Q1550" s="119">
        <v>0</v>
      </c>
      <c r="R1550" s="119">
        <v>0</v>
      </c>
      <c r="S1550" s="119">
        <v>0</v>
      </c>
      <c r="T1550" s="119">
        <v>0</v>
      </c>
      <c r="U1550" s="401">
        <v>0</v>
      </c>
      <c r="V1550" s="119">
        <v>0</v>
      </c>
      <c r="W1550" s="119">
        <v>0</v>
      </c>
      <c r="X1550" s="119">
        <v>0</v>
      </c>
      <c r="Y1550" s="119">
        <v>0</v>
      </c>
      <c r="Z1550" s="401">
        <v>0</v>
      </c>
      <c r="AA1550" s="119">
        <v>0</v>
      </c>
      <c r="AB1550" s="119">
        <v>0</v>
      </c>
      <c r="AC1550" s="119">
        <v>0</v>
      </c>
      <c r="AD1550" s="119">
        <v>0</v>
      </c>
      <c r="AE1550" s="401">
        <v>0</v>
      </c>
      <c r="AF1550" s="119">
        <v>0</v>
      </c>
      <c r="AG1550" s="119">
        <v>0</v>
      </c>
      <c r="AH1550" s="119">
        <v>0</v>
      </c>
      <c r="AI1550" s="119">
        <v>0</v>
      </c>
      <c r="AJ1550" s="401">
        <v>0</v>
      </c>
      <c r="AK1550" s="119">
        <v>0</v>
      </c>
      <c r="AL1550" s="119">
        <v>0</v>
      </c>
      <c r="AM1550" s="119">
        <v>0</v>
      </c>
      <c r="AN1550" s="119">
        <v>0</v>
      </c>
      <c r="AO1550" s="401">
        <v>0</v>
      </c>
      <c r="AP1550" s="119">
        <v>0</v>
      </c>
      <c r="AQ1550" s="119">
        <v>0</v>
      </c>
      <c r="AR1550" s="119">
        <v>0</v>
      </c>
      <c r="AS1550" s="119">
        <v>0</v>
      </c>
      <c r="AT1550" s="401">
        <v>0</v>
      </c>
      <c r="AU1550" s="119">
        <v>0</v>
      </c>
      <c r="AV1550" s="119">
        <v>0</v>
      </c>
      <c r="AW1550" s="119">
        <v>0</v>
      </c>
      <c r="AX1550" s="119">
        <v>0</v>
      </c>
      <c r="AY1550" s="401">
        <v>0</v>
      </c>
      <c r="AZ1550" s="119">
        <v>0</v>
      </c>
      <c r="BA1550" s="119">
        <v>0</v>
      </c>
      <c r="BB1550" s="119">
        <v>0</v>
      </c>
      <c r="BC1550" s="119">
        <v>0</v>
      </c>
      <c r="BD1550" s="401">
        <v>0</v>
      </c>
      <c r="BE1550" s="119">
        <v>0</v>
      </c>
      <c r="BF1550" s="119">
        <v>0</v>
      </c>
      <c r="BG1550" s="119">
        <v>0</v>
      </c>
      <c r="BH1550" s="119">
        <v>0</v>
      </c>
      <c r="BI1550" s="402">
        <v>0</v>
      </c>
      <c r="BJ1550" s="118"/>
      <c r="BK1550" s="118"/>
      <c r="BL1550" s="118"/>
      <c r="BM1550" s="118"/>
      <c r="BN1550" s="401">
        <v>0</v>
      </c>
      <c r="BO1550" s="118"/>
      <c r="BP1550" s="118"/>
      <c r="BQ1550" s="118"/>
      <c r="BR1550" s="118"/>
      <c r="BS1550" s="401">
        <v>0</v>
      </c>
      <c r="BT1550" s="401"/>
      <c r="BU1550" s="401"/>
      <c r="BV1550" s="401"/>
      <c r="BW1550" s="122"/>
    </row>
    <row r="1551" spans="1:75" s="123" customFormat="1" x14ac:dyDescent="0.5">
      <c r="A1551" s="184" t="s">
        <v>1357</v>
      </c>
      <c r="B1551" s="513"/>
      <c r="C1551" s="401"/>
      <c r="D1551" s="401">
        <v>0</v>
      </c>
      <c r="E1551" s="401">
        <v>0</v>
      </c>
      <c r="F1551" s="401">
        <v>0</v>
      </c>
      <c r="G1551" s="119">
        <v>0</v>
      </c>
      <c r="H1551" s="119">
        <v>0</v>
      </c>
      <c r="I1551" s="119">
        <v>0</v>
      </c>
      <c r="J1551" s="119">
        <v>0</v>
      </c>
      <c r="K1551" s="401">
        <v>0</v>
      </c>
      <c r="L1551" s="119">
        <v>0</v>
      </c>
      <c r="M1551" s="119">
        <v>0</v>
      </c>
      <c r="N1551" s="119">
        <v>0</v>
      </c>
      <c r="O1551" s="119">
        <v>0</v>
      </c>
      <c r="P1551" s="401">
        <v>0</v>
      </c>
      <c r="Q1551" s="119">
        <v>0</v>
      </c>
      <c r="R1551" s="119">
        <v>0</v>
      </c>
      <c r="S1551" s="119">
        <v>0</v>
      </c>
      <c r="T1551" s="119">
        <v>0</v>
      </c>
      <c r="U1551" s="401">
        <v>0</v>
      </c>
      <c r="V1551" s="119">
        <v>0</v>
      </c>
      <c r="W1551" s="119">
        <v>0</v>
      </c>
      <c r="X1551" s="119">
        <v>0</v>
      </c>
      <c r="Y1551" s="119">
        <v>0</v>
      </c>
      <c r="Z1551" s="401">
        <v>0</v>
      </c>
      <c r="AA1551" s="119">
        <v>0</v>
      </c>
      <c r="AB1551" s="119">
        <v>0</v>
      </c>
      <c r="AC1551" s="119">
        <v>1.88</v>
      </c>
      <c r="AD1551" s="119">
        <v>0</v>
      </c>
      <c r="AE1551" s="401">
        <v>1.88</v>
      </c>
      <c r="AF1551" s="119">
        <v>0</v>
      </c>
      <c r="AG1551" s="119">
        <v>0.91700000000000004</v>
      </c>
      <c r="AH1551" s="119">
        <v>0</v>
      </c>
      <c r="AI1551" s="119">
        <v>0</v>
      </c>
      <c r="AJ1551" s="401">
        <v>0.91700000000000004</v>
      </c>
      <c r="AK1551" s="119">
        <v>0</v>
      </c>
      <c r="AL1551" s="119">
        <v>-0.95399999999999996</v>
      </c>
      <c r="AM1551" s="119">
        <v>6.8569999999999993</v>
      </c>
      <c r="AN1551" s="119">
        <v>0.56900000000000084</v>
      </c>
      <c r="AO1551" s="401">
        <v>6.4720000000000004</v>
      </c>
      <c r="AP1551" s="119">
        <v>0</v>
      </c>
      <c r="AQ1551" s="119">
        <v>0</v>
      </c>
      <c r="AR1551" s="119">
        <v>-0.152</v>
      </c>
      <c r="AS1551" s="119">
        <v>0</v>
      </c>
      <c r="AT1551" s="401">
        <v>-0.152</v>
      </c>
      <c r="AU1551" s="119">
        <v>0.105</v>
      </c>
      <c r="AV1551" s="119">
        <v>3.1659999999999999</v>
      </c>
      <c r="AW1551" s="119">
        <v>18.512999999999998</v>
      </c>
      <c r="AX1551" s="119">
        <v>7.3540000000000028</v>
      </c>
      <c r="AY1551" s="401">
        <v>29.138000000000002</v>
      </c>
      <c r="AZ1551" s="119">
        <v>146.11600000000001</v>
      </c>
      <c r="BA1551" s="119">
        <v>23.461999999999989</v>
      </c>
      <c r="BB1551" s="119">
        <v>0</v>
      </c>
      <c r="BC1551" s="119">
        <v>0</v>
      </c>
      <c r="BD1551" s="401">
        <v>169.578</v>
      </c>
      <c r="BE1551" s="119">
        <v>0</v>
      </c>
      <c r="BF1551" s="119">
        <v>0</v>
      </c>
      <c r="BG1551" s="119">
        <v>0</v>
      </c>
      <c r="BH1551" s="119">
        <v>0</v>
      </c>
      <c r="BI1551" s="402">
        <v>0</v>
      </c>
      <c r="BJ1551" s="118">
        <v>0</v>
      </c>
      <c r="BK1551" s="118">
        <v>0</v>
      </c>
      <c r="BL1551" s="118">
        <v>0</v>
      </c>
      <c r="BM1551" s="118">
        <v>0</v>
      </c>
      <c r="BN1551" s="401">
        <v>0</v>
      </c>
      <c r="BO1551" s="118">
        <v>0</v>
      </c>
      <c r="BP1551" s="118">
        <v>0</v>
      </c>
      <c r="BQ1551" s="118">
        <v>0</v>
      </c>
      <c r="BR1551" s="118">
        <v>0</v>
      </c>
      <c r="BS1551" s="401">
        <v>0</v>
      </c>
      <c r="BT1551" s="401">
        <v>0</v>
      </c>
      <c r="BU1551" s="401">
        <v>0</v>
      </c>
      <c r="BV1551" s="401">
        <v>0</v>
      </c>
      <c r="BW1551" s="122"/>
    </row>
    <row r="1552" spans="1:75" s="123" customFormat="1" x14ac:dyDescent="0.5">
      <c r="A1552" s="184" t="s">
        <v>1358</v>
      </c>
      <c r="B1552" s="513"/>
      <c r="C1552" s="401"/>
      <c r="D1552" s="401">
        <v>0</v>
      </c>
      <c r="E1552" s="401">
        <v>0</v>
      </c>
      <c r="F1552" s="401">
        <v>0</v>
      </c>
      <c r="G1552" s="119">
        <v>0</v>
      </c>
      <c r="H1552" s="119">
        <v>0</v>
      </c>
      <c r="I1552" s="119">
        <v>0</v>
      </c>
      <c r="J1552" s="119">
        <v>0</v>
      </c>
      <c r="K1552" s="401">
        <v>0</v>
      </c>
      <c r="L1552" s="119">
        <v>0</v>
      </c>
      <c r="M1552" s="119">
        <v>0</v>
      </c>
      <c r="N1552" s="119">
        <v>0</v>
      </c>
      <c r="O1552" s="119">
        <v>0</v>
      </c>
      <c r="P1552" s="401">
        <v>0</v>
      </c>
      <c r="Q1552" s="119">
        <v>0</v>
      </c>
      <c r="R1552" s="119">
        <v>0</v>
      </c>
      <c r="S1552" s="119">
        <v>0</v>
      </c>
      <c r="T1552" s="119">
        <v>0</v>
      </c>
      <c r="U1552" s="401">
        <v>0</v>
      </c>
      <c r="V1552" s="119">
        <v>0</v>
      </c>
      <c r="W1552" s="119">
        <v>0</v>
      </c>
      <c r="X1552" s="119">
        <v>0</v>
      </c>
      <c r="Y1552" s="119">
        <v>0</v>
      </c>
      <c r="Z1552" s="401">
        <v>0</v>
      </c>
      <c r="AA1552" s="119">
        <v>0</v>
      </c>
      <c r="AB1552" s="119">
        <v>0</v>
      </c>
      <c r="AC1552" s="119">
        <v>0</v>
      </c>
      <c r="AD1552" s="119">
        <v>0</v>
      </c>
      <c r="AE1552" s="401">
        <v>0</v>
      </c>
      <c r="AF1552" s="119">
        <v>0</v>
      </c>
      <c r="AG1552" s="119">
        <v>0</v>
      </c>
      <c r="AH1552" s="119">
        <v>0</v>
      </c>
      <c r="AI1552" s="119">
        <v>0</v>
      </c>
      <c r="AJ1552" s="401">
        <v>0</v>
      </c>
      <c r="AK1552" s="119">
        <v>0</v>
      </c>
      <c r="AL1552" s="119">
        <v>0</v>
      </c>
      <c r="AM1552" s="119">
        <v>0</v>
      </c>
      <c r="AN1552" s="119">
        <v>0</v>
      </c>
      <c r="AO1552" s="401">
        <v>0</v>
      </c>
      <c r="AP1552" s="119">
        <v>0</v>
      </c>
      <c r="AQ1552" s="119">
        <v>0</v>
      </c>
      <c r="AR1552" s="119">
        <v>0</v>
      </c>
      <c r="AS1552" s="119">
        <v>0</v>
      </c>
      <c r="AT1552" s="401">
        <v>0</v>
      </c>
      <c r="AU1552" s="119">
        <v>0</v>
      </c>
      <c r="AV1552" s="119">
        <v>0</v>
      </c>
      <c r="AW1552" s="119">
        <v>0</v>
      </c>
      <c r="AX1552" s="119">
        <v>0</v>
      </c>
      <c r="AY1552" s="401">
        <v>0</v>
      </c>
      <c r="AZ1552" s="119">
        <v>-3.177</v>
      </c>
      <c r="BA1552" s="119">
        <v>1.4530000000000001</v>
      </c>
      <c r="BB1552" s="119">
        <v>0</v>
      </c>
      <c r="BC1552" s="119">
        <v>1.724</v>
      </c>
      <c r="BD1552" s="401">
        <v>0</v>
      </c>
      <c r="BE1552" s="119">
        <v>0</v>
      </c>
      <c r="BF1552" s="119">
        <v>0</v>
      </c>
      <c r="BG1552" s="119">
        <v>0</v>
      </c>
      <c r="BH1552" s="119">
        <v>0</v>
      </c>
      <c r="BI1552" s="402">
        <v>0</v>
      </c>
      <c r="BJ1552" s="118"/>
      <c r="BK1552" s="118"/>
      <c r="BL1552" s="118"/>
      <c r="BM1552" s="118"/>
      <c r="BN1552" s="401">
        <v>0</v>
      </c>
      <c r="BO1552" s="118"/>
      <c r="BP1552" s="118"/>
      <c r="BQ1552" s="118"/>
      <c r="BR1552" s="118"/>
      <c r="BS1552" s="401">
        <v>0</v>
      </c>
      <c r="BT1552" s="401"/>
      <c r="BU1552" s="401"/>
      <c r="BV1552" s="401"/>
      <c r="BW1552" s="122"/>
    </row>
    <row r="1553" spans="1:75" s="123" customFormat="1" x14ac:dyDescent="0.5">
      <c r="A1553" s="184" t="s">
        <v>1359</v>
      </c>
      <c r="B1553" s="513"/>
      <c r="C1553" s="401"/>
      <c r="D1553" s="401">
        <v>0</v>
      </c>
      <c r="E1553" s="401">
        <v>0</v>
      </c>
      <c r="F1553" s="401">
        <v>-57.185000000000002</v>
      </c>
      <c r="G1553" s="119">
        <v>0</v>
      </c>
      <c r="H1553" s="119">
        <v>0</v>
      </c>
      <c r="I1553" s="119">
        <v>0</v>
      </c>
      <c r="J1553" s="119">
        <v>0</v>
      </c>
      <c r="K1553" s="401">
        <v>0</v>
      </c>
      <c r="L1553" s="119">
        <v>0</v>
      </c>
      <c r="M1553" s="119">
        <v>0</v>
      </c>
      <c r="N1553" s="119">
        <v>0</v>
      </c>
      <c r="O1553" s="119">
        <v>0</v>
      </c>
      <c r="P1553" s="401">
        <v>0</v>
      </c>
      <c r="Q1553" s="119">
        <v>0</v>
      </c>
      <c r="R1553" s="119">
        <v>0</v>
      </c>
      <c r="S1553" s="119">
        <v>0</v>
      </c>
      <c r="T1553" s="119">
        <v>0</v>
      </c>
      <c r="U1553" s="401">
        <v>0</v>
      </c>
      <c r="V1553" s="119">
        <v>0</v>
      </c>
      <c r="W1553" s="119">
        <v>0</v>
      </c>
      <c r="X1553" s="119">
        <v>0</v>
      </c>
      <c r="Y1553" s="119">
        <v>0</v>
      </c>
      <c r="Z1553" s="401">
        <v>0</v>
      </c>
      <c r="AA1553" s="119">
        <v>0</v>
      </c>
      <c r="AB1553" s="119">
        <v>0</v>
      </c>
      <c r="AC1553" s="119">
        <v>0</v>
      </c>
      <c r="AD1553" s="119">
        <v>0</v>
      </c>
      <c r="AE1553" s="401">
        <v>0</v>
      </c>
      <c r="AF1553" s="119">
        <v>0</v>
      </c>
      <c r="AG1553" s="119">
        <v>0</v>
      </c>
      <c r="AH1553" s="119">
        <v>0</v>
      </c>
      <c r="AI1553" s="119">
        <v>0</v>
      </c>
      <c r="AJ1553" s="401">
        <v>0</v>
      </c>
      <c r="AK1553" s="119">
        <v>0</v>
      </c>
      <c r="AL1553" s="119">
        <v>0</v>
      </c>
      <c r="AM1553" s="119">
        <v>0</v>
      </c>
      <c r="AN1553" s="119">
        <v>0</v>
      </c>
      <c r="AO1553" s="401">
        <v>0</v>
      </c>
      <c r="AP1553" s="119">
        <v>0</v>
      </c>
      <c r="AQ1553" s="119">
        <v>0</v>
      </c>
      <c r="AR1553" s="119">
        <v>0</v>
      </c>
      <c r="AS1553" s="119">
        <v>0</v>
      </c>
      <c r="AT1553" s="401">
        <v>0</v>
      </c>
      <c r="AU1553" s="119">
        <v>0</v>
      </c>
      <c r="AV1553" s="119">
        <v>0</v>
      </c>
      <c r="AW1553" s="119">
        <v>0</v>
      </c>
      <c r="AX1553" s="119">
        <v>0</v>
      </c>
      <c r="AY1553" s="401">
        <v>0</v>
      </c>
      <c r="AZ1553" s="119">
        <v>0</v>
      </c>
      <c r="BA1553" s="119">
        <v>0</v>
      </c>
      <c r="BB1553" s="119">
        <v>0</v>
      </c>
      <c r="BC1553" s="119">
        <v>0</v>
      </c>
      <c r="BD1553" s="401">
        <v>0</v>
      </c>
      <c r="BE1553" s="119">
        <v>0</v>
      </c>
      <c r="BF1553" s="119">
        <v>0</v>
      </c>
      <c r="BG1553" s="119">
        <v>0</v>
      </c>
      <c r="BH1553" s="119">
        <v>0</v>
      </c>
      <c r="BI1553" s="402">
        <v>0</v>
      </c>
      <c r="BJ1553" s="118"/>
      <c r="BK1553" s="118"/>
      <c r="BL1553" s="118"/>
      <c r="BM1553" s="118"/>
      <c r="BN1553" s="401">
        <v>0</v>
      </c>
      <c r="BO1553" s="118"/>
      <c r="BP1553" s="118"/>
      <c r="BQ1553" s="118"/>
      <c r="BR1553" s="118"/>
      <c r="BS1553" s="401">
        <v>0</v>
      </c>
      <c r="BT1553" s="401"/>
      <c r="BU1553" s="401"/>
      <c r="BV1553" s="401"/>
      <c r="BW1553" s="122"/>
    </row>
    <row r="1554" spans="1:75" s="123" customFormat="1" x14ac:dyDescent="0.5">
      <c r="A1554" s="184" t="s">
        <v>1360</v>
      </c>
      <c r="B1554" s="513"/>
      <c r="C1554" s="401"/>
      <c r="D1554" s="401">
        <v>-0.42699999999999999</v>
      </c>
      <c r="E1554" s="401">
        <v>4.2990000000000004</v>
      </c>
      <c r="F1554" s="401">
        <v>-4.6859999999999999</v>
      </c>
      <c r="G1554" s="119">
        <v>0</v>
      </c>
      <c r="H1554" s="119">
        <v>-13.108000000000001</v>
      </c>
      <c r="I1554" s="119">
        <v>0.23600000000000065</v>
      </c>
      <c r="J1554" s="119">
        <v>18.474</v>
      </c>
      <c r="K1554" s="401">
        <v>5.6020000000000003</v>
      </c>
      <c r="L1554" s="119">
        <v>0</v>
      </c>
      <c r="M1554" s="119">
        <v>0</v>
      </c>
      <c r="N1554" s="119">
        <v>0</v>
      </c>
      <c r="O1554" s="119">
        <v>2.6930000000000001</v>
      </c>
      <c r="P1554" s="401">
        <v>2.6930000000000001</v>
      </c>
      <c r="Q1554" s="119">
        <v>0</v>
      </c>
      <c r="R1554" s="119">
        <v>0</v>
      </c>
      <c r="S1554" s="119">
        <v>0</v>
      </c>
      <c r="T1554" s="119">
        <v>-6.0110000000000001</v>
      </c>
      <c r="U1554" s="401">
        <v>-6.0110000000000001</v>
      </c>
      <c r="V1554" s="119">
        <v>0</v>
      </c>
      <c r="W1554" s="119">
        <v>0</v>
      </c>
      <c r="X1554" s="119">
        <v>0</v>
      </c>
      <c r="Y1554" s="119">
        <v>-0.221</v>
      </c>
      <c r="Z1554" s="401">
        <v>-0.221</v>
      </c>
      <c r="AA1554" s="119">
        <v>0</v>
      </c>
      <c r="AB1554" s="119">
        <v>0</v>
      </c>
      <c r="AC1554" s="119">
        <v>0</v>
      </c>
      <c r="AD1554" s="119">
        <v>6.5720000000000001</v>
      </c>
      <c r="AE1554" s="401">
        <v>6.5720000000000001</v>
      </c>
      <c r="AF1554" s="119">
        <v>0</v>
      </c>
      <c r="AG1554" s="119">
        <v>0</v>
      </c>
      <c r="AH1554" s="119">
        <v>-0.67</v>
      </c>
      <c r="AI1554" s="119">
        <v>-4.3479999999999999</v>
      </c>
      <c r="AJ1554" s="401">
        <v>-5.0179999999999998</v>
      </c>
      <c r="AK1554" s="119">
        <v>0</v>
      </c>
      <c r="AL1554" s="119">
        <v>0</v>
      </c>
      <c r="AM1554" s="119">
        <v>0.66700000000000004</v>
      </c>
      <c r="AN1554" s="119">
        <v>-8.3759999999999994</v>
      </c>
      <c r="AO1554" s="401">
        <v>-7.7089999999999996</v>
      </c>
      <c r="AP1554" s="119">
        <v>0</v>
      </c>
      <c r="AQ1554" s="119">
        <v>0</v>
      </c>
      <c r="AR1554" s="119">
        <v>0.11700000000000001</v>
      </c>
      <c r="AS1554" s="119">
        <v>-5.0369999999999999</v>
      </c>
      <c r="AT1554" s="401">
        <v>-4.92</v>
      </c>
      <c r="AU1554" s="119">
        <v>0</v>
      </c>
      <c r="AV1554" s="119">
        <v>-0.23899999999999999</v>
      </c>
      <c r="AW1554" s="119">
        <v>0.11699999999999999</v>
      </c>
      <c r="AX1554" s="119">
        <v>-6.7990000000000004</v>
      </c>
      <c r="AY1554" s="401">
        <v>-6.9210000000000003</v>
      </c>
      <c r="AZ1554" s="119">
        <v>5.4930000000000003</v>
      </c>
      <c r="BA1554" s="119">
        <v>0</v>
      </c>
      <c r="BB1554" s="119">
        <v>0.13399999999999945</v>
      </c>
      <c r="BC1554" s="119">
        <v>-97.614999999999995</v>
      </c>
      <c r="BD1554" s="401">
        <v>-91.988</v>
      </c>
      <c r="BE1554" s="119">
        <v>16.527000000000001</v>
      </c>
      <c r="BF1554" s="119">
        <v>27.189999999999998</v>
      </c>
      <c r="BG1554" s="119">
        <v>-2.8329999999999984</v>
      </c>
      <c r="BH1554" s="119">
        <v>-15.618000000000002</v>
      </c>
      <c r="BI1554" s="402">
        <v>25.265999999999998</v>
      </c>
      <c r="BJ1554" s="118">
        <v>0</v>
      </c>
      <c r="BK1554" s="118">
        <v>0</v>
      </c>
      <c r="BL1554" s="118">
        <v>0</v>
      </c>
      <c r="BM1554" s="118">
        <v>0</v>
      </c>
      <c r="BN1554" s="401">
        <v>0</v>
      </c>
      <c r="BO1554" s="118">
        <v>0</v>
      </c>
      <c r="BP1554" s="118">
        <v>0</v>
      </c>
      <c r="BQ1554" s="118">
        <v>0</v>
      </c>
      <c r="BR1554" s="118">
        <v>0</v>
      </c>
      <c r="BS1554" s="401">
        <v>0</v>
      </c>
      <c r="BT1554" s="401">
        <v>0</v>
      </c>
      <c r="BU1554" s="401">
        <v>0</v>
      </c>
      <c r="BV1554" s="401">
        <v>0</v>
      </c>
      <c r="BW1554" s="122"/>
    </row>
    <row r="1555" spans="1:75" s="123" customFormat="1" x14ac:dyDescent="0.5">
      <c r="A1555" s="184" t="s">
        <v>1361</v>
      </c>
      <c r="B1555" s="513"/>
      <c r="C1555" s="401"/>
      <c r="D1555" s="401">
        <v>0.193</v>
      </c>
      <c r="E1555" s="401">
        <v>0.57299999999999995</v>
      </c>
      <c r="F1555" s="401">
        <v>0</v>
      </c>
      <c r="G1555" s="119">
        <v>0</v>
      </c>
      <c r="H1555" s="119">
        <v>0.33500000000000002</v>
      </c>
      <c r="I1555" s="119">
        <v>0.56200000000000006</v>
      </c>
      <c r="J1555" s="119">
        <v>-0.22599999999999998</v>
      </c>
      <c r="K1555" s="401">
        <v>0.67100000000000004</v>
      </c>
      <c r="L1555" s="119">
        <v>0</v>
      </c>
      <c r="M1555" s="119">
        <v>0</v>
      </c>
      <c r="N1555" s="119">
        <v>0</v>
      </c>
      <c r="O1555" s="119">
        <v>1.3420000000000001</v>
      </c>
      <c r="P1555" s="401">
        <v>1.3420000000000001</v>
      </c>
      <c r="Q1555" s="119">
        <v>0</v>
      </c>
      <c r="R1555" s="119">
        <v>0</v>
      </c>
      <c r="S1555" s="119">
        <v>0</v>
      </c>
      <c r="T1555" s="119">
        <v>0</v>
      </c>
      <c r="U1555" s="401">
        <v>0</v>
      </c>
      <c r="V1555" s="119">
        <v>0</v>
      </c>
      <c r="W1555" s="119">
        <v>0</v>
      </c>
      <c r="X1555" s="119">
        <v>0</v>
      </c>
      <c r="Y1555" s="119">
        <v>0</v>
      </c>
      <c r="Z1555" s="401">
        <v>0</v>
      </c>
      <c r="AA1555" s="119">
        <v>0</v>
      </c>
      <c r="AB1555" s="119">
        <v>0</v>
      </c>
      <c r="AC1555" s="119">
        <v>0</v>
      </c>
      <c r="AD1555" s="119">
        <v>0</v>
      </c>
      <c r="AE1555" s="401">
        <v>0</v>
      </c>
      <c r="AF1555" s="119">
        <v>0</v>
      </c>
      <c r="AG1555" s="119">
        <v>0</v>
      </c>
      <c r="AH1555" s="119">
        <v>0</v>
      </c>
      <c r="AI1555" s="119">
        <v>0</v>
      </c>
      <c r="AJ1555" s="401">
        <v>0</v>
      </c>
      <c r="AK1555" s="119">
        <v>0</v>
      </c>
      <c r="AL1555" s="119">
        <v>0</v>
      </c>
      <c r="AM1555" s="119">
        <v>0</v>
      </c>
      <c r="AN1555" s="119">
        <v>0</v>
      </c>
      <c r="AO1555" s="401">
        <v>0</v>
      </c>
      <c r="AP1555" s="119">
        <v>0</v>
      </c>
      <c r="AQ1555" s="119">
        <v>0</v>
      </c>
      <c r="AR1555" s="119">
        <v>0</v>
      </c>
      <c r="AS1555" s="119">
        <v>0</v>
      </c>
      <c r="AT1555" s="401">
        <v>0</v>
      </c>
      <c r="AU1555" s="119">
        <v>0</v>
      </c>
      <c r="AV1555" s="119">
        <v>0</v>
      </c>
      <c r="AW1555" s="119">
        <v>0</v>
      </c>
      <c r="AX1555" s="119">
        <v>0</v>
      </c>
      <c r="AY1555" s="401">
        <v>0</v>
      </c>
      <c r="AZ1555" s="119">
        <v>0</v>
      </c>
      <c r="BA1555" s="119">
        <v>0</v>
      </c>
      <c r="BB1555" s="119">
        <v>0</v>
      </c>
      <c r="BC1555" s="119">
        <v>0</v>
      </c>
      <c r="BD1555" s="401">
        <v>0</v>
      </c>
      <c r="BE1555" s="119">
        <v>0</v>
      </c>
      <c r="BF1555" s="119">
        <v>0</v>
      </c>
      <c r="BG1555" s="119">
        <v>0</v>
      </c>
      <c r="BH1555" s="119">
        <v>0</v>
      </c>
      <c r="BI1555" s="402">
        <v>0</v>
      </c>
      <c r="BJ1555" s="118"/>
      <c r="BK1555" s="118"/>
      <c r="BL1555" s="118"/>
      <c r="BM1555" s="118"/>
      <c r="BN1555" s="401">
        <v>0</v>
      </c>
      <c r="BO1555" s="118"/>
      <c r="BP1555" s="118"/>
      <c r="BQ1555" s="118"/>
      <c r="BR1555" s="118"/>
      <c r="BS1555" s="401">
        <v>0</v>
      </c>
      <c r="BT1555" s="401"/>
      <c r="BU1555" s="401"/>
      <c r="BV1555" s="401"/>
      <c r="BW1555" s="122"/>
    </row>
    <row r="1556" spans="1:75" s="123" customFormat="1" x14ac:dyDescent="0.5">
      <c r="A1556" s="184" t="s">
        <v>1069</v>
      </c>
      <c r="B1556" s="513"/>
      <c r="C1556" s="401"/>
      <c r="D1556" s="401">
        <v>0</v>
      </c>
      <c r="E1556" s="401">
        <v>0</v>
      </c>
      <c r="F1556" s="401">
        <v>0</v>
      </c>
      <c r="G1556" s="119">
        <v>0</v>
      </c>
      <c r="H1556" s="119">
        <v>0</v>
      </c>
      <c r="I1556" s="119">
        <v>0</v>
      </c>
      <c r="J1556" s="119">
        <v>0</v>
      </c>
      <c r="K1556" s="401">
        <v>0</v>
      </c>
      <c r="L1556" s="119">
        <v>0</v>
      </c>
      <c r="M1556" s="119">
        <v>0</v>
      </c>
      <c r="N1556" s="119">
        <v>0</v>
      </c>
      <c r="O1556" s="119">
        <v>0</v>
      </c>
      <c r="P1556" s="401">
        <v>0</v>
      </c>
      <c r="Q1556" s="119">
        <v>0</v>
      </c>
      <c r="R1556" s="119">
        <v>0</v>
      </c>
      <c r="S1556" s="119">
        <v>0</v>
      </c>
      <c r="T1556" s="119">
        <v>0</v>
      </c>
      <c r="U1556" s="401">
        <v>0</v>
      </c>
      <c r="V1556" s="119">
        <v>0</v>
      </c>
      <c r="W1556" s="119">
        <v>0</v>
      </c>
      <c r="X1556" s="119">
        <v>0</v>
      </c>
      <c r="Y1556" s="119">
        <v>0</v>
      </c>
      <c r="Z1556" s="401">
        <v>0</v>
      </c>
      <c r="AA1556" s="119">
        <v>0</v>
      </c>
      <c r="AB1556" s="119">
        <v>0</v>
      </c>
      <c r="AC1556" s="119">
        <v>0</v>
      </c>
      <c r="AD1556" s="119">
        <v>0</v>
      </c>
      <c r="AE1556" s="401">
        <v>0</v>
      </c>
      <c r="AF1556" s="119">
        <v>0</v>
      </c>
      <c r="AG1556" s="119">
        <v>0</v>
      </c>
      <c r="AH1556" s="119">
        <v>0</v>
      </c>
      <c r="AI1556" s="119">
        <v>0</v>
      </c>
      <c r="AJ1556" s="401">
        <v>0</v>
      </c>
      <c r="AK1556" s="119">
        <v>0</v>
      </c>
      <c r="AL1556" s="119">
        <v>0</v>
      </c>
      <c r="AM1556" s="119">
        <v>0</v>
      </c>
      <c r="AN1556" s="119">
        <v>0</v>
      </c>
      <c r="AO1556" s="401">
        <v>0</v>
      </c>
      <c r="AP1556" s="119">
        <v>0</v>
      </c>
      <c r="AQ1556" s="119">
        <v>0</v>
      </c>
      <c r="AR1556" s="119">
        <v>0</v>
      </c>
      <c r="AS1556" s="119">
        <v>0.88800000000000001</v>
      </c>
      <c r="AT1556" s="401">
        <v>0.88800000000000001</v>
      </c>
      <c r="AU1556" s="119">
        <v>2.0950000000000002</v>
      </c>
      <c r="AV1556" s="119">
        <v>2.4860000000000002</v>
      </c>
      <c r="AW1556" s="119">
        <v>2.3129999999999997</v>
      </c>
      <c r="AX1556" s="119">
        <v>1.3200000000000003</v>
      </c>
      <c r="AY1556" s="401">
        <v>8.2140000000000004</v>
      </c>
      <c r="AZ1556" s="119">
        <v>1.375</v>
      </c>
      <c r="BA1556" s="119">
        <v>2.8209999999999997</v>
      </c>
      <c r="BB1556" s="119">
        <v>1.9220000000000006</v>
      </c>
      <c r="BC1556" s="119">
        <v>-4.0630000000000006</v>
      </c>
      <c r="BD1556" s="401">
        <v>2.0550000000000002</v>
      </c>
      <c r="BE1556" s="119">
        <v>1.6020000000000001</v>
      </c>
      <c r="BF1556" s="119">
        <v>3.3819999999999997</v>
      </c>
      <c r="BG1556" s="119">
        <v>2.6929999999999996</v>
      </c>
      <c r="BH1556" s="119">
        <v>3.1980000000000004</v>
      </c>
      <c r="BI1556" s="402">
        <v>10.875</v>
      </c>
      <c r="BJ1556" s="118">
        <v>0</v>
      </c>
      <c r="BK1556" s="118">
        <v>0</v>
      </c>
      <c r="BL1556" s="118">
        <v>0</v>
      </c>
      <c r="BM1556" s="118">
        <v>0</v>
      </c>
      <c r="BN1556" s="401">
        <v>0</v>
      </c>
      <c r="BO1556" s="118">
        <v>0</v>
      </c>
      <c r="BP1556" s="118">
        <v>0</v>
      </c>
      <c r="BQ1556" s="118">
        <v>0</v>
      </c>
      <c r="BR1556" s="118">
        <v>0</v>
      </c>
      <c r="BS1556" s="401">
        <v>0</v>
      </c>
      <c r="BT1556" s="401">
        <v>0</v>
      </c>
      <c r="BU1556" s="401">
        <v>0</v>
      </c>
      <c r="BV1556" s="401">
        <v>0</v>
      </c>
      <c r="BW1556" s="122"/>
    </row>
    <row r="1557" spans="1:75" s="123" customFormat="1" x14ac:dyDescent="0.5">
      <c r="A1557" s="184" t="s">
        <v>1362</v>
      </c>
      <c r="B1557" s="513"/>
      <c r="C1557" s="401"/>
      <c r="D1557" s="401">
        <v>0</v>
      </c>
      <c r="E1557" s="401">
        <v>0</v>
      </c>
      <c r="F1557" s="401">
        <v>0.86299999999999999</v>
      </c>
      <c r="G1557" s="119">
        <v>0.16800000000000001</v>
      </c>
      <c r="H1557" s="119">
        <v>-0.16800000000000001</v>
      </c>
      <c r="I1557" s="119">
        <v>0</v>
      </c>
      <c r="J1557" s="119">
        <v>0</v>
      </c>
      <c r="K1557" s="401">
        <v>0</v>
      </c>
      <c r="L1557" s="119">
        <v>0.16800000000000001</v>
      </c>
      <c r="M1557" s="119">
        <v>0.26300000000000001</v>
      </c>
      <c r="N1557" s="119">
        <v>0.67199999999999993</v>
      </c>
      <c r="O1557" s="119">
        <v>-1.103</v>
      </c>
      <c r="P1557" s="401">
        <v>0</v>
      </c>
      <c r="Q1557" s="119">
        <v>0.53600000000000003</v>
      </c>
      <c r="R1557" s="119">
        <v>0.71499999999999986</v>
      </c>
      <c r="S1557" s="119">
        <v>0.81899999999999995</v>
      </c>
      <c r="T1557" s="119">
        <v>0.40300000000000002</v>
      </c>
      <c r="U1557" s="401">
        <v>2.4729999999999999</v>
      </c>
      <c r="V1557" s="119">
        <v>1.1259999999999999</v>
      </c>
      <c r="W1557" s="119">
        <v>1.0960000000000001</v>
      </c>
      <c r="X1557" s="119">
        <v>0.74900000000000011</v>
      </c>
      <c r="Y1557" s="119">
        <v>0.14999999999999991</v>
      </c>
      <c r="Z1557" s="401">
        <v>3.121</v>
      </c>
      <c r="AA1557" s="119">
        <v>0.88400000000000001</v>
      </c>
      <c r="AB1557" s="119">
        <v>1.4300000000000002</v>
      </c>
      <c r="AC1557" s="119">
        <v>2.5999999999999996</v>
      </c>
      <c r="AD1557" s="119">
        <v>0.41100000000000048</v>
      </c>
      <c r="AE1557" s="401">
        <v>5.3250000000000002</v>
      </c>
      <c r="AF1557" s="119">
        <v>0.78600000000000003</v>
      </c>
      <c r="AG1557" s="119">
        <v>0.49</v>
      </c>
      <c r="AH1557" s="119">
        <v>1.3720000000000001</v>
      </c>
      <c r="AI1557" s="119">
        <v>0.99099999999999966</v>
      </c>
      <c r="AJ1557" s="401">
        <v>3.6389999999999998</v>
      </c>
      <c r="AK1557" s="119">
        <v>1.089</v>
      </c>
      <c r="AL1557" s="119">
        <v>1.1619999999999999</v>
      </c>
      <c r="AM1557" s="119">
        <v>1.0550000000000002</v>
      </c>
      <c r="AN1557" s="119">
        <v>1.0279999999999996</v>
      </c>
      <c r="AO1557" s="401">
        <v>4.3339999999999996</v>
      </c>
      <c r="AP1557" s="119">
        <v>1.145</v>
      </c>
      <c r="AQ1557" s="119">
        <v>-1.145</v>
      </c>
      <c r="AR1557" s="119">
        <v>0</v>
      </c>
      <c r="AS1557" s="119">
        <v>0</v>
      </c>
      <c r="AT1557" s="401">
        <v>0</v>
      </c>
      <c r="AU1557" s="119">
        <v>0</v>
      </c>
      <c r="AV1557" s="119">
        <v>0</v>
      </c>
      <c r="AW1557" s="119">
        <v>0</v>
      </c>
      <c r="AX1557" s="119">
        <v>0</v>
      </c>
      <c r="AY1557" s="401">
        <v>0</v>
      </c>
      <c r="AZ1557" s="119">
        <v>0</v>
      </c>
      <c r="BA1557" s="119">
        <v>0</v>
      </c>
      <c r="BB1557" s="119">
        <v>0</v>
      </c>
      <c r="BC1557" s="119">
        <v>0</v>
      </c>
      <c r="BD1557" s="401">
        <v>0</v>
      </c>
      <c r="BE1557" s="119">
        <v>0</v>
      </c>
      <c r="BF1557" s="119">
        <v>0</v>
      </c>
      <c r="BG1557" s="119">
        <v>0</v>
      </c>
      <c r="BH1557" s="119">
        <v>0</v>
      </c>
      <c r="BI1557" s="402">
        <v>0</v>
      </c>
      <c r="BJ1557" s="118"/>
      <c r="BK1557" s="118"/>
      <c r="BL1557" s="118"/>
      <c r="BM1557" s="118"/>
      <c r="BN1557" s="401">
        <v>0</v>
      </c>
      <c r="BO1557" s="118"/>
      <c r="BP1557" s="118"/>
      <c r="BQ1557" s="118"/>
      <c r="BR1557" s="118"/>
      <c r="BS1557" s="401">
        <v>0</v>
      </c>
      <c r="BT1557" s="401"/>
      <c r="BU1557" s="401"/>
      <c r="BV1557" s="401"/>
      <c r="BW1557" s="122"/>
    </row>
    <row r="1558" spans="1:75" s="123" customFormat="1" x14ac:dyDescent="0.5">
      <c r="A1558" s="445" t="s">
        <v>1363</v>
      </c>
      <c r="B1558" s="677"/>
      <c r="C1558" s="406"/>
      <c r="D1558" s="406">
        <v>0</v>
      </c>
      <c r="E1558" s="406">
        <v>0</v>
      </c>
      <c r="F1558" s="406">
        <v>0</v>
      </c>
      <c r="G1558" s="312">
        <v>0</v>
      </c>
      <c r="H1558" s="312">
        <v>0</v>
      </c>
      <c r="I1558" s="312">
        <v>0</v>
      </c>
      <c r="J1558" s="312">
        <v>0</v>
      </c>
      <c r="K1558" s="406">
        <v>0</v>
      </c>
      <c r="L1558" s="312">
        <v>0</v>
      </c>
      <c r="M1558" s="312">
        <v>0</v>
      </c>
      <c r="N1558" s="312">
        <v>0</v>
      </c>
      <c r="O1558" s="312">
        <v>0</v>
      </c>
      <c r="P1558" s="406">
        <v>0</v>
      </c>
      <c r="Q1558" s="312">
        <v>0</v>
      </c>
      <c r="R1558" s="312">
        <v>0</v>
      </c>
      <c r="S1558" s="312">
        <v>0</v>
      </c>
      <c r="T1558" s="312">
        <v>0</v>
      </c>
      <c r="U1558" s="406">
        <v>0</v>
      </c>
      <c r="V1558" s="312">
        <v>0</v>
      </c>
      <c r="W1558" s="312">
        <v>0</v>
      </c>
      <c r="X1558" s="312">
        <v>0</v>
      </c>
      <c r="Y1558" s="312">
        <v>0</v>
      </c>
      <c r="Z1558" s="406">
        <v>0</v>
      </c>
      <c r="AA1558" s="312">
        <v>0</v>
      </c>
      <c r="AB1558" s="312">
        <v>0</v>
      </c>
      <c r="AC1558" s="312">
        <v>0</v>
      </c>
      <c r="AD1558" s="312">
        <v>0</v>
      </c>
      <c r="AE1558" s="406">
        <v>0</v>
      </c>
      <c r="AF1558" s="312">
        <v>0</v>
      </c>
      <c r="AG1558" s="312">
        <v>0</v>
      </c>
      <c r="AH1558" s="312">
        <v>0</v>
      </c>
      <c r="AI1558" s="312">
        <v>0</v>
      </c>
      <c r="AJ1558" s="406">
        <v>0</v>
      </c>
      <c r="AK1558" s="312">
        <v>0</v>
      </c>
      <c r="AL1558" s="312">
        <v>0</v>
      </c>
      <c r="AM1558" s="312">
        <v>0</v>
      </c>
      <c r="AN1558" s="312">
        <v>0</v>
      </c>
      <c r="AO1558" s="406">
        <v>0</v>
      </c>
      <c r="AP1558" s="312">
        <v>0</v>
      </c>
      <c r="AQ1558" s="312">
        <v>2.4039999999999999</v>
      </c>
      <c r="AR1558" s="312">
        <v>0.87000000000000011</v>
      </c>
      <c r="AS1558" s="312">
        <v>0.7240000000000002</v>
      </c>
      <c r="AT1558" s="406">
        <v>3.9980000000000002</v>
      </c>
      <c r="AU1558" s="312">
        <v>-1.944</v>
      </c>
      <c r="AV1558" s="312">
        <v>-2.125</v>
      </c>
      <c r="AW1558" s="312">
        <v>-1.9610000000000003</v>
      </c>
      <c r="AX1558" s="312">
        <v>-0.61899999999999977</v>
      </c>
      <c r="AY1558" s="406">
        <v>-6.649</v>
      </c>
      <c r="AZ1558" s="312">
        <v>1.2689999999999999</v>
      </c>
      <c r="BA1558" s="312">
        <v>2.0789999999999997</v>
      </c>
      <c r="BB1558" s="312">
        <v>2.194</v>
      </c>
      <c r="BC1558" s="312">
        <v>-0.32899999999999974</v>
      </c>
      <c r="BD1558" s="406">
        <v>5.2130000000000001</v>
      </c>
      <c r="BE1558" s="312">
        <v>2.2149999999999999</v>
      </c>
      <c r="BF1558" s="312">
        <v>2.2389999999999999</v>
      </c>
      <c r="BG1558" s="312">
        <v>2.1470000000000002</v>
      </c>
      <c r="BH1558" s="312">
        <v>0.76100000000000012</v>
      </c>
      <c r="BI1558" s="407">
        <v>7.3620000000000001</v>
      </c>
      <c r="BJ1558" s="312"/>
      <c r="BK1558" s="312"/>
      <c r="BL1558" s="312"/>
      <c r="BM1558" s="312"/>
      <c r="BN1558" s="406">
        <v>0</v>
      </c>
      <c r="BO1558" s="312"/>
      <c r="BP1558" s="312"/>
      <c r="BQ1558" s="312"/>
      <c r="BR1558" s="312"/>
      <c r="BS1558" s="406">
        <v>0</v>
      </c>
      <c r="BT1558" s="406"/>
      <c r="BU1558" s="406"/>
      <c r="BV1558" s="406"/>
      <c r="BW1558" s="122"/>
    </row>
    <row r="1559" spans="1:75" s="198" customFormat="1" ht="14.25" x14ac:dyDescent="0.45">
      <c r="A1559" s="192" t="s">
        <v>1364</v>
      </c>
      <c r="B1559" s="517"/>
      <c r="C1559" s="518"/>
      <c r="D1559" s="518">
        <v>27.212000000000007</v>
      </c>
      <c r="E1559" s="518">
        <v>69.227000000000004</v>
      </c>
      <c r="F1559" s="518">
        <v>69.133999999999986</v>
      </c>
      <c r="G1559" s="327">
        <v>10.267999999999999</v>
      </c>
      <c r="H1559" s="327">
        <v>35.441000000000003</v>
      </c>
      <c r="I1559" s="327">
        <v>18.234999999999999</v>
      </c>
      <c r="J1559" s="327">
        <v>53.500000000000014</v>
      </c>
      <c r="K1559" s="518">
        <v>117.444</v>
      </c>
      <c r="L1559" s="327">
        <v>6.4699999999999989</v>
      </c>
      <c r="M1559" s="327">
        <v>39.701000000000001</v>
      </c>
      <c r="N1559" s="327">
        <v>36.881</v>
      </c>
      <c r="O1559" s="327">
        <v>55.067999999999998</v>
      </c>
      <c r="P1559" s="518">
        <v>138.12000000000003</v>
      </c>
      <c r="Q1559" s="327">
        <v>25.145</v>
      </c>
      <c r="R1559" s="327">
        <v>50.199999999999989</v>
      </c>
      <c r="S1559" s="327">
        <v>42.875</v>
      </c>
      <c r="T1559" s="327">
        <v>50.999999999999986</v>
      </c>
      <c r="U1559" s="518">
        <v>169.22</v>
      </c>
      <c r="V1559" s="327">
        <v>11.340999999999999</v>
      </c>
      <c r="W1559" s="327">
        <v>40.826000000000008</v>
      </c>
      <c r="X1559" s="327">
        <v>38.656999999999989</v>
      </c>
      <c r="Y1559" s="327">
        <v>65.405000000000001</v>
      </c>
      <c r="Z1559" s="518">
        <v>156.22900000000001</v>
      </c>
      <c r="AA1559" s="327">
        <v>27.660999999999998</v>
      </c>
      <c r="AB1559" s="327">
        <v>49.010999999999996</v>
      </c>
      <c r="AC1559" s="327">
        <v>50.855000000000004</v>
      </c>
      <c r="AD1559" s="327">
        <v>90.245000000000005</v>
      </c>
      <c r="AE1559" s="518">
        <v>217.77199999999999</v>
      </c>
      <c r="AF1559" s="327">
        <v>85.192000000000007</v>
      </c>
      <c r="AG1559" s="327">
        <v>119.953</v>
      </c>
      <c r="AH1559" s="327">
        <v>86.676999999999992</v>
      </c>
      <c r="AI1559" s="327">
        <v>140.43699999999995</v>
      </c>
      <c r="AJ1559" s="518">
        <v>432.25900000000013</v>
      </c>
      <c r="AK1559" s="327">
        <v>102.07899999999999</v>
      </c>
      <c r="AL1559" s="327">
        <v>56.986999999999995</v>
      </c>
      <c r="AM1559" s="327">
        <v>120.18600000000001</v>
      </c>
      <c r="AN1559" s="327">
        <v>140.47899999999998</v>
      </c>
      <c r="AO1559" s="518">
        <v>419.73100000000005</v>
      </c>
      <c r="AP1559" s="327">
        <v>88.477000000000004</v>
      </c>
      <c r="AQ1559" s="327">
        <v>95.871999999999986</v>
      </c>
      <c r="AR1559" s="327">
        <v>223.59000000000006</v>
      </c>
      <c r="AS1559" s="327">
        <v>199.61099999999999</v>
      </c>
      <c r="AT1559" s="518">
        <v>607.55000000000007</v>
      </c>
      <c r="AU1559" s="327">
        <v>201.709</v>
      </c>
      <c r="AV1559" s="327">
        <v>299.76700000000005</v>
      </c>
      <c r="AW1559" s="327">
        <v>238.256</v>
      </c>
      <c r="AX1559" s="327">
        <v>201.13000000000005</v>
      </c>
      <c r="AY1559" s="518">
        <v>940.86200000000019</v>
      </c>
      <c r="AZ1559" s="327">
        <v>421.29200000000009</v>
      </c>
      <c r="BA1559" s="327">
        <v>218.71699999999996</v>
      </c>
      <c r="BB1559" s="327">
        <v>178.66599999999997</v>
      </c>
      <c r="BC1559" s="327">
        <v>83.411000000000044</v>
      </c>
      <c r="BD1559" s="518">
        <v>902.0859999999999</v>
      </c>
      <c r="BE1559" s="327">
        <v>131.01</v>
      </c>
      <c r="BF1559" s="327">
        <v>174.16800000000001</v>
      </c>
      <c r="BG1559" s="327">
        <v>73.509000000000015</v>
      </c>
      <c r="BH1559" s="327">
        <v>79.610000000000014</v>
      </c>
      <c r="BI1559" s="525">
        <v>458.29700000000008</v>
      </c>
      <c r="BJ1559" s="327">
        <v>36.434489049358945</v>
      </c>
      <c r="BK1559" s="327">
        <v>111.12232978172341</v>
      </c>
      <c r="BL1559" s="327">
        <v>94.629746267899947</v>
      </c>
      <c r="BM1559" s="327">
        <v>84.420136880860468</v>
      </c>
      <c r="BN1559" s="518">
        <v>326.6067019798428</v>
      </c>
      <c r="BO1559" s="327">
        <v>78.110140675605706</v>
      </c>
      <c r="BP1559" s="327">
        <v>141.54340875462569</v>
      </c>
      <c r="BQ1559" s="327">
        <v>116.48899280616823</v>
      </c>
      <c r="BR1559" s="327">
        <v>112.0040123561183</v>
      </c>
      <c r="BS1559" s="518">
        <v>448.14655459251793</v>
      </c>
      <c r="BT1559" s="518">
        <v>517.14849154472677</v>
      </c>
      <c r="BU1559" s="518">
        <v>584.8472223663191</v>
      </c>
      <c r="BV1559" s="518">
        <v>650.50065041796233</v>
      </c>
      <c r="BW1559" s="197"/>
    </row>
    <row r="1560" spans="1:75" s="123" customFormat="1" x14ac:dyDescent="0.5">
      <c r="A1560" s="184" t="s">
        <v>1365</v>
      </c>
      <c r="B1560" s="513"/>
      <c r="C1560" s="401"/>
      <c r="D1560" s="401">
        <v>6.8000000000000005E-2</v>
      </c>
      <c r="E1560" s="401">
        <v>-7.28</v>
      </c>
      <c r="F1560" s="401">
        <v>-5.282</v>
      </c>
      <c r="G1560" s="119">
        <v>-0.67200000000000004</v>
      </c>
      <c r="H1560" s="119">
        <v>-4.8940000000000001</v>
      </c>
      <c r="I1560" s="119">
        <v>0.56299999999999972</v>
      </c>
      <c r="J1560" s="119">
        <v>8.0000000000000071E-3</v>
      </c>
      <c r="K1560" s="401">
        <v>-4.9950000000000001</v>
      </c>
      <c r="L1560" s="119">
        <v>3.1059999999999999</v>
      </c>
      <c r="M1560" s="119">
        <v>-5.2149999999999999</v>
      </c>
      <c r="N1560" s="119">
        <v>-3.5170000000000003</v>
      </c>
      <c r="O1560" s="119">
        <v>1.6350000000000002</v>
      </c>
      <c r="P1560" s="401">
        <v>-3.9910000000000001</v>
      </c>
      <c r="Q1560" s="119">
        <v>0.47199999999999998</v>
      </c>
      <c r="R1560" s="119">
        <v>2.6560000000000001</v>
      </c>
      <c r="S1560" s="119">
        <v>-9.5330000000000013</v>
      </c>
      <c r="T1560" s="119">
        <v>3.7760000000000002</v>
      </c>
      <c r="U1560" s="401">
        <v>-2.629</v>
      </c>
      <c r="V1560" s="119">
        <v>-3.504</v>
      </c>
      <c r="W1560" s="119">
        <v>3.0819999999999999</v>
      </c>
      <c r="X1560" s="119">
        <v>-1.0230000000000001</v>
      </c>
      <c r="Y1560" s="119">
        <v>2.0329999999999999</v>
      </c>
      <c r="Z1560" s="401">
        <v>0.58799999999999997</v>
      </c>
      <c r="AA1560" s="119">
        <v>8.0000000000000002E-3</v>
      </c>
      <c r="AB1560" s="119">
        <v>-0.625</v>
      </c>
      <c r="AC1560" s="119">
        <v>0.29799999999999999</v>
      </c>
      <c r="AD1560" s="119">
        <v>3.077</v>
      </c>
      <c r="AE1560" s="401">
        <v>2.758</v>
      </c>
      <c r="AF1560" s="119">
        <v>-6.9429999999999996</v>
      </c>
      <c r="AG1560" s="119">
        <v>-2.1070000000000011</v>
      </c>
      <c r="AH1560" s="119">
        <v>-2.048</v>
      </c>
      <c r="AI1560" s="119">
        <v>2.5150000000000006</v>
      </c>
      <c r="AJ1560" s="401">
        <v>-8.5830000000000002</v>
      </c>
      <c r="AK1560" s="119">
        <v>-7.218</v>
      </c>
      <c r="AL1560" s="119">
        <v>6.7140000000000004</v>
      </c>
      <c r="AM1560" s="119">
        <v>-2.3050000000000002</v>
      </c>
      <c r="AN1560" s="119">
        <v>-4.5</v>
      </c>
      <c r="AO1560" s="401">
        <v>-7.3090000000000002</v>
      </c>
      <c r="AP1560" s="119">
        <v>1.554</v>
      </c>
      <c r="AQ1560" s="119">
        <v>-7.9850000000000003</v>
      </c>
      <c r="AR1560" s="119">
        <v>0.36099999999999977</v>
      </c>
      <c r="AS1560" s="119">
        <v>-4.4149999999999991</v>
      </c>
      <c r="AT1560" s="401">
        <v>-10.484999999999999</v>
      </c>
      <c r="AU1560" s="119">
        <v>-0.72199999999999998</v>
      </c>
      <c r="AV1560" s="119">
        <v>0.41599999999999998</v>
      </c>
      <c r="AW1560" s="119">
        <v>-0.82499999999999996</v>
      </c>
      <c r="AX1560" s="119">
        <v>2.6950000000000003</v>
      </c>
      <c r="AY1560" s="401">
        <v>1.5640000000000001</v>
      </c>
      <c r="AZ1560" s="119">
        <v>-7.7149999999999999</v>
      </c>
      <c r="BA1560" s="119">
        <v>10.047000000000001</v>
      </c>
      <c r="BB1560" s="119">
        <v>-3.0069999999999997</v>
      </c>
      <c r="BC1560" s="119">
        <v>-1.171</v>
      </c>
      <c r="BD1560" s="401">
        <v>-1.8460000000000001</v>
      </c>
      <c r="BE1560" s="119">
        <v>-0.46200000000000002</v>
      </c>
      <c r="BF1560" s="119">
        <v>5.7939999999999996</v>
      </c>
      <c r="BG1560" s="119">
        <v>-1.6559999999999997</v>
      </c>
      <c r="BH1560" s="119">
        <v>1.0140000000000002</v>
      </c>
      <c r="BI1560" s="402">
        <v>4.6900000000000004</v>
      </c>
      <c r="BJ1560" s="118">
        <v>-1.8150314975529156</v>
      </c>
      <c r="BK1560" s="118">
        <v>-0.81870138993573249</v>
      </c>
      <c r="BL1560" s="118">
        <v>-2.0157260372161971</v>
      </c>
      <c r="BM1560" s="118">
        <v>-2.6652519453961503</v>
      </c>
      <c r="BN1560" s="401">
        <v>-7.3147108701009955</v>
      </c>
      <c r="BO1560" s="118">
        <v>-2.5077523659660628</v>
      </c>
      <c r="BP1560" s="118">
        <v>-2.4419027888133513</v>
      </c>
      <c r="BQ1560" s="118">
        <v>-2.3984009278025411</v>
      </c>
      <c r="BR1560" s="118">
        <v>-1.5324041418319894</v>
      </c>
      <c r="BS1560" s="401">
        <v>-8.8804602244139446</v>
      </c>
      <c r="BT1560" s="401">
        <v>-4.1017595815347931</v>
      </c>
      <c r="BU1560" s="401">
        <v>-2.416058820729333</v>
      </c>
      <c r="BV1560" s="401">
        <v>-0.15256738422743865</v>
      </c>
      <c r="BW1560" s="122"/>
    </row>
    <row r="1561" spans="1:75" s="123" customFormat="1" x14ac:dyDescent="0.5">
      <c r="A1561" s="184" t="s">
        <v>1366</v>
      </c>
      <c r="B1561" s="513"/>
      <c r="C1561" s="401"/>
      <c r="D1561" s="401">
        <v>-57.103000000000002</v>
      </c>
      <c r="E1561" s="401">
        <v>-39.475000000000001</v>
      </c>
      <c r="F1561" s="401">
        <v>-107.45399999999999</v>
      </c>
      <c r="G1561" s="119">
        <v>-12.436999999999999</v>
      </c>
      <c r="H1561" s="119">
        <v>-41.045999999999999</v>
      </c>
      <c r="I1561" s="119">
        <v>-41.497000000000007</v>
      </c>
      <c r="J1561" s="119">
        <v>-5.9569999999999936</v>
      </c>
      <c r="K1561" s="401">
        <v>-100.937</v>
      </c>
      <c r="L1561" s="119">
        <v>-29.631</v>
      </c>
      <c r="M1561" s="119">
        <v>-63.554000000000002</v>
      </c>
      <c r="N1561" s="119">
        <v>-63.474999999999994</v>
      </c>
      <c r="O1561" s="119">
        <v>50.623999999999995</v>
      </c>
      <c r="P1561" s="401">
        <v>-106.036</v>
      </c>
      <c r="Q1561" s="119">
        <v>-42.253</v>
      </c>
      <c r="R1561" s="119">
        <v>-106.057</v>
      </c>
      <c r="S1561" s="119">
        <v>-53.364000000000004</v>
      </c>
      <c r="T1561" s="119">
        <v>35.169000000000011</v>
      </c>
      <c r="U1561" s="401">
        <v>-166.505</v>
      </c>
      <c r="V1561" s="119">
        <v>-37.228000000000002</v>
      </c>
      <c r="W1561" s="119">
        <v>-11.490000000000002</v>
      </c>
      <c r="X1561" s="119">
        <v>25.457000000000004</v>
      </c>
      <c r="Y1561" s="119">
        <v>18.957000000000001</v>
      </c>
      <c r="Z1561" s="401">
        <v>-4.3040000000000003</v>
      </c>
      <c r="AA1561" s="119">
        <v>66.066999999999993</v>
      </c>
      <c r="AB1561" s="119">
        <v>74.263999999999996</v>
      </c>
      <c r="AC1561" s="119">
        <v>50.289000000000016</v>
      </c>
      <c r="AD1561" s="119">
        <v>30.146999999999991</v>
      </c>
      <c r="AE1561" s="401">
        <v>220.767</v>
      </c>
      <c r="AF1561" s="119">
        <v>-4.032</v>
      </c>
      <c r="AG1561" s="119">
        <v>-20.963000000000001</v>
      </c>
      <c r="AH1561" s="119">
        <v>-14.819999999999997</v>
      </c>
      <c r="AI1561" s="119">
        <v>32.415999999999997</v>
      </c>
      <c r="AJ1561" s="401">
        <v>-7.399</v>
      </c>
      <c r="AK1561" s="119">
        <v>1.653</v>
      </c>
      <c r="AL1561" s="119">
        <v>49.536000000000001</v>
      </c>
      <c r="AM1561" s="119">
        <v>51.598999999999997</v>
      </c>
      <c r="AN1561" s="119">
        <v>-9.5219999999999914</v>
      </c>
      <c r="AO1561" s="401">
        <v>93.266000000000005</v>
      </c>
      <c r="AP1561" s="119">
        <v>-55.837000000000003</v>
      </c>
      <c r="AQ1561" s="119">
        <v>6.8530000000000015</v>
      </c>
      <c r="AR1561" s="119">
        <v>-8.796999999999997</v>
      </c>
      <c r="AS1561" s="119">
        <v>-46.839999999999996</v>
      </c>
      <c r="AT1561" s="401">
        <v>-104.621</v>
      </c>
      <c r="AU1561" s="119">
        <v>-49.54</v>
      </c>
      <c r="AV1561" s="119">
        <v>-52.101000000000006</v>
      </c>
      <c r="AW1561" s="119">
        <v>12.416000000000011</v>
      </c>
      <c r="AX1561" s="119">
        <v>-100.84900000000002</v>
      </c>
      <c r="AY1561" s="401">
        <v>-190.07400000000001</v>
      </c>
      <c r="AZ1561" s="119">
        <v>-83.114999999999995</v>
      </c>
      <c r="BA1561" s="119">
        <v>-41.843000000000004</v>
      </c>
      <c r="BB1561" s="119">
        <v>28.36</v>
      </c>
      <c r="BC1561" s="119">
        <v>19.405000000000001</v>
      </c>
      <c r="BD1561" s="401">
        <v>-77.192999999999998</v>
      </c>
      <c r="BE1561" s="119">
        <v>35.914999999999999</v>
      </c>
      <c r="BF1561" s="119">
        <v>28.933</v>
      </c>
      <c r="BG1561" s="119">
        <v>16.317999999999998</v>
      </c>
      <c r="BH1561" s="119">
        <v>-33.891999999999996</v>
      </c>
      <c r="BI1561" s="402">
        <v>47.274000000000001</v>
      </c>
      <c r="BJ1561" s="118">
        <v>33.361774569954378</v>
      </c>
      <c r="BK1561" s="118">
        <v>-16.71056872953875</v>
      </c>
      <c r="BL1561" s="118">
        <v>-23.162097159676023</v>
      </c>
      <c r="BM1561" s="118">
        <v>-29.38930245452741</v>
      </c>
      <c r="BN1561" s="401">
        <v>-35.900193773787805</v>
      </c>
      <c r="BO1561" s="118">
        <v>-28.447211468343312</v>
      </c>
      <c r="BP1561" s="118">
        <v>-28.571008275506301</v>
      </c>
      <c r="BQ1561" s="118">
        <v>-28.399020224267929</v>
      </c>
      <c r="BR1561" s="118">
        <v>-17.532498017174703</v>
      </c>
      <c r="BS1561" s="401">
        <v>-102.94973798529224</v>
      </c>
      <c r="BT1561" s="401">
        <v>-46.667187203279468</v>
      </c>
      <c r="BU1561" s="401">
        <v>-25.002960451022091</v>
      </c>
      <c r="BV1561" s="401">
        <v>3.3365397017638543</v>
      </c>
      <c r="BW1561" s="122"/>
    </row>
    <row r="1562" spans="1:75" s="123" customFormat="1" x14ac:dyDescent="0.5">
      <c r="A1562" s="184" t="s">
        <v>1367</v>
      </c>
      <c r="B1562" s="513"/>
      <c r="C1562" s="401"/>
      <c r="D1562" s="401">
        <v>-1.4770000000000001</v>
      </c>
      <c r="E1562" s="401">
        <v>-36.371000000000002</v>
      </c>
      <c r="F1562" s="401">
        <v>-24.454000000000001</v>
      </c>
      <c r="G1562" s="119">
        <v>-44.707000000000001</v>
      </c>
      <c r="H1562" s="119">
        <v>25.708000000000002</v>
      </c>
      <c r="I1562" s="119">
        <v>7.025999999999998</v>
      </c>
      <c r="J1562" s="119">
        <v>-10.845999999999998</v>
      </c>
      <c r="K1562" s="401">
        <v>-22.818999999999999</v>
      </c>
      <c r="L1562" s="119">
        <v>-19.664999999999999</v>
      </c>
      <c r="M1562" s="119">
        <v>-2.7040000000000006</v>
      </c>
      <c r="N1562" s="119">
        <v>26.765000000000001</v>
      </c>
      <c r="O1562" s="119">
        <v>10.727</v>
      </c>
      <c r="P1562" s="401">
        <v>15.122999999999999</v>
      </c>
      <c r="Q1562" s="119">
        <v>-11.189</v>
      </c>
      <c r="R1562" s="119">
        <v>16.603000000000002</v>
      </c>
      <c r="S1562" s="119">
        <v>-9.093</v>
      </c>
      <c r="T1562" s="119">
        <v>12.608000000000001</v>
      </c>
      <c r="U1562" s="401">
        <v>8.9290000000000003</v>
      </c>
      <c r="V1562" s="119">
        <v>-33.097999999999999</v>
      </c>
      <c r="W1562" s="119">
        <v>16.695</v>
      </c>
      <c r="X1562" s="119">
        <v>-13.975000000000001</v>
      </c>
      <c r="Y1562" s="119">
        <v>-6.5110000000000028</v>
      </c>
      <c r="Z1562" s="401">
        <v>-36.889000000000003</v>
      </c>
      <c r="AA1562" s="119">
        <v>8.6539999999999999</v>
      </c>
      <c r="AB1562" s="119">
        <v>28.675000000000001</v>
      </c>
      <c r="AC1562" s="119">
        <v>1.0899999999999963</v>
      </c>
      <c r="AD1562" s="119">
        <v>7.1180000000000021</v>
      </c>
      <c r="AE1562" s="401">
        <v>45.536999999999999</v>
      </c>
      <c r="AF1562" s="119">
        <v>-31.495999999999999</v>
      </c>
      <c r="AG1562" s="119">
        <v>-9.1500000000000021</v>
      </c>
      <c r="AH1562" s="119">
        <v>-10.967999999999996</v>
      </c>
      <c r="AI1562" s="119">
        <v>-36.82</v>
      </c>
      <c r="AJ1562" s="401">
        <v>-88.433999999999997</v>
      </c>
      <c r="AK1562" s="119">
        <v>-17.846</v>
      </c>
      <c r="AL1562" s="119">
        <v>14.964</v>
      </c>
      <c r="AM1562" s="119">
        <v>45.059999999999995</v>
      </c>
      <c r="AN1562" s="119">
        <v>-13.773999999999997</v>
      </c>
      <c r="AO1562" s="401">
        <v>28.404</v>
      </c>
      <c r="AP1562" s="119">
        <v>-8.3239999999999998</v>
      </c>
      <c r="AQ1562" s="119">
        <v>-1.9830000000000005</v>
      </c>
      <c r="AR1562" s="119">
        <v>-36.980999999999995</v>
      </c>
      <c r="AS1562" s="119">
        <v>-20.061000000000007</v>
      </c>
      <c r="AT1562" s="401">
        <v>-67.349000000000004</v>
      </c>
      <c r="AU1562" s="119">
        <v>-12.574999999999999</v>
      </c>
      <c r="AV1562" s="119">
        <v>-45.343999999999994</v>
      </c>
      <c r="AW1562" s="119">
        <v>18.750999999999998</v>
      </c>
      <c r="AX1562" s="119">
        <v>-10.387</v>
      </c>
      <c r="AY1562" s="401">
        <v>-49.555</v>
      </c>
      <c r="AZ1562" s="119">
        <v>-160.11600000000001</v>
      </c>
      <c r="BA1562" s="119">
        <v>6.6450000000000102</v>
      </c>
      <c r="BB1562" s="119">
        <v>0.57900000000000773</v>
      </c>
      <c r="BC1562" s="119">
        <v>50.370999999999995</v>
      </c>
      <c r="BD1562" s="401">
        <v>-102.521</v>
      </c>
      <c r="BE1562" s="119">
        <v>-4.3109999999999999</v>
      </c>
      <c r="BF1562" s="119">
        <v>-20.369</v>
      </c>
      <c r="BG1562" s="119">
        <v>11.891999999999999</v>
      </c>
      <c r="BH1562" s="119">
        <v>-52.870000000000005</v>
      </c>
      <c r="BI1562" s="402">
        <v>-65.658000000000001</v>
      </c>
      <c r="BJ1562" s="118">
        <v>48.459173225187811</v>
      </c>
      <c r="BK1562" s="118">
        <v>-1.7356469466637492</v>
      </c>
      <c r="BL1562" s="118">
        <v>11.549137416148454</v>
      </c>
      <c r="BM1562" s="118">
        <v>-2.7609974782563285</v>
      </c>
      <c r="BN1562" s="401">
        <v>55.511666216416188</v>
      </c>
      <c r="BO1562" s="118">
        <v>-21.433029747435683</v>
      </c>
      <c r="BP1562" s="118">
        <v>-5.0791578007317639</v>
      </c>
      <c r="BQ1562" s="118">
        <v>13.138725477868263</v>
      </c>
      <c r="BR1562" s="118">
        <v>-2.7889755381342241</v>
      </c>
      <c r="BS1562" s="401">
        <v>-16.162437608433407</v>
      </c>
      <c r="BT1562" s="401">
        <v>-7.4652024383933053</v>
      </c>
      <c r="BU1562" s="401">
        <v>-4.3972270537273914</v>
      </c>
      <c r="BV1562" s="401">
        <v>-3.0049971301291691</v>
      </c>
      <c r="BW1562" s="122"/>
    </row>
    <row r="1563" spans="1:75" s="123" customFormat="1" x14ac:dyDescent="0.5">
      <c r="A1563" s="184" t="s">
        <v>1368</v>
      </c>
      <c r="B1563" s="513"/>
      <c r="C1563" s="401"/>
      <c r="D1563" s="401">
        <v>0</v>
      </c>
      <c r="E1563" s="401">
        <v>0</v>
      </c>
      <c r="F1563" s="401">
        <v>0</v>
      </c>
      <c r="G1563" s="119">
        <v>0</v>
      </c>
      <c r="H1563" s="119">
        <v>0</v>
      </c>
      <c r="I1563" s="119">
        <v>0</v>
      </c>
      <c r="J1563" s="119">
        <v>0</v>
      </c>
      <c r="K1563" s="401">
        <v>0</v>
      </c>
      <c r="L1563" s="119">
        <v>0</v>
      </c>
      <c r="M1563" s="119">
        <v>0</v>
      </c>
      <c r="N1563" s="119">
        <v>0</v>
      </c>
      <c r="O1563" s="119">
        <v>0</v>
      </c>
      <c r="P1563" s="401">
        <v>0</v>
      </c>
      <c r="Q1563" s="119">
        <v>0</v>
      </c>
      <c r="R1563" s="119">
        <v>0</v>
      </c>
      <c r="S1563" s="119">
        <v>0</v>
      </c>
      <c r="T1563" s="119">
        <v>0</v>
      </c>
      <c r="U1563" s="401">
        <v>0</v>
      </c>
      <c r="V1563" s="119">
        <v>0</v>
      </c>
      <c r="W1563" s="119">
        <v>0</v>
      </c>
      <c r="X1563" s="119">
        <v>0</v>
      </c>
      <c r="Y1563" s="119">
        <v>0</v>
      </c>
      <c r="Z1563" s="401">
        <v>0</v>
      </c>
      <c r="AA1563" s="119">
        <v>0</v>
      </c>
      <c r="AB1563" s="119">
        <v>0</v>
      </c>
      <c r="AC1563" s="119">
        <v>0</v>
      </c>
      <c r="AD1563" s="119">
        <v>0</v>
      </c>
      <c r="AE1563" s="401">
        <v>0</v>
      </c>
      <c r="AF1563" s="119">
        <v>-18.648</v>
      </c>
      <c r="AG1563" s="119">
        <v>-8.9969999999999999</v>
      </c>
      <c r="AH1563" s="119">
        <v>-11.959999999999997</v>
      </c>
      <c r="AI1563" s="119">
        <v>-19.396000000000001</v>
      </c>
      <c r="AJ1563" s="401">
        <v>-59.000999999999998</v>
      </c>
      <c r="AK1563" s="119">
        <v>-4.5419999999999998</v>
      </c>
      <c r="AL1563" s="119">
        <v>-23.012999999999998</v>
      </c>
      <c r="AM1563" s="119">
        <v>-21.832000000000001</v>
      </c>
      <c r="AN1563" s="119">
        <v>-14.912999999999997</v>
      </c>
      <c r="AO1563" s="401">
        <v>-64.3</v>
      </c>
      <c r="AP1563" s="119">
        <v>-7.6</v>
      </c>
      <c r="AQ1563" s="119">
        <v>-15.334000000000001</v>
      </c>
      <c r="AR1563" s="119">
        <v>-21.986999999999998</v>
      </c>
      <c r="AS1563" s="119">
        <v>-24.586999999999996</v>
      </c>
      <c r="AT1563" s="401">
        <v>-69.507999999999996</v>
      </c>
      <c r="AU1563" s="119">
        <v>-13.577999999999999</v>
      </c>
      <c r="AV1563" s="119">
        <v>-29.773999999999997</v>
      </c>
      <c r="AW1563" s="119">
        <v>-6.9990000000000023</v>
      </c>
      <c r="AX1563" s="119">
        <v>-18.102999999999994</v>
      </c>
      <c r="AY1563" s="401">
        <v>-68.453999999999994</v>
      </c>
      <c r="AZ1563" s="119">
        <v>-12.148</v>
      </c>
      <c r="BA1563" s="119">
        <v>-20.312000000000001</v>
      </c>
      <c r="BB1563" s="119">
        <v>-10.920000000000002</v>
      </c>
      <c r="BC1563" s="119">
        <v>-7.9889999999999972</v>
      </c>
      <c r="BD1563" s="401">
        <v>-51.369</v>
      </c>
      <c r="BE1563" s="119">
        <v>-9.5830000000000002</v>
      </c>
      <c r="BF1563" s="119">
        <v>-4.3759999999999994</v>
      </c>
      <c r="BG1563" s="119">
        <v>-4.6580000000000013</v>
      </c>
      <c r="BH1563" s="119">
        <v>-6.7509999999999977</v>
      </c>
      <c r="BI1563" s="402">
        <v>-25.367999999999999</v>
      </c>
      <c r="BJ1563" s="118"/>
      <c r="BK1563" s="118"/>
      <c r="BL1563" s="118"/>
      <c r="BM1563" s="118"/>
      <c r="BN1563" s="401">
        <v>0</v>
      </c>
      <c r="BO1563" s="118"/>
      <c r="BP1563" s="118"/>
      <c r="BQ1563" s="118"/>
      <c r="BR1563" s="118"/>
      <c r="BS1563" s="401">
        <v>0</v>
      </c>
      <c r="BT1563" s="401"/>
      <c r="BU1563" s="401"/>
      <c r="BV1563" s="401"/>
      <c r="BW1563" s="122"/>
    </row>
    <row r="1564" spans="1:75" s="123" customFormat="1" x14ac:dyDescent="0.5">
      <c r="A1564" s="184" t="s">
        <v>1369</v>
      </c>
      <c r="B1564" s="513"/>
      <c r="C1564" s="401"/>
      <c r="D1564" s="401">
        <v>-0.79700000000000004</v>
      </c>
      <c r="E1564" s="401">
        <v>-0.57299999999999995</v>
      </c>
      <c r="F1564" s="401">
        <v>-0.371</v>
      </c>
      <c r="G1564" s="119">
        <v>0</v>
      </c>
      <c r="H1564" s="119">
        <v>0</v>
      </c>
      <c r="I1564" s="119">
        <v>0</v>
      </c>
      <c r="J1564" s="119">
        <v>-3.129</v>
      </c>
      <c r="K1564" s="401">
        <v>-3.129</v>
      </c>
      <c r="L1564" s="119">
        <v>0</v>
      </c>
      <c r="M1564" s="119">
        <v>0</v>
      </c>
      <c r="N1564" s="119">
        <v>0</v>
      </c>
      <c r="O1564" s="119">
        <v>-6.03</v>
      </c>
      <c r="P1564" s="401">
        <v>-6.03</v>
      </c>
      <c r="Q1564" s="119">
        <v>0</v>
      </c>
      <c r="R1564" s="119">
        <v>0</v>
      </c>
      <c r="S1564" s="119">
        <v>0</v>
      </c>
      <c r="T1564" s="119">
        <v>1.8879999999999999</v>
      </c>
      <c r="U1564" s="401">
        <v>1.8879999999999999</v>
      </c>
      <c r="V1564" s="119">
        <v>0</v>
      </c>
      <c r="W1564" s="119">
        <v>0</v>
      </c>
      <c r="X1564" s="119">
        <v>0</v>
      </c>
      <c r="Y1564" s="119">
        <v>0</v>
      </c>
      <c r="Z1564" s="401">
        <v>0</v>
      </c>
      <c r="AA1564" s="119">
        <v>0</v>
      </c>
      <c r="AB1564" s="119">
        <v>0</v>
      </c>
      <c r="AC1564" s="119">
        <v>0</v>
      </c>
      <c r="AD1564" s="119">
        <v>0</v>
      </c>
      <c r="AE1564" s="401">
        <v>0</v>
      </c>
      <c r="AF1564" s="119">
        <v>0</v>
      </c>
      <c r="AG1564" s="119">
        <v>0</v>
      </c>
      <c r="AH1564" s="119">
        <v>0</v>
      </c>
      <c r="AI1564" s="119">
        <v>0</v>
      </c>
      <c r="AJ1564" s="401">
        <v>0</v>
      </c>
      <c r="AK1564" s="119">
        <v>0</v>
      </c>
      <c r="AL1564" s="119">
        <v>0</v>
      </c>
      <c r="AM1564" s="119">
        <v>0</v>
      </c>
      <c r="AN1564" s="119">
        <v>0</v>
      </c>
      <c r="AO1564" s="401">
        <v>0</v>
      </c>
      <c r="AP1564" s="119">
        <v>0</v>
      </c>
      <c r="AQ1564" s="119">
        <v>0</v>
      </c>
      <c r="AR1564" s="119">
        <v>0</v>
      </c>
      <c r="AS1564" s="119">
        <v>0</v>
      </c>
      <c r="AT1564" s="401">
        <v>0</v>
      </c>
      <c r="AU1564" s="119">
        <v>0</v>
      </c>
      <c r="AV1564" s="119">
        <v>0</v>
      </c>
      <c r="AW1564" s="119">
        <v>0</v>
      </c>
      <c r="AX1564" s="119">
        <v>0</v>
      </c>
      <c r="AY1564" s="401">
        <v>0</v>
      </c>
      <c r="AZ1564" s="119">
        <v>0</v>
      </c>
      <c r="BA1564" s="119">
        <v>0</v>
      </c>
      <c r="BB1564" s="119">
        <v>0</v>
      </c>
      <c r="BC1564" s="119">
        <v>0</v>
      </c>
      <c r="BD1564" s="401">
        <v>0</v>
      </c>
      <c r="BE1564" s="119">
        <v>0</v>
      </c>
      <c r="BF1564" s="119">
        <v>0</v>
      </c>
      <c r="BG1564" s="119">
        <v>0</v>
      </c>
      <c r="BH1564" s="119">
        <v>0</v>
      </c>
      <c r="BI1564" s="402">
        <v>0</v>
      </c>
      <c r="BJ1564" s="118"/>
      <c r="BK1564" s="118"/>
      <c r="BL1564" s="118"/>
      <c r="BM1564" s="118"/>
      <c r="BN1564" s="401">
        <v>0</v>
      </c>
      <c r="BO1564" s="118"/>
      <c r="BP1564" s="118"/>
      <c r="BQ1564" s="118"/>
      <c r="BR1564" s="118"/>
      <c r="BS1564" s="401">
        <v>0</v>
      </c>
      <c r="BT1564" s="401"/>
      <c r="BU1564" s="401"/>
      <c r="BV1564" s="401"/>
      <c r="BW1564" s="122"/>
    </row>
    <row r="1565" spans="1:75" s="123" customFormat="1" x14ac:dyDescent="0.5">
      <c r="A1565" s="184" t="s">
        <v>1370</v>
      </c>
      <c r="B1565" s="513"/>
      <c r="C1565" s="401"/>
      <c r="D1565" s="401">
        <v>5.4749999999999996</v>
      </c>
      <c r="E1565" s="401">
        <v>14.374000000000001</v>
      </c>
      <c r="F1565" s="401">
        <v>36.154000000000003</v>
      </c>
      <c r="G1565" s="119">
        <v>25.978000000000002</v>
      </c>
      <c r="H1565" s="119">
        <v>19.835000000000001</v>
      </c>
      <c r="I1565" s="119">
        <v>2.4450000000000003</v>
      </c>
      <c r="J1565" s="119">
        <v>9.0599999999999952</v>
      </c>
      <c r="K1565" s="401">
        <v>57.317999999999998</v>
      </c>
      <c r="L1565" s="119">
        <v>4.3460000000000001</v>
      </c>
      <c r="M1565" s="119">
        <v>31.235000000000003</v>
      </c>
      <c r="N1565" s="119">
        <v>9.2369999999999948</v>
      </c>
      <c r="O1565" s="119">
        <v>-19.347999999999999</v>
      </c>
      <c r="P1565" s="401">
        <v>25.47</v>
      </c>
      <c r="Q1565" s="119">
        <v>7.673</v>
      </c>
      <c r="R1565" s="119">
        <v>40.027999999999999</v>
      </c>
      <c r="S1565" s="119">
        <v>0.31400000000000006</v>
      </c>
      <c r="T1565" s="119">
        <v>-3.6370000000000005</v>
      </c>
      <c r="U1565" s="401">
        <v>44.378</v>
      </c>
      <c r="V1565" s="119">
        <v>-30.545999999999999</v>
      </c>
      <c r="W1565" s="119">
        <v>-50.853000000000002</v>
      </c>
      <c r="X1565" s="119">
        <v>7.8250000000000028</v>
      </c>
      <c r="Y1565" s="119">
        <v>23.266999999999996</v>
      </c>
      <c r="Z1565" s="401">
        <v>-50.307000000000002</v>
      </c>
      <c r="AA1565" s="119">
        <v>1.2190000000000001</v>
      </c>
      <c r="AB1565" s="119">
        <v>28.654999999999998</v>
      </c>
      <c r="AC1565" s="119">
        <v>-19.382999999999999</v>
      </c>
      <c r="AD1565" s="119">
        <v>53.968999999999994</v>
      </c>
      <c r="AE1565" s="401">
        <v>64.459999999999994</v>
      </c>
      <c r="AF1565" s="119">
        <v>-46.664000000000001</v>
      </c>
      <c r="AG1565" s="119">
        <v>14.957000000000001</v>
      </c>
      <c r="AH1565" s="119">
        <v>20.178000000000001</v>
      </c>
      <c r="AI1565" s="119">
        <v>21.677</v>
      </c>
      <c r="AJ1565" s="401">
        <v>10.148</v>
      </c>
      <c r="AK1565" s="119">
        <v>-38.594999999999999</v>
      </c>
      <c r="AL1565" s="119">
        <v>-1.4780000000000015</v>
      </c>
      <c r="AM1565" s="119">
        <v>-1.4009999999999962</v>
      </c>
      <c r="AN1565" s="119">
        <v>48.918999999999997</v>
      </c>
      <c r="AO1565" s="401">
        <v>7.4450000000000003</v>
      </c>
      <c r="AP1565" s="119">
        <v>-52.988999999999997</v>
      </c>
      <c r="AQ1565" s="119">
        <v>39.861999999999995</v>
      </c>
      <c r="AR1565" s="119">
        <v>23.971</v>
      </c>
      <c r="AS1565" s="119">
        <v>52.738999999999997</v>
      </c>
      <c r="AT1565" s="401">
        <v>63.582999999999998</v>
      </c>
      <c r="AU1565" s="119">
        <v>-32.25</v>
      </c>
      <c r="AV1565" s="119">
        <v>39.18</v>
      </c>
      <c r="AW1565" s="119">
        <v>-24.91</v>
      </c>
      <c r="AX1565" s="119">
        <v>61.415000000000006</v>
      </c>
      <c r="AY1565" s="401">
        <v>43.435000000000002</v>
      </c>
      <c r="AZ1565" s="119">
        <v>-14.778</v>
      </c>
      <c r="BA1565" s="119">
        <v>-49.042000000000002</v>
      </c>
      <c r="BB1565" s="119">
        <v>18.820999999999998</v>
      </c>
      <c r="BC1565" s="119">
        <v>-11.265000000000001</v>
      </c>
      <c r="BD1565" s="401">
        <v>-56.264000000000003</v>
      </c>
      <c r="BE1565" s="119">
        <v>-54.353999999999999</v>
      </c>
      <c r="BF1565" s="119">
        <v>22.149000000000001</v>
      </c>
      <c r="BG1565" s="119">
        <v>29.345999999999997</v>
      </c>
      <c r="BH1565" s="119">
        <v>-38.210999999999999</v>
      </c>
      <c r="BI1565" s="402">
        <v>-41.07</v>
      </c>
      <c r="BJ1565" s="118">
        <v>-58.20429221866226</v>
      </c>
      <c r="BK1565" s="118">
        <v>5.8249955929162525</v>
      </c>
      <c r="BL1565" s="118">
        <v>26.230859367348842</v>
      </c>
      <c r="BM1565" s="118">
        <v>10.767620234902097</v>
      </c>
      <c r="BN1565" s="401">
        <v>-15.380817023495069</v>
      </c>
      <c r="BO1565" s="118">
        <v>-3.4739211660143496</v>
      </c>
      <c r="BP1565" s="118">
        <v>12.598855311181694</v>
      </c>
      <c r="BQ1565" s="118">
        <v>30.575527494042774</v>
      </c>
      <c r="BR1565" s="118">
        <v>8.2179097868964845</v>
      </c>
      <c r="BS1565" s="401">
        <v>47.918371426106603</v>
      </c>
      <c r="BT1565" s="401">
        <v>21.939479603906875</v>
      </c>
      <c r="BU1565" s="401">
        <v>12.379325825946921</v>
      </c>
      <c r="BV1565" s="401">
        <v>3.9922702875850291</v>
      </c>
      <c r="BW1565" s="122"/>
    </row>
    <row r="1566" spans="1:75" s="123" customFormat="1" x14ac:dyDescent="0.5">
      <c r="A1566" s="184" t="s">
        <v>1371</v>
      </c>
      <c r="B1566" s="513"/>
      <c r="C1566" s="401"/>
      <c r="D1566" s="401">
        <v>2.5030000000000001</v>
      </c>
      <c r="E1566" s="401">
        <v>11.417999999999999</v>
      </c>
      <c r="F1566" s="401">
        <v>16.224</v>
      </c>
      <c r="G1566" s="119">
        <v>1.2569999999999999</v>
      </c>
      <c r="H1566" s="119">
        <v>14.367000000000001</v>
      </c>
      <c r="I1566" s="119">
        <v>-6.0170000000000012</v>
      </c>
      <c r="J1566" s="119">
        <v>-0.85699999999999932</v>
      </c>
      <c r="K1566" s="401">
        <v>8.75</v>
      </c>
      <c r="L1566" s="119">
        <v>0.33800000000000002</v>
      </c>
      <c r="M1566" s="119">
        <v>17.257999999999999</v>
      </c>
      <c r="N1566" s="119">
        <v>-1.2639999999999993</v>
      </c>
      <c r="O1566" s="119">
        <v>3.6229999999999976</v>
      </c>
      <c r="P1566" s="401">
        <v>19.954999999999998</v>
      </c>
      <c r="Q1566" s="119">
        <v>3.0459999999999998</v>
      </c>
      <c r="R1566" s="119">
        <v>9.7270000000000003</v>
      </c>
      <c r="S1566" s="119">
        <v>2.5220000000000002</v>
      </c>
      <c r="T1566" s="119">
        <v>17.917999999999999</v>
      </c>
      <c r="U1566" s="401">
        <v>33.213000000000001</v>
      </c>
      <c r="V1566" s="119">
        <v>10.972</v>
      </c>
      <c r="W1566" s="119">
        <v>4.34</v>
      </c>
      <c r="X1566" s="119">
        <v>7.3400000000000016</v>
      </c>
      <c r="Y1566" s="119">
        <v>1.3249999999999993</v>
      </c>
      <c r="Z1566" s="401">
        <v>23.977</v>
      </c>
      <c r="AA1566" s="119">
        <v>22.231999999999999</v>
      </c>
      <c r="AB1566" s="119">
        <v>8.1170000000000009</v>
      </c>
      <c r="AC1566" s="119">
        <v>-9.7319999999999993</v>
      </c>
      <c r="AD1566" s="119">
        <v>-17.251000000000001</v>
      </c>
      <c r="AE1566" s="401">
        <v>3.3660000000000001</v>
      </c>
      <c r="AF1566" s="119">
        <v>28.158999999999999</v>
      </c>
      <c r="AG1566" s="119">
        <v>-7.3589999999999982</v>
      </c>
      <c r="AH1566" s="119">
        <v>9.2999999999999972E-2</v>
      </c>
      <c r="AI1566" s="119">
        <v>-12.48</v>
      </c>
      <c r="AJ1566" s="401">
        <v>8.4130000000000003</v>
      </c>
      <c r="AK1566" s="119">
        <v>21.640999999999998</v>
      </c>
      <c r="AL1566" s="119">
        <v>-8.6539999999999981</v>
      </c>
      <c r="AM1566" s="119">
        <v>1.4190000000000005</v>
      </c>
      <c r="AN1566" s="119">
        <v>-4.6070000000000011</v>
      </c>
      <c r="AO1566" s="401">
        <v>9.7989999999999995</v>
      </c>
      <c r="AP1566" s="119">
        <v>26.678999999999998</v>
      </c>
      <c r="AQ1566" s="119">
        <v>40.968000000000004</v>
      </c>
      <c r="AR1566" s="119">
        <v>43.789000000000001</v>
      </c>
      <c r="AS1566" s="119">
        <v>4.7689999999999912</v>
      </c>
      <c r="AT1566" s="401">
        <v>116.205</v>
      </c>
      <c r="AU1566" s="119">
        <v>82.744</v>
      </c>
      <c r="AV1566" s="119">
        <v>33.748000000000005</v>
      </c>
      <c r="AW1566" s="119">
        <v>-12.073000000000008</v>
      </c>
      <c r="AX1566" s="119">
        <v>2.8870000000000005</v>
      </c>
      <c r="AY1566" s="401">
        <v>107.306</v>
      </c>
      <c r="AZ1566" s="119">
        <v>48.908999999999999</v>
      </c>
      <c r="BA1566" s="119">
        <v>-45.997999999999998</v>
      </c>
      <c r="BB1566" s="119">
        <v>-29.515000000000001</v>
      </c>
      <c r="BC1566" s="119">
        <v>-35.481999999999999</v>
      </c>
      <c r="BD1566" s="401">
        <v>-62.085999999999999</v>
      </c>
      <c r="BE1566" s="119">
        <v>19.16</v>
      </c>
      <c r="BF1566" s="119">
        <v>-13.943999999999999</v>
      </c>
      <c r="BG1566" s="119">
        <v>-27.951000000000001</v>
      </c>
      <c r="BH1566" s="119">
        <v>-20.238999999999997</v>
      </c>
      <c r="BI1566" s="402">
        <v>-42.973999999999997</v>
      </c>
      <c r="BJ1566" s="118">
        <v>18.615066937030463</v>
      </c>
      <c r="BK1566" s="118">
        <v>4.3391173666593659</v>
      </c>
      <c r="BL1566" s="118">
        <v>-5.1391286178009636</v>
      </c>
      <c r="BM1566" s="118">
        <v>7.4941360124100243</v>
      </c>
      <c r="BN1566" s="401">
        <v>25.309191698298889</v>
      </c>
      <c r="BO1566" s="118">
        <v>29.257217129249852</v>
      </c>
      <c r="BP1566" s="118">
        <v>12.69789450182941</v>
      </c>
      <c r="BQ1566" s="118">
        <v>-5.6557145831243361</v>
      </c>
      <c r="BR1566" s="118">
        <v>7.5700764606500002</v>
      </c>
      <c r="BS1566" s="401">
        <v>43.869473508604926</v>
      </c>
      <c r="BT1566" s="401">
        <v>20.262692332781853</v>
      </c>
      <c r="BU1566" s="401">
        <v>11.935330574402883</v>
      </c>
      <c r="BV1566" s="401">
        <v>8.156420781779218</v>
      </c>
      <c r="BW1566" s="122"/>
    </row>
    <row r="1567" spans="1:75" s="123" customFormat="1" x14ac:dyDescent="0.5">
      <c r="A1567" s="184" t="s">
        <v>1372</v>
      </c>
      <c r="B1567" s="513"/>
      <c r="C1567" s="401"/>
      <c r="D1567" s="401">
        <v>3.395</v>
      </c>
      <c r="E1567" s="401">
        <v>3.915</v>
      </c>
      <c r="F1567" s="401">
        <v>2.6890000000000001</v>
      </c>
      <c r="G1567" s="119">
        <v>0.53400000000000003</v>
      </c>
      <c r="H1567" s="119">
        <v>0.92199999999999993</v>
      </c>
      <c r="I1567" s="119">
        <v>16.867000000000001</v>
      </c>
      <c r="J1567" s="119">
        <v>10.559999999999999</v>
      </c>
      <c r="K1567" s="401">
        <v>28.882999999999999</v>
      </c>
      <c r="L1567" s="119">
        <v>-22.821999999999999</v>
      </c>
      <c r="M1567" s="119">
        <v>10.28</v>
      </c>
      <c r="N1567" s="119">
        <v>1.734</v>
      </c>
      <c r="O1567" s="119">
        <v>7.6769999999999996</v>
      </c>
      <c r="P1567" s="401">
        <v>-3.1309999999999998</v>
      </c>
      <c r="Q1567" s="119">
        <v>1.444</v>
      </c>
      <c r="R1567" s="119">
        <v>14.518000000000001</v>
      </c>
      <c r="S1567" s="119">
        <v>-5.6449999999999996</v>
      </c>
      <c r="T1567" s="119">
        <v>29.262999999999998</v>
      </c>
      <c r="U1567" s="401">
        <v>39.58</v>
      </c>
      <c r="V1567" s="119">
        <v>-25.143000000000001</v>
      </c>
      <c r="W1567" s="119">
        <v>1.833000000000002</v>
      </c>
      <c r="X1567" s="119">
        <v>-2.0620000000000012</v>
      </c>
      <c r="Y1567" s="119">
        <v>1.5519999999999996</v>
      </c>
      <c r="Z1567" s="401">
        <v>-23.82</v>
      </c>
      <c r="AA1567" s="119">
        <v>-1.0860000000000001</v>
      </c>
      <c r="AB1567" s="119">
        <v>3.3550000000000004</v>
      </c>
      <c r="AC1567" s="119">
        <v>-1.8210000000000002</v>
      </c>
      <c r="AD1567" s="119">
        <v>0.23200000000000004</v>
      </c>
      <c r="AE1567" s="401">
        <v>0.68</v>
      </c>
      <c r="AF1567" s="119">
        <v>12.191000000000001</v>
      </c>
      <c r="AG1567" s="119">
        <v>-4.0120000000000005</v>
      </c>
      <c r="AH1567" s="119">
        <v>1.0589999999999993</v>
      </c>
      <c r="AI1567" s="119">
        <v>41.975999999999999</v>
      </c>
      <c r="AJ1567" s="401">
        <v>51.213999999999999</v>
      </c>
      <c r="AK1567" s="119">
        <v>15.231</v>
      </c>
      <c r="AL1567" s="119">
        <v>-12.052</v>
      </c>
      <c r="AM1567" s="119">
        <v>-56.195</v>
      </c>
      <c r="AN1567" s="119">
        <v>7.2489999999999952</v>
      </c>
      <c r="AO1567" s="401">
        <v>-45.767000000000003</v>
      </c>
      <c r="AP1567" s="119">
        <v>4.6959999999999997</v>
      </c>
      <c r="AQ1567" s="119">
        <v>4.0809999999999995</v>
      </c>
      <c r="AR1567" s="119">
        <v>20.375999999999998</v>
      </c>
      <c r="AS1567" s="119">
        <v>14.703000000000003</v>
      </c>
      <c r="AT1567" s="401">
        <v>43.856000000000002</v>
      </c>
      <c r="AU1567" s="119">
        <v>41.981000000000002</v>
      </c>
      <c r="AV1567" s="119">
        <v>-93.641999999999996</v>
      </c>
      <c r="AW1567" s="119">
        <v>23.555</v>
      </c>
      <c r="AX1567" s="119">
        <v>18.328000000000003</v>
      </c>
      <c r="AY1567" s="401">
        <v>-9.7780000000000005</v>
      </c>
      <c r="AZ1567" s="119">
        <v>-30.056999999999999</v>
      </c>
      <c r="BA1567" s="119">
        <v>5.1549999999999976</v>
      </c>
      <c r="BB1567" s="119">
        <v>-11.693999999999996</v>
      </c>
      <c r="BC1567" s="119">
        <v>-1.0570000000000022</v>
      </c>
      <c r="BD1567" s="401">
        <v>-37.652999999999999</v>
      </c>
      <c r="BE1567" s="119">
        <v>-0.55600000000000005</v>
      </c>
      <c r="BF1567" s="119">
        <v>-1.7589999999999999</v>
      </c>
      <c r="BG1567" s="119">
        <v>1.774</v>
      </c>
      <c r="BH1567" s="119">
        <v>-5.3959999999999999</v>
      </c>
      <c r="BI1567" s="402">
        <v>-5.9370000000000003</v>
      </c>
      <c r="BJ1567" s="118"/>
      <c r="BK1567" s="118"/>
      <c r="BL1567" s="118"/>
      <c r="BM1567" s="118"/>
      <c r="BN1567" s="401">
        <v>0</v>
      </c>
      <c r="BO1567" s="118"/>
      <c r="BP1567" s="118"/>
      <c r="BQ1567" s="118"/>
      <c r="BR1567" s="118"/>
      <c r="BS1567" s="401">
        <v>0</v>
      </c>
      <c r="BT1567" s="401"/>
      <c r="BU1567" s="401"/>
      <c r="BV1567" s="401"/>
      <c r="BW1567" s="122"/>
    </row>
    <row r="1568" spans="1:75" s="123" customFormat="1" x14ac:dyDescent="0.5">
      <c r="A1568" s="184" t="s">
        <v>1373</v>
      </c>
      <c r="B1568" s="513"/>
      <c r="C1568" s="401"/>
      <c r="D1568" s="401">
        <v>0</v>
      </c>
      <c r="E1568" s="401">
        <v>0</v>
      </c>
      <c r="F1568" s="401">
        <v>0</v>
      </c>
      <c r="G1568" s="119">
        <v>0</v>
      </c>
      <c r="H1568" s="119">
        <v>0</v>
      </c>
      <c r="I1568" s="119">
        <v>0</v>
      </c>
      <c r="J1568" s="119">
        <v>0</v>
      </c>
      <c r="K1568" s="401">
        <v>0</v>
      </c>
      <c r="L1568" s="119">
        <v>0</v>
      </c>
      <c r="M1568" s="119">
        <v>0</v>
      </c>
      <c r="N1568" s="119">
        <v>0</v>
      </c>
      <c r="O1568" s="119">
        <v>0</v>
      </c>
      <c r="P1568" s="401">
        <v>0</v>
      </c>
      <c r="Q1568" s="119">
        <v>0</v>
      </c>
      <c r="R1568" s="119">
        <v>0</v>
      </c>
      <c r="S1568" s="119">
        <v>0</v>
      </c>
      <c r="T1568" s="119">
        <v>0</v>
      </c>
      <c r="U1568" s="401">
        <v>0</v>
      </c>
      <c r="V1568" s="119">
        <v>0</v>
      </c>
      <c r="W1568" s="119">
        <v>0</v>
      </c>
      <c r="X1568" s="119">
        <v>0</v>
      </c>
      <c r="Y1568" s="119">
        <v>0</v>
      </c>
      <c r="Z1568" s="401">
        <v>0</v>
      </c>
      <c r="AA1568" s="119">
        <v>0</v>
      </c>
      <c r="AB1568" s="119">
        <v>0</v>
      </c>
      <c r="AC1568" s="119">
        <v>0</v>
      </c>
      <c r="AD1568" s="119">
        <v>0</v>
      </c>
      <c r="AE1568" s="401">
        <v>0</v>
      </c>
      <c r="AF1568" s="119">
        <v>-16.588999999999999</v>
      </c>
      <c r="AG1568" s="119">
        <v>-26.436</v>
      </c>
      <c r="AH1568" s="119">
        <v>-14.780999999999999</v>
      </c>
      <c r="AI1568" s="119">
        <v>-13.069000000000003</v>
      </c>
      <c r="AJ1568" s="401">
        <v>-70.875</v>
      </c>
      <c r="AK1568" s="119">
        <v>-27.131</v>
      </c>
      <c r="AL1568" s="119">
        <v>-17.381999999999998</v>
      </c>
      <c r="AM1568" s="119">
        <v>-17.374000000000002</v>
      </c>
      <c r="AN1568" s="119">
        <v>-15.117000000000004</v>
      </c>
      <c r="AO1568" s="401">
        <v>-77.004000000000005</v>
      </c>
      <c r="AP1568" s="119">
        <v>-7.0650000000000004</v>
      </c>
      <c r="AQ1568" s="119">
        <v>-11.323</v>
      </c>
      <c r="AR1568" s="119">
        <v>-18.422000000000001</v>
      </c>
      <c r="AS1568" s="119">
        <v>-22.11</v>
      </c>
      <c r="AT1568" s="401">
        <v>-58.92</v>
      </c>
      <c r="AU1568" s="119">
        <v>-19.379000000000001</v>
      </c>
      <c r="AV1568" s="119">
        <v>-19.553999999999998</v>
      </c>
      <c r="AW1568" s="119">
        <v>-20.261000000000003</v>
      </c>
      <c r="AX1568" s="119">
        <v>-18.057999999999993</v>
      </c>
      <c r="AY1568" s="401">
        <v>-77.251999999999995</v>
      </c>
      <c r="AZ1568" s="119">
        <v>-19.379000000000001</v>
      </c>
      <c r="BA1568" s="119">
        <v>-18.95</v>
      </c>
      <c r="BB1568" s="119">
        <v>-18.606999999999999</v>
      </c>
      <c r="BC1568" s="119">
        <v>-20.032000000000004</v>
      </c>
      <c r="BD1568" s="401">
        <v>-76.968000000000004</v>
      </c>
      <c r="BE1568" s="119">
        <v>-21.542999999999999</v>
      </c>
      <c r="BF1568" s="119">
        <v>-20.111000000000004</v>
      </c>
      <c r="BG1568" s="119">
        <v>-23.366999999999997</v>
      </c>
      <c r="BH1568" s="119">
        <v>-30.613</v>
      </c>
      <c r="BI1568" s="402">
        <v>-95.634</v>
      </c>
      <c r="BJ1568" s="302">
        <v>-20</v>
      </c>
      <c r="BK1568" s="302">
        <v>-20</v>
      </c>
      <c r="BL1568" s="302">
        <v>-20</v>
      </c>
      <c r="BM1568" s="302">
        <v>-20</v>
      </c>
      <c r="BN1568" s="401">
        <v>-80</v>
      </c>
      <c r="BO1568" s="302">
        <v>-20</v>
      </c>
      <c r="BP1568" s="302">
        <v>-20</v>
      </c>
      <c r="BQ1568" s="302">
        <v>-20</v>
      </c>
      <c r="BR1568" s="302">
        <v>-20</v>
      </c>
      <c r="BS1568" s="401">
        <v>-80</v>
      </c>
      <c r="BT1568" s="403">
        <v>-80</v>
      </c>
      <c r="BU1568" s="403">
        <v>-80</v>
      </c>
      <c r="BV1568" s="403">
        <v>-80</v>
      </c>
      <c r="BW1568" s="122"/>
    </row>
    <row r="1569" spans="1:75" s="123" customFormat="1" x14ac:dyDescent="0.5">
      <c r="A1569" s="184" t="s">
        <v>1374</v>
      </c>
      <c r="B1569" s="513"/>
      <c r="C1569" s="401"/>
      <c r="D1569" s="401">
        <v>8.6379999999999999</v>
      </c>
      <c r="E1569" s="401">
        <v>1.732</v>
      </c>
      <c r="F1569" s="401">
        <v>10.923</v>
      </c>
      <c r="G1569" s="119">
        <v>0.115</v>
      </c>
      <c r="H1569" s="119">
        <v>0.64900000000000002</v>
      </c>
      <c r="I1569" s="119">
        <v>2.7119999999999997</v>
      </c>
      <c r="J1569" s="119">
        <v>3.7199999999999998</v>
      </c>
      <c r="K1569" s="401">
        <v>7.1959999999999997</v>
      </c>
      <c r="L1569" s="119">
        <v>0.59299999999999997</v>
      </c>
      <c r="M1569" s="119">
        <v>0.47100000000000009</v>
      </c>
      <c r="N1569" s="119">
        <v>1.1389999999999998</v>
      </c>
      <c r="O1569" s="119">
        <v>1.371</v>
      </c>
      <c r="P1569" s="401">
        <v>3.5739999999999998</v>
      </c>
      <c r="Q1569" s="119">
        <v>1.266</v>
      </c>
      <c r="R1569" s="119">
        <v>0.28200000000000003</v>
      </c>
      <c r="S1569" s="119">
        <v>0.66000000000000014</v>
      </c>
      <c r="T1569" s="119">
        <v>11.388999999999999</v>
      </c>
      <c r="U1569" s="401">
        <v>13.597</v>
      </c>
      <c r="V1569" s="119">
        <v>0.89400000000000002</v>
      </c>
      <c r="W1569" s="119">
        <v>1.363</v>
      </c>
      <c r="X1569" s="119">
        <v>0.69599999999999973</v>
      </c>
      <c r="Y1569" s="119">
        <v>1.7090000000000001</v>
      </c>
      <c r="Z1569" s="401">
        <v>4.6619999999999999</v>
      </c>
      <c r="AA1569" s="119">
        <v>0.72599999999999998</v>
      </c>
      <c r="AB1569" s="119">
        <v>0.43999999999999995</v>
      </c>
      <c r="AC1569" s="119">
        <v>-0.31999999999999995</v>
      </c>
      <c r="AD1569" s="119">
        <v>0.21299999999999997</v>
      </c>
      <c r="AE1569" s="401">
        <v>1.0589999999999999</v>
      </c>
      <c r="AF1569" s="119">
        <v>0</v>
      </c>
      <c r="AG1569" s="119">
        <v>0</v>
      </c>
      <c r="AH1569" s="119">
        <v>0</v>
      </c>
      <c r="AI1569" s="119">
        <v>0</v>
      </c>
      <c r="AJ1569" s="401">
        <v>0</v>
      </c>
      <c r="AK1569" s="119">
        <v>0</v>
      </c>
      <c r="AL1569" s="119">
        <v>0</v>
      </c>
      <c r="AM1569" s="119">
        <v>0</v>
      </c>
      <c r="AN1569" s="119">
        <v>0</v>
      </c>
      <c r="AO1569" s="401">
        <v>0</v>
      </c>
      <c r="AP1569" s="119">
        <v>0</v>
      </c>
      <c r="AQ1569" s="119">
        <v>0</v>
      </c>
      <c r="AR1569" s="119">
        <v>0</v>
      </c>
      <c r="AS1569" s="119">
        <v>0</v>
      </c>
      <c r="AT1569" s="401">
        <v>0</v>
      </c>
      <c r="AU1569" s="119">
        <v>0</v>
      </c>
      <c r="AV1569" s="119">
        <v>0</v>
      </c>
      <c r="AW1569" s="119">
        <v>0</v>
      </c>
      <c r="AX1569" s="119">
        <v>0</v>
      </c>
      <c r="AY1569" s="401">
        <v>0</v>
      </c>
      <c r="AZ1569" s="119">
        <v>0</v>
      </c>
      <c r="BA1569" s="119">
        <v>0</v>
      </c>
      <c r="BB1569" s="119">
        <v>0</v>
      </c>
      <c r="BC1569" s="119">
        <v>0</v>
      </c>
      <c r="BD1569" s="401">
        <v>0</v>
      </c>
      <c r="BE1569" s="119">
        <v>0</v>
      </c>
      <c r="BF1569" s="119">
        <v>0</v>
      </c>
      <c r="BG1569" s="119">
        <v>0</v>
      </c>
      <c r="BH1569" s="119">
        <v>0</v>
      </c>
      <c r="BI1569" s="402">
        <v>0</v>
      </c>
      <c r="BJ1569" s="118"/>
      <c r="BK1569" s="118"/>
      <c r="BL1569" s="118"/>
      <c r="BM1569" s="118"/>
      <c r="BN1569" s="401">
        <v>0</v>
      </c>
      <c r="BO1569" s="118"/>
      <c r="BP1569" s="118"/>
      <c r="BQ1569" s="118"/>
      <c r="BR1569" s="118"/>
      <c r="BS1569" s="401">
        <v>0</v>
      </c>
      <c r="BT1569" s="401"/>
      <c r="BU1569" s="401"/>
      <c r="BV1569" s="401"/>
      <c r="BW1569" s="122"/>
    </row>
    <row r="1570" spans="1:75" s="123" customFormat="1" x14ac:dyDescent="0.5">
      <c r="A1570" s="445" t="s">
        <v>1375</v>
      </c>
      <c r="B1570" s="677"/>
      <c r="C1570" s="406"/>
      <c r="D1570" s="406">
        <v>0.27600000000000002</v>
      </c>
      <c r="E1570" s="406">
        <v>0.154</v>
      </c>
      <c r="F1570" s="406">
        <v>-1.427</v>
      </c>
      <c r="G1570" s="312">
        <v>4.1000000000000002E-2</v>
      </c>
      <c r="H1570" s="312">
        <v>7.0000000000000007E-2</v>
      </c>
      <c r="I1570" s="312">
        <v>-1.3080000000000001</v>
      </c>
      <c r="J1570" s="312">
        <v>1.0070000000000001</v>
      </c>
      <c r="K1570" s="406">
        <v>-0.19</v>
      </c>
      <c r="L1570" s="312">
        <v>4.5999999999999999E-2</v>
      </c>
      <c r="M1570" s="312">
        <v>2.2000000000000006E-2</v>
      </c>
      <c r="N1570" s="312">
        <v>-0.53300000000000003</v>
      </c>
      <c r="O1570" s="312">
        <v>-9.7999999999999921E-2</v>
      </c>
      <c r="P1570" s="406">
        <v>-0.56299999999999994</v>
      </c>
      <c r="Q1570" s="312">
        <v>1.7000000000000001E-2</v>
      </c>
      <c r="R1570" s="312">
        <v>4.1999999999999996E-2</v>
      </c>
      <c r="S1570" s="312">
        <v>1.3999999999999999E-2</v>
      </c>
      <c r="T1570" s="312">
        <v>0.14200000000000002</v>
      </c>
      <c r="U1570" s="406">
        <v>0.215</v>
      </c>
      <c r="V1570" s="312">
        <v>0.02</v>
      </c>
      <c r="W1570" s="312">
        <v>8.9310000000000009</v>
      </c>
      <c r="X1570" s="312">
        <v>-0.4740000000000002</v>
      </c>
      <c r="Y1570" s="312">
        <v>0.23199999999999932</v>
      </c>
      <c r="Z1570" s="406">
        <v>8.7089999999999996</v>
      </c>
      <c r="AA1570" s="312">
        <v>-0.42599999999999999</v>
      </c>
      <c r="AB1570" s="312">
        <v>-0.54899999999999993</v>
      </c>
      <c r="AC1570" s="312">
        <v>-0.91200000000000003</v>
      </c>
      <c r="AD1570" s="312">
        <v>0.59000000000000008</v>
      </c>
      <c r="AE1570" s="406">
        <v>-1.2969999999999999</v>
      </c>
      <c r="AF1570" s="312">
        <v>-4.4039999999999999</v>
      </c>
      <c r="AG1570" s="312">
        <v>-3.6319999999999997</v>
      </c>
      <c r="AH1570" s="312">
        <v>-5.734</v>
      </c>
      <c r="AI1570" s="312">
        <v>-4.3689999999999998</v>
      </c>
      <c r="AJ1570" s="406">
        <v>-18.138999999999999</v>
      </c>
      <c r="AK1570" s="312">
        <v>-6.4480000000000004</v>
      </c>
      <c r="AL1570" s="312">
        <v>-7.3129999999999988</v>
      </c>
      <c r="AM1570" s="312">
        <v>-5.2929999999999993</v>
      </c>
      <c r="AN1570" s="312">
        <v>-6.0230000000000032</v>
      </c>
      <c r="AO1570" s="406">
        <v>-25.077000000000002</v>
      </c>
      <c r="AP1570" s="312">
        <v>-6.4589999999999996</v>
      </c>
      <c r="AQ1570" s="312">
        <v>-5.8680000000000003</v>
      </c>
      <c r="AR1570" s="312">
        <v>-6.9120000000000008</v>
      </c>
      <c r="AS1570" s="312">
        <v>-0.3019999999999996</v>
      </c>
      <c r="AT1570" s="406">
        <v>-19.541</v>
      </c>
      <c r="AU1570" s="312">
        <v>-7.5149999999999997</v>
      </c>
      <c r="AV1570" s="312">
        <v>-6.8530000000000006</v>
      </c>
      <c r="AW1570" s="312">
        <v>-10.946</v>
      </c>
      <c r="AX1570" s="312">
        <v>-10.625999999999998</v>
      </c>
      <c r="AY1570" s="406">
        <v>-35.94</v>
      </c>
      <c r="AZ1570" s="312">
        <v>-6.944</v>
      </c>
      <c r="BA1570" s="312">
        <v>-7.8519999999999994</v>
      </c>
      <c r="BB1570" s="312">
        <v>-9.1780000000000008</v>
      </c>
      <c r="BC1570" s="312">
        <v>-8.5250000000000021</v>
      </c>
      <c r="BD1570" s="406">
        <v>-32.499000000000002</v>
      </c>
      <c r="BE1570" s="312">
        <v>-8.5380000000000003</v>
      </c>
      <c r="BF1570" s="312">
        <v>-8.8679999999999986</v>
      </c>
      <c r="BG1570" s="312">
        <v>-7.3900000000000006</v>
      </c>
      <c r="BH1570" s="312">
        <v>-6.6099999999999994</v>
      </c>
      <c r="BI1570" s="407">
        <v>-31.405999999999999</v>
      </c>
      <c r="BJ1570" s="312"/>
      <c r="BK1570" s="312"/>
      <c r="BL1570" s="312"/>
      <c r="BM1570" s="312"/>
      <c r="BN1570" s="406">
        <v>0</v>
      </c>
      <c r="BO1570" s="312"/>
      <c r="BP1570" s="312"/>
      <c r="BQ1570" s="312"/>
      <c r="BR1570" s="312"/>
      <c r="BS1570" s="406">
        <v>0</v>
      </c>
      <c r="BT1570" s="406"/>
      <c r="BU1570" s="406"/>
      <c r="BV1570" s="406"/>
      <c r="BW1570" s="122"/>
    </row>
    <row r="1571" spans="1:75" s="198" customFormat="1" ht="14.25" x14ac:dyDescent="0.45">
      <c r="A1571" s="192" t="s">
        <v>1376</v>
      </c>
      <c r="B1571" s="517"/>
      <c r="C1571" s="518"/>
      <c r="D1571" s="518">
        <v>-11.809999999999993</v>
      </c>
      <c r="E1571" s="518">
        <v>17.120999999999999</v>
      </c>
      <c r="F1571" s="518">
        <v>-3.864000000000003</v>
      </c>
      <c r="G1571" s="327">
        <v>-19.623000000000001</v>
      </c>
      <c r="H1571" s="327">
        <v>51.052000000000014</v>
      </c>
      <c r="I1571" s="327">
        <v>-0.97400000000001108</v>
      </c>
      <c r="J1571" s="327">
        <v>57.066000000000024</v>
      </c>
      <c r="K1571" s="518">
        <v>87.521000000000001</v>
      </c>
      <c r="L1571" s="327">
        <v>-57.218999999999987</v>
      </c>
      <c r="M1571" s="327">
        <v>27.494000000000003</v>
      </c>
      <c r="N1571" s="327">
        <v>6.9669999999999979</v>
      </c>
      <c r="O1571" s="327">
        <v>105.249</v>
      </c>
      <c r="P1571" s="518">
        <v>82.491000000000014</v>
      </c>
      <c r="Q1571" s="327">
        <v>-14.379000000000003</v>
      </c>
      <c r="R1571" s="327">
        <v>27.998999999999988</v>
      </c>
      <c r="S1571" s="327">
        <v>-31.250000000000004</v>
      </c>
      <c r="T1571" s="327">
        <v>159.51600000000002</v>
      </c>
      <c r="U1571" s="518">
        <v>141.88600000000002</v>
      </c>
      <c r="V1571" s="327">
        <v>-106.292</v>
      </c>
      <c r="W1571" s="327">
        <v>14.727000000000007</v>
      </c>
      <c r="X1571" s="327">
        <v>62.440999999999988</v>
      </c>
      <c r="Y1571" s="327">
        <v>107.96900000000002</v>
      </c>
      <c r="Z1571" s="518">
        <v>78.844999999999999</v>
      </c>
      <c r="AA1571" s="327">
        <v>125.05499999999998</v>
      </c>
      <c r="AB1571" s="327">
        <v>191.34299999999996</v>
      </c>
      <c r="AC1571" s="327">
        <v>70.364000000000019</v>
      </c>
      <c r="AD1571" s="327">
        <v>168.33999999999997</v>
      </c>
      <c r="AE1571" s="518">
        <v>555.10199999999986</v>
      </c>
      <c r="AF1571" s="327">
        <v>-3.233999999999984</v>
      </c>
      <c r="AG1571" s="327">
        <v>52.254000000000019</v>
      </c>
      <c r="AH1571" s="327">
        <v>47.695999999999998</v>
      </c>
      <c r="AI1571" s="327">
        <v>152.88699999999997</v>
      </c>
      <c r="AJ1571" s="518">
        <v>249.60300000000012</v>
      </c>
      <c r="AK1571" s="327">
        <v>38.823999999999991</v>
      </c>
      <c r="AL1571" s="327">
        <v>58.308999999999983</v>
      </c>
      <c r="AM1571" s="327">
        <v>113.86400000000003</v>
      </c>
      <c r="AN1571" s="327">
        <v>128.191</v>
      </c>
      <c r="AO1571" s="518">
        <v>339.18800000000005</v>
      </c>
      <c r="AP1571" s="327">
        <v>-16.867999999999995</v>
      </c>
      <c r="AQ1571" s="327">
        <v>145.14299999999997</v>
      </c>
      <c r="AR1571" s="327">
        <v>218.98800000000008</v>
      </c>
      <c r="AS1571" s="327">
        <v>153.50700000000003</v>
      </c>
      <c r="AT1571" s="518">
        <v>500.77000000000015</v>
      </c>
      <c r="AU1571" s="327">
        <v>190.87500000000003</v>
      </c>
      <c r="AV1571" s="327">
        <v>125.84300000000006</v>
      </c>
      <c r="AW1571" s="327">
        <v>216.964</v>
      </c>
      <c r="AX1571" s="327">
        <v>128.43200000000004</v>
      </c>
      <c r="AY1571" s="518">
        <v>662.11400000000026</v>
      </c>
      <c r="AZ1571" s="327">
        <v>135.94900000000013</v>
      </c>
      <c r="BA1571" s="327">
        <v>56.566999999999943</v>
      </c>
      <c r="BB1571" s="327">
        <v>143.50499999999994</v>
      </c>
      <c r="BC1571" s="327">
        <v>67.665999999999997</v>
      </c>
      <c r="BD1571" s="518">
        <v>403.68699999999984</v>
      </c>
      <c r="BE1571" s="327">
        <v>86.737999999999985</v>
      </c>
      <c r="BF1571" s="327">
        <v>161.61700000000002</v>
      </c>
      <c r="BG1571" s="327">
        <v>67.817000000000021</v>
      </c>
      <c r="BH1571" s="327">
        <v>-113.95799999999998</v>
      </c>
      <c r="BI1571" s="525">
        <v>202.21400000000006</v>
      </c>
      <c r="BJ1571" s="327">
        <v>56.851180065316413</v>
      </c>
      <c r="BK1571" s="327">
        <v>82.021525675160788</v>
      </c>
      <c r="BL1571" s="327">
        <v>82.092791236704059</v>
      </c>
      <c r="BM1571" s="327">
        <v>47.866341249992701</v>
      </c>
      <c r="BN1571" s="518">
        <v>268.83183822717399</v>
      </c>
      <c r="BO1571" s="327">
        <v>31.505443057096159</v>
      </c>
      <c r="BP1571" s="327">
        <v>110.74808970258539</v>
      </c>
      <c r="BQ1571" s="327">
        <v>103.75011004288444</v>
      </c>
      <c r="BR1571" s="327">
        <v>85.938120906523864</v>
      </c>
      <c r="BS1571" s="518">
        <v>331.94176370908986</v>
      </c>
      <c r="BT1571" s="518">
        <v>421.11651425820793</v>
      </c>
      <c r="BU1571" s="518">
        <v>497.34563244119011</v>
      </c>
      <c r="BV1571" s="518">
        <v>582.82831667473374</v>
      </c>
      <c r="BW1571" s="197"/>
    </row>
    <row r="1572" spans="1:75" s="198" customFormat="1" ht="14.25" x14ac:dyDescent="0.45">
      <c r="A1572" s="206"/>
      <c r="B1572" s="522"/>
      <c r="C1572" s="397"/>
      <c r="D1572" s="397"/>
      <c r="E1572" s="397"/>
      <c r="F1572" s="397"/>
      <c r="G1572" s="295"/>
      <c r="H1572" s="295"/>
      <c r="I1572" s="295"/>
      <c r="J1572" s="295"/>
      <c r="K1572" s="397"/>
      <c r="L1572" s="295"/>
      <c r="M1572" s="295"/>
      <c r="N1572" s="295"/>
      <c r="O1572" s="295"/>
      <c r="P1572" s="397"/>
      <c r="Q1572" s="295"/>
      <c r="R1572" s="295"/>
      <c r="S1572" s="295"/>
      <c r="T1572" s="295"/>
      <c r="U1572" s="397"/>
      <c r="V1572" s="295"/>
      <c r="W1572" s="295"/>
      <c r="X1572" s="295"/>
      <c r="Y1572" s="295"/>
      <c r="Z1572" s="397"/>
      <c r="AA1572" s="295"/>
      <c r="AB1572" s="295"/>
      <c r="AC1572" s="295"/>
      <c r="AD1572" s="295"/>
      <c r="AE1572" s="397"/>
      <c r="AF1572" s="295"/>
      <c r="AG1572" s="295"/>
      <c r="AH1572" s="295"/>
      <c r="AI1572" s="295"/>
      <c r="AJ1572" s="397"/>
      <c r="AK1572" s="295"/>
      <c r="AL1572" s="295"/>
      <c r="AM1572" s="295"/>
      <c r="AN1572" s="295"/>
      <c r="AO1572" s="397"/>
      <c r="AP1572" s="295"/>
      <c r="AQ1572" s="295"/>
      <c r="AR1572" s="295"/>
      <c r="AS1572" s="295"/>
      <c r="AT1572" s="397"/>
      <c r="AU1572" s="295"/>
      <c r="AV1572" s="295"/>
      <c r="AW1572" s="295"/>
      <c r="AX1572" s="295"/>
      <c r="AY1572" s="397"/>
      <c r="AZ1572" s="295"/>
      <c r="BA1572" s="295"/>
      <c r="BB1572" s="295"/>
      <c r="BC1572" s="295"/>
      <c r="BD1572" s="397"/>
      <c r="BE1572" s="295"/>
      <c r="BF1572" s="295"/>
      <c r="BG1572" s="295"/>
      <c r="BH1572" s="295"/>
      <c r="BI1572" s="399"/>
      <c r="BJ1572" s="295"/>
      <c r="BK1572" s="295"/>
      <c r="BL1572" s="295"/>
      <c r="BM1572" s="295"/>
      <c r="BN1572" s="397"/>
      <c r="BO1572" s="295"/>
      <c r="BP1572" s="295"/>
      <c r="BQ1572" s="295"/>
      <c r="BR1572" s="295"/>
      <c r="BS1572" s="397"/>
      <c r="BT1572" s="397"/>
      <c r="BU1572" s="397"/>
      <c r="BV1572" s="397"/>
      <c r="BW1572" s="197"/>
    </row>
    <row r="1573" spans="1:75" s="198" customFormat="1" ht="14.25" x14ac:dyDescent="0.45">
      <c r="A1573" s="206" t="s">
        <v>1377</v>
      </c>
      <c r="B1573" s="522"/>
      <c r="C1573" s="397"/>
      <c r="D1573" s="397"/>
      <c r="E1573" s="397"/>
      <c r="F1573" s="397"/>
      <c r="G1573" s="295"/>
      <c r="H1573" s="295"/>
      <c r="I1573" s="295"/>
      <c r="J1573" s="295"/>
      <c r="K1573" s="397"/>
      <c r="L1573" s="295"/>
      <c r="M1573" s="295"/>
      <c r="N1573" s="295"/>
      <c r="O1573" s="295"/>
      <c r="P1573" s="397"/>
      <c r="Q1573" s="295"/>
      <c r="R1573" s="295"/>
      <c r="S1573" s="295"/>
      <c r="T1573" s="295"/>
      <c r="U1573" s="397"/>
      <c r="V1573" s="295"/>
      <c r="W1573" s="295"/>
      <c r="X1573" s="295"/>
      <c r="Y1573" s="295"/>
      <c r="Z1573" s="397"/>
      <c r="AA1573" s="295"/>
      <c r="AB1573" s="295"/>
      <c r="AC1573" s="295"/>
      <c r="AD1573" s="295"/>
      <c r="AE1573" s="397"/>
      <c r="AF1573" s="295"/>
      <c r="AG1573" s="295"/>
      <c r="AH1573" s="295"/>
      <c r="AI1573" s="295"/>
      <c r="AJ1573" s="397"/>
      <c r="AK1573" s="295"/>
      <c r="AL1573" s="295"/>
      <c r="AM1573" s="295"/>
      <c r="AN1573" s="295"/>
      <c r="AO1573" s="397"/>
      <c r="AP1573" s="295"/>
      <c r="AQ1573" s="295"/>
      <c r="AR1573" s="295"/>
      <c r="AS1573" s="295"/>
      <c r="AT1573" s="397"/>
      <c r="AU1573" s="295"/>
      <c r="AV1573" s="295"/>
      <c r="AW1573" s="295"/>
      <c r="AX1573" s="295"/>
      <c r="AY1573" s="397"/>
      <c r="AZ1573" s="295"/>
      <c r="BA1573" s="295"/>
      <c r="BB1573" s="295"/>
      <c r="BC1573" s="295"/>
      <c r="BD1573" s="397"/>
      <c r="BE1573" s="295"/>
      <c r="BF1573" s="295"/>
      <c r="BG1573" s="295"/>
      <c r="BH1573" s="295"/>
      <c r="BI1573" s="399"/>
      <c r="BJ1573" s="295"/>
      <c r="BK1573" s="295"/>
      <c r="BL1573" s="295"/>
      <c r="BM1573" s="295"/>
      <c r="BN1573" s="397"/>
      <c r="BO1573" s="295"/>
      <c r="BP1573" s="295"/>
      <c r="BQ1573" s="295"/>
      <c r="BR1573" s="295"/>
      <c r="BS1573" s="397"/>
      <c r="BT1573" s="397"/>
      <c r="BU1573" s="397"/>
      <c r="BV1573" s="397"/>
      <c r="BW1573" s="197"/>
    </row>
    <row r="1574" spans="1:75" s="123" customFormat="1" x14ac:dyDescent="0.5">
      <c r="A1574" s="184" t="s">
        <v>1378</v>
      </c>
      <c r="B1574" s="118"/>
      <c r="C1574" s="401"/>
      <c r="D1574" s="401">
        <v>-39.906999999999996</v>
      </c>
      <c r="E1574" s="401">
        <v>-25.593</v>
      </c>
      <c r="F1574" s="401">
        <v>-49.058</v>
      </c>
      <c r="G1574" s="119">
        <v>-9.7370000000000001</v>
      </c>
      <c r="H1574" s="119">
        <v>-20.878999999999998</v>
      </c>
      <c r="I1574" s="119">
        <v>-27.006</v>
      </c>
      <c r="J1574" s="119">
        <v>-36.245999999999995</v>
      </c>
      <c r="K1574" s="401">
        <v>-93.867999999999995</v>
      </c>
      <c r="L1574" s="119">
        <v>-16.515000000000001</v>
      </c>
      <c r="M1574" s="119">
        <v>-22.284999999999997</v>
      </c>
      <c r="N1574" s="119">
        <v>-30.89</v>
      </c>
      <c r="O1574" s="119">
        <v>-40.668999999999997</v>
      </c>
      <c r="P1574" s="401">
        <v>-110.35899999999999</v>
      </c>
      <c r="Q1574" s="119">
        <v>-29.227</v>
      </c>
      <c r="R1574" s="119">
        <v>-17.034000000000002</v>
      </c>
      <c r="S1574" s="119">
        <v>-30.54</v>
      </c>
      <c r="T1574" s="119">
        <v>-42.66</v>
      </c>
      <c r="U1574" s="401">
        <v>-119.461</v>
      </c>
      <c r="V1574" s="119">
        <v>-45.276000000000003</v>
      </c>
      <c r="W1574" s="119">
        <v>-25.722999999999992</v>
      </c>
      <c r="X1574" s="119">
        <v>-33.153000000000006</v>
      </c>
      <c r="Y1574" s="119">
        <v>-53.492000000000004</v>
      </c>
      <c r="Z1574" s="401">
        <v>-157.64400000000001</v>
      </c>
      <c r="AA1574" s="119">
        <v>-13.456</v>
      </c>
      <c r="AB1574" s="119">
        <v>-25.906000000000002</v>
      </c>
      <c r="AC1574" s="119">
        <v>-37.427</v>
      </c>
      <c r="AD1574" s="119">
        <v>-35.665999999999997</v>
      </c>
      <c r="AE1574" s="401">
        <v>-112.455</v>
      </c>
      <c r="AF1574" s="119">
        <v>-17.673999999999999</v>
      </c>
      <c r="AG1574" s="119">
        <v>-25.241999999999997</v>
      </c>
      <c r="AH1574" s="119">
        <v>-30.362000000000009</v>
      </c>
      <c r="AI1574" s="119">
        <v>-6.7139999999999986</v>
      </c>
      <c r="AJ1574" s="401">
        <v>-79.992000000000004</v>
      </c>
      <c r="AK1574" s="119">
        <v>-7.9160000000000004</v>
      </c>
      <c r="AL1574" s="119">
        <v>-17.367000000000001</v>
      </c>
      <c r="AM1574" s="119">
        <v>-39.331000000000003</v>
      </c>
      <c r="AN1574" s="119">
        <v>-29.009</v>
      </c>
      <c r="AO1574" s="401">
        <v>-93.623000000000005</v>
      </c>
      <c r="AP1574" s="119">
        <v>-16.632000000000001</v>
      </c>
      <c r="AQ1574" s="119">
        <v>-30.898999999999997</v>
      </c>
      <c r="AR1574" s="119">
        <v>-24.223999999999997</v>
      </c>
      <c r="AS1574" s="119">
        <v>-39.371000000000009</v>
      </c>
      <c r="AT1574" s="401">
        <v>-111.126</v>
      </c>
      <c r="AU1574" s="119">
        <v>-50.250999999999998</v>
      </c>
      <c r="AV1574" s="119">
        <v>-31.887000000000008</v>
      </c>
      <c r="AW1574" s="119">
        <v>-71.635999999999996</v>
      </c>
      <c r="AX1574" s="119">
        <v>-31.609000000000009</v>
      </c>
      <c r="AY1574" s="401">
        <v>-185.38300000000001</v>
      </c>
      <c r="AZ1574" s="119">
        <v>-29.364000000000001</v>
      </c>
      <c r="BA1574" s="119">
        <v>-33.194000000000003</v>
      </c>
      <c r="BB1574" s="119">
        <v>-47.116999999999997</v>
      </c>
      <c r="BC1574" s="119">
        <v>-63.966999999999999</v>
      </c>
      <c r="BD1574" s="401">
        <v>-173.642</v>
      </c>
      <c r="BE1574" s="119">
        <v>-34.19</v>
      </c>
      <c r="BF1574" s="119">
        <v>-47.406000000000006</v>
      </c>
      <c r="BG1574" s="119">
        <v>-50.244</v>
      </c>
      <c r="BH1574" s="119">
        <v>-137.51599999999999</v>
      </c>
      <c r="BI1574" s="402">
        <v>-269.35599999999999</v>
      </c>
      <c r="BJ1574" s="118">
        <v>-50</v>
      </c>
      <c r="BK1574" s="118">
        <v>-50</v>
      </c>
      <c r="BL1574" s="118">
        <v>-50</v>
      </c>
      <c r="BM1574" s="118">
        <v>-50</v>
      </c>
      <c r="BN1574" s="401">
        <v>-200</v>
      </c>
      <c r="BO1574" s="118">
        <v>-50</v>
      </c>
      <c r="BP1574" s="118">
        <v>-50</v>
      </c>
      <c r="BQ1574" s="118">
        <v>-50</v>
      </c>
      <c r="BR1574" s="118">
        <v>-50</v>
      </c>
      <c r="BS1574" s="401">
        <v>-200</v>
      </c>
      <c r="BT1574" s="401">
        <v>-200</v>
      </c>
      <c r="BU1574" s="401">
        <v>-200</v>
      </c>
      <c r="BV1574" s="401">
        <v>-200</v>
      </c>
      <c r="BW1574" s="122"/>
    </row>
    <row r="1575" spans="1:75" s="123" customFormat="1" x14ac:dyDescent="0.5">
      <c r="A1575" s="184" t="s">
        <v>1379</v>
      </c>
      <c r="B1575" s="118"/>
      <c r="C1575" s="401"/>
      <c r="D1575" s="401">
        <v>0</v>
      </c>
      <c r="E1575" s="401">
        <v>0</v>
      </c>
      <c r="F1575" s="401">
        <v>0</v>
      </c>
      <c r="G1575" s="119">
        <v>0</v>
      </c>
      <c r="H1575" s="119">
        <v>0</v>
      </c>
      <c r="I1575" s="119">
        <v>0</v>
      </c>
      <c r="J1575" s="119">
        <v>0</v>
      </c>
      <c r="K1575" s="401">
        <v>0</v>
      </c>
      <c r="L1575" s="119">
        <v>0</v>
      </c>
      <c r="M1575" s="119">
        <v>0</v>
      </c>
      <c r="N1575" s="119">
        <v>0</v>
      </c>
      <c r="O1575" s="119">
        <v>0</v>
      </c>
      <c r="P1575" s="401">
        <v>0</v>
      </c>
      <c r="Q1575" s="119">
        <v>0</v>
      </c>
      <c r="R1575" s="119">
        <v>0</v>
      </c>
      <c r="S1575" s="119">
        <v>0</v>
      </c>
      <c r="T1575" s="119">
        <v>0</v>
      </c>
      <c r="U1575" s="401">
        <v>0</v>
      </c>
      <c r="V1575" s="119">
        <v>0</v>
      </c>
      <c r="W1575" s="119">
        <v>0</v>
      </c>
      <c r="X1575" s="119">
        <v>0</v>
      </c>
      <c r="Y1575" s="119">
        <v>0</v>
      </c>
      <c r="Z1575" s="401">
        <v>0</v>
      </c>
      <c r="AA1575" s="119">
        <v>0</v>
      </c>
      <c r="AB1575" s="119">
        <v>0</v>
      </c>
      <c r="AC1575" s="119">
        <v>0</v>
      </c>
      <c r="AD1575" s="119">
        <v>0</v>
      </c>
      <c r="AE1575" s="401">
        <v>0</v>
      </c>
      <c r="AF1575" s="119">
        <v>0</v>
      </c>
      <c r="AG1575" s="119">
        <v>0</v>
      </c>
      <c r="AH1575" s="119">
        <v>0</v>
      </c>
      <c r="AI1575" s="119">
        <v>0</v>
      </c>
      <c r="AJ1575" s="401">
        <v>0</v>
      </c>
      <c r="AK1575" s="119">
        <v>0</v>
      </c>
      <c r="AL1575" s="119">
        <v>0</v>
      </c>
      <c r="AM1575" s="119">
        <v>24.077999999999999</v>
      </c>
      <c r="AN1575" s="119">
        <v>0</v>
      </c>
      <c r="AO1575" s="401">
        <v>24.077999999999999</v>
      </c>
      <c r="AP1575" s="119">
        <v>0</v>
      </c>
      <c r="AQ1575" s="119">
        <v>25.006</v>
      </c>
      <c r="AR1575" s="119">
        <v>0</v>
      </c>
      <c r="AS1575" s="119">
        <v>0</v>
      </c>
      <c r="AT1575" s="401">
        <v>25.006</v>
      </c>
      <c r="AU1575" s="119">
        <v>0</v>
      </c>
      <c r="AV1575" s="119">
        <v>0</v>
      </c>
      <c r="AW1575" s="119">
        <v>0</v>
      </c>
      <c r="AX1575" s="119">
        <v>0</v>
      </c>
      <c r="AY1575" s="401">
        <v>0</v>
      </c>
      <c r="AZ1575" s="119">
        <v>0</v>
      </c>
      <c r="BA1575" s="119">
        <v>0</v>
      </c>
      <c r="BB1575" s="119">
        <v>5.2869999999999999</v>
      </c>
      <c r="BC1575" s="119">
        <v>0</v>
      </c>
      <c r="BD1575" s="401">
        <v>5.2869999999999999</v>
      </c>
      <c r="BE1575" s="119">
        <v>0</v>
      </c>
      <c r="BF1575" s="119">
        <v>0</v>
      </c>
      <c r="BG1575" s="119">
        <v>0</v>
      </c>
      <c r="BH1575" s="119">
        <v>0</v>
      </c>
      <c r="BI1575" s="402">
        <v>0</v>
      </c>
      <c r="BJ1575" s="118"/>
      <c r="BK1575" s="118"/>
      <c r="BL1575" s="118"/>
      <c r="BM1575" s="118"/>
      <c r="BN1575" s="401">
        <v>0</v>
      </c>
      <c r="BO1575" s="118"/>
      <c r="BP1575" s="118"/>
      <c r="BQ1575" s="118"/>
      <c r="BR1575" s="118"/>
      <c r="BS1575" s="401">
        <v>0</v>
      </c>
      <c r="BT1575" s="401"/>
      <c r="BU1575" s="401"/>
      <c r="BV1575" s="401"/>
      <c r="BW1575" s="122"/>
    </row>
    <row r="1576" spans="1:75" s="123" customFormat="1" x14ac:dyDescent="0.5">
      <c r="A1576" s="184" t="s">
        <v>1380</v>
      </c>
      <c r="B1576" s="118"/>
      <c r="C1576" s="401"/>
      <c r="D1576" s="401">
        <v>0</v>
      </c>
      <c r="E1576" s="401">
        <v>0</v>
      </c>
      <c r="F1576" s="401">
        <v>0</v>
      </c>
      <c r="G1576" s="119">
        <v>0</v>
      </c>
      <c r="H1576" s="119">
        <v>0</v>
      </c>
      <c r="I1576" s="119">
        <v>0</v>
      </c>
      <c r="J1576" s="119">
        <v>0</v>
      </c>
      <c r="K1576" s="401">
        <v>0</v>
      </c>
      <c r="L1576" s="119">
        <v>0</v>
      </c>
      <c r="M1576" s="119">
        <v>0</v>
      </c>
      <c r="N1576" s="119">
        <v>0</v>
      </c>
      <c r="O1576" s="119">
        <v>0</v>
      </c>
      <c r="P1576" s="401">
        <v>0</v>
      </c>
      <c r="Q1576" s="119">
        <v>0</v>
      </c>
      <c r="R1576" s="119">
        <v>-9.875</v>
      </c>
      <c r="S1576" s="119">
        <v>-4.1240000000000006</v>
      </c>
      <c r="T1576" s="119">
        <v>0</v>
      </c>
      <c r="U1576" s="401">
        <v>-13.999000000000001</v>
      </c>
      <c r="V1576" s="119">
        <v>0</v>
      </c>
      <c r="W1576" s="119">
        <v>0</v>
      </c>
      <c r="X1576" s="119">
        <v>0</v>
      </c>
      <c r="Y1576" s="119">
        <v>0</v>
      </c>
      <c r="Z1576" s="401">
        <v>0</v>
      </c>
      <c r="AA1576" s="119">
        <v>0</v>
      </c>
      <c r="AB1576" s="119">
        <v>0</v>
      </c>
      <c r="AC1576" s="119">
        <v>0</v>
      </c>
      <c r="AD1576" s="119">
        <v>0</v>
      </c>
      <c r="AE1576" s="401">
        <v>0</v>
      </c>
      <c r="AF1576" s="119">
        <v>0</v>
      </c>
      <c r="AG1576" s="119">
        <v>0</v>
      </c>
      <c r="AH1576" s="119">
        <v>0</v>
      </c>
      <c r="AI1576" s="119">
        <v>0</v>
      </c>
      <c r="AJ1576" s="401">
        <v>0</v>
      </c>
      <c r="AK1576" s="119">
        <v>0</v>
      </c>
      <c r="AL1576" s="119">
        <v>0</v>
      </c>
      <c r="AM1576" s="119">
        <v>0</v>
      </c>
      <c r="AN1576" s="119">
        <v>0</v>
      </c>
      <c r="AO1576" s="401">
        <v>0</v>
      </c>
      <c r="AP1576" s="119">
        <v>0</v>
      </c>
      <c r="AQ1576" s="119">
        <v>0</v>
      </c>
      <c r="AR1576" s="119">
        <v>0</v>
      </c>
      <c r="AS1576" s="119">
        <v>0</v>
      </c>
      <c r="AT1576" s="401">
        <v>0</v>
      </c>
      <c r="AU1576" s="119">
        <v>0</v>
      </c>
      <c r="AV1576" s="119">
        <v>0</v>
      </c>
      <c r="AW1576" s="119">
        <v>0</v>
      </c>
      <c r="AX1576" s="119">
        <v>0</v>
      </c>
      <c r="AY1576" s="401">
        <v>0</v>
      </c>
      <c r="AZ1576" s="119">
        <v>0</v>
      </c>
      <c r="BA1576" s="119">
        <v>0</v>
      </c>
      <c r="BB1576" s="119">
        <v>0</v>
      </c>
      <c r="BC1576" s="119">
        <v>0</v>
      </c>
      <c r="BD1576" s="401">
        <v>0</v>
      </c>
      <c r="BE1576" s="119">
        <v>0</v>
      </c>
      <c r="BF1576" s="119">
        <v>0</v>
      </c>
      <c r="BG1576" s="119">
        <v>0</v>
      </c>
      <c r="BH1576" s="119">
        <v>0</v>
      </c>
      <c r="BI1576" s="402">
        <v>0</v>
      </c>
      <c r="BJ1576" s="118"/>
      <c r="BK1576" s="118"/>
      <c r="BL1576" s="118"/>
      <c r="BM1576" s="118"/>
      <c r="BN1576" s="401">
        <v>0</v>
      </c>
      <c r="BO1576" s="118"/>
      <c r="BP1576" s="118"/>
      <c r="BQ1576" s="118"/>
      <c r="BR1576" s="118"/>
      <c r="BS1576" s="401">
        <v>0</v>
      </c>
      <c r="BT1576" s="401"/>
      <c r="BU1576" s="401"/>
      <c r="BV1576" s="401"/>
      <c r="BW1576" s="122"/>
    </row>
    <row r="1577" spans="1:75" s="123" customFormat="1" x14ac:dyDescent="0.5">
      <c r="A1577" s="184" t="s">
        <v>1381</v>
      </c>
      <c r="B1577" s="118"/>
      <c r="C1577" s="401"/>
      <c r="D1577" s="401">
        <v>0</v>
      </c>
      <c r="E1577" s="401">
        <v>0</v>
      </c>
      <c r="F1577" s="401">
        <v>0</v>
      </c>
      <c r="G1577" s="119">
        <v>0</v>
      </c>
      <c r="H1577" s="119">
        <v>0</v>
      </c>
      <c r="I1577" s="119">
        <v>0</v>
      </c>
      <c r="J1577" s="119">
        <v>0</v>
      </c>
      <c r="K1577" s="401">
        <v>0</v>
      </c>
      <c r="L1577" s="119">
        <v>0</v>
      </c>
      <c r="M1577" s="119">
        <v>0</v>
      </c>
      <c r="N1577" s="119">
        <v>0</v>
      </c>
      <c r="O1577" s="119">
        <v>0</v>
      </c>
      <c r="P1577" s="401">
        <v>0</v>
      </c>
      <c r="Q1577" s="119">
        <v>0</v>
      </c>
      <c r="R1577" s="119">
        <v>0</v>
      </c>
      <c r="S1577" s="119">
        <v>0</v>
      </c>
      <c r="T1577" s="119">
        <v>0</v>
      </c>
      <c r="U1577" s="401">
        <v>0</v>
      </c>
      <c r="V1577" s="119">
        <v>0</v>
      </c>
      <c r="W1577" s="119">
        <v>-116.1</v>
      </c>
      <c r="X1577" s="119">
        <v>0</v>
      </c>
      <c r="Y1577" s="119">
        <v>0</v>
      </c>
      <c r="Z1577" s="401">
        <v>-116.1</v>
      </c>
      <c r="AA1577" s="119">
        <v>0</v>
      </c>
      <c r="AB1577" s="119">
        <v>0</v>
      </c>
      <c r="AC1577" s="119">
        <v>0</v>
      </c>
      <c r="AD1577" s="119">
        <v>0</v>
      </c>
      <c r="AE1577" s="401">
        <v>0</v>
      </c>
      <c r="AF1577" s="119">
        <v>0</v>
      </c>
      <c r="AG1577" s="119">
        <v>0</v>
      </c>
      <c r="AH1577" s="119">
        <v>0</v>
      </c>
      <c r="AI1577" s="119">
        <v>0</v>
      </c>
      <c r="AJ1577" s="401">
        <v>0</v>
      </c>
      <c r="AK1577" s="119">
        <v>0</v>
      </c>
      <c r="AL1577" s="119">
        <v>0</v>
      </c>
      <c r="AM1577" s="119">
        <v>0</v>
      </c>
      <c r="AN1577" s="119">
        <v>0</v>
      </c>
      <c r="AO1577" s="401">
        <v>0</v>
      </c>
      <c r="AP1577" s="119">
        <v>0</v>
      </c>
      <c r="AQ1577" s="119">
        <v>0</v>
      </c>
      <c r="AR1577" s="119">
        <v>-13.052</v>
      </c>
      <c r="AS1577" s="119">
        <v>-4.847999999999999</v>
      </c>
      <c r="AT1577" s="401">
        <v>-17.899999999999999</v>
      </c>
      <c r="AU1577" s="119">
        <v>0</v>
      </c>
      <c r="AV1577" s="119">
        <v>0</v>
      </c>
      <c r="AW1577" s="119">
        <v>0</v>
      </c>
      <c r="AX1577" s="119">
        <v>0</v>
      </c>
      <c r="AY1577" s="401">
        <v>0</v>
      </c>
      <c r="AZ1577" s="119">
        <v>0</v>
      </c>
      <c r="BA1577" s="119">
        <v>0</v>
      </c>
      <c r="BB1577" s="119">
        <v>0</v>
      </c>
      <c r="BC1577" s="119">
        <v>0</v>
      </c>
      <c r="BD1577" s="401">
        <v>0</v>
      </c>
      <c r="BE1577" s="119">
        <v>0</v>
      </c>
      <c r="BF1577" s="119">
        <v>0</v>
      </c>
      <c r="BG1577" s="119">
        <v>0</v>
      </c>
      <c r="BH1577" s="119">
        <v>0</v>
      </c>
      <c r="BI1577" s="402">
        <v>0</v>
      </c>
      <c r="BJ1577" s="118">
        <v>0</v>
      </c>
      <c r="BK1577" s="118">
        <v>0</v>
      </c>
      <c r="BL1577" s="118">
        <v>0</v>
      </c>
      <c r="BM1577" s="118">
        <v>0</v>
      </c>
      <c r="BN1577" s="401">
        <v>0</v>
      </c>
      <c r="BO1577" s="118">
        <v>0</v>
      </c>
      <c r="BP1577" s="118">
        <v>0</v>
      </c>
      <c r="BQ1577" s="118">
        <v>0</v>
      </c>
      <c r="BR1577" s="118">
        <v>0</v>
      </c>
      <c r="BS1577" s="401">
        <v>0</v>
      </c>
      <c r="BT1577" s="401">
        <v>0</v>
      </c>
      <c r="BU1577" s="401">
        <v>0</v>
      </c>
      <c r="BV1577" s="401">
        <v>0</v>
      </c>
      <c r="BW1577" s="122"/>
    </row>
    <row r="1578" spans="1:75" s="123" customFormat="1" x14ac:dyDescent="0.5">
      <c r="A1578" s="184" t="s">
        <v>1285</v>
      </c>
      <c r="B1578" s="118"/>
      <c r="C1578" s="401"/>
      <c r="D1578" s="401">
        <v>0</v>
      </c>
      <c r="E1578" s="401">
        <v>0</v>
      </c>
      <c r="F1578" s="401">
        <v>0</v>
      </c>
      <c r="G1578" s="119">
        <v>0</v>
      </c>
      <c r="H1578" s="119">
        <v>0</v>
      </c>
      <c r="I1578" s="119">
        <v>0</v>
      </c>
      <c r="J1578" s="119">
        <v>0</v>
      </c>
      <c r="K1578" s="401">
        <v>0</v>
      </c>
      <c r="L1578" s="119">
        <v>0</v>
      </c>
      <c r="M1578" s="119">
        <v>0</v>
      </c>
      <c r="N1578" s="119">
        <v>0</v>
      </c>
      <c r="O1578" s="119">
        <v>0</v>
      </c>
      <c r="P1578" s="401">
        <v>0</v>
      </c>
      <c r="Q1578" s="119">
        <v>0</v>
      </c>
      <c r="R1578" s="119">
        <v>0</v>
      </c>
      <c r="S1578" s="119">
        <v>0</v>
      </c>
      <c r="T1578" s="119">
        <v>0</v>
      </c>
      <c r="U1578" s="401">
        <v>0</v>
      </c>
      <c r="V1578" s="119">
        <v>0</v>
      </c>
      <c r="W1578" s="119">
        <v>0</v>
      </c>
      <c r="X1578" s="119">
        <v>0</v>
      </c>
      <c r="Y1578" s="119">
        <v>0</v>
      </c>
      <c r="Z1578" s="401">
        <v>0</v>
      </c>
      <c r="AA1578" s="119">
        <v>4.9000000000000004</v>
      </c>
      <c r="AB1578" s="119">
        <v>10.222999999999999</v>
      </c>
      <c r="AC1578" s="119">
        <v>0</v>
      </c>
      <c r="AD1578" s="119">
        <v>0</v>
      </c>
      <c r="AE1578" s="401">
        <v>15.122999999999999</v>
      </c>
      <c r="AF1578" s="119">
        <v>0</v>
      </c>
      <c r="AG1578" s="119">
        <v>0</v>
      </c>
      <c r="AH1578" s="119">
        <v>0</v>
      </c>
      <c r="AI1578" s="119">
        <v>0</v>
      </c>
      <c r="AJ1578" s="401">
        <v>0</v>
      </c>
      <c r="AK1578" s="119">
        <v>0</v>
      </c>
      <c r="AL1578" s="119">
        <v>0</v>
      </c>
      <c r="AM1578" s="119">
        <v>0</v>
      </c>
      <c r="AN1578" s="119">
        <v>0</v>
      </c>
      <c r="AO1578" s="401">
        <v>0</v>
      </c>
      <c r="AP1578" s="119">
        <v>0</v>
      </c>
      <c r="AQ1578" s="119">
        <v>0</v>
      </c>
      <c r="AR1578" s="119">
        <v>0</v>
      </c>
      <c r="AS1578" s="119">
        <v>0</v>
      </c>
      <c r="AT1578" s="401">
        <v>0</v>
      </c>
      <c r="AU1578" s="119">
        <v>0</v>
      </c>
      <c r="AV1578" s="119">
        <v>0</v>
      </c>
      <c r="AW1578" s="119">
        <v>0</v>
      </c>
      <c r="AX1578" s="119">
        <v>0</v>
      </c>
      <c r="AY1578" s="401">
        <v>0</v>
      </c>
      <c r="AZ1578" s="119">
        <v>0</v>
      </c>
      <c r="BA1578" s="119">
        <v>0</v>
      </c>
      <c r="BB1578" s="119">
        <v>0</v>
      </c>
      <c r="BC1578" s="119">
        <v>0</v>
      </c>
      <c r="BD1578" s="401">
        <v>0</v>
      </c>
      <c r="BE1578" s="119">
        <v>0</v>
      </c>
      <c r="BF1578" s="119">
        <v>0</v>
      </c>
      <c r="BG1578" s="119">
        <v>0</v>
      </c>
      <c r="BH1578" s="119">
        <v>0</v>
      </c>
      <c r="BI1578" s="402">
        <v>0</v>
      </c>
      <c r="BJ1578" s="118">
        <v>0</v>
      </c>
      <c r="BK1578" s="118">
        <v>0</v>
      </c>
      <c r="BL1578" s="118">
        <v>0</v>
      </c>
      <c r="BM1578" s="118">
        <v>0</v>
      </c>
      <c r="BN1578" s="401">
        <v>0</v>
      </c>
      <c r="BO1578" s="118">
        <v>0</v>
      </c>
      <c r="BP1578" s="118">
        <v>0</v>
      </c>
      <c r="BQ1578" s="118">
        <v>0</v>
      </c>
      <c r="BR1578" s="118">
        <v>0</v>
      </c>
      <c r="BS1578" s="401">
        <v>0</v>
      </c>
      <c r="BT1578" s="401">
        <v>0</v>
      </c>
      <c r="BU1578" s="401">
        <v>0</v>
      </c>
      <c r="BV1578" s="401">
        <v>0</v>
      </c>
      <c r="BW1578" s="122"/>
    </row>
    <row r="1579" spans="1:75" s="123" customFormat="1" x14ac:dyDescent="0.5">
      <c r="A1579" s="184" t="s">
        <v>1382</v>
      </c>
      <c r="B1579" s="118"/>
      <c r="C1579" s="401"/>
      <c r="D1579" s="401">
        <v>0</v>
      </c>
      <c r="E1579" s="401">
        <v>0</v>
      </c>
      <c r="F1579" s="401">
        <v>0</v>
      </c>
      <c r="G1579" s="119">
        <v>0</v>
      </c>
      <c r="H1579" s="119">
        <v>0</v>
      </c>
      <c r="I1579" s="119">
        <v>0</v>
      </c>
      <c r="J1579" s="119">
        <v>0</v>
      </c>
      <c r="K1579" s="401">
        <v>0</v>
      </c>
      <c r="L1579" s="119">
        <v>0</v>
      </c>
      <c r="M1579" s="119">
        <v>0</v>
      </c>
      <c r="N1579" s="119">
        <v>0</v>
      </c>
      <c r="O1579" s="119">
        <v>-9.25</v>
      </c>
      <c r="P1579" s="401">
        <v>-9.25</v>
      </c>
      <c r="Q1579" s="119">
        <v>0</v>
      </c>
      <c r="R1579" s="119">
        <v>0</v>
      </c>
      <c r="S1579" s="119">
        <v>-8.8550000000000004</v>
      </c>
      <c r="T1579" s="119">
        <v>-11.193999999999999</v>
      </c>
      <c r="U1579" s="401">
        <v>-20.048999999999999</v>
      </c>
      <c r="V1579" s="119">
        <v>-3.5510000000000002</v>
      </c>
      <c r="W1579" s="119">
        <v>-0.10999999999999988</v>
      </c>
      <c r="X1579" s="119">
        <v>-0.16800000000000015</v>
      </c>
      <c r="Y1579" s="119">
        <v>-19.550999999999998</v>
      </c>
      <c r="Z1579" s="401">
        <v>-23.38</v>
      </c>
      <c r="AA1579" s="119">
        <v>0</v>
      </c>
      <c r="AB1579" s="119">
        <v>-5.2850000000000001</v>
      </c>
      <c r="AC1579" s="119">
        <v>-7.4870000000000001</v>
      </c>
      <c r="AD1579" s="119">
        <v>-1.6150000000000002</v>
      </c>
      <c r="AE1579" s="401">
        <v>-14.387</v>
      </c>
      <c r="AF1579" s="119">
        <v>0</v>
      </c>
      <c r="AG1579" s="119">
        <v>0</v>
      </c>
      <c r="AH1579" s="119">
        <v>0</v>
      </c>
      <c r="AI1579" s="119">
        <v>0</v>
      </c>
      <c r="AJ1579" s="401">
        <v>0</v>
      </c>
      <c r="AK1579" s="119">
        <v>0</v>
      </c>
      <c r="AL1579" s="119">
        <v>0</v>
      </c>
      <c r="AM1579" s="119">
        <v>-30</v>
      </c>
      <c r="AN1579" s="119">
        <v>-23</v>
      </c>
      <c r="AO1579" s="401">
        <v>-53</v>
      </c>
      <c r="AP1579" s="119">
        <v>0</v>
      </c>
      <c r="AQ1579" s="119">
        <v>0</v>
      </c>
      <c r="AR1579" s="119">
        <v>0</v>
      </c>
      <c r="AS1579" s="119">
        <v>-12.856999999999999</v>
      </c>
      <c r="AT1579" s="401">
        <v>-12.856999999999999</v>
      </c>
      <c r="AU1579" s="119">
        <v>0</v>
      </c>
      <c r="AV1579" s="119">
        <v>0</v>
      </c>
      <c r="AW1579" s="119">
        <v>0</v>
      </c>
      <c r="AX1579" s="119">
        <v>0</v>
      </c>
      <c r="AY1579" s="401">
        <v>0</v>
      </c>
      <c r="AZ1579" s="119">
        <v>0</v>
      </c>
      <c r="BA1579" s="119">
        <v>0</v>
      </c>
      <c r="BB1579" s="119">
        <v>0</v>
      </c>
      <c r="BC1579" s="119">
        <v>0</v>
      </c>
      <c r="BD1579" s="401">
        <v>0</v>
      </c>
      <c r="BE1579" s="119">
        <v>0</v>
      </c>
      <c r="BF1579" s="119">
        <v>0</v>
      </c>
      <c r="BG1579" s="119">
        <v>0</v>
      </c>
      <c r="BH1579" s="119">
        <v>0</v>
      </c>
      <c r="BI1579" s="402">
        <v>0</v>
      </c>
      <c r="BJ1579" s="118"/>
      <c r="BK1579" s="118"/>
      <c r="BL1579" s="118"/>
      <c r="BM1579" s="118"/>
      <c r="BN1579" s="401">
        <v>0</v>
      </c>
      <c r="BO1579" s="118"/>
      <c r="BP1579" s="118"/>
      <c r="BQ1579" s="118"/>
      <c r="BR1579" s="118"/>
      <c r="BS1579" s="401">
        <v>0</v>
      </c>
      <c r="BT1579" s="401"/>
      <c r="BU1579" s="401"/>
      <c r="BV1579" s="401"/>
      <c r="BW1579" s="122"/>
    </row>
    <row r="1580" spans="1:75" s="123" customFormat="1" x14ac:dyDescent="0.5">
      <c r="A1580" s="184" t="s">
        <v>1383</v>
      </c>
      <c r="B1580" s="118"/>
      <c r="C1580" s="401"/>
      <c r="D1580" s="401">
        <v>0</v>
      </c>
      <c r="E1580" s="401">
        <v>0</v>
      </c>
      <c r="F1580" s="401">
        <v>-0.31</v>
      </c>
      <c r="G1580" s="119">
        <v>0</v>
      </c>
      <c r="H1580" s="119">
        <v>0</v>
      </c>
      <c r="I1580" s="119">
        <v>0</v>
      </c>
      <c r="J1580" s="119">
        <v>0</v>
      </c>
      <c r="K1580" s="401">
        <v>0</v>
      </c>
      <c r="L1580" s="119">
        <v>0</v>
      </c>
      <c r="M1580" s="119">
        <v>-0.252</v>
      </c>
      <c r="N1580" s="119">
        <v>-0.17099999999999999</v>
      </c>
      <c r="O1580" s="119">
        <v>-3.0000000000000027E-2</v>
      </c>
      <c r="P1580" s="401">
        <v>-0.45300000000000001</v>
      </c>
      <c r="Q1580" s="119">
        <v>0</v>
      </c>
      <c r="R1580" s="119">
        <v>-0.16800000000000001</v>
      </c>
      <c r="S1580" s="119">
        <v>-4.9999999999999989E-2</v>
      </c>
      <c r="T1580" s="119">
        <v>-0.12100000000000002</v>
      </c>
      <c r="U1580" s="401">
        <v>-0.33900000000000002</v>
      </c>
      <c r="V1580" s="119">
        <v>-0.16400000000000001</v>
      </c>
      <c r="W1580" s="119">
        <v>0</v>
      </c>
      <c r="X1580" s="119">
        <v>0</v>
      </c>
      <c r="Y1580" s="119">
        <v>-0.158</v>
      </c>
      <c r="Z1580" s="401">
        <v>-0.32200000000000001</v>
      </c>
      <c r="AA1580" s="119">
        <v>0</v>
      </c>
      <c r="AB1580" s="119">
        <v>-3.9E-2</v>
      </c>
      <c r="AC1580" s="119">
        <v>0</v>
      </c>
      <c r="AD1580" s="119">
        <v>0</v>
      </c>
      <c r="AE1580" s="401">
        <v>-3.9E-2</v>
      </c>
      <c r="AF1580" s="119">
        <v>0</v>
      </c>
      <c r="AG1580" s="119">
        <v>0</v>
      </c>
      <c r="AH1580" s="119">
        <v>0</v>
      </c>
      <c r="AI1580" s="119">
        <v>0</v>
      </c>
      <c r="AJ1580" s="401">
        <v>0</v>
      </c>
      <c r="AK1580" s="119">
        <v>0</v>
      </c>
      <c r="AL1580" s="119">
        <v>0</v>
      </c>
      <c r="AM1580" s="119">
        <v>0</v>
      </c>
      <c r="AN1580" s="119">
        <v>0</v>
      </c>
      <c r="AO1580" s="401">
        <v>0</v>
      </c>
      <c r="AP1580" s="119">
        <v>0</v>
      </c>
      <c r="AQ1580" s="119">
        <v>0</v>
      </c>
      <c r="AR1580" s="119">
        <v>0</v>
      </c>
      <c r="AS1580" s="119">
        <v>0</v>
      </c>
      <c r="AT1580" s="401">
        <v>0</v>
      </c>
      <c r="AU1580" s="119">
        <v>0</v>
      </c>
      <c r="AV1580" s="119">
        <v>0</v>
      </c>
      <c r="AW1580" s="119">
        <v>0</v>
      </c>
      <c r="AX1580" s="119">
        <v>0</v>
      </c>
      <c r="AY1580" s="401">
        <v>0</v>
      </c>
      <c r="AZ1580" s="119">
        <v>0</v>
      </c>
      <c r="BA1580" s="119">
        <v>0</v>
      </c>
      <c r="BB1580" s="119">
        <v>0</v>
      </c>
      <c r="BC1580" s="119">
        <v>0</v>
      </c>
      <c r="BD1580" s="401">
        <v>0</v>
      </c>
      <c r="BE1580" s="119">
        <v>0</v>
      </c>
      <c r="BF1580" s="119">
        <v>0</v>
      </c>
      <c r="BG1580" s="119">
        <v>0</v>
      </c>
      <c r="BH1580" s="119">
        <v>0</v>
      </c>
      <c r="BI1580" s="402">
        <v>0</v>
      </c>
      <c r="BJ1580" s="118">
        <v>0</v>
      </c>
      <c r="BK1580" s="118">
        <v>0</v>
      </c>
      <c r="BL1580" s="118">
        <v>0</v>
      </c>
      <c r="BM1580" s="118">
        <v>0</v>
      </c>
      <c r="BN1580" s="401">
        <v>0</v>
      </c>
      <c r="BO1580" s="118">
        <v>0</v>
      </c>
      <c r="BP1580" s="118">
        <v>0</v>
      </c>
      <c r="BQ1580" s="118">
        <v>0</v>
      </c>
      <c r="BR1580" s="118">
        <v>0</v>
      </c>
      <c r="BS1580" s="401">
        <v>0</v>
      </c>
      <c r="BT1580" s="401">
        <v>0</v>
      </c>
      <c r="BU1580" s="401">
        <v>0</v>
      </c>
      <c r="BV1580" s="401">
        <v>0</v>
      </c>
      <c r="BW1580" s="122"/>
    </row>
    <row r="1581" spans="1:75" s="123" customFormat="1" x14ac:dyDescent="0.5">
      <c r="A1581" s="184" t="s">
        <v>1384</v>
      </c>
      <c r="B1581" s="118"/>
      <c r="C1581" s="401"/>
      <c r="D1581" s="401">
        <v>0</v>
      </c>
      <c r="E1581" s="401">
        <v>0</v>
      </c>
      <c r="F1581" s="401">
        <v>0</v>
      </c>
      <c r="G1581" s="119">
        <v>0</v>
      </c>
      <c r="H1581" s="119">
        <v>0</v>
      </c>
      <c r="I1581" s="119">
        <v>0</v>
      </c>
      <c r="J1581" s="119">
        <v>0</v>
      </c>
      <c r="K1581" s="401">
        <v>0</v>
      </c>
      <c r="L1581" s="119">
        <v>0</v>
      </c>
      <c r="M1581" s="119">
        <v>0</v>
      </c>
      <c r="N1581" s="119">
        <v>0</v>
      </c>
      <c r="O1581" s="119">
        <v>0</v>
      </c>
      <c r="P1581" s="401">
        <v>0</v>
      </c>
      <c r="Q1581" s="119">
        <v>0</v>
      </c>
      <c r="R1581" s="119">
        <v>0</v>
      </c>
      <c r="S1581" s="119">
        <v>0</v>
      </c>
      <c r="T1581" s="119">
        <v>0</v>
      </c>
      <c r="U1581" s="401">
        <v>0</v>
      </c>
      <c r="V1581" s="119">
        <v>0</v>
      </c>
      <c r="W1581" s="119">
        <v>0</v>
      </c>
      <c r="X1581" s="119">
        <v>0</v>
      </c>
      <c r="Y1581" s="119">
        <v>0</v>
      </c>
      <c r="Z1581" s="401">
        <v>0</v>
      </c>
      <c r="AA1581" s="119">
        <v>0</v>
      </c>
      <c r="AB1581" s="119">
        <v>0</v>
      </c>
      <c r="AC1581" s="119">
        <v>0</v>
      </c>
      <c r="AD1581" s="119">
        <v>0</v>
      </c>
      <c r="AE1581" s="401">
        <v>0</v>
      </c>
      <c r="AF1581" s="119">
        <v>0</v>
      </c>
      <c r="AG1581" s="119">
        <v>0</v>
      </c>
      <c r="AH1581" s="119">
        <v>0</v>
      </c>
      <c r="AI1581" s="119">
        <v>0</v>
      </c>
      <c r="AJ1581" s="401">
        <v>0</v>
      </c>
      <c r="AK1581" s="119">
        <v>0</v>
      </c>
      <c r="AL1581" s="119">
        <v>0</v>
      </c>
      <c r="AM1581" s="119">
        <v>0</v>
      </c>
      <c r="AN1581" s="119">
        <v>0</v>
      </c>
      <c r="AO1581" s="401">
        <v>0</v>
      </c>
      <c r="AP1581" s="119">
        <v>0</v>
      </c>
      <c r="AQ1581" s="119">
        <v>-3.05</v>
      </c>
      <c r="AR1581" s="119">
        <v>-4.45</v>
      </c>
      <c r="AS1581" s="119">
        <v>-73.222999999999999</v>
      </c>
      <c r="AT1581" s="401">
        <v>-80.722999999999999</v>
      </c>
      <c r="AU1581" s="119">
        <v>-1.1719999999999999</v>
      </c>
      <c r="AV1581" s="119">
        <v>-0.76700000000000013</v>
      </c>
      <c r="AW1581" s="119">
        <v>-2.8769999999999998</v>
      </c>
      <c r="AX1581" s="119">
        <v>-4.1540000000000008</v>
      </c>
      <c r="AY1581" s="401">
        <v>-8.9700000000000006</v>
      </c>
      <c r="AZ1581" s="119">
        <v>-1.115</v>
      </c>
      <c r="BA1581" s="119">
        <v>-0.40500000000000003</v>
      </c>
      <c r="BB1581" s="119">
        <v>-0.79300000000000015</v>
      </c>
      <c r="BC1581" s="119">
        <v>-0.39999999999999991</v>
      </c>
      <c r="BD1581" s="401">
        <v>-2.7130000000000001</v>
      </c>
      <c r="BE1581" s="119">
        <v>-33.131</v>
      </c>
      <c r="BF1581" s="119">
        <v>-0.59599999999999653</v>
      </c>
      <c r="BG1581" s="119">
        <v>-0.59400000000000119</v>
      </c>
      <c r="BH1581" s="119">
        <v>-3.7540000000000049</v>
      </c>
      <c r="BI1581" s="402">
        <v>-38.075000000000003</v>
      </c>
      <c r="BJ1581" s="118"/>
      <c r="BK1581" s="118"/>
      <c r="BL1581" s="118"/>
      <c r="BM1581" s="118"/>
      <c r="BN1581" s="401">
        <v>0</v>
      </c>
      <c r="BO1581" s="118"/>
      <c r="BP1581" s="118"/>
      <c r="BQ1581" s="118"/>
      <c r="BR1581" s="118"/>
      <c r="BS1581" s="401">
        <v>0</v>
      </c>
      <c r="BT1581" s="401"/>
      <c r="BU1581" s="401"/>
      <c r="BV1581" s="401"/>
      <c r="BW1581" s="122"/>
    </row>
    <row r="1582" spans="1:75" s="123" customFormat="1" x14ac:dyDescent="0.5">
      <c r="A1582" s="184" t="s">
        <v>1385</v>
      </c>
      <c r="B1582" s="118"/>
      <c r="C1582" s="401"/>
      <c r="D1582" s="401">
        <v>0</v>
      </c>
      <c r="E1582" s="401">
        <v>0</v>
      </c>
      <c r="F1582" s="401">
        <v>0</v>
      </c>
      <c r="G1582" s="119">
        <v>0</v>
      </c>
      <c r="H1582" s="119">
        <v>0</v>
      </c>
      <c r="I1582" s="119">
        <v>0</v>
      </c>
      <c r="J1582" s="119">
        <v>0</v>
      </c>
      <c r="K1582" s="401">
        <v>0</v>
      </c>
      <c r="L1582" s="119">
        <v>0</v>
      </c>
      <c r="M1582" s="119">
        <v>0</v>
      </c>
      <c r="N1582" s="119">
        <v>0</v>
      </c>
      <c r="O1582" s="119">
        <v>-91.603999999999999</v>
      </c>
      <c r="P1582" s="401">
        <v>-91.603999999999999</v>
      </c>
      <c r="Q1582" s="119">
        <v>-19.471</v>
      </c>
      <c r="R1582" s="119">
        <v>-85.135999999999996</v>
      </c>
      <c r="S1582" s="119">
        <v>-51.448000000000008</v>
      </c>
      <c r="T1582" s="119">
        <v>-61.323999999999984</v>
      </c>
      <c r="U1582" s="401">
        <v>-217.37899999999999</v>
      </c>
      <c r="V1582" s="119">
        <v>-44.603999999999999</v>
      </c>
      <c r="W1582" s="119">
        <v>-92.195000000000007</v>
      </c>
      <c r="X1582" s="119">
        <v>-50.168000000000006</v>
      </c>
      <c r="Y1582" s="119">
        <v>-61.518000000000001</v>
      </c>
      <c r="Z1582" s="401">
        <v>-248.48500000000001</v>
      </c>
      <c r="AA1582" s="119">
        <v>-16.109000000000002</v>
      </c>
      <c r="AB1582" s="119">
        <v>0</v>
      </c>
      <c r="AC1582" s="119">
        <v>0</v>
      </c>
      <c r="AD1582" s="119">
        <v>0</v>
      </c>
      <c r="AE1582" s="401">
        <v>-16.109000000000002</v>
      </c>
      <c r="AF1582" s="119">
        <v>0</v>
      </c>
      <c r="AG1582" s="119">
        <v>0</v>
      </c>
      <c r="AH1582" s="119">
        <v>0</v>
      </c>
      <c r="AI1582" s="119">
        <v>0</v>
      </c>
      <c r="AJ1582" s="401">
        <v>0</v>
      </c>
      <c r="AK1582" s="119">
        <v>0</v>
      </c>
      <c r="AL1582" s="119">
        <v>0</v>
      </c>
      <c r="AM1582" s="119">
        <v>0</v>
      </c>
      <c r="AN1582" s="119">
        <v>0</v>
      </c>
      <c r="AO1582" s="401">
        <v>0</v>
      </c>
      <c r="AP1582" s="119">
        <v>0</v>
      </c>
      <c r="AQ1582" s="119">
        <v>0</v>
      </c>
      <c r="AR1582" s="119">
        <v>0</v>
      </c>
      <c r="AS1582" s="119">
        <v>0</v>
      </c>
      <c r="AT1582" s="401">
        <v>0</v>
      </c>
      <c r="AU1582" s="119">
        <v>0</v>
      </c>
      <c r="AV1582" s="119">
        <v>0</v>
      </c>
      <c r="AW1582" s="119">
        <v>0</v>
      </c>
      <c r="AX1582" s="119">
        <v>0</v>
      </c>
      <c r="AY1582" s="401">
        <v>0</v>
      </c>
      <c r="AZ1582" s="119">
        <v>0</v>
      </c>
      <c r="BA1582" s="119">
        <v>0</v>
      </c>
      <c r="BB1582" s="119">
        <v>0</v>
      </c>
      <c r="BC1582" s="119">
        <v>0</v>
      </c>
      <c r="BD1582" s="401">
        <v>0</v>
      </c>
      <c r="BE1582" s="119">
        <v>0</v>
      </c>
      <c r="BF1582" s="119">
        <v>0</v>
      </c>
      <c r="BG1582" s="119">
        <v>0</v>
      </c>
      <c r="BH1582" s="119">
        <v>0</v>
      </c>
      <c r="BI1582" s="402">
        <v>0</v>
      </c>
      <c r="BJ1582" s="118"/>
      <c r="BK1582" s="118"/>
      <c r="BL1582" s="118"/>
      <c r="BM1582" s="118"/>
      <c r="BN1582" s="401">
        <v>0</v>
      </c>
      <c r="BO1582" s="118"/>
      <c r="BP1582" s="118"/>
      <c r="BQ1582" s="118"/>
      <c r="BR1582" s="118"/>
      <c r="BS1582" s="401">
        <v>0</v>
      </c>
      <c r="BT1582" s="401"/>
      <c r="BU1582" s="401"/>
      <c r="BV1582" s="401"/>
      <c r="BW1582" s="122"/>
    </row>
    <row r="1583" spans="1:75" s="123" customFormat="1" x14ac:dyDescent="0.5">
      <c r="A1583" s="184" t="s">
        <v>1386</v>
      </c>
      <c r="B1583" s="118"/>
      <c r="C1583" s="401"/>
      <c r="D1583" s="401">
        <v>0</v>
      </c>
      <c r="E1583" s="401">
        <v>0</v>
      </c>
      <c r="F1583" s="401">
        <v>0</v>
      </c>
      <c r="G1583" s="119">
        <v>0</v>
      </c>
      <c r="H1583" s="119">
        <v>0</v>
      </c>
      <c r="I1583" s="119">
        <v>0</v>
      </c>
      <c r="J1583" s="119">
        <v>0</v>
      </c>
      <c r="K1583" s="401">
        <v>0</v>
      </c>
      <c r="L1583" s="119">
        <v>0</v>
      </c>
      <c r="M1583" s="119">
        <v>0</v>
      </c>
      <c r="N1583" s="119">
        <v>0</v>
      </c>
      <c r="O1583" s="119">
        <v>11.118</v>
      </c>
      <c r="P1583" s="401">
        <v>11.118</v>
      </c>
      <c r="Q1583" s="119">
        <v>15</v>
      </c>
      <c r="R1583" s="119">
        <v>20</v>
      </c>
      <c r="S1583" s="119">
        <v>38.087000000000003</v>
      </c>
      <c r="T1583" s="119">
        <v>70.743000000000009</v>
      </c>
      <c r="U1583" s="401">
        <v>143.83000000000001</v>
      </c>
      <c r="V1583" s="119">
        <v>54.368000000000002</v>
      </c>
      <c r="W1583" s="119">
        <v>22.945</v>
      </c>
      <c r="X1583" s="119">
        <v>38.625</v>
      </c>
      <c r="Y1583" s="119">
        <v>71.399999999999991</v>
      </c>
      <c r="Z1583" s="401">
        <v>187.33799999999999</v>
      </c>
      <c r="AA1583" s="119">
        <v>46.89</v>
      </c>
      <c r="AB1583" s="119">
        <v>0</v>
      </c>
      <c r="AC1583" s="119">
        <v>0</v>
      </c>
      <c r="AD1583" s="119">
        <v>0</v>
      </c>
      <c r="AE1583" s="401">
        <v>46.89</v>
      </c>
      <c r="AF1583" s="119">
        <v>0</v>
      </c>
      <c r="AG1583" s="119">
        <v>0</v>
      </c>
      <c r="AH1583" s="119">
        <v>0</v>
      </c>
      <c r="AI1583" s="119">
        <v>0</v>
      </c>
      <c r="AJ1583" s="401">
        <v>0</v>
      </c>
      <c r="AK1583" s="119">
        <v>0</v>
      </c>
      <c r="AL1583" s="119">
        <v>0</v>
      </c>
      <c r="AM1583" s="119">
        <v>0</v>
      </c>
      <c r="AN1583" s="119">
        <v>0</v>
      </c>
      <c r="AO1583" s="401">
        <v>0</v>
      </c>
      <c r="AP1583" s="119">
        <v>0</v>
      </c>
      <c r="AQ1583" s="119">
        <v>0</v>
      </c>
      <c r="AR1583" s="119">
        <v>0</v>
      </c>
      <c r="AS1583" s="119">
        <v>0</v>
      </c>
      <c r="AT1583" s="401">
        <v>0</v>
      </c>
      <c r="AU1583" s="119">
        <v>0</v>
      </c>
      <c r="AV1583" s="119">
        <v>0</v>
      </c>
      <c r="AW1583" s="119">
        <v>0</v>
      </c>
      <c r="AX1583" s="119">
        <v>0</v>
      </c>
      <c r="AY1583" s="401">
        <v>0</v>
      </c>
      <c r="AZ1583" s="119">
        <v>0</v>
      </c>
      <c r="BA1583" s="119">
        <v>0</v>
      </c>
      <c r="BB1583" s="119">
        <v>0</v>
      </c>
      <c r="BC1583" s="119">
        <v>0</v>
      </c>
      <c r="BD1583" s="401">
        <v>0</v>
      </c>
      <c r="BE1583" s="119">
        <v>0</v>
      </c>
      <c r="BF1583" s="119">
        <v>0</v>
      </c>
      <c r="BG1583" s="119">
        <v>0</v>
      </c>
      <c r="BH1583" s="119">
        <v>0</v>
      </c>
      <c r="BI1583" s="402">
        <v>0</v>
      </c>
      <c r="BJ1583" s="118"/>
      <c r="BK1583" s="118"/>
      <c r="BL1583" s="118"/>
      <c r="BM1583" s="118"/>
      <c r="BN1583" s="401">
        <v>0</v>
      </c>
      <c r="BO1583" s="118"/>
      <c r="BP1583" s="118"/>
      <c r="BQ1583" s="118"/>
      <c r="BR1583" s="118"/>
      <c r="BS1583" s="401">
        <v>0</v>
      </c>
      <c r="BT1583" s="401"/>
      <c r="BU1583" s="401"/>
      <c r="BV1583" s="401"/>
      <c r="BW1583" s="122"/>
    </row>
    <row r="1584" spans="1:75" s="123" customFormat="1" x14ac:dyDescent="0.5">
      <c r="A1584" s="445" t="s">
        <v>1387</v>
      </c>
      <c r="B1584" s="312"/>
      <c r="C1584" s="406"/>
      <c r="D1584" s="406">
        <v>0</v>
      </c>
      <c r="E1584" s="406">
        <v>0</v>
      </c>
      <c r="F1584" s="406">
        <v>0</v>
      </c>
      <c r="G1584" s="312">
        <v>0</v>
      </c>
      <c r="H1584" s="312">
        <v>0</v>
      </c>
      <c r="I1584" s="312">
        <v>0</v>
      </c>
      <c r="J1584" s="312">
        <v>0</v>
      </c>
      <c r="K1584" s="406">
        <v>0</v>
      </c>
      <c r="L1584" s="312">
        <v>0</v>
      </c>
      <c r="M1584" s="312">
        <v>0</v>
      </c>
      <c r="N1584" s="312">
        <v>0</v>
      </c>
      <c r="O1584" s="312">
        <v>0</v>
      </c>
      <c r="P1584" s="406">
        <v>0</v>
      </c>
      <c r="Q1584" s="312">
        <v>0</v>
      </c>
      <c r="R1584" s="312">
        <v>0</v>
      </c>
      <c r="S1584" s="312">
        <v>0</v>
      </c>
      <c r="T1584" s="312">
        <v>0</v>
      </c>
      <c r="U1584" s="406">
        <v>0</v>
      </c>
      <c r="V1584" s="312">
        <v>31.896000000000001</v>
      </c>
      <c r="W1584" s="312">
        <v>0</v>
      </c>
      <c r="X1584" s="312">
        <v>0</v>
      </c>
      <c r="Y1584" s="312">
        <v>5.1999999999999957</v>
      </c>
      <c r="Z1584" s="406">
        <v>37.095999999999997</v>
      </c>
      <c r="AA1584" s="312">
        <v>145.02000000000001</v>
      </c>
      <c r="AB1584" s="312">
        <v>0</v>
      </c>
      <c r="AC1584" s="312">
        <v>0</v>
      </c>
      <c r="AD1584" s="312">
        <v>0</v>
      </c>
      <c r="AE1584" s="406">
        <v>145.02000000000001</v>
      </c>
      <c r="AF1584" s="312">
        <v>0</v>
      </c>
      <c r="AG1584" s="312">
        <v>0</v>
      </c>
      <c r="AH1584" s="312">
        <v>0</v>
      </c>
      <c r="AI1584" s="312">
        <v>0</v>
      </c>
      <c r="AJ1584" s="406">
        <v>0</v>
      </c>
      <c r="AK1584" s="312">
        <v>0</v>
      </c>
      <c r="AL1584" s="312">
        <v>0</v>
      </c>
      <c r="AM1584" s="312">
        <v>0</v>
      </c>
      <c r="AN1584" s="312">
        <v>0</v>
      </c>
      <c r="AO1584" s="406">
        <v>0</v>
      </c>
      <c r="AP1584" s="312">
        <v>0</v>
      </c>
      <c r="AQ1584" s="312">
        <v>0</v>
      </c>
      <c r="AR1584" s="312">
        <v>0</v>
      </c>
      <c r="AS1584" s="312">
        <v>0</v>
      </c>
      <c r="AT1584" s="406">
        <v>0</v>
      </c>
      <c r="AU1584" s="312">
        <v>0</v>
      </c>
      <c r="AV1584" s="312">
        <v>0</v>
      </c>
      <c r="AW1584" s="312">
        <v>0</v>
      </c>
      <c r="AX1584" s="312">
        <v>0</v>
      </c>
      <c r="AY1584" s="406">
        <v>0</v>
      </c>
      <c r="AZ1584" s="312">
        <v>0</v>
      </c>
      <c r="BA1584" s="312">
        <v>0</v>
      </c>
      <c r="BB1584" s="312">
        <v>0</v>
      </c>
      <c r="BC1584" s="312">
        <v>0</v>
      </c>
      <c r="BD1584" s="406">
        <v>0</v>
      </c>
      <c r="BE1584" s="312">
        <v>0</v>
      </c>
      <c r="BF1584" s="312">
        <v>0</v>
      </c>
      <c r="BG1584" s="312">
        <v>0</v>
      </c>
      <c r="BH1584" s="312">
        <v>0</v>
      </c>
      <c r="BI1584" s="407">
        <v>0</v>
      </c>
      <c r="BJ1584" s="312"/>
      <c r="BK1584" s="312"/>
      <c r="BL1584" s="312"/>
      <c r="BM1584" s="312"/>
      <c r="BN1584" s="406">
        <v>0</v>
      </c>
      <c r="BO1584" s="312"/>
      <c r="BP1584" s="312"/>
      <c r="BQ1584" s="312"/>
      <c r="BR1584" s="312"/>
      <c r="BS1584" s="406">
        <v>0</v>
      </c>
      <c r="BT1584" s="406"/>
      <c r="BU1584" s="406"/>
      <c r="BV1584" s="406"/>
      <c r="BW1584" s="122"/>
    </row>
    <row r="1585" spans="1:75" s="198" customFormat="1" ht="14.25" x14ac:dyDescent="0.45">
      <c r="A1585" s="192" t="s">
        <v>1388</v>
      </c>
      <c r="B1585" s="517"/>
      <c r="C1585" s="518"/>
      <c r="D1585" s="518">
        <v>-39.906999999999996</v>
      </c>
      <c r="E1585" s="518">
        <v>-25.593</v>
      </c>
      <c r="F1585" s="518">
        <v>-49.368000000000002</v>
      </c>
      <c r="G1585" s="327">
        <v>-9.7370000000000001</v>
      </c>
      <c r="H1585" s="327">
        <v>-20.878999999999998</v>
      </c>
      <c r="I1585" s="327">
        <v>-27.006</v>
      </c>
      <c r="J1585" s="327">
        <v>-36.245999999999995</v>
      </c>
      <c r="K1585" s="518">
        <v>-93.867999999999995</v>
      </c>
      <c r="L1585" s="327">
        <v>-16.515000000000001</v>
      </c>
      <c r="M1585" s="327">
        <v>-22.536999999999995</v>
      </c>
      <c r="N1585" s="327">
        <v>-31.061</v>
      </c>
      <c r="O1585" s="327">
        <v>-130.435</v>
      </c>
      <c r="P1585" s="518">
        <v>-200.548</v>
      </c>
      <c r="Q1585" s="327">
        <v>-33.698</v>
      </c>
      <c r="R1585" s="327">
        <v>-92.212999999999994</v>
      </c>
      <c r="S1585" s="327">
        <v>-56.930000000000007</v>
      </c>
      <c r="T1585" s="327">
        <v>-44.555999999999969</v>
      </c>
      <c r="U1585" s="518">
        <v>-227.39699999999996</v>
      </c>
      <c r="V1585" s="327">
        <v>-7.330999999999996</v>
      </c>
      <c r="W1585" s="327">
        <v>-211.18299999999999</v>
      </c>
      <c r="X1585" s="327">
        <v>-44.864000000000004</v>
      </c>
      <c r="Y1585" s="327">
        <v>-58.119000000000007</v>
      </c>
      <c r="Z1585" s="518">
        <v>-321.49700000000007</v>
      </c>
      <c r="AA1585" s="327">
        <v>167.245</v>
      </c>
      <c r="AB1585" s="327">
        <v>-21.007000000000005</v>
      </c>
      <c r="AC1585" s="327">
        <v>-44.914000000000001</v>
      </c>
      <c r="AD1585" s="327">
        <v>-37.280999999999999</v>
      </c>
      <c r="AE1585" s="518">
        <v>64.043000000000021</v>
      </c>
      <c r="AF1585" s="327">
        <v>-17.673999999999999</v>
      </c>
      <c r="AG1585" s="327">
        <v>-25.241999999999997</v>
      </c>
      <c r="AH1585" s="327">
        <v>-30.362000000000009</v>
      </c>
      <c r="AI1585" s="327">
        <v>-6.7139999999999986</v>
      </c>
      <c r="AJ1585" s="518">
        <v>-79.992000000000004</v>
      </c>
      <c r="AK1585" s="327">
        <v>-7.9160000000000004</v>
      </c>
      <c r="AL1585" s="327">
        <v>-17.367000000000001</v>
      </c>
      <c r="AM1585" s="327">
        <v>-45.253</v>
      </c>
      <c r="AN1585" s="327">
        <v>-52.009</v>
      </c>
      <c r="AO1585" s="518">
        <v>-122.545</v>
      </c>
      <c r="AP1585" s="327">
        <v>-16.632000000000001</v>
      </c>
      <c r="AQ1585" s="327">
        <v>-8.9429999999999978</v>
      </c>
      <c r="AR1585" s="327">
        <v>-41.725999999999999</v>
      </c>
      <c r="AS1585" s="327">
        <v>-130.29900000000001</v>
      </c>
      <c r="AT1585" s="518">
        <v>-197.60000000000002</v>
      </c>
      <c r="AU1585" s="327">
        <v>-51.422999999999995</v>
      </c>
      <c r="AV1585" s="327">
        <v>-32.654000000000011</v>
      </c>
      <c r="AW1585" s="327">
        <v>-74.512999999999991</v>
      </c>
      <c r="AX1585" s="327">
        <v>-35.763000000000012</v>
      </c>
      <c r="AY1585" s="518">
        <v>-194.35300000000001</v>
      </c>
      <c r="AZ1585" s="327">
        <v>-30.478999999999999</v>
      </c>
      <c r="BA1585" s="327">
        <v>-33.599000000000004</v>
      </c>
      <c r="BB1585" s="327">
        <v>-42.622999999999998</v>
      </c>
      <c r="BC1585" s="327">
        <v>-64.367000000000004</v>
      </c>
      <c r="BD1585" s="518">
        <v>-171.06799999999998</v>
      </c>
      <c r="BE1585" s="327">
        <v>-67.320999999999998</v>
      </c>
      <c r="BF1585" s="327">
        <v>-48.002000000000002</v>
      </c>
      <c r="BG1585" s="327">
        <v>-50.838000000000001</v>
      </c>
      <c r="BH1585" s="327">
        <v>-141.26999999999998</v>
      </c>
      <c r="BI1585" s="525">
        <v>-307.43099999999998</v>
      </c>
      <c r="BJ1585" s="327">
        <v>-50</v>
      </c>
      <c r="BK1585" s="327">
        <v>-50</v>
      </c>
      <c r="BL1585" s="327">
        <v>-50</v>
      </c>
      <c r="BM1585" s="327">
        <v>-50</v>
      </c>
      <c r="BN1585" s="518">
        <v>-200</v>
      </c>
      <c r="BO1585" s="327">
        <v>-50</v>
      </c>
      <c r="BP1585" s="327">
        <v>-50</v>
      </c>
      <c r="BQ1585" s="327">
        <v>-50</v>
      </c>
      <c r="BR1585" s="327">
        <v>-50</v>
      </c>
      <c r="BS1585" s="518">
        <v>-200</v>
      </c>
      <c r="BT1585" s="518">
        <v>-200</v>
      </c>
      <c r="BU1585" s="518">
        <v>-200</v>
      </c>
      <c r="BV1585" s="518">
        <v>-200</v>
      </c>
      <c r="BW1585" s="197"/>
    </row>
    <row r="1586" spans="1:75" s="198" customFormat="1" ht="14.25" x14ac:dyDescent="0.45">
      <c r="A1586" s="206"/>
      <c r="B1586" s="522"/>
      <c r="C1586" s="397"/>
      <c r="D1586" s="397"/>
      <c r="E1586" s="397"/>
      <c r="F1586" s="397"/>
      <c r="G1586" s="295"/>
      <c r="H1586" s="295"/>
      <c r="I1586" s="295"/>
      <c r="J1586" s="295"/>
      <c r="K1586" s="397"/>
      <c r="L1586" s="295"/>
      <c r="M1586" s="295"/>
      <c r="N1586" s="295"/>
      <c r="O1586" s="295"/>
      <c r="P1586" s="397"/>
      <c r="Q1586" s="295"/>
      <c r="R1586" s="295"/>
      <c r="S1586" s="295"/>
      <c r="T1586" s="295"/>
      <c r="U1586" s="397"/>
      <c r="V1586" s="295"/>
      <c r="W1586" s="295"/>
      <c r="X1586" s="295"/>
      <c r="Y1586" s="295"/>
      <c r="Z1586" s="397"/>
      <c r="AA1586" s="295"/>
      <c r="AB1586" s="295"/>
      <c r="AC1586" s="295"/>
      <c r="AD1586" s="295"/>
      <c r="AE1586" s="397"/>
      <c r="AF1586" s="295"/>
      <c r="AG1586" s="295"/>
      <c r="AH1586" s="295"/>
      <c r="AI1586" s="295"/>
      <c r="AJ1586" s="397"/>
      <c r="AK1586" s="295"/>
      <c r="AL1586" s="295"/>
      <c r="AM1586" s="295"/>
      <c r="AN1586" s="295"/>
      <c r="AO1586" s="397"/>
      <c r="AP1586" s="295"/>
      <c r="AQ1586" s="295"/>
      <c r="AR1586" s="295"/>
      <c r="AS1586" s="295"/>
      <c r="AT1586" s="397"/>
      <c r="AU1586" s="295"/>
      <c r="AV1586" s="295"/>
      <c r="AW1586" s="295"/>
      <c r="AX1586" s="295"/>
      <c r="AY1586" s="397"/>
      <c r="AZ1586" s="295"/>
      <c r="BA1586" s="295"/>
      <c r="BB1586" s="295"/>
      <c r="BC1586" s="295"/>
      <c r="BD1586" s="397"/>
      <c r="BE1586" s="295"/>
      <c r="BF1586" s="295"/>
      <c r="BG1586" s="295"/>
      <c r="BH1586" s="295"/>
      <c r="BI1586" s="399"/>
      <c r="BJ1586" s="295"/>
      <c r="BK1586" s="295"/>
      <c r="BL1586" s="295"/>
      <c r="BM1586" s="295"/>
      <c r="BN1586" s="397"/>
      <c r="BO1586" s="295"/>
      <c r="BP1586" s="295"/>
      <c r="BQ1586" s="295"/>
      <c r="BR1586" s="295"/>
      <c r="BS1586" s="397"/>
      <c r="BT1586" s="397"/>
      <c r="BU1586" s="397"/>
      <c r="BV1586" s="397"/>
      <c r="BW1586" s="197"/>
    </row>
    <row r="1587" spans="1:75" s="198" customFormat="1" ht="14.25" x14ac:dyDescent="0.45">
      <c r="A1587" s="206" t="s">
        <v>1389</v>
      </c>
      <c r="B1587" s="522"/>
      <c r="C1587" s="397"/>
      <c r="D1587" s="397"/>
      <c r="E1587" s="397"/>
      <c r="F1587" s="397"/>
      <c r="G1587" s="295"/>
      <c r="H1587" s="295"/>
      <c r="I1587" s="295"/>
      <c r="J1587" s="295"/>
      <c r="K1587" s="397"/>
      <c r="L1587" s="295"/>
      <c r="M1587" s="295"/>
      <c r="N1587" s="295"/>
      <c r="O1587" s="295"/>
      <c r="P1587" s="397"/>
      <c r="Q1587" s="295"/>
      <c r="R1587" s="295"/>
      <c r="S1587" s="295"/>
      <c r="T1587" s="295"/>
      <c r="U1587" s="397"/>
      <c r="V1587" s="295"/>
      <c r="W1587" s="295"/>
      <c r="X1587" s="295"/>
      <c r="Y1587" s="295"/>
      <c r="Z1587" s="397"/>
      <c r="AA1587" s="295"/>
      <c r="AB1587" s="295"/>
      <c r="AC1587" s="295"/>
      <c r="AD1587" s="295"/>
      <c r="AE1587" s="397"/>
      <c r="AF1587" s="295"/>
      <c r="AG1587" s="295"/>
      <c r="AH1587" s="295"/>
      <c r="AI1587" s="295"/>
      <c r="AJ1587" s="397"/>
      <c r="AK1587" s="295"/>
      <c r="AL1587" s="295"/>
      <c r="AM1587" s="295"/>
      <c r="AN1587" s="295"/>
      <c r="AO1587" s="397"/>
      <c r="AP1587" s="295"/>
      <c r="AQ1587" s="295"/>
      <c r="AR1587" s="295"/>
      <c r="AS1587" s="295"/>
      <c r="AT1587" s="397"/>
      <c r="AU1587" s="295"/>
      <c r="AV1587" s="295"/>
      <c r="AW1587" s="295"/>
      <c r="AX1587" s="295"/>
      <c r="AY1587" s="397"/>
      <c r="AZ1587" s="295"/>
      <c r="BA1587" s="295"/>
      <c r="BB1587" s="295"/>
      <c r="BC1587" s="295"/>
      <c r="BD1587" s="397"/>
      <c r="BE1587" s="295"/>
      <c r="BF1587" s="295"/>
      <c r="BG1587" s="295"/>
      <c r="BH1587" s="295"/>
      <c r="BI1587" s="399"/>
      <c r="BJ1587" s="295"/>
      <c r="BK1587" s="295"/>
      <c r="BL1587" s="295"/>
      <c r="BM1587" s="295"/>
      <c r="BN1587" s="397"/>
      <c r="BO1587" s="295"/>
      <c r="BP1587" s="295"/>
      <c r="BQ1587" s="295"/>
      <c r="BR1587" s="295"/>
      <c r="BS1587" s="397"/>
      <c r="BT1587" s="397"/>
      <c r="BU1587" s="397"/>
      <c r="BV1587" s="397"/>
      <c r="BW1587" s="197"/>
    </row>
    <row r="1588" spans="1:75" s="123" customFormat="1" x14ac:dyDescent="0.5">
      <c r="A1588" s="184" t="s">
        <v>1390</v>
      </c>
      <c r="B1588" s="118"/>
      <c r="C1588" s="401"/>
      <c r="D1588" s="401">
        <v>875.93600000000004</v>
      </c>
      <c r="E1588" s="401">
        <v>1007.33</v>
      </c>
      <c r="F1588" s="401">
        <v>1344.4680000000001</v>
      </c>
      <c r="G1588" s="119">
        <v>353.25799999999998</v>
      </c>
      <c r="H1588" s="119">
        <v>397.11799999999999</v>
      </c>
      <c r="I1588" s="119">
        <v>439.80200000000013</v>
      </c>
      <c r="J1588" s="119">
        <v>480.69799999999987</v>
      </c>
      <c r="K1588" s="401">
        <v>1670.876</v>
      </c>
      <c r="L1588" s="119">
        <v>469.59399999999999</v>
      </c>
      <c r="M1588" s="119">
        <v>280.35100000000006</v>
      </c>
      <c r="N1588" s="119">
        <v>0</v>
      </c>
      <c r="O1588" s="119">
        <v>0</v>
      </c>
      <c r="P1588" s="401">
        <v>749.94500000000005</v>
      </c>
      <c r="Q1588" s="119">
        <v>0</v>
      </c>
      <c r="R1588" s="119">
        <v>0</v>
      </c>
      <c r="S1588" s="119">
        <v>0</v>
      </c>
      <c r="T1588" s="119">
        <v>0</v>
      </c>
      <c r="U1588" s="401">
        <v>0</v>
      </c>
      <c r="V1588" s="119">
        <v>0</v>
      </c>
      <c r="W1588" s="119">
        <v>0</v>
      </c>
      <c r="X1588" s="119">
        <v>0</v>
      </c>
      <c r="Y1588" s="119">
        <v>0</v>
      </c>
      <c r="Z1588" s="401">
        <v>0</v>
      </c>
      <c r="AA1588" s="119">
        <v>0</v>
      </c>
      <c r="AB1588" s="119">
        <v>0</v>
      </c>
      <c r="AC1588" s="119">
        <v>0</v>
      </c>
      <c r="AD1588" s="119">
        <v>0</v>
      </c>
      <c r="AE1588" s="401">
        <v>0</v>
      </c>
      <c r="AF1588" s="119">
        <v>0</v>
      </c>
      <c r="AG1588" s="119">
        <v>0</v>
      </c>
      <c r="AH1588" s="119">
        <v>0</v>
      </c>
      <c r="AI1588" s="119">
        <v>0</v>
      </c>
      <c r="AJ1588" s="401">
        <v>0</v>
      </c>
      <c r="AK1588" s="119">
        <v>0</v>
      </c>
      <c r="AL1588" s="119">
        <v>0</v>
      </c>
      <c r="AM1588" s="119">
        <v>0</v>
      </c>
      <c r="AN1588" s="119">
        <v>0</v>
      </c>
      <c r="AO1588" s="401">
        <v>0</v>
      </c>
      <c r="AP1588" s="119">
        <v>0</v>
      </c>
      <c r="AQ1588" s="119">
        <v>0</v>
      </c>
      <c r="AR1588" s="119">
        <v>0</v>
      </c>
      <c r="AS1588" s="119">
        <v>0</v>
      </c>
      <c r="AT1588" s="401">
        <v>0</v>
      </c>
      <c r="AU1588" s="119">
        <v>0</v>
      </c>
      <c r="AV1588" s="119">
        <v>0</v>
      </c>
      <c r="AW1588" s="119">
        <v>0</v>
      </c>
      <c r="AX1588" s="119">
        <v>0</v>
      </c>
      <c r="AY1588" s="401">
        <v>0</v>
      </c>
      <c r="AZ1588" s="119">
        <v>0</v>
      </c>
      <c r="BA1588" s="119">
        <v>0</v>
      </c>
      <c r="BB1588" s="119">
        <v>0</v>
      </c>
      <c r="BC1588" s="119">
        <v>0</v>
      </c>
      <c r="BD1588" s="401">
        <v>0</v>
      </c>
      <c r="BE1588" s="119">
        <v>0</v>
      </c>
      <c r="BF1588" s="119">
        <v>0</v>
      </c>
      <c r="BG1588" s="119">
        <v>0</v>
      </c>
      <c r="BH1588" s="119">
        <v>0</v>
      </c>
      <c r="BI1588" s="402">
        <v>0</v>
      </c>
      <c r="BJ1588" s="118"/>
      <c r="BK1588" s="118"/>
      <c r="BL1588" s="118"/>
      <c r="BM1588" s="118"/>
      <c r="BN1588" s="401">
        <v>0</v>
      </c>
      <c r="BO1588" s="118"/>
      <c r="BP1588" s="118"/>
      <c r="BQ1588" s="118"/>
      <c r="BR1588" s="118"/>
      <c r="BS1588" s="401">
        <v>0</v>
      </c>
      <c r="BT1588" s="401"/>
      <c r="BU1588" s="401"/>
      <c r="BV1588" s="401"/>
      <c r="BW1588" s="122"/>
    </row>
    <row r="1589" spans="1:75" s="123" customFormat="1" x14ac:dyDescent="0.5">
      <c r="A1589" s="184" t="s">
        <v>1391</v>
      </c>
      <c r="B1589" s="118"/>
      <c r="C1589" s="401"/>
      <c r="D1589" s="401">
        <v>-821.73400000000004</v>
      </c>
      <c r="E1589" s="401">
        <v>-1011.937</v>
      </c>
      <c r="F1589" s="401">
        <v>-1369.4690000000001</v>
      </c>
      <c r="G1589" s="119">
        <v>-321.76499999999999</v>
      </c>
      <c r="H1589" s="119">
        <v>-423.53700000000003</v>
      </c>
      <c r="I1589" s="119">
        <v>-419.13199999999995</v>
      </c>
      <c r="J1589" s="119">
        <v>-503.51800000000003</v>
      </c>
      <c r="K1589" s="401">
        <v>-1667.952</v>
      </c>
      <c r="L1589" s="119">
        <v>-405.87299999999999</v>
      </c>
      <c r="M1589" s="119">
        <v>-429.49700000000001</v>
      </c>
      <c r="N1589" s="119">
        <v>0</v>
      </c>
      <c r="O1589" s="119">
        <v>0</v>
      </c>
      <c r="P1589" s="401">
        <v>-835.37</v>
      </c>
      <c r="Q1589" s="119">
        <v>0</v>
      </c>
      <c r="R1589" s="119">
        <v>0</v>
      </c>
      <c r="S1589" s="119">
        <v>0</v>
      </c>
      <c r="T1589" s="119">
        <v>0</v>
      </c>
      <c r="U1589" s="401">
        <v>0</v>
      </c>
      <c r="V1589" s="119">
        <v>0</v>
      </c>
      <c r="W1589" s="119">
        <v>0</v>
      </c>
      <c r="X1589" s="119">
        <v>0</v>
      </c>
      <c r="Y1589" s="119">
        <v>0</v>
      </c>
      <c r="Z1589" s="401">
        <v>0</v>
      </c>
      <c r="AA1589" s="119">
        <v>0</v>
      </c>
      <c r="AB1589" s="119">
        <v>0</v>
      </c>
      <c r="AC1589" s="119">
        <v>0</v>
      </c>
      <c r="AD1589" s="119">
        <v>0</v>
      </c>
      <c r="AE1589" s="401">
        <v>0</v>
      </c>
      <c r="AF1589" s="119">
        <v>0</v>
      </c>
      <c r="AG1589" s="119">
        <v>0</v>
      </c>
      <c r="AH1589" s="119">
        <v>0</v>
      </c>
      <c r="AI1589" s="119">
        <v>0</v>
      </c>
      <c r="AJ1589" s="401">
        <v>0</v>
      </c>
      <c r="AK1589" s="119">
        <v>0</v>
      </c>
      <c r="AL1589" s="119">
        <v>0</v>
      </c>
      <c r="AM1589" s="119">
        <v>0</v>
      </c>
      <c r="AN1589" s="119">
        <v>0</v>
      </c>
      <c r="AO1589" s="401">
        <v>0</v>
      </c>
      <c r="AP1589" s="119">
        <v>0</v>
      </c>
      <c r="AQ1589" s="119">
        <v>0</v>
      </c>
      <c r="AR1589" s="119">
        <v>0</v>
      </c>
      <c r="AS1589" s="119">
        <v>0</v>
      </c>
      <c r="AT1589" s="401">
        <v>0</v>
      </c>
      <c r="AU1589" s="119">
        <v>0</v>
      </c>
      <c r="AV1589" s="119">
        <v>0</v>
      </c>
      <c r="AW1589" s="119">
        <v>0</v>
      </c>
      <c r="AX1589" s="119">
        <v>0</v>
      </c>
      <c r="AY1589" s="401">
        <v>0</v>
      </c>
      <c r="AZ1589" s="119">
        <v>0</v>
      </c>
      <c r="BA1589" s="119">
        <v>0</v>
      </c>
      <c r="BB1589" s="119">
        <v>0</v>
      </c>
      <c r="BC1589" s="119">
        <v>0</v>
      </c>
      <c r="BD1589" s="401">
        <v>0</v>
      </c>
      <c r="BE1589" s="119">
        <v>0</v>
      </c>
      <c r="BF1589" s="119">
        <v>0</v>
      </c>
      <c r="BG1589" s="119">
        <v>0</v>
      </c>
      <c r="BH1589" s="119">
        <v>0</v>
      </c>
      <c r="BI1589" s="402">
        <v>0</v>
      </c>
      <c r="BJ1589" s="118"/>
      <c r="BK1589" s="118"/>
      <c r="BL1589" s="118"/>
      <c r="BM1589" s="118"/>
      <c r="BN1589" s="401">
        <v>0</v>
      </c>
      <c r="BO1589" s="118"/>
      <c r="BP1589" s="118"/>
      <c r="BQ1589" s="118"/>
      <c r="BR1589" s="118"/>
      <c r="BS1589" s="401">
        <v>0</v>
      </c>
      <c r="BT1589" s="401"/>
      <c r="BU1589" s="401"/>
      <c r="BV1589" s="401"/>
      <c r="BW1589" s="122"/>
    </row>
    <row r="1590" spans="1:75" s="123" customFormat="1" x14ac:dyDescent="0.5">
      <c r="A1590" s="184" t="s">
        <v>1392</v>
      </c>
      <c r="B1590" s="118"/>
      <c r="C1590" s="401"/>
      <c r="D1590" s="401">
        <v>0</v>
      </c>
      <c r="E1590" s="401">
        <v>0</v>
      </c>
      <c r="F1590" s="401">
        <v>0</v>
      </c>
      <c r="G1590" s="119">
        <v>0</v>
      </c>
      <c r="H1590" s="119">
        <v>0</v>
      </c>
      <c r="I1590" s="119">
        <v>0</v>
      </c>
      <c r="J1590" s="119">
        <v>0</v>
      </c>
      <c r="K1590" s="401">
        <v>0</v>
      </c>
      <c r="L1590" s="119">
        <v>0</v>
      </c>
      <c r="M1590" s="119">
        <v>0</v>
      </c>
      <c r="N1590" s="119">
        <v>0</v>
      </c>
      <c r="O1590" s="119">
        <v>0</v>
      </c>
      <c r="P1590" s="401">
        <v>0</v>
      </c>
      <c r="Q1590" s="119">
        <v>0</v>
      </c>
      <c r="R1590" s="119">
        <v>0</v>
      </c>
      <c r="S1590" s="119">
        <v>0</v>
      </c>
      <c r="T1590" s="119">
        <v>0</v>
      </c>
      <c r="U1590" s="401">
        <v>0</v>
      </c>
      <c r="V1590" s="119">
        <v>0</v>
      </c>
      <c r="W1590" s="119">
        <v>0</v>
      </c>
      <c r="X1590" s="119">
        <v>0</v>
      </c>
      <c r="Y1590" s="119">
        <v>0</v>
      </c>
      <c r="Z1590" s="401">
        <v>0</v>
      </c>
      <c r="AA1590" s="119">
        <v>0</v>
      </c>
      <c r="AB1590" s="119">
        <v>323</v>
      </c>
      <c r="AC1590" s="119">
        <v>123</v>
      </c>
      <c r="AD1590" s="119">
        <v>154</v>
      </c>
      <c r="AE1590" s="401">
        <v>600</v>
      </c>
      <c r="AF1590" s="119">
        <v>334</v>
      </c>
      <c r="AG1590" s="119">
        <v>176</v>
      </c>
      <c r="AH1590" s="119">
        <v>146</v>
      </c>
      <c r="AI1590" s="119">
        <v>210.5</v>
      </c>
      <c r="AJ1590" s="401">
        <v>866.5</v>
      </c>
      <c r="AK1590" s="119">
        <v>94</v>
      </c>
      <c r="AL1590" s="119">
        <v>208</v>
      </c>
      <c r="AM1590" s="119">
        <v>20.5</v>
      </c>
      <c r="AN1590" s="119">
        <v>0</v>
      </c>
      <c r="AO1590" s="401">
        <v>322.5</v>
      </c>
      <c r="AP1590" s="119">
        <v>71.099999999999994</v>
      </c>
      <c r="AQ1590" s="119">
        <v>212.1</v>
      </c>
      <c r="AR1590" s="119">
        <v>76.199999999999989</v>
      </c>
      <c r="AS1590" s="119">
        <v>1.0000000000331966E-3</v>
      </c>
      <c r="AT1590" s="401">
        <v>359.40100000000001</v>
      </c>
      <c r="AU1590" s="119">
        <v>0</v>
      </c>
      <c r="AV1590" s="119">
        <v>0</v>
      </c>
      <c r="AW1590" s="119">
        <v>0</v>
      </c>
      <c r="AX1590" s="119">
        <v>0</v>
      </c>
      <c r="AY1590" s="401">
        <v>0</v>
      </c>
      <c r="AZ1590" s="119">
        <v>0</v>
      </c>
      <c r="BA1590" s="119">
        <v>0</v>
      </c>
      <c r="BB1590" s="119">
        <v>0</v>
      </c>
      <c r="BC1590" s="119">
        <v>0</v>
      </c>
      <c r="BD1590" s="401">
        <v>0</v>
      </c>
      <c r="BE1590" s="119">
        <v>0</v>
      </c>
      <c r="BF1590" s="119">
        <v>0</v>
      </c>
      <c r="BG1590" s="119">
        <v>0</v>
      </c>
      <c r="BH1590" s="119">
        <v>0</v>
      </c>
      <c r="BI1590" s="402">
        <v>0</v>
      </c>
      <c r="BJ1590" s="118"/>
      <c r="BK1590" s="118"/>
      <c r="BL1590" s="118"/>
      <c r="BM1590" s="118"/>
      <c r="BN1590" s="401">
        <v>0</v>
      </c>
      <c r="BO1590" s="118"/>
      <c r="BP1590" s="118"/>
      <c r="BQ1590" s="118"/>
      <c r="BR1590" s="118"/>
      <c r="BS1590" s="401">
        <v>0</v>
      </c>
      <c r="BT1590" s="401"/>
      <c r="BU1590" s="401"/>
      <c r="BV1590" s="401"/>
      <c r="BW1590" s="122"/>
    </row>
    <row r="1591" spans="1:75" s="123" customFormat="1" x14ac:dyDescent="0.5">
      <c r="A1591" s="184" t="s">
        <v>1393</v>
      </c>
      <c r="B1591" s="118"/>
      <c r="C1591" s="401"/>
      <c r="D1591" s="401">
        <v>0</v>
      </c>
      <c r="E1591" s="401">
        <v>0</v>
      </c>
      <c r="F1591" s="401">
        <v>0</v>
      </c>
      <c r="G1591" s="119">
        <v>0</v>
      </c>
      <c r="H1591" s="119">
        <v>0</v>
      </c>
      <c r="I1591" s="119">
        <v>0</v>
      </c>
      <c r="J1591" s="119">
        <v>0</v>
      </c>
      <c r="K1591" s="401">
        <v>0</v>
      </c>
      <c r="L1591" s="119">
        <v>0</v>
      </c>
      <c r="M1591" s="119">
        <v>0</v>
      </c>
      <c r="N1591" s="119">
        <v>0</v>
      </c>
      <c r="O1591" s="119">
        <v>0</v>
      </c>
      <c r="P1591" s="401">
        <v>0</v>
      </c>
      <c r="Q1591" s="119">
        <v>0</v>
      </c>
      <c r="R1591" s="119">
        <v>0</v>
      </c>
      <c r="S1591" s="119">
        <v>0</v>
      </c>
      <c r="T1591" s="119">
        <v>0</v>
      </c>
      <c r="U1591" s="401">
        <v>0</v>
      </c>
      <c r="V1591" s="119">
        <v>0</v>
      </c>
      <c r="W1591" s="119">
        <v>0</v>
      </c>
      <c r="X1591" s="119">
        <v>0</v>
      </c>
      <c r="Y1591" s="119">
        <v>0</v>
      </c>
      <c r="Z1591" s="401">
        <v>0</v>
      </c>
      <c r="AA1591" s="119">
        <v>0</v>
      </c>
      <c r="AB1591" s="119">
        <v>-40</v>
      </c>
      <c r="AC1591" s="119">
        <v>-65</v>
      </c>
      <c r="AD1591" s="119">
        <v>-295.02999999999997</v>
      </c>
      <c r="AE1591" s="401">
        <v>-400.03</v>
      </c>
      <c r="AF1591" s="119">
        <v>-314.97000000000003</v>
      </c>
      <c r="AG1591" s="119">
        <v>-395</v>
      </c>
      <c r="AH1591" s="119">
        <v>-38.5</v>
      </c>
      <c r="AI1591" s="119">
        <v>-260.5</v>
      </c>
      <c r="AJ1591" s="401">
        <v>-1008.97</v>
      </c>
      <c r="AK1591" s="119">
        <v>-151.5</v>
      </c>
      <c r="AL1591" s="119">
        <v>-63</v>
      </c>
      <c r="AM1591" s="119">
        <v>-165.5</v>
      </c>
      <c r="AN1591" s="119">
        <v>0</v>
      </c>
      <c r="AO1591" s="401">
        <v>-380</v>
      </c>
      <c r="AP1591" s="119">
        <v>-61.1</v>
      </c>
      <c r="AQ1591" s="119">
        <v>-130.5</v>
      </c>
      <c r="AR1591" s="119">
        <v>-167.79999999999998</v>
      </c>
      <c r="AS1591" s="119">
        <v>-1.0000000000331966E-3</v>
      </c>
      <c r="AT1591" s="401">
        <v>-359.40100000000001</v>
      </c>
      <c r="AU1591" s="119">
        <v>0</v>
      </c>
      <c r="AV1591" s="119">
        <v>0</v>
      </c>
      <c r="AW1591" s="119">
        <v>0</v>
      </c>
      <c r="AX1591" s="119">
        <v>0</v>
      </c>
      <c r="AY1591" s="401">
        <v>0</v>
      </c>
      <c r="AZ1591" s="119">
        <v>0</v>
      </c>
      <c r="BA1591" s="119">
        <v>0</v>
      </c>
      <c r="BB1591" s="119">
        <v>0</v>
      </c>
      <c r="BC1591" s="119">
        <v>0</v>
      </c>
      <c r="BD1591" s="401">
        <v>0</v>
      </c>
      <c r="BE1591" s="119">
        <v>0</v>
      </c>
      <c r="BF1591" s="119">
        <v>0</v>
      </c>
      <c r="BG1591" s="119">
        <v>0</v>
      </c>
      <c r="BH1591" s="119">
        <v>0</v>
      </c>
      <c r="BI1591" s="402">
        <v>0</v>
      </c>
      <c r="BJ1591" s="118"/>
      <c r="BK1591" s="118"/>
      <c r="BL1591" s="118"/>
      <c r="BM1591" s="118"/>
      <c r="BN1591" s="401">
        <v>0</v>
      </c>
      <c r="BO1591" s="118"/>
      <c r="BP1591" s="118"/>
      <c r="BQ1591" s="118"/>
      <c r="BR1591" s="118"/>
      <c r="BS1591" s="401">
        <v>0</v>
      </c>
      <c r="BT1591" s="401"/>
      <c r="BU1591" s="401"/>
      <c r="BV1591" s="401"/>
      <c r="BW1591" s="122"/>
    </row>
    <row r="1592" spans="1:75" s="123" customFormat="1" x14ac:dyDescent="0.5">
      <c r="A1592" s="184" t="s">
        <v>1394</v>
      </c>
      <c r="B1592" s="118"/>
      <c r="C1592" s="401"/>
      <c r="D1592" s="401">
        <v>0</v>
      </c>
      <c r="E1592" s="401">
        <v>0</v>
      </c>
      <c r="F1592" s="401">
        <v>0</v>
      </c>
      <c r="G1592" s="119">
        <v>0</v>
      </c>
      <c r="H1592" s="119">
        <v>0</v>
      </c>
      <c r="I1592" s="119">
        <v>0</v>
      </c>
      <c r="J1592" s="119">
        <v>0</v>
      </c>
      <c r="K1592" s="401">
        <v>0</v>
      </c>
      <c r="L1592" s="119">
        <v>0</v>
      </c>
      <c r="M1592" s="119">
        <v>0</v>
      </c>
      <c r="N1592" s="119">
        <v>0</v>
      </c>
      <c r="O1592" s="119">
        <v>0</v>
      </c>
      <c r="P1592" s="401">
        <v>0</v>
      </c>
      <c r="Q1592" s="119">
        <v>0</v>
      </c>
      <c r="R1592" s="119">
        <v>0</v>
      </c>
      <c r="S1592" s="119">
        <v>0</v>
      </c>
      <c r="T1592" s="119">
        <v>0</v>
      </c>
      <c r="U1592" s="401">
        <v>0</v>
      </c>
      <c r="V1592" s="119">
        <v>0</v>
      </c>
      <c r="W1592" s="119">
        <v>0</v>
      </c>
      <c r="X1592" s="119">
        <v>0</v>
      </c>
      <c r="Y1592" s="119">
        <v>0</v>
      </c>
      <c r="Z1592" s="401">
        <v>0</v>
      </c>
      <c r="AA1592" s="119">
        <v>0</v>
      </c>
      <c r="AB1592" s="119">
        <v>180</v>
      </c>
      <c r="AC1592" s="119">
        <v>0</v>
      </c>
      <c r="AD1592" s="119">
        <v>0</v>
      </c>
      <c r="AE1592" s="401">
        <v>180</v>
      </c>
      <c r="AF1592" s="119">
        <v>0</v>
      </c>
      <c r="AG1592" s="119">
        <v>0</v>
      </c>
      <c r="AH1592" s="119">
        <v>0</v>
      </c>
      <c r="AI1592" s="119">
        <v>0</v>
      </c>
      <c r="AJ1592" s="401">
        <v>0</v>
      </c>
      <c r="AK1592" s="119">
        <v>320</v>
      </c>
      <c r="AL1592" s="119">
        <v>0</v>
      </c>
      <c r="AM1592" s="119">
        <v>0</v>
      </c>
      <c r="AN1592" s="119">
        <v>0</v>
      </c>
      <c r="AO1592" s="401">
        <v>320</v>
      </c>
      <c r="AP1592" s="119">
        <v>0</v>
      </c>
      <c r="AQ1592" s="119">
        <v>0</v>
      </c>
      <c r="AR1592" s="119">
        <v>0</v>
      </c>
      <c r="AS1592" s="119">
        <v>0</v>
      </c>
      <c r="AT1592" s="401">
        <v>0</v>
      </c>
      <c r="AU1592" s="119">
        <v>0</v>
      </c>
      <c r="AV1592" s="119">
        <v>0</v>
      </c>
      <c r="AW1592" s="119">
        <v>2000</v>
      </c>
      <c r="AX1592" s="119">
        <v>0</v>
      </c>
      <c r="AY1592" s="401">
        <v>2000</v>
      </c>
      <c r="AZ1592" s="119">
        <v>0</v>
      </c>
      <c r="BA1592" s="119">
        <v>500</v>
      </c>
      <c r="BB1592" s="119">
        <v>0</v>
      </c>
      <c r="BC1592" s="119">
        <v>0</v>
      </c>
      <c r="BD1592" s="401">
        <v>500</v>
      </c>
      <c r="BE1592" s="119">
        <v>0</v>
      </c>
      <c r="BF1592" s="119">
        <v>0</v>
      </c>
      <c r="BG1592" s="119">
        <v>0</v>
      </c>
      <c r="BH1592" s="119">
        <v>0</v>
      </c>
      <c r="BI1592" s="402">
        <v>0</v>
      </c>
      <c r="BJ1592" s="118">
        <v>0</v>
      </c>
      <c r="BK1592" s="118">
        <v>0</v>
      </c>
      <c r="BL1592" s="118">
        <v>0</v>
      </c>
      <c r="BM1592" s="118">
        <v>0</v>
      </c>
      <c r="BN1592" s="401">
        <v>0</v>
      </c>
      <c r="BO1592" s="118">
        <v>0</v>
      </c>
      <c r="BP1592" s="118">
        <v>0</v>
      </c>
      <c r="BQ1592" s="118">
        <v>0</v>
      </c>
      <c r="BR1592" s="118">
        <v>0</v>
      </c>
      <c r="BS1592" s="401">
        <v>0</v>
      </c>
      <c r="BT1592" s="401">
        <v>0</v>
      </c>
      <c r="BU1592" s="401">
        <v>0</v>
      </c>
      <c r="BV1592" s="401">
        <v>0</v>
      </c>
      <c r="BW1592" s="122"/>
    </row>
    <row r="1593" spans="1:75" s="123" customFormat="1" x14ac:dyDescent="0.5">
      <c r="A1593" s="184" t="s">
        <v>1395</v>
      </c>
      <c r="B1593" s="118"/>
      <c r="C1593" s="401"/>
      <c r="D1593" s="401">
        <v>0</v>
      </c>
      <c r="E1593" s="401">
        <v>0</v>
      </c>
      <c r="F1593" s="401">
        <v>-15</v>
      </c>
      <c r="G1593" s="119">
        <v>0</v>
      </c>
      <c r="H1593" s="119">
        <v>0</v>
      </c>
      <c r="I1593" s="119">
        <v>0</v>
      </c>
      <c r="J1593" s="119">
        <v>0</v>
      </c>
      <c r="K1593" s="401">
        <v>0</v>
      </c>
      <c r="L1593" s="119">
        <v>0</v>
      </c>
      <c r="M1593" s="119">
        <v>0</v>
      </c>
      <c r="N1593" s="119">
        <v>0</v>
      </c>
      <c r="O1593" s="119">
        <v>0</v>
      </c>
      <c r="P1593" s="401">
        <v>0</v>
      </c>
      <c r="Q1593" s="119">
        <v>0</v>
      </c>
      <c r="R1593" s="119">
        <v>0</v>
      </c>
      <c r="S1593" s="119">
        <v>0</v>
      </c>
      <c r="T1593" s="119">
        <v>0</v>
      </c>
      <c r="U1593" s="401">
        <v>0</v>
      </c>
      <c r="V1593" s="119">
        <v>0</v>
      </c>
      <c r="W1593" s="119">
        <v>0</v>
      </c>
      <c r="X1593" s="119">
        <v>0</v>
      </c>
      <c r="Y1593" s="119">
        <v>0</v>
      </c>
      <c r="Z1593" s="401">
        <v>0</v>
      </c>
      <c r="AA1593" s="119">
        <v>0</v>
      </c>
      <c r="AB1593" s="119">
        <v>0</v>
      </c>
      <c r="AC1593" s="119">
        <v>-100</v>
      </c>
      <c r="AD1593" s="119">
        <v>0</v>
      </c>
      <c r="AE1593" s="401">
        <v>-100</v>
      </c>
      <c r="AF1593" s="119">
        <v>0</v>
      </c>
      <c r="AG1593" s="119">
        <v>-80</v>
      </c>
      <c r="AH1593" s="119">
        <v>0</v>
      </c>
      <c r="AI1593" s="119">
        <v>0</v>
      </c>
      <c r="AJ1593" s="401">
        <v>-80</v>
      </c>
      <c r="AK1593" s="119">
        <v>0</v>
      </c>
      <c r="AL1593" s="119">
        <v>0</v>
      </c>
      <c r="AM1593" s="119">
        <v>-234</v>
      </c>
      <c r="AN1593" s="119">
        <v>-90</v>
      </c>
      <c r="AO1593" s="401">
        <v>-324</v>
      </c>
      <c r="AP1593" s="119">
        <v>0</v>
      </c>
      <c r="AQ1593" s="119">
        <v>0</v>
      </c>
      <c r="AR1593" s="119">
        <v>0</v>
      </c>
      <c r="AS1593" s="119">
        <v>0</v>
      </c>
      <c r="AT1593" s="401">
        <v>0</v>
      </c>
      <c r="AU1593" s="119">
        <v>0</v>
      </c>
      <c r="AV1593" s="119">
        <v>0</v>
      </c>
      <c r="AW1593" s="119">
        <v>0</v>
      </c>
      <c r="AX1593" s="119">
        <v>-5</v>
      </c>
      <c r="AY1593" s="401">
        <v>-5</v>
      </c>
      <c r="AZ1593" s="119">
        <v>-5</v>
      </c>
      <c r="BA1593" s="119">
        <v>-5</v>
      </c>
      <c r="BB1593" s="119">
        <v>-5</v>
      </c>
      <c r="BC1593" s="119">
        <v>-6.25</v>
      </c>
      <c r="BD1593" s="401">
        <v>-21.25</v>
      </c>
      <c r="BE1593" s="119">
        <v>-6.25</v>
      </c>
      <c r="BF1593" s="119">
        <v>-6.25</v>
      </c>
      <c r="BG1593" s="119">
        <v>-6.25</v>
      </c>
      <c r="BH1593" s="119">
        <v>-6.25</v>
      </c>
      <c r="BI1593" s="402">
        <v>-25</v>
      </c>
      <c r="BJ1593" s="118"/>
      <c r="BK1593" s="118"/>
      <c r="BL1593" s="118"/>
      <c r="BM1593" s="118"/>
      <c r="BN1593" s="401">
        <v>0</v>
      </c>
      <c r="BO1593" s="118"/>
      <c r="BP1593" s="118"/>
      <c r="BQ1593" s="118"/>
      <c r="BR1593" s="118"/>
      <c r="BS1593" s="401">
        <v>0</v>
      </c>
      <c r="BT1593" s="401"/>
      <c r="BU1593" s="401"/>
      <c r="BV1593" s="401"/>
      <c r="BW1593" s="122"/>
    </row>
    <row r="1594" spans="1:75" s="123" customFormat="1" x14ac:dyDescent="0.5">
      <c r="A1594" s="184" t="s">
        <v>1396</v>
      </c>
      <c r="B1594" s="118"/>
      <c r="C1594" s="401"/>
      <c r="D1594" s="401">
        <v>0</v>
      </c>
      <c r="E1594" s="401">
        <v>0</v>
      </c>
      <c r="F1594" s="401">
        <v>0</v>
      </c>
      <c r="G1594" s="119">
        <v>0</v>
      </c>
      <c r="H1594" s="119">
        <v>0</v>
      </c>
      <c r="I1594" s="119">
        <v>0</v>
      </c>
      <c r="J1594" s="119">
        <v>0</v>
      </c>
      <c r="K1594" s="401">
        <v>0</v>
      </c>
      <c r="L1594" s="119">
        <v>0</v>
      </c>
      <c r="M1594" s="119">
        <v>0</v>
      </c>
      <c r="N1594" s="119">
        <v>0</v>
      </c>
      <c r="O1594" s="119">
        <v>0</v>
      </c>
      <c r="P1594" s="401">
        <v>0</v>
      </c>
      <c r="Q1594" s="119">
        <v>0</v>
      </c>
      <c r="R1594" s="119">
        <v>0</v>
      </c>
      <c r="S1594" s="119">
        <v>0</v>
      </c>
      <c r="T1594" s="119">
        <v>0</v>
      </c>
      <c r="U1594" s="401">
        <v>0</v>
      </c>
      <c r="V1594" s="119">
        <v>0</v>
      </c>
      <c r="W1594" s="119">
        <v>0</v>
      </c>
      <c r="X1594" s="119">
        <v>0</v>
      </c>
      <c r="Y1594" s="119">
        <v>0</v>
      </c>
      <c r="Z1594" s="401">
        <v>0</v>
      </c>
      <c r="AA1594" s="119">
        <v>0</v>
      </c>
      <c r="AB1594" s="119">
        <v>0</v>
      </c>
      <c r="AC1594" s="119">
        <v>0</v>
      </c>
      <c r="AD1594" s="119">
        <v>0</v>
      </c>
      <c r="AE1594" s="401">
        <v>0</v>
      </c>
      <c r="AF1594" s="119">
        <v>0</v>
      </c>
      <c r="AG1594" s="119">
        <v>0</v>
      </c>
      <c r="AH1594" s="119">
        <v>0</v>
      </c>
      <c r="AI1594" s="119">
        <v>0</v>
      </c>
      <c r="AJ1594" s="401">
        <v>0</v>
      </c>
      <c r="AK1594" s="119">
        <v>0</v>
      </c>
      <c r="AL1594" s="119">
        <v>0</v>
      </c>
      <c r="AM1594" s="119">
        <v>0</v>
      </c>
      <c r="AN1594" s="119">
        <v>0</v>
      </c>
      <c r="AO1594" s="401">
        <v>0</v>
      </c>
      <c r="AP1594" s="119">
        <v>0</v>
      </c>
      <c r="AQ1594" s="119">
        <v>0</v>
      </c>
      <c r="AR1594" s="119">
        <v>0</v>
      </c>
      <c r="AS1594" s="119">
        <v>0</v>
      </c>
      <c r="AT1594" s="401">
        <v>0</v>
      </c>
      <c r="AU1594" s="119">
        <v>0</v>
      </c>
      <c r="AV1594" s="119">
        <v>0</v>
      </c>
      <c r="AW1594" s="119">
        <v>0</v>
      </c>
      <c r="AX1594" s="119">
        <v>0</v>
      </c>
      <c r="AY1594" s="401">
        <v>0</v>
      </c>
      <c r="AZ1594" s="119">
        <v>0</v>
      </c>
      <c r="BA1594" s="119">
        <v>0</v>
      </c>
      <c r="BB1594" s="119">
        <v>16</v>
      </c>
      <c r="BC1594" s="119">
        <v>0</v>
      </c>
      <c r="BD1594" s="401">
        <v>16</v>
      </c>
      <c r="BE1594" s="119">
        <v>0</v>
      </c>
      <c r="BF1594" s="119">
        <v>0</v>
      </c>
      <c r="BG1594" s="119">
        <v>0</v>
      </c>
      <c r="BH1594" s="119">
        <v>0</v>
      </c>
      <c r="BI1594" s="402">
        <v>0</v>
      </c>
      <c r="BJ1594" s="118"/>
      <c r="BK1594" s="118"/>
      <c r="BL1594" s="118"/>
      <c r="BM1594" s="118"/>
      <c r="BN1594" s="401">
        <v>0</v>
      </c>
      <c r="BO1594" s="118"/>
      <c r="BP1594" s="118"/>
      <c r="BQ1594" s="118"/>
      <c r="BR1594" s="118"/>
      <c r="BS1594" s="401">
        <v>0</v>
      </c>
      <c r="BT1594" s="401"/>
      <c r="BU1594" s="401"/>
      <c r="BV1594" s="401"/>
      <c r="BW1594" s="122"/>
    </row>
    <row r="1595" spans="1:75" s="123" customFormat="1" x14ac:dyDescent="0.5">
      <c r="A1595" s="184" t="s">
        <v>1397</v>
      </c>
      <c r="B1595" s="118"/>
      <c r="C1595" s="401"/>
      <c r="D1595" s="401">
        <v>0</v>
      </c>
      <c r="E1595" s="401">
        <v>0</v>
      </c>
      <c r="F1595" s="401">
        <v>0</v>
      </c>
      <c r="G1595" s="119">
        <v>0</v>
      </c>
      <c r="H1595" s="119">
        <v>0</v>
      </c>
      <c r="I1595" s="119">
        <v>0</v>
      </c>
      <c r="J1595" s="119">
        <v>0</v>
      </c>
      <c r="K1595" s="401">
        <v>0</v>
      </c>
      <c r="L1595" s="119">
        <v>0</v>
      </c>
      <c r="M1595" s="119">
        <v>0</v>
      </c>
      <c r="N1595" s="119">
        <v>0</v>
      </c>
      <c r="O1595" s="119">
        <v>0</v>
      </c>
      <c r="P1595" s="401">
        <v>0</v>
      </c>
      <c r="Q1595" s="119">
        <v>0</v>
      </c>
      <c r="R1595" s="119">
        <v>0</v>
      </c>
      <c r="S1595" s="119">
        <v>0</v>
      </c>
      <c r="T1595" s="119">
        <v>0</v>
      </c>
      <c r="U1595" s="401">
        <v>0</v>
      </c>
      <c r="V1595" s="119">
        <v>0</v>
      </c>
      <c r="W1595" s="119">
        <v>0</v>
      </c>
      <c r="X1595" s="119">
        <v>0</v>
      </c>
      <c r="Y1595" s="119">
        <v>0</v>
      </c>
      <c r="Z1595" s="401">
        <v>0</v>
      </c>
      <c r="AA1595" s="119">
        <v>0</v>
      </c>
      <c r="AB1595" s="119">
        <v>0</v>
      </c>
      <c r="AC1595" s="119">
        <v>0</v>
      </c>
      <c r="AD1595" s="119">
        <v>0</v>
      </c>
      <c r="AE1595" s="401">
        <v>0</v>
      </c>
      <c r="AF1595" s="119">
        <v>0</v>
      </c>
      <c r="AG1595" s="119">
        <v>0</v>
      </c>
      <c r="AH1595" s="119">
        <v>0</v>
      </c>
      <c r="AI1595" s="119">
        <v>0</v>
      </c>
      <c r="AJ1595" s="401">
        <v>0</v>
      </c>
      <c r="AK1595" s="119">
        <v>0</v>
      </c>
      <c r="AL1595" s="119">
        <v>0</v>
      </c>
      <c r="AM1595" s="119">
        <v>0</v>
      </c>
      <c r="AN1595" s="119">
        <v>0</v>
      </c>
      <c r="AO1595" s="401">
        <v>0</v>
      </c>
      <c r="AP1595" s="119">
        <v>0</v>
      </c>
      <c r="AQ1595" s="119">
        <v>0</v>
      </c>
      <c r="AR1595" s="119">
        <v>0</v>
      </c>
      <c r="AS1595" s="119">
        <v>0</v>
      </c>
      <c r="AT1595" s="401">
        <v>0</v>
      </c>
      <c r="AU1595" s="119">
        <v>0</v>
      </c>
      <c r="AV1595" s="119">
        <v>0</v>
      </c>
      <c r="AW1595" s="119">
        <v>0</v>
      </c>
      <c r="AX1595" s="119">
        <v>0</v>
      </c>
      <c r="AY1595" s="401">
        <v>0</v>
      </c>
      <c r="AZ1595" s="119">
        <v>0</v>
      </c>
      <c r="BA1595" s="119">
        <v>0</v>
      </c>
      <c r="BB1595" s="119">
        <v>-4.0000000000000001E-3</v>
      </c>
      <c r="BC1595" s="119">
        <v>-6.0000000000000001E-3</v>
      </c>
      <c r="BD1595" s="401">
        <v>-0.01</v>
      </c>
      <c r="BE1595" s="119">
        <v>-6.0000000000000001E-3</v>
      </c>
      <c r="BF1595" s="119">
        <v>-6.9999999999999993E-3</v>
      </c>
      <c r="BG1595" s="119">
        <v>-7.000000000000001E-3</v>
      </c>
      <c r="BH1595" s="119">
        <v>-5.9999999999999984E-3</v>
      </c>
      <c r="BI1595" s="402">
        <v>-2.5999999999999999E-2</v>
      </c>
      <c r="BJ1595" s="118"/>
      <c r="BK1595" s="118"/>
      <c r="BL1595" s="118"/>
      <c r="BM1595" s="118"/>
      <c r="BN1595" s="401">
        <v>0</v>
      </c>
      <c r="BO1595" s="118"/>
      <c r="BP1595" s="118"/>
      <c r="BQ1595" s="118"/>
      <c r="BR1595" s="118"/>
      <c r="BS1595" s="401">
        <v>0</v>
      </c>
      <c r="BT1595" s="401"/>
      <c r="BU1595" s="401"/>
      <c r="BV1595" s="401"/>
      <c r="BW1595" s="122"/>
    </row>
    <row r="1596" spans="1:75" s="123" customFormat="1" x14ac:dyDescent="0.5">
      <c r="A1596" s="184" t="s">
        <v>1398</v>
      </c>
      <c r="B1596" s="118"/>
      <c r="C1596" s="401"/>
      <c r="D1596" s="401">
        <v>0</v>
      </c>
      <c r="E1596" s="401">
        <v>0</v>
      </c>
      <c r="F1596" s="401">
        <v>0</v>
      </c>
      <c r="G1596" s="119">
        <v>0</v>
      </c>
      <c r="H1596" s="119">
        <v>0</v>
      </c>
      <c r="I1596" s="119">
        <v>0</v>
      </c>
      <c r="J1596" s="119">
        <v>0</v>
      </c>
      <c r="K1596" s="401">
        <v>0</v>
      </c>
      <c r="L1596" s="119">
        <v>0</v>
      </c>
      <c r="M1596" s="119">
        <v>0</v>
      </c>
      <c r="N1596" s="119">
        <v>0</v>
      </c>
      <c r="O1596" s="119">
        <v>0</v>
      </c>
      <c r="P1596" s="401">
        <v>0</v>
      </c>
      <c r="Q1596" s="119">
        <v>0</v>
      </c>
      <c r="R1596" s="119">
        <v>0</v>
      </c>
      <c r="S1596" s="119">
        <v>0</v>
      </c>
      <c r="T1596" s="119">
        <v>0</v>
      </c>
      <c r="U1596" s="401">
        <v>0</v>
      </c>
      <c r="V1596" s="119">
        <v>0</v>
      </c>
      <c r="W1596" s="119">
        <v>0</v>
      </c>
      <c r="X1596" s="119">
        <v>0</v>
      </c>
      <c r="Y1596" s="119">
        <v>0</v>
      </c>
      <c r="Z1596" s="401">
        <v>0</v>
      </c>
      <c r="AA1596" s="119">
        <v>0</v>
      </c>
      <c r="AB1596" s="119">
        <v>14</v>
      </c>
      <c r="AC1596" s="119">
        <v>20</v>
      </c>
      <c r="AD1596" s="119">
        <v>0</v>
      </c>
      <c r="AE1596" s="401">
        <v>34</v>
      </c>
      <c r="AF1596" s="119">
        <v>0</v>
      </c>
      <c r="AG1596" s="119">
        <v>0</v>
      </c>
      <c r="AH1596" s="119">
        <v>0</v>
      </c>
      <c r="AI1596" s="119">
        <v>0</v>
      </c>
      <c r="AJ1596" s="401">
        <v>0</v>
      </c>
      <c r="AK1596" s="119">
        <v>60</v>
      </c>
      <c r="AL1596" s="119">
        <v>9</v>
      </c>
      <c r="AM1596" s="119">
        <v>30</v>
      </c>
      <c r="AN1596" s="119">
        <v>23</v>
      </c>
      <c r="AO1596" s="401">
        <v>122</v>
      </c>
      <c r="AP1596" s="119">
        <v>0</v>
      </c>
      <c r="AQ1596" s="119">
        <v>0</v>
      </c>
      <c r="AR1596" s="119">
        <v>0</v>
      </c>
      <c r="AS1596" s="119">
        <v>12.856999999999999</v>
      </c>
      <c r="AT1596" s="401">
        <v>12.856999999999999</v>
      </c>
      <c r="AU1596" s="119">
        <v>0</v>
      </c>
      <c r="AV1596" s="119">
        <v>0</v>
      </c>
      <c r="AW1596" s="119">
        <v>0</v>
      </c>
      <c r="AX1596" s="119">
        <v>0</v>
      </c>
      <c r="AY1596" s="401">
        <v>0</v>
      </c>
      <c r="AZ1596" s="119">
        <v>0</v>
      </c>
      <c r="BA1596" s="119">
        <v>0</v>
      </c>
      <c r="BB1596" s="119">
        <v>0</v>
      </c>
      <c r="BC1596" s="119">
        <v>0</v>
      </c>
      <c r="BD1596" s="401">
        <v>0</v>
      </c>
      <c r="BE1596" s="119">
        <v>0</v>
      </c>
      <c r="BF1596" s="119">
        <v>0</v>
      </c>
      <c r="BG1596" s="119">
        <v>0</v>
      </c>
      <c r="BH1596" s="119">
        <v>0</v>
      </c>
      <c r="BI1596" s="402">
        <v>0</v>
      </c>
      <c r="BJ1596" s="118"/>
      <c r="BK1596" s="118"/>
      <c r="BL1596" s="118"/>
      <c r="BM1596" s="118"/>
      <c r="BN1596" s="401">
        <v>0</v>
      </c>
      <c r="BO1596" s="118"/>
      <c r="BP1596" s="118"/>
      <c r="BQ1596" s="118"/>
      <c r="BR1596" s="118"/>
      <c r="BS1596" s="401">
        <v>0</v>
      </c>
      <c r="BT1596" s="401"/>
      <c r="BU1596" s="401"/>
      <c r="BV1596" s="401"/>
      <c r="BW1596" s="122"/>
    </row>
    <row r="1597" spans="1:75" s="123" customFormat="1" x14ac:dyDescent="0.5">
      <c r="A1597" s="184" t="s">
        <v>1399</v>
      </c>
      <c r="B1597" s="118"/>
      <c r="C1597" s="401"/>
      <c r="D1597" s="401">
        <v>0</v>
      </c>
      <c r="E1597" s="401">
        <v>0</v>
      </c>
      <c r="F1597" s="401">
        <v>0</v>
      </c>
      <c r="G1597" s="119">
        <v>0</v>
      </c>
      <c r="H1597" s="119">
        <v>0</v>
      </c>
      <c r="I1597" s="119">
        <v>0</v>
      </c>
      <c r="J1597" s="119">
        <v>0</v>
      </c>
      <c r="K1597" s="401">
        <v>0</v>
      </c>
      <c r="L1597" s="119">
        <v>0</v>
      </c>
      <c r="M1597" s="119">
        <v>0</v>
      </c>
      <c r="N1597" s="119">
        <v>0</v>
      </c>
      <c r="O1597" s="119">
        <v>0</v>
      </c>
      <c r="P1597" s="401">
        <v>0</v>
      </c>
      <c r="Q1597" s="119">
        <v>0</v>
      </c>
      <c r="R1597" s="119">
        <v>0</v>
      </c>
      <c r="S1597" s="119">
        <v>0</v>
      </c>
      <c r="T1597" s="119">
        <v>0</v>
      </c>
      <c r="U1597" s="401">
        <v>0</v>
      </c>
      <c r="V1597" s="119">
        <v>0</v>
      </c>
      <c r="W1597" s="119">
        <v>0</v>
      </c>
      <c r="X1597" s="119">
        <v>0</v>
      </c>
      <c r="Y1597" s="119">
        <v>0</v>
      </c>
      <c r="Z1597" s="401">
        <v>0</v>
      </c>
      <c r="AA1597" s="119">
        <v>0</v>
      </c>
      <c r="AB1597" s="119">
        <v>-0.11700000000000001</v>
      </c>
      <c r="AC1597" s="119">
        <v>-0.72399999999999998</v>
      </c>
      <c r="AD1597" s="119">
        <v>-1.478</v>
      </c>
      <c r="AE1597" s="401">
        <v>-2.319</v>
      </c>
      <c r="AF1597" s="119">
        <v>-1.4910000000000001</v>
      </c>
      <c r="AG1597" s="119">
        <v>-30.483000000000001</v>
      </c>
      <c r="AH1597" s="119">
        <v>0</v>
      </c>
      <c r="AI1597" s="119">
        <v>0</v>
      </c>
      <c r="AJ1597" s="401">
        <v>-31.974</v>
      </c>
      <c r="AK1597" s="119">
        <v>-0.98299999999999998</v>
      </c>
      <c r="AL1597" s="119">
        <v>-4.902000000000001</v>
      </c>
      <c r="AM1597" s="119">
        <v>-4.3949999999999987</v>
      </c>
      <c r="AN1597" s="119">
        <v>-6.24</v>
      </c>
      <c r="AO1597" s="401">
        <v>-16.52</v>
      </c>
      <c r="AP1597" s="119">
        <v>-5.1660000000000004</v>
      </c>
      <c r="AQ1597" s="119">
        <v>-0.24199999999999999</v>
      </c>
      <c r="AR1597" s="119">
        <v>-5.4639999999999995</v>
      </c>
      <c r="AS1597" s="119">
        <v>-23.584000000000003</v>
      </c>
      <c r="AT1597" s="401">
        <v>-34.456000000000003</v>
      </c>
      <c r="AU1597" s="119">
        <v>-5.7919999999999998</v>
      </c>
      <c r="AV1597" s="119">
        <v>-5.6539999999999999</v>
      </c>
      <c r="AW1597" s="119">
        <v>-5.7180000000000017</v>
      </c>
      <c r="AX1597" s="119">
        <v>-5.7850000000000001</v>
      </c>
      <c r="AY1597" s="401">
        <v>-22.949000000000002</v>
      </c>
      <c r="AZ1597" s="119">
        <v>-10.91</v>
      </c>
      <c r="BA1597" s="119">
        <v>-1.8970000000000002</v>
      </c>
      <c r="BB1597" s="119">
        <v>-0.34999999999999964</v>
      </c>
      <c r="BC1597" s="119">
        <v>-0.70599999999999952</v>
      </c>
      <c r="BD1597" s="401">
        <v>-13.863</v>
      </c>
      <c r="BE1597" s="119">
        <v>-1.1599999999999999</v>
      </c>
      <c r="BF1597" s="119">
        <v>0</v>
      </c>
      <c r="BG1597" s="119">
        <v>0</v>
      </c>
      <c r="BH1597" s="119">
        <v>0</v>
      </c>
      <c r="BI1597" s="402">
        <v>-1.1599999999999999</v>
      </c>
      <c r="BJ1597" s="118"/>
      <c r="BK1597" s="118"/>
      <c r="BL1597" s="118"/>
      <c r="BM1597" s="118"/>
      <c r="BN1597" s="401">
        <v>0</v>
      </c>
      <c r="BO1597" s="118"/>
      <c r="BP1597" s="118"/>
      <c r="BQ1597" s="118"/>
      <c r="BR1597" s="118"/>
      <c r="BS1597" s="401">
        <v>0</v>
      </c>
      <c r="BT1597" s="401"/>
      <c r="BU1597" s="401"/>
      <c r="BV1597" s="401"/>
      <c r="BW1597" s="122"/>
    </row>
    <row r="1598" spans="1:75" s="123" customFormat="1" x14ac:dyDescent="0.5">
      <c r="A1598" s="184" t="s">
        <v>1400</v>
      </c>
      <c r="B1598" s="118"/>
      <c r="C1598" s="401"/>
      <c r="D1598" s="401">
        <v>0</v>
      </c>
      <c r="E1598" s="401">
        <v>0</v>
      </c>
      <c r="F1598" s="401">
        <v>0</v>
      </c>
      <c r="G1598" s="119">
        <v>0</v>
      </c>
      <c r="H1598" s="119">
        <v>0</v>
      </c>
      <c r="I1598" s="119">
        <v>0</v>
      </c>
      <c r="J1598" s="119">
        <v>0</v>
      </c>
      <c r="K1598" s="401">
        <v>0</v>
      </c>
      <c r="L1598" s="119">
        <v>0</v>
      </c>
      <c r="M1598" s="119">
        <v>0</v>
      </c>
      <c r="N1598" s="119">
        <v>0</v>
      </c>
      <c r="O1598" s="119">
        <v>0</v>
      </c>
      <c r="P1598" s="401">
        <v>0</v>
      </c>
      <c r="Q1598" s="119">
        <v>0</v>
      </c>
      <c r="R1598" s="119">
        <v>0</v>
      </c>
      <c r="S1598" s="119">
        <v>0</v>
      </c>
      <c r="T1598" s="119">
        <v>0</v>
      </c>
      <c r="U1598" s="401">
        <v>0</v>
      </c>
      <c r="V1598" s="119">
        <v>0</v>
      </c>
      <c r="W1598" s="119">
        <v>0</v>
      </c>
      <c r="X1598" s="119">
        <v>0</v>
      </c>
      <c r="Y1598" s="119">
        <v>0</v>
      </c>
      <c r="Z1598" s="401">
        <v>0</v>
      </c>
      <c r="AA1598" s="119">
        <v>0</v>
      </c>
      <c r="AB1598" s="119">
        <v>0</v>
      </c>
      <c r="AC1598" s="119">
        <v>0</v>
      </c>
      <c r="AD1598" s="119">
        <v>0</v>
      </c>
      <c r="AE1598" s="401">
        <v>0</v>
      </c>
      <c r="AF1598" s="119">
        <v>0</v>
      </c>
      <c r="AG1598" s="119">
        <v>0</v>
      </c>
      <c r="AH1598" s="119">
        <v>0</v>
      </c>
      <c r="AI1598" s="119">
        <v>0</v>
      </c>
      <c r="AJ1598" s="401">
        <v>0</v>
      </c>
      <c r="AK1598" s="119">
        <v>0</v>
      </c>
      <c r="AL1598" s="119">
        <v>0</v>
      </c>
      <c r="AM1598" s="119">
        <v>0</v>
      </c>
      <c r="AN1598" s="119">
        <v>0</v>
      </c>
      <c r="AO1598" s="401">
        <v>0</v>
      </c>
      <c r="AP1598" s="119">
        <v>0</v>
      </c>
      <c r="AQ1598" s="119">
        <v>0</v>
      </c>
      <c r="AR1598" s="119">
        <v>0</v>
      </c>
      <c r="AS1598" s="119">
        <v>0</v>
      </c>
      <c r="AT1598" s="401">
        <v>0</v>
      </c>
      <c r="AU1598" s="119">
        <v>0</v>
      </c>
      <c r="AV1598" s="119">
        <v>0</v>
      </c>
      <c r="AW1598" s="119">
        <v>0</v>
      </c>
      <c r="AX1598" s="119">
        <v>0</v>
      </c>
      <c r="AY1598" s="401">
        <v>0</v>
      </c>
      <c r="AZ1598" s="119">
        <v>0</v>
      </c>
      <c r="BA1598" s="119">
        <v>0</v>
      </c>
      <c r="BB1598" s="119">
        <v>-8.0589999999999993</v>
      </c>
      <c r="BC1598" s="119">
        <v>0</v>
      </c>
      <c r="BD1598" s="401">
        <v>-8.0589999999999993</v>
      </c>
      <c r="BE1598" s="119">
        <v>0</v>
      </c>
      <c r="BF1598" s="119">
        <v>0</v>
      </c>
      <c r="BG1598" s="119">
        <v>0</v>
      </c>
      <c r="BH1598" s="119">
        <v>0</v>
      </c>
      <c r="BI1598" s="402">
        <v>0</v>
      </c>
      <c r="BJ1598" s="118"/>
      <c r="BK1598" s="118"/>
      <c r="BL1598" s="118"/>
      <c r="BM1598" s="118"/>
      <c r="BN1598" s="401">
        <v>0</v>
      </c>
      <c r="BO1598" s="118"/>
      <c r="BP1598" s="118"/>
      <c r="BQ1598" s="118"/>
      <c r="BR1598" s="118"/>
      <c r="BS1598" s="401">
        <v>0</v>
      </c>
      <c r="BT1598" s="401"/>
      <c r="BU1598" s="401"/>
      <c r="BV1598" s="401"/>
      <c r="BW1598" s="122"/>
    </row>
    <row r="1599" spans="1:75" s="123" customFormat="1" x14ac:dyDescent="0.5">
      <c r="A1599" s="184" t="s">
        <v>1401</v>
      </c>
      <c r="B1599" s="118"/>
      <c r="C1599" s="401"/>
      <c r="D1599" s="401">
        <v>0</v>
      </c>
      <c r="E1599" s="401">
        <v>0</v>
      </c>
      <c r="F1599" s="401">
        <v>0</v>
      </c>
      <c r="G1599" s="119">
        <v>0</v>
      </c>
      <c r="H1599" s="119">
        <v>0</v>
      </c>
      <c r="I1599" s="119">
        <v>0</v>
      </c>
      <c r="J1599" s="119">
        <v>0</v>
      </c>
      <c r="K1599" s="401">
        <v>0</v>
      </c>
      <c r="L1599" s="119">
        <v>0</v>
      </c>
      <c r="M1599" s="119">
        <v>0</v>
      </c>
      <c r="N1599" s="119">
        <v>0</v>
      </c>
      <c r="O1599" s="119">
        <v>0</v>
      </c>
      <c r="P1599" s="401">
        <v>0</v>
      </c>
      <c r="Q1599" s="119">
        <v>0</v>
      </c>
      <c r="R1599" s="119">
        <v>0</v>
      </c>
      <c r="S1599" s="119">
        <v>0</v>
      </c>
      <c r="T1599" s="119">
        <v>0</v>
      </c>
      <c r="U1599" s="401">
        <v>0</v>
      </c>
      <c r="V1599" s="119">
        <v>0</v>
      </c>
      <c r="W1599" s="119">
        <v>0</v>
      </c>
      <c r="X1599" s="119">
        <v>0</v>
      </c>
      <c r="Y1599" s="119">
        <v>0</v>
      </c>
      <c r="Z1599" s="401">
        <v>0</v>
      </c>
      <c r="AA1599" s="119">
        <v>0</v>
      </c>
      <c r="AB1599" s="119">
        <v>0</v>
      </c>
      <c r="AC1599" s="119">
        <v>0</v>
      </c>
      <c r="AD1599" s="119">
        <v>0</v>
      </c>
      <c r="AE1599" s="401">
        <v>0</v>
      </c>
      <c r="AF1599" s="119">
        <v>0</v>
      </c>
      <c r="AG1599" s="119">
        <v>0</v>
      </c>
      <c r="AH1599" s="119">
        <v>0</v>
      </c>
      <c r="AI1599" s="119">
        <v>0</v>
      </c>
      <c r="AJ1599" s="401">
        <v>0</v>
      </c>
      <c r="AK1599" s="119">
        <v>0</v>
      </c>
      <c r="AL1599" s="119">
        <v>0</v>
      </c>
      <c r="AM1599" s="119">
        <v>-4.6360000000000001</v>
      </c>
      <c r="AN1599" s="119">
        <v>0</v>
      </c>
      <c r="AO1599" s="401">
        <v>-4.6360000000000001</v>
      </c>
      <c r="AP1599" s="119">
        <v>0</v>
      </c>
      <c r="AQ1599" s="119">
        <v>0</v>
      </c>
      <c r="AR1599" s="119">
        <v>0</v>
      </c>
      <c r="AS1599" s="119">
        <v>0</v>
      </c>
      <c r="AT1599" s="401">
        <v>0</v>
      </c>
      <c r="AU1599" s="119">
        <v>0</v>
      </c>
      <c r="AV1599" s="119">
        <v>-3.6339999999999999</v>
      </c>
      <c r="AW1599" s="119">
        <v>-22.777000000000001</v>
      </c>
      <c r="AX1599" s="119">
        <v>0</v>
      </c>
      <c r="AY1599" s="401">
        <v>-26.411000000000001</v>
      </c>
      <c r="AZ1599" s="119">
        <v>0</v>
      </c>
      <c r="BA1599" s="119">
        <v>-27.646000000000001</v>
      </c>
      <c r="BB1599" s="119">
        <v>-8.6999999999999744E-2</v>
      </c>
      <c r="BC1599" s="119">
        <v>-0.33599999999999852</v>
      </c>
      <c r="BD1599" s="401">
        <v>-28.068999999999999</v>
      </c>
      <c r="BE1599" s="119">
        <v>0</v>
      </c>
      <c r="BF1599" s="119">
        <v>0</v>
      </c>
      <c r="BG1599" s="119">
        <v>0</v>
      </c>
      <c r="BH1599" s="119">
        <v>0</v>
      </c>
      <c r="BI1599" s="402">
        <v>0</v>
      </c>
      <c r="BJ1599" s="118"/>
      <c r="BK1599" s="118"/>
      <c r="BL1599" s="118"/>
      <c r="BM1599" s="118"/>
      <c r="BN1599" s="401">
        <v>0</v>
      </c>
      <c r="BO1599" s="118"/>
      <c r="BP1599" s="118"/>
      <c r="BQ1599" s="118"/>
      <c r="BR1599" s="118"/>
      <c r="BS1599" s="401">
        <v>0</v>
      </c>
      <c r="BT1599" s="401"/>
      <c r="BU1599" s="401"/>
      <c r="BV1599" s="401"/>
      <c r="BW1599" s="122"/>
    </row>
    <row r="1600" spans="1:75" s="123" customFormat="1" x14ac:dyDescent="0.5">
      <c r="A1600" s="184" t="s">
        <v>1402</v>
      </c>
      <c r="B1600" s="118"/>
      <c r="C1600" s="401"/>
      <c r="D1600" s="401">
        <v>0</v>
      </c>
      <c r="E1600" s="401">
        <v>0</v>
      </c>
      <c r="F1600" s="401">
        <v>0</v>
      </c>
      <c r="G1600" s="119">
        <v>0</v>
      </c>
      <c r="H1600" s="119">
        <v>0</v>
      </c>
      <c r="I1600" s="119">
        <v>0</v>
      </c>
      <c r="J1600" s="119">
        <v>0</v>
      </c>
      <c r="K1600" s="401">
        <v>0</v>
      </c>
      <c r="L1600" s="119">
        <v>0</v>
      </c>
      <c r="M1600" s="119">
        <v>0</v>
      </c>
      <c r="N1600" s="119">
        <v>0</v>
      </c>
      <c r="O1600" s="119">
        <v>0</v>
      </c>
      <c r="P1600" s="401">
        <v>0</v>
      </c>
      <c r="Q1600" s="119">
        <v>0</v>
      </c>
      <c r="R1600" s="119">
        <v>0</v>
      </c>
      <c r="S1600" s="119">
        <v>0</v>
      </c>
      <c r="T1600" s="119">
        <v>0</v>
      </c>
      <c r="U1600" s="401">
        <v>0</v>
      </c>
      <c r="V1600" s="119">
        <v>0</v>
      </c>
      <c r="W1600" s="119">
        <v>0</v>
      </c>
      <c r="X1600" s="119">
        <v>0</v>
      </c>
      <c r="Y1600" s="119">
        <v>0</v>
      </c>
      <c r="Z1600" s="401">
        <v>0</v>
      </c>
      <c r="AA1600" s="119">
        <v>0</v>
      </c>
      <c r="AB1600" s="119">
        <v>0</v>
      </c>
      <c r="AC1600" s="119">
        <v>0</v>
      </c>
      <c r="AD1600" s="119">
        <v>0</v>
      </c>
      <c r="AE1600" s="401">
        <v>0</v>
      </c>
      <c r="AF1600" s="119">
        <v>-1.776</v>
      </c>
      <c r="AG1600" s="119">
        <v>-1.7910000000000001</v>
      </c>
      <c r="AH1600" s="119">
        <v>-1.37</v>
      </c>
      <c r="AI1600" s="119">
        <v>-1.9479999999999995</v>
      </c>
      <c r="AJ1600" s="401">
        <v>-6.8849999999999998</v>
      </c>
      <c r="AK1600" s="119">
        <v>-2.129</v>
      </c>
      <c r="AL1600" s="119">
        <v>-2.27</v>
      </c>
      <c r="AM1600" s="119">
        <v>-2.7370000000000001</v>
      </c>
      <c r="AN1600" s="119">
        <v>-2.5460000000000003</v>
      </c>
      <c r="AO1600" s="401">
        <v>-9.6820000000000004</v>
      </c>
      <c r="AP1600" s="119">
        <v>-2.0680000000000001</v>
      </c>
      <c r="AQ1600" s="119">
        <v>-2.573</v>
      </c>
      <c r="AR1600" s="119">
        <v>-4.16</v>
      </c>
      <c r="AS1600" s="119">
        <v>-3.6969999999999992</v>
      </c>
      <c r="AT1600" s="401">
        <v>-12.497999999999999</v>
      </c>
      <c r="AU1600" s="119">
        <v>-3.6709999999999998</v>
      </c>
      <c r="AV1600" s="119">
        <v>-3.4369999999999998</v>
      </c>
      <c r="AW1600" s="119">
        <v>-3.4029999999999996</v>
      </c>
      <c r="AX1600" s="119">
        <v>-3.6470000000000002</v>
      </c>
      <c r="AY1600" s="401">
        <v>-14.157999999999999</v>
      </c>
      <c r="AZ1600" s="119">
        <v>-3.5590000000000002</v>
      </c>
      <c r="BA1600" s="119">
        <v>0.42700000000000005</v>
      </c>
      <c r="BB1600" s="119">
        <v>-3.6659999999999999</v>
      </c>
      <c r="BC1600" s="119">
        <v>-3.3480000000000008</v>
      </c>
      <c r="BD1600" s="401">
        <v>-10.146000000000001</v>
      </c>
      <c r="BE1600" s="119">
        <v>-3.8769999999999998</v>
      </c>
      <c r="BF1600" s="119">
        <v>-1.577</v>
      </c>
      <c r="BG1600" s="119">
        <v>-4.0970000000000004</v>
      </c>
      <c r="BH1600" s="119">
        <v>-4.4209999999999994</v>
      </c>
      <c r="BI1600" s="402">
        <v>-13.972</v>
      </c>
      <c r="BJ1600" s="118"/>
      <c r="BK1600" s="118"/>
      <c r="BL1600" s="118"/>
      <c r="BM1600" s="118"/>
      <c r="BN1600" s="401">
        <v>0</v>
      </c>
      <c r="BO1600" s="118"/>
      <c r="BP1600" s="118"/>
      <c r="BQ1600" s="118"/>
      <c r="BR1600" s="118"/>
      <c r="BS1600" s="401">
        <v>0</v>
      </c>
      <c r="BT1600" s="401"/>
      <c r="BU1600" s="401"/>
      <c r="BV1600" s="401"/>
      <c r="BW1600" s="122"/>
    </row>
    <row r="1601" spans="1:75" s="123" customFormat="1" x14ac:dyDescent="0.5">
      <c r="A1601" s="184" t="s">
        <v>1403</v>
      </c>
      <c r="B1601" s="118"/>
      <c r="C1601" s="401"/>
      <c r="D1601" s="401">
        <v>0</v>
      </c>
      <c r="E1601" s="401">
        <v>0</v>
      </c>
      <c r="F1601" s="401">
        <v>0</v>
      </c>
      <c r="G1601" s="119">
        <v>0</v>
      </c>
      <c r="H1601" s="119">
        <v>0</v>
      </c>
      <c r="I1601" s="119">
        <v>0</v>
      </c>
      <c r="J1601" s="119">
        <v>0</v>
      </c>
      <c r="K1601" s="401">
        <v>0</v>
      </c>
      <c r="L1601" s="119">
        <v>0</v>
      </c>
      <c r="M1601" s="119">
        <v>0</v>
      </c>
      <c r="N1601" s="119">
        <v>0</v>
      </c>
      <c r="O1601" s="119">
        <v>-2.133</v>
      </c>
      <c r="P1601" s="401">
        <v>-2.133</v>
      </c>
      <c r="Q1601" s="119">
        <v>0</v>
      </c>
      <c r="R1601" s="119">
        <v>0</v>
      </c>
      <c r="S1601" s="119">
        <v>0</v>
      </c>
      <c r="T1601" s="119">
        <v>0</v>
      </c>
      <c r="U1601" s="401">
        <v>0</v>
      </c>
      <c r="V1601" s="119">
        <v>0</v>
      </c>
      <c r="W1601" s="119">
        <v>0</v>
      </c>
      <c r="X1601" s="119">
        <v>0</v>
      </c>
      <c r="Y1601" s="119">
        <v>0</v>
      </c>
      <c r="Z1601" s="401">
        <v>0</v>
      </c>
      <c r="AA1601" s="119">
        <v>0</v>
      </c>
      <c r="AB1601" s="119">
        <v>0</v>
      </c>
      <c r="AC1601" s="119">
        <v>0</v>
      </c>
      <c r="AD1601" s="119">
        <v>0</v>
      </c>
      <c r="AE1601" s="401">
        <v>0</v>
      </c>
      <c r="AF1601" s="119">
        <v>0</v>
      </c>
      <c r="AG1601" s="119">
        <v>0</v>
      </c>
      <c r="AH1601" s="119">
        <v>0</v>
      </c>
      <c r="AI1601" s="119">
        <v>0</v>
      </c>
      <c r="AJ1601" s="401">
        <v>0</v>
      </c>
      <c r="AK1601" s="119">
        <v>0</v>
      </c>
      <c r="AL1601" s="119">
        <v>0</v>
      </c>
      <c r="AM1601" s="119">
        <v>0</v>
      </c>
      <c r="AN1601" s="119">
        <v>0</v>
      </c>
      <c r="AO1601" s="401">
        <v>0</v>
      </c>
      <c r="AP1601" s="119">
        <v>0</v>
      </c>
      <c r="AQ1601" s="119">
        <v>0</v>
      </c>
      <c r="AR1601" s="119">
        <v>0</v>
      </c>
      <c r="AS1601" s="119">
        <v>0</v>
      </c>
      <c r="AT1601" s="401">
        <v>0</v>
      </c>
      <c r="AU1601" s="119">
        <v>0</v>
      </c>
      <c r="AV1601" s="119">
        <v>0</v>
      </c>
      <c r="AW1601" s="119">
        <v>0</v>
      </c>
      <c r="AX1601" s="119">
        <v>0</v>
      </c>
      <c r="AY1601" s="401">
        <v>0</v>
      </c>
      <c r="AZ1601" s="119">
        <v>0</v>
      </c>
      <c r="BA1601" s="119">
        <v>0</v>
      </c>
      <c r="BB1601" s="119">
        <v>0</v>
      </c>
      <c r="BC1601" s="119">
        <v>0</v>
      </c>
      <c r="BD1601" s="401">
        <v>0</v>
      </c>
      <c r="BE1601" s="119">
        <v>0</v>
      </c>
      <c r="BF1601" s="119">
        <v>0</v>
      </c>
      <c r="BG1601" s="119">
        <v>0</v>
      </c>
      <c r="BH1601" s="119">
        <v>0</v>
      </c>
      <c r="BI1601" s="402">
        <v>0</v>
      </c>
      <c r="BJ1601" s="118"/>
      <c r="BK1601" s="118"/>
      <c r="BL1601" s="118"/>
      <c r="BM1601" s="118"/>
      <c r="BN1601" s="401">
        <v>0</v>
      </c>
      <c r="BO1601" s="118"/>
      <c r="BP1601" s="118"/>
      <c r="BQ1601" s="118"/>
      <c r="BR1601" s="118"/>
      <c r="BS1601" s="401">
        <v>0</v>
      </c>
      <c r="BT1601" s="401"/>
      <c r="BU1601" s="401"/>
      <c r="BV1601" s="401"/>
      <c r="BW1601" s="122"/>
    </row>
    <row r="1602" spans="1:75" s="123" customFormat="1" x14ac:dyDescent="0.5">
      <c r="A1602" s="184" t="s">
        <v>1404</v>
      </c>
      <c r="B1602" s="118"/>
      <c r="C1602" s="401"/>
      <c r="D1602" s="401">
        <v>0</v>
      </c>
      <c r="E1602" s="401">
        <v>15</v>
      </c>
      <c r="F1602" s="401">
        <v>0</v>
      </c>
      <c r="G1602" s="119">
        <v>0</v>
      </c>
      <c r="H1602" s="119">
        <v>0</v>
      </c>
      <c r="I1602" s="119">
        <v>0</v>
      </c>
      <c r="J1602" s="119">
        <v>0</v>
      </c>
      <c r="K1602" s="401">
        <v>0</v>
      </c>
      <c r="L1602" s="119">
        <v>0</v>
      </c>
      <c r="M1602" s="119">
        <v>350</v>
      </c>
      <c r="N1602" s="119">
        <v>0</v>
      </c>
      <c r="O1602" s="119">
        <v>0</v>
      </c>
      <c r="P1602" s="401">
        <v>350</v>
      </c>
      <c r="Q1602" s="119">
        <v>0</v>
      </c>
      <c r="R1602" s="119">
        <v>296.25</v>
      </c>
      <c r="S1602" s="119">
        <v>0</v>
      </c>
      <c r="T1602" s="119">
        <v>0</v>
      </c>
      <c r="U1602" s="401">
        <v>296.25</v>
      </c>
      <c r="V1602" s="119">
        <v>0</v>
      </c>
      <c r="W1602" s="119">
        <v>0</v>
      </c>
      <c r="X1602" s="119">
        <v>0</v>
      </c>
      <c r="Y1602" s="119">
        <v>0</v>
      </c>
      <c r="Z1602" s="401">
        <v>0</v>
      </c>
      <c r="AA1602" s="119">
        <v>0</v>
      </c>
      <c r="AB1602" s="119">
        <v>0</v>
      </c>
      <c r="AC1602" s="119">
        <v>0</v>
      </c>
      <c r="AD1602" s="119">
        <v>0</v>
      </c>
      <c r="AE1602" s="401">
        <v>0</v>
      </c>
      <c r="AF1602" s="119">
        <v>0</v>
      </c>
      <c r="AG1602" s="119">
        <v>335</v>
      </c>
      <c r="AH1602" s="119">
        <v>0</v>
      </c>
      <c r="AI1602" s="119">
        <v>0</v>
      </c>
      <c r="AJ1602" s="401">
        <v>335</v>
      </c>
      <c r="AK1602" s="119">
        <v>0</v>
      </c>
      <c r="AL1602" s="119">
        <v>0</v>
      </c>
      <c r="AM1602" s="119">
        <v>350</v>
      </c>
      <c r="AN1602" s="119">
        <v>0</v>
      </c>
      <c r="AO1602" s="401">
        <v>350</v>
      </c>
      <c r="AP1602" s="119">
        <v>0</v>
      </c>
      <c r="AQ1602" s="119">
        <v>0</v>
      </c>
      <c r="AR1602" s="119">
        <v>0</v>
      </c>
      <c r="AS1602" s="119">
        <v>0</v>
      </c>
      <c r="AT1602" s="401">
        <v>0</v>
      </c>
      <c r="AU1602" s="119">
        <v>0</v>
      </c>
      <c r="AV1602" s="119">
        <v>0</v>
      </c>
      <c r="AW1602" s="119">
        <v>0</v>
      </c>
      <c r="AX1602" s="119">
        <v>0</v>
      </c>
      <c r="AY1602" s="401">
        <v>0</v>
      </c>
      <c r="AZ1602" s="119">
        <v>0</v>
      </c>
      <c r="BA1602" s="119">
        <v>0</v>
      </c>
      <c r="BB1602" s="119">
        <v>0</v>
      </c>
      <c r="BC1602" s="119">
        <v>0</v>
      </c>
      <c r="BD1602" s="401">
        <v>0</v>
      </c>
      <c r="BE1602" s="119">
        <v>0</v>
      </c>
      <c r="BF1602" s="119">
        <v>0</v>
      </c>
      <c r="BG1602" s="119">
        <v>0</v>
      </c>
      <c r="BH1602" s="119">
        <v>0</v>
      </c>
      <c r="BI1602" s="402">
        <v>0</v>
      </c>
      <c r="BJ1602" s="118"/>
      <c r="BK1602" s="118"/>
      <c r="BL1602" s="118"/>
      <c r="BM1602" s="118"/>
      <c r="BN1602" s="401">
        <v>0</v>
      </c>
      <c r="BO1602" s="118"/>
      <c r="BP1602" s="118"/>
      <c r="BQ1602" s="118"/>
      <c r="BR1602" s="118"/>
      <c r="BS1602" s="401">
        <v>0</v>
      </c>
      <c r="BT1602" s="401"/>
      <c r="BU1602" s="401"/>
      <c r="BV1602" s="401"/>
      <c r="BW1602" s="122"/>
    </row>
    <row r="1603" spans="1:75" s="123" customFormat="1" x14ac:dyDescent="0.5">
      <c r="A1603" s="184" t="s">
        <v>1405</v>
      </c>
      <c r="B1603" s="118"/>
      <c r="C1603" s="401"/>
      <c r="D1603" s="401">
        <v>0</v>
      </c>
      <c r="E1603" s="401">
        <v>0</v>
      </c>
      <c r="F1603" s="401">
        <v>0</v>
      </c>
      <c r="G1603" s="119">
        <v>0</v>
      </c>
      <c r="H1603" s="119">
        <v>0</v>
      </c>
      <c r="I1603" s="119">
        <v>0</v>
      </c>
      <c r="J1603" s="119">
        <v>0</v>
      </c>
      <c r="K1603" s="401">
        <v>0</v>
      </c>
      <c r="L1603" s="119">
        <v>0</v>
      </c>
      <c r="M1603" s="119">
        <v>0</v>
      </c>
      <c r="N1603" s="119">
        <v>0</v>
      </c>
      <c r="O1603" s="119">
        <v>0</v>
      </c>
      <c r="P1603" s="401">
        <v>0</v>
      </c>
      <c r="Q1603" s="119">
        <v>0</v>
      </c>
      <c r="R1603" s="119">
        <v>0</v>
      </c>
      <c r="S1603" s="119">
        <v>0</v>
      </c>
      <c r="T1603" s="119">
        <v>0</v>
      </c>
      <c r="U1603" s="401">
        <v>0</v>
      </c>
      <c r="V1603" s="119">
        <v>0</v>
      </c>
      <c r="W1603" s="119">
        <v>0</v>
      </c>
      <c r="X1603" s="119">
        <v>0</v>
      </c>
      <c r="Y1603" s="119">
        <v>0</v>
      </c>
      <c r="Z1603" s="401">
        <v>0</v>
      </c>
      <c r="AA1603" s="119">
        <v>0</v>
      </c>
      <c r="AB1603" s="119">
        <v>0</v>
      </c>
      <c r="AC1603" s="119">
        <v>0</v>
      </c>
      <c r="AD1603" s="119">
        <v>0</v>
      </c>
      <c r="AE1603" s="401">
        <v>0</v>
      </c>
      <c r="AF1603" s="119">
        <v>0</v>
      </c>
      <c r="AG1603" s="119">
        <v>0</v>
      </c>
      <c r="AH1603" s="119">
        <v>0</v>
      </c>
      <c r="AI1603" s="119">
        <v>0</v>
      </c>
      <c r="AJ1603" s="401">
        <v>0</v>
      </c>
      <c r="AK1603" s="119">
        <v>0</v>
      </c>
      <c r="AL1603" s="119">
        <v>-278.56</v>
      </c>
      <c r="AM1603" s="119">
        <v>0</v>
      </c>
      <c r="AN1603" s="119">
        <v>0</v>
      </c>
      <c r="AO1603" s="401">
        <v>-278.56</v>
      </c>
      <c r="AP1603" s="119">
        <v>0</v>
      </c>
      <c r="AQ1603" s="119">
        <v>-215.846</v>
      </c>
      <c r="AR1603" s="119">
        <v>0</v>
      </c>
      <c r="AS1603" s="119">
        <v>0</v>
      </c>
      <c r="AT1603" s="401">
        <v>-215.846</v>
      </c>
      <c r="AU1603" s="119">
        <v>-2.0350000000000001</v>
      </c>
      <c r="AV1603" s="119">
        <v>-26.076000000000001</v>
      </c>
      <c r="AW1603" s="119">
        <v>-207.01500000000001</v>
      </c>
      <c r="AX1603" s="119">
        <v>-100.60299999999998</v>
      </c>
      <c r="AY1603" s="401">
        <v>-335.72899999999998</v>
      </c>
      <c r="AZ1603" s="119">
        <v>-13.048</v>
      </c>
      <c r="BA1603" s="119">
        <v>0</v>
      </c>
      <c r="BB1603" s="119">
        <v>-5.0000000000007816E-3</v>
      </c>
      <c r="BC1603" s="119">
        <v>-1.0999999999999233E-2</v>
      </c>
      <c r="BD1603" s="401">
        <v>-13.064</v>
      </c>
      <c r="BE1603" s="119">
        <v>-2E-3</v>
      </c>
      <c r="BF1603" s="119">
        <v>-1.694</v>
      </c>
      <c r="BG1603" s="119">
        <v>0</v>
      </c>
      <c r="BH1603" s="119">
        <v>0</v>
      </c>
      <c r="BI1603" s="402">
        <v>-1.696</v>
      </c>
      <c r="BJ1603" s="118"/>
      <c r="BK1603" s="118"/>
      <c r="BL1603" s="118"/>
      <c r="BM1603" s="118"/>
      <c r="BN1603" s="401">
        <v>0</v>
      </c>
      <c r="BO1603" s="118"/>
      <c r="BP1603" s="118"/>
      <c r="BQ1603" s="118"/>
      <c r="BR1603" s="118"/>
      <c r="BS1603" s="401">
        <v>0</v>
      </c>
      <c r="BT1603" s="401"/>
      <c r="BU1603" s="401"/>
      <c r="BV1603" s="401"/>
      <c r="BW1603" s="122"/>
    </row>
    <row r="1604" spans="1:75" s="123" customFormat="1" x14ac:dyDescent="0.5">
      <c r="A1604" s="184" t="s">
        <v>1406</v>
      </c>
      <c r="B1604" s="118"/>
      <c r="C1604" s="401"/>
      <c r="D1604" s="401">
        <v>0</v>
      </c>
      <c r="E1604" s="401">
        <v>0</v>
      </c>
      <c r="F1604" s="401">
        <v>0</v>
      </c>
      <c r="G1604" s="119">
        <v>0</v>
      </c>
      <c r="H1604" s="119">
        <v>0</v>
      </c>
      <c r="I1604" s="119">
        <v>0</v>
      </c>
      <c r="J1604" s="119">
        <v>0</v>
      </c>
      <c r="K1604" s="401">
        <v>0</v>
      </c>
      <c r="L1604" s="119">
        <v>0</v>
      </c>
      <c r="M1604" s="119">
        <v>0</v>
      </c>
      <c r="N1604" s="119">
        <v>0</v>
      </c>
      <c r="O1604" s="119">
        <v>0</v>
      </c>
      <c r="P1604" s="401">
        <v>0</v>
      </c>
      <c r="Q1604" s="119">
        <v>0</v>
      </c>
      <c r="R1604" s="119">
        <v>0</v>
      </c>
      <c r="S1604" s="119">
        <v>0</v>
      </c>
      <c r="T1604" s="119">
        <v>0</v>
      </c>
      <c r="U1604" s="401">
        <v>0</v>
      </c>
      <c r="V1604" s="119">
        <v>0</v>
      </c>
      <c r="W1604" s="119">
        <v>0</v>
      </c>
      <c r="X1604" s="119">
        <v>0</v>
      </c>
      <c r="Y1604" s="119">
        <v>0</v>
      </c>
      <c r="Z1604" s="401">
        <v>0</v>
      </c>
      <c r="AA1604" s="119">
        <v>0</v>
      </c>
      <c r="AB1604" s="119">
        <v>0</v>
      </c>
      <c r="AC1604" s="119">
        <v>0</v>
      </c>
      <c r="AD1604" s="119">
        <v>0</v>
      </c>
      <c r="AE1604" s="401">
        <v>0</v>
      </c>
      <c r="AF1604" s="119">
        <v>0</v>
      </c>
      <c r="AG1604" s="119">
        <v>0</v>
      </c>
      <c r="AH1604" s="119">
        <v>0</v>
      </c>
      <c r="AI1604" s="119">
        <v>0</v>
      </c>
      <c r="AJ1604" s="401">
        <v>0</v>
      </c>
      <c r="AK1604" s="119">
        <v>0</v>
      </c>
      <c r="AL1604" s="119">
        <v>0</v>
      </c>
      <c r="AM1604" s="119">
        <v>0</v>
      </c>
      <c r="AN1604" s="119">
        <v>0</v>
      </c>
      <c r="AO1604" s="401">
        <v>0</v>
      </c>
      <c r="AP1604" s="119">
        <v>0</v>
      </c>
      <c r="AQ1604" s="119">
        <v>0</v>
      </c>
      <c r="AR1604" s="119">
        <v>0</v>
      </c>
      <c r="AS1604" s="119">
        <v>0</v>
      </c>
      <c r="AT1604" s="401">
        <v>0</v>
      </c>
      <c r="AU1604" s="119">
        <v>0</v>
      </c>
      <c r="AV1604" s="119">
        <v>0</v>
      </c>
      <c r="AW1604" s="119">
        <v>0</v>
      </c>
      <c r="AX1604" s="119">
        <v>0</v>
      </c>
      <c r="AY1604" s="401">
        <v>0</v>
      </c>
      <c r="AZ1604" s="119">
        <v>0</v>
      </c>
      <c r="BA1604" s="119">
        <v>-395.37200000000001</v>
      </c>
      <c r="BB1604" s="119">
        <v>0</v>
      </c>
      <c r="BC1604" s="119">
        <v>0</v>
      </c>
      <c r="BD1604" s="401">
        <v>-395.37200000000001</v>
      </c>
      <c r="BE1604" s="119">
        <v>0</v>
      </c>
      <c r="BF1604" s="119">
        <v>0</v>
      </c>
      <c r="BG1604" s="119">
        <v>0</v>
      </c>
      <c r="BH1604" s="119">
        <v>0</v>
      </c>
      <c r="BI1604" s="402">
        <v>0</v>
      </c>
      <c r="BJ1604" s="118"/>
      <c r="BK1604" s="118"/>
      <c r="BL1604" s="118"/>
      <c r="BM1604" s="118"/>
      <c r="BN1604" s="401">
        <v>0</v>
      </c>
      <c r="BO1604" s="118"/>
      <c r="BP1604" s="118"/>
      <c r="BQ1604" s="118"/>
      <c r="BR1604" s="118"/>
      <c r="BS1604" s="401">
        <v>0</v>
      </c>
      <c r="BT1604" s="401"/>
      <c r="BU1604" s="401"/>
      <c r="BV1604" s="401"/>
      <c r="BW1604" s="122"/>
    </row>
    <row r="1605" spans="1:75" s="123" customFormat="1" x14ac:dyDescent="0.5">
      <c r="A1605" s="184" t="s">
        <v>1407</v>
      </c>
      <c r="B1605" s="118"/>
      <c r="C1605" s="401"/>
      <c r="D1605" s="401">
        <v>0</v>
      </c>
      <c r="E1605" s="401">
        <v>0</v>
      </c>
      <c r="F1605" s="401">
        <v>0</v>
      </c>
      <c r="G1605" s="119">
        <v>0</v>
      </c>
      <c r="H1605" s="119">
        <v>0</v>
      </c>
      <c r="I1605" s="119">
        <v>0</v>
      </c>
      <c r="J1605" s="119">
        <v>0</v>
      </c>
      <c r="K1605" s="401">
        <v>0</v>
      </c>
      <c r="L1605" s="119">
        <v>0</v>
      </c>
      <c r="M1605" s="119">
        <v>40.39</v>
      </c>
      <c r="N1605" s="119">
        <v>0</v>
      </c>
      <c r="O1605" s="119">
        <v>0</v>
      </c>
      <c r="P1605" s="401">
        <v>40.39</v>
      </c>
      <c r="Q1605" s="119">
        <v>0</v>
      </c>
      <c r="R1605" s="119">
        <v>30.39</v>
      </c>
      <c r="S1605" s="119">
        <v>0</v>
      </c>
      <c r="T1605" s="119">
        <v>0</v>
      </c>
      <c r="U1605" s="401">
        <v>30.39</v>
      </c>
      <c r="V1605" s="119">
        <v>0</v>
      </c>
      <c r="W1605" s="119">
        <v>0</v>
      </c>
      <c r="X1605" s="119">
        <v>0</v>
      </c>
      <c r="Y1605" s="119">
        <v>0</v>
      </c>
      <c r="Z1605" s="401">
        <v>0</v>
      </c>
      <c r="AA1605" s="119">
        <v>0</v>
      </c>
      <c r="AB1605" s="119">
        <v>0</v>
      </c>
      <c r="AC1605" s="119">
        <v>0</v>
      </c>
      <c r="AD1605" s="119">
        <v>0</v>
      </c>
      <c r="AE1605" s="401">
        <v>0</v>
      </c>
      <c r="AF1605" s="119">
        <v>0</v>
      </c>
      <c r="AG1605" s="119">
        <v>51.021000000000001</v>
      </c>
      <c r="AH1605" s="119">
        <v>0</v>
      </c>
      <c r="AI1605" s="119">
        <v>0</v>
      </c>
      <c r="AJ1605" s="401">
        <v>51.021000000000001</v>
      </c>
      <c r="AK1605" s="119">
        <v>0</v>
      </c>
      <c r="AL1605" s="119">
        <v>0</v>
      </c>
      <c r="AM1605" s="119">
        <v>50.225000000000001</v>
      </c>
      <c r="AN1605" s="119">
        <v>0</v>
      </c>
      <c r="AO1605" s="401">
        <v>50.225000000000001</v>
      </c>
      <c r="AP1605" s="119">
        <v>0</v>
      </c>
      <c r="AQ1605" s="119">
        <v>0</v>
      </c>
      <c r="AR1605" s="119">
        <v>0</v>
      </c>
      <c r="AS1605" s="119">
        <v>0</v>
      </c>
      <c r="AT1605" s="401">
        <v>0</v>
      </c>
      <c r="AU1605" s="119">
        <v>0</v>
      </c>
      <c r="AV1605" s="119">
        <v>0</v>
      </c>
      <c r="AW1605" s="119">
        <v>0</v>
      </c>
      <c r="AX1605" s="119">
        <v>0</v>
      </c>
      <c r="AY1605" s="401">
        <v>0</v>
      </c>
      <c r="AZ1605" s="119">
        <v>0</v>
      </c>
      <c r="BA1605" s="119">
        <v>0</v>
      </c>
      <c r="BB1605" s="119">
        <v>0</v>
      </c>
      <c r="BC1605" s="119">
        <v>0</v>
      </c>
      <c r="BD1605" s="401">
        <v>0</v>
      </c>
      <c r="BE1605" s="119">
        <v>0</v>
      </c>
      <c r="BF1605" s="119">
        <v>0</v>
      </c>
      <c r="BG1605" s="119">
        <v>0</v>
      </c>
      <c r="BH1605" s="119">
        <v>0</v>
      </c>
      <c r="BI1605" s="402">
        <v>0</v>
      </c>
      <c r="BJ1605" s="118"/>
      <c r="BK1605" s="118"/>
      <c r="BL1605" s="118"/>
      <c r="BM1605" s="118"/>
      <c r="BN1605" s="401">
        <v>0</v>
      </c>
      <c r="BO1605" s="118"/>
      <c r="BP1605" s="118"/>
      <c r="BQ1605" s="118"/>
      <c r="BR1605" s="118"/>
      <c r="BS1605" s="401">
        <v>0</v>
      </c>
      <c r="BT1605" s="401"/>
      <c r="BU1605" s="401"/>
      <c r="BV1605" s="401"/>
      <c r="BW1605" s="122"/>
    </row>
    <row r="1606" spans="1:75" s="123" customFormat="1" x14ac:dyDescent="0.5">
      <c r="A1606" s="184" t="s">
        <v>1408</v>
      </c>
      <c r="B1606" s="118"/>
      <c r="C1606" s="401"/>
      <c r="D1606" s="401">
        <v>0</v>
      </c>
      <c r="E1606" s="401">
        <v>0</v>
      </c>
      <c r="F1606" s="401">
        <v>0</v>
      </c>
      <c r="G1606" s="119">
        <v>0</v>
      </c>
      <c r="H1606" s="119">
        <v>0</v>
      </c>
      <c r="I1606" s="119">
        <v>0</v>
      </c>
      <c r="J1606" s="119">
        <v>0</v>
      </c>
      <c r="K1606" s="401">
        <v>0</v>
      </c>
      <c r="L1606" s="119">
        <v>0</v>
      </c>
      <c r="M1606" s="119">
        <v>0</v>
      </c>
      <c r="N1606" s="119">
        <v>0</v>
      </c>
      <c r="O1606" s="119">
        <v>0</v>
      </c>
      <c r="P1606" s="401">
        <v>0</v>
      </c>
      <c r="Q1606" s="119">
        <v>0</v>
      </c>
      <c r="R1606" s="119">
        <v>0</v>
      </c>
      <c r="S1606" s="119">
        <v>0</v>
      </c>
      <c r="T1606" s="119">
        <v>0</v>
      </c>
      <c r="U1606" s="401">
        <v>0</v>
      </c>
      <c r="V1606" s="119">
        <v>0</v>
      </c>
      <c r="W1606" s="119">
        <v>0</v>
      </c>
      <c r="X1606" s="119">
        <v>0</v>
      </c>
      <c r="Y1606" s="119">
        <v>0</v>
      </c>
      <c r="Z1606" s="401">
        <v>0</v>
      </c>
      <c r="AA1606" s="119">
        <v>0</v>
      </c>
      <c r="AB1606" s="119">
        <v>0</v>
      </c>
      <c r="AC1606" s="119">
        <v>0</v>
      </c>
      <c r="AD1606" s="119">
        <v>0</v>
      </c>
      <c r="AE1606" s="401">
        <v>0</v>
      </c>
      <c r="AF1606" s="119">
        <v>0</v>
      </c>
      <c r="AG1606" s="119">
        <v>0</v>
      </c>
      <c r="AH1606" s="119">
        <v>0</v>
      </c>
      <c r="AI1606" s="119">
        <v>0</v>
      </c>
      <c r="AJ1606" s="401">
        <v>0</v>
      </c>
      <c r="AK1606" s="119">
        <v>0</v>
      </c>
      <c r="AL1606" s="119">
        <v>0</v>
      </c>
      <c r="AM1606" s="119">
        <v>0</v>
      </c>
      <c r="AN1606" s="119">
        <v>0</v>
      </c>
      <c r="AO1606" s="401">
        <v>0</v>
      </c>
      <c r="AP1606" s="119">
        <v>0</v>
      </c>
      <c r="AQ1606" s="119">
        <v>0</v>
      </c>
      <c r="AR1606" s="119">
        <v>0</v>
      </c>
      <c r="AS1606" s="119">
        <v>0</v>
      </c>
      <c r="AT1606" s="401">
        <v>0</v>
      </c>
      <c r="AU1606" s="119">
        <v>0</v>
      </c>
      <c r="AV1606" s="119">
        <v>0</v>
      </c>
      <c r="AW1606" s="119">
        <v>0</v>
      </c>
      <c r="AX1606" s="119">
        <v>0</v>
      </c>
      <c r="AY1606" s="401">
        <v>0</v>
      </c>
      <c r="AZ1606" s="119">
        <v>-390.93400000000003</v>
      </c>
      <c r="BA1606" s="119">
        <v>0</v>
      </c>
      <c r="BB1606" s="119">
        <v>0</v>
      </c>
      <c r="BC1606" s="119">
        <v>0</v>
      </c>
      <c r="BD1606" s="401">
        <v>-390.93400000000003</v>
      </c>
      <c r="BE1606" s="119">
        <v>0</v>
      </c>
      <c r="BF1606" s="119">
        <v>0</v>
      </c>
      <c r="BG1606" s="119">
        <v>0</v>
      </c>
      <c r="BH1606" s="119">
        <v>0</v>
      </c>
      <c r="BI1606" s="402">
        <v>0</v>
      </c>
      <c r="BJ1606" s="118"/>
      <c r="BK1606" s="118"/>
      <c r="BL1606" s="118"/>
      <c r="BM1606" s="118"/>
      <c r="BN1606" s="401">
        <v>0</v>
      </c>
      <c r="BO1606" s="118"/>
      <c r="BP1606" s="118"/>
      <c r="BQ1606" s="118"/>
      <c r="BR1606" s="118"/>
      <c r="BS1606" s="401">
        <v>0</v>
      </c>
      <c r="BT1606" s="401"/>
      <c r="BU1606" s="401"/>
      <c r="BV1606" s="401"/>
      <c r="BW1606" s="122"/>
    </row>
    <row r="1607" spans="1:75" s="123" customFormat="1" x14ac:dyDescent="0.5">
      <c r="A1607" s="184" t="s">
        <v>1409</v>
      </c>
      <c r="B1607" s="118"/>
      <c r="C1607" s="401"/>
      <c r="D1607" s="401">
        <v>0</v>
      </c>
      <c r="E1607" s="401">
        <v>0</v>
      </c>
      <c r="F1607" s="401">
        <v>0</v>
      </c>
      <c r="G1607" s="119">
        <v>0</v>
      </c>
      <c r="H1607" s="119">
        <v>0</v>
      </c>
      <c r="I1607" s="119">
        <v>0</v>
      </c>
      <c r="J1607" s="119">
        <v>0</v>
      </c>
      <c r="K1607" s="401">
        <v>0</v>
      </c>
      <c r="L1607" s="119">
        <v>0</v>
      </c>
      <c r="M1607" s="119">
        <v>-73.325000000000003</v>
      </c>
      <c r="N1607" s="119">
        <v>0</v>
      </c>
      <c r="O1607" s="119">
        <v>0</v>
      </c>
      <c r="P1607" s="401">
        <v>-73.325000000000003</v>
      </c>
      <c r="Q1607" s="119">
        <v>0</v>
      </c>
      <c r="R1607" s="119">
        <v>-68.25</v>
      </c>
      <c r="S1607" s="119">
        <v>0</v>
      </c>
      <c r="T1607" s="119">
        <v>0</v>
      </c>
      <c r="U1607" s="401">
        <v>-68.25</v>
      </c>
      <c r="V1607" s="119">
        <v>0</v>
      </c>
      <c r="W1607" s="119">
        <v>0</v>
      </c>
      <c r="X1607" s="119">
        <v>0</v>
      </c>
      <c r="Y1607" s="119">
        <v>0</v>
      </c>
      <c r="Z1607" s="401">
        <v>0</v>
      </c>
      <c r="AA1607" s="119">
        <v>0</v>
      </c>
      <c r="AB1607" s="119">
        <v>0</v>
      </c>
      <c r="AC1607" s="119">
        <v>0</v>
      </c>
      <c r="AD1607" s="119">
        <v>0</v>
      </c>
      <c r="AE1607" s="401">
        <v>0</v>
      </c>
      <c r="AF1607" s="119">
        <v>0</v>
      </c>
      <c r="AG1607" s="119">
        <v>-91.856999999999999</v>
      </c>
      <c r="AH1607" s="119">
        <v>0</v>
      </c>
      <c r="AI1607" s="119">
        <v>0</v>
      </c>
      <c r="AJ1607" s="401">
        <v>-91.856999999999999</v>
      </c>
      <c r="AK1607" s="119">
        <v>0</v>
      </c>
      <c r="AL1607" s="119">
        <v>0</v>
      </c>
      <c r="AM1607" s="119">
        <v>-91.35</v>
      </c>
      <c r="AN1607" s="119">
        <v>0</v>
      </c>
      <c r="AO1607" s="401">
        <v>-91.35</v>
      </c>
      <c r="AP1607" s="119">
        <v>0</v>
      </c>
      <c r="AQ1607" s="119">
        <v>0</v>
      </c>
      <c r="AR1607" s="119">
        <v>0</v>
      </c>
      <c r="AS1607" s="119">
        <v>0</v>
      </c>
      <c r="AT1607" s="401">
        <v>0</v>
      </c>
      <c r="AU1607" s="119">
        <v>0</v>
      </c>
      <c r="AV1607" s="119">
        <v>0</v>
      </c>
      <c r="AW1607" s="119">
        <v>0</v>
      </c>
      <c r="AX1607" s="119">
        <v>0</v>
      </c>
      <c r="AY1607" s="401">
        <v>0</v>
      </c>
      <c r="AZ1607" s="119">
        <v>0</v>
      </c>
      <c r="BA1607" s="119">
        <v>0</v>
      </c>
      <c r="BB1607" s="119">
        <v>0</v>
      </c>
      <c r="BC1607" s="119">
        <v>0</v>
      </c>
      <c r="BD1607" s="401">
        <v>0</v>
      </c>
      <c r="BE1607" s="119">
        <v>0</v>
      </c>
      <c r="BF1607" s="119">
        <v>0</v>
      </c>
      <c r="BG1607" s="119">
        <v>0</v>
      </c>
      <c r="BH1607" s="119">
        <v>0</v>
      </c>
      <c r="BI1607" s="402">
        <v>0</v>
      </c>
      <c r="BJ1607" s="118"/>
      <c r="BK1607" s="118"/>
      <c r="BL1607" s="118"/>
      <c r="BM1607" s="118"/>
      <c r="BN1607" s="401">
        <v>0</v>
      </c>
      <c r="BO1607" s="118"/>
      <c r="BP1607" s="118"/>
      <c r="BQ1607" s="118"/>
      <c r="BR1607" s="118"/>
      <c r="BS1607" s="401">
        <v>0</v>
      </c>
      <c r="BT1607" s="401"/>
      <c r="BU1607" s="401"/>
      <c r="BV1607" s="401"/>
      <c r="BW1607" s="122"/>
    </row>
    <row r="1608" spans="1:75" s="123" customFormat="1" x14ac:dyDescent="0.5">
      <c r="A1608" s="184" t="s">
        <v>1410</v>
      </c>
      <c r="B1608" s="118"/>
      <c r="C1608" s="401"/>
      <c r="D1608" s="401">
        <v>0</v>
      </c>
      <c r="E1608" s="401">
        <v>0</v>
      </c>
      <c r="F1608" s="401">
        <v>0</v>
      </c>
      <c r="G1608" s="119">
        <v>0</v>
      </c>
      <c r="H1608" s="119">
        <v>0</v>
      </c>
      <c r="I1608" s="119">
        <v>0</v>
      </c>
      <c r="J1608" s="119">
        <v>0</v>
      </c>
      <c r="K1608" s="401">
        <v>0</v>
      </c>
      <c r="L1608" s="119">
        <v>0</v>
      </c>
      <c r="M1608" s="119">
        <v>0</v>
      </c>
      <c r="N1608" s="119">
        <v>0</v>
      </c>
      <c r="O1608" s="119">
        <v>0</v>
      </c>
      <c r="P1608" s="401">
        <v>0</v>
      </c>
      <c r="Q1608" s="119">
        <v>0</v>
      </c>
      <c r="R1608" s="119">
        <v>0</v>
      </c>
      <c r="S1608" s="119">
        <v>0</v>
      </c>
      <c r="T1608" s="119">
        <v>0</v>
      </c>
      <c r="U1608" s="401">
        <v>0</v>
      </c>
      <c r="V1608" s="119">
        <v>0</v>
      </c>
      <c r="W1608" s="119">
        <v>0</v>
      </c>
      <c r="X1608" s="119">
        <v>0</v>
      </c>
      <c r="Y1608" s="119">
        <v>0</v>
      </c>
      <c r="Z1608" s="401">
        <v>0</v>
      </c>
      <c r="AA1608" s="119">
        <v>0</v>
      </c>
      <c r="AB1608" s="119">
        <v>0</v>
      </c>
      <c r="AC1608" s="119">
        <v>0</v>
      </c>
      <c r="AD1608" s="119">
        <v>0</v>
      </c>
      <c r="AE1608" s="401">
        <v>0</v>
      </c>
      <c r="AF1608" s="119">
        <v>0</v>
      </c>
      <c r="AG1608" s="119">
        <v>0</v>
      </c>
      <c r="AH1608" s="119">
        <v>0</v>
      </c>
      <c r="AI1608" s="119">
        <v>0</v>
      </c>
      <c r="AJ1608" s="401">
        <v>0</v>
      </c>
      <c r="AK1608" s="119">
        <v>0</v>
      </c>
      <c r="AL1608" s="119">
        <v>0</v>
      </c>
      <c r="AM1608" s="119">
        <v>0</v>
      </c>
      <c r="AN1608" s="119">
        <v>0</v>
      </c>
      <c r="AO1608" s="401">
        <v>0</v>
      </c>
      <c r="AP1608" s="119">
        <v>0</v>
      </c>
      <c r="AQ1608" s="119">
        <v>0</v>
      </c>
      <c r="AR1608" s="119">
        <v>0</v>
      </c>
      <c r="AS1608" s="119">
        <v>0</v>
      </c>
      <c r="AT1608" s="401">
        <v>0</v>
      </c>
      <c r="AU1608" s="119">
        <v>0</v>
      </c>
      <c r="AV1608" s="119">
        <v>0</v>
      </c>
      <c r="AW1608" s="119">
        <v>0</v>
      </c>
      <c r="AX1608" s="119">
        <v>0</v>
      </c>
      <c r="AY1608" s="401">
        <v>0</v>
      </c>
      <c r="AZ1608" s="119">
        <v>231.79599999999999</v>
      </c>
      <c r="BA1608" s="119">
        <v>0</v>
      </c>
      <c r="BB1608" s="119">
        <v>0</v>
      </c>
      <c r="BC1608" s="119">
        <v>0</v>
      </c>
      <c r="BD1608" s="401">
        <v>231.79599999999999</v>
      </c>
      <c r="BE1608" s="119">
        <v>0</v>
      </c>
      <c r="BF1608" s="119">
        <v>0</v>
      </c>
      <c r="BG1608" s="119">
        <v>0</v>
      </c>
      <c r="BH1608" s="119">
        <v>0</v>
      </c>
      <c r="BI1608" s="402">
        <v>0</v>
      </c>
      <c r="BJ1608" s="118"/>
      <c r="BK1608" s="118"/>
      <c r="BL1608" s="118"/>
      <c r="BM1608" s="118"/>
      <c r="BN1608" s="401">
        <v>0</v>
      </c>
      <c r="BO1608" s="118"/>
      <c r="BP1608" s="118"/>
      <c r="BQ1608" s="118"/>
      <c r="BR1608" s="118"/>
      <c r="BS1608" s="401">
        <v>0</v>
      </c>
      <c r="BT1608" s="401"/>
      <c r="BU1608" s="401"/>
      <c r="BV1608" s="401"/>
      <c r="BW1608" s="122"/>
    </row>
    <row r="1609" spans="1:75" s="123" customFormat="1" x14ac:dyDescent="0.5">
      <c r="A1609" s="184" t="s">
        <v>1411</v>
      </c>
      <c r="B1609" s="118"/>
      <c r="C1609" s="401"/>
      <c r="D1609" s="401">
        <v>0</v>
      </c>
      <c r="E1609" s="401">
        <v>0</v>
      </c>
      <c r="F1609" s="401">
        <v>0</v>
      </c>
      <c r="G1609" s="119">
        <v>0</v>
      </c>
      <c r="H1609" s="119">
        <v>0</v>
      </c>
      <c r="I1609" s="119">
        <v>0</v>
      </c>
      <c r="J1609" s="119">
        <v>0</v>
      </c>
      <c r="K1609" s="401">
        <v>0</v>
      </c>
      <c r="L1609" s="119">
        <v>0</v>
      </c>
      <c r="M1609" s="119">
        <v>0</v>
      </c>
      <c r="N1609" s="119">
        <v>0</v>
      </c>
      <c r="O1609" s="119">
        <v>0</v>
      </c>
      <c r="P1609" s="401">
        <v>0</v>
      </c>
      <c r="Q1609" s="119">
        <v>0</v>
      </c>
      <c r="R1609" s="119">
        <v>0</v>
      </c>
      <c r="S1609" s="119">
        <v>0</v>
      </c>
      <c r="T1609" s="119">
        <v>0</v>
      </c>
      <c r="U1609" s="401">
        <v>0</v>
      </c>
      <c r="V1609" s="119">
        <v>0</v>
      </c>
      <c r="W1609" s="119">
        <v>0</v>
      </c>
      <c r="X1609" s="119">
        <v>0</v>
      </c>
      <c r="Y1609" s="119">
        <v>0</v>
      </c>
      <c r="Z1609" s="401">
        <v>0</v>
      </c>
      <c r="AA1609" s="119">
        <v>-300.14</v>
      </c>
      <c r="AB1609" s="119">
        <v>-700.18600000000004</v>
      </c>
      <c r="AC1609" s="119">
        <v>0</v>
      </c>
      <c r="AD1609" s="119">
        <v>0</v>
      </c>
      <c r="AE1609" s="401">
        <v>-1000.326</v>
      </c>
      <c r="AF1609" s="119">
        <v>0</v>
      </c>
      <c r="AG1609" s="119">
        <v>0</v>
      </c>
      <c r="AH1609" s="119">
        <v>-145.18199999999999</v>
      </c>
      <c r="AI1609" s="119">
        <v>-104.81800000000001</v>
      </c>
      <c r="AJ1609" s="401">
        <v>-250</v>
      </c>
      <c r="AK1609" s="119">
        <v>-250.03200000000001</v>
      </c>
      <c r="AL1609" s="119">
        <v>0</v>
      </c>
      <c r="AM1609" s="119">
        <v>0</v>
      </c>
      <c r="AN1609" s="119">
        <v>0</v>
      </c>
      <c r="AO1609" s="401">
        <v>-250.03200000000001</v>
      </c>
      <c r="AP1609" s="119">
        <v>0</v>
      </c>
      <c r="AQ1609" s="119">
        <v>0</v>
      </c>
      <c r="AR1609" s="119">
        <v>0</v>
      </c>
      <c r="AS1609" s="119">
        <v>0</v>
      </c>
      <c r="AT1609" s="401">
        <v>0</v>
      </c>
      <c r="AU1609" s="119">
        <v>0</v>
      </c>
      <c r="AV1609" s="119">
        <v>0</v>
      </c>
      <c r="AW1609" s="119">
        <v>0</v>
      </c>
      <c r="AX1609" s="119">
        <v>0</v>
      </c>
      <c r="AY1609" s="401">
        <v>0</v>
      </c>
      <c r="AZ1609" s="119">
        <v>0</v>
      </c>
      <c r="BA1609" s="119">
        <v>-254.73099999999999</v>
      </c>
      <c r="BB1609" s="119">
        <v>-31.70999999999998</v>
      </c>
      <c r="BC1609" s="119">
        <v>-713.55899999999997</v>
      </c>
      <c r="BD1609" s="401">
        <v>-1000</v>
      </c>
      <c r="BE1609" s="119">
        <v>0</v>
      </c>
      <c r="BF1609" s="119">
        <v>-1208.29</v>
      </c>
      <c r="BG1609" s="119">
        <v>-44.608999999999924</v>
      </c>
      <c r="BH1609" s="119">
        <v>0</v>
      </c>
      <c r="BI1609" s="402">
        <v>-1252.8989999999999</v>
      </c>
      <c r="BJ1609" s="118">
        <v>0</v>
      </c>
      <c r="BK1609" s="118">
        <v>0</v>
      </c>
      <c r="BL1609" s="118">
        <v>0</v>
      </c>
      <c r="BM1609" s="118">
        <v>0</v>
      </c>
      <c r="BN1609" s="401">
        <v>0</v>
      </c>
      <c r="BO1609" s="118">
        <v>0</v>
      </c>
      <c r="BP1609" s="118">
        <v>0</v>
      </c>
      <c r="BQ1609" s="118">
        <v>0</v>
      </c>
      <c r="BR1609" s="118">
        <v>0</v>
      </c>
      <c r="BS1609" s="401">
        <v>0</v>
      </c>
      <c r="BT1609" s="401">
        <v>0</v>
      </c>
      <c r="BU1609" s="401">
        <v>0</v>
      </c>
      <c r="BV1609" s="401">
        <v>0</v>
      </c>
      <c r="BW1609" s="122"/>
    </row>
    <row r="1610" spans="1:75" s="123" customFormat="1" x14ac:dyDescent="0.5">
      <c r="A1610" s="184" t="s">
        <v>1412</v>
      </c>
      <c r="B1610" s="118"/>
      <c r="C1610" s="401"/>
      <c r="D1610" s="401">
        <v>0</v>
      </c>
      <c r="E1610" s="401">
        <v>0</v>
      </c>
      <c r="F1610" s="401">
        <v>0</v>
      </c>
      <c r="G1610" s="119">
        <v>0</v>
      </c>
      <c r="H1610" s="119">
        <v>0</v>
      </c>
      <c r="I1610" s="119">
        <v>0</v>
      </c>
      <c r="J1610" s="119">
        <v>0</v>
      </c>
      <c r="K1610" s="401">
        <v>0</v>
      </c>
      <c r="L1610" s="119">
        <v>0</v>
      </c>
      <c r="M1610" s="119">
        <v>0</v>
      </c>
      <c r="N1610" s="119">
        <v>0</v>
      </c>
      <c r="O1610" s="119">
        <v>0</v>
      </c>
      <c r="P1610" s="401">
        <v>0</v>
      </c>
      <c r="Q1610" s="119">
        <v>0</v>
      </c>
      <c r="R1610" s="119">
        <v>0</v>
      </c>
      <c r="S1610" s="119">
        <v>0</v>
      </c>
      <c r="T1610" s="119">
        <v>0</v>
      </c>
      <c r="U1610" s="401">
        <v>0</v>
      </c>
      <c r="V1610" s="119">
        <v>0</v>
      </c>
      <c r="W1610" s="119">
        <v>0</v>
      </c>
      <c r="X1610" s="119">
        <v>0</v>
      </c>
      <c r="Y1610" s="119">
        <v>0</v>
      </c>
      <c r="Z1610" s="401">
        <v>0</v>
      </c>
      <c r="AA1610" s="119">
        <v>-1.2889999999999999</v>
      </c>
      <c r="AB1610" s="119">
        <v>-3.3120000000000003</v>
      </c>
      <c r="AC1610" s="119">
        <v>-4.133</v>
      </c>
      <c r="AD1610" s="119">
        <v>-1.4659999999999993</v>
      </c>
      <c r="AE1610" s="401">
        <v>-10.199999999999999</v>
      </c>
      <c r="AF1610" s="119">
        <v>0</v>
      </c>
      <c r="AG1610" s="119">
        <v>0</v>
      </c>
      <c r="AH1610" s="119">
        <v>0</v>
      </c>
      <c r="AI1610" s="119">
        <v>0</v>
      </c>
      <c r="AJ1610" s="401">
        <v>0</v>
      </c>
      <c r="AK1610" s="119">
        <v>0</v>
      </c>
      <c r="AL1610" s="119">
        <v>0</v>
      </c>
      <c r="AM1610" s="119">
        <v>0</v>
      </c>
      <c r="AN1610" s="119">
        <v>0</v>
      </c>
      <c r="AO1610" s="401">
        <v>0</v>
      </c>
      <c r="AP1610" s="119">
        <v>0</v>
      </c>
      <c r="AQ1610" s="119">
        <v>0</v>
      </c>
      <c r="AR1610" s="119">
        <v>0</v>
      </c>
      <c r="AS1610" s="119">
        <v>0</v>
      </c>
      <c r="AT1610" s="401">
        <v>0</v>
      </c>
      <c r="AU1610" s="119">
        <v>0</v>
      </c>
      <c r="AV1610" s="119">
        <v>0</v>
      </c>
      <c r="AW1610" s="119">
        <v>0</v>
      </c>
      <c r="AX1610" s="119">
        <v>0</v>
      </c>
      <c r="AY1610" s="401">
        <v>0</v>
      </c>
      <c r="AZ1610" s="119">
        <v>0</v>
      </c>
      <c r="BA1610" s="119">
        <v>0</v>
      </c>
      <c r="BB1610" s="119">
        <v>0</v>
      </c>
      <c r="BC1610" s="119">
        <v>0</v>
      </c>
      <c r="BD1610" s="401">
        <v>0</v>
      </c>
      <c r="BE1610" s="119">
        <v>0</v>
      </c>
      <c r="BF1610" s="119">
        <v>0</v>
      </c>
      <c r="BG1610" s="119">
        <v>0</v>
      </c>
      <c r="BH1610" s="119">
        <v>0</v>
      </c>
      <c r="BI1610" s="402">
        <v>0</v>
      </c>
      <c r="BJ1610" s="118"/>
      <c r="BK1610" s="118"/>
      <c r="BL1610" s="118"/>
      <c r="BM1610" s="118"/>
      <c r="BN1610" s="401">
        <v>0</v>
      </c>
      <c r="BO1610" s="118"/>
      <c r="BP1610" s="118"/>
      <c r="BQ1610" s="118"/>
      <c r="BR1610" s="118"/>
      <c r="BS1610" s="401">
        <v>0</v>
      </c>
      <c r="BT1610" s="401"/>
      <c r="BU1610" s="401"/>
      <c r="BV1610" s="401"/>
      <c r="BW1610" s="122"/>
    </row>
    <row r="1611" spans="1:75" s="123" customFormat="1" x14ac:dyDescent="0.5">
      <c r="A1611" s="184" t="s">
        <v>1413</v>
      </c>
      <c r="B1611" s="118"/>
      <c r="C1611" s="401"/>
      <c r="D1611" s="401">
        <v>0</v>
      </c>
      <c r="E1611" s="401">
        <v>-2.835</v>
      </c>
      <c r="F1611" s="401">
        <v>-0.42599999999999999</v>
      </c>
      <c r="G1611" s="119">
        <v>0</v>
      </c>
      <c r="H1611" s="119">
        <v>0</v>
      </c>
      <c r="I1611" s="119">
        <v>0</v>
      </c>
      <c r="J1611" s="119">
        <v>0</v>
      </c>
      <c r="K1611" s="401">
        <v>0</v>
      </c>
      <c r="L1611" s="119">
        <v>0</v>
      </c>
      <c r="M1611" s="119">
        <v>-5.3849999999999998</v>
      </c>
      <c r="N1611" s="119">
        <v>0</v>
      </c>
      <c r="O1611" s="119">
        <v>0</v>
      </c>
      <c r="P1611" s="401">
        <v>-5.3849999999999998</v>
      </c>
      <c r="Q1611" s="119">
        <v>0</v>
      </c>
      <c r="R1611" s="119">
        <v>-2.3820000000000001</v>
      </c>
      <c r="S1611" s="119">
        <v>0</v>
      </c>
      <c r="T1611" s="119">
        <v>0</v>
      </c>
      <c r="U1611" s="401">
        <v>-2.3820000000000001</v>
      </c>
      <c r="V1611" s="119">
        <v>0</v>
      </c>
      <c r="W1611" s="119">
        <v>0</v>
      </c>
      <c r="X1611" s="119">
        <v>0</v>
      </c>
      <c r="Y1611" s="119">
        <v>0</v>
      </c>
      <c r="Z1611" s="401">
        <v>0</v>
      </c>
      <c r="AA1611" s="119">
        <v>0</v>
      </c>
      <c r="AB1611" s="119">
        <v>-7.9390000000000001</v>
      </c>
      <c r="AC1611" s="119">
        <v>-0.35899999999999999</v>
      </c>
      <c r="AD1611" s="119">
        <v>0</v>
      </c>
      <c r="AE1611" s="401">
        <v>-8.298</v>
      </c>
      <c r="AF1611" s="119">
        <v>0</v>
      </c>
      <c r="AG1611" s="119">
        <v>-6.3490000000000002</v>
      </c>
      <c r="AH1611" s="119">
        <v>0</v>
      </c>
      <c r="AI1611" s="119">
        <v>0</v>
      </c>
      <c r="AJ1611" s="401">
        <v>-6.3490000000000002</v>
      </c>
      <c r="AK1611" s="119">
        <v>-4.4989999999999997</v>
      </c>
      <c r="AL1611" s="119">
        <v>-0.13700000000000045</v>
      </c>
      <c r="AM1611" s="119">
        <v>-0.1819999999999995</v>
      </c>
      <c r="AN1611" s="119">
        <v>0</v>
      </c>
      <c r="AO1611" s="401">
        <v>-4.8179999999999996</v>
      </c>
      <c r="AP1611" s="119">
        <v>0</v>
      </c>
      <c r="AQ1611" s="119">
        <v>0</v>
      </c>
      <c r="AR1611" s="119">
        <v>0</v>
      </c>
      <c r="AS1611" s="119">
        <v>0</v>
      </c>
      <c r="AT1611" s="401">
        <v>0</v>
      </c>
      <c r="AU1611" s="119">
        <v>0</v>
      </c>
      <c r="AV1611" s="119">
        <v>0</v>
      </c>
      <c r="AW1611" s="119">
        <v>0</v>
      </c>
      <c r="AX1611" s="119">
        <v>0</v>
      </c>
      <c r="AY1611" s="401">
        <v>0</v>
      </c>
      <c r="AZ1611" s="119">
        <v>0</v>
      </c>
      <c r="BA1611" s="119">
        <v>0</v>
      </c>
      <c r="BB1611" s="119">
        <v>0</v>
      </c>
      <c r="BC1611" s="119">
        <v>0</v>
      </c>
      <c r="BD1611" s="401">
        <v>0</v>
      </c>
      <c r="BE1611" s="119">
        <v>0</v>
      </c>
      <c r="BF1611" s="119">
        <v>0</v>
      </c>
      <c r="BG1611" s="119">
        <v>0</v>
      </c>
      <c r="BH1611" s="119">
        <v>0</v>
      </c>
      <c r="BI1611" s="402">
        <v>0</v>
      </c>
      <c r="BJ1611" s="118"/>
      <c r="BK1611" s="118"/>
      <c r="BL1611" s="118"/>
      <c r="BM1611" s="118"/>
      <c r="BN1611" s="401">
        <v>0</v>
      </c>
      <c r="BO1611" s="118"/>
      <c r="BP1611" s="118"/>
      <c r="BQ1611" s="118"/>
      <c r="BR1611" s="118"/>
      <c r="BS1611" s="401">
        <v>0</v>
      </c>
      <c r="BT1611" s="401"/>
      <c r="BU1611" s="401"/>
      <c r="BV1611" s="401"/>
      <c r="BW1611" s="122"/>
    </row>
    <row r="1612" spans="1:75" s="123" customFormat="1" x14ac:dyDescent="0.5">
      <c r="A1612" s="184" t="s">
        <v>1414</v>
      </c>
      <c r="B1612" s="118"/>
      <c r="C1612" s="401"/>
      <c r="D1612" s="401">
        <v>-2.601</v>
      </c>
      <c r="E1612" s="401">
        <v>-4.1879999999999997</v>
      </c>
      <c r="F1612" s="401">
        <v>-4.2140000000000004</v>
      </c>
      <c r="G1612" s="119">
        <v>-0.84</v>
      </c>
      <c r="H1612" s="119">
        <v>7.999999999999996E-2</v>
      </c>
      <c r="I1612" s="119">
        <v>-0.65799999999999992</v>
      </c>
      <c r="J1612" s="119">
        <v>-1.1370000000000002</v>
      </c>
      <c r="K1612" s="401">
        <v>-2.5550000000000002</v>
      </c>
      <c r="L1612" s="119">
        <v>-0.98499999999999999</v>
      </c>
      <c r="M1612" s="119">
        <v>-0.49299999999999999</v>
      </c>
      <c r="N1612" s="119">
        <v>-0.17700000000000005</v>
      </c>
      <c r="O1612" s="119">
        <v>-0.14799999999999991</v>
      </c>
      <c r="P1612" s="401">
        <v>-1.8029999999999999</v>
      </c>
      <c r="Q1612" s="119">
        <v>-8.3000000000000004E-2</v>
      </c>
      <c r="R1612" s="119">
        <v>-5.4000000000000006E-2</v>
      </c>
      <c r="S1612" s="119">
        <v>-6.5000000000000002E-2</v>
      </c>
      <c r="T1612" s="119">
        <v>-4.5999999999999985E-2</v>
      </c>
      <c r="U1612" s="401">
        <v>-0.248</v>
      </c>
      <c r="V1612" s="119">
        <v>-8.5000000000000006E-2</v>
      </c>
      <c r="W1612" s="119">
        <v>-8.1000000000000003E-2</v>
      </c>
      <c r="X1612" s="119">
        <v>-9.6000000000000002E-2</v>
      </c>
      <c r="Y1612" s="119">
        <v>0.26200000000000001</v>
      </c>
      <c r="Z1612" s="401">
        <v>0</v>
      </c>
      <c r="AA1612" s="119">
        <v>-7.5999999999999998E-2</v>
      </c>
      <c r="AB1612" s="119">
        <v>-8.2000000000000003E-2</v>
      </c>
      <c r="AC1612" s="119">
        <v>-0.1</v>
      </c>
      <c r="AD1612" s="119">
        <v>0.25800000000000001</v>
      </c>
      <c r="AE1612" s="401">
        <v>0</v>
      </c>
      <c r="AF1612" s="119">
        <v>0</v>
      </c>
      <c r="AG1612" s="119">
        <v>0</v>
      </c>
      <c r="AH1612" s="119">
        <v>0</v>
      </c>
      <c r="AI1612" s="119">
        <v>0</v>
      </c>
      <c r="AJ1612" s="401">
        <v>0</v>
      </c>
      <c r="AK1612" s="119">
        <v>0</v>
      </c>
      <c r="AL1612" s="119">
        <v>0</v>
      </c>
      <c r="AM1612" s="119">
        <v>0</v>
      </c>
      <c r="AN1612" s="119">
        <v>0</v>
      </c>
      <c r="AO1612" s="401">
        <v>0</v>
      </c>
      <c r="AP1612" s="119">
        <v>0</v>
      </c>
      <c r="AQ1612" s="119">
        <v>0</v>
      </c>
      <c r="AR1612" s="119">
        <v>0</v>
      </c>
      <c r="AS1612" s="119">
        <v>0</v>
      </c>
      <c r="AT1612" s="401">
        <v>0</v>
      </c>
      <c r="AU1612" s="119">
        <v>0</v>
      </c>
      <c r="AV1612" s="119">
        <v>0</v>
      </c>
      <c r="AW1612" s="119">
        <v>0</v>
      </c>
      <c r="AX1612" s="119">
        <v>0</v>
      </c>
      <c r="AY1612" s="401">
        <v>0</v>
      </c>
      <c r="AZ1612" s="119">
        <v>0</v>
      </c>
      <c r="BA1612" s="119">
        <v>0</v>
      </c>
      <c r="BB1612" s="119">
        <v>0</v>
      </c>
      <c r="BC1612" s="119">
        <v>0</v>
      </c>
      <c r="BD1612" s="401">
        <v>0</v>
      </c>
      <c r="BE1612" s="119">
        <v>0</v>
      </c>
      <c r="BF1612" s="119">
        <v>0</v>
      </c>
      <c r="BG1612" s="119">
        <v>0</v>
      </c>
      <c r="BH1612" s="119">
        <v>0</v>
      </c>
      <c r="BI1612" s="402">
        <v>0</v>
      </c>
      <c r="BJ1612" s="118"/>
      <c r="BK1612" s="118"/>
      <c r="BL1612" s="118"/>
      <c r="BM1612" s="118"/>
      <c r="BN1612" s="401">
        <v>0</v>
      </c>
      <c r="BO1612" s="118"/>
      <c r="BP1612" s="118"/>
      <c r="BQ1612" s="118"/>
      <c r="BR1612" s="118"/>
      <c r="BS1612" s="401">
        <v>0</v>
      </c>
      <c r="BT1612" s="401"/>
      <c r="BU1612" s="401"/>
      <c r="BV1612" s="401"/>
      <c r="BW1612" s="122"/>
    </row>
    <row r="1613" spans="1:75" s="123" customFormat="1" x14ac:dyDescent="0.5">
      <c r="A1613" s="184" t="s">
        <v>1415</v>
      </c>
      <c r="B1613" s="118"/>
      <c r="C1613" s="401"/>
      <c r="D1613" s="401">
        <v>0</v>
      </c>
      <c r="E1613" s="401">
        <v>0</v>
      </c>
      <c r="F1613" s="401">
        <v>0</v>
      </c>
      <c r="G1613" s="119">
        <v>0</v>
      </c>
      <c r="H1613" s="119">
        <v>0</v>
      </c>
      <c r="I1613" s="119">
        <v>0</v>
      </c>
      <c r="J1613" s="119">
        <v>0</v>
      </c>
      <c r="K1613" s="401">
        <v>0</v>
      </c>
      <c r="L1613" s="119">
        <v>0</v>
      </c>
      <c r="M1613" s="119">
        <v>0</v>
      </c>
      <c r="N1613" s="119">
        <v>0</v>
      </c>
      <c r="O1613" s="119">
        <v>1.776</v>
      </c>
      <c r="P1613" s="401">
        <v>1.776</v>
      </c>
      <c r="Q1613" s="119">
        <v>0</v>
      </c>
      <c r="R1613" s="119">
        <v>0</v>
      </c>
      <c r="S1613" s="119">
        <v>0</v>
      </c>
      <c r="T1613" s="119">
        <v>0</v>
      </c>
      <c r="U1613" s="401">
        <v>0</v>
      </c>
      <c r="V1613" s="119">
        <v>0</v>
      </c>
      <c r="W1613" s="119">
        <v>0</v>
      </c>
      <c r="X1613" s="119">
        <v>0</v>
      </c>
      <c r="Y1613" s="119">
        <v>0</v>
      </c>
      <c r="Z1613" s="401">
        <v>0</v>
      </c>
      <c r="AA1613" s="119">
        <v>0</v>
      </c>
      <c r="AB1613" s="119">
        <v>0</v>
      </c>
      <c r="AC1613" s="119">
        <v>0</v>
      </c>
      <c r="AD1613" s="119">
        <v>0</v>
      </c>
      <c r="AE1613" s="401">
        <v>0</v>
      </c>
      <c r="AF1613" s="119">
        <v>0</v>
      </c>
      <c r="AG1613" s="119">
        <v>0</v>
      </c>
      <c r="AH1613" s="119">
        <v>0</v>
      </c>
      <c r="AI1613" s="119">
        <v>0</v>
      </c>
      <c r="AJ1613" s="401">
        <v>0</v>
      </c>
      <c r="AK1613" s="119">
        <v>0</v>
      </c>
      <c r="AL1613" s="119">
        <v>0</v>
      </c>
      <c r="AM1613" s="119">
        <v>0</v>
      </c>
      <c r="AN1613" s="119">
        <v>0</v>
      </c>
      <c r="AO1613" s="401">
        <v>0</v>
      </c>
      <c r="AP1613" s="119">
        <v>0</v>
      </c>
      <c r="AQ1613" s="119">
        <v>0</v>
      </c>
      <c r="AR1613" s="119">
        <v>0</v>
      </c>
      <c r="AS1613" s="119">
        <v>0</v>
      </c>
      <c r="AT1613" s="401">
        <v>0</v>
      </c>
      <c r="AU1613" s="119">
        <v>0</v>
      </c>
      <c r="AV1613" s="119">
        <v>0</v>
      </c>
      <c r="AW1613" s="119">
        <v>0</v>
      </c>
      <c r="AX1613" s="119">
        <v>0</v>
      </c>
      <c r="AY1613" s="401">
        <v>0</v>
      </c>
      <c r="AZ1613" s="119">
        <v>0</v>
      </c>
      <c r="BA1613" s="119">
        <v>0</v>
      </c>
      <c r="BB1613" s="119">
        <v>0</v>
      </c>
      <c r="BC1613" s="119">
        <v>0</v>
      </c>
      <c r="BD1613" s="401">
        <v>0</v>
      </c>
      <c r="BE1613" s="119">
        <v>0</v>
      </c>
      <c r="BF1613" s="119">
        <v>0</v>
      </c>
      <c r="BG1613" s="119">
        <v>0</v>
      </c>
      <c r="BH1613" s="119">
        <v>0</v>
      </c>
      <c r="BI1613" s="402">
        <v>0</v>
      </c>
      <c r="BJ1613" s="118"/>
      <c r="BK1613" s="118"/>
      <c r="BL1613" s="118"/>
      <c r="BM1613" s="118"/>
      <c r="BN1613" s="401">
        <v>0</v>
      </c>
      <c r="BO1613" s="118"/>
      <c r="BP1613" s="118"/>
      <c r="BQ1613" s="118"/>
      <c r="BR1613" s="118"/>
      <c r="BS1613" s="401">
        <v>0</v>
      </c>
      <c r="BT1613" s="401"/>
      <c r="BU1613" s="401"/>
      <c r="BV1613" s="401"/>
      <c r="BW1613" s="122"/>
    </row>
    <row r="1614" spans="1:75" s="123" customFormat="1" x14ac:dyDescent="0.5">
      <c r="A1614" s="184" t="s">
        <v>1416</v>
      </c>
      <c r="B1614" s="118"/>
      <c r="C1614" s="401"/>
      <c r="D1614" s="401">
        <v>0</v>
      </c>
      <c r="E1614" s="401">
        <v>0</v>
      </c>
      <c r="F1614" s="401">
        <v>0</v>
      </c>
      <c r="G1614" s="119">
        <v>0</v>
      </c>
      <c r="H1614" s="119">
        <v>0.69499999999999995</v>
      </c>
      <c r="I1614" s="119">
        <v>0.74099999999999999</v>
      </c>
      <c r="J1614" s="119">
        <v>6.1929999999999996</v>
      </c>
      <c r="K1614" s="401">
        <v>7.6289999999999996</v>
      </c>
      <c r="L1614" s="119">
        <v>3.5</v>
      </c>
      <c r="M1614" s="119">
        <v>2.306</v>
      </c>
      <c r="N1614" s="119">
        <v>0.4139999999999997</v>
      </c>
      <c r="O1614" s="119">
        <v>10.18</v>
      </c>
      <c r="P1614" s="401">
        <v>16.399999999999999</v>
      </c>
      <c r="Q1614" s="119">
        <v>2.2210000000000001</v>
      </c>
      <c r="R1614" s="119">
        <v>9.4499999999999993</v>
      </c>
      <c r="S1614" s="119">
        <v>8.7940000000000005</v>
      </c>
      <c r="T1614" s="119">
        <v>5.1410000000000018</v>
      </c>
      <c r="U1614" s="401">
        <v>25.606000000000002</v>
      </c>
      <c r="V1614" s="119">
        <v>0.29599999999999999</v>
      </c>
      <c r="W1614" s="119">
        <v>-8.0000000000000071E-3</v>
      </c>
      <c r="X1614" s="119">
        <v>1.3029999999999999</v>
      </c>
      <c r="Y1614" s="119">
        <v>1.6700000000000002</v>
      </c>
      <c r="Z1614" s="401">
        <v>3.2610000000000001</v>
      </c>
      <c r="AA1614" s="119">
        <v>2.5670000000000002</v>
      </c>
      <c r="AB1614" s="119">
        <v>8.6029999999999998</v>
      </c>
      <c r="AC1614" s="119">
        <v>4.1989999999999998</v>
      </c>
      <c r="AD1614" s="119">
        <v>9.527000000000001</v>
      </c>
      <c r="AE1614" s="401">
        <v>24.896000000000001</v>
      </c>
      <c r="AF1614" s="119">
        <v>2.923</v>
      </c>
      <c r="AG1614" s="119">
        <v>26.286000000000001</v>
      </c>
      <c r="AH1614" s="119">
        <v>6.6179999999999986</v>
      </c>
      <c r="AI1614" s="119">
        <v>8.1970000000000027</v>
      </c>
      <c r="AJ1614" s="401">
        <v>44.024000000000001</v>
      </c>
      <c r="AK1614" s="119">
        <v>1.226</v>
      </c>
      <c r="AL1614" s="119">
        <v>5.9969999999999999</v>
      </c>
      <c r="AM1614" s="119">
        <v>11.286000000000001</v>
      </c>
      <c r="AN1614" s="119">
        <v>8.6290000000000013</v>
      </c>
      <c r="AO1614" s="401">
        <v>27.138000000000002</v>
      </c>
      <c r="AP1614" s="119">
        <v>0.79700000000000004</v>
      </c>
      <c r="AQ1614" s="119">
        <v>7.3280000000000003</v>
      </c>
      <c r="AR1614" s="119">
        <v>3.9960000000000004</v>
      </c>
      <c r="AS1614" s="119">
        <v>2.2560000000000002</v>
      </c>
      <c r="AT1614" s="401">
        <v>14.377000000000001</v>
      </c>
      <c r="AU1614" s="119">
        <v>1.393</v>
      </c>
      <c r="AV1614" s="119">
        <v>24.585999999999999</v>
      </c>
      <c r="AW1614" s="119">
        <v>4.1009999999999991</v>
      </c>
      <c r="AX1614" s="119">
        <v>1.9650000000000034</v>
      </c>
      <c r="AY1614" s="401">
        <v>32.045000000000002</v>
      </c>
      <c r="AZ1614" s="119">
        <v>149.57</v>
      </c>
      <c r="BA1614" s="119">
        <v>2.4710000000000036</v>
      </c>
      <c r="BB1614" s="119">
        <v>1.5270000000000152</v>
      </c>
      <c r="BC1614" s="119">
        <v>77.728999999999985</v>
      </c>
      <c r="BD1614" s="401">
        <v>231.297</v>
      </c>
      <c r="BE1614" s="119">
        <v>0.45600000000000002</v>
      </c>
      <c r="BF1614" s="119">
        <v>4.2719999999999994</v>
      </c>
      <c r="BG1614" s="119">
        <v>1.0880000000000001</v>
      </c>
      <c r="BH1614" s="119">
        <v>6.306</v>
      </c>
      <c r="BI1614" s="402">
        <v>12.122</v>
      </c>
      <c r="BJ1614" s="118"/>
      <c r="BK1614" s="118"/>
      <c r="BL1614" s="118"/>
      <c r="BM1614" s="118"/>
      <c r="BN1614" s="401">
        <v>0</v>
      </c>
      <c r="BO1614" s="118"/>
      <c r="BP1614" s="118"/>
      <c r="BQ1614" s="118"/>
      <c r="BR1614" s="118"/>
      <c r="BS1614" s="401">
        <v>0</v>
      </c>
      <c r="BT1614" s="401"/>
      <c r="BU1614" s="401"/>
      <c r="BV1614" s="401"/>
      <c r="BW1614" s="122"/>
    </row>
    <row r="1615" spans="1:75" s="123" customFormat="1" x14ac:dyDescent="0.5">
      <c r="A1615" s="184" t="s">
        <v>1352</v>
      </c>
      <c r="B1615" s="118"/>
      <c r="C1615" s="401"/>
      <c r="D1615" s="401">
        <v>0</v>
      </c>
      <c r="E1615" s="401">
        <v>0</v>
      </c>
      <c r="F1615" s="401">
        <v>0</v>
      </c>
      <c r="G1615" s="119">
        <v>0</v>
      </c>
      <c r="H1615" s="119">
        <v>1.032</v>
      </c>
      <c r="I1615" s="119">
        <v>0.40799999999999992</v>
      </c>
      <c r="J1615" s="119">
        <v>2.2450000000000001</v>
      </c>
      <c r="K1615" s="401">
        <v>3.6850000000000001</v>
      </c>
      <c r="L1615" s="119">
        <v>5.3639999999999999</v>
      </c>
      <c r="M1615" s="119">
        <v>2.2480000000000002</v>
      </c>
      <c r="N1615" s="119">
        <v>0.32500000000000018</v>
      </c>
      <c r="O1615" s="119">
        <v>8.4839999999999982</v>
      </c>
      <c r="P1615" s="401">
        <v>16.420999999999999</v>
      </c>
      <c r="Q1615" s="119">
        <v>1.075</v>
      </c>
      <c r="R1615" s="119">
        <v>2.6639999999999997</v>
      </c>
      <c r="S1615" s="119">
        <v>2.8250000000000002</v>
      </c>
      <c r="T1615" s="119">
        <v>3.8789999999999996</v>
      </c>
      <c r="U1615" s="401">
        <v>10.443</v>
      </c>
      <c r="V1615" s="119">
        <v>-7.5999999999999998E-2</v>
      </c>
      <c r="W1615" s="119">
        <v>-1.6929999999999998</v>
      </c>
      <c r="X1615" s="119">
        <v>-0.50600000000000001</v>
      </c>
      <c r="Y1615" s="119">
        <v>-1.0129999999999999</v>
      </c>
      <c r="Z1615" s="401">
        <v>-3.2879999999999998</v>
      </c>
      <c r="AA1615" s="119">
        <v>0</v>
      </c>
      <c r="AB1615" s="119">
        <v>0</v>
      </c>
      <c r="AC1615" s="119">
        <v>0</v>
      </c>
      <c r="AD1615" s="119">
        <v>0</v>
      </c>
      <c r="AE1615" s="401">
        <v>0</v>
      </c>
      <c r="AF1615" s="119">
        <v>0</v>
      </c>
      <c r="AG1615" s="119">
        <v>0</v>
      </c>
      <c r="AH1615" s="119">
        <v>0</v>
      </c>
      <c r="AI1615" s="119">
        <v>0</v>
      </c>
      <c r="AJ1615" s="401">
        <v>0</v>
      </c>
      <c r="AK1615" s="119">
        <v>0</v>
      </c>
      <c r="AL1615" s="119">
        <v>0</v>
      </c>
      <c r="AM1615" s="119">
        <v>0</v>
      </c>
      <c r="AN1615" s="119">
        <v>0</v>
      </c>
      <c r="AO1615" s="401">
        <v>0</v>
      </c>
      <c r="AP1615" s="119">
        <v>0</v>
      </c>
      <c r="AQ1615" s="119">
        <v>0</v>
      </c>
      <c r="AR1615" s="119">
        <v>0</v>
      </c>
      <c r="AS1615" s="119">
        <v>0</v>
      </c>
      <c r="AT1615" s="401">
        <v>0</v>
      </c>
      <c r="AU1615" s="119">
        <v>0</v>
      </c>
      <c r="AV1615" s="119">
        <v>0</v>
      </c>
      <c r="AW1615" s="119">
        <v>0</v>
      </c>
      <c r="AX1615" s="119">
        <v>0</v>
      </c>
      <c r="AY1615" s="401">
        <v>0</v>
      </c>
      <c r="AZ1615" s="119">
        <v>0</v>
      </c>
      <c r="BA1615" s="119">
        <v>0</v>
      </c>
      <c r="BB1615" s="119">
        <v>0</v>
      </c>
      <c r="BC1615" s="119">
        <v>0</v>
      </c>
      <c r="BD1615" s="401">
        <v>0</v>
      </c>
      <c r="BE1615" s="119">
        <v>0</v>
      </c>
      <c r="BF1615" s="119">
        <v>0</v>
      </c>
      <c r="BG1615" s="119">
        <v>0</v>
      </c>
      <c r="BH1615" s="119">
        <v>0</v>
      </c>
      <c r="BI1615" s="402">
        <v>0</v>
      </c>
      <c r="BJ1615" s="118"/>
      <c r="BK1615" s="118"/>
      <c r="BL1615" s="118"/>
      <c r="BM1615" s="118"/>
      <c r="BN1615" s="401">
        <v>0</v>
      </c>
      <c r="BO1615" s="118"/>
      <c r="BP1615" s="118"/>
      <c r="BQ1615" s="118"/>
      <c r="BR1615" s="118"/>
      <c r="BS1615" s="401">
        <v>0</v>
      </c>
      <c r="BT1615" s="401"/>
      <c r="BU1615" s="401"/>
      <c r="BV1615" s="401"/>
      <c r="BW1615" s="122"/>
    </row>
    <row r="1616" spans="1:75" s="123" customFormat="1" x14ac:dyDescent="0.5">
      <c r="A1616" s="184" t="s">
        <v>1417</v>
      </c>
      <c r="B1616" s="118"/>
      <c r="C1616" s="401"/>
      <c r="D1616" s="401">
        <v>0</v>
      </c>
      <c r="E1616" s="401">
        <v>0</v>
      </c>
      <c r="F1616" s="401">
        <v>0</v>
      </c>
      <c r="G1616" s="119">
        <v>0</v>
      </c>
      <c r="H1616" s="119">
        <v>-0.17799999999999999</v>
      </c>
      <c r="I1616" s="119">
        <v>0</v>
      </c>
      <c r="J1616" s="119">
        <v>0</v>
      </c>
      <c r="K1616" s="401">
        <v>-0.17799999999999999</v>
      </c>
      <c r="L1616" s="119">
        <v>-0.317</v>
      </c>
      <c r="M1616" s="119">
        <v>-0.9890000000000001</v>
      </c>
      <c r="N1616" s="119">
        <v>-0.80900000000000016</v>
      </c>
      <c r="O1616" s="119">
        <v>-1.0009999999999999</v>
      </c>
      <c r="P1616" s="401">
        <v>-3.1160000000000001</v>
      </c>
      <c r="Q1616" s="119">
        <v>-0.376</v>
      </c>
      <c r="R1616" s="119">
        <v>-2.5780000000000003</v>
      </c>
      <c r="S1616" s="119">
        <v>-1.3409999999999997</v>
      </c>
      <c r="T1616" s="119">
        <v>-0.73200000000000021</v>
      </c>
      <c r="U1616" s="401">
        <v>-5.0270000000000001</v>
      </c>
      <c r="V1616" s="119">
        <v>-0.14099999999999999</v>
      </c>
      <c r="W1616" s="119">
        <v>-0.80499999999999994</v>
      </c>
      <c r="X1616" s="119">
        <v>-0.41900000000000004</v>
      </c>
      <c r="Y1616" s="119">
        <v>-0.23799999999999999</v>
      </c>
      <c r="Z1616" s="401">
        <v>-1.603</v>
      </c>
      <c r="AA1616" s="119">
        <v>-0.14899999999999999</v>
      </c>
      <c r="AB1616" s="119">
        <v>-2.9569999999999999</v>
      </c>
      <c r="AC1616" s="119">
        <v>-1.7750000000000004</v>
      </c>
      <c r="AD1616" s="119">
        <v>-0.87800000000000011</v>
      </c>
      <c r="AE1616" s="401">
        <v>-5.7590000000000003</v>
      </c>
      <c r="AF1616" s="119">
        <v>-0.35099999999999998</v>
      </c>
      <c r="AG1616" s="119">
        <v>-7.5120000000000005</v>
      </c>
      <c r="AH1616" s="119">
        <v>-1.0839999999999987</v>
      </c>
      <c r="AI1616" s="119">
        <v>-0.55500000000000149</v>
      </c>
      <c r="AJ1616" s="401">
        <v>-9.5020000000000007</v>
      </c>
      <c r="AK1616" s="119">
        <v>-0.25</v>
      </c>
      <c r="AL1616" s="119">
        <v>-5.984</v>
      </c>
      <c r="AM1616" s="119">
        <v>-0.30400000000000027</v>
      </c>
      <c r="AN1616" s="119">
        <v>-0.53099999999999969</v>
      </c>
      <c r="AO1616" s="401">
        <v>-7.069</v>
      </c>
      <c r="AP1616" s="119">
        <v>-0.38100000000000001</v>
      </c>
      <c r="AQ1616" s="119">
        <v>-6.4369999999999994</v>
      </c>
      <c r="AR1616" s="119">
        <v>-0.61000000000000032</v>
      </c>
      <c r="AS1616" s="119">
        <v>-0.92000000000000082</v>
      </c>
      <c r="AT1616" s="401">
        <v>-8.3480000000000008</v>
      </c>
      <c r="AU1616" s="119">
        <v>-0.92700000000000005</v>
      </c>
      <c r="AV1616" s="119">
        <v>-17.721</v>
      </c>
      <c r="AW1616" s="119">
        <v>-0.70599999999999952</v>
      </c>
      <c r="AX1616" s="119">
        <v>-1.3170000000000002</v>
      </c>
      <c r="AY1616" s="401">
        <v>-20.670999999999999</v>
      </c>
      <c r="AZ1616" s="119">
        <v>-0.26600000000000001</v>
      </c>
      <c r="BA1616" s="119">
        <v>-5.6999999999999995E-2</v>
      </c>
      <c r="BB1616" s="119">
        <v>-0.17099999999999999</v>
      </c>
      <c r="BC1616" s="119">
        <v>-0.30900000000000005</v>
      </c>
      <c r="BD1616" s="401">
        <v>-0.80300000000000005</v>
      </c>
      <c r="BE1616" s="119">
        <v>-9.6000000000000002E-2</v>
      </c>
      <c r="BF1616" s="119">
        <v>0</v>
      </c>
      <c r="BG1616" s="119">
        <v>-0.03</v>
      </c>
      <c r="BH1616" s="119">
        <v>-0.27400000000000002</v>
      </c>
      <c r="BI1616" s="402">
        <v>-0.4</v>
      </c>
      <c r="BJ1616" s="118"/>
      <c r="BK1616" s="118"/>
      <c r="BL1616" s="118"/>
      <c r="BM1616" s="118"/>
      <c r="BN1616" s="401">
        <v>0</v>
      </c>
      <c r="BO1616" s="118"/>
      <c r="BP1616" s="118"/>
      <c r="BQ1616" s="118"/>
      <c r="BR1616" s="118"/>
      <c r="BS1616" s="401">
        <v>0</v>
      </c>
      <c r="BT1616" s="401"/>
      <c r="BU1616" s="401"/>
      <c r="BV1616" s="401"/>
      <c r="BW1616" s="122"/>
    </row>
    <row r="1617" spans="1:75" s="123" customFormat="1" x14ac:dyDescent="0.5">
      <c r="A1617" s="184" t="s">
        <v>1418</v>
      </c>
      <c r="B1617" s="118"/>
      <c r="C1617" s="401"/>
      <c r="D1617" s="401">
        <v>0</v>
      </c>
      <c r="E1617" s="401">
        <v>0</v>
      </c>
      <c r="F1617" s="401">
        <v>0</v>
      </c>
      <c r="G1617" s="119">
        <v>0</v>
      </c>
      <c r="H1617" s="119">
        <v>0</v>
      </c>
      <c r="I1617" s="119">
        <v>0</v>
      </c>
      <c r="J1617" s="119">
        <v>0</v>
      </c>
      <c r="K1617" s="401">
        <v>0</v>
      </c>
      <c r="L1617" s="119">
        <v>0</v>
      </c>
      <c r="M1617" s="119">
        <v>0</v>
      </c>
      <c r="N1617" s="119">
        <v>0</v>
      </c>
      <c r="O1617" s="119">
        <v>0</v>
      </c>
      <c r="P1617" s="401">
        <v>0</v>
      </c>
      <c r="Q1617" s="119">
        <v>0</v>
      </c>
      <c r="R1617" s="119">
        <v>0</v>
      </c>
      <c r="S1617" s="119">
        <v>0</v>
      </c>
      <c r="T1617" s="119">
        <v>0</v>
      </c>
      <c r="U1617" s="401">
        <v>0</v>
      </c>
      <c r="V1617" s="119">
        <v>0</v>
      </c>
      <c r="W1617" s="119">
        <v>0</v>
      </c>
      <c r="X1617" s="119">
        <v>0</v>
      </c>
      <c r="Y1617" s="119">
        <v>0</v>
      </c>
      <c r="Z1617" s="401">
        <v>0</v>
      </c>
      <c r="AA1617" s="119">
        <v>0</v>
      </c>
      <c r="AB1617" s="119">
        <v>0</v>
      </c>
      <c r="AC1617" s="119">
        <v>0</v>
      </c>
      <c r="AD1617" s="119">
        <v>0</v>
      </c>
      <c r="AE1617" s="401">
        <v>0</v>
      </c>
      <c r="AF1617" s="119">
        <v>0</v>
      </c>
      <c r="AG1617" s="119">
        <v>0</v>
      </c>
      <c r="AH1617" s="119">
        <v>0</v>
      </c>
      <c r="AI1617" s="119">
        <v>0</v>
      </c>
      <c r="AJ1617" s="401">
        <v>0</v>
      </c>
      <c r="AK1617" s="119">
        <v>0</v>
      </c>
      <c r="AL1617" s="119">
        <v>0</v>
      </c>
      <c r="AM1617" s="119">
        <v>-0.89200000000000002</v>
      </c>
      <c r="AN1617" s="119">
        <v>0.89200000000000002</v>
      </c>
      <c r="AO1617" s="401">
        <v>0</v>
      </c>
      <c r="AP1617" s="119">
        <v>0</v>
      </c>
      <c r="AQ1617" s="119">
        <v>0</v>
      </c>
      <c r="AR1617" s="119">
        <v>0</v>
      </c>
      <c r="AS1617" s="119">
        <v>0</v>
      </c>
      <c r="AT1617" s="401">
        <v>0</v>
      </c>
      <c r="AU1617" s="119">
        <v>0</v>
      </c>
      <c r="AV1617" s="119">
        <v>0</v>
      </c>
      <c r="AW1617" s="119">
        <v>0</v>
      </c>
      <c r="AX1617" s="119">
        <v>0</v>
      </c>
      <c r="AY1617" s="401">
        <v>0</v>
      </c>
      <c r="AZ1617" s="119">
        <v>0</v>
      </c>
      <c r="BA1617" s="119">
        <v>0</v>
      </c>
      <c r="BB1617" s="119">
        <v>0</v>
      </c>
      <c r="BC1617" s="119">
        <v>0</v>
      </c>
      <c r="BD1617" s="401">
        <v>0</v>
      </c>
      <c r="BE1617" s="119">
        <v>0</v>
      </c>
      <c r="BF1617" s="119">
        <v>0</v>
      </c>
      <c r="BG1617" s="119">
        <v>0</v>
      </c>
      <c r="BH1617" s="119">
        <v>0</v>
      </c>
      <c r="BI1617" s="402">
        <v>0</v>
      </c>
      <c r="BJ1617" s="118"/>
      <c r="BK1617" s="118"/>
      <c r="BL1617" s="118"/>
      <c r="BM1617" s="118"/>
      <c r="BN1617" s="401">
        <v>0</v>
      </c>
      <c r="BO1617" s="118"/>
      <c r="BP1617" s="118"/>
      <c r="BQ1617" s="118"/>
      <c r="BR1617" s="118"/>
      <c r="BS1617" s="401">
        <v>0</v>
      </c>
      <c r="BT1617" s="401"/>
      <c r="BU1617" s="401"/>
      <c r="BV1617" s="401"/>
      <c r="BW1617" s="122"/>
    </row>
    <row r="1618" spans="1:75" s="123" customFormat="1" x14ac:dyDescent="0.5">
      <c r="A1618" s="184" t="s">
        <v>1419</v>
      </c>
      <c r="B1618" s="118"/>
      <c r="C1618" s="401"/>
      <c r="D1618" s="401">
        <v>0</v>
      </c>
      <c r="E1618" s="401">
        <v>0</v>
      </c>
      <c r="F1618" s="401">
        <v>0</v>
      </c>
      <c r="G1618" s="119">
        <v>0</v>
      </c>
      <c r="H1618" s="119">
        <v>0</v>
      </c>
      <c r="I1618" s="119">
        <v>0</v>
      </c>
      <c r="J1618" s="119">
        <v>0</v>
      </c>
      <c r="K1618" s="401">
        <v>0</v>
      </c>
      <c r="L1618" s="119">
        <v>0</v>
      </c>
      <c r="M1618" s="119">
        <v>0</v>
      </c>
      <c r="N1618" s="119">
        <v>0</v>
      </c>
      <c r="O1618" s="119">
        <v>0</v>
      </c>
      <c r="P1618" s="401">
        <v>0</v>
      </c>
      <c r="Q1618" s="119">
        <v>0</v>
      </c>
      <c r="R1618" s="119">
        <v>0</v>
      </c>
      <c r="S1618" s="119">
        <v>0</v>
      </c>
      <c r="T1618" s="119">
        <v>0</v>
      </c>
      <c r="U1618" s="401">
        <v>0</v>
      </c>
      <c r="V1618" s="119">
        <v>0</v>
      </c>
      <c r="W1618" s="119">
        <v>0</v>
      </c>
      <c r="X1618" s="119">
        <v>0</v>
      </c>
      <c r="Y1618" s="119">
        <v>0</v>
      </c>
      <c r="Z1618" s="401">
        <v>0</v>
      </c>
      <c r="AA1618" s="119">
        <v>0</v>
      </c>
      <c r="AB1618" s="119">
        <v>0</v>
      </c>
      <c r="AC1618" s="119">
        <v>0</v>
      </c>
      <c r="AD1618" s="119">
        <v>0</v>
      </c>
      <c r="AE1618" s="401">
        <v>0</v>
      </c>
      <c r="AF1618" s="119">
        <v>0</v>
      </c>
      <c r="AG1618" s="119">
        <v>0</v>
      </c>
      <c r="AH1618" s="119">
        <v>0</v>
      </c>
      <c r="AI1618" s="119">
        <v>0</v>
      </c>
      <c r="AJ1618" s="401">
        <v>0</v>
      </c>
      <c r="AK1618" s="119">
        <v>0</v>
      </c>
      <c r="AL1618" s="119">
        <v>0</v>
      </c>
      <c r="AM1618" s="119">
        <v>0</v>
      </c>
      <c r="AN1618" s="119">
        <v>0</v>
      </c>
      <c r="AO1618" s="401">
        <v>0</v>
      </c>
      <c r="AP1618" s="119">
        <v>0</v>
      </c>
      <c r="AQ1618" s="119">
        <v>0</v>
      </c>
      <c r="AR1618" s="119">
        <v>0</v>
      </c>
      <c r="AS1618" s="119">
        <v>0</v>
      </c>
      <c r="AT1618" s="401">
        <v>0</v>
      </c>
      <c r="AU1618" s="119">
        <v>0</v>
      </c>
      <c r="AV1618" s="119">
        <v>0</v>
      </c>
      <c r="AW1618" s="119">
        <v>0</v>
      </c>
      <c r="AX1618" s="119">
        <v>0</v>
      </c>
      <c r="AY1618" s="401">
        <v>0</v>
      </c>
      <c r="AZ1618" s="119">
        <v>0</v>
      </c>
      <c r="BA1618" s="119">
        <v>0</v>
      </c>
      <c r="BB1618" s="119">
        <v>0</v>
      </c>
      <c r="BC1618" s="119">
        <v>0</v>
      </c>
      <c r="BD1618" s="401">
        <v>0</v>
      </c>
      <c r="BE1618" s="119">
        <v>0</v>
      </c>
      <c r="BF1618" s="119">
        <v>0</v>
      </c>
      <c r="BG1618" s="119">
        <v>0</v>
      </c>
      <c r="BH1618" s="119">
        <v>0</v>
      </c>
      <c r="BI1618" s="402">
        <v>0</v>
      </c>
      <c r="BJ1618" s="118"/>
      <c r="BK1618" s="118"/>
      <c r="BL1618" s="118"/>
      <c r="BM1618" s="118"/>
      <c r="BN1618" s="401">
        <v>0</v>
      </c>
      <c r="BO1618" s="118"/>
      <c r="BP1618" s="118"/>
      <c r="BQ1618" s="118"/>
      <c r="BR1618" s="118"/>
      <c r="BS1618" s="401">
        <v>0</v>
      </c>
      <c r="BT1618" s="401"/>
      <c r="BU1618" s="401"/>
      <c r="BV1618" s="401"/>
      <c r="BW1618" s="122"/>
    </row>
    <row r="1619" spans="1:75" s="123" customFormat="1" x14ac:dyDescent="0.5">
      <c r="A1619" s="184" t="s">
        <v>1420</v>
      </c>
      <c r="B1619" s="118"/>
      <c r="C1619" s="401"/>
      <c r="D1619" s="401">
        <v>0</v>
      </c>
      <c r="E1619" s="401">
        <v>1E-3</v>
      </c>
      <c r="F1619" s="401">
        <v>0</v>
      </c>
      <c r="G1619" s="119">
        <v>0</v>
      </c>
      <c r="H1619" s="119">
        <v>0</v>
      </c>
      <c r="I1619" s="119">
        <v>0</v>
      </c>
      <c r="J1619" s="119">
        <v>0</v>
      </c>
      <c r="K1619" s="401">
        <v>0</v>
      </c>
      <c r="L1619" s="119">
        <v>0</v>
      </c>
      <c r="M1619" s="119">
        <v>0</v>
      </c>
      <c r="N1619" s="119">
        <v>0</v>
      </c>
      <c r="O1619" s="119">
        <v>0</v>
      </c>
      <c r="P1619" s="401">
        <v>0</v>
      </c>
      <c r="Q1619" s="119">
        <v>0</v>
      </c>
      <c r="R1619" s="119">
        <v>0</v>
      </c>
      <c r="S1619" s="119">
        <v>0</v>
      </c>
      <c r="T1619" s="119">
        <v>0</v>
      </c>
      <c r="U1619" s="401">
        <v>0</v>
      </c>
      <c r="V1619" s="119">
        <v>0</v>
      </c>
      <c r="W1619" s="119">
        <v>0</v>
      </c>
      <c r="X1619" s="119">
        <v>0</v>
      </c>
      <c r="Y1619" s="119">
        <v>0</v>
      </c>
      <c r="Z1619" s="401">
        <v>0</v>
      </c>
      <c r="AA1619" s="119">
        <v>0</v>
      </c>
      <c r="AB1619" s="119">
        <v>0</v>
      </c>
      <c r="AC1619" s="119">
        <v>0</v>
      </c>
      <c r="AD1619" s="119">
        <v>0</v>
      </c>
      <c r="AE1619" s="401">
        <v>0</v>
      </c>
      <c r="AF1619" s="119">
        <v>0</v>
      </c>
      <c r="AG1619" s="119">
        <v>0</v>
      </c>
      <c r="AH1619" s="119">
        <v>0</v>
      </c>
      <c r="AI1619" s="119">
        <v>0</v>
      </c>
      <c r="AJ1619" s="401">
        <v>0</v>
      </c>
      <c r="AK1619" s="119">
        <v>0</v>
      </c>
      <c r="AL1619" s="119">
        <v>0</v>
      </c>
      <c r="AM1619" s="119">
        <v>0</v>
      </c>
      <c r="AN1619" s="119">
        <v>0</v>
      </c>
      <c r="AO1619" s="401">
        <v>0</v>
      </c>
      <c r="AP1619" s="119">
        <v>0</v>
      </c>
      <c r="AQ1619" s="119">
        <v>0</v>
      </c>
      <c r="AR1619" s="119">
        <v>0</v>
      </c>
      <c r="AS1619" s="119">
        <v>0</v>
      </c>
      <c r="AT1619" s="401">
        <v>0</v>
      </c>
      <c r="AU1619" s="119">
        <v>0</v>
      </c>
      <c r="AV1619" s="119">
        <v>0</v>
      </c>
      <c r="AW1619" s="119">
        <v>0</v>
      </c>
      <c r="AX1619" s="119">
        <v>0</v>
      </c>
      <c r="AY1619" s="401">
        <v>0</v>
      </c>
      <c r="AZ1619" s="119">
        <v>0</v>
      </c>
      <c r="BA1619" s="119">
        <v>0</v>
      </c>
      <c r="BB1619" s="119">
        <v>0</v>
      </c>
      <c r="BC1619" s="119">
        <v>0</v>
      </c>
      <c r="BD1619" s="401">
        <v>0</v>
      </c>
      <c r="BE1619" s="119">
        <v>0</v>
      </c>
      <c r="BF1619" s="119">
        <v>0</v>
      </c>
      <c r="BG1619" s="119">
        <v>0</v>
      </c>
      <c r="BH1619" s="119">
        <v>0</v>
      </c>
      <c r="BI1619" s="402">
        <v>0</v>
      </c>
      <c r="BJ1619" s="118"/>
      <c r="BK1619" s="118"/>
      <c r="BL1619" s="118"/>
      <c r="BM1619" s="118"/>
      <c r="BN1619" s="401">
        <v>0</v>
      </c>
      <c r="BO1619" s="118"/>
      <c r="BP1619" s="118"/>
      <c r="BQ1619" s="118"/>
      <c r="BR1619" s="118"/>
      <c r="BS1619" s="401">
        <v>0</v>
      </c>
      <c r="BT1619" s="401"/>
      <c r="BU1619" s="401"/>
      <c r="BV1619" s="401"/>
      <c r="BW1619" s="122"/>
    </row>
    <row r="1620" spans="1:75" s="123" customFormat="1" x14ac:dyDescent="0.5">
      <c r="A1620" s="184" t="s">
        <v>1421</v>
      </c>
      <c r="B1620" s="118"/>
      <c r="C1620" s="401"/>
      <c r="D1620" s="401">
        <v>0</v>
      </c>
      <c r="E1620" s="401">
        <v>0</v>
      </c>
      <c r="F1620" s="401">
        <v>0</v>
      </c>
      <c r="G1620" s="119">
        <v>0</v>
      </c>
      <c r="H1620" s="119">
        <v>0</v>
      </c>
      <c r="I1620" s="119">
        <v>0</v>
      </c>
      <c r="J1620" s="119">
        <v>0</v>
      </c>
      <c r="K1620" s="401">
        <v>0</v>
      </c>
      <c r="L1620" s="119">
        <v>0</v>
      </c>
      <c r="M1620" s="119">
        <v>0</v>
      </c>
      <c r="N1620" s="119">
        <v>0</v>
      </c>
      <c r="O1620" s="119">
        <v>0</v>
      </c>
      <c r="P1620" s="401">
        <v>0</v>
      </c>
      <c r="Q1620" s="119">
        <v>0</v>
      </c>
      <c r="R1620" s="119">
        <v>0</v>
      </c>
      <c r="S1620" s="119">
        <v>0</v>
      </c>
      <c r="T1620" s="119">
        <v>0</v>
      </c>
      <c r="U1620" s="401">
        <v>0</v>
      </c>
      <c r="V1620" s="119">
        <v>0</v>
      </c>
      <c r="W1620" s="119">
        <v>0</v>
      </c>
      <c r="X1620" s="119">
        <v>0</v>
      </c>
      <c r="Y1620" s="119">
        <v>0</v>
      </c>
      <c r="Z1620" s="401">
        <v>0</v>
      </c>
      <c r="AA1620" s="119">
        <v>0</v>
      </c>
      <c r="AB1620" s="119">
        <v>0</v>
      </c>
      <c r="AC1620" s="119">
        <v>0</v>
      </c>
      <c r="AD1620" s="119">
        <v>0</v>
      </c>
      <c r="AE1620" s="401">
        <v>0</v>
      </c>
      <c r="AF1620" s="119">
        <v>0</v>
      </c>
      <c r="AG1620" s="119">
        <v>0</v>
      </c>
      <c r="AH1620" s="119">
        <v>0</v>
      </c>
      <c r="AI1620" s="119">
        <v>0</v>
      </c>
      <c r="AJ1620" s="401">
        <v>0</v>
      </c>
      <c r="AK1620" s="119">
        <v>0</v>
      </c>
      <c r="AL1620" s="119">
        <v>0</v>
      </c>
      <c r="AM1620" s="119">
        <v>0</v>
      </c>
      <c r="AN1620" s="119">
        <v>0</v>
      </c>
      <c r="AO1620" s="401">
        <v>0</v>
      </c>
      <c r="AP1620" s="119">
        <v>0</v>
      </c>
      <c r="AQ1620" s="119">
        <v>0</v>
      </c>
      <c r="AR1620" s="119">
        <v>0</v>
      </c>
      <c r="AS1620" s="119">
        <v>0</v>
      </c>
      <c r="AT1620" s="401">
        <v>0</v>
      </c>
      <c r="AU1620" s="119">
        <v>0</v>
      </c>
      <c r="AV1620" s="119">
        <v>0</v>
      </c>
      <c r="AW1620" s="119">
        <v>0</v>
      </c>
      <c r="AX1620" s="119">
        <v>0</v>
      </c>
      <c r="AY1620" s="401">
        <v>0</v>
      </c>
      <c r="AZ1620" s="119">
        <v>0</v>
      </c>
      <c r="BA1620" s="119">
        <v>0</v>
      </c>
      <c r="BB1620" s="119">
        <v>0</v>
      </c>
      <c r="BC1620" s="119">
        <v>0</v>
      </c>
      <c r="BD1620" s="401">
        <v>0</v>
      </c>
      <c r="BE1620" s="119">
        <v>0</v>
      </c>
      <c r="BF1620" s="119">
        <v>0</v>
      </c>
      <c r="BG1620" s="119">
        <v>0</v>
      </c>
      <c r="BH1620" s="119">
        <v>0</v>
      </c>
      <c r="BI1620" s="402">
        <v>0</v>
      </c>
      <c r="BJ1620" s="118"/>
      <c r="BK1620" s="118"/>
      <c r="BL1620" s="118"/>
      <c r="BM1620" s="118"/>
      <c r="BN1620" s="401">
        <v>0</v>
      </c>
      <c r="BO1620" s="118"/>
      <c r="BP1620" s="118"/>
      <c r="BQ1620" s="118"/>
      <c r="BR1620" s="118"/>
      <c r="BS1620" s="401">
        <v>0</v>
      </c>
      <c r="BT1620" s="401"/>
      <c r="BU1620" s="401"/>
      <c r="BV1620" s="401"/>
      <c r="BW1620" s="122"/>
    </row>
    <row r="1621" spans="1:75" s="123" customFormat="1" x14ac:dyDescent="0.5">
      <c r="A1621" s="184" t="s">
        <v>1422</v>
      </c>
      <c r="B1621" s="118"/>
      <c r="C1621" s="401"/>
      <c r="D1621" s="401">
        <v>0</v>
      </c>
      <c r="E1621" s="401">
        <v>0</v>
      </c>
      <c r="F1621" s="401">
        <v>0</v>
      </c>
      <c r="G1621" s="119">
        <v>0</v>
      </c>
      <c r="H1621" s="119">
        <v>0</v>
      </c>
      <c r="I1621" s="119">
        <v>0</v>
      </c>
      <c r="J1621" s="119">
        <v>0</v>
      </c>
      <c r="K1621" s="401">
        <v>0</v>
      </c>
      <c r="L1621" s="119">
        <v>0</v>
      </c>
      <c r="M1621" s="119">
        <v>0</v>
      </c>
      <c r="N1621" s="119">
        <v>0</v>
      </c>
      <c r="O1621" s="119">
        <v>0</v>
      </c>
      <c r="P1621" s="401">
        <v>0</v>
      </c>
      <c r="Q1621" s="119">
        <v>0</v>
      </c>
      <c r="R1621" s="119">
        <v>0</v>
      </c>
      <c r="S1621" s="119">
        <v>0</v>
      </c>
      <c r="T1621" s="119">
        <v>0</v>
      </c>
      <c r="U1621" s="401">
        <v>0</v>
      </c>
      <c r="V1621" s="119">
        <v>0</v>
      </c>
      <c r="W1621" s="119">
        <v>0</v>
      </c>
      <c r="X1621" s="119">
        <v>0</v>
      </c>
      <c r="Y1621" s="119">
        <v>-0.61099999999999999</v>
      </c>
      <c r="Z1621" s="401">
        <v>-0.61099999999999999</v>
      </c>
      <c r="AA1621" s="119">
        <v>0</v>
      </c>
      <c r="AB1621" s="119">
        <v>0</v>
      </c>
      <c r="AC1621" s="119">
        <v>0</v>
      </c>
      <c r="AD1621" s="119">
        <v>-0.377</v>
      </c>
      <c r="AE1621" s="401">
        <v>-0.377</v>
      </c>
      <c r="AF1621" s="119">
        <v>0</v>
      </c>
      <c r="AG1621" s="119">
        <v>0</v>
      </c>
      <c r="AH1621" s="119">
        <v>0</v>
      </c>
      <c r="AI1621" s="119">
        <v>0</v>
      </c>
      <c r="AJ1621" s="401">
        <v>0</v>
      </c>
      <c r="AK1621" s="119">
        <v>0</v>
      </c>
      <c r="AL1621" s="119">
        <v>0</v>
      </c>
      <c r="AM1621" s="119">
        <v>0</v>
      </c>
      <c r="AN1621" s="119">
        <v>0</v>
      </c>
      <c r="AO1621" s="401">
        <v>0</v>
      </c>
      <c r="AP1621" s="119">
        <v>0</v>
      </c>
      <c r="AQ1621" s="119">
        <v>0</v>
      </c>
      <c r="AR1621" s="119">
        <v>0</v>
      </c>
      <c r="AS1621" s="119">
        <v>0</v>
      </c>
      <c r="AT1621" s="401">
        <v>0</v>
      </c>
      <c r="AU1621" s="119">
        <v>0</v>
      </c>
      <c r="AV1621" s="119">
        <v>0</v>
      </c>
      <c r="AW1621" s="119">
        <v>0</v>
      </c>
      <c r="AX1621" s="119">
        <v>0</v>
      </c>
      <c r="AY1621" s="401">
        <v>0</v>
      </c>
      <c r="AZ1621" s="119">
        <v>0</v>
      </c>
      <c r="BA1621" s="119">
        <v>0</v>
      </c>
      <c r="BB1621" s="119">
        <v>0</v>
      </c>
      <c r="BC1621" s="119">
        <v>0</v>
      </c>
      <c r="BD1621" s="401">
        <v>0</v>
      </c>
      <c r="BE1621" s="119">
        <v>0</v>
      </c>
      <c r="BF1621" s="119">
        <v>0</v>
      </c>
      <c r="BG1621" s="119">
        <v>0</v>
      </c>
      <c r="BH1621" s="119">
        <v>0</v>
      </c>
      <c r="BI1621" s="402">
        <v>0</v>
      </c>
      <c r="BJ1621" s="118"/>
      <c r="BK1621" s="118"/>
      <c r="BL1621" s="118"/>
      <c r="BM1621" s="118"/>
      <c r="BN1621" s="401">
        <v>0</v>
      </c>
      <c r="BO1621" s="118"/>
      <c r="BP1621" s="118"/>
      <c r="BQ1621" s="118"/>
      <c r="BR1621" s="118"/>
      <c r="BS1621" s="401">
        <v>0</v>
      </c>
      <c r="BT1621" s="401"/>
      <c r="BU1621" s="401"/>
      <c r="BV1621" s="401"/>
      <c r="BW1621" s="122"/>
    </row>
    <row r="1622" spans="1:75" s="123" customFormat="1" x14ac:dyDescent="0.5">
      <c r="A1622" s="184" t="s">
        <v>1423</v>
      </c>
      <c r="B1622" s="118"/>
      <c r="C1622" s="401"/>
      <c r="D1622" s="401">
        <v>0</v>
      </c>
      <c r="E1622" s="401">
        <v>0</v>
      </c>
      <c r="F1622" s="401">
        <v>0</v>
      </c>
      <c r="G1622" s="119">
        <v>0</v>
      </c>
      <c r="H1622" s="119">
        <v>0</v>
      </c>
      <c r="I1622" s="119">
        <v>0</v>
      </c>
      <c r="J1622" s="119">
        <v>0</v>
      </c>
      <c r="K1622" s="401">
        <v>0</v>
      </c>
      <c r="L1622" s="119">
        <v>0</v>
      </c>
      <c r="M1622" s="119">
        <v>0</v>
      </c>
      <c r="N1622" s="119">
        <v>0</v>
      </c>
      <c r="O1622" s="119">
        <v>0</v>
      </c>
      <c r="P1622" s="401">
        <v>0</v>
      </c>
      <c r="Q1622" s="119">
        <v>0</v>
      </c>
      <c r="R1622" s="119">
        <v>0</v>
      </c>
      <c r="S1622" s="119">
        <v>0</v>
      </c>
      <c r="T1622" s="119">
        <v>0</v>
      </c>
      <c r="U1622" s="401">
        <v>0</v>
      </c>
      <c r="V1622" s="119">
        <v>0</v>
      </c>
      <c r="W1622" s="119">
        <v>0</v>
      </c>
      <c r="X1622" s="119">
        <v>0</v>
      </c>
      <c r="Y1622" s="119">
        <v>0</v>
      </c>
      <c r="Z1622" s="401">
        <v>0</v>
      </c>
      <c r="AA1622" s="119">
        <v>0</v>
      </c>
      <c r="AB1622" s="119">
        <v>0</v>
      </c>
      <c r="AC1622" s="119">
        <v>0</v>
      </c>
      <c r="AD1622" s="119">
        <v>0</v>
      </c>
      <c r="AE1622" s="401">
        <v>0</v>
      </c>
      <c r="AF1622" s="119">
        <v>0</v>
      </c>
      <c r="AG1622" s="119">
        <v>0</v>
      </c>
      <c r="AH1622" s="119">
        <v>0</v>
      </c>
      <c r="AI1622" s="119">
        <v>0</v>
      </c>
      <c r="AJ1622" s="401">
        <v>0</v>
      </c>
      <c r="AK1622" s="119">
        <v>0</v>
      </c>
      <c r="AL1622" s="119">
        <v>0</v>
      </c>
      <c r="AM1622" s="119">
        <v>0</v>
      </c>
      <c r="AN1622" s="119">
        <v>0</v>
      </c>
      <c r="AO1622" s="401">
        <v>0</v>
      </c>
      <c r="AP1622" s="119">
        <v>0</v>
      </c>
      <c r="AQ1622" s="119">
        <v>0</v>
      </c>
      <c r="AR1622" s="119">
        <v>0</v>
      </c>
      <c r="AS1622" s="119">
        <v>0</v>
      </c>
      <c r="AT1622" s="401">
        <v>0</v>
      </c>
      <c r="AU1622" s="119">
        <v>0</v>
      </c>
      <c r="AV1622" s="119">
        <v>0</v>
      </c>
      <c r="AW1622" s="119">
        <v>0</v>
      </c>
      <c r="AX1622" s="119">
        <v>0</v>
      </c>
      <c r="AY1622" s="401">
        <v>0</v>
      </c>
      <c r="AZ1622" s="119">
        <v>0</v>
      </c>
      <c r="BA1622" s="119">
        <v>0</v>
      </c>
      <c r="BB1622" s="119">
        <v>0</v>
      </c>
      <c r="BC1622" s="119">
        <v>0</v>
      </c>
      <c r="BD1622" s="401">
        <v>0</v>
      </c>
      <c r="BE1622" s="119">
        <v>0</v>
      </c>
      <c r="BF1622" s="119">
        <v>0</v>
      </c>
      <c r="BG1622" s="119">
        <v>0</v>
      </c>
      <c r="BH1622" s="119">
        <v>0</v>
      </c>
      <c r="BI1622" s="402">
        <v>0</v>
      </c>
      <c r="BJ1622" s="118">
        <v>0</v>
      </c>
      <c r="BK1622" s="118">
        <v>0</v>
      </c>
      <c r="BL1622" s="118">
        <v>0</v>
      </c>
      <c r="BM1622" s="118">
        <v>0</v>
      </c>
      <c r="BN1622" s="401">
        <v>0</v>
      </c>
      <c r="BO1622" s="118">
        <v>0</v>
      </c>
      <c r="BP1622" s="118">
        <v>0</v>
      </c>
      <c r="BQ1622" s="118">
        <v>0</v>
      </c>
      <c r="BR1622" s="118">
        <v>0</v>
      </c>
      <c r="BS1622" s="401">
        <v>0</v>
      </c>
      <c r="BT1622" s="401">
        <v>0</v>
      </c>
      <c r="BU1622" s="401">
        <v>0</v>
      </c>
      <c r="BV1622" s="401">
        <v>0</v>
      </c>
      <c r="BW1622" s="122"/>
    </row>
    <row r="1623" spans="1:75" s="123" customFormat="1" x14ac:dyDescent="0.5">
      <c r="A1623" s="445" t="s">
        <v>1424</v>
      </c>
      <c r="B1623" s="312"/>
      <c r="C1623" s="406"/>
      <c r="D1623" s="406">
        <v>0</v>
      </c>
      <c r="E1623" s="406">
        <v>0</v>
      </c>
      <c r="F1623" s="406">
        <v>97.692999999999998</v>
      </c>
      <c r="G1623" s="312">
        <v>0</v>
      </c>
      <c r="H1623" s="312">
        <v>0</v>
      </c>
      <c r="I1623" s="312">
        <v>0</v>
      </c>
      <c r="J1623" s="312">
        <v>0</v>
      </c>
      <c r="K1623" s="406">
        <v>0</v>
      </c>
      <c r="L1623" s="312">
        <v>0</v>
      </c>
      <c r="M1623" s="312">
        <v>0</v>
      </c>
      <c r="N1623" s="312">
        <v>0</v>
      </c>
      <c r="O1623" s="312">
        <v>0</v>
      </c>
      <c r="P1623" s="406">
        <v>0</v>
      </c>
      <c r="Q1623" s="312">
        <v>0</v>
      </c>
      <c r="R1623" s="312">
        <v>0</v>
      </c>
      <c r="S1623" s="312">
        <v>0</v>
      </c>
      <c r="T1623" s="312">
        <v>0</v>
      </c>
      <c r="U1623" s="406">
        <v>0</v>
      </c>
      <c r="V1623" s="312">
        <v>0</v>
      </c>
      <c r="W1623" s="312">
        <v>0</v>
      </c>
      <c r="X1623" s="312">
        <v>0</v>
      </c>
      <c r="Y1623" s="312">
        <v>0</v>
      </c>
      <c r="Z1623" s="406">
        <v>0</v>
      </c>
      <c r="AA1623" s="312">
        <v>0</v>
      </c>
      <c r="AB1623" s="312">
        <v>0</v>
      </c>
      <c r="AC1623" s="312">
        <v>0</v>
      </c>
      <c r="AD1623" s="312">
        <v>0</v>
      </c>
      <c r="AE1623" s="406">
        <v>0</v>
      </c>
      <c r="AF1623" s="312">
        <v>0</v>
      </c>
      <c r="AG1623" s="312">
        <v>0</v>
      </c>
      <c r="AH1623" s="312">
        <v>0</v>
      </c>
      <c r="AI1623" s="312">
        <v>0</v>
      </c>
      <c r="AJ1623" s="406">
        <v>0</v>
      </c>
      <c r="AK1623" s="312">
        <v>0</v>
      </c>
      <c r="AL1623" s="312">
        <v>0</v>
      </c>
      <c r="AM1623" s="312">
        <v>0</v>
      </c>
      <c r="AN1623" s="312">
        <v>0</v>
      </c>
      <c r="AO1623" s="406">
        <v>0</v>
      </c>
      <c r="AP1623" s="312">
        <v>0</v>
      </c>
      <c r="AQ1623" s="312">
        <v>0</v>
      </c>
      <c r="AR1623" s="312">
        <v>0</v>
      </c>
      <c r="AS1623" s="312">
        <v>0</v>
      </c>
      <c r="AT1623" s="406">
        <v>0</v>
      </c>
      <c r="AU1623" s="312">
        <v>0</v>
      </c>
      <c r="AV1623" s="312">
        <v>0</v>
      </c>
      <c r="AW1623" s="312">
        <v>0</v>
      </c>
      <c r="AX1623" s="312">
        <v>0</v>
      </c>
      <c r="AY1623" s="406">
        <v>0</v>
      </c>
      <c r="AZ1623" s="312">
        <v>0</v>
      </c>
      <c r="BA1623" s="312">
        <v>0</v>
      </c>
      <c r="BB1623" s="312">
        <v>0</v>
      </c>
      <c r="BC1623" s="312">
        <v>0</v>
      </c>
      <c r="BD1623" s="406">
        <v>0</v>
      </c>
      <c r="BE1623" s="312">
        <v>0</v>
      </c>
      <c r="BF1623" s="312">
        <v>0</v>
      </c>
      <c r="BG1623" s="312">
        <v>0</v>
      </c>
      <c r="BH1623" s="312">
        <v>0</v>
      </c>
      <c r="BI1623" s="407">
        <v>0</v>
      </c>
      <c r="BJ1623" s="312"/>
      <c r="BK1623" s="312"/>
      <c r="BL1623" s="312"/>
      <c r="BM1623" s="312"/>
      <c r="BN1623" s="406">
        <v>0</v>
      </c>
      <c r="BO1623" s="312"/>
      <c r="BP1623" s="312"/>
      <c r="BQ1623" s="312"/>
      <c r="BR1623" s="312"/>
      <c r="BS1623" s="406">
        <v>0</v>
      </c>
      <c r="BT1623" s="406"/>
      <c r="BU1623" s="406"/>
      <c r="BV1623" s="406"/>
      <c r="BW1623" s="122"/>
    </row>
    <row r="1624" spans="1:75" s="198" customFormat="1" ht="14.25" x14ac:dyDescent="0.45">
      <c r="A1624" s="192" t="s">
        <v>1425</v>
      </c>
      <c r="B1624" s="517"/>
      <c r="C1624" s="518"/>
      <c r="D1624" s="518">
        <v>51.600999999999999</v>
      </c>
      <c r="E1624" s="518">
        <v>3.3710000000000293</v>
      </c>
      <c r="F1624" s="518">
        <v>53.052000000000021</v>
      </c>
      <c r="G1624" s="327">
        <v>30.652999999999995</v>
      </c>
      <c r="H1624" s="327">
        <v>-24.790000000000042</v>
      </c>
      <c r="I1624" s="327">
        <v>21.161000000000186</v>
      </c>
      <c r="J1624" s="327">
        <v>-15.519000000000165</v>
      </c>
      <c r="K1624" s="518">
        <v>11.504999999999978</v>
      </c>
      <c r="L1624" s="327">
        <v>71.283000000000015</v>
      </c>
      <c r="M1624" s="327">
        <v>165.60600000000005</v>
      </c>
      <c r="N1624" s="327">
        <v>-0.24700000000000033</v>
      </c>
      <c r="O1624" s="327">
        <v>17.157999999999998</v>
      </c>
      <c r="P1624" s="518">
        <v>253.8000000000001</v>
      </c>
      <c r="Q1624" s="327">
        <v>2.8370000000000002</v>
      </c>
      <c r="R1624" s="327">
        <v>265.49</v>
      </c>
      <c r="S1624" s="327">
        <v>10.213000000000003</v>
      </c>
      <c r="T1624" s="327">
        <v>8.2420000000000009</v>
      </c>
      <c r="U1624" s="518">
        <v>286.78199999999998</v>
      </c>
      <c r="V1624" s="327">
        <v>-6.0000000000000331E-3</v>
      </c>
      <c r="W1624" s="327">
        <v>-2.5869999999999997</v>
      </c>
      <c r="X1624" s="327">
        <v>0.28199999999999981</v>
      </c>
      <c r="Y1624" s="327">
        <v>7.0000000000000284E-2</v>
      </c>
      <c r="Z1624" s="518">
        <v>-2.2409999999999997</v>
      </c>
      <c r="AA1624" s="327">
        <v>-299.08699999999999</v>
      </c>
      <c r="AB1624" s="327">
        <v>-228.99000000000004</v>
      </c>
      <c r="AC1624" s="327">
        <v>-24.892000000000003</v>
      </c>
      <c r="AD1624" s="327">
        <v>-135.44399999999996</v>
      </c>
      <c r="AE1624" s="518">
        <v>-688.41300000000001</v>
      </c>
      <c r="AF1624" s="327">
        <v>18.334999999999972</v>
      </c>
      <c r="AG1624" s="327">
        <v>-24.685000000000002</v>
      </c>
      <c r="AH1624" s="327">
        <v>-33.517999999999994</v>
      </c>
      <c r="AI1624" s="327">
        <v>-149.12400000000002</v>
      </c>
      <c r="AJ1624" s="518">
        <v>-188.99200000000002</v>
      </c>
      <c r="AK1624" s="327">
        <v>65.83299999999997</v>
      </c>
      <c r="AL1624" s="327">
        <v>-131.85599999999999</v>
      </c>
      <c r="AM1624" s="327">
        <v>-41.985000000000028</v>
      </c>
      <c r="AN1624" s="327">
        <v>-66.796000000000006</v>
      </c>
      <c r="AO1624" s="518">
        <v>-174.80400000000003</v>
      </c>
      <c r="AP1624" s="327">
        <v>3.1819999999999924</v>
      </c>
      <c r="AQ1624" s="327">
        <v>-136.17000000000002</v>
      </c>
      <c r="AR1624" s="327">
        <v>-97.837999999999994</v>
      </c>
      <c r="AS1624" s="327">
        <v>-13.088000000000005</v>
      </c>
      <c r="AT1624" s="518">
        <v>-243.91400000000002</v>
      </c>
      <c r="AU1624" s="327">
        <v>-11.031999999999998</v>
      </c>
      <c r="AV1624" s="327">
        <v>-31.936000000000003</v>
      </c>
      <c r="AW1624" s="327">
        <v>1764.4819999999997</v>
      </c>
      <c r="AX1624" s="327">
        <v>-114.38699999999997</v>
      </c>
      <c r="AY1624" s="518">
        <v>1607.127</v>
      </c>
      <c r="AZ1624" s="327">
        <v>-42.351000000000035</v>
      </c>
      <c r="BA1624" s="327">
        <v>-181.80499999999998</v>
      </c>
      <c r="BB1624" s="327">
        <v>-31.524999999999963</v>
      </c>
      <c r="BC1624" s="327">
        <v>-646.79600000000005</v>
      </c>
      <c r="BD1624" s="518">
        <v>-902.47699999999998</v>
      </c>
      <c r="BE1624" s="327">
        <v>-10.935</v>
      </c>
      <c r="BF1624" s="327">
        <v>-1213.546</v>
      </c>
      <c r="BG1624" s="327">
        <v>-53.904999999999923</v>
      </c>
      <c r="BH1624" s="327">
        <v>-4.6449999999999996</v>
      </c>
      <c r="BI1624" s="525">
        <v>-1283.0309999999999</v>
      </c>
      <c r="BJ1624" s="327">
        <v>0</v>
      </c>
      <c r="BK1624" s="327">
        <v>0</v>
      </c>
      <c r="BL1624" s="327">
        <v>0</v>
      </c>
      <c r="BM1624" s="327">
        <v>0</v>
      </c>
      <c r="BN1624" s="518">
        <v>0</v>
      </c>
      <c r="BO1624" s="327">
        <v>0</v>
      </c>
      <c r="BP1624" s="327">
        <v>0</v>
      </c>
      <c r="BQ1624" s="327">
        <v>0</v>
      </c>
      <c r="BR1624" s="327">
        <v>0</v>
      </c>
      <c r="BS1624" s="518">
        <v>0</v>
      </c>
      <c r="BT1624" s="518">
        <v>0</v>
      </c>
      <c r="BU1624" s="518">
        <v>0</v>
      </c>
      <c r="BV1624" s="518">
        <v>0</v>
      </c>
      <c r="BW1624" s="197"/>
    </row>
    <row r="1625" spans="1:75" s="198" customFormat="1" ht="14.25" x14ac:dyDescent="0.45">
      <c r="A1625" s="206"/>
      <c r="B1625" s="522"/>
      <c r="C1625" s="397"/>
      <c r="D1625" s="397"/>
      <c r="E1625" s="397"/>
      <c r="F1625" s="397"/>
      <c r="G1625" s="295"/>
      <c r="H1625" s="295"/>
      <c r="I1625" s="295"/>
      <c r="J1625" s="295"/>
      <c r="K1625" s="397"/>
      <c r="L1625" s="295"/>
      <c r="M1625" s="295"/>
      <c r="N1625" s="295"/>
      <c r="O1625" s="295"/>
      <c r="P1625" s="397"/>
      <c r="Q1625" s="295"/>
      <c r="R1625" s="295"/>
      <c r="S1625" s="295"/>
      <c r="T1625" s="295"/>
      <c r="U1625" s="397"/>
      <c r="V1625" s="295"/>
      <c r="W1625" s="295"/>
      <c r="X1625" s="295"/>
      <c r="Y1625" s="295"/>
      <c r="Z1625" s="397"/>
      <c r="AA1625" s="295"/>
      <c r="AB1625" s="295"/>
      <c r="AC1625" s="295"/>
      <c r="AD1625" s="295"/>
      <c r="AE1625" s="397"/>
      <c r="AF1625" s="295"/>
      <c r="AG1625" s="295"/>
      <c r="AH1625" s="295"/>
      <c r="AI1625" s="295"/>
      <c r="AJ1625" s="397"/>
      <c r="AK1625" s="295"/>
      <c r="AL1625" s="295"/>
      <c r="AM1625" s="295"/>
      <c r="AN1625" s="295"/>
      <c r="AO1625" s="397"/>
      <c r="AP1625" s="295"/>
      <c r="AQ1625" s="295"/>
      <c r="AR1625" s="295"/>
      <c r="AS1625" s="295"/>
      <c r="AT1625" s="397"/>
      <c r="AU1625" s="295"/>
      <c r="AV1625" s="295"/>
      <c r="AW1625" s="295"/>
      <c r="AX1625" s="295"/>
      <c r="AY1625" s="397"/>
      <c r="AZ1625" s="295"/>
      <c r="BA1625" s="295"/>
      <c r="BB1625" s="295"/>
      <c r="BC1625" s="295"/>
      <c r="BD1625" s="397"/>
      <c r="BE1625" s="295"/>
      <c r="BF1625" s="295"/>
      <c r="BG1625" s="295"/>
      <c r="BH1625" s="295"/>
      <c r="BI1625" s="399"/>
      <c r="BJ1625" s="295"/>
      <c r="BK1625" s="295"/>
      <c r="BL1625" s="295"/>
      <c r="BM1625" s="295"/>
      <c r="BN1625" s="397"/>
      <c r="BO1625" s="295"/>
      <c r="BP1625" s="295"/>
      <c r="BQ1625" s="295"/>
      <c r="BR1625" s="295"/>
      <c r="BS1625" s="397"/>
      <c r="BT1625" s="397"/>
      <c r="BU1625" s="397"/>
      <c r="BV1625" s="397"/>
      <c r="BW1625" s="197"/>
    </row>
    <row r="1626" spans="1:75" s="123" customFormat="1" x14ac:dyDescent="0.5">
      <c r="A1626" s="752" t="s">
        <v>1426</v>
      </c>
      <c r="B1626" s="513"/>
      <c r="C1626" s="401"/>
      <c r="D1626" s="401">
        <v>0.29399999999999998</v>
      </c>
      <c r="E1626" s="401">
        <v>0.249</v>
      </c>
      <c r="F1626" s="401">
        <v>2.1999999999999999E-2</v>
      </c>
      <c r="G1626" s="119">
        <v>2.1999999999999999E-2</v>
      </c>
      <c r="H1626" s="119">
        <v>-3.9999999999999994E-2</v>
      </c>
      <c r="I1626" s="119">
        <v>3.9999999999999983E-3</v>
      </c>
      <c r="J1626" s="119">
        <v>-0.109</v>
      </c>
      <c r="K1626" s="401">
        <v>-0.123</v>
      </c>
      <c r="L1626" s="119">
        <v>4.0000000000000001E-3</v>
      </c>
      <c r="M1626" s="119">
        <v>-1.2E-2</v>
      </c>
      <c r="N1626" s="119">
        <v>-2.5000000000000001E-2</v>
      </c>
      <c r="O1626" s="119">
        <v>-0.16500000000000001</v>
      </c>
      <c r="P1626" s="401">
        <v>-0.19800000000000001</v>
      </c>
      <c r="Q1626" s="119">
        <v>7.2999999999999995E-2</v>
      </c>
      <c r="R1626" s="119">
        <v>-9.5000000000000001E-2</v>
      </c>
      <c r="S1626" s="119">
        <v>-2.0000000000000018E-3</v>
      </c>
      <c r="T1626" s="119">
        <v>-0.28399999999999997</v>
      </c>
      <c r="U1626" s="401">
        <v>-0.308</v>
      </c>
      <c r="V1626" s="119">
        <v>0.88800000000000001</v>
      </c>
      <c r="W1626" s="119">
        <v>-0.436</v>
      </c>
      <c r="X1626" s="119">
        <v>-0.10999999999999999</v>
      </c>
      <c r="Y1626" s="119">
        <v>0.10699999999999998</v>
      </c>
      <c r="Z1626" s="401">
        <v>0.44900000000000001</v>
      </c>
      <c r="AA1626" s="119">
        <v>-8.5999999999999993E-2</v>
      </c>
      <c r="AB1626" s="119">
        <v>0.14099999999999999</v>
      </c>
      <c r="AC1626" s="119">
        <v>-3.3000000000000002E-2</v>
      </c>
      <c r="AD1626" s="119">
        <v>0.13</v>
      </c>
      <c r="AE1626" s="401">
        <v>0.152</v>
      </c>
      <c r="AF1626" s="119">
        <v>-6.2E-2</v>
      </c>
      <c r="AG1626" s="119">
        <v>-6.2E-2</v>
      </c>
      <c r="AH1626" s="119">
        <v>-1.2000000000000011E-2</v>
      </c>
      <c r="AI1626" s="119">
        <v>6.0000000000000053E-3</v>
      </c>
      <c r="AJ1626" s="401">
        <v>-0.13</v>
      </c>
      <c r="AK1626" s="119">
        <v>6.0000000000000001E-3</v>
      </c>
      <c r="AL1626" s="119">
        <v>-8.1000000000000003E-2</v>
      </c>
      <c r="AM1626" s="119">
        <v>7.1999999999999995E-2</v>
      </c>
      <c r="AN1626" s="119">
        <v>1.9E-2</v>
      </c>
      <c r="AO1626" s="401">
        <v>1.6E-2</v>
      </c>
      <c r="AP1626" s="119">
        <v>-0.13200000000000001</v>
      </c>
      <c r="AQ1626" s="119">
        <v>0.14900000000000002</v>
      </c>
      <c r="AR1626" s="119">
        <v>-2.7000000000000003E-2</v>
      </c>
      <c r="AS1626" s="119">
        <v>0.16700000000000001</v>
      </c>
      <c r="AT1626" s="401">
        <v>0.157</v>
      </c>
      <c r="AU1626" s="119">
        <v>3.5999999999999997E-2</v>
      </c>
      <c r="AV1626" s="119">
        <v>5.6000000000000001E-2</v>
      </c>
      <c r="AW1626" s="119">
        <v>-5.7999999999999996E-2</v>
      </c>
      <c r="AX1626" s="119">
        <v>-0.129</v>
      </c>
      <c r="AY1626" s="401">
        <v>-9.5000000000000001E-2</v>
      </c>
      <c r="AZ1626" s="119">
        <v>-0.27800000000000002</v>
      </c>
      <c r="BA1626" s="119">
        <v>-0.16199999999999998</v>
      </c>
      <c r="BB1626" s="119">
        <v>-0.71500000000000008</v>
      </c>
      <c r="BC1626" s="119">
        <v>0.91200000000000003</v>
      </c>
      <c r="BD1626" s="401">
        <v>-0.24299999999999999</v>
      </c>
      <c r="BE1626" s="119">
        <v>-1.7999999999999999E-2</v>
      </c>
      <c r="BF1626" s="119">
        <v>0.28900000000000003</v>
      </c>
      <c r="BG1626" s="119">
        <v>-1.004</v>
      </c>
      <c r="BH1626" s="119">
        <v>0.90599999999999992</v>
      </c>
      <c r="BI1626" s="402">
        <v>0.17299999999999999</v>
      </c>
      <c r="BJ1626" s="302">
        <v>0</v>
      </c>
      <c r="BK1626" s="302">
        <v>0</v>
      </c>
      <c r="BL1626" s="302">
        <v>0</v>
      </c>
      <c r="BM1626" s="302">
        <v>0</v>
      </c>
      <c r="BN1626" s="401">
        <v>0</v>
      </c>
      <c r="BO1626" s="302">
        <v>0</v>
      </c>
      <c r="BP1626" s="302">
        <v>0</v>
      </c>
      <c r="BQ1626" s="302">
        <v>0</v>
      </c>
      <c r="BR1626" s="302">
        <v>0</v>
      </c>
      <c r="BS1626" s="401">
        <v>0</v>
      </c>
      <c r="BT1626" s="403">
        <v>0</v>
      </c>
      <c r="BU1626" s="403">
        <v>0</v>
      </c>
      <c r="BV1626" s="403">
        <v>0</v>
      </c>
      <c r="BW1626" s="122"/>
    </row>
    <row r="1627" spans="1:75" s="198" customFormat="1" ht="14.25" x14ac:dyDescent="0.45">
      <c r="A1627" s="206" t="s">
        <v>1427</v>
      </c>
      <c r="B1627" s="522"/>
      <c r="C1627" s="397"/>
      <c r="D1627" s="397">
        <v>0.17800000000000921</v>
      </c>
      <c r="E1627" s="397">
        <v>-4.851999999999971</v>
      </c>
      <c r="F1627" s="397">
        <v>-0.15799999999998418</v>
      </c>
      <c r="G1627" s="295">
        <v>1.3149999999999957</v>
      </c>
      <c r="H1627" s="295">
        <v>5.3429999999999742</v>
      </c>
      <c r="I1627" s="295">
        <v>-6.8149999999998254</v>
      </c>
      <c r="J1627" s="295">
        <v>5.1919999999998669</v>
      </c>
      <c r="K1627" s="397">
        <v>5.0349999999999868</v>
      </c>
      <c r="L1627" s="295">
        <v>-2.4469999999999721</v>
      </c>
      <c r="M1627" s="295">
        <v>170.55100000000004</v>
      </c>
      <c r="N1627" s="295">
        <v>-24.366</v>
      </c>
      <c r="O1627" s="295">
        <v>-8.1930000000000049</v>
      </c>
      <c r="P1627" s="397">
        <v>135.5450000000001</v>
      </c>
      <c r="Q1627" s="295">
        <v>-45.167000000000002</v>
      </c>
      <c r="R1627" s="295">
        <v>201.18100000000001</v>
      </c>
      <c r="S1627" s="295">
        <v>-77.969000000000008</v>
      </c>
      <c r="T1627" s="295">
        <v>122.91800000000005</v>
      </c>
      <c r="U1627" s="397">
        <v>200.96300000000005</v>
      </c>
      <c r="V1627" s="295">
        <v>-112.74099999999999</v>
      </c>
      <c r="W1627" s="295">
        <v>-199.47899999999998</v>
      </c>
      <c r="X1627" s="295">
        <v>17.748999999999981</v>
      </c>
      <c r="Y1627" s="295">
        <v>50.027000000000015</v>
      </c>
      <c r="Z1627" s="397">
        <v>-244.44400000000005</v>
      </c>
      <c r="AA1627" s="295">
        <v>-6.8730000000000064</v>
      </c>
      <c r="AB1627" s="295">
        <v>-58.513000000000083</v>
      </c>
      <c r="AC1627" s="295">
        <v>0.52500000000000691</v>
      </c>
      <c r="AD1627" s="295">
        <v>-4.254999999999991</v>
      </c>
      <c r="AE1627" s="397">
        <v>-69.116000000000142</v>
      </c>
      <c r="AF1627" s="295">
        <v>-2.6350000000000109</v>
      </c>
      <c r="AG1627" s="295">
        <v>2.2650000000000197</v>
      </c>
      <c r="AH1627" s="295">
        <v>-16.196000000000005</v>
      </c>
      <c r="AI1627" s="295">
        <v>-2.94500000000005</v>
      </c>
      <c r="AJ1627" s="397">
        <v>-19.510999999999914</v>
      </c>
      <c r="AK1627" s="295">
        <v>96.746999999999957</v>
      </c>
      <c r="AL1627" s="295">
        <v>-90.995000000000005</v>
      </c>
      <c r="AM1627" s="295">
        <v>26.698000000000004</v>
      </c>
      <c r="AN1627" s="295">
        <v>9.4049999999999958</v>
      </c>
      <c r="AO1627" s="397">
        <v>41.854999999999997</v>
      </c>
      <c r="AP1627" s="295">
        <v>-30.450000000000006</v>
      </c>
      <c r="AQ1627" s="295">
        <v>0.17899999999997274</v>
      </c>
      <c r="AR1627" s="295">
        <v>79.397000000000091</v>
      </c>
      <c r="AS1627" s="295">
        <v>10.287000000000033</v>
      </c>
      <c r="AT1627" s="397">
        <v>59.413000000000139</v>
      </c>
      <c r="AU1627" s="295">
        <v>128.45600000000005</v>
      </c>
      <c r="AV1627" s="295">
        <v>61.30900000000004</v>
      </c>
      <c r="AW1627" s="295">
        <v>1906.8749999999998</v>
      </c>
      <c r="AX1627" s="295">
        <v>-21.846999999999934</v>
      </c>
      <c r="AY1627" s="397">
        <v>2074.7930000000001</v>
      </c>
      <c r="AZ1627" s="295">
        <v>62.841000000000086</v>
      </c>
      <c r="BA1627" s="295">
        <v>-158.99900000000005</v>
      </c>
      <c r="BB1627" s="295">
        <v>68.641999999999967</v>
      </c>
      <c r="BC1627" s="295">
        <v>-642.58500000000004</v>
      </c>
      <c r="BD1627" s="397">
        <v>-670.10100000000023</v>
      </c>
      <c r="BE1627" s="295">
        <v>8.4639999999999844</v>
      </c>
      <c r="BF1627" s="295">
        <v>-1099.6420000000001</v>
      </c>
      <c r="BG1627" s="295">
        <v>-37.9299999999999</v>
      </c>
      <c r="BH1627" s="295">
        <v>-258.96699999999998</v>
      </c>
      <c r="BI1627" s="399">
        <v>-1388.075</v>
      </c>
      <c r="BJ1627" s="295">
        <v>6.851180065316413</v>
      </c>
      <c r="BK1627" s="295">
        <v>32.021525675160788</v>
      </c>
      <c r="BL1627" s="295">
        <v>32.092791236704059</v>
      </c>
      <c r="BM1627" s="295">
        <v>-2.1336587500072994</v>
      </c>
      <c r="BN1627" s="397">
        <v>68.831838227173989</v>
      </c>
      <c r="BO1627" s="295">
        <v>-18.494556942903841</v>
      </c>
      <c r="BP1627" s="295">
        <v>60.748089702585389</v>
      </c>
      <c r="BQ1627" s="295">
        <v>53.750110042884444</v>
      </c>
      <c r="BR1627" s="295">
        <v>35.938120906523864</v>
      </c>
      <c r="BS1627" s="397">
        <v>131.94176370908986</v>
      </c>
      <c r="BT1627" s="397">
        <v>221.11651425820793</v>
      </c>
      <c r="BU1627" s="397">
        <v>297.34563244119011</v>
      </c>
      <c r="BV1627" s="397">
        <v>382.82831667473374</v>
      </c>
      <c r="BW1627" s="197"/>
    </row>
    <row r="1628" spans="1:75" s="198" customFormat="1" ht="14.25" x14ac:dyDescent="0.45">
      <c r="A1628" s="206"/>
      <c r="B1628" s="522"/>
      <c r="C1628" s="397"/>
      <c r="D1628" s="397"/>
      <c r="E1628" s="397"/>
      <c r="F1628" s="397"/>
      <c r="G1628" s="295"/>
      <c r="H1628" s="295"/>
      <c r="I1628" s="295"/>
      <c r="J1628" s="295"/>
      <c r="K1628" s="397"/>
      <c r="L1628" s="295"/>
      <c r="M1628" s="295"/>
      <c r="N1628" s="295"/>
      <c r="O1628" s="295"/>
      <c r="P1628" s="397"/>
      <c r="Q1628" s="295"/>
      <c r="R1628" s="295"/>
      <c r="S1628" s="295"/>
      <c r="T1628" s="295"/>
      <c r="U1628" s="397"/>
      <c r="V1628" s="295"/>
      <c r="W1628" s="295"/>
      <c r="X1628" s="295"/>
      <c r="Y1628" s="295"/>
      <c r="Z1628" s="397"/>
      <c r="AA1628" s="295"/>
      <c r="AB1628" s="295"/>
      <c r="AC1628" s="295"/>
      <c r="AD1628" s="295"/>
      <c r="AE1628" s="397"/>
      <c r="AF1628" s="295"/>
      <c r="AG1628" s="295"/>
      <c r="AH1628" s="295"/>
      <c r="AI1628" s="295"/>
      <c r="AJ1628" s="397"/>
      <c r="AK1628" s="295"/>
      <c r="AL1628" s="295"/>
      <c r="AM1628" s="295"/>
      <c r="AN1628" s="295"/>
      <c r="AO1628" s="397"/>
      <c r="AP1628" s="295"/>
      <c r="AQ1628" s="295"/>
      <c r="AR1628" s="295"/>
      <c r="AS1628" s="295"/>
      <c r="AT1628" s="397"/>
      <c r="AU1628" s="295"/>
      <c r="AV1628" s="295"/>
      <c r="AW1628" s="295"/>
      <c r="AX1628" s="295"/>
      <c r="AY1628" s="397"/>
      <c r="AZ1628" s="295"/>
      <c r="BA1628" s="295"/>
      <c r="BB1628" s="295"/>
      <c r="BC1628" s="295"/>
      <c r="BD1628" s="397"/>
      <c r="BE1628" s="295"/>
      <c r="BF1628" s="295"/>
      <c r="BG1628" s="295"/>
      <c r="BH1628" s="295"/>
      <c r="BI1628" s="399"/>
      <c r="BJ1628" s="295"/>
      <c r="BK1628" s="295"/>
      <c r="BL1628" s="295"/>
      <c r="BM1628" s="295"/>
      <c r="BN1628" s="397"/>
      <c r="BO1628" s="295"/>
      <c r="BP1628" s="295"/>
      <c r="BQ1628" s="295"/>
      <c r="BR1628" s="295"/>
      <c r="BS1628" s="397"/>
      <c r="BT1628" s="397"/>
      <c r="BU1628" s="397"/>
      <c r="BV1628" s="397"/>
      <c r="BW1628" s="197"/>
    </row>
    <row r="1629" spans="1:75" s="198" customFormat="1" ht="14.25" x14ac:dyDescent="0.45">
      <c r="A1629" s="206" t="s">
        <v>1428</v>
      </c>
      <c r="B1629" s="522"/>
      <c r="C1629" s="397"/>
      <c r="D1629" s="397">
        <v>13.186</v>
      </c>
      <c r="E1629" s="397">
        <v>13.36400000000001</v>
      </c>
      <c r="F1629" s="397">
        <v>8.5120000000000395</v>
      </c>
      <c r="G1629" s="295">
        <v>8.354000000000056</v>
      </c>
      <c r="H1629" s="295">
        <v>9.669000000000052</v>
      </c>
      <c r="I1629" s="295">
        <v>15.012000000000025</v>
      </c>
      <c r="J1629" s="295">
        <v>8.1970000000001999</v>
      </c>
      <c r="K1629" s="397">
        <v>8.354000000000056</v>
      </c>
      <c r="L1629" s="295">
        <v>13.389000000000042</v>
      </c>
      <c r="M1629" s="295">
        <v>10.942000000000069</v>
      </c>
      <c r="N1629" s="295">
        <v>181.49300000000011</v>
      </c>
      <c r="O1629" s="295">
        <v>157.12700000000012</v>
      </c>
      <c r="P1629" s="397">
        <v>13.389000000000042</v>
      </c>
      <c r="Q1629" s="295">
        <v>148.93400000000014</v>
      </c>
      <c r="R1629" s="295">
        <v>103.76700000000014</v>
      </c>
      <c r="S1629" s="295">
        <v>304.94800000000015</v>
      </c>
      <c r="T1629" s="295">
        <v>226.97900000000016</v>
      </c>
      <c r="U1629" s="397">
        <v>148.93400000000014</v>
      </c>
      <c r="V1629" s="295">
        <v>349.89700000000016</v>
      </c>
      <c r="W1629" s="295">
        <v>237.15600000000018</v>
      </c>
      <c r="X1629" s="295">
        <v>37.677000000000191</v>
      </c>
      <c r="Y1629" s="295">
        <v>36.995999999999924</v>
      </c>
      <c r="Z1629" s="671">
        <v>331.46699999999998</v>
      </c>
      <c r="AA1629" s="295">
        <v>87.022999999999939</v>
      </c>
      <c r="AB1629" s="295">
        <v>80.149999999999935</v>
      </c>
      <c r="AC1629" s="295">
        <v>21.636999999999851</v>
      </c>
      <c r="AD1629" s="295">
        <v>22.161999999999789</v>
      </c>
      <c r="AE1629" s="397">
        <v>87.022999999999939</v>
      </c>
      <c r="AF1629" s="638">
        <v>25.314</v>
      </c>
      <c r="AG1629" s="295">
        <v>22.678999999999988</v>
      </c>
      <c r="AH1629" s="295">
        <v>24.944000000000006</v>
      </c>
      <c r="AI1629" s="295">
        <v>8.7480000000001361</v>
      </c>
      <c r="AJ1629" s="397">
        <v>25.314</v>
      </c>
      <c r="AK1629" s="295">
        <v>5.8030000000000861</v>
      </c>
      <c r="AL1629" s="295">
        <v>102.55000000000004</v>
      </c>
      <c r="AM1629" s="295">
        <v>11.555000000000035</v>
      </c>
      <c r="AN1629" s="295">
        <v>38.253000000000092</v>
      </c>
      <c r="AO1629" s="397">
        <v>5.8030000000000861</v>
      </c>
      <c r="AP1629" s="295">
        <v>47.658000000000087</v>
      </c>
      <c r="AQ1629" s="295">
        <v>17.20800000000008</v>
      </c>
      <c r="AR1629" s="295">
        <v>17.387000000000054</v>
      </c>
      <c r="AS1629" s="295">
        <v>96.784000000000191</v>
      </c>
      <c r="AT1629" s="397">
        <v>47.658000000000087</v>
      </c>
      <c r="AU1629" s="295">
        <v>107.07100000000023</v>
      </c>
      <c r="AV1629" s="295">
        <v>235.52700000000027</v>
      </c>
      <c r="AW1629" s="295">
        <v>296.8360000000003</v>
      </c>
      <c r="AX1629" s="295">
        <v>2203.7110000000002</v>
      </c>
      <c r="AY1629" s="397">
        <v>107.07100000000023</v>
      </c>
      <c r="AZ1629" s="295">
        <v>2181.8640000000005</v>
      </c>
      <c r="BA1629" s="295">
        <v>2244.7050000000004</v>
      </c>
      <c r="BB1629" s="295">
        <v>2085.7060000000001</v>
      </c>
      <c r="BC1629" s="295">
        <v>2154.348</v>
      </c>
      <c r="BD1629" s="397">
        <v>2181.8640000000005</v>
      </c>
      <c r="BE1629" s="295">
        <v>1511.7630000000004</v>
      </c>
      <c r="BF1629" s="295">
        <v>1520.2270000000003</v>
      </c>
      <c r="BG1629" s="295">
        <v>420.58500000000026</v>
      </c>
      <c r="BH1629" s="295">
        <v>382.65500000000037</v>
      </c>
      <c r="BI1629" s="399">
        <v>1511.7630000000004</v>
      </c>
      <c r="BJ1629" s="295">
        <v>123.68800000000033</v>
      </c>
      <c r="BK1629" s="295">
        <v>130.53918006531674</v>
      </c>
      <c r="BL1629" s="295">
        <v>162.56070574047754</v>
      </c>
      <c r="BM1629" s="295">
        <v>194.65349697718159</v>
      </c>
      <c r="BN1629" s="397">
        <v>123.68800000000033</v>
      </c>
      <c r="BO1629" s="295">
        <v>192.51983822717432</v>
      </c>
      <c r="BP1629" s="295">
        <v>174.02528128427048</v>
      </c>
      <c r="BQ1629" s="295">
        <v>234.77337098685587</v>
      </c>
      <c r="BR1629" s="295">
        <v>288.52348102974031</v>
      </c>
      <c r="BS1629" s="397">
        <v>192.51983822717432</v>
      </c>
      <c r="BT1629" s="397">
        <v>324.46160193626417</v>
      </c>
      <c r="BU1629" s="397">
        <v>545.57811619447216</v>
      </c>
      <c r="BV1629" s="397">
        <v>842.92374863566226</v>
      </c>
      <c r="BW1629" s="197"/>
    </row>
    <row r="1630" spans="1:75" s="198" customFormat="1" ht="14.25" x14ac:dyDescent="0.45">
      <c r="A1630" s="206" t="s">
        <v>1429</v>
      </c>
      <c r="B1630" s="522"/>
      <c r="C1630" s="397"/>
      <c r="D1630" s="397">
        <v>13.36400000000001</v>
      </c>
      <c r="E1630" s="397">
        <v>8.5120000000000395</v>
      </c>
      <c r="F1630" s="397">
        <v>8.354000000000056</v>
      </c>
      <c r="G1630" s="295">
        <v>9.669000000000052</v>
      </c>
      <c r="H1630" s="295">
        <v>15.012000000000025</v>
      </c>
      <c r="I1630" s="295">
        <v>8.1970000000001999</v>
      </c>
      <c r="J1630" s="295">
        <v>13.389000000000067</v>
      </c>
      <c r="K1630" s="397">
        <v>13.389000000000042</v>
      </c>
      <c r="L1630" s="295">
        <v>10.942000000000069</v>
      </c>
      <c r="M1630" s="295">
        <v>181.49300000000011</v>
      </c>
      <c r="N1630" s="295">
        <v>157.12700000000012</v>
      </c>
      <c r="O1630" s="295">
        <v>148.93400000000011</v>
      </c>
      <c r="P1630" s="397">
        <v>148.93400000000014</v>
      </c>
      <c r="Q1630" s="295">
        <v>103.76700000000014</v>
      </c>
      <c r="R1630" s="295">
        <v>304.94800000000015</v>
      </c>
      <c r="S1630" s="295">
        <v>226.97900000000016</v>
      </c>
      <c r="T1630" s="295">
        <v>349.89700000000022</v>
      </c>
      <c r="U1630" s="397">
        <v>349.89700000000016</v>
      </c>
      <c r="V1630" s="295">
        <v>237.15600000000018</v>
      </c>
      <c r="W1630" s="295">
        <v>37.677000000000191</v>
      </c>
      <c r="X1630" s="295">
        <v>55.426000000000172</v>
      </c>
      <c r="Y1630" s="295">
        <v>87.022999999999939</v>
      </c>
      <c r="Z1630" s="397">
        <v>87.022999999999939</v>
      </c>
      <c r="AA1630" s="295">
        <v>80.149999999999935</v>
      </c>
      <c r="AB1630" s="295">
        <v>21.636999999999851</v>
      </c>
      <c r="AC1630" s="295">
        <v>22.161999999999857</v>
      </c>
      <c r="AD1630" s="295">
        <v>17.906999999999798</v>
      </c>
      <c r="AE1630" s="397">
        <v>17.906999999999798</v>
      </c>
      <c r="AF1630" s="295">
        <v>22.678999999999988</v>
      </c>
      <c r="AG1630" s="295">
        <v>24.944000000000006</v>
      </c>
      <c r="AH1630" s="295">
        <v>8.7480000000000011</v>
      </c>
      <c r="AI1630" s="295">
        <v>5.8030000000000861</v>
      </c>
      <c r="AJ1630" s="397">
        <v>5.8030000000000861</v>
      </c>
      <c r="AK1630" s="295">
        <v>102.55000000000004</v>
      </c>
      <c r="AL1630" s="295">
        <v>11.555000000000035</v>
      </c>
      <c r="AM1630" s="295">
        <v>38.253000000000043</v>
      </c>
      <c r="AN1630" s="295">
        <v>47.658000000000087</v>
      </c>
      <c r="AO1630" s="397">
        <v>47.658000000000087</v>
      </c>
      <c r="AP1630" s="295">
        <v>17.20800000000008</v>
      </c>
      <c r="AQ1630" s="295">
        <v>17.387000000000054</v>
      </c>
      <c r="AR1630" s="295">
        <v>96.784000000000148</v>
      </c>
      <c r="AS1630" s="295">
        <v>107.07100000000023</v>
      </c>
      <c r="AT1630" s="397">
        <v>107.07100000000023</v>
      </c>
      <c r="AU1630" s="295">
        <v>235.52700000000027</v>
      </c>
      <c r="AV1630" s="295">
        <v>296.8360000000003</v>
      </c>
      <c r="AW1630" s="295">
        <v>2203.7110000000002</v>
      </c>
      <c r="AX1630" s="295">
        <v>2181.8640000000005</v>
      </c>
      <c r="AY1630" s="397">
        <v>2181.8640000000005</v>
      </c>
      <c r="AZ1630" s="295">
        <v>2244.7050000000004</v>
      </c>
      <c r="BA1630" s="295">
        <v>2085.7060000000001</v>
      </c>
      <c r="BB1630" s="295">
        <v>2154.348</v>
      </c>
      <c r="BC1630" s="295">
        <v>1511.7629999999999</v>
      </c>
      <c r="BD1630" s="397">
        <v>1511.7630000000004</v>
      </c>
      <c r="BE1630" s="295">
        <v>1520.2270000000003</v>
      </c>
      <c r="BF1630" s="295">
        <v>420.58500000000026</v>
      </c>
      <c r="BG1630" s="295">
        <v>382.65500000000037</v>
      </c>
      <c r="BH1630" s="295">
        <v>123.68800000000039</v>
      </c>
      <c r="BI1630" s="399">
        <v>123.68800000000033</v>
      </c>
      <c r="BJ1630" s="295">
        <v>130.53918006531674</v>
      </c>
      <c r="BK1630" s="295">
        <v>162.56070574047754</v>
      </c>
      <c r="BL1630" s="295">
        <v>194.65349697718159</v>
      </c>
      <c r="BM1630" s="295">
        <v>192.51983822717429</v>
      </c>
      <c r="BN1630" s="397">
        <v>192.51983822717432</v>
      </c>
      <c r="BO1630" s="295">
        <v>174.02528128427048</v>
      </c>
      <c r="BP1630" s="295">
        <v>234.77337098685587</v>
      </c>
      <c r="BQ1630" s="295">
        <v>288.52348102974031</v>
      </c>
      <c r="BR1630" s="295">
        <v>324.46160193626417</v>
      </c>
      <c r="BS1630" s="397">
        <v>324.46160193626417</v>
      </c>
      <c r="BT1630" s="397">
        <v>545.57811619447216</v>
      </c>
      <c r="BU1630" s="397">
        <v>842.92374863566226</v>
      </c>
      <c r="BV1630" s="397">
        <v>1225.7520653103961</v>
      </c>
      <c r="BW1630" s="197"/>
    </row>
    <row r="1631" spans="1:75" s="198" customFormat="1" ht="14.25" x14ac:dyDescent="0.45">
      <c r="A1631" s="206"/>
      <c r="B1631" s="522"/>
      <c r="C1631" s="397"/>
      <c r="D1631" s="397"/>
      <c r="E1631" s="397"/>
      <c r="F1631" s="397"/>
      <c r="G1631" s="295"/>
      <c r="H1631" s="295"/>
      <c r="I1631" s="295"/>
      <c r="J1631" s="295"/>
      <c r="K1631" s="397"/>
      <c r="L1631" s="295"/>
      <c r="M1631" s="295"/>
      <c r="N1631" s="295"/>
      <c r="O1631" s="295"/>
      <c r="P1631" s="397"/>
      <c r="Q1631" s="295"/>
      <c r="R1631" s="295"/>
      <c r="S1631" s="295"/>
      <c r="T1631" s="295"/>
      <c r="U1631" s="397"/>
      <c r="V1631" s="295"/>
      <c r="W1631" s="295"/>
      <c r="X1631" s="295"/>
      <c r="Y1631" s="295"/>
      <c r="Z1631" s="397"/>
      <c r="AA1631" s="295"/>
      <c r="AB1631" s="295"/>
      <c r="AC1631" s="295"/>
      <c r="AD1631" s="295"/>
      <c r="AE1631" s="397"/>
      <c r="AF1631" s="295"/>
      <c r="AG1631" s="295"/>
      <c r="AH1631" s="295"/>
      <c r="AI1631" s="295"/>
      <c r="AJ1631" s="397"/>
      <c r="AK1631" s="295"/>
      <c r="AL1631" s="295"/>
      <c r="AM1631" s="295"/>
      <c r="AN1631" s="295"/>
      <c r="AO1631" s="397"/>
      <c r="AP1631" s="295"/>
      <c r="AQ1631" s="295"/>
      <c r="AR1631" s="295"/>
      <c r="AS1631" s="295"/>
      <c r="AT1631" s="397"/>
      <c r="AU1631" s="295"/>
      <c r="AV1631" s="295"/>
      <c r="AW1631" s="295"/>
      <c r="AX1631" s="295"/>
      <c r="AY1631" s="397"/>
      <c r="AZ1631" s="295"/>
      <c r="BA1631" s="295"/>
      <c r="BB1631" s="295"/>
      <c r="BC1631" s="295"/>
      <c r="BD1631" s="397"/>
      <c r="BE1631" s="295"/>
      <c r="BF1631" s="295"/>
      <c r="BG1631" s="295"/>
      <c r="BH1631" s="295"/>
      <c r="BI1631" s="399"/>
      <c r="BJ1631" s="295"/>
      <c r="BK1631" s="295"/>
      <c r="BL1631" s="295"/>
      <c r="BM1631" s="295"/>
      <c r="BN1631" s="397"/>
      <c r="BO1631" s="295"/>
      <c r="BP1631" s="295"/>
      <c r="BQ1631" s="295"/>
      <c r="BR1631" s="295"/>
      <c r="BS1631" s="397"/>
      <c r="BT1631" s="397"/>
      <c r="BU1631" s="397"/>
      <c r="BV1631" s="397"/>
      <c r="BW1631" s="197"/>
    </row>
    <row r="1632" spans="1:75" s="123" customFormat="1" x14ac:dyDescent="0.5">
      <c r="A1632" s="945" t="s">
        <v>1430</v>
      </c>
      <c r="B1632" s="513"/>
      <c r="C1632" s="401"/>
      <c r="D1632" s="401">
        <v>2.0680000000000001</v>
      </c>
      <c r="E1632" s="401">
        <v>3.7370000000000001</v>
      </c>
      <c r="F1632" s="401">
        <v>5.3819999999999997</v>
      </c>
      <c r="G1632" s="119"/>
      <c r="H1632" s="119"/>
      <c r="I1632" s="119"/>
      <c r="J1632" s="119"/>
      <c r="K1632" s="401">
        <v>5.0380000000000003</v>
      </c>
      <c r="L1632" s="119"/>
      <c r="M1632" s="119"/>
      <c r="N1632" s="119"/>
      <c r="O1632" s="119"/>
      <c r="P1632" s="401">
        <v>8.6110000000000007</v>
      </c>
      <c r="Q1632" s="119"/>
      <c r="R1632" s="119"/>
      <c r="S1632" s="119"/>
      <c r="T1632" s="119"/>
      <c r="U1632" s="401">
        <v>13.369</v>
      </c>
      <c r="V1632" s="119"/>
      <c r="W1632" s="119"/>
      <c r="X1632" s="119"/>
      <c r="Y1632" s="119"/>
      <c r="Z1632" s="401">
        <v>16.614999999999998</v>
      </c>
      <c r="AA1632" s="119"/>
      <c r="AB1632" s="119"/>
      <c r="AC1632" s="119"/>
      <c r="AD1632" s="119"/>
      <c r="AE1632" s="401">
        <v>28.18</v>
      </c>
      <c r="AF1632" s="119"/>
      <c r="AG1632" s="119"/>
      <c r="AH1632" s="119"/>
      <c r="AI1632" s="119"/>
      <c r="AJ1632" s="401">
        <v>31.154</v>
      </c>
      <c r="AK1632" s="119"/>
      <c r="AL1632" s="119"/>
      <c r="AM1632" s="119"/>
      <c r="AN1632" s="119"/>
      <c r="AO1632" s="401">
        <v>43.277999999999999</v>
      </c>
      <c r="AP1632" s="119"/>
      <c r="AQ1632" s="119"/>
      <c r="AR1632" s="119"/>
      <c r="AS1632" s="119"/>
      <c r="AT1632" s="401">
        <v>27.248999999999999</v>
      </c>
      <c r="AU1632" s="119"/>
      <c r="AV1632" s="119"/>
      <c r="AW1632" s="119"/>
      <c r="AX1632" s="119"/>
      <c r="AY1632" s="401">
        <v>39.466000000000001</v>
      </c>
      <c r="AZ1632" s="119"/>
      <c r="BA1632" s="119"/>
      <c r="BB1632" s="119"/>
      <c r="BC1632" s="119"/>
      <c r="BD1632" s="401">
        <v>133.821</v>
      </c>
      <c r="BE1632" s="119"/>
      <c r="BF1632" s="119"/>
      <c r="BG1632" s="119"/>
      <c r="BH1632" s="119"/>
      <c r="BI1632" s="402">
        <v>246.21</v>
      </c>
      <c r="BJ1632" s="118"/>
      <c r="BK1632" s="118"/>
      <c r="BL1632" s="118"/>
      <c r="BM1632" s="118"/>
      <c r="BN1632" s="401"/>
      <c r="BO1632" s="118"/>
      <c r="BP1632" s="118"/>
      <c r="BQ1632" s="118"/>
      <c r="BR1632" s="118"/>
      <c r="BS1632" s="401"/>
      <c r="BT1632" s="401"/>
      <c r="BU1632" s="401"/>
      <c r="BV1632" s="401"/>
      <c r="BW1632" s="122"/>
    </row>
    <row r="1633" spans="1:75" s="123" customFormat="1" x14ac:dyDescent="0.5">
      <c r="A1633" s="945" t="s">
        <v>1431</v>
      </c>
      <c r="B1633" s="513"/>
      <c r="C1633" s="401"/>
      <c r="D1633" s="401">
        <v>0.74399999999999999</v>
      </c>
      <c r="E1633" s="401">
        <v>1.6970000000000001</v>
      </c>
      <c r="F1633" s="401">
        <v>1.861</v>
      </c>
      <c r="G1633" s="119"/>
      <c r="H1633" s="119"/>
      <c r="I1633" s="119"/>
      <c r="J1633" s="119"/>
      <c r="K1633" s="401">
        <v>1.5209999999999999</v>
      </c>
      <c r="L1633" s="119"/>
      <c r="M1633" s="119"/>
      <c r="N1633" s="119"/>
      <c r="O1633" s="119"/>
      <c r="P1633" s="401">
        <v>60.121000000000002</v>
      </c>
      <c r="Q1633" s="119"/>
      <c r="R1633" s="119"/>
      <c r="S1633" s="119"/>
      <c r="T1633" s="119"/>
      <c r="U1633" s="401">
        <v>29.135000000000002</v>
      </c>
      <c r="V1633" s="119"/>
      <c r="W1633" s="119"/>
      <c r="X1633" s="119"/>
      <c r="Y1633" s="119"/>
      <c r="Z1633" s="401">
        <v>48.463999999999999</v>
      </c>
      <c r="AA1633" s="119"/>
      <c r="AB1633" s="119"/>
      <c r="AC1633" s="119"/>
      <c r="AD1633" s="119"/>
      <c r="AE1633" s="401">
        <v>4.0250000000000004</v>
      </c>
      <c r="AF1633" s="119"/>
      <c r="AG1633" s="119"/>
      <c r="AH1633" s="119"/>
      <c r="AI1633" s="119"/>
      <c r="AJ1633" s="401">
        <v>41.289000000000001</v>
      </c>
      <c r="AK1633" s="119"/>
      <c r="AL1633" s="119"/>
      <c r="AM1633" s="119"/>
      <c r="AN1633" s="119"/>
      <c r="AO1633" s="401">
        <v>40.125999999999998</v>
      </c>
      <c r="AP1633" s="119"/>
      <c r="AQ1633" s="119"/>
      <c r="AR1633" s="119"/>
      <c r="AS1633" s="119"/>
      <c r="AT1633" s="401">
        <v>74.218999999999994</v>
      </c>
      <c r="AU1633" s="119"/>
      <c r="AV1633" s="119"/>
      <c r="AW1633" s="119"/>
      <c r="AX1633" s="119"/>
      <c r="AY1633" s="401">
        <v>158.91</v>
      </c>
      <c r="AZ1633" s="119"/>
      <c r="BA1633" s="119"/>
      <c r="BB1633" s="119"/>
      <c r="BC1633" s="119"/>
      <c r="BD1633" s="401">
        <v>41.354999999999997</v>
      </c>
      <c r="BE1633" s="119"/>
      <c r="BF1633" s="119"/>
      <c r="BG1633" s="119"/>
      <c r="BH1633" s="119"/>
      <c r="BI1633" s="402">
        <v>14.278</v>
      </c>
      <c r="BJ1633" s="118"/>
      <c r="BK1633" s="118"/>
      <c r="BL1633" s="118"/>
      <c r="BM1633" s="118"/>
      <c r="BN1633" s="401"/>
      <c r="BO1633" s="118"/>
      <c r="BP1633" s="118"/>
      <c r="BQ1633" s="118"/>
      <c r="BR1633" s="118"/>
      <c r="BS1633" s="401"/>
      <c r="BT1633" s="401"/>
      <c r="BU1633" s="401"/>
      <c r="BV1633" s="401"/>
      <c r="BW1633" s="122"/>
    </row>
    <row r="1634" spans="1:75" s="198" customFormat="1" ht="14.25" x14ac:dyDescent="0.45">
      <c r="A1634" s="206"/>
      <c r="B1634" s="522"/>
      <c r="C1634" s="397"/>
      <c r="D1634" s="397"/>
      <c r="E1634" s="397"/>
      <c r="F1634" s="397"/>
      <c r="G1634" s="295"/>
      <c r="H1634" s="295"/>
      <c r="I1634" s="295"/>
      <c r="J1634" s="295"/>
      <c r="K1634" s="397"/>
      <c r="L1634" s="295"/>
      <c r="M1634" s="295"/>
      <c r="N1634" s="295"/>
      <c r="O1634" s="295"/>
      <c r="P1634" s="397"/>
      <c r="Q1634" s="295"/>
      <c r="R1634" s="295"/>
      <c r="S1634" s="295"/>
      <c r="T1634" s="295"/>
      <c r="U1634" s="397"/>
      <c r="V1634" s="295"/>
      <c r="W1634" s="295"/>
      <c r="X1634" s="295"/>
      <c r="Y1634" s="295"/>
      <c r="Z1634" s="397"/>
      <c r="AA1634" s="295"/>
      <c r="AB1634" s="295"/>
      <c r="AC1634" s="295"/>
      <c r="AD1634" s="295"/>
      <c r="AE1634" s="397"/>
      <c r="AF1634" s="295"/>
      <c r="AG1634" s="295"/>
      <c r="AH1634" s="295"/>
      <c r="AI1634" s="295"/>
      <c r="AJ1634" s="397"/>
      <c r="AK1634" s="295"/>
      <c r="AL1634" s="295"/>
      <c r="AM1634" s="295"/>
      <c r="AN1634" s="295"/>
      <c r="AO1634" s="397"/>
      <c r="AP1634" s="295"/>
      <c r="AQ1634" s="295"/>
      <c r="AR1634" s="295"/>
      <c r="AS1634" s="295"/>
      <c r="AT1634" s="397"/>
      <c r="AU1634" s="295"/>
      <c r="AV1634" s="295"/>
      <c r="AW1634" s="295"/>
      <c r="AX1634" s="295"/>
      <c r="AY1634" s="397"/>
      <c r="AZ1634" s="295"/>
      <c r="BA1634" s="295"/>
      <c r="BB1634" s="295"/>
      <c r="BC1634" s="295"/>
      <c r="BD1634" s="397"/>
      <c r="BE1634" s="295"/>
      <c r="BF1634" s="295"/>
      <c r="BG1634" s="295"/>
      <c r="BH1634" s="295"/>
      <c r="BI1634" s="399"/>
      <c r="BJ1634" s="295"/>
      <c r="BK1634" s="295"/>
      <c r="BL1634" s="295"/>
      <c r="BM1634" s="295"/>
      <c r="BN1634" s="397"/>
      <c r="BO1634" s="295"/>
      <c r="BP1634" s="295"/>
      <c r="BQ1634" s="295"/>
      <c r="BR1634" s="295"/>
      <c r="BS1634" s="397"/>
      <c r="BT1634" s="397"/>
      <c r="BU1634" s="397"/>
      <c r="BV1634" s="397"/>
      <c r="BW1634" s="197"/>
    </row>
    <row r="1635" spans="1:75" s="123" customFormat="1" x14ac:dyDescent="0.5">
      <c r="A1635" s="685" t="s">
        <v>1433</v>
      </c>
      <c r="B1635" s="685"/>
      <c r="C1635" s="686"/>
      <c r="D1635" s="686">
        <v>0</v>
      </c>
      <c r="E1635" s="686">
        <v>0</v>
      </c>
      <c r="F1635" s="686">
        <v>0</v>
      </c>
      <c r="G1635" s="686">
        <v>0</v>
      </c>
      <c r="H1635" s="686">
        <v>0</v>
      </c>
      <c r="I1635" s="686">
        <v>0</v>
      </c>
      <c r="J1635" s="686">
        <v>0</v>
      </c>
      <c r="K1635" s="686">
        <v>0</v>
      </c>
      <c r="L1635" s="686">
        <v>0</v>
      </c>
      <c r="M1635" s="686">
        <v>0</v>
      </c>
      <c r="N1635" s="686">
        <v>0</v>
      </c>
      <c r="O1635" s="686">
        <v>0</v>
      </c>
      <c r="P1635" s="686">
        <v>0</v>
      </c>
      <c r="Q1635" s="686">
        <v>0</v>
      </c>
      <c r="R1635" s="686">
        <v>0</v>
      </c>
      <c r="S1635" s="686">
        <v>0</v>
      </c>
      <c r="T1635" s="686">
        <v>0</v>
      </c>
      <c r="U1635" s="686">
        <v>0</v>
      </c>
      <c r="V1635" s="686">
        <v>0</v>
      </c>
      <c r="W1635" s="686">
        <v>0</v>
      </c>
      <c r="X1635" s="686">
        <v>0</v>
      </c>
      <c r="Y1635" s="686">
        <v>0</v>
      </c>
      <c r="Z1635" s="686">
        <v>0</v>
      </c>
      <c r="AA1635" s="686">
        <v>0</v>
      </c>
      <c r="AB1635" s="686">
        <v>0</v>
      </c>
      <c r="AC1635" s="686">
        <v>0</v>
      </c>
      <c r="AD1635" s="686">
        <v>0</v>
      </c>
      <c r="AE1635" s="686">
        <v>0</v>
      </c>
      <c r="AF1635" s="686">
        <v>0</v>
      </c>
      <c r="AG1635" s="686">
        <v>0</v>
      </c>
      <c r="AH1635" s="686">
        <v>0</v>
      </c>
      <c r="AI1635" s="686">
        <v>0</v>
      </c>
      <c r="AJ1635" s="686">
        <v>0</v>
      </c>
      <c r="AK1635" s="686">
        <v>0</v>
      </c>
      <c r="AL1635" s="686">
        <v>0</v>
      </c>
      <c r="AM1635" s="686">
        <v>0</v>
      </c>
      <c r="AN1635" s="686">
        <v>0</v>
      </c>
      <c r="AO1635" s="686">
        <v>0</v>
      </c>
      <c r="AP1635" s="686">
        <v>0</v>
      </c>
      <c r="AQ1635" s="686">
        <v>0</v>
      </c>
      <c r="AR1635" s="686">
        <v>0</v>
      </c>
      <c r="AS1635" s="686">
        <v>0</v>
      </c>
      <c r="AT1635" s="686">
        <v>0</v>
      </c>
      <c r="AU1635" s="686">
        <v>0</v>
      </c>
      <c r="AV1635" s="686">
        <v>0</v>
      </c>
      <c r="AW1635" s="686">
        <v>0</v>
      </c>
      <c r="AX1635" s="686">
        <v>0</v>
      </c>
      <c r="AY1635" s="686">
        <v>0</v>
      </c>
      <c r="AZ1635" s="686">
        <v>0</v>
      </c>
      <c r="BA1635" s="686">
        <v>0</v>
      </c>
      <c r="BB1635" s="686">
        <v>0</v>
      </c>
      <c r="BC1635" s="686">
        <v>0</v>
      </c>
      <c r="BD1635" s="686">
        <v>0</v>
      </c>
      <c r="BE1635" s="686">
        <v>0</v>
      </c>
      <c r="BF1635" s="686">
        <v>0</v>
      </c>
      <c r="BG1635" s="686">
        <v>0</v>
      </c>
      <c r="BH1635" s="686">
        <v>0</v>
      </c>
      <c r="BI1635" s="687">
        <v>0</v>
      </c>
      <c r="BJ1635" s="686">
        <v>0</v>
      </c>
      <c r="BK1635" s="686">
        <v>0</v>
      </c>
      <c r="BL1635" s="686">
        <v>0</v>
      </c>
      <c r="BM1635" s="686">
        <v>0</v>
      </c>
      <c r="BN1635" s="686">
        <v>0</v>
      </c>
      <c r="BO1635" s="686">
        <v>0</v>
      </c>
      <c r="BP1635" s="686">
        <v>0</v>
      </c>
      <c r="BQ1635" s="686">
        <v>0</v>
      </c>
      <c r="BR1635" s="686">
        <v>0</v>
      </c>
      <c r="BS1635" s="686">
        <v>0</v>
      </c>
      <c r="BT1635" s="686">
        <v>0</v>
      </c>
      <c r="BU1635" s="686">
        <v>0</v>
      </c>
      <c r="BV1635" s="686">
        <v>0</v>
      </c>
      <c r="BW1635" s="122"/>
    </row>
    <row r="1636" spans="1:75" s="198" customFormat="1" ht="14.25" x14ac:dyDescent="0.45">
      <c r="A1636" s="206"/>
      <c r="B1636" s="522"/>
      <c r="C1636" s="397"/>
      <c r="D1636" s="397"/>
      <c r="E1636" s="397"/>
      <c r="F1636" s="397"/>
      <c r="G1636" s="295"/>
      <c r="H1636" s="295"/>
      <c r="I1636" s="295"/>
      <c r="J1636" s="295"/>
      <c r="K1636" s="397"/>
      <c r="L1636" s="295"/>
      <c r="M1636" s="295"/>
      <c r="N1636" s="295"/>
      <c r="O1636" s="295"/>
      <c r="P1636" s="397"/>
      <c r="Q1636" s="295"/>
      <c r="R1636" s="295"/>
      <c r="S1636" s="295"/>
      <c r="T1636" s="295"/>
      <c r="U1636" s="397"/>
      <c r="V1636" s="295"/>
      <c r="W1636" s="295"/>
      <c r="X1636" s="295"/>
      <c r="Y1636" s="295"/>
      <c r="Z1636" s="397"/>
      <c r="AA1636" s="295"/>
      <c r="AB1636" s="295"/>
      <c r="AC1636" s="295"/>
      <c r="AD1636" s="295"/>
      <c r="AE1636" s="397"/>
      <c r="AF1636" s="295"/>
      <c r="AG1636" s="295"/>
      <c r="AH1636" s="295"/>
      <c r="AI1636" s="295"/>
      <c r="AJ1636" s="397"/>
      <c r="AK1636" s="295"/>
      <c r="AL1636" s="295"/>
      <c r="AM1636" s="295"/>
      <c r="AN1636" s="295"/>
      <c r="AO1636" s="397"/>
      <c r="AP1636" s="295"/>
      <c r="AQ1636" s="295"/>
      <c r="AR1636" s="295"/>
      <c r="AS1636" s="295"/>
      <c r="AT1636" s="397"/>
      <c r="AU1636" s="295"/>
      <c r="AV1636" s="295"/>
      <c r="AW1636" s="295"/>
      <c r="AX1636" s="295"/>
      <c r="AY1636" s="397"/>
      <c r="AZ1636" s="295"/>
      <c r="BA1636" s="295"/>
      <c r="BB1636" s="295"/>
      <c r="BC1636" s="295"/>
      <c r="BD1636" s="397"/>
      <c r="BE1636" s="295"/>
      <c r="BF1636" s="295"/>
      <c r="BG1636" s="295"/>
      <c r="BH1636" s="295"/>
      <c r="BI1636" s="399"/>
      <c r="BJ1636" s="295"/>
      <c r="BK1636" s="295"/>
      <c r="BL1636" s="295"/>
      <c r="BM1636" s="295"/>
      <c r="BN1636" s="397"/>
      <c r="BO1636" s="295"/>
      <c r="BP1636" s="295"/>
      <c r="BQ1636" s="295"/>
      <c r="BR1636" s="295"/>
      <c r="BS1636" s="397"/>
      <c r="BT1636" s="397"/>
      <c r="BU1636" s="397"/>
      <c r="BV1636" s="397"/>
      <c r="BW1636" s="197"/>
    </row>
    <row r="1637" spans="1:75" s="198" customFormat="1" ht="14.25" x14ac:dyDescent="0.45">
      <c r="A1637" s="482" t="s">
        <v>1434</v>
      </c>
      <c r="B1637" s="946"/>
      <c r="C1637" s="239"/>
      <c r="D1637" s="239"/>
      <c r="E1637" s="239"/>
      <c r="F1637" s="239"/>
      <c r="G1637" s="239"/>
      <c r="H1637" s="239"/>
      <c r="I1637" s="239"/>
      <c r="J1637" s="239"/>
      <c r="K1637" s="239"/>
      <c r="L1637" s="239"/>
      <c r="M1637" s="239"/>
      <c r="N1637" s="239"/>
      <c r="O1637" s="239"/>
      <c r="P1637" s="239"/>
      <c r="Q1637" s="239"/>
      <c r="R1637" s="239"/>
      <c r="S1637" s="239"/>
      <c r="T1637" s="239"/>
      <c r="U1637" s="239"/>
      <c r="V1637" s="239"/>
      <c r="W1637" s="239"/>
      <c r="X1637" s="239"/>
      <c r="Y1637" s="239"/>
      <c r="Z1637" s="239"/>
      <c r="AA1637" s="239"/>
      <c r="AB1637" s="239"/>
      <c r="AC1637" s="239"/>
      <c r="AD1637" s="239"/>
      <c r="AE1637" s="239"/>
      <c r="AF1637" s="239"/>
      <c r="AG1637" s="239"/>
      <c r="AH1637" s="239"/>
      <c r="AI1637" s="239"/>
      <c r="AJ1637" s="239"/>
      <c r="AK1637" s="239"/>
      <c r="AL1637" s="239"/>
      <c r="AM1637" s="239"/>
      <c r="AN1637" s="239"/>
      <c r="AO1637" s="239"/>
      <c r="AP1637" s="239"/>
      <c r="AQ1637" s="239"/>
      <c r="AR1637" s="239"/>
      <c r="AS1637" s="239"/>
      <c r="AT1637" s="239"/>
      <c r="AU1637" s="239"/>
      <c r="AV1637" s="239"/>
      <c r="AW1637" s="239"/>
      <c r="AX1637" s="239"/>
      <c r="AY1637" s="239"/>
      <c r="AZ1637" s="239"/>
      <c r="BA1637" s="239"/>
      <c r="BB1637" s="239"/>
      <c r="BC1637" s="239"/>
      <c r="BD1637" s="239"/>
      <c r="BE1637" s="239"/>
      <c r="BF1637" s="239"/>
      <c r="BG1637" s="239"/>
      <c r="BH1637" s="239"/>
      <c r="BI1637" s="241"/>
      <c r="BJ1637" s="239"/>
      <c r="BK1637" s="239"/>
      <c r="BL1637" s="239"/>
      <c r="BM1637" s="239"/>
      <c r="BN1637" s="239"/>
      <c r="BO1637" s="239"/>
      <c r="BP1637" s="239"/>
      <c r="BQ1637" s="239"/>
      <c r="BR1637" s="239"/>
      <c r="BS1637" s="239"/>
      <c r="BT1637" s="239"/>
      <c r="BU1637" s="239"/>
      <c r="BV1637" s="239"/>
      <c r="BW1637" s="197"/>
    </row>
    <row r="1638" spans="1:75" s="198" customFormat="1" ht="14.25" hidden="1" outlineLevel="1" x14ac:dyDescent="0.45">
      <c r="A1638" s="206" t="s">
        <v>1435</v>
      </c>
      <c r="B1638" s="522"/>
      <c r="C1638" s="397">
        <v>625.68499999999995</v>
      </c>
      <c r="D1638" s="397">
        <v>772.75199999999995</v>
      </c>
      <c r="E1638" s="397">
        <v>958.08400000000006</v>
      </c>
      <c r="F1638" s="397">
        <v>1193.046</v>
      </c>
      <c r="G1638" s="295"/>
      <c r="H1638" s="295"/>
      <c r="I1638" s="295"/>
      <c r="J1638" s="295"/>
      <c r="K1638" s="397">
        <v>1550.9609999999998</v>
      </c>
      <c r="L1638" s="295">
        <v>1615.8780000000002</v>
      </c>
      <c r="M1638" s="295">
        <v>1667.5459999999998</v>
      </c>
      <c r="N1638" s="295">
        <v>1756.3890000000001</v>
      </c>
      <c r="O1638" s="295">
        <v>1867.422</v>
      </c>
      <c r="P1638" s="397">
        <v>1867.422</v>
      </c>
      <c r="Q1638" s="295">
        <v>1923.6130000000001</v>
      </c>
      <c r="R1638" s="295">
        <v>1996.789</v>
      </c>
      <c r="S1638" s="295">
        <v>2044.5250000000001</v>
      </c>
      <c r="T1638" s="295">
        <v>2109.0060000000003</v>
      </c>
      <c r="U1638" s="397">
        <v>2109.0059999999999</v>
      </c>
      <c r="V1638" s="295">
        <v>2142.0170000000003</v>
      </c>
      <c r="W1638" s="295">
        <v>2178.4560000000001</v>
      </c>
      <c r="X1638" s="295">
        <v>2195.373</v>
      </c>
      <c r="Y1638" s="295">
        <v>2134.8710000000001</v>
      </c>
      <c r="Z1638" s="397">
        <v>2134.8710000000001</v>
      </c>
      <c r="AA1638" s="295">
        <v>2241.4949999999999</v>
      </c>
      <c r="AB1638" s="295">
        <v>2313.44</v>
      </c>
      <c r="AC1638" s="295">
        <v>2356.585</v>
      </c>
      <c r="AD1638" s="295">
        <v>2440.174</v>
      </c>
      <c r="AE1638" s="397">
        <v>2440.174</v>
      </c>
      <c r="AF1638" s="295">
        <v>2435.5</v>
      </c>
      <c r="AG1638" s="295">
        <v>2460.9719999999998</v>
      </c>
      <c r="AH1638" s="295">
        <v>2505.0569999999998</v>
      </c>
      <c r="AI1638" s="295">
        <v>2505.6529999999998</v>
      </c>
      <c r="AJ1638" s="397">
        <v>2505.6529999999998</v>
      </c>
      <c r="AK1638" s="295">
        <v>2546.6679999999997</v>
      </c>
      <c r="AL1638" s="295">
        <v>2612.384</v>
      </c>
      <c r="AM1638" s="295">
        <v>2653.3519999999999</v>
      </c>
      <c r="AN1638" s="295">
        <v>2647.4369999999999</v>
      </c>
      <c r="AO1638" s="397">
        <v>2647.4369999999999</v>
      </c>
      <c r="AP1638" s="295">
        <v>2531.9110000000001</v>
      </c>
      <c r="AQ1638" s="295">
        <v>2534.6790000000001</v>
      </c>
      <c r="AR1638" s="295">
        <v>2701.1660000000002</v>
      </c>
      <c r="AS1638" s="295">
        <v>2848.6260000000002</v>
      </c>
      <c r="AT1638" s="397">
        <v>2848.6260000000002</v>
      </c>
      <c r="AU1638" s="295">
        <v>3226.5230000000001</v>
      </c>
      <c r="AV1638" s="295">
        <v>3506.1000000000004</v>
      </c>
      <c r="AW1638" s="295">
        <v>3668.5150000000003</v>
      </c>
      <c r="AX1638" s="295">
        <v>3758.8199999999997</v>
      </c>
      <c r="AY1638" s="397">
        <v>3758.82</v>
      </c>
      <c r="AZ1638" s="295">
        <v>3855.3199999999997</v>
      </c>
      <c r="BA1638" s="295">
        <v>3858.0810000000001</v>
      </c>
      <c r="BB1638" s="295">
        <v>3720.7190000000001</v>
      </c>
      <c r="BC1638" s="295">
        <v>3590.4769999999999</v>
      </c>
      <c r="BD1638" s="397">
        <v>3590.4769999999999</v>
      </c>
      <c r="BE1638" s="295">
        <v>3372.3469999999998</v>
      </c>
      <c r="BF1638" s="295">
        <v>3181.2060000000001</v>
      </c>
      <c r="BG1638" s="295">
        <v>3063.3649999999998</v>
      </c>
      <c r="BH1638" s="295">
        <v>3029.1260000000002</v>
      </c>
      <c r="BI1638" s="399">
        <v>3029.1260000000002</v>
      </c>
      <c r="BJ1638" s="295">
        <v>3014.2706693703049</v>
      </c>
      <c r="BK1638" s="295">
        <v>3057.6618430368985</v>
      </c>
      <c r="BL1638" s="295">
        <v>3164.4953230093565</v>
      </c>
      <c r="BM1638" s="295">
        <v>3243.3809652452514</v>
      </c>
      <c r="BN1638" s="397">
        <v>3243.3809652452514</v>
      </c>
      <c r="BO1638" s="295">
        <v>3373.7840882754872</v>
      </c>
      <c r="BP1638" s="295">
        <v>3500.7630332937815</v>
      </c>
      <c r="BQ1638" s="295">
        <v>3625.4798815395138</v>
      </c>
      <c r="BR1638" s="295">
        <v>3705.1648969147773</v>
      </c>
      <c r="BS1638" s="397">
        <v>3705.1648969147768</v>
      </c>
      <c r="BT1638" s="397">
        <v>3918.4563951545861</v>
      </c>
      <c r="BU1638" s="397">
        <v>4044.0914538325114</v>
      </c>
      <c r="BV1638" s="397">
        <v>4129.9485146933448</v>
      </c>
      <c r="BW1638" s="197"/>
    </row>
    <row r="1639" spans="1:75" s="198" customFormat="1" ht="14.25" hidden="1" outlineLevel="1" x14ac:dyDescent="0.45">
      <c r="A1639" s="206" t="s">
        <v>1436</v>
      </c>
      <c r="B1639" s="522"/>
      <c r="C1639" s="397">
        <v>412.62900000000002</v>
      </c>
      <c r="D1639" s="397">
        <v>501.13200000000001</v>
      </c>
      <c r="E1639" s="397">
        <v>601.73500000000001</v>
      </c>
      <c r="F1639" s="397">
        <v>756.59699999999998</v>
      </c>
      <c r="G1639" s="295"/>
      <c r="H1639" s="295"/>
      <c r="I1639" s="295"/>
      <c r="J1639" s="295"/>
      <c r="K1639" s="397">
        <v>994.08100000000002</v>
      </c>
      <c r="L1639" s="295">
        <v>1036.5260000000001</v>
      </c>
      <c r="M1639" s="295">
        <v>1059.511</v>
      </c>
      <c r="N1639" s="295">
        <v>1108.7809999999999</v>
      </c>
      <c r="O1639" s="295">
        <v>1176.6479999999999</v>
      </c>
      <c r="P1639" s="397">
        <v>1176.6480000000001</v>
      </c>
      <c r="Q1639" s="295">
        <v>1213.77</v>
      </c>
      <c r="R1639" s="295">
        <v>1260.5920000000001</v>
      </c>
      <c r="S1639" s="295">
        <v>1297.951</v>
      </c>
      <c r="T1639" s="295">
        <v>1356.3140000000003</v>
      </c>
      <c r="U1639" s="397">
        <v>1356.3140000000001</v>
      </c>
      <c r="V1639" s="295">
        <v>1405.268</v>
      </c>
      <c r="W1639" s="295">
        <v>1456.1310000000001</v>
      </c>
      <c r="X1639" s="295">
        <v>1487.979</v>
      </c>
      <c r="Y1639" s="295">
        <v>1455.0840000000001</v>
      </c>
      <c r="Z1639" s="397">
        <v>1455.0840000000001</v>
      </c>
      <c r="AA1639" s="295">
        <v>1518.9270000000001</v>
      </c>
      <c r="AB1639" s="295">
        <v>1564.8980000000001</v>
      </c>
      <c r="AC1639" s="295">
        <v>1569.5370000000003</v>
      </c>
      <c r="AD1639" s="295">
        <v>1591.107</v>
      </c>
      <c r="AE1639" s="397">
        <v>1591.107</v>
      </c>
      <c r="AF1639" s="295">
        <v>1547.3559999999998</v>
      </c>
      <c r="AG1639" s="295">
        <v>1510.297</v>
      </c>
      <c r="AH1639" s="295">
        <v>1518.6859999999997</v>
      </c>
      <c r="AI1639" s="295">
        <v>1520.076</v>
      </c>
      <c r="AJ1639" s="397">
        <v>1520.076</v>
      </c>
      <c r="AK1639" s="295">
        <v>1537.61</v>
      </c>
      <c r="AL1639" s="295">
        <v>1576.712</v>
      </c>
      <c r="AM1639" s="295">
        <v>1583.5349999999999</v>
      </c>
      <c r="AN1639" s="295">
        <v>1552.4259999999997</v>
      </c>
      <c r="AO1639" s="397">
        <v>1552.4259999999999</v>
      </c>
      <c r="AP1639" s="295">
        <v>1470.06</v>
      </c>
      <c r="AQ1639" s="295">
        <v>1435.3669999999997</v>
      </c>
      <c r="AR1639" s="295">
        <v>1477.6899999999998</v>
      </c>
      <c r="AS1639" s="295">
        <v>1523.095</v>
      </c>
      <c r="AT1639" s="397">
        <v>1523.095</v>
      </c>
      <c r="AU1639" s="295">
        <v>1693.6690000000001</v>
      </c>
      <c r="AV1639" s="295">
        <v>1817.989</v>
      </c>
      <c r="AW1639" s="295">
        <v>1883.48</v>
      </c>
      <c r="AX1639" s="295">
        <v>1903.4090000000001</v>
      </c>
      <c r="AY1639" s="397">
        <v>1903.4090000000001</v>
      </c>
      <c r="AZ1639" s="295">
        <v>1908.3030000000001</v>
      </c>
      <c r="BA1639" s="295">
        <v>1875.5219999999999</v>
      </c>
      <c r="BB1639" s="295">
        <v>1822.6360000000002</v>
      </c>
      <c r="BC1639" s="295">
        <v>1778.4920000000002</v>
      </c>
      <c r="BD1639" s="397">
        <v>1778.492</v>
      </c>
      <c r="BE1639" s="295">
        <v>1711.4</v>
      </c>
      <c r="BF1639" s="295">
        <v>1663.404</v>
      </c>
      <c r="BG1639" s="295">
        <v>1625.8910000000001</v>
      </c>
      <c r="BH1639" s="295">
        <v>1640.107</v>
      </c>
      <c r="BI1639" s="399">
        <v>1640.107</v>
      </c>
      <c r="BJ1639" s="295">
        <v>1671.2720477159182</v>
      </c>
      <c r="BK1639" s="295">
        <v>1710.0196789575361</v>
      </c>
      <c r="BL1639" s="295">
        <v>1763.7267917465351</v>
      </c>
      <c r="BM1639" s="295">
        <v>1797.3095908353671</v>
      </c>
      <c r="BN1639" s="397">
        <v>1797.3095908353671</v>
      </c>
      <c r="BO1639" s="295">
        <v>1862.0269969258484</v>
      </c>
      <c r="BP1639" s="295">
        <v>1927.026040752625</v>
      </c>
      <c r="BQ1639" s="295">
        <v>1991.6338117628345</v>
      </c>
      <c r="BR1639" s="295">
        <v>2031.5202447519073</v>
      </c>
      <c r="BS1639" s="397">
        <v>2031.5202447519073</v>
      </c>
      <c r="BT1639" s="397">
        <v>2137.6880956393679</v>
      </c>
      <c r="BU1639" s="397">
        <v>2194.5698306654431</v>
      </c>
      <c r="BV1639" s="397">
        <v>2229.0364952063137</v>
      </c>
      <c r="BW1639" s="197"/>
    </row>
    <row r="1640" spans="1:75" s="198" customFormat="1" ht="14.25" hidden="1" outlineLevel="1" x14ac:dyDescent="0.45">
      <c r="A1640" s="206" t="s">
        <v>1437</v>
      </c>
      <c r="B1640" s="522"/>
      <c r="C1640" s="397"/>
      <c r="D1640" s="397">
        <v>20.361000000000001</v>
      </c>
      <c r="E1640" s="397">
        <v>52.57</v>
      </c>
      <c r="F1640" s="397">
        <v>77.028999999999996</v>
      </c>
      <c r="G1640" s="295">
        <v>121.33499999999999</v>
      </c>
      <c r="H1640" s="295">
        <v>96.126000000000005</v>
      </c>
      <c r="I1640" s="295">
        <v>88.180999999999997</v>
      </c>
      <c r="J1640" s="295">
        <v>103.15300000000001</v>
      </c>
      <c r="K1640" s="397">
        <v>103.15300000000001</v>
      </c>
      <c r="L1640" s="295">
        <v>126.872</v>
      </c>
      <c r="M1640" s="295">
        <v>127.801</v>
      </c>
      <c r="N1640" s="295">
        <v>101.592</v>
      </c>
      <c r="O1640" s="295">
        <v>87.975999999999999</v>
      </c>
      <c r="P1640" s="397">
        <v>87.975999999999999</v>
      </c>
      <c r="Q1640" s="295">
        <v>99.924999999999997</v>
      </c>
      <c r="R1640" s="295">
        <v>81.622</v>
      </c>
      <c r="S1640" s="295">
        <v>89.772000000000006</v>
      </c>
      <c r="T1640" s="295">
        <v>79.02</v>
      </c>
      <c r="U1640" s="397">
        <v>79.02</v>
      </c>
      <c r="V1640" s="295">
        <v>112.04900000000001</v>
      </c>
      <c r="W1640" s="295">
        <v>98.281999999999996</v>
      </c>
      <c r="X1640" s="295">
        <v>113.66500000000001</v>
      </c>
      <c r="Y1640" s="295">
        <v>117.16200000000001</v>
      </c>
      <c r="Z1640" s="397">
        <v>117.16200000000001</v>
      </c>
      <c r="AA1640" s="295">
        <v>108.241</v>
      </c>
      <c r="AB1640" s="295">
        <v>77.679000000000002</v>
      </c>
      <c r="AC1640" s="295">
        <v>75.040999999999997</v>
      </c>
      <c r="AD1640" s="295">
        <v>68.584999999999994</v>
      </c>
      <c r="AE1640" s="397">
        <v>68.584999999999994</v>
      </c>
      <c r="AF1640" s="295">
        <v>58.180999999999997</v>
      </c>
      <c r="AG1640" s="295">
        <v>75.509</v>
      </c>
      <c r="AH1640" s="295">
        <v>76.425000000000011</v>
      </c>
      <c r="AI1640" s="295">
        <v>104.71899999999999</v>
      </c>
      <c r="AJ1640" s="397">
        <v>104.71899999999999</v>
      </c>
      <c r="AK1640" s="295">
        <v>118.648</v>
      </c>
      <c r="AL1640" s="295">
        <v>99.296999999999997</v>
      </c>
      <c r="AM1640" s="295">
        <v>46.725000000000001</v>
      </c>
      <c r="AN1640" s="295">
        <v>61.619</v>
      </c>
      <c r="AO1640" s="397">
        <v>61.619</v>
      </c>
      <c r="AP1640" s="295">
        <v>65.153999999999996</v>
      </c>
      <c r="AQ1640" s="295">
        <v>60.497</v>
      </c>
      <c r="AR1640" s="295">
        <v>81.974999999999994</v>
      </c>
      <c r="AS1640" s="295">
        <v>90.712000000000003</v>
      </c>
      <c r="AT1640" s="397">
        <v>90.712000000000003</v>
      </c>
      <c r="AU1640" s="295">
        <v>99.722999999999999</v>
      </c>
      <c r="AV1640" s="295">
        <v>135.19499999999999</v>
      </c>
      <c r="AW1640" s="295">
        <v>115.916</v>
      </c>
      <c r="AX1640" s="295">
        <v>117.375</v>
      </c>
      <c r="AY1640" s="397">
        <v>117.375</v>
      </c>
      <c r="AZ1640" s="295">
        <v>271.42700000000002</v>
      </c>
      <c r="BA1640" s="295">
        <v>250.99600000000001</v>
      </c>
      <c r="BB1640" s="295">
        <v>234.24700000000001</v>
      </c>
      <c r="BC1640" s="295">
        <v>139.297</v>
      </c>
      <c r="BD1640" s="397">
        <v>139.297</v>
      </c>
      <c r="BE1640" s="295">
        <v>129.083</v>
      </c>
      <c r="BF1640" s="295">
        <v>143.83099999999999</v>
      </c>
      <c r="BG1640" s="295">
        <v>129.21299999999999</v>
      </c>
      <c r="BH1640" s="295">
        <v>169.03</v>
      </c>
      <c r="BI1640" s="399">
        <v>169.03</v>
      </c>
      <c r="BJ1640" s="295">
        <v>120.57082677481219</v>
      </c>
      <c r="BK1640" s="295">
        <v>122.30647372147594</v>
      </c>
      <c r="BL1640" s="295">
        <v>110.75733630532748</v>
      </c>
      <c r="BM1640" s="295">
        <v>113.51833378358381</v>
      </c>
      <c r="BN1640" s="397">
        <v>113.51833378358381</v>
      </c>
      <c r="BO1640" s="295">
        <v>134.9513635310195</v>
      </c>
      <c r="BP1640" s="295">
        <v>140.03052133175126</v>
      </c>
      <c r="BQ1640" s="295">
        <v>126.891795853883</v>
      </c>
      <c r="BR1640" s="295">
        <v>129.68077139201722</v>
      </c>
      <c r="BS1640" s="397">
        <v>129.68077139201722</v>
      </c>
      <c r="BT1640" s="397">
        <v>137.14597383041053</v>
      </c>
      <c r="BU1640" s="397">
        <v>141.54320088413792</v>
      </c>
      <c r="BV1640" s="397">
        <v>144.54819801426709</v>
      </c>
      <c r="BW1640" s="197"/>
    </row>
    <row r="1641" spans="1:75" s="198" customFormat="1" ht="14.25" hidden="1" outlineLevel="1" x14ac:dyDescent="0.45">
      <c r="A1641" s="206" t="s">
        <v>1438</v>
      </c>
      <c r="B1641" s="522"/>
      <c r="C1641" s="397"/>
      <c r="D1641" s="397">
        <v>40.161000000000001</v>
      </c>
      <c r="E1641" s="397">
        <v>58.254000000000005</v>
      </c>
      <c r="F1641" s="397">
        <v>63.74499999999999</v>
      </c>
      <c r="G1641" s="295">
        <v>104.70800000000001</v>
      </c>
      <c r="H1641" s="295">
        <v>82.966000000000008</v>
      </c>
      <c r="I1641" s="295">
        <v>86.08499999999998</v>
      </c>
      <c r="J1641" s="295">
        <v>90.472000000000008</v>
      </c>
      <c r="K1641" s="397">
        <v>90.472000000000008</v>
      </c>
      <c r="L1641" s="295">
        <v>0</v>
      </c>
      <c r="M1641" s="295">
        <v>104.64</v>
      </c>
      <c r="N1641" s="295">
        <v>112.93599999999999</v>
      </c>
      <c r="O1641" s="295">
        <v>102.096</v>
      </c>
      <c r="P1641" s="397">
        <v>102.096</v>
      </c>
      <c r="Q1641" s="295">
        <v>94.031000000000006</v>
      </c>
      <c r="R1641" s="295">
        <v>101.417</v>
      </c>
      <c r="S1641" s="295">
        <v>112.655</v>
      </c>
      <c r="T1641" s="295">
        <v>105.69000000000001</v>
      </c>
      <c r="U1641" s="397">
        <v>105.69000000000001</v>
      </c>
      <c r="V1641" s="295">
        <v>100.43600000000001</v>
      </c>
      <c r="W1641" s="295">
        <v>91.894999999999982</v>
      </c>
      <c r="X1641" s="295">
        <v>109.56199999999998</v>
      </c>
      <c r="Y1641" s="295">
        <v>92.259999999999991</v>
      </c>
      <c r="Z1641" s="397">
        <v>92.259999999999991</v>
      </c>
      <c r="AA1641" s="295">
        <v>108.74900000000001</v>
      </c>
      <c r="AB1641" s="295">
        <v>111.38499999999999</v>
      </c>
      <c r="AC1641" s="295">
        <v>121.667</v>
      </c>
      <c r="AD1641" s="295">
        <v>123.452</v>
      </c>
      <c r="AE1641" s="397">
        <v>123.452</v>
      </c>
      <c r="AF1641" s="295">
        <v>98.128999999999991</v>
      </c>
      <c r="AG1641" s="295">
        <v>120.23599999999999</v>
      </c>
      <c r="AH1641" s="295">
        <v>134.58500000000001</v>
      </c>
      <c r="AI1641" s="295">
        <v>137.40199999999999</v>
      </c>
      <c r="AJ1641" s="397">
        <v>137.40199999999999</v>
      </c>
      <c r="AK1641" s="295">
        <v>113.07700000000001</v>
      </c>
      <c r="AL1641" s="295">
        <v>144.13</v>
      </c>
      <c r="AM1641" s="295">
        <v>150.90300000000002</v>
      </c>
      <c r="AN1641" s="295">
        <v>149.595</v>
      </c>
      <c r="AO1641" s="397">
        <v>149.595</v>
      </c>
      <c r="AP1641" s="295">
        <v>133.09</v>
      </c>
      <c r="AQ1641" s="295">
        <v>143.583</v>
      </c>
      <c r="AR1641" s="295">
        <v>167.57300000000001</v>
      </c>
      <c r="AS1641" s="295">
        <v>185.12900000000002</v>
      </c>
      <c r="AT1641" s="397">
        <v>185.12900000000002</v>
      </c>
      <c r="AU1641" s="295">
        <v>157.51000000000002</v>
      </c>
      <c r="AV1641" s="295">
        <v>188.17800000000003</v>
      </c>
      <c r="AW1641" s="295">
        <v>189.55300000000003</v>
      </c>
      <c r="AX1641" s="295">
        <v>200.34399999999999</v>
      </c>
      <c r="AY1641" s="397">
        <v>200.34399999999999</v>
      </c>
      <c r="AZ1641" s="295">
        <v>174.41200000000001</v>
      </c>
      <c r="BA1641" s="295">
        <v>189.81299999999999</v>
      </c>
      <c r="BB1641" s="295">
        <v>209.48099999999999</v>
      </c>
      <c r="BC1641" s="295">
        <v>208.86699999999999</v>
      </c>
      <c r="BD1641" s="397">
        <v>208.86699999999999</v>
      </c>
      <c r="BE1641" s="295">
        <v>165.21199999999999</v>
      </c>
      <c r="BF1641" s="295">
        <v>207.14</v>
      </c>
      <c r="BG1641" s="295">
        <v>220.18799999999999</v>
      </c>
      <c r="BH1641" s="295">
        <v>174.23999999999998</v>
      </c>
      <c r="BI1641" s="399">
        <v>174.23999999999998</v>
      </c>
      <c r="BJ1641" s="295">
        <v>150.71353346851524</v>
      </c>
      <c r="BK1641" s="295">
        <v>152.88309215184492</v>
      </c>
      <c r="BL1641" s="295">
        <v>174.0472427655146</v>
      </c>
      <c r="BM1641" s="295">
        <v>178.38595308848883</v>
      </c>
      <c r="BN1641" s="397">
        <v>178.38595308848883</v>
      </c>
      <c r="BO1641" s="295">
        <v>168.68920441377438</v>
      </c>
      <c r="BP1641" s="295">
        <v>175.03815166468908</v>
      </c>
      <c r="BQ1641" s="295">
        <v>199.40139348467326</v>
      </c>
      <c r="BR1641" s="295">
        <v>203.78406933031275</v>
      </c>
      <c r="BS1641" s="397">
        <v>203.78406933031275</v>
      </c>
      <c r="BT1641" s="397">
        <v>215.51510173350223</v>
      </c>
      <c r="BU1641" s="397">
        <v>222.42502996078812</v>
      </c>
      <c r="BV1641" s="397">
        <v>227.14716830813396</v>
      </c>
      <c r="BW1641" s="197"/>
    </row>
    <row r="1642" spans="1:75" s="198" customFormat="1" ht="14.25" hidden="1" outlineLevel="1" x14ac:dyDescent="0.45">
      <c r="A1642" s="206" t="s">
        <v>1439</v>
      </c>
      <c r="B1642" s="522"/>
      <c r="C1642" s="397"/>
      <c r="D1642" s="397">
        <v>14.000999999999999</v>
      </c>
      <c r="E1642" s="397">
        <v>25.419</v>
      </c>
      <c r="F1642" s="397">
        <v>41.643000000000001</v>
      </c>
      <c r="G1642" s="295">
        <v>43.094999999999999</v>
      </c>
      <c r="H1642" s="295">
        <v>52.764000000000003</v>
      </c>
      <c r="I1642" s="295">
        <v>51.25</v>
      </c>
      <c r="J1642" s="295">
        <v>48.927</v>
      </c>
      <c r="K1642" s="397">
        <v>48.927</v>
      </c>
      <c r="L1642" s="295">
        <v>53.933</v>
      </c>
      <c r="M1642" s="295">
        <v>71.191000000000003</v>
      </c>
      <c r="N1642" s="295">
        <v>69.927000000000007</v>
      </c>
      <c r="O1642" s="295">
        <v>73.55</v>
      </c>
      <c r="P1642" s="397">
        <v>73.55</v>
      </c>
      <c r="Q1642" s="295">
        <v>76.596000000000004</v>
      </c>
      <c r="R1642" s="295">
        <v>86.322000000000003</v>
      </c>
      <c r="S1642" s="295">
        <v>88.843999999999994</v>
      </c>
      <c r="T1642" s="295">
        <v>106.76900000000001</v>
      </c>
      <c r="U1642" s="397">
        <v>106.76900000000001</v>
      </c>
      <c r="V1642" s="295">
        <v>117.741</v>
      </c>
      <c r="W1642" s="295">
        <v>137.27699999999999</v>
      </c>
      <c r="X1642" s="295">
        <v>144.57400000000001</v>
      </c>
      <c r="Y1642" s="295">
        <v>145.91800000000001</v>
      </c>
      <c r="Z1642" s="397">
        <v>145.91800000000001</v>
      </c>
      <c r="AA1642" s="295">
        <v>168.17699999999999</v>
      </c>
      <c r="AB1642" s="295">
        <v>176.31</v>
      </c>
      <c r="AC1642" s="295">
        <v>166.57900000000001</v>
      </c>
      <c r="AD1642" s="295">
        <v>149.404</v>
      </c>
      <c r="AE1642" s="397">
        <v>149.404</v>
      </c>
      <c r="AF1642" s="295">
        <v>172.37899999999999</v>
      </c>
      <c r="AG1642" s="295">
        <v>164.97900000000001</v>
      </c>
      <c r="AH1642" s="295">
        <v>165.065</v>
      </c>
      <c r="AI1642" s="295">
        <v>152.595</v>
      </c>
      <c r="AJ1642" s="397">
        <v>152.595</v>
      </c>
      <c r="AK1642" s="295">
        <v>174.25200000000001</v>
      </c>
      <c r="AL1642" s="295">
        <v>165.511</v>
      </c>
      <c r="AM1642" s="295">
        <v>167.01400000000001</v>
      </c>
      <c r="AN1642" s="295">
        <v>162.43299999999999</v>
      </c>
      <c r="AO1642" s="397">
        <v>162.43299999999999</v>
      </c>
      <c r="AP1642" s="295">
        <v>189.048</v>
      </c>
      <c r="AQ1642" s="295">
        <v>230.089</v>
      </c>
      <c r="AR1642" s="295">
        <v>274.95800000000003</v>
      </c>
      <c r="AS1642" s="295">
        <v>280.64100000000002</v>
      </c>
      <c r="AT1642" s="397">
        <v>280.64100000000002</v>
      </c>
      <c r="AU1642" s="295">
        <v>363.404</v>
      </c>
      <c r="AV1642" s="295">
        <v>397.161</v>
      </c>
      <c r="AW1642" s="295">
        <v>385.07</v>
      </c>
      <c r="AX1642" s="295">
        <v>387.93299999999999</v>
      </c>
      <c r="AY1642" s="397">
        <v>387.93299999999999</v>
      </c>
      <c r="AZ1642" s="295">
        <v>436.76499999999999</v>
      </c>
      <c r="BA1642" s="295">
        <v>390.71</v>
      </c>
      <c r="BB1642" s="295">
        <v>361.113</v>
      </c>
      <c r="BC1642" s="295">
        <v>325.75400000000002</v>
      </c>
      <c r="BD1642" s="397">
        <v>325.75400000000002</v>
      </c>
      <c r="BE1642" s="295">
        <v>344.94400000000002</v>
      </c>
      <c r="BF1642" s="295">
        <v>331.03100000000001</v>
      </c>
      <c r="BG1642" s="295">
        <v>302.976</v>
      </c>
      <c r="BH1642" s="295">
        <v>282.81200000000001</v>
      </c>
      <c r="BI1642" s="399">
        <v>282.81200000000001</v>
      </c>
      <c r="BJ1642" s="295">
        <v>301.42706693703047</v>
      </c>
      <c r="BK1642" s="295">
        <v>305.76618430368984</v>
      </c>
      <c r="BL1642" s="295">
        <v>300.62705568588888</v>
      </c>
      <c r="BM1642" s="295">
        <v>308.1211916982989</v>
      </c>
      <c r="BN1642" s="397">
        <v>308.1211916982989</v>
      </c>
      <c r="BO1642" s="295">
        <v>337.37840882754875</v>
      </c>
      <c r="BP1642" s="295">
        <v>350.07630332937816</v>
      </c>
      <c r="BQ1642" s="295">
        <v>344.42058874625383</v>
      </c>
      <c r="BR1642" s="295">
        <v>351.99066520690383</v>
      </c>
      <c r="BS1642" s="397">
        <v>351.99066520690383</v>
      </c>
      <c r="BT1642" s="397">
        <v>372.25335753968568</v>
      </c>
      <c r="BU1642" s="397">
        <v>384.18868811408856</v>
      </c>
      <c r="BV1642" s="397">
        <v>392.34510889586778</v>
      </c>
      <c r="BW1642" s="197"/>
    </row>
    <row r="1643" spans="1:75" s="162" customFormat="1" ht="14.25" hidden="1" outlineLevel="1" x14ac:dyDescent="0.45">
      <c r="A1643" s="657"/>
      <c r="B1643" s="729"/>
      <c r="C1643" s="730"/>
      <c r="D1643" s="730"/>
      <c r="E1643" s="730"/>
      <c r="F1643" s="730"/>
      <c r="G1643" s="473"/>
      <c r="H1643" s="473"/>
      <c r="I1643" s="473"/>
      <c r="J1643" s="473"/>
      <c r="K1643" s="730"/>
      <c r="L1643" s="473"/>
      <c r="M1643" s="473"/>
      <c r="N1643" s="473"/>
      <c r="O1643" s="473"/>
      <c r="P1643" s="730"/>
      <c r="Q1643" s="473"/>
      <c r="R1643" s="473"/>
      <c r="S1643" s="473"/>
      <c r="T1643" s="473"/>
      <c r="U1643" s="730"/>
      <c r="V1643" s="473"/>
      <c r="W1643" s="473"/>
      <c r="X1643" s="473"/>
      <c r="Y1643" s="473"/>
      <c r="Z1643" s="730"/>
      <c r="AA1643" s="473"/>
      <c r="AB1643" s="473"/>
      <c r="AC1643" s="473"/>
      <c r="AD1643" s="473"/>
      <c r="AE1643" s="730"/>
      <c r="AF1643" s="473"/>
      <c r="AG1643" s="473"/>
      <c r="AH1643" s="473"/>
      <c r="AI1643" s="473"/>
      <c r="AJ1643" s="730"/>
      <c r="AK1643" s="473"/>
      <c r="AL1643" s="473"/>
      <c r="AM1643" s="473"/>
      <c r="AN1643" s="473"/>
      <c r="AO1643" s="730"/>
      <c r="AP1643" s="473"/>
      <c r="AQ1643" s="473"/>
      <c r="AR1643" s="473"/>
      <c r="AS1643" s="473"/>
      <c r="AT1643" s="730"/>
      <c r="AU1643" s="473"/>
      <c r="AV1643" s="473"/>
      <c r="AW1643" s="473"/>
      <c r="AX1643" s="473"/>
      <c r="AY1643" s="730"/>
      <c r="AZ1643" s="473"/>
      <c r="BA1643" s="473"/>
      <c r="BB1643" s="473"/>
      <c r="BC1643" s="473"/>
      <c r="BD1643" s="730"/>
      <c r="BE1643" s="473"/>
      <c r="BF1643" s="473"/>
      <c r="BG1643" s="473"/>
      <c r="BH1643" s="473"/>
      <c r="BI1643" s="731"/>
      <c r="BJ1643" s="473"/>
      <c r="BK1643" s="473"/>
      <c r="BL1643" s="473"/>
      <c r="BM1643" s="473"/>
      <c r="BN1643" s="730"/>
      <c r="BO1643" s="473"/>
      <c r="BP1643" s="473"/>
      <c r="BQ1643" s="473"/>
      <c r="BR1643" s="473"/>
      <c r="BS1643" s="730"/>
      <c r="BT1643" s="730"/>
      <c r="BU1643" s="730"/>
      <c r="BV1643" s="730"/>
      <c r="BW1643" s="161"/>
    </row>
    <row r="1644" spans="1:75" s="123" customFormat="1" hidden="1" outlineLevel="1" x14ac:dyDescent="0.5">
      <c r="A1644" s="752" t="s">
        <v>1440</v>
      </c>
      <c r="B1644" s="513"/>
      <c r="C1644" s="401"/>
      <c r="D1644" s="401">
        <v>4.4619999999999997</v>
      </c>
      <c r="E1644" s="401">
        <v>11.759</v>
      </c>
      <c r="F1644" s="401">
        <v>17.04</v>
      </c>
      <c r="G1644" s="119">
        <v>17.712</v>
      </c>
      <c r="H1644" s="119">
        <v>22.605</v>
      </c>
      <c r="I1644" s="119">
        <v>22.041</v>
      </c>
      <c r="J1644" s="119">
        <v>22.027999999999999</v>
      </c>
      <c r="K1644" s="401">
        <v>22.027999999999999</v>
      </c>
      <c r="L1644" s="119">
        <v>18.922000000000001</v>
      </c>
      <c r="M1644" s="119">
        <v>24.135999999999999</v>
      </c>
      <c r="N1644" s="119">
        <v>27.646000000000001</v>
      </c>
      <c r="O1644" s="119">
        <v>25.965</v>
      </c>
      <c r="P1644" s="401">
        <v>25.965</v>
      </c>
      <c r="Q1644" s="119">
        <v>25.509</v>
      </c>
      <c r="R1644" s="119">
        <v>22.834</v>
      </c>
      <c r="S1644" s="119">
        <v>32.366</v>
      </c>
      <c r="T1644" s="119">
        <v>28.567</v>
      </c>
      <c r="U1644" s="401">
        <v>28.567</v>
      </c>
      <c r="V1644" s="119">
        <v>32.08</v>
      </c>
      <c r="W1644" s="119">
        <v>34.962000000000003</v>
      </c>
      <c r="X1644" s="119">
        <v>35.973999999999997</v>
      </c>
      <c r="Y1644" s="119">
        <v>34.191000000000003</v>
      </c>
      <c r="Z1644" s="401">
        <v>34.191000000000003</v>
      </c>
      <c r="AA1644" s="119">
        <v>34.116</v>
      </c>
      <c r="AB1644" s="119">
        <v>34.752000000000002</v>
      </c>
      <c r="AC1644" s="119">
        <v>34.447000000000003</v>
      </c>
      <c r="AD1644" s="119">
        <v>31.411999999999999</v>
      </c>
      <c r="AE1644" s="401">
        <v>31.411999999999999</v>
      </c>
      <c r="AF1644" s="119">
        <v>38.613999999999997</v>
      </c>
      <c r="AG1644" s="119">
        <v>40.706000000000003</v>
      </c>
      <c r="AH1644" s="119">
        <v>42.747999999999998</v>
      </c>
      <c r="AI1644" s="119">
        <v>40.223999999999997</v>
      </c>
      <c r="AJ1644" s="401">
        <v>40.223999999999997</v>
      </c>
      <c r="AK1644" s="119">
        <v>48.881999999999998</v>
      </c>
      <c r="AL1644" s="119">
        <v>44.286999999999999</v>
      </c>
      <c r="AM1644" s="119">
        <v>45.311999999999998</v>
      </c>
      <c r="AN1644" s="119">
        <v>48.978999999999999</v>
      </c>
      <c r="AO1644" s="401">
        <v>48.978999999999999</v>
      </c>
      <c r="AP1644" s="119">
        <v>49.098999999999997</v>
      </c>
      <c r="AQ1644" s="119">
        <v>55.915999999999997</v>
      </c>
      <c r="AR1644" s="119">
        <v>59.064999999999998</v>
      </c>
      <c r="AS1644" s="119">
        <v>59.473999999999997</v>
      </c>
      <c r="AT1644" s="401">
        <v>59.473999999999997</v>
      </c>
      <c r="AU1644" s="119">
        <v>60.212000000000003</v>
      </c>
      <c r="AV1644" s="119">
        <v>59.798000000000002</v>
      </c>
      <c r="AW1644" s="119">
        <v>60.621000000000002</v>
      </c>
      <c r="AX1644" s="119">
        <v>57.914000000000001</v>
      </c>
      <c r="AY1644" s="401">
        <v>57.914000000000001</v>
      </c>
      <c r="AZ1644" s="119">
        <v>65.602000000000004</v>
      </c>
      <c r="BA1644" s="119">
        <v>55.537999999999997</v>
      </c>
      <c r="BB1644" s="119">
        <v>58.563000000000002</v>
      </c>
      <c r="BC1644" s="119">
        <v>59.762999999999998</v>
      </c>
      <c r="BD1644" s="401">
        <v>59.762999999999998</v>
      </c>
      <c r="BE1644" s="119">
        <v>60.232999999999997</v>
      </c>
      <c r="BF1644" s="119">
        <v>54.447000000000003</v>
      </c>
      <c r="BG1644" s="119">
        <v>56.052999999999997</v>
      </c>
      <c r="BH1644" s="119">
        <v>55.058</v>
      </c>
      <c r="BI1644" s="402">
        <v>55.058</v>
      </c>
      <c r="BJ1644" s="118">
        <v>56.873031497552915</v>
      </c>
      <c r="BK1644" s="118">
        <v>57.691732887488648</v>
      </c>
      <c r="BL1644" s="118">
        <v>59.707458924704845</v>
      </c>
      <c r="BM1644" s="118">
        <v>62.372710870100995</v>
      </c>
      <c r="BN1644" s="401">
        <v>62.372710870100995</v>
      </c>
      <c r="BO1644" s="118">
        <v>64.880463236067058</v>
      </c>
      <c r="BP1644" s="118">
        <v>67.322366024880409</v>
      </c>
      <c r="BQ1644" s="118">
        <v>69.720766952682951</v>
      </c>
      <c r="BR1644" s="118">
        <v>71.25317109451494</v>
      </c>
      <c r="BS1644" s="401">
        <v>71.25317109451494</v>
      </c>
      <c r="BT1644" s="401">
        <v>75.354930676049733</v>
      </c>
      <c r="BU1644" s="401">
        <v>77.770989496779066</v>
      </c>
      <c r="BV1644" s="401">
        <v>77.923556881006505</v>
      </c>
      <c r="BW1644" s="122"/>
    </row>
    <row r="1645" spans="1:75" s="123" customFormat="1" hidden="1" outlineLevel="1" x14ac:dyDescent="0.5">
      <c r="A1645" s="752" t="s">
        <v>1441</v>
      </c>
      <c r="B1645" s="513"/>
      <c r="C1645" s="401"/>
      <c r="D1645" s="401">
        <v>206.40600000000001</v>
      </c>
      <c r="E1645" s="401">
        <v>245.876</v>
      </c>
      <c r="F1645" s="401">
        <v>353.32900000000001</v>
      </c>
      <c r="G1645" s="119">
        <v>365.71600000000001</v>
      </c>
      <c r="H1645" s="119">
        <v>406.67599999999999</v>
      </c>
      <c r="I1645" s="119">
        <v>448.15</v>
      </c>
      <c r="J1645" s="119">
        <v>453.84500000000003</v>
      </c>
      <c r="K1645" s="401">
        <v>453.84500000000003</v>
      </c>
      <c r="L1645" s="119">
        <v>483.53</v>
      </c>
      <c r="M1645" s="119">
        <v>547.10299999999995</v>
      </c>
      <c r="N1645" s="119">
        <v>610.49699999999996</v>
      </c>
      <c r="O1645" s="119">
        <v>559.29700000000003</v>
      </c>
      <c r="P1645" s="401">
        <v>559.29700000000003</v>
      </c>
      <c r="Q1645" s="119">
        <v>601.73900000000003</v>
      </c>
      <c r="R1645" s="119">
        <v>707.51599999999996</v>
      </c>
      <c r="S1645" s="119">
        <v>760.85400000000004</v>
      </c>
      <c r="T1645" s="119">
        <v>725.39200000000005</v>
      </c>
      <c r="U1645" s="401">
        <v>725.39200000000005</v>
      </c>
      <c r="V1645" s="119">
        <v>763.05499999999995</v>
      </c>
      <c r="W1645" s="119">
        <v>807.38900000000001</v>
      </c>
      <c r="X1645" s="119">
        <v>776.58600000000001</v>
      </c>
      <c r="Y1645" s="119">
        <v>752.30399999999997</v>
      </c>
      <c r="Z1645" s="401">
        <v>752.30399999999997</v>
      </c>
      <c r="AA1645" s="119">
        <v>683.98400000000004</v>
      </c>
      <c r="AB1645" s="119">
        <v>608.048</v>
      </c>
      <c r="AC1645" s="119">
        <v>557.34500000000003</v>
      </c>
      <c r="AD1645" s="119">
        <v>527.02599999999995</v>
      </c>
      <c r="AE1645" s="401">
        <v>527.02599999999995</v>
      </c>
      <c r="AF1645" s="119">
        <v>530.65700000000004</v>
      </c>
      <c r="AG1645" s="119">
        <v>551.34299999999996</v>
      </c>
      <c r="AH1645" s="119">
        <v>566.11699999999996</v>
      </c>
      <c r="AI1645" s="119">
        <v>531.947</v>
      </c>
      <c r="AJ1645" s="401">
        <v>531.947</v>
      </c>
      <c r="AK1645" s="119">
        <v>530.19000000000005</v>
      </c>
      <c r="AL1645" s="119">
        <v>480.68799999999999</v>
      </c>
      <c r="AM1645" s="119">
        <v>429.18900000000002</v>
      </c>
      <c r="AN1645" s="119">
        <v>438.69600000000003</v>
      </c>
      <c r="AO1645" s="401">
        <v>438.69600000000003</v>
      </c>
      <c r="AP1645" s="119">
        <v>494.26</v>
      </c>
      <c r="AQ1645" s="119">
        <v>487.63900000000001</v>
      </c>
      <c r="AR1645" s="119">
        <v>497.07600000000002</v>
      </c>
      <c r="AS1645" s="119">
        <v>544.22699999999998</v>
      </c>
      <c r="AT1645" s="401">
        <v>544.22699999999998</v>
      </c>
      <c r="AU1645" s="119">
        <v>593.94600000000003</v>
      </c>
      <c r="AV1645" s="119">
        <v>645.98699999999997</v>
      </c>
      <c r="AW1645" s="119">
        <v>633.59100000000001</v>
      </c>
      <c r="AX1645" s="119">
        <v>734.28899999999999</v>
      </c>
      <c r="AY1645" s="401">
        <v>734.28899999999999</v>
      </c>
      <c r="AZ1645" s="119">
        <v>817.327</v>
      </c>
      <c r="BA1645" s="119">
        <v>859.07799999999997</v>
      </c>
      <c r="BB1645" s="119">
        <v>819.29899999999998</v>
      </c>
      <c r="BC1645" s="119">
        <v>801.84100000000001</v>
      </c>
      <c r="BD1645" s="401">
        <v>801.84100000000001</v>
      </c>
      <c r="BE1645" s="119">
        <v>766.30100000000004</v>
      </c>
      <c r="BF1645" s="119">
        <v>737.66300000000001</v>
      </c>
      <c r="BG1645" s="119">
        <v>718.95899999999995</v>
      </c>
      <c r="BH1645" s="119">
        <v>754.12599999999998</v>
      </c>
      <c r="BI1645" s="402">
        <v>754.12599999999998</v>
      </c>
      <c r="BJ1645" s="118">
        <v>720.7642254300456</v>
      </c>
      <c r="BK1645" s="118">
        <v>737.47479415958435</v>
      </c>
      <c r="BL1645" s="118">
        <v>760.63689131926037</v>
      </c>
      <c r="BM1645" s="118">
        <v>790.02619377378778</v>
      </c>
      <c r="BN1645" s="401">
        <v>790.02619377378778</v>
      </c>
      <c r="BO1645" s="118">
        <v>818.47340524213109</v>
      </c>
      <c r="BP1645" s="118">
        <v>847.04441351763739</v>
      </c>
      <c r="BQ1645" s="118">
        <v>875.44343374190532</v>
      </c>
      <c r="BR1645" s="118">
        <v>892.97593175908003</v>
      </c>
      <c r="BS1645" s="401">
        <v>892.97593175908003</v>
      </c>
      <c r="BT1645" s="401">
        <v>939.64311896235949</v>
      </c>
      <c r="BU1645" s="401">
        <v>964.64607941338159</v>
      </c>
      <c r="BV1645" s="401">
        <v>961.30953971161773</v>
      </c>
      <c r="BW1645" s="122"/>
    </row>
    <row r="1646" spans="1:75" s="123" customFormat="1" hidden="1" outlineLevel="1" x14ac:dyDescent="0.5">
      <c r="A1646" s="752" t="s">
        <v>1442</v>
      </c>
      <c r="B1646" s="513"/>
      <c r="C1646" s="401"/>
      <c r="D1646" s="401">
        <v>50.564999999999998</v>
      </c>
      <c r="E1646" s="401">
        <v>47.44</v>
      </c>
      <c r="F1646" s="401">
        <v>81.608000000000004</v>
      </c>
      <c r="G1646" s="119">
        <v>74.712000000000003</v>
      </c>
      <c r="H1646" s="119">
        <v>122.58499999999999</v>
      </c>
      <c r="I1646" s="119">
        <v>123.143</v>
      </c>
      <c r="J1646" s="119">
        <v>116.306</v>
      </c>
      <c r="K1646" s="401">
        <v>116.306</v>
      </c>
      <c r="L1646" s="119"/>
      <c r="M1646" s="119">
        <v>143.696</v>
      </c>
      <c r="N1646" s="119">
        <v>149.44499999999999</v>
      </c>
      <c r="O1646" s="119">
        <v>133.06299999999999</v>
      </c>
      <c r="P1646" s="401">
        <v>133.06299999999999</v>
      </c>
      <c r="Q1646" s="119">
        <v>146.39099999999999</v>
      </c>
      <c r="R1646" s="119">
        <v>189.964</v>
      </c>
      <c r="S1646" s="119">
        <v>188.233</v>
      </c>
      <c r="T1646" s="119">
        <v>175.024</v>
      </c>
      <c r="U1646" s="401">
        <v>175.024</v>
      </c>
      <c r="V1646" s="119">
        <v>148.535</v>
      </c>
      <c r="W1646" s="119">
        <v>130.917</v>
      </c>
      <c r="X1646" s="119">
        <v>121.517</v>
      </c>
      <c r="Y1646" s="119">
        <v>134.72</v>
      </c>
      <c r="Z1646" s="401">
        <v>134.72</v>
      </c>
      <c r="AA1646" s="119">
        <v>124.646</v>
      </c>
      <c r="AB1646" s="119">
        <v>160.452</v>
      </c>
      <c r="AC1646" s="119">
        <v>130.90199999999999</v>
      </c>
      <c r="AD1646" s="119">
        <v>195.31299999999999</v>
      </c>
      <c r="AE1646" s="401">
        <v>195.31299999999999</v>
      </c>
      <c r="AF1646" s="119">
        <v>166.04400000000001</v>
      </c>
      <c r="AG1646" s="119">
        <v>164.70599999999999</v>
      </c>
      <c r="AH1646" s="119">
        <v>172.27500000000001</v>
      </c>
      <c r="AI1646" s="119">
        <v>183.03899999999999</v>
      </c>
      <c r="AJ1646" s="401">
        <v>183.03899999999999</v>
      </c>
      <c r="AK1646" s="119">
        <v>176.06899999999999</v>
      </c>
      <c r="AL1646" s="119">
        <v>145.583</v>
      </c>
      <c r="AM1646" s="119">
        <v>138.03399999999999</v>
      </c>
      <c r="AN1646" s="119">
        <v>180.714</v>
      </c>
      <c r="AO1646" s="401">
        <v>180.714</v>
      </c>
      <c r="AP1646" s="119">
        <v>151.88999999999999</v>
      </c>
      <c r="AQ1646" s="119">
        <v>182.94399999999999</v>
      </c>
      <c r="AR1646" s="119">
        <v>187.381</v>
      </c>
      <c r="AS1646" s="119">
        <v>224.90600000000001</v>
      </c>
      <c r="AT1646" s="401">
        <v>224.90600000000001</v>
      </c>
      <c r="AU1646" s="119">
        <v>231.90100000000001</v>
      </c>
      <c r="AV1646" s="119">
        <v>238.607</v>
      </c>
      <c r="AW1646" s="119">
        <v>205.595</v>
      </c>
      <c r="AX1646" s="119">
        <v>242.035</v>
      </c>
      <c r="AY1646" s="401">
        <v>242.035</v>
      </c>
      <c r="AZ1646" s="119">
        <v>254.53700000000001</v>
      </c>
      <c r="BA1646" s="119">
        <v>186.31899999999999</v>
      </c>
      <c r="BB1646" s="119">
        <v>180.48400000000001</v>
      </c>
      <c r="BC1646" s="119">
        <v>166.08199999999999</v>
      </c>
      <c r="BD1646" s="401">
        <v>166.08199999999999</v>
      </c>
      <c r="BE1646" s="119">
        <v>156.53100000000001</v>
      </c>
      <c r="BF1646" s="119">
        <v>150.339</v>
      </c>
      <c r="BG1646" s="119">
        <v>179.53899999999999</v>
      </c>
      <c r="BH1646" s="119">
        <v>192.345</v>
      </c>
      <c r="BI1646" s="402">
        <v>192.345</v>
      </c>
      <c r="BJ1646" s="118">
        <v>157.66717431282245</v>
      </c>
      <c r="BK1646" s="118">
        <v>161.32261122240908</v>
      </c>
      <c r="BL1646" s="118">
        <v>166.38931997608822</v>
      </c>
      <c r="BM1646" s="118">
        <v>172.81822988801608</v>
      </c>
      <c r="BN1646" s="401">
        <v>172.81822988801608</v>
      </c>
      <c r="BO1646" s="118">
        <v>179.04105739671618</v>
      </c>
      <c r="BP1646" s="118">
        <v>185.29096545698317</v>
      </c>
      <c r="BQ1646" s="118">
        <v>191.50325113104179</v>
      </c>
      <c r="BR1646" s="118">
        <v>195.33848507229877</v>
      </c>
      <c r="BS1646" s="401">
        <v>195.33848507229877</v>
      </c>
      <c r="BT1646" s="401">
        <v>205.54693227301615</v>
      </c>
      <c r="BU1646" s="401">
        <v>211.01632987167721</v>
      </c>
      <c r="BV1646" s="401">
        <v>210.28646181191638</v>
      </c>
      <c r="BW1646" s="122"/>
    </row>
    <row r="1647" spans="1:75" s="162" customFormat="1" ht="14.25" hidden="1" outlineLevel="1" x14ac:dyDescent="0.45">
      <c r="A1647" s="657"/>
      <c r="B1647" s="729"/>
      <c r="C1647" s="730"/>
      <c r="D1647" s="730"/>
      <c r="E1647" s="730"/>
      <c r="F1647" s="730"/>
      <c r="G1647" s="473"/>
      <c r="H1647" s="473"/>
      <c r="I1647" s="473"/>
      <c r="J1647" s="473"/>
      <c r="K1647" s="730"/>
      <c r="L1647" s="473"/>
      <c r="M1647" s="473"/>
      <c r="N1647" s="473"/>
      <c r="O1647" s="473"/>
      <c r="P1647" s="730"/>
      <c r="Q1647" s="473"/>
      <c r="R1647" s="473"/>
      <c r="S1647" s="473"/>
      <c r="T1647" s="473"/>
      <c r="U1647" s="730"/>
      <c r="V1647" s="473"/>
      <c r="W1647" s="473"/>
      <c r="X1647" s="473"/>
      <c r="Y1647" s="473"/>
      <c r="Z1647" s="730"/>
      <c r="AA1647" s="473"/>
      <c r="AB1647" s="473"/>
      <c r="AC1647" s="473"/>
      <c r="AD1647" s="473"/>
      <c r="AE1647" s="730"/>
      <c r="AF1647" s="473"/>
      <c r="AG1647" s="473"/>
      <c r="AH1647" s="473"/>
      <c r="AI1647" s="473"/>
      <c r="AJ1647" s="730"/>
      <c r="AK1647" s="473"/>
      <c r="AL1647" s="473"/>
      <c r="AM1647" s="473"/>
      <c r="AN1647" s="473"/>
      <c r="AO1647" s="730"/>
      <c r="AP1647" s="473"/>
      <c r="AQ1647" s="473"/>
      <c r="AR1647" s="473"/>
      <c r="AS1647" s="473"/>
      <c r="AT1647" s="730"/>
      <c r="AU1647" s="473"/>
      <c r="AV1647" s="473"/>
      <c r="AW1647" s="473"/>
      <c r="AX1647" s="473"/>
      <c r="AY1647" s="730"/>
      <c r="AZ1647" s="473"/>
      <c r="BA1647" s="473"/>
      <c r="BB1647" s="473"/>
      <c r="BC1647" s="473"/>
      <c r="BD1647" s="730"/>
      <c r="BE1647" s="473"/>
      <c r="BF1647" s="473"/>
      <c r="BG1647" s="473"/>
      <c r="BH1647" s="473"/>
      <c r="BI1647" s="731"/>
      <c r="BJ1647" s="473"/>
      <c r="BK1647" s="473"/>
      <c r="BL1647" s="473"/>
      <c r="BM1647" s="473"/>
      <c r="BN1647" s="730"/>
      <c r="BO1647" s="473"/>
      <c r="BP1647" s="473"/>
      <c r="BQ1647" s="473"/>
      <c r="BR1647" s="473"/>
      <c r="BS1647" s="730"/>
      <c r="BT1647" s="730"/>
      <c r="BU1647" s="730"/>
      <c r="BV1647" s="730"/>
      <c r="BW1647" s="161"/>
    </row>
    <row r="1648" spans="1:75" s="954" customFormat="1" ht="14.25" collapsed="1" x14ac:dyDescent="0.45">
      <c r="A1648" s="765" t="s">
        <v>1443</v>
      </c>
      <c r="B1648" s="947"/>
      <c r="C1648" s="948"/>
      <c r="D1648" s="948">
        <v>2.101797213077417</v>
      </c>
      <c r="E1648" s="948">
        <v>4.4675372931809729</v>
      </c>
      <c r="F1648" s="948">
        <v>5.2989071670329553</v>
      </c>
      <c r="G1648" s="949"/>
      <c r="H1648" s="949"/>
      <c r="I1648" s="949"/>
      <c r="J1648" s="949"/>
      <c r="K1648" s="948">
        <v>5.1698218072536966</v>
      </c>
      <c r="L1648" s="949">
        <v>4.2624554576521243</v>
      </c>
      <c r="M1648" s="949">
        <v>5.2685227274090192</v>
      </c>
      <c r="N1648" s="949">
        <v>5.7294505943728868</v>
      </c>
      <c r="O1648" s="949">
        <v>5.0611270510896844</v>
      </c>
      <c r="P1648" s="948">
        <v>5.0611270510896844</v>
      </c>
      <c r="Q1648" s="949">
        <v>4.8269979460525585</v>
      </c>
      <c r="R1648" s="949">
        <v>4.1624708469447693</v>
      </c>
      <c r="S1648" s="949">
        <v>5.7623281691346397</v>
      </c>
      <c r="T1648" s="949">
        <v>4.9304686662816506</v>
      </c>
      <c r="U1648" s="948">
        <v>4.9304686662816515</v>
      </c>
      <c r="V1648" s="949">
        <v>5.4514600024182807</v>
      </c>
      <c r="W1648" s="949">
        <v>5.8418292588879472</v>
      </c>
      <c r="X1648" s="949">
        <v>5.9646064700622627</v>
      </c>
      <c r="Y1648" s="949">
        <v>5.8296374816089589</v>
      </c>
      <c r="Z1648" s="948">
        <v>5.8296374816089589</v>
      </c>
      <c r="AA1648" s="949">
        <v>5.5401524429008324</v>
      </c>
      <c r="AB1648" s="949">
        <v>5.4679300089909404</v>
      </c>
      <c r="AC1648" s="949">
        <v>5.3207111137514671</v>
      </c>
      <c r="AD1648" s="949">
        <v>4.7758282810979873</v>
      </c>
      <c r="AE1648" s="948">
        <v>4.7758282810979873</v>
      </c>
      <c r="AF1648" s="949">
        <v>5.8820751385752414</v>
      </c>
      <c r="AG1648" s="949">
        <v>6.136569615582788</v>
      </c>
      <c r="AH1648" s="949">
        <v>6.3309968595524966</v>
      </c>
      <c r="AI1648" s="949">
        <v>5.8434013009782282</v>
      </c>
      <c r="AJ1648" s="948">
        <v>5.8434013009782282</v>
      </c>
      <c r="AK1648" s="949">
        <v>6.9867952948715741</v>
      </c>
      <c r="AL1648" s="949">
        <v>6.1707880617857098</v>
      </c>
      <c r="AM1648" s="949">
        <v>6.2161251126876493</v>
      </c>
      <c r="AN1648" s="949">
        <v>6.7341946191731852</v>
      </c>
      <c r="AO1648" s="948">
        <v>6.7341946191731852</v>
      </c>
      <c r="AP1648" s="949">
        <v>7.0587141491150351</v>
      </c>
      <c r="AQ1648" s="949">
        <v>8.0299809167156866</v>
      </c>
      <c r="AR1648" s="949">
        <v>7.9593997555129894</v>
      </c>
      <c r="AS1648" s="949">
        <v>7.5996413709627015</v>
      </c>
      <c r="AT1648" s="948">
        <v>7.5996413709627015</v>
      </c>
      <c r="AU1648" s="949">
        <v>6.7928131924055704</v>
      </c>
      <c r="AV1648" s="949">
        <v>6.2081720430107525</v>
      </c>
      <c r="AW1648" s="949">
        <v>6.0149799033123754</v>
      </c>
      <c r="AX1648" s="949">
        <v>5.6083281455350358</v>
      </c>
      <c r="AY1648" s="948">
        <v>5.6083281455350349</v>
      </c>
      <c r="AZ1648" s="949">
        <v>6.1938121867964275</v>
      </c>
      <c r="BA1648" s="949">
        <v>5.239867177490571</v>
      </c>
      <c r="BB1648" s="949">
        <v>5.7292507174016638</v>
      </c>
      <c r="BC1648" s="949">
        <v>6.0587303581111929</v>
      </c>
      <c r="BD1648" s="948">
        <v>6.0587303581111929</v>
      </c>
      <c r="BE1648" s="949">
        <v>6.5013511361671856</v>
      </c>
      <c r="BF1648" s="949">
        <v>6.2299354395785755</v>
      </c>
      <c r="BG1648" s="949">
        <v>6.660418200247114</v>
      </c>
      <c r="BH1648" s="949">
        <v>6.7433701998530262</v>
      </c>
      <c r="BI1648" s="950">
        <v>6.7433701998530262</v>
      </c>
      <c r="BJ1648" s="951">
        <v>7</v>
      </c>
      <c r="BK1648" s="951">
        <v>7</v>
      </c>
      <c r="BL1648" s="951">
        <v>7</v>
      </c>
      <c r="BM1648" s="951">
        <v>7</v>
      </c>
      <c r="BN1648" s="948">
        <v>7</v>
      </c>
      <c r="BO1648" s="951">
        <v>7</v>
      </c>
      <c r="BP1648" s="951">
        <v>7</v>
      </c>
      <c r="BQ1648" s="951">
        <v>7</v>
      </c>
      <c r="BR1648" s="951">
        <v>7</v>
      </c>
      <c r="BS1648" s="948">
        <v>7</v>
      </c>
      <c r="BT1648" s="952">
        <v>7</v>
      </c>
      <c r="BU1648" s="952">
        <v>7</v>
      </c>
      <c r="BV1648" s="952">
        <v>7</v>
      </c>
      <c r="BW1648" s="953"/>
    </row>
    <row r="1649" spans="1:75" s="954" customFormat="1" ht="14.25" x14ac:dyDescent="0.45">
      <c r="A1649" s="765" t="s">
        <v>1444</v>
      </c>
      <c r="B1649" s="947"/>
      <c r="C1649" s="948"/>
      <c r="D1649" s="948">
        <v>149.92413974761141</v>
      </c>
      <c r="E1649" s="948">
        <v>148.73468221060764</v>
      </c>
      <c r="F1649" s="948">
        <v>173.25611785402268</v>
      </c>
      <c r="G1649" s="949"/>
      <c r="H1649" s="949"/>
      <c r="I1649" s="949"/>
      <c r="J1649" s="949"/>
      <c r="K1649" s="948">
        <v>166.18321847012467</v>
      </c>
      <c r="L1649" s="949">
        <v>169.8027063479353</v>
      </c>
      <c r="M1649" s="949">
        <v>187.95981542428535</v>
      </c>
      <c r="N1649" s="949">
        <v>200.41911612843296</v>
      </c>
      <c r="O1649" s="949">
        <v>173.02040032363121</v>
      </c>
      <c r="P1649" s="948">
        <v>173.02040032363118</v>
      </c>
      <c r="Q1649" s="949">
        <v>180.45675539846926</v>
      </c>
      <c r="R1649" s="949">
        <v>204.29752370314898</v>
      </c>
      <c r="S1649" s="949">
        <v>213.37543250862322</v>
      </c>
      <c r="T1649" s="949">
        <v>194.67666631768157</v>
      </c>
      <c r="U1649" s="948">
        <v>194.67666631768162</v>
      </c>
      <c r="V1649" s="949">
        <v>197.6505691441063</v>
      </c>
      <c r="W1649" s="949">
        <v>201.82909092657184</v>
      </c>
      <c r="X1649" s="949">
        <v>189.97398753611441</v>
      </c>
      <c r="Y1649" s="949">
        <v>188.19439702450165</v>
      </c>
      <c r="Z1649" s="948">
        <v>188.19439702450165</v>
      </c>
      <c r="AA1649" s="949">
        <v>163.91187726599105</v>
      </c>
      <c r="AB1649" s="949">
        <v>141.43380079724045</v>
      </c>
      <c r="AC1649" s="949">
        <v>129.25695921790947</v>
      </c>
      <c r="AD1649" s="949">
        <v>122.88717603530121</v>
      </c>
      <c r="AE1649" s="948">
        <v>122.88717603530121</v>
      </c>
      <c r="AF1649" s="949">
        <v>127.23235441617834</v>
      </c>
      <c r="AG1649" s="949">
        <v>135.43578051204497</v>
      </c>
      <c r="AH1649" s="949">
        <v>138.29679538759166</v>
      </c>
      <c r="AI1649" s="949">
        <v>127.38093884779445</v>
      </c>
      <c r="AJ1649" s="948">
        <v>127.38093884779445</v>
      </c>
      <c r="AK1649" s="949">
        <v>125.51242512730798</v>
      </c>
      <c r="AL1649" s="949">
        <v>110.97171328689069</v>
      </c>
      <c r="AM1649" s="949">
        <v>98.655726586403205</v>
      </c>
      <c r="AN1649" s="949">
        <v>102.86180726166661</v>
      </c>
      <c r="AO1649" s="948">
        <v>102.86180726166658</v>
      </c>
      <c r="AP1649" s="949">
        <v>122.38319524373155</v>
      </c>
      <c r="AQ1649" s="949">
        <v>123.66216863004378</v>
      </c>
      <c r="AR1649" s="949">
        <v>122.44494041375393</v>
      </c>
      <c r="AS1649" s="949">
        <v>130.06321207803848</v>
      </c>
      <c r="AT1649" s="948">
        <v>130.06321207803848</v>
      </c>
      <c r="AU1649" s="949">
        <v>127.64970250975841</v>
      </c>
      <c r="AV1649" s="949">
        <v>129.34031394029336</v>
      </c>
      <c r="AW1649" s="949">
        <v>122.44734427761379</v>
      </c>
      <c r="AX1649" s="949">
        <v>140.42236639629212</v>
      </c>
      <c r="AY1649" s="948">
        <v>140.42236639629212</v>
      </c>
      <c r="AZ1649" s="949">
        <v>155.90135738402128</v>
      </c>
      <c r="BA1649" s="949">
        <v>166.72925830782046</v>
      </c>
      <c r="BB1649" s="949">
        <v>163.62281662383489</v>
      </c>
      <c r="BC1649" s="949">
        <v>164.11101315046679</v>
      </c>
      <c r="BD1649" s="948">
        <v>164.11101315046679</v>
      </c>
      <c r="BE1649" s="949">
        <v>162.98560476802618</v>
      </c>
      <c r="BF1649" s="949">
        <v>161.42159812048064</v>
      </c>
      <c r="BG1649" s="949">
        <v>160.95856118276069</v>
      </c>
      <c r="BH1649" s="949">
        <v>170.58688609950448</v>
      </c>
      <c r="BI1649" s="950">
        <v>170.58688609950448</v>
      </c>
      <c r="BJ1649" s="951">
        <v>160</v>
      </c>
      <c r="BK1649" s="951">
        <v>160</v>
      </c>
      <c r="BL1649" s="951">
        <v>160</v>
      </c>
      <c r="BM1649" s="951">
        <v>160</v>
      </c>
      <c r="BN1649" s="948">
        <v>160.00000000000003</v>
      </c>
      <c r="BO1649" s="951">
        <v>160</v>
      </c>
      <c r="BP1649" s="951">
        <v>160</v>
      </c>
      <c r="BQ1649" s="951">
        <v>160</v>
      </c>
      <c r="BR1649" s="951">
        <v>160</v>
      </c>
      <c r="BS1649" s="948">
        <v>159.99999999999997</v>
      </c>
      <c r="BT1649" s="952">
        <v>160</v>
      </c>
      <c r="BU1649" s="952">
        <v>160</v>
      </c>
      <c r="BV1649" s="952">
        <v>160</v>
      </c>
      <c r="BW1649" s="953"/>
    </row>
    <row r="1650" spans="1:75" s="954" customFormat="1" ht="14.25" x14ac:dyDescent="0.45">
      <c r="A1650" s="765" t="s">
        <v>1445</v>
      </c>
      <c r="B1650" s="947"/>
      <c r="C1650" s="948"/>
      <c r="D1650" s="948">
        <v>36.728167428940878</v>
      </c>
      <c r="E1650" s="948">
        <v>28.697283688002191</v>
      </c>
      <c r="F1650" s="948">
        <v>40.01676982594433</v>
      </c>
      <c r="G1650" s="949"/>
      <c r="H1650" s="949"/>
      <c r="I1650" s="949"/>
      <c r="J1650" s="949"/>
      <c r="K1650" s="948">
        <v>42.587459170832155</v>
      </c>
      <c r="L1650" s="949"/>
      <c r="M1650" s="949">
        <v>49.367438374872933</v>
      </c>
      <c r="N1650" s="949">
        <v>49.06106796563072</v>
      </c>
      <c r="O1650" s="949">
        <v>41.163484746500224</v>
      </c>
      <c r="P1650" s="948">
        <v>41.163484746500217</v>
      </c>
      <c r="Q1650" s="949">
        <v>43.901500284238359</v>
      </c>
      <c r="R1650" s="949">
        <v>54.852716818764513</v>
      </c>
      <c r="S1650" s="949">
        <v>52.788442707005117</v>
      </c>
      <c r="T1650" s="949">
        <v>46.971966668485308</v>
      </c>
      <c r="U1650" s="948">
        <v>46.971966668485315</v>
      </c>
      <c r="V1650" s="949">
        <v>38.474326605316563</v>
      </c>
      <c r="W1650" s="949">
        <v>32.726305531576486</v>
      </c>
      <c r="X1650" s="949">
        <v>29.726352320832483</v>
      </c>
      <c r="Y1650" s="949">
        <v>33.701202129911401</v>
      </c>
      <c r="Z1650" s="948">
        <v>33.701202129911401</v>
      </c>
      <c r="AA1650" s="949">
        <v>29.870523073195745</v>
      </c>
      <c r="AB1650" s="949">
        <v>37.321619683838811</v>
      </c>
      <c r="AC1650" s="949">
        <v>30.358206273569841</v>
      </c>
      <c r="AD1650" s="949">
        <v>45.541326259013374</v>
      </c>
      <c r="AE1650" s="948">
        <v>45.541326259013374</v>
      </c>
      <c r="AF1650" s="949">
        <v>39.811345288349941</v>
      </c>
      <c r="AG1650" s="949">
        <v>40.459542725702292</v>
      </c>
      <c r="AH1650" s="949">
        <v>42.085082103871379</v>
      </c>
      <c r="AI1650" s="949">
        <v>43.830832142603391</v>
      </c>
      <c r="AJ1650" s="948">
        <v>43.830832142603391</v>
      </c>
      <c r="AK1650" s="949">
        <v>41.680995831192561</v>
      </c>
      <c r="AL1650" s="949">
        <v>33.609316095773991</v>
      </c>
      <c r="AM1650" s="949">
        <v>31.729248800942198</v>
      </c>
      <c r="AN1650" s="949">
        <v>42.37232306080935</v>
      </c>
      <c r="AO1650" s="948">
        <v>42.372323060809343</v>
      </c>
      <c r="AP1650" s="949">
        <v>37.609322068486996</v>
      </c>
      <c r="AQ1650" s="949">
        <v>46.39344223463408</v>
      </c>
      <c r="AR1650" s="949">
        <v>46.15764064181257</v>
      </c>
      <c r="AS1650" s="949">
        <v>53.749624284762277</v>
      </c>
      <c r="AT1650" s="948">
        <v>53.749624284762277</v>
      </c>
      <c r="AU1650" s="949">
        <v>49.839705396981344</v>
      </c>
      <c r="AV1650" s="949">
        <v>47.774187852621772</v>
      </c>
      <c r="AW1650" s="949">
        <v>39.73314290568522</v>
      </c>
      <c r="AX1650" s="949">
        <v>46.285764121111114</v>
      </c>
      <c r="AY1650" s="948">
        <v>46.285764121111114</v>
      </c>
      <c r="AZ1650" s="949">
        <v>48.551759338008694</v>
      </c>
      <c r="BA1650" s="949">
        <v>36.160661405198127</v>
      </c>
      <c r="BB1650" s="949">
        <v>36.044594751777097</v>
      </c>
      <c r="BC1650" s="949">
        <v>33.99163336129709</v>
      </c>
      <c r="BD1650" s="948">
        <v>33.991633361297097</v>
      </c>
      <c r="BE1650" s="949">
        <v>33.292791866308285</v>
      </c>
      <c r="BF1650" s="949">
        <v>32.898439585332248</v>
      </c>
      <c r="BG1650" s="949">
        <v>40.19469693847865</v>
      </c>
      <c r="BH1650" s="949">
        <v>43.509353353165373</v>
      </c>
      <c r="BI1650" s="950">
        <v>43.509353353165373</v>
      </c>
      <c r="BJ1650" s="951">
        <v>35</v>
      </c>
      <c r="BK1650" s="951">
        <v>35</v>
      </c>
      <c r="BL1650" s="951">
        <v>35</v>
      </c>
      <c r="BM1650" s="951">
        <v>35</v>
      </c>
      <c r="BN1650" s="948">
        <v>35</v>
      </c>
      <c r="BO1650" s="951">
        <v>35</v>
      </c>
      <c r="BP1650" s="951">
        <v>35</v>
      </c>
      <c r="BQ1650" s="951">
        <v>35</v>
      </c>
      <c r="BR1650" s="951">
        <v>35</v>
      </c>
      <c r="BS1650" s="948">
        <v>35</v>
      </c>
      <c r="BT1650" s="952">
        <v>35</v>
      </c>
      <c r="BU1650" s="952">
        <v>35</v>
      </c>
      <c r="BV1650" s="952">
        <v>35</v>
      </c>
      <c r="BW1650" s="953"/>
    </row>
    <row r="1651" spans="1:75" s="961" customFormat="1" ht="14.25" x14ac:dyDescent="0.45">
      <c r="A1651" s="955" t="s">
        <v>1446</v>
      </c>
      <c r="B1651" s="956"/>
      <c r="C1651" s="957"/>
      <c r="D1651" s="957">
        <v>115.29776953174795</v>
      </c>
      <c r="E1651" s="957">
        <v>124.50493581578644</v>
      </c>
      <c r="F1651" s="957">
        <v>138.5382551951113</v>
      </c>
      <c r="G1651" s="958"/>
      <c r="H1651" s="958"/>
      <c r="I1651" s="958"/>
      <c r="J1651" s="958"/>
      <c r="K1651" s="957">
        <v>128.76558110654622</v>
      </c>
      <c r="L1651" s="958"/>
      <c r="M1651" s="958">
        <v>143.86089977682144</v>
      </c>
      <c r="N1651" s="958">
        <v>157.08749875717513</v>
      </c>
      <c r="O1651" s="958">
        <v>136.91804262822069</v>
      </c>
      <c r="P1651" s="957">
        <v>136.91804262822063</v>
      </c>
      <c r="Q1651" s="958">
        <v>141.38225306028346</v>
      </c>
      <c r="R1651" s="958">
        <v>153.60727773132922</v>
      </c>
      <c r="S1651" s="958">
        <v>166.34931797075274</v>
      </c>
      <c r="T1651" s="958">
        <v>152.63516831547793</v>
      </c>
      <c r="U1651" s="957">
        <v>152.63516831547796</v>
      </c>
      <c r="V1651" s="958">
        <v>164.62770254120801</v>
      </c>
      <c r="W1651" s="958">
        <v>174.94461465388329</v>
      </c>
      <c r="X1651" s="958">
        <v>166.21224168534417</v>
      </c>
      <c r="Y1651" s="958">
        <v>160.32283237619922</v>
      </c>
      <c r="Z1651" s="957">
        <v>160.32283237619922</v>
      </c>
      <c r="AA1651" s="958">
        <v>139.58150663569612</v>
      </c>
      <c r="AB1651" s="958">
        <v>109.58011112239259</v>
      </c>
      <c r="AC1651" s="958">
        <v>104.21946405809109</v>
      </c>
      <c r="AD1651" s="958">
        <v>82.121678057385822</v>
      </c>
      <c r="AE1651" s="957">
        <v>82.121678057385822</v>
      </c>
      <c r="AF1651" s="958">
        <v>93.30308426640363</v>
      </c>
      <c r="AG1651" s="958">
        <v>101.11280740192548</v>
      </c>
      <c r="AH1651" s="958">
        <v>102.54271014327279</v>
      </c>
      <c r="AI1651" s="958">
        <v>89.393508006169299</v>
      </c>
      <c r="AJ1651" s="957">
        <v>89.393508006169299</v>
      </c>
      <c r="AK1651" s="958">
        <v>90.818224590986986</v>
      </c>
      <c r="AL1651" s="958">
        <v>83.533185252902413</v>
      </c>
      <c r="AM1651" s="958">
        <v>73.142602898148652</v>
      </c>
      <c r="AN1651" s="958">
        <v>67.223678820030443</v>
      </c>
      <c r="AO1651" s="957">
        <v>67.223678820030415</v>
      </c>
      <c r="AP1651" s="958">
        <v>91.832587324359594</v>
      </c>
      <c r="AQ1651" s="958">
        <v>85.298707312125401</v>
      </c>
      <c r="AR1651" s="958">
        <v>84.246699527454325</v>
      </c>
      <c r="AS1651" s="958">
        <v>83.913229164238899</v>
      </c>
      <c r="AT1651" s="957">
        <v>83.913229164238899</v>
      </c>
      <c r="AU1651" s="958">
        <v>84.602810305182629</v>
      </c>
      <c r="AV1651" s="958">
        <v>87.774298130682354</v>
      </c>
      <c r="AW1651" s="958">
        <v>88.729181275240961</v>
      </c>
      <c r="AX1651" s="958">
        <v>99.744930420716045</v>
      </c>
      <c r="AY1651" s="957">
        <v>99.744930420716045</v>
      </c>
      <c r="AZ1651" s="958">
        <v>113.54341023280902</v>
      </c>
      <c r="BA1651" s="958">
        <v>135.80846408011291</v>
      </c>
      <c r="BB1651" s="958">
        <v>133.30747258945945</v>
      </c>
      <c r="BC1651" s="958">
        <v>136.1781101472809</v>
      </c>
      <c r="BD1651" s="957">
        <v>136.1781101472809</v>
      </c>
      <c r="BE1651" s="958">
        <v>136.19416403788509</v>
      </c>
      <c r="BF1651" s="958">
        <v>134.75309397472697</v>
      </c>
      <c r="BG1651" s="958">
        <v>127.42428244452915</v>
      </c>
      <c r="BH1651" s="958">
        <v>133.82090294619212</v>
      </c>
      <c r="BI1651" s="959">
        <v>133.82090294619212</v>
      </c>
      <c r="BJ1651" s="958">
        <v>132</v>
      </c>
      <c r="BK1651" s="958">
        <v>132</v>
      </c>
      <c r="BL1651" s="958">
        <v>132</v>
      </c>
      <c r="BM1651" s="958">
        <v>132</v>
      </c>
      <c r="BN1651" s="957">
        <v>132.00000000000003</v>
      </c>
      <c r="BO1651" s="958">
        <v>132</v>
      </c>
      <c r="BP1651" s="958">
        <v>132</v>
      </c>
      <c r="BQ1651" s="958">
        <v>132</v>
      </c>
      <c r="BR1651" s="958">
        <v>132</v>
      </c>
      <c r="BS1651" s="957">
        <v>131.99999999999997</v>
      </c>
      <c r="BT1651" s="957">
        <v>132</v>
      </c>
      <c r="BU1651" s="957">
        <v>132</v>
      </c>
      <c r="BV1651" s="957">
        <v>132</v>
      </c>
      <c r="BW1651" s="960"/>
    </row>
    <row r="1652" spans="1:75" s="162" customFormat="1" ht="14.25" x14ac:dyDescent="0.45">
      <c r="A1652" s="657"/>
      <c r="B1652" s="729"/>
      <c r="C1652" s="730"/>
      <c r="D1652" s="730"/>
      <c r="E1652" s="730"/>
      <c r="F1652" s="730"/>
      <c r="G1652" s="473"/>
      <c r="H1652" s="473"/>
      <c r="I1652" s="473"/>
      <c r="J1652" s="473"/>
      <c r="K1652" s="730"/>
      <c r="L1652" s="473"/>
      <c r="M1652" s="473"/>
      <c r="N1652" s="473"/>
      <c r="O1652" s="473"/>
      <c r="P1652" s="730"/>
      <c r="Q1652" s="473"/>
      <c r="R1652" s="473"/>
      <c r="S1652" s="473"/>
      <c r="T1652" s="473"/>
      <c r="U1652" s="730"/>
      <c r="V1652" s="473"/>
      <c r="W1652" s="473"/>
      <c r="X1652" s="473"/>
      <c r="Y1652" s="473"/>
      <c r="Z1652" s="730"/>
      <c r="AA1652" s="473"/>
      <c r="AB1652" s="473"/>
      <c r="AC1652" s="473"/>
      <c r="AD1652" s="473"/>
      <c r="AE1652" s="730"/>
      <c r="AF1652" s="473"/>
      <c r="AG1652" s="473"/>
      <c r="AH1652" s="473"/>
      <c r="AI1652" s="473"/>
      <c r="AJ1652" s="730"/>
      <c r="AK1652" s="473"/>
      <c r="AL1652" s="473"/>
      <c r="AM1652" s="473"/>
      <c r="AN1652" s="473"/>
      <c r="AO1652" s="730"/>
      <c r="AP1652" s="473"/>
      <c r="AQ1652" s="473"/>
      <c r="AR1652" s="473"/>
      <c r="AS1652" s="473"/>
      <c r="AT1652" s="730"/>
      <c r="AU1652" s="473"/>
      <c r="AV1652" s="473"/>
      <c r="AW1652" s="473"/>
      <c r="AX1652" s="473"/>
      <c r="AY1652" s="730"/>
      <c r="AZ1652" s="473"/>
      <c r="BA1652" s="473"/>
      <c r="BB1652" s="473"/>
      <c r="BC1652" s="473"/>
      <c r="BD1652" s="730"/>
      <c r="BE1652" s="473"/>
      <c r="BF1652" s="473"/>
      <c r="BG1652" s="473"/>
      <c r="BH1652" s="473"/>
      <c r="BI1652" s="731"/>
      <c r="BJ1652" s="473"/>
      <c r="BK1652" s="473"/>
      <c r="BL1652" s="473"/>
      <c r="BM1652" s="473"/>
      <c r="BN1652" s="730"/>
      <c r="BO1652" s="473"/>
      <c r="BP1652" s="473"/>
      <c r="BQ1652" s="473"/>
      <c r="BR1652" s="473"/>
      <c r="BS1652" s="730"/>
      <c r="BT1652" s="730"/>
      <c r="BU1652" s="730"/>
      <c r="BV1652" s="730"/>
      <c r="BW1652" s="161"/>
    </row>
    <row r="1653" spans="1:75" s="177" customFormat="1" ht="14.25" x14ac:dyDescent="0.45">
      <c r="A1653" s="962" t="s">
        <v>1447</v>
      </c>
      <c r="B1653" s="660"/>
      <c r="C1653" s="417"/>
      <c r="D1653" s="417">
        <v>2.6348686253804588E-2</v>
      </c>
      <c r="E1653" s="417">
        <v>5.4869927897762613E-2</v>
      </c>
      <c r="F1653" s="417">
        <v>6.4564987435522178E-2</v>
      </c>
      <c r="G1653" s="378"/>
      <c r="H1653" s="378"/>
      <c r="I1653" s="378"/>
      <c r="J1653" s="378"/>
      <c r="K1653" s="417">
        <v>6.6509086946738197E-2</v>
      </c>
      <c r="L1653" s="378">
        <v>7.8515828546462038E-2</v>
      </c>
      <c r="M1653" s="378">
        <v>7.6640164649131134E-2</v>
      </c>
      <c r="N1653" s="378">
        <v>5.7841400737535929E-2</v>
      </c>
      <c r="O1653" s="378">
        <v>4.711093689589177E-2</v>
      </c>
      <c r="P1653" s="417">
        <v>4.711093689589177E-2</v>
      </c>
      <c r="Q1653" s="378">
        <v>5.1946519388255327E-2</v>
      </c>
      <c r="R1653" s="378">
        <v>4.0876627425331373E-2</v>
      </c>
      <c r="S1653" s="378">
        <v>4.3908487301451436E-2</v>
      </c>
      <c r="T1653" s="378">
        <v>3.7467887715824412E-2</v>
      </c>
      <c r="U1653" s="417">
        <v>3.7467887715824419E-2</v>
      </c>
      <c r="V1653" s="378">
        <v>5.2310042357273538E-2</v>
      </c>
      <c r="W1653" s="378">
        <v>4.5115439559027123E-2</v>
      </c>
      <c r="X1653" s="378">
        <v>5.1774800910824724E-2</v>
      </c>
      <c r="Y1653" s="378">
        <v>5.4880130930627657E-2</v>
      </c>
      <c r="Z1653" s="417">
        <v>5.4880130930627657E-2</v>
      </c>
      <c r="AA1653" s="378">
        <v>4.828964597288863E-2</v>
      </c>
      <c r="AB1653" s="378">
        <v>3.3577270212324505E-2</v>
      </c>
      <c r="AC1653" s="378">
        <v>3.1843111960739801E-2</v>
      </c>
      <c r="AD1653" s="378">
        <v>2.8106602234102974E-2</v>
      </c>
      <c r="AE1653" s="417">
        <v>2.8106602234102974E-2</v>
      </c>
      <c r="AF1653" s="378">
        <v>2.3888729213713815E-2</v>
      </c>
      <c r="AG1653" s="378">
        <v>3.0682592081502758E-2</v>
      </c>
      <c r="AH1653" s="378">
        <v>3.0508287835366629E-2</v>
      </c>
      <c r="AI1653" s="378">
        <v>4.1793097448050466E-2</v>
      </c>
      <c r="AJ1653" s="417">
        <v>4.1793097448050466E-2</v>
      </c>
      <c r="AK1653" s="378">
        <v>4.6589504403400837E-2</v>
      </c>
      <c r="AL1653" s="378">
        <v>3.8010108774207775E-2</v>
      </c>
      <c r="AM1653" s="378">
        <v>1.7609800735070208E-2</v>
      </c>
      <c r="AN1653" s="378">
        <v>2.3274963672412226E-2</v>
      </c>
      <c r="AO1653" s="417">
        <v>2.3274963672412226E-2</v>
      </c>
      <c r="AP1653" s="378">
        <v>2.5733132009774434E-2</v>
      </c>
      <c r="AQ1653" s="378">
        <v>2.3867716582652083E-2</v>
      </c>
      <c r="AR1653" s="378">
        <v>3.034800526883575E-2</v>
      </c>
      <c r="AS1653" s="378">
        <v>3.1844124149677772E-2</v>
      </c>
      <c r="AT1653" s="417">
        <v>3.1844124149677772E-2</v>
      </c>
      <c r="AU1653" s="378">
        <v>3.0907264569321215E-2</v>
      </c>
      <c r="AV1653" s="378">
        <v>3.8559938393086329E-2</v>
      </c>
      <c r="AW1653" s="378">
        <v>3.1597526519586257E-2</v>
      </c>
      <c r="AX1653" s="378">
        <v>3.1226555142305299E-2</v>
      </c>
      <c r="AY1653" s="417">
        <v>3.1226555142305296E-2</v>
      </c>
      <c r="AZ1653" s="378">
        <v>7.0403235010323403E-2</v>
      </c>
      <c r="BA1653" s="378">
        <v>6.5057213676954939E-2</v>
      </c>
      <c r="BB1653" s="378">
        <v>6.2957455266038631E-2</v>
      </c>
      <c r="BC1653" s="378">
        <v>3.8796237937187734E-2</v>
      </c>
      <c r="BD1653" s="417">
        <v>3.8796237937187734E-2</v>
      </c>
      <c r="BE1653" s="378">
        <v>3.8276903296131745E-2</v>
      </c>
      <c r="BF1653" s="378">
        <v>4.5212727500199605E-2</v>
      </c>
      <c r="BG1653" s="378">
        <v>4.218008627767178E-2</v>
      </c>
      <c r="BH1653" s="378">
        <v>5.5801574447546916E-2</v>
      </c>
      <c r="BI1653" s="418">
        <v>5.5801574447546916E-2</v>
      </c>
      <c r="BJ1653" s="766">
        <v>0.04</v>
      </c>
      <c r="BK1653" s="766">
        <v>0.04</v>
      </c>
      <c r="BL1653" s="766">
        <v>3.5000000000000003E-2</v>
      </c>
      <c r="BM1653" s="766">
        <v>3.5000000000000003E-2</v>
      </c>
      <c r="BN1653" s="417">
        <v>3.5000000000000003E-2</v>
      </c>
      <c r="BO1653" s="766">
        <v>0.04</v>
      </c>
      <c r="BP1653" s="766">
        <v>0.04</v>
      </c>
      <c r="BQ1653" s="766">
        <v>3.5000000000000003E-2</v>
      </c>
      <c r="BR1653" s="766">
        <v>3.5000000000000003E-2</v>
      </c>
      <c r="BS1653" s="417">
        <v>3.500000000000001E-2</v>
      </c>
      <c r="BT1653" s="767">
        <v>3.5000000000000003E-2</v>
      </c>
      <c r="BU1653" s="767">
        <v>3.5000000000000003E-2</v>
      </c>
      <c r="BV1653" s="767">
        <v>3.5000000000000003E-2</v>
      </c>
      <c r="BW1653" s="176"/>
    </row>
    <row r="1654" spans="1:75" s="177" customFormat="1" ht="14.25" x14ac:dyDescent="0.45">
      <c r="A1654" s="962" t="s">
        <v>1448</v>
      </c>
      <c r="B1654" s="660"/>
      <c r="C1654" s="417"/>
      <c r="D1654" s="417">
        <v>5.1971395738865771E-2</v>
      </c>
      <c r="E1654" s="417">
        <v>6.0802601859544676E-2</v>
      </c>
      <c r="F1654" s="417">
        <v>5.3430462865639704E-2</v>
      </c>
      <c r="G1654" s="378"/>
      <c r="H1654" s="378"/>
      <c r="I1654" s="378"/>
      <c r="J1654" s="378"/>
      <c r="K1654" s="417">
        <v>5.8332865881218172E-2</v>
      </c>
      <c r="L1654" s="378"/>
      <c r="M1654" s="378">
        <v>6.2750892629048927E-2</v>
      </c>
      <c r="N1654" s="378">
        <v>6.4300106639246762E-2</v>
      </c>
      <c r="O1654" s="378">
        <v>5.4672163014037538E-2</v>
      </c>
      <c r="P1654" s="417">
        <v>5.4672163014037538E-2</v>
      </c>
      <c r="Q1654" s="378">
        <v>4.8882493516107454E-2</v>
      </c>
      <c r="R1654" s="378">
        <v>5.0790043414702307E-2</v>
      </c>
      <c r="S1654" s="378">
        <v>5.510081803841968E-2</v>
      </c>
      <c r="T1654" s="378">
        <v>5.0113655437680121E-2</v>
      </c>
      <c r="U1654" s="417">
        <v>5.0113655437680128E-2</v>
      </c>
      <c r="V1654" s="378">
        <v>4.6888516757803506E-2</v>
      </c>
      <c r="W1654" s="378">
        <v>4.2183546511841405E-2</v>
      </c>
      <c r="X1654" s="378">
        <v>4.9905870209754781E-2</v>
      </c>
      <c r="Y1654" s="378">
        <v>4.3215725915055285E-2</v>
      </c>
      <c r="Z1654" s="417">
        <v>4.3215725915055285E-2</v>
      </c>
      <c r="AA1654" s="378">
        <v>4.8516280428910173E-2</v>
      </c>
      <c r="AB1654" s="378">
        <v>4.8146915416003869E-2</v>
      </c>
      <c r="AC1654" s="378">
        <v>5.1628521780457737E-2</v>
      </c>
      <c r="AD1654" s="378">
        <v>5.0591474214543714E-2</v>
      </c>
      <c r="AE1654" s="417">
        <v>5.0591474214543714E-2</v>
      </c>
      <c r="AF1654" s="378">
        <v>4.0291110654896323E-2</v>
      </c>
      <c r="AG1654" s="378">
        <v>4.885711824433598E-2</v>
      </c>
      <c r="AH1654" s="378">
        <v>5.3725324413775824E-2</v>
      </c>
      <c r="AI1654" s="378">
        <v>5.4836803021008892E-2</v>
      </c>
      <c r="AJ1654" s="417">
        <v>5.4836803021008892E-2</v>
      </c>
      <c r="AK1654" s="378">
        <v>4.4401940103696289E-2</v>
      </c>
      <c r="AL1654" s="378">
        <v>5.5171827725173629E-2</v>
      </c>
      <c r="AM1654" s="378">
        <v>5.6872589841076508E-2</v>
      </c>
      <c r="AN1654" s="378">
        <v>5.6505593900818038E-2</v>
      </c>
      <c r="AO1654" s="417">
        <v>5.6505593900818038E-2</v>
      </c>
      <c r="AP1654" s="378">
        <v>5.2565038818505071E-2</v>
      </c>
      <c r="AQ1654" s="378">
        <v>5.6647409790352148E-2</v>
      </c>
      <c r="AR1654" s="378">
        <v>6.2037283158458238E-2</v>
      </c>
      <c r="AS1654" s="378">
        <v>6.4988875338496524E-2</v>
      </c>
      <c r="AT1654" s="417">
        <v>6.4988875338496524E-2</v>
      </c>
      <c r="AU1654" s="378">
        <v>4.8817256222875215E-2</v>
      </c>
      <c r="AV1654" s="378">
        <v>5.367160092410371E-2</v>
      </c>
      <c r="AW1654" s="378">
        <v>5.1670226235956511E-2</v>
      </c>
      <c r="AX1654" s="378">
        <v>5.3299705758722157E-2</v>
      </c>
      <c r="AY1654" s="417">
        <v>5.329970575872215E-2</v>
      </c>
      <c r="AZ1654" s="378">
        <v>4.5239305686687492E-2</v>
      </c>
      <c r="BA1654" s="378">
        <v>4.9198811533505901E-2</v>
      </c>
      <c r="BB1654" s="378">
        <v>5.6301214899593326E-2</v>
      </c>
      <c r="BC1654" s="378">
        <v>5.8172493515485549E-2</v>
      </c>
      <c r="BD1654" s="417">
        <v>5.8172493515485549E-2</v>
      </c>
      <c r="BE1654" s="378">
        <v>4.8990213640529877E-2</v>
      </c>
      <c r="BF1654" s="378">
        <v>6.5113670727390799E-2</v>
      </c>
      <c r="BG1654" s="378">
        <v>7.187782063188683E-2</v>
      </c>
      <c r="BH1654" s="378">
        <v>5.7521542517544655E-2</v>
      </c>
      <c r="BI1654" s="418">
        <v>5.7521542517544655E-2</v>
      </c>
      <c r="BJ1654" s="766">
        <v>0.05</v>
      </c>
      <c r="BK1654" s="766">
        <v>0.05</v>
      </c>
      <c r="BL1654" s="766">
        <v>5.5E-2</v>
      </c>
      <c r="BM1654" s="766">
        <v>5.5E-2</v>
      </c>
      <c r="BN1654" s="417">
        <v>5.5E-2</v>
      </c>
      <c r="BO1654" s="766">
        <v>0.05</v>
      </c>
      <c r="BP1654" s="766">
        <v>0.05</v>
      </c>
      <c r="BQ1654" s="766">
        <v>5.5E-2</v>
      </c>
      <c r="BR1654" s="766">
        <v>5.5E-2</v>
      </c>
      <c r="BS1654" s="417">
        <v>5.5000000000000007E-2</v>
      </c>
      <c r="BT1654" s="767">
        <v>5.5E-2</v>
      </c>
      <c r="BU1654" s="767">
        <v>5.5E-2</v>
      </c>
      <c r="BV1654" s="767">
        <v>5.5E-2</v>
      </c>
      <c r="BW1654" s="176"/>
    </row>
    <row r="1655" spans="1:75" s="177" customFormat="1" ht="14.25" x14ac:dyDescent="0.45">
      <c r="A1655" s="962" t="s">
        <v>1449</v>
      </c>
      <c r="B1655" s="660"/>
      <c r="C1655" s="417"/>
      <c r="D1655" s="417">
        <v>1.8118361388906143E-2</v>
      </c>
      <c r="E1655" s="417">
        <v>2.6531076607061593E-2</v>
      </c>
      <c r="F1655" s="417">
        <v>3.4904773160464891E-2</v>
      </c>
      <c r="G1655" s="378"/>
      <c r="H1655" s="378"/>
      <c r="I1655" s="378"/>
      <c r="J1655" s="378"/>
      <c r="K1655" s="417">
        <v>3.1546247777990553E-2</v>
      </c>
      <c r="L1655" s="378">
        <v>3.337690097891053E-2</v>
      </c>
      <c r="M1655" s="378">
        <v>4.2692075660881325E-2</v>
      </c>
      <c r="N1655" s="378">
        <v>3.9812934378432113E-2</v>
      </c>
      <c r="O1655" s="378">
        <v>3.9385848512012815E-2</v>
      </c>
      <c r="P1655" s="417">
        <v>3.9385848512012815E-2</v>
      </c>
      <c r="Q1655" s="378">
        <v>3.9818820105707337E-2</v>
      </c>
      <c r="R1655" s="378">
        <v>4.3230406417503302E-2</v>
      </c>
      <c r="S1655" s="378">
        <v>4.3454592142429166E-2</v>
      </c>
      <c r="T1655" s="378">
        <v>5.062527086219764E-2</v>
      </c>
      <c r="U1655" s="417">
        <v>5.0625270862197647E-2</v>
      </c>
      <c r="V1655" s="378">
        <v>5.4967350866029531E-2</v>
      </c>
      <c r="W1655" s="378">
        <v>6.3015732243387051E-2</v>
      </c>
      <c r="X1655" s="378">
        <v>6.5853957391295237E-2</v>
      </c>
      <c r="Y1655" s="378">
        <v>6.8349797247702557E-2</v>
      </c>
      <c r="Z1655" s="417">
        <v>6.8349797247702557E-2</v>
      </c>
      <c r="AA1655" s="378">
        <v>7.502894273687874E-2</v>
      </c>
      <c r="AB1655" s="378">
        <v>7.6211183346012859E-2</v>
      </c>
      <c r="AC1655" s="378">
        <v>7.068660795176071E-2</v>
      </c>
      <c r="AD1655" s="378">
        <v>6.1226781368869596E-2</v>
      </c>
      <c r="AE1655" s="417">
        <v>6.1226781368869596E-2</v>
      </c>
      <c r="AF1655" s="378">
        <v>7.0777663724081299E-2</v>
      </c>
      <c r="AG1655" s="378">
        <v>6.7038145903326019E-2</v>
      </c>
      <c r="AH1655" s="378">
        <v>6.5892712221717914E-2</v>
      </c>
      <c r="AI1655" s="378">
        <v>6.0900292259143632E-2</v>
      </c>
      <c r="AJ1655" s="417">
        <v>6.0900292259143632E-2</v>
      </c>
      <c r="AK1655" s="378">
        <v>6.8423524385589338E-2</v>
      </c>
      <c r="AL1655" s="378">
        <v>6.335630596420741E-2</v>
      </c>
      <c r="AM1655" s="378">
        <v>6.2944532048518256E-2</v>
      </c>
      <c r="AN1655" s="378">
        <v>6.1354812220271907E-2</v>
      </c>
      <c r="AO1655" s="417">
        <v>6.1354812220271907E-2</v>
      </c>
      <c r="AP1655" s="378">
        <v>7.4666131629429311E-2</v>
      </c>
      <c r="AQ1655" s="378">
        <v>9.0776386280077281E-2</v>
      </c>
      <c r="AR1655" s="378">
        <v>0.10179233708702094</v>
      </c>
      <c r="AS1655" s="378">
        <v>9.8518022372891353E-2</v>
      </c>
      <c r="AT1655" s="417">
        <v>9.8518022372891353E-2</v>
      </c>
      <c r="AU1655" s="378">
        <v>0.11263022144890955</v>
      </c>
      <c r="AV1655" s="378">
        <v>0.11327714554633352</v>
      </c>
      <c r="AW1655" s="378">
        <v>0.10496617841279099</v>
      </c>
      <c r="AX1655" s="378">
        <v>0.10320605934841254</v>
      </c>
      <c r="AY1655" s="417">
        <v>0.10320605934841252</v>
      </c>
      <c r="AZ1655" s="378">
        <v>0.11328890986999783</v>
      </c>
      <c r="BA1655" s="378">
        <v>0.10127055393601118</v>
      </c>
      <c r="BB1655" s="378">
        <v>9.7054628419937117E-2</v>
      </c>
      <c r="BC1655" s="378">
        <v>9.0727220923570884E-2</v>
      </c>
      <c r="BD1655" s="417">
        <v>9.0727220923570884E-2</v>
      </c>
      <c r="BE1655" s="378">
        <v>0.10228603402911979</v>
      </c>
      <c r="BF1655" s="378">
        <v>0.10405833510938933</v>
      </c>
      <c r="BG1655" s="378">
        <v>9.890300372303007E-2</v>
      </c>
      <c r="BH1655" s="378">
        <v>9.3364224532092754E-2</v>
      </c>
      <c r="BI1655" s="418">
        <v>9.3364224532092754E-2</v>
      </c>
      <c r="BJ1655" s="766">
        <v>0.1</v>
      </c>
      <c r="BK1655" s="766">
        <v>0.1</v>
      </c>
      <c r="BL1655" s="766">
        <v>9.5000000000000001E-2</v>
      </c>
      <c r="BM1655" s="766">
        <v>9.5000000000000001E-2</v>
      </c>
      <c r="BN1655" s="417">
        <v>9.5000000000000001E-2</v>
      </c>
      <c r="BO1655" s="766">
        <v>0.1</v>
      </c>
      <c r="BP1655" s="766">
        <v>0.1</v>
      </c>
      <c r="BQ1655" s="766">
        <v>9.5000000000000001E-2</v>
      </c>
      <c r="BR1655" s="766">
        <v>9.5000000000000001E-2</v>
      </c>
      <c r="BS1655" s="417">
        <v>9.5000000000000001E-2</v>
      </c>
      <c r="BT1655" s="767">
        <v>9.5000000000000001E-2</v>
      </c>
      <c r="BU1655" s="767">
        <v>9.5000000000000001E-2</v>
      </c>
      <c r="BV1655" s="767">
        <v>9.5000000000000001E-2</v>
      </c>
      <c r="BW1655" s="176"/>
    </row>
    <row r="1656" spans="1:75" s="162" customFormat="1" ht="14.25" x14ac:dyDescent="0.45">
      <c r="A1656" s="526"/>
      <c r="B1656" s="734"/>
      <c r="C1656" s="186"/>
      <c r="D1656" s="186"/>
      <c r="E1656" s="186"/>
      <c r="F1656" s="186"/>
      <c r="G1656" s="187"/>
      <c r="H1656" s="187"/>
      <c r="I1656" s="187"/>
      <c r="J1656" s="187"/>
      <c r="K1656" s="186"/>
      <c r="L1656" s="187"/>
      <c r="M1656" s="187"/>
      <c r="N1656" s="187"/>
      <c r="O1656" s="187"/>
      <c r="P1656" s="186"/>
      <c r="Q1656" s="187"/>
      <c r="R1656" s="187"/>
      <c r="S1656" s="187"/>
      <c r="T1656" s="187"/>
      <c r="U1656" s="186"/>
      <c r="V1656" s="187"/>
      <c r="W1656" s="187"/>
      <c r="X1656" s="187"/>
      <c r="Y1656" s="187"/>
      <c r="Z1656" s="186"/>
      <c r="AA1656" s="187"/>
      <c r="AB1656" s="187"/>
      <c r="AC1656" s="187"/>
      <c r="AD1656" s="187"/>
      <c r="AE1656" s="186"/>
      <c r="AF1656" s="187"/>
      <c r="AG1656" s="187"/>
      <c r="AH1656" s="187"/>
      <c r="AI1656" s="187"/>
      <c r="AJ1656" s="186"/>
      <c r="AK1656" s="187"/>
      <c r="AL1656" s="187"/>
      <c r="AM1656" s="187"/>
      <c r="AN1656" s="187"/>
      <c r="AO1656" s="186"/>
      <c r="AP1656" s="187"/>
      <c r="AQ1656" s="187"/>
      <c r="AR1656" s="187"/>
      <c r="AS1656" s="187"/>
      <c r="AT1656" s="186"/>
      <c r="AU1656" s="187"/>
      <c r="AV1656" s="187"/>
      <c r="AW1656" s="187"/>
      <c r="AX1656" s="187"/>
      <c r="AY1656" s="186"/>
      <c r="AZ1656" s="187"/>
      <c r="BA1656" s="187"/>
      <c r="BB1656" s="187"/>
      <c r="BC1656" s="187"/>
      <c r="BD1656" s="186"/>
      <c r="BE1656" s="187"/>
      <c r="BF1656" s="187"/>
      <c r="BG1656" s="187"/>
      <c r="BH1656" s="187"/>
      <c r="BI1656" s="188"/>
      <c r="BJ1656" s="187"/>
      <c r="BK1656" s="187"/>
      <c r="BL1656" s="187"/>
      <c r="BM1656" s="187"/>
      <c r="BN1656" s="186"/>
      <c r="BO1656" s="187"/>
      <c r="BP1656" s="187"/>
      <c r="BQ1656" s="187"/>
      <c r="BR1656" s="187"/>
      <c r="BS1656" s="186"/>
      <c r="BT1656" s="186"/>
      <c r="BU1656" s="186"/>
      <c r="BV1656" s="186"/>
      <c r="BW1656" s="161"/>
    </row>
    <row r="1657" spans="1:75" s="162" customFormat="1" ht="14.25" x14ac:dyDescent="0.45">
      <c r="A1657" s="963" t="s">
        <v>1450</v>
      </c>
      <c r="B1657" s="964"/>
      <c r="C1657" s="965"/>
      <c r="D1657" s="965"/>
      <c r="E1657" s="965"/>
      <c r="F1657" s="965"/>
      <c r="G1657" s="965"/>
      <c r="H1657" s="965"/>
      <c r="I1657" s="965"/>
      <c r="J1657" s="965"/>
      <c r="K1657" s="965"/>
      <c r="L1657" s="965"/>
      <c r="M1657" s="965"/>
      <c r="N1657" s="965"/>
      <c r="O1657" s="965"/>
      <c r="P1657" s="965"/>
      <c r="Q1657" s="965"/>
      <c r="R1657" s="965"/>
      <c r="S1657" s="965"/>
      <c r="T1657" s="965"/>
      <c r="U1657" s="965"/>
      <c r="V1657" s="965"/>
      <c r="W1657" s="965"/>
      <c r="X1657" s="965"/>
      <c r="Y1657" s="965"/>
      <c r="Z1657" s="965"/>
      <c r="AA1657" s="965"/>
      <c r="AB1657" s="965"/>
      <c r="AC1657" s="965"/>
      <c r="AD1657" s="965"/>
      <c r="AE1657" s="965"/>
      <c r="AF1657" s="965"/>
      <c r="AG1657" s="965"/>
      <c r="AH1657" s="965"/>
      <c r="AI1657" s="965"/>
      <c r="AJ1657" s="965"/>
      <c r="AK1657" s="965"/>
      <c r="AL1657" s="965"/>
      <c r="AM1657" s="965"/>
      <c r="AN1657" s="965"/>
      <c r="AO1657" s="965"/>
      <c r="AP1657" s="965"/>
      <c r="AQ1657" s="965"/>
      <c r="AR1657" s="965"/>
      <c r="AS1657" s="965"/>
      <c r="AT1657" s="965"/>
      <c r="AU1657" s="965"/>
      <c r="AV1657" s="965"/>
      <c r="AW1657" s="965"/>
      <c r="AX1657" s="965"/>
      <c r="AY1657" s="965"/>
      <c r="AZ1657" s="965"/>
      <c r="BA1657" s="965"/>
      <c r="BB1657" s="965"/>
      <c r="BC1657" s="965"/>
      <c r="BD1657" s="965"/>
      <c r="BE1657" s="965"/>
      <c r="BF1657" s="965"/>
      <c r="BG1657" s="965"/>
      <c r="BH1657" s="965"/>
      <c r="BI1657" s="966"/>
      <c r="BJ1657" s="965"/>
      <c r="BK1657" s="965"/>
      <c r="BL1657" s="965"/>
      <c r="BM1657" s="965"/>
      <c r="BN1657" s="965"/>
      <c r="BO1657" s="965"/>
      <c r="BP1657" s="965"/>
      <c r="BQ1657" s="965"/>
      <c r="BR1657" s="965"/>
      <c r="BS1657" s="965"/>
      <c r="BT1657" s="965"/>
      <c r="BU1657" s="965"/>
      <c r="BV1657" s="965"/>
      <c r="BW1657" s="161"/>
    </row>
    <row r="1658" spans="1:75" s="198" customFormat="1" ht="14.25" x14ac:dyDescent="0.45">
      <c r="A1658" s="206" t="s">
        <v>1451</v>
      </c>
      <c r="B1658" s="522"/>
      <c r="C1658" s="208"/>
      <c r="D1658" s="208"/>
      <c r="E1658" s="208">
        <v>76.45</v>
      </c>
      <c r="F1658" s="208">
        <v>83.558000000000007</v>
      </c>
      <c r="G1658" s="209">
        <v>111.40600000000001</v>
      </c>
      <c r="H1658" s="209">
        <v>123.09099999999999</v>
      </c>
      <c r="I1658" s="209">
        <v>154.00800000000001</v>
      </c>
      <c r="J1658" s="209">
        <v>190.06899999999999</v>
      </c>
      <c r="K1658" s="208">
        <v>111.40600000000001</v>
      </c>
      <c r="L1658" s="209">
        <v>214.90899999999999</v>
      </c>
      <c r="M1658" s="209">
        <v>241.053</v>
      </c>
      <c r="N1658" s="209">
        <v>261.87200000000001</v>
      </c>
      <c r="O1658" s="209">
        <v>331.988</v>
      </c>
      <c r="P1658" s="208">
        <v>214.90899999999999</v>
      </c>
      <c r="Q1658" s="209">
        <v>390.84399999999999</v>
      </c>
      <c r="R1658" s="209">
        <v>458.113</v>
      </c>
      <c r="S1658" s="209">
        <v>503.45600000000002</v>
      </c>
      <c r="T1658" s="209">
        <v>556.59400000000005</v>
      </c>
      <c r="U1658" s="208">
        <v>390.84399999999999</v>
      </c>
      <c r="V1658" s="209">
        <v>515.60500000000002</v>
      </c>
      <c r="W1658" s="209">
        <v>558.43100000000004</v>
      </c>
      <c r="X1658" s="209">
        <v>600.68499999999995</v>
      </c>
      <c r="Y1658" s="209">
        <v>656.56899999999996</v>
      </c>
      <c r="Z1658" s="208">
        <v>515.60500000000002</v>
      </c>
      <c r="AA1658" s="209">
        <v>682.05600000000004</v>
      </c>
      <c r="AB1658" s="209">
        <v>702.74099999999999</v>
      </c>
      <c r="AC1658" s="209">
        <v>744.46</v>
      </c>
      <c r="AD1658" s="209">
        <v>778.32</v>
      </c>
      <c r="AE1658" s="208">
        <v>682.05600000000004</v>
      </c>
      <c r="AF1658" s="209">
        <v>800.69799999999998</v>
      </c>
      <c r="AG1658" s="209">
        <v>811.36900000000003</v>
      </c>
      <c r="AH1658" s="209">
        <v>833.23199999999997</v>
      </c>
      <c r="AI1658" s="209">
        <v>856.23</v>
      </c>
      <c r="AJ1658" s="208">
        <v>800.69799999999998</v>
      </c>
      <c r="AK1658" s="209">
        <v>863.56200000000001</v>
      </c>
      <c r="AL1658" s="209">
        <v>954.14200000000005</v>
      </c>
      <c r="AM1658" s="209">
        <v>950.59400000000005</v>
      </c>
      <c r="AN1658" s="209">
        <v>969.09</v>
      </c>
      <c r="AO1658" s="208">
        <v>863.56200000000001</v>
      </c>
      <c r="AP1658" s="209">
        <v>967.59900000000005</v>
      </c>
      <c r="AQ1658" s="209">
        <v>953.73800000000006</v>
      </c>
      <c r="AR1658" s="209">
        <v>1053.4349999999999</v>
      </c>
      <c r="AS1658" s="209">
        <v>1051.825</v>
      </c>
      <c r="AT1658" s="208">
        <v>967.59900000000005</v>
      </c>
      <c r="AU1658" s="209">
        <v>1077.1980000000001</v>
      </c>
      <c r="AV1658" s="209">
        <v>1103.6679999999999</v>
      </c>
      <c r="AW1658" s="209">
        <v>1131.501</v>
      </c>
      <c r="AX1658" s="209">
        <v>1196.335</v>
      </c>
      <c r="AY1658" s="208">
        <v>1077.1980000000001</v>
      </c>
      <c r="AZ1658" s="209">
        <v>1227.92</v>
      </c>
      <c r="BA1658" s="209">
        <v>1357.0640000000001</v>
      </c>
      <c r="BB1658" s="209">
        <v>1554.88</v>
      </c>
      <c r="BC1658" s="209">
        <v>1577.9</v>
      </c>
      <c r="BD1658" s="208">
        <v>1227.92</v>
      </c>
      <c r="BE1658" s="209">
        <v>1635.9839999999999</v>
      </c>
      <c r="BF1658" s="209">
        <v>1640.596</v>
      </c>
      <c r="BG1658" s="209">
        <v>1655.326</v>
      </c>
      <c r="BH1658" s="209">
        <v>1665.4829999999999</v>
      </c>
      <c r="BI1658" s="210">
        <v>1635.9839999999999</v>
      </c>
      <c r="BJ1658" s="209">
        <v>1685.8579999999999</v>
      </c>
      <c r="BK1658" s="209">
        <v>1716.8920974999999</v>
      </c>
      <c r="BL1658" s="209">
        <v>1747.5770614031248</v>
      </c>
      <c r="BM1658" s="209">
        <v>1777.9168194623396</v>
      </c>
      <c r="BN1658" s="208">
        <v>1685.8579999999999</v>
      </c>
      <c r="BO1658" s="209">
        <v>1807.9152552433884</v>
      </c>
      <c r="BP1658" s="209">
        <v>1837.5762086219004</v>
      </c>
      <c r="BQ1658" s="209">
        <v>1866.9034762749041</v>
      </c>
      <c r="BR1658" s="209">
        <v>1895.9008121668114</v>
      </c>
      <c r="BS1658" s="208">
        <v>1807.9152552433884</v>
      </c>
      <c r="BT1658" s="208">
        <v>1924.5719280299347</v>
      </c>
      <c r="BU1658" s="208">
        <v>2037.9661912685874</v>
      </c>
      <c r="BV1658" s="208">
        <v>2146.257712661501</v>
      </c>
      <c r="BW1658" s="197"/>
    </row>
    <row r="1659" spans="1:75" s="198" customFormat="1" ht="14.25" x14ac:dyDescent="0.45">
      <c r="A1659" s="184" t="s">
        <v>1452</v>
      </c>
      <c r="B1659" s="513"/>
      <c r="C1659" s="186"/>
      <c r="D1659" s="186"/>
      <c r="E1659" s="186">
        <v>-26.2</v>
      </c>
      <c r="F1659" s="186">
        <v>-24.3</v>
      </c>
      <c r="G1659" s="187">
        <v>-6.3414999999999999</v>
      </c>
      <c r="H1659" s="187">
        <v>-6.3094999999999999</v>
      </c>
      <c r="I1659" s="187">
        <v>-6.4424999999999999</v>
      </c>
      <c r="J1659" s="187">
        <v>-7.4065000000000003</v>
      </c>
      <c r="K1659" s="186">
        <v>-26.5</v>
      </c>
      <c r="L1659" s="187">
        <v>-7.449250000000001</v>
      </c>
      <c r="M1659" s="187">
        <v>-8.1472500000000014</v>
      </c>
      <c r="N1659" s="187">
        <v>-8.8262500000000017</v>
      </c>
      <c r="O1659" s="187">
        <v>-9.2772500000000004</v>
      </c>
      <c r="P1659" s="186">
        <v>-33.700000000000003</v>
      </c>
      <c r="Q1659" s="187">
        <v>-9.8802500000000002</v>
      </c>
      <c r="R1659" s="187">
        <v>-10.796250000000001</v>
      </c>
      <c r="S1659" s="187">
        <v>-11.132249999999999</v>
      </c>
      <c r="T1659" s="187">
        <v>-12.391250000000003</v>
      </c>
      <c r="U1659" s="186">
        <v>-44.2</v>
      </c>
      <c r="V1659" s="187">
        <v>-12.530250000000001</v>
      </c>
      <c r="W1659" s="187">
        <v>-13.63425</v>
      </c>
      <c r="X1659" s="187">
        <v>-15.012249999999998</v>
      </c>
      <c r="Y1659" s="187">
        <v>-15.72325</v>
      </c>
      <c r="Z1659" s="186">
        <v>-56.9</v>
      </c>
      <c r="AA1659" s="187">
        <v>-15.986249999999998</v>
      </c>
      <c r="AB1659" s="187">
        <v>-16.492249999999999</v>
      </c>
      <c r="AC1659" s="187">
        <v>-18.512249999999998</v>
      </c>
      <c r="AD1659" s="187">
        <v>-19.009250000000005</v>
      </c>
      <c r="AE1659" s="186">
        <v>-70</v>
      </c>
      <c r="AF1659" s="187">
        <v>-16.846</v>
      </c>
      <c r="AG1659" s="187">
        <v>-12.753</v>
      </c>
      <c r="AH1659" s="187">
        <v>-15.083999999999998</v>
      </c>
      <c r="AI1659" s="187">
        <v>-17.841000000000001</v>
      </c>
      <c r="AJ1659" s="186">
        <v>-62.6</v>
      </c>
      <c r="AK1659" s="187">
        <v>-18.324999999999999</v>
      </c>
      <c r="AL1659" s="187">
        <v>-16.073999999999998</v>
      </c>
      <c r="AM1659" s="187">
        <v>-13.951999999999995</v>
      </c>
      <c r="AN1659" s="187">
        <v>-15.349000000000011</v>
      </c>
      <c r="AO1659" s="186">
        <v>-63.7</v>
      </c>
      <c r="AP1659" s="187">
        <v>-15.270000000000001</v>
      </c>
      <c r="AQ1659" s="187">
        <v>-15.205000000000002</v>
      </c>
      <c r="AR1659" s="187">
        <v>-15.622999999999999</v>
      </c>
      <c r="AS1659" s="187">
        <v>-12.602000000000004</v>
      </c>
      <c r="AT1659" s="186">
        <v>-58.7</v>
      </c>
      <c r="AU1659" s="187">
        <v>-12.953499999999998</v>
      </c>
      <c r="AV1659" s="187">
        <v>-11.859499999999997</v>
      </c>
      <c r="AW1659" s="187">
        <v>-13.944500000000001</v>
      </c>
      <c r="AX1659" s="187">
        <v>-13.242500000000003</v>
      </c>
      <c r="AY1659" s="186">
        <v>-52</v>
      </c>
      <c r="AZ1659" s="187">
        <v>-13.1995</v>
      </c>
      <c r="BA1659" s="187">
        <v>-14.037500000000003</v>
      </c>
      <c r="BB1659" s="187">
        <v>-14.007500000000004</v>
      </c>
      <c r="BC1659" s="187">
        <v>-14.755499999999989</v>
      </c>
      <c r="BD1659" s="186">
        <v>-56</v>
      </c>
      <c r="BE1659" s="187">
        <v>-13.967749999999999</v>
      </c>
      <c r="BF1659" s="187">
        <v>-14.396749999999999</v>
      </c>
      <c r="BG1659" s="187">
        <v>-14.63175</v>
      </c>
      <c r="BH1659" s="187">
        <v>-21.003750000000011</v>
      </c>
      <c r="BI1659" s="188">
        <v>-64</v>
      </c>
      <c r="BJ1659" s="187">
        <v>-18.965902499999999</v>
      </c>
      <c r="BK1659" s="187">
        <v>-19.315036096874998</v>
      </c>
      <c r="BL1659" s="187">
        <v>-19.660241940785152</v>
      </c>
      <c r="BM1659" s="187">
        <v>-20.001564218951319</v>
      </c>
      <c r="BN1659" s="186">
        <v>-77.942744756611461</v>
      </c>
      <c r="BO1659" s="187">
        <v>-20.339046621488119</v>
      </c>
      <c r="BP1659" s="187">
        <v>-20.67273234699638</v>
      </c>
      <c r="BQ1659" s="187">
        <v>-21.00266410809267</v>
      </c>
      <c r="BR1659" s="187">
        <v>-21.328884136876628</v>
      </c>
      <c r="BS1659" s="186">
        <v>-83.34332721345379</v>
      </c>
      <c r="BT1659" s="186">
        <v>-86.60573676134706</v>
      </c>
      <c r="BU1659" s="186">
        <v>-91.708478607086434</v>
      </c>
      <c r="BV1659" s="186">
        <v>-96.58159706976754</v>
      </c>
      <c r="BW1659" s="197"/>
    </row>
    <row r="1660" spans="1:75" s="198" customFormat="1" ht="14.25" x14ac:dyDescent="0.45">
      <c r="A1660" s="184" t="s">
        <v>1453</v>
      </c>
      <c r="B1660" s="513"/>
      <c r="C1660" s="186"/>
      <c r="D1660" s="186"/>
      <c r="E1660" s="186">
        <v>25.593</v>
      </c>
      <c r="F1660" s="186">
        <v>49.058</v>
      </c>
      <c r="G1660" s="187">
        <v>9.7370000000000001</v>
      </c>
      <c r="H1660" s="187">
        <v>20.878999999999998</v>
      </c>
      <c r="I1660" s="187">
        <v>27.006</v>
      </c>
      <c r="J1660" s="187">
        <v>36.245999999999995</v>
      </c>
      <c r="K1660" s="186">
        <v>93.867999999999995</v>
      </c>
      <c r="L1660" s="187">
        <v>16.515000000000001</v>
      </c>
      <c r="M1660" s="187">
        <v>22.284999999999997</v>
      </c>
      <c r="N1660" s="187">
        <v>30.89</v>
      </c>
      <c r="O1660" s="187">
        <v>49.918999999999997</v>
      </c>
      <c r="P1660" s="186">
        <v>119.60899999999999</v>
      </c>
      <c r="Q1660" s="187">
        <v>29.227</v>
      </c>
      <c r="R1660" s="187">
        <v>26.909000000000002</v>
      </c>
      <c r="S1660" s="187">
        <v>43.518999999999998</v>
      </c>
      <c r="T1660" s="187">
        <v>53.853999999999999</v>
      </c>
      <c r="U1660" s="186">
        <v>153.50899999999999</v>
      </c>
      <c r="V1660" s="187">
        <v>48.827000000000005</v>
      </c>
      <c r="W1660" s="187">
        <v>25.832999999999991</v>
      </c>
      <c r="X1660" s="187">
        <v>33.321000000000005</v>
      </c>
      <c r="Y1660" s="187">
        <v>73.043000000000006</v>
      </c>
      <c r="Z1660" s="186">
        <v>181.024</v>
      </c>
      <c r="AA1660" s="187">
        <v>13.456</v>
      </c>
      <c r="AB1660" s="187">
        <v>31.191000000000003</v>
      </c>
      <c r="AC1660" s="187">
        <v>44.914000000000001</v>
      </c>
      <c r="AD1660" s="187">
        <v>37.280999999999999</v>
      </c>
      <c r="AE1660" s="186">
        <v>126.842</v>
      </c>
      <c r="AF1660" s="187">
        <v>17.673999999999999</v>
      </c>
      <c r="AG1660" s="187">
        <v>25.241999999999997</v>
      </c>
      <c r="AH1660" s="187">
        <v>30.362000000000009</v>
      </c>
      <c r="AI1660" s="187">
        <v>6.7139999999999986</v>
      </c>
      <c r="AJ1660" s="186">
        <v>79.992000000000004</v>
      </c>
      <c r="AK1660" s="187">
        <v>7.9160000000000004</v>
      </c>
      <c r="AL1660" s="187">
        <v>17.367000000000001</v>
      </c>
      <c r="AM1660" s="187">
        <v>69.331000000000003</v>
      </c>
      <c r="AN1660" s="187">
        <v>52.009</v>
      </c>
      <c r="AO1660" s="186">
        <v>146.62299999999999</v>
      </c>
      <c r="AP1660" s="187">
        <v>16.632000000000001</v>
      </c>
      <c r="AQ1660" s="187">
        <v>30.898999999999997</v>
      </c>
      <c r="AR1660" s="187">
        <v>24.223999999999997</v>
      </c>
      <c r="AS1660" s="187">
        <v>52.228000000000009</v>
      </c>
      <c r="AT1660" s="186">
        <v>123.983</v>
      </c>
      <c r="AU1660" s="187">
        <v>50.250999999999998</v>
      </c>
      <c r="AV1660" s="187">
        <v>31.887000000000008</v>
      </c>
      <c r="AW1660" s="187">
        <v>71.635999999999996</v>
      </c>
      <c r="AX1660" s="187">
        <v>31.609000000000009</v>
      </c>
      <c r="AY1660" s="186">
        <v>185.38300000000001</v>
      </c>
      <c r="AZ1660" s="187">
        <v>29.364000000000001</v>
      </c>
      <c r="BA1660" s="187">
        <v>33.194000000000003</v>
      </c>
      <c r="BB1660" s="187">
        <v>47.116999999999997</v>
      </c>
      <c r="BC1660" s="187">
        <v>63.966999999999999</v>
      </c>
      <c r="BD1660" s="186">
        <v>173.642</v>
      </c>
      <c r="BE1660" s="187">
        <v>34.19</v>
      </c>
      <c r="BF1660" s="187">
        <v>47.406000000000006</v>
      </c>
      <c r="BG1660" s="187">
        <v>50.244</v>
      </c>
      <c r="BH1660" s="187">
        <v>137.51599999999999</v>
      </c>
      <c r="BI1660" s="188">
        <v>269.35599999999999</v>
      </c>
      <c r="BJ1660" s="187">
        <v>50</v>
      </c>
      <c r="BK1660" s="187">
        <v>50</v>
      </c>
      <c r="BL1660" s="187">
        <v>50</v>
      </c>
      <c r="BM1660" s="187">
        <v>50</v>
      </c>
      <c r="BN1660" s="186">
        <v>200</v>
      </c>
      <c r="BO1660" s="187">
        <v>50</v>
      </c>
      <c r="BP1660" s="187">
        <v>50</v>
      </c>
      <c r="BQ1660" s="187">
        <v>50</v>
      </c>
      <c r="BR1660" s="187">
        <v>50</v>
      </c>
      <c r="BS1660" s="186">
        <v>200</v>
      </c>
      <c r="BT1660" s="186">
        <v>200</v>
      </c>
      <c r="BU1660" s="186">
        <v>200</v>
      </c>
      <c r="BV1660" s="186">
        <v>200</v>
      </c>
      <c r="BW1660" s="197"/>
    </row>
    <row r="1661" spans="1:75" s="198" customFormat="1" ht="14.25" x14ac:dyDescent="0.45">
      <c r="A1661" s="184" t="s">
        <v>1454</v>
      </c>
      <c r="B1661" s="513"/>
      <c r="C1661" s="186"/>
      <c r="D1661" s="186"/>
      <c r="E1661" s="186">
        <v>7.7149999999999999</v>
      </c>
      <c r="F1661" s="186">
        <v>3.09</v>
      </c>
      <c r="G1661" s="187">
        <v>8.2895000000000003</v>
      </c>
      <c r="H1661" s="187">
        <v>16.3475</v>
      </c>
      <c r="I1661" s="187">
        <v>15.4975</v>
      </c>
      <c r="J1661" s="187">
        <v>-3.9994999999999998</v>
      </c>
      <c r="K1661" s="186">
        <v>36.134999999999998</v>
      </c>
      <c r="L1661" s="187">
        <v>17.078250000000001</v>
      </c>
      <c r="M1661" s="187">
        <v>6.6812500000000004</v>
      </c>
      <c r="N1661" s="187">
        <v>48.052250000000001</v>
      </c>
      <c r="O1661" s="187">
        <v>18.21425</v>
      </c>
      <c r="P1661" s="186">
        <v>90.025999999999996</v>
      </c>
      <c r="Q1661" s="187">
        <v>47.922249999999998</v>
      </c>
      <c r="R1661" s="187">
        <v>29.230250000000002</v>
      </c>
      <c r="S1661" s="187">
        <v>20.751249999999999</v>
      </c>
      <c r="T1661" s="187">
        <v>-82.451750000000004</v>
      </c>
      <c r="U1661" s="186">
        <v>15.452</v>
      </c>
      <c r="V1661" s="187">
        <v>6.5292500000000002</v>
      </c>
      <c r="W1661" s="187">
        <v>30.055250000000001</v>
      </c>
      <c r="X1661" s="187">
        <v>37.575249999999997</v>
      </c>
      <c r="Y1661" s="187">
        <v>-31.832750000000001</v>
      </c>
      <c r="Z1661" s="186">
        <v>42.326999999999998</v>
      </c>
      <c r="AA1661" s="187">
        <v>23.215250000000001</v>
      </c>
      <c r="AB1661" s="187">
        <v>27.020250000000001</v>
      </c>
      <c r="AC1661" s="187">
        <v>7.4582499999999996</v>
      </c>
      <c r="AD1661" s="187">
        <v>4.1062500000000002</v>
      </c>
      <c r="AE1661" s="186">
        <v>61.8</v>
      </c>
      <c r="AF1661" s="187">
        <v>9.843</v>
      </c>
      <c r="AG1661" s="187">
        <v>9.3740000000000006</v>
      </c>
      <c r="AH1661" s="187">
        <v>7.72</v>
      </c>
      <c r="AI1661" s="187">
        <v>18.459</v>
      </c>
      <c r="AJ1661" s="186">
        <v>45.472000000000001</v>
      </c>
      <c r="AK1661" s="187">
        <v>100.989</v>
      </c>
      <c r="AL1661" s="187">
        <v>-4.8410000000000002</v>
      </c>
      <c r="AM1661" s="187">
        <v>-36.883000000000003</v>
      </c>
      <c r="AN1661" s="187">
        <v>-38.151000000000003</v>
      </c>
      <c r="AO1661" s="186">
        <v>21.114000000000001</v>
      </c>
      <c r="AP1661" s="187">
        <v>-15.223000000000001</v>
      </c>
      <c r="AQ1661" s="187">
        <v>84.003</v>
      </c>
      <c r="AR1661" s="187">
        <v>-10.211</v>
      </c>
      <c r="AS1661" s="187">
        <v>-14.253</v>
      </c>
      <c r="AT1661" s="186">
        <v>44.316000000000003</v>
      </c>
      <c r="AU1661" s="187">
        <v>-10.827500000000001</v>
      </c>
      <c r="AV1661" s="187">
        <v>7.8055000000000003</v>
      </c>
      <c r="AW1661" s="187">
        <v>7.1425000000000001</v>
      </c>
      <c r="AX1661" s="187">
        <v>13.218500000000001</v>
      </c>
      <c r="AY1661" s="186">
        <v>17.338999999999999</v>
      </c>
      <c r="AZ1661" s="187">
        <v>112.9795</v>
      </c>
      <c r="BA1661" s="187">
        <v>178.65950000000001</v>
      </c>
      <c r="BB1661" s="187">
        <v>-10.089499999999999</v>
      </c>
      <c r="BC1661" s="187">
        <v>8.8725000000000005</v>
      </c>
      <c r="BD1661" s="186">
        <v>290.42200000000003</v>
      </c>
      <c r="BE1661" s="187">
        <v>-15.610250000000001</v>
      </c>
      <c r="BF1661" s="187">
        <v>-18.279250000000001</v>
      </c>
      <c r="BG1661" s="187">
        <v>-25.455249999999999</v>
      </c>
      <c r="BH1661" s="187">
        <v>-96.137249999999995</v>
      </c>
      <c r="BI1661" s="188">
        <v>-155.482</v>
      </c>
      <c r="BJ1661" s="187">
        <v>0</v>
      </c>
      <c r="BK1661" s="187">
        <v>0</v>
      </c>
      <c r="BL1661" s="187">
        <v>0</v>
      </c>
      <c r="BM1661" s="187">
        <v>0</v>
      </c>
      <c r="BN1661" s="186">
        <v>0</v>
      </c>
      <c r="BO1661" s="187">
        <v>0</v>
      </c>
      <c r="BP1661" s="187">
        <v>0</v>
      </c>
      <c r="BQ1661" s="187">
        <v>0</v>
      </c>
      <c r="BR1661" s="187">
        <v>0</v>
      </c>
      <c r="BS1661" s="186">
        <v>0</v>
      </c>
      <c r="BT1661" s="186">
        <v>0</v>
      </c>
      <c r="BU1661" s="186">
        <v>0</v>
      </c>
      <c r="BV1661" s="186">
        <v>0</v>
      </c>
      <c r="BW1661" s="197"/>
    </row>
    <row r="1662" spans="1:75" s="198" customFormat="1" ht="14.25" x14ac:dyDescent="0.45">
      <c r="A1662" s="805" t="s">
        <v>1455</v>
      </c>
      <c r="B1662" s="967"/>
      <c r="C1662" s="968"/>
      <c r="D1662" s="968">
        <v>76.45</v>
      </c>
      <c r="E1662" s="968">
        <v>83.558000000000007</v>
      </c>
      <c r="F1662" s="968">
        <v>111.40600000000001</v>
      </c>
      <c r="G1662" s="969">
        <v>123.09099999999999</v>
      </c>
      <c r="H1662" s="969">
        <v>154.00800000000001</v>
      </c>
      <c r="I1662" s="969">
        <v>190.06899999999999</v>
      </c>
      <c r="J1662" s="969">
        <v>214.90899999999999</v>
      </c>
      <c r="K1662" s="968">
        <v>214.90899999999999</v>
      </c>
      <c r="L1662" s="969">
        <v>241.053</v>
      </c>
      <c r="M1662" s="969">
        <v>261.87200000000001</v>
      </c>
      <c r="N1662" s="969">
        <v>331.988</v>
      </c>
      <c r="O1662" s="969">
        <v>390.84399999999999</v>
      </c>
      <c r="P1662" s="968">
        <v>390.84399999999999</v>
      </c>
      <c r="Q1662" s="969">
        <v>458.113</v>
      </c>
      <c r="R1662" s="969">
        <v>503.45600000000002</v>
      </c>
      <c r="S1662" s="969">
        <v>556.59400000000005</v>
      </c>
      <c r="T1662" s="969">
        <v>515.60500000000002</v>
      </c>
      <c r="U1662" s="968">
        <v>515.60500000000002</v>
      </c>
      <c r="V1662" s="969">
        <v>558.43100000000004</v>
      </c>
      <c r="W1662" s="969">
        <v>600.68499999999995</v>
      </c>
      <c r="X1662" s="969">
        <v>656.56899999999996</v>
      </c>
      <c r="Y1662" s="969">
        <v>682.05600000000004</v>
      </c>
      <c r="Z1662" s="968">
        <v>682.05600000000004</v>
      </c>
      <c r="AA1662" s="969">
        <v>702.74099999999999</v>
      </c>
      <c r="AB1662" s="969">
        <v>744.46</v>
      </c>
      <c r="AC1662" s="969">
        <v>778.32</v>
      </c>
      <c r="AD1662" s="969">
        <v>800.69799999999998</v>
      </c>
      <c r="AE1662" s="968">
        <v>800.69799999999998</v>
      </c>
      <c r="AF1662" s="969">
        <v>811.36900000000003</v>
      </c>
      <c r="AG1662" s="969">
        <v>833.23199999999997</v>
      </c>
      <c r="AH1662" s="969">
        <v>856.23</v>
      </c>
      <c r="AI1662" s="969">
        <v>863.56200000000001</v>
      </c>
      <c r="AJ1662" s="968">
        <v>863.56200000000001</v>
      </c>
      <c r="AK1662" s="969">
        <v>954.14200000000005</v>
      </c>
      <c r="AL1662" s="969">
        <v>950.59400000000005</v>
      </c>
      <c r="AM1662" s="969">
        <v>969.09</v>
      </c>
      <c r="AN1662" s="969">
        <v>967.59900000000005</v>
      </c>
      <c r="AO1662" s="968">
        <v>967.59900000000005</v>
      </c>
      <c r="AP1662" s="969">
        <v>953.73800000000006</v>
      </c>
      <c r="AQ1662" s="969">
        <v>1053.4349999999999</v>
      </c>
      <c r="AR1662" s="969">
        <v>1051.825</v>
      </c>
      <c r="AS1662" s="969">
        <v>1077.1980000000001</v>
      </c>
      <c r="AT1662" s="968">
        <v>1077.1980000000001</v>
      </c>
      <c r="AU1662" s="969">
        <v>1103.6679999999999</v>
      </c>
      <c r="AV1662" s="969">
        <v>1131.501</v>
      </c>
      <c r="AW1662" s="969">
        <v>1196.335</v>
      </c>
      <c r="AX1662" s="969">
        <v>1227.92</v>
      </c>
      <c r="AY1662" s="968">
        <v>1227.92</v>
      </c>
      <c r="AZ1662" s="969">
        <v>1357.0640000000001</v>
      </c>
      <c r="BA1662" s="969">
        <v>1554.88</v>
      </c>
      <c r="BB1662" s="969">
        <v>1577.9</v>
      </c>
      <c r="BC1662" s="969">
        <v>1635.9839999999999</v>
      </c>
      <c r="BD1662" s="968">
        <v>1635.9839999999999</v>
      </c>
      <c r="BE1662" s="969">
        <v>1640.596</v>
      </c>
      <c r="BF1662" s="969">
        <v>1655.326</v>
      </c>
      <c r="BG1662" s="969">
        <v>1665.4829999999999</v>
      </c>
      <c r="BH1662" s="969">
        <v>1685.8579999999999</v>
      </c>
      <c r="BI1662" s="970">
        <v>1685.8579999999999</v>
      </c>
      <c r="BJ1662" s="969">
        <v>1716.8920974999999</v>
      </c>
      <c r="BK1662" s="969">
        <v>1747.5770614031248</v>
      </c>
      <c r="BL1662" s="969">
        <v>1777.9168194623396</v>
      </c>
      <c r="BM1662" s="969">
        <v>1807.9152552433884</v>
      </c>
      <c r="BN1662" s="968">
        <v>1807.9152552433884</v>
      </c>
      <c r="BO1662" s="969">
        <v>1837.5762086219004</v>
      </c>
      <c r="BP1662" s="969">
        <v>1866.9034762749041</v>
      </c>
      <c r="BQ1662" s="969">
        <v>1895.9008121668114</v>
      </c>
      <c r="BR1662" s="969">
        <v>1924.5719280299347</v>
      </c>
      <c r="BS1662" s="968">
        <v>1924.5719280299347</v>
      </c>
      <c r="BT1662" s="968">
        <v>2037.9661912685874</v>
      </c>
      <c r="BU1662" s="968">
        <v>2146.257712661501</v>
      </c>
      <c r="BV1662" s="968">
        <v>2249.6761155917334</v>
      </c>
      <c r="BW1662" s="197"/>
    </row>
    <row r="1663" spans="1:75" s="198" customFormat="1" ht="14.25" x14ac:dyDescent="0.45">
      <c r="A1663" s="184"/>
      <c r="B1663" s="513"/>
      <c r="C1663" s="186"/>
      <c r="D1663" s="186"/>
      <c r="E1663" s="186"/>
      <c r="F1663" s="186"/>
      <c r="G1663" s="187"/>
      <c r="H1663" s="187"/>
      <c r="I1663" s="187"/>
      <c r="J1663" s="187"/>
      <c r="K1663" s="186"/>
      <c r="L1663" s="187"/>
      <c r="M1663" s="187"/>
      <c r="N1663" s="187"/>
      <c r="O1663" s="187"/>
      <c r="P1663" s="186"/>
      <c r="Q1663" s="187"/>
      <c r="R1663" s="187"/>
      <c r="S1663" s="187"/>
      <c r="T1663" s="187"/>
      <c r="U1663" s="186"/>
      <c r="V1663" s="187"/>
      <c r="W1663" s="187"/>
      <c r="X1663" s="187"/>
      <c r="Y1663" s="187"/>
      <c r="Z1663" s="186"/>
      <c r="AA1663" s="187"/>
      <c r="AB1663" s="187"/>
      <c r="AC1663" s="187"/>
      <c r="AD1663" s="187"/>
      <c r="AE1663" s="186"/>
      <c r="AF1663" s="187"/>
      <c r="AG1663" s="187"/>
      <c r="AH1663" s="187"/>
      <c r="AI1663" s="187"/>
      <c r="AJ1663" s="186"/>
      <c r="AK1663" s="187"/>
      <c r="AL1663" s="187"/>
      <c r="AM1663" s="187"/>
      <c r="AN1663" s="187"/>
      <c r="AO1663" s="186"/>
      <c r="AP1663" s="187"/>
      <c r="AQ1663" s="187"/>
      <c r="AR1663" s="187"/>
      <c r="AS1663" s="187"/>
      <c r="AT1663" s="186"/>
      <c r="AU1663" s="187"/>
      <c r="AV1663" s="187"/>
      <c r="AW1663" s="187"/>
      <c r="AX1663" s="187"/>
      <c r="AY1663" s="186"/>
      <c r="AZ1663" s="187"/>
      <c r="BA1663" s="187"/>
      <c r="BB1663" s="187"/>
      <c r="BC1663" s="187"/>
      <c r="BD1663" s="186"/>
      <c r="BE1663" s="187"/>
      <c r="BF1663" s="187"/>
      <c r="BG1663" s="187"/>
      <c r="BH1663" s="187"/>
      <c r="BI1663" s="188"/>
      <c r="BJ1663" s="187"/>
      <c r="BK1663" s="187"/>
      <c r="BL1663" s="187"/>
      <c r="BM1663" s="187"/>
      <c r="BN1663" s="186"/>
      <c r="BO1663" s="187"/>
      <c r="BP1663" s="187"/>
      <c r="BQ1663" s="187"/>
      <c r="BR1663" s="187"/>
      <c r="BS1663" s="186"/>
      <c r="BT1663" s="186"/>
      <c r="BU1663" s="186"/>
      <c r="BV1663" s="186"/>
      <c r="BW1663" s="197"/>
    </row>
    <row r="1664" spans="1:75" s="198" customFormat="1" ht="14.25" x14ac:dyDescent="0.45">
      <c r="A1664" s="206" t="s">
        <v>1456</v>
      </c>
      <c r="B1664" s="522"/>
      <c r="C1664" s="208"/>
      <c r="D1664" s="208"/>
      <c r="E1664" s="208">
        <v>47.1</v>
      </c>
      <c r="F1664" s="208">
        <v>47.1</v>
      </c>
      <c r="G1664" s="209">
        <v>47.41</v>
      </c>
      <c r="H1664" s="209">
        <v>47.41</v>
      </c>
      <c r="I1664" s="209">
        <v>47.41</v>
      </c>
      <c r="J1664" s="209">
        <v>47.41</v>
      </c>
      <c r="K1664" s="208">
        <v>47.41</v>
      </c>
      <c r="L1664" s="209">
        <v>47.41</v>
      </c>
      <c r="M1664" s="209">
        <v>47.41</v>
      </c>
      <c r="N1664" s="209">
        <v>47.661999999999999</v>
      </c>
      <c r="O1664" s="209">
        <v>47.832999999999998</v>
      </c>
      <c r="P1664" s="208">
        <v>47.41</v>
      </c>
      <c r="Q1664" s="209">
        <v>47.863</v>
      </c>
      <c r="R1664" s="209">
        <v>48.534999999999997</v>
      </c>
      <c r="S1664" s="209">
        <v>48.53</v>
      </c>
      <c r="T1664" s="209">
        <v>48.442</v>
      </c>
      <c r="U1664" s="208">
        <v>47.863</v>
      </c>
      <c r="V1664" s="209">
        <v>48.308999999999997</v>
      </c>
      <c r="W1664" s="209">
        <v>48.57</v>
      </c>
      <c r="X1664" s="209">
        <v>100.646</v>
      </c>
      <c r="Y1664" s="209">
        <v>100.622</v>
      </c>
      <c r="Z1664" s="208">
        <v>48.308999999999997</v>
      </c>
      <c r="AA1664" s="209">
        <v>100.624</v>
      </c>
      <c r="AB1664" s="209">
        <v>100.73399999999999</v>
      </c>
      <c r="AC1664" s="209">
        <v>100.75</v>
      </c>
      <c r="AD1664" s="209">
        <v>100.726</v>
      </c>
      <c r="AE1664" s="208">
        <v>100.624</v>
      </c>
      <c r="AF1664" s="209">
        <v>100.663</v>
      </c>
      <c r="AG1664" s="209">
        <v>100.678</v>
      </c>
      <c r="AH1664" s="209">
        <v>100.663</v>
      </c>
      <c r="AI1664" s="209">
        <v>100.663</v>
      </c>
      <c r="AJ1664" s="208">
        <v>100.663</v>
      </c>
      <c r="AK1664" s="209">
        <v>86.022000000000006</v>
      </c>
      <c r="AL1664" s="209">
        <v>86.022000000000006</v>
      </c>
      <c r="AM1664" s="209">
        <v>86.022000000000006</v>
      </c>
      <c r="AN1664" s="209">
        <v>86.022000000000006</v>
      </c>
      <c r="AO1664" s="208">
        <v>86.022000000000006</v>
      </c>
      <c r="AP1664" s="209">
        <v>86.022000000000006</v>
      </c>
      <c r="AQ1664" s="209">
        <v>65.563000000000002</v>
      </c>
      <c r="AR1664" s="209">
        <v>66.863</v>
      </c>
      <c r="AS1664" s="209">
        <v>71.662999999999997</v>
      </c>
      <c r="AT1664" s="208">
        <v>86.022000000000006</v>
      </c>
      <c r="AU1664" s="209">
        <v>71.662999999999997</v>
      </c>
      <c r="AV1664" s="209">
        <v>72.236999999999995</v>
      </c>
      <c r="AW1664" s="209">
        <v>72.584000000000003</v>
      </c>
      <c r="AX1664" s="209">
        <v>72.906999999999996</v>
      </c>
      <c r="AY1664" s="208">
        <v>71.662999999999997</v>
      </c>
      <c r="AZ1664" s="209">
        <v>73.161000000000001</v>
      </c>
      <c r="BA1664" s="209">
        <v>73.488</v>
      </c>
      <c r="BB1664" s="209">
        <v>73.81</v>
      </c>
      <c r="BC1664" s="209">
        <v>74.269000000000005</v>
      </c>
      <c r="BD1664" s="208">
        <v>73.161000000000001</v>
      </c>
      <c r="BE1664" s="209">
        <v>74.632999999999996</v>
      </c>
      <c r="BF1664" s="209">
        <v>75.144000000000005</v>
      </c>
      <c r="BG1664" s="209">
        <v>75.471999999999994</v>
      </c>
      <c r="BH1664" s="209">
        <v>75.745999999999995</v>
      </c>
      <c r="BI1664" s="210">
        <v>74.632999999999996</v>
      </c>
      <c r="BJ1664" s="209">
        <v>75.927000000000007</v>
      </c>
      <c r="BK1664" s="209">
        <v>75.832091250000005</v>
      </c>
      <c r="BL1664" s="209">
        <v>75.7373011359375</v>
      </c>
      <c r="BM1664" s="209">
        <v>75.642629509517576</v>
      </c>
      <c r="BN1664" s="208">
        <v>75.927000000000007</v>
      </c>
      <c r="BO1664" s="209">
        <v>75.548076222630684</v>
      </c>
      <c r="BP1664" s="209">
        <v>75.453641127352398</v>
      </c>
      <c r="BQ1664" s="209">
        <v>75.359324075943206</v>
      </c>
      <c r="BR1664" s="209">
        <v>75.26512492084828</v>
      </c>
      <c r="BS1664" s="208">
        <v>75.548076222630684</v>
      </c>
      <c r="BT1664" s="208">
        <v>75.171043514697217</v>
      </c>
      <c r="BU1664" s="208">
        <v>74.79518829712373</v>
      </c>
      <c r="BV1664" s="208">
        <v>74.421212355638104</v>
      </c>
      <c r="BW1664" s="197"/>
    </row>
    <row r="1665" spans="1:75" s="198" customFormat="1" ht="14.25" x14ac:dyDescent="0.45">
      <c r="A1665" s="184" t="s">
        <v>1457</v>
      </c>
      <c r="B1665" s="513"/>
      <c r="C1665" s="186"/>
      <c r="D1665" s="186"/>
      <c r="E1665" s="186">
        <v>-2.8</v>
      </c>
      <c r="F1665" s="186">
        <v>-2.4</v>
      </c>
      <c r="G1665" s="187">
        <v>-0.27500000000000002</v>
      </c>
      <c r="H1665" s="187">
        <v>-0.27500000000000002</v>
      </c>
      <c r="I1665" s="187">
        <v>-0.27500000000000002</v>
      </c>
      <c r="J1665" s="187">
        <v>-0.27500000000000002</v>
      </c>
      <c r="K1665" s="186">
        <v>-1.1000000000000001</v>
      </c>
      <c r="L1665" s="187">
        <v>-0.17499999999999999</v>
      </c>
      <c r="M1665" s="187">
        <v>-0.17499999999999999</v>
      </c>
      <c r="N1665" s="187">
        <v>-0.17499999999999999</v>
      </c>
      <c r="O1665" s="187">
        <v>-0.17499999999999999</v>
      </c>
      <c r="P1665" s="186">
        <v>-0.7</v>
      </c>
      <c r="Q1665" s="187">
        <v>-7.4999999999999997E-2</v>
      </c>
      <c r="R1665" s="187">
        <v>-7.4999999999999997E-2</v>
      </c>
      <c r="S1665" s="187">
        <v>-7.4999999999999997E-2</v>
      </c>
      <c r="T1665" s="187">
        <v>-7.4999999999999997E-2</v>
      </c>
      <c r="U1665" s="186">
        <v>-0.3</v>
      </c>
      <c r="V1665" s="187">
        <v>-2.5000000000000001E-2</v>
      </c>
      <c r="W1665" s="187">
        <v>-2.5000000000000001E-2</v>
      </c>
      <c r="X1665" s="187">
        <v>-2.5000000000000001E-2</v>
      </c>
      <c r="Y1665" s="187">
        <v>-2.5000000000000001E-2</v>
      </c>
      <c r="Z1665" s="186">
        <v>-0.1</v>
      </c>
      <c r="AA1665" s="187">
        <v>-3.3750000000001279E-2</v>
      </c>
      <c r="AB1665" s="187">
        <v>-3.3750000000001279E-2</v>
      </c>
      <c r="AC1665" s="187">
        <v>-3.3750000000001279E-2</v>
      </c>
      <c r="AD1665" s="187">
        <v>-3.3750000000001279E-2</v>
      </c>
      <c r="AE1665" s="186">
        <v>-0.13500000000000512</v>
      </c>
      <c r="AF1665" s="187">
        <v>0</v>
      </c>
      <c r="AG1665" s="187">
        <v>0</v>
      </c>
      <c r="AH1665" s="187">
        <v>0</v>
      </c>
      <c r="AI1665" s="187">
        <v>0</v>
      </c>
      <c r="AJ1665" s="186">
        <v>0</v>
      </c>
      <c r="AK1665" s="187">
        <v>-1.2000000000000455E-2</v>
      </c>
      <c r="AL1665" s="187">
        <v>-1.2000000000000455E-2</v>
      </c>
      <c r="AM1665" s="187">
        <v>-1.2000000000000455E-2</v>
      </c>
      <c r="AN1665" s="187">
        <v>-1.2000000000000455E-2</v>
      </c>
      <c r="AO1665" s="186">
        <v>-4.8000000000001819E-2</v>
      </c>
      <c r="AP1665" s="187">
        <v>-1.2000000000000455E-2</v>
      </c>
      <c r="AQ1665" s="187">
        <v>-1.2000000000000455E-2</v>
      </c>
      <c r="AR1665" s="187">
        <v>-1.2000000000000455E-2</v>
      </c>
      <c r="AS1665" s="187">
        <v>-1.2000000000000455E-2</v>
      </c>
      <c r="AT1665" s="186">
        <v>-4.8000000000001819E-2</v>
      </c>
      <c r="AU1665" s="187">
        <v>-1.4500000000001734E-2</v>
      </c>
      <c r="AV1665" s="187">
        <v>-1.4500000000001734E-2</v>
      </c>
      <c r="AW1665" s="187">
        <v>-1.4500000000001734E-2</v>
      </c>
      <c r="AX1665" s="187">
        <v>-1.4500000000001734E-2</v>
      </c>
      <c r="AY1665" s="186">
        <v>-5.8000000000006935E-2</v>
      </c>
      <c r="AZ1665" s="187">
        <v>-6.0499999999999332E-2</v>
      </c>
      <c r="BA1665" s="187">
        <v>-6.0499999999999332E-2</v>
      </c>
      <c r="BB1665" s="187">
        <v>-6.0499999999999332E-2</v>
      </c>
      <c r="BC1665" s="187">
        <v>-6.0499999999999332E-2</v>
      </c>
      <c r="BD1665" s="186">
        <v>-0.24199999999999733</v>
      </c>
      <c r="BE1665" s="187">
        <v>-9.8250000000000171E-2</v>
      </c>
      <c r="BF1665" s="187">
        <v>-9.8250000000000171E-2</v>
      </c>
      <c r="BG1665" s="187">
        <v>-9.8250000000000171E-2</v>
      </c>
      <c r="BH1665" s="187">
        <v>-9.8250000000000171E-2</v>
      </c>
      <c r="BI1665" s="188">
        <v>-0.39300000000000068</v>
      </c>
      <c r="BJ1665" s="187">
        <v>-9.4908750000000014E-2</v>
      </c>
      <c r="BK1665" s="187">
        <v>-9.4790114062500014E-2</v>
      </c>
      <c r="BL1665" s="187">
        <v>-9.4671626419921898E-2</v>
      </c>
      <c r="BM1665" s="187">
        <v>-9.4553286886896973E-2</v>
      </c>
      <c r="BN1665" s="186">
        <v>-0.37892377736931887</v>
      </c>
      <c r="BO1665" s="187">
        <v>-9.4435095278288361E-2</v>
      </c>
      <c r="BP1665" s="187">
        <v>-9.4317051409190514E-2</v>
      </c>
      <c r="BQ1665" s="187">
        <v>-9.4199155094929016E-2</v>
      </c>
      <c r="BR1665" s="187">
        <v>-9.4081406151060337E-2</v>
      </c>
      <c r="BS1665" s="186">
        <v>-0.37703270793346821</v>
      </c>
      <c r="BT1665" s="186">
        <v>-0.37585521757348611</v>
      </c>
      <c r="BU1665" s="186">
        <v>-0.37397594148561863</v>
      </c>
      <c r="BV1665" s="186">
        <v>-0.37210606177819056</v>
      </c>
      <c r="BW1665" s="197"/>
    </row>
    <row r="1666" spans="1:75" s="198" customFormat="1" ht="14.25" x14ac:dyDescent="0.45">
      <c r="A1666" s="184" t="s">
        <v>1458</v>
      </c>
      <c r="B1666" s="513"/>
      <c r="C1666" s="186"/>
      <c r="D1666" s="186"/>
      <c r="E1666" s="186">
        <v>0</v>
      </c>
      <c r="F1666" s="186">
        <v>0.31</v>
      </c>
      <c r="G1666" s="187">
        <v>0</v>
      </c>
      <c r="H1666" s="187">
        <v>0</v>
      </c>
      <c r="I1666" s="187">
        <v>0</v>
      </c>
      <c r="J1666" s="187">
        <v>0</v>
      </c>
      <c r="K1666" s="186">
        <v>0</v>
      </c>
      <c r="L1666" s="187">
        <v>0</v>
      </c>
      <c r="M1666" s="187">
        <v>0.252</v>
      </c>
      <c r="N1666" s="187">
        <v>0.17099999999999999</v>
      </c>
      <c r="O1666" s="187">
        <v>3.0000000000000027E-2</v>
      </c>
      <c r="P1666" s="186">
        <v>0.45300000000000001</v>
      </c>
      <c r="Q1666" s="187">
        <v>0</v>
      </c>
      <c r="R1666" s="187">
        <v>0.16800000000000001</v>
      </c>
      <c r="S1666" s="187">
        <v>4.9999999999999989E-2</v>
      </c>
      <c r="T1666" s="187">
        <v>0.12100000000000002</v>
      </c>
      <c r="U1666" s="186">
        <v>0.33900000000000002</v>
      </c>
      <c r="V1666" s="187">
        <v>0.16400000000000001</v>
      </c>
      <c r="W1666" s="187">
        <v>0</v>
      </c>
      <c r="X1666" s="187">
        <v>0</v>
      </c>
      <c r="Y1666" s="187">
        <v>0.158</v>
      </c>
      <c r="Z1666" s="186">
        <v>0.32200000000000001</v>
      </c>
      <c r="AA1666" s="187">
        <v>0</v>
      </c>
      <c r="AB1666" s="187">
        <v>3.9E-2</v>
      </c>
      <c r="AC1666" s="187">
        <v>0</v>
      </c>
      <c r="AD1666" s="187">
        <v>0</v>
      </c>
      <c r="AE1666" s="186">
        <v>3.9E-2</v>
      </c>
      <c r="AF1666" s="187">
        <v>0</v>
      </c>
      <c r="AG1666" s="187">
        <v>0</v>
      </c>
      <c r="AH1666" s="187">
        <v>0</v>
      </c>
      <c r="AI1666" s="187">
        <v>0</v>
      </c>
      <c r="AJ1666" s="186">
        <v>0</v>
      </c>
      <c r="AK1666" s="187">
        <v>0</v>
      </c>
      <c r="AL1666" s="187">
        <v>0</v>
      </c>
      <c r="AM1666" s="187">
        <v>0</v>
      </c>
      <c r="AN1666" s="187">
        <v>0</v>
      </c>
      <c r="AO1666" s="186">
        <v>0</v>
      </c>
      <c r="AP1666" s="187">
        <v>0</v>
      </c>
      <c r="AQ1666" s="187">
        <v>0</v>
      </c>
      <c r="AR1666" s="187">
        <v>0</v>
      </c>
      <c r="AS1666" s="187">
        <v>0</v>
      </c>
      <c r="AT1666" s="186">
        <v>0</v>
      </c>
      <c r="AU1666" s="187">
        <v>0</v>
      </c>
      <c r="AV1666" s="187">
        <v>0</v>
      </c>
      <c r="AW1666" s="187">
        <v>0</v>
      </c>
      <c r="AX1666" s="187">
        <v>0</v>
      </c>
      <c r="AY1666" s="186">
        <v>0</v>
      </c>
      <c r="AZ1666" s="187">
        <v>0</v>
      </c>
      <c r="BA1666" s="187">
        <v>0</v>
      </c>
      <c r="BB1666" s="187">
        <v>0</v>
      </c>
      <c r="BC1666" s="187">
        <v>0</v>
      </c>
      <c r="BD1666" s="186">
        <v>0</v>
      </c>
      <c r="BE1666" s="187">
        <v>0</v>
      </c>
      <c r="BF1666" s="187">
        <v>0</v>
      </c>
      <c r="BG1666" s="187">
        <v>0</v>
      </c>
      <c r="BH1666" s="187">
        <v>0</v>
      </c>
      <c r="BI1666" s="188">
        <v>0</v>
      </c>
      <c r="BJ1666" s="187">
        <v>0</v>
      </c>
      <c r="BK1666" s="187">
        <v>0</v>
      </c>
      <c r="BL1666" s="187">
        <v>0</v>
      </c>
      <c r="BM1666" s="187">
        <v>0</v>
      </c>
      <c r="BN1666" s="186">
        <v>0</v>
      </c>
      <c r="BO1666" s="187">
        <v>0</v>
      </c>
      <c r="BP1666" s="187">
        <v>0</v>
      </c>
      <c r="BQ1666" s="187">
        <v>0</v>
      </c>
      <c r="BR1666" s="187">
        <v>0</v>
      </c>
      <c r="BS1666" s="186">
        <v>0</v>
      </c>
      <c r="BT1666" s="186">
        <v>0</v>
      </c>
      <c r="BU1666" s="186">
        <v>0</v>
      </c>
      <c r="BV1666" s="186">
        <v>0</v>
      </c>
      <c r="BW1666" s="197"/>
    </row>
    <row r="1667" spans="1:75" s="198" customFormat="1" ht="14.25" x14ac:dyDescent="0.45">
      <c r="A1667" s="184" t="s">
        <v>1459</v>
      </c>
      <c r="B1667" s="513"/>
      <c r="C1667" s="186"/>
      <c r="D1667" s="186"/>
      <c r="E1667" s="186">
        <v>2.8</v>
      </c>
      <c r="F1667" s="186">
        <v>2.4</v>
      </c>
      <c r="G1667" s="187">
        <v>0.27500000000000002</v>
      </c>
      <c r="H1667" s="187">
        <v>0.27500000000000002</v>
      </c>
      <c r="I1667" s="187">
        <v>0.27500000000000002</v>
      </c>
      <c r="J1667" s="187">
        <v>0.27500000000000002</v>
      </c>
      <c r="K1667" s="186">
        <v>1.1000000000000001</v>
      </c>
      <c r="L1667" s="187">
        <v>0.17499999999999999</v>
      </c>
      <c r="M1667" s="187">
        <v>0.17499999999999999</v>
      </c>
      <c r="N1667" s="187">
        <v>0.17499999999999999</v>
      </c>
      <c r="O1667" s="187">
        <v>0.17499999999999999</v>
      </c>
      <c r="P1667" s="186">
        <v>0.7</v>
      </c>
      <c r="Q1667" s="187">
        <v>0.747</v>
      </c>
      <c r="R1667" s="187">
        <v>-9.8000000000000004E-2</v>
      </c>
      <c r="S1667" s="187">
        <v>-6.3E-2</v>
      </c>
      <c r="T1667" s="187">
        <v>-0.17899999999999999</v>
      </c>
      <c r="U1667" s="186">
        <v>0.40699999999999997</v>
      </c>
      <c r="V1667" s="187">
        <v>0.122</v>
      </c>
      <c r="W1667" s="187">
        <v>52.100999999999999</v>
      </c>
      <c r="X1667" s="187">
        <v>1E-3</v>
      </c>
      <c r="Y1667" s="187">
        <v>-0.13100000000000001</v>
      </c>
      <c r="Z1667" s="186">
        <v>52.093000000000004</v>
      </c>
      <c r="AA1667" s="187">
        <v>0.14374999999999999</v>
      </c>
      <c r="AB1667" s="187">
        <v>1.0749999999999999E-2</v>
      </c>
      <c r="AC1667" s="187">
        <v>9.75E-3</v>
      </c>
      <c r="AD1667" s="187">
        <v>-2.9250000000000002E-2</v>
      </c>
      <c r="AE1667" s="186">
        <v>0.13500000000000001</v>
      </c>
      <c r="AF1667" s="187">
        <v>1.4999999999999999E-2</v>
      </c>
      <c r="AG1667" s="187">
        <v>-1.4999999999999999E-2</v>
      </c>
      <c r="AH1667" s="187">
        <v>0</v>
      </c>
      <c r="AI1667" s="187">
        <v>-14.641</v>
      </c>
      <c r="AJ1667" s="186">
        <v>-14.641</v>
      </c>
      <c r="AK1667" s="187">
        <v>1.2E-2</v>
      </c>
      <c r="AL1667" s="187">
        <v>1.2E-2</v>
      </c>
      <c r="AM1667" s="187">
        <v>1.2E-2</v>
      </c>
      <c r="AN1667" s="187">
        <v>1.2E-2</v>
      </c>
      <c r="AO1667" s="186">
        <v>4.8000000000000001E-2</v>
      </c>
      <c r="AP1667" s="187">
        <v>-20.446999999999999</v>
      </c>
      <c r="AQ1667" s="187">
        <v>1.3120000000000001</v>
      </c>
      <c r="AR1667" s="187">
        <v>4.8120000000000003</v>
      </c>
      <c r="AS1667" s="187">
        <v>1.2E-2</v>
      </c>
      <c r="AT1667" s="186">
        <v>-14.311</v>
      </c>
      <c r="AU1667" s="187">
        <v>0.58850000000000002</v>
      </c>
      <c r="AV1667" s="187">
        <v>0.36149999999999999</v>
      </c>
      <c r="AW1667" s="187">
        <v>0.33750000000000002</v>
      </c>
      <c r="AX1667" s="187">
        <v>0.26850000000000002</v>
      </c>
      <c r="AY1667" s="186">
        <v>1.556</v>
      </c>
      <c r="AZ1667" s="187">
        <v>0.38750000000000001</v>
      </c>
      <c r="BA1667" s="187">
        <v>0.38250000000000001</v>
      </c>
      <c r="BB1667" s="187">
        <v>0.51949999999999996</v>
      </c>
      <c r="BC1667" s="187">
        <v>0.42449999999999999</v>
      </c>
      <c r="BD1667" s="186">
        <v>1.714</v>
      </c>
      <c r="BE1667" s="187">
        <v>0.60924999999999996</v>
      </c>
      <c r="BF1667" s="187">
        <v>0.42625000000000002</v>
      </c>
      <c r="BG1667" s="187">
        <v>0.37225000000000003</v>
      </c>
      <c r="BH1667" s="187">
        <v>0.27925</v>
      </c>
      <c r="BI1667" s="188">
        <v>1.6870000000000001</v>
      </c>
      <c r="BJ1667" s="187">
        <v>0</v>
      </c>
      <c r="BK1667" s="187">
        <v>0</v>
      </c>
      <c r="BL1667" s="187">
        <v>0</v>
      </c>
      <c r="BM1667" s="187">
        <v>0</v>
      </c>
      <c r="BN1667" s="186">
        <v>0</v>
      </c>
      <c r="BO1667" s="187">
        <v>0</v>
      </c>
      <c r="BP1667" s="187">
        <v>0</v>
      </c>
      <c r="BQ1667" s="187">
        <v>0</v>
      </c>
      <c r="BR1667" s="187">
        <v>0</v>
      </c>
      <c r="BS1667" s="186">
        <v>0</v>
      </c>
      <c r="BT1667" s="186">
        <v>0</v>
      </c>
      <c r="BU1667" s="186">
        <v>0</v>
      </c>
      <c r="BV1667" s="186">
        <v>0</v>
      </c>
      <c r="BW1667" s="197"/>
    </row>
    <row r="1668" spans="1:75" s="198" customFormat="1" ht="14.25" x14ac:dyDescent="0.45">
      <c r="A1668" s="805" t="s">
        <v>1460</v>
      </c>
      <c r="B1668" s="967"/>
      <c r="C1668" s="968"/>
      <c r="D1668" s="968">
        <v>47.1</v>
      </c>
      <c r="E1668" s="968">
        <v>47.1</v>
      </c>
      <c r="F1668" s="968">
        <v>47.41</v>
      </c>
      <c r="G1668" s="969">
        <v>47.41</v>
      </c>
      <c r="H1668" s="969">
        <v>47.41</v>
      </c>
      <c r="I1668" s="969">
        <v>47.41</v>
      </c>
      <c r="J1668" s="969">
        <v>47.41</v>
      </c>
      <c r="K1668" s="968">
        <v>47.41</v>
      </c>
      <c r="L1668" s="969">
        <v>47.41</v>
      </c>
      <c r="M1668" s="969">
        <v>47.661999999999999</v>
      </c>
      <c r="N1668" s="969">
        <v>47.832999999999998</v>
      </c>
      <c r="O1668" s="969">
        <v>47.863</v>
      </c>
      <c r="P1668" s="968">
        <v>47.863</v>
      </c>
      <c r="Q1668" s="969">
        <v>48.534999999999997</v>
      </c>
      <c r="R1668" s="969">
        <v>48.53</v>
      </c>
      <c r="S1668" s="969">
        <v>48.442</v>
      </c>
      <c r="T1668" s="969">
        <v>48.308999999999997</v>
      </c>
      <c r="U1668" s="968">
        <v>48.308999999999997</v>
      </c>
      <c r="V1668" s="969">
        <v>48.57</v>
      </c>
      <c r="W1668" s="969">
        <v>100.646</v>
      </c>
      <c r="X1668" s="969">
        <v>100.622</v>
      </c>
      <c r="Y1668" s="969">
        <v>100.624</v>
      </c>
      <c r="Z1668" s="968">
        <v>100.624</v>
      </c>
      <c r="AA1668" s="969">
        <v>100.73399999999999</v>
      </c>
      <c r="AB1668" s="969">
        <v>100.75</v>
      </c>
      <c r="AC1668" s="969">
        <v>100.726</v>
      </c>
      <c r="AD1668" s="969">
        <v>100.663</v>
      </c>
      <c r="AE1668" s="968">
        <v>100.663</v>
      </c>
      <c r="AF1668" s="969">
        <v>100.678</v>
      </c>
      <c r="AG1668" s="969">
        <v>100.663</v>
      </c>
      <c r="AH1668" s="969">
        <v>100.663</v>
      </c>
      <c r="AI1668" s="969">
        <v>86.022000000000006</v>
      </c>
      <c r="AJ1668" s="968">
        <v>86.022000000000006</v>
      </c>
      <c r="AK1668" s="969">
        <v>86.022000000000006</v>
      </c>
      <c r="AL1668" s="969">
        <v>86.022000000000006</v>
      </c>
      <c r="AM1668" s="969">
        <v>86.022000000000006</v>
      </c>
      <c r="AN1668" s="969">
        <v>86.022000000000006</v>
      </c>
      <c r="AO1668" s="968">
        <v>86.022000000000006</v>
      </c>
      <c r="AP1668" s="969">
        <v>65.563000000000002</v>
      </c>
      <c r="AQ1668" s="969">
        <v>66.863</v>
      </c>
      <c r="AR1668" s="969">
        <v>71.662999999999997</v>
      </c>
      <c r="AS1668" s="969">
        <v>71.662999999999997</v>
      </c>
      <c r="AT1668" s="968">
        <v>71.662999999999997</v>
      </c>
      <c r="AU1668" s="969">
        <v>72.236999999999995</v>
      </c>
      <c r="AV1668" s="969">
        <v>72.584000000000003</v>
      </c>
      <c r="AW1668" s="969">
        <v>72.906999999999996</v>
      </c>
      <c r="AX1668" s="969">
        <v>73.161000000000001</v>
      </c>
      <c r="AY1668" s="968">
        <v>73.161000000000001</v>
      </c>
      <c r="AZ1668" s="969">
        <v>73.488</v>
      </c>
      <c r="BA1668" s="969">
        <v>73.81</v>
      </c>
      <c r="BB1668" s="969">
        <v>74.269000000000005</v>
      </c>
      <c r="BC1668" s="969">
        <v>74.632999999999996</v>
      </c>
      <c r="BD1668" s="968">
        <v>74.632999999999996</v>
      </c>
      <c r="BE1668" s="969">
        <v>75.144000000000005</v>
      </c>
      <c r="BF1668" s="969">
        <v>75.471999999999994</v>
      </c>
      <c r="BG1668" s="969">
        <v>75.745999999999995</v>
      </c>
      <c r="BH1668" s="969">
        <v>75.927000000000007</v>
      </c>
      <c r="BI1668" s="970">
        <v>75.927000000000007</v>
      </c>
      <c r="BJ1668" s="969">
        <v>75.832091250000005</v>
      </c>
      <c r="BK1668" s="969">
        <v>75.7373011359375</v>
      </c>
      <c r="BL1668" s="969">
        <v>75.642629509517576</v>
      </c>
      <c r="BM1668" s="969">
        <v>75.548076222630684</v>
      </c>
      <c r="BN1668" s="968">
        <v>75.548076222630684</v>
      </c>
      <c r="BO1668" s="969">
        <v>75.453641127352398</v>
      </c>
      <c r="BP1668" s="969">
        <v>75.359324075943206</v>
      </c>
      <c r="BQ1668" s="969">
        <v>75.26512492084828</v>
      </c>
      <c r="BR1668" s="969">
        <v>75.171043514697217</v>
      </c>
      <c r="BS1668" s="968">
        <v>75.171043514697217</v>
      </c>
      <c r="BT1668" s="968">
        <v>74.79518829712373</v>
      </c>
      <c r="BU1668" s="968">
        <v>74.421212355638104</v>
      </c>
      <c r="BV1668" s="968">
        <v>74.049106293859907</v>
      </c>
      <c r="BW1668" s="197"/>
    </row>
    <row r="1669" spans="1:75" s="162" customFormat="1" ht="14.25" x14ac:dyDescent="0.45">
      <c r="A1669" s="526"/>
      <c r="B1669" s="734"/>
      <c r="C1669" s="186"/>
      <c r="D1669" s="186"/>
      <c r="E1669" s="186"/>
      <c r="F1669" s="186"/>
      <c r="G1669" s="187"/>
      <c r="H1669" s="187"/>
      <c r="I1669" s="187"/>
      <c r="J1669" s="187"/>
      <c r="K1669" s="186"/>
      <c r="L1669" s="187"/>
      <c r="M1669" s="187"/>
      <c r="N1669" s="187"/>
      <c r="O1669" s="187"/>
      <c r="P1669" s="186"/>
      <c r="Q1669" s="187"/>
      <c r="R1669" s="187"/>
      <c r="S1669" s="187"/>
      <c r="T1669" s="187"/>
      <c r="U1669" s="186"/>
      <c r="V1669" s="187"/>
      <c r="W1669" s="187"/>
      <c r="X1669" s="187"/>
      <c r="Y1669" s="187"/>
      <c r="Z1669" s="186"/>
      <c r="AA1669" s="187"/>
      <c r="AB1669" s="187"/>
      <c r="AC1669" s="187"/>
      <c r="AD1669" s="187"/>
      <c r="AE1669" s="186"/>
      <c r="AF1669" s="187"/>
      <c r="AG1669" s="187"/>
      <c r="AH1669" s="187"/>
      <c r="AI1669" s="187"/>
      <c r="AJ1669" s="186"/>
      <c r="AK1669" s="187"/>
      <c r="AL1669" s="187"/>
      <c r="AM1669" s="187"/>
      <c r="AN1669" s="187"/>
      <c r="AO1669" s="186"/>
      <c r="AP1669" s="187"/>
      <c r="AQ1669" s="187"/>
      <c r="AR1669" s="187"/>
      <c r="AS1669" s="187"/>
      <c r="AT1669" s="186"/>
      <c r="AU1669" s="187"/>
      <c r="AV1669" s="187"/>
      <c r="AW1669" s="187"/>
      <c r="AX1669" s="187"/>
      <c r="AY1669" s="186"/>
      <c r="AZ1669" s="187"/>
      <c r="BA1669" s="187"/>
      <c r="BB1669" s="187"/>
      <c r="BC1669" s="187"/>
      <c r="BD1669" s="186"/>
      <c r="BE1669" s="187"/>
      <c r="BF1669" s="187"/>
      <c r="BG1669" s="187"/>
      <c r="BH1669" s="187"/>
      <c r="BI1669" s="188"/>
      <c r="BJ1669" s="187"/>
      <c r="BK1669" s="187"/>
      <c r="BL1669" s="187"/>
      <c r="BM1669" s="187"/>
      <c r="BN1669" s="186"/>
      <c r="BO1669" s="187"/>
      <c r="BP1669" s="187"/>
      <c r="BQ1669" s="187"/>
      <c r="BR1669" s="187"/>
      <c r="BS1669" s="186"/>
      <c r="BT1669" s="186"/>
      <c r="BU1669" s="186"/>
      <c r="BV1669" s="186"/>
      <c r="BW1669" s="161"/>
    </row>
    <row r="1670" spans="1:75" s="162" customFormat="1" ht="14.25" x14ac:dyDescent="0.45">
      <c r="A1670" s="962" t="s">
        <v>1461</v>
      </c>
      <c r="B1670" s="660"/>
      <c r="C1670" s="172"/>
      <c r="D1670" s="172"/>
      <c r="E1670" s="172">
        <v>0.34270765206017001</v>
      </c>
      <c r="F1670" s="172">
        <v>0.29081596017137795</v>
      </c>
      <c r="G1670" s="173">
        <v>0.22768971150566397</v>
      </c>
      <c r="H1670" s="173">
        <v>0.20503529908766685</v>
      </c>
      <c r="I1670" s="173">
        <v>0.16732896992364032</v>
      </c>
      <c r="J1670" s="173">
        <v>0.15586971047356488</v>
      </c>
      <c r="K1670" s="172">
        <v>0.23786869647954328</v>
      </c>
      <c r="L1670" s="173">
        <v>0.13864938183137981</v>
      </c>
      <c r="M1670" s="173">
        <v>0.13519433485582011</v>
      </c>
      <c r="N1670" s="173">
        <v>0.13481777356876645</v>
      </c>
      <c r="O1670" s="173">
        <v>0.11177813655915277</v>
      </c>
      <c r="P1670" s="172">
        <v>0.15681055702646238</v>
      </c>
      <c r="Q1670" s="173">
        <v>0.1011170697260288</v>
      </c>
      <c r="R1670" s="173">
        <v>9.4267134964517496E-2</v>
      </c>
      <c r="S1670" s="173">
        <v>8.8446656708828564E-2</v>
      </c>
      <c r="T1670" s="173">
        <v>8.9050546718074594E-2</v>
      </c>
      <c r="U1670" s="172">
        <v>0.11308859800841257</v>
      </c>
      <c r="V1670" s="173">
        <v>9.7208134133687604E-2</v>
      </c>
      <c r="W1670" s="173">
        <v>9.7661125546396943E-2</v>
      </c>
      <c r="X1670" s="173">
        <v>9.9967537061854364E-2</v>
      </c>
      <c r="Y1670" s="173">
        <v>9.5790389128941514E-2</v>
      </c>
      <c r="Z1670" s="172">
        <v>0.11035579561873915</v>
      </c>
      <c r="AA1670" s="173">
        <v>9.5556246904156747E-2</v>
      </c>
      <c r="AB1670" s="173">
        <v>9.5679111671845826E-2</v>
      </c>
      <c r="AC1670" s="173">
        <v>0.1013795492447804</v>
      </c>
      <c r="AD1670" s="173">
        <v>9.2460156857994538E-2</v>
      </c>
      <c r="AE1670" s="172">
        <v>0.10263086901955264</v>
      </c>
      <c r="AF1670" s="173">
        <v>8.4156573389717479E-2</v>
      </c>
      <c r="AG1670" s="173">
        <v>6.2871517151875403E-2</v>
      </c>
      <c r="AH1670" s="173">
        <v>7.2412005299844456E-2</v>
      </c>
      <c r="AI1670" s="173">
        <v>8.3346764303983745E-2</v>
      </c>
      <c r="AJ1670" s="172">
        <v>7.8181786391373534E-2</v>
      </c>
      <c r="AK1670" s="173">
        <v>8.4880992910757999E-2</v>
      </c>
      <c r="AL1670" s="173">
        <v>6.7386196184634983E-2</v>
      </c>
      <c r="AM1670" s="173">
        <v>5.870855486148658E-2</v>
      </c>
      <c r="AN1670" s="173">
        <v>6.3354280820150904E-2</v>
      </c>
      <c r="AO1670" s="172">
        <v>7.3764246226675101E-2</v>
      </c>
      <c r="AP1670" s="173">
        <v>6.312532361029724E-2</v>
      </c>
      <c r="AQ1670" s="173">
        <v>6.3770133936154383E-2</v>
      </c>
      <c r="AR1670" s="173">
        <v>5.9322122390085767E-2</v>
      </c>
      <c r="AS1670" s="173">
        <v>4.7924322011741509E-2</v>
      </c>
      <c r="AT1670" s="172">
        <v>6.0665626979771577E-2</v>
      </c>
      <c r="AU1670" s="173">
        <v>4.8100720573190807E-2</v>
      </c>
      <c r="AV1670" s="173">
        <v>4.2982128683625866E-2</v>
      </c>
      <c r="AW1670" s="173">
        <v>4.9295581709605213E-2</v>
      </c>
      <c r="AX1670" s="173">
        <v>4.4276895685573026E-2</v>
      </c>
      <c r="AY1670" s="172">
        <v>4.8273390778668358E-2</v>
      </c>
      <c r="AZ1670" s="173">
        <v>4.2997915173626944E-2</v>
      </c>
      <c r="BA1670" s="173">
        <v>4.1376088379030028E-2</v>
      </c>
      <c r="BB1670" s="173">
        <v>3.6034935171846069E-2</v>
      </c>
      <c r="BC1670" s="173">
        <v>3.7405412256796979E-2</v>
      </c>
      <c r="BD1670" s="172">
        <v>4.5605576910547917E-2</v>
      </c>
      <c r="BE1670" s="173">
        <v>3.4808067993141921E-2</v>
      </c>
      <c r="BF1670" s="173">
        <v>3.577629246182016E-2</v>
      </c>
      <c r="BG1670" s="173">
        <v>3.6036719794632133E-2</v>
      </c>
      <c r="BH1670" s="173">
        <v>4.7742424527041985E-2</v>
      </c>
      <c r="BI1670" s="174">
        <v>3.9120186994493836E-2</v>
      </c>
      <c r="BJ1670" s="190">
        <v>4.4999999999999998E-2</v>
      </c>
      <c r="BK1670" s="190">
        <v>4.4999999999999998E-2</v>
      </c>
      <c r="BL1670" s="190">
        <v>4.4999999999999998E-2</v>
      </c>
      <c r="BM1670" s="190">
        <v>4.4999999999999998E-2</v>
      </c>
      <c r="BN1670" s="172">
        <v>4.4999999999999998E-2</v>
      </c>
      <c r="BO1670" s="190">
        <v>4.4999999999999998E-2</v>
      </c>
      <c r="BP1670" s="190">
        <v>4.4999999999999998E-2</v>
      </c>
      <c r="BQ1670" s="190">
        <v>4.4999999999999998E-2</v>
      </c>
      <c r="BR1670" s="190">
        <v>4.4999999999999998E-2</v>
      </c>
      <c r="BS1670" s="172">
        <v>4.4999999999999998E-2</v>
      </c>
      <c r="BT1670" s="191">
        <v>4.4999999999999998E-2</v>
      </c>
      <c r="BU1670" s="191">
        <v>4.4999999999999998E-2</v>
      </c>
      <c r="BV1670" s="191">
        <v>4.4999999999999998E-2</v>
      </c>
      <c r="BW1670" s="161"/>
    </row>
    <row r="1671" spans="1:75" s="162" customFormat="1" ht="14.25" x14ac:dyDescent="0.45">
      <c r="A1671" s="962" t="s">
        <v>1462</v>
      </c>
      <c r="B1671" s="660"/>
      <c r="C1671" s="172"/>
      <c r="D1671" s="172"/>
      <c r="E1671" s="172">
        <v>5.9447983014861989E-2</v>
      </c>
      <c r="F1671" s="172">
        <v>5.0955414012738849E-2</v>
      </c>
      <c r="G1671" s="173">
        <v>2.3201856148491882E-2</v>
      </c>
      <c r="H1671" s="173">
        <v>2.3201856148491882E-2</v>
      </c>
      <c r="I1671" s="173">
        <v>2.3201856148491882E-2</v>
      </c>
      <c r="J1671" s="173">
        <v>2.3201856148491882E-2</v>
      </c>
      <c r="K1671" s="172">
        <v>2.3201856148491882E-2</v>
      </c>
      <c r="L1671" s="173">
        <v>1.4764817549040287E-2</v>
      </c>
      <c r="M1671" s="173">
        <v>1.4764817549040287E-2</v>
      </c>
      <c r="N1671" s="173">
        <v>1.468675254920062E-2</v>
      </c>
      <c r="O1671" s="173">
        <v>1.4634248322287959E-2</v>
      </c>
      <c r="P1671" s="172">
        <v>1.4764817549040287E-2</v>
      </c>
      <c r="Q1671" s="173">
        <v>6.267889601571151E-3</v>
      </c>
      <c r="R1671" s="173">
        <v>6.1811064180488312E-3</v>
      </c>
      <c r="S1671" s="173">
        <v>6.181743251596949E-3</v>
      </c>
      <c r="T1671" s="173">
        <v>6.1929730399240329E-3</v>
      </c>
      <c r="U1671" s="172">
        <v>6.267889601571151E-3</v>
      </c>
      <c r="V1671" s="173">
        <v>2.0700076590283384E-3</v>
      </c>
      <c r="W1671" s="173">
        <v>2.0588840848260242E-3</v>
      </c>
      <c r="X1671" s="173">
        <v>9.9358146374421241E-4</v>
      </c>
      <c r="Y1671" s="173">
        <v>9.9381844924569191E-4</v>
      </c>
      <c r="Z1671" s="172">
        <v>2.0700076590283384E-3</v>
      </c>
      <c r="AA1671" s="173">
        <v>1.3674287828565658E-3</v>
      </c>
      <c r="AB1671" s="173">
        <v>1.3659355713677515E-3</v>
      </c>
      <c r="AC1671" s="173">
        <v>1.3657186485971124E-3</v>
      </c>
      <c r="AD1671" s="173">
        <v>1.2684694829821692E-3</v>
      </c>
      <c r="AE1671" s="172">
        <v>1.3416282397838003E-3</v>
      </c>
      <c r="AF1671" s="173">
        <v>0</v>
      </c>
      <c r="AG1671" s="173">
        <v>0</v>
      </c>
      <c r="AH1671" s="173">
        <v>0</v>
      </c>
      <c r="AI1671" s="173">
        <v>0</v>
      </c>
      <c r="AJ1671" s="172">
        <v>0</v>
      </c>
      <c r="AK1671" s="173">
        <v>5.5799679151846986E-4</v>
      </c>
      <c r="AL1671" s="173">
        <v>5.5799679151846986E-4</v>
      </c>
      <c r="AM1671" s="173">
        <v>5.5799679151846986E-4</v>
      </c>
      <c r="AN1671" s="173">
        <v>5.5799679151846986E-4</v>
      </c>
      <c r="AO1671" s="172">
        <v>5.5799679151846986E-4</v>
      </c>
      <c r="AP1671" s="173">
        <v>5.5799679151846986E-4</v>
      </c>
      <c r="AQ1671" s="173">
        <v>7.3212025075121358E-4</v>
      </c>
      <c r="AR1671" s="173">
        <v>7.178858262417453E-4</v>
      </c>
      <c r="AS1671" s="173">
        <v>6.6980171078522834E-4</v>
      </c>
      <c r="AT1671" s="172">
        <v>5.5799679151846986E-4</v>
      </c>
      <c r="AU1671" s="173">
        <v>8.0934373386555038E-4</v>
      </c>
      <c r="AV1671" s="173">
        <v>8.0291263479943722E-4</v>
      </c>
      <c r="AW1671" s="173">
        <v>7.9907417612706561E-4</v>
      </c>
      <c r="AX1671" s="173">
        <v>7.9553403651236418E-4</v>
      </c>
      <c r="AY1671" s="172">
        <v>8.0934373386555038E-4</v>
      </c>
      <c r="AZ1671" s="173">
        <v>3.3077732671778315E-3</v>
      </c>
      <c r="BA1671" s="173">
        <v>3.29305464837793E-3</v>
      </c>
      <c r="BB1671" s="173">
        <v>3.2786885245901275E-3</v>
      </c>
      <c r="BC1671" s="173">
        <v>3.2584254534192914E-3</v>
      </c>
      <c r="BD1671" s="172">
        <v>3.3077732671778315E-3</v>
      </c>
      <c r="BE1671" s="173">
        <v>5.3670319069003391E-3</v>
      </c>
      <c r="BF1671" s="173">
        <v>5.3305346043289285E-3</v>
      </c>
      <c r="BG1671" s="173">
        <v>5.3073681936041586E-3</v>
      </c>
      <c r="BH1671" s="173">
        <v>4.9104431728596784E-3</v>
      </c>
      <c r="BI1671" s="174">
        <v>5.2657671539399556E-3</v>
      </c>
      <c r="BJ1671" s="190">
        <v>5.0000000000000001E-3</v>
      </c>
      <c r="BK1671" s="190">
        <v>5.0000000000000001E-3</v>
      </c>
      <c r="BL1671" s="190">
        <v>5.0000000000000001E-3</v>
      </c>
      <c r="BM1671" s="190">
        <v>5.0000000000000001E-3</v>
      </c>
      <c r="BN1671" s="172">
        <v>5.0000000000000001E-3</v>
      </c>
      <c r="BO1671" s="190">
        <v>5.0000000000000001E-3</v>
      </c>
      <c r="BP1671" s="190">
        <v>5.0000000000000001E-3</v>
      </c>
      <c r="BQ1671" s="190">
        <v>5.0000000000000001E-3</v>
      </c>
      <c r="BR1671" s="190">
        <v>5.0000000000000001E-3</v>
      </c>
      <c r="BS1671" s="172">
        <v>5.0000000000000001E-3</v>
      </c>
      <c r="BT1671" s="191">
        <v>5.0000000000000001E-3</v>
      </c>
      <c r="BU1671" s="191">
        <v>5.0000000000000001E-3</v>
      </c>
      <c r="BV1671" s="191">
        <v>5.0000000000000001E-3</v>
      </c>
      <c r="BW1671" s="161"/>
    </row>
    <row r="1672" spans="1:75" s="169" customFormat="1" ht="14.25" x14ac:dyDescent="0.45">
      <c r="A1672" s="163" t="s">
        <v>1463</v>
      </c>
      <c r="B1672" s="761"/>
      <c r="C1672" s="165"/>
      <c r="D1672" s="165"/>
      <c r="E1672" s="165">
        <v>2.91793893129771</v>
      </c>
      <c r="F1672" s="165">
        <v>3.4386008230452676</v>
      </c>
      <c r="G1672" s="166">
        <v>4.3919419695655604</v>
      </c>
      <c r="H1672" s="166">
        <v>4.8772089705998889</v>
      </c>
      <c r="I1672" s="166">
        <v>5.9762514551804431</v>
      </c>
      <c r="J1672" s="166">
        <v>6.4156146627961919</v>
      </c>
      <c r="K1672" s="165">
        <v>4.2040000000000006</v>
      </c>
      <c r="L1672" s="166">
        <v>7.2124374937074185</v>
      </c>
      <c r="M1672" s="166">
        <v>7.3967596428242643</v>
      </c>
      <c r="N1672" s="166">
        <v>7.4174196289477399</v>
      </c>
      <c r="O1672" s="166">
        <v>8.9462933520170314</v>
      </c>
      <c r="P1672" s="165">
        <v>6.3771216617210671</v>
      </c>
      <c r="Q1672" s="166">
        <v>9.8895270868652112</v>
      </c>
      <c r="R1672" s="166">
        <v>10.608150978348963</v>
      </c>
      <c r="S1672" s="166">
        <v>11.306249859642032</v>
      </c>
      <c r="T1672" s="166">
        <v>11.229577322707554</v>
      </c>
      <c r="U1672" s="165">
        <v>8.8426244343891387</v>
      </c>
      <c r="V1672" s="166">
        <v>10.287204963987151</v>
      </c>
      <c r="W1672" s="166">
        <v>10.239488787428719</v>
      </c>
      <c r="X1672" s="166">
        <v>10.003247347999135</v>
      </c>
      <c r="Y1672" s="166">
        <v>10.439460671298871</v>
      </c>
      <c r="Z1672" s="165">
        <v>9.061599297012302</v>
      </c>
      <c r="AA1672" s="166">
        <v>10.465040564046049</v>
      </c>
      <c r="AB1672" s="166">
        <v>10.451602053222826</v>
      </c>
      <c r="AC1672" s="166">
        <v>9.8639223339364541</v>
      </c>
      <c r="AD1672" s="166">
        <v>10.815469430101182</v>
      </c>
      <c r="AE1672" s="165">
        <v>9.7436571428571437</v>
      </c>
      <c r="AF1672" s="166">
        <v>11.882613083224504</v>
      </c>
      <c r="AG1672" s="166">
        <v>15.905453618756372</v>
      </c>
      <c r="AH1672" s="166">
        <v>13.809864757358792</v>
      </c>
      <c r="AI1672" s="166">
        <v>11.998066251891709</v>
      </c>
      <c r="AJ1672" s="165">
        <v>12.79070287539936</v>
      </c>
      <c r="AK1672" s="166">
        <v>11.781200545702591</v>
      </c>
      <c r="AL1672" s="166">
        <v>14.839834515366434</v>
      </c>
      <c r="AM1672" s="166">
        <v>17.033292717889914</v>
      </c>
      <c r="AN1672" s="166">
        <v>15.78425304580102</v>
      </c>
      <c r="AO1672" s="165">
        <v>13.556703296703295</v>
      </c>
      <c r="AP1672" s="166">
        <v>15.841502946954813</v>
      </c>
      <c r="AQ1672" s="166">
        <v>15.681321933574482</v>
      </c>
      <c r="AR1672" s="166">
        <v>16.857117711067016</v>
      </c>
      <c r="AS1672" s="166">
        <v>20.866231550547525</v>
      </c>
      <c r="AT1672" s="165">
        <v>16.483798977853493</v>
      </c>
      <c r="AU1672" s="166">
        <v>20.789709344964685</v>
      </c>
      <c r="AV1672" s="166">
        <v>23.265483367764244</v>
      </c>
      <c r="AW1672" s="166">
        <v>20.28579368209688</v>
      </c>
      <c r="AX1672" s="166">
        <v>22.585142533509526</v>
      </c>
      <c r="AY1672" s="165">
        <v>20.715346153846156</v>
      </c>
      <c r="AZ1672" s="166">
        <v>23.256941550816318</v>
      </c>
      <c r="BA1672" s="166">
        <v>24.168548530721278</v>
      </c>
      <c r="BB1672" s="166">
        <v>27.750847760128497</v>
      </c>
      <c r="BC1672" s="166">
        <v>26.73409914946971</v>
      </c>
      <c r="BD1672" s="165">
        <v>21.927142857142858</v>
      </c>
      <c r="BE1672" s="166">
        <v>28.728971691190253</v>
      </c>
      <c r="BF1672" s="166">
        <v>27.951470965505514</v>
      </c>
      <c r="BG1672" s="166">
        <v>27.749473473136568</v>
      </c>
      <c r="BH1672" s="166">
        <v>20.945731388936597</v>
      </c>
      <c r="BI1672" s="167">
        <v>25.562249999999999</v>
      </c>
      <c r="BJ1672" s="166">
        <v>22.222222222222225</v>
      </c>
      <c r="BK1672" s="166">
        <v>22.222222222222221</v>
      </c>
      <c r="BL1672" s="166">
        <v>22.222222222222225</v>
      </c>
      <c r="BM1672" s="166">
        <v>22.222222222222225</v>
      </c>
      <c r="BN1672" s="165">
        <v>22.222222222222225</v>
      </c>
      <c r="BO1672" s="166">
        <v>22.222222222222221</v>
      </c>
      <c r="BP1672" s="166">
        <v>22.222222222222221</v>
      </c>
      <c r="BQ1672" s="166">
        <v>22.222222222222221</v>
      </c>
      <c r="BR1672" s="166">
        <v>22.222222222222221</v>
      </c>
      <c r="BS1672" s="165">
        <v>22.222222222222221</v>
      </c>
      <c r="BT1672" s="165">
        <v>22.222222222222221</v>
      </c>
      <c r="BU1672" s="165">
        <v>22.222222222222221</v>
      </c>
      <c r="BV1672" s="165">
        <v>22.222222222222225</v>
      </c>
      <c r="BW1672" s="168"/>
    </row>
    <row r="1673" spans="1:75" s="169" customFormat="1" ht="14.25" x14ac:dyDescent="0.45">
      <c r="A1673" s="163" t="s">
        <v>1464</v>
      </c>
      <c r="B1673" s="761"/>
      <c r="C1673" s="165"/>
      <c r="D1673" s="165"/>
      <c r="E1673" s="165">
        <v>16.821428571428573</v>
      </c>
      <c r="F1673" s="165">
        <v>19.625</v>
      </c>
      <c r="G1673" s="166">
        <v>43.099999999999994</v>
      </c>
      <c r="H1673" s="166">
        <v>43.099999999999994</v>
      </c>
      <c r="I1673" s="166">
        <v>43.099999999999994</v>
      </c>
      <c r="J1673" s="166">
        <v>43.099999999999994</v>
      </c>
      <c r="K1673" s="165">
        <v>43.099999999999994</v>
      </c>
      <c r="L1673" s="166">
        <v>67.728571428571428</v>
      </c>
      <c r="M1673" s="166">
        <v>67.728571428571428</v>
      </c>
      <c r="N1673" s="166">
        <v>68.088571428571427</v>
      </c>
      <c r="O1673" s="166">
        <v>68.332857142857151</v>
      </c>
      <c r="P1673" s="165">
        <v>67.728571428571428</v>
      </c>
      <c r="Q1673" s="166">
        <v>159.54333333333335</v>
      </c>
      <c r="R1673" s="166">
        <v>161.78333333333333</v>
      </c>
      <c r="S1673" s="166">
        <v>161.76666666666668</v>
      </c>
      <c r="T1673" s="166">
        <v>161.47333333333333</v>
      </c>
      <c r="U1673" s="165">
        <v>159.54333333333335</v>
      </c>
      <c r="V1673" s="166">
        <v>483.08999999999992</v>
      </c>
      <c r="W1673" s="166">
        <v>485.7</v>
      </c>
      <c r="X1673" s="166">
        <v>1006.4599999999998</v>
      </c>
      <c r="Y1673" s="166">
        <v>1006.2199999999999</v>
      </c>
      <c r="Z1673" s="165">
        <v>483.09</v>
      </c>
      <c r="AA1673" s="166">
        <v>731.29951083155856</v>
      </c>
      <c r="AB1673" s="166">
        <v>732.0989517819429</v>
      </c>
      <c r="AC1673" s="166">
        <v>732.21523410199882</v>
      </c>
      <c r="AD1673" s="166">
        <v>788.35164220821605</v>
      </c>
      <c r="AE1673" s="165">
        <v>745.36296296293472</v>
      </c>
      <c r="AF1673" s="166" t="s">
        <v>279</v>
      </c>
      <c r="AG1673" s="166" t="s">
        <v>279</v>
      </c>
      <c r="AH1673" s="166" t="s">
        <v>279</v>
      </c>
      <c r="AI1673" s="166" t="s">
        <v>279</v>
      </c>
      <c r="AJ1673" s="165" t="s">
        <v>279</v>
      </c>
      <c r="AK1673" s="166">
        <v>1792.1249999999322</v>
      </c>
      <c r="AL1673" s="166">
        <v>1792.1249999999322</v>
      </c>
      <c r="AM1673" s="166">
        <v>1792.1249999999322</v>
      </c>
      <c r="AN1673" s="166">
        <v>1792.1249999999322</v>
      </c>
      <c r="AO1673" s="165">
        <v>1792.1249999999322</v>
      </c>
      <c r="AP1673" s="166">
        <v>1792.1249999999322</v>
      </c>
      <c r="AQ1673" s="166">
        <v>1365.8958333332816</v>
      </c>
      <c r="AR1673" s="166">
        <v>1392.9791666666138</v>
      </c>
      <c r="AS1673" s="166">
        <v>1492.9791666666104</v>
      </c>
      <c r="AT1673" s="165">
        <v>1792.1249999999322</v>
      </c>
      <c r="AU1673" s="166">
        <v>1235.5689655170936</v>
      </c>
      <c r="AV1673" s="166">
        <v>1245.4655172412304</v>
      </c>
      <c r="AW1673" s="166">
        <v>1251.4482758619195</v>
      </c>
      <c r="AX1673" s="166">
        <v>1257.0172413791599</v>
      </c>
      <c r="AY1673" s="165">
        <v>1235.5689655170936</v>
      </c>
      <c r="AZ1673" s="166">
        <v>302.31818181818517</v>
      </c>
      <c r="BA1673" s="166">
        <v>303.66942148760666</v>
      </c>
      <c r="BB1673" s="166">
        <v>305.00000000000335</v>
      </c>
      <c r="BC1673" s="166">
        <v>306.89669421487946</v>
      </c>
      <c r="BD1673" s="165">
        <v>302.31818181818517</v>
      </c>
      <c r="BE1673" s="166">
        <v>186.32272312640995</v>
      </c>
      <c r="BF1673" s="166">
        <v>187.59844447645079</v>
      </c>
      <c r="BG1673" s="166">
        <v>188.41730279898186</v>
      </c>
      <c r="BH1673" s="166">
        <v>203.64760670219368</v>
      </c>
      <c r="BI1673" s="167">
        <v>189.90585241730247</v>
      </c>
      <c r="BJ1673" s="166">
        <v>200</v>
      </c>
      <c r="BK1673" s="166">
        <v>199.99999999999997</v>
      </c>
      <c r="BL1673" s="166">
        <v>199.99999999999997</v>
      </c>
      <c r="BM1673" s="166">
        <v>200</v>
      </c>
      <c r="BN1673" s="165">
        <v>200</v>
      </c>
      <c r="BO1673" s="166">
        <v>200</v>
      </c>
      <c r="BP1673" s="166">
        <v>199.99999999999997</v>
      </c>
      <c r="BQ1673" s="166">
        <v>199.99999999999997</v>
      </c>
      <c r="BR1673" s="166">
        <v>200.00000000000003</v>
      </c>
      <c r="BS1673" s="165">
        <v>200</v>
      </c>
      <c r="BT1673" s="165">
        <v>200</v>
      </c>
      <c r="BU1673" s="165">
        <v>200</v>
      </c>
      <c r="BV1673" s="165">
        <v>199.99999999999997</v>
      </c>
      <c r="BW1673" s="168"/>
    </row>
    <row r="1674" spans="1:75" s="162" customFormat="1" ht="14.25" x14ac:dyDescent="0.45">
      <c r="A1674" s="526"/>
      <c r="B1674" s="734"/>
      <c r="C1674" s="186"/>
      <c r="D1674" s="186"/>
      <c r="E1674" s="186"/>
      <c r="F1674" s="186"/>
      <c r="G1674" s="187"/>
      <c r="H1674" s="187"/>
      <c r="I1674" s="187"/>
      <c r="J1674" s="187"/>
      <c r="K1674" s="186"/>
      <c r="L1674" s="187"/>
      <c r="M1674" s="187"/>
      <c r="N1674" s="187"/>
      <c r="O1674" s="187"/>
      <c r="P1674" s="186"/>
      <c r="Q1674" s="187"/>
      <c r="R1674" s="187"/>
      <c r="S1674" s="187"/>
      <c r="T1674" s="187"/>
      <c r="U1674" s="186"/>
      <c r="V1674" s="187"/>
      <c r="W1674" s="187"/>
      <c r="X1674" s="187"/>
      <c r="Y1674" s="187"/>
      <c r="Z1674" s="186"/>
      <c r="AA1674" s="187"/>
      <c r="AB1674" s="187"/>
      <c r="AC1674" s="187"/>
      <c r="AD1674" s="187"/>
      <c r="AE1674" s="186"/>
      <c r="AF1674" s="187"/>
      <c r="AG1674" s="187"/>
      <c r="AH1674" s="187"/>
      <c r="AI1674" s="187"/>
      <c r="AJ1674" s="186"/>
      <c r="AK1674" s="187"/>
      <c r="AL1674" s="187"/>
      <c r="AM1674" s="187"/>
      <c r="AN1674" s="187"/>
      <c r="AO1674" s="186"/>
      <c r="AP1674" s="187"/>
      <c r="AQ1674" s="187"/>
      <c r="AR1674" s="187"/>
      <c r="AS1674" s="187"/>
      <c r="AT1674" s="186"/>
      <c r="AU1674" s="187"/>
      <c r="AV1674" s="187"/>
      <c r="AW1674" s="187"/>
      <c r="AX1674" s="187"/>
      <c r="AY1674" s="186"/>
      <c r="AZ1674" s="187"/>
      <c r="BA1674" s="187"/>
      <c r="BB1674" s="187"/>
      <c r="BC1674" s="187"/>
      <c r="BD1674" s="186"/>
      <c r="BE1674" s="187"/>
      <c r="BF1674" s="187"/>
      <c r="BG1674" s="187"/>
      <c r="BH1674" s="187"/>
      <c r="BI1674" s="188"/>
      <c r="BJ1674" s="187"/>
      <c r="BK1674" s="187"/>
      <c r="BL1674" s="187"/>
      <c r="BM1674" s="187"/>
      <c r="BN1674" s="186"/>
      <c r="BO1674" s="187"/>
      <c r="BP1674" s="187"/>
      <c r="BQ1674" s="187"/>
      <c r="BR1674" s="187"/>
      <c r="BS1674" s="186"/>
      <c r="BT1674" s="186"/>
      <c r="BU1674" s="186"/>
      <c r="BV1674" s="186"/>
      <c r="BW1674" s="161"/>
    </row>
    <row r="1675" spans="1:75" s="198" customFormat="1" ht="14.25" x14ac:dyDescent="0.45">
      <c r="A1675" s="206" t="s">
        <v>799</v>
      </c>
      <c r="B1675" s="522"/>
      <c r="C1675" s="208"/>
      <c r="D1675" s="208">
        <v>31.263000000000002</v>
      </c>
      <c r="E1675" s="208">
        <v>29.186</v>
      </c>
      <c r="F1675" s="208">
        <v>26.748000000000001</v>
      </c>
      <c r="G1675" s="209">
        <v>6.63</v>
      </c>
      <c r="H1675" s="209">
        <v>6.5979999999999999</v>
      </c>
      <c r="I1675" s="209">
        <v>6.7309999999999999</v>
      </c>
      <c r="J1675" s="209">
        <v>7.6950000000000003</v>
      </c>
      <c r="K1675" s="208">
        <v>27.654</v>
      </c>
      <c r="L1675" s="209">
        <v>7.64</v>
      </c>
      <c r="M1675" s="209">
        <v>8.338000000000001</v>
      </c>
      <c r="N1675" s="209">
        <v>9.0170000000000012</v>
      </c>
      <c r="O1675" s="209">
        <v>9.468</v>
      </c>
      <c r="P1675" s="208">
        <v>34.463000000000001</v>
      </c>
      <c r="Q1675" s="209">
        <v>9.9789999999999992</v>
      </c>
      <c r="R1675" s="209">
        <v>10.895</v>
      </c>
      <c r="S1675" s="209">
        <v>11.230999999999998</v>
      </c>
      <c r="T1675" s="209">
        <v>12.490000000000002</v>
      </c>
      <c r="U1675" s="208">
        <v>44.594999999999999</v>
      </c>
      <c r="V1675" s="209">
        <v>12.554</v>
      </c>
      <c r="W1675" s="209">
        <v>13.657999999999999</v>
      </c>
      <c r="X1675" s="209">
        <v>15.035999999999998</v>
      </c>
      <c r="Y1675" s="209">
        <v>15.747</v>
      </c>
      <c r="Z1675" s="208">
        <v>56.994999999999997</v>
      </c>
      <c r="AA1675" s="209">
        <v>16.02</v>
      </c>
      <c r="AB1675" s="209">
        <v>16.526</v>
      </c>
      <c r="AC1675" s="209">
        <v>18.545999999999999</v>
      </c>
      <c r="AD1675" s="209">
        <v>19.043000000000006</v>
      </c>
      <c r="AE1675" s="208">
        <v>70.135000000000005</v>
      </c>
      <c r="AF1675" s="209">
        <v>22.745000000000001</v>
      </c>
      <c r="AG1675" s="209">
        <v>19.193999999999999</v>
      </c>
      <c r="AH1675" s="209">
        <v>22.994999999999997</v>
      </c>
      <c r="AI1675" s="209">
        <v>26.438000000000002</v>
      </c>
      <c r="AJ1675" s="208">
        <v>91.448000000000008</v>
      </c>
      <c r="AK1675" s="209">
        <v>27.189</v>
      </c>
      <c r="AL1675" s="209">
        <v>25.320999999999998</v>
      </c>
      <c r="AM1675" s="209">
        <v>23.434999999999995</v>
      </c>
      <c r="AN1675" s="209">
        <v>24.794000000000011</v>
      </c>
      <c r="AO1675" s="208">
        <v>100.739</v>
      </c>
      <c r="AP1675" s="209">
        <v>24.87</v>
      </c>
      <c r="AQ1675" s="209">
        <v>25.342000000000002</v>
      </c>
      <c r="AR1675" s="209">
        <v>26.475999999999999</v>
      </c>
      <c r="AS1675" s="209">
        <v>23.352000000000004</v>
      </c>
      <c r="AT1675" s="208">
        <v>100.04</v>
      </c>
      <c r="AU1675" s="209">
        <v>23.885999999999999</v>
      </c>
      <c r="AV1675" s="209">
        <v>22.669999999999998</v>
      </c>
      <c r="AW1675" s="209">
        <v>24.819000000000003</v>
      </c>
      <c r="AX1675" s="209">
        <v>24.647000000000006</v>
      </c>
      <c r="AY1675" s="208">
        <v>96.022000000000006</v>
      </c>
      <c r="AZ1675" s="209">
        <v>24.757999999999996</v>
      </c>
      <c r="BA1675" s="209">
        <v>26.97</v>
      </c>
      <c r="BB1675" s="209">
        <v>28.032000000000004</v>
      </c>
      <c r="BC1675" s="209">
        <v>28.827999999999989</v>
      </c>
      <c r="BD1675" s="208">
        <v>108.58799999999999</v>
      </c>
      <c r="BE1675" s="209">
        <v>27.77</v>
      </c>
      <c r="BF1675" s="209">
        <v>28.135999999999999</v>
      </c>
      <c r="BG1675" s="209">
        <v>28.454000000000001</v>
      </c>
      <c r="BH1675" s="209">
        <v>34.629000000000005</v>
      </c>
      <c r="BI1675" s="210">
        <v>118.989</v>
      </c>
      <c r="BJ1675" s="209">
        <v>33.06081125</v>
      </c>
      <c r="BK1675" s="209">
        <v>33.409826210937496</v>
      </c>
      <c r="BL1675" s="209">
        <v>33.75491356720508</v>
      </c>
      <c r="BM1675" s="209">
        <v>34.096117505838215</v>
      </c>
      <c r="BN1675" s="208">
        <v>134.32166853398078</v>
      </c>
      <c r="BO1675" s="209">
        <v>34.433481716766408</v>
      </c>
      <c r="BP1675" s="209">
        <v>34.767049398405575</v>
      </c>
      <c r="BQ1675" s="209">
        <v>35.096863263187601</v>
      </c>
      <c r="BR1675" s="209">
        <v>35.422965543027686</v>
      </c>
      <c r="BS1675" s="208">
        <v>139.72035992138726</v>
      </c>
      <c r="BT1675" s="208">
        <v>141.98159197892053</v>
      </c>
      <c r="BU1675" s="208">
        <v>147.08245454857203</v>
      </c>
      <c r="BV1675" s="208">
        <v>151.95370313154575</v>
      </c>
      <c r="BW1675" s="197"/>
    </row>
    <row r="1676" spans="1:75" s="198" customFormat="1" ht="14.25" x14ac:dyDescent="0.45">
      <c r="A1676" s="206" t="s">
        <v>1465</v>
      </c>
      <c r="B1676" s="522"/>
      <c r="C1676" s="208"/>
      <c r="D1676" s="208">
        <v>39.906999999999996</v>
      </c>
      <c r="E1676" s="208">
        <v>25.593</v>
      </c>
      <c r="F1676" s="208">
        <v>49.368000000000002</v>
      </c>
      <c r="G1676" s="209">
        <v>9.7370000000000001</v>
      </c>
      <c r="H1676" s="209">
        <v>20.878999999999998</v>
      </c>
      <c r="I1676" s="209">
        <v>27.006</v>
      </c>
      <c r="J1676" s="209">
        <v>36.245999999999995</v>
      </c>
      <c r="K1676" s="208">
        <v>93.867999999999995</v>
      </c>
      <c r="L1676" s="209">
        <v>16.515000000000001</v>
      </c>
      <c r="M1676" s="209">
        <v>22.536999999999995</v>
      </c>
      <c r="N1676" s="209">
        <v>31.061</v>
      </c>
      <c r="O1676" s="209">
        <v>49.948999999999998</v>
      </c>
      <c r="P1676" s="208">
        <v>120.062</v>
      </c>
      <c r="Q1676" s="209">
        <v>29.227</v>
      </c>
      <c r="R1676" s="209">
        <v>27.077000000000002</v>
      </c>
      <c r="S1676" s="209">
        <v>43.568999999999996</v>
      </c>
      <c r="T1676" s="209">
        <v>53.975000000000001</v>
      </c>
      <c r="U1676" s="208">
        <v>153.84799999999998</v>
      </c>
      <c r="V1676" s="209">
        <v>48.991000000000007</v>
      </c>
      <c r="W1676" s="209">
        <v>25.832999999999991</v>
      </c>
      <c r="X1676" s="209">
        <v>33.321000000000005</v>
      </c>
      <c r="Y1676" s="209">
        <v>73.201000000000008</v>
      </c>
      <c r="Z1676" s="208">
        <v>181.346</v>
      </c>
      <c r="AA1676" s="209">
        <v>13.456</v>
      </c>
      <c r="AB1676" s="209">
        <v>31.230000000000004</v>
      </c>
      <c r="AC1676" s="209">
        <v>44.914000000000001</v>
      </c>
      <c r="AD1676" s="209">
        <v>37.280999999999999</v>
      </c>
      <c r="AE1676" s="208">
        <v>126.881</v>
      </c>
      <c r="AF1676" s="209">
        <v>17.673999999999999</v>
      </c>
      <c r="AG1676" s="209">
        <v>25.241999999999997</v>
      </c>
      <c r="AH1676" s="209">
        <v>30.362000000000009</v>
      </c>
      <c r="AI1676" s="209">
        <v>6.7139999999999986</v>
      </c>
      <c r="AJ1676" s="208">
        <v>79.992000000000004</v>
      </c>
      <c r="AK1676" s="209">
        <v>7.9160000000000004</v>
      </c>
      <c r="AL1676" s="209">
        <v>17.367000000000001</v>
      </c>
      <c r="AM1676" s="209">
        <v>69.331000000000003</v>
      </c>
      <c r="AN1676" s="209">
        <v>52.009</v>
      </c>
      <c r="AO1676" s="208">
        <v>146.62299999999999</v>
      </c>
      <c r="AP1676" s="209">
        <v>16.632000000000001</v>
      </c>
      <c r="AQ1676" s="209">
        <v>30.898999999999997</v>
      </c>
      <c r="AR1676" s="209">
        <v>24.223999999999997</v>
      </c>
      <c r="AS1676" s="209">
        <v>52.228000000000009</v>
      </c>
      <c r="AT1676" s="208">
        <v>123.983</v>
      </c>
      <c r="AU1676" s="209">
        <v>50.250999999999998</v>
      </c>
      <c r="AV1676" s="209">
        <v>31.887000000000008</v>
      </c>
      <c r="AW1676" s="209">
        <v>71.635999999999996</v>
      </c>
      <c r="AX1676" s="209">
        <v>31.609000000000009</v>
      </c>
      <c r="AY1676" s="208">
        <v>185.38300000000001</v>
      </c>
      <c r="AZ1676" s="209">
        <v>29.364000000000001</v>
      </c>
      <c r="BA1676" s="209">
        <v>33.194000000000003</v>
      </c>
      <c r="BB1676" s="209">
        <v>47.116999999999997</v>
      </c>
      <c r="BC1676" s="209">
        <v>63.966999999999999</v>
      </c>
      <c r="BD1676" s="208">
        <v>173.642</v>
      </c>
      <c r="BE1676" s="209">
        <v>34.19</v>
      </c>
      <c r="BF1676" s="209">
        <v>47.406000000000006</v>
      </c>
      <c r="BG1676" s="209">
        <v>50.244</v>
      </c>
      <c r="BH1676" s="209">
        <v>137.51599999999999</v>
      </c>
      <c r="BI1676" s="210">
        <v>269.35599999999999</v>
      </c>
      <c r="BJ1676" s="209">
        <v>50</v>
      </c>
      <c r="BK1676" s="209">
        <v>50</v>
      </c>
      <c r="BL1676" s="209">
        <v>50</v>
      </c>
      <c r="BM1676" s="209">
        <v>50</v>
      </c>
      <c r="BN1676" s="208">
        <v>200</v>
      </c>
      <c r="BO1676" s="209">
        <v>50</v>
      </c>
      <c r="BP1676" s="209">
        <v>50</v>
      </c>
      <c r="BQ1676" s="209">
        <v>50</v>
      </c>
      <c r="BR1676" s="209">
        <v>50</v>
      </c>
      <c r="BS1676" s="208">
        <v>200</v>
      </c>
      <c r="BT1676" s="208">
        <v>200</v>
      </c>
      <c r="BU1676" s="208">
        <v>200</v>
      </c>
      <c r="BV1676" s="208">
        <v>200</v>
      </c>
      <c r="BW1676" s="197"/>
    </row>
    <row r="1677" spans="1:75" s="162" customFormat="1" ht="14.25" x14ac:dyDescent="0.45">
      <c r="A1677" s="962" t="s">
        <v>1466</v>
      </c>
      <c r="B1677" s="660"/>
      <c r="C1677" s="172"/>
      <c r="D1677" s="172">
        <v>0</v>
      </c>
      <c r="E1677" s="172">
        <v>0</v>
      </c>
      <c r="F1677" s="172">
        <v>6.2793712526332847E-3</v>
      </c>
      <c r="G1677" s="173">
        <v>0</v>
      </c>
      <c r="H1677" s="173">
        <v>0</v>
      </c>
      <c r="I1677" s="173">
        <v>0</v>
      </c>
      <c r="J1677" s="173">
        <v>0</v>
      </c>
      <c r="K1677" s="172">
        <v>0</v>
      </c>
      <c r="L1677" s="173">
        <v>0</v>
      </c>
      <c r="M1677" s="173">
        <v>1.1181612459511029E-2</v>
      </c>
      <c r="N1677" s="173">
        <v>5.5052960303918095E-3</v>
      </c>
      <c r="O1677" s="173">
        <v>6.0061262487737547E-4</v>
      </c>
      <c r="P1677" s="172">
        <v>3.7730505905282275E-3</v>
      </c>
      <c r="Q1677" s="173">
        <v>0</v>
      </c>
      <c r="R1677" s="173">
        <v>6.2045278280459431E-3</v>
      </c>
      <c r="S1677" s="173">
        <v>1.1476049484725377E-3</v>
      </c>
      <c r="T1677" s="173">
        <v>2.2417786012042615E-3</v>
      </c>
      <c r="U1677" s="172">
        <v>2.2034735583173004E-3</v>
      </c>
      <c r="V1677" s="173">
        <v>3.3475536322998098E-3</v>
      </c>
      <c r="W1677" s="173">
        <v>0</v>
      </c>
      <c r="X1677" s="173">
        <v>0</v>
      </c>
      <c r="Y1677" s="173">
        <v>2.1584404584636821E-3</v>
      </c>
      <c r="Z1677" s="172">
        <v>1.775611262448579E-3</v>
      </c>
      <c r="AA1677" s="173">
        <v>0</v>
      </c>
      <c r="AB1677" s="173">
        <v>1.2487992315081652E-3</v>
      </c>
      <c r="AC1677" s="173">
        <v>0</v>
      </c>
      <c r="AD1677" s="173">
        <v>0</v>
      </c>
      <c r="AE1677" s="172">
        <v>3.0737462661864268E-4</v>
      </c>
      <c r="AF1677" s="173">
        <v>0</v>
      </c>
      <c r="AG1677" s="173">
        <v>0</v>
      </c>
      <c r="AH1677" s="173">
        <v>0</v>
      </c>
      <c r="AI1677" s="173">
        <v>0</v>
      </c>
      <c r="AJ1677" s="172">
        <v>0</v>
      </c>
      <c r="AK1677" s="173">
        <v>0</v>
      </c>
      <c r="AL1677" s="173">
        <v>0</v>
      </c>
      <c r="AM1677" s="173">
        <v>0</v>
      </c>
      <c r="AN1677" s="173">
        <v>0</v>
      </c>
      <c r="AO1677" s="172">
        <v>0</v>
      </c>
      <c r="AP1677" s="173">
        <v>0</v>
      </c>
      <c r="AQ1677" s="173">
        <v>0</v>
      </c>
      <c r="AR1677" s="173">
        <v>0</v>
      </c>
      <c r="AS1677" s="173">
        <v>0</v>
      </c>
      <c r="AT1677" s="172">
        <v>0</v>
      </c>
      <c r="AU1677" s="173">
        <v>0</v>
      </c>
      <c r="AV1677" s="173">
        <v>0</v>
      </c>
      <c r="AW1677" s="173">
        <v>0</v>
      </c>
      <c r="AX1677" s="173">
        <v>0</v>
      </c>
      <c r="AY1677" s="172">
        <v>0</v>
      </c>
      <c r="AZ1677" s="173">
        <v>0</v>
      </c>
      <c r="BA1677" s="173">
        <v>0</v>
      </c>
      <c r="BB1677" s="173">
        <v>0</v>
      </c>
      <c r="BC1677" s="173">
        <v>0</v>
      </c>
      <c r="BD1677" s="172">
        <v>0</v>
      </c>
      <c r="BE1677" s="173">
        <v>0</v>
      </c>
      <c r="BF1677" s="173">
        <v>0</v>
      </c>
      <c r="BG1677" s="173">
        <v>0</v>
      </c>
      <c r="BH1677" s="173">
        <v>0</v>
      </c>
      <c r="BI1677" s="174">
        <v>0</v>
      </c>
      <c r="BJ1677" s="190">
        <v>0</v>
      </c>
      <c r="BK1677" s="190">
        <v>0</v>
      </c>
      <c r="BL1677" s="190">
        <v>0</v>
      </c>
      <c r="BM1677" s="190">
        <v>0</v>
      </c>
      <c r="BN1677" s="172">
        <v>0</v>
      </c>
      <c r="BO1677" s="190">
        <v>0</v>
      </c>
      <c r="BP1677" s="190">
        <v>0</v>
      </c>
      <c r="BQ1677" s="190">
        <v>0</v>
      </c>
      <c r="BR1677" s="190">
        <v>0</v>
      </c>
      <c r="BS1677" s="172">
        <v>0</v>
      </c>
      <c r="BT1677" s="191">
        <v>0</v>
      </c>
      <c r="BU1677" s="191">
        <v>0</v>
      </c>
      <c r="BV1677" s="191">
        <v>0</v>
      </c>
      <c r="BW1677" s="161"/>
    </row>
    <row r="1678" spans="1:75" s="162" customFormat="1" ht="14.25" x14ac:dyDescent="0.45">
      <c r="A1678" s="526"/>
      <c r="B1678" s="734"/>
      <c r="C1678" s="186"/>
      <c r="D1678" s="186"/>
      <c r="E1678" s="186"/>
      <c r="F1678" s="186"/>
      <c r="G1678" s="187"/>
      <c r="H1678" s="187"/>
      <c r="I1678" s="187"/>
      <c r="J1678" s="187"/>
      <c r="K1678" s="186"/>
      <c r="L1678" s="187"/>
      <c r="M1678" s="187"/>
      <c r="N1678" s="187"/>
      <c r="O1678" s="187"/>
      <c r="P1678" s="186"/>
      <c r="Q1678" s="187"/>
      <c r="R1678" s="187"/>
      <c r="S1678" s="187"/>
      <c r="T1678" s="187"/>
      <c r="U1678" s="186"/>
      <c r="V1678" s="187"/>
      <c r="W1678" s="187"/>
      <c r="X1678" s="187"/>
      <c r="Y1678" s="187"/>
      <c r="Z1678" s="186"/>
      <c r="AA1678" s="187"/>
      <c r="AB1678" s="187"/>
      <c r="AC1678" s="187"/>
      <c r="AD1678" s="187"/>
      <c r="AE1678" s="186"/>
      <c r="AF1678" s="187"/>
      <c r="AG1678" s="187"/>
      <c r="AH1678" s="187"/>
      <c r="AI1678" s="187"/>
      <c r="AJ1678" s="186"/>
      <c r="AK1678" s="187"/>
      <c r="AL1678" s="187"/>
      <c r="AM1678" s="187"/>
      <c r="AN1678" s="187"/>
      <c r="AO1678" s="186"/>
      <c r="AP1678" s="187"/>
      <c r="AQ1678" s="187"/>
      <c r="AR1678" s="187"/>
      <c r="AS1678" s="187"/>
      <c r="AT1678" s="186"/>
      <c r="AU1678" s="187"/>
      <c r="AV1678" s="187"/>
      <c r="AW1678" s="187"/>
      <c r="AX1678" s="187"/>
      <c r="AY1678" s="186"/>
      <c r="AZ1678" s="187"/>
      <c r="BA1678" s="187"/>
      <c r="BB1678" s="187"/>
      <c r="BC1678" s="187"/>
      <c r="BD1678" s="186"/>
      <c r="BE1678" s="187"/>
      <c r="BF1678" s="187"/>
      <c r="BG1678" s="187"/>
      <c r="BH1678" s="187"/>
      <c r="BI1678" s="188"/>
      <c r="BJ1678" s="187"/>
      <c r="BK1678" s="187"/>
      <c r="BL1678" s="187"/>
      <c r="BM1678" s="187"/>
      <c r="BN1678" s="186"/>
      <c r="BO1678" s="187"/>
      <c r="BP1678" s="187"/>
      <c r="BQ1678" s="187"/>
      <c r="BR1678" s="187"/>
      <c r="BS1678" s="186"/>
      <c r="BT1678" s="186"/>
      <c r="BU1678" s="186"/>
      <c r="BV1678" s="186"/>
      <c r="BW1678" s="161"/>
    </row>
    <row r="1679" spans="1:75" s="198" customFormat="1" ht="14.25" x14ac:dyDescent="0.45">
      <c r="A1679" s="239" t="s">
        <v>1467</v>
      </c>
      <c r="B1679" s="239"/>
      <c r="C1679" s="239"/>
      <c r="D1679" s="239"/>
      <c r="E1679" s="239"/>
      <c r="F1679" s="239"/>
      <c r="G1679" s="239"/>
      <c r="H1679" s="239"/>
      <c r="I1679" s="239"/>
      <c r="J1679" s="239"/>
      <c r="K1679" s="239"/>
      <c r="L1679" s="239"/>
      <c r="M1679" s="239"/>
      <c r="N1679" s="239"/>
      <c r="O1679" s="239"/>
      <c r="P1679" s="239"/>
      <c r="Q1679" s="239"/>
      <c r="R1679" s="239"/>
      <c r="S1679" s="239"/>
      <c r="T1679" s="239"/>
      <c r="U1679" s="239"/>
      <c r="V1679" s="239"/>
      <c r="W1679" s="239"/>
      <c r="X1679" s="239"/>
      <c r="Y1679" s="239"/>
      <c r="Z1679" s="239"/>
      <c r="AA1679" s="239"/>
      <c r="AB1679" s="239"/>
      <c r="AC1679" s="239"/>
      <c r="AD1679" s="239"/>
      <c r="AE1679" s="239"/>
      <c r="AF1679" s="239"/>
      <c r="AG1679" s="239"/>
      <c r="AH1679" s="239"/>
      <c r="AI1679" s="239"/>
      <c r="AJ1679" s="239"/>
      <c r="AK1679" s="239"/>
      <c r="AL1679" s="239"/>
      <c r="AM1679" s="239"/>
      <c r="AN1679" s="239"/>
      <c r="AO1679" s="239"/>
      <c r="AP1679" s="239"/>
      <c r="AQ1679" s="239"/>
      <c r="AR1679" s="239"/>
      <c r="AS1679" s="239"/>
      <c r="AT1679" s="239"/>
      <c r="AU1679" s="239"/>
      <c r="AV1679" s="239"/>
      <c r="AW1679" s="239"/>
      <c r="AX1679" s="239"/>
      <c r="AY1679" s="239"/>
      <c r="AZ1679" s="239"/>
      <c r="BA1679" s="239"/>
      <c r="BB1679" s="239"/>
      <c r="BC1679" s="239"/>
      <c r="BD1679" s="239"/>
      <c r="BE1679" s="239"/>
      <c r="BF1679" s="239"/>
      <c r="BG1679" s="239"/>
      <c r="BH1679" s="239"/>
      <c r="BI1679" s="241"/>
      <c r="BJ1679" s="239"/>
      <c r="BK1679" s="239"/>
      <c r="BL1679" s="239"/>
      <c r="BM1679" s="239"/>
      <c r="BN1679" s="239"/>
      <c r="BO1679" s="239"/>
      <c r="BP1679" s="239"/>
      <c r="BQ1679" s="239"/>
      <c r="BR1679" s="239"/>
      <c r="BS1679" s="239"/>
      <c r="BT1679" s="239"/>
      <c r="BU1679" s="239"/>
      <c r="BV1679" s="239"/>
      <c r="BW1679" s="197"/>
    </row>
    <row r="1680" spans="1:75" s="198" customFormat="1" ht="14.25" x14ac:dyDescent="0.45">
      <c r="A1680" s="463" t="s">
        <v>1468</v>
      </c>
      <c r="B1680" s="522"/>
      <c r="C1680" s="397"/>
      <c r="D1680" s="397"/>
      <c r="E1680" s="397"/>
      <c r="F1680" s="397"/>
      <c r="G1680" s="295"/>
      <c r="H1680" s="295"/>
      <c r="I1680" s="295"/>
      <c r="J1680" s="295"/>
      <c r="K1680" s="397"/>
      <c r="L1680" s="295"/>
      <c r="M1680" s="295"/>
      <c r="N1680" s="295"/>
      <c r="O1680" s="295"/>
      <c r="P1680" s="397"/>
      <c r="Q1680" s="295"/>
      <c r="R1680" s="295"/>
      <c r="S1680" s="295"/>
      <c r="T1680" s="295"/>
      <c r="U1680" s="397"/>
      <c r="V1680" s="295"/>
      <c r="W1680" s="295"/>
      <c r="X1680" s="295"/>
      <c r="Y1680" s="295"/>
      <c r="Z1680" s="397"/>
      <c r="AA1680" s="295"/>
      <c r="AB1680" s="295"/>
      <c r="AC1680" s="295"/>
      <c r="AD1680" s="295"/>
      <c r="AE1680" s="397"/>
      <c r="AF1680" s="295"/>
      <c r="AG1680" s="295"/>
      <c r="AH1680" s="295"/>
      <c r="AI1680" s="295"/>
      <c r="AJ1680" s="397"/>
      <c r="AK1680" s="295"/>
      <c r="AL1680" s="295"/>
      <c r="AM1680" s="295"/>
      <c r="AN1680" s="295"/>
      <c r="AO1680" s="397"/>
      <c r="AP1680" s="295"/>
      <c r="AQ1680" s="295"/>
      <c r="AR1680" s="295"/>
      <c r="AS1680" s="295"/>
      <c r="AT1680" s="397"/>
      <c r="AU1680" s="295"/>
      <c r="AV1680" s="295"/>
      <c r="AW1680" s="295"/>
      <c r="AX1680" s="295"/>
      <c r="AY1680" s="397"/>
      <c r="AZ1680" s="295"/>
      <c r="BA1680" s="295"/>
      <c r="BB1680" s="295"/>
      <c r="BC1680" s="295"/>
      <c r="BD1680" s="397"/>
      <c r="BE1680" s="295"/>
      <c r="BF1680" s="295"/>
      <c r="BG1680" s="295"/>
      <c r="BH1680" s="295"/>
      <c r="BI1680" s="399"/>
      <c r="BJ1680" s="295"/>
      <c r="BK1680" s="295"/>
      <c r="BL1680" s="295"/>
      <c r="BM1680" s="295"/>
      <c r="BN1680" s="397"/>
      <c r="BO1680" s="295"/>
      <c r="BP1680" s="295"/>
      <c r="BQ1680" s="295"/>
      <c r="BR1680" s="295"/>
      <c r="BS1680" s="397"/>
      <c r="BT1680" s="397"/>
      <c r="BU1680" s="397"/>
      <c r="BV1680" s="397"/>
      <c r="BW1680" s="197"/>
    </row>
    <row r="1681" spans="1:75" s="123" customFormat="1" x14ac:dyDescent="0.5">
      <c r="A1681" s="184" t="s">
        <v>1469</v>
      </c>
      <c r="B1681" s="513"/>
      <c r="C1681" s="401"/>
      <c r="D1681" s="403">
        <v>13.364000000000001</v>
      </c>
      <c r="E1681" s="403">
        <v>8.5120000000000005</v>
      </c>
      <c r="F1681" s="403">
        <v>8.3539999999999992</v>
      </c>
      <c r="G1681" s="302">
        <v>9.6690000000000005</v>
      </c>
      <c r="H1681" s="302">
        <v>15.012</v>
      </c>
      <c r="I1681" s="302">
        <v>8.1969999999999992</v>
      </c>
      <c r="J1681" s="302">
        <v>13.388999999999999</v>
      </c>
      <c r="K1681" s="401">
        <v>13.388999999999999</v>
      </c>
      <c r="L1681" s="302">
        <v>10.942</v>
      </c>
      <c r="M1681" s="302">
        <v>181.49299999999999</v>
      </c>
      <c r="N1681" s="302">
        <v>157.12700000000001</v>
      </c>
      <c r="O1681" s="302">
        <v>148.934</v>
      </c>
      <c r="P1681" s="401">
        <v>148.934</v>
      </c>
      <c r="Q1681" s="302">
        <v>103.767</v>
      </c>
      <c r="R1681" s="302">
        <v>304.94799999999998</v>
      </c>
      <c r="S1681" s="302">
        <v>226.97900000000001</v>
      </c>
      <c r="T1681" s="119">
        <v>349.89699999999999</v>
      </c>
      <c r="U1681" s="403">
        <v>349.89699999999999</v>
      </c>
      <c r="V1681" s="302">
        <v>237.15600000000001</v>
      </c>
      <c r="W1681" s="302">
        <v>37.677</v>
      </c>
      <c r="X1681" s="302">
        <v>55.426000000000002</v>
      </c>
      <c r="Y1681" s="119">
        <v>87.022999999999996</v>
      </c>
      <c r="Z1681" s="403">
        <v>87.022999999999996</v>
      </c>
      <c r="AA1681" s="302">
        <v>80.150000000000006</v>
      </c>
      <c r="AB1681" s="302">
        <v>21.637</v>
      </c>
      <c r="AC1681" s="302">
        <v>22.161999999999999</v>
      </c>
      <c r="AD1681" s="119">
        <v>17.907</v>
      </c>
      <c r="AE1681" s="403">
        <v>17.907</v>
      </c>
      <c r="AF1681" s="302">
        <v>20.795999999999999</v>
      </c>
      <c r="AG1681" s="302">
        <v>22.199000000000002</v>
      </c>
      <c r="AH1681" s="302">
        <v>7.7549999999999999</v>
      </c>
      <c r="AI1681" s="119">
        <v>5.8029999999999999</v>
      </c>
      <c r="AJ1681" s="403">
        <v>5.8029999999999999</v>
      </c>
      <c r="AK1681" s="302">
        <v>37.549999999999997</v>
      </c>
      <c r="AL1681" s="302">
        <v>11.555</v>
      </c>
      <c r="AM1681" s="302">
        <v>38.253</v>
      </c>
      <c r="AN1681" s="119">
        <v>47.658000000000001</v>
      </c>
      <c r="AO1681" s="403">
        <v>47.658000000000001</v>
      </c>
      <c r="AP1681" s="302">
        <v>17.207999999999998</v>
      </c>
      <c r="AQ1681" s="302">
        <v>17.387</v>
      </c>
      <c r="AR1681" s="302">
        <v>89.884</v>
      </c>
      <c r="AS1681" s="119">
        <v>100.446</v>
      </c>
      <c r="AT1681" s="403">
        <v>100.446</v>
      </c>
      <c r="AU1681" s="302">
        <v>229.52699999999999</v>
      </c>
      <c r="AV1681" s="302">
        <v>291.46100000000001</v>
      </c>
      <c r="AW1681" s="302">
        <v>2198.9609999999998</v>
      </c>
      <c r="AX1681" s="119">
        <v>2177.8890000000001</v>
      </c>
      <c r="AY1681" s="403">
        <v>2177.8890000000001</v>
      </c>
      <c r="AZ1681" s="302">
        <v>2243.2550000000001</v>
      </c>
      <c r="BA1681" s="302">
        <v>2085.0810000000001</v>
      </c>
      <c r="BB1681" s="302">
        <v>2150.4659999999999</v>
      </c>
      <c r="BC1681" s="119">
        <v>1508.1010000000001</v>
      </c>
      <c r="BD1681" s="403">
        <v>1508.1010000000001</v>
      </c>
      <c r="BE1681" s="302">
        <v>1516.6890000000001</v>
      </c>
      <c r="BF1681" s="302">
        <v>417.04700000000003</v>
      </c>
      <c r="BG1681" s="302">
        <v>380.69499999999999</v>
      </c>
      <c r="BH1681" s="119">
        <v>123.688</v>
      </c>
      <c r="BI1681" s="514">
        <v>123.688</v>
      </c>
      <c r="BJ1681" s="118">
        <v>130.53918006531643</v>
      </c>
      <c r="BK1681" s="118">
        <v>162.5607057404772</v>
      </c>
      <c r="BL1681" s="118">
        <v>194.65349697718125</v>
      </c>
      <c r="BM1681" s="118">
        <v>192.51983822717395</v>
      </c>
      <c r="BN1681" s="401">
        <v>192.51983822717395</v>
      </c>
      <c r="BO1681" s="118">
        <v>174.02528128427011</v>
      </c>
      <c r="BP1681" s="118">
        <v>234.7733709868555</v>
      </c>
      <c r="BQ1681" s="118">
        <v>288.52348102973997</v>
      </c>
      <c r="BR1681" s="118">
        <v>324.46160193626383</v>
      </c>
      <c r="BS1681" s="401">
        <v>324.46160193626383</v>
      </c>
      <c r="BT1681" s="401">
        <v>545.5781161944717</v>
      </c>
      <c r="BU1681" s="401">
        <v>842.92374863566181</v>
      </c>
      <c r="BV1681" s="401">
        <v>1225.7520653103957</v>
      </c>
      <c r="BW1681" s="122"/>
    </row>
    <row r="1682" spans="1:75" s="123" customFormat="1" x14ac:dyDescent="0.5">
      <c r="A1682" s="184" t="s">
        <v>1470</v>
      </c>
      <c r="B1682" s="513"/>
      <c r="C1682" s="401"/>
      <c r="D1682" s="403">
        <v>0</v>
      </c>
      <c r="E1682" s="403">
        <v>0</v>
      </c>
      <c r="F1682" s="403">
        <v>0</v>
      </c>
      <c r="G1682" s="302">
        <v>0</v>
      </c>
      <c r="H1682" s="302">
        <v>0</v>
      </c>
      <c r="I1682" s="302">
        <v>0</v>
      </c>
      <c r="J1682" s="302">
        <v>0</v>
      </c>
      <c r="K1682" s="401">
        <v>0</v>
      </c>
      <c r="L1682" s="302">
        <v>0</v>
      </c>
      <c r="M1682" s="302">
        <v>0</v>
      </c>
      <c r="N1682" s="302">
        <v>0</v>
      </c>
      <c r="O1682" s="302">
        <v>62.167999999999999</v>
      </c>
      <c r="P1682" s="401">
        <v>62.167999999999999</v>
      </c>
      <c r="Q1682" s="302">
        <v>75.507000000000005</v>
      </c>
      <c r="R1682" s="302">
        <v>149.69200000000001</v>
      </c>
      <c r="S1682" s="302">
        <v>160.66999999999999</v>
      </c>
      <c r="T1682" s="119">
        <v>130.80099999999999</v>
      </c>
      <c r="U1682" s="403">
        <v>130.80099999999999</v>
      </c>
      <c r="V1682" s="302">
        <v>100.095</v>
      </c>
      <c r="W1682" s="302">
        <v>170.85400000000001</v>
      </c>
      <c r="X1682" s="302">
        <v>170.15299999999999</v>
      </c>
      <c r="Y1682" s="119">
        <v>142.67699999999999</v>
      </c>
      <c r="Z1682" s="403">
        <v>142.67699999999999</v>
      </c>
      <c r="AA1682" s="119"/>
      <c r="AB1682" s="119"/>
      <c r="AC1682" s="302">
        <v>0</v>
      </c>
      <c r="AD1682" s="119">
        <v>0</v>
      </c>
      <c r="AE1682" s="403">
        <v>0</v>
      </c>
      <c r="AF1682" s="119"/>
      <c r="AG1682" s="119"/>
      <c r="AH1682" s="119"/>
      <c r="AI1682" s="119">
        <v>0</v>
      </c>
      <c r="AJ1682" s="401"/>
      <c r="AK1682" s="119"/>
      <c r="AL1682" s="119"/>
      <c r="AM1682" s="119"/>
      <c r="AN1682" s="119">
        <v>0</v>
      </c>
      <c r="AO1682" s="401"/>
      <c r="AP1682" s="119"/>
      <c r="AQ1682" s="119"/>
      <c r="AR1682" s="119"/>
      <c r="AS1682" s="119">
        <v>0</v>
      </c>
      <c r="AT1682" s="401"/>
      <c r="AU1682" s="119"/>
      <c r="AV1682" s="119"/>
      <c r="AW1682" s="119"/>
      <c r="AX1682" s="119">
        <v>0</v>
      </c>
      <c r="AY1682" s="401"/>
      <c r="AZ1682" s="119"/>
      <c r="BA1682" s="119"/>
      <c r="BB1682" s="119"/>
      <c r="BC1682" s="119">
        <v>0</v>
      </c>
      <c r="BD1682" s="401"/>
      <c r="BE1682" s="119"/>
      <c r="BF1682" s="119"/>
      <c r="BG1682" s="119"/>
      <c r="BH1682" s="119">
        <v>0</v>
      </c>
      <c r="BI1682" s="402"/>
      <c r="BJ1682" s="118">
        <v>0</v>
      </c>
      <c r="BK1682" s="118">
        <v>0</v>
      </c>
      <c r="BL1682" s="118">
        <v>0</v>
      </c>
      <c r="BM1682" s="118">
        <v>0</v>
      </c>
      <c r="BN1682" s="401">
        <v>0</v>
      </c>
      <c r="BO1682" s="118">
        <v>0</v>
      </c>
      <c r="BP1682" s="118">
        <v>0</v>
      </c>
      <c r="BQ1682" s="118">
        <v>0</v>
      </c>
      <c r="BR1682" s="118">
        <v>0</v>
      </c>
      <c r="BS1682" s="401">
        <v>0</v>
      </c>
      <c r="BT1682" s="401">
        <v>0</v>
      </c>
      <c r="BU1682" s="401">
        <v>0</v>
      </c>
      <c r="BV1682" s="401">
        <v>0</v>
      </c>
      <c r="BW1682" s="122"/>
    </row>
    <row r="1683" spans="1:75" s="123" customFormat="1" x14ac:dyDescent="0.5">
      <c r="A1683" s="184" t="s">
        <v>1471</v>
      </c>
      <c r="B1683" s="513"/>
      <c r="C1683" s="401"/>
      <c r="D1683" s="403">
        <v>4.4619999999999997</v>
      </c>
      <c r="E1683" s="403">
        <v>11.759</v>
      </c>
      <c r="F1683" s="403">
        <v>17.04</v>
      </c>
      <c r="G1683" s="302">
        <v>17.712</v>
      </c>
      <c r="H1683" s="302">
        <v>22.605</v>
      </c>
      <c r="I1683" s="302">
        <v>22.041</v>
      </c>
      <c r="J1683" s="302">
        <v>22.027999999999999</v>
      </c>
      <c r="K1683" s="401">
        <v>22.027999999999999</v>
      </c>
      <c r="L1683" s="302">
        <v>18.922000000000001</v>
      </c>
      <c r="M1683" s="302">
        <v>24.135999999999999</v>
      </c>
      <c r="N1683" s="302">
        <v>27.646000000000001</v>
      </c>
      <c r="O1683" s="302">
        <v>25.965</v>
      </c>
      <c r="P1683" s="401">
        <v>25.965</v>
      </c>
      <c r="Q1683" s="302">
        <v>25.509</v>
      </c>
      <c r="R1683" s="302">
        <v>22.834</v>
      </c>
      <c r="S1683" s="302">
        <v>32.366</v>
      </c>
      <c r="T1683" s="119">
        <v>28.567</v>
      </c>
      <c r="U1683" s="403">
        <v>28.567</v>
      </c>
      <c r="V1683" s="302">
        <v>32.08</v>
      </c>
      <c r="W1683" s="302">
        <v>34.962000000000003</v>
      </c>
      <c r="X1683" s="302">
        <v>35.973999999999997</v>
      </c>
      <c r="Y1683" s="119">
        <v>34.191000000000003</v>
      </c>
      <c r="Z1683" s="403">
        <v>34.191000000000003</v>
      </c>
      <c r="AA1683" s="302">
        <v>34.116</v>
      </c>
      <c r="AB1683" s="302">
        <v>34.752000000000002</v>
      </c>
      <c r="AC1683" s="302">
        <v>34.447000000000003</v>
      </c>
      <c r="AD1683" s="119">
        <v>31.411999999999999</v>
      </c>
      <c r="AE1683" s="403">
        <v>31.411999999999999</v>
      </c>
      <c r="AF1683" s="302">
        <v>38.613999999999997</v>
      </c>
      <c r="AG1683" s="302">
        <v>40.706000000000003</v>
      </c>
      <c r="AH1683" s="302">
        <v>42.747999999999998</v>
      </c>
      <c r="AI1683" s="119">
        <v>40.223999999999997</v>
      </c>
      <c r="AJ1683" s="403">
        <v>40.223999999999997</v>
      </c>
      <c r="AK1683" s="302">
        <v>48.881999999999998</v>
      </c>
      <c r="AL1683" s="302">
        <v>44.286999999999999</v>
      </c>
      <c r="AM1683" s="302">
        <v>45.311999999999998</v>
      </c>
      <c r="AN1683" s="119">
        <v>48.978999999999999</v>
      </c>
      <c r="AO1683" s="403">
        <v>48.978999999999999</v>
      </c>
      <c r="AP1683" s="302">
        <v>49.098999999999997</v>
      </c>
      <c r="AQ1683" s="302">
        <v>55.915999999999997</v>
      </c>
      <c r="AR1683" s="302">
        <v>59.064999999999998</v>
      </c>
      <c r="AS1683" s="119">
        <v>59.473999999999997</v>
      </c>
      <c r="AT1683" s="403">
        <v>59.473999999999997</v>
      </c>
      <c r="AU1683" s="302">
        <v>60.212000000000003</v>
      </c>
      <c r="AV1683" s="302">
        <v>59.798000000000002</v>
      </c>
      <c r="AW1683" s="302">
        <v>60.621000000000002</v>
      </c>
      <c r="AX1683" s="119">
        <v>57.914000000000001</v>
      </c>
      <c r="AY1683" s="403">
        <v>57.914000000000001</v>
      </c>
      <c r="AZ1683" s="302">
        <v>65.602000000000004</v>
      </c>
      <c r="BA1683" s="302">
        <v>55.537999999999997</v>
      </c>
      <c r="BB1683" s="302">
        <v>58.563000000000002</v>
      </c>
      <c r="BC1683" s="119">
        <v>59.762999999999998</v>
      </c>
      <c r="BD1683" s="403">
        <v>59.762999999999998</v>
      </c>
      <c r="BE1683" s="302">
        <v>60.232999999999997</v>
      </c>
      <c r="BF1683" s="302">
        <v>54.447000000000003</v>
      </c>
      <c r="BG1683" s="302">
        <v>56.052999999999997</v>
      </c>
      <c r="BH1683" s="119">
        <v>55.058</v>
      </c>
      <c r="BI1683" s="514">
        <v>55.058</v>
      </c>
      <c r="BJ1683" s="118">
        <v>56.873031497552915</v>
      </c>
      <c r="BK1683" s="118">
        <v>57.691732887488648</v>
      </c>
      <c r="BL1683" s="118">
        <v>59.707458924704845</v>
      </c>
      <c r="BM1683" s="118">
        <v>62.372710870100995</v>
      </c>
      <c r="BN1683" s="401">
        <v>62.372710870100995</v>
      </c>
      <c r="BO1683" s="118">
        <v>64.880463236067058</v>
      </c>
      <c r="BP1683" s="118">
        <v>67.322366024880409</v>
      </c>
      <c r="BQ1683" s="118">
        <v>69.720766952682951</v>
      </c>
      <c r="BR1683" s="118">
        <v>71.25317109451494</v>
      </c>
      <c r="BS1683" s="401">
        <v>71.25317109451494</v>
      </c>
      <c r="BT1683" s="401">
        <v>75.354930676049733</v>
      </c>
      <c r="BU1683" s="401">
        <v>77.770989496779066</v>
      </c>
      <c r="BV1683" s="401">
        <v>77.923556881006505</v>
      </c>
      <c r="BW1683" s="122"/>
    </row>
    <row r="1684" spans="1:75" s="123" customFormat="1" x14ac:dyDescent="0.5">
      <c r="A1684" s="184" t="s">
        <v>1472</v>
      </c>
      <c r="B1684" s="513"/>
      <c r="C1684" s="401"/>
      <c r="D1684" s="403">
        <v>206.40600000000001</v>
      </c>
      <c r="E1684" s="403">
        <v>245.876</v>
      </c>
      <c r="F1684" s="403">
        <v>353.32900000000001</v>
      </c>
      <c r="G1684" s="302">
        <v>365.71600000000001</v>
      </c>
      <c r="H1684" s="302">
        <v>406.67599999999999</v>
      </c>
      <c r="I1684" s="302">
        <v>448.15</v>
      </c>
      <c r="J1684" s="302">
        <v>453.84500000000003</v>
      </c>
      <c r="K1684" s="401">
        <v>453.84500000000003</v>
      </c>
      <c r="L1684" s="302">
        <v>483.53</v>
      </c>
      <c r="M1684" s="302">
        <v>547.10299999999995</v>
      </c>
      <c r="N1684" s="302">
        <v>610.49699999999996</v>
      </c>
      <c r="O1684" s="302">
        <v>559.29700000000003</v>
      </c>
      <c r="P1684" s="401">
        <v>559.29700000000003</v>
      </c>
      <c r="Q1684" s="302">
        <v>601.73900000000003</v>
      </c>
      <c r="R1684" s="302">
        <v>707.51599999999996</v>
      </c>
      <c r="S1684" s="302">
        <v>760.85400000000004</v>
      </c>
      <c r="T1684" s="119">
        <v>725.39200000000005</v>
      </c>
      <c r="U1684" s="403">
        <v>725.39200000000005</v>
      </c>
      <c r="V1684" s="302">
        <v>763.05499999999995</v>
      </c>
      <c r="W1684" s="302">
        <v>807.38900000000001</v>
      </c>
      <c r="X1684" s="302">
        <v>776.58600000000001</v>
      </c>
      <c r="Y1684" s="119">
        <v>752.30399999999997</v>
      </c>
      <c r="Z1684" s="403">
        <v>752.30399999999997</v>
      </c>
      <c r="AA1684" s="302">
        <v>683.98400000000004</v>
      </c>
      <c r="AB1684" s="302">
        <v>608.048</v>
      </c>
      <c r="AC1684" s="302">
        <v>557.34500000000003</v>
      </c>
      <c r="AD1684" s="119">
        <v>527.02599999999995</v>
      </c>
      <c r="AE1684" s="403">
        <v>527.02599999999995</v>
      </c>
      <c r="AF1684" s="302">
        <v>530.65700000000004</v>
      </c>
      <c r="AG1684" s="302">
        <v>551.34299999999996</v>
      </c>
      <c r="AH1684" s="302">
        <v>566.11699999999996</v>
      </c>
      <c r="AI1684" s="119">
        <v>531.947</v>
      </c>
      <c r="AJ1684" s="403">
        <v>531.947</v>
      </c>
      <c r="AK1684" s="302">
        <v>530.19000000000005</v>
      </c>
      <c r="AL1684" s="302">
        <v>480.68799999999999</v>
      </c>
      <c r="AM1684" s="302">
        <v>429.18900000000002</v>
      </c>
      <c r="AN1684" s="119">
        <v>438.69600000000003</v>
      </c>
      <c r="AO1684" s="403">
        <v>438.69600000000003</v>
      </c>
      <c r="AP1684" s="302">
        <v>494.26</v>
      </c>
      <c r="AQ1684" s="302">
        <v>487.63900000000001</v>
      </c>
      <c r="AR1684" s="302">
        <v>497.07600000000002</v>
      </c>
      <c r="AS1684" s="119">
        <v>544.22699999999998</v>
      </c>
      <c r="AT1684" s="403">
        <v>544.22699999999998</v>
      </c>
      <c r="AU1684" s="302">
        <v>593.94600000000003</v>
      </c>
      <c r="AV1684" s="302">
        <v>645.98699999999997</v>
      </c>
      <c r="AW1684" s="302">
        <v>633.59100000000001</v>
      </c>
      <c r="AX1684" s="119">
        <v>734.28899999999999</v>
      </c>
      <c r="AY1684" s="403">
        <v>734.28899999999999</v>
      </c>
      <c r="AZ1684" s="302">
        <v>817.327</v>
      </c>
      <c r="BA1684" s="302">
        <v>859.07799999999997</v>
      </c>
      <c r="BB1684" s="302">
        <v>819.29899999999998</v>
      </c>
      <c r="BC1684" s="119">
        <v>801.84100000000001</v>
      </c>
      <c r="BD1684" s="403">
        <v>801.84100000000001</v>
      </c>
      <c r="BE1684" s="302">
        <v>766.30100000000004</v>
      </c>
      <c r="BF1684" s="302">
        <v>737.66300000000001</v>
      </c>
      <c r="BG1684" s="302">
        <v>718.95899999999995</v>
      </c>
      <c r="BH1684" s="119">
        <v>754.12599999999998</v>
      </c>
      <c r="BI1684" s="514">
        <v>754.12599999999998</v>
      </c>
      <c r="BJ1684" s="118">
        <v>720.7642254300456</v>
      </c>
      <c r="BK1684" s="118">
        <v>737.47479415958435</v>
      </c>
      <c r="BL1684" s="118">
        <v>760.63689131926037</v>
      </c>
      <c r="BM1684" s="118">
        <v>790.02619377378778</v>
      </c>
      <c r="BN1684" s="401">
        <v>790.02619377378778</v>
      </c>
      <c r="BO1684" s="118">
        <v>818.47340524213109</v>
      </c>
      <c r="BP1684" s="118">
        <v>847.04441351763739</v>
      </c>
      <c r="BQ1684" s="118">
        <v>875.44343374190532</v>
      </c>
      <c r="BR1684" s="118">
        <v>892.97593175908003</v>
      </c>
      <c r="BS1684" s="401">
        <v>892.97593175908003</v>
      </c>
      <c r="BT1684" s="401">
        <v>939.64311896235949</v>
      </c>
      <c r="BU1684" s="401">
        <v>964.64607941338159</v>
      </c>
      <c r="BV1684" s="401">
        <v>961.30953971161773</v>
      </c>
      <c r="BW1684" s="122"/>
    </row>
    <row r="1685" spans="1:75" s="123" customFormat="1" x14ac:dyDescent="0.5">
      <c r="A1685" s="184" t="s">
        <v>1473</v>
      </c>
      <c r="B1685" s="513"/>
      <c r="C1685" s="401"/>
      <c r="D1685" s="401"/>
      <c r="E1685" s="401"/>
      <c r="F1685" s="401"/>
      <c r="G1685" s="119"/>
      <c r="H1685" s="119"/>
      <c r="I1685" s="119"/>
      <c r="J1685" s="119"/>
      <c r="K1685" s="401"/>
      <c r="L1685" s="119"/>
      <c r="M1685" s="119"/>
      <c r="N1685" s="119"/>
      <c r="O1685" s="119"/>
      <c r="P1685" s="401"/>
      <c r="Q1685" s="119"/>
      <c r="R1685" s="119"/>
      <c r="S1685" s="119"/>
      <c r="T1685" s="119"/>
      <c r="U1685" s="401"/>
      <c r="V1685" s="119"/>
      <c r="W1685" s="119"/>
      <c r="X1685" s="119"/>
      <c r="Y1685" s="119">
        <v>4.9000000000000004</v>
      </c>
      <c r="Z1685" s="403">
        <v>4.9000000000000004</v>
      </c>
      <c r="AA1685" s="302">
        <v>8.1790000000000003</v>
      </c>
      <c r="AB1685" s="119"/>
      <c r="AC1685" s="119"/>
      <c r="AD1685" s="119">
        <v>0</v>
      </c>
      <c r="AE1685" s="401"/>
      <c r="AF1685" s="302">
        <v>0</v>
      </c>
      <c r="AG1685" s="119"/>
      <c r="AH1685" s="119"/>
      <c r="AI1685" s="119">
        <v>0</v>
      </c>
      <c r="AJ1685" s="401"/>
      <c r="AK1685" s="302">
        <v>21.795000000000002</v>
      </c>
      <c r="AL1685" s="302">
        <v>21.795000000000002</v>
      </c>
      <c r="AM1685" s="119"/>
      <c r="AN1685" s="119">
        <v>0</v>
      </c>
      <c r="AO1685" s="401"/>
      <c r="AP1685" s="119"/>
      <c r="AQ1685" s="119"/>
      <c r="AR1685" s="119"/>
      <c r="AS1685" s="119">
        <v>0</v>
      </c>
      <c r="AT1685" s="401"/>
      <c r="AU1685" s="119"/>
      <c r="AV1685" s="119"/>
      <c r="AW1685" s="119"/>
      <c r="AX1685" s="119">
        <v>0</v>
      </c>
      <c r="AY1685" s="401"/>
      <c r="AZ1685" s="119"/>
      <c r="BA1685" s="119"/>
      <c r="BB1685" s="119"/>
      <c r="BC1685" s="119">
        <v>0</v>
      </c>
      <c r="BD1685" s="401"/>
      <c r="BE1685" s="119"/>
      <c r="BF1685" s="119"/>
      <c r="BG1685" s="119"/>
      <c r="BH1685" s="119">
        <v>0</v>
      </c>
      <c r="BI1685" s="402"/>
      <c r="BJ1685" s="118">
        <v>0</v>
      </c>
      <c r="BK1685" s="118">
        <v>0</v>
      </c>
      <c r="BL1685" s="118">
        <v>0</v>
      </c>
      <c r="BM1685" s="118">
        <v>0</v>
      </c>
      <c r="BN1685" s="401">
        <v>0</v>
      </c>
      <c r="BO1685" s="118">
        <v>0</v>
      </c>
      <c r="BP1685" s="118">
        <v>0</v>
      </c>
      <c r="BQ1685" s="118">
        <v>0</v>
      </c>
      <c r="BR1685" s="118">
        <v>0</v>
      </c>
      <c r="BS1685" s="401">
        <v>0</v>
      </c>
      <c r="BT1685" s="401">
        <v>0</v>
      </c>
      <c r="BU1685" s="401">
        <v>0</v>
      </c>
      <c r="BV1685" s="401">
        <v>0</v>
      </c>
      <c r="BW1685" s="122"/>
    </row>
    <row r="1686" spans="1:75" s="123" customFormat="1" x14ac:dyDescent="0.5">
      <c r="A1686" s="184" t="s">
        <v>1474</v>
      </c>
      <c r="B1686" s="513"/>
      <c r="C1686" s="401"/>
      <c r="D1686" s="403">
        <v>0</v>
      </c>
      <c r="E1686" s="403">
        <v>4.1609999999999996</v>
      </c>
      <c r="F1686" s="403">
        <v>37.006</v>
      </c>
      <c r="G1686" s="302">
        <v>37.006</v>
      </c>
      <c r="H1686" s="302">
        <v>36.984000000000002</v>
      </c>
      <c r="I1686" s="302">
        <v>36.993000000000002</v>
      </c>
      <c r="J1686" s="302">
        <v>21.4</v>
      </c>
      <c r="K1686" s="401">
        <v>21.4</v>
      </c>
      <c r="L1686" s="302">
        <v>21.4</v>
      </c>
      <c r="M1686" s="302">
        <v>21.4</v>
      </c>
      <c r="N1686" s="302">
        <v>21.4</v>
      </c>
      <c r="O1686" s="302">
        <v>27.904</v>
      </c>
      <c r="P1686" s="401">
        <v>27.904</v>
      </c>
      <c r="Q1686" s="302">
        <v>27.934999999999999</v>
      </c>
      <c r="R1686" s="302">
        <v>28.148</v>
      </c>
      <c r="S1686" s="302">
        <v>27.071999999999999</v>
      </c>
      <c r="T1686" s="119">
        <v>0</v>
      </c>
      <c r="U1686" s="403">
        <v>0</v>
      </c>
      <c r="V1686" s="302">
        <v>0</v>
      </c>
      <c r="W1686" s="302">
        <v>0</v>
      </c>
      <c r="X1686" s="302">
        <v>0</v>
      </c>
      <c r="Y1686" s="119">
        <v>0</v>
      </c>
      <c r="Z1686" s="401"/>
      <c r="AA1686" s="119"/>
      <c r="AB1686" s="119"/>
      <c r="AC1686" s="119"/>
      <c r="AD1686" s="119">
        <v>0</v>
      </c>
      <c r="AE1686" s="401"/>
      <c r="AF1686" s="119"/>
      <c r="AG1686" s="119"/>
      <c r="AH1686" s="119"/>
      <c r="AI1686" s="119">
        <v>0</v>
      </c>
      <c r="AJ1686" s="401"/>
      <c r="AK1686" s="119"/>
      <c r="AL1686" s="119"/>
      <c r="AM1686" s="119"/>
      <c r="AN1686" s="119">
        <v>0</v>
      </c>
      <c r="AO1686" s="401"/>
      <c r="AP1686" s="119"/>
      <c r="AQ1686" s="119"/>
      <c r="AR1686" s="119"/>
      <c r="AS1686" s="119">
        <v>0</v>
      </c>
      <c r="AT1686" s="401"/>
      <c r="AU1686" s="119"/>
      <c r="AV1686" s="119"/>
      <c r="AW1686" s="119"/>
      <c r="AX1686" s="119">
        <v>0</v>
      </c>
      <c r="AY1686" s="401"/>
      <c r="AZ1686" s="119"/>
      <c r="BA1686" s="119"/>
      <c r="BB1686" s="119"/>
      <c r="BC1686" s="119">
        <v>0</v>
      </c>
      <c r="BD1686" s="401"/>
      <c r="BE1686" s="119"/>
      <c r="BF1686" s="119"/>
      <c r="BG1686" s="119"/>
      <c r="BH1686" s="119">
        <v>0</v>
      </c>
      <c r="BI1686" s="402"/>
      <c r="BJ1686" s="118">
        <v>0</v>
      </c>
      <c r="BK1686" s="118">
        <v>0</v>
      </c>
      <c r="BL1686" s="118">
        <v>0</v>
      </c>
      <c r="BM1686" s="118">
        <v>0</v>
      </c>
      <c r="BN1686" s="401">
        <v>0</v>
      </c>
      <c r="BO1686" s="118">
        <v>0</v>
      </c>
      <c r="BP1686" s="118">
        <v>0</v>
      </c>
      <c r="BQ1686" s="118">
        <v>0</v>
      </c>
      <c r="BR1686" s="118">
        <v>0</v>
      </c>
      <c r="BS1686" s="401">
        <v>0</v>
      </c>
      <c r="BT1686" s="401">
        <v>0</v>
      </c>
      <c r="BU1686" s="401">
        <v>0</v>
      </c>
      <c r="BV1686" s="401">
        <v>0</v>
      </c>
      <c r="BW1686" s="122"/>
    </row>
    <row r="1687" spans="1:75" s="123" customFormat="1" x14ac:dyDescent="0.5">
      <c r="A1687" s="184" t="s">
        <v>1475</v>
      </c>
      <c r="B1687" s="513"/>
      <c r="C1687" s="401"/>
      <c r="D1687" s="401"/>
      <c r="E1687" s="401"/>
      <c r="F1687" s="401"/>
      <c r="G1687" s="119"/>
      <c r="H1687" s="119"/>
      <c r="I1687" s="119"/>
      <c r="J1687" s="119"/>
      <c r="K1687" s="401"/>
      <c r="L1687" s="119"/>
      <c r="M1687" s="119"/>
      <c r="N1687" s="119"/>
      <c r="O1687" s="119"/>
      <c r="P1687" s="401"/>
      <c r="Q1687" s="119"/>
      <c r="R1687" s="119"/>
      <c r="S1687" s="119"/>
      <c r="T1687" s="119"/>
      <c r="U1687" s="401"/>
      <c r="V1687" s="119"/>
      <c r="W1687" s="119"/>
      <c r="X1687" s="119"/>
      <c r="Y1687" s="119"/>
      <c r="Z1687" s="401"/>
      <c r="AA1687" s="119"/>
      <c r="AB1687" s="119"/>
      <c r="AC1687" s="119"/>
      <c r="AD1687" s="119"/>
      <c r="AE1687" s="401"/>
      <c r="AF1687" s="302">
        <v>1.883</v>
      </c>
      <c r="AG1687" s="302">
        <v>2.7450000000000001</v>
      </c>
      <c r="AH1687" s="302">
        <v>0.99299999999999999</v>
      </c>
      <c r="AI1687" s="119">
        <v>0</v>
      </c>
      <c r="AJ1687" s="401"/>
      <c r="AK1687" s="302">
        <v>65</v>
      </c>
      <c r="AL1687" s="119"/>
      <c r="AM1687" s="119"/>
      <c r="AN1687" s="119">
        <v>0</v>
      </c>
      <c r="AO1687" s="401"/>
      <c r="AP1687" s="119"/>
      <c r="AQ1687" s="119"/>
      <c r="AR1687" s="302">
        <v>6.9</v>
      </c>
      <c r="AS1687" s="119">
        <v>6.625</v>
      </c>
      <c r="AT1687" s="403">
        <v>6.625</v>
      </c>
      <c r="AU1687" s="302">
        <v>6</v>
      </c>
      <c r="AV1687" s="302">
        <v>5.375</v>
      </c>
      <c r="AW1687" s="302">
        <v>4.75</v>
      </c>
      <c r="AX1687" s="119">
        <v>3.9750000000000001</v>
      </c>
      <c r="AY1687" s="403">
        <v>3.9750000000000001</v>
      </c>
      <c r="AZ1687" s="302">
        <v>1.45</v>
      </c>
      <c r="BA1687" s="302">
        <v>0.625</v>
      </c>
      <c r="BB1687" s="302">
        <v>3.8820000000000001</v>
      </c>
      <c r="BC1687" s="119">
        <v>3.6619999999999999</v>
      </c>
      <c r="BD1687" s="403">
        <v>3.6619999999999999</v>
      </c>
      <c r="BE1687" s="302">
        <v>3.5379999999999998</v>
      </c>
      <c r="BF1687" s="302">
        <v>3.5379999999999998</v>
      </c>
      <c r="BG1687" s="302">
        <v>1.96</v>
      </c>
      <c r="BH1687" s="119">
        <v>0</v>
      </c>
      <c r="BI1687" s="402"/>
      <c r="BJ1687" s="118">
        <v>0</v>
      </c>
      <c r="BK1687" s="118">
        <v>0</v>
      </c>
      <c r="BL1687" s="118">
        <v>0</v>
      </c>
      <c r="BM1687" s="118">
        <v>0</v>
      </c>
      <c r="BN1687" s="401">
        <v>0</v>
      </c>
      <c r="BO1687" s="118">
        <v>0</v>
      </c>
      <c r="BP1687" s="118">
        <v>0</v>
      </c>
      <c r="BQ1687" s="118">
        <v>0</v>
      </c>
      <c r="BR1687" s="118">
        <v>0</v>
      </c>
      <c r="BS1687" s="401">
        <v>0</v>
      </c>
      <c r="BT1687" s="401">
        <v>0</v>
      </c>
      <c r="BU1687" s="401">
        <v>0</v>
      </c>
      <c r="BV1687" s="401">
        <v>0</v>
      </c>
      <c r="BW1687" s="122"/>
    </row>
    <row r="1688" spans="1:75" s="123" customFormat="1" x14ac:dyDescent="0.5">
      <c r="A1688" s="445" t="s">
        <v>1367</v>
      </c>
      <c r="B1688" s="677"/>
      <c r="C1688" s="406"/>
      <c r="D1688" s="408">
        <v>20.361000000000001</v>
      </c>
      <c r="E1688" s="408">
        <v>52.57</v>
      </c>
      <c r="F1688" s="408">
        <v>77.028999999999996</v>
      </c>
      <c r="G1688" s="357">
        <v>121.33499999999999</v>
      </c>
      <c r="H1688" s="357">
        <v>96.126000000000005</v>
      </c>
      <c r="I1688" s="357">
        <v>88.180999999999997</v>
      </c>
      <c r="J1688" s="357">
        <v>103.15300000000001</v>
      </c>
      <c r="K1688" s="406">
        <v>103.15300000000001</v>
      </c>
      <c r="L1688" s="357">
        <v>126.872</v>
      </c>
      <c r="M1688" s="357">
        <v>127.801</v>
      </c>
      <c r="N1688" s="357">
        <v>101.592</v>
      </c>
      <c r="O1688" s="357">
        <v>87.975999999999999</v>
      </c>
      <c r="P1688" s="406">
        <v>87.975999999999999</v>
      </c>
      <c r="Q1688" s="357">
        <v>99.924999999999997</v>
      </c>
      <c r="R1688" s="357">
        <v>81.622</v>
      </c>
      <c r="S1688" s="357">
        <v>89.772000000000006</v>
      </c>
      <c r="T1688" s="312">
        <v>79.02</v>
      </c>
      <c r="U1688" s="408">
        <v>79.02</v>
      </c>
      <c r="V1688" s="357">
        <v>112.04900000000001</v>
      </c>
      <c r="W1688" s="357">
        <v>98.281999999999996</v>
      </c>
      <c r="X1688" s="357">
        <v>113.66500000000001</v>
      </c>
      <c r="Y1688" s="312">
        <v>117.16200000000001</v>
      </c>
      <c r="Z1688" s="408">
        <v>117.16200000000001</v>
      </c>
      <c r="AA1688" s="357">
        <v>108.241</v>
      </c>
      <c r="AB1688" s="357">
        <v>77.679000000000002</v>
      </c>
      <c r="AC1688" s="357">
        <v>75.040999999999997</v>
      </c>
      <c r="AD1688" s="312">
        <v>68.584999999999994</v>
      </c>
      <c r="AE1688" s="408">
        <v>68.584999999999994</v>
      </c>
      <c r="AF1688" s="312">
        <v>58.180999999999997</v>
      </c>
      <c r="AG1688" s="312">
        <v>75.509</v>
      </c>
      <c r="AH1688" s="312">
        <v>76.425000000000011</v>
      </c>
      <c r="AI1688" s="312">
        <v>104.71899999999999</v>
      </c>
      <c r="AJ1688" s="408">
        <v>104.71899999999999</v>
      </c>
      <c r="AK1688" s="357">
        <v>118.648</v>
      </c>
      <c r="AL1688" s="312">
        <v>99.296999999999997</v>
      </c>
      <c r="AM1688" s="357">
        <v>46.725000000000001</v>
      </c>
      <c r="AN1688" s="312">
        <v>61.619</v>
      </c>
      <c r="AO1688" s="408">
        <v>61.619</v>
      </c>
      <c r="AP1688" s="357">
        <v>65.153999999999996</v>
      </c>
      <c r="AQ1688" s="357">
        <v>60.497</v>
      </c>
      <c r="AR1688" s="312">
        <v>81.974999999999994</v>
      </c>
      <c r="AS1688" s="312">
        <v>90.712000000000003</v>
      </c>
      <c r="AT1688" s="406">
        <v>90.712000000000003</v>
      </c>
      <c r="AU1688" s="312">
        <v>99.722999999999999</v>
      </c>
      <c r="AV1688" s="312">
        <v>135.19499999999999</v>
      </c>
      <c r="AW1688" s="312">
        <v>115.916</v>
      </c>
      <c r="AX1688" s="312">
        <v>117.375</v>
      </c>
      <c r="AY1688" s="406">
        <v>117.375</v>
      </c>
      <c r="AZ1688" s="312">
        <v>271.42700000000002</v>
      </c>
      <c r="BA1688" s="312">
        <v>250.99600000000001</v>
      </c>
      <c r="BB1688" s="357">
        <v>234.24700000000001</v>
      </c>
      <c r="BC1688" s="312">
        <v>139.297</v>
      </c>
      <c r="BD1688" s="408">
        <v>139.297</v>
      </c>
      <c r="BE1688" s="357">
        <v>129.083</v>
      </c>
      <c r="BF1688" s="357">
        <v>143.83099999999999</v>
      </c>
      <c r="BG1688" s="357">
        <v>129.21299999999999</v>
      </c>
      <c r="BH1688" s="312">
        <v>169.03</v>
      </c>
      <c r="BI1688" s="515">
        <v>169.03</v>
      </c>
      <c r="BJ1688" s="312">
        <v>120.57082677481219</v>
      </c>
      <c r="BK1688" s="312">
        <v>122.30647372147594</v>
      </c>
      <c r="BL1688" s="312">
        <v>110.75733630532748</v>
      </c>
      <c r="BM1688" s="312">
        <v>113.51833378358381</v>
      </c>
      <c r="BN1688" s="406">
        <v>113.51833378358381</v>
      </c>
      <c r="BO1688" s="312">
        <v>134.9513635310195</v>
      </c>
      <c r="BP1688" s="312">
        <v>140.03052133175126</v>
      </c>
      <c r="BQ1688" s="312">
        <v>126.891795853883</v>
      </c>
      <c r="BR1688" s="312">
        <v>129.68077139201722</v>
      </c>
      <c r="BS1688" s="406">
        <v>129.68077139201722</v>
      </c>
      <c r="BT1688" s="406">
        <v>137.14597383041053</v>
      </c>
      <c r="BU1688" s="406">
        <v>141.54320088413792</v>
      </c>
      <c r="BV1688" s="406">
        <v>144.54819801426709</v>
      </c>
      <c r="BW1688" s="122"/>
    </row>
    <row r="1689" spans="1:75" s="198" customFormat="1" ht="14.25" x14ac:dyDescent="0.45">
      <c r="A1689" s="192" t="s">
        <v>1476</v>
      </c>
      <c r="B1689" s="517"/>
      <c r="C1689" s="518"/>
      <c r="D1689" s="518">
        <v>244.59299999999999</v>
      </c>
      <c r="E1689" s="518">
        <v>322.87799999999999</v>
      </c>
      <c r="F1689" s="518">
        <v>492.75800000000004</v>
      </c>
      <c r="G1689" s="327">
        <v>551.43799999999999</v>
      </c>
      <c r="H1689" s="327">
        <v>577.40300000000002</v>
      </c>
      <c r="I1689" s="327">
        <v>603.56200000000001</v>
      </c>
      <c r="J1689" s="327">
        <v>613.81500000000005</v>
      </c>
      <c r="K1689" s="518">
        <v>613.81500000000005</v>
      </c>
      <c r="L1689" s="327">
        <v>661.66599999999994</v>
      </c>
      <c r="M1689" s="327">
        <v>901.93299999999999</v>
      </c>
      <c r="N1689" s="327">
        <v>918.26199999999994</v>
      </c>
      <c r="O1689" s="327">
        <v>912.24400000000003</v>
      </c>
      <c r="P1689" s="518">
        <v>912.24400000000003</v>
      </c>
      <c r="Q1689" s="327">
        <v>934.38199999999995</v>
      </c>
      <c r="R1689" s="327">
        <v>1294.76</v>
      </c>
      <c r="S1689" s="327">
        <v>1297.713</v>
      </c>
      <c r="T1689" s="327">
        <v>1313.6770000000001</v>
      </c>
      <c r="U1689" s="518">
        <v>1313.6770000000001</v>
      </c>
      <c r="V1689" s="327">
        <v>1244.4349999999999</v>
      </c>
      <c r="W1689" s="327">
        <v>1149.164</v>
      </c>
      <c r="X1689" s="327">
        <v>1151.8040000000001</v>
      </c>
      <c r="Y1689" s="327">
        <v>1138.2569999999998</v>
      </c>
      <c r="Z1689" s="518">
        <v>1138.2569999999998</v>
      </c>
      <c r="AA1689" s="327">
        <v>914.67</v>
      </c>
      <c r="AB1689" s="327">
        <v>742.11599999999999</v>
      </c>
      <c r="AC1689" s="327">
        <v>688.99500000000012</v>
      </c>
      <c r="AD1689" s="327">
        <v>644.92999999999995</v>
      </c>
      <c r="AE1689" s="518">
        <v>644.92999999999995</v>
      </c>
      <c r="AF1689" s="327">
        <v>650.13100000000009</v>
      </c>
      <c r="AG1689" s="327">
        <v>692.50199999999995</v>
      </c>
      <c r="AH1689" s="327">
        <v>694.03800000000001</v>
      </c>
      <c r="AI1689" s="327">
        <v>682.69299999999998</v>
      </c>
      <c r="AJ1689" s="518">
        <v>682.69299999999998</v>
      </c>
      <c r="AK1689" s="327">
        <v>822.06500000000005</v>
      </c>
      <c r="AL1689" s="327">
        <v>657.62199999999996</v>
      </c>
      <c r="AM1689" s="327">
        <v>559.47900000000004</v>
      </c>
      <c r="AN1689" s="327">
        <v>596.95200000000011</v>
      </c>
      <c r="AO1689" s="518">
        <v>596.95200000000011</v>
      </c>
      <c r="AP1689" s="327">
        <v>625.721</v>
      </c>
      <c r="AQ1689" s="327">
        <v>621.43899999999996</v>
      </c>
      <c r="AR1689" s="327">
        <v>734.90000000000009</v>
      </c>
      <c r="AS1689" s="327">
        <v>801.48399999999992</v>
      </c>
      <c r="AT1689" s="518">
        <v>801.48399999999992</v>
      </c>
      <c r="AU1689" s="327">
        <v>989.4079999999999</v>
      </c>
      <c r="AV1689" s="327">
        <v>1137.816</v>
      </c>
      <c r="AW1689" s="327">
        <v>3013.8389999999999</v>
      </c>
      <c r="AX1689" s="327">
        <v>3091.4420000000005</v>
      </c>
      <c r="AY1689" s="518">
        <v>3091.4420000000005</v>
      </c>
      <c r="AZ1689" s="327">
        <v>3399.0610000000001</v>
      </c>
      <c r="BA1689" s="327">
        <v>3251.3180000000002</v>
      </c>
      <c r="BB1689" s="327">
        <v>3266.4569999999999</v>
      </c>
      <c r="BC1689" s="327">
        <v>2512.6639999999998</v>
      </c>
      <c r="BD1689" s="518">
        <v>2512.6639999999998</v>
      </c>
      <c r="BE1689" s="327">
        <v>2475.8440000000001</v>
      </c>
      <c r="BF1689" s="327">
        <v>1356.5260000000001</v>
      </c>
      <c r="BG1689" s="327">
        <v>1286.8799999999999</v>
      </c>
      <c r="BH1689" s="327">
        <v>1101.902</v>
      </c>
      <c r="BI1689" s="525">
        <v>1101.902</v>
      </c>
      <c r="BJ1689" s="327">
        <v>1028.747263767727</v>
      </c>
      <c r="BK1689" s="327">
        <v>1080.0337065090262</v>
      </c>
      <c r="BL1689" s="327">
        <v>1125.755183526474</v>
      </c>
      <c r="BM1689" s="327">
        <v>1158.4370766546465</v>
      </c>
      <c r="BN1689" s="518">
        <v>1158.4370766546465</v>
      </c>
      <c r="BO1689" s="327">
        <v>1192.3305132934879</v>
      </c>
      <c r="BP1689" s="327">
        <v>1289.1706718611247</v>
      </c>
      <c r="BQ1689" s="327">
        <v>1360.5794775782113</v>
      </c>
      <c r="BR1689" s="327">
        <v>1418.371476181876</v>
      </c>
      <c r="BS1689" s="518">
        <v>1418.371476181876</v>
      </c>
      <c r="BT1689" s="518">
        <v>1697.7221396632917</v>
      </c>
      <c r="BU1689" s="518">
        <v>2026.8840184299604</v>
      </c>
      <c r="BV1689" s="518">
        <v>2409.5333599172873</v>
      </c>
      <c r="BW1689" s="197"/>
    </row>
    <row r="1690" spans="1:75" s="198" customFormat="1" ht="14.25" x14ac:dyDescent="0.45">
      <c r="A1690" s="206"/>
      <c r="B1690" s="522"/>
      <c r="C1690" s="397"/>
      <c r="D1690" s="397"/>
      <c r="E1690" s="397"/>
      <c r="F1690" s="397"/>
      <c r="G1690" s="295"/>
      <c r="H1690" s="295"/>
      <c r="I1690" s="295"/>
      <c r="J1690" s="295"/>
      <c r="K1690" s="397"/>
      <c r="L1690" s="295"/>
      <c r="M1690" s="295"/>
      <c r="N1690" s="295"/>
      <c r="O1690" s="295"/>
      <c r="P1690" s="397"/>
      <c r="Q1690" s="295"/>
      <c r="R1690" s="295"/>
      <c r="S1690" s="295"/>
      <c r="T1690" s="295"/>
      <c r="U1690" s="397"/>
      <c r="V1690" s="295"/>
      <c r="W1690" s="295"/>
      <c r="X1690" s="295"/>
      <c r="Y1690" s="295"/>
      <c r="Z1690" s="397"/>
      <c r="AA1690" s="295"/>
      <c r="AB1690" s="295"/>
      <c r="AC1690" s="295"/>
      <c r="AD1690" s="295"/>
      <c r="AE1690" s="397"/>
      <c r="AF1690" s="295"/>
      <c r="AG1690" s="295"/>
      <c r="AH1690" s="295"/>
      <c r="AI1690" s="295"/>
      <c r="AJ1690" s="397"/>
      <c r="AK1690" s="295"/>
      <c r="AL1690" s="295"/>
      <c r="AM1690" s="295"/>
      <c r="AN1690" s="295"/>
      <c r="AO1690" s="397"/>
      <c r="AP1690" s="295"/>
      <c r="AQ1690" s="295"/>
      <c r="AR1690" s="295"/>
      <c r="AS1690" s="295"/>
      <c r="AT1690" s="397"/>
      <c r="AU1690" s="295"/>
      <c r="AV1690" s="295"/>
      <c r="AW1690" s="295"/>
      <c r="AX1690" s="295"/>
      <c r="AY1690" s="397"/>
      <c r="AZ1690" s="295"/>
      <c r="BA1690" s="295"/>
      <c r="BB1690" s="295"/>
      <c r="BC1690" s="295"/>
      <c r="BD1690" s="397"/>
      <c r="BE1690" s="295"/>
      <c r="BF1690" s="295"/>
      <c r="BG1690" s="295"/>
      <c r="BH1690" s="295"/>
      <c r="BI1690" s="399"/>
      <c r="BJ1690" s="295"/>
      <c r="BK1690" s="295"/>
      <c r="BL1690" s="295"/>
      <c r="BM1690" s="295"/>
      <c r="BN1690" s="397"/>
      <c r="BO1690" s="295"/>
      <c r="BP1690" s="295"/>
      <c r="BQ1690" s="295"/>
      <c r="BR1690" s="295"/>
      <c r="BS1690" s="397"/>
      <c r="BT1690" s="397"/>
      <c r="BU1690" s="397"/>
      <c r="BV1690" s="397"/>
      <c r="BW1690" s="197"/>
    </row>
    <row r="1691" spans="1:75" s="198" customFormat="1" ht="14.25" x14ac:dyDescent="0.45">
      <c r="A1691" s="243" t="s">
        <v>1477</v>
      </c>
      <c r="B1691" s="522"/>
      <c r="C1691" s="397"/>
      <c r="D1691" s="397"/>
      <c r="E1691" s="397"/>
      <c r="F1691" s="397"/>
      <c r="G1691" s="295"/>
      <c r="H1691" s="295"/>
      <c r="I1691" s="295"/>
      <c r="J1691" s="295"/>
      <c r="K1691" s="397"/>
      <c r="L1691" s="295"/>
      <c r="M1691" s="295"/>
      <c r="N1691" s="295"/>
      <c r="O1691" s="295"/>
      <c r="P1691" s="397"/>
      <c r="Q1691" s="295"/>
      <c r="R1691" s="295"/>
      <c r="S1691" s="295"/>
      <c r="T1691" s="295"/>
      <c r="U1691" s="397"/>
      <c r="V1691" s="295"/>
      <c r="W1691" s="295"/>
      <c r="X1691" s="295"/>
      <c r="Y1691" s="295"/>
      <c r="Z1691" s="397"/>
      <c r="AA1691" s="295"/>
      <c r="AB1691" s="295"/>
      <c r="AC1691" s="295"/>
      <c r="AD1691" s="295"/>
      <c r="AE1691" s="397"/>
      <c r="AF1691" s="295"/>
      <c r="AG1691" s="295"/>
      <c r="AH1691" s="295"/>
      <c r="AI1691" s="295"/>
      <c r="AJ1691" s="397"/>
      <c r="AK1691" s="295"/>
      <c r="AL1691" s="295"/>
      <c r="AM1691" s="295"/>
      <c r="AN1691" s="295"/>
      <c r="AO1691" s="397"/>
      <c r="AP1691" s="295"/>
      <c r="AQ1691" s="295"/>
      <c r="AR1691" s="295"/>
      <c r="AS1691" s="295"/>
      <c r="AT1691" s="397"/>
      <c r="AU1691" s="295"/>
      <c r="AV1691" s="295"/>
      <c r="AW1691" s="295"/>
      <c r="AX1691" s="295"/>
      <c r="AY1691" s="397"/>
      <c r="AZ1691" s="295"/>
      <c r="BA1691" s="295"/>
      <c r="BB1691" s="295"/>
      <c r="BC1691" s="295"/>
      <c r="BD1691" s="397"/>
      <c r="BE1691" s="295"/>
      <c r="BF1691" s="295"/>
      <c r="BG1691" s="295"/>
      <c r="BH1691" s="295"/>
      <c r="BI1691" s="399"/>
      <c r="BJ1691" s="295"/>
      <c r="BK1691" s="295"/>
      <c r="BL1691" s="295"/>
      <c r="BM1691" s="295"/>
      <c r="BN1691" s="397"/>
      <c r="BO1691" s="295"/>
      <c r="BP1691" s="295"/>
      <c r="BQ1691" s="295"/>
      <c r="BR1691" s="295"/>
      <c r="BS1691" s="397"/>
      <c r="BT1691" s="397"/>
      <c r="BU1691" s="397"/>
      <c r="BV1691" s="397"/>
      <c r="BW1691" s="197"/>
    </row>
    <row r="1692" spans="1:75" s="123" customFormat="1" x14ac:dyDescent="0.5">
      <c r="A1692" s="184" t="s">
        <v>1478</v>
      </c>
      <c r="B1692" s="513"/>
      <c r="C1692" s="401"/>
      <c r="D1692" s="403">
        <v>0</v>
      </c>
      <c r="E1692" s="403">
        <v>0</v>
      </c>
      <c r="F1692" s="403">
        <v>0</v>
      </c>
      <c r="G1692" s="302">
        <v>0</v>
      </c>
      <c r="H1692" s="302">
        <v>0</v>
      </c>
      <c r="I1692" s="302">
        <v>0</v>
      </c>
      <c r="J1692" s="302">
        <v>0</v>
      </c>
      <c r="K1692" s="401">
        <v>0</v>
      </c>
      <c r="L1692" s="302">
        <v>0</v>
      </c>
      <c r="M1692" s="302">
        <v>0</v>
      </c>
      <c r="N1692" s="302">
        <v>0</v>
      </c>
      <c r="O1692" s="302">
        <v>18.338000000000001</v>
      </c>
      <c r="P1692" s="401">
        <v>18.338000000000001</v>
      </c>
      <c r="Q1692" s="302">
        <v>9.2769999999999992</v>
      </c>
      <c r="R1692" s="302">
        <v>0</v>
      </c>
      <c r="S1692" s="302">
        <v>2.0049999999999999</v>
      </c>
      <c r="T1692" s="119">
        <v>22.053999999999998</v>
      </c>
      <c r="U1692" s="403">
        <v>22.053999999999998</v>
      </c>
      <c r="V1692" s="302">
        <v>10.859</v>
      </c>
      <c r="W1692" s="302">
        <v>9.1020000000000003</v>
      </c>
      <c r="X1692" s="302">
        <v>21.056000000000001</v>
      </c>
      <c r="Y1692" s="119">
        <v>33.212000000000003</v>
      </c>
      <c r="Z1692" s="403">
        <v>33.212000000000003</v>
      </c>
      <c r="AA1692" s="302">
        <v>0</v>
      </c>
      <c r="AB1692" s="302">
        <v>0</v>
      </c>
      <c r="AC1692" s="302">
        <v>0</v>
      </c>
      <c r="AD1692" s="119">
        <v>0</v>
      </c>
      <c r="AE1692" s="403">
        <v>0</v>
      </c>
      <c r="AF1692" s="302">
        <v>0</v>
      </c>
      <c r="AG1692" s="119"/>
      <c r="AH1692" s="119"/>
      <c r="AI1692" s="119">
        <v>0</v>
      </c>
      <c r="AJ1692" s="401"/>
      <c r="AK1692" s="119"/>
      <c r="AL1692" s="119"/>
      <c r="AM1692" s="119"/>
      <c r="AN1692" s="119">
        <v>0</v>
      </c>
      <c r="AO1692" s="401"/>
      <c r="AP1692" s="119"/>
      <c r="AQ1692" s="119"/>
      <c r="AR1692" s="119"/>
      <c r="AS1692" s="119">
        <v>0</v>
      </c>
      <c r="AT1692" s="401"/>
      <c r="AU1692" s="119"/>
      <c r="AV1692" s="119"/>
      <c r="AW1692" s="119"/>
      <c r="AX1692" s="119">
        <v>0</v>
      </c>
      <c r="AY1692" s="401"/>
      <c r="AZ1692" s="119"/>
      <c r="BA1692" s="119"/>
      <c r="BB1692" s="119"/>
      <c r="BC1692" s="119">
        <v>0</v>
      </c>
      <c r="BD1692" s="401"/>
      <c r="BE1692" s="119"/>
      <c r="BF1692" s="119"/>
      <c r="BG1692" s="119"/>
      <c r="BH1692" s="119">
        <v>0</v>
      </c>
      <c r="BI1692" s="402"/>
      <c r="BJ1692" s="118">
        <v>0</v>
      </c>
      <c r="BK1692" s="118">
        <v>0</v>
      </c>
      <c r="BL1692" s="118">
        <v>0</v>
      </c>
      <c r="BM1692" s="118">
        <v>0</v>
      </c>
      <c r="BN1692" s="401">
        <v>0</v>
      </c>
      <c r="BO1692" s="118">
        <v>0</v>
      </c>
      <c r="BP1692" s="118">
        <v>0</v>
      </c>
      <c r="BQ1692" s="118">
        <v>0</v>
      </c>
      <c r="BR1692" s="118">
        <v>0</v>
      </c>
      <c r="BS1692" s="401">
        <v>0</v>
      </c>
      <c r="BT1692" s="401">
        <v>0</v>
      </c>
      <c r="BU1692" s="401">
        <v>0</v>
      </c>
      <c r="BV1692" s="401">
        <v>0</v>
      </c>
      <c r="BW1692" s="122"/>
    </row>
    <row r="1693" spans="1:75" s="123" customFormat="1" x14ac:dyDescent="0.5">
      <c r="A1693" s="184" t="s">
        <v>1479</v>
      </c>
      <c r="B1693" s="513"/>
      <c r="C1693" s="401"/>
      <c r="D1693" s="403">
        <v>76.45</v>
      </c>
      <c r="E1693" s="403">
        <v>83.558000000000007</v>
      </c>
      <c r="F1693" s="403">
        <v>111.40600000000001</v>
      </c>
      <c r="G1693" s="302">
        <v>123.09099999999999</v>
      </c>
      <c r="H1693" s="302">
        <v>154.00800000000001</v>
      </c>
      <c r="I1693" s="302">
        <v>190.06899999999999</v>
      </c>
      <c r="J1693" s="302">
        <v>214.90899999999999</v>
      </c>
      <c r="K1693" s="401">
        <v>214.90899999999999</v>
      </c>
      <c r="L1693" s="302">
        <v>241.053</v>
      </c>
      <c r="M1693" s="302">
        <v>261.87200000000001</v>
      </c>
      <c r="N1693" s="302">
        <v>331.988</v>
      </c>
      <c r="O1693" s="302">
        <v>390.84399999999999</v>
      </c>
      <c r="P1693" s="401">
        <v>390.84399999999999</v>
      </c>
      <c r="Q1693" s="302">
        <v>458.113</v>
      </c>
      <c r="R1693" s="302">
        <v>503.45600000000002</v>
      </c>
      <c r="S1693" s="302">
        <v>556.59400000000005</v>
      </c>
      <c r="T1693" s="119">
        <v>515.60500000000002</v>
      </c>
      <c r="U1693" s="403">
        <v>515.60500000000002</v>
      </c>
      <c r="V1693" s="302">
        <v>558.43100000000004</v>
      </c>
      <c r="W1693" s="302">
        <v>600.68499999999995</v>
      </c>
      <c r="X1693" s="302">
        <v>656.56899999999996</v>
      </c>
      <c r="Y1693" s="119">
        <v>682.05600000000004</v>
      </c>
      <c r="Z1693" s="403">
        <v>682.05600000000004</v>
      </c>
      <c r="AA1693" s="302">
        <v>702.74099999999999</v>
      </c>
      <c r="AB1693" s="302">
        <v>744.46</v>
      </c>
      <c r="AC1693" s="302">
        <v>778.32</v>
      </c>
      <c r="AD1693" s="119">
        <v>800.69799999999998</v>
      </c>
      <c r="AE1693" s="403">
        <v>800.69799999999998</v>
      </c>
      <c r="AF1693" s="302">
        <v>811.36900000000003</v>
      </c>
      <c r="AG1693" s="302">
        <v>833.23199999999997</v>
      </c>
      <c r="AH1693" s="302">
        <v>856.23</v>
      </c>
      <c r="AI1693" s="119">
        <v>863.56200000000001</v>
      </c>
      <c r="AJ1693" s="403">
        <v>863.56200000000001</v>
      </c>
      <c r="AK1693" s="302">
        <v>954.14200000000005</v>
      </c>
      <c r="AL1693" s="302">
        <v>950.59400000000005</v>
      </c>
      <c r="AM1693" s="302">
        <v>969.09</v>
      </c>
      <c r="AN1693" s="119">
        <v>967.59900000000005</v>
      </c>
      <c r="AO1693" s="403">
        <v>967.59900000000005</v>
      </c>
      <c r="AP1693" s="302">
        <v>953.73800000000006</v>
      </c>
      <c r="AQ1693" s="302">
        <v>1053.4349999999999</v>
      </c>
      <c r="AR1693" s="302">
        <v>1051.825</v>
      </c>
      <c r="AS1693" s="119">
        <v>1077.1980000000001</v>
      </c>
      <c r="AT1693" s="403">
        <v>1077.1980000000001</v>
      </c>
      <c r="AU1693" s="302">
        <v>1103.6679999999999</v>
      </c>
      <c r="AV1693" s="302">
        <v>1131.501</v>
      </c>
      <c r="AW1693" s="302">
        <v>1196.335</v>
      </c>
      <c r="AX1693" s="119">
        <v>1227.92</v>
      </c>
      <c r="AY1693" s="403">
        <v>1227.92</v>
      </c>
      <c r="AZ1693" s="302">
        <v>1357.0640000000001</v>
      </c>
      <c r="BA1693" s="302">
        <v>1554.88</v>
      </c>
      <c r="BB1693" s="302">
        <v>1577.9</v>
      </c>
      <c r="BC1693" s="119">
        <v>1635.9839999999999</v>
      </c>
      <c r="BD1693" s="403">
        <v>1635.9839999999999</v>
      </c>
      <c r="BE1693" s="302">
        <v>1640.596</v>
      </c>
      <c r="BF1693" s="302">
        <v>1655.326</v>
      </c>
      <c r="BG1693" s="302">
        <v>1665.4829999999999</v>
      </c>
      <c r="BH1693" s="119">
        <v>1685.8579999999999</v>
      </c>
      <c r="BI1693" s="514">
        <v>1685.8579999999999</v>
      </c>
      <c r="BJ1693" s="118">
        <v>1716.8920974999999</v>
      </c>
      <c r="BK1693" s="118">
        <v>1747.5770614031248</v>
      </c>
      <c r="BL1693" s="118">
        <v>1777.9168194623396</v>
      </c>
      <c r="BM1693" s="118">
        <v>1807.9152552433884</v>
      </c>
      <c r="BN1693" s="401">
        <v>1807.9152552433884</v>
      </c>
      <c r="BO1693" s="118">
        <v>1837.5762086219004</v>
      </c>
      <c r="BP1693" s="118">
        <v>1866.9034762749041</v>
      </c>
      <c r="BQ1693" s="118">
        <v>1895.9008121668114</v>
      </c>
      <c r="BR1693" s="118">
        <v>1924.5719280299347</v>
      </c>
      <c r="BS1693" s="401">
        <v>1924.5719280299347</v>
      </c>
      <c r="BT1693" s="401">
        <v>2037.9661912685874</v>
      </c>
      <c r="BU1693" s="401">
        <v>2146.257712661501</v>
      </c>
      <c r="BV1693" s="401">
        <v>2249.6761155917334</v>
      </c>
      <c r="BW1693" s="122"/>
    </row>
    <row r="1694" spans="1:75" s="123" customFormat="1" x14ac:dyDescent="0.5">
      <c r="A1694" s="184" t="s">
        <v>1480</v>
      </c>
      <c r="B1694" s="513"/>
      <c r="C1694" s="401"/>
      <c r="D1694" s="403">
        <v>122.60299999999999</v>
      </c>
      <c r="E1694" s="403">
        <v>122.595</v>
      </c>
      <c r="F1694" s="403">
        <v>122.601</v>
      </c>
      <c r="G1694" s="302">
        <v>122.581</v>
      </c>
      <c r="H1694" s="302">
        <v>122.538</v>
      </c>
      <c r="I1694" s="302">
        <v>122.529</v>
      </c>
      <c r="J1694" s="302">
        <v>122.42400000000001</v>
      </c>
      <c r="K1694" s="401">
        <v>122.42400000000001</v>
      </c>
      <c r="L1694" s="302">
        <v>124.627</v>
      </c>
      <c r="M1694" s="302">
        <v>124.634</v>
      </c>
      <c r="N1694" s="302">
        <v>124.592</v>
      </c>
      <c r="O1694" s="302">
        <v>124.42400000000001</v>
      </c>
      <c r="P1694" s="401">
        <v>124.42400000000001</v>
      </c>
      <c r="Q1694" s="302">
        <v>124.483</v>
      </c>
      <c r="R1694" s="302">
        <v>124.389</v>
      </c>
      <c r="S1694" s="302">
        <v>124.38200000000001</v>
      </c>
      <c r="T1694" s="119">
        <v>124.301</v>
      </c>
      <c r="U1694" s="403">
        <v>124.301</v>
      </c>
      <c r="V1694" s="302">
        <v>124.435</v>
      </c>
      <c r="W1694" s="302">
        <v>175.98</v>
      </c>
      <c r="X1694" s="302">
        <v>175.946</v>
      </c>
      <c r="Y1694" s="119">
        <v>173.60300000000001</v>
      </c>
      <c r="Z1694" s="403">
        <v>173.60300000000001</v>
      </c>
      <c r="AA1694" s="302">
        <v>174.15799999999999</v>
      </c>
      <c r="AB1694" s="302">
        <v>175.59200000000001</v>
      </c>
      <c r="AC1694" s="302">
        <v>175.553</v>
      </c>
      <c r="AD1694" s="119">
        <v>141.893</v>
      </c>
      <c r="AE1694" s="403">
        <v>141.893</v>
      </c>
      <c r="AF1694" s="302">
        <v>141.84899999999999</v>
      </c>
      <c r="AG1694" s="302">
        <v>141.83500000000001</v>
      </c>
      <c r="AH1694" s="302">
        <v>141.82400000000001</v>
      </c>
      <c r="AI1694" s="119">
        <v>124.379</v>
      </c>
      <c r="AJ1694" s="403">
        <v>124.379</v>
      </c>
      <c r="AK1694" s="302">
        <v>124.349</v>
      </c>
      <c r="AL1694" s="302">
        <v>124.37</v>
      </c>
      <c r="AM1694" s="302">
        <v>124.376</v>
      </c>
      <c r="AN1694" s="119">
        <v>124.367</v>
      </c>
      <c r="AO1694" s="403">
        <v>124.367</v>
      </c>
      <c r="AP1694" s="302">
        <v>124.29</v>
      </c>
      <c r="AQ1694" s="302">
        <v>124.35</v>
      </c>
      <c r="AR1694" s="302">
        <v>135.30600000000001</v>
      </c>
      <c r="AS1694" s="119">
        <v>141.1</v>
      </c>
      <c r="AT1694" s="403">
        <v>141.1</v>
      </c>
      <c r="AU1694" s="302">
        <v>141.15199999999999</v>
      </c>
      <c r="AV1694" s="302">
        <v>141.13200000000001</v>
      </c>
      <c r="AW1694" s="302">
        <v>141.14099999999999</v>
      </c>
      <c r="AX1694" s="119">
        <v>141.1</v>
      </c>
      <c r="AY1694" s="403">
        <v>141.1</v>
      </c>
      <c r="AZ1694" s="302">
        <v>141.09200000000001</v>
      </c>
      <c r="BA1694" s="302">
        <v>141.09800000000001</v>
      </c>
      <c r="BB1694" s="302">
        <v>141.02099999999999</v>
      </c>
      <c r="BC1694" s="119">
        <v>141.048</v>
      </c>
      <c r="BD1694" s="403">
        <v>141.048</v>
      </c>
      <c r="BE1694" s="302">
        <v>141.02600000000001</v>
      </c>
      <c r="BF1694" s="302">
        <v>141.053</v>
      </c>
      <c r="BG1694" s="302">
        <v>140.99700000000001</v>
      </c>
      <c r="BH1694" s="119">
        <v>141.03299999999999</v>
      </c>
      <c r="BI1694" s="514">
        <v>141.03299999999999</v>
      </c>
      <c r="BJ1694" s="118">
        <v>141.03299999999999</v>
      </c>
      <c r="BK1694" s="118">
        <v>141.03299999999999</v>
      </c>
      <c r="BL1694" s="118">
        <v>141.03299999999999</v>
      </c>
      <c r="BM1694" s="118">
        <v>141.03299999999999</v>
      </c>
      <c r="BN1694" s="401">
        <v>141.03299999999999</v>
      </c>
      <c r="BO1694" s="118">
        <v>141.03299999999999</v>
      </c>
      <c r="BP1694" s="118">
        <v>141.03299999999999</v>
      </c>
      <c r="BQ1694" s="118">
        <v>141.03299999999999</v>
      </c>
      <c r="BR1694" s="118">
        <v>141.03299999999999</v>
      </c>
      <c r="BS1694" s="401">
        <v>141.03299999999999</v>
      </c>
      <c r="BT1694" s="401">
        <v>141.03299999999999</v>
      </c>
      <c r="BU1694" s="401">
        <v>141.03299999999999</v>
      </c>
      <c r="BV1694" s="401">
        <v>141.03299999999999</v>
      </c>
      <c r="BW1694" s="122"/>
    </row>
    <row r="1695" spans="1:75" s="123" customFormat="1" x14ac:dyDescent="0.5">
      <c r="A1695" s="184" t="s">
        <v>1481</v>
      </c>
      <c r="B1695" s="513"/>
      <c r="C1695" s="401"/>
      <c r="D1695" s="401"/>
      <c r="E1695" s="401"/>
      <c r="F1695" s="401"/>
      <c r="G1695" s="119"/>
      <c r="H1695" s="119"/>
      <c r="I1695" s="119"/>
      <c r="J1695" s="119"/>
      <c r="K1695" s="401"/>
      <c r="L1695" s="119"/>
      <c r="M1695" s="119"/>
      <c r="N1695" s="119"/>
      <c r="O1695" s="119"/>
      <c r="P1695" s="401"/>
      <c r="Q1695" s="119"/>
      <c r="R1695" s="119"/>
      <c r="S1695" s="119"/>
      <c r="T1695" s="119"/>
      <c r="U1695" s="401"/>
      <c r="V1695" s="119"/>
      <c r="W1695" s="119"/>
      <c r="X1695" s="119"/>
      <c r="Y1695" s="119"/>
      <c r="Z1695" s="401"/>
      <c r="AA1695" s="119"/>
      <c r="AB1695" s="119"/>
      <c r="AC1695" s="119"/>
      <c r="AD1695" s="119"/>
      <c r="AE1695" s="401"/>
      <c r="AF1695" s="119"/>
      <c r="AG1695" s="119"/>
      <c r="AH1695" s="119"/>
      <c r="AI1695" s="119"/>
      <c r="AJ1695" s="401"/>
      <c r="AK1695" s="302">
        <v>432.21199999999999</v>
      </c>
      <c r="AL1695" s="302">
        <v>421.00099999999998</v>
      </c>
      <c r="AM1695" s="302">
        <v>415.91199999999998</v>
      </c>
      <c r="AN1695" s="119">
        <v>410.904</v>
      </c>
      <c r="AO1695" s="403">
        <v>410.904</v>
      </c>
      <c r="AP1695" s="302">
        <v>392.93400000000003</v>
      </c>
      <c r="AQ1695" s="302">
        <v>404.50799999999998</v>
      </c>
      <c r="AR1695" s="302">
        <v>405.77600000000001</v>
      </c>
      <c r="AS1695" s="119">
        <v>456.16399999999999</v>
      </c>
      <c r="AT1695" s="403">
        <v>456.16399999999999</v>
      </c>
      <c r="AU1695" s="302">
        <v>541.84100000000001</v>
      </c>
      <c r="AV1695" s="302">
        <v>553.83399999999995</v>
      </c>
      <c r="AW1695" s="302">
        <v>551.73099999999999</v>
      </c>
      <c r="AX1695" s="119">
        <v>551.04499999999996</v>
      </c>
      <c r="AY1695" s="403">
        <v>551.04499999999996</v>
      </c>
      <c r="AZ1695" s="302">
        <v>544.79700000000003</v>
      </c>
      <c r="BA1695" s="302">
        <v>540.39599999999996</v>
      </c>
      <c r="BB1695" s="302">
        <v>536.452</v>
      </c>
      <c r="BC1695" s="119">
        <v>527.24599999999998</v>
      </c>
      <c r="BD1695" s="403">
        <v>527.24599999999998</v>
      </c>
      <c r="BE1695" s="302">
        <v>528.01</v>
      </c>
      <c r="BF1695" s="302">
        <v>532.09</v>
      </c>
      <c r="BG1695" s="302">
        <v>616.57100000000003</v>
      </c>
      <c r="BH1695" s="119">
        <v>625.80100000000004</v>
      </c>
      <c r="BI1695" s="514">
        <v>625.80100000000004</v>
      </c>
      <c r="BJ1695" s="118">
        <v>611.80100000000004</v>
      </c>
      <c r="BK1695" s="118">
        <v>597.80100000000004</v>
      </c>
      <c r="BL1695" s="118">
        <v>583.80100000000004</v>
      </c>
      <c r="BM1695" s="118">
        <v>569.80100000000004</v>
      </c>
      <c r="BN1695" s="401">
        <v>569.80100000000004</v>
      </c>
      <c r="BO1695" s="118">
        <v>555.80100000000004</v>
      </c>
      <c r="BP1695" s="118">
        <v>541.80100000000004</v>
      </c>
      <c r="BQ1695" s="118">
        <v>527.80100000000004</v>
      </c>
      <c r="BR1695" s="118">
        <v>513.80100000000004</v>
      </c>
      <c r="BS1695" s="401">
        <v>513.80100000000004</v>
      </c>
      <c r="BT1695" s="401">
        <v>458.80100000000004</v>
      </c>
      <c r="BU1695" s="401">
        <v>403.80100000000004</v>
      </c>
      <c r="BV1695" s="401">
        <v>348.80100000000004</v>
      </c>
      <c r="BW1695" s="122"/>
    </row>
    <row r="1696" spans="1:75" s="123" customFormat="1" x14ac:dyDescent="0.5">
      <c r="A1696" s="184" t="s">
        <v>1482</v>
      </c>
      <c r="B1696" s="513"/>
      <c r="C1696" s="401"/>
      <c r="D1696" s="403">
        <v>47.1</v>
      </c>
      <c r="E1696" s="403">
        <v>47.1</v>
      </c>
      <c r="F1696" s="403">
        <v>47.41</v>
      </c>
      <c r="G1696" s="302">
        <v>47.41</v>
      </c>
      <c r="H1696" s="302">
        <v>47.41</v>
      </c>
      <c r="I1696" s="302">
        <v>47.41</v>
      </c>
      <c r="J1696" s="302">
        <v>47.41</v>
      </c>
      <c r="K1696" s="401">
        <v>47.41</v>
      </c>
      <c r="L1696" s="302">
        <v>47.41</v>
      </c>
      <c r="M1696" s="302">
        <v>47.661999999999999</v>
      </c>
      <c r="N1696" s="302">
        <v>47.832999999999998</v>
      </c>
      <c r="O1696" s="302">
        <v>47.863</v>
      </c>
      <c r="P1696" s="401">
        <v>47.863</v>
      </c>
      <c r="Q1696" s="302">
        <v>48.534999999999997</v>
      </c>
      <c r="R1696" s="302">
        <v>48.53</v>
      </c>
      <c r="S1696" s="302">
        <v>48.442</v>
      </c>
      <c r="T1696" s="119">
        <v>48.308999999999997</v>
      </c>
      <c r="U1696" s="403">
        <v>48.308999999999997</v>
      </c>
      <c r="V1696" s="302">
        <v>48.57</v>
      </c>
      <c r="W1696" s="302">
        <v>100.646</v>
      </c>
      <c r="X1696" s="302">
        <v>100.622</v>
      </c>
      <c r="Y1696" s="119">
        <v>100.624</v>
      </c>
      <c r="Z1696" s="403">
        <v>100.624</v>
      </c>
      <c r="AA1696" s="302">
        <v>100.73399999999999</v>
      </c>
      <c r="AB1696" s="302">
        <v>100.75</v>
      </c>
      <c r="AC1696" s="302">
        <v>100.726</v>
      </c>
      <c r="AD1696" s="119">
        <v>100.663</v>
      </c>
      <c r="AE1696" s="403">
        <v>100.663</v>
      </c>
      <c r="AF1696" s="302">
        <v>100.678</v>
      </c>
      <c r="AG1696" s="302">
        <v>100.663</v>
      </c>
      <c r="AH1696" s="302">
        <v>100.663</v>
      </c>
      <c r="AI1696" s="119">
        <v>86.022000000000006</v>
      </c>
      <c r="AJ1696" s="403">
        <v>86.022000000000006</v>
      </c>
      <c r="AK1696" s="302">
        <v>86.022000000000006</v>
      </c>
      <c r="AL1696" s="302">
        <v>86.022000000000006</v>
      </c>
      <c r="AM1696" s="302">
        <v>86.022000000000006</v>
      </c>
      <c r="AN1696" s="119">
        <v>86.022000000000006</v>
      </c>
      <c r="AO1696" s="403">
        <v>86.022000000000006</v>
      </c>
      <c r="AP1696" s="302">
        <v>65.563000000000002</v>
      </c>
      <c r="AQ1696" s="302">
        <v>66.863</v>
      </c>
      <c r="AR1696" s="302">
        <v>71.662999999999997</v>
      </c>
      <c r="AS1696" s="119">
        <v>71.662999999999997</v>
      </c>
      <c r="AT1696" s="403">
        <v>71.662999999999997</v>
      </c>
      <c r="AU1696" s="302">
        <v>72.236999999999995</v>
      </c>
      <c r="AV1696" s="302">
        <v>72.584000000000003</v>
      </c>
      <c r="AW1696" s="302">
        <v>72.906999999999996</v>
      </c>
      <c r="AX1696" s="119">
        <v>73.161000000000001</v>
      </c>
      <c r="AY1696" s="403">
        <v>73.161000000000001</v>
      </c>
      <c r="AZ1696" s="302">
        <v>73.488</v>
      </c>
      <c r="BA1696" s="302">
        <v>73.81</v>
      </c>
      <c r="BB1696" s="302">
        <v>74.269000000000005</v>
      </c>
      <c r="BC1696" s="119">
        <v>74.632999999999996</v>
      </c>
      <c r="BD1696" s="403">
        <v>74.632999999999996</v>
      </c>
      <c r="BE1696" s="302">
        <v>75.144000000000005</v>
      </c>
      <c r="BF1696" s="302">
        <v>75.471999999999994</v>
      </c>
      <c r="BG1696" s="302">
        <v>75.745999999999995</v>
      </c>
      <c r="BH1696" s="119">
        <v>75.927000000000007</v>
      </c>
      <c r="BI1696" s="514">
        <v>75.927000000000007</v>
      </c>
      <c r="BJ1696" s="118">
        <v>75.832091250000005</v>
      </c>
      <c r="BK1696" s="118">
        <v>75.7373011359375</v>
      </c>
      <c r="BL1696" s="118">
        <v>75.642629509517576</v>
      </c>
      <c r="BM1696" s="118">
        <v>75.548076222630684</v>
      </c>
      <c r="BN1696" s="401">
        <v>75.548076222630684</v>
      </c>
      <c r="BO1696" s="118">
        <v>75.453641127352398</v>
      </c>
      <c r="BP1696" s="118">
        <v>75.359324075943206</v>
      </c>
      <c r="BQ1696" s="118">
        <v>75.26512492084828</v>
      </c>
      <c r="BR1696" s="118">
        <v>75.171043514697217</v>
      </c>
      <c r="BS1696" s="401">
        <v>75.171043514697217</v>
      </c>
      <c r="BT1696" s="401">
        <v>74.79518829712373</v>
      </c>
      <c r="BU1696" s="401">
        <v>74.421212355638104</v>
      </c>
      <c r="BV1696" s="401">
        <v>74.049106293859907</v>
      </c>
      <c r="BW1696" s="122"/>
    </row>
    <row r="1697" spans="1:75" s="123" customFormat="1" x14ac:dyDescent="0.5">
      <c r="A1697" s="184" t="s">
        <v>1483</v>
      </c>
      <c r="B1697" s="513"/>
      <c r="C1697" s="401"/>
      <c r="D1697" s="403">
        <v>8.7929999999999993</v>
      </c>
      <c r="E1697" s="403">
        <v>5.4260000000000002</v>
      </c>
      <c r="F1697" s="403">
        <v>2.7130000000000001</v>
      </c>
      <c r="G1697" s="302">
        <v>2.1339999999999999</v>
      </c>
      <c r="H1697" s="302">
        <v>1.782</v>
      </c>
      <c r="I1697" s="302">
        <v>1.5409999999999999</v>
      </c>
      <c r="J1697" s="302">
        <v>1.298</v>
      </c>
      <c r="K1697" s="401">
        <v>1.298</v>
      </c>
      <c r="L1697" s="302">
        <v>1.335</v>
      </c>
      <c r="M1697" s="302">
        <v>1.071</v>
      </c>
      <c r="N1697" s="302">
        <v>0.85799999999999998</v>
      </c>
      <c r="O1697" s="302">
        <v>0.69099999999999995</v>
      </c>
      <c r="P1697" s="401">
        <v>0.69099999999999995</v>
      </c>
      <c r="Q1697" s="302">
        <v>0</v>
      </c>
      <c r="R1697" s="302">
        <v>0</v>
      </c>
      <c r="S1697" s="302">
        <v>0</v>
      </c>
      <c r="T1697" s="119">
        <v>0.22700000000000001</v>
      </c>
      <c r="U1697" s="403">
        <v>0.22700000000000001</v>
      </c>
      <c r="V1697" s="302">
        <v>0</v>
      </c>
      <c r="W1697" s="302">
        <v>0</v>
      </c>
      <c r="X1697" s="302">
        <v>0</v>
      </c>
      <c r="Y1697" s="119">
        <v>0.13300000000000001</v>
      </c>
      <c r="Z1697" s="403">
        <v>0.13300000000000001</v>
      </c>
      <c r="AA1697" s="119"/>
      <c r="AB1697" s="119"/>
      <c r="AC1697" s="119"/>
      <c r="AD1697" s="119">
        <v>3.9E-2</v>
      </c>
      <c r="AE1697" s="403">
        <v>3.9E-2</v>
      </c>
      <c r="AF1697" s="119"/>
      <c r="AG1697" s="119"/>
      <c r="AH1697" s="119"/>
      <c r="AI1697" s="119">
        <v>0</v>
      </c>
      <c r="AJ1697" s="401"/>
      <c r="AK1697" s="119"/>
      <c r="AL1697" s="119"/>
      <c r="AM1697" s="119"/>
      <c r="AN1697" s="119">
        <v>0</v>
      </c>
      <c r="AO1697" s="401"/>
      <c r="AP1697" s="119"/>
      <c r="AQ1697" s="119"/>
      <c r="AR1697" s="119"/>
      <c r="AS1697" s="119">
        <v>0</v>
      </c>
      <c r="AT1697" s="401"/>
      <c r="AU1697" s="119"/>
      <c r="AV1697" s="119"/>
      <c r="AW1697" s="119"/>
      <c r="AX1697" s="119">
        <v>0</v>
      </c>
      <c r="AY1697" s="401"/>
      <c r="AZ1697" s="119"/>
      <c r="BA1697" s="119"/>
      <c r="BB1697" s="119"/>
      <c r="BC1697" s="119">
        <v>0</v>
      </c>
      <c r="BD1697" s="401"/>
      <c r="BE1697" s="119"/>
      <c r="BF1697" s="119"/>
      <c r="BG1697" s="119"/>
      <c r="BH1697" s="119">
        <v>0</v>
      </c>
      <c r="BI1697" s="402"/>
      <c r="BJ1697" s="118">
        <v>0</v>
      </c>
      <c r="BK1697" s="118">
        <v>0</v>
      </c>
      <c r="BL1697" s="118">
        <v>0</v>
      </c>
      <c r="BM1697" s="118">
        <v>0</v>
      </c>
      <c r="BN1697" s="401">
        <v>0</v>
      </c>
      <c r="BO1697" s="118">
        <v>0</v>
      </c>
      <c r="BP1697" s="118">
        <v>0</v>
      </c>
      <c r="BQ1697" s="118">
        <v>0</v>
      </c>
      <c r="BR1697" s="118">
        <v>0</v>
      </c>
      <c r="BS1697" s="401">
        <v>0</v>
      </c>
      <c r="BT1697" s="401">
        <v>0</v>
      </c>
      <c r="BU1697" s="401">
        <v>0</v>
      </c>
      <c r="BV1697" s="401">
        <v>0</v>
      </c>
      <c r="BW1697" s="122"/>
    </row>
    <row r="1698" spans="1:75" s="123" customFormat="1" x14ac:dyDescent="0.5">
      <c r="A1698" s="184" t="s">
        <v>1484</v>
      </c>
      <c r="B1698" s="513"/>
      <c r="C1698" s="401"/>
      <c r="D1698" s="403">
        <v>0</v>
      </c>
      <c r="E1698" s="403">
        <v>0</v>
      </c>
      <c r="F1698" s="403">
        <v>6.8730000000000002</v>
      </c>
      <c r="G1698" s="302">
        <v>6.8680000000000003</v>
      </c>
      <c r="H1698" s="302">
        <v>19.988</v>
      </c>
      <c r="I1698" s="302">
        <v>19.741</v>
      </c>
      <c r="J1698" s="302">
        <v>16.98</v>
      </c>
      <c r="K1698" s="401">
        <v>16.98</v>
      </c>
      <c r="L1698" s="302">
        <v>16.984999999999999</v>
      </c>
      <c r="M1698" s="302">
        <v>18.071000000000002</v>
      </c>
      <c r="N1698" s="302">
        <v>17.702000000000002</v>
      </c>
      <c r="O1698" s="302">
        <v>8.6890000000000001</v>
      </c>
      <c r="P1698" s="401">
        <v>8.6890000000000001</v>
      </c>
      <c r="Q1698" s="302">
        <v>8.6539999999999999</v>
      </c>
      <c r="R1698" s="302">
        <v>8.3629999999999995</v>
      </c>
      <c r="S1698" s="302">
        <v>3.6259999999999999</v>
      </c>
      <c r="T1698" s="119">
        <v>36.738999999999997</v>
      </c>
      <c r="U1698" s="403">
        <v>36.738999999999997</v>
      </c>
      <c r="V1698" s="302">
        <v>36.975999999999999</v>
      </c>
      <c r="W1698" s="302">
        <v>25.431000000000001</v>
      </c>
      <c r="X1698" s="302">
        <v>25.646999999999998</v>
      </c>
      <c r="Y1698" s="119">
        <v>28.466000000000001</v>
      </c>
      <c r="Z1698" s="403">
        <v>28.466000000000001</v>
      </c>
      <c r="AA1698" s="302">
        <v>28.815000000000001</v>
      </c>
      <c r="AB1698" s="302">
        <v>29.393999999999998</v>
      </c>
      <c r="AC1698" s="302">
        <v>29.213999999999999</v>
      </c>
      <c r="AD1698" s="119">
        <v>23.311</v>
      </c>
      <c r="AE1698" s="403">
        <v>23.311</v>
      </c>
      <c r="AF1698" s="302">
        <v>30.013999999999999</v>
      </c>
      <c r="AG1698" s="302">
        <v>29.437000000000001</v>
      </c>
      <c r="AH1698" s="302">
        <v>29.048999999999999</v>
      </c>
      <c r="AI1698" s="119">
        <v>30.033000000000001</v>
      </c>
      <c r="AJ1698" s="403">
        <v>30.033000000000001</v>
      </c>
      <c r="AK1698" s="302">
        <v>35.752000000000002</v>
      </c>
      <c r="AL1698" s="302">
        <v>35.945999999999998</v>
      </c>
      <c r="AM1698" s="302">
        <v>36.506</v>
      </c>
      <c r="AN1698" s="119">
        <v>45.005000000000003</v>
      </c>
      <c r="AO1698" s="403">
        <v>45.005000000000003</v>
      </c>
      <c r="AP1698" s="302">
        <v>38.875</v>
      </c>
      <c r="AQ1698" s="302">
        <v>39.012999999999998</v>
      </c>
      <c r="AR1698" s="302">
        <v>38.838999999999999</v>
      </c>
      <c r="AS1698" s="119">
        <v>49.923999999999999</v>
      </c>
      <c r="AT1698" s="403">
        <v>49.923999999999999</v>
      </c>
      <c r="AU1698" s="302">
        <v>49.869</v>
      </c>
      <c r="AV1698" s="302">
        <v>50.046999999999997</v>
      </c>
      <c r="AW1698" s="302">
        <v>49.87</v>
      </c>
      <c r="AX1698" s="119">
        <v>56.843000000000004</v>
      </c>
      <c r="AY1698" s="403">
        <v>56.843000000000004</v>
      </c>
      <c r="AZ1698" s="302">
        <v>63.256</v>
      </c>
      <c r="BA1698" s="302">
        <v>63.256999999999998</v>
      </c>
      <c r="BB1698" s="302">
        <v>63.104999999999997</v>
      </c>
      <c r="BC1698" s="119">
        <v>167.03899999999999</v>
      </c>
      <c r="BD1698" s="403">
        <v>167.03899999999999</v>
      </c>
      <c r="BE1698" s="302">
        <v>150.53899999999999</v>
      </c>
      <c r="BF1698" s="302">
        <v>123.405</v>
      </c>
      <c r="BG1698" s="302">
        <v>126.09399999999999</v>
      </c>
      <c r="BH1698" s="119">
        <v>143.98599999999999</v>
      </c>
      <c r="BI1698" s="514">
        <v>143.98599999999999</v>
      </c>
      <c r="BJ1698" s="118">
        <v>143.98599999999999</v>
      </c>
      <c r="BK1698" s="118">
        <v>143.98599999999999</v>
      </c>
      <c r="BL1698" s="118">
        <v>143.98599999999999</v>
      </c>
      <c r="BM1698" s="118">
        <v>143.98599999999999</v>
      </c>
      <c r="BN1698" s="401">
        <v>143.98599999999999</v>
      </c>
      <c r="BO1698" s="118">
        <v>143.98599999999999</v>
      </c>
      <c r="BP1698" s="118">
        <v>143.98599999999999</v>
      </c>
      <c r="BQ1698" s="118">
        <v>143.98599999999999</v>
      </c>
      <c r="BR1698" s="118">
        <v>143.98599999999999</v>
      </c>
      <c r="BS1698" s="401">
        <v>143.98599999999999</v>
      </c>
      <c r="BT1698" s="401">
        <v>143.98599999999999</v>
      </c>
      <c r="BU1698" s="401">
        <v>143.98599999999999</v>
      </c>
      <c r="BV1698" s="401">
        <v>143.98599999999999</v>
      </c>
      <c r="BW1698" s="122"/>
    </row>
    <row r="1699" spans="1:75" s="123" customFormat="1" x14ac:dyDescent="0.5">
      <c r="A1699" s="184" t="s">
        <v>1384</v>
      </c>
      <c r="B1699" s="513"/>
      <c r="C1699" s="401"/>
      <c r="D1699" s="401"/>
      <c r="E1699" s="401"/>
      <c r="F1699" s="401"/>
      <c r="G1699" s="119"/>
      <c r="H1699" s="119"/>
      <c r="I1699" s="119"/>
      <c r="J1699" s="119"/>
      <c r="K1699" s="401"/>
      <c r="L1699" s="119"/>
      <c r="M1699" s="119"/>
      <c r="N1699" s="119"/>
      <c r="O1699" s="119"/>
      <c r="P1699" s="401"/>
      <c r="Q1699" s="119"/>
      <c r="R1699" s="119"/>
      <c r="S1699" s="119"/>
      <c r="T1699" s="119"/>
      <c r="U1699" s="401"/>
      <c r="V1699" s="119"/>
      <c r="W1699" s="119"/>
      <c r="X1699" s="119"/>
      <c r="Y1699" s="119"/>
      <c r="Z1699" s="401"/>
      <c r="AA1699" s="119"/>
      <c r="AB1699" s="119"/>
      <c r="AC1699" s="119"/>
      <c r="AD1699" s="119"/>
      <c r="AE1699" s="401"/>
      <c r="AF1699" s="119"/>
      <c r="AG1699" s="119"/>
      <c r="AH1699" s="119"/>
      <c r="AI1699" s="119"/>
      <c r="AJ1699" s="401"/>
      <c r="AK1699" s="119"/>
      <c r="AL1699" s="119"/>
      <c r="AM1699" s="119"/>
      <c r="AN1699" s="119"/>
      <c r="AO1699" s="401"/>
      <c r="AP1699" s="119"/>
      <c r="AQ1699" s="119"/>
      <c r="AR1699" s="119"/>
      <c r="AS1699" s="119">
        <v>100.60299999999999</v>
      </c>
      <c r="AT1699" s="403">
        <v>100.60299999999999</v>
      </c>
      <c r="AU1699" s="302">
        <v>99.131</v>
      </c>
      <c r="AV1699" s="302">
        <v>97.412000000000006</v>
      </c>
      <c r="AW1699" s="302">
        <v>97.975999999999999</v>
      </c>
      <c r="AX1699" s="119">
        <v>100.81</v>
      </c>
      <c r="AY1699" s="403">
        <v>100.81</v>
      </c>
      <c r="AZ1699" s="302">
        <v>100.55</v>
      </c>
      <c r="BA1699" s="302">
        <v>98.135000000000005</v>
      </c>
      <c r="BB1699" s="302">
        <v>97.004999999999995</v>
      </c>
      <c r="BC1699" s="119">
        <v>101.468</v>
      </c>
      <c r="BD1699" s="403">
        <v>101.468</v>
      </c>
      <c r="BE1699" s="302">
        <v>132.99700000000001</v>
      </c>
      <c r="BF1699" s="302">
        <v>130.21100000000001</v>
      </c>
      <c r="BG1699" s="302">
        <v>128.11199999999999</v>
      </c>
      <c r="BH1699" s="119">
        <v>128.66800000000001</v>
      </c>
      <c r="BI1699" s="514">
        <v>128.66800000000001</v>
      </c>
      <c r="BJ1699" s="118">
        <v>128.66800000000001</v>
      </c>
      <c r="BK1699" s="118">
        <v>128.66800000000001</v>
      </c>
      <c r="BL1699" s="118">
        <v>128.66800000000001</v>
      </c>
      <c r="BM1699" s="118">
        <v>128.66800000000001</v>
      </c>
      <c r="BN1699" s="401">
        <v>128.66800000000001</v>
      </c>
      <c r="BO1699" s="118">
        <v>128.66800000000001</v>
      </c>
      <c r="BP1699" s="118">
        <v>128.66800000000001</v>
      </c>
      <c r="BQ1699" s="118">
        <v>128.66800000000001</v>
      </c>
      <c r="BR1699" s="118">
        <v>128.66800000000001</v>
      </c>
      <c r="BS1699" s="401">
        <v>128.66800000000001</v>
      </c>
      <c r="BT1699" s="401">
        <v>128.66800000000001</v>
      </c>
      <c r="BU1699" s="401">
        <v>128.66800000000001</v>
      </c>
      <c r="BV1699" s="401">
        <v>128.66800000000001</v>
      </c>
      <c r="BW1699" s="122"/>
    </row>
    <row r="1700" spans="1:75" s="123" customFormat="1" x14ac:dyDescent="0.5">
      <c r="A1700" s="445" t="s">
        <v>1485</v>
      </c>
      <c r="B1700" s="677"/>
      <c r="C1700" s="406"/>
      <c r="D1700" s="408">
        <v>2.452</v>
      </c>
      <c r="E1700" s="408">
        <v>5.2530000000000001</v>
      </c>
      <c r="F1700" s="408">
        <v>5.8520000000000003</v>
      </c>
      <c r="G1700" s="357">
        <v>6.1</v>
      </c>
      <c r="H1700" s="357">
        <v>6.2350000000000003</v>
      </c>
      <c r="I1700" s="357">
        <v>7.2460000000000004</v>
      </c>
      <c r="J1700" s="357">
        <v>8.2669999999999995</v>
      </c>
      <c r="K1700" s="406">
        <v>8.2669999999999995</v>
      </c>
      <c r="L1700" s="357">
        <v>6.88</v>
      </c>
      <c r="M1700" s="357">
        <v>11.484999999999999</v>
      </c>
      <c r="N1700" s="357">
        <v>11.087999999999999</v>
      </c>
      <c r="O1700" s="357">
        <v>22.905999999999999</v>
      </c>
      <c r="P1700" s="406">
        <v>22.905999999999999</v>
      </c>
      <c r="Q1700" s="357">
        <v>18.858000000000001</v>
      </c>
      <c r="R1700" s="357">
        <v>17.489999999999998</v>
      </c>
      <c r="S1700" s="357">
        <v>26.347999999999999</v>
      </c>
      <c r="T1700" s="312">
        <v>27.56</v>
      </c>
      <c r="U1700" s="408">
        <v>27.56</v>
      </c>
      <c r="V1700" s="357">
        <v>27.302</v>
      </c>
      <c r="W1700" s="357">
        <v>27.632999999999999</v>
      </c>
      <c r="X1700" s="357">
        <v>24.657</v>
      </c>
      <c r="Y1700" s="312">
        <v>36.168999999999997</v>
      </c>
      <c r="Z1700" s="408">
        <v>36.168999999999997</v>
      </c>
      <c r="AA1700" s="357">
        <v>27.268000000000001</v>
      </c>
      <c r="AB1700" s="357">
        <v>27.097000000000001</v>
      </c>
      <c r="AC1700" s="357">
        <v>28.757999999999999</v>
      </c>
      <c r="AD1700" s="312">
        <v>21.332000000000001</v>
      </c>
      <c r="AE1700" s="408">
        <v>21.332000000000001</v>
      </c>
      <c r="AF1700" s="357">
        <v>14.92</v>
      </c>
      <c r="AG1700" s="357">
        <v>16.437999999999999</v>
      </c>
      <c r="AH1700" s="357">
        <v>21.521000000000001</v>
      </c>
      <c r="AI1700" s="312">
        <v>19.344999999999999</v>
      </c>
      <c r="AJ1700" s="408">
        <v>19.344999999999999</v>
      </c>
      <c r="AK1700" s="357">
        <v>91.29</v>
      </c>
      <c r="AL1700" s="357">
        <v>112.253</v>
      </c>
      <c r="AM1700" s="357">
        <v>170.62799999999999</v>
      </c>
      <c r="AN1700" s="312">
        <v>214.845</v>
      </c>
      <c r="AO1700" s="408">
        <v>214.845</v>
      </c>
      <c r="AP1700" s="357">
        <v>228.77199999999999</v>
      </c>
      <c r="AQ1700" s="357">
        <v>196.80099999999999</v>
      </c>
      <c r="AR1700" s="357">
        <v>240.941</v>
      </c>
      <c r="AS1700" s="312">
        <v>200.17699999999999</v>
      </c>
      <c r="AT1700" s="408">
        <v>200.17699999999999</v>
      </c>
      <c r="AU1700" s="357">
        <v>240.011</v>
      </c>
      <c r="AV1700" s="357">
        <v>282.82600000000002</v>
      </c>
      <c r="AW1700" s="357">
        <v>296.226</v>
      </c>
      <c r="AX1700" s="312">
        <v>298.149</v>
      </c>
      <c r="AY1700" s="408">
        <v>298.149</v>
      </c>
      <c r="AZ1700" s="357">
        <v>208.62899999999999</v>
      </c>
      <c r="BA1700" s="357">
        <v>108.553</v>
      </c>
      <c r="BB1700" s="357">
        <v>127.506</v>
      </c>
      <c r="BC1700" s="119">
        <v>149.20699999999999</v>
      </c>
      <c r="BD1700" s="408">
        <v>149.20699999999999</v>
      </c>
      <c r="BE1700" s="357">
        <v>175.67400000000001</v>
      </c>
      <c r="BF1700" s="357">
        <v>198.74799999999999</v>
      </c>
      <c r="BG1700" s="357">
        <v>200.73599999999999</v>
      </c>
      <c r="BH1700" s="119">
        <v>240.72200000000001</v>
      </c>
      <c r="BI1700" s="515">
        <v>240.72200000000001</v>
      </c>
      <c r="BJ1700" s="312">
        <v>240.72200000000001</v>
      </c>
      <c r="BK1700" s="312">
        <v>240.72200000000001</v>
      </c>
      <c r="BL1700" s="312">
        <v>240.72200000000001</v>
      </c>
      <c r="BM1700" s="312">
        <v>240.72200000000001</v>
      </c>
      <c r="BN1700" s="406">
        <v>240.72200000000001</v>
      </c>
      <c r="BO1700" s="312">
        <v>240.72200000000001</v>
      </c>
      <c r="BP1700" s="312">
        <v>240.72200000000001</v>
      </c>
      <c r="BQ1700" s="312">
        <v>240.72200000000001</v>
      </c>
      <c r="BR1700" s="312">
        <v>240.72200000000001</v>
      </c>
      <c r="BS1700" s="406">
        <v>240.72200000000001</v>
      </c>
      <c r="BT1700" s="406">
        <v>240.72200000000001</v>
      </c>
      <c r="BU1700" s="406">
        <v>240.72200000000001</v>
      </c>
      <c r="BV1700" s="406">
        <v>240.72200000000001</v>
      </c>
      <c r="BW1700" s="122"/>
    </row>
    <row r="1701" spans="1:75" s="198" customFormat="1" ht="14.25" x14ac:dyDescent="0.45">
      <c r="A1701" s="192" t="s">
        <v>1486</v>
      </c>
      <c r="B1701" s="517"/>
      <c r="C1701" s="518"/>
      <c r="D1701" s="518">
        <v>257.39800000000002</v>
      </c>
      <c r="E1701" s="518">
        <v>263.93200000000002</v>
      </c>
      <c r="F1701" s="518">
        <v>296.85500000000002</v>
      </c>
      <c r="G1701" s="327">
        <v>308.18400000000003</v>
      </c>
      <c r="H1701" s="327">
        <v>351.96100000000001</v>
      </c>
      <c r="I1701" s="327">
        <v>388.53599999999989</v>
      </c>
      <c r="J1701" s="327">
        <v>411.28799999999995</v>
      </c>
      <c r="K1701" s="518">
        <v>411.28799999999995</v>
      </c>
      <c r="L1701" s="327">
        <v>438.29</v>
      </c>
      <c r="M1701" s="327">
        <v>464.79500000000007</v>
      </c>
      <c r="N1701" s="327">
        <v>534.06100000000004</v>
      </c>
      <c r="O1701" s="327">
        <v>613.755</v>
      </c>
      <c r="P1701" s="518">
        <v>613.755</v>
      </c>
      <c r="Q1701" s="327">
        <v>667.92</v>
      </c>
      <c r="R1701" s="327">
        <v>702.22800000000007</v>
      </c>
      <c r="S1701" s="327">
        <v>761.39699999999993</v>
      </c>
      <c r="T1701" s="327">
        <v>774.79499999999996</v>
      </c>
      <c r="U1701" s="518">
        <v>774.79499999999996</v>
      </c>
      <c r="V1701" s="327">
        <v>806.57300000000021</v>
      </c>
      <c r="W1701" s="327">
        <v>939.47699999999998</v>
      </c>
      <c r="X1701" s="327">
        <v>1004.4970000000001</v>
      </c>
      <c r="Y1701" s="327">
        <v>1054.2630000000001</v>
      </c>
      <c r="Z1701" s="518">
        <v>1054.2630000000001</v>
      </c>
      <c r="AA1701" s="327">
        <v>1033.7160000000001</v>
      </c>
      <c r="AB1701" s="327">
        <v>1077.2929999999999</v>
      </c>
      <c r="AC1701" s="327">
        <v>1112.5710000000001</v>
      </c>
      <c r="AD1701" s="327">
        <v>1087.9359999999999</v>
      </c>
      <c r="AE1701" s="518">
        <v>1087.9359999999999</v>
      </c>
      <c r="AF1701" s="327">
        <v>1098.8300000000002</v>
      </c>
      <c r="AG1701" s="327">
        <v>1121.605</v>
      </c>
      <c r="AH1701" s="327">
        <v>1149.287</v>
      </c>
      <c r="AI1701" s="327">
        <v>1123.3409999999999</v>
      </c>
      <c r="AJ1701" s="518">
        <v>1123.3409999999999</v>
      </c>
      <c r="AK1701" s="327">
        <v>1723.7669999999998</v>
      </c>
      <c r="AL1701" s="327">
        <v>1730.1859999999997</v>
      </c>
      <c r="AM1701" s="327">
        <v>1802.5340000000001</v>
      </c>
      <c r="AN1701" s="327">
        <v>1848.7420000000002</v>
      </c>
      <c r="AO1701" s="518">
        <v>1848.7420000000002</v>
      </c>
      <c r="AP1701" s="327">
        <v>1804.172</v>
      </c>
      <c r="AQ1701" s="327">
        <v>1884.9699999999998</v>
      </c>
      <c r="AR1701" s="327">
        <v>1944.3500000000001</v>
      </c>
      <c r="AS1701" s="327">
        <v>2096.8290000000002</v>
      </c>
      <c r="AT1701" s="518">
        <v>2096.8290000000002</v>
      </c>
      <c r="AU1701" s="327">
        <v>2247.9090000000001</v>
      </c>
      <c r="AV1701" s="327">
        <v>2329.3360000000002</v>
      </c>
      <c r="AW1701" s="327">
        <v>2406.1860000000001</v>
      </c>
      <c r="AX1701" s="327">
        <v>2449.0279999999998</v>
      </c>
      <c r="AY1701" s="518">
        <v>2449.0279999999998</v>
      </c>
      <c r="AZ1701" s="327">
        <v>2488.8760000000002</v>
      </c>
      <c r="BA1701" s="327">
        <v>2580.1289999999999</v>
      </c>
      <c r="BB1701" s="327">
        <v>2617.2579999999998</v>
      </c>
      <c r="BC1701" s="327">
        <v>2796.6249999999995</v>
      </c>
      <c r="BD1701" s="518">
        <v>2796.6249999999995</v>
      </c>
      <c r="BE1701" s="327">
        <v>2843.9859999999994</v>
      </c>
      <c r="BF1701" s="327">
        <v>2856.3050000000007</v>
      </c>
      <c r="BG1701" s="327">
        <v>2953.739</v>
      </c>
      <c r="BH1701" s="327">
        <v>3041.9950000000003</v>
      </c>
      <c r="BI1701" s="525">
        <v>3041.9950000000003</v>
      </c>
      <c r="BJ1701" s="327">
        <v>3058.93418875</v>
      </c>
      <c r="BK1701" s="327">
        <v>3075.5243625390622</v>
      </c>
      <c r="BL1701" s="327">
        <v>3091.7694489718574</v>
      </c>
      <c r="BM1701" s="327">
        <v>3107.6733314660191</v>
      </c>
      <c r="BN1701" s="518">
        <v>3107.6733314660191</v>
      </c>
      <c r="BO1701" s="327">
        <v>3123.2398497492532</v>
      </c>
      <c r="BP1701" s="327">
        <v>3138.4728003508476</v>
      </c>
      <c r="BQ1701" s="327">
        <v>3153.3759370876601</v>
      </c>
      <c r="BR1701" s="327">
        <v>3167.9529715446324</v>
      </c>
      <c r="BS1701" s="518">
        <v>3167.9529715446324</v>
      </c>
      <c r="BT1701" s="518">
        <v>3225.9713795657112</v>
      </c>
      <c r="BU1701" s="518">
        <v>3278.8889250171392</v>
      </c>
      <c r="BV1701" s="518">
        <v>3326.9352218855934</v>
      </c>
      <c r="BW1701" s="197"/>
    </row>
    <row r="1702" spans="1:75" s="198" customFormat="1" ht="14.25" x14ac:dyDescent="0.45">
      <c r="A1702" s="206" t="s">
        <v>1487</v>
      </c>
      <c r="B1702" s="522"/>
      <c r="C1702" s="397"/>
      <c r="D1702" s="397">
        <v>501.99099999999999</v>
      </c>
      <c r="E1702" s="397">
        <v>586.80999999999995</v>
      </c>
      <c r="F1702" s="397">
        <v>789.61300000000006</v>
      </c>
      <c r="G1702" s="295">
        <v>859.62200000000007</v>
      </c>
      <c r="H1702" s="295">
        <v>929.36400000000003</v>
      </c>
      <c r="I1702" s="295">
        <v>992.09799999999996</v>
      </c>
      <c r="J1702" s="295">
        <v>1025.1030000000001</v>
      </c>
      <c r="K1702" s="397">
        <v>1025.1030000000001</v>
      </c>
      <c r="L1702" s="295">
        <v>1099.9559999999999</v>
      </c>
      <c r="M1702" s="295">
        <v>1366.7280000000001</v>
      </c>
      <c r="N1702" s="295">
        <v>1452.3229999999999</v>
      </c>
      <c r="O1702" s="295">
        <v>1525.999</v>
      </c>
      <c r="P1702" s="397">
        <v>1525.999</v>
      </c>
      <c r="Q1702" s="295">
        <v>1602.3019999999999</v>
      </c>
      <c r="R1702" s="295">
        <v>1996.9880000000001</v>
      </c>
      <c r="S1702" s="295">
        <v>2059.1099999999997</v>
      </c>
      <c r="T1702" s="295">
        <v>2088.4720000000002</v>
      </c>
      <c r="U1702" s="397">
        <v>2088.4720000000002</v>
      </c>
      <c r="V1702" s="295">
        <v>2051.0080000000003</v>
      </c>
      <c r="W1702" s="295">
        <v>2088.6410000000001</v>
      </c>
      <c r="X1702" s="295">
        <v>2156.3010000000004</v>
      </c>
      <c r="Y1702" s="295">
        <v>2192.52</v>
      </c>
      <c r="Z1702" s="397">
        <v>2192.52</v>
      </c>
      <c r="AA1702" s="295">
        <v>1948.386</v>
      </c>
      <c r="AB1702" s="295">
        <v>1819.4089999999999</v>
      </c>
      <c r="AC1702" s="295">
        <v>1801.5660000000003</v>
      </c>
      <c r="AD1702" s="295">
        <v>1732.866</v>
      </c>
      <c r="AE1702" s="397">
        <v>1732.866</v>
      </c>
      <c r="AF1702" s="295">
        <v>1748.9610000000002</v>
      </c>
      <c r="AG1702" s="295">
        <v>1814.107</v>
      </c>
      <c r="AH1702" s="295">
        <v>1843.325</v>
      </c>
      <c r="AI1702" s="295">
        <v>1806.0339999999999</v>
      </c>
      <c r="AJ1702" s="397">
        <v>1806.0339999999999</v>
      </c>
      <c r="AK1702" s="295">
        <v>2545.8319999999999</v>
      </c>
      <c r="AL1702" s="295">
        <v>2387.8079999999995</v>
      </c>
      <c r="AM1702" s="295">
        <v>2362.0129999999999</v>
      </c>
      <c r="AN1702" s="295">
        <v>2445.6940000000004</v>
      </c>
      <c r="AO1702" s="397">
        <v>2445.6940000000004</v>
      </c>
      <c r="AP1702" s="295">
        <v>2429.893</v>
      </c>
      <c r="AQ1702" s="295">
        <v>2506.4089999999997</v>
      </c>
      <c r="AR1702" s="295">
        <v>2679.25</v>
      </c>
      <c r="AS1702" s="295">
        <v>2898.3130000000001</v>
      </c>
      <c r="AT1702" s="397">
        <v>2898.3130000000001</v>
      </c>
      <c r="AU1702" s="295">
        <v>3237.317</v>
      </c>
      <c r="AV1702" s="295">
        <v>3467.152</v>
      </c>
      <c r="AW1702" s="295">
        <v>5420.0249999999996</v>
      </c>
      <c r="AX1702" s="295">
        <v>5540.47</v>
      </c>
      <c r="AY1702" s="397">
        <v>5540.47</v>
      </c>
      <c r="AZ1702" s="295">
        <v>5887.9369999999999</v>
      </c>
      <c r="BA1702" s="295">
        <v>5831.4470000000001</v>
      </c>
      <c r="BB1702" s="295">
        <v>5883.7150000000001</v>
      </c>
      <c r="BC1702" s="295">
        <v>5309.2889999999989</v>
      </c>
      <c r="BD1702" s="397">
        <v>5309.2889999999989</v>
      </c>
      <c r="BE1702" s="295">
        <v>5319.83</v>
      </c>
      <c r="BF1702" s="295">
        <v>4212.831000000001</v>
      </c>
      <c r="BG1702" s="295">
        <v>4240.6189999999997</v>
      </c>
      <c r="BH1702" s="295">
        <v>4143.8970000000008</v>
      </c>
      <c r="BI1702" s="399">
        <v>4143.8970000000008</v>
      </c>
      <c r="BJ1702" s="295">
        <v>4087.6814525177269</v>
      </c>
      <c r="BK1702" s="295">
        <v>4155.5580690480883</v>
      </c>
      <c r="BL1702" s="295">
        <v>4217.5246324983309</v>
      </c>
      <c r="BM1702" s="295">
        <v>4266.1104081206659</v>
      </c>
      <c r="BN1702" s="397">
        <v>4266.1104081206659</v>
      </c>
      <c r="BO1702" s="295">
        <v>4315.5703630427415</v>
      </c>
      <c r="BP1702" s="295">
        <v>4427.643472211972</v>
      </c>
      <c r="BQ1702" s="295">
        <v>4513.9554146658711</v>
      </c>
      <c r="BR1702" s="295">
        <v>4586.3244477265089</v>
      </c>
      <c r="BS1702" s="397">
        <v>4586.3244477265089</v>
      </c>
      <c r="BT1702" s="397">
        <v>4923.693519229003</v>
      </c>
      <c r="BU1702" s="397">
        <v>5305.7729434470994</v>
      </c>
      <c r="BV1702" s="397">
        <v>5736.4685818028811</v>
      </c>
      <c r="BW1702" s="197"/>
    </row>
    <row r="1703" spans="1:75" s="198" customFormat="1" ht="14.25" x14ac:dyDescent="0.45">
      <c r="A1703" s="206"/>
      <c r="B1703" s="522"/>
      <c r="C1703" s="397"/>
      <c r="D1703" s="397"/>
      <c r="E1703" s="397"/>
      <c r="F1703" s="397"/>
      <c r="G1703" s="295"/>
      <c r="H1703" s="295"/>
      <c r="I1703" s="295"/>
      <c r="J1703" s="295"/>
      <c r="K1703" s="397"/>
      <c r="L1703" s="295"/>
      <c r="M1703" s="295"/>
      <c r="N1703" s="295"/>
      <c r="O1703" s="295"/>
      <c r="P1703" s="397"/>
      <c r="Q1703" s="295"/>
      <c r="R1703" s="295"/>
      <c r="S1703" s="295"/>
      <c r="T1703" s="295"/>
      <c r="U1703" s="397"/>
      <c r="V1703" s="295"/>
      <c r="W1703" s="295"/>
      <c r="X1703" s="295"/>
      <c r="Y1703" s="295"/>
      <c r="Z1703" s="397"/>
      <c r="AA1703" s="295"/>
      <c r="AB1703" s="295"/>
      <c r="AC1703" s="295"/>
      <c r="AD1703" s="295"/>
      <c r="AE1703" s="397"/>
      <c r="AF1703" s="295"/>
      <c r="AG1703" s="295"/>
      <c r="AH1703" s="295"/>
      <c r="AI1703" s="295"/>
      <c r="AJ1703" s="397"/>
      <c r="AK1703" s="295"/>
      <c r="AL1703" s="295"/>
      <c r="AM1703" s="295"/>
      <c r="AN1703" s="295"/>
      <c r="AO1703" s="397"/>
      <c r="AP1703" s="295"/>
      <c r="AQ1703" s="295"/>
      <c r="AR1703" s="295"/>
      <c r="AS1703" s="295"/>
      <c r="AT1703" s="397"/>
      <c r="AU1703" s="295"/>
      <c r="AV1703" s="295"/>
      <c r="AW1703" s="295"/>
      <c r="AX1703" s="295"/>
      <c r="AY1703" s="397"/>
      <c r="AZ1703" s="295"/>
      <c r="BA1703" s="295"/>
      <c r="BB1703" s="295"/>
      <c r="BC1703" s="295"/>
      <c r="BD1703" s="397"/>
      <c r="BE1703" s="295"/>
      <c r="BF1703" s="295"/>
      <c r="BG1703" s="295"/>
      <c r="BH1703" s="295"/>
      <c r="BI1703" s="399"/>
      <c r="BJ1703" s="295"/>
      <c r="BK1703" s="295"/>
      <c r="BL1703" s="295"/>
      <c r="BM1703" s="295"/>
      <c r="BN1703" s="397"/>
      <c r="BO1703" s="295"/>
      <c r="BP1703" s="295"/>
      <c r="BQ1703" s="295"/>
      <c r="BR1703" s="295"/>
      <c r="BS1703" s="397"/>
      <c r="BT1703" s="397"/>
      <c r="BU1703" s="397"/>
      <c r="BV1703" s="397"/>
      <c r="BW1703" s="197"/>
    </row>
    <row r="1704" spans="1:75" s="198" customFormat="1" ht="14.25" x14ac:dyDescent="0.45">
      <c r="A1704" s="206" t="s">
        <v>1488</v>
      </c>
      <c r="B1704" s="522"/>
      <c r="C1704" s="397"/>
      <c r="D1704" s="397"/>
      <c r="E1704" s="397"/>
      <c r="F1704" s="397"/>
      <c r="G1704" s="295"/>
      <c r="H1704" s="295"/>
      <c r="I1704" s="295"/>
      <c r="J1704" s="295"/>
      <c r="K1704" s="397"/>
      <c r="L1704" s="295"/>
      <c r="M1704" s="295"/>
      <c r="N1704" s="295"/>
      <c r="O1704" s="295"/>
      <c r="P1704" s="397"/>
      <c r="Q1704" s="295"/>
      <c r="R1704" s="295"/>
      <c r="S1704" s="295"/>
      <c r="T1704" s="295"/>
      <c r="U1704" s="397"/>
      <c r="V1704" s="295"/>
      <c r="W1704" s="295"/>
      <c r="X1704" s="295"/>
      <c r="Y1704" s="295"/>
      <c r="Z1704" s="397"/>
      <c r="AA1704" s="295"/>
      <c r="AB1704" s="295"/>
      <c r="AC1704" s="295"/>
      <c r="AD1704" s="295"/>
      <c r="AE1704" s="397"/>
      <c r="AF1704" s="295"/>
      <c r="AG1704" s="295"/>
      <c r="AH1704" s="295"/>
      <c r="AI1704" s="295"/>
      <c r="AJ1704" s="397"/>
      <c r="AK1704" s="295"/>
      <c r="AL1704" s="295"/>
      <c r="AM1704" s="295"/>
      <c r="AN1704" s="295"/>
      <c r="AO1704" s="397"/>
      <c r="AP1704" s="295"/>
      <c r="AQ1704" s="295"/>
      <c r="AR1704" s="295"/>
      <c r="AS1704" s="295"/>
      <c r="AT1704" s="397"/>
      <c r="AU1704" s="295"/>
      <c r="AV1704" s="295"/>
      <c r="AW1704" s="295"/>
      <c r="AX1704" s="295"/>
      <c r="AY1704" s="397"/>
      <c r="AZ1704" s="295"/>
      <c r="BA1704" s="295"/>
      <c r="BB1704" s="295"/>
      <c r="BC1704" s="295"/>
      <c r="BD1704" s="397"/>
      <c r="BE1704" s="295"/>
      <c r="BF1704" s="295"/>
      <c r="BG1704" s="295"/>
      <c r="BH1704" s="295"/>
      <c r="BI1704" s="399"/>
      <c r="BJ1704" s="295"/>
      <c r="BK1704" s="295"/>
      <c r="BL1704" s="295"/>
      <c r="BM1704" s="295"/>
      <c r="BN1704" s="397"/>
      <c r="BO1704" s="295"/>
      <c r="BP1704" s="295"/>
      <c r="BQ1704" s="295"/>
      <c r="BR1704" s="295"/>
      <c r="BS1704" s="397"/>
      <c r="BT1704" s="397"/>
      <c r="BU1704" s="397"/>
      <c r="BV1704" s="397"/>
      <c r="BW1704" s="197"/>
    </row>
    <row r="1705" spans="1:75" s="123" customFormat="1" hidden="1" outlineLevel="1" x14ac:dyDescent="0.5">
      <c r="A1705" s="496" t="s">
        <v>1489</v>
      </c>
      <c r="B1705" s="513"/>
      <c r="C1705" s="401"/>
      <c r="D1705" s="403">
        <v>50.564999999999998</v>
      </c>
      <c r="E1705" s="403">
        <v>47.44</v>
      </c>
      <c r="F1705" s="403">
        <v>81.608000000000004</v>
      </c>
      <c r="G1705" s="302">
        <v>74.712000000000003</v>
      </c>
      <c r="H1705" s="302">
        <v>122.58499999999999</v>
      </c>
      <c r="I1705" s="302">
        <v>123.143</v>
      </c>
      <c r="J1705" s="119">
        <v>116.306</v>
      </c>
      <c r="K1705" s="403">
        <v>116.306</v>
      </c>
      <c r="L1705" s="119"/>
      <c r="M1705" s="302">
        <v>143.696</v>
      </c>
      <c r="N1705" s="302">
        <v>149.44499999999999</v>
      </c>
      <c r="O1705" s="119">
        <v>133.06299999999999</v>
      </c>
      <c r="P1705" s="403">
        <v>133.06299999999999</v>
      </c>
      <c r="Q1705" s="302">
        <v>146.39099999999999</v>
      </c>
      <c r="R1705" s="302">
        <v>189.964</v>
      </c>
      <c r="S1705" s="302">
        <v>188.233</v>
      </c>
      <c r="T1705" s="119">
        <v>175.024</v>
      </c>
      <c r="U1705" s="403">
        <v>175.024</v>
      </c>
      <c r="V1705" s="302">
        <v>148.535</v>
      </c>
      <c r="W1705" s="302">
        <v>130.917</v>
      </c>
      <c r="X1705" s="302">
        <v>121.517</v>
      </c>
      <c r="Y1705" s="119">
        <v>134.72</v>
      </c>
      <c r="Z1705" s="403">
        <v>134.72</v>
      </c>
      <c r="AA1705" s="302">
        <v>124.646</v>
      </c>
      <c r="AB1705" s="302">
        <v>160.452</v>
      </c>
      <c r="AC1705" s="302">
        <v>130.90199999999999</v>
      </c>
      <c r="AD1705" s="119">
        <v>195.31299999999999</v>
      </c>
      <c r="AE1705" s="403">
        <v>195.31299999999999</v>
      </c>
      <c r="AF1705" s="302">
        <v>166.04400000000001</v>
      </c>
      <c r="AG1705" s="302">
        <v>164.70599999999999</v>
      </c>
      <c r="AH1705" s="302">
        <v>172.27500000000001</v>
      </c>
      <c r="AI1705" s="119">
        <v>183.03899999999999</v>
      </c>
      <c r="AJ1705" s="403">
        <v>183.03899999999999</v>
      </c>
      <c r="AK1705" s="302">
        <v>176.06899999999999</v>
      </c>
      <c r="AL1705" s="302">
        <v>145.583</v>
      </c>
      <c r="AM1705" s="302">
        <v>138.03399999999999</v>
      </c>
      <c r="AN1705" s="119">
        <v>180.714</v>
      </c>
      <c r="AO1705" s="403">
        <v>180.714</v>
      </c>
      <c r="AP1705" s="302">
        <v>151.88999999999999</v>
      </c>
      <c r="AQ1705" s="302">
        <v>182.94399999999999</v>
      </c>
      <c r="AR1705" s="302">
        <v>187.381</v>
      </c>
      <c r="AS1705" s="119">
        <v>224.90600000000001</v>
      </c>
      <c r="AT1705" s="403">
        <v>224.90600000000001</v>
      </c>
      <c r="AU1705" s="302">
        <v>231.90100000000001</v>
      </c>
      <c r="AV1705" s="302">
        <v>238.607</v>
      </c>
      <c r="AW1705" s="302">
        <v>205.595</v>
      </c>
      <c r="AX1705" s="119">
        <v>242.035</v>
      </c>
      <c r="AY1705" s="403">
        <v>242.035</v>
      </c>
      <c r="AZ1705" s="302">
        <v>254.53700000000001</v>
      </c>
      <c r="BA1705" s="302">
        <v>186.31899999999999</v>
      </c>
      <c r="BB1705" s="302">
        <v>180.48400000000001</v>
      </c>
      <c r="BC1705" s="119">
        <v>166.08199999999999</v>
      </c>
      <c r="BD1705" s="403">
        <v>166.08199999999999</v>
      </c>
      <c r="BE1705" s="302">
        <v>156.53100000000001</v>
      </c>
      <c r="BF1705" s="302">
        <v>150.339</v>
      </c>
      <c r="BG1705" s="302">
        <v>179.53899999999999</v>
      </c>
      <c r="BH1705" s="119">
        <v>192.345</v>
      </c>
      <c r="BI1705" s="514">
        <v>192.345</v>
      </c>
      <c r="BJ1705" s="118">
        <v>157.66717431282245</v>
      </c>
      <c r="BK1705" s="118">
        <v>161.32261122240908</v>
      </c>
      <c r="BL1705" s="118">
        <v>166.38931997608822</v>
      </c>
      <c r="BM1705" s="118">
        <v>172.81822988801608</v>
      </c>
      <c r="BN1705" s="401">
        <v>172.81822988801608</v>
      </c>
      <c r="BO1705" s="118">
        <v>179.04105739671618</v>
      </c>
      <c r="BP1705" s="118">
        <v>185.29096545698317</v>
      </c>
      <c r="BQ1705" s="118">
        <v>191.50325113104179</v>
      </c>
      <c r="BR1705" s="118">
        <v>195.33848507229877</v>
      </c>
      <c r="BS1705" s="401">
        <v>195.33848507229877</v>
      </c>
      <c r="BT1705" s="401">
        <v>205.54693227301615</v>
      </c>
      <c r="BU1705" s="401">
        <v>211.01632987167721</v>
      </c>
      <c r="BV1705" s="401">
        <v>210.28646181191638</v>
      </c>
      <c r="BW1705" s="122"/>
    </row>
    <row r="1706" spans="1:75" s="123" customFormat="1" hidden="1" outlineLevel="2" x14ac:dyDescent="0.5">
      <c r="A1706" s="513" t="s">
        <v>1490</v>
      </c>
      <c r="B1706" s="513"/>
      <c r="C1706" s="401"/>
      <c r="D1706" s="403">
        <v>16.698</v>
      </c>
      <c r="E1706" s="403">
        <v>21.167999999999999</v>
      </c>
      <c r="F1706" s="403">
        <v>16.620999999999999</v>
      </c>
      <c r="G1706" s="302">
        <v>22.385999999999999</v>
      </c>
      <c r="H1706" s="302">
        <v>22.463999999999999</v>
      </c>
      <c r="I1706" s="302">
        <v>26.696999999999999</v>
      </c>
      <c r="J1706" s="119">
        <v>29.498000000000001</v>
      </c>
      <c r="K1706" s="403">
        <v>29.498000000000001</v>
      </c>
      <c r="L1706" s="119"/>
      <c r="M1706" s="302">
        <v>24.125</v>
      </c>
      <c r="N1706" s="302">
        <v>32.537999999999997</v>
      </c>
      <c r="O1706" s="119">
        <v>35.942</v>
      </c>
      <c r="P1706" s="403">
        <v>35.942</v>
      </c>
      <c r="Q1706" s="302">
        <v>34.119</v>
      </c>
      <c r="R1706" s="302">
        <v>26.649000000000001</v>
      </c>
      <c r="S1706" s="302">
        <v>33.326000000000001</v>
      </c>
      <c r="T1706" s="119">
        <v>27.698</v>
      </c>
      <c r="U1706" s="403">
        <v>27.698</v>
      </c>
      <c r="V1706" s="302">
        <v>32.744</v>
      </c>
      <c r="W1706" s="302">
        <v>26.062999999999999</v>
      </c>
      <c r="X1706" s="302">
        <v>32.29</v>
      </c>
      <c r="Y1706" s="119">
        <v>26.885999999999999</v>
      </c>
      <c r="Z1706" s="403">
        <v>26.885999999999999</v>
      </c>
      <c r="AA1706" s="302">
        <v>32.284999999999997</v>
      </c>
      <c r="AB1706" s="302">
        <v>34.322000000000003</v>
      </c>
      <c r="AC1706" s="302">
        <v>43.697000000000003</v>
      </c>
      <c r="AD1706" s="119">
        <v>47.533999999999999</v>
      </c>
      <c r="AE1706" s="403">
        <v>47.533999999999999</v>
      </c>
      <c r="AF1706" s="302">
        <v>31.25</v>
      </c>
      <c r="AG1706" s="302">
        <v>47.561999999999998</v>
      </c>
      <c r="AH1706" s="302">
        <v>54.174999999999997</v>
      </c>
      <c r="AI1706" s="119">
        <v>64.191999999999993</v>
      </c>
      <c r="AJ1706" s="403">
        <v>64.191999999999993</v>
      </c>
      <c r="AK1706" s="302">
        <v>35.688000000000002</v>
      </c>
      <c r="AL1706" s="302">
        <v>47.978999999999999</v>
      </c>
      <c r="AM1706" s="302">
        <v>50.905000000000001</v>
      </c>
      <c r="AN1706" s="119">
        <v>64.659000000000006</v>
      </c>
      <c r="AO1706" s="403">
        <v>64.659000000000006</v>
      </c>
      <c r="AP1706" s="302">
        <v>61.95</v>
      </c>
      <c r="AQ1706" s="302">
        <v>59.218000000000004</v>
      </c>
      <c r="AR1706" s="302">
        <v>66.628</v>
      </c>
      <c r="AS1706" s="119">
        <v>84.86</v>
      </c>
      <c r="AT1706" s="403">
        <v>84.86</v>
      </c>
      <c r="AU1706" s="302">
        <v>49.503</v>
      </c>
      <c r="AV1706" s="302">
        <v>71.748000000000005</v>
      </c>
      <c r="AW1706" s="302">
        <v>76.739000000000004</v>
      </c>
      <c r="AX1706" s="119">
        <v>96.858999999999995</v>
      </c>
      <c r="AY1706" s="403">
        <v>96.858999999999995</v>
      </c>
      <c r="AZ1706" s="302">
        <v>54.470999999999997</v>
      </c>
      <c r="BA1706" s="302">
        <v>72.625</v>
      </c>
      <c r="BB1706" s="302">
        <v>71.825000000000003</v>
      </c>
      <c r="BC1706" s="119">
        <v>76.650000000000006</v>
      </c>
      <c r="BD1706" s="403">
        <v>76.650000000000006</v>
      </c>
      <c r="BE1706" s="302">
        <v>50.488999999999997</v>
      </c>
      <c r="BF1706" s="302">
        <v>51.256999999999998</v>
      </c>
      <c r="BG1706" s="302">
        <v>43.402999999999999</v>
      </c>
      <c r="BH1706" s="119">
        <v>43.84</v>
      </c>
      <c r="BI1706" s="514">
        <v>43.84</v>
      </c>
      <c r="BJ1706" s="118"/>
      <c r="BK1706" s="118"/>
      <c r="BL1706" s="118"/>
      <c r="BM1706" s="118"/>
      <c r="BN1706" s="401"/>
      <c r="BO1706" s="118"/>
      <c r="BP1706" s="118"/>
      <c r="BQ1706" s="118"/>
      <c r="BR1706" s="118"/>
      <c r="BS1706" s="401"/>
      <c r="BT1706" s="401"/>
      <c r="BU1706" s="401"/>
      <c r="BV1706" s="401"/>
      <c r="BW1706" s="122"/>
    </row>
    <row r="1707" spans="1:75" s="123" customFormat="1" hidden="1" outlineLevel="2" x14ac:dyDescent="0.5">
      <c r="A1707" s="513" t="s">
        <v>1491</v>
      </c>
      <c r="B1707" s="513"/>
      <c r="C1707" s="401"/>
      <c r="D1707" s="403">
        <v>3.456</v>
      </c>
      <c r="E1707" s="403">
        <v>8.4719999999999995</v>
      </c>
      <c r="F1707" s="403">
        <v>12.782999999999999</v>
      </c>
      <c r="G1707" s="302">
        <v>10.727</v>
      </c>
      <c r="H1707" s="302">
        <v>12.603999999999999</v>
      </c>
      <c r="I1707" s="302">
        <v>12.907999999999999</v>
      </c>
      <c r="J1707" s="119">
        <v>13.994999999999999</v>
      </c>
      <c r="K1707" s="403">
        <v>13.994999999999999</v>
      </c>
      <c r="L1707" s="119"/>
      <c r="M1707" s="302">
        <v>15.771000000000001</v>
      </c>
      <c r="N1707" s="302">
        <v>17.375</v>
      </c>
      <c r="O1707" s="119">
        <v>21.24</v>
      </c>
      <c r="P1707" s="403">
        <v>21.24</v>
      </c>
      <c r="Q1707" s="302">
        <v>16.77</v>
      </c>
      <c r="R1707" s="302">
        <v>18.478000000000002</v>
      </c>
      <c r="S1707" s="302">
        <v>17.058</v>
      </c>
      <c r="T1707" s="119">
        <v>19.268999999999998</v>
      </c>
      <c r="U1707" s="403">
        <v>19.268999999999998</v>
      </c>
      <c r="V1707" s="302">
        <v>14.648999999999999</v>
      </c>
      <c r="W1707" s="302">
        <v>15.353</v>
      </c>
      <c r="X1707" s="302">
        <v>14.757</v>
      </c>
      <c r="Y1707" s="119">
        <v>14.907999999999999</v>
      </c>
      <c r="Z1707" s="403">
        <v>14.907999999999999</v>
      </c>
      <c r="AA1707" s="302">
        <v>16.710999999999999</v>
      </c>
      <c r="AB1707" s="302">
        <v>15.680999999999999</v>
      </c>
      <c r="AC1707" s="302">
        <v>15.516999999999999</v>
      </c>
      <c r="AD1707" s="119">
        <v>19.524999999999999</v>
      </c>
      <c r="AE1707" s="403">
        <v>19.524999999999999</v>
      </c>
      <c r="AF1707" s="302">
        <v>17.673999999999999</v>
      </c>
      <c r="AG1707" s="302">
        <v>17.346</v>
      </c>
      <c r="AH1707" s="302">
        <v>18.885000000000002</v>
      </c>
      <c r="AI1707" s="119">
        <v>18.353999999999999</v>
      </c>
      <c r="AJ1707" s="403">
        <v>18.353999999999999</v>
      </c>
      <c r="AK1707" s="302">
        <v>19.901</v>
      </c>
      <c r="AL1707" s="302">
        <v>18.742999999999999</v>
      </c>
      <c r="AM1707" s="302">
        <v>19.899999999999999</v>
      </c>
      <c r="AN1707" s="119">
        <v>19.617999999999999</v>
      </c>
      <c r="AO1707" s="403">
        <v>19.617999999999999</v>
      </c>
      <c r="AP1707" s="302">
        <v>16.792000000000002</v>
      </c>
      <c r="AQ1707" s="302">
        <v>21.327000000000002</v>
      </c>
      <c r="AR1707" s="302">
        <v>24.684999999999999</v>
      </c>
      <c r="AS1707" s="119">
        <v>23.706</v>
      </c>
      <c r="AT1707" s="403">
        <v>23.706</v>
      </c>
      <c r="AU1707" s="302">
        <v>25.474</v>
      </c>
      <c r="AV1707" s="302">
        <v>27.158000000000001</v>
      </c>
      <c r="AW1707" s="302">
        <v>27.018999999999998</v>
      </c>
      <c r="AX1707" s="119">
        <v>24.811</v>
      </c>
      <c r="AY1707" s="403">
        <v>24.811</v>
      </c>
      <c r="AZ1707" s="302">
        <v>26.731999999999999</v>
      </c>
      <c r="BA1707" s="302">
        <v>21.477</v>
      </c>
      <c r="BB1707" s="302">
        <v>21.745999999999999</v>
      </c>
      <c r="BC1707" s="119">
        <v>18.899999999999999</v>
      </c>
      <c r="BD1707" s="403">
        <v>18.899999999999999</v>
      </c>
      <c r="BE1707" s="302">
        <v>24.873999999999999</v>
      </c>
      <c r="BF1707" s="302">
        <v>24.25</v>
      </c>
      <c r="BG1707" s="302">
        <v>25.425999999999998</v>
      </c>
      <c r="BH1707" s="119">
        <v>26.823</v>
      </c>
      <c r="BI1707" s="514">
        <v>26.823</v>
      </c>
      <c r="BJ1707" s="118"/>
      <c r="BK1707" s="118"/>
      <c r="BL1707" s="118"/>
      <c r="BM1707" s="118"/>
      <c r="BN1707" s="401"/>
      <c r="BO1707" s="118"/>
      <c r="BP1707" s="118"/>
      <c r="BQ1707" s="118"/>
      <c r="BR1707" s="118"/>
      <c r="BS1707" s="401"/>
      <c r="BT1707" s="401"/>
      <c r="BU1707" s="401"/>
      <c r="BV1707" s="401"/>
      <c r="BW1707" s="122"/>
    </row>
    <row r="1708" spans="1:75" s="123" customFormat="1" hidden="1" outlineLevel="2" x14ac:dyDescent="0.5">
      <c r="A1708" s="513" t="s">
        <v>1492</v>
      </c>
      <c r="B1708" s="513"/>
      <c r="C1708" s="401"/>
      <c r="D1708" s="403">
        <v>4.3460000000000001</v>
      </c>
      <c r="E1708" s="403">
        <v>6.2030000000000003</v>
      </c>
      <c r="F1708" s="403">
        <v>5.8419999999999996</v>
      </c>
      <c r="G1708" s="302">
        <v>5.8689999999999998</v>
      </c>
      <c r="H1708" s="302">
        <v>6.85</v>
      </c>
      <c r="I1708" s="302">
        <v>10.097</v>
      </c>
      <c r="J1708" s="119">
        <v>6.306</v>
      </c>
      <c r="K1708" s="403">
        <v>6.306</v>
      </c>
      <c r="L1708" s="119"/>
      <c r="M1708" s="302">
        <v>9.1829999999999998</v>
      </c>
      <c r="N1708" s="302">
        <v>11.504</v>
      </c>
      <c r="O1708" s="119">
        <v>7.53</v>
      </c>
      <c r="P1708" s="403">
        <v>7.53</v>
      </c>
      <c r="Q1708" s="302">
        <v>8.5939999999999994</v>
      </c>
      <c r="R1708" s="302">
        <v>14.701000000000001</v>
      </c>
      <c r="S1708" s="302">
        <v>12.257</v>
      </c>
      <c r="T1708" s="119">
        <v>15.095000000000001</v>
      </c>
      <c r="U1708" s="403">
        <v>15.095000000000001</v>
      </c>
      <c r="V1708" s="302">
        <v>12.066000000000001</v>
      </c>
      <c r="W1708" s="302">
        <v>12.382999999999999</v>
      </c>
      <c r="X1708" s="302">
        <v>13.196</v>
      </c>
      <c r="Y1708" s="119">
        <v>8.1370000000000005</v>
      </c>
      <c r="Z1708" s="403">
        <v>8.1370000000000005</v>
      </c>
      <c r="AA1708" s="302">
        <v>8.843</v>
      </c>
      <c r="AB1708" s="302">
        <v>11.053000000000001</v>
      </c>
      <c r="AC1708" s="302">
        <v>11.422000000000001</v>
      </c>
      <c r="AD1708" s="119">
        <v>8.6120000000000001</v>
      </c>
      <c r="AE1708" s="403">
        <v>8.6120000000000001</v>
      </c>
      <c r="AF1708" s="302">
        <v>9.9090000000000007</v>
      </c>
      <c r="AG1708" s="302">
        <v>12.46</v>
      </c>
      <c r="AH1708" s="302">
        <v>14.016999999999999</v>
      </c>
      <c r="AI1708" s="119">
        <v>10.784000000000001</v>
      </c>
      <c r="AJ1708" s="403">
        <v>10.784000000000001</v>
      </c>
      <c r="AK1708" s="302">
        <v>10.786</v>
      </c>
      <c r="AL1708" s="302">
        <v>11.528</v>
      </c>
      <c r="AM1708" s="302">
        <v>12.525</v>
      </c>
      <c r="AN1708" s="119">
        <v>12.067</v>
      </c>
      <c r="AO1708" s="403">
        <v>12.067</v>
      </c>
      <c r="AP1708" s="302">
        <v>9.266</v>
      </c>
      <c r="AQ1708" s="302">
        <v>14.086</v>
      </c>
      <c r="AR1708" s="302">
        <v>18.472000000000001</v>
      </c>
      <c r="AS1708" s="119">
        <v>17.670999999999999</v>
      </c>
      <c r="AT1708" s="403">
        <v>17.670999999999999</v>
      </c>
      <c r="AU1708" s="302">
        <v>21.251999999999999</v>
      </c>
      <c r="AV1708" s="302">
        <v>26.68</v>
      </c>
      <c r="AW1708" s="302">
        <v>28.241</v>
      </c>
      <c r="AX1708" s="119">
        <v>28.088000000000001</v>
      </c>
      <c r="AY1708" s="403">
        <v>28.088000000000001</v>
      </c>
      <c r="AZ1708" s="302">
        <v>26.207999999999998</v>
      </c>
      <c r="BA1708" s="302">
        <v>32.722999999999999</v>
      </c>
      <c r="BB1708" s="302">
        <v>33.887999999999998</v>
      </c>
      <c r="BC1708" s="119">
        <v>28.83</v>
      </c>
      <c r="BD1708" s="403">
        <v>28.83</v>
      </c>
      <c r="BE1708" s="302">
        <v>24.29</v>
      </c>
      <c r="BF1708" s="302">
        <v>27.431999999999999</v>
      </c>
      <c r="BG1708" s="302">
        <v>31.346</v>
      </c>
      <c r="BH1708" s="119">
        <v>29.143999999999998</v>
      </c>
      <c r="BI1708" s="514">
        <v>29.143999999999998</v>
      </c>
      <c r="BJ1708" s="118"/>
      <c r="BK1708" s="118"/>
      <c r="BL1708" s="118"/>
      <c r="BM1708" s="118"/>
      <c r="BN1708" s="401"/>
      <c r="BO1708" s="118"/>
      <c r="BP1708" s="118"/>
      <c r="BQ1708" s="118"/>
      <c r="BR1708" s="118"/>
      <c r="BS1708" s="401"/>
      <c r="BT1708" s="401"/>
      <c r="BU1708" s="401"/>
      <c r="BV1708" s="401"/>
      <c r="BW1708" s="122"/>
    </row>
    <row r="1709" spans="1:75" s="123" customFormat="1" hidden="1" outlineLevel="2" x14ac:dyDescent="0.5">
      <c r="A1709" s="513" t="s">
        <v>1493</v>
      </c>
      <c r="B1709" s="513"/>
      <c r="C1709" s="401"/>
      <c r="D1709" s="403">
        <v>6.4850000000000003</v>
      </c>
      <c r="E1709" s="403">
        <v>8.8960000000000008</v>
      </c>
      <c r="F1709" s="403">
        <v>17.638999999999999</v>
      </c>
      <c r="G1709" s="302">
        <v>15.866</v>
      </c>
      <c r="H1709" s="302">
        <v>21.667999999999999</v>
      </c>
      <c r="I1709" s="302">
        <v>21.32</v>
      </c>
      <c r="J1709" s="119">
        <v>21.309000000000001</v>
      </c>
      <c r="K1709" s="403">
        <v>21.309000000000001</v>
      </c>
      <c r="L1709" s="119"/>
      <c r="M1709" s="302">
        <v>19.314</v>
      </c>
      <c r="N1709" s="302">
        <v>19.670000000000002</v>
      </c>
      <c r="O1709" s="119">
        <v>22.747</v>
      </c>
      <c r="P1709" s="403">
        <v>22.747</v>
      </c>
      <c r="Q1709" s="302">
        <v>16.981999999999999</v>
      </c>
      <c r="R1709" s="302">
        <v>23.81</v>
      </c>
      <c r="S1709" s="302">
        <v>23.324999999999999</v>
      </c>
      <c r="T1709" s="119">
        <v>27.23</v>
      </c>
      <c r="U1709" s="403">
        <v>27.23</v>
      </c>
      <c r="V1709" s="302">
        <v>21.303999999999998</v>
      </c>
      <c r="W1709" s="302">
        <v>22.978999999999999</v>
      </c>
      <c r="X1709" s="302">
        <v>25.036999999999999</v>
      </c>
      <c r="Y1709" s="119">
        <v>27.954999999999998</v>
      </c>
      <c r="Z1709" s="403">
        <v>27.954999999999998</v>
      </c>
      <c r="AA1709" s="302">
        <v>28.77</v>
      </c>
      <c r="AB1709" s="302">
        <v>20.834</v>
      </c>
      <c r="AC1709" s="302">
        <v>21.952000000000002</v>
      </c>
      <c r="AD1709" s="119">
        <v>23.757000000000001</v>
      </c>
      <c r="AE1709" s="403">
        <v>23.757000000000001</v>
      </c>
      <c r="AF1709" s="302">
        <v>18.219000000000001</v>
      </c>
      <c r="AG1709" s="302">
        <v>20.411999999999999</v>
      </c>
      <c r="AH1709" s="302">
        <v>24.382999999999999</v>
      </c>
      <c r="AI1709" s="119">
        <v>20.786999999999999</v>
      </c>
      <c r="AJ1709" s="403">
        <v>20.786999999999999</v>
      </c>
      <c r="AK1709" s="302">
        <v>19.948</v>
      </c>
      <c r="AL1709" s="302">
        <v>24.114999999999998</v>
      </c>
      <c r="AM1709" s="302">
        <v>22.201000000000001</v>
      </c>
      <c r="AN1709" s="119">
        <v>25.17</v>
      </c>
      <c r="AO1709" s="403">
        <v>25.17</v>
      </c>
      <c r="AP1709" s="302">
        <v>18.260000000000002</v>
      </c>
      <c r="AQ1709" s="302">
        <v>21.62</v>
      </c>
      <c r="AR1709" s="302">
        <v>28.675000000000001</v>
      </c>
      <c r="AS1709" s="119">
        <v>29.754000000000001</v>
      </c>
      <c r="AT1709" s="403">
        <v>29.754000000000001</v>
      </c>
      <c r="AU1709" s="302">
        <v>33.698</v>
      </c>
      <c r="AV1709" s="302">
        <v>30.684999999999999</v>
      </c>
      <c r="AW1709" s="302">
        <v>29.491</v>
      </c>
      <c r="AX1709" s="119">
        <v>21.888000000000002</v>
      </c>
      <c r="AY1709" s="403">
        <v>21.888000000000002</v>
      </c>
      <c r="AZ1709" s="302">
        <v>27.338999999999999</v>
      </c>
      <c r="BA1709" s="302">
        <v>22.742999999999999</v>
      </c>
      <c r="BB1709" s="302">
        <v>22.577000000000002</v>
      </c>
      <c r="BC1709" s="119">
        <v>17.497</v>
      </c>
      <c r="BD1709" s="403">
        <v>17.497</v>
      </c>
      <c r="BE1709" s="302">
        <v>13.881</v>
      </c>
      <c r="BF1709" s="302">
        <v>13.169</v>
      </c>
      <c r="BG1709" s="302">
        <v>13.285</v>
      </c>
      <c r="BH1709" s="119">
        <v>14.333</v>
      </c>
      <c r="BI1709" s="514">
        <v>14.333</v>
      </c>
      <c r="BJ1709" s="118"/>
      <c r="BK1709" s="118"/>
      <c r="BL1709" s="118"/>
      <c r="BM1709" s="118"/>
      <c r="BN1709" s="401"/>
      <c r="BO1709" s="118"/>
      <c r="BP1709" s="118"/>
      <c r="BQ1709" s="118"/>
      <c r="BR1709" s="118"/>
      <c r="BS1709" s="401"/>
      <c r="BT1709" s="401"/>
      <c r="BU1709" s="401"/>
      <c r="BV1709" s="401"/>
      <c r="BW1709" s="122"/>
    </row>
    <row r="1710" spans="1:75" s="123" customFormat="1" hidden="1" outlineLevel="2" x14ac:dyDescent="0.5">
      <c r="A1710" s="513" t="s">
        <v>1494</v>
      </c>
      <c r="B1710" s="513"/>
      <c r="C1710" s="401"/>
      <c r="D1710" s="401"/>
      <c r="E1710" s="401"/>
      <c r="F1710" s="401"/>
      <c r="G1710" s="119"/>
      <c r="H1710" s="119"/>
      <c r="I1710" s="119"/>
      <c r="J1710" s="119">
        <v>0</v>
      </c>
      <c r="K1710" s="401"/>
      <c r="L1710" s="119"/>
      <c r="M1710" s="302">
        <v>15.667999999999999</v>
      </c>
      <c r="N1710" s="302">
        <v>14.872999999999999</v>
      </c>
      <c r="O1710" s="119">
        <v>4.3090000000000002</v>
      </c>
      <c r="P1710" s="403">
        <v>4.3090000000000002</v>
      </c>
      <c r="Q1710" s="302">
        <v>1.43</v>
      </c>
      <c r="R1710" s="302">
        <v>2.6749999999999998</v>
      </c>
      <c r="S1710" s="302">
        <v>3.1360000000000001</v>
      </c>
      <c r="T1710" s="119">
        <v>3</v>
      </c>
      <c r="U1710" s="403">
        <v>3</v>
      </c>
      <c r="V1710" s="302">
        <v>2.5750000000000002</v>
      </c>
      <c r="W1710" s="302">
        <v>0.74</v>
      </c>
      <c r="X1710" s="302">
        <v>0.69499999999999995</v>
      </c>
      <c r="Y1710" s="119">
        <v>0</v>
      </c>
      <c r="Z1710" s="401"/>
      <c r="AA1710" s="119"/>
      <c r="AB1710" s="119"/>
      <c r="AC1710" s="119"/>
      <c r="AD1710" s="119">
        <v>0</v>
      </c>
      <c r="AE1710" s="401"/>
      <c r="AF1710" s="119"/>
      <c r="AG1710" s="119"/>
      <c r="AH1710" s="119"/>
      <c r="AI1710" s="119">
        <v>0</v>
      </c>
      <c r="AJ1710" s="401"/>
      <c r="AK1710" s="119"/>
      <c r="AL1710" s="119"/>
      <c r="AM1710" s="119"/>
      <c r="AN1710" s="119">
        <v>0</v>
      </c>
      <c r="AO1710" s="401"/>
      <c r="AP1710" s="119"/>
      <c r="AQ1710" s="119"/>
      <c r="AR1710" s="119"/>
      <c r="AS1710" s="119">
        <v>0</v>
      </c>
      <c r="AT1710" s="401"/>
      <c r="AU1710" s="119"/>
      <c r="AV1710" s="119"/>
      <c r="AW1710" s="119"/>
      <c r="AX1710" s="119">
        <v>0</v>
      </c>
      <c r="AY1710" s="401"/>
      <c r="AZ1710" s="119"/>
      <c r="BA1710" s="119"/>
      <c r="BB1710" s="119"/>
      <c r="BC1710" s="119">
        <v>8.9209999999999994</v>
      </c>
      <c r="BD1710" s="403">
        <v>8.9209999999999994</v>
      </c>
      <c r="BE1710" s="302">
        <v>8.43</v>
      </c>
      <c r="BF1710" s="302">
        <v>3.206</v>
      </c>
      <c r="BG1710" s="302">
        <v>4.5830000000000002</v>
      </c>
      <c r="BH1710" s="119">
        <v>2.7949999999999999</v>
      </c>
      <c r="BI1710" s="514">
        <v>2.7949999999999999</v>
      </c>
      <c r="BJ1710" s="118"/>
      <c r="BK1710" s="118"/>
      <c r="BL1710" s="118"/>
      <c r="BM1710" s="118"/>
      <c r="BN1710" s="401"/>
      <c r="BO1710" s="118"/>
      <c r="BP1710" s="118"/>
      <c r="BQ1710" s="118"/>
      <c r="BR1710" s="118"/>
      <c r="BS1710" s="401"/>
      <c r="BT1710" s="401"/>
      <c r="BU1710" s="401"/>
      <c r="BV1710" s="401"/>
      <c r="BW1710" s="122"/>
    </row>
    <row r="1711" spans="1:75" s="123" customFormat="1" hidden="1" outlineLevel="2" x14ac:dyDescent="0.5">
      <c r="A1711" s="513" t="s">
        <v>1495</v>
      </c>
      <c r="B1711" s="513"/>
      <c r="C1711" s="401"/>
      <c r="D1711" s="401"/>
      <c r="E1711" s="401"/>
      <c r="F1711" s="401"/>
      <c r="G1711" s="119"/>
      <c r="H1711" s="119"/>
      <c r="I1711" s="119"/>
      <c r="J1711" s="119"/>
      <c r="K1711" s="401"/>
      <c r="L1711" s="119"/>
      <c r="M1711" s="119"/>
      <c r="N1711" s="119"/>
      <c r="O1711" s="119"/>
      <c r="P1711" s="401"/>
      <c r="Q1711" s="119"/>
      <c r="R1711" s="119"/>
      <c r="S1711" s="119"/>
      <c r="T1711" s="119"/>
      <c r="U1711" s="401"/>
      <c r="V1711" s="119"/>
      <c r="W1711" s="119"/>
      <c r="X1711" s="119"/>
      <c r="Y1711" s="119"/>
      <c r="Z1711" s="401"/>
      <c r="AA1711" s="119"/>
      <c r="AB1711" s="119"/>
      <c r="AC1711" s="119"/>
      <c r="AD1711" s="119"/>
      <c r="AE1711" s="401"/>
      <c r="AF1711" s="119"/>
      <c r="AG1711" s="119"/>
      <c r="AH1711" s="119"/>
      <c r="AI1711" s="119"/>
      <c r="AJ1711" s="401"/>
      <c r="AK1711" s="119"/>
      <c r="AL1711" s="119"/>
      <c r="AM1711" s="119"/>
      <c r="AN1711" s="119"/>
      <c r="AO1711" s="401"/>
      <c r="AP1711" s="119"/>
      <c r="AQ1711" s="119"/>
      <c r="AR1711" s="119"/>
      <c r="AS1711" s="119"/>
      <c r="AT1711" s="401"/>
      <c r="AU1711" s="119"/>
      <c r="AV1711" s="119"/>
      <c r="AW1711" s="119"/>
      <c r="AX1711" s="119"/>
      <c r="AY1711" s="401"/>
      <c r="AZ1711" s="119"/>
      <c r="BA1711" s="119"/>
      <c r="BB1711" s="119"/>
      <c r="BC1711" s="119"/>
      <c r="BD1711" s="401"/>
      <c r="BE1711" s="119"/>
      <c r="BF1711" s="302">
        <v>17.8</v>
      </c>
      <c r="BG1711" s="302">
        <v>17.803999999999998</v>
      </c>
      <c r="BH1711" s="119">
        <v>16.704000000000001</v>
      </c>
      <c r="BI1711" s="514">
        <v>16.704000000000001</v>
      </c>
      <c r="BJ1711" s="118"/>
      <c r="BK1711" s="118"/>
      <c r="BL1711" s="118"/>
      <c r="BM1711" s="118"/>
      <c r="BN1711" s="401"/>
      <c r="BO1711" s="118"/>
      <c r="BP1711" s="118"/>
      <c r="BQ1711" s="118"/>
      <c r="BR1711" s="118"/>
      <c r="BS1711" s="401"/>
      <c r="BT1711" s="401"/>
      <c r="BU1711" s="401"/>
      <c r="BV1711" s="401"/>
      <c r="BW1711" s="122"/>
    </row>
    <row r="1712" spans="1:75" s="123" customFormat="1" hidden="1" outlineLevel="2" x14ac:dyDescent="0.5">
      <c r="A1712" s="513" t="s">
        <v>1496</v>
      </c>
      <c r="B1712" s="513"/>
      <c r="C1712" s="401"/>
      <c r="D1712" s="403">
        <v>1.206</v>
      </c>
      <c r="E1712" s="403">
        <v>2.4940000000000002</v>
      </c>
      <c r="F1712" s="403">
        <v>2.1139999999999999</v>
      </c>
      <c r="G1712" s="302">
        <v>3.8969999999999998</v>
      </c>
      <c r="H1712" s="119"/>
      <c r="I1712" s="119"/>
      <c r="J1712" s="119">
        <v>3.1190000000000002</v>
      </c>
      <c r="K1712" s="403">
        <v>3.1190000000000002</v>
      </c>
      <c r="L1712" s="119"/>
      <c r="M1712" s="302">
        <v>3.145</v>
      </c>
      <c r="N1712" s="302">
        <v>3.22</v>
      </c>
      <c r="O1712" s="119">
        <v>2.319</v>
      </c>
      <c r="P1712" s="403">
        <v>2.319</v>
      </c>
      <c r="Q1712" s="302">
        <v>1.98</v>
      </c>
      <c r="R1712" s="302">
        <v>3.12</v>
      </c>
      <c r="S1712" s="302">
        <v>3.202</v>
      </c>
      <c r="T1712" s="119">
        <v>2.7360000000000002</v>
      </c>
      <c r="U1712" s="403">
        <v>2.7360000000000002</v>
      </c>
      <c r="V1712" s="302">
        <v>5.8689999999999998</v>
      </c>
      <c r="W1712" s="302">
        <v>2.42</v>
      </c>
      <c r="X1712" s="302">
        <v>2.4660000000000002</v>
      </c>
      <c r="Y1712" s="119">
        <v>2.0819999999999999</v>
      </c>
      <c r="Z1712" s="403">
        <v>2.0819999999999999</v>
      </c>
      <c r="AA1712" s="302">
        <v>4.3940000000000001</v>
      </c>
      <c r="AB1712" s="302">
        <v>8.4139999999999997</v>
      </c>
      <c r="AC1712" s="302">
        <v>3.8010000000000002</v>
      </c>
      <c r="AD1712" s="119">
        <v>3.5550000000000002</v>
      </c>
      <c r="AE1712" s="403">
        <v>3.5550000000000002</v>
      </c>
      <c r="AF1712" s="302">
        <v>2.96</v>
      </c>
      <c r="AG1712" s="302">
        <v>2.9710000000000001</v>
      </c>
      <c r="AH1712" s="302">
        <v>3.2360000000000002</v>
      </c>
      <c r="AI1712" s="119">
        <v>2.0499999999999998</v>
      </c>
      <c r="AJ1712" s="403">
        <v>2.0499999999999998</v>
      </c>
      <c r="AK1712" s="302">
        <v>3.9740000000000002</v>
      </c>
      <c r="AL1712" s="302">
        <v>3.4420000000000002</v>
      </c>
      <c r="AM1712" s="302">
        <v>4.516</v>
      </c>
      <c r="AN1712" s="119">
        <v>4.3810000000000002</v>
      </c>
      <c r="AO1712" s="403">
        <v>4.3810000000000002</v>
      </c>
      <c r="AP1712" s="302">
        <v>5.1870000000000003</v>
      </c>
      <c r="AQ1712" s="302">
        <v>4.8099999999999996</v>
      </c>
      <c r="AR1712" s="302">
        <v>5.5060000000000002</v>
      </c>
      <c r="AS1712" s="119">
        <v>5.383</v>
      </c>
      <c r="AT1712" s="403">
        <v>5.383</v>
      </c>
      <c r="AU1712" s="302">
        <v>4.532</v>
      </c>
      <c r="AV1712" s="302">
        <v>9.1349999999999998</v>
      </c>
      <c r="AW1712" s="302">
        <v>4.9530000000000003</v>
      </c>
      <c r="AX1712" s="119">
        <v>5.8920000000000003</v>
      </c>
      <c r="AY1712" s="403">
        <v>5.8920000000000003</v>
      </c>
      <c r="AZ1712" s="302">
        <v>17.134</v>
      </c>
      <c r="BA1712" s="302">
        <v>9.2420000000000009</v>
      </c>
      <c r="BB1712" s="302">
        <v>8.99</v>
      </c>
      <c r="BC1712" s="119">
        <v>7.4470000000000001</v>
      </c>
      <c r="BD1712" s="403">
        <v>7.4470000000000001</v>
      </c>
      <c r="BE1712" s="302">
        <v>7.7770000000000001</v>
      </c>
      <c r="BF1712" s="302">
        <v>7.6529999999999996</v>
      </c>
      <c r="BG1712" s="302">
        <v>5.7930000000000001</v>
      </c>
      <c r="BH1712" s="119">
        <v>5.7539999999999996</v>
      </c>
      <c r="BI1712" s="514">
        <v>5.7539999999999996</v>
      </c>
      <c r="BJ1712" s="118"/>
      <c r="BK1712" s="118"/>
      <c r="BL1712" s="118"/>
      <c r="BM1712" s="118"/>
      <c r="BN1712" s="401"/>
      <c r="BO1712" s="118"/>
      <c r="BP1712" s="118"/>
      <c r="BQ1712" s="118"/>
      <c r="BR1712" s="118"/>
      <c r="BS1712" s="401"/>
      <c r="BT1712" s="401"/>
      <c r="BU1712" s="401"/>
      <c r="BV1712" s="401"/>
      <c r="BW1712" s="122"/>
    </row>
    <row r="1713" spans="1:75" s="123" customFormat="1" hidden="1" outlineLevel="2" x14ac:dyDescent="0.5">
      <c r="A1713" s="513" t="s">
        <v>1497</v>
      </c>
      <c r="B1713" s="513"/>
      <c r="C1713" s="401"/>
      <c r="D1713" s="401"/>
      <c r="E1713" s="403">
        <v>7.1760000000000002</v>
      </c>
      <c r="F1713" s="403">
        <v>6.9059999999999997</v>
      </c>
      <c r="G1713" s="302">
        <v>42.548000000000002</v>
      </c>
      <c r="H1713" s="302">
        <v>13.4</v>
      </c>
      <c r="I1713" s="302">
        <v>7.0519999999999996</v>
      </c>
      <c r="J1713" s="119">
        <v>7.6630000000000003</v>
      </c>
      <c r="K1713" s="403">
        <v>7.6630000000000003</v>
      </c>
      <c r="L1713" s="119"/>
      <c r="M1713" s="302">
        <v>14.499000000000001</v>
      </c>
      <c r="N1713" s="302">
        <v>9.1630000000000003</v>
      </c>
      <c r="O1713" s="119">
        <v>4.5819999999999999</v>
      </c>
      <c r="P1713" s="403">
        <v>4.5819999999999999</v>
      </c>
      <c r="Q1713" s="302">
        <v>11.198</v>
      </c>
      <c r="R1713" s="302">
        <v>8.8680000000000003</v>
      </c>
      <c r="S1713" s="302">
        <v>15.028</v>
      </c>
      <c r="T1713" s="119">
        <v>5.9880000000000004</v>
      </c>
      <c r="U1713" s="403">
        <v>5.9880000000000004</v>
      </c>
      <c r="V1713" s="302">
        <v>6.9210000000000003</v>
      </c>
      <c r="W1713" s="302">
        <v>5.2220000000000004</v>
      </c>
      <c r="X1713" s="302">
        <v>13.342000000000001</v>
      </c>
      <c r="Y1713" s="119">
        <v>3.8740000000000001</v>
      </c>
      <c r="Z1713" s="403">
        <v>3.8740000000000001</v>
      </c>
      <c r="AA1713" s="302">
        <v>7.1829999999999998</v>
      </c>
      <c r="AB1713" s="302">
        <v>7.5970000000000004</v>
      </c>
      <c r="AC1713" s="302">
        <v>13.295999999999999</v>
      </c>
      <c r="AD1713" s="119">
        <v>9</v>
      </c>
      <c r="AE1713" s="403">
        <v>9</v>
      </c>
      <c r="AF1713" s="302">
        <v>7.0369999999999999</v>
      </c>
      <c r="AG1713" s="302">
        <v>10.427</v>
      </c>
      <c r="AH1713" s="302">
        <v>10.404999999999999</v>
      </c>
      <c r="AI1713" s="119">
        <v>10.276</v>
      </c>
      <c r="AJ1713" s="403">
        <v>10.276</v>
      </c>
      <c r="AK1713" s="302">
        <v>8.5459999999999994</v>
      </c>
      <c r="AL1713" s="302">
        <v>14.49</v>
      </c>
      <c r="AM1713" s="302">
        <v>15.57</v>
      </c>
      <c r="AN1713" s="119">
        <v>8.2669999999999995</v>
      </c>
      <c r="AO1713" s="403">
        <v>8.2669999999999995</v>
      </c>
      <c r="AP1713" s="302">
        <v>6.25</v>
      </c>
      <c r="AQ1713" s="302">
        <v>6.3460000000000001</v>
      </c>
      <c r="AR1713" s="302">
        <v>4.0129999999999999</v>
      </c>
      <c r="AS1713" s="119">
        <v>4.3540000000000001</v>
      </c>
      <c r="AT1713" s="403">
        <v>4.3540000000000001</v>
      </c>
      <c r="AU1713" s="302">
        <v>6.46</v>
      </c>
      <c r="AV1713" s="302">
        <v>3.9790000000000001</v>
      </c>
      <c r="AW1713" s="302">
        <v>3.5249999999999999</v>
      </c>
      <c r="AX1713" s="119">
        <v>4.1269999999999998</v>
      </c>
      <c r="AY1713" s="403">
        <v>4.1269999999999998</v>
      </c>
      <c r="AZ1713" s="302">
        <v>7.9459999999999997</v>
      </c>
      <c r="BA1713" s="302">
        <v>10.143000000000001</v>
      </c>
      <c r="BB1713" s="302">
        <v>4.2770000000000001</v>
      </c>
      <c r="BC1713" s="119">
        <v>4.5960000000000001</v>
      </c>
      <c r="BD1713" s="403">
        <v>4.5960000000000001</v>
      </c>
      <c r="BE1713" s="302">
        <v>1.595</v>
      </c>
      <c r="BF1713" s="302">
        <v>1.88</v>
      </c>
      <c r="BG1713" s="302">
        <v>11.106999999999999</v>
      </c>
      <c r="BH1713" s="119">
        <v>0</v>
      </c>
      <c r="BI1713" s="402"/>
      <c r="BJ1713" s="118"/>
      <c r="BK1713" s="118"/>
      <c r="BL1713" s="118"/>
      <c r="BM1713" s="118"/>
      <c r="BN1713" s="401"/>
      <c r="BO1713" s="118"/>
      <c r="BP1713" s="118"/>
      <c r="BQ1713" s="118"/>
      <c r="BR1713" s="118"/>
      <c r="BS1713" s="401"/>
      <c r="BT1713" s="401"/>
      <c r="BU1713" s="401"/>
      <c r="BV1713" s="401"/>
      <c r="BW1713" s="122"/>
    </row>
    <row r="1714" spans="1:75" s="123" customFormat="1" hidden="1" outlineLevel="2" x14ac:dyDescent="0.5">
      <c r="A1714" s="513" t="s">
        <v>1498</v>
      </c>
      <c r="B1714" s="513"/>
      <c r="C1714" s="401"/>
      <c r="D1714" s="401"/>
      <c r="E1714" s="401"/>
      <c r="F1714" s="401"/>
      <c r="G1714" s="119"/>
      <c r="H1714" s="119"/>
      <c r="I1714" s="119"/>
      <c r="J1714" s="119">
        <v>0</v>
      </c>
      <c r="K1714" s="401"/>
      <c r="L1714" s="119"/>
      <c r="M1714" s="119"/>
      <c r="N1714" s="119"/>
      <c r="O1714" s="119">
        <v>0</v>
      </c>
      <c r="P1714" s="401"/>
      <c r="Q1714" s="119"/>
      <c r="R1714" s="119"/>
      <c r="S1714" s="119"/>
      <c r="T1714" s="119">
        <v>0</v>
      </c>
      <c r="U1714" s="401"/>
      <c r="V1714" s="119"/>
      <c r="W1714" s="119"/>
      <c r="X1714" s="119"/>
      <c r="Y1714" s="119">
        <v>0</v>
      </c>
      <c r="Z1714" s="401"/>
      <c r="AA1714" s="119"/>
      <c r="AB1714" s="119"/>
      <c r="AC1714" s="119"/>
      <c r="AD1714" s="119">
        <v>0</v>
      </c>
      <c r="AE1714" s="401"/>
      <c r="AF1714" s="119"/>
      <c r="AG1714" s="119"/>
      <c r="AH1714" s="119"/>
      <c r="AI1714" s="119">
        <v>0</v>
      </c>
      <c r="AJ1714" s="401"/>
      <c r="AK1714" s="119"/>
      <c r="AL1714" s="119"/>
      <c r="AM1714" s="119"/>
      <c r="AN1714" s="119">
        <v>0</v>
      </c>
      <c r="AO1714" s="401"/>
      <c r="AP1714" s="119"/>
      <c r="AQ1714" s="119"/>
      <c r="AR1714" s="119"/>
      <c r="AS1714" s="119">
        <v>0</v>
      </c>
      <c r="AT1714" s="401"/>
      <c r="AU1714" s="119"/>
      <c r="AV1714" s="119"/>
      <c r="AW1714" s="119"/>
      <c r="AX1714" s="119">
        <v>0</v>
      </c>
      <c r="AY1714" s="401"/>
      <c r="AZ1714" s="119"/>
      <c r="BA1714" s="119"/>
      <c r="BB1714" s="302">
        <v>11.814</v>
      </c>
      <c r="BC1714" s="119">
        <v>14.456</v>
      </c>
      <c r="BD1714" s="403">
        <v>14.456</v>
      </c>
      <c r="BE1714" s="302">
        <v>0.95399999999999996</v>
      </c>
      <c r="BF1714" s="302">
        <v>15.863</v>
      </c>
      <c r="BG1714" s="302">
        <v>15.64</v>
      </c>
      <c r="BH1714" s="119">
        <v>1.343</v>
      </c>
      <c r="BI1714" s="514">
        <v>1.343</v>
      </c>
      <c r="BJ1714" s="118"/>
      <c r="BK1714" s="118"/>
      <c r="BL1714" s="118"/>
      <c r="BM1714" s="118"/>
      <c r="BN1714" s="401"/>
      <c r="BO1714" s="118"/>
      <c r="BP1714" s="118"/>
      <c r="BQ1714" s="118"/>
      <c r="BR1714" s="118"/>
      <c r="BS1714" s="401"/>
      <c r="BT1714" s="401"/>
      <c r="BU1714" s="401"/>
      <c r="BV1714" s="401"/>
      <c r="BW1714" s="122"/>
    </row>
    <row r="1715" spans="1:75" s="123" customFormat="1" hidden="1" outlineLevel="2" x14ac:dyDescent="0.5">
      <c r="A1715" s="513" t="s">
        <v>1499</v>
      </c>
      <c r="B1715" s="513"/>
      <c r="C1715" s="401"/>
      <c r="D1715" s="401"/>
      <c r="E1715" s="401"/>
      <c r="F1715" s="401"/>
      <c r="G1715" s="119"/>
      <c r="H1715" s="119"/>
      <c r="I1715" s="119"/>
      <c r="J1715" s="119"/>
      <c r="K1715" s="401"/>
      <c r="L1715" s="119"/>
      <c r="M1715" s="119"/>
      <c r="N1715" s="119"/>
      <c r="O1715" s="119"/>
      <c r="P1715" s="401"/>
      <c r="Q1715" s="119"/>
      <c r="R1715" s="119"/>
      <c r="S1715" s="119"/>
      <c r="T1715" s="119"/>
      <c r="U1715" s="401"/>
      <c r="V1715" s="119"/>
      <c r="W1715" s="119"/>
      <c r="X1715" s="119"/>
      <c r="Y1715" s="119"/>
      <c r="Z1715" s="401"/>
      <c r="AA1715" s="119"/>
      <c r="AB1715" s="119"/>
      <c r="AC1715" s="119"/>
      <c r="AD1715" s="119"/>
      <c r="AE1715" s="401"/>
      <c r="AF1715" s="119"/>
      <c r="AG1715" s="119"/>
      <c r="AH1715" s="119"/>
      <c r="AI1715" s="119"/>
      <c r="AJ1715" s="401"/>
      <c r="AK1715" s="119"/>
      <c r="AL1715" s="119"/>
      <c r="AM1715" s="119"/>
      <c r="AN1715" s="119"/>
      <c r="AO1715" s="401"/>
      <c r="AP1715" s="119"/>
      <c r="AQ1715" s="119"/>
      <c r="AR1715" s="119"/>
      <c r="AS1715" s="119"/>
      <c r="AT1715" s="401"/>
      <c r="AU1715" s="119"/>
      <c r="AV1715" s="119"/>
      <c r="AW1715" s="119"/>
      <c r="AX1715" s="119"/>
      <c r="AY1715" s="401"/>
      <c r="AZ1715" s="119"/>
      <c r="BA1715" s="119"/>
      <c r="BB1715" s="119"/>
      <c r="BC1715" s="119"/>
      <c r="BD1715" s="401"/>
      <c r="BE1715" s="119"/>
      <c r="BF1715" s="302">
        <v>12.045</v>
      </c>
      <c r="BG1715" s="302">
        <v>12.491</v>
      </c>
      <c r="BH1715" s="119">
        <v>11.988</v>
      </c>
      <c r="BI1715" s="514">
        <v>11.988</v>
      </c>
      <c r="BJ1715" s="118"/>
      <c r="BK1715" s="118"/>
      <c r="BL1715" s="118"/>
      <c r="BM1715" s="118"/>
      <c r="BN1715" s="401"/>
      <c r="BO1715" s="118"/>
      <c r="BP1715" s="118"/>
      <c r="BQ1715" s="118"/>
      <c r="BR1715" s="118"/>
      <c r="BS1715" s="401"/>
      <c r="BT1715" s="401"/>
      <c r="BU1715" s="401"/>
      <c r="BV1715" s="401"/>
      <c r="BW1715" s="122"/>
    </row>
    <row r="1716" spans="1:75" s="123" customFormat="1" hidden="1" outlineLevel="2" x14ac:dyDescent="0.5">
      <c r="A1716" s="677" t="s">
        <v>1500</v>
      </c>
      <c r="B1716" s="677"/>
      <c r="C1716" s="406"/>
      <c r="D1716" s="408">
        <v>7.97</v>
      </c>
      <c r="E1716" s="408">
        <v>3.8450000000000002</v>
      </c>
      <c r="F1716" s="408">
        <v>1.84</v>
      </c>
      <c r="G1716" s="357">
        <v>3.415</v>
      </c>
      <c r="H1716" s="357">
        <v>5.98</v>
      </c>
      <c r="I1716" s="357">
        <v>8.0109999999999992</v>
      </c>
      <c r="J1716" s="312">
        <v>8.5820000000000007</v>
      </c>
      <c r="K1716" s="408">
        <v>8.5820000000000007</v>
      </c>
      <c r="L1716" s="312"/>
      <c r="M1716" s="357">
        <v>2.9350000000000001</v>
      </c>
      <c r="N1716" s="357">
        <v>4.593</v>
      </c>
      <c r="O1716" s="312">
        <v>3.427</v>
      </c>
      <c r="P1716" s="408">
        <v>3.427</v>
      </c>
      <c r="Q1716" s="357">
        <v>2.9580000000000002</v>
      </c>
      <c r="R1716" s="357">
        <v>3.1160000000000001</v>
      </c>
      <c r="S1716" s="357">
        <v>5.3230000000000004</v>
      </c>
      <c r="T1716" s="312">
        <v>4.6740000000000004</v>
      </c>
      <c r="U1716" s="408">
        <v>4.6740000000000004</v>
      </c>
      <c r="V1716" s="357">
        <v>4.3079999999999998</v>
      </c>
      <c r="W1716" s="357">
        <v>6.7350000000000003</v>
      </c>
      <c r="X1716" s="357">
        <v>7.7789999999999999</v>
      </c>
      <c r="Y1716" s="312">
        <v>8.4179999999999993</v>
      </c>
      <c r="Z1716" s="408">
        <v>8.4179999999999993</v>
      </c>
      <c r="AA1716" s="357">
        <v>10.563000000000001</v>
      </c>
      <c r="AB1716" s="357">
        <v>13.484</v>
      </c>
      <c r="AC1716" s="357">
        <v>11.981999999999999</v>
      </c>
      <c r="AD1716" s="312">
        <v>11.468999999999999</v>
      </c>
      <c r="AE1716" s="408">
        <v>11.468999999999999</v>
      </c>
      <c r="AF1716" s="357">
        <v>11.08</v>
      </c>
      <c r="AG1716" s="357">
        <v>9.0579999999999998</v>
      </c>
      <c r="AH1716" s="357">
        <v>9.484</v>
      </c>
      <c r="AI1716" s="312">
        <v>10.959</v>
      </c>
      <c r="AJ1716" s="408">
        <v>10.959</v>
      </c>
      <c r="AK1716" s="357">
        <v>14.234</v>
      </c>
      <c r="AL1716" s="357">
        <v>23.832999999999998</v>
      </c>
      <c r="AM1716" s="357">
        <v>25.286000000000001</v>
      </c>
      <c r="AN1716" s="312">
        <v>15.433</v>
      </c>
      <c r="AO1716" s="408">
        <v>15.433</v>
      </c>
      <c r="AP1716" s="357">
        <v>15.385</v>
      </c>
      <c r="AQ1716" s="357">
        <v>16.175999999999998</v>
      </c>
      <c r="AR1716" s="357">
        <v>19.594000000000001</v>
      </c>
      <c r="AS1716" s="312">
        <v>19.401</v>
      </c>
      <c r="AT1716" s="408">
        <v>19.401</v>
      </c>
      <c r="AU1716" s="357">
        <v>16.591000000000001</v>
      </c>
      <c r="AV1716" s="357">
        <v>18.792999999999999</v>
      </c>
      <c r="AW1716" s="357">
        <v>19.585000000000001</v>
      </c>
      <c r="AX1716" s="312">
        <v>18.678999999999998</v>
      </c>
      <c r="AY1716" s="408">
        <v>18.678999999999998</v>
      </c>
      <c r="AZ1716" s="357">
        <v>14.582000000000001</v>
      </c>
      <c r="BA1716" s="357">
        <v>20.86</v>
      </c>
      <c r="BB1716" s="357">
        <v>34.363999999999997</v>
      </c>
      <c r="BC1716" s="312">
        <v>31.57</v>
      </c>
      <c r="BD1716" s="408">
        <v>31.57</v>
      </c>
      <c r="BE1716" s="357">
        <v>32.921999999999997</v>
      </c>
      <c r="BF1716" s="357">
        <v>32.585000000000001</v>
      </c>
      <c r="BG1716" s="357">
        <v>39.31</v>
      </c>
      <c r="BH1716" s="312">
        <v>21.515999999999998</v>
      </c>
      <c r="BI1716" s="515">
        <v>21.515999999999998</v>
      </c>
      <c r="BJ1716" s="312"/>
      <c r="BK1716" s="312"/>
      <c r="BL1716" s="312"/>
      <c r="BM1716" s="312"/>
      <c r="BN1716" s="406"/>
      <c r="BO1716" s="312"/>
      <c r="BP1716" s="312"/>
      <c r="BQ1716" s="312"/>
      <c r="BR1716" s="312"/>
      <c r="BS1716" s="406"/>
      <c r="BT1716" s="406"/>
      <c r="BU1716" s="406"/>
      <c r="BV1716" s="406"/>
      <c r="BW1716" s="122"/>
    </row>
    <row r="1717" spans="1:75" s="123" customFormat="1" hidden="1" outlineLevel="1" collapsed="1" x14ac:dyDescent="0.5">
      <c r="A1717" s="496" t="s">
        <v>1501</v>
      </c>
      <c r="B1717" s="513"/>
      <c r="C1717" s="401"/>
      <c r="D1717" s="401">
        <v>40.161000000000001</v>
      </c>
      <c r="E1717" s="401">
        <v>58.254000000000005</v>
      </c>
      <c r="F1717" s="401">
        <v>63.74499999999999</v>
      </c>
      <c r="G1717" s="119">
        <v>104.70800000000001</v>
      </c>
      <c r="H1717" s="119">
        <v>82.966000000000008</v>
      </c>
      <c r="I1717" s="119">
        <v>86.08499999999998</v>
      </c>
      <c r="J1717" s="119">
        <v>90.472000000000008</v>
      </c>
      <c r="K1717" s="401">
        <v>90.472000000000008</v>
      </c>
      <c r="L1717" s="119"/>
      <c r="M1717" s="119">
        <v>104.64</v>
      </c>
      <c r="N1717" s="119">
        <v>112.93599999999999</v>
      </c>
      <c r="O1717" s="119">
        <v>102.096</v>
      </c>
      <c r="P1717" s="401">
        <v>102.096</v>
      </c>
      <c r="Q1717" s="119">
        <v>94.031000000000006</v>
      </c>
      <c r="R1717" s="119">
        <v>101.417</v>
      </c>
      <c r="S1717" s="119">
        <v>112.655</v>
      </c>
      <c r="T1717" s="119">
        <v>105.69000000000001</v>
      </c>
      <c r="U1717" s="401">
        <v>105.69000000000001</v>
      </c>
      <c r="V1717" s="119">
        <v>100.43600000000001</v>
      </c>
      <c r="W1717" s="119">
        <v>91.894999999999982</v>
      </c>
      <c r="X1717" s="119">
        <v>109.56199999999998</v>
      </c>
      <c r="Y1717" s="119">
        <v>92.259999999999991</v>
      </c>
      <c r="Z1717" s="401">
        <v>92.259999999999991</v>
      </c>
      <c r="AA1717" s="119">
        <v>108.74900000000001</v>
      </c>
      <c r="AB1717" s="119">
        <v>111.38499999999999</v>
      </c>
      <c r="AC1717" s="119">
        <v>121.667</v>
      </c>
      <c r="AD1717" s="119">
        <v>123.452</v>
      </c>
      <c r="AE1717" s="401">
        <v>123.452</v>
      </c>
      <c r="AF1717" s="119">
        <v>98.128999999999991</v>
      </c>
      <c r="AG1717" s="119">
        <v>120.23599999999999</v>
      </c>
      <c r="AH1717" s="119">
        <v>134.58500000000001</v>
      </c>
      <c r="AI1717" s="119">
        <v>137.40199999999999</v>
      </c>
      <c r="AJ1717" s="401">
        <v>137.40199999999999</v>
      </c>
      <c r="AK1717" s="119">
        <v>113.07700000000001</v>
      </c>
      <c r="AL1717" s="119">
        <v>144.13</v>
      </c>
      <c r="AM1717" s="119">
        <v>150.90300000000002</v>
      </c>
      <c r="AN1717" s="119">
        <v>149.595</v>
      </c>
      <c r="AO1717" s="401">
        <v>149.595</v>
      </c>
      <c r="AP1717" s="119">
        <v>133.09</v>
      </c>
      <c r="AQ1717" s="119">
        <v>143.583</v>
      </c>
      <c r="AR1717" s="119">
        <v>167.57300000000001</v>
      </c>
      <c r="AS1717" s="119">
        <v>185.12900000000002</v>
      </c>
      <c r="AT1717" s="401">
        <v>185.12900000000002</v>
      </c>
      <c r="AU1717" s="119">
        <v>157.51000000000002</v>
      </c>
      <c r="AV1717" s="119">
        <v>188.17800000000003</v>
      </c>
      <c r="AW1717" s="119">
        <v>189.55300000000003</v>
      </c>
      <c r="AX1717" s="119">
        <v>200.34399999999999</v>
      </c>
      <c r="AY1717" s="401">
        <v>200.34399999999999</v>
      </c>
      <c r="AZ1717" s="119">
        <v>174.41200000000001</v>
      </c>
      <c r="BA1717" s="119">
        <v>189.81299999999999</v>
      </c>
      <c r="BB1717" s="119">
        <v>209.48099999999999</v>
      </c>
      <c r="BC1717" s="119">
        <v>208.86699999999999</v>
      </c>
      <c r="BD1717" s="401">
        <v>208.86699999999999</v>
      </c>
      <c r="BE1717" s="119">
        <v>165.21199999999999</v>
      </c>
      <c r="BF1717" s="119">
        <v>207.14</v>
      </c>
      <c r="BG1717" s="119">
        <v>220.18799999999999</v>
      </c>
      <c r="BH1717" s="119">
        <v>174.23999999999998</v>
      </c>
      <c r="BI1717" s="402">
        <v>174.23999999999998</v>
      </c>
      <c r="BJ1717" s="119">
        <v>150.71353346851524</v>
      </c>
      <c r="BK1717" s="119">
        <v>152.88309215184492</v>
      </c>
      <c r="BL1717" s="119">
        <v>174.0472427655146</v>
      </c>
      <c r="BM1717" s="119">
        <v>178.38595308848883</v>
      </c>
      <c r="BN1717" s="401">
        <v>178.38595308848883</v>
      </c>
      <c r="BO1717" s="119">
        <v>168.68920441377438</v>
      </c>
      <c r="BP1717" s="119">
        <v>175.03815166468908</v>
      </c>
      <c r="BQ1717" s="119">
        <v>199.40139348467326</v>
      </c>
      <c r="BR1717" s="119">
        <v>203.78406933031275</v>
      </c>
      <c r="BS1717" s="401">
        <v>203.78406933031275</v>
      </c>
      <c r="BT1717" s="401">
        <v>215.51510173350223</v>
      </c>
      <c r="BU1717" s="401">
        <v>222.42502996078812</v>
      </c>
      <c r="BV1717" s="401">
        <v>227.14716830813396</v>
      </c>
      <c r="BW1717" s="122"/>
    </row>
    <row r="1718" spans="1:75" s="123" customFormat="1" hidden="1" outlineLevel="1" x14ac:dyDescent="0.5">
      <c r="A1718" s="497" t="s">
        <v>1502</v>
      </c>
      <c r="B1718" s="677"/>
      <c r="C1718" s="406"/>
      <c r="D1718" s="406"/>
      <c r="E1718" s="406"/>
      <c r="F1718" s="406"/>
      <c r="G1718" s="312"/>
      <c r="H1718" s="312"/>
      <c r="I1718" s="312"/>
      <c r="J1718" s="312"/>
      <c r="K1718" s="406"/>
      <c r="L1718" s="312"/>
      <c r="M1718" s="312"/>
      <c r="N1718" s="312"/>
      <c r="O1718" s="312">
        <v>0</v>
      </c>
      <c r="P1718" s="406"/>
      <c r="Q1718" s="312"/>
      <c r="R1718" s="312"/>
      <c r="S1718" s="312"/>
      <c r="T1718" s="312">
        <v>0</v>
      </c>
      <c r="U1718" s="406"/>
      <c r="V1718" s="312"/>
      <c r="W1718" s="312"/>
      <c r="X1718" s="312"/>
      <c r="Y1718" s="312">
        <v>0</v>
      </c>
      <c r="Z1718" s="406"/>
      <c r="AA1718" s="312"/>
      <c r="AB1718" s="312"/>
      <c r="AC1718" s="312"/>
      <c r="AD1718" s="312">
        <v>0</v>
      </c>
      <c r="AE1718" s="406"/>
      <c r="AF1718" s="312"/>
      <c r="AG1718" s="312"/>
      <c r="AH1718" s="312"/>
      <c r="AI1718" s="312">
        <v>0</v>
      </c>
      <c r="AJ1718" s="406"/>
      <c r="AK1718" s="312"/>
      <c r="AL1718" s="312"/>
      <c r="AM1718" s="312"/>
      <c r="AN1718" s="312">
        <v>0</v>
      </c>
      <c r="AO1718" s="406"/>
      <c r="AP1718" s="312"/>
      <c r="AQ1718" s="357">
        <v>13.739000000000001</v>
      </c>
      <c r="AR1718" s="357">
        <v>13.598000000000001</v>
      </c>
      <c r="AS1718" s="312">
        <v>14.387</v>
      </c>
      <c r="AT1718" s="408">
        <v>14.387</v>
      </c>
      <c r="AU1718" s="312"/>
      <c r="AV1718" s="312"/>
      <c r="AW1718" s="312"/>
      <c r="AX1718" s="312">
        <v>0</v>
      </c>
      <c r="AY1718" s="406"/>
      <c r="AZ1718" s="312"/>
      <c r="BA1718" s="312"/>
      <c r="BB1718" s="312"/>
      <c r="BC1718" s="312">
        <v>0</v>
      </c>
      <c r="BD1718" s="406"/>
      <c r="BE1718" s="312"/>
      <c r="BF1718" s="312"/>
      <c r="BG1718" s="312"/>
      <c r="BH1718" s="312">
        <v>0</v>
      </c>
      <c r="BI1718" s="407"/>
      <c r="BJ1718" s="312">
        <v>0</v>
      </c>
      <c r="BK1718" s="312">
        <v>0</v>
      </c>
      <c r="BL1718" s="312">
        <v>0</v>
      </c>
      <c r="BM1718" s="312">
        <v>0</v>
      </c>
      <c r="BN1718" s="406">
        <v>0</v>
      </c>
      <c r="BO1718" s="312">
        <v>0</v>
      </c>
      <c r="BP1718" s="312">
        <v>0</v>
      </c>
      <c r="BQ1718" s="312">
        <v>0</v>
      </c>
      <c r="BR1718" s="312">
        <v>0</v>
      </c>
      <c r="BS1718" s="406">
        <v>0</v>
      </c>
      <c r="BT1718" s="406">
        <v>0</v>
      </c>
      <c r="BU1718" s="406">
        <v>0</v>
      </c>
      <c r="BV1718" s="406">
        <v>0</v>
      </c>
      <c r="BW1718" s="122"/>
    </row>
    <row r="1719" spans="1:75" s="123" customFormat="1" collapsed="1" x14ac:dyDescent="0.5">
      <c r="A1719" s="184" t="s">
        <v>1370</v>
      </c>
      <c r="B1719" s="513"/>
      <c r="C1719" s="401"/>
      <c r="D1719" s="401">
        <v>90.725999999999999</v>
      </c>
      <c r="E1719" s="401">
        <v>105.694</v>
      </c>
      <c r="F1719" s="401">
        <v>145.35300000000001</v>
      </c>
      <c r="G1719" s="119">
        <v>179.42000000000002</v>
      </c>
      <c r="H1719" s="119">
        <v>205.55099999999999</v>
      </c>
      <c r="I1719" s="119">
        <v>209.22799999999998</v>
      </c>
      <c r="J1719" s="119">
        <v>206.77800000000002</v>
      </c>
      <c r="K1719" s="401">
        <v>206.77800000000002</v>
      </c>
      <c r="L1719" s="302">
        <v>215.381</v>
      </c>
      <c r="M1719" s="119">
        <v>248.33600000000001</v>
      </c>
      <c r="N1719" s="119">
        <v>262.38099999999997</v>
      </c>
      <c r="O1719" s="119">
        <v>235.15899999999999</v>
      </c>
      <c r="P1719" s="401">
        <v>235.15899999999999</v>
      </c>
      <c r="Q1719" s="119">
        <v>240.422</v>
      </c>
      <c r="R1719" s="119">
        <v>291.38099999999997</v>
      </c>
      <c r="S1719" s="119">
        <v>300.88800000000003</v>
      </c>
      <c r="T1719" s="119">
        <v>280.714</v>
      </c>
      <c r="U1719" s="401">
        <v>280.714</v>
      </c>
      <c r="V1719" s="119">
        <v>248.971</v>
      </c>
      <c r="W1719" s="119">
        <v>222.81199999999998</v>
      </c>
      <c r="X1719" s="119">
        <v>231.07899999999998</v>
      </c>
      <c r="Y1719" s="119">
        <v>226.98</v>
      </c>
      <c r="Z1719" s="401">
        <v>226.98</v>
      </c>
      <c r="AA1719" s="119">
        <v>233.39500000000001</v>
      </c>
      <c r="AB1719" s="119">
        <v>271.83699999999999</v>
      </c>
      <c r="AC1719" s="119">
        <v>252.56899999999999</v>
      </c>
      <c r="AD1719" s="119">
        <v>318.76499999999999</v>
      </c>
      <c r="AE1719" s="401">
        <v>318.76499999999999</v>
      </c>
      <c r="AF1719" s="119">
        <v>264.173</v>
      </c>
      <c r="AG1719" s="119">
        <v>284.94200000000001</v>
      </c>
      <c r="AH1719" s="119">
        <v>306.86</v>
      </c>
      <c r="AI1719" s="119">
        <v>320.44099999999997</v>
      </c>
      <c r="AJ1719" s="401">
        <v>320.44099999999997</v>
      </c>
      <c r="AK1719" s="119">
        <v>289.14600000000002</v>
      </c>
      <c r="AL1719" s="119">
        <v>289.71299999999997</v>
      </c>
      <c r="AM1719" s="119">
        <v>288.93700000000001</v>
      </c>
      <c r="AN1719" s="119">
        <v>330.30899999999997</v>
      </c>
      <c r="AO1719" s="401">
        <v>330.30899999999997</v>
      </c>
      <c r="AP1719" s="119">
        <v>284.98</v>
      </c>
      <c r="AQ1719" s="119">
        <v>340.26599999999996</v>
      </c>
      <c r="AR1719" s="119">
        <v>368.55200000000002</v>
      </c>
      <c r="AS1719" s="119">
        <v>424.42200000000003</v>
      </c>
      <c r="AT1719" s="401">
        <v>424.42200000000003</v>
      </c>
      <c r="AU1719" s="119">
        <v>389.41100000000006</v>
      </c>
      <c r="AV1719" s="119">
        <v>426.78500000000003</v>
      </c>
      <c r="AW1719" s="119">
        <v>395.14800000000002</v>
      </c>
      <c r="AX1719" s="119">
        <v>442.37900000000002</v>
      </c>
      <c r="AY1719" s="401">
        <v>442.37900000000002</v>
      </c>
      <c r="AZ1719" s="119">
        <v>428.94900000000001</v>
      </c>
      <c r="BA1719" s="119">
        <v>376.13199999999995</v>
      </c>
      <c r="BB1719" s="119">
        <v>389.96500000000003</v>
      </c>
      <c r="BC1719" s="119">
        <v>374.94899999999996</v>
      </c>
      <c r="BD1719" s="401">
        <v>374.94899999999996</v>
      </c>
      <c r="BE1719" s="119">
        <v>321.74299999999999</v>
      </c>
      <c r="BF1719" s="119">
        <v>357.47899999999998</v>
      </c>
      <c r="BG1719" s="119">
        <v>399.72699999999998</v>
      </c>
      <c r="BH1719" s="119">
        <v>366.58499999999998</v>
      </c>
      <c r="BI1719" s="402">
        <v>366.58499999999998</v>
      </c>
      <c r="BJ1719" s="118">
        <v>308.38070778133772</v>
      </c>
      <c r="BK1719" s="118">
        <v>314.20570337425397</v>
      </c>
      <c r="BL1719" s="118">
        <v>340.43656274160281</v>
      </c>
      <c r="BM1719" s="118">
        <v>351.20418297650491</v>
      </c>
      <c r="BN1719" s="401">
        <v>351.20418297650491</v>
      </c>
      <c r="BO1719" s="118">
        <v>347.73026181049056</v>
      </c>
      <c r="BP1719" s="118">
        <v>360.32911712167225</v>
      </c>
      <c r="BQ1719" s="118">
        <v>390.90464461571503</v>
      </c>
      <c r="BR1719" s="118">
        <v>399.12255440261151</v>
      </c>
      <c r="BS1719" s="401">
        <v>399.12255440261151</v>
      </c>
      <c r="BT1719" s="401">
        <v>421.06203400651839</v>
      </c>
      <c r="BU1719" s="401">
        <v>433.44135983246531</v>
      </c>
      <c r="BV1719" s="401">
        <v>437.43363012005034</v>
      </c>
      <c r="BW1719" s="122"/>
    </row>
    <row r="1720" spans="1:75" s="123" customFormat="1" x14ac:dyDescent="0.5">
      <c r="A1720" s="184" t="s">
        <v>1503</v>
      </c>
      <c r="B1720" s="513"/>
      <c r="C1720" s="401"/>
      <c r="D1720" s="401"/>
      <c r="E1720" s="401"/>
      <c r="F1720" s="401"/>
      <c r="G1720" s="119"/>
      <c r="H1720" s="119"/>
      <c r="I1720" s="119"/>
      <c r="J1720" s="119"/>
      <c r="K1720" s="401"/>
      <c r="L1720" s="119"/>
      <c r="M1720" s="119"/>
      <c r="N1720" s="119"/>
      <c r="O1720" s="119"/>
      <c r="P1720" s="401"/>
      <c r="Q1720" s="119"/>
      <c r="R1720" s="119"/>
      <c r="S1720" s="119"/>
      <c r="T1720" s="119"/>
      <c r="U1720" s="401"/>
      <c r="V1720" s="119"/>
      <c r="W1720" s="119"/>
      <c r="X1720" s="119"/>
      <c r="Y1720" s="119"/>
      <c r="Z1720" s="401"/>
      <c r="AA1720" s="119"/>
      <c r="AB1720" s="119"/>
      <c r="AC1720" s="119"/>
      <c r="AD1720" s="119"/>
      <c r="AE1720" s="401"/>
      <c r="AF1720" s="119"/>
      <c r="AG1720" s="302">
        <v>335.67</v>
      </c>
      <c r="AH1720" s="302">
        <v>339.70699999999999</v>
      </c>
      <c r="AI1720" s="119">
        <v>343.78899999999999</v>
      </c>
      <c r="AJ1720" s="403">
        <v>343.78899999999999</v>
      </c>
      <c r="AK1720" s="302">
        <v>347.91800000000001</v>
      </c>
      <c r="AL1720" s="119"/>
      <c r="AM1720" s="119"/>
      <c r="AN1720" s="119">
        <v>0</v>
      </c>
      <c r="AO1720" s="401"/>
      <c r="AP1720" s="119"/>
      <c r="AQ1720" s="119"/>
      <c r="AR1720" s="119"/>
      <c r="AS1720" s="119">
        <v>0</v>
      </c>
      <c r="AT1720" s="401"/>
      <c r="AU1720" s="119"/>
      <c r="AV1720" s="119"/>
      <c r="AW1720" s="119"/>
      <c r="AX1720" s="119">
        <v>0</v>
      </c>
      <c r="AY1720" s="401"/>
      <c r="AZ1720" s="119"/>
      <c r="BA1720" s="119"/>
      <c r="BB1720" s="119"/>
      <c r="BC1720" s="119">
        <v>0</v>
      </c>
      <c r="BD1720" s="401"/>
      <c r="BE1720" s="119"/>
      <c r="BF1720" s="119"/>
      <c r="BG1720" s="119"/>
      <c r="BH1720" s="119">
        <v>0</v>
      </c>
      <c r="BI1720" s="402"/>
      <c r="BJ1720" s="118"/>
      <c r="BK1720" s="118"/>
      <c r="BL1720" s="118"/>
      <c r="BM1720" s="118"/>
      <c r="BN1720" s="401"/>
      <c r="BO1720" s="118"/>
      <c r="BP1720" s="118"/>
      <c r="BQ1720" s="118"/>
      <c r="BR1720" s="118"/>
      <c r="BS1720" s="401"/>
      <c r="BT1720" s="401"/>
      <c r="BU1720" s="401"/>
      <c r="BV1720" s="401"/>
      <c r="BW1720" s="122"/>
    </row>
    <row r="1721" spans="1:75" s="123" customFormat="1" x14ac:dyDescent="0.5">
      <c r="A1721" s="184" t="s">
        <v>1504</v>
      </c>
      <c r="B1721" s="513"/>
      <c r="C1721" s="401"/>
      <c r="D1721" s="401"/>
      <c r="E1721" s="401"/>
      <c r="F1721" s="401"/>
      <c r="G1721" s="119"/>
      <c r="H1721" s="119"/>
      <c r="I1721" s="119"/>
      <c r="J1721" s="119"/>
      <c r="K1721" s="401"/>
      <c r="L1721" s="119"/>
      <c r="M1721" s="119"/>
      <c r="N1721" s="119"/>
      <c r="O1721" s="119"/>
      <c r="P1721" s="401"/>
      <c r="Q1721" s="119"/>
      <c r="R1721" s="119"/>
      <c r="S1721" s="119"/>
      <c r="T1721" s="119"/>
      <c r="U1721" s="401"/>
      <c r="V1721" s="119"/>
      <c r="W1721" s="119"/>
      <c r="X1721" s="119"/>
      <c r="Y1721" s="119"/>
      <c r="Z1721" s="401"/>
      <c r="AA1721" s="119"/>
      <c r="AB1721" s="119"/>
      <c r="AC1721" s="119"/>
      <c r="AD1721" s="119"/>
      <c r="AE1721" s="401"/>
      <c r="AF1721" s="119"/>
      <c r="AG1721" s="119"/>
      <c r="AH1721" s="119"/>
      <c r="AI1721" s="119"/>
      <c r="AJ1721" s="401"/>
      <c r="AK1721" s="119"/>
      <c r="AL1721" s="302">
        <v>280.68799999999999</v>
      </c>
      <c r="AM1721" s="302">
        <v>285.57</v>
      </c>
      <c r="AN1721" s="119">
        <v>290.53199999999998</v>
      </c>
      <c r="AO1721" s="403">
        <v>290.53199999999998</v>
      </c>
      <c r="AP1721" s="302">
        <v>295.57400000000001</v>
      </c>
      <c r="AQ1721" s="119"/>
      <c r="AR1721" s="119"/>
      <c r="AS1721" s="119">
        <v>0</v>
      </c>
      <c r="AT1721" s="401"/>
      <c r="AU1721" s="119"/>
      <c r="AV1721" s="119"/>
      <c r="AW1721" s="119"/>
      <c r="AX1721" s="119">
        <v>0</v>
      </c>
      <c r="AY1721" s="401"/>
      <c r="AZ1721" s="119"/>
      <c r="BA1721" s="119"/>
      <c r="BB1721" s="119"/>
      <c r="BC1721" s="119">
        <v>0</v>
      </c>
      <c r="BD1721" s="401"/>
      <c r="BE1721" s="119"/>
      <c r="BF1721" s="119"/>
      <c r="BG1721" s="119"/>
      <c r="BH1721" s="119">
        <v>0</v>
      </c>
      <c r="BI1721" s="402"/>
      <c r="BJ1721" s="118"/>
      <c r="BK1721" s="118"/>
      <c r="BL1721" s="118"/>
      <c r="BM1721" s="118"/>
      <c r="BN1721" s="401"/>
      <c r="BO1721" s="118"/>
      <c r="BP1721" s="118"/>
      <c r="BQ1721" s="118"/>
      <c r="BR1721" s="118"/>
      <c r="BS1721" s="401"/>
      <c r="BT1721" s="401"/>
      <c r="BU1721" s="401"/>
      <c r="BV1721" s="401"/>
      <c r="BW1721" s="122"/>
    </row>
    <row r="1722" spans="1:75" s="123" customFormat="1" x14ac:dyDescent="0.5">
      <c r="A1722" s="184" t="s">
        <v>1505</v>
      </c>
      <c r="B1722" s="513"/>
      <c r="C1722" s="401"/>
      <c r="D1722" s="401"/>
      <c r="E1722" s="401"/>
      <c r="F1722" s="401"/>
      <c r="G1722" s="119"/>
      <c r="H1722" s="119"/>
      <c r="I1722" s="119"/>
      <c r="J1722" s="119"/>
      <c r="K1722" s="401"/>
      <c r="L1722" s="119"/>
      <c r="M1722" s="119"/>
      <c r="N1722" s="119"/>
      <c r="O1722" s="119"/>
      <c r="P1722" s="401"/>
      <c r="Q1722" s="119"/>
      <c r="R1722" s="119"/>
      <c r="S1722" s="119"/>
      <c r="T1722" s="119"/>
      <c r="U1722" s="401"/>
      <c r="V1722" s="119"/>
      <c r="W1722" s="119"/>
      <c r="X1722" s="119"/>
      <c r="Y1722" s="119"/>
      <c r="Z1722" s="401"/>
      <c r="AA1722" s="119"/>
      <c r="AB1722" s="119"/>
      <c r="AC1722" s="119"/>
      <c r="AD1722" s="119"/>
      <c r="AE1722" s="401"/>
      <c r="AF1722" s="119"/>
      <c r="AG1722" s="119"/>
      <c r="AH1722" s="119"/>
      <c r="AI1722" s="119"/>
      <c r="AJ1722" s="401"/>
      <c r="AK1722" s="119"/>
      <c r="AL1722" s="119"/>
      <c r="AM1722" s="119"/>
      <c r="AN1722" s="119"/>
      <c r="AO1722" s="401"/>
      <c r="AP1722" s="119"/>
      <c r="AQ1722" s="119"/>
      <c r="AR1722" s="119"/>
      <c r="AS1722" s="119"/>
      <c r="AT1722" s="401"/>
      <c r="AU1722" s="119"/>
      <c r="AV1722" s="302">
        <v>172.14099999999999</v>
      </c>
      <c r="AW1722" s="302">
        <v>53.241999999999997</v>
      </c>
      <c r="AX1722" s="119">
        <v>9.3889999999999993</v>
      </c>
      <c r="AY1722" s="403">
        <v>9.3889999999999993</v>
      </c>
      <c r="AZ1722" s="119"/>
      <c r="BA1722" s="302">
        <v>1.704</v>
      </c>
      <c r="BB1722" s="302">
        <v>1.702</v>
      </c>
      <c r="BC1722" s="119">
        <v>1.696</v>
      </c>
      <c r="BD1722" s="403">
        <v>1.696</v>
      </c>
      <c r="BE1722" s="302">
        <v>1.694</v>
      </c>
      <c r="BF1722" s="119"/>
      <c r="BG1722" s="119"/>
      <c r="BH1722" s="119">
        <v>0</v>
      </c>
      <c r="BI1722" s="402"/>
      <c r="BJ1722" s="118"/>
      <c r="BK1722" s="118"/>
      <c r="BL1722" s="118"/>
      <c r="BM1722" s="118"/>
      <c r="BN1722" s="401"/>
      <c r="BO1722" s="118"/>
      <c r="BP1722" s="118"/>
      <c r="BQ1722" s="118"/>
      <c r="BR1722" s="118"/>
      <c r="BS1722" s="401"/>
      <c r="BT1722" s="401"/>
      <c r="BU1722" s="401"/>
      <c r="BV1722" s="401"/>
      <c r="BW1722" s="122"/>
    </row>
    <row r="1723" spans="1:75" s="123" customFormat="1" x14ac:dyDescent="0.5">
      <c r="A1723" s="184" t="s">
        <v>1506</v>
      </c>
      <c r="B1723" s="513"/>
      <c r="C1723" s="401"/>
      <c r="D1723" s="401"/>
      <c r="E1723" s="401"/>
      <c r="F1723" s="401"/>
      <c r="G1723" s="119"/>
      <c r="H1723" s="119"/>
      <c r="I1723" s="119"/>
      <c r="J1723" s="119"/>
      <c r="K1723" s="401"/>
      <c r="L1723" s="119"/>
      <c r="M1723" s="119"/>
      <c r="N1723" s="119"/>
      <c r="O1723" s="119"/>
      <c r="P1723" s="401"/>
      <c r="Q1723" s="119"/>
      <c r="R1723" s="119"/>
      <c r="S1723" s="119"/>
      <c r="T1723" s="119"/>
      <c r="U1723" s="401"/>
      <c r="V1723" s="119"/>
      <c r="W1723" s="119"/>
      <c r="X1723" s="119"/>
      <c r="Y1723" s="119"/>
      <c r="Z1723" s="401"/>
      <c r="AA1723" s="119"/>
      <c r="AB1723" s="119"/>
      <c r="AC1723" s="119"/>
      <c r="AD1723" s="119"/>
      <c r="AE1723" s="401"/>
      <c r="AF1723" s="119"/>
      <c r="AG1723" s="119"/>
      <c r="AH1723" s="119"/>
      <c r="AI1723" s="119"/>
      <c r="AJ1723" s="401"/>
      <c r="AK1723" s="119"/>
      <c r="AL1723" s="119"/>
      <c r="AM1723" s="119"/>
      <c r="AN1723" s="119"/>
      <c r="AO1723" s="401"/>
      <c r="AP1723" s="119"/>
      <c r="AQ1723" s="119"/>
      <c r="AR1723" s="119"/>
      <c r="AS1723" s="119"/>
      <c r="AT1723" s="401"/>
      <c r="AU1723" s="119"/>
      <c r="AV1723" s="302">
        <v>66.503</v>
      </c>
      <c r="AW1723" s="302">
        <v>56.365000000000002</v>
      </c>
      <c r="AX1723" s="119">
        <v>3.6</v>
      </c>
      <c r="AY1723" s="403">
        <v>3.6</v>
      </c>
      <c r="AZ1723" s="119"/>
      <c r="BA1723" s="119"/>
      <c r="BB1723" s="119"/>
      <c r="BC1723" s="119">
        <v>0</v>
      </c>
      <c r="BD1723" s="401"/>
      <c r="BE1723" s="119"/>
      <c r="BF1723" s="119"/>
      <c r="BG1723" s="302">
        <v>41.807000000000002</v>
      </c>
      <c r="BH1723" s="119">
        <v>41.835000000000001</v>
      </c>
      <c r="BI1723" s="514">
        <v>41.835000000000001</v>
      </c>
      <c r="BJ1723" s="118">
        <v>41.835000000000157</v>
      </c>
      <c r="BK1723" s="118">
        <v>41.835000000000157</v>
      </c>
      <c r="BL1723" s="118">
        <v>41.835000000000157</v>
      </c>
      <c r="BM1723" s="118">
        <v>41.835000000000157</v>
      </c>
      <c r="BN1723" s="401">
        <v>41.835000000000157</v>
      </c>
      <c r="BO1723" s="118">
        <v>41.835000000000157</v>
      </c>
      <c r="BP1723" s="118">
        <v>41.835000000000157</v>
      </c>
      <c r="BQ1723" s="118">
        <v>41.835000000000157</v>
      </c>
      <c r="BR1723" s="118">
        <v>41.835000000000157</v>
      </c>
      <c r="BS1723" s="401">
        <v>41.835000000000157</v>
      </c>
      <c r="BT1723" s="401">
        <v>41.835000000000157</v>
      </c>
      <c r="BU1723" s="401">
        <v>41.835000000000157</v>
      </c>
      <c r="BV1723" s="401">
        <v>41.835000000000157</v>
      </c>
      <c r="BW1723" s="122"/>
    </row>
    <row r="1724" spans="1:75" s="123" customFormat="1" x14ac:dyDescent="0.5">
      <c r="A1724" s="184" t="s">
        <v>1507</v>
      </c>
      <c r="B1724" s="513"/>
      <c r="C1724" s="401"/>
      <c r="D1724" s="401"/>
      <c r="E1724" s="401"/>
      <c r="F1724" s="401"/>
      <c r="G1724" s="119"/>
      <c r="H1724" s="119"/>
      <c r="I1724" s="119"/>
      <c r="J1724" s="119"/>
      <c r="K1724" s="401"/>
      <c r="L1724" s="119"/>
      <c r="M1724" s="119"/>
      <c r="N1724" s="119"/>
      <c r="O1724" s="119"/>
      <c r="P1724" s="401"/>
      <c r="Q1724" s="119"/>
      <c r="R1724" s="119"/>
      <c r="S1724" s="119"/>
      <c r="T1724" s="119"/>
      <c r="U1724" s="401"/>
      <c r="V1724" s="119"/>
      <c r="W1724" s="119"/>
      <c r="X1724" s="119"/>
      <c r="Y1724" s="119"/>
      <c r="Z1724" s="401"/>
      <c r="AA1724" s="119"/>
      <c r="AB1724" s="119"/>
      <c r="AC1724" s="119"/>
      <c r="AD1724" s="119"/>
      <c r="AE1724" s="401"/>
      <c r="AF1724" s="119"/>
      <c r="AG1724" s="119"/>
      <c r="AH1724" s="119"/>
      <c r="AI1724" s="119"/>
      <c r="AJ1724" s="401"/>
      <c r="AK1724" s="119"/>
      <c r="AL1724" s="119"/>
      <c r="AM1724" s="119"/>
      <c r="AN1724" s="119"/>
      <c r="AO1724" s="401"/>
      <c r="AP1724" s="119"/>
      <c r="AQ1724" s="119"/>
      <c r="AR1724" s="119"/>
      <c r="AS1724" s="119"/>
      <c r="AT1724" s="401"/>
      <c r="AU1724" s="119"/>
      <c r="AV1724" s="119"/>
      <c r="AW1724" s="119"/>
      <c r="AX1724" s="119"/>
      <c r="AY1724" s="401"/>
      <c r="AZ1724" s="302">
        <v>313.70600000000002</v>
      </c>
      <c r="BA1724" s="119"/>
      <c r="BB1724" s="119"/>
      <c r="BC1724" s="119">
        <v>0</v>
      </c>
      <c r="BD1724" s="401"/>
      <c r="BE1724" s="119"/>
      <c r="BF1724" s="119"/>
      <c r="BG1724" s="119"/>
      <c r="BH1724" s="119">
        <v>0</v>
      </c>
      <c r="BI1724" s="402"/>
      <c r="BJ1724" s="118"/>
      <c r="BK1724" s="118"/>
      <c r="BL1724" s="118"/>
      <c r="BM1724" s="118"/>
      <c r="BN1724" s="401"/>
      <c r="BO1724" s="118"/>
      <c r="BP1724" s="118"/>
      <c r="BQ1724" s="118"/>
      <c r="BR1724" s="118"/>
      <c r="BS1724" s="401"/>
      <c r="BT1724" s="401"/>
      <c r="BU1724" s="401"/>
      <c r="BV1724" s="401"/>
      <c r="BW1724" s="122"/>
    </row>
    <row r="1725" spans="1:75" s="123" customFormat="1" x14ac:dyDescent="0.5">
      <c r="A1725" s="184" t="s">
        <v>1508</v>
      </c>
      <c r="B1725" s="513"/>
      <c r="C1725" s="401"/>
      <c r="D1725" s="401"/>
      <c r="E1725" s="401"/>
      <c r="F1725" s="401"/>
      <c r="G1725" s="119"/>
      <c r="H1725" s="119"/>
      <c r="I1725" s="119"/>
      <c r="J1725" s="119"/>
      <c r="K1725" s="401"/>
      <c r="L1725" s="119"/>
      <c r="M1725" s="119"/>
      <c r="N1725" s="119"/>
      <c r="O1725" s="119"/>
      <c r="P1725" s="401"/>
      <c r="Q1725" s="119"/>
      <c r="R1725" s="119"/>
      <c r="S1725" s="119"/>
      <c r="T1725" s="119"/>
      <c r="U1725" s="401"/>
      <c r="V1725" s="119"/>
      <c r="W1725" s="119"/>
      <c r="X1725" s="119"/>
      <c r="Y1725" s="119"/>
      <c r="Z1725" s="401"/>
      <c r="AA1725" s="119"/>
      <c r="AB1725" s="119"/>
      <c r="AC1725" s="119"/>
      <c r="AD1725" s="119"/>
      <c r="AE1725" s="401"/>
      <c r="AF1725" s="119"/>
      <c r="AG1725" s="119"/>
      <c r="AH1725" s="119"/>
      <c r="AI1725" s="119"/>
      <c r="AJ1725" s="401"/>
      <c r="AK1725" s="302">
        <v>56.600999999999999</v>
      </c>
      <c r="AL1725" s="302">
        <v>57.161999999999999</v>
      </c>
      <c r="AM1725" s="302">
        <v>55.753</v>
      </c>
      <c r="AN1725" s="119">
        <v>58.923999999999999</v>
      </c>
      <c r="AO1725" s="403">
        <v>58.923999999999999</v>
      </c>
      <c r="AP1725" s="302">
        <v>61.997</v>
      </c>
      <c r="AQ1725" s="302">
        <v>63.866</v>
      </c>
      <c r="AR1725" s="302">
        <v>64.879000000000005</v>
      </c>
      <c r="AS1725" s="119">
        <v>71.524000000000001</v>
      </c>
      <c r="AT1725" s="403">
        <v>71.524000000000001</v>
      </c>
      <c r="AU1725" s="302">
        <v>72.441999999999993</v>
      </c>
      <c r="AV1725" s="302">
        <v>74.073999999999998</v>
      </c>
      <c r="AW1725" s="302">
        <v>74.706000000000003</v>
      </c>
      <c r="AX1725" s="119">
        <v>73.834000000000003</v>
      </c>
      <c r="AY1725" s="403">
        <v>73.834000000000003</v>
      </c>
      <c r="AZ1725" s="302">
        <v>74.308999999999997</v>
      </c>
      <c r="BA1725" s="302">
        <v>75.289000000000001</v>
      </c>
      <c r="BB1725" s="302">
        <v>77.858000000000004</v>
      </c>
      <c r="BC1725" s="119">
        <v>80.384</v>
      </c>
      <c r="BD1725" s="403">
        <v>80.384</v>
      </c>
      <c r="BE1725" s="302">
        <v>81.262</v>
      </c>
      <c r="BF1725" s="302">
        <v>83.489000000000004</v>
      </c>
      <c r="BG1725" s="302">
        <v>89.492000000000004</v>
      </c>
      <c r="BH1725" s="119">
        <v>85.522999999999996</v>
      </c>
      <c r="BI1725" s="514">
        <v>85.522999999999996</v>
      </c>
      <c r="BJ1725" s="118">
        <v>85.522999999999996</v>
      </c>
      <c r="BK1725" s="118">
        <v>85.522999999999996</v>
      </c>
      <c r="BL1725" s="118">
        <v>85.522999999999996</v>
      </c>
      <c r="BM1725" s="118">
        <v>85.522999999999996</v>
      </c>
      <c r="BN1725" s="401">
        <v>85.522999999999996</v>
      </c>
      <c r="BO1725" s="118">
        <v>85.522999999999996</v>
      </c>
      <c r="BP1725" s="118">
        <v>85.522999999999996</v>
      </c>
      <c r="BQ1725" s="118">
        <v>85.522999999999996</v>
      </c>
      <c r="BR1725" s="118">
        <v>85.522999999999996</v>
      </c>
      <c r="BS1725" s="401">
        <v>85.522999999999996</v>
      </c>
      <c r="BT1725" s="401">
        <v>85.522999999999996</v>
      </c>
      <c r="BU1725" s="401">
        <v>85.522999999999996</v>
      </c>
      <c r="BV1725" s="401">
        <v>85.522999999999996</v>
      </c>
      <c r="BW1725" s="122"/>
    </row>
    <row r="1726" spans="1:75" s="123" customFormat="1" x14ac:dyDescent="0.5">
      <c r="A1726" s="184" t="s">
        <v>1371</v>
      </c>
      <c r="B1726" s="513"/>
      <c r="C1726" s="401"/>
      <c r="D1726" s="403">
        <v>14.000999999999999</v>
      </c>
      <c r="E1726" s="403">
        <v>25.419</v>
      </c>
      <c r="F1726" s="403">
        <v>41.643000000000001</v>
      </c>
      <c r="G1726" s="302">
        <v>43.094999999999999</v>
      </c>
      <c r="H1726" s="302">
        <v>52.764000000000003</v>
      </c>
      <c r="I1726" s="302">
        <v>51.25</v>
      </c>
      <c r="J1726" s="302">
        <v>48.927</v>
      </c>
      <c r="K1726" s="401">
        <v>48.927</v>
      </c>
      <c r="L1726" s="302">
        <v>53.933</v>
      </c>
      <c r="M1726" s="302">
        <v>71.191000000000003</v>
      </c>
      <c r="N1726" s="302">
        <v>69.927000000000007</v>
      </c>
      <c r="O1726" s="302">
        <v>73.55</v>
      </c>
      <c r="P1726" s="401">
        <v>73.55</v>
      </c>
      <c r="Q1726" s="302">
        <v>76.596000000000004</v>
      </c>
      <c r="R1726" s="302">
        <v>86.322000000000003</v>
      </c>
      <c r="S1726" s="302">
        <v>88.843999999999994</v>
      </c>
      <c r="T1726" s="119">
        <v>106.76900000000001</v>
      </c>
      <c r="U1726" s="403">
        <v>106.76900000000001</v>
      </c>
      <c r="V1726" s="302">
        <v>117.741</v>
      </c>
      <c r="W1726" s="302">
        <v>137.27699999999999</v>
      </c>
      <c r="X1726" s="302">
        <v>144.57400000000001</v>
      </c>
      <c r="Y1726" s="119">
        <v>145.91800000000001</v>
      </c>
      <c r="Z1726" s="403">
        <v>145.91800000000001</v>
      </c>
      <c r="AA1726" s="302">
        <v>168.17699999999999</v>
      </c>
      <c r="AB1726" s="302">
        <v>176.31</v>
      </c>
      <c r="AC1726" s="302">
        <v>166.57900000000001</v>
      </c>
      <c r="AD1726" s="119">
        <v>149.404</v>
      </c>
      <c r="AE1726" s="403">
        <v>149.404</v>
      </c>
      <c r="AF1726" s="302">
        <v>172.37899999999999</v>
      </c>
      <c r="AG1726" s="302">
        <v>164.97900000000001</v>
      </c>
      <c r="AH1726" s="302">
        <v>165.065</v>
      </c>
      <c r="AI1726" s="119">
        <v>152.595</v>
      </c>
      <c r="AJ1726" s="403">
        <v>152.595</v>
      </c>
      <c r="AK1726" s="302">
        <v>174.25200000000001</v>
      </c>
      <c r="AL1726" s="302">
        <v>165.511</v>
      </c>
      <c r="AM1726" s="302">
        <v>167.01400000000001</v>
      </c>
      <c r="AN1726" s="119">
        <v>162.43299999999999</v>
      </c>
      <c r="AO1726" s="403">
        <v>162.43299999999999</v>
      </c>
      <c r="AP1726" s="302">
        <v>189.048</v>
      </c>
      <c r="AQ1726" s="302">
        <v>230.089</v>
      </c>
      <c r="AR1726" s="302">
        <v>274.95800000000003</v>
      </c>
      <c r="AS1726" s="119">
        <v>280.64100000000002</v>
      </c>
      <c r="AT1726" s="403">
        <v>280.64100000000002</v>
      </c>
      <c r="AU1726" s="302">
        <v>363.404</v>
      </c>
      <c r="AV1726" s="302">
        <v>397.161</v>
      </c>
      <c r="AW1726" s="302">
        <v>385.07</v>
      </c>
      <c r="AX1726" s="119">
        <v>387.93299999999999</v>
      </c>
      <c r="AY1726" s="403">
        <v>387.93299999999999</v>
      </c>
      <c r="AZ1726" s="302">
        <v>436.76499999999999</v>
      </c>
      <c r="BA1726" s="302">
        <v>390.71</v>
      </c>
      <c r="BB1726" s="302">
        <v>361.113</v>
      </c>
      <c r="BC1726" s="119">
        <v>325.75400000000002</v>
      </c>
      <c r="BD1726" s="403">
        <v>325.75400000000002</v>
      </c>
      <c r="BE1726" s="302">
        <v>344.94400000000002</v>
      </c>
      <c r="BF1726" s="302">
        <v>331.03100000000001</v>
      </c>
      <c r="BG1726" s="302">
        <v>302.976</v>
      </c>
      <c r="BH1726" s="119">
        <v>282.81200000000001</v>
      </c>
      <c r="BI1726" s="514">
        <v>282.81200000000001</v>
      </c>
      <c r="BJ1726" s="118">
        <v>301.42706693703047</v>
      </c>
      <c r="BK1726" s="118">
        <v>305.76618430368984</v>
      </c>
      <c r="BL1726" s="118">
        <v>300.62705568588888</v>
      </c>
      <c r="BM1726" s="118">
        <v>308.1211916982989</v>
      </c>
      <c r="BN1726" s="401">
        <v>308.1211916982989</v>
      </c>
      <c r="BO1726" s="118">
        <v>337.37840882754875</v>
      </c>
      <c r="BP1726" s="118">
        <v>350.07630332937816</v>
      </c>
      <c r="BQ1726" s="118">
        <v>344.42058874625383</v>
      </c>
      <c r="BR1726" s="118">
        <v>351.99066520690383</v>
      </c>
      <c r="BS1726" s="401">
        <v>351.99066520690383</v>
      </c>
      <c r="BT1726" s="401">
        <v>372.25335753968568</v>
      </c>
      <c r="BU1726" s="401">
        <v>384.18868811408856</v>
      </c>
      <c r="BV1726" s="401">
        <v>392.34510889586778</v>
      </c>
      <c r="BW1726" s="122"/>
    </row>
    <row r="1727" spans="1:75" s="123" customFormat="1" x14ac:dyDescent="0.5">
      <c r="A1727" s="184" t="s">
        <v>1509</v>
      </c>
      <c r="B1727" s="513"/>
      <c r="C1727" s="401"/>
      <c r="D1727" s="401"/>
      <c r="E1727" s="401"/>
      <c r="F1727" s="401"/>
      <c r="G1727" s="119"/>
      <c r="H1727" s="119"/>
      <c r="I1727" s="119"/>
      <c r="J1727" s="119"/>
      <c r="K1727" s="401"/>
      <c r="L1727" s="119"/>
      <c r="M1727" s="119"/>
      <c r="N1727" s="119"/>
      <c r="O1727" s="119"/>
      <c r="P1727" s="401"/>
      <c r="Q1727" s="119"/>
      <c r="R1727" s="119"/>
      <c r="S1727" s="119"/>
      <c r="T1727" s="119"/>
      <c r="U1727" s="401"/>
      <c r="V1727" s="119"/>
      <c r="W1727" s="119"/>
      <c r="X1727" s="119"/>
      <c r="Y1727" s="119"/>
      <c r="Z1727" s="401"/>
      <c r="AA1727" s="119"/>
      <c r="AB1727" s="119"/>
      <c r="AC1727" s="119"/>
      <c r="AD1727" s="119"/>
      <c r="AE1727" s="401"/>
      <c r="AF1727" s="119"/>
      <c r="AG1727" s="119"/>
      <c r="AH1727" s="119"/>
      <c r="AI1727" s="119"/>
      <c r="AJ1727" s="401"/>
      <c r="AK1727" s="119"/>
      <c r="AL1727" s="119"/>
      <c r="AM1727" s="119"/>
      <c r="AN1727" s="119"/>
      <c r="AO1727" s="401"/>
      <c r="AP1727" s="119"/>
      <c r="AQ1727" s="119"/>
      <c r="AR1727" s="119"/>
      <c r="AS1727" s="119"/>
      <c r="AT1727" s="401"/>
      <c r="AU1727" s="302">
        <v>89.311000000000007</v>
      </c>
      <c r="AV1727" s="119"/>
      <c r="AW1727" s="119"/>
      <c r="AX1727" s="119">
        <v>0</v>
      </c>
      <c r="AY1727" s="401"/>
      <c r="AZ1727" s="119"/>
      <c r="BA1727" s="119"/>
      <c r="BB1727" s="119"/>
      <c r="BC1727" s="119">
        <v>0</v>
      </c>
      <c r="BD1727" s="401"/>
      <c r="BE1727" s="119"/>
      <c r="BF1727" s="119"/>
      <c r="BG1727" s="119"/>
      <c r="BH1727" s="119">
        <v>0</v>
      </c>
      <c r="BI1727" s="402"/>
      <c r="BJ1727" s="118">
        <v>0</v>
      </c>
      <c r="BK1727" s="118">
        <v>0</v>
      </c>
      <c r="BL1727" s="118">
        <v>0</v>
      </c>
      <c r="BM1727" s="118">
        <v>0</v>
      </c>
      <c r="BN1727" s="401">
        <v>0</v>
      </c>
      <c r="BO1727" s="118">
        <v>0</v>
      </c>
      <c r="BP1727" s="118">
        <v>0</v>
      </c>
      <c r="BQ1727" s="118">
        <v>0</v>
      </c>
      <c r="BR1727" s="118">
        <v>0</v>
      </c>
      <c r="BS1727" s="401">
        <v>0</v>
      </c>
      <c r="BT1727" s="401">
        <v>0</v>
      </c>
      <c r="BU1727" s="401">
        <v>0</v>
      </c>
      <c r="BV1727" s="401">
        <v>0</v>
      </c>
      <c r="BW1727" s="122"/>
    </row>
    <row r="1728" spans="1:75" s="123" customFormat="1" x14ac:dyDescent="0.5">
      <c r="A1728" s="184" t="s">
        <v>1510</v>
      </c>
      <c r="B1728" s="513"/>
      <c r="C1728" s="401"/>
      <c r="D1728" s="401"/>
      <c r="E1728" s="401"/>
      <c r="F1728" s="401"/>
      <c r="G1728" s="119"/>
      <c r="H1728" s="119"/>
      <c r="I1728" s="119"/>
      <c r="J1728" s="302">
        <v>0.14499999999999999</v>
      </c>
      <c r="K1728" s="401">
        <v>0.14499999999999999</v>
      </c>
      <c r="L1728" s="302">
        <v>0.14299999999999999</v>
      </c>
      <c r="M1728" s="302">
        <v>0.14299999999999999</v>
      </c>
      <c r="N1728" s="302">
        <v>0.14399999999999999</v>
      </c>
      <c r="O1728" s="302">
        <v>0.13300000000000001</v>
      </c>
      <c r="P1728" s="401">
        <v>0.13300000000000001</v>
      </c>
      <c r="Q1728" s="302">
        <v>0</v>
      </c>
      <c r="R1728" s="302">
        <v>1.194</v>
      </c>
      <c r="S1728" s="302">
        <v>0.13</v>
      </c>
      <c r="T1728" s="119">
        <v>0</v>
      </c>
      <c r="U1728" s="403">
        <v>0</v>
      </c>
      <c r="V1728" s="302">
        <v>0</v>
      </c>
      <c r="W1728" s="302">
        <v>0</v>
      </c>
      <c r="X1728" s="302">
        <v>0</v>
      </c>
      <c r="Y1728" s="119">
        <v>0</v>
      </c>
      <c r="Z1728" s="401"/>
      <c r="AA1728" s="302">
        <v>0</v>
      </c>
      <c r="AB1728" s="119"/>
      <c r="AC1728" s="119"/>
      <c r="AD1728" s="119">
        <v>0</v>
      </c>
      <c r="AE1728" s="401"/>
      <c r="AF1728" s="302">
        <v>0</v>
      </c>
      <c r="AG1728" s="119"/>
      <c r="AH1728" s="119"/>
      <c r="AI1728" s="119">
        <v>0</v>
      </c>
      <c r="AJ1728" s="401"/>
      <c r="AK1728" s="119"/>
      <c r="AL1728" s="119"/>
      <c r="AM1728" s="119"/>
      <c r="AN1728" s="119">
        <v>0</v>
      </c>
      <c r="AO1728" s="401"/>
      <c r="AP1728" s="119"/>
      <c r="AQ1728" s="119"/>
      <c r="AR1728" s="119"/>
      <c r="AS1728" s="119">
        <v>0</v>
      </c>
      <c r="AT1728" s="401"/>
      <c r="AU1728" s="119"/>
      <c r="AV1728" s="119"/>
      <c r="AW1728" s="119"/>
      <c r="AX1728" s="119">
        <v>0</v>
      </c>
      <c r="AY1728" s="401"/>
      <c r="AZ1728" s="119"/>
      <c r="BA1728" s="119"/>
      <c r="BB1728" s="119"/>
      <c r="BC1728" s="119">
        <v>0</v>
      </c>
      <c r="BD1728" s="401"/>
      <c r="BE1728" s="119"/>
      <c r="BF1728" s="119"/>
      <c r="BG1728" s="119"/>
      <c r="BH1728" s="119">
        <v>0</v>
      </c>
      <c r="BI1728" s="402"/>
      <c r="BJ1728" s="118">
        <v>0</v>
      </c>
      <c r="BK1728" s="118">
        <v>0</v>
      </c>
      <c r="BL1728" s="118">
        <v>0</v>
      </c>
      <c r="BM1728" s="118">
        <v>0</v>
      </c>
      <c r="BN1728" s="401">
        <v>0</v>
      </c>
      <c r="BO1728" s="118">
        <v>0</v>
      </c>
      <c r="BP1728" s="118">
        <v>0</v>
      </c>
      <c r="BQ1728" s="118">
        <v>0</v>
      </c>
      <c r="BR1728" s="118">
        <v>0</v>
      </c>
      <c r="BS1728" s="401">
        <v>0</v>
      </c>
      <c r="BT1728" s="401">
        <v>0</v>
      </c>
      <c r="BU1728" s="401">
        <v>0</v>
      </c>
      <c r="BV1728" s="401">
        <v>0</v>
      </c>
      <c r="BW1728" s="122"/>
    </row>
    <row r="1729" spans="1:75" s="123" customFormat="1" hidden="1" outlineLevel="1" x14ac:dyDescent="0.5">
      <c r="A1729" s="496" t="s">
        <v>1511</v>
      </c>
      <c r="B1729" s="513"/>
      <c r="C1729" s="401"/>
      <c r="D1729" s="403">
        <v>16.239999999999998</v>
      </c>
      <c r="E1729" s="403">
        <v>20.742000000000001</v>
      </c>
      <c r="F1729" s="403">
        <v>18.434999999999999</v>
      </c>
      <c r="G1729" s="119"/>
      <c r="H1729" s="119"/>
      <c r="I1729" s="119"/>
      <c r="J1729" s="302">
        <v>18.829999999999998</v>
      </c>
      <c r="K1729" s="401">
        <v>18.829999999999998</v>
      </c>
      <c r="L1729" s="302">
        <v>19.47</v>
      </c>
      <c r="M1729" s="302">
        <v>19.632999999999999</v>
      </c>
      <c r="N1729" s="302">
        <v>21.773</v>
      </c>
      <c r="O1729" s="119">
        <v>23.004000000000001</v>
      </c>
      <c r="P1729" s="403">
        <v>23.004000000000001</v>
      </c>
      <c r="Q1729" s="302">
        <v>22.658000000000001</v>
      </c>
      <c r="R1729" s="302">
        <v>22.446999999999999</v>
      </c>
      <c r="S1729" s="302">
        <v>25.093</v>
      </c>
      <c r="T1729" s="119">
        <v>24.364000000000001</v>
      </c>
      <c r="U1729" s="403">
        <v>24.364000000000001</v>
      </c>
      <c r="V1729" s="302">
        <v>30.628</v>
      </c>
      <c r="W1729" s="302">
        <v>28.847000000000001</v>
      </c>
      <c r="X1729" s="302">
        <v>27.75</v>
      </c>
      <c r="Y1729" s="119">
        <v>24.524000000000001</v>
      </c>
      <c r="Z1729" s="403">
        <v>24.524000000000001</v>
      </c>
      <c r="AA1729" s="302">
        <v>24.991</v>
      </c>
      <c r="AB1729" s="302">
        <v>23.916</v>
      </c>
      <c r="AC1729" s="302">
        <v>27.448</v>
      </c>
      <c r="AD1729" s="119">
        <v>24.138000000000002</v>
      </c>
      <c r="AE1729" s="403">
        <v>24.138000000000002</v>
      </c>
      <c r="AF1729" s="302">
        <v>17.672999999999998</v>
      </c>
      <c r="AG1729" s="302">
        <v>19.11</v>
      </c>
      <c r="AH1729" s="302">
        <v>20.106000000000002</v>
      </c>
      <c r="AI1729" s="119">
        <v>17.192</v>
      </c>
      <c r="AJ1729" s="403">
        <v>17.192</v>
      </c>
      <c r="AK1729" s="302">
        <v>17.582000000000001</v>
      </c>
      <c r="AL1729" s="302">
        <v>17.177</v>
      </c>
      <c r="AM1729" s="302">
        <v>18.748999999999999</v>
      </c>
      <c r="AN1729" s="119">
        <v>16.625</v>
      </c>
      <c r="AO1729" s="403">
        <v>16.625</v>
      </c>
      <c r="AP1729" s="302">
        <v>21.876999999999999</v>
      </c>
      <c r="AQ1729" s="302">
        <v>17.597000000000001</v>
      </c>
      <c r="AR1729" s="302">
        <v>14.929</v>
      </c>
      <c r="AS1729" s="119">
        <v>19.172999999999998</v>
      </c>
      <c r="AT1729" s="403">
        <v>19.172999999999998</v>
      </c>
      <c r="AU1729" s="302">
        <v>18.574000000000002</v>
      </c>
      <c r="AV1729" s="302">
        <v>20.321999999999999</v>
      </c>
      <c r="AW1729" s="302">
        <v>22.794</v>
      </c>
      <c r="AX1729" s="119">
        <v>22.712</v>
      </c>
      <c r="AY1729" s="403">
        <v>22.712</v>
      </c>
      <c r="AZ1729" s="302">
        <v>25.236999999999998</v>
      </c>
      <c r="BA1729" s="302">
        <v>24.934999999999999</v>
      </c>
      <c r="BB1729" s="302">
        <v>28.303999999999998</v>
      </c>
      <c r="BC1729" s="119">
        <v>26.733000000000001</v>
      </c>
      <c r="BD1729" s="403">
        <v>26.733000000000001</v>
      </c>
      <c r="BE1729" s="302">
        <v>28.18</v>
      </c>
      <c r="BF1729" s="302">
        <v>24.212</v>
      </c>
      <c r="BG1729" s="302">
        <v>27.327999999999999</v>
      </c>
      <c r="BH1729" s="119">
        <v>24.72</v>
      </c>
      <c r="BI1729" s="514">
        <v>24.72</v>
      </c>
      <c r="BJ1729" s="118">
        <v>24.72</v>
      </c>
      <c r="BK1729" s="118">
        <v>24.72</v>
      </c>
      <c r="BL1729" s="118">
        <v>24.72</v>
      </c>
      <c r="BM1729" s="118">
        <v>24.72</v>
      </c>
      <c r="BN1729" s="401">
        <v>24.72</v>
      </c>
      <c r="BO1729" s="118">
        <v>24.72</v>
      </c>
      <c r="BP1729" s="118">
        <v>24.72</v>
      </c>
      <c r="BQ1729" s="118">
        <v>24.72</v>
      </c>
      <c r="BR1729" s="118">
        <v>24.72</v>
      </c>
      <c r="BS1729" s="401">
        <v>24.72</v>
      </c>
      <c r="BT1729" s="401">
        <v>24.72</v>
      </c>
      <c r="BU1729" s="401">
        <v>24.72</v>
      </c>
      <c r="BV1729" s="401">
        <v>24.72</v>
      </c>
      <c r="BW1729" s="122"/>
    </row>
    <row r="1730" spans="1:75" s="123" customFormat="1" hidden="1" outlineLevel="1" x14ac:dyDescent="0.5">
      <c r="A1730" s="496" t="s">
        <v>1512</v>
      </c>
      <c r="B1730" s="513"/>
      <c r="C1730" s="401"/>
      <c r="D1730" s="401"/>
      <c r="E1730" s="401"/>
      <c r="F1730" s="401"/>
      <c r="G1730" s="119"/>
      <c r="H1730" s="119"/>
      <c r="I1730" s="119"/>
      <c r="J1730" s="119"/>
      <c r="K1730" s="401">
        <v>0</v>
      </c>
      <c r="L1730" s="119"/>
      <c r="M1730" s="119"/>
      <c r="N1730" s="119"/>
      <c r="O1730" s="119">
        <v>0</v>
      </c>
      <c r="P1730" s="401"/>
      <c r="Q1730" s="119"/>
      <c r="R1730" s="119"/>
      <c r="S1730" s="119"/>
      <c r="T1730" s="119">
        <v>0</v>
      </c>
      <c r="U1730" s="401"/>
      <c r="V1730" s="119"/>
      <c r="W1730" s="119"/>
      <c r="X1730" s="119"/>
      <c r="Y1730" s="119">
        <v>0</v>
      </c>
      <c r="Z1730" s="401"/>
      <c r="AA1730" s="119"/>
      <c r="AB1730" s="119"/>
      <c r="AC1730" s="302">
        <v>5.9859999999999998</v>
      </c>
      <c r="AD1730" s="119">
        <v>6.0330000000000004</v>
      </c>
      <c r="AE1730" s="403">
        <v>6.0330000000000004</v>
      </c>
      <c r="AF1730" s="302">
        <v>6.08</v>
      </c>
      <c r="AG1730" s="302">
        <v>0.89200000000000002</v>
      </c>
      <c r="AH1730" s="302">
        <v>0.89200000000000002</v>
      </c>
      <c r="AI1730" s="119">
        <v>0.89200000000000002</v>
      </c>
      <c r="AJ1730" s="403">
        <v>0.89200000000000002</v>
      </c>
      <c r="AK1730" s="302">
        <v>19.350999999999999</v>
      </c>
      <c r="AL1730" s="302">
        <v>21.513999999999999</v>
      </c>
      <c r="AM1730" s="302">
        <v>21.76</v>
      </c>
      <c r="AN1730" s="119">
        <v>22.009</v>
      </c>
      <c r="AO1730" s="403">
        <v>22.009</v>
      </c>
      <c r="AP1730" s="119"/>
      <c r="AQ1730" s="119"/>
      <c r="AR1730" s="119"/>
      <c r="AS1730" s="119">
        <v>0</v>
      </c>
      <c r="AT1730" s="401"/>
      <c r="AU1730" s="119"/>
      <c r="AV1730" s="119"/>
      <c r="AW1730" s="302">
        <v>20</v>
      </c>
      <c r="AX1730" s="119">
        <v>20</v>
      </c>
      <c r="AY1730" s="403">
        <v>20</v>
      </c>
      <c r="AZ1730" s="302">
        <v>20</v>
      </c>
      <c r="BA1730" s="302">
        <v>23.75</v>
      </c>
      <c r="BB1730" s="302">
        <v>25</v>
      </c>
      <c r="BC1730" s="119">
        <v>25</v>
      </c>
      <c r="BD1730" s="403">
        <v>25</v>
      </c>
      <c r="BE1730" s="302">
        <v>25</v>
      </c>
      <c r="BF1730" s="302">
        <v>25</v>
      </c>
      <c r="BG1730" s="302">
        <v>25</v>
      </c>
      <c r="BH1730" s="119">
        <v>25</v>
      </c>
      <c r="BI1730" s="514">
        <v>25</v>
      </c>
      <c r="BJ1730" s="118">
        <v>25</v>
      </c>
      <c r="BK1730" s="118">
        <v>25</v>
      </c>
      <c r="BL1730" s="118">
        <v>25</v>
      </c>
      <c r="BM1730" s="118">
        <v>25</v>
      </c>
      <c r="BN1730" s="401">
        <v>25</v>
      </c>
      <c r="BO1730" s="118">
        <v>25</v>
      </c>
      <c r="BP1730" s="118">
        <v>25</v>
      </c>
      <c r="BQ1730" s="118">
        <v>25</v>
      </c>
      <c r="BR1730" s="118">
        <v>25</v>
      </c>
      <c r="BS1730" s="401">
        <v>25</v>
      </c>
      <c r="BT1730" s="401">
        <v>25</v>
      </c>
      <c r="BU1730" s="401">
        <v>25</v>
      </c>
      <c r="BV1730" s="401">
        <v>25</v>
      </c>
      <c r="BW1730" s="122"/>
    </row>
    <row r="1731" spans="1:75" s="123" customFormat="1" hidden="1" outlineLevel="1" x14ac:dyDescent="0.5">
      <c r="A1731" s="496" t="s">
        <v>1513</v>
      </c>
      <c r="B1731" s="513"/>
      <c r="C1731" s="401"/>
      <c r="D1731" s="403">
        <v>3.403</v>
      </c>
      <c r="E1731" s="403">
        <v>3.181</v>
      </c>
      <c r="F1731" s="403">
        <v>5.2060000000000004</v>
      </c>
      <c r="G1731" s="119"/>
      <c r="H1731" s="119"/>
      <c r="I1731" s="119"/>
      <c r="J1731" s="302">
        <v>12.141999999999999</v>
      </c>
      <c r="K1731" s="401">
        <v>12.141999999999999</v>
      </c>
      <c r="L1731" s="302">
        <v>10.891999999999999</v>
      </c>
      <c r="M1731" s="302">
        <v>12.856</v>
      </c>
      <c r="N1731" s="302">
        <v>10.488</v>
      </c>
      <c r="O1731" s="119">
        <v>10.234999999999999</v>
      </c>
      <c r="P1731" s="403">
        <v>10.234999999999999</v>
      </c>
      <c r="Q1731" s="302">
        <v>9.7620000000000005</v>
      </c>
      <c r="R1731" s="302">
        <v>12.016999999999999</v>
      </c>
      <c r="S1731" s="302">
        <v>9.8510000000000009</v>
      </c>
      <c r="T1731" s="119">
        <v>12.688000000000001</v>
      </c>
      <c r="U1731" s="403">
        <v>12.688000000000001</v>
      </c>
      <c r="V1731" s="302">
        <v>9.4580000000000002</v>
      </c>
      <c r="W1731" s="302">
        <v>13.061</v>
      </c>
      <c r="X1731" s="302">
        <v>12.78</v>
      </c>
      <c r="Y1731" s="119">
        <v>10.077</v>
      </c>
      <c r="Z1731" s="403">
        <v>10.077</v>
      </c>
      <c r="AA1731" s="302">
        <v>10.698</v>
      </c>
      <c r="AB1731" s="302">
        <v>11.79</v>
      </c>
      <c r="AC1731" s="302">
        <v>10.999000000000001</v>
      </c>
      <c r="AD1731" s="119">
        <v>10.565</v>
      </c>
      <c r="AE1731" s="403">
        <v>10.565</v>
      </c>
      <c r="AF1731" s="302">
        <v>17.887</v>
      </c>
      <c r="AG1731" s="302">
        <v>23.068999999999999</v>
      </c>
      <c r="AH1731" s="302">
        <v>20.631</v>
      </c>
      <c r="AI1731" s="119">
        <v>19.821000000000002</v>
      </c>
      <c r="AJ1731" s="403">
        <v>19.821000000000002</v>
      </c>
      <c r="AK1731" s="302">
        <v>21.056000000000001</v>
      </c>
      <c r="AL1731" s="302">
        <v>22.38</v>
      </c>
      <c r="AM1731" s="302">
        <v>19.806999999999999</v>
      </c>
      <c r="AN1731" s="119">
        <v>19.206</v>
      </c>
      <c r="AO1731" s="403">
        <v>19.206</v>
      </c>
      <c r="AP1731" s="302">
        <v>17.962</v>
      </c>
      <c r="AQ1731" s="302">
        <v>18.795000000000002</v>
      </c>
      <c r="AR1731" s="302">
        <v>21.797000000000001</v>
      </c>
      <c r="AS1731" s="119">
        <v>25.559000000000001</v>
      </c>
      <c r="AT1731" s="403">
        <v>25.559000000000001</v>
      </c>
      <c r="AU1731" s="302">
        <v>28.649000000000001</v>
      </c>
      <c r="AV1731" s="302">
        <v>23.574000000000002</v>
      </c>
      <c r="AW1731" s="302">
        <v>27.033000000000001</v>
      </c>
      <c r="AX1731" s="119">
        <v>25.256</v>
      </c>
      <c r="AY1731" s="403">
        <v>25.256</v>
      </c>
      <c r="AZ1731" s="302">
        <v>24.709</v>
      </c>
      <c r="BA1731" s="302">
        <v>26.186</v>
      </c>
      <c r="BB1731" s="302">
        <v>24.399000000000001</v>
      </c>
      <c r="BC1731" s="119">
        <v>20.747</v>
      </c>
      <c r="BD1731" s="403">
        <v>20.747</v>
      </c>
      <c r="BE1731" s="302">
        <v>19.323</v>
      </c>
      <c r="BF1731" s="302">
        <v>21.408999999999999</v>
      </c>
      <c r="BG1731" s="302">
        <v>19.728999999999999</v>
      </c>
      <c r="BH1731" s="119">
        <v>19.588000000000001</v>
      </c>
      <c r="BI1731" s="514">
        <v>19.588000000000001</v>
      </c>
      <c r="BJ1731" s="118">
        <v>19.588000000000001</v>
      </c>
      <c r="BK1731" s="118">
        <v>19.588000000000001</v>
      </c>
      <c r="BL1731" s="118">
        <v>19.588000000000001</v>
      </c>
      <c r="BM1731" s="118">
        <v>19.588000000000001</v>
      </c>
      <c r="BN1731" s="401">
        <v>19.588000000000001</v>
      </c>
      <c r="BO1731" s="118">
        <v>19.588000000000001</v>
      </c>
      <c r="BP1731" s="118">
        <v>19.588000000000001</v>
      </c>
      <c r="BQ1731" s="118">
        <v>19.588000000000001</v>
      </c>
      <c r="BR1731" s="118">
        <v>19.588000000000001</v>
      </c>
      <c r="BS1731" s="401">
        <v>19.588000000000001</v>
      </c>
      <c r="BT1731" s="401">
        <v>19.588000000000001</v>
      </c>
      <c r="BU1731" s="401">
        <v>19.588000000000001</v>
      </c>
      <c r="BV1731" s="401">
        <v>19.588000000000001</v>
      </c>
      <c r="BW1731" s="122"/>
    </row>
    <row r="1732" spans="1:75" s="123" customFormat="1" hidden="1" outlineLevel="1" x14ac:dyDescent="0.5">
      <c r="A1732" s="496" t="s">
        <v>1514</v>
      </c>
      <c r="B1732" s="513"/>
      <c r="C1732" s="401"/>
      <c r="D1732" s="403">
        <v>2.3919999999999999</v>
      </c>
      <c r="E1732" s="403">
        <v>4.1139999999999999</v>
      </c>
      <c r="F1732" s="403">
        <v>2.9249999999999998</v>
      </c>
      <c r="G1732" s="119"/>
      <c r="H1732" s="119"/>
      <c r="I1732" s="119"/>
      <c r="J1732" s="302">
        <v>1.8069999999999999</v>
      </c>
      <c r="K1732" s="401">
        <v>1.8069999999999999</v>
      </c>
      <c r="L1732" s="302">
        <v>0.90300000000000002</v>
      </c>
      <c r="M1732" s="302">
        <v>0.45100000000000001</v>
      </c>
      <c r="N1732" s="302">
        <v>0.33300000000000002</v>
      </c>
      <c r="O1732" s="119">
        <v>0.255</v>
      </c>
      <c r="P1732" s="403">
        <v>0.255</v>
      </c>
      <c r="Q1732" s="302">
        <v>0.23599999999999999</v>
      </c>
      <c r="R1732" s="119"/>
      <c r="S1732" s="119"/>
      <c r="T1732" s="119">
        <v>0.182</v>
      </c>
      <c r="U1732" s="403">
        <v>0.182</v>
      </c>
      <c r="V1732" s="302">
        <v>0.13900000000000001</v>
      </c>
      <c r="W1732" s="302">
        <v>0.32200000000000001</v>
      </c>
      <c r="X1732" s="302">
        <v>0.28499999999999998</v>
      </c>
      <c r="Y1732" s="119">
        <v>0</v>
      </c>
      <c r="Z1732" s="401"/>
      <c r="AA1732" s="119"/>
      <c r="AB1732" s="119"/>
      <c r="AC1732" s="119"/>
      <c r="AD1732" s="119"/>
      <c r="AE1732" s="401"/>
      <c r="AF1732" s="119"/>
      <c r="AG1732" s="119"/>
      <c r="AH1732" s="119"/>
      <c r="AI1732" s="119"/>
      <c r="AJ1732" s="401"/>
      <c r="AK1732" s="302">
        <v>7.7160000000000002</v>
      </c>
      <c r="AL1732" s="302">
        <v>8.1270000000000007</v>
      </c>
      <c r="AM1732" s="302">
        <v>8.7550000000000008</v>
      </c>
      <c r="AN1732" s="119">
        <v>9.1880000000000006</v>
      </c>
      <c r="AO1732" s="403">
        <v>9.1880000000000006</v>
      </c>
      <c r="AP1732" s="302">
        <v>11.752000000000001</v>
      </c>
      <c r="AQ1732" s="302">
        <v>14.117000000000001</v>
      </c>
      <c r="AR1732" s="302">
        <v>14.314</v>
      </c>
      <c r="AS1732" s="119">
        <v>14.670999999999999</v>
      </c>
      <c r="AT1732" s="403">
        <v>14.670999999999999</v>
      </c>
      <c r="AU1732" s="302">
        <v>15.321999999999999</v>
      </c>
      <c r="AV1732" s="302">
        <v>14.231</v>
      </c>
      <c r="AW1732" s="302">
        <v>15.016999999999999</v>
      </c>
      <c r="AX1732" s="119">
        <v>15.510999999999999</v>
      </c>
      <c r="AY1732" s="403">
        <v>15.510999999999999</v>
      </c>
      <c r="AZ1732" s="302">
        <v>15.981999999999999</v>
      </c>
      <c r="BA1732" s="302">
        <v>16.248000000000001</v>
      </c>
      <c r="BB1732" s="302">
        <v>16.556999999999999</v>
      </c>
      <c r="BC1732" s="119">
        <v>17.007000000000001</v>
      </c>
      <c r="BD1732" s="403">
        <v>17.007000000000001</v>
      </c>
      <c r="BE1732" s="302">
        <v>17.349</v>
      </c>
      <c r="BF1732" s="302">
        <v>17.795000000000002</v>
      </c>
      <c r="BG1732" s="302">
        <v>18.151</v>
      </c>
      <c r="BH1732" s="119">
        <v>14.667999999999999</v>
      </c>
      <c r="BI1732" s="514">
        <v>14.667999999999999</v>
      </c>
      <c r="BJ1732" s="118">
        <v>14.667999999999999</v>
      </c>
      <c r="BK1732" s="118">
        <v>14.667999999999999</v>
      </c>
      <c r="BL1732" s="118">
        <v>14.667999999999999</v>
      </c>
      <c r="BM1732" s="118">
        <v>14.667999999999999</v>
      </c>
      <c r="BN1732" s="401">
        <v>14.667999999999999</v>
      </c>
      <c r="BO1732" s="118">
        <v>14.667999999999999</v>
      </c>
      <c r="BP1732" s="118">
        <v>14.667999999999999</v>
      </c>
      <c r="BQ1732" s="118">
        <v>14.667999999999999</v>
      </c>
      <c r="BR1732" s="118">
        <v>14.667999999999999</v>
      </c>
      <c r="BS1732" s="401">
        <v>14.667999999999999</v>
      </c>
      <c r="BT1732" s="401">
        <v>14.667999999999999</v>
      </c>
      <c r="BU1732" s="401">
        <v>14.667999999999999</v>
      </c>
      <c r="BV1732" s="401">
        <v>14.667999999999999</v>
      </c>
      <c r="BW1732" s="122"/>
    </row>
    <row r="1733" spans="1:75" s="123" customFormat="1" hidden="1" outlineLevel="1" x14ac:dyDescent="0.5">
      <c r="A1733" s="496" t="s">
        <v>1515</v>
      </c>
      <c r="B1733" s="513"/>
      <c r="C1733" s="401"/>
      <c r="D1733" s="401"/>
      <c r="E1733" s="401"/>
      <c r="F1733" s="401"/>
      <c r="G1733" s="119"/>
      <c r="H1733" s="119"/>
      <c r="I1733" s="119"/>
      <c r="J1733" s="119"/>
      <c r="K1733" s="401">
        <v>0</v>
      </c>
      <c r="L1733" s="119"/>
      <c r="M1733" s="119"/>
      <c r="N1733" s="119"/>
      <c r="O1733" s="119">
        <v>0</v>
      </c>
      <c r="P1733" s="401"/>
      <c r="Q1733" s="119"/>
      <c r="R1733" s="119"/>
      <c r="S1733" s="119"/>
      <c r="T1733" s="119">
        <v>0</v>
      </c>
      <c r="U1733" s="401"/>
      <c r="V1733" s="119"/>
      <c r="W1733" s="119"/>
      <c r="X1733" s="119"/>
      <c r="Y1733" s="119">
        <v>0</v>
      </c>
      <c r="Z1733" s="401"/>
      <c r="AA1733" s="119"/>
      <c r="AB1733" s="119"/>
      <c r="AC1733" s="119"/>
      <c r="AD1733" s="119">
        <v>0</v>
      </c>
      <c r="AE1733" s="401"/>
      <c r="AF1733" s="119"/>
      <c r="AG1733" s="119"/>
      <c r="AH1733" s="119"/>
      <c r="AI1733" s="119">
        <v>0</v>
      </c>
      <c r="AJ1733" s="401"/>
      <c r="AK1733" s="119"/>
      <c r="AL1733" s="119"/>
      <c r="AM1733" s="119"/>
      <c r="AN1733" s="119">
        <v>0</v>
      </c>
      <c r="AO1733" s="401"/>
      <c r="AP1733" s="302">
        <v>19.587</v>
      </c>
      <c r="AQ1733" s="302">
        <v>22.234999999999999</v>
      </c>
      <c r="AR1733" s="302">
        <v>22.489000000000001</v>
      </c>
      <c r="AS1733" s="119">
        <v>22.747</v>
      </c>
      <c r="AT1733" s="403">
        <v>22.747</v>
      </c>
      <c r="AU1733" s="302">
        <v>28.067</v>
      </c>
      <c r="AV1733" s="302">
        <v>24.071999999999999</v>
      </c>
      <c r="AW1733" s="302">
        <v>18.878</v>
      </c>
      <c r="AX1733" s="119">
        <v>13.625</v>
      </c>
      <c r="AY1733" s="403">
        <v>13.625</v>
      </c>
      <c r="AZ1733" s="302">
        <v>3.875</v>
      </c>
      <c r="BA1733" s="302">
        <v>2.2149999999999999</v>
      </c>
      <c r="BB1733" s="302">
        <v>1.6910000000000001</v>
      </c>
      <c r="BC1733" s="119">
        <v>1.1599999999999999</v>
      </c>
      <c r="BD1733" s="403">
        <v>1.1599999999999999</v>
      </c>
      <c r="BE1733" s="119"/>
      <c r="BF1733" s="119"/>
      <c r="BG1733" s="119"/>
      <c r="BH1733" s="119">
        <v>0</v>
      </c>
      <c r="BI1733" s="402"/>
      <c r="BJ1733" s="118">
        <v>0</v>
      </c>
      <c r="BK1733" s="118">
        <v>0</v>
      </c>
      <c r="BL1733" s="118">
        <v>0</v>
      </c>
      <c r="BM1733" s="118">
        <v>0</v>
      </c>
      <c r="BN1733" s="401">
        <v>0</v>
      </c>
      <c r="BO1733" s="118">
        <v>0</v>
      </c>
      <c r="BP1733" s="118">
        <v>0</v>
      </c>
      <c r="BQ1733" s="118">
        <v>0</v>
      </c>
      <c r="BR1733" s="118">
        <v>0</v>
      </c>
      <c r="BS1733" s="401">
        <v>0</v>
      </c>
      <c r="BT1733" s="401">
        <v>0</v>
      </c>
      <c r="BU1733" s="401">
        <v>0</v>
      </c>
      <c r="BV1733" s="401">
        <v>0</v>
      </c>
      <c r="BW1733" s="122"/>
    </row>
    <row r="1734" spans="1:75" s="123" customFormat="1" hidden="1" outlineLevel="1" x14ac:dyDescent="0.5">
      <c r="A1734" s="496" t="s">
        <v>1516</v>
      </c>
      <c r="B1734" s="513"/>
      <c r="C1734" s="401"/>
      <c r="D1734" s="401"/>
      <c r="E1734" s="401"/>
      <c r="F1734" s="401"/>
      <c r="G1734" s="119"/>
      <c r="H1734" s="119"/>
      <c r="I1734" s="119"/>
      <c r="J1734" s="302">
        <v>22.254000000000001</v>
      </c>
      <c r="K1734" s="401">
        <v>22.254000000000001</v>
      </c>
      <c r="L1734" s="302">
        <v>0.161</v>
      </c>
      <c r="M1734" s="302">
        <v>9.6240000000000006</v>
      </c>
      <c r="N1734" s="302">
        <v>11.356999999999999</v>
      </c>
      <c r="O1734" s="119">
        <v>1.5089999999999999</v>
      </c>
      <c r="P1734" s="403">
        <v>1.5089999999999999</v>
      </c>
      <c r="Q1734" s="302">
        <v>2.7930000000000001</v>
      </c>
      <c r="R1734" s="302">
        <v>13.111000000000001</v>
      </c>
      <c r="S1734" s="302">
        <v>4.1440000000000001</v>
      </c>
      <c r="T1734" s="119">
        <v>27.838000000000001</v>
      </c>
      <c r="U1734" s="403">
        <v>27.838000000000001</v>
      </c>
      <c r="V1734" s="119"/>
      <c r="W1734" s="119"/>
      <c r="X1734" s="119"/>
      <c r="Y1734" s="119">
        <v>0.61899999999999999</v>
      </c>
      <c r="Z1734" s="403">
        <v>0.61899999999999999</v>
      </c>
      <c r="AA1734" s="119"/>
      <c r="AB1734" s="119"/>
      <c r="AC1734" s="119"/>
      <c r="AD1734" s="119">
        <v>5.391</v>
      </c>
      <c r="AE1734" s="403">
        <v>5.391</v>
      </c>
      <c r="AF1734" s="302">
        <v>13.478</v>
      </c>
      <c r="AG1734" s="119"/>
      <c r="AH1734" s="119"/>
      <c r="AI1734" s="119">
        <v>0</v>
      </c>
      <c r="AJ1734" s="401"/>
      <c r="AK1734" s="302">
        <v>7.827</v>
      </c>
      <c r="AL1734" s="302">
        <v>2.4129999999999998</v>
      </c>
      <c r="AM1734" s="119"/>
      <c r="AN1734" s="119">
        <v>13.590999999999999</v>
      </c>
      <c r="AO1734" s="403">
        <v>13.590999999999999</v>
      </c>
      <c r="AP1734" s="302">
        <v>6.048</v>
      </c>
      <c r="AQ1734" s="302">
        <v>15.198</v>
      </c>
      <c r="AR1734" s="302">
        <v>36.148000000000003</v>
      </c>
      <c r="AS1734" s="119">
        <v>49.539000000000001</v>
      </c>
      <c r="AT1734" s="403">
        <v>49.539000000000001</v>
      </c>
      <c r="AU1734" s="119"/>
      <c r="AV1734" s="119"/>
      <c r="AW1734" s="302">
        <v>11.592000000000001</v>
      </c>
      <c r="AX1734" s="119">
        <v>31.364000000000001</v>
      </c>
      <c r="AY1734" s="403">
        <v>31.364000000000001</v>
      </c>
      <c r="AZ1734" s="119"/>
      <c r="BA1734" s="119"/>
      <c r="BB1734" s="119"/>
      <c r="BC1734" s="119">
        <v>4.3650000000000002</v>
      </c>
      <c r="BD1734" s="403">
        <v>4.3650000000000002</v>
      </c>
      <c r="BE1734" s="302">
        <v>4.4249999999999998</v>
      </c>
      <c r="BF1734" s="302">
        <v>4.524</v>
      </c>
      <c r="BG1734" s="302">
        <v>4.2320000000000002</v>
      </c>
      <c r="BH1734" s="119">
        <v>5.81</v>
      </c>
      <c r="BI1734" s="514">
        <v>5.81</v>
      </c>
      <c r="BJ1734" s="118">
        <v>5.81</v>
      </c>
      <c r="BK1734" s="118">
        <v>5.81</v>
      </c>
      <c r="BL1734" s="118">
        <v>5.81</v>
      </c>
      <c r="BM1734" s="118">
        <v>5.81</v>
      </c>
      <c r="BN1734" s="401">
        <v>5.81</v>
      </c>
      <c r="BO1734" s="118">
        <v>5.81</v>
      </c>
      <c r="BP1734" s="118">
        <v>5.81</v>
      </c>
      <c r="BQ1734" s="118">
        <v>5.81</v>
      </c>
      <c r="BR1734" s="118">
        <v>5.81</v>
      </c>
      <c r="BS1734" s="401">
        <v>5.81</v>
      </c>
      <c r="BT1734" s="401">
        <v>5.81</v>
      </c>
      <c r="BU1734" s="401">
        <v>5.81</v>
      </c>
      <c r="BV1734" s="401">
        <v>5.81</v>
      </c>
      <c r="BW1734" s="122"/>
    </row>
    <row r="1735" spans="1:75" s="123" customFormat="1" hidden="1" outlineLevel="1" x14ac:dyDescent="0.5">
      <c r="A1735" s="496" t="s">
        <v>1517</v>
      </c>
      <c r="B1735" s="513"/>
      <c r="C1735" s="401"/>
      <c r="D1735" s="401"/>
      <c r="E1735" s="401"/>
      <c r="F1735" s="401"/>
      <c r="G1735" s="119"/>
      <c r="H1735" s="119"/>
      <c r="I1735" s="119"/>
      <c r="J1735" s="119"/>
      <c r="K1735" s="401">
        <v>0</v>
      </c>
      <c r="L1735" s="119"/>
      <c r="M1735" s="119"/>
      <c r="N1735" s="119"/>
      <c r="O1735" s="119">
        <v>0</v>
      </c>
      <c r="P1735" s="401"/>
      <c r="Q1735" s="119"/>
      <c r="R1735" s="119"/>
      <c r="S1735" s="119"/>
      <c r="T1735" s="119">
        <v>0</v>
      </c>
      <c r="U1735" s="401"/>
      <c r="V1735" s="119"/>
      <c r="W1735" s="119"/>
      <c r="X1735" s="119"/>
      <c r="Y1735" s="119">
        <v>4.3239999999999998</v>
      </c>
      <c r="Z1735" s="403">
        <v>4.3239999999999998</v>
      </c>
      <c r="AA1735" s="302">
        <v>2.625</v>
      </c>
      <c r="AB1735" s="302">
        <v>6.59</v>
      </c>
      <c r="AC1735" s="302">
        <v>2.218</v>
      </c>
      <c r="AD1735" s="119">
        <v>1.2010000000000001</v>
      </c>
      <c r="AE1735" s="403">
        <v>1.2010000000000001</v>
      </c>
      <c r="AF1735" s="302">
        <v>1.0289999999999999</v>
      </c>
      <c r="AG1735" s="302">
        <v>3.5009999999999999</v>
      </c>
      <c r="AH1735" s="302">
        <v>6.8760000000000003</v>
      </c>
      <c r="AI1735" s="119">
        <v>7.7670000000000003</v>
      </c>
      <c r="AJ1735" s="403">
        <v>7.7670000000000003</v>
      </c>
      <c r="AK1735" s="302">
        <v>5.819</v>
      </c>
      <c r="AL1735" s="302">
        <v>4.6470000000000002</v>
      </c>
      <c r="AM1735" s="302">
        <v>2.3010000000000002</v>
      </c>
      <c r="AN1735" s="119">
        <v>2.0550000000000002</v>
      </c>
      <c r="AO1735" s="403">
        <v>2.0550000000000002</v>
      </c>
      <c r="AP1735" s="302">
        <v>1.819</v>
      </c>
      <c r="AQ1735" s="302">
        <v>6.4290000000000003</v>
      </c>
      <c r="AR1735" s="302">
        <v>6.6189999999999998</v>
      </c>
      <c r="AS1735" s="119">
        <v>8.1809999999999992</v>
      </c>
      <c r="AT1735" s="403">
        <v>8.1809999999999992</v>
      </c>
      <c r="AU1735" s="302">
        <v>7.0119999999999996</v>
      </c>
      <c r="AV1735" s="302">
        <v>5.78</v>
      </c>
      <c r="AW1735" s="119"/>
      <c r="AX1735" s="119">
        <v>0</v>
      </c>
      <c r="AY1735" s="401"/>
      <c r="AZ1735" s="119"/>
      <c r="BA1735" s="119"/>
      <c r="BB1735" s="119"/>
      <c r="BC1735" s="119">
        <v>0</v>
      </c>
      <c r="BD1735" s="401"/>
      <c r="BE1735" s="119"/>
      <c r="BF1735" s="119"/>
      <c r="BG1735" s="119"/>
      <c r="BH1735" s="119">
        <v>0</v>
      </c>
      <c r="BI1735" s="402"/>
      <c r="BJ1735" s="118">
        <v>0</v>
      </c>
      <c r="BK1735" s="118">
        <v>0</v>
      </c>
      <c r="BL1735" s="118">
        <v>0</v>
      </c>
      <c r="BM1735" s="118">
        <v>0</v>
      </c>
      <c r="BN1735" s="401">
        <v>0</v>
      </c>
      <c r="BO1735" s="118">
        <v>0</v>
      </c>
      <c r="BP1735" s="118">
        <v>0</v>
      </c>
      <c r="BQ1735" s="118">
        <v>0</v>
      </c>
      <c r="BR1735" s="118">
        <v>0</v>
      </c>
      <c r="BS1735" s="401">
        <v>0</v>
      </c>
      <c r="BT1735" s="401">
        <v>0</v>
      </c>
      <c r="BU1735" s="401">
        <v>0</v>
      </c>
      <c r="BV1735" s="401">
        <v>0</v>
      </c>
      <c r="BW1735" s="122"/>
    </row>
    <row r="1736" spans="1:75" s="123" customFormat="1" hidden="1" outlineLevel="1" x14ac:dyDescent="0.5">
      <c r="A1736" s="496" t="s">
        <v>1518</v>
      </c>
      <c r="B1736" s="513"/>
      <c r="C1736" s="401"/>
      <c r="D1736" s="401"/>
      <c r="E1736" s="401"/>
      <c r="F1736" s="401"/>
      <c r="G1736" s="119"/>
      <c r="H1736" s="119"/>
      <c r="I1736" s="119"/>
      <c r="J1736" s="119"/>
      <c r="K1736" s="401">
        <v>0</v>
      </c>
      <c r="L1736" s="119"/>
      <c r="M1736" s="119"/>
      <c r="N1736" s="119"/>
      <c r="O1736" s="119">
        <v>0</v>
      </c>
      <c r="P1736" s="401"/>
      <c r="Q1736" s="119"/>
      <c r="R1736" s="119"/>
      <c r="S1736" s="119"/>
      <c r="T1736" s="119">
        <v>0</v>
      </c>
      <c r="U1736" s="401"/>
      <c r="V1736" s="119"/>
      <c r="W1736" s="119"/>
      <c r="X1736" s="119"/>
      <c r="Y1736" s="119">
        <v>0</v>
      </c>
      <c r="Z1736" s="401"/>
      <c r="AA1736" s="119"/>
      <c r="AB1736" s="119"/>
      <c r="AC1736" s="119"/>
      <c r="AD1736" s="119">
        <v>0</v>
      </c>
      <c r="AE1736" s="401"/>
      <c r="AF1736" s="119"/>
      <c r="AG1736" s="119"/>
      <c r="AH1736" s="119"/>
      <c r="AI1736" s="119">
        <v>0</v>
      </c>
      <c r="AJ1736" s="401"/>
      <c r="AK1736" s="119"/>
      <c r="AL1736" s="119"/>
      <c r="AM1736" s="302">
        <v>30</v>
      </c>
      <c r="AN1736" s="119">
        <v>53</v>
      </c>
      <c r="AO1736" s="403">
        <v>53</v>
      </c>
      <c r="AP1736" s="302">
        <v>53</v>
      </c>
      <c r="AQ1736" s="302">
        <v>53</v>
      </c>
      <c r="AR1736" s="302">
        <v>53</v>
      </c>
      <c r="AS1736" s="119">
        <v>0</v>
      </c>
      <c r="AT1736" s="401"/>
      <c r="AU1736" s="119"/>
      <c r="AV1736" s="119"/>
      <c r="AW1736" s="119"/>
      <c r="AX1736" s="119">
        <v>0</v>
      </c>
      <c r="AY1736" s="401"/>
      <c r="AZ1736" s="119"/>
      <c r="BA1736" s="119"/>
      <c r="BB1736" s="119"/>
      <c r="BC1736" s="119">
        <v>0</v>
      </c>
      <c r="BD1736" s="401"/>
      <c r="BE1736" s="119"/>
      <c r="BF1736" s="119"/>
      <c r="BG1736" s="119"/>
      <c r="BH1736" s="119">
        <v>0</v>
      </c>
      <c r="BI1736" s="402"/>
      <c r="BJ1736" s="118">
        <v>0</v>
      </c>
      <c r="BK1736" s="118">
        <v>0</v>
      </c>
      <c r="BL1736" s="118">
        <v>0</v>
      </c>
      <c r="BM1736" s="118">
        <v>0</v>
      </c>
      <c r="BN1736" s="401">
        <v>0</v>
      </c>
      <c r="BO1736" s="118">
        <v>0</v>
      </c>
      <c r="BP1736" s="118">
        <v>0</v>
      </c>
      <c r="BQ1736" s="118">
        <v>0</v>
      </c>
      <c r="BR1736" s="118">
        <v>0</v>
      </c>
      <c r="BS1736" s="401">
        <v>0</v>
      </c>
      <c r="BT1736" s="401">
        <v>0</v>
      </c>
      <c r="BU1736" s="401">
        <v>0</v>
      </c>
      <c r="BV1736" s="401">
        <v>0</v>
      </c>
      <c r="BW1736" s="122"/>
    </row>
    <row r="1737" spans="1:75" s="123" customFormat="1" hidden="1" outlineLevel="1" x14ac:dyDescent="0.5">
      <c r="A1737" s="496" t="s">
        <v>1519</v>
      </c>
      <c r="B1737" s="513"/>
      <c r="C1737" s="401"/>
      <c r="D1737" s="401"/>
      <c r="E1737" s="401"/>
      <c r="F1737" s="401"/>
      <c r="G1737" s="119"/>
      <c r="H1737" s="119"/>
      <c r="I1737" s="119"/>
      <c r="J1737" s="119"/>
      <c r="K1737" s="401">
        <v>0</v>
      </c>
      <c r="L1737" s="119"/>
      <c r="M1737" s="119"/>
      <c r="N1737" s="119"/>
      <c r="O1737" s="119">
        <v>0</v>
      </c>
      <c r="P1737" s="401"/>
      <c r="Q1737" s="119"/>
      <c r="R1737" s="119"/>
      <c r="S1737" s="119"/>
      <c r="T1737" s="119">
        <v>0</v>
      </c>
      <c r="U1737" s="401"/>
      <c r="V1737" s="119"/>
      <c r="W1737" s="119"/>
      <c r="X1737" s="119"/>
      <c r="Y1737" s="119">
        <v>0</v>
      </c>
      <c r="Z1737" s="401"/>
      <c r="AA1737" s="119"/>
      <c r="AB1737" s="119"/>
      <c r="AC1737" s="119"/>
      <c r="AD1737" s="119">
        <v>0</v>
      </c>
      <c r="AE1737" s="401"/>
      <c r="AF1737" s="119"/>
      <c r="AG1737" s="119"/>
      <c r="AH1737" s="119"/>
      <c r="AI1737" s="119">
        <v>50</v>
      </c>
      <c r="AJ1737" s="403">
        <v>50</v>
      </c>
      <c r="AK1737" s="302">
        <v>60.073</v>
      </c>
      <c r="AL1737" s="302">
        <v>50.170999999999999</v>
      </c>
      <c r="AM1737" s="119"/>
      <c r="AN1737" s="119"/>
      <c r="AO1737" s="401"/>
      <c r="AP1737" s="119"/>
      <c r="AQ1737" s="119"/>
      <c r="AR1737" s="119"/>
      <c r="AS1737" s="119"/>
      <c r="AT1737" s="401"/>
      <c r="AU1737" s="119"/>
      <c r="AV1737" s="119"/>
      <c r="AW1737" s="119"/>
      <c r="AX1737" s="119">
        <v>0</v>
      </c>
      <c r="AY1737" s="401"/>
      <c r="AZ1737" s="119"/>
      <c r="BA1737" s="119"/>
      <c r="BB1737" s="119"/>
      <c r="BC1737" s="119">
        <v>0</v>
      </c>
      <c r="BD1737" s="401"/>
      <c r="BE1737" s="119"/>
      <c r="BF1737" s="119"/>
      <c r="BG1737" s="119"/>
      <c r="BH1737" s="119">
        <v>0</v>
      </c>
      <c r="BI1737" s="402"/>
      <c r="BJ1737" s="118">
        <v>0</v>
      </c>
      <c r="BK1737" s="118">
        <v>0</v>
      </c>
      <c r="BL1737" s="118">
        <v>0</v>
      </c>
      <c r="BM1737" s="118">
        <v>0</v>
      </c>
      <c r="BN1737" s="401">
        <v>0</v>
      </c>
      <c r="BO1737" s="118">
        <v>0</v>
      </c>
      <c r="BP1737" s="118">
        <v>0</v>
      </c>
      <c r="BQ1737" s="118">
        <v>0</v>
      </c>
      <c r="BR1737" s="118">
        <v>0</v>
      </c>
      <c r="BS1737" s="401">
        <v>0</v>
      </c>
      <c r="BT1737" s="401">
        <v>0</v>
      </c>
      <c r="BU1737" s="401">
        <v>0</v>
      </c>
      <c r="BV1737" s="401">
        <v>0</v>
      </c>
      <c r="BW1737" s="122"/>
    </row>
    <row r="1738" spans="1:75" s="123" customFormat="1" hidden="1" outlineLevel="1" x14ac:dyDescent="0.5">
      <c r="A1738" s="497" t="s">
        <v>1372</v>
      </c>
      <c r="B1738" s="677"/>
      <c r="C1738" s="406"/>
      <c r="D1738" s="408">
        <v>2.9649999999999999</v>
      </c>
      <c r="E1738" s="408">
        <v>2.8239999999999998</v>
      </c>
      <c r="F1738" s="408">
        <v>5.8620000000000001</v>
      </c>
      <c r="G1738" s="312"/>
      <c r="H1738" s="312"/>
      <c r="I1738" s="312"/>
      <c r="J1738" s="357">
        <v>6.5650000000000004</v>
      </c>
      <c r="K1738" s="406">
        <v>6.5650000000000004</v>
      </c>
      <c r="L1738" s="357">
        <v>1.8009999999999999</v>
      </c>
      <c r="M1738" s="357">
        <v>0.45200000000000001</v>
      </c>
      <c r="N1738" s="357">
        <v>0.6</v>
      </c>
      <c r="O1738" s="312">
        <v>0.58399999999999996</v>
      </c>
      <c r="P1738" s="408">
        <v>0.58399999999999996</v>
      </c>
      <c r="Q1738" s="357">
        <v>0.60499999999999998</v>
      </c>
      <c r="R1738" s="357">
        <v>0.214</v>
      </c>
      <c r="S1738" s="357">
        <v>0.18099999999999999</v>
      </c>
      <c r="T1738" s="312">
        <v>0</v>
      </c>
      <c r="U1738" s="406"/>
      <c r="V1738" s="312"/>
      <c r="W1738" s="357">
        <v>2.93</v>
      </c>
      <c r="X1738" s="357">
        <v>2.9529999999999998</v>
      </c>
      <c r="Y1738" s="312">
        <v>3.7269999999999999</v>
      </c>
      <c r="Z1738" s="408">
        <v>3.7269999999999999</v>
      </c>
      <c r="AA1738" s="357">
        <v>4.0350000000000001</v>
      </c>
      <c r="AB1738" s="357">
        <v>5.306</v>
      </c>
      <c r="AC1738" s="357">
        <v>3.9580000000000002</v>
      </c>
      <c r="AD1738" s="312">
        <v>3.8380000000000001</v>
      </c>
      <c r="AE1738" s="408">
        <v>3.8380000000000001</v>
      </c>
      <c r="AF1738" s="357">
        <v>3.7970000000000002</v>
      </c>
      <c r="AG1738" s="357">
        <v>4.782</v>
      </c>
      <c r="AH1738" s="357">
        <v>4.9359999999999999</v>
      </c>
      <c r="AI1738" s="312">
        <v>5.6749999999999998</v>
      </c>
      <c r="AJ1738" s="408">
        <v>5.6749999999999998</v>
      </c>
      <c r="AK1738" s="357">
        <v>4.2690000000000001</v>
      </c>
      <c r="AL1738" s="357">
        <v>5.4539999999999997</v>
      </c>
      <c r="AM1738" s="357">
        <v>5.0599999999999996</v>
      </c>
      <c r="AN1738" s="312">
        <v>5.04</v>
      </c>
      <c r="AO1738" s="408">
        <v>5.04</v>
      </c>
      <c r="AP1738" s="357">
        <v>5.2910000000000004</v>
      </c>
      <c r="AQ1738" s="357">
        <v>3.3879999999999999</v>
      </c>
      <c r="AR1738" s="357">
        <v>4.9000000000000004</v>
      </c>
      <c r="AS1738" s="312">
        <v>5.1749999999999998</v>
      </c>
      <c r="AT1738" s="408">
        <v>5.1749999999999998</v>
      </c>
      <c r="AU1738" s="357">
        <v>3.98</v>
      </c>
      <c r="AV1738" s="357">
        <v>4.3570000000000002</v>
      </c>
      <c r="AW1738" s="357">
        <v>16.465</v>
      </c>
      <c r="AX1738" s="312">
        <v>18.155000000000001</v>
      </c>
      <c r="AY1738" s="408">
        <v>18.155000000000001</v>
      </c>
      <c r="AZ1738" s="357">
        <v>17.998000000000001</v>
      </c>
      <c r="BA1738" s="357">
        <v>21.734000000000002</v>
      </c>
      <c r="BB1738" s="357">
        <v>8.5869999999999997</v>
      </c>
      <c r="BC1738" s="312">
        <v>8.1780000000000008</v>
      </c>
      <c r="BD1738" s="408">
        <v>8.1780000000000008</v>
      </c>
      <c r="BE1738" s="357">
        <v>7.5830000000000002</v>
      </c>
      <c r="BF1738" s="357">
        <v>7.7270000000000003</v>
      </c>
      <c r="BG1738" s="357">
        <v>6.532</v>
      </c>
      <c r="BH1738" s="312">
        <v>6.327</v>
      </c>
      <c r="BI1738" s="515">
        <v>6.327</v>
      </c>
      <c r="BJ1738" s="312">
        <v>6.327</v>
      </c>
      <c r="BK1738" s="312">
        <v>6.327</v>
      </c>
      <c r="BL1738" s="312">
        <v>6.327</v>
      </c>
      <c r="BM1738" s="312">
        <v>6.327</v>
      </c>
      <c r="BN1738" s="406">
        <v>6.327</v>
      </c>
      <c r="BO1738" s="312">
        <v>6.327</v>
      </c>
      <c r="BP1738" s="312">
        <v>6.327</v>
      </c>
      <c r="BQ1738" s="312">
        <v>6.327</v>
      </c>
      <c r="BR1738" s="312">
        <v>6.327</v>
      </c>
      <c r="BS1738" s="406">
        <v>6.327</v>
      </c>
      <c r="BT1738" s="406">
        <v>6.327</v>
      </c>
      <c r="BU1738" s="406">
        <v>6.327</v>
      </c>
      <c r="BV1738" s="406">
        <v>6.327</v>
      </c>
      <c r="BW1738" s="122"/>
    </row>
    <row r="1739" spans="1:75" s="123" customFormat="1" collapsed="1" x14ac:dyDescent="0.5">
      <c r="A1739" s="445" t="s">
        <v>1520</v>
      </c>
      <c r="B1739" s="677"/>
      <c r="C1739" s="406"/>
      <c r="D1739" s="406">
        <v>24.999999999999996</v>
      </c>
      <c r="E1739" s="406">
        <v>30.861000000000004</v>
      </c>
      <c r="F1739" s="406">
        <v>32.427999999999997</v>
      </c>
      <c r="G1739" s="357">
        <v>32.665999999999997</v>
      </c>
      <c r="H1739" s="357">
        <v>38.691000000000003</v>
      </c>
      <c r="I1739" s="357">
        <v>50.465000000000003</v>
      </c>
      <c r="J1739" s="312">
        <v>61.597999999999999</v>
      </c>
      <c r="K1739" s="406">
        <v>61.597999999999999</v>
      </c>
      <c r="L1739" s="312">
        <v>33.226999999999997</v>
      </c>
      <c r="M1739" s="312">
        <v>43.015999999999998</v>
      </c>
      <c r="N1739" s="312">
        <v>44.550999999999995</v>
      </c>
      <c r="O1739" s="312">
        <v>35.58700000000001</v>
      </c>
      <c r="P1739" s="406">
        <v>35.58700000000001</v>
      </c>
      <c r="Q1739" s="312">
        <v>36.053999999999995</v>
      </c>
      <c r="R1739" s="312">
        <v>47.789000000000001</v>
      </c>
      <c r="S1739" s="312">
        <v>39.268999999999998</v>
      </c>
      <c r="T1739" s="312">
        <v>65.072000000000003</v>
      </c>
      <c r="U1739" s="406">
        <v>65.072000000000003</v>
      </c>
      <c r="V1739" s="312">
        <v>40.225000000000001</v>
      </c>
      <c r="W1739" s="312">
        <v>45.160000000000004</v>
      </c>
      <c r="X1739" s="312">
        <v>43.768000000000001</v>
      </c>
      <c r="Y1739" s="312">
        <v>43.270999999999994</v>
      </c>
      <c r="Z1739" s="406">
        <v>43.270999999999994</v>
      </c>
      <c r="AA1739" s="312">
        <v>42.349000000000004</v>
      </c>
      <c r="AB1739" s="312">
        <v>47.602000000000004</v>
      </c>
      <c r="AC1739" s="312">
        <v>50.608999999999995</v>
      </c>
      <c r="AD1739" s="312">
        <v>51.166000000000004</v>
      </c>
      <c r="AE1739" s="406">
        <v>51.166000000000004</v>
      </c>
      <c r="AF1739" s="312">
        <v>59.944000000000003</v>
      </c>
      <c r="AG1739" s="312">
        <v>51.353999999999999</v>
      </c>
      <c r="AH1739" s="312">
        <v>53.441000000000003</v>
      </c>
      <c r="AI1739" s="312">
        <v>101.34699999999999</v>
      </c>
      <c r="AJ1739" s="406">
        <v>101.34699999999999</v>
      </c>
      <c r="AK1739" s="312">
        <v>143.69300000000001</v>
      </c>
      <c r="AL1739" s="312">
        <v>131.88300000000001</v>
      </c>
      <c r="AM1739" s="312">
        <v>106.432</v>
      </c>
      <c r="AN1739" s="312">
        <v>140.714</v>
      </c>
      <c r="AO1739" s="406">
        <v>140.714</v>
      </c>
      <c r="AP1739" s="312">
        <v>137.33600000000001</v>
      </c>
      <c r="AQ1739" s="312">
        <v>150.75900000000001</v>
      </c>
      <c r="AR1739" s="312">
        <v>174.196</v>
      </c>
      <c r="AS1739" s="312">
        <v>145.04500000000004</v>
      </c>
      <c r="AT1739" s="406">
        <v>145.04500000000004</v>
      </c>
      <c r="AU1739" s="312">
        <v>101.604</v>
      </c>
      <c r="AV1739" s="312">
        <v>92.335999999999999</v>
      </c>
      <c r="AW1739" s="312">
        <v>131.779</v>
      </c>
      <c r="AX1739" s="312">
        <v>146.62299999999999</v>
      </c>
      <c r="AY1739" s="406">
        <v>146.62299999999999</v>
      </c>
      <c r="AZ1739" s="312">
        <v>107.801</v>
      </c>
      <c r="BA1739" s="312">
        <v>115.06800000000001</v>
      </c>
      <c r="BB1739" s="312">
        <v>104.53800000000001</v>
      </c>
      <c r="BC1739" s="312">
        <v>103.19</v>
      </c>
      <c r="BD1739" s="406">
        <v>103.19</v>
      </c>
      <c r="BE1739" s="312">
        <v>101.86</v>
      </c>
      <c r="BF1739" s="312">
        <v>100.66700000000002</v>
      </c>
      <c r="BG1739" s="312">
        <v>100.97199999999999</v>
      </c>
      <c r="BH1739" s="312">
        <v>96.113</v>
      </c>
      <c r="BI1739" s="407">
        <v>96.113</v>
      </c>
      <c r="BJ1739" s="312">
        <v>96.113</v>
      </c>
      <c r="BK1739" s="312">
        <v>96.113</v>
      </c>
      <c r="BL1739" s="312">
        <v>96.113</v>
      </c>
      <c r="BM1739" s="312">
        <v>96.113</v>
      </c>
      <c r="BN1739" s="406">
        <v>96.113</v>
      </c>
      <c r="BO1739" s="312">
        <v>96.113</v>
      </c>
      <c r="BP1739" s="312">
        <v>96.113</v>
      </c>
      <c r="BQ1739" s="312">
        <v>96.113</v>
      </c>
      <c r="BR1739" s="312">
        <v>96.113</v>
      </c>
      <c r="BS1739" s="406">
        <v>96.113</v>
      </c>
      <c r="BT1739" s="406">
        <v>96.113</v>
      </c>
      <c r="BU1739" s="406">
        <v>96.113</v>
      </c>
      <c r="BV1739" s="406">
        <v>96.113</v>
      </c>
      <c r="BW1739" s="122"/>
    </row>
    <row r="1740" spans="1:75" s="198" customFormat="1" ht="14.25" x14ac:dyDescent="0.45">
      <c r="A1740" s="192" t="s">
        <v>1521</v>
      </c>
      <c r="B1740" s="517"/>
      <c r="C1740" s="518"/>
      <c r="D1740" s="518">
        <v>129.727</v>
      </c>
      <c r="E1740" s="518">
        <v>161.97399999999999</v>
      </c>
      <c r="F1740" s="518">
        <v>219.42400000000001</v>
      </c>
      <c r="G1740" s="327">
        <v>255.18100000000001</v>
      </c>
      <c r="H1740" s="327">
        <v>297.00599999999997</v>
      </c>
      <c r="I1740" s="327">
        <v>310.94299999999998</v>
      </c>
      <c r="J1740" s="327">
        <v>317.44800000000004</v>
      </c>
      <c r="K1740" s="518">
        <v>317.44800000000004</v>
      </c>
      <c r="L1740" s="327">
        <v>302.68399999999997</v>
      </c>
      <c r="M1740" s="327">
        <v>362.68600000000004</v>
      </c>
      <c r="N1740" s="327">
        <v>377.00299999999999</v>
      </c>
      <c r="O1740" s="327">
        <v>344.42899999999997</v>
      </c>
      <c r="P1740" s="518">
        <v>344.42899999999997</v>
      </c>
      <c r="Q1740" s="327">
        <v>353.072</v>
      </c>
      <c r="R1740" s="327">
        <v>426.68599999999998</v>
      </c>
      <c r="S1740" s="327">
        <v>429.13100000000003</v>
      </c>
      <c r="T1740" s="327">
        <v>452.55500000000001</v>
      </c>
      <c r="U1740" s="518">
        <v>452.55500000000001</v>
      </c>
      <c r="V1740" s="327">
        <v>406.93700000000001</v>
      </c>
      <c r="W1740" s="327">
        <v>405.24899999999997</v>
      </c>
      <c r="X1740" s="327">
        <v>419.42100000000005</v>
      </c>
      <c r="Y1740" s="327">
        <v>416.16900000000004</v>
      </c>
      <c r="Z1740" s="518">
        <v>416.16900000000004</v>
      </c>
      <c r="AA1740" s="327">
        <v>443.92099999999999</v>
      </c>
      <c r="AB1740" s="327">
        <v>495.74900000000002</v>
      </c>
      <c r="AC1740" s="327">
        <v>469.75700000000001</v>
      </c>
      <c r="AD1740" s="327">
        <v>519.33500000000004</v>
      </c>
      <c r="AE1740" s="518">
        <v>519.33500000000004</v>
      </c>
      <c r="AF1740" s="327">
        <v>496.49600000000004</v>
      </c>
      <c r="AG1740" s="327">
        <v>836.94500000000016</v>
      </c>
      <c r="AH1740" s="327">
        <v>865.07300000000009</v>
      </c>
      <c r="AI1740" s="327">
        <v>918.17200000000003</v>
      </c>
      <c r="AJ1740" s="518">
        <v>918.17200000000003</v>
      </c>
      <c r="AK1740" s="327">
        <v>1011.6100000000001</v>
      </c>
      <c r="AL1740" s="327">
        <v>924.95699999999999</v>
      </c>
      <c r="AM1740" s="327">
        <v>903.70600000000013</v>
      </c>
      <c r="AN1740" s="327">
        <v>982.91199999999981</v>
      </c>
      <c r="AO1740" s="518">
        <v>982.91199999999981</v>
      </c>
      <c r="AP1740" s="327">
        <v>968.93500000000006</v>
      </c>
      <c r="AQ1740" s="327">
        <v>784.98</v>
      </c>
      <c r="AR1740" s="327">
        <v>882.58500000000015</v>
      </c>
      <c r="AS1740" s="327">
        <v>921.63200000000006</v>
      </c>
      <c r="AT1740" s="518">
        <v>921.63200000000006</v>
      </c>
      <c r="AU1740" s="327">
        <v>1016.1720000000001</v>
      </c>
      <c r="AV1740" s="327">
        <v>1229</v>
      </c>
      <c r="AW1740" s="327">
        <v>1096.31</v>
      </c>
      <c r="AX1740" s="327">
        <v>1063.758</v>
      </c>
      <c r="AY1740" s="518">
        <v>1063.758</v>
      </c>
      <c r="AZ1740" s="327">
        <v>1361.5299999999997</v>
      </c>
      <c r="BA1740" s="327">
        <v>958.90299999999991</v>
      </c>
      <c r="BB1740" s="327">
        <v>935.17600000000004</v>
      </c>
      <c r="BC1740" s="327">
        <v>885.97299999999996</v>
      </c>
      <c r="BD1740" s="518">
        <v>885.97299999999996</v>
      </c>
      <c r="BE1740" s="327">
        <v>851.50300000000004</v>
      </c>
      <c r="BF1740" s="327">
        <v>872.66600000000005</v>
      </c>
      <c r="BG1740" s="327">
        <v>934.97399999999993</v>
      </c>
      <c r="BH1740" s="327">
        <v>872.86799999999994</v>
      </c>
      <c r="BI1740" s="525">
        <v>872.86799999999994</v>
      </c>
      <c r="BJ1740" s="327">
        <v>833.27877471836837</v>
      </c>
      <c r="BK1740" s="327">
        <v>843.4428876779441</v>
      </c>
      <c r="BL1740" s="327">
        <v>864.53461842749175</v>
      </c>
      <c r="BM1740" s="327">
        <v>882.79637467480393</v>
      </c>
      <c r="BN1740" s="518">
        <v>882.79637467480393</v>
      </c>
      <c r="BO1740" s="327">
        <v>908.57967063803949</v>
      </c>
      <c r="BP1740" s="327">
        <v>933.87642045105054</v>
      </c>
      <c r="BQ1740" s="327">
        <v>958.79623336196914</v>
      </c>
      <c r="BR1740" s="327">
        <v>974.58421960951546</v>
      </c>
      <c r="BS1740" s="518">
        <v>974.58421960951546</v>
      </c>
      <c r="BT1740" s="518">
        <v>1016.7863915462042</v>
      </c>
      <c r="BU1740" s="518">
        <v>1041.101047946554</v>
      </c>
      <c r="BV1740" s="518">
        <v>1053.2497390159183</v>
      </c>
      <c r="BW1740" s="197"/>
    </row>
    <row r="1741" spans="1:75" s="198" customFormat="1" ht="14.25" x14ac:dyDescent="0.45">
      <c r="A1741" s="206"/>
      <c r="B1741" s="522"/>
      <c r="C1741" s="397"/>
      <c r="D1741" s="397"/>
      <c r="E1741" s="397"/>
      <c r="F1741" s="397"/>
      <c r="G1741" s="295"/>
      <c r="H1741" s="295"/>
      <c r="I1741" s="295"/>
      <c r="J1741" s="295"/>
      <c r="K1741" s="397"/>
      <c r="L1741" s="295"/>
      <c r="M1741" s="295"/>
      <c r="N1741" s="295"/>
      <c r="O1741" s="295"/>
      <c r="P1741" s="397"/>
      <c r="Q1741" s="295"/>
      <c r="R1741" s="295"/>
      <c r="S1741" s="295"/>
      <c r="T1741" s="295"/>
      <c r="U1741" s="397"/>
      <c r="V1741" s="295"/>
      <c r="W1741" s="295"/>
      <c r="X1741" s="295"/>
      <c r="Y1741" s="295"/>
      <c r="Z1741" s="397"/>
      <c r="AA1741" s="295"/>
      <c r="AB1741" s="295"/>
      <c r="AC1741" s="295"/>
      <c r="AD1741" s="295"/>
      <c r="AE1741" s="397"/>
      <c r="AF1741" s="295"/>
      <c r="AG1741" s="295"/>
      <c r="AH1741" s="295"/>
      <c r="AI1741" s="295"/>
      <c r="AJ1741" s="397"/>
      <c r="AK1741" s="295"/>
      <c r="AL1741" s="295"/>
      <c r="AM1741" s="295"/>
      <c r="AN1741" s="295"/>
      <c r="AO1741" s="397"/>
      <c r="AP1741" s="295"/>
      <c r="AQ1741" s="295"/>
      <c r="AR1741" s="295"/>
      <c r="AS1741" s="295"/>
      <c r="AT1741" s="397"/>
      <c r="AU1741" s="295"/>
      <c r="AV1741" s="295"/>
      <c r="AW1741" s="295"/>
      <c r="AX1741" s="295"/>
      <c r="AY1741" s="397"/>
      <c r="AZ1741" s="295"/>
      <c r="BA1741" s="295"/>
      <c r="BB1741" s="295"/>
      <c r="BC1741" s="295"/>
      <c r="BD1741" s="397"/>
      <c r="BE1741" s="295"/>
      <c r="BF1741" s="295"/>
      <c r="BG1741" s="295"/>
      <c r="BH1741" s="295"/>
      <c r="BI1741" s="399"/>
      <c r="BJ1741" s="295"/>
      <c r="BK1741" s="295"/>
      <c r="BL1741" s="295"/>
      <c r="BM1741" s="295"/>
      <c r="BN1741" s="397"/>
      <c r="BO1741" s="295"/>
      <c r="BP1741" s="295"/>
      <c r="BQ1741" s="295"/>
      <c r="BR1741" s="295"/>
      <c r="BS1741" s="397"/>
      <c r="BT1741" s="397"/>
      <c r="BU1741" s="397"/>
      <c r="BV1741" s="397"/>
      <c r="BW1741" s="197"/>
    </row>
    <row r="1742" spans="1:75" s="198" customFormat="1" ht="14.25" x14ac:dyDescent="0.45">
      <c r="A1742" s="243" t="s">
        <v>1522</v>
      </c>
      <c r="B1742" s="522"/>
      <c r="C1742" s="397"/>
      <c r="D1742" s="397"/>
      <c r="E1742" s="397"/>
      <c r="F1742" s="397"/>
      <c r="G1742" s="295"/>
      <c r="H1742" s="295"/>
      <c r="I1742" s="295"/>
      <c r="J1742" s="295"/>
      <c r="K1742" s="397"/>
      <c r="L1742" s="295"/>
      <c r="M1742" s="295"/>
      <c r="N1742" s="295"/>
      <c r="O1742" s="295"/>
      <c r="P1742" s="397"/>
      <c r="Q1742" s="295"/>
      <c r="R1742" s="295"/>
      <c r="S1742" s="295"/>
      <c r="T1742" s="295"/>
      <c r="U1742" s="397"/>
      <c r="V1742" s="295"/>
      <c r="W1742" s="295"/>
      <c r="X1742" s="295"/>
      <c r="Y1742" s="295"/>
      <c r="Z1742" s="397"/>
      <c r="AA1742" s="295"/>
      <c r="AB1742" s="295"/>
      <c r="AC1742" s="295"/>
      <c r="AD1742" s="295"/>
      <c r="AE1742" s="397"/>
      <c r="AF1742" s="295"/>
      <c r="AG1742" s="295"/>
      <c r="AH1742" s="295"/>
      <c r="AI1742" s="295"/>
      <c r="AJ1742" s="397"/>
      <c r="AK1742" s="295"/>
      <c r="AL1742" s="295"/>
      <c r="AM1742" s="295"/>
      <c r="AN1742" s="295"/>
      <c r="AO1742" s="397"/>
      <c r="AP1742" s="295"/>
      <c r="AQ1742" s="295"/>
      <c r="AR1742" s="295"/>
      <c r="AS1742" s="295"/>
      <c r="AT1742" s="397"/>
      <c r="AU1742" s="295"/>
      <c r="AV1742" s="295"/>
      <c r="AW1742" s="295"/>
      <c r="AX1742" s="295"/>
      <c r="AY1742" s="397"/>
      <c r="AZ1742" s="295"/>
      <c r="BA1742" s="295"/>
      <c r="BB1742" s="295"/>
      <c r="BC1742" s="295"/>
      <c r="BD1742" s="397"/>
      <c r="BE1742" s="295"/>
      <c r="BF1742" s="295"/>
      <c r="BG1742" s="295"/>
      <c r="BH1742" s="295"/>
      <c r="BI1742" s="399"/>
      <c r="BJ1742" s="295"/>
      <c r="BK1742" s="295"/>
      <c r="BL1742" s="295"/>
      <c r="BM1742" s="295"/>
      <c r="BN1742" s="397"/>
      <c r="BO1742" s="295"/>
      <c r="BP1742" s="295"/>
      <c r="BQ1742" s="295"/>
      <c r="BR1742" s="295"/>
      <c r="BS1742" s="397"/>
      <c r="BT1742" s="397"/>
      <c r="BU1742" s="397"/>
      <c r="BV1742" s="397"/>
      <c r="BW1742" s="197"/>
    </row>
    <row r="1743" spans="1:75" s="123" customFormat="1" hidden="1" outlineLevel="1" x14ac:dyDescent="0.5">
      <c r="A1743" s="496" t="s">
        <v>1523</v>
      </c>
      <c r="B1743" s="513"/>
      <c r="C1743" s="401"/>
      <c r="D1743" s="403">
        <v>0</v>
      </c>
      <c r="E1743" s="403">
        <v>0</v>
      </c>
      <c r="F1743" s="403">
        <v>0</v>
      </c>
      <c r="G1743" s="302">
        <v>0</v>
      </c>
      <c r="H1743" s="302">
        <v>0</v>
      </c>
      <c r="I1743" s="302">
        <v>0</v>
      </c>
      <c r="J1743" s="302">
        <v>0</v>
      </c>
      <c r="K1743" s="401">
        <v>0</v>
      </c>
      <c r="L1743" s="302">
        <v>0</v>
      </c>
      <c r="M1743" s="302">
        <v>277.678</v>
      </c>
      <c r="N1743" s="302">
        <v>281.01400000000001</v>
      </c>
      <c r="O1743" s="302">
        <v>284.38799999999998</v>
      </c>
      <c r="P1743" s="401">
        <v>284.38799999999998</v>
      </c>
      <c r="Q1743" s="302">
        <v>287.79899999999998</v>
      </c>
      <c r="R1743" s="302">
        <v>505.32400000000001</v>
      </c>
      <c r="S1743" s="302">
        <v>512.51300000000003</v>
      </c>
      <c r="T1743" s="119">
        <v>519.80099999999993</v>
      </c>
      <c r="U1743" s="403">
        <v>519.80099999999993</v>
      </c>
      <c r="V1743" s="119"/>
      <c r="W1743" s="119"/>
      <c r="X1743" s="119"/>
      <c r="Y1743" s="119"/>
      <c r="Z1743" s="401"/>
      <c r="AA1743" s="119"/>
      <c r="AB1743" s="119"/>
      <c r="AC1743" s="119"/>
      <c r="AD1743" s="119"/>
      <c r="AE1743" s="401"/>
      <c r="AF1743" s="119"/>
      <c r="AG1743" s="119"/>
      <c r="AH1743" s="119"/>
      <c r="AI1743" s="119"/>
      <c r="AJ1743" s="401"/>
      <c r="AK1743" s="119"/>
      <c r="AL1743" s="119"/>
      <c r="AM1743" s="119"/>
      <c r="AN1743" s="119"/>
      <c r="AO1743" s="401"/>
      <c r="AP1743" s="119"/>
      <c r="AQ1743" s="119"/>
      <c r="AR1743" s="119"/>
      <c r="AS1743" s="119"/>
      <c r="AT1743" s="401"/>
      <c r="AU1743" s="119"/>
      <c r="AV1743" s="119"/>
      <c r="AW1743" s="119"/>
      <c r="AX1743" s="119"/>
      <c r="AY1743" s="401"/>
      <c r="AZ1743" s="119"/>
      <c r="BA1743" s="119"/>
      <c r="BB1743" s="119"/>
      <c r="BC1743" s="119"/>
      <c r="BD1743" s="401"/>
      <c r="BE1743" s="119"/>
      <c r="BF1743" s="119"/>
      <c r="BG1743" s="119"/>
      <c r="BH1743" s="119"/>
      <c r="BI1743" s="402"/>
      <c r="BJ1743" s="118"/>
      <c r="BK1743" s="118"/>
      <c r="BL1743" s="118"/>
      <c r="BM1743" s="118"/>
      <c r="BN1743" s="401"/>
      <c r="BO1743" s="118"/>
      <c r="BP1743" s="118"/>
      <c r="BQ1743" s="118"/>
      <c r="BR1743" s="118"/>
      <c r="BS1743" s="401"/>
      <c r="BT1743" s="401"/>
      <c r="BU1743" s="401"/>
      <c r="BV1743" s="401"/>
      <c r="BW1743" s="122"/>
    </row>
    <row r="1744" spans="1:75" s="123" customFormat="1" hidden="1" outlineLevel="1" x14ac:dyDescent="0.5">
      <c r="A1744" s="496" t="s">
        <v>1058</v>
      </c>
      <c r="B1744" s="513"/>
      <c r="C1744" s="401"/>
      <c r="D1744" s="401"/>
      <c r="E1744" s="401"/>
      <c r="F1744" s="401"/>
      <c r="G1744" s="119"/>
      <c r="H1744" s="119"/>
      <c r="I1744" s="119"/>
      <c r="J1744" s="119"/>
      <c r="K1744" s="401"/>
      <c r="L1744" s="119"/>
      <c r="M1744" s="119"/>
      <c r="N1744" s="119"/>
      <c r="O1744" s="119"/>
      <c r="P1744" s="401"/>
      <c r="Q1744" s="119"/>
      <c r="R1744" s="119"/>
      <c r="S1744" s="119"/>
      <c r="T1744" s="119"/>
      <c r="U1744" s="401"/>
      <c r="V1744" s="119"/>
      <c r="W1744" s="119"/>
      <c r="X1744" s="119"/>
      <c r="Y1744" s="119"/>
      <c r="Z1744" s="401"/>
      <c r="AA1744" s="119"/>
      <c r="AB1744" s="302">
        <v>283</v>
      </c>
      <c r="AC1744" s="302">
        <v>341</v>
      </c>
      <c r="AD1744" s="119">
        <v>199.97</v>
      </c>
      <c r="AE1744" s="403">
        <v>199.97</v>
      </c>
      <c r="AF1744" s="302">
        <v>219</v>
      </c>
      <c r="AG1744" s="119"/>
      <c r="AH1744" s="302">
        <v>107.5</v>
      </c>
      <c r="AI1744" s="119">
        <v>57.5</v>
      </c>
      <c r="AJ1744" s="403">
        <v>57.5</v>
      </c>
      <c r="AK1744" s="119"/>
      <c r="AL1744" s="302">
        <v>145</v>
      </c>
      <c r="AM1744" s="119"/>
      <c r="AN1744" s="119">
        <v>0</v>
      </c>
      <c r="AO1744" s="401"/>
      <c r="AP1744" s="302">
        <v>10</v>
      </c>
      <c r="AQ1744" s="302">
        <v>91.6</v>
      </c>
      <c r="AR1744" s="119"/>
      <c r="AS1744" s="119">
        <v>0</v>
      </c>
      <c r="AT1744" s="401"/>
      <c r="AU1744" s="119"/>
      <c r="AV1744" s="119"/>
      <c r="AW1744" s="119"/>
      <c r="AX1744" s="119">
        <v>0</v>
      </c>
      <c r="AY1744" s="401"/>
      <c r="AZ1744" s="119"/>
      <c r="BA1744" s="119"/>
      <c r="BB1744" s="119"/>
      <c r="BC1744" s="119">
        <v>0</v>
      </c>
      <c r="BD1744" s="401"/>
      <c r="BE1744" s="119"/>
      <c r="BF1744" s="119"/>
      <c r="BG1744" s="119"/>
      <c r="BH1744" s="119">
        <v>0</v>
      </c>
      <c r="BI1744" s="402"/>
      <c r="BJ1744" s="118"/>
      <c r="BK1744" s="118"/>
      <c r="BL1744" s="118"/>
      <c r="BM1744" s="118"/>
      <c r="BN1744" s="401"/>
      <c r="BO1744" s="118"/>
      <c r="BP1744" s="118"/>
      <c r="BQ1744" s="118"/>
      <c r="BR1744" s="118"/>
      <c r="BS1744" s="401"/>
      <c r="BT1744" s="401"/>
      <c r="BU1744" s="401"/>
      <c r="BV1744" s="401"/>
      <c r="BW1744" s="122"/>
    </row>
    <row r="1745" spans="1:75" s="123" customFormat="1" hidden="1" outlineLevel="1" x14ac:dyDescent="0.5">
      <c r="A1745" s="496" t="s">
        <v>1055</v>
      </c>
      <c r="B1745" s="513"/>
      <c r="C1745" s="401"/>
      <c r="D1745" s="401"/>
      <c r="E1745" s="401"/>
      <c r="F1745" s="401"/>
      <c r="G1745" s="119"/>
      <c r="H1745" s="119"/>
      <c r="I1745" s="119"/>
      <c r="J1745" s="119"/>
      <c r="K1745" s="401"/>
      <c r="L1745" s="119"/>
      <c r="M1745" s="119"/>
      <c r="N1745" s="119"/>
      <c r="O1745" s="119"/>
      <c r="P1745" s="401"/>
      <c r="Q1745" s="119"/>
      <c r="R1745" s="119"/>
      <c r="S1745" s="119"/>
      <c r="T1745" s="119"/>
      <c r="U1745" s="401"/>
      <c r="V1745" s="119"/>
      <c r="W1745" s="119"/>
      <c r="X1745" s="119"/>
      <c r="Y1745" s="119"/>
      <c r="Z1745" s="401"/>
      <c r="AA1745" s="119"/>
      <c r="AB1745" s="119"/>
      <c r="AC1745" s="119"/>
      <c r="AD1745" s="119"/>
      <c r="AE1745" s="401"/>
      <c r="AF1745" s="119"/>
      <c r="AG1745" s="119"/>
      <c r="AH1745" s="119"/>
      <c r="AI1745" s="119"/>
      <c r="AJ1745" s="401"/>
      <c r="AK1745" s="302">
        <v>40.207999999999998</v>
      </c>
      <c r="AL1745" s="302">
        <v>42.113</v>
      </c>
      <c r="AM1745" s="302">
        <v>36.613</v>
      </c>
      <c r="AN1745" s="119">
        <v>31.053000000000001</v>
      </c>
      <c r="AO1745" s="403">
        <v>31.053000000000001</v>
      </c>
      <c r="AP1745" s="302">
        <v>28.475000000000001</v>
      </c>
      <c r="AQ1745" s="302">
        <v>26.047000000000001</v>
      </c>
      <c r="AR1745" s="302">
        <v>20.363</v>
      </c>
      <c r="AS1745" s="119">
        <v>14.614000000000001</v>
      </c>
      <c r="AT1745" s="403">
        <v>14.614000000000001</v>
      </c>
      <c r="AU1745" s="302">
        <v>3.7389999999999999</v>
      </c>
      <c r="AV1745" s="302">
        <v>2.1150000000000002</v>
      </c>
      <c r="AW1745" s="302">
        <v>1.625</v>
      </c>
      <c r="AX1745" s="119">
        <v>1.129</v>
      </c>
      <c r="AY1745" s="403">
        <v>1.129</v>
      </c>
      <c r="AZ1745" s="119"/>
      <c r="BA1745" s="119"/>
      <c r="BB1745" s="119"/>
      <c r="BC1745" s="119">
        <v>0</v>
      </c>
      <c r="BD1745" s="401"/>
      <c r="BE1745" s="119"/>
      <c r="BF1745" s="119"/>
      <c r="BG1745" s="119"/>
      <c r="BH1745" s="119">
        <v>0</v>
      </c>
      <c r="BI1745" s="402"/>
      <c r="BJ1745" s="118"/>
      <c r="BK1745" s="118"/>
      <c r="BL1745" s="118"/>
      <c r="BM1745" s="118"/>
      <c r="BN1745" s="401"/>
      <c r="BO1745" s="118"/>
      <c r="BP1745" s="118"/>
      <c r="BQ1745" s="118"/>
      <c r="BR1745" s="118"/>
      <c r="BS1745" s="401"/>
      <c r="BT1745" s="401"/>
      <c r="BU1745" s="401"/>
      <c r="BV1745" s="401"/>
      <c r="BW1745" s="122"/>
    </row>
    <row r="1746" spans="1:75" s="123" customFormat="1" hidden="1" outlineLevel="1" x14ac:dyDescent="0.5">
      <c r="A1746" s="496" t="s">
        <v>1524</v>
      </c>
      <c r="B1746" s="513"/>
      <c r="C1746" s="401"/>
      <c r="D1746" s="401"/>
      <c r="E1746" s="401"/>
      <c r="F1746" s="401"/>
      <c r="G1746" s="119"/>
      <c r="H1746" s="119"/>
      <c r="I1746" s="119"/>
      <c r="J1746" s="119"/>
      <c r="K1746" s="401"/>
      <c r="L1746" s="119"/>
      <c r="M1746" s="119"/>
      <c r="N1746" s="119"/>
      <c r="O1746" s="119"/>
      <c r="P1746" s="401"/>
      <c r="Q1746" s="119"/>
      <c r="R1746" s="119"/>
      <c r="S1746" s="119"/>
      <c r="T1746" s="119"/>
      <c r="U1746" s="401"/>
      <c r="V1746" s="119"/>
      <c r="W1746" s="119"/>
      <c r="X1746" s="119"/>
      <c r="Y1746" s="119"/>
      <c r="Z1746" s="401"/>
      <c r="AA1746" s="119"/>
      <c r="AB1746" s="119"/>
      <c r="AC1746" s="119"/>
      <c r="AD1746" s="119"/>
      <c r="AE1746" s="401"/>
      <c r="AF1746" s="119"/>
      <c r="AG1746" s="119"/>
      <c r="AH1746" s="119"/>
      <c r="AI1746" s="119"/>
      <c r="AJ1746" s="401"/>
      <c r="AK1746" s="302">
        <v>119.065</v>
      </c>
      <c r="AL1746" s="302">
        <v>119.086</v>
      </c>
      <c r="AM1746" s="302">
        <v>89.408000000000001</v>
      </c>
      <c r="AN1746" s="119">
        <v>0</v>
      </c>
      <c r="AO1746" s="401"/>
      <c r="AP1746" s="119"/>
      <c r="AQ1746" s="119"/>
      <c r="AR1746" s="119"/>
      <c r="AS1746" s="119">
        <v>0</v>
      </c>
      <c r="AT1746" s="401"/>
      <c r="AU1746" s="119"/>
      <c r="AV1746" s="119"/>
      <c r="AW1746" s="119"/>
      <c r="AX1746" s="119">
        <v>0</v>
      </c>
      <c r="AY1746" s="401"/>
      <c r="AZ1746" s="119"/>
      <c r="BA1746" s="119"/>
      <c r="BB1746" s="119"/>
      <c r="BC1746" s="119">
        <v>0</v>
      </c>
      <c r="BD1746" s="401"/>
      <c r="BE1746" s="119"/>
      <c r="BF1746" s="119"/>
      <c r="BG1746" s="119"/>
      <c r="BH1746" s="119">
        <v>0</v>
      </c>
      <c r="BI1746" s="402"/>
      <c r="BJ1746" s="118"/>
      <c r="BK1746" s="118"/>
      <c r="BL1746" s="118"/>
      <c r="BM1746" s="118"/>
      <c r="BN1746" s="401"/>
      <c r="BO1746" s="118"/>
      <c r="BP1746" s="118"/>
      <c r="BQ1746" s="118"/>
      <c r="BR1746" s="118"/>
      <c r="BS1746" s="401"/>
      <c r="BT1746" s="401"/>
      <c r="BU1746" s="401"/>
      <c r="BV1746" s="401"/>
      <c r="BW1746" s="122"/>
    </row>
    <row r="1747" spans="1:75" s="123" customFormat="1" hidden="1" outlineLevel="1" x14ac:dyDescent="0.5">
      <c r="A1747" s="496" t="s">
        <v>1525</v>
      </c>
      <c r="B1747" s="513"/>
      <c r="C1747" s="401"/>
      <c r="D1747" s="401"/>
      <c r="E1747" s="401"/>
      <c r="F1747" s="401"/>
      <c r="G1747" s="119"/>
      <c r="H1747" s="119"/>
      <c r="I1747" s="119"/>
      <c r="J1747" s="119"/>
      <c r="K1747" s="401"/>
      <c r="L1747" s="119"/>
      <c r="M1747" s="119"/>
      <c r="N1747" s="119"/>
      <c r="O1747" s="119"/>
      <c r="P1747" s="401"/>
      <c r="Q1747" s="119"/>
      <c r="R1747" s="119"/>
      <c r="S1747" s="119"/>
      <c r="T1747" s="119"/>
      <c r="U1747" s="401"/>
      <c r="V1747" s="119"/>
      <c r="W1747" s="119"/>
      <c r="X1747" s="119"/>
      <c r="Y1747" s="119"/>
      <c r="Z1747" s="401"/>
      <c r="AA1747" s="119"/>
      <c r="AB1747" s="119"/>
      <c r="AC1747" s="119"/>
      <c r="AD1747" s="119"/>
      <c r="AE1747" s="401"/>
      <c r="AF1747" s="119"/>
      <c r="AG1747" s="119"/>
      <c r="AH1747" s="119"/>
      <c r="AI1747" s="119"/>
      <c r="AJ1747" s="401"/>
      <c r="AK1747" s="302">
        <v>197.14</v>
      </c>
      <c r="AL1747" s="302">
        <v>197.262</v>
      </c>
      <c r="AM1747" s="119"/>
      <c r="AN1747" s="119">
        <v>0</v>
      </c>
      <c r="AO1747" s="401"/>
      <c r="AP1747" s="119"/>
      <c r="AQ1747" s="119"/>
      <c r="AR1747" s="119"/>
      <c r="AS1747" s="119">
        <v>0</v>
      </c>
      <c r="AT1747" s="401"/>
      <c r="AU1747" s="119"/>
      <c r="AV1747" s="119"/>
      <c r="AW1747" s="119"/>
      <c r="AX1747" s="119">
        <v>0</v>
      </c>
      <c r="AY1747" s="401"/>
      <c r="AZ1747" s="119"/>
      <c r="BA1747" s="119"/>
      <c r="BB1747" s="119"/>
      <c r="BC1747" s="119">
        <v>0</v>
      </c>
      <c r="BD1747" s="401"/>
      <c r="BE1747" s="119"/>
      <c r="BF1747" s="119"/>
      <c r="BG1747" s="119"/>
      <c r="BH1747" s="119">
        <v>0</v>
      </c>
      <c r="BI1747" s="402"/>
      <c r="BJ1747" s="118"/>
      <c r="BK1747" s="118"/>
      <c r="BL1747" s="118"/>
      <c r="BM1747" s="118"/>
      <c r="BN1747" s="401"/>
      <c r="BO1747" s="118"/>
      <c r="BP1747" s="118"/>
      <c r="BQ1747" s="118"/>
      <c r="BR1747" s="118"/>
      <c r="BS1747" s="401"/>
      <c r="BT1747" s="401"/>
      <c r="BU1747" s="401"/>
      <c r="BV1747" s="401"/>
      <c r="BW1747" s="122"/>
    </row>
    <row r="1748" spans="1:75" s="123" customFormat="1" hidden="1" outlineLevel="1" x14ac:dyDescent="0.5">
      <c r="A1748" s="496" t="s">
        <v>1503</v>
      </c>
      <c r="B1748" s="513"/>
      <c r="C1748" s="401"/>
      <c r="D1748" s="401"/>
      <c r="E1748" s="401"/>
      <c r="F1748" s="401"/>
      <c r="G1748" s="119"/>
      <c r="H1748" s="119"/>
      <c r="I1748" s="119"/>
      <c r="J1748" s="119"/>
      <c r="K1748" s="401"/>
      <c r="L1748" s="119"/>
      <c r="M1748" s="119"/>
      <c r="N1748" s="119"/>
      <c r="O1748" s="119"/>
      <c r="P1748" s="401"/>
      <c r="Q1748" s="119"/>
      <c r="R1748" s="119"/>
      <c r="S1748" s="119"/>
      <c r="T1748" s="119">
        <v>0</v>
      </c>
      <c r="U1748" s="401"/>
      <c r="V1748" s="302">
        <v>301.31099999999998</v>
      </c>
      <c r="W1748" s="302">
        <v>304.959</v>
      </c>
      <c r="X1748" s="302">
        <v>308.649</v>
      </c>
      <c r="Y1748" s="119">
        <v>312.37900000000002</v>
      </c>
      <c r="Z1748" s="403">
        <v>312.37900000000002</v>
      </c>
      <c r="AA1748" s="302">
        <v>316.15300000000002</v>
      </c>
      <c r="AB1748" s="302">
        <v>319.96899999999999</v>
      </c>
      <c r="AC1748" s="302">
        <v>323.82799999999997</v>
      </c>
      <c r="AD1748" s="119">
        <v>327.73099999999999</v>
      </c>
      <c r="AE1748" s="403">
        <v>327.73099999999999</v>
      </c>
      <c r="AF1748" s="302">
        <v>331.678</v>
      </c>
      <c r="AG1748" s="119"/>
      <c r="AH1748" s="119"/>
      <c r="AI1748" s="119">
        <v>0</v>
      </c>
      <c r="AJ1748" s="401"/>
      <c r="AK1748" s="302">
        <v>0</v>
      </c>
      <c r="AL1748" s="119"/>
      <c r="AM1748" s="119"/>
      <c r="AN1748" s="119">
        <v>0</v>
      </c>
      <c r="AO1748" s="401"/>
      <c r="AP1748" s="119"/>
      <c r="AQ1748" s="119"/>
      <c r="AR1748" s="119"/>
      <c r="AS1748" s="119">
        <v>0</v>
      </c>
      <c r="AT1748" s="401"/>
      <c r="AU1748" s="119"/>
      <c r="AV1748" s="119"/>
      <c r="AW1748" s="119"/>
      <c r="AX1748" s="119">
        <v>0</v>
      </c>
      <c r="AY1748" s="401"/>
      <c r="AZ1748" s="119"/>
      <c r="BA1748" s="119"/>
      <c r="BB1748" s="119"/>
      <c r="BC1748" s="119">
        <v>0</v>
      </c>
      <c r="BD1748" s="401"/>
      <c r="BE1748" s="119"/>
      <c r="BF1748" s="119"/>
      <c r="BG1748" s="119"/>
      <c r="BH1748" s="119">
        <v>0</v>
      </c>
      <c r="BI1748" s="402"/>
      <c r="BJ1748" s="118"/>
      <c r="BK1748" s="118"/>
      <c r="BL1748" s="118"/>
      <c r="BM1748" s="118"/>
      <c r="BN1748" s="401"/>
      <c r="BO1748" s="118"/>
      <c r="BP1748" s="118"/>
      <c r="BQ1748" s="118"/>
      <c r="BR1748" s="118"/>
      <c r="BS1748" s="401"/>
      <c r="BT1748" s="401"/>
      <c r="BU1748" s="401"/>
      <c r="BV1748" s="401"/>
      <c r="BW1748" s="122"/>
    </row>
    <row r="1749" spans="1:75" s="123" customFormat="1" hidden="1" outlineLevel="1" x14ac:dyDescent="0.5">
      <c r="A1749" s="496" t="s">
        <v>1504</v>
      </c>
      <c r="B1749" s="513"/>
      <c r="C1749" s="401"/>
      <c r="D1749" s="401"/>
      <c r="E1749" s="401"/>
      <c r="F1749" s="401"/>
      <c r="G1749" s="119"/>
      <c r="H1749" s="119"/>
      <c r="I1749" s="119"/>
      <c r="J1749" s="119"/>
      <c r="K1749" s="401"/>
      <c r="L1749" s="119"/>
      <c r="M1749" s="119"/>
      <c r="N1749" s="119"/>
      <c r="O1749" s="119"/>
      <c r="P1749" s="401"/>
      <c r="Q1749" s="119"/>
      <c r="R1749" s="119"/>
      <c r="S1749" s="119"/>
      <c r="T1749" s="119">
        <v>0</v>
      </c>
      <c r="U1749" s="401"/>
      <c r="V1749" s="302">
        <v>223.89500000000001</v>
      </c>
      <c r="W1749" s="302">
        <v>227.85400000000001</v>
      </c>
      <c r="X1749" s="302">
        <v>231.876</v>
      </c>
      <c r="Y1749" s="119">
        <v>235.965</v>
      </c>
      <c r="Z1749" s="403">
        <v>235.965</v>
      </c>
      <c r="AA1749" s="302">
        <v>240.12</v>
      </c>
      <c r="AB1749" s="302">
        <v>244.34200000000001</v>
      </c>
      <c r="AC1749" s="302">
        <v>248.63300000000001</v>
      </c>
      <c r="AD1749" s="119">
        <v>252.994</v>
      </c>
      <c r="AE1749" s="403">
        <v>252.994</v>
      </c>
      <c r="AF1749" s="302">
        <v>257.42500000000001</v>
      </c>
      <c r="AG1749" s="302">
        <v>261.92899999999997</v>
      </c>
      <c r="AH1749" s="302">
        <v>266.50599999999997</v>
      </c>
      <c r="AI1749" s="119">
        <v>271.15699999999998</v>
      </c>
      <c r="AJ1749" s="403">
        <v>271.15699999999998</v>
      </c>
      <c r="AK1749" s="302">
        <v>275.88400000000001</v>
      </c>
      <c r="AL1749" s="119"/>
      <c r="AM1749" s="119"/>
      <c r="AN1749" s="119">
        <v>0</v>
      </c>
      <c r="AO1749" s="401"/>
      <c r="AP1749" s="119"/>
      <c r="AQ1749" s="119"/>
      <c r="AR1749" s="119"/>
      <c r="AS1749" s="119">
        <v>0</v>
      </c>
      <c r="AT1749" s="401"/>
      <c r="AU1749" s="119"/>
      <c r="AV1749" s="119"/>
      <c r="AW1749" s="119"/>
      <c r="AX1749" s="119">
        <v>0</v>
      </c>
      <c r="AY1749" s="401"/>
      <c r="AZ1749" s="119"/>
      <c r="BA1749" s="119"/>
      <c r="BB1749" s="119"/>
      <c r="BC1749" s="119">
        <v>0</v>
      </c>
      <c r="BD1749" s="401"/>
      <c r="BE1749" s="119"/>
      <c r="BF1749" s="119"/>
      <c r="BG1749" s="119"/>
      <c r="BH1749" s="119">
        <v>0</v>
      </c>
      <c r="BI1749" s="402"/>
      <c r="BJ1749" s="118"/>
      <c r="BK1749" s="118"/>
      <c r="BL1749" s="118"/>
      <c r="BM1749" s="118"/>
      <c r="BN1749" s="401"/>
      <c r="BO1749" s="118"/>
      <c r="BP1749" s="118"/>
      <c r="BQ1749" s="118"/>
      <c r="BR1749" s="118"/>
      <c r="BS1749" s="401"/>
      <c r="BT1749" s="401"/>
      <c r="BU1749" s="401"/>
      <c r="BV1749" s="401"/>
      <c r="BW1749" s="122"/>
    </row>
    <row r="1750" spans="1:75" s="123" customFormat="1" hidden="1" outlineLevel="1" x14ac:dyDescent="0.5">
      <c r="A1750" s="496" t="s">
        <v>1526</v>
      </c>
      <c r="B1750" s="513"/>
      <c r="C1750" s="401"/>
      <c r="D1750" s="401"/>
      <c r="E1750" s="401"/>
      <c r="F1750" s="401"/>
      <c r="G1750" s="119"/>
      <c r="H1750" s="119"/>
      <c r="I1750" s="119"/>
      <c r="J1750" s="119"/>
      <c r="K1750" s="401"/>
      <c r="L1750" s="119"/>
      <c r="M1750" s="119"/>
      <c r="N1750" s="119"/>
      <c r="O1750" s="119"/>
      <c r="P1750" s="401"/>
      <c r="Q1750" s="119"/>
      <c r="R1750" s="119"/>
      <c r="S1750" s="119"/>
      <c r="T1750" s="119"/>
      <c r="U1750" s="401"/>
      <c r="V1750" s="119"/>
      <c r="W1750" s="119"/>
      <c r="X1750" s="119"/>
      <c r="Y1750" s="119"/>
      <c r="Z1750" s="401"/>
      <c r="AA1750" s="119"/>
      <c r="AB1750" s="119"/>
      <c r="AC1750" s="119"/>
      <c r="AD1750" s="119"/>
      <c r="AE1750" s="401"/>
      <c r="AF1750" s="119"/>
      <c r="AG1750" s="302">
        <v>240.804</v>
      </c>
      <c r="AH1750" s="302">
        <v>244.94399999999999</v>
      </c>
      <c r="AI1750" s="119">
        <v>249.15100000000001</v>
      </c>
      <c r="AJ1750" s="403">
        <v>249.15100000000001</v>
      </c>
      <c r="AK1750" s="302">
        <v>253.42400000000001</v>
      </c>
      <c r="AL1750" s="302">
        <v>257.76600000000002</v>
      </c>
      <c r="AM1750" s="302">
        <v>262.17700000000002</v>
      </c>
      <c r="AN1750" s="119">
        <v>266.65800000000002</v>
      </c>
      <c r="AO1750" s="403">
        <v>266.65800000000002</v>
      </c>
      <c r="AP1750" s="302">
        <v>271.21100000000001</v>
      </c>
      <c r="AQ1750" s="302">
        <v>275.83699999999999</v>
      </c>
      <c r="AR1750" s="302">
        <v>280.536</v>
      </c>
      <c r="AS1750" s="119">
        <v>282.95600000000002</v>
      </c>
      <c r="AT1750" s="403">
        <v>282.95600000000002</v>
      </c>
      <c r="AU1750" s="302">
        <v>288.13600000000002</v>
      </c>
      <c r="AV1750" s="302">
        <v>93.867000000000004</v>
      </c>
      <c r="AW1750" s="302">
        <v>62.213999999999999</v>
      </c>
      <c r="AX1750" s="119">
        <v>59.002000000000002</v>
      </c>
      <c r="AY1750" s="403">
        <v>59.002000000000002</v>
      </c>
      <c r="AZ1750" s="302">
        <v>19.658000000000001</v>
      </c>
      <c r="BA1750" s="119"/>
      <c r="BB1750" s="119"/>
      <c r="BC1750" s="119">
        <v>0</v>
      </c>
      <c r="BD1750" s="401"/>
      <c r="BE1750" s="119"/>
      <c r="BF1750" s="119"/>
      <c r="BG1750" s="119"/>
      <c r="BH1750" s="119">
        <v>0</v>
      </c>
      <c r="BI1750" s="402"/>
      <c r="BJ1750" s="118"/>
      <c r="BK1750" s="118"/>
      <c r="BL1750" s="118"/>
      <c r="BM1750" s="118"/>
      <c r="BN1750" s="401"/>
      <c r="BO1750" s="118"/>
      <c r="BP1750" s="118"/>
      <c r="BQ1750" s="118"/>
      <c r="BR1750" s="118"/>
      <c r="BS1750" s="401"/>
      <c r="BT1750" s="401"/>
      <c r="BU1750" s="401"/>
      <c r="BV1750" s="401"/>
      <c r="BW1750" s="122"/>
    </row>
    <row r="1751" spans="1:75" s="123" customFormat="1" hidden="1" outlineLevel="1" x14ac:dyDescent="0.5">
      <c r="A1751" s="496" t="s">
        <v>1527</v>
      </c>
      <c r="B1751" s="513"/>
      <c r="C1751" s="401"/>
      <c r="D1751" s="401"/>
      <c r="E1751" s="401"/>
      <c r="F1751" s="401"/>
      <c r="G1751" s="119"/>
      <c r="H1751" s="119"/>
      <c r="I1751" s="119"/>
      <c r="J1751" s="119"/>
      <c r="K1751" s="401"/>
      <c r="L1751" s="119"/>
      <c r="M1751" s="119"/>
      <c r="N1751" s="119"/>
      <c r="O1751" s="119"/>
      <c r="P1751" s="401"/>
      <c r="Q1751" s="119"/>
      <c r="R1751" s="119"/>
      <c r="S1751" s="119"/>
      <c r="T1751" s="119"/>
      <c r="U1751" s="401"/>
      <c r="V1751" s="119"/>
      <c r="W1751" s="119"/>
      <c r="X1751" s="119"/>
      <c r="Y1751" s="119"/>
      <c r="Z1751" s="401"/>
      <c r="AA1751" s="119"/>
      <c r="AB1751" s="119"/>
      <c r="AC1751" s="119"/>
      <c r="AD1751" s="119"/>
      <c r="AE1751" s="401"/>
      <c r="AF1751" s="119"/>
      <c r="AG1751" s="119"/>
      <c r="AH1751" s="119"/>
      <c r="AI1751" s="119"/>
      <c r="AJ1751" s="401"/>
      <c r="AK1751" s="119"/>
      <c r="AL1751" s="119"/>
      <c r="AM1751" s="302">
        <v>261.01</v>
      </c>
      <c r="AN1751" s="119">
        <v>264.98200000000003</v>
      </c>
      <c r="AO1751" s="403">
        <v>264.98200000000003</v>
      </c>
      <c r="AP1751" s="302">
        <v>269.012</v>
      </c>
      <c r="AQ1751" s="302">
        <v>273.10000000000002</v>
      </c>
      <c r="AR1751" s="302">
        <v>277.24700000000001</v>
      </c>
      <c r="AS1751" s="119">
        <v>281.45400000000001</v>
      </c>
      <c r="AT1751" s="403">
        <v>281.45400000000001</v>
      </c>
      <c r="AU1751" s="302">
        <v>285.721</v>
      </c>
      <c r="AV1751" s="302">
        <v>223.547</v>
      </c>
      <c r="AW1751" s="302">
        <v>181.80500000000001</v>
      </c>
      <c r="AX1751" s="119">
        <v>184.46100000000001</v>
      </c>
      <c r="AY1751" s="403">
        <v>184.46100000000001</v>
      </c>
      <c r="AZ1751" s="302">
        <v>80.388000000000005</v>
      </c>
      <c r="BA1751" s="302">
        <v>41.667999999999999</v>
      </c>
      <c r="BB1751" s="302">
        <v>41.695999999999998</v>
      </c>
      <c r="BC1751" s="119">
        <v>41.723999999999997</v>
      </c>
      <c r="BD1751" s="403">
        <v>41.723999999999997</v>
      </c>
      <c r="BE1751" s="302">
        <v>41.750999999999998</v>
      </c>
      <c r="BF1751" s="302">
        <v>41.779000000000003</v>
      </c>
      <c r="BG1751" s="119"/>
      <c r="BH1751" s="119">
        <v>0</v>
      </c>
      <c r="BI1751" s="402"/>
      <c r="BJ1751" s="118"/>
      <c r="BK1751" s="118"/>
      <c r="BL1751" s="118"/>
      <c r="BM1751" s="118"/>
      <c r="BN1751" s="401"/>
      <c r="BO1751" s="118"/>
      <c r="BP1751" s="118"/>
      <c r="BQ1751" s="118"/>
      <c r="BR1751" s="118"/>
      <c r="BS1751" s="401"/>
      <c r="BT1751" s="401"/>
      <c r="BU1751" s="401"/>
      <c r="BV1751" s="401"/>
      <c r="BW1751" s="122"/>
    </row>
    <row r="1752" spans="1:75" s="123" customFormat="1" hidden="1" outlineLevel="1" x14ac:dyDescent="0.5">
      <c r="A1752" s="496" t="s">
        <v>1528</v>
      </c>
      <c r="B1752" s="513"/>
      <c r="C1752" s="401"/>
      <c r="D1752" s="403">
        <v>0</v>
      </c>
      <c r="E1752" s="403">
        <v>0</v>
      </c>
      <c r="F1752" s="403">
        <v>0</v>
      </c>
      <c r="G1752" s="302">
        <v>0</v>
      </c>
      <c r="H1752" s="302">
        <v>0</v>
      </c>
      <c r="I1752" s="302">
        <v>0</v>
      </c>
      <c r="J1752" s="302">
        <v>33.164999999999999</v>
      </c>
      <c r="K1752" s="401">
        <v>33.164999999999999</v>
      </c>
      <c r="L1752" s="302">
        <v>0</v>
      </c>
      <c r="M1752" s="302">
        <v>0</v>
      </c>
      <c r="N1752" s="302">
        <v>0</v>
      </c>
      <c r="O1752" s="302">
        <v>124.77</v>
      </c>
      <c r="P1752" s="401">
        <v>124.77</v>
      </c>
      <c r="Q1752" s="302">
        <v>172.17400000000001</v>
      </c>
      <c r="R1752" s="302">
        <v>186.36699999999999</v>
      </c>
      <c r="S1752" s="302">
        <v>206.18</v>
      </c>
      <c r="T1752" s="119">
        <v>146.62100000000001</v>
      </c>
      <c r="U1752" s="403">
        <v>146.62100000000001</v>
      </c>
      <c r="V1752" s="302">
        <v>154.953</v>
      </c>
      <c r="W1752" s="302">
        <v>156.93</v>
      </c>
      <c r="X1752" s="302">
        <v>193.27699999999999</v>
      </c>
      <c r="Y1752" s="119">
        <v>203.01499999999999</v>
      </c>
      <c r="Z1752" s="403">
        <v>203.01499999999999</v>
      </c>
      <c r="AA1752" s="302">
        <v>220.01900000000001</v>
      </c>
      <c r="AB1752" s="302">
        <v>226.23099999999999</v>
      </c>
      <c r="AC1752" s="302">
        <v>230.25899999999999</v>
      </c>
      <c r="AD1752" s="119">
        <v>229.32300000000001</v>
      </c>
      <c r="AE1752" s="403">
        <v>229.32300000000001</v>
      </c>
      <c r="AF1752" s="302">
        <v>227.97900000000001</v>
      </c>
      <c r="AG1752" s="302">
        <v>225.7</v>
      </c>
      <c r="AH1752" s="302">
        <v>220.708</v>
      </c>
      <c r="AI1752" s="119">
        <v>228.928</v>
      </c>
      <c r="AJ1752" s="403">
        <v>228.928</v>
      </c>
      <c r="AK1752" s="302">
        <v>427.96100000000001</v>
      </c>
      <c r="AL1752" s="302">
        <v>433.59100000000001</v>
      </c>
      <c r="AM1752" s="302">
        <v>431.37900000000002</v>
      </c>
      <c r="AN1752" s="119">
        <v>442.988</v>
      </c>
      <c r="AO1752" s="403">
        <v>442.988</v>
      </c>
      <c r="AP1752" s="302">
        <v>439.47</v>
      </c>
      <c r="AQ1752" s="302">
        <v>492.13600000000002</v>
      </c>
      <c r="AR1752" s="302">
        <v>488.66</v>
      </c>
      <c r="AS1752" s="119">
        <v>485.48099999999999</v>
      </c>
      <c r="AT1752" s="403">
        <v>485.48099999999999</v>
      </c>
      <c r="AU1752" s="302">
        <v>501.11799999999999</v>
      </c>
      <c r="AV1752" s="302">
        <v>523.79700000000003</v>
      </c>
      <c r="AW1752" s="302">
        <v>549.09799999999996</v>
      </c>
      <c r="AX1752" s="119">
        <v>560.54999999999995</v>
      </c>
      <c r="AY1752" s="403">
        <v>560.54999999999995</v>
      </c>
      <c r="AZ1752" s="302">
        <v>594.72799999999995</v>
      </c>
      <c r="BA1752" s="302">
        <v>661.00099999999998</v>
      </c>
      <c r="BB1752" s="302">
        <v>656.64300000000003</v>
      </c>
      <c r="BC1752" s="119">
        <v>653.04999999999995</v>
      </c>
      <c r="BD1752" s="403">
        <v>653.04999999999995</v>
      </c>
      <c r="BE1752" s="302">
        <v>648.79200000000003</v>
      </c>
      <c r="BF1752" s="302">
        <v>646.9</v>
      </c>
      <c r="BG1752" s="302">
        <v>642.726</v>
      </c>
      <c r="BH1752" s="119">
        <v>566.82899999999995</v>
      </c>
      <c r="BI1752" s="514">
        <v>566.82899999999995</v>
      </c>
      <c r="BJ1752" s="118"/>
      <c r="BK1752" s="118"/>
      <c r="BL1752" s="118"/>
      <c r="BM1752" s="118"/>
      <c r="BN1752" s="401"/>
      <c r="BO1752" s="118"/>
      <c r="BP1752" s="118"/>
      <c r="BQ1752" s="118"/>
      <c r="BR1752" s="118"/>
      <c r="BS1752" s="401"/>
      <c r="BT1752" s="401"/>
      <c r="BU1752" s="401"/>
      <c r="BV1752" s="401"/>
      <c r="BW1752" s="122"/>
    </row>
    <row r="1753" spans="1:75" s="123" customFormat="1" hidden="1" outlineLevel="1" x14ac:dyDescent="0.5">
      <c r="A1753" s="496" t="s">
        <v>1529</v>
      </c>
      <c r="B1753" s="513"/>
      <c r="C1753" s="401"/>
      <c r="D1753" s="403">
        <v>111.837</v>
      </c>
      <c r="E1753" s="403">
        <v>107.502</v>
      </c>
      <c r="F1753" s="403">
        <v>82.501000000000005</v>
      </c>
      <c r="G1753" s="302">
        <v>113.994</v>
      </c>
      <c r="H1753" s="302">
        <v>87.575000000000003</v>
      </c>
      <c r="I1753" s="302">
        <v>108.245</v>
      </c>
      <c r="J1753" s="302">
        <v>85.424999999999997</v>
      </c>
      <c r="K1753" s="401">
        <v>85.424999999999997</v>
      </c>
      <c r="L1753" s="302">
        <v>149.14599999999999</v>
      </c>
      <c r="M1753" s="302">
        <v>0</v>
      </c>
      <c r="N1753" s="302">
        <v>0</v>
      </c>
      <c r="O1753" s="302">
        <v>0</v>
      </c>
      <c r="P1753" s="401"/>
      <c r="Q1753" s="119"/>
      <c r="R1753" s="119"/>
      <c r="S1753" s="119"/>
      <c r="T1753" s="119"/>
      <c r="U1753" s="401"/>
      <c r="V1753" s="119"/>
      <c r="W1753" s="119"/>
      <c r="X1753" s="119"/>
      <c r="Y1753" s="119"/>
      <c r="Z1753" s="401"/>
      <c r="AA1753" s="119"/>
      <c r="AB1753" s="119"/>
      <c r="AC1753" s="119"/>
      <c r="AD1753" s="119"/>
      <c r="AE1753" s="401"/>
      <c r="AF1753" s="119"/>
      <c r="AG1753" s="119"/>
      <c r="AH1753" s="119"/>
      <c r="AI1753" s="119">
        <v>0</v>
      </c>
      <c r="AJ1753" s="401"/>
      <c r="AK1753" s="119"/>
      <c r="AL1753" s="119"/>
      <c r="AM1753" s="119"/>
      <c r="AN1753" s="119">
        <v>0</v>
      </c>
      <c r="AO1753" s="401"/>
      <c r="AP1753" s="119"/>
      <c r="AQ1753" s="119"/>
      <c r="AR1753" s="119"/>
      <c r="AS1753" s="119">
        <v>0</v>
      </c>
      <c r="AT1753" s="401"/>
      <c r="AU1753" s="119"/>
      <c r="AV1753" s="119"/>
      <c r="AW1753" s="119"/>
      <c r="AX1753" s="119">
        <v>0</v>
      </c>
      <c r="AY1753" s="401"/>
      <c r="AZ1753" s="119"/>
      <c r="BA1753" s="119"/>
      <c r="BB1753" s="119"/>
      <c r="BC1753" s="119">
        <v>0</v>
      </c>
      <c r="BD1753" s="401"/>
      <c r="BE1753" s="119"/>
      <c r="BF1753" s="119"/>
      <c r="BG1753" s="119"/>
      <c r="BH1753" s="119">
        <v>0</v>
      </c>
      <c r="BI1753" s="402"/>
      <c r="BJ1753" s="118"/>
      <c r="BK1753" s="118"/>
      <c r="BL1753" s="118"/>
      <c r="BM1753" s="118"/>
      <c r="BN1753" s="401"/>
      <c r="BO1753" s="118"/>
      <c r="BP1753" s="118"/>
      <c r="BQ1753" s="118"/>
      <c r="BR1753" s="118"/>
      <c r="BS1753" s="401"/>
      <c r="BT1753" s="401"/>
      <c r="BU1753" s="401"/>
      <c r="BV1753" s="401"/>
      <c r="BW1753" s="122"/>
    </row>
    <row r="1754" spans="1:75" s="123" customFormat="1" hidden="1" outlineLevel="1" x14ac:dyDescent="0.5">
      <c r="A1754" s="496" t="s">
        <v>1530</v>
      </c>
      <c r="B1754" s="513"/>
      <c r="C1754" s="401"/>
      <c r="D1754" s="401"/>
      <c r="E1754" s="401"/>
      <c r="F1754" s="401"/>
      <c r="G1754" s="119"/>
      <c r="H1754" s="119"/>
      <c r="I1754" s="119"/>
      <c r="J1754" s="119"/>
      <c r="K1754" s="401"/>
      <c r="L1754" s="119"/>
      <c r="M1754" s="119"/>
      <c r="N1754" s="119"/>
      <c r="O1754" s="119"/>
      <c r="P1754" s="401"/>
      <c r="Q1754" s="119"/>
      <c r="R1754" s="119"/>
      <c r="S1754" s="119"/>
      <c r="T1754" s="119"/>
      <c r="U1754" s="401"/>
      <c r="V1754" s="119"/>
      <c r="W1754" s="119"/>
      <c r="X1754" s="119"/>
      <c r="Y1754" s="119"/>
      <c r="Z1754" s="401"/>
      <c r="AA1754" s="119"/>
      <c r="AB1754" s="119"/>
      <c r="AC1754" s="119"/>
      <c r="AD1754" s="119"/>
      <c r="AE1754" s="401"/>
      <c r="AF1754" s="119"/>
      <c r="AG1754" s="119"/>
      <c r="AH1754" s="119"/>
      <c r="AI1754" s="119"/>
      <c r="AJ1754" s="401"/>
      <c r="AK1754" s="119"/>
      <c r="AL1754" s="119"/>
      <c r="AM1754" s="119"/>
      <c r="AN1754" s="119"/>
      <c r="AO1754" s="401"/>
      <c r="AP1754" s="119"/>
      <c r="AQ1754" s="119"/>
      <c r="AR1754" s="119"/>
      <c r="AS1754" s="119"/>
      <c r="AT1754" s="401"/>
      <c r="AU1754" s="119"/>
      <c r="AV1754" s="119"/>
      <c r="AW1754" s="119"/>
      <c r="AX1754" s="119"/>
      <c r="AY1754" s="401"/>
      <c r="AZ1754" s="119"/>
      <c r="BA1754" s="119"/>
      <c r="BB1754" s="302">
        <v>17.911999999999999</v>
      </c>
      <c r="BC1754" s="119">
        <v>17.908999999999999</v>
      </c>
      <c r="BD1754" s="403">
        <v>17.908999999999999</v>
      </c>
      <c r="BE1754" s="302">
        <v>17.905000000000001</v>
      </c>
      <c r="BF1754" s="302">
        <v>17.902000000000001</v>
      </c>
      <c r="BG1754" s="302">
        <v>17.844000000000001</v>
      </c>
      <c r="BH1754" s="119">
        <v>17.765999999999998</v>
      </c>
      <c r="BI1754" s="514">
        <v>17.765999999999998</v>
      </c>
      <c r="BJ1754" s="118"/>
      <c r="BK1754" s="118"/>
      <c r="BL1754" s="118"/>
      <c r="BM1754" s="118"/>
      <c r="BN1754" s="401"/>
      <c r="BO1754" s="118"/>
      <c r="BP1754" s="118"/>
      <c r="BQ1754" s="118"/>
      <c r="BR1754" s="118"/>
      <c r="BS1754" s="401"/>
      <c r="BT1754" s="401"/>
      <c r="BU1754" s="401"/>
      <c r="BV1754" s="401"/>
      <c r="BW1754" s="122"/>
    </row>
    <row r="1755" spans="1:75" s="123" customFormat="1" hidden="1" outlineLevel="1" x14ac:dyDescent="0.5">
      <c r="A1755" s="496" t="s">
        <v>1531</v>
      </c>
      <c r="B1755" s="513"/>
      <c r="C1755" s="401"/>
      <c r="D1755" s="401"/>
      <c r="E1755" s="401"/>
      <c r="F1755" s="401"/>
      <c r="G1755" s="119"/>
      <c r="H1755" s="119"/>
      <c r="I1755" s="119"/>
      <c r="J1755" s="119"/>
      <c r="K1755" s="401"/>
      <c r="L1755" s="119"/>
      <c r="M1755" s="119"/>
      <c r="N1755" s="119"/>
      <c r="O1755" s="119"/>
      <c r="P1755" s="401"/>
      <c r="Q1755" s="119"/>
      <c r="R1755" s="119"/>
      <c r="S1755" s="119"/>
      <c r="T1755" s="119"/>
      <c r="U1755" s="401"/>
      <c r="V1755" s="119"/>
      <c r="W1755" s="119"/>
      <c r="X1755" s="119"/>
      <c r="Y1755" s="119"/>
      <c r="Z1755" s="401"/>
      <c r="AA1755" s="119"/>
      <c r="AB1755" s="119"/>
      <c r="AC1755" s="119"/>
      <c r="AD1755" s="119"/>
      <c r="AE1755" s="401"/>
      <c r="AF1755" s="119"/>
      <c r="AG1755" s="119"/>
      <c r="AH1755" s="119"/>
      <c r="AI1755" s="119"/>
      <c r="AJ1755" s="401"/>
      <c r="AK1755" s="119"/>
      <c r="AL1755" s="119"/>
      <c r="AM1755" s="119"/>
      <c r="AN1755" s="119"/>
      <c r="AO1755" s="401"/>
      <c r="AP1755" s="119"/>
      <c r="AQ1755" s="119"/>
      <c r="AR1755" s="119"/>
      <c r="AS1755" s="119"/>
      <c r="AT1755" s="401"/>
      <c r="AU1755" s="119"/>
      <c r="AV1755" s="119"/>
      <c r="AW1755" s="119"/>
      <c r="AX1755" s="119"/>
      <c r="AY1755" s="401"/>
      <c r="AZ1755" s="119"/>
      <c r="BA1755" s="302">
        <v>469.54599999999999</v>
      </c>
      <c r="BB1755" s="302">
        <v>469.39600000000002</v>
      </c>
      <c r="BC1755" s="119">
        <v>469.245</v>
      </c>
      <c r="BD1755" s="403">
        <v>469.245</v>
      </c>
      <c r="BE1755" s="302">
        <v>469.09100000000001</v>
      </c>
      <c r="BF1755" s="302">
        <v>468.93400000000003</v>
      </c>
      <c r="BG1755" s="302">
        <v>468.77499999999998</v>
      </c>
      <c r="BH1755" s="119">
        <v>468.69600000000003</v>
      </c>
      <c r="BI1755" s="514">
        <v>468.69600000000003</v>
      </c>
      <c r="BJ1755" s="118"/>
      <c r="BK1755" s="118"/>
      <c r="BL1755" s="118"/>
      <c r="BM1755" s="118"/>
      <c r="BN1755" s="401"/>
      <c r="BO1755" s="118"/>
      <c r="BP1755" s="118"/>
      <c r="BQ1755" s="118"/>
      <c r="BR1755" s="118"/>
      <c r="BS1755" s="401"/>
      <c r="BT1755" s="401"/>
      <c r="BU1755" s="401"/>
      <c r="BV1755" s="401"/>
      <c r="BW1755" s="122"/>
    </row>
    <row r="1756" spans="1:75" s="123" customFormat="1" hidden="1" outlineLevel="1" x14ac:dyDescent="0.5">
      <c r="A1756" s="497" t="s">
        <v>1532</v>
      </c>
      <c r="B1756" s="677"/>
      <c r="C1756" s="406"/>
      <c r="D1756" s="408">
        <v>0</v>
      </c>
      <c r="E1756" s="408">
        <v>14.798</v>
      </c>
      <c r="F1756" s="408">
        <v>0</v>
      </c>
      <c r="G1756" s="357">
        <v>0</v>
      </c>
      <c r="H1756" s="357">
        <v>0</v>
      </c>
      <c r="I1756" s="357">
        <v>0</v>
      </c>
      <c r="J1756" s="357">
        <v>0</v>
      </c>
      <c r="K1756" s="406">
        <v>0</v>
      </c>
      <c r="L1756" s="357">
        <v>0</v>
      </c>
      <c r="M1756" s="357">
        <v>0</v>
      </c>
      <c r="N1756" s="357">
        <v>0</v>
      </c>
      <c r="O1756" s="357">
        <v>0</v>
      </c>
      <c r="P1756" s="406">
        <v>0</v>
      </c>
      <c r="Q1756" s="357">
        <v>0</v>
      </c>
      <c r="R1756" s="357">
        <v>0</v>
      </c>
      <c r="S1756" s="357">
        <v>0</v>
      </c>
      <c r="T1756" s="312">
        <v>0</v>
      </c>
      <c r="U1756" s="408">
        <v>0</v>
      </c>
      <c r="V1756" s="357">
        <v>0</v>
      </c>
      <c r="W1756" s="312"/>
      <c r="X1756" s="312"/>
      <c r="Y1756" s="312">
        <v>0</v>
      </c>
      <c r="Z1756" s="406"/>
      <c r="AA1756" s="357">
        <v>0</v>
      </c>
      <c r="AB1756" s="357">
        <v>176.363</v>
      </c>
      <c r="AC1756" s="357">
        <v>79.471000000000004</v>
      </c>
      <c r="AD1756" s="312">
        <v>79.498999999999995</v>
      </c>
      <c r="AE1756" s="408">
        <v>79.498999999999995</v>
      </c>
      <c r="AF1756" s="357">
        <v>79.528000000000006</v>
      </c>
      <c r="AG1756" s="312"/>
      <c r="AH1756" s="312"/>
      <c r="AI1756" s="312">
        <v>0</v>
      </c>
      <c r="AJ1756" s="406"/>
      <c r="AK1756" s="312"/>
      <c r="AL1756" s="312"/>
      <c r="AM1756" s="312"/>
      <c r="AN1756" s="312">
        <v>0</v>
      </c>
      <c r="AO1756" s="406"/>
      <c r="AP1756" s="312"/>
      <c r="AQ1756" s="312"/>
      <c r="AR1756" s="312"/>
      <c r="AS1756" s="312">
        <v>0</v>
      </c>
      <c r="AT1756" s="406"/>
      <c r="AU1756" s="312"/>
      <c r="AV1756" s="312"/>
      <c r="AW1756" s="357">
        <v>1957.366</v>
      </c>
      <c r="AX1756" s="312">
        <v>1953.203</v>
      </c>
      <c r="AY1756" s="408">
        <v>1953.203</v>
      </c>
      <c r="AZ1756" s="357">
        <v>1949.038</v>
      </c>
      <c r="BA1756" s="357">
        <v>1944.87</v>
      </c>
      <c r="BB1756" s="357">
        <v>1940.701</v>
      </c>
      <c r="BC1756" s="312">
        <v>1936.529</v>
      </c>
      <c r="BD1756" s="408">
        <v>1936.529</v>
      </c>
      <c r="BE1756" s="357">
        <v>1932.356</v>
      </c>
      <c r="BF1756" s="357">
        <v>1928.18</v>
      </c>
      <c r="BG1756" s="357">
        <v>1924.002</v>
      </c>
      <c r="BH1756" s="312">
        <v>1919.885</v>
      </c>
      <c r="BI1756" s="515">
        <v>1919.885</v>
      </c>
      <c r="BJ1756" s="312"/>
      <c r="BK1756" s="312"/>
      <c r="BL1756" s="312"/>
      <c r="BM1756" s="312"/>
      <c r="BN1756" s="406"/>
      <c r="BO1756" s="312"/>
      <c r="BP1756" s="312"/>
      <c r="BQ1756" s="312"/>
      <c r="BR1756" s="312"/>
      <c r="BS1756" s="406"/>
      <c r="BT1756" s="406"/>
      <c r="BU1756" s="406"/>
      <c r="BV1756" s="406"/>
      <c r="BW1756" s="122"/>
    </row>
    <row r="1757" spans="1:75" s="123" customFormat="1" collapsed="1" x14ac:dyDescent="0.5">
      <c r="A1757" s="184" t="s">
        <v>1533</v>
      </c>
      <c r="B1757" s="513"/>
      <c r="C1757" s="401"/>
      <c r="D1757" s="401">
        <v>111.837</v>
      </c>
      <c r="E1757" s="401">
        <v>122.3</v>
      </c>
      <c r="F1757" s="401">
        <v>82.501000000000005</v>
      </c>
      <c r="G1757" s="119">
        <v>113.994</v>
      </c>
      <c r="H1757" s="119">
        <v>87.575000000000003</v>
      </c>
      <c r="I1757" s="119">
        <v>108.245</v>
      </c>
      <c r="J1757" s="119">
        <v>118.59</v>
      </c>
      <c r="K1757" s="401">
        <v>118.59</v>
      </c>
      <c r="L1757" s="119">
        <v>149.14599999999999</v>
      </c>
      <c r="M1757" s="119">
        <v>277.678</v>
      </c>
      <c r="N1757" s="119">
        <v>281.01400000000001</v>
      </c>
      <c r="O1757" s="119">
        <v>409.15799999999996</v>
      </c>
      <c r="P1757" s="401">
        <v>409.15799999999996</v>
      </c>
      <c r="Q1757" s="119">
        <v>459.97299999999996</v>
      </c>
      <c r="R1757" s="119">
        <v>691.69100000000003</v>
      </c>
      <c r="S1757" s="119">
        <v>718.69299999999998</v>
      </c>
      <c r="T1757" s="119">
        <v>666.42199999999991</v>
      </c>
      <c r="U1757" s="401">
        <v>666.42199999999991</v>
      </c>
      <c r="V1757" s="119">
        <v>680.15899999999999</v>
      </c>
      <c r="W1757" s="119">
        <v>689.74299999999994</v>
      </c>
      <c r="X1757" s="119">
        <v>733.80199999999991</v>
      </c>
      <c r="Y1757" s="119">
        <v>751.35900000000004</v>
      </c>
      <c r="Z1757" s="401">
        <v>751.35900000000004</v>
      </c>
      <c r="AA1757" s="119">
        <v>776.29200000000003</v>
      </c>
      <c r="AB1757" s="119">
        <v>1249.905</v>
      </c>
      <c r="AC1757" s="119">
        <v>1223.191</v>
      </c>
      <c r="AD1757" s="119">
        <v>1089.5170000000001</v>
      </c>
      <c r="AE1757" s="401">
        <v>1089.5170000000001</v>
      </c>
      <c r="AF1757" s="119">
        <v>1115.6100000000001</v>
      </c>
      <c r="AG1757" s="119">
        <v>728.43299999999999</v>
      </c>
      <c r="AH1757" s="119">
        <v>839.6579999999999</v>
      </c>
      <c r="AI1757" s="119">
        <v>806.73599999999999</v>
      </c>
      <c r="AJ1757" s="401">
        <v>806.73599999999999</v>
      </c>
      <c r="AK1757" s="119">
        <v>1313.682</v>
      </c>
      <c r="AL1757" s="119">
        <v>1194.8180000000002</v>
      </c>
      <c r="AM1757" s="119">
        <v>1080.587</v>
      </c>
      <c r="AN1757" s="119">
        <v>1005.681</v>
      </c>
      <c r="AO1757" s="401">
        <v>1005.681</v>
      </c>
      <c r="AP1757" s="119">
        <v>1018.1680000000001</v>
      </c>
      <c r="AQ1757" s="119">
        <v>1158.72</v>
      </c>
      <c r="AR1757" s="119">
        <v>1066.806</v>
      </c>
      <c r="AS1757" s="119">
        <v>1064.5050000000001</v>
      </c>
      <c r="AT1757" s="401">
        <v>1064.5050000000001</v>
      </c>
      <c r="AU1757" s="119">
        <v>1078.7139999999999</v>
      </c>
      <c r="AV1757" s="119">
        <v>843.32600000000002</v>
      </c>
      <c r="AW1757" s="119">
        <v>2752.1080000000002</v>
      </c>
      <c r="AX1757" s="119">
        <v>2758.3449999999998</v>
      </c>
      <c r="AY1757" s="401">
        <v>2758.3449999999998</v>
      </c>
      <c r="AZ1757" s="119">
        <v>2643.8119999999999</v>
      </c>
      <c r="BA1757" s="119">
        <v>3117.085</v>
      </c>
      <c r="BB1757" s="119">
        <v>3126.348</v>
      </c>
      <c r="BC1757" s="119">
        <v>3118.4569999999999</v>
      </c>
      <c r="BD1757" s="401">
        <v>3118.4569999999999</v>
      </c>
      <c r="BE1757" s="119">
        <v>3109.895</v>
      </c>
      <c r="BF1757" s="119">
        <v>3103.6950000000002</v>
      </c>
      <c r="BG1757" s="119">
        <v>3053.3469999999998</v>
      </c>
      <c r="BH1757" s="119">
        <v>2973.1759999999999</v>
      </c>
      <c r="BI1757" s="402">
        <v>2973.1759999999999</v>
      </c>
      <c r="BJ1757" s="118">
        <v>2973.1759999999999</v>
      </c>
      <c r="BK1757" s="118">
        <v>2973.1759999999999</v>
      </c>
      <c r="BL1757" s="118">
        <v>2973.1759999999999</v>
      </c>
      <c r="BM1757" s="118">
        <v>2973.1759999999999</v>
      </c>
      <c r="BN1757" s="401">
        <v>2973.1759999999999</v>
      </c>
      <c r="BO1757" s="118">
        <v>2973.1759999999999</v>
      </c>
      <c r="BP1757" s="118">
        <v>2973.1759999999999</v>
      </c>
      <c r="BQ1757" s="118">
        <v>2973.1759999999999</v>
      </c>
      <c r="BR1757" s="118">
        <v>2973.1759999999999</v>
      </c>
      <c r="BS1757" s="401">
        <v>2973.1759999999999</v>
      </c>
      <c r="BT1757" s="401">
        <v>2973.1759999999999</v>
      </c>
      <c r="BU1757" s="401">
        <v>2973.1759999999999</v>
      </c>
      <c r="BV1757" s="401">
        <v>2973.1759999999999</v>
      </c>
      <c r="BW1757" s="122"/>
    </row>
    <row r="1758" spans="1:75" s="123" customFormat="1" x14ac:dyDescent="0.5">
      <c r="A1758" s="184" t="s">
        <v>1534</v>
      </c>
      <c r="B1758" s="513"/>
      <c r="C1758" s="401"/>
      <c r="D1758" s="401"/>
      <c r="E1758" s="401"/>
      <c r="F1758" s="401"/>
      <c r="G1758" s="119"/>
      <c r="H1758" s="119"/>
      <c r="I1758" s="119"/>
      <c r="J1758" s="119"/>
      <c r="K1758" s="401"/>
      <c r="L1758" s="119"/>
      <c r="M1758" s="119"/>
      <c r="N1758" s="119"/>
      <c r="O1758" s="119"/>
      <c r="P1758" s="401"/>
      <c r="Q1758" s="119"/>
      <c r="R1758" s="119"/>
      <c r="S1758" s="119"/>
      <c r="T1758" s="119"/>
      <c r="U1758" s="401"/>
      <c r="V1758" s="119"/>
      <c r="W1758" s="119"/>
      <c r="X1758" s="119"/>
      <c r="Y1758" s="119"/>
      <c r="Z1758" s="401"/>
      <c r="AA1758" s="119"/>
      <c r="AB1758" s="119"/>
      <c r="AC1758" s="119"/>
      <c r="AD1758" s="119"/>
      <c r="AE1758" s="401"/>
      <c r="AF1758" s="119"/>
      <c r="AG1758" s="119"/>
      <c r="AH1758" s="119"/>
      <c r="AI1758" s="119"/>
      <c r="AJ1758" s="401"/>
      <c r="AK1758" s="302">
        <v>436.22800000000001</v>
      </c>
      <c r="AL1758" s="302">
        <v>415.803</v>
      </c>
      <c r="AM1758" s="302">
        <v>412.24700000000001</v>
      </c>
      <c r="AN1758" s="119">
        <v>409.93</v>
      </c>
      <c r="AO1758" s="403">
        <v>409.93</v>
      </c>
      <c r="AP1758" s="302">
        <v>395.64100000000002</v>
      </c>
      <c r="AQ1758" s="302">
        <v>406.012</v>
      </c>
      <c r="AR1758" s="302">
        <v>405.43200000000002</v>
      </c>
      <c r="AS1758" s="119">
        <v>448.16899999999998</v>
      </c>
      <c r="AT1758" s="403">
        <v>448.16899999999998</v>
      </c>
      <c r="AU1758" s="302">
        <v>532.14200000000005</v>
      </c>
      <c r="AV1758" s="302">
        <v>542.51</v>
      </c>
      <c r="AW1758" s="302">
        <v>538.88599999999997</v>
      </c>
      <c r="AX1758" s="119">
        <v>540.51300000000003</v>
      </c>
      <c r="AY1758" s="403">
        <v>540.51300000000003</v>
      </c>
      <c r="AZ1758" s="302">
        <v>533.07399999999996</v>
      </c>
      <c r="BA1758" s="302">
        <v>527.44500000000005</v>
      </c>
      <c r="BB1758" s="302">
        <v>521.09299999999996</v>
      </c>
      <c r="BC1758" s="119">
        <v>505.80900000000003</v>
      </c>
      <c r="BD1758" s="403">
        <v>505.80900000000003</v>
      </c>
      <c r="BE1758" s="302">
        <v>504.47899999999998</v>
      </c>
      <c r="BF1758" s="302">
        <v>506.53500000000003</v>
      </c>
      <c r="BG1758" s="302">
        <v>570.07299999999998</v>
      </c>
      <c r="BH1758" s="119">
        <v>576.16600000000005</v>
      </c>
      <c r="BI1758" s="514">
        <v>576.16600000000005</v>
      </c>
      <c r="BJ1758" s="118">
        <v>556.16600000000005</v>
      </c>
      <c r="BK1758" s="118">
        <v>536.16600000000005</v>
      </c>
      <c r="BL1758" s="118">
        <v>516.16600000000005</v>
      </c>
      <c r="BM1758" s="118">
        <v>496.16600000000005</v>
      </c>
      <c r="BN1758" s="401">
        <v>496.16600000000005</v>
      </c>
      <c r="BO1758" s="118">
        <v>476.16600000000005</v>
      </c>
      <c r="BP1758" s="118">
        <v>456.16600000000005</v>
      </c>
      <c r="BQ1758" s="118">
        <v>436.16600000000005</v>
      </c>
      <c r="BR1758" s="118">
        <v>416.16600000000005</v>
      </c>
      <c r="BS1758" s="401">
        <v>416.16600000000005</v>
      </c>
      <c r="BT1758" s="401">
        <v>336.16600000000005</v>
      </c>
      <c r="BU1758" s="401">
        <v>256.16600000000005</v>
      </c>
      <c r="BV1758" s="401">
        <v>176.16600000000005</v>
      </c>
      <c r="BW1758" s="122"/>
    </row>
    <row r="1759" spans="1:75" s="123" customFormat="1" x14ac:dyDescent="0.5">
      <c r="A1759" s="184" t="s">
        <v>1374</v>
      </c>
      <c r="B1759" s="513"/>
      <c r="C1759" s="401"/>
      <c r="D1759" s="403">
        <v>18.13</v>
      </c>
      <c r="E1759" s="403">
        <v>19.850999999999999</v>
      </c>
      <c r="F1759" s="403">
        <v>30.783999999999999</v>
      </c>
      <c r="G1759" s="302">
        <v>30.867000000000001</v>
      </c>
      <c r="H1759" s="302">
        <v>31.452999999999999</v>
      </c>
      <c r="I1759" s="302">
        <v>34.151000000000003</v>
      </c>
      <c r="J1759" s="302">
        <v>37.726999999999997</v>
      </c>
      <c r="K1759" s="401">
        <v>37.726999999999997</v>
      </c>
      <c r="L1759" s="302">
        <v>38.356000000000002</v>
      </c>
      <c r="M1759" s="302">
        <v>38.838000000000001</v>
      </c>
      <c r="N1759" s="302">
        <v>39.405999999999999</v>
      </c>
      <c r="O1759" s="302">
        <v>40.552</v>
      </c>
      <c r="P1759" s="401">
        <v>40.552</v>
      </c>
      <c r="Q1759" s="302">
        <v>41.893000000000001</v>
      </c>
      <c r="R1759" s="302">
        <v>42.052</v>
      </c>
      <c r="S1759" s="302">
        <v>42.703000000000003</v>
      </c>
      <c r="T1759" s="119">
        <v>53.985999999999997</v>
      </c>
      <c r="U1759" s="403">
        <v>53.985999999999997</v>
      </c>
      <c r="V1759" s="302">
        <v>55.058</v>
      </c>
      <c r="W1759" s="302">
        <v>58.869</v>
      </c>
      <c r="X1759" s="302">
        <v>59.515999999999998</v>
      </c>
      <c r="Y1759" s="119">
        <v>60.439</v>
      </c>
      <c r="Z1759" s="403">
        <v>60.439</v>
      </c>
      <c r="AA1759" s="302">
        <v>61.094000000000001</v>
      </c>
      <c r="AB1759" s="302">
        <v>63.887</v>
      </c>
      <c r="AC1759" s="302">
        <v>63.499000000000002</v>
      </c>
      <c r="AD1759" s="119">
        <v>54.982999999999997</v>
      </c>
      <c r="AE1759" s="403">
        <v>54.982999999999997</v>
      </c>
      <c r="AF1759" s="302">
        <v>54.965000000000003</v>
      </c>
      <c r="AG1759" s="302">
        <v>54.820999999999998</v>
      </c>
      <c r="AH1759" s="302">
        <v>54.500999999999998</v>
      </c>
      <c r="AI1759" s="119">
        <v>53.741999999999997</v>
      </c>
      <c r="AJ1759" s="403">
        <v>53.741999999999997</v>
      </c>
      <c r="AK1759" s="119"/>
      <c r="AL1759" s="119"/>
      <c r="AM1759" s="119"/>
      <c r="AN1759" s="119">
        <v>0</v>
      </c>
      <c r="AO1759" s="401"/>
      <c r="AP1759" s="119"/>
      <c r="AQ1759" s="119"/>
      <c r="AR1759" s="119"/>
      <c r="AS1759" s="119">
        <v>0</v>
      </c>
      <c r="AT1759" s="401"/>
      <c r="AU1759" s="119"/>
      <c r="AV1759" s="119"/>
      <c r="AW1759" s="119"/>
      <c r="AX1759" s="119">
        <v>0</v>
      </c>
      <c r="AY1759" s="401"/>
      <c r="AZ1759" s="119"/>
      <c r="BA1759" s="119"/>
      <c r="BB1759" s="119"/>
      <c r="BC1759" s="119">
        <v>0</v>
      </c>
      <c r="BD1759" s="401"/>
      <c r="BE1759" s="119"/>
      <c r="BF1759" s="119"/>
      <c r="BG1759" s="119"/>
      <c r="BH1759" s="119">
        <v>0</v>
      </c>
      <c r="BI1759" s="402"/>
      <c r="BJ1759" s="118">
        <v>0</v>
      </c>
      <c r="BK1759" s="118">
        <v>0</v>
      </c>
      <c r="BL1759" s="118">
        <v>0</v>
      </c>
      <c r="BM1759" s="118">
        <v>0</v>
      </c>
      <c r="BN1759" s="401">
        <v>0</v>
      </c>
      <c r="BO1759" s="118">
        <v>0</v>
      </c>
      <c r="BP1759" s="118">
        <v>0</v>
      </c>
      <c r="BQ1759" s="118">
        <v>0</v>
      </c>
      <c r="BR1759" s="118">
        <v>0</v>
      </c>
      <c r="BS1759" s="401">
        <v>0</v>
      </c>
      <c r="BT1759" s="401">
        <v>0</v>
      </c>
      <c r="BU1759" s="401">
        <v>0</v>
      </c>
      <c r="BV1759" s="401">
        <v>0</v>
      </c>
      <c r="BW1759" s="122"/>
    </row>
    <row r="1760" spans="1:75" s="123" customFormat="1" x14ac:dyDescent="0.5">
      <c r="A1760" s="184" t="s">
        <v>1535</v>
      </c>
      <c r="B1760" s="513"/>
      <c r="C1760" s="401"/>
      <c r="D1760" s="403">
        <v>17.853000000000002</v>
      </c>
      <c r="E1760" s="403">
        <v>22.152999999999999</v>
      </c>
      <c r="F1760" s="403">
        <v>0</v>
      </c>
      <c r="G1760" s="302">
        <v>0</v>
      </c>
      <c r="H1760" s="302">
        <v>0</v>
      </c>
      <c r="I1760" s="302">
        <v>0</v>
      </c>
      <c r="J1760" s="302">
        <v>0</v>
      </c>
      <c r="K1760" s="401">
        <v>0</v>
      </c>
      <c r="L1760" s="302">
        <v>0</v>
      </c>
      <c r="M1760" s="302">
        <v>0</v>
      </c>
      <c r="N1760" s="302">
        <v>0</v>
      </c>
      <c r="O1760" s="302">
        <v>0</v>
      </c>
      <c r="P1760" s="401">
        <v>0</v>
      </c>
      <c r="Q1760" s="302">
        <v>0</v>
      </c>
      <c r="R1760" s="302">
        <v>4.9539999999999997</v>
      </c>
      <c r="S1760" s="302">
        <v>0</v>
      </c>
      <c r="T1760" s="119">
        <v>0</v>
      </c>
      <c r="U1760" s="403">
        <v>0</v>
      </c>
      <c r="V1760" s="302">
        <v>0</v>
      </c>
      <c r="W1760" s="119"/>
      <c r="X1760" s="119"/>
      <c r="Y1760" s="119">
        <v>0</v>
      </c>
      <c r="Z1760" s="401"/>
      <c r="AA1760" s="302">
        <v>0</v>
      </c>
      <c r="AB1760" s="119"/>
      <c r="AC1760" s="119"/>
      <c r="AD1760" s="119">
        <v>0</v>
      </c>
      <c r="AE1760" s="401"/>
      <c r="AF1760" s="119"/>
      <c r="AG1760" s="119"/>
      <c r="AH1760" s="119"/>
      <c r="AI1760" s="119">
        <v>0</v>
      </c>
      <c r="AJ1760" s="401"/>
      <c r="AK1760" s="119"/>
      <c r="AL1760" s="119"/>
      <c r="AM1760" s="119"/>
      <c r="AN1760" s="119">
        <v>0</v>
      </c>
      <c r="AO1760" s="401"/>
      <c r="AP1760" s="119"/>
      <c r="AQ1760" s="119"/>
      <c r="AR1760" s="119"/>
      <c r="AS1760" s="119">
        <v>0</v>
      </c>
      <c r="AT1760" s="401"/>
      <c r="AU1760" s="119"/>
      <c r="AV1760" s="119"/>
      <c r="AW1760" s="119"/>
      <c r="AX1760" s="119">
        <v>0</v>
      </c>
      <c r="AY1760" s="401"/>
      <c r="AZ1760" s="119"/>
      <c r="BA1760" s="119"/>
      <c r="BB1760" s="119"/>
      <c r="BC1760" s="119">
        <v>6.3150000000000004</v>
      </c>
      <c r="BD1760" s="403">
        <v>6.3150000000000004</v>
      </c>
      <c r="BE1760" s="302">
        <v>6.4020000000000001</v>
      </c>
      <c r="BF1760" s="302">
        <v>6.4009999999999998</v>
      </c>
      <c r="BG1760" s="302">
        <v>6.1390000000000002</v>
      </c>
      <c r="BH1760" s="119">
        <v>8.4420000000000002</v>
      </c>
      <c r="BI1760" s="514">
        <v>8.4420000000000002</v>
      </c>
      <c r="BJ1760" s="118">
        <v>8.4420000000000002</v>
      </c>
      <c r="BK1760" s="118">
        <v>8.4420000000000002</v>
      </c>
      <c r="BL1760" s="118">
        <v>8.4420000000000002</v>
      </c>
      <c r="BM1760" s="118">
        <v>8.4420000000000002</v>
      </c>
      <c r="BN1760" s="401">
        <v>8.4420000000000002</v>
      </c>
      <c r="BO1760" s="118">
        <v>8.4420000000000002</v>
      </c>
      <c r="BP1760" s="118">
        <v>8.4420000000000002</v>
      </c>
      <c r="BQ1760" s="118">
        <v>8.4420000000000002</v>
      </c>
      <c r="BR1760" s="118">
        <v>8.4420000000000002</v>
      </c>
      <c r="BS1760" s="401">
        <v>8.4420000000000002</v>
      </c>
      <c r="BT1760" s="401">
        <v>8.4420000000000002</v>
      </c>
      <c r="BU1760" s="401">
        <v>8.4420000000000002</v>
      </c>
      <c r="BV1760" s="401">
        <v>8.4420000000000002</v>
      </c>
      <c r="BW1760" s="122"/>
    </row>
    <row r="1761" spans="1:75" s="123" customFormat="1" x14ac:dyDescent="0.5">
      <c r="A1761" s="184" t="s">
        <v>1536</v>
      </c>
      <c r="B1761" s="513"/>
      <c r="C1761" s="401"/>
      <c r="D1761" s="403">
        <v>8.64</v>
      </c>
      <c r="E1761" s="403">
        <v>10.069000000000001</v>
      </c>
      <c r="F1761" s="403">
        <v>5.2930000000000001</v>
      </c>
      <c r="G1761" s="302">
        <v>4.53</v>
      </c>
      <c r="H1761" s="302">
        <v>13.957000000000001</v>
      </c>
      <c r="I1761" s="302">
        <v>29.85</v>
      </c>
      <c r="J1761" s="302">
        <v>6.0659999999999998</v>
      </c>
      <c r="K1761" s="401">
        <v>6.0659999999999998</v>
      </c>
      <c r="L1761" s="302">
        <v>67.543000000000006</v>
      </c>
      <c r="M1761" s="302">
        <v>73.272999999999996</v>
      </c>
      <c r="N1761" s="302">
        <v>116.545</v>
      </c>
      <c r="O1761" s="302">
        <v>28.943999999999999</v>
      </c>
      <c r="P1761" s="401">
        <v>28.943999999999999</v>
      </c>
      <c r="Q1761" s="302">
        <v>28.855</v>
      </c>
      <c r="R1761" s="302">
        <v>29.327000000000002</v>
      </c>
      <c r="S1761" s="302">
        <v>29.273</v>
      </c>
      <c r="T1761" s="119">
        <v>29.349</v>
      </c>
      <c r="U1761" s="403">
        <v>29.349</v>
      </c>
      <c r="V1761" s="302">
        <v>29.326000000000001</v>
      </c>
      <c r="W1761" s="302">
        <v>41.822000000000003</v>
      </c>
      <c r="X1761" s="302">
        <v>41.384</v>
      </c>
      <c r="Y1761" s="119">
        <v>44.683999999999997</v>
      </c>
      <c r="Z1761" s="403">
        <v>44.683999999999997</v>
      </c>
      <c r="AA1761" s="302">
        <v>44.301000000000002</v>
      </c>
      <c r="AB1761" s="302">
        <v>56.652000000000001</v>
      </c>
      <c r="AC1761" s="302">
        <v>70.394999999999996</v>
      </c>
      <c r="AD1761" s="119">
        <v>76.367000000000004</v>
      </c>
      <c r="AE1761" s="403">
        <v>76.367000000000004</v>
      </c>
      <c r="AF1761" s="302">
        <v>73.248000000000005</v>
      </c>
      <c r="AG1761" s="302">
        <v>47.847000000000001</v>
      </c>
      <c r="AH1761" s="302">
        <v>52.073</v>
      </c>
      <c r="AI1761" s="119">
        <v>50.345999999999997</v>
      </c>
      <c r="AJ1761" s="403">
        <v>50.345999999999997</v>
      </c>
      <c r="AK1761" s="302">
        <v>31.684999999999999</v>
      </c>
      <c r="AL1761" s="302">
        <v>30.148</v>
      </c>
      <c r="AM1761" s="302">
        <v>28.693000000000001</v>
      </c>
      <c r="AN1761" s="119">
        <v>28.52</v>
      </c>
      <c r="AO1761" s="403">
        <v>28.52</v>
      </c>
      <c r="AP1761" s="302">
        <v>28.016999999999999</v>
      </c>
      <c r="AQ1761" s="302">
        <v>28.206</v>
      </c>
      <c r="AR1761" s="302">
        <v>27.558</v>
      </c>
      <c r="AS1761" s="119">
        <v>16.981000000000002</v>
      </c>
      <c r="AT1761" s="403">
        <v>16.981000000000002</v>
      </c>
      <c r="AU1761" s="302">
        <v>15.827</v>
      </c>
      <c r="AV1761" s="302">
        <v>15.458</v>
      </c>
      <c r="AW1761" s="302">
        <v>11.346</v>
      </c>
      <c r="AX1761" s="119">
        <v>7.577</v>
      </c>
      <c r="AY1761" s="401">
        <v>7.577</v>
      </c>
      <c r="AZ1761" s="302">
        <v>7.7309999999999999</v>
      </c>
      <c r="BA1761" s="302">
        <v>7.77</v>
      </c>
      <c r="BB1761" s="302">
        <v>7.1509999999999998</v>
      </c>
      <c r="BC1761" s="119">
        <v>8.0739999999999998</v>
      </c>
      <c r="BD1761" s="403">
        <v>8.0739999999999998</v>
      </c>
      <c r="BE1761" s="302">
        <v>8.1649999999999991</v>
      </c>
      <c r="BF1761" s="302">
        <v>8.1159999999999997</v>
      </c>
      <c r="BG1761" s="302">
        <v>9.3000000000000007</v>
      </c>
      <c r="BH1761" s="119">
        <v>10.638999999999999</v>
      </c>
      <c r="BI1761" s="514">
        <v>10.638999999999999</v>
      </c>
      <c r="BJ1761" s="119">
        <v>10.638999999999999</v>
      </c>
      <c r="BK1761" s="119">
        <v>10.638999999999999</v>
      </c>
      <c r="BL1761" s="119">
        <v>10.638999999999999</v>
      </c>
      <c r="BM1761" s="119">
        <v>10.638999999999999</v>
      </c>
      <c r="BN1761" s="401">
        <v>10.638999999999999</v>
      </c>
      <c r="BO1761" s="119">
        <v>10.638999999999999</v>
      </c>
      <c r="BP1761" s="119">
        <v>10.638999999999999</v>
      </c>
      <c r="BQ1761" s="119">
        <v>10.638999999999999</v>
      </c>
      <c r="BR1761" s="119">
        <v>10.638999999999999</v>
      </c>
      <c r="BS1761" s="401">
        <v>10.638999999999999</v>
      </c>
      <c r="BT1761" s="401">
        <v>10.638999999999999</v>
      </c>
      <c r="BU1761" s="401">
        <v>10.638999999999999</v>
      </c>
      <c r="BV1761" s="401">
        <v>10.638999999999999</v>
      </c>
      <c r="BW1761" s="122"/>
    </row>
    <row r="1762" spans="1:75" s="123" customFormat="1" x14ac:dyDescent="0.5">
      <c r="A1762" s="445" t="s">
        <v>1537</v>
      </c>
      <c r="B1762" s="677"/>
      <c r="C1762" s="406"/>
      <c r="D1762" s="406"/>
      <c r="E1762" s="406"/>
      <c r="F1762" s="406"/>
      <c r="G1762" s="312"/>
      <c r="H1762" s="312"/>
      <c r="I1762" s="312"/>
      <c r="J1762" s="312"/>
      <c r="K1762" s="406"/>
      <c r="L1762" s="312"/>
      <c r="M1762" s="312"/>
      <c r="N1762" s="312"/>
      <c r="O1762" s="312"/>
      <c r="P1762" s="406"/>
      <c r="Q1762" s="312"/>
      <c r="R1762" s="312"/>
      <c r="S1762" s="312"/>
      <c r="T1762" s="312"/>
      <c r="U1762" s="406"/>
      <c r="V1762" s="312"/>
      <c r="W1762" s="312"/>
      <c r="X1762" s="312"/>
      <c r="Y1762" s="312"/>
      <c r="Z1762" s="406"/>
      <c r="AA1762" s="312"/>
      <c r="AB1762" s="312"/>
      <c r="AC1762" s="312"/>
      <c r="AD1762" s="312"/>
      <c r="AE1762" s="406"/>
      <c r="AF1762" s="312"/>
      <c r="AG1762" s="312"/>
      <c r="AH1762" s="312"/>
      <c r="AI1762" s="312"/>
      <c r="AJ1762" s="406"/>
      <c r="AK1762" s="312"/>
      <c r="AL1762" s="312"/>
      <c r="AM1762" s="312"/>
      <c r="AN1762" s="312"/>
      <c r="AO1762" s="406"/>
      <c r="AP1762" s="312"/>
      <c r="AQ1762" s="312"/>
      <c r="AR1762" s="312"/>
      <c r="AS1762" s="312"/>
      <c r="AT1762" s="406"/>
      <c r="AU1762" s="312"/>
      <c r="AV1762" s="357">
        <v>30.515000000000001</v>
      </c>
      <c r="AW1762" s="357">
        <v>13.571</v>
      </c>
      <c r="AX1762" s="119">
        <v>0</v>
      </c>
      <c r="AY1762" s="406"/>
      <c r="AZ1762" s="312"/>
      <c r="BA1762" s="312"/>
      <c r="BB1762" s="312"/>
      <c r="BC1762" s="119">
        <v>0</v>
      </c>
      <c r="BD1762" s="406"/>
      <c r="BE1762" s="312"/>
      <c r="BF1762" s="312"/>
      <c r="BG1762" s="312"/>
      <c r="BH1762" s="119">
        <v>0</v>
      </c>
      <c r="BI1762" s="407"/>
      <c r="BJ1762" s="312">
        <v>0</v>
      </c>
      <c r="BK1762" s="312">
        <v>0</v>
      </c>
      <c r="BL1762" s="312">
        <v>0</v>
      </c>
      <c r="BM1762" s="312">
        <v>0</v>
      </c>
      <c r="BN1762" s="406">
        <v>0</v>
      </c>
      <c r="BO1762" s="312">
        <v>0</v>
      </c>
      <c r="BP1762" s="312">
        <v>0</v>
      </c>
      <c r="BQ1762" s="312">
        <v>0</v>
      </c>
      <c r="BR1762" s="312">
        <v>0</v>
      </c>
      <c r="BS1762" s="406">
        <v>0</v>
      </c>
      <c r="BT1762" s="406">
        <v>0</v>
      </c>
      <c r="BU1762" s="406">
        <v>0</v>
      </c>
      <c r="BV1762" s="406">
        <v>0</v>
      </c>
      <c r="BW1762" s="122"/>
    </row>
    <row r="1763" spans="1:75" s="198" customFormat="1" ht="14.25" x14ac:dyDescent="0.45">
      <c r="A1763" s="192" t="s">
        <v>1538</v>
      </c>
      <c r="B1763" s="517"/>
      <c r="C1763" s="518"/>
      <c r="D1763" s="518">
        <v>156.46000000000004</v>
      </c>
      <c r="E1763" s="518">
        <v>174.37299999999999</v>
      </c>
      <c r="F1763" s="518">
        <v>118.578</v>
      </c>
      <c r="G1763" s="327">
        <v>149.39099999999999</v>
      </c>
      <c r="H1763" s="327">
        <v>132.98500000000001</v>
      </c>
      <c r="I1763" s="327">
        <v>172.24600000000001</v>
      </c>
      <c r="J1763" s="327">
        <v>162.38300000000001</v>
      </c>
      <c r="K1763" s="518">
        <v>162.38300000000001</v>
      </c>
      <c r="L1763" s="327">
        <v>255.04499999999999</v>
      </c>
      <c r="M1763" s="327">
        <v>389.78899999999999</v>
      </c>
      <c r="N1763" s="327">
        <v>436.96500000000003</v>
      </c>
      <c r="O1763" s="327">
        <v>478.654</v>
      </c>
      <c r="P1763" s="518">
        <v>478.654</v>
      </c>
      <c r="Q1763" s="327">
        <v>530.721</v>
      </c>
      <c r="R1763" s="327">
        <v>768.024</v>
      </c>
      <c r="S1763" s="327">
        <v>790.66899999999998</v>
      </c>
      <c r="T1763" s="327">
        <v>749.75699999999995</v>
      </c>
      <c r="U1763" s="518">
        <v>749.75699999999995</v>
      </c>
      <c r="V1763" s="327">
        <v>764.54300000000001</v>
      </c>
      <c r="W1763" s="327">
        <v>790.43399999999997</v>
      </c>
      <c r="X1763" s="327">
        <v>834.70199999999988</v>
      </c>
      <c r="Y1763" s="327">
        <v>856.48199999999997</v>
      </c>
      <c r="Z1763" s="518">
        <v>856.48199999999997</v>
      </c>
      <c r="AA1763" s="327">
        <v>881.68700000000013</v>
      </c>
      <c r="AB1763" s="327">
        <v>1370.444</v>
      </c>
      <c r="AC1763" s="327">
        <v>1357.085</v>
      </c>
      <c r="AD1763" s="327">
        <v>1220.867</v>
      </c>
      <c r="AE1763" s="518">
        <v>1220.867</v>
      </c>
      <c r="AF1763" s="327">
        <v>1243.8230000000001</v>
      </c>
      <c r="AG1763" s="327">
        <v>831.101</v>
      </c>
      <c r="AH1763" s="327">
        <v>946.23199999999986</v>
      </c>
      <c r="AI1763" s="327">
        <v>910.82399999999996</v>
      </c>
      <c r="AJ1763" s="518">
        <v>910.82399999999996</v>
      </c>
      <c r="AK1763" s="327">
        <v>1781.595</v>
      </c>
      <c r="AL1763" s="327">
        <v>1640.769</v>
      </c>
      <c r="AM1763" s="327">
        <v>1521.527</v>
      </c>
      <c r="AN1763" s="327">
        <v>1444.1310000000001</v>
      </c>
      <c r="AO1763" s="518">
        <v>1444.1310000000001</v>
      </c>
      <c r="AP1763" s="327">
        <v>1441.8260000000002</v>
      </c>
      <c r="AQ1763" s="327">
        <v>1592.9379999999999</v>
      </c>
      <c r="AR1763" s="327">
        <v>1499.796</v>
      </c>
      <c r="AS1763" s="327">
        <v>1529.655</v>
      </c>
      <c r="AT1763" s="518">
        <v>1529.655</v>
      </c>
      <c r="AU1763" s="327">
        <v>1626.683</v>
      </c>
      <c r="AV1763" s="327">
        <v>1431.8090000000002</v>
      </c>
      <c r="AW1763" s="327">
        <v>3315.9110000000001</v>
      </c>
      <c r="AX1763" s="327">
        <v>3306.4349999999999</v>
      </c>
      <c r="AY1763" s="518">
        <v>3306.4349999999999</v>
      </c>
      <c r="AZ1763" s="327">
        <v>3184.6170000000002</v>
      </c>
      <c r="BA1763" s="327">
        <v>3652.3</v>
      </c>
      <c r="BB1763" s="327">
        <v>3654.5919999999996</v>
      </c>
      <c r="BC1763" s="327">
        <v>3638.6550000000002</v>
      </c>
      <c r="BD1763" s="518">
        <v>3638.6550000000002</v>
      </c>
      <c r="BE1763" s="327">
        <v>3628.9409999999998</v>
      </c>
      <c r="BF1763" s="327">
        <v>3624.7469999999998</v>
      </c>
      <c r="BG1763" s="327">
        <v>3638.8589999999999</v>
      </c>
      <c r="BH1763" s="327">
        <v>3568.4230000000002</v>
      </c>
      <c r="BI1763" s="525">
        <v>3568.4230000000002</v>
      </c>
      <c r="BJ1763" s="327">
        <v>3548.4230000000002</v>
      </c>
      <c r="BK1763" s="327">
        <v>3528.4230000000002</v>
      </c>
      <c r="BL1763" s="327">
        <v>3508.4230000000002</v>
      </c>
      <c r="BM1763" s="327">
        <v>3488.4230000000002</v>
      </c>
      <c r="BN1763" s="518">
        <v>3488.4230000000002</v>
      </c>
      <c r="BO1763" s="327">
        <v>3468.4230000000002</v>
      </c>
      <c r="BP1763" s="327">
        <v>3448.4230000000002</v>
      </c>
      <c r="BQ1763" s="327">
        <v>3428.4230000000002</v>
      </c>
      <c r="BR1763" s="327">
        <v>3408.4230000000002</v>
      </c>
      <c r="BS1763" s="518">
        <v>3408.4230000000002</v>
      </c>
      <c r="BT1763" s="518">
        <v>3328.4230000000002</v>
      </c>
      <c r="BU1763" s="518">
        <v>3248.4230000000002</v>
      </c>
      <c r="BV1763" s="518">
        <v>3168.4230000000002</v>
      </c>
      <c r="BW1763" s="197"/>
    </row>
    <row r="1764" spans="1:75" s="198" customFormat="1" ht="14.25" x14ac:dyDescent="0.45">
      <c r="A1764" s="206" t="s">
        <v>1539</v>
      </c>
      <c r="B1764" s="522"/>
      <c r="C1764" s="397"/>
      <c r="D1764" s="397">
        <v>286.18700000000001</v>
      </c>
      <c r="E1764" s="397">
        <v>336.34699999999998</v>
      </c>
      <c r="F1764" s="397">
        <v>338.00200000000001</v>
      </c>
      <c r="G1764" s="295">
        <v>404.572</v>
      </c>
      <c r="H1764" s="295">
        <v>429.99099999999999</v>
      </c>
      <c r="I1764" s="295">
        <v>483.18899999999996</v>
      </c>
      <c r="J1764" s="295">
        <v>479.83100000000002</v>
      </c>
      <c r="K1764" s="397">
        <v>479.83100000000002</v>
      </c>
      <c r="L1764" s="295">
        <v>557.72899999999993</v>
      </c>
      <c r="M1764" s="295">
        <v>752.47500000000002</v>
      </c>
      <c r="N1764" s="295">
        <v>813.96800000000007</v>
      </c>
      <c r="O1764" s="295">
        <v>823.08299999999997</v>
      </c>
      <c r="P1764" s="397">
        <v>823.08299999999997</v>
      </c>
      <c r="Q1764" s="295">
        <v>883.79300000000001</v>
      </c>
      <c r="R1764" s="295">
        <v>1194.71</v>
      </c>
      <c r="S1764" s="295">
        <v>1219.8</v>
      </c>
      <c r="T1764" s="295">
        <v>1202.3119999999999</v>
      </c>
      <c r="U1764" s="397">
        <v>1202.3119999999999</v>
      </c>
      <c r="V1764" s="295">
        <v>1171.48</v>
      </c>
      <c r="W1764" s="295">
        <v>1195.683</v>
      </c>
      <c r="X1764" s="295">
        <v>1254.123</v>
      </c>
      <c r="Y1764" s="295">
        <v>1272.6510000000001</v>
      </c>
      <c r="Z1764" s="397">
        <v>1272.6510000000001</v>
      </c>
      <c r="AA1764" s="295">
        <v>1325.6080000000002</v>
      </c>
      <c r="AB1764" s="295">
        <v>1866.193</v>
      </c>
      <c r="AC1764" s="295">
        <v>1826.8420000000001</v>
      </c>
      <c r="AD1764" s="295">
        <v>1740.202</v>
      </c>
      <c r="AE1764" s="397">
        <v>1740.202</v>
      </c>
      <c r="AF1764" s="295">
        <v>1740.3190000000002</v>
      </c>
      <c r="AG1764" s="295">
        <v>1668.0460000000003</v>
      </c>
      <c r="AH1764" s="295">
        <v>1811.3049999999998</v>
      </c>
      <c r="AI1764" s="295">
        <v>1828.9960000000001</v>
      </c>
      <c r="AJ1764" s="397">
        <v>1828.9960000000001</v>
      </c>
      <c r="AK1764" s="295">
        <v>2793.2049999999999</v>
      </c>
      <c r="AL1764" s="295">
        <v>2565.7260000000001</v>
      </c>
      <c r="AM1764" s="295">
        <v>2425.2330000000002</v>
      </c>
      <c r="AN1764" s="295">
        <v>2427.0429999999997</v>
      </c>
      <c r="AO1764" s="397">
        <v>2427.0429999999997</v>
      </c>
      <c r="AP1764" s="295">
        <v>2410.7610000000004</v>
      </c>
      <c r="AQ1764" s="295">
        <v>2377.9179999999997</v>
      </c>
      <c r="AR1764" s="295">
        <v>2382.3810000000003</v>
      </c>
      <c r="AS1764" s="295">
        <v>2451.2870000000003</v>
      </c>
      <c r="AT1764" s="397">
        <v>2451.2870000000003</v>
      </c>
      <c r="AU1764" s="295">
        <v>2642.855</v>
      </c>
      <c r="AV1764" s="295">
        <v>2660.8090000000002</v>
      </c>
      <c r="AW1764" s="295">
        <v>4412.2209999999995</v>
      </c>
      <c r="AX1764" s="295">
        <v>4370.1930000000002</v>
      </c>
      <c r="AY1764" s="397">
        <v>4370.1930000000002</v>
      </c>
      <c r="AZ1764" s="295">
        <v>4546.1469999999999</v>
      </c>
      <c r="BA1764" s="295">
        <v>4611.2030000000004</v>
      </c>
      <c r="BB1764" s="295">
        <v>4589.768</v>
      </c>
      <c r="BC1764" s="295">
        <v>4524.6280000000006</v>
      </c>
      <c r="BD1764" s="397">
        <v>4524.6280000000006</v>
      </c>
      <c r="BE1764" s="295">
        <v>4480.4439999999995</v>
      </c>
      <c r="BF1764" s="295">
        <v>4497.4129999999996</v>
      </c>
      <c r="BG1764" s="295">
        <v>4573.8329999999996</v>
      </c>
      <c r="BH1764" s="295">
        <v>4441.2910000000002</v>
      </c>
      <c r="BI1764" s="399">
        <v>4441.2910000000002</v>
      </c>
      <c r="BJ1764" s="295">
        <v>4381.7017747183691</v>
      </c>
      <c r="BK1764" s="295">
        <v>4371.8658876779446</v>
      </c>
      <c r="BL1764" s="295">
        <v>4372.957618427492</v>
      </c>
      <c r="BM1764" s="295">
        <v>4371.2193746748044</v>
      </c>
      <c r="BN1764" s="397">
        <v>4371.2193746748044</v>
      </c>
      <c r="BO1764" s="295">
        <v>4377.0026706380395</v>
      </c>
      <c r="BP1764" s="295">
        <v>4382.2994204510505</v>
      </c>
      <c r="BQ1764" s="295">
        <v>4387.2192333619696</v>
      </c>
      <c r="BR1764" s="295">
        <v>4383.0072196095152</v>
      </c>
      <c r="BS1764" s="397">
        <v>4383.0072196095152</v>
      </c>
      <c r="BT1764" s="397">
        <v>4345.2093915462046</v>
      </c>
      <c r="BU1764" s="397">
        <v>4289.5240479465538</v>
      </c>
      <c r="BV1764" s="397">
        <v>4221.6727390159185</v>
      </c>
      <c r="BW1764" s="197"/>
    </row>
    <row r="1765" spans="1:75" s="198" customFormat="1" ht="14.25" x14ac:dyDescent="0.45">
      <c r="A1765" s="206"/>
      <c r="B1765" s="522"/>
      <c r="C1765" s="397"/>
      <c r="D1765" s="397"/>
      <c r="E1765" s="397"/>
      <c r="F1765" s="397"/>
      <c r="G1765" s="295"/>
      <c r="H1765" s="295"/>
      <c r="I1765" s="295"/>
      <c r="J1765" s="295"/>
      <c r="K1765" s="397"/>
      <c r="L1765" s="295"/>
      <c r="M1765" s="295"/>
      <c r="N1765" s="295"/>
      <c r="O1765" s="295"/>
      <c r="P1765" s="397"/>
      <c r="Q1765" s="295"/>
      <c r="R1765" s="295"/>
      <c r="S1765" s="295"/>
      <c r="T1765" s="295"/>
      <c r="U1765" s="397"/>
      <c r="V1765" s="295"/>
      <c r="W1765" s="295"/>
      <c r="X1765" s="295"/>
      <c r="Y1765" s="295"/>
      <c r="Z1765" s="397"/>
      <c r="AA1765" s="295"/>
      <c r="AB1765" s="295"/>
      <c r="AC1765" s="295"/>
      <c r="AD1765" s="295"/>
      <c r="AE1765" s="397"/>
      <c r="AF1765" s="295"/>
      <c r="AG1765" s="295"/>
      <c r="AH1765" s="295"/>
      <c r="AI1765" s="295"/>
      <c r="AJ1765" s="397"/>
      <c r="AK1765" s="295"/>
      <c r="AL1765" s="295"/>
      <c r="AM1765" s="295"/>
      <c r="AN1765" s="295"/>
      <c r="AO1765" s="397"/>
      <c r="AP1765" s="295"/>
      <c r="AQ1765" s="295"/>
      <c r="AR1765" s="295"/>
      <c r="AS1765" s="295"/>
      <c r="AT1765" s="397"/>
      <c r="AU1765" s="295"/>
      <c r="AV1765" s="295"/>
      <c r="AW1765" s="295"/>
      <c r="AX1765" s="295"/>
      <c r="AY1765" s="397"/>
      <c r="AZ1765" s="295"/>
      <c r="BA1765" s="295"/>
      <c r="BB1765" s="295"/>
      <c r="BC1765" s="295"/>
      <c r="BD1765" s="397"/>
      <c r="BE1765" s="295"/>
      <c r="BF1765" s="295"/>
      <c r="BG1765" s="295"/>
      <c r="BH1765" s="295"/>
      <c r="BI1765" s="399"/>
      <c r="BJ1765" s="295"/>
      <c r="BK1765" s="295"/>
      <c r="BL1765" s="295"/>
      <c r="BM1765" s="295"/>
      <c r="BN1765" s="397"/>
      <c r="BO1765" s="295"/>
      <c r="BP1765" s="295"/>
      <c r="BQ1765" s="295"/>
      <c r="BR1765" s="295"/>
      <c r="BS1765" s="397"/>
      <c r="BT1765" s="397"/>
      <c r="BU1765" s="397"/>
      <c r="BV1765" s="397"/>
      <c r="BW1765" s="197"/>
    </row>
    <row r="1766" spans="1:75" s="198" customFormat="1" ht="14.25" x14ac:dyDescent="0.45">
      <c r="A1766" s="243" t="s">
        <v>1540</v>
      </c>
      <c r="B1766" s="522"/>
      <c r="C1766" s="397"/>
      <c r="D1766" s="397"/>
      <c r="E1766" s="397"/>
      <c r="F1766" s="397"/>
      <c r="G1766" s="295"/>
      <c r="H1766" s="295"/>
      <c r="I1766" s="295"/>
      <c r="J1766" s="295"/>
      <c r="K1766" s="397"/>
      <c r="L1766" s="295"/>
      <c r="M1766" s="295"/>
      <c r="N1766" s="295"/>
      <c r="O1766" s="295"/>
      <c r="P1766" s="397"/>
      <c r="Q1766" s="295"/>
      <c r="R1766" s="295"/>
      <c r="S1766" s="295"/>
      <c r="T1766" s="295"/>
      <c r="U1766" s="397"/>
      <c r="V1766" s="295"/>
      <c r="W1766" s="295"/>
      <c r="X1766" s="295"/>
      <c r="Y1766" s="295"/>
      <c r="Z1766" s="397"/>
      <c r="AA1766" s="295"/>
      <c r="AB1766" s="295"/>
      <c r="AC1766" s="295"/>
      <c r="AD1766" s="295"/>
      <c r="AE1766" s="397"/>
      <c r="AF1766" s="295"/>
      <c r="AG1766" s="295"/>
      <c r="AH1766" s="295"/>
      <c r="AI1766" s="295"/>
      <c r="AJ1766" s="397"/>
      <c r="AK1766" s="295"/>
      <c r="AL1766" s="295"/>
      <c r="AM1766" s="295"/>
      <c r="AN1766" s="295"/>
      <c r="AO1766" s="397"/>
      <c r="AP1766" s="295"/>
      <c r="AQ1766" s="295"/>
      <c r="AR1766" s="295"/>
      <c r="AS1766" s="295"/>
      <c r="AT1766" s="397"/>
      <c r="AU1766" s="295"/>
      <c r="AV1766" s="295"/>
      <c r="AW1766" s="295"/>
      <c r="AX1766" s="295"/>
      <c r="AY1766" s="397"/>
      <c r="AZ1766" s="295"/>
      <c r="BA1766" s="295"/>
      <c r="BB1766" s="295"/>
      <c r="BC1766" s="295"/>
      <c r="BD1766" s="397"/>
      <c r="BE1766" s="295"/>
      <c r="BF1766" s="295"/>
      <c r="BG1766" s="295"/>
      <c r="BH1766" s="295"/>
      <c r="BI1766" s="399"/>
      <c r="BJ1766" s="295"/>
      <c r="BK1766" s="295"/>
      <c r="BL1766" s="295"/>
      <c r="BM1766" s="295"/>
      <c r="BN1766" s="397"/>
      <c r="BO1766" s="295"/>
      <c r="BP1766" s="295"/>
      <c r="BQ1766" s="295"/>
      <c r="BR1766" s="295"/>
      <c r="BS1766" s="397"/>
      <c r="BT1766" s="397"/>
      <c r="BU1766" s="397"/>
      <c r="BV1766" s="397"/>
      <c r="BW1766" s="197"/>
    </row>
    <row r="1767" spans="1:75" s="123" customFormat="1" x14ac:dyDescent="0.5">
      <c r="A1767" s="184" t="s">
        <v>1541</v>
      </c>
      <c r="B1767" s="513"/>
      <c r="C1767" s="401"/>
      <c r="D1767" s="403">
        <v>0</v>
      </c>
      <c r="E1767" s="403">
        <v>0</v>
      </c>
      <c r="F1767" s="403">
        <v>4.0000000000000001E-3</v>
      </c>
      <c r="G1767" s="302">
        <v>4.0000000000000001E-3</v>
      </c>
      <c r="H1767" s="302">
        <v>4.0000000000000001E-3</v>
      </c>
      <c r="I1767" s="302">
        <v>4.0000000000000001E-3</v>
      </c>
      <c r="J1767" s="302">
        <v>4.0000000000000001E-3</v>
      </c>
      <c r="K1767" s="401">
        <v>4.0000000000000001E-3</v>
      </c>
      <c r="L1767" s="302">
        <v>4.0000000000000001E-3</v>
      </c>
      <c r="M1767" s="302">
        <v>4.0000000000000001E-3</v>
      </c>
      <c r="N1767" s="302">
        <v>4.0000000000000001E-3</v>
      </c>
      <c r="O1767" s="302">
        <v>4.0000000000000001E-3</v>
      </c>
      <c r="P1767" s="401">
        <v>4.0000000000000001E-3</v>
      </c>
      <c r="Q1767" s="302">
        <v>4.0000000000000001E-3</v>
      </c>
      <c r="R1767" s="302">
        <v>4.0000000000000001E-3</v>
      </c>
      <c r="S1767" s="302">
        <v>4.0000000000000001E-3</v>
      </c>
      <c r="T1767" s="119">
        <v>4.0000000000000001E-3</v>
      </c>
      <c r="U1767" s="403">
        <v>4.0000000000000001E-3</v>
      </c>
      <c r="V1767" s="302">
        <v>4.0000000000000001E-3</v>
      </c>
      <c r="W1767" s="302">
        <v>4.0000000000000001E-3</v>
      </c>
      <c r="X1767" s="302">
        <v>4.0000000000000001E-3</v>
      </c>
      <c r="Y1767" s="119">
        <v>4.0000000000000001E-3</v>
      </c>
      <c r="Z1767" s="403">
        <v>4.0000000000000001E-3</v>
      </c>
      <c r="AA1767" s="302">
        <v>3.0000000000000001E-3</v>
      </c>
      <c r="AB1767" s="302">
        <v>2E-3</v>
      </c>
      <c r="AC1767" s="302">
        <v>2E-3</v>
      </c>
      <c r="AD1767" s="119">
        <v>2E-3</v>
      </c>
      <c r="AE1767" s="403">
        <v>2E-3</v>
      </c>
      <c r="AF1767" s="302">
        <v>2E-3</v>
      </c>
      <c r="AG1767" s="302">
        <v>2E-3</v>
      </c>
      <c r="AH1767" s="302">
        <v>2E-3</v>
      </c>
      <c r="AI1767" s="119">
        <v>2E-3</v>
      </c>
      <c r="AJ1767" s="403">
        <v>2E-3</v>
      </c>
      <c r="AK1767" s="302">
        <v>2E-3</v>
      </c>
      <c r="AL1767" s="302">
        <v>2E-3</v>
      </c>
      <c r="AM1767" s="302">
        <v>2E-3</v>
      </c>
      <c r="AN1767" s="119">
        <v>2E-3</v>
      </c>
      <c r="AO1767" s="403">
        <v>2E-3</v>
      </c>
      <c r="AP1767" s="302">
        <v>2E-3</v>
      </c>
      <c r="AQ1767" s="302">
        <v>2E-3</v>
      </c>
      <c r="AR1767" s="302">
        <v>2E-3</v>
      </c>
      <c r="AS1767" s="119">
        <v>2E-3</v>
      </c>
      <c r="AT1767" s="403">
        <v>2E-3</v>
      </c>
      <c r="AU1767" s="302">
        <v>2E-3</v>
      </c>
      <c r="AV1767" s="302">
        <v>2E-3</v>
      </c>
      <c r="AW1767" s="302">
        <v>2E-3</v>
      </c>
      <c r="AX1767" s="119">
        <v>2E-3</v>
      </c>
      <c r="AY1767" s="403">
        <v>2E-3</v>
      </c>
      <c r="AZ1767" s="302">
        <v>2E-3</v>
      </c>
      <c r="BA1767" s="302">
        <v>2E-3</v>
      </c>
      <c r="BB1767" s="302">
        <v>2E-3</v>
      </c>
      <c r="BC1767" s="119">
        <v>2E-3</v>
      </c>
      <c r="BD1767" s="403">
        <v>2E-3</v>
      </c>
      <c r="BE1767" s="302">
        <v>2E-3</v>
      </c>
      <c r="BF1767" s="302">
        <v>2E-3</v>
      </c>
      <c r="BG1767" s="302">
        <v>2E-3</v>
      </c>
      <c r="BH1767" s="119">
        <v>2E-3</v>
      </c>
      <c r="BI1767" s="514">
        <v>2E-3</v>
      </c>
      <c r="BJ1767" s="118">
        <v>2E-3</v>
      </c>
      <c r="BK1767" s="118">
        <v>2E-3</v>
      </c>
      <c r="BL1767" s="118">
        <v>2E-3</v>
      </c>
      <c r="BM1767" s="118">
        <v>2E-3</v>
      </c>
      <c r="BN1767" s="401">
        <v>2E-3</v>
      </c>
      <c r="BO1767" s="118">
        <v>2E-3</v>
      </c>
      <c r="BP1767" s="118">
        <v>2E-3</v>
      </c>
      <c r="BQ1767" s="118">
        <v>2E-3</v>
      </c>
      <c r="BR1767" s="118">
        <v>2E-3</v>
      </c>
      <c r="BS1767" s="401">
        <v>2E-3</v>
      </c>
      <c r="BT1767" s="401">
        <v>2E-3</v>
      </c>
      <c r="BU1767" s="401">
        <v>2E-3</v>
      </c>
      <c r="BV1767" s="401">
        <v>2E-3</v>
      </c>
      <c r="BW1767" s="122"/>
    </row>
    <row r="1768" spans="1:75" s="123" customFormat="1" x14ac:dyDescent="0.5">
      <c r="A1768" s="184" t="s">
        <v>1542</v>
      </c>
      <c r="B1768" s="513"/>
      <c r="C1768" s="401"/>
      <c r="D1768" s="403">
        <v>279.12599999999998</v>
      </c>
      <c r="E1768" s="403">
        <v>292.01100000000002</v>
      </c>
      <c r="F1768" s="403">
        <v>505.88299999999998</v>
      </c>
      <c r="G1768" s="302">
        <v>509.51400000000001</v>
      </c>
      <c r="H1768" s="302">
        <v>571.71400000000006</v>
      </c>
      <c r="I1768" s="302">
        <v>574.428</v>
      </c>
      <c r="J1768" s="302">
        <v>584.64099999999996</v>
      </c>
      <c r="K1768" s="401">
        <v>584.64099999999996</v>
      </c>
      <c r="L1768" s="302">
        <v>595.41899999999998</v>
      </c>
      <c r="M1768" s="302">
        <v>641.07399999999996</v>
      </c>
      <c r="N1768" s="302">
        <v>645.91399999999999</v>
      </c>
      <c r="O1768" s="302">
        <v>668.98900000000003</v>
      </c>
      <c r="P1768" s="401">
        <v>668.98900000000003</v>
      </c>
      <c r="Q1768" s="302">
        <v>677.20799999999997</v>
      </c>
      <c r="R1768" s="302">
        <v>732.35699999999997</v>
      </c>
      <c r="S1768" s="302">
        <v>748.71</v>
      </c>
      <c r="T1768" s="119">
        <v>763.56600000000003</v>
      </c>
      <c r="U1768" s="403">
        <v>763.56600000000003</v>
      </c>
      <c r="V1768" s="302">
        <v>767.64300000000003</v>
      </c>
      <c r="W1768" s="302">
        <v>775.37300000000005</v>
      </c>
      <c r="X1768" s="302">
        <v>783.05</v>
      </c>
      <c r="Y1768" s="119">
        <v>790.86599999999999</v>
      </c>
      <c r="Z1768" s="403">
        <v>790.86599999999999</v>
      </c>
      <c r="AA1768" s="302">
        <v>798.46699999999998</v>
      </c>
      <c r="AB1768" s="302">
        <v>834.88499999999999</v>
      </c>
      <c r="AC1768" s="302">
        <v>843.96500000000003</v>
      </c>
      <c r="AD1768" s="119">
        <v>860.28800000000001</v>
      </c>
      <c r="AE1768" s="403">
        <v>860.28800000000001</v>
      </c>
      <c r="AF1768" s="302">
        <v>870.75099999999998</v>
      </c>
      <c r="AG1768" s="302">
        <v>944.61</v>
      </c>
      <c r="AH1768" s="302">
        <v>934.19899999999996</v>
      </c>
      <c r="AI1768" s="119">
        <v>356.42200000000003</v>
      </c>
      <c r="AJ1768" s="403">
        <v>356.42200000000003</v>
      </c>
      <c r="AK1768" s="302">
        <v>362.98599999999999</v>
      </c>
      <c r="AL1768" s="302">
        <v>355.01</v>
      </c>
      <c r="AM1768" s="302">
        <v>416.94600000000003</v>
      </c>
      <c r="AN1768" s="119">
        <v>430.66199999999998</v>
      </c>
      <c r="AO1768" s="403">
        <v>430.66199999999998</v>
      </c>
      <c r="AP1768" s="302">
        <v>436.79899999999998</v>
      </c>
      <c r="AQ1768" s="302">
        <v>444.37799999999999</v>
      </c>
      <c r="AR1768" s="302">
        <v>566.43600000000004</v>
      </c>
      <c r="AS1768" s="119">
        <v>581.89700000000005</v>
      </c>
      <c r="AT1768" s="403">
        <v>581.89700000000005</v>
      </c>
      <c r="AU1768" s="302">
        <v>597.32899999999995</v>
      </c>
      <c r="AV1768" s="302">
        <v>583.11199999999997</v>
      </c>
      <c r="AW1768" s="302">
        <v>602.57100000000003</v>
      </c>
      <c r="AX1768" s="119">
        <v>620.577</v>
      </c>
      <c r="AY1768" s="403">
        <v>620.577</v>
      </c>
      <c r="AZ1768" s="302">
        <v>575.63499999999999</v>
      </c>
      <c r="BA1768" s="302">
        <v>334.05399999999997</v>
      </c>
      <c r="BB1768" s="302">
        <v>313.887</v>
      </c>
      <c r="BC1768" s="119">
        <v>247.07599999999999</v>
      </c>
      <c r="BD1768" s="403">
        <v>247.07599999999999</v>
      </c>
      <c r="BE1768" s="302">
        <v>257.61599999999999</v>
      </c>
      <c r="BF1768" s="302">
        <v>261.803</v>
      </c>
      <c r="BG1768" s="302">
        <v>270.928</v>
      </c>
      <c r="BH1768" s="119">
        <v>287.80599999999998</v>
      </c>
      <c r="BI1768" s="514">
        <v>287.80599999999998</v>
      </c>
      <c r="BJ1768" s="118">
        <v>298.67060004055458</v>
      </c>
      <c r="BK1768" s="118">
        <v>307.95317195088711</v>
      </c>
      <c r="BL1768" s="118">
        <v>319.10793219052908</v>
      </c>
      <c r="BM1768" s="118">
        <v>331.36511682406751</v>
      </c>
      <c r="BN1768" s="401">
        <v>331.36511682406751</v>
      </c>
      <c r="BO1768" s="118">
        <v>344.18576371007561</v>
      </c>
      <c r="BP1768" s="118">
        <v>354.86510401560935</v>
      </c>
      <c r="BQ1768" s="118">
        <v>367.64118328244581</v>
      </c>
      <c r="BR1768" s="118">
        <v>381.0936431466132</v>
      </c>
      <c r="BS1768" s="401">
        <v>381.0936431466132</v>
      </c>
      <c r="BT1768" s="401">
        <v>432.03357628362284</v>
      </c>
      <c r="BU1768" s="401">
        <v>484.60676518344548</v>
      </c>
      <c r="BV1768" s="401">
        <v>538.29609587445896</v>
      </c>
      <c r="BW1768" s="122"/>
    </row>
    <row r="1769" spans="1:75" s="123" customFormat="1" x14ac:dyDescent="0.5">
      <c r="A1769" s="184" t="s">
        <v>1543</v>
      </c>
      <c r="B1769" s="513"/>
      <c r="C1769" s="401"/>
      <c r="D1769" s="403">
        <v>0.98699999999999999</v>
      </c>
      <c r="E1769" s="403">
        <v>1.1499999999999999</v>
      </c>
      <c r="F1769" s="403">
        <v>1.2110000000000001</v>
      </c>
      <c r="G1769" s="302">
        <v>1.18</v>
      </c>
      <c r="H1769" s="302">
        <v>1.1379999999999999</v>
      </c>
      <c r="I1769" s="302">
        <v>0.93500000000000005</v>
      </c>
      <c r="J1769" s="302">
        <v>0.629</v>
      </c>
      <c r="K1769" s="401">
        <v>0.629</v>
      </c>
      <c r="L1769" s="302">
        <v>0.69299999999999995</v>
      </c>
      <c r="M1769" s="302">
        <v>0.70399999999999996</v>
      </c>
      <c r="N1769" s="302">
        <v>0.53700000000000003</v>
      </c>
      <c r="O1769" s="302">
        <v>-0.502</v>
      </c>
      <c r="P1769" s="401">
        <v>-0.502</v>
      </c>
      <c r="Q1769" s="302">
        <v>-0.28399999999999997</v>
      </c>
      <c r="R1769" s="302">
        <v>-1.361</v>
      </c>
      <c r="S1769" s="302">
        <v>-1.3919999999999999</v>
      </c>
      <c r="T1769" s="119">
        <v>-2.7</v>
      </c>
      <c r="U1769" s="403">
        <v>-2.7</v>
      </c>
      <c r="V1769" s="302">
        <v>6.0999999999999999E-2</v>
      </c>
      <c r="W1769" s="302">
        <v>-1.157</v>
      </c>
      <c r="X1769" s="302">
        <v>-2.1309999999999998</v>
      </c>
      <c r="Y1769" s="119">
        <v>-1.6919999999999999</v>
      </c>
      <c r="Z1769" s="403">
        <v>-1.6919999999999999</v>
      </c>
      <c r="AA1769" s="302">
        <v>-2.8730000000000002</v>
      </c>
      <c r="AB1769" s="302">
        <v>-0.80400000000000005</v>
      </c>
      <c r="AC1769" s="302">
        <v>-1.5269999999999999</v>
      </c>
      <c r="AD1769" s="119">
        <v>-0.17100000000000001</v>
      </c>
      <c r="AE1769" s="403">
        <v>-0.17100000000000001</v>
      </c>
      <c r="AF1769" s="302">
        <v>-1.4359999999999999</v>
      </c>
      <c r="AG1769" s="302">
        <v>-1.9179999999999999</v>
      </c>
      <c r="AH1769" s="302">
        <v>-2.2999999999999998</v>
      </c>
      <c r="AI1769" s="119">
        <v>-2.3330000000000002</v>
      </c>
      <c r="AJ1769" s="403">
        <v>-2.3330000000000002</v>
      </c>
      <c r="AK1769" s="302">
        <v>-3.27</v>
      </c>
      <c r="AL1769" s="302">
        <v>-2.78</v>
      </c>
      <c r="AM1769" s="302">
        <v>-2.4809999999999999</v>
      </c>
      <c r="AN1769" s="119">
        <v>-2.76</v>
      </c>
      <c r="AO1769" s="403">
        <v>-2.76</v>
      </c>
      <c r="AP1769" s="302">
        <v>-5.1319999999999997</v>
      </c>
      <c r="AQ1769" s="302">
        <v>-1.8420000000000001</v>
      </c>
      <c r="AR1769" s="302">
        <v>-1.9379999999999999</v>
      </c>
      <c r="AS1769" s="119">
        <v>2.5649999999999999</v>
      </c>
      <c r="AT1769" s="403">
        <v>2.5649999999999999</v>
      </c>
      <c r="AU1769" s="302">
        <v>3.9129999999999998</v>
      </c>
      <c r="AV1769" s="302">
        <v>3.2650000000000001</v>
      </c>
      <c r="AW1769" s="302">
        <v>1.1679999999999999</v>
      </c>
      <c r="AX1769" s="119">
        <v>-1.41</v>
      </c>
      <c r="AY1769" s="403">
        <v>-1.41</v>
      </c>
      <c r="AZ1769" s="302">
        <v>-5.5549999999999997</v>
      </c>
      <c r="BA1769" s="302">
        <v>-7.7949999999999999</v>
      </c>
      <c r="BB1769" s="302">
        <v>-12.685</v>
      </c>
      <c r="BC1769" s="119">
        <v>-2.403</v>
      </c>
      <c r="BD1769" s="403">
        <v>-2.403</v>
      </c>
      <c r="BE1769" s="302">
        <v>-0.108</v>
      </c>
      <c r="BF1769" s="302">
        <v>3.2719999999999998</v>
      </c>
      <c r="BG1769" s="302">
        <v>-8.9960000000000004</v>
      </c>
      <c r="BH1769" s="119">
        <v>-1.9379999999999999</v>
      </c>
      <c r="BI1769" s="514">
        <v>-1.9379999999999999</v>
      </c>
      <c r="BJ1769" s="118">
        <v>-1.9379999999999999</v>
      </c>
      <c r="BK1769" s="118">
        <v>-1.9379999999999999</v>
      </c>
      <c r="BL1769" s="118">
        <v>-1.9379999999999999</v>
      </c>
      <c r="BM1769" s="118">
        <v>-1.9379999999999999</v>
      </c>
      <c r="BN1769" s="401">
        <v>-1.9379999999999999</v>
      </c>
      <c r="BO1769" s="118">
        <v>-1.9379999999999999</v>
      </c>
      <c r="BP1769" s="118">
        <v>-1.9379999999999999</v>
      </c>
      <c r="BQ1769" s="118">
        <v>-1.9379999999999999</v>
      </c>
      <c r="BR1769" s="118">
        <v>-1.9379999999999999</v>
      </c>
      <c r="BS1769" s="401">
        <v>-1.9379999999999999</v>
      </c>
      <c r="BT1769" s="401">
        <v>-1.9379999999999999</v>
      </c>
      <c r="BU1769" s="401">
        <v>-1.9379999999999999</v>
      </c>
      <c r="BV1769" s="401">
        <v>-1.9379999999999999</v>
      </c>
      <c r="BW1769" s="122"/>
    </row>
    <row r="1770" spans="1:75" s="123" customFormat="1" x14ac:dyDescent="0.5">
      <c r="A1770" s="184" t="s">
        <v>1544</v>
      </c>
      <c r="B1770" s="513"/>
      <c r="C1770" s="401"/>
      <c r="D1770" s="403">
        <v>-64.308999999999997</v>
      </c>
      <c r="E1770" s="403">
        <v>-42.698</v>
      </c>
      <c r="F1770" s="403">
        <v>-55.487000000000002</v>
      </c>
      <c r="G1770" s="302">
        <v>-55.648000000000003</v>
      </c>
      <c r="H1770" s="302">
        <v>-73.483000000000004</v>
      </c>
      <c r="I1770" s="302">
        <v>-63.933999999999997</v>
      </c>
      <c r="J1770" s="302">
        <v>-37.292000000000002</v>
      </c>
      <c r="K1770" s="401">
        <v>-37.292000000000002</v>
      </c>
      <c r="L1770" s="302">
        <v>-35.497</v>
      </c>
      <c r="M1770" s="302">
        <v>-8.2439999999999998</v>
      </c>
      <c r="N1770" s="302">
        <v>11.185</v>
      </c>
      <c r="O1770" s="302">
        <v>53.71</v>
      </c>
      <c r="P1770" s="401">
        <v>53.71</v>
      </c>
      <c r="Q1770" s="302">
        <v>60.866</v>
      </c>
      <c r="R1770" s="302">
        <v>90.801000000000002</v>
      </c>
      <c r="S1770" s="302">
        <v>111.511</v>
      </c>
      <c r="T1770" s="119">
        <v>144.81299999999999</v>
      </c>
      <c r="U1770" s="403">
        <v>144.81299999999999</v>
      </c>
      <c r="V1770" s="302">
        <v>131.34299999999999</v>
      </c>
      <c r="W1770" s="302">
        <v>138.261</v>
      </c>
      <c r="X1770" s="302">
        <v>140.77799999999999</v>
      </c>
      <c r="Y1770" s="119">
        <v>150.214</v>
      </c>
      <c r="Z1770" s="403">
        <v>150.214</v>
      </c>
      <c r="AA1770" s="302">
        <v>146.84399999999999</v>
      </c>
      <c r="AB1770" s="302">
        <v>138.982</v>
      </c>
      <c r="AC1770" s="302">
        <v>152.13300000000001</v>
      </c>
      <c r="AD1770" s="119">
        <v>152.39400000000001</v>
      </c>
      <c r="AE1770" s="403">
        <v>152.39400000000001</v>
      </c>
      <c r="AF1770" s="302">
        <v>159.417</v>
      </c>
      <c r="AG1770" s="302">
        <v>223.459</v>
      </c>
      <c r="AH1770" s="302">
        <v>245.87</v>
      </c>
      <c r="AI1770" s="119">
        <v>-376.81</v>
      </c>
      <c r="AJ1770" s="403">
        <v>-376.81</v>
      </c>
      <c r="AK1770" s="302">
        <v>-356.81599999999997</v>
      </c>
      <c r="AL1770" s="302">
        <v>-530.15</v>
      </c>
      <c r="AM1770" s="302">
        <v>-477.68700000000001</v>
      </c>
      <c r="AN1770" s="119">
        <v>-409.25299999999999</v>
      </c>
      <c r="AO1770" s="403">
        <v>-409.25299999999999</v>
      </c>
      <c r="AP1770" s="302">
        <v>-412.46499999999997</v>
      </c>
      <c r="AQ1770" s="302">
        <v>-314.04199999999997</v>
      </c>
      <c r="AR1770" s="302">
        <v>-267.63099999999997</v>
      </c>
      <c r="AS1770" s="119">
        <v>-137.43799999999999</v>
      </c>
      <c r="AT1770" s="403">
        <v>-137.43799999999999</v>
      </c>
      <c r="AU1770" s="302">
        <v>-6.782</v>
      </c>
      <c r="AV1770" s="302">
        <v>219.964</v>
      </c>
      <c r="AW1770" s="302">
        <v>404.06299999999999</v>
      </c>
      <c r="AX1770" s="119">
        <v>551.10799999999995</v>
      </c>
      <c r="AY1770" s="403">
        <v>551.10799999999995</v>
      </c>
      <c r="AZ1770" s="302">
        <v>771.70799999999997</v>
      </c>
      <c r="BA1770" s="302">
        <v>893.98299999999995</v>
      </c>
      <c r="BB1770" s="302">
        <v>992.74300000000005</v>
      </c>
      <c r="BC1770" s="119">
        <v>539.98599999999999</v>
      </c>
      <c r="BD1770" s="403">
        <v>539.98599999999999</v>
      </c>
      <c r="BE1770" s="302">
        <v>581.87599999999998</v>
      </c>
      <c r="BF1770" s="302">
        <v>-549.65899999999999</v>
      </c>
      <c r="BG1770" s="302">
        <v>-595.14800000000002</v>
      </c>
      <c r="BH1770" s="119">
        <v>-583.26400000000001</v>
      </c>
      <c r="BI1770" s="514">
        <v>-583.26400000000001</v>
      </c>
      <c r="BJ1770" s="118">
        <v>-590.75492224119569</v>
      </c>
      <c r="BK1770" s="118">
        <v>-522.32499058074234</v>
      </c>
      <c r="BL1770" s="118">
        <v>-472.60491811968939</v>
      </c>
      <c r="BM1770" s="118">
        <v>-434.53808337820556</v>
      </c>
      <c r="BN1770" s="401">
        <v>-434.53808337820556</v>
      </c>
      <c r="BO1770" s="118">
        <v>-403.68207130537439</v>
      </c>
      <c r="BP1770" s="118">
        <v>-307.58505225468804</v>
      </c>
      <c r="BQ1770" s="118">
        <v>-238.96900197854387</v>
      </c>
      <c r="BR1770" s="118">
        <v>-175.84041502962066</v>
      </c>
      <c r="BS1770" s="401">
        <v>-175.84041502962066</v>
      </c>
      <c r="BT1770" s="401">
        <v>148.38655139917591</v>
      </c>
      <c r="BU1770" s="401">
        <v>533.57813031710032</v>
      </c>
      <c r="BV1770" s="401">
        <v>978.43574691250342</v>
      </c>
      <c r="BW1770" s="122"/>
    </row>
    <row r="1771" spans="1:75" s="123" customFormat="1" x14ac:dyDescent="0.5">
      <c r="A1771" s="184" t="s">
        <v>1545</v>
      </c>
      <c r="B1771" s="513"/>
      <c r="C1771" s="401"/>
      <c r="D1771" s="403">
        <v>0</v>
      </c>
      <c r="E1771" s="403">
        <v>0</v>
      </c>
      <c r="F1771" s="403">
        <v>0</v>
      </c>
      <c r="G1771" s="302">
        <v>0</v>
      </c>
      <c r="H1771" s="302">
        <v>0</v>
      </c>
      <c r="I1771" s="302">
        <v>-2.524</v>
      </c>
      <c r="J1771" s="302">
        <v>-2.71</v>
      </c>
      <c r="K1771" s="401">
        <v>-2.71</v>
      </c>
      <c r="L1771" s="302">
        <v>-18.391999999999999</v>
      </c>
      <c r="M1771" s="302">
        <v>-19.285</v>
      </c>
      <c r="N1771" s="302">
        <v>-19.285</v>
      </c>
      <c r="O1771" s="302">
        <v>-19.285</v>
      </c>
      <c r="P1771" s="401">
        <v>-19.285</v>
      </c>
      <c r="Q1771" s="302">
        <v>-19.285</v>
      </c>
      <c r="R1771" s="302">
        <v>-19.523</v>
      </c>
      <c r="S1771" s="302">
        <v>-19.523</v>
      </c>
      <c r="T1771" s="119">
        <v>-19.523</v>
      </c>
      <c r="U1771" s="403">
        <v>-19.523</v>
      </c>
      <c r="V1771" s="302">
        <v>-19.523</v>
      </c>
      <c r="W1771" s="302">
        <v>-19.523</v>
      </c>
      <c r="X1771" s="302">
        <v>-19.523</v>
      </c>
      <c r="Y1771" s="119">
        <v>-19.523</v>
      </c>
      <c r="Z1771" s="403">
        <v>-19.523</v>
      </c>
      <c r="AA1771" s="302">
        <v>-319.66300000000001</v>
      </c>
      <c r="AB1771" s="302">
        <v>-1019.849</v>
      </c>
      <c r="AC1771" s="302">
        <v>-1019.849</v>
      </c>
      <c r="AD1771" s="119">
        <v>-1019.849</v>
      </c>
      <c r="AE1771" s="403">
        <v>-1019.849</v>
      </c>
      <c r="AF1771" s="302">
        <v>-1020.092</v>
      </c>
      <c r="AG1771" s="302">
        <v>-1020.092</v>
      </c>
      <c r="AH1771" s="302">
        <v>-1145.751</v>
      </c>
      <c r="AI1771" s="119">
        <v>-0.24299999999999999</v>
      </c>
      <c r="AJ1771" s="403">
        <v>-0.24299999999999999</v>
      </c>
      <c r="AK1771" s="302">
        <v>-250.27500000000001</v>
      </c>
      <c r="AL1771" s="119"/>
      <c r="AM1771" s="119"/>
      <c r="AN1771" s="119">
        <v>0</v>
      </c>
      <c r="AO1771" s="401"/>
      <c r="AP1771" s="302">
        <v>-7.1999999999999995E-2</v>
      </c>
      <c r="AQ1771" s="302">
        <v>-5.0000000000000001E-3</v>
      </c>
      <c r="AR1771" s="119"/>
      <c r="AS1771" s="119">
        <v>0</v>
      </c>
      <c r="AT1771" s="401"/>
      <c r="AU1771" s="119"/>
      <c r="AV1771" s="119"/>
      <c r="AW1771" s="119"/>
      <c r="AX1771" s="119">
        <v>0</v>
      </c>
      <c r="AY1771" s="401"/>
      <c r="AZ1771" s="119"/>
      <c r="BA1771" s="119"/>
      <c r="BB1771" s="119"/>
      <c r="BC1771" s="119">
        <v>0</v>
      </c>
      <c r="BD1771" s="401"/>
      <c r="BE1771" s="119"/>
      <c r="BF1771" s="119"/>
      <c r="BG1771" s="119"/>
      <c r="BH1771" s="119">
        <v>0</v>
      </c>
      <c r="BI1771" s="402"/>
      <c r="BJ1771" s="119">
        <v>0</v>
      </c>
      <c r="BK1771" s="119">
        <v>0</v>
      </c>
      <c r="BL1771" s="119">
        <v>0</v>
      </c>
      <c r="BM1771" s="119">
        <v>0</v>
      </c>
      <c r="BN1771" s="401">
        <v>0</v>
      </c>
      <c r="BO1771" s="119">
        <v>0</v>
      </c>
      <c r="BP1771" s="119">
        <v>0</v>
      </c>
      <c r="BQ1771" s="119">
        <v>0</v>
      </c>
      <c r="BR1771" s="119">
        <v>0</v>
      </c>
      <c r="BS1771" s="401">
        <v>0</v>
      </c>
      <c r="BT1771" s="401">
        <v>0</v>
      </c>
      <c r="BU1771" s="401">
        <v>0</v>
      </c>
      <c r="BV1771" s="401">
        <v>0</v>
      </c>
      <c r="BW1771" s="122"/>
    </row>
    <row r="1772" spans="1:75" s="198" customFormat="1" ht="14.25" x14ac:dyDescent="0.45">
      <c r="A1772" s="192" t="s">
        <v>1546</v>
      </c>
      <c r="B1772" s="517"/>
      <c r="C1772" s="518"/>
      <c r="D1772" s="518">
        <v>215.804</v>
      </c>
      <c r="E1772" s="518">
        <v>250.46299999999999</v>
      </c>
      <c r="F1772" s="518">
        <v>451.61099999999999</v>
      </c>
      <c r="G1772" s="327">
        <v>455.05</v>
      </c>
      <c r="H1772" s="327">
        <v>499.3730000000001</v>
      </c>
      <c r="I1772" s="327">
        <v>508.90899999999999</v>
      </c>
      <c r="J1772" s="327">
        <v>545.27199999999993</v>
      </c>
      <c r="K1772" s="518">
        <v>545.27199999999993</v>
      </c>
      <c r="L1772" s="327">
        <v>542.22699999999998</v>
      </c>
      <c r="M1772" s="327">
        <v>614.25299999999993</v>
      </c>
      <c r="N1772" s="327">
        <v>638.35500000000002</v>
      </c>
      <c r="O1772" s="327">
        <v>702.91600000000017</v>
      </c>
      <c r="P1772" s="518">
        <v>702.91600000000017</v>
      </c>
      <c r="Q1772" s="327">
        <v>718.50900000000001</v>
      </c>
      <c r="R1772" s="327">
        <v>802.27800000000002</v>
      </c>
      <c r="S1772" s="327">
        <v>839.31</v>
      </c>
      <c r="T1772" s="327">
        <v>886.16</v>
      </c>
      <c r="U1772" s="518">
        <v>886.16</v>
      </c>
      <c r="V1772" s="327">
        <v>879.52800000000002</v>
      </c>
      <c r="W1772" s="327">
        <v>892.95799999999997</v>
      </c>
      <c r="X1772" s="327">
        <v>902.178</v>
      </c>
      <c r="Y1772" s="327">
        <v>919.86900000000003</v>
      </c>
      <c r="Z1772" s="518">
        <v>919.86900000000003</v>
      </c>
      <c r="AA1772" s="327">
        <v>622.77800000000002</v>
      </c>
      <c r="AB1772" s="327">
        <v>-46.784000000000106</v>
      </c>
      <c r="AC1772" s="327">
        <v>-25.276000000000067</v>
      </c>
      <c r="AD1772" s="327">
        <v>-7.3360000000001264</v>
      </c>
      <c r="AE1772" s="518">
        <v>-7.3360000000001264</v>
      </c>
      <c r="AF1772" s="327">
        <v>8.6419999999999391</v>
      </c>
      <c r="AG1772" s="327">
        <v>146.06100000000004</v>
      </c>
      <c r="AH1772" s="327">
        <v>32.019999999999982</v>
      </c>
      <c r="AI1772" s="327">
        <v>-22.961999999999993</v>
      </c>
      <c r="AJ1772" s="518">
        <v>-22.961999999999993</v>
      </c>
      <c r="AK1772" s="327">
        <v>-247.37299999999996</v>
      </c>
      <c r="AL1772" s="327">
        <v>-177.91799999999995</v>
      </c>
      <c r="AM1772" s="195">
        <v>-63.21999999999997</v>
      </c>
      <c r="AN1772" s="327">
        <v>18.65100000000001</v>
      </c>
      <c r="AO1772" s="518">
        <v>18.65100000000001</v>
      </c>
      <c r="AP1772" s="327">
        <v>19.132000000000009</v>
      </c>
      <c r="AQ1772" s="327">
        <v>128.49100000000004</v>
      </c>
      <c r="AR1772" s="195">
        <v>296.86900000000003</v>
      </c>
      <c r="AS1772" s="327">
        <v>447.02600000000007</v>
      </c>
      <c r="AT1772" s="518">
        <v>447.02600000000007</v>
      </c>
      <c r="AU1772" s="327">
        <v>594.46199999999988</v>
      </c>
      <c r="AV1772" s="327">
        <v>806.34299999999985</v>
      </c>
      <c r="AW1772" s="195">
        <v>1007.804</v>
      </c>
      <c r="AX1772" s="327">
        <v>1170.277</v>
      </c>
      <c r="AY1772" s="518">
        <v>1170.277</v>
      </c>
      <c r="AZ1772" s="327">
        <v>1341.79</v>
      </c>
      <c r="BA1772" s="327">
        <v>1220.2439999999999</v>
      </c>
      <c r="BB1772" s="195">
        <v>1293.9470000000001</v>
      </c>
      <c r="BC1772" s="327">
        <v>784.66100000000006</v>
      </c>
      <c r="BD1772" s="518">
        <v>784.66100000000006</v>
      </c>
      <c r="BE1772" s="327">
        <v>839.38599999999997</v>
      </c>
      <c r="BF1772" s="327">
        <v>-284.58199999999999</v>
      </c>
      <c r="BG1772" s="195">
        <v>-333.214</v>
      </c>
      <c r="BH1772" s="327">
        <v>-297.39400000000001</v>
      </c>
      <c r="BI1772" s="525">
        <v>-297.39400000000001</v>
      </c>
      <c r="BJ1772" s="327">
        <v>-294.02032220064109</v>
      </c>
      <c r="BK1772" s="327">
        <v>-216.30781862985521</v>
      </c>
      <c r="BL1772" s="327">
        <v>-155.43298592916028</v>
      </c>
      <c r="BM1772" s="327">
        <v>-105.10896655413802</v>
      </c>
      <c r="BN1772" s="518">
        <v>-105.10896655413802</v>
      </c>
      <c r="BO1772" s="327">
        <v>-61.432307595298767</v>
      </c>
      <c r="BP1772" s="327">
        <v>45.344051760921332</v>
      </c>
      <c r="BQ1772" s="327">
        <v>126.73618130390196</v>
      </c>
      <c r="BR1772" s="327">
        <v>203.31722811699257</v>
      </c>
      <c r="BS1772" s="518">
        <v>203.31722811699257</v>
      </c>
      <c r="BT1772" s="518">
        <v>578.48412768279877</v>
      </c>
      <c r="BU1772" s="518">
        <v>1016.2488955005458</v>
      </c>
      <c r="BV1772" s="518">
        <v>1514.7958427869623</v>
      </c>
      <c r="BW1772" s="197"/>
    </row>
    <row r="1773" spans="1:75" s="123" customFormat="1" x14ac:dyDescent="0.5">
      <c r="A1773" s="184" t="s">
        <v>1547</v>
      </c>
      <c r="B1773" s="513"/>
      <c r="C1773" s="401"/>
      <c r="D1773" s="401"/>
      <c r="E1773" s="401"/>
      <c r="F1773" s="401"/>
      <c r="G1773" s="119"/>
      <c r="H1773" s="119"/>
      <c r="I1773" s="119"/>
      <c r="J1773" s="119"/>
      <c r="K1773" s="401"/>
      <c r="L1773" s="119"/>
      <c r="M1773" s="119"/>
      <c r="N1773" s="119"/>
      <c r="O1773" s="119"/>
      <c r="P1773" s="401"/>
      <c r="Q1773" s="119"/>
      <c r="R1773" s="119"/>
      <c r="S1773" s="119"/>
      <c r="T1773" s="119"/>
      <c r="U1773" s="401"/>
      <c r="V1773" s="119"/>
      <c r="W1773" s="119"/>
      <c r="X1773" s="119"/>
      <c r="Y1773" s="119"/>
      <c r="Z1773" s="401"/>
      <c r="AA1773" s="119">
        <v>0</v>
      </c>
      <c r="AB1773" s="119"/>
      <c r="AC1773" s="119"/>
      <c r="AD1773" s="119"/>
      <c r="AE1773" s="401"/>
      <c r="AF1773" s="119"/>
      <c r="AG1773" s="119"/>
      <c r="AH1773" s="119"/>
      <c r="AI1773" s="119"/>
      <c r="AJ1773" s="401"/>
      <c r="AK1773" s="119"/>
      <c r="AL1773" s="119"/>
      <c r="AM1773" s="119"/>
      <c r="AN1773" s="119"/>
      <c r="AO1773" s="401"/>
      <c r="AP1773" s="119"/>
      <c r="AQ1773" s="119"/>
      <c r="AR1773" s="119"/>
      <c r="AS1773" s="119"/>
      <c r="AT1773" s="401"/>
      <c r="AU1773" s="119"/>
      <c r="AV1773" s="119"/>
      <c r="AW1773" s="119"/>
      <c r="AX1773" s="119"/>
      <c r="AY1773" s="401"/>
      <c r="AZ1773" s="119"/>
      <c r="BA1773" s="119"/>
      <c r="BB1773" s="119"/>
      <c r="BC1773" s="119"/>
      <c r="BD1773" s="401"/>
      <c r="BE1773" s="119"/>
      <c r="BF1773" s="119"/>
      <c r="BG1773" s="119"/>
      <c r="BH1773" s="119"/>
      <c r="BI1773" s="402"/>
      <c r="BJ1773" s="118">
        <v>0</v>
      </c>
      <c r="BK1773" s="118">
        <v>0</v>
      </c>
      <c r="BL1773" s="118">
        <v>0</v>
      </c>
      <c r="BM1773" s="118">
        <v>0</v>
      </c>
      <c r="BN1773" s="401">
        <v>0</v>
      </c>
      <c r="BO1773" s="118">
        <v>0</v>
      </c>
      <c r="BP1773" s="118">
        <v>0</v>
      </c>
      <c r="BQ1773" s="118">
        <v>0</v>
      </c>
      <c r="BR1773" s="118">
        <v>0</v>
      </c>
      <c r="BS1773" s="401">
        <v>0</v>
      </c>
      <c r="BT1773" s="401">
        <v>0</v>
      </c>
      <c r="BU1773" s="401">
        <v>0</v>
      </c>
      <c r="BV1773" s="401">
        <v>0</v>
      </c>
      <c r="BW1773" s="122"/>
    </row>
    <row r="1774" spans="1:75" s="198" customFormat="1" ht="14.25" x14ac:dyDescent="0.45">
      <c r="A1774" s="206" t="s">
        <v>1548</v>
      </c>
      <c r="B1774" s="522"/>
      <c r="C1774" s="397"/>
      <c r="D1774" s="397">
        <v>501.99099999999999</v>
      </c>
      <c r="E1774" s="397">
        <v>586.80999999999995</v>
      </c>
      <c r="F1774" s="397">
        <v>789.61300000000006</v>
      </c>
      <c r="G1774" s="295">
        <v>859.62200000000007</v>
      </c>
      <c r="H1774" s="295">
        <v>929.36400000000003</v>
      </c>
      <c r="I1774" s="295">
        <v>992.09799999999996</v>
      </c>
      <c r="J1774" s="295">
        <v>1025.1030000000001</v>
      </c>
      <c r="K1774" s="397">
        <v>1025.1030000000001</v>
      </c>
      <c r="L1774" s="295">
        <v>1099.9559999999999</v>
      </c>
      <c r="M1774" s="295">
        <v>1366.7280000000001</v>
      </c>
      <c r="N1774" s="295">
        <v>1452.3230000000001</v>
      </c>
      <c r="O1774" s="295">
        <v>1525.9990000000003</v>
      </c>
      <c r="P1774" s="397">
        <v>1525.9990000000003</v>
      </c>
      <c r="Q1774" s="295">
        <v>1602.3020000000001</v>
      </c>
      <c r="R1774" s="295">
        <v>1996.9880000000001</v>
      </c>
      <c r="S1774" s="295">
        <v>2059.1099999999997</v>
      </c>
      <c r="T1774" s="295">
        <v>2088.4719999999998</v>
      </c>
      <c r="U1774" s="397">
        <v>2088.4719999999998</v>
      </c>
      <c r="V1774" s="295">
        <v>2051.0079999999998</v>
      </c>
      <c r="W1774" s="295">
        <v>2088.6410000000001</v>
      </c>
      <c r="X1774" s="295">
        <v>2156.3009999999999</v>
      </c>
      <c r="Y1774" s="295">
        <v>2192.52</v>
      </c>
      <c r="Z1774" s="397">
        <v>2192.52</v>
      </c>
      <c r="AA1774" s="295">
        <v>1948.3860000000002</v>
      </c>
      <c r="AB1774" s="295">
        <v>1819.4089999999999</v>
      </c>
      <c r="AC1774" s="295">
        <v>1801.566</v>
      </c>
      <c r="AD1774" s="295">
        <v>1732.866</v>
      </c>
      <c r="AE1774" s="397">
        <v>1732.866</v>
      </c>
      <c r="AF1774" s="295">
        <v>1748.9610000000002</v>
      </c>
      <c r="AG1774" s="295">
        <v>1814.1070000000004</v>
      </c>
      <c r="AH1774" s="295">
        <v>1843.3249999999998</v>
      </c>
      <c r="AI1774" s="295">
        <v>1806.0340000000001</v>
      </c>
      <c r="AJ1774" s="397">
        <v>1806.0340000000001</v>
      </c>
      <c r="AK1774" s="295">
        <v>2545.8319999999999</v>
      </c>
      <c r="AL1774" s="295">
        <v>2387.808</v>
      </c>
      <c r="AM1774" s="295">
        <v>2362.0130000000004</v>
      </c>
      <c r="AN1774" s="295">
        <v>2445.6939999999995</v>
      </c>
      <c r="AO1774" s="397">
        <v>2445.6939999999995</v>
      </c>
      <c r="AP1774" s="295">
        <v>2429.8930000000005</v>
      </c>
      <c r="AQ1774" s="295">
        <v>2506.4089999999997</v>
      </c>
      <c r="AR1774" s="295">
        <v>2679.2500000000005</v>
      </c>
      <c r="AS1774" s="295">
        <v>2898.3130000000001</v>
      </c>
      <c r="AT1774" s="397">
        <v>2898.3130000000001</v>
      </c>
      <c r="AU1774" s="295">
        <v>3237.317</v>
      </c>
      <c r="AV1774" s="295">
        <v>3467.152</v>
      </c>
      <c r="AW1774" s="295">
        <v>5420.0249999999996</v>
      </c>
      <c r="AX1774" s="295">
        <v>5540.47</v>
      </c>
      <c r="AY1774" s="397">
        <v>5540.47</v>
      </c>
      <c r="AZ1774" s="295">
        <v>5887.9369999999999</v>
      </c>
      <c r="BA1774" s="295">
        <v>5831.4470000000001</v>
      </c>
      <c r="BB1774" s="295">
        <v>5883.7150000000001</v>
      </c>
      <c r="BC1774" s="295">
        <v>5309.2890000000007</v>
      </c>
      <c r="BD1774" s="397">
        <v>5309.2890000000007</v>
      </c>
      <c r="BE1774" s="295">
        <v>5319.83</v>
      </c>
      <c r="BF1774" s="295">
        <v>4212.8309999999992</v>
      </c>
      <c r="BG1774" s="295">
        <v>4240.6189999999997</v>
      </c>
      <c r="BH1774" s="295">
        <v>4143.8969999999999</v>
      </c>
      <c r="BI1774" s="399">
        <v>4143.8969999999999</v>
      </c>
      <c r="BJ1774" s="295">
        <v>4087.6814525177278</v>
      </c>
      <c r="BK1774" s="295">
        <v>4155.5580690480892</v>
      </c>
      <c r="BL1774" s="295">
        <v>4217.5246324983318</v>
      </c>
      <c r="BM1774" s="295">
        <v>4266.1104081206668</v>
      </c>
      <c r="BN1774" s="397">
        <v>4266.1104081206668</v>
      </c>
      <c r="BO1774" s="295">
        <v>4315.5703630427406</v>
      </c>
      <c r="BP1774" s="295">
        <v>4427.643472211972</v>
      </c>
      <c r="BQ1774" s="295">
        <v>4513.955414665872</v>
      </c>
      <c r="BR1774" s="295">
        <v>4586.324447726508</v>
      </c>
      <c r="BS1774" s="397">
        <v>4586.324447726508</v>
      </c>
      <c r="BT1774" s="397">
        <v>4923.6935192290039</v>
      </c>
      <c r="BU1774" s="397">
        <v>5305.7729434470994</v>
      </c>
      <c r="BV1774" s="397">
        <v>5736.4685818028811</v>
      </c>
      <c r="BW1774" s="197"/>
    </row>
    <row r="1775" spans="1:75" s="123" customFormat="1" x14ac:dyDescent="0.5">
      <c r="A1775" s="118"/>
      <c r="B1775" s="118"/>
      <c r="C1775" s="119"/>
      <c r="D1775" s="119"/>
      <c r="E1775" s="119"/>
      <c r="F1775" s="119"/>
      <c r="G1775" s="119"/>
      <c r="H1775" s="119"/>
      <c r="I1775" s="119"/>
      <c r="J1775" s="119"/>
      <c r="K1775" s="119"/>
      <c r="L1775" s="119"/>
      <c r="M1775" s="119"/>
      <c r="N1775" s="119"/>
      <c r="O1775" s="119"/>
      <c r="P1775" s="119"/>
      <c r="Q1775" s="119"/>
      <c r="R1775" s="119"/>
      <c r="S1775" s="119"/>
      <c r="T1775" s="119"/>
      <c r="U1775" s="119"/>
      <c r="V1775" s="119"/>
      <c r="W1775" s="119"/>
      <c r="X1775" s="119"/>
      <c r="Y1775" s="119"/>
      <c r="Z1775" s="119"/>
      <c r="AA1775" s="119"/>
      <c r="AB1775" s="119"/>
      <c r="AC1775" s="119"/>
      <c r="AD1775" s="119"/>
      <c r="AE1775" s="119"/>
      <c r="AF1775" s="119"/>
      <c r="AG1775" s="119"/>
      <c r="AH1775" s="119"/>
      <c r="AI1775" s="119"/>
      <c r="AJ1775" s="119"/>
      <c r="AK1775" s="119"/>
      <c r="AL1775" s="119"/>
      <c r="AM1775" s="119"/>
      <c r="AN1775" s="119"/>
      <c r="AO1775" s="119"/>
      <c r="AP1775" s="119"/>
      <c r="AQ1775" s="119"/>
      <c r="AR1775" s="119"/>
      <c r="AS1775" s="119"/>
      <c r="AT1775" s="119"/>
      <c r="AU1775" s="119"/>
      <c r="AV1775" s="119"/>
      <c r="AW1775" s="119"/>
      <c r="AX1775" s="119"/>
      <c r="AY1775" s="119"/>
      <c r="AZ1775" s="119"/>
      <c r="BA1775" s="119"/>
      <c r="BB1775" s="119"/>
      <c r="BC1775" s="119"/>
      <c r="BD1775" s="119"/>
      <c r="BE1775" s="119"/>
      <c r="BF1775" s="119"/>
      <c r="BG1775" s="119"/>
      <c r="BH1775" s="119"/>
      <c r="BI1775" s="971"/>
      <c r="BJ1775" s="118"/>
      <c r="BK1775" s="118"/>
      <c r="BL1775" s="118"/>
      <c r="BM1775" s="118"/>
      <c r="BN1775" s="118"/>
      <c r="BO1775" s="118"/>
      <c r="BP1775" s="118"/>
      <c r="BQ1775" s="118"/>
      <c r="BR1775" s="118"/>
      <c r="BS1775" s="118"/>
      <c r="BT1775" s="119"/>
      <c r="BU1775" s="119"/>
      <c r="BV1775" s="118"/>
      <c r="BW1775" s="122"/>
    </row>
    <row r="1776" spans="1:75" s="123" customFormat="1" x14ac:dyDescent="0.5">
      <c r="A1776" s="685" t="s">
        <v>1549</v>
      </c>
      <c r="B1776" s="685"/>
      <c r="C1776" s="686"/>
      <c r="D1776" s="686">
        <v>0</v>
      </c>
      <c r="E1776" s="686">
        <v>0</v>
      </c>
      <c r="F1776" s="686">
        <v>0</v>
      </c>
      <c r="G1776" s="686">
        <v>0</v>
      </c>
      <c r="H1776" s="686">
        <v>0</v>
      </c>
      <c r="I1776" s="686">
        <v>0</v>
      </c>
      <c r="J1776" s="686">
        <v>0</v>
      </c>
      <c r="K1776" s="686">
        <v>0</v>
      </c>
      <c r="L1776" s="686">
        <v>0</v>
      </c>
      <c r="M1776" s="686">
        <v>0</v>
      </c>
      <c r="N1776" s="686">
        <v>0</v>
      </c>
      <c r="O1776" s="686">
        <v>0</v>
      </c>
      <c r="P1776" s="686">
        <v>0</v>
      </c>
      <c r="Q1776" s="686">
        <v>0</v>
      </c>
      <c r="R1776" s="686">
        <v>0</v>
      </c>
      <c r="S1776" s="686">
        <v>0</v>
      </c>
      <c r="T1776" s="686">
        <v>0</v>
      </c>
      <c r="U1776" s="686">
        <v>0</v>
      </c>
      <c r="V1776" s="686">
        <v>0</v>
      </c>
      <c r="W1776" s="686">
        <v>0</v>
      </c>
      <c r="X1776" s="686">
        <v>0</v>
      </c>
      <c r="Y1776" s="686">
        <v>0</v>
      </c>
      <c r="Z1776" s="686">
        <v>0</v>
      </c>
      <c r="AA1776" s="686">
        <v>0</v>
      </c>
      <c r="AB1776" s="686">
        <v>0</v>
      </c>
      <c r="AC1776" s="686">
        <v>0</v>
      </c>
      <c r="AD1776" s="686">
        <v>0</v>
      </c>
      <c r="AE1776" s="686">
        <v>0</v>
      </c>
      <c r="AF1776" s="686">
        <v>0</v>
      </c>
      <c r="AG1776" s="686">
        <v>0</v>
      </c>
      <c r="AH1776" s="686">
        <v>0</v>
      </c>
      <c r="AI1776" s="686">
        <v>0</v>
      </c>
      <c r="AJ1776" s="686">
        <v>0</v>
      </c>
      <c r="AK1776" s="686">
        <v>0</v>
      </c>
      <c r="AL1776" s="686">
        <v>0</v>
      </c>
      <c r="AM1776" s="686">
        <v>0</v>
      </c>
      <c r="AN1776" s="686">
        <v>0</v>
      </c>
      <c r="AO1776" s="686">
        <v>0</v>
      </c>
      <c r="AP1776" s="686">
        <v>0</v>
      </c>
      <c r="AQ1776" s="686">
        <v>0</v>
      </c>
      <c r="AR1776" s="686">
        <v>0</v>
      </c>
      <c r="AS1776" s="686">
        <v>0</v>
      </c>
      <c r="AT1776" s="686">
        <v>0</v>
      </c>
      <c r="AU1776" s="686">
        <v>0</v>
      </c>
      <c r="AV1776" s="686">
        <v>0</v>
      </c>
      <c r="AW1776" s="686">
        <v>0</v>
      </c>
      <c r="AX1776" s="686">
        <v>0</v>
      </c>
      <c r="AY1776" s="686">
        <v>0</v>
      </c>
      <c r="AZ1776" s="686">
        <v>0</v>
      </c>
      <c r="BA1776" s="686">
        <v>0</v>
      </c>
      <c r="BB1776" s="686">
        <v>0</v>
      </c>
      <c r="BC1776" s="686">
        <v>0</v>
      </c>
      <c r="BD1776" s="686">
        <v>0</v>
      </c>
      <c r="BE1776" s="686">
        <v>0</v>
      </c>
      <c r="BF1776" s="686">
        <v>0</v>
      </c>
      <c r="BG1776" s="686">
        <v>0</v>
      </c>
      <c r="BH1776" s="686">
        <v>0</v>
      </c>
      <c r="BI1776" s="687">
        <v>0</v>
      </c>
      <c r="BJ1776" s="686">
        <v>0</v>
      </c>
      <c r="BK1776" s="686">
        <v>0</v>
      </c>
      <c r="BL1776" s="686">
        <v>0</v>
      </c>
      <c r="BM1776" s="686">
        <v>0</v>
      </c>
      <c r="BN1776" s="686">
        <v>0</v>
      </c>
      <c r="BO1776" s="686">
        <v>0</v>
      </c>
      <c r="BP1776" s="686">
        <v>0</v>
      </c>
      <c r="BQ1776" s="686">
        <v>0</v>
      </c>
      <c r="BR1776" s="686">
        <v>0</v>
      </c>
      <c r="BS1776" s="686">
        <v>0</v>
      </c>
      <c r="BT1776" s="686">
        <v>0</v>
      </c>
      <c r="BU1776" s="686">
        <v>0</v>
      </c>
      <c r="BV1776" s="686">
        <v>0</v>
      </c>
      <c r="BW1776" s="122"/>
    </row>
    <row r="1777" spans="1:75" s="123" customFormat="1" x14ac:dyDescent="0.5">
      <c r="A1777" s="118"/>
      <c r="B1777" s="118"/>
      <c r="C1777" s="119"/>
      <c r="D1777" s="119"/>
      <c r="E1777" s="119"/>
      <c r="F1777" s="119"/>
      <c r="G1777" s="119"/>
      <c r="H1777" s="119"/>
      <c r="I1777" s="119"/>
      <c r="J1777" s="119"/>
      <c r="K1777" s="119"/>
      <c r="L1777" s="119"/>
      <c r="M1777" s="119"/>
      <c r="N1777" s="119"/>
      <c r="O1777" s="119"/>
      <c r="P1777" s="119"/>
      <c r="Q1777" s="119"/>
      <c r="R1777" s="119"/>
      <c r="S1777" s="119"/>
      <c r="T1777" s="119"/>
      <c r="U1777" s="119"/>
      <c r="V1777" s="119"/>
      <c r="W1777" s="119"/>
      <c r="X1777" s="119"/>
      <c r="Y1777" s="119"/>
      <c r="Z1777" s="119"/>
      <c r="AA1777" s="119"/>
      <c r="AB1777" s="119"/>
      <c r="AC1777" s="119"/>
      <c r="AD1777" s="119"/>
      <c r="AE1777" s="119"/>
      <c r="AF1777" s="119"/>
      <c r="AG1777" s="119"/>
      <c r="AH1777" s="119"/>
      <c r="AI1777" s="119"/>
      <c r="AJ1777" s="119"/>
      <c r="AK1777" s="119"/>
      <c r="AL1777" s="119"/>
      <c r="AM1777" s="119"/>
      <c r="AN1777" s="119"/>
      <c r="AO1777" s="119"/>
      <c r="AP1777" s="119"/>
      <c r="AQ1777" s="119"/>
      <c r="AR1777" s="119"/>
      <c r="AS1777" s="119"/>
      <c r="AT1777" s="119"/>
      <c r="AU1777" s="119"/>
      <c r="AV1777" s="119"/>
      <c r="AW1777" s="119"/>
      <c r="AX1777" s="119"/>
      <c r="AY1777" s="119"/>
      <c r="AZ1777" s="119"/>
      <c r="BA1777" s="119"/>
      <c r="BB1777" s="119"/>
      <c r="BC1777" s="119"/>
      <c r="BD1777" s="119"/>
      <c r="BE1777" s="119"/>
      <c r="BF1777" s="119"/>
      <c r="BG1777" s="119"/>
      <c r="BH1777" s="119"/>
      <c r="BI1777" s="971"/>
      <c r="BJ1777" s="118"/>
      <c r="BK1777" s="118"/>
      <c r="BL1777" s="118"/>
      <c r="BM1777" s="118"/>
      <c r="BN1777" s="118"/>
      <c r="BO1777" s="118"/>
      <c r="BP1777" s="118"/>
      <c r="BQ1777" s="118"/>
      <c r="BR1777" s="118"/>
      <c r="BS1777" s="118"/>
      <c r="BT1777" s="119"/>
      <c r="BU1777" s="119"/>
      <c r="BV1777" s="118"/>
      <c r="BW1777" s="122"/>
    </row>
    <row r="1778" spans="1:75" s="198" customFormat="1" ht="14.25" x14ac:dyDescent="0.45">
      <c r="A1778" s="511" t="s">
        <v>1550</v>
      </c>
      <c r="B1778" s="511"/>
      <c r="C1778" s="511"/>
      <c r="D1778" s="511"/>
      <c r="E1778" s="511"/>
      <c r="F1778" s="511"/>
      <c r="G1778" s="511"/>
      <c r="H1778" s="511"/>
      <c r="I1778" s="511"/>
      <c r="J1778" s="511"/>
      <c r="K1778" s="511"/>
      <c r="L1778" s="511"/>
      <c r="M1778" s="511"/>
      <c r="N1778" s="511"/>
      <c r="O1778" s="511"/>
      <c r="P1778" s="511"/>
      <c r="Q1778" s="511"/>
      <c r="R1778" s="511"/>
      <c r="S1778" s="511"/>
      <c r="T1778" s="511"/>
      <c r="U1778" s="511"/>
      <c r="V1778" s="511"/>
      <c r="W1778" s="511"/>
      <c r="X1778" s="511"/>
      <c r="Y1778" s="511"/>
      <c r="Z1778" s="511"/>
      <c r="AA1778" s="511"/>
      <c r="AB1778" s="511"/>
      <c r="AC1778" s="511"/>
      <c r="AD1778" s="511"/>
      <c r="AE1778" s="511"/>
      <c r="AF1778" s="511"/>
      <c r="AG1778" s="511"/>
      <c r="AH1778" s="511"/>
      <c r="AI1778" s="511"/>
      <c r="AJ1778" s="511"/>
      <c r="AK1778" s="511"/>
      <c r="AL1778" s="511"/>
      <c r="AM1778" s="511"/>
      <c r="AN1778" s="511"/>
      <c r="AO1778" s="511"/>
      <c r="AP1778" s="511"/>
      <c r="AQ1778" s="511"/>
      <c r="AR1778" s="511"/>
      <c r="AS1778" s="511"/>
      <c r="AT1778" s="511"/>
      <c r="AU1778" s="511"/>
      <c r="AV1778" s="511"/>
      <c r="AW1778" s="511"/>
      <c r="AX1778" s="511"/>
      <c r="AY1778" s="511"/>
      <c r="AZ1778" s="511"/>
      <c r="BA1778" s="511"/>
      <c r="BB1778" s="511"/>
      <c r="BC1778" s="511"/>
      <c r="BD1778" s="511"/>
      <c r="BE1778" s="511"/>
      <c r="BF1778" s="511"/>
      <c r="BG1778" s="511"/>
      <c r="BH1778" s="511"/>
      <c r="BI1778" s="512"/>
      <c r="BJ1778" s="511"/>
      <c r="BK1778" s="511"/>
      <c r="BL1778" s="511"/>
      <c r="BM1778" s="511"/>
      <c r="BN1778" s="511"/>
      <c r="BO1778" s="511"/>
      <c r="BP1778" s="511"/>
      <c r="BQ1778" s="511"/>
      <c r="BR1778" s="511"/>
      <c r="BS1778" s="511"/>
      <c r="BT1778" s="511"/>
      <c r="BU1778" s="511"/>
      <c r="BV1778" s="511"/>
      <c r="BW1778" s="197"/>
    </row>
    <row r="1779" spans="1:75" s="123" customFormat="1" x14ac:dyDescent="0.5">
      <c r="A1779" s="122" t="s">
        <v>1551</v>
      </c>
      <c r="B1779" s="187"/>
      <c r="C1779" s="686"/>
      <c r="D1779" s="686">
        <v>0</v>
      </c>
      <c r="E1779" s="686">
        <v>0</v>
      </c>
      <c r="F1779" s="686">
        <v>0</v>
      </c>
      <c r="G1779" s="686">
        <v>0</v>
      </c>
      <c r="H1779" s="686">
        <v>0</v>
      </c>
      <c r="I1779" s="686">
        <v>0</v>
      </c>
      <c r="J1779" s="686">
        <v>0</v>
      </c>
      <c r="K1779" s="686">
        <v>0</v>
      </c>
      <c r="L1779" s="686">
        <v>0</v>
      </c>
      <c r="M1779" s="686">
        <v>0</v>
      </c>
      <c r="N1779" s="686">
        <v>0</v>
      </c>
      <c r="O1779" s="686">
        <v>0</v>
      </c>
      <c r="P1779" s="686">
        <v>0</v>
      </c>
      <c r="Q1779" s="686">
        <v>0</v>
      </c>
      <c r="R1779" s="686">
        <v>0</v>
      </c>
      <c r="S1779" s="686">
        <v>0</v>
      </c>
      <c r="T1779" s="686">
        <v>0</v>
      </c>
      <c r="U1779" s="686">
        <v>0</v>
      </c>
      <c r="V1779" s="686">
        <v>0</v>
      </c>
      <c r="W1779" s="686">
        <v>0</v>
      </c>
      <c r="X1779" s="686">
        <v>0</v>
      </c>
      <c r="Y1779" s="686">
        <v>0</v>
      </c>
      <c r="Z1779" s="686">
        <v>0</v>
      </c>
      <c r="AA1779" s="686">
        <v>0</v>
      </c>
      <c r="AB1779" s="686">
        <v>0</v>
      </c>
      <c r="AC1779" s="686">
        <v>0</v>
      </c>
      <c r="AD1779" s="686">
        <v>0</v>
      </c>
      <c r="AE1779" s="686">
        <v>0</v>
      </c>
      <c r="AF1779" s="686">
        <v>0</v>
      </c>
      <c r="AG1779" s="686">
        <v>0</v>
      </c>
      <c r="AH1779" s="686">
        <v>0</v>
      </c>
      <c r="AI1779" s="686">
        <v>0</v>
      </c>
      <c r="AJ1779" s="686">
        <v>0</v>
      </c>
      <c r="AK1779" s="686">
        <v>0</v>
      </c>
      <c r="AL1779" s="686">
        <v>0</v>
      </c>
      <c r="AM1779" s="686">
        <v>0</v>
      </c>
      <c r="AN1779" s="686">
        <v>0</v>
      </c>
      <c r="AO1779" s="686">
        <v>0</v>
      </c>
      <c r="AP1779" s="686">
        <v>0</v>
      </c>
      <c r="AQ1779" s="686">
        <v>0</v>
      </c>
      <c r="AR1779" s="686">
        <v>0</v>
      </c>
      <c r="AS1779" s="686">
        <v>0</v>
      </c>
      <c r="AT1779" s="686">
        <v>0</v>
      </c>
      <c r="AU1779" s="686">
        <v>0</v>
      </c>
      <c r="AV1779" s="686">
        <v>0</v>
      </c>
      <c r="AW1779" s="686">
        <v>0</v>
      </c>
      <c r="AX1779" s="686">
        <v>0</v>
      </c>
      <c r="AY1779" s="686">
        <v>0</v>
      </c>
      <c r="AZ1779" s="686">
        <v>0</v>
      </c>
      <c r="BA1779" s="686">
        <v>0</v>
      </c>
      <c r="BB1779" s="686">
        <v>0</v>
      </c>
      <c r="BC1779" s="686">
        <v>0</v>
      </c>
      <c r="BD1779" s="686">
        <v>0</v>
      </c>
      <c r="BE1779" s="686">
        <v>0</v>
      </c>
      <c r="BF1779" s="686">
        <v>0</v>
      </c>
      <c r="BG1779" s="686">
        <v>0</v>
      </c>
      <c r="BH1779" s="686">
        <v>0</v>
      </c>
      <c r="BI1779" s="687">
        <v>0</v>
      </c>
      <c r="BJ1779" s="686">
        <v>0</v>
      </c>
      <c r="BK1779" s="686">
        <v>0</v>
      </c>
      <c r="BL1779" s="686">
        <v>0</v>
      </c>
      <c r="BM1779" s="686">
        <v>0</v>
      </c>
      <c r="BN1779" s="686">
        <v>0</v>
      </c>
      <c r="BO1779" s="686">
        <v>0</v>
      </c>
      <c r="BP1779" s="686">
        <v>0</v>
      </c>
      <c r="BQ1779" s="686">
        <v>0</v>
      </c>
      <c r="BR1779" s="686">
        <v>0</v>
      </c>
      <c r="BS1779" s="686">
        <v>0</v>
      </c>
      <c r="BT1779" s="686">
        <v>0</v>
      </c>
      <c r="BU1779" s="686">
        <v>0</v>
      </c>
      <c r="BV1779" s="686">
        <v>0</v>
      </c>
      <c r="BW1779" s="122"/>
    </row>
    <row r="1780" spans="1:75" s="123" customFormat="1" x14ac:dyDescent="0.5">
      <c r="A1780" s="122" t="s">
        <v>1552</v>
      </c>
      <c r="B1780" s="187"/>
      <c r="C1780" s="686"/>
      <c r="D1780" s="686">
        <v>0</v>
      </c>
      <c r="E1780" s="686">
        <v>0</v>
      </c>
      <c r="F1780" s="686">
        <v>0</v>
      </c>
      <c r="G1780" s="686">
        <v>0</v>
      </c>
      <c r="H1780" s="686">
        <v>0</v>
      </c>
      <c r="I1780" s="686">
        <v>0</v>
      </c>
      <c r="J1780" s="686">
        <v>0</v>
      </c>
      <c r="K1780" s="686">
        <v>0</v>
      </c>
      <c r="L1780" s="686">
        <v>0</v>
      </c>
      <c r="M1780" s="686">
        <v>0</v>
      </c>
      <c r="N1780" s="686">
        <v>0</v>
      </c>
      <c r="O1780" s="686">
        <v>0</v>
      </c>
      <c r="P1780" s="686">
        <v>0</v>
      </c>
      <c r="Q1780" s="686">
        <v>0</v>
      </c>
      <c r="R1780" s="686">
        <v>0</v>
      </c>
      <c r="S1780" s="686">
        <v>0</v>
      </c>
      <c r="T1780" s="686">
        <v>0</v>
      </c>
      <c r="U1780" s="686">
        <v>0</v>
      </c>
      <c r="V1780" s="686">
        <v>0</v>
      </c>
      <c r="W1780" s="686">
        <v>0</v>
      </c>
      <c r="X1780" s="686">
        <v>0</v>
      </c>
      <c r="Y1780" s="686">
        <v>0</v>
      </c>
      <c r="Z1780" s="686">
        <v>0</v>
      </c>
      <c r="AA1780" s="686">
        <v>0</v>
      </c>
      <c r="AB1780" s="686">
        <v>0</v>
      </c>
      <c r="AC1780" s="686">
        <v>0</v>
      </c>
      <c r="AD1780" s="686">
        <v>0</v>
      </c>
      <c r="AE1780" s="686">
        <v>0</v>
      </c>
      <c r="AF1780" s="686">
        <v>0</v>
      </c>
      <c r="AG1780" s="686">
        <v>0</v>
      </c>
      <c r="AH1780" s="686">
        <v>0</v>
      </c>
      <c r="AI1780" s="686">
        <v>0</v>
      </c>
      <c r="AJ1780" s="686">
        <v>0</v>
      </c>
      <c r="AK1780" s="686">
        <v>0</v>
      </c>
      <c r="AL1780" s="686">
        <v>0</v>
      </c>
      <c r="AM1780" s="686">
        <v>0</v>
      </c>
      <c r="AN1780" s="686">
        <v>0</v>
      </c>
      <c r="AO1780" s="686">
        <v>0</v>
      </c>
      <c r="AP1780" s="686">
        <v>0</v>
      </c>
      <c r="AQ1780" s="686">
        <v>0</v>
      </c>
      <c r="AR1780" s="686">
        <v>0</v>
      </c>
      <c r="AS1780" s="686">
        <v>0</v>
      </c>
      <c r="AT1780" s="686">
        <v>0</v>
      </c>
      <c r="AU1780" s="686">
        <v>0</v>
      </c>
      <c r="AV1780" s="686">
        <v>0</v>
      </c>
      <c r="AW1780" s="686">
        <v>0</v>
      </c>
      <c r="AX1780" s="686">
        <v>0</v>
      </c>
      <c r="AY1780" s="686">
        <v>0</v>
      </c>
      <c r="AZ1780" s="686">
        <v>0</v>
      </c>
      <c r="BA1780" s="686">
        <v>0</v>
      </c>
      <c r="BB1780" s="686">
        <v>0</v>
      </c>
      <c r="BC1780" s="686">
        <v>0</v>
      </c>
      <c r="BD1780" s="686">
        <v>0</v>
      </c>
      <c r="BE1780" s="686">
        <v>0</v>
      </c>
      <c r="BF1780" s="686">
        <v>0</v>
      </c>
      <c r="BG1780" s="686">
        <v>0</v>
      </c>
      <c r="BH1780" s="686">
        <v>0</v>
      </c>
      <c r="BI1780" s="687">
        <v>0</v>
      </c>
      <c r="BJ1780" s="686">
        <v>0</v>
      </c>
      <c r="BK1780" s="686">
        <v>0</v>
      </c>
      <c r="BL1780" s="686">
        <v>0</v>
      </c>
      <c r="BM1780" s="686">
        <v>0</v>
      </c>
      <c r="BN1780" s="686">
        <v>0</v>
      </c>
      <c r="BO1780" s="686">
        <v>0</v>
      </c>
      <c r="BP1780" s="686">
        <v>0</v>
      </c>
      <c r="BQ1780" s="686">
        <v>0</v>
      </c>
      <c r="BR1780" s="686">
        <v>0</v>
      </c>
      <c r="BS1780" s="686">
        <v>0</v>
      </c>
      <c r="BT1780" s="686">
        <v>0</v>
      </c>
      <c r="BU1780" s="686">
        <v>0</v>
      </c>
      <c r="BV1780" s="686">
        <v>0</v>
      </c>
      <c r="BW1780" s="122"/>
    </row>
    <row r="1781" spans="1:75" s="123" customFormat="1" x14ac:dyDescent="0.5">
      <c r="A1781" s="122" t="s">
        <v>1553</v>
      </c>
      <c r="B1781" s="187"/>
      <c r="C1781" s="686"/>
      <c r="D1781" s="686">
        <v>0</v>
      </c>
      <c r="E1781" s="686">
        <v>0</v>
      </c>
      <c r="F1781" s="686">
        <v>0</v>
      </c>
      <c r="G1781" s="686">
        <v>0</v>
      </c>
      <c r="H1781" s="686">
        <v>0</v>
      </c>
      <c r="I1781" s="686">
        <v>0</v>
      </c>
      <c r="J1781" s="686">
        <v>0</v>
      </c>
      <c r="K1781" s="686">
        <v>0</v>
      </c>
      <c r="L1781" s="686">
        <v>0</v>
      </c>
      <c r="M1781" s="686">
        <v>0</v>
      </c>
      <c r="N1781" s="686">
        <v>0</v>
      </c>
      <c r="O1781" s="686">
        <v>0</v>
      </c>
      <c r="P1781" s="686">
        <v>0</v>
      </c>
      <c r="Q1781" s="686">
        <v>0</v>
      </c>
      <c r="R1781" s="686">
        <v>0</v>
      </c>
      <c r="S1781" s="686">
        <v>0</v>
      </c>
      <c r="T1781" s="686">
        <v>0</v>
      </c>
      <c r="U1781" s="686">
        <v>0</v>
      </c>
      <c r="V1781" s="686">
        <v>0</v>
      </c>
      <c r="W1781" s="686">
        <v>0</v>
      </c>
      <c r="X1781" s="686">
        <v>0</v>
      </c>
      <c r="Y1781" s="686">
        <v>0</v>
      </c>
      <c r="Z1781" s="686">
        <v>0</v>
      </c>
      <c r="AA1781" s="686">
        <v>0</v>
      </c>
      <c r="AB1781" s="686">
        <v>0</v>
      </c>
      <c r="AC1781" s="686">
        <v>0</v>
      </c>
      <c r="AD1781" s="686">
        <v>0</v>
      </c>
      <c r="AE1781" s="686">
        <v>0</v>
      </c>
      <c r="AF1781" s="686">
        <v>0</v>
      </c>
      <c r="AG1781" s="686">
        <v>0</v>
      </c>
      <c r="AH1781" s="686">
        <v>0</v>
      </c>
      <c r="AI1781" s="686">
        <v>0</v>
      </c>
      <c r="AJ1781" s="686">
        <v>0</v>
      </c>
      <c r="AK1781" s="686">
        <v>0</v>
      </c>
      <c r="AL1781" s="686">
        <v>0</v>
      </c>
      <c r="AM1781" s="686">
        <v>0</v>
      </c>
      <c r="AN1781" s="686">
        <v>0</v>
      </c>
      <c r="AO1781" s="686">
        <v>0</v>
      </c>
      <c r="AP1781" s="686">
        <v>0</v>
      </c>
      <c r="AQ1781" s="686">
        <v>0</v>
      </c>
      <c r="AR1781" s="686">
        <v>0</v>
      </c>
      <c r="AS1781" s="686">
        <v>0</v>
      </c>
      <c r="AT1781" s="686">
        <v>0</v>
      </c>
      <c r="AU1781" s="686">
        <v>0</v>
      </c>
      <c r="AV1781" s="686">
        <v>0</v>
      </c>
      <c r="AW1781" s="686">
        <v>0</v>
      </c>
      <c r="AX1781" s="686">
        <v>0</v>
      </c>
      <c r="AY1781" s="686">
        <v>0</v>
      </c>
      <c r="AZ1781" s="686">
        <v>0</v>
      </c>
      <c r="BA1781" s="686">
        <v>0</v>
      </c>
      <c r="BB1781" s="686">
        <v>0</v>
      </c>
      <c r="BC1781" s="686">
        <v>0</v>
      </c>
      <c r="BD1781" s="686">
        <v>0</v>
      </c>
      <c r="BE1781" s="686">
        <v>0</v>
      </c>
      <c r="BF1781" s="686">
        <v>0</v>
      </c>
      <c r="BG1781" s="686">
        <v>0</v>
      </c>
      <c r="BH1781" s="686">
        <v>0</v>
      </c>
      <c r="BI1781" s="687">
        <v>0</v>
      </c>
      <c r="BJ1781" s="686">
        <v>0</v>
      </c>
      <c r="BK1781" s="686">
        <v>0</v>
      </c>
      <c r="BL1781" s="686">
        <v>0</v>
      </c>
      <c r="BM1781" s="686">
        <v>0</v>
      </c>
      <c r="BN1781" s="686">
        <v>0</v>
      </c>
      <c r="BO1781" s="686">
        <v>0</v>
      </c>
      <c r="BP1781" s="686">
        <v>0</v>
      </c>
      <c r="BQ1781" s="686">
        <v>0</v>
      </c>
      <c r="BR1781" s="686">
        <v>0</v>
      </c>
      <c r="BS1781" s="686">
        <v>0</v>
      </c>
      <c r="BT1781" s="686">
        <v>0</v>
      </c>
      <c r="BU1781" s="686">
        <v>0</v>
      </c>
      <c r="BV1781" s="686">
        <v>0</v>
      </c>
      <c r="BW1781" s="122"/>
    </row>
    <row r="1782" spans="1:75" s="123" customFormat="1" x14ac:dyDescent="0.5">
      <c r="A1782" s="122" t="s">
        <v>1554</v>
      </c>
      <c r="B1782" s="187"/>
      <c r="C1782" s="686"/>
      <c r="D1782" s="686">
        <v>0</v>
      </c>
      <c r="E1782" s="686">
        <v>0</v>
      </c>
      <c r="F1782" s="686">
        <v>0</v>
      </c>
      <c r="G1782" s="686">
        <v>0</v>
      </c>
      <c r="H1782" s="686">
        <v>0</v>
      </c>
      <c r="I1782" s="686">
        <v>0</v>
      </c>
      <c r="J1782" s="686">
        <v>0</v>
      </c>
      <c r="K1782" s="686">
        <v>0</v>
      </c>
      <c r="L1782" s="686">
        <v>0</v>
      </c>
      <c r="M1782" s="686">
        <v>0</v>
      </c>
      <c r="N1782" s="686">
        <v>0</v>
      </c>
      <c r="O1782" s="686">
        <v>0</v>
      </c>
      <c r="P1782" s="686">
        <v>0</v>
      </c>
      <c r="Q1782" s="686">
        <v>0</v>
      </c>
      <c r="R1782" s="686">
        <v>0</v>
      </c>
      <c r="S1782" s="686">
        <v>0</v>
      </c>
      <c r="T1782" s="686">
        <v>0</v>
      </c>
      <c r="U1782" s="686">
        <v>0</v>
      </c>
      <c r="V1782" s="686">
        <v>0</v>
      </c>
      <c r="W1782" s="686">
        <v>0</v>
      </c>
      <c r="X1782" s="686">
        <v>0</v>
      </c>
      <c r="Y1782" s="686">
        <v>0</v>
      </c>
      <c r="Z1782" s="686">
        <v>0</v>
      </c>
      <c r="AA1782" s="686">
        <v>0</v>
      </c>
      <c r="AB1782" s="686">
        <v>0</v>
      </c>
      <c r="AC1782" s="686">
        <v>0</v>
      </c>
      <c r="AD1782" s="686">
        <v>0</v>
      </c>
      <c r="AE1782" s="686">
        <v>0</v>
      </c>
      <c r="AF1782" s="686">
        <v>0</v>
      </c>
      <c r="AG1782" s="686">
        <v>0</v>
      </c>
      <c r="AH1782" s="686">
        <v>0</v>
      </c>
      <c r="AI1782" s="686">
        <v>0</v>
      </c>
      <c r="AJ1782" s="686">
        <v>0</v>
      </c>
      <c r="AK1782" s="686">
        <v>0</v>
      </c>
      <c r="AL1782" s="686">
        <v>0</v>
      </c>
      <c r="AM1782" s="686">
        <v>0</v>
      </c>
      <c r="AN1782" s="686">
        <v>0</v>
      </c>
      <c r="AO1782" s="686">
        <v>0</v>
      </c>
      <c r="AP1782" s="686">
        <v>0</v>
      </c>
      <c r="AQ1782" s="686">
        <v>0</v>
      </c>
      <c r="AR1782" s="686">
        <v>0</v>
      </c>
      <c r="AS1782" s="686">
        <v>0</v>
      </c>
      <c r="AT1782" s="686">
        <v>0</v>
      </c>
      <c r="AU1782" s="686">
        <v>0</v>
      </c>
      <c r="AV1782" s="686">
        <v>0</v>
      </c>
      <c r="AW1782" s="686">
        <v>0</v>
      </c>
      <c r="AX1782" s="686">
        <v>0</v>
      </c>
      <c r="AY1782" s="686">
        <v>0</v>
      </c>
      <c r="AZ1782" s="686">
        <v>0</v>
      </c>
      <c r="BA1782" s="686">
        <v>0</v>
      </c>
      <c r="BB1782" s="686">
        <v>0</v>
      </c>
      <c r="BC1782" s="686">
        <v>0</v>
      </c>
      <c r="BD1782" s="686">
        <v>0</v>
      </c>
      <c r="BE1782" s="686">
        <v>0</v>
      </c>
      <c r="BF1782" s="686">
        <v>0</v>
      </c>
      <c r="BG1782" s="686">
        <v>0</v>
      </c>
      <c r="BH1782" s="686">
        <v>0</v>
      </c>
      <c r="BI1782" s="687">
        <v>0</v>
      </c>
      <c r="BJ1782" s="686">
        <v>0</v>
      </c>
      <c r="BK1782" s="686">
        <v>0</v>
      </c>
      <c r="BL1782" s="686">
        <v>0</v>
      </c>
      <c r="BM1782" s="686">
        <v>0</v>
      </c>
      <c r="BN1782" s="686">
        <v>0</v>
      </c>
      <c r="BO1782" s="686">
        <v>0</v>
      </c>
      <c r="BP1782" s="686">
        <v>0</v>
      </c>
      <c r="BQ1782" s="686">
        <v>0</v>
      </c>
      <c r="BR1782" s="686">
        <v>0</v>
      </c>
      <c r="BS1782" s="686">
        <v>0</v>
      </c>
      <c r="BT1782" s="686">
        <v>0</v>
      </c>
      <c r="BU1782" s="686">
        <v>0</v>
      </c>
      <c r="BV1782" s="686">
        <v>0</v>
      </c>
      <c r="BW1782" s="122"/>
    </row>
    <row r="1783" spans="1:75" s="123" customFormat="1" x14ac:dyDescent="0.5">
      <c r="A1783" s="118" t="s">
        <v>1555</v>
      </c>
      <c r="B1783" s="187"/>
      <c r="C1783" s="686"/>
      <c r="D1783" s="686">
        <v>0</v>
      </c>
      <c r="E1783" s="686">
        <v>0</v>
      </c>
      <c r="F1783" s="686">
        <v>0</v>
      </c>
      <c r="G1783" s="686">
        <v>0</v>
      </c>
      <c r="H1783" s="686">
        <v>0</v>
      </c>
      <c r="I1783" s="686">
        <v>0</v>
      </c>
      <c r="J1783" s="686">
        <v>0</v>
      </c>
      <c r="K1783" s="686">
        <v>0</v>
      </c>
      <c r="L1783" s="686">
        <v>0</v>
      </c>
      <c r="M1783" s="686">
        <v>0</v>
      </c>
      <c r="N1783" s="686">
        <v>0</v>
      </c>
      <c r="O1783" s="686">
        <v>0</v>
      </c>
      <c r="P1783" s="686">
        <v>0</v>
      </c>
      <c r="Q1783" s="686">
        <v>0</v>
      </c>
      <c r="R1783" s="686">
        <v>0</v>
      </c>
      <c r="S1783" s="686">
        <v>0</v>
      </c>
      <c r="T1783" s="686">
        <v>0</v>
      </c>
      <c r="U1783" s="686">
        <v>0</v>
      </c>
      <c r="V1783" s="686">
        <v>0</v>
      </c>
      <c r="W1783" s="686">
        <v>0</v>
      </c>
      <c r="X1783" s="686">
        <v>0</v>
      </c>
      <c r="Y1783" s="686">
        <v>0</v>
      </c>
      <c r="Z1783" s="686">
        <v>0</v>
      </c>
      <c r="AA1783" s="686">
        <v>0</v>
      </c>
      <c r="AB1783" s="686">
        <v>0</v>
      </c>
      <c r="AC1783" s="686">
        <v>0</v>
      </c>
      <c r="AD1783" s="686">
        <v>0</v>
      </c>
      <c r="AE1783" s="686">
        <v>0</v>
      </c>
      <c r="AF1783" s="686">
        <v>0</v>
      </c>
      <c r="AG1783" s="686">
        <v>0</v>
      </c>
      <c r="AH1783" s="686">
        <v>0</v>
      </c>
      <c r="AI1783" s="686">
        <v>0</v>
      </c>
      <c r="AJ1783" s="686">
        <v>0</v>
      </c>
      <c r="AK1783" s="686">
        <v>0</v>
      </c>
      <c r="AL1783" s="686">
        <v>0</v>
      </c>
      <c r="AM1783" s="686">
        <v>0</v>
      </c>
      <c r="AN1783" s="686">
        <v>0</v>
      </c>
      <c r="AO1783" s="686">
        <v>0</v>
      </c>
      <c r="AP1783" s="686">
        <v>0</v>
      </c>
      <c r="AQ1783" s="686">
        <v>0</v>
      </c>
      <c r="AR1783" s="686">
        <v>0</v>
      </c>
      <c r="AS1783" s="686">
        <v>0</v>
      </c>
      <c r="AT1783" s="686">
        <v>0</v>
      </c>
      <c r="AU1783" s="686">
        <v>0</v>
      </c>
      <c r="AV1783" s="686">
        <v>0</v>
      </c>
      <c r="AW1783" s="686">
        <v>0</v>
      </c>
      <c r="AX1783" s="686">
        <v>0</v>
      </c>
      <c r="AY1783" s="686">
        <v>0</v>
      </c>
      <c r="AZ1783" s="686">
        <v>0</v>
      </c>
      <c r="BA1783" s="686">
        <v>0</v>
      </c>
      <c r="BB1783" s="686">
        <v>0</v>
      </c>
      <c r="BC1783" s="686">
        <v>0</v>
      </c>
      <c r="BD1783" s="686">
        <v>0</v>
      </c>
      <c r="BE1783" s="686">
        <v>0</v>
      </c>
      <c r="BF1783" s="686">
        <v>0</v>
      </c>
      <c r="BG1783" s="686">
        <v>0</v>
      </c>
      <c r="BH1783" s="686">
        <v>0</v>
      </c>
      <c r="BI1783" s="687">
        <v>0</v>
      </c>
      <c r="BJ1783" s="686">
        <v>0</v>
      </c>
      <c r="BK1783" s="686">
        <v>0</v>
      </c>
      <c r="BL1783" s="686">
        <v>0</v>
      </c>
      <c r="BM1783" s="686">
        <v>0</v>
      </c>
      <c r="BN1783" s="686">
        <v>0</v>
      </c>
      <c r="BO1783" s="686">
        <v>0</v>
      </c>
      <c r="BP1783" s="686">
        <v>0</v>
      </c>
      <c r="BQ1783" s="686">
        <v>0</v>
      </c>
      <c r="BR1783" s="686">
        <v>0</v>
      </c>
      <c r="BS1783" s="686">
        <v>0</v>
      </c>
      <c r="BT1783" s="686">
        <v>0</v>
      </c>
      <c r="BU1783" s="686">
        <v>0</v>
      </c>
      <c r="BV1783" s="686">
        <v>0</v>
      </c>
      <c r="BW1783" s="122"/>
    </row>
    <row r="1784" spans="1:75" s="123" customFormat="1" x14ac:dyDescent="0.5">
      <c r="A1784" s="122" t="s">
        <v>1556</v>
      </c>
      <c r="B1784" s="187"/>
      <c r="C1784" s="686"/>
      <c r="D1784" s="686">
        <v>0</v>
      </c>
      <c r="E1784" s="686">
        <v>0</v>
      </c>
      <c r="F1784" s="686">
        <v>0</v>
      </c>
      <c r="G1784" s="686">
        <v>0</v>
      </c>
      <c r="H1784" s="686">
        <v>0</v>
      </c>
      <c r="I1784" s="686">
        <v>0</v>
      </c>
      <c r="J1784" s="686">
        <v>0</v>
      </c>
      <c r="K1784" s="686">
        <v>0</v>
      </c>
      <c r="L1784" s="686">
        <v>0</v>
      </c>
      <c r="M1784" s="686">
        <v>0</v>
      </c>
      <c r="N1784" s="686">
        <v>0</v>
      </c>
      <c r="O1784" s="686">
        <v>0</v>
      </c>
      <c r="P1784" s="686">
        <v>0</v>
      </c>
      <c r="Q1784" s="686">
        <v>0</v>
      </c>
      <c r="R1784" s="686">
        <v>0</v>
      </c>
      <c r="S1784" s="686">
        <v>0</v>
      </c>
      <c r="T1784" s="686">
        <v>0</v>
      </c>
      <c r="U1784" s="686">
        <v>0</v>
      </c>
      <c r="V1784" s="686">
        <v>0</v>
      </c>
      <c r="W1784" s="686">
        <v>0</v>
      </c>
      <c r="X1784" s="686">
        <v>0</v>
      </c>
      <c r="Y1784" s="686">
        <v>0</v>
      </c>
      <c r="Z1784" s="686">
        <v>0</v>
      </c>
      <c r="AA1784" s="686">
        <v>0</v>
      </c>
      <c r="AB1784" s="686">
        <v>0</v>
      </c>
      <c r="AC1784" s="686">
        <v>0</v>
      </c>
      <c r="AD1784" s="686">
        <v>0</v>
      </c>
      <c r="AE1784" s="686">
        <v>0</v>
      </c>
      <c r="AF1784" s="686">
        <v>0</v>
      </c>
      <c r="AG1784" s="686">
        <v>0</v>
      </c>
      <c r="AH1784" s="686">
        <v>0</v>
      </c>
      <c r="AI1784" s="686">
        <v>0</v>
      </c>
      <c r="AJ1784" s="686">
        <v>0</v>
      </c>
      <c r="AK1784" s="686">
        <v>0</v>
      </c>
      <c r="AL1784" s="686">
        <v>0</v>
      </c>
      <c r="AM1784" s="686">
        <v>0</v>
      </c>
      <c r="AN1784" s="686">
        <v>0</v>
      </c>
      <c r="AO1784" s="686">
        <v>0</v>
      </c>
      <c r="AP1784" s="686">
        <v>0</v>
      </c>
      <c r="AQ1784" s="686">
        <v>0</v>
      </c>
      <c r="AR1784" s="686">
        <v>0</v>
      </c>
      <c r="AS1784" s="686">
        <v>0</v>
      </c>
      <c r="AT1784" s="686">
        <v>0</v>
      </c>
      <c r="AU1784" s="686">
        <v>0</v>
      </c>
      <c r="AV1784" s="686">
        <v>0</v>
      </c>
      <c r="AW1784" s="686">
        <v>0</v>
      </c>
      <c r="AX1784" s="686">
        <v>0</v>
      </c>
      <c r="AY1784" s="686">
        <v>0</v>
      </c>
      <c r="AZ1784" s="686">
        <v>0</v>
      </c>
      <c r="BA1784" s="686">
        <v>0</v>
      </c>
      <c r="BB1784" s="686">
        <v>0</v>
      </c>
      <c r="BC1784" s="686">
        <v>0</v>
      </c>
      <c r="BD1784" s="686">
        <v>0</v>
      </c>
      <c r="BE1784" s="686">
        <v>0</v>
      </c>
      <c r="BF1784" s="686">
        <v>0</v>
      </c>
      <c r="BG1784" s="686">
        <v>0</v>
      </c>
      <c r="BH1784" s="686">
        <v>0</v>
      </c>
      <c r="BI1784" s="687">
        <v>0</v>
      </c>
      <c r="BJ1784" s="686">
        <v>0</v>
      </c>
      <c r="BK1784" s="686">
        <v>0</v>
      </c>
      <c r="BL1784" s="686">
        <v>0</v>
      </c>
      <c r="BM1784" s="686">
        <v>0</v>
      </c>
      <c r="BN1784" s="686">
        <v>0</v>
      </c>
      <c r="BO1784" s="686">
        <v>0</v>
      </c>
      <c r="BP1784" s="686">
        <v>0</v>
      </c>
      <c r="BQ1784" s="686">
        <v>0</v>
      </c>
      <c r="BR1784" s="686">
        <v>0</v>
      </c>
      <c r="BS1784" s="686">
        <v>0</v>
      </c>
      <c r="BT1784" s="686">
        <v>0</v>
      </c>
      <c r="BU1784" s="686">
        <v>0</v>
      </c>
      <c r="BV1784" s="686">
        <v>0</v>
      </c>
      <c r="BW1784" s="122"/>
    </row>
    <row r="1785" spans="1:75" s="123" customFormat="1" x14ac:dyDescent="0.5">
      <c r="A1785" s="122" t="s">
        <v>1557</v>
      </c>
      <c r="B1785" s="187"/>
      <c r="C1785" s="686"/>
      <c r="D1785" s="686">
        <v>0</v>
      </c>
      <c r="E1785" s="686">
        <v>0</v>
      </c>
      <c r="F1785" s="686">
        <v>0</v>
      </c>
      <c r="G1785" s="686">
        <v>0</v>
      </c>
      <c r="H1785" s="686">
        <v>0</v>
      </c>
      <c r="I1785" s="686">
        <v>0</v>
      </c>
      <c r="J1785" s="686">
        <v>0</v>
      </c>
      <c r="K1785" s="686">
        <v>0</v>
      </c>
      <c r="L1785" s="686">
        <v>0</v>
      </c>
      <c r="M1785" s="686">
        <v>0</v>
      </c>
      <c r="N1785" s="686">
        <v>0</v>
      </c>
      <c r="O1785" s="686">
        <v>0</v>
      </c>
      <c r="P1785" s="686">
        <v>0</v>
      </c>
      <c r="Q1785" s="686">
        <v>0</v>
      </c>
      <c r="R1785" s="686">
        <v>0</v>
      </c>
      <c r="S1785" s="686">
        <v>0</v>
      </c>
      <c r="T1785" s="686">
        <v>0</v>
      </c>
      <c r="U1785" s="686">
        <v>0</v>
      </c>
      <c r="V1785" s="686">
        <v>0</v>
      </c>
      <c r="W1785" s="686">
        <v>0</v>
      </c>
      <c r="X1785" s="686">
        <v>0</v>
      </c>
      <c r="Y1785" s="686">
        <v>0</v>
      </c>
      <c r="Z1785" s="686">
        <v>0</v>
      </c>
      <c r="AA1785" s="686">
        <v>0</v>
      </c>
      <c r="AB1785" s="686">
        <v>0</v>
      </c>
      <c r="AC1785" s="686">
        <v>0</v>
      </c>
      <c r="AD1785" s="686">
        <v>0</v>
      </c>
      <c r="AE1785" s="686">
        <v>0</v>
      </c>
      <c r="AF1785" s="686">
        <v>0</v>
      </c>
      <c r="AG1785" s="686">
        <v>0</v>
      </c>
      <c r="AH1785" s="686">
        <v>0</v>
      </c>
      <c r="AI1785" s="686">
        <v>0</v>
      </c>
      <c r="AJ1785" s="686">
        <v>0</v>
      </c>
      <c r="AK1785" s="686">
        <v>0</v>
      </c>
      <c r="AL1785" s="686">
        <v>0</v>
      </c>
      <c r="AM1785" s="686">
        <v>0</v>
      </c>
      <c r="AN1785" s="686">
        <v>0</v>
      </c>
      <c r="AO1785" s="686">
        <v>0</v>
      </c>
      <c r="AP1785" s="686">
        <v>0</v>
      </c>
      <c r="AQ1785" s="686">
        <v>0</v>
      </c>
      <c r="AR1785" s="686">
        <v>0</v>
      </c>
      <c r="AS1785" s="686">
        <v>0</v>
      </c>
      <c r="AT1785" s="686">
        <v>0</v>
      </c>
      <c r="AU1785" s="686">
        <v>0</v>
      </c>
      <c r="AV1785" s="686">
        <v>0</v>
      </c>
      <c r="AW1785" s="686">
        <v>0</v>
      </c>
      <c r="AX1785" s="686">
        <v>0</v>
      </c>
      <c r="AY1785" s="686">
        <v>0</v>
      </c>
      <c r="AZ1785" s="686">
        <v>0</v>
      </c>
      <c r="BA1785" s="686">
        <v>0</v>
      </c>
      <c r="BB1785" s="686">
        <v>0</v>
      </c>
      <c r="BC1785" s="686">
        <v>0</v>
      </c>
      <c r="BD1785" s="686">
        <v>0</v>
      </c>
      <c r="BE1785" s="686">
        <v>0</v>
      </c>
      <c r="BF1785" s="686">
        <v>0</v>
      </c>
      <c r="BG1785" s="686">
        <v>0</v>
      </c>
      <c r="BH1785" s="686">
        <v>0</v>
      </c>
      <c r="BI1785" s="687">
        <v>0</v>
      </c>
      <c r="BJ1785" s="686">
        <v>0</v>
      </c>
      <c r="BK1785" s="686">
        <v>0</v>
      </c>
      <c r="BL1785" s="686">
        <v>0</v>
      </c>
      <c r="BM1785" s="686">
        <v>0</v>
      </c>
      <c r="BN1785" s="686">
        <v>0</v>
      </c>
      <c r="BO1785" s="686">
        <v>0</v>
      </c>
      <c r="BP1785" s="686">
        <v>0</v>
      </c>
      <c r="BQ1785" s="686">
        <v>0</v>
      </c>
      <c r="BR1785" s="686">
        <v>0</v>
      </c>
      <c r="BS1785" s="686">
        <v>0</v>
      </c>
      <c r="BT1785" s="686">
        <v>0</v>
      </c>
      <c r="BU1785" s="686">
        <v>0</v>
      </c>
      <c r="BV1785" s="686">
        <v>0</v>
      </c>
      <c r="BW1785" s="122"/>
    </row>
    <row r="1786" spans="1:75" s="123" customFormat="1" x14ac:dyDescent="0.5">
      <c r="A1786" s="122" t="s">
        <v>1558</v>
      </c>
      <c r="B1786" s="187"/>
      <c r="C1786" s="686"/>
      <c r="D1786" s="686">
        <v>0</v>
      </c>
      <c r="E1786" s="686">
        <v>0</v>
      </c>
      <c r="F1786" s="686">
        <v>0</v>
      </c>
      <c r="G1786" s="686">
        <v>0</v>
      </c>
      <c r="H1786" s="686">
        <v>0</v>
      </c>
      <c r="I1786" s="686">
        <v>0</v>
      </c>
      <c r="J1786" s="686">
        <v>0</v>
      </c>
      <c r="K1786" s="686">
        <v>0</v>
      </c>
      <c r="L1786" s="686">
        <v>0</v>
      </c>
      <c r="M1786" s="686">
        <v>0</v>
      </c>
      <c r="N1786" s="686">
        <v>0</v>
      </c>
      <c r="O1786" s="686">
        <v>0</v>
      </c>
      <c r="P1786" s="686">
        <v>0</v>
      </c>
      <c r="Q1786" s="686">
        <v>0</v>
      </c>
      <c r="R1786" s="686">
        <v>0</v>
      </c>
      <c r="S1786" s="686">
        <v>0</v>
      </c>
      <c r="T1786" s="686">
        <v>0</v>
      </c>
      <c r="U1786" s="686">
        <v>0</v>
      </c>
      <c r="V1786" s="686">
        <v>0</v>
      </c>
      <c r="W1786" s="686">
        <v>0</v>
      </c>
      <c r="X1786" s="686">
        <v>0</v>
      </c>
      <c r="Y1786" s="686">
        <v>0</v>
      </c>
      <c r="Z1786" s="686">
        <v>0</v>
      </c>
      <c r="AA1786" s="686">
        <v>0</v>
      </c>
      <c r="AB1786" s="686">
        <v>0</v>
      </c>
      <c r="AC1786" s="686">
        <v>0</v>
      </c>
      <c r="AD1786" s="686">
        <v>0</v>
      </c>
      <c r="AE1786" s="686">
        <v>0</v>
      </c>
      <c r="AF1786" s="686">
        <v>0</v>
      </c>
      <c r="AG1786" s="686">
        <v>0</v>
      </c>
      <c r="AH1786" s="686">
        <v>0</v>
      </c>
      <c r="AI1786" s="686">
        <v>0</v>
      </c>
      <c r="AJ1786" s="686">
        <v>0</v>
      </c>
      <c r="AK1786" s="686">
        <v>0</v>
      </c>
      <c r="AL1786" s="686">
        <v>0</v>
      </c>
      <c r="AM1786" s="686">
        <v>0</v>
      </c>
      <c r="AN1786" s="686">
        <v>0</v>
      </c>
      <c r="AO1786" s="686">
        <v>0</v>
      </c>
      <c r="AP1786" s="686">
        <v>0</v>
      </c>
      <c r="AQ1786" s="686">
        <v>0</v>
      </c>
      <c r="AR1786" s="686">
        <v>0</v>
      </c>
      <c r="AS1786" s="686">
        <v>0</v>
      </c>
      <c r="AT1786" s="686">
        <v>0</v>
      </c>
      <c r="AU1786" s="686">
        <v>0</v>
      </c>
      <c r="AV1786" s="686">
        <v>0</v>
      </c>
      <c r="AW1786" s="686">
        <v>0</v>
      </c>
      <c r="AX1786" s="686">
        <v>0</v>
      </c>
      <c r="AY1786" s="686">
        <v>0</v>
      </c>
      <c r="AZ1786" s="686">
        <v>0</v>
      </c>
      <c r="BA1786" s="686">
        <v>0</v>
      </c>
      <c r="BB1786" s="686">
        <v>0</v>
      </c>
      <c r="BC1786" s="686">
        <v>0</v>
      </c>
      <c r="BD1786" s="686">
        <v>0</v>
      </c>
      <c r="BE1786" s="686">
        <v>0</v>
      </c>
      <c r="BF1786" s="686">
        <v>0</v>
      </c>
      <c r="BG1786" s="686">
        <v>0</v>
      </c>
      <c r="BH1786" s="686">
        <v>0</v>
      </c>
      <c r="BI1786" s="687">
        <v>0</v>
      </c>
      <c r="BJ1786" s="686">
        <v>0</v>
      </c>
      <c r="BK1786" s="686">
        <v>0</v>
      </c>
      <c r="BL1786" s="686">
        <v>0</v>
      </c>
      <c r="BM1786" s="686">
        <v>0</v>
      </c>
      <c r="BN1786" s="686">
        <v>0</v>
      </c>
      <c r="BO1786" s="686">
        <v>0</v>
      </c>
      <c r="BP1786" s="686">
        <v>0</v>
      </c>
      <c r="BQ1786" s="686">
        <v>0</v>
      </c>
      <c r="BR1786" s="686">
        <v>0</v>
      </c>
      <c r="BS1786" s="686">
        <v>0</v>
      </c>
      <c r="BT1786" s="686">
        <v>0</v>
      </c>
      <c r="BU1786" s="686">
        <v>0</v>
      </c>
      <c r="BV1786" s="686">
        <v>0</v>
      </c>
      <c r="BW1786" s="122"/>
    </row>
    <row r="1787" spans="1:75" s="123" customFormat="1" x14ac:dyDescent="0.5">
      <c r="A1787" s="122" t="s">
        <v>1559</v>
      </c>
      <c r="B1787" s="187"/>
      <c r="C1787" s="686"/>
      <c r="D1787" s="686">
        <v>0</v>
      </c>
      <c r="E1787" s="686">
        <v>0</v>
      </c>
      <c r="F1787" s="686">
        <v>0</v>
      </c>
      <c r="G1787" s="686">
        <v>0</v>
      </c>
      <c r="H1787" s="686">
        <v>0</v>
      </c>
      <c r="I1787" s="686">
        <v>0</v>
      </c>
      <c r="J1787" s="686">
        <v>0</v>
      </c>
      <c r="K1787" s="686">
        <v>0</v>
      </c>
      <c r="L1787" s="686">
        <v>0</v>
      </c>
      <c r="M1787" s="686">
        <v>0</v>
      </c>
      <c r="N1787" s="686">
        <v>0</v>
      </c>
      <c r="O1787" s="686">
        <v>0</v>
      </c>
      <c r="P1787" s="686">
        <v>0</v>
      </c>
      <c r="Q1787" s="686">
        <v>0</v>
      </c>
      <c r="R1787" s="686">
        <v>0</v>
      </c>
      <c r="S1787" s="686">
        <v>0</v>
      </c>
      <c r="T1787" s="686">
        <v>0</v>
      </c>
      <c r="U1787" s="686">
        <v>0</v>
      </c>
      <c r="V1787" s="686">
        <v>0</v>
      </c>
      <c r="W1787" s="686">
        <v>0</v>
      </c>
      <c r="X1787" s="686">
        <v>0</v>
      </c>
      <c r="Y1787" s="686">
        <v>0</v>
      </c>
      <c r="Z1787" s="686">
        <v>0</v>
      </c>
      <c r="AA1787" s="686">
        <v>0</v>
      </c>
      <c r="AB1787" s="686">
        <v>0</v>
      </c>
      <c r="AC1787" s="686">
        <v>0</v>
      </c>
      <c r="AD1787" s="686">
        <v>0</v>
      </c>
      <c r="AE1787" s="686">
        <v>0</v>
      </c>
      <c r="AF1787" s="686">
        <v>0</v>
      </c>
      <c r="AG1787" s="686">
        <v>0</v>
      </c>
      <c r="AH1787" s="686">
        <v>0</v>
      </c>
      <c r="AI1787" s="686">
        <v>0</v>
      </c>
      <c r="AJ1787" s="686">
        <v>0</v>
      </c>
      <c r="AK1787" s="686">
        <v>0</v>
      </c>
      <c r="AL1787" s="686">
        <v>0</v>
      </c>
      <c r="AM1787" s="686">
        <v>0</v>
      </c>
      <c r="AN1787" s="686">
        <v>0</v>
      </c>
      <c r="AO1787" s="686">
        <v>0</v>
      </c>
      <c r="AP1787" s="686">
        <v>0</v>
      </c>
      <c r="AQ1787" s="686">
        <v>0</v>
      </c>
      <c r="AR1787" s="686">
        <v>0</v>
      </c>
      <c r="AS1787" s="686">
        <v>0</v>
      </c>
      <c r="AT1787" s="686">
        <v>0</v>
      </c>
      <c r="AU1787" s="686">
        <v>0</v>
      </c>
      <c r="AV1787" s="686">
        <v>0</v>
      </c>
      <c r="AW1787" s="686">
        <v>0</v>
      </c>
      <c r="AX1787" s="686">
        <v>0</v>
      </c>
      <c r="AY1787" s="686">
        <v>0</v>
      </c>
      <c r="AZ1787" s="686">
        <v>0</v>
      </c>
      <c r="BA1787" s="686">
        <v>0</v>
      </c>
      <c r="BB1787" s="686">
        <v>0</v>
      </c>
      <c r="BC1787" s="686">
        <v>0</v>
      </c>
      <c r="BD1787" s="686">
        <v>0</v>
      </c>
      <c r="BE1787" s="686">
        <v>0</v>
      </c>
      <c r="BF1787" s="686">
        <v>0</v>
      </c>
      <c r="BG1787" s="686">
        <v>0</v>
      </c>
      <c r="BH1787" s="686">
        <v>0</v>
      </c>
      <c r="BI1787" s="687">
        <v>0</v>
      </c>
      <c r="BJ1787" s="686">
        <v>0</v>
      </c>
      <c r="BK1787" s="686">
        <v>0</v>
      </c>
      <c r="BL1787" s="686">
        <v>0</v>
      </c>
      <c r="BM1787" s="686">
        <v>0</v>
      </c>
      <c r="BN1787" s="686">
        <v>0</v>
      </c>
      <c r="BO1787" s="686">
        <v>0</v>
      </c>
      <c r="BP1787" s="686">
        <v>0</v>
      </c>
      <c r="BQ1787" s="686">
        <v>0</v>
      </c>
      <c r="BR1787" s="686">
        <v>0</v>
      </c>
      <c r="BS1787" s="686">
        <v>0</v>
      </c>
      <c r="BT1787" s="686">
        <v>0</v>
      </c>
      <c r="BU1787" s="686">
        <v>0</v>
      </c>
      <c r="BV1787" s="686">
        <v>0</v>
      </c>
      <c r="BW1787" s="122"/>
    </row>
    <row r="1788" spans="1:75" s="123" customFormat="1" x14ac:dyDescent="0.5">
      <c r="A1788" s="122" t="s">
        <v>1560</v>
      </c>
      <c r="B1788" s="187"/>
      <c r="C1788" s="686"/>
      <c r="D1788" s="686">
        <v>0</v>
      </c>
      <c r="E1788" s="686">
        <v>0</v>
      </c>
      <c r="F1788" s="686">
        <v>0</v>
      </c>
      <c r="G1788" s="686">
        <v>0</v>
      </c>
      <c r="H1788" s="686">
        <v>0</v>
      </c>
      <c r="I1788" s="686">
        <v>0</v>
      </c>
      <c r="J1788" s="686">
        <v>0</v>
      </c>
      <c r="K1788" s="686">
        <v>0</v>
      </c>
      <c r="L1788" s="686">
        <v>0</v>
      </c>
      <c r="M1788" s="686">
        <v>0</v>
      </c>
      <c r="N1788" s="686">
        <v>0</v>
      </c>
      <c r="O1788" s="686">
        <v>0</v>
      </c>
      <c r="P1788" s="686">
        <v>0</v>
      </c>
      <c r="Q1788" s="686">
        <v>0</v>
      </c>
      <c r="R1788" s="686">
        <v>0</v>
      </c>
      <c r="S1788" s="686">
        <v>0</v>
      </c>
      <c r="T1788" s="686">
        <v>0</v>
      </c>
      <c r="U1788" s="686">
        <v>0</v>
      </c>
      <c r="V1788" s="686">
        <v>0</v>
      </c>
      <c r="W1788" s="686">
        <v>0</v>
      </c>
      <c r="X1788" s="686">
        <v>0</v>
      </c>
      <c r="Y1788" s="686">
        <v>0</v>
      </c>
      <c r="Z1788" s="686">
        <v>0</v>
      </c>
      <c r="AA1788" s="686">
        <v>0</v>
      </c>
      <c r="AB1788" s="686">
        <v>0</v>
      </c>
      <c r="AC1788" s="686">
        <v>0</v>
      </c>
      <c r="AD1788" s="686">
        <v>0</v>
      </c>
      <c r="AE1788" s="686">
        <v>0</v>
      </c>
      <c r="AF1788" s="686">
        <v>0</v>
      </c>
      <c r="AG1788" s="686">
        <v>0</v>
      </c>
      <c r="AH1788" s="686">
        <v>0</v>
      </c>
      <c r="AI1788" s="686">
        <v>0</v>
      </c>
      <c r="AJ1788" s="686">
        <v>0</v>
      </c>
      <c r="AK1788" s="686">
        <v>0</v>
      </c>
      <c r="AL1788" s="686">
        <v>0</v>
      </c>
      <c r="AM1788" s="686">
        <v>0</v>
      </c>
      <c r="AN1788" s="686">
        <v>0</v>
      </c>
      <c r="AO1788" s="686">
        <v>0</v>
      </c>
      <c r="AP1788" s="686">
        <v>0</v>
      </c>
      <c r="AQ1788" s="686">
        <v>0</v>
      </c>
      <c r="AR1788" s="686">
        <v>0</v>
      </c>
      <c r="AS1788" s="686">
        <v>0</v>
      </c>
      <c r="AT1788" s="686">
        <v>0</v>
      </c>
      <c r="AU1788" s="686">
        <v>0</v>
      </c>
      <c r="AV1788" s="686">
        <v>0</v>
      </c>
      <c r="AW1788" s="686">
        <v>0</v>
      </c>
      <c r="AX1788" s="686">
        <v>0</v>
      </c>
      <c r="AY1788" s="686">
        <v>0</v>
      </c>
      <c r="AZ1788" s="686">
        <v>0</v>
      </c>
      <c r="BA1788" s="686">
        <v>0</v>
      </c>
      <c r="BB1788" s="686">
        <v>0</v>
      </c>
      <c r="BC1788" s="686">
        <v>0</v>
      </c>
      <c r="BD1788" s="686">
        <v>0</v>
      </c>
      <c r="BE1788" s="686">
        <v>0</v>
      </c>
      <c r="BF1788" s="686">
        <v>0</v>
      </c>
      <c r="BG1788" s="686">
        <v>0</v>
      </c>
      <c r="BH1788" s="686">
        <v>0</v>
      </c>
      <c r="BI1788" s="687">
        <v>0</v>
      </c>
      <c r="BJ1788" s="686">
        <v>0</v>
      </c>
      <c r="BK1788" s="686">
        <v>0</v>
      </c>
      <c r="BL1788" s="686">
        <v>0</v>
      </c>
      <c r="BM1788" s="686">
        <v>0</v>
      </c>
      <c r="BN1788" s="686">
        <v>0</v>
      </c>
      <c r="BO1788" s="686">
        <v>0</v>
      </c>
      <c r="BP1788" s="686">
        <v>0</v>
      </c>
      <c r="BQ1788" s="686">
        <v>0</v>
      </c>
      <c r="BR1788" s="686">
        <v>0</v>
      </c>
      <c r="BS1788" s="686">
        <v>0</v>
      </c>
      <c r="BT1788" s="686">
        <v>0</v>
      </c>
      <c r="BU1788" s="686">
        <v>0</v>
      </c>
      <c r="BV1788" s="686">
        <v>0</v>
      </c>
      <c r="BW1788" s="122"/>
    </row>
    <row r="1789" spans="1:75" s="123" customFormat="1" x14ac:dyDescent="0.5">
      <c r="A1789" s="122" t="s">
        <v>1561</v>
      </c>
      <c r="B1789" s="187"/>
      <c r="C1789" s="686"/>
      <c r="D1789" s="686">
        <v>0</v>
      </c>
      <c r="E1789" s="686">
        <v>0</v>
      </c>
      <c r="F1789" s="686">
        <v>0</v>
      </c>
      <c r="G1789" s="686">
        <v>0</v>
      </c>
      <c r="H1789" s="686">
        <v>0</v>
      </c>
      <c r="I1789" s="686">
        <v>0</v>
      </c>
      <c r="J1789" s="686">
        <v>0</v>
      </c>
      <c r="K1789" s="686">
        <v>0</v>
      </c>
      <c r="L1789" s="686">
        <v>0</v>
      </c>
      <c r="M1789" s="686">
        <v>0</v>
      </c>
      <c r="N1789" s="686">
        <v>0</v>
      </c>
      <c r="O1789" s="686">
        <v>0</v>
      </c>
      <c r="P1789" s="686">
        <v>0</v>
      </c>
      <c r="Q1789" s="686">
        <v>0</v>
      </c>
      <c r="R1789" s="686">
        <v>0</v>
      </c>
      <c r="S1789" s="686">
        <v>0</v>
      </c>
      <c r="T1789" s="686">
        <v>0</v>
      </c>
      <c r="U1789" s="686">
        <v>0</v>
      </c>
      <c r="V1789" s="686">
        <v>0</v>
      </c>
      <c r="W1789" s="686">
        <v>0</v>
      </c>
      <c r="X1789" s="686">
        <v>0</v>
      </c>
      <c r="Y1789" s="686">
        <v>0</v>
      </c>
      <c r="Z1789" s="686">
        <v>0</v>
      </c>
      <c r="AA1789" s="686">
        <v>0</v>
      </c>
      <c r="AB1789" s="686">
        <v>0</v>
      </c>
      <c r="AC1789" s="686">
        <v>0</v>
      </c>
      <c r="AD1789" s="686">
        <v>0</v>
      </c>
      <c r="AE1789" s="686">
        <v>0</v>
      </c>
      <c r="AF1789" s="686">
        <v>0</v>
      </c>
      <c r="AG1789" s="686">
        <v>0</v>
      </c>
      <c r="AH1789" s="686">
        <v>0</v>
      </c>
      <c r="AI1789" s="686">
        <v>0</v>
      </c>
      <c r="AJ1789" s="686">
        <v>0</v>
      </c>
      <c r="AK1789" s="686">
        <v>0</v>
      </c>
      <c r="AL1789" s="686">
        <v>0</v>
      </c>
      <c r="AM1789" s="686">
        <v>0</v>
      </c>
      <c r="AN1789" s="686">
        <v>0</v>
      </c>
      <c r="AO1789" s="686">
        <v>0</v>
      </c>
      <c r="AP1789" s="686">
        <v>0</v>
      </c>
      <c r="AQ1789" s="686">
        <v>0</v>
      </c>
      <c r="AR1789" s="686">
        <v>0</v>
      </c>
      <c r="AS1789" s="686">
        <v>0</v>
      </c>
      <c r="AT1789" s="686">
        <v>0</v>
      </c>
      <c r="AU1789" s="686">
        <v>0</v>
      </c>
      <c r="AV1789" s="686">
        <v>0</v>
      </c>
      <c r="AW1789" s="686">
        <v>0</v>
      </c>
      <c r="AX1789" s="686">
        <v>0</v>
      </c>
      <c r="AY1789" s="686">
        <v>0</v>
      </c>
      <c r="AZ1789" s="686">
        <v>0</v>
      </c>
      <c r="BA1789" s="686">
        <v>0</v>
      </c>
      <c r="BB1789" s="686">
        <v>0</v>
      </c>
      <c r="BC1789" s="686">
        <v>0</v>
      </c>
      <c r="BD1789" s="686">
        <v>0</v>
      </c>
      <c r="BE1789" s="686">
        <v>0</v>
      </c>
      <c r="BF1789" s="686">
        <v>0</v>
      </c>
      <c r="BG1789" s="686">
        <v>0</v>
      </c>
      <c r="BH1789" s="686">
        <v>0</v>
      </c>
      <c r="BI1789" s="687">
        <v>0</v>
      </c>
      <c r="BJ1789" s="686">
        <v>0</v>
      </c>
      <c r="BK1789" s="686">
        <v>0</v>
      </c>
      <c r="BL1789" s="686">
        <v>0</v>
      </c>
      <c r="BM1789" s="686">
        <v>0</v>
      </c>
      <c r="BN1789" s="686">
        <v>0</v>
      </c>
      <c r="BO1789" s="686">
        <v>0</v>
      </c>
      <c r="BP1789" s="686">
        <v>0</v>
      </c>
      <c r="BQ1789" s="686">
        <v>0</v>
      </c>
      <c r="BR1789" s="686">
        <v>0</v>
      </c>
      <c r="BS1789" s="686">
        <v>0</v>
      </c>
      <c r="BT1789" s="686">
        <v>0</v>
      </c>
      <c r="BU1789" s="686">
        <v>0</v>
      </c>
      <c r="BV1789" s="686">
        <v>0</v>
      </c>
      <c r="BW1789" s="122"/>
    </row>
    <row r="1790" spans="1:75" s="123" customFormat="1" x14ac:dyDescent="0.5">
      <c r="A1790" s="122" t="s">
        <v>1562</v>
      </c>
      <c r="B1790" s="187"/>
      <c r="C1790" s="686"/>
      <c r="D1790" s="686">
        <v>0</v>
      </c>
      <c r="E1790" s="686">
        <v>0</v>
      </c>
      <c r="F1790" s="686">
        <v>0</v>
      </c>
      <c r="G1790" s="686">
        <v>0</v>
      </c>
      <c r="H1790" s="686">
        <v>0</v>
      </c>
      <c r="I1790" s="686">
        <v>0</v>
      </c>
      <c r="J1790" s="686">
        <v>0</v>
      </c>
      <c r="K1790" s="686">
        <v>0</v>
      </c>
      <c r="L1790" s="686">
        <v>0</v>
      </c>
      <c r="M1790" s="686">
        <v>0</v>
      </c>
      <c r="N1790" s="686">
        <v>0</v>
      </c>
      <c r="O1790" s="686">
        <v>0</v>
      </c>
      <c r="P1790" s="686">
        <v>0</v>
      </c>
      <c r="Q1790" s="686">
        <v>0</v>
      </c>
      <c r="R1790" s="686">
        <v>0</v>
      </c>
      <c r="S1790" s="686">
        <v>0</v>
      </c>
      <c r="T1790" s="686">
        <v>0</v>
      </c>
      <c r="U1790" s="686">
        <v>0</v>
      </c>
      <c r="V1790" s="686">
        <v>0</v>
      </c>
      <c r="W1790" s="686">
        <v>0</v>
      </c>
      <c r="X1790" s="686">
        <v>0</v>
      </c>
      <c r="Y1790" s="686">
        <v>0</v>
      </c>
      <c r="Z1790" s="686">
        <v>0</v>
      </c>
      <c r="AA1790" s="686">
        <v>0</v>
      </c>
      <c r="AB1790" s="686">
        <v>0</v>
      </c>
      <c r="AC1790" s="686">
        <v>0</v>
      </c>
      <c r="AD1790" s="686">
        <v>0</v>
      </c>
      <c r="AE1790" s="686">
        <v>0</v>
      </c>
      <c r="AF1790" s="686">
        <v>0</v>
      </c>
      <c r="AG1790" s="686">
        <v>0</v>
      </c>
      <c r="AH1790" s="686">
        <v>0</v>
      </c>
      <c r="AI1790" s="686">
        <v>0</v>
      </c>
      <c r="AJ1790" s="686">
        <v>0</v>
      </c>
      <c r="AK1790" s="686">
        <v>0</v>
      </c>
      <c r="AL1790" s="686">
        <v>0</v>
      </c>
      <c r="AM1790" s="686">
        <v>0</v>
      </c>
      <c r="AN1790" s="686">
        <v>0</v>
      </c>
      <c r="AO1790" s="686">
        <v>0</v>
      </c>
      <c r="AP1790" s="686">
        <v>0</v>
      </c>
      <c r="AQ1790" s="686">
        <v>0</v>
      </c>
      <c r="AR1790" s="686">
        <v>0</v>
      </c>
      <c r="AS1790" s="686">
        <v>0</v>
      </c>
      <c r="AT1790" s="686">
        <v>0</v>
      </c>
      <c r="AU1790" s="686">
        <v>0</v>
      </c>
      <c r="AV1790" s="686">
        <v>0</v>
      </c>
      <c r="AW1790" s="686">
        <v>0</v>
      </c>
      <c r="AX1790" s="686">
        <v>0</v>
      </c>
      <c r="AY1790" s="686">
        <v>0</v>
      </c>
      <c r="AZ1790" s="686">
        <v>0</v>
      </c>
      <c r="BA1790" s="686">
        <v>0</v>
      </c>
      <c r="BB1790" s="686">
        <v>0</v>
      </c>
      <c r="BC1790" s="686">
        <v>0</v>
      </c>
      <c r="BD1790" s="686">
        <v>0</v>
      </c>
      <c r="BE1790" s="686">
        <v>0</v>
      </c>
      <c r="BF1790" s="686">
        <v>0</v>
      </c>
      <c r="BG1790" s="686">
        <v>0</v>
      </c>
      <c r="BH1790" s="686">
        <v>0</v>
      </c>
      <c r="BI1790" s="687">
        <v>0</v>
      </c>
      <c r="BJ1790" s="686"/>
      <c r="BK1790" s="686"/>
      <c r="BL1790" s="686"/>
      <c r="BM1790" s="686"/>
      <c r="BN1790" s="686"/>
      <c r="BO1790" s="686"/>
      <c r="BP1790" s="686"/>
      <c r="BQ1790" s="686"/>
      <c r="BR1790" s="686"/>
      <c r="BS1790" s="686"/>
      <c r="BT1790" s="686"/>
      <c r="BU1790" s="686"/>
      <c r="BV1790" s="686"/>
      <c r="BW1790" s="122"/>
    </row>
    <row r="1791" spans="1:75" s="123" customFormat="1" x14ac:dyDescent="0.5">
      <c r="A1791" s="122" t="s">
        <v>1563</v>
      </c>
      <c r="B1791" s="187"/>
      <c r="C1791" s="686"/>
      <c r="D1791" s="686"/>
      <c r="E1791" s="686">
        <v>0</v>
      </c>
      <c r="F1791" s="686">
        <v>0</v>
      </c>
      <c r="G1791" s="686"/>
      <c r="H1791" s="686"/>
      <c r="I1791" s="686"/>
      <c r="J1791" s="686"/>
      <c r="K1791" s="686">
        <v>0</v>
      </c>
      <c r="L1791" s="686">
        <v>0</v>
      </c>
      <c r="M1791" s="686">
        <v>0</v>
      </c>
      <c r="N1791" s="686">
        <v>0</v>
      </c>
      <c r="O1791" s="686">
        <v>0</v>
      </c>
      <c r="P1791" s="686">
        <v>0</v>
      </c>
      <c r="Q1791" s="686">
        <v>0</v>
      </c>
      <c r="R1791" s="686">
        <v>0</v>
      </c>
      <c r="S1791" s="686">
        <v>0</v>
      </c>
      <c r="T1791" s="686">
        <v>0</v>
      </c>
      <c r="U1791" s="686">
        <v>0</v>
      </c>
      <c r="V1791" s="686">
        <v>0</v>
      </c>
      <c r="W1791" s="686">
        <v>0</v>
      </c>
      <c r="X1791" s="686">
        <v>0</v>
      </c>
      <c r="Y1791" s="686">
        <v>0</v>
      </c>
      <c r="Z1791" s="686">
        <v>0</v>
      </c>
      <c r="AA1791" s="686">
        <v>0</v>
      </c>
      <c r="AB1791" s="686">
        <v>0</v>
      </c>
      <c r="AC1791" s="686">
        <v>0</v>
      </c>
      <c r="AD1791" s="686">
        <v>0</v>
      </c>
      <c r="AE1791" s="686">
        <v>0</v>
      </c>
      <c r="AF1791" s="686">
        <v>0</v>
      </c>
      <c r="AG1791" s="686">
        <v>0</v>
      </c>
      <c r="AH1791" s="686">
        <v>0</v>
      </c>
      <c r="AI1791" s="686">
        <v>0</v>
      </c>
      <c r="AJ1791" s="686">
        <v>0</v>
      </c>
      <c r="AK1791" s="686"/>
      <c r="AL1791" s="686"/>
      <c r="AM1791" s="686"/>
      <c r="AN1791" s="686"/>
      <c r="AO1791" s="686"/>
      <c r="AP1791" s="686"/>
      <c r="AQ1791" s="686"/>
      <c r="AR1791" s="686"/>
      <c r="AS1791" s="686"/>
      <c r="AT1791" s="686"/>
      <c r="AU1791" s="686"/>
      <c r="AV1791" s="686"/>
      <c r="AW1791" s="686"/>
      <c r="AX1791" s="686"/>
      <c r="AY1791" s="686"/>
      <c r="AZ1791" s="686"/>
      <c r="BA1791" s="686"/>
      <c r="BB1791" s="686"/>
      <c r="BC1791" s="686"/>
      <c r="BD1791" s="686"/>
      <c r="BE1791" s="686"/>
      <c r="BF1791" s="686"/>
      <c r="BG1791" s="686"/>
      <c r="BH1791" s="686"/>
      <c r="BI1791" s="687"/>
      <c r="BJ1791" s="686"/>
      <c r="BK1791" s="686"/>
      <c r="BL1791" s="686"/>
      <c r="BM1791" s="686"/>
      <c r="BN1791" s="686"/>
      <c r="BO1791" s="686"/>
      <c r="BP1791" s="686"/>
      <c r="BQ1791" s="686"/>
      <c r="BR1791" s="686"/>
      <c r="BS1791" s="686"/>
      <c r="BT1791" s="686"/>
      <c r="BU1791" s="686"/>
      <c r="BV1791" s="686"/>
      <c r="BW1791" s="122"/>
    </row>
    <row r="1792" spans="1:75" s="123" customFormat="1" x14ac:dyDescent="0.5">
      <c r="A1792" s="122" t="s">
        <v>1564</v>
      </c>
      <c r="B1792" s="187"/>
      <c r="C1792" s="686"/>
      <c r="D1792" s="686">
        <v>0</v>
      </c>
      <c r="E1792" s="686">
        <v>0</v>
      </c>
      <c r="F1792" s="686">
        <v>0</v>
      </c>
      <c r="G1792" s="686">
        <v>0</v>
      </c>
      <c r="H1792" s="686">
        <v>0</v>
      </c>
      <c r="I1792" s="686">
        <v>0</v>
      </c>
      <c r="J1792" s="686">
        <v>0</v>
      </c>
      <c r="K1792" s="686">
        <v>0</v>
      </c>
      <c r="L1792" s="686">
        <v>0</v>
      </c>
      <c r="M1792" s="686">
        <v>0</v>
      </c>
      <c r="N1792" s="686">
        <v>0</v>
      </c>
      <c r="O1792" s="686">
        <v>0</v>
      </c>
      <c r="P1792" s="686">
        <v>0</v>
      </c>
      <c r="Q1792" s="686">
        <v>0</v>
      </c>
      <c r="R1792" s="686">
        <v>0</v>
      </c>
      <c r="S1792" s="686">
        <v>0</v>
      </c>
      <c r="T1792" s="686">
        <v>0</v>
      </c>
      <c r="U1792" s="686">
        <v>0</v>
      </c>
      <c r="V1792" s="686">
        <v>0</v>
      </c>
      <c r="W1792" s="686">
        <v>0</v>
      </c>
      <c r="X1792" s="686">
        <v>0</v>
      </c>
      <c r="Y1792" s="686">
        <v>0</v>
      </c>
      <c r="Z1792" s="686">
        <v>0</v>
      </c>
      <c r="AA1792" s="686">
        <v>0</v>
      </c>
      <c r="AB1792" s="686">
        <v>0</v>
      </c>
      <c r="AC1792" s="686">
        <v>0</v>
      </c>
      <c r="AD1792" s="686">
        <v>0</v>
      </c>
      <c r="AE1792" s="686">
        <v>0</v>
      </c>
      <c r="AF1792" s="686">
        <v>0</v>
      </c>
      <c r="AG1792" s="686">
        <v>0</v>
      </c>
      <c r="AH1792" s="686">
        <v>0</v>
      </c>
      <c r="AI1792" s="686">
        <v>0</v>
      </c>
      <c r="AJ1792" s="686">
        <v>0</v>
      </c>
      <c r="AK1792" s="686">
        <v>0</v>
      </c>
      <c r="AL1792" s="686">
        <v>0</v>
      </c>
      <c r="AM1792" s="686">
        <v>0</v>
      </c>
      <c r="AN1792" s="686">
        <v>0</v>
      </c>
      <c r="AO1792" s="686">
        <v>0</v>
      </c>
      <c r="AP1792" s="686">
        <v>0</v>
      </c>
      <c r="AQ1792" s="686">
        <v>0</v>
      </c>
      <c r="AR1792" s="686">
        <v>0</v>
      </c>
      <c r="AS1792" s="686">
        <v>0</v>
      </c>
      <c r="AT1792" s="686">
        <v>0</v>
      </c>
      <c r="AU1792" s="686">
        <v>0</v>
      </c>
      <c r="AV1792" s="686">
        <v>0</v>
      </c>
      <c r="AW1792" s="686">
        <v>0</v>
      </c>
      <c r="AX1792" s="686">
        <v>0</v>
      </c>
      <c r="AY1792" s="686">
        <v>0</v>
      </c>
      <c r="AZ1792" s="686">
        <v>0</v>
      </c>
      <c r="BA1792" s="686">
        <v>0</v>
      </c>
      <c r="BB1792" s="686">
        <v>0</v>
      </c>
      <c r="BC1792" s="686">
        <v>0</v>
      </c>
      <c r="BD1792" s="686">
        <v>0</v>
      </c>
      <c r="BE1792" s="686">
        <v>0</v>
      </c>
      <c r="BF1792" s="686">
        <v>0</v>
      </c>
      <c r="BG1792" s="686">
        <v>0</v>
      </c>
      <c r="BH1792" s="686">
        <v>0</v>
      </c>
      <c r="BI1792" s="687">
        <v>0</v>
      </c>
      <c r="BJ1792" s="686"/>
      <c r="BK1792" s="686"/>
      <c r="BL1792" s="686"/>
      <c r="BM1792" s="686"/>
      <c r="BN1792" s="686"/>
      <c r="BO1792" s="686"/>
      <c r="BP1792" s="686"/>
      <c r="BQ1792" s="686"/>
      <c r="BR1792" s="686"/>
      <c r="BS1792" s="686"/>
      <c r="BT1792" s="686"/>
      <c r="BU1792" s="686"/>
      <c r="BV1792" s="686"/>
      <c r="BW1792" s="122"/>
    </row>
    <row r="1793" spans="1:75" s="123" customFormat="1" x14ac:dyDescent="0.5">
      <c r="A1793" s="122" t="s">
        <v>1565</v>
      </c>
      <c r="B1793" s="187"/>
      <c r="C1793" s="686"/>
      <c r="D1793" s="686">
        <v>0</v>
      </c>
      <c r="E1793" s="686">
        <v>0</v>
      </c>
      <c r="F1793" s="686">
        <v>0</v>
      </c>
      <c r="G1793" s="686">
        <v>0</v>
      </c>
      <c r="H1793" s="686">
        <v>0</v>
      </c>
      <c r="I1793" s="686">
        <v>0</v>
      </c>
      <c r="J1793" s="686">
        <v>0</v>
      </c>
      <c r="K1793" s="686">
        <v>0</v>
      </c>
      <c r="L1793" s="686">
        <v>0</v>
      </c>
      <c r="M1793" s="686">
        <v>0</v>
      </c>
      <c r="N1793" s="686">
        <v>0</v>
      </c>
      <c r="O1793" s="686">
        <v>0</v>
      </c>
      <c r="P1793" s="686">
        <v>0</v>
      </c>
      <c r="Q1793" s="686">
        <v>0</v>
      </c>
      <c r="R1793" s="686">
        <v>0</v>
      </c>
      <c r="S1793" s="686">
        <v>0</v>
      </c>
      <c r="T1793" s="686">
        <v>0</v>
      </c>
      <c r="U1793" s="686">
        <v>0</v>
      </c>
      <c r="V1793" s="686">
        <v>0</v>
      </c>
      <c r="W1793" s="686">
        <v>0</v>
      </c>
      <c r="X1793" s="686">
        <v>0</v>
      </c>
      <c r="Y1793" s="686">
        <v>0</v>
      </c>
      <c r="Z1793" s="686">
        <v>0</v>
      </c>
      <c r="AA1793" s="686">
        <v>0</v>
      </c>
      <c r="AB1793" s="686">
        <v>0</v>
      </c>
      <c r="AC1793" s="686">
        <v>0</v>
      </c>
      <c r="AD1793" s="686">
        <v>0</v>
      </c>
      <c r="AE1793" s="686">
        <v>0</v>
      </c>
      <c r="AF1793" s="686">
        <v>0</v>
      </c>
      <c r="AG1793" s="686">
        <v>0</v>
      </c>
      <c r="AH1793" s="686">
        <v>0</v>
      </c>
      <c r="AI1793" s="686">
        <v>0</v>
      </c>
      <c r="AJ1793" s="686">
        <v>0</v>
      </c>
      <c r="AK1793" s="686">
        <v>0</v>
      </c>
      <c r="AL1793" s="686">
        <v>0</v>
      </c>
      <c r="AM1793" s="686">
        <v>0</v>
      </c>
      <c r="AN1793" s="686">
        <v>0</v>
      </c>
      <c r="AO1793" s="686">
        <v>0</v>
      </c>
      <c r="AP1793" s="686">
        <v>0</v>
      </c>
      <c r="AQ1793" s="686">
        <v>0</v>
      </c>
      <c r="AR1793" s="686">
        <v>0</v>
      </c>
      <c r="AS1793" s="686">
        <v>0</v>
      </c>
      <c r="AT1793" s="686">
        <v>0</v>
      </c>
      <c r="AU1793" s="686">
        <v>0</v>
      </c>
      <c r="AV1793" s="686">
        <v>0</v>
      </c>
      <c r="AW1793" s="686">
        <v>0</v>
      </c>
      <c r="AX1793" s="686">
        <v>0</v>
      </c>
      <c r="AY1793" s="686">
        <v>0</v>
      </c>
      <c r="AZ1793" s="686">
        <v>0</v>
      </c>
      <c r="BA1793" s="686">
        <v>0</v>
      </c>
      <c r="BB1793" s="686">
        <v>0</v>
      </c>
      <c r="BC1793" s="686">
        <v>0</v>
      </c>
      <c r="BD1793" s="686">
        <v>0</v>
      </c>
      <c r="BE1793" s="686">
        <v>0</v>
      </c>
      <c r="BF1793" s="686">
        <v>0</v>
      </c>
      <c r="BG1793" s="686">
        <v>0</v>
      </c>
      <c r="BH1793" s="686">
        <v>0</v>
      </c>
      <c r="BI1793" s="687">
        <v>0</v>
      </c>
      <c r="BJ1793" s="686"/>
      <c r="BK1793" s="686"/>
      <c r="BL1793" s="686"/>
      <c r="BM1793" s="686"/>
      <c r="BN1793" s="686"/>
      <c r="BO1793" s="686"/>
      <c r="BP1793" s="686"/>
      <c r="BQ1793" s="686"/>
      <c r="BR1793" s="686"/>
      <c r="BS1793" s="686"/>
      <c r="BT1793" s="686"/>
      <c r="BU1793" s="686"/>
      <c r="BV1793" s="686"/>
      <c r="BW1793" s="122"/>
    </row>
    <row r="1794" spans="1:75" s="123" customFormat="1" x14ac:dyDescent="0.5">
      <c r="A1794" s="122" t="s">
        <v>1566</v>
      </c>
      <c r="B1794" s="187"/>
      <c r="C1794" s="686"/>
      <c r="D1794" s="686">
        <v>0</v>
      </c>
      <c r="E1794" s="686">
        <v>0</v>
      </c>
      <c r="F1794" s="686">
        <v>0</v>
      </c>
      <c r="G1794" s="686">
        <v>0</v>
      </c>
      <c r="H1794" s="686">
        <v>0</v>
      </c>
      <c r="I1794" s="686">
        <v>0</v>
      </c>
      <c r="J1794" s="686">
        <v>0</v>
      </c>
      <c r="K1794" s="686">
        <v>0</v>
      </c>
      <c r="L1794" s="686">
        <v>0</v>
      </c>
      <c r="M1794" s="686">
        <v>0</v>
      </c>
      <c r="N1794" s="686">
        <v>0</v>
      </c>
      <c r="O1794" s="686">
        <v>0</v>
      </c>
      <c r="P1794" s="686">
        <v>0</v>
      </c>
      <c r="Q1794" s="686">
        <v>0</v>
      </c>
      <c r="R1794" s="686">
        <v>0</v>
      </c>
      <c r="S1794" s="686">
        <v>0</v>
      </c>
      <c r="T1794" s="686">
        <v>0</v>
      </c>
      <c r="U1794" s="686">
        <v>0</v>
      </c>
      <c r="V1794" s="686">
        <v>0</v>
      </c>
      <c r="W1794" s="686">
        <v>0</v>
      </c>
      <c r="X1794" s="686">
        <v>0</v>
      </c>
      <c r="Y1794" s="686">
        <v>0</v>
      </c>
      <c r="Z1794" s="686">
        <v>0</v>
      </c>
      <c r="AA1794" s="686">
        <v>0</v>
      </c>
      <c r="AB1794" s="686">
        <v>0</v>
      </c>
      <c r="AC1794" s="686">
        <v>0</v>
      </c>
      <c r="AD1794" s="686">
        <v>0</v>
      </c>
      <c r="AE1794" s="686">
        <v>0</v>
      </c>
      <c r="AF1794" s="686">
        <v>0</v>
      </c>
      <c r="AG1794" s="686">
        <v>0</v>
      </c>
      <c r="AH1794" s="686">
        <v>0</v>
      </c>
      <c r="AI1794" s="686">
        <v>0</v>
      </c>
      <c r="AJ1794" s="686">
        <v>0</v>
      </c>
      <c r="AK1794" s="686">
        <v>0</v>
      </c>
      <c r="AL1794" s="686">
        <v>0</v>
      </c>
      <c r="AM1794" s="686">
        <v>0</v>
      </c>
      <c r="AN1794" s="686">
        <v>0</v>
      </c>
      <c r="AO1794" s="686">
        <v>0</v>
      </c>
      <c r="AP1794" s="686">
        <v>0</v>
      </c>
      <c r="AQ1794" s="686">
        <v>0</v>
      </c>
      <c r="AR1794" s="686">
        <v>0</v>
      </c>
      <c r="AS1794" s="686">
        <v>0</v>
      </c>
      <c r="AT1794" s="686">
        <v>0</v>
      </c>
      <c r="AU1794" s="686">
        <v>0</v>
      </c>
      <c r="AV1794" s="686">
        <v>0</v>
      </c>
      <c r="AW1794" s="686">
        <v>0</v>
      </c>
      <c r="AX1794" s="686">
        <v>0</v>
      </c>
      <c r="AY1794" s="686">
        <v>0</v>
      </c>
      <c r="AZ1794" s="686">
        <v>0</v>
      </c>
      <c r="BA1794" s="686">
        <v>0</v>
      </c>
      <c r="BB1794" s="686">
        <v>0</v>
      </c>
      <c r="BC1794" s="686">
        <v>0</v>
      </c>
      <c r="BD1794" s="686">
        <v>0</v>
      </c>
      <c r="BE1794" s="686">
        <v>0</v>
      </c>
      <c r="BF1794" s="686">
        <v>0</v>
      </c>
      <c r="BG1794" s="686">
        <v>0</v>
      </c>
      <c r="BH1794" s="686">
        <v>0</v>
      </c>
      <c r="BI1794" s="687">
        <v>0</v>
      </c>
      <c r="BJ1794" s="686">
        <v>0</v>
      </c>
      <c r="BK1794" s="686">
        <v>0</v>
      </c>
      <c r="BL1794" s="686">
        <v>0</v>
      </c>
      <c r="BM1794" s="686">
        <v>0</v>
      </c>
      <c r="BN1794" s="686">
        <v>0</v>
      </c>
      <c r="BO1794" s="686">
        <v>0</v>
      </c>
      <c r="BP1794" s="686">
        <v>0</v>
      </c>
      <c r="BQ1794" s="686">
        <v>0</v>
      </c>
      <c r="BR1794" s="686">
        <v>0</v>
      </c>
      <c r="BS1794" s="686">
        <v>0</v>
      </c>
      <c r="BT1794" s="686">
        <v>0</v>
      </c>
      <c r="BU1794" s="686">
        <v>0</v>
      </c>
      <c r="BV1794" s="686">
        <v>0</v>
      </c>
      <c r="BW1794" s="122"/>
    </row>
    <row r="1795" spans="1:75" s="123" customFormat="1" x14ac:dyDescent="0.5">
      <c r="A1795" s="122" t="s">
        <v>1567</v>
      </c>
      <c r="B1795" s="187"/>
      <c r="C1795" s="686"/>
      <c r="D1795" s="686">
        <v>0</v>
      </c>
      <c r="E1795" s="686">
        <v>0</v>
      </c>
      <c r="F1795" s="686">
        <v>0</v>
      </c>
      <c r="G1795" s="686">
        <v>0</v>
      </c>
      <c r="H1795" s="686">
        <v>0</v>
      </c>
      <c r="I1795" s="686">
        <v>0</v>
      </c>
      <c r="J1795" s="686">
        <v>0</v>
      </c>
      <c r="K1795" s="686">
        <v>0</v>
      </c>
      <c r="L1795" s="686">
        <v>0</v>
      </c>
      <c r="M1795" s="686">
        <v>0</v>
      </c>
      <c r="N1795" s="686">
        <v>0</v>
      </c>
      <c r="O1795" s="686">
        <v>0</v>
      </c>
      <c r="P1795" s="686">
        <v>0</v>
      </c>
      <c r="Q1795" s="686">
        <v>0</v>
      </c>
      <c r="R1795" s="686">
        <v>0</v>
      </c>
      <c r="S1795" s="686">
        <v>0</v>
      </c>
      <c r="T1795" s="686">
        <v>0</v>
      </c>
      <c r="U1795" s="686">
        <v>0</v>
      </c>
      <c r="V1795" s="686">
        <v>0</v>
      </c>
      <c r="W1795" s="686">
        <v>0</v>
      </c>
      <c r="X1795" s="686">
        <v>0</v>
      </c>
      <c r="Y1795" s="686">
        <v>0</v>
      </c>
      <c r="Z1795" s="686">
        <v>0</v>
      </c>
      <c r="AA1795" s="686">
        <v>0</v>
      </c>
      <c r="AB1795" s="686">
        <v>0</v>
      </c>
      <c r="AC1795" s="686">
        <v>0</v>
      </c>
      <c r="AD1795" s="686">
        <v>0</v>
      </c>
      <c r="AE1795" s="686">
        <v>0</v>
      </c>
      <c r="AF1795" s="686">
        <v>0</v>
      </c>
      <c r="AG1795" s="686">
        <v>0</v>
      </c>
      <c r="AH1795" s="686">
        <v>0</v>
      </c>
      <c r="AI1795" s="686">
        <v>0</v>
      </c>
      <c r="AJ1795" s="686">
        <v>0</v>
      </c>
      <c r="AK1795" s="686">
        <v>0</v>
      </c>
      <c r="AL1795" s="686">
        <v>0</v>
      </c>
      <c r="AM1795" s="686">
        <v>0</v>
      </c>
      <c r="AN1795" s="686">
        <v>0</v>
      </c>
      <c r="AO1795" s="686">
        <v>0</v>
      </c>
      <c r="AP1795" s="686">
        <v>0</v>
      </c>
      <c r="AQ1795" s="686">
        <v>0</v>
      </c>
      <c r="AR1795" s="686">
        <v>0</v>
      </c>
      <c r="AS1795" s="686">
        <v>0</v>
      </c>
      <c r="AT1795" s="686">
        <v>0</v>
      </c>
      <c r="AU1795" s="686">
        <v>0</v>
      </c>
      <c r="AV1795" s="686">
        <v>0</v>
      </c>
      <c r="AW1795" s="686">
        <v>0</v>
      </c>
      <c r="AX1795" s="686">
        <v>0</v>
      </c>
      <c r="AY1795" s="686">
        <v>0</v>
      </c>
      <c r="AZ1795" s="686">
        <v>0</v>
      </c>
      <c r="BA1795" s="686">
        <v>0</v>
      </c>
      <c r="BB1795" s="686">
        <v>0</v>
      </c>
      <c r="BC1795" s="686">
        <v>0</v>
      </c>
      <c r="BD1795" s="686">
        <v>0</v>
      </c>
      <c r="BE1795" s="686">
        <v>0</v>
      </c>
      <c r="BF1795" s="686">
        <v>0</v>
      </c>
      <c r="BG1795" s="686">
        <v>0</v>
      </c>
      <c r="BH1795" s="686">
        <v>0</v>
      </c>
      <c r="BI1795" s="687">
        <v>0</v>
      </c>
      <c r="BJ1795" s="686">
        <v>0</v>
      </c>
      <c r="BK1795" s="686">
        <v>0</v>
      </c>
      <c r="BL1795" s="686">
        <v>0</v>
      </c>
      <c r="BM1795" s="686">
        <v>0</v>
      </c>
      <c r="BN1795" s="686">
        <v>0</v>
      </c>
      <c r="BO1795" s="686">
        <v>0</v>
      </c>
      <c r="BP1795" s="686">
        <v>0</v>
      </c>
      <c r="BQ1795" s="686">
        <v>0</v>
      </c>
      <c r="BR1795" s="686">
        <v>0</v>
      </c>
      <c r="BS1795" s="686">
        <v>0</v>
      </c>
      <c r="BT1795" s="686">
        <v>0</v>
      </c>
      <c r="BU1795" s="686">
        <v>0</v>
      </c>
      <c r="BV1795" s="686">
        <v>0</v>
      </c>
      <c r="BW1795" s="122"/>
    </row>
    <row r="1796" spans="1:75" s="123" customFormat="1" x14ac:dyDescent="0.5">
      <c r="A1796" s="122" t="s">
        <v>1568</v>
      </c>
      <c r="B1796" s="187"/>
      <c r="C1796" s="686"/>
      <c r="D1796" s="686">
        <v>0</v>
      </c>
      <c r="E1796" s="686">
        <v>0</v>
      </c>
      <c r="F1796" s="686">
        <v>0</v>
      </c>
      <c r="G1796" s="686">
        <v>0</v>
      </c>
      <c r="H1796" s="686">
        <v>0</v>
      </c>
      <c r="I1796" s="686">
        <v>0</v>
      </c>
      <c r="J1796" s="686">
        <v>0</v>
      </c>
      <c r="K1796" s="686">
        <v>0</v>
      </c>
      <c r="L1796" s="686">
        <v>0</v>
      </c>
      <c r="M1796" s="686">
        <v>0</v>
      </c>
      <c r="N1796" s="686">
        <v>0</v>
      </c>
      <c r="O1796" s="686">
        <v>0</v>
      </c>
      <c r="P1796" s="686">
        <v>0</v>
      </c>
      <c r="Q1796" s="686">
        <v>0</v>
      </c>
      <c r="R1796" s="686">
        <v>0</v>
      </c>
      <c r="S1796" s="686">
        <v>0</v>
      </c>
      <c r="T1796" s="686">
        <v>0</v>
      </c>
      <c r="U1796" s="686">
        <v>0</v>
      </c>
      <c r="V1796" s="686">
        <v>0</v>
      </c>
      <c r="W1796" s="686">
        <v>0</v>
      </c>
      <c r="X1796" s="686">
        <v>0</v>
      </c>
      <c r="Y1796" s="686">
        <v>0</v>
      </c>
      <c r="Z1796" s="686">
        <v>0</v>
      </c>
      <c r="AA1796" s="686">
        <v>0</v>
      </c>
      <c r="AB1796" s="686">
        <v>0</v>
      </c>
      <c r="AC1796" s="686">
        <v>0</v>
      </c>
      <c r="AD1796" s="686">
        <v>0</v>
      </c>
      <c r="AE1796" s="686">
        <v>0</v>
      </c>
      <c r="AF1796" s="686">
        <v>0</v>
      </c>
      <c r="AG1796" s="686">
        <v>0</v>
      </c>
      <c r="AH1796" s="686">
        <v>0</v>
      </c>
      <c r="AI1796" s="686">
        <v>0</v>
      </c>
      <c r="AJ1796" s="686">
        <v>0</v>
      </c>
      <c r="AK1796" s="686">
        <v>0</v>
      </c>
      <c r="AL1796" s="686">
        <v>0</v>
      </c>
      <c r="AM1796" s="686">
        <v>0</v>
      </c>
      <c r="AN1796" s="686">
        <v>0</v>
      </c>
      <c r="AO1796" s="686">
        <v>0</v>
      </c>
      <c r="AP1796" s="686">
        <v>0</v>
      </c>
      <c r="AQ1796" s="686">
        <v>0</v>
      </c>
      <c r="AR1796" s="686">
        <v>0</v>
      </c>
      <c r="AS1796" s="686">
        <v>0</v>
      </c>
      <c r="AT1796" s="686">
        <v>0</v>
      </c>
      <c r="AU1796" s="686">
        <v>0</v>
      </c>
      <c r="AV1796" s="686">
        <v>0</v>
      </c>
      <c r="AW1796" s="686">
        <v>0</v>
      </c>
      <c r="AX1796" s="686">
        <v>0</v>
      </c>
      <c r="AY1796" s="686">
        <v>0</v>
      </c>
      <c r="AZ1796" s="686">
        <v>0</v>
      </c>
      <c r="BA1796" s="686">
        <v>0</v>
      </c>
      <c r="BB1796" s="686">
        <v>0</v>
      </c>
      <c r="BC1796" s="686">
        <v>0</v>
      </c>
      <c r="BD1796" s="686">
        <v>0</v>
      </c>
      <c r="BE1796" s="686">
        <v>0</v>
      </c>
      <c r="BF1796" s="686">
        <v>0</v>
      </c>
      <c r="BG1796" s="686">
        <v>0</v>
      </c>
      <c r="BH1796" s="686">
        <v>0</v>
      </c>
      <c r="BI1796" s="687">
        <v>0</v>
      </c>
      <c r="BJ1796" s="686">
        <v>0</v>
      </c>
      <c r="BK1796" s="686">
        <v>0</v>
      </c>
      <c r="BL1796" s="686">
        <v>0</v>
      </c>
      <c r="BM1796" s="686">
        <v>0</v>
      </c>
      <c r="BN1796" s="686">
        <v>0</v>
      </c>
      <c r="BO1796" s="686">
        <v>0</v>
      </c>
      <c r="BP1796" s="686">
        <v>0</v>
      </c>
      <c r="BQ1796" s="686">
        <v>0</v>
      </c>
      <c r="BR1796" s="686">
        <v>0</v>
      </c>
      <c r="BS1796" s="686">
        <v>0</v>
      </c>
      <c r="BT1796" s="686">
        <v>0</v>
      </c>
      <c r="BU1796" s="686">
        <v>0</v>
      </c>
      <c r="BV1796" s="686">
        <v>0</v>
      </c>
      <c r="BW1796" s="122"/>
    </row>
    <row r="1797" spans="1:75" s="123" customFormat="1" x14ac:dyDescent="0.5">
      <c r="A1797" s="122" t="s">
        <v>1569</v>
      </c>
      <c r="B1797" s="187"/>
      <c r="C1797" s="686"/>
      <c r="D1797" s="686"/>
      <c r="E1797" s="686"/>
      <c r="F1797" s="686"/>
      <c r="G1797" s="686"/>
      <c r="H1797" s="686"/>
      <c r="I1797" s="686"/>
      <c r="J1797" s="686"/>
      <c r="K1797" s="686">
        <v>0</v>
      </c>
      <c r="L1797" s="686"/>
      <c r="M1797" s="686"/>
      <c r="N1797" s="686"/>
      <c r="O1797" s="686"/>
      <c r="P1797" s="686">
        <v>0</v>
      </c>
      <c r="Q1797" s="686"/>
      <c r="R1797" s="686"/>
      <c r="S1797" s="686"/>
      <c r="T1797" s="686"/>
      <c r="U1797" s="686">
        <v>0</v>
      </c>
      <c r="V1797" s="686"/>
      <c r="W1797" s="686"/>
      <c r="X1797" s="686"/>
      <c r="Y1797" s="686"/>
      <c r="Z1797" s="686">
        <v>0</v>
      </c>
      <c r="AA1797" s="686"/>
      <c r="AB1797" s="686"/>
      <c r="AC1797" s="686"/>
      <c r="AD1797" s="686"/>
      <c r="AE1797" s="686">
        <v>0</v>
      </c>
      <c r="AF1797" s="686"/>
      <c r="AG1797" s="686"/>
      <c r="AH1797" s="686"/>
      <c r="AI1797" s="686"/>
      <c r="AJ1797" s="686">
        <v>0</v>
      </c>
      <c r="AK1797" s="686"/>
      <c r="AL1797" s="686"/>
      <c r="AM1797" s="686"/>
      <c r="AN1797" s="686"/>
      <c r="AO1797" s="686">
        <v>0</v>
      </c>
      <c r="AP1797" s="686"/>
      <c r="AQ1797" s="686"/>
      <c r="AR1797" s="686"/>
      <c r="AS1797" s="686"/>
      <c r="AT1797" s="686">
        <v>0</v>
      </c>
      <c r="AU1797" s="686"/>
      <c r="AV1797" s="686"/>
      <c r="AW1797" s="686"/>
      <c r="AX1797" s="686"/>
      <c r="AY1797" s="686">
        <v>0</v>
      </c>
      <c r="AZ1797" s="686"/>
      <c r="BA1797" s="686"/>
      <c r="BB1797" s="686"/>
      <c r="BC1797" s="686"/>
      <c r="BD1797" s="686">
        <v>0</v>
      </c>
      <c r="BE1797" s="686"/>
      <c r="BF1797" s="686"/>
      <c r="BG1797" s="686"/>
      <c r="BH1797" s="686"/>
      <c r="BI1797" s="687">
        <v>0</v>
      </c>
      <c r="BJ1797" s="686"/>
      <c r="BK1797" s="686"/>
      <c r="BL1797" s="686"/>
      <c r="BM1797" s="686"/>
      <c r="BN1797" s="686">
        <v>0</v>
      </c>
      <c r="BO1797" s="686"/>
      <c r="BP1797" s="686"/>
      <c r="BQ1797" s="686"/>
      <c r="BR1797" s="686"/>
      <c r="BS1797" s="686">
        <v>0</v>
      </c>
      <c r="BT1797" s="686"/>
      <c r="BU1797" s="686"/>
      <c r="BV1797" s="686"/>
      <c r="BW1797" s="122"/>
    </row>
    <row r="1798" spans="1:75" s="123" customFormat="1" x14ac:dyDescent="0.5">
      <c r="A1798" s="122" t="s">
        <v>1570</v>
      </c>
      <c r="B1798" s="187"/>
      <c r="C1798" s="686"/>
      <c r="D1798" s="686">
        <v>0</v>
      </c>
      <c r="E1798" s="686">
        <v>0</v>
      </c>
      <c r="F1798" s="686">
        <v>0</v>
      </c>
      <c r="G1798" s="686">
        <v>0</v>
      </c>
      <c r="H1798" s="686">
        <v>0</v>
      </c>
      <c r="I1798" s="686">
        <v>0</v>
      </c>
      <c r="J1798" s="686">
        <v>0</v>
      </c>
      <c r="K1798" s="686">
        <v>0</v>
      </c>
      <c r="L1798" s="686">
        <v>0</v>
      </c>
      <c r="M1798" s="686">
        <v>0</v>
      </c>
      <c r="N1798" s="686">
        <v>0</v>
      </c>
      <c r="O1798" s="686">
        <v>0</v>
      </c>
      <c r="P1798" s="686">
        <v>0</v>
      </c>
      <c r="Q1798" s="686">
        <v>0</v>
      </c>
      <c r="R1798" s="686">
        <v>0</v>
      </c>
      <c r="S1798" s="686">
        <v>0</v>
      </c>
      <c r="T1798" s="686">
        <v>0</v>
      </c>
      <c r="U1798" s="686">
        <v>0</v>
      </c>
      <c r="V1798" s="686">
        <v>0</v>
      </c>
      <c r="W1798" s="686">
        <v>0</v>
      </c>
      <c r="X1798" s="686">
        <v>0</v>
      </c>
      <c r="Y1798" s="686">
        <v>0</v>
      </c>
      <c r="Z1798" s="686">
        <v>0</v>
      </c>
      <c r="AA1798" s="686">
        <v>0</v>
      </c>
      <c r="AB1798" s="686">
        <v>0</v>
      </c>
      <c r="AC1798" s="686">
        <v>0</v>
      </c>
      <c r="AD1798" s="686">
        <v>0</v>
      </c>
      <c r="AE1798" s="686">
        <v>0</v>
      </c>
      <c r="AF1798" s="686">
        <v>0</v>
      </c>
      <c r="AG1798" s="686">
        <v>0</v>
      </c>
      <c r="AH1798" s="686">
        <v>0</v>
      </c>
      <c r="AI1798" s="686">
        <v>0</v>
      </c>
      <c r="AJ1798" s="686">
        <v>0</v>
      </c>
      <c r="AK1798" s="686">
        <v>0</v>
      </c>
      <c r="AL1798" s="686">
        <v>0</v>
      </c>
      <c r="AM1798" s="686">
        <v>0</v>
      </c>
      <c r="AN1798" s="686">
        <v>0</v>
      </c>
      <c r="AO1798" s="686">
        <v>0</v>
      </c>
      <c r="AP1798" s="686">
        <v>0</v>
      </c>
      <c r="AQ1798" s="686">
        <v>0</v>
      </c>
      <c r="AR1798" s="686">
        <v>0</v>
      </c>
      <c r="AS1798" s="686">
        <v>0</v>
      </c>
      <c r="AT1798" s="686">
        <v>0</v>
      </c>
      <c r="AU1798" s="686">
        <v>0</v>
      </c>
      <c r="AV1798" s="686">
        <v>0</v>
      </c>
      <c r="AW1798" s="686">
        <v>0</v>
      </c>
      <c r="AX1798" s="686">
        <v>0</v>
      </c>
      <c r="AY1798" s="686">
        <v>0</v>
      </c>
      <c r="AZ1798" s="686">
        <v>0</v>
      </c>
      <c r="BA1798" s="686">
        <v>0</v>
      </c>
      <c r="BB1798" s="686">
        <v>0</v>
      </c>
      <c r="BC1798" s="686">
        <v>0</v>
      </c>
      <c r="BD1798" s="686">
        <v>0</v>
      </c>
      <c r="BE1798" s="686">
        <v>0</v>
      </c>
      <c r="BF1798" s="686">
        <v>0</v>
      </c>
      <c r="BG1798" s="686">
        <v>0</v>
      </c>
      <c r="BH1798" s="686">
        <v>0</v>
      </c>
      <c r="BI1798" s="687">
        <v>0</v>
      </c>
      <c r="BJ1798" s="686">
        <v>0</v>
      </c>
      <c r="BK1798" s="686">
        <v>0</v>
      </c>
      <c r="BL1798" s="686">
        <v>0</v>
      </c>
      <c r="BM1798" s="686">
        <v>0</v>
      </c>
      <c r="BN1798" s="686">
        <v>0</v>
      </c>
      <c r="BO1798" s="686">
        <v>0</v>
      </c>
      <c r="BP1798" s="686">
        <v>0</v>
      </c>
      <c r="BQ1798" s="686">
        <v>0</v>
      </c>
      <c r="BR1798" s="686">
        <v>0</v>
      </c>
      <c r="BS1798" s="686">
        <v>0</v>
      </c>
      <c r="BT1798" s="686">
        <v>0</v>
      </c>
      <c r="BU1798" s="686">
        <v>0</v>
      </c>
      <c r="BV1798" s="686">
        <v>0</v>
      </c>
      <c r="BW1798" s="122"/>
    </row>
    <row r="1799" spans="1:75" s="123" customFormat="1" x14ac:dyDescent="0.5">
      <c r="A1799" s="122" t="s">
        <v>1571</v>
      </c>
      <c r="B1799" s="187"/>
      <c r="C1799" s="686"/>
      <c r="D1799" s="686"/>
      <c r="E1799" s="686"/>
      <c r="F1799" s="686"/>
      <c r="G1799" s="686"/>
      <c r="H1799" s="686"/>
      <c r="I1799" s="686"/>
      <c r="J1799" s="686"/>
      <c r="K1799" s="686">
        <v>0</v>
      </c>
      <c r="L1799" s="686"/>
      <c r="M1799" s="686"/>
      <c r="N1799" s="686"/>
      <c r="O1799" s="686"/>
      <c r="P1799" s="686">
        <v>0</v>
      </c>
      <c r="Q1799" s="686"/>
      <c r="R1799" s="686"/>
      <c r="S1799" s="686"/>
      <c r="T1799" s="686"/>
      <c r="U1799" s="686">
        <v>0</v>
      </c>
      <c r="V1799" s="686"/>
      <c r="W1799" s="686"/>
      <c r="X1799" s="686"/>
      <c r="Y1799" s="686"/>
      <c r="Z1799" s="686">
        <v>0</v>
      </c>
      <c r="AA1799" s="686"/>
      <c r="AB1799" s="686"/>
      <c r="AC1799" s="686"/>
      <c r="AD1799" s="686"/>
      <c r="AE1799" s="686">
        <v>0</v>
      </c>
      <c r="AF1799" s="686"/>
      <c r="AG1799" s="686"/>
      <c r="AH1799" s="686"/>
      <c r="AI1799" s="686"/>
      <c r="AJ1799" s="686">
        <v>0</v>
      </c>
      <c r="AK1799" s="686"/>
      <c r="AL1799" s="686"/>
      <c r="AM1799" s="686"/>
      <c r="AN1799" s="686"/>
      <c r="AO1799" s="686">
        <v>0</v>
      </c>
      <c r="AP1799" s="686"/>
      <c r="AQ1799" s="686"/>
      <c r="AR1799" s="686"/>
      <c r="AS1799" s="686"/>
      <c r="AT1799" s="686">
        <v>0</v>
      </c>
      <c r="AU1799" s="686"/>
      <c r="AV1799" s="686"/>
      <c r="AW1799" s="686"/>
      <c r="AX1799" s="686"/>
      <c r="AY1799" s="686">
        <v>0</v>
      </c>
      <c r="AZ1799" s="686"/>
      <c r="BA1799" s="686"/>
      <c r="BB1799" s="686"/>
      <c r="BC1799" s="686"/>
      <c r="BD1799" s="686">
        <v>0</v>
      </c>
      <c r="BE1799" s="686"/>
      <c r="BF1799" s="686"/>
      <c r="BG1799" s="686"/>
      <c r="BH1799" s="686"/>
      <c r="BI1799" s="687">
        <v>0</v>
      </c>
      <c r="BJ1799" s="686"/>
      <c r="BK1799" s="686"/>
      <c r="BL1799" s="686"/>
      <c r="BM1799" s="686"/>
      <c r="BN1799" s="686">
        <v>0</v>
      </c>
      <c r="BO1799" s="686"/>
      <c r="BP1799" s="686"/>
      <c r="BQ1799" s="686"/>
      <c r="BR1799" s="686"/>
      <c r="BS1799" s="686">
        <v>0</v>
      </c>
      <c r="BT1799" s="686"/>
      <c r="BU1799" s="686"/>
      <c r="BV1799" s="686"/>
      <c r="BW1799" s="122"/>
    </row>
    <row r="1800" spans="1:75" s="123" customFormat="1" x14ac:dyDescent="0.5">
      <c r="A1800" s="122" t="s">
        <v>1572</v>
      </c>
      <c r="B1800" s="187"/>
      <c r="C1800" s="686"/>
      <c r="D1800" s="686"/>
      <c r="E1800" s="686"/>
      <c r="F1800" s="686"/>
      <c r="G1800" s="686"/>
      <c r="H1800" s="686"/>
      <c r="I1800" s="686"/>
      <c r="J1800" s="686"/>
      <c r="K1800" s="686">
        <v>0</v>
      </c>
      <c r="L1800" s="686"/>
      <c r="M1800" s="686"/>
      <c r="N1800" s="686"/>
      <c r="O1800" s="686"/>
      <c r="P1800" s="686">
        <v>0</v>
      </c>
      <c r="Q1800" s="686"/>
      <c r="R1800" s="686"/>
      <c r="S1800" s="686"/>
      <c r="T1800" s="686"/>
      <c r="U1800" s="686">
        <v>0</v>
      </c>
      <c r="V1800" s="686"/>
      <c r="W1800" s="686"/>
      <c r="X1800" s="686"/>
      <c r="Y1800" s="686"/>
      <c r="Z1800" s="686">
        <v>0</v>
      </c>
      <c r="AA1800" s="686"/>
      <c r="AB1800" s="686"/>
      <c r="AC1800" s="686"/>
      <c r="AD1800" s="686"/>
      <c r="AE1800" s="686">
        <v>0</v>
      </c>
      <c r="AF1800" s="686"/>
      <c r="AG1800" s="686"/>
      <c r="AH1800" s="686"/>
      <c r="AI1800" s="686"/>
      <c r="AJ1800" s="686">
        <v>-2.0659999999999998</v>
      </c>
      <c r="AK1800" s="686"/>
      <c r="AL1800" s="686"/>
      <c r="AM1800" s="686"/>
      <c r="AN1800" s="686"/>
      <c r="AO1800" s="686">
        <v>-3.0529999999999999</v>
      </c>
      <c r="AP1800" s="686"/>
      <c r="AQ1800" s="686"/>
      <c r="AR1800" s="686"/>
      <c r="AS1800" s="686"/>
      <c r="AT1800" s="686">
        <v>0</v>
      </c>
      <c r="AU1800" s="686"/>
      <c r="AV1800" s="686"/>
      <c r="AW1800" s="686"/>
      <c r="AX1800" s="686"/>
      <c r="AY1800" s="686">
        <v>0</v>
      </c>
      <c r="AZ1800" s="686"/>
      <c r="BA1800" s="686"/>
      <c r="BB1800" s="686"/>
      <c r="BC1800" s="686"/>
      <c r="BD1800" s="686">
        <v>0</v>
      </c>
      <c r="BE1800" s="686"/>
      <c r="BF1800" s="686"/>
      <c r="BG1800" s="686"/>
      <c r="BH1800" s="686"/>
      <c r="BI1800" s="687">
        <v>0</v>
      </c>
      <c r="BJ1800" s="686"/>
      <c r="BK1800" s="686"/>
      <c r="BL1800" s="686"/>
      <c r="BM1800" s="686"/>
      <c r="BN1800" s="686">
        <v>0</v>
      </c>
      <c r="BO1800" s="686"/>
      <c r="BP1800" s="686"/>
      <c r="BQ1800" s="686"/>
      <c r="BR1800" s="686"/>
      <c r="BS1800" s="686">
        <v>0</v>
      </c>
      <c r="BT1800" s="686"/>
      <c r="BU1800" s="686"/>
      <c r="BV1800" s="686"/>
      <c r="BW1800" s="122"/>
    </row>
    <row r="1801" spans="1:75" s="123" customFormat="1" x14ac:dyDescent="0.5">
      <c r="A1801" s="122" t="s">
        <v>1573</v>
      </c>
      <c r="B1801" s="187"/>
      <c r="C1801" s="686"/>
      <c r="D1801" s="686"/>
      <c r="E1801" s="686"/>
      <c r="F1801" s="686"/>
      <c r="G1801" s="686"/>
      <c r="H1801" s="686"/>
      <c r="I1801" s="686"/>
      <c r="J1801" s="686"/>
      <c r="K1801" s="686">
        <v>0</v>
      </c>
      <c r="L1801" s="686"/>
      <c r="M1801" s="686"/>
      <c r="N1801" s="686"/>
      <c r="O1801" s="686"/>
      <c r="P1801" s="686">
        <v>0</v>
      </c>
      <c r="Q1801" s="686"/>
      <c r="R1801" s="686"/>
      <c r="S1801" s="686"/>
      <c r="T1801" s="686"/>
      <c r="U1801" s="686">
        <v>0</v>
      </c>
      <c r="V1801" s="686"/>
      <c r="W1801" s="686"/>
      <c r="X1801" s="686"/>
      <c r="Y1801" s="686"/>
      <c r="Z1801" s="686">
        <v>0</v>
      </c>
      <c r="AA1801" s="686"/>
      <c r="AB1801" s="686"/>
      <c r="AC1801" s="686"/>
      <c r="AD1801" s="686"/>
      <c r="AE1801" s="686">
        <v>0</v>
      </c>
      <c r="AF1801" s="686"/>
      <c r="AG1801" s="686"/>
      <c r="AH1801" s="686"/>
      <c r="AI1801" s="686"/>
      <c r="AJ1801" s="686">
        <v>0</v>
      </c>
      <c r="AK1801" s="686"/>
      <c r="AL1801" s="686"/>
      <c r="AM1801" s="686"/>
      <c r="AN1801" s="686"/>
      <c r="AO1801" s="686">
        <v>0</v>
      </c>
      <c r="AP1801" s="686"/>
      <c r="AQ1801" s="686"/>
      <c r="AR1801" s="686"/>
      <c r="AS1801" s="686"/>
      <c r="AT1801" s="686">
        <v>0</v>
      </c>
      <c r="AU1801" s="686"/>
      <c r="AV1801" s="686"/>
      <c r="AW1801" s="686"/>
      <c r="AX1801" s="686"/>
      <c r="AY1801" s="686">
        <v>0</v>
      </c>
      <c r="AZ1801" s="686"/>
      <c r="BA1801" s="686"/>
      <c r="BB1801" s="686"/>
      <c r="BC1801" s="686"/>
      <c r="BD1801" s="686">
        <v>0</v>
      </c>
      <c r="BE1801" s="686"/>
      <c r="BF1801" s="686"/>
      <c r="BG1801" s="686"/>
      <c r="BH1801" s="686"/>
      <c r="BI1801" s="687">
        <v>0</v>
      </c>
      <c r="BJ1801" s="686"/>
      <c r="BK1801" s="686"/>
      <c r="BL1801" s="686"/>
      <c r="BM1801" s="686"/>
      <c r="BN1801" s="686">
        <v>0</v>
      </c>
      <c r="BO1801" s="686"/>
      <c r="BP1801" s="686"/>
      <c r="BQ1801" s="686"/>
      <c r="BR1801" s="686"/>
      <c r="BS1801" s="686">
        <v>0</v>
      </c>
      <c r="BT1801" s="686"/>
      <c r="BU1801" s="686"/>
      <c r="BV1801" s="686"/>
      <c r="BW1801" s="122"/>
    </row>
    <row r="1802" spans="1:75" s="123" customFormat="1" x14ac:dyDescent="0.5">
      <c r="A1802" s="122" t="s">
        <v>1574</v>
      </c>
      <c r="B1802" s="187"/>
      <c r="C1802" s="686"/>
      <c r="D1802" s="686"/>
      <c r="E1802" s="686"/>
      <c r="F1802" s="686"/>
      <c r="G1802" s="686"/>
      <c r="H1802" s="686"/>
      <c r="I1802" s="686"/>
      <c r="J1802" s="686"/>
      <c r="K1802" s="686">
        <v>0</v>
      </c>
      <c r="L1802" s="686"/>
      <c r="M1802" s="686"/>
      <c r="N1802" s="686"/>
      <c r="O1802" s="686"/>
      <c r="P1802" s="686">
        <v>0</v>
      </c>
      <c r="Q1802" s="686"/>
      <c r="R1802" s="686"/>
      <c r="S1802" s="686"/>
      <c r="T1802" s="686"/>
      <c r="U1802" s="686">
        <v>0</v>
      </c>
      <c r="V1802" s="686"/>
      <c r="W1802" s="686"/>
      <c r="X1802" s="686"/>
      <c r="Y1802" s="686"/>
      <c r="Z1802" s="686">
        <v>0</v>
      </c>
      <c r="AA1802" s="686"/>
      <c r="AB1802" s="686"/>
      <c r="AC1802" s="686"/>
      <c r="AD1802" s="686"/>
      <c r="AE1802" s="686">
        <v>0</v>
      </c>
      <c r="AF1802" s="686"/>
      <c r="AG1802" s="686"/>
      <c r="AH1802" s="686"/>
      <c r="AI1802" s="686"/>
      <c r="AJ1802" s="686">
        <v>0</v>
      </c>
      <c r="AK1802" s="686"/>
      <c r="AL1802" s="686"/>
      <c r="AM1802" s="686"/>
      <c r="AN1802" s="686"/>
      <c r="AO1802" s="686">
        <v>0</v>
      </c>
      <c r="AP1802" s="686"/>
      <c r="AQ1802" s="686"/>
      <c r="AR1802" s="686"/>
      <c r="AS1802" s="686"/>
      <c r="AT1802" s="686">
        <v>0</v>
      </c>
      <c r="AU1802" s="686"/>
      <c r="AV1802" s="686"/>
      <c r="AW1802" s="686"/>
      <c r="AX1802" s="686"/>
      <c r="AY1802" s="686">
        <v>0</v>
      </c>
      <c r="AZ1802" s="686"/>
      <c r="BA1802" s="686"/>
      <c r="BB1802" s="686"/>
      <c r="BC1802" s="686"/>
      <c r="BD1802" s="686">
        <v>0</v>
      </c>
      <c r="BE1802" s="686"/>
      <c r="BF1802" s="686"/>
      <c r="BG1802" s="686"/>
      <c r="BH1802" s="686"/>
      <c r="BI1802" s="687">
        <v>0</v>
      </c>
      <c r="BJ1802" s="686"/>
      <c r="BK1802" s="686"/>
      <c r="BL1802" s="686"/>
      <c r="BM1802" s="686"/>
      <c r="BN1802" s="686">
        <v>0</v>
      </c>
      <c r="BO1802" s="686"/>
      <c r="BP1802" s="686"/>
      <c r="BQ1802" s="686"/>
      <c r="BR1802" s="686"/>
      <c r="BS1802" s="686">
        <v>0</v>
      </c>
      <c r="BT1802" s="686"/>
      <c r="BU1802" s="686"/>
      <c r="BV1802" s="686"/>
      <c r="BW1802" s="122"/>
    </row>
    <row r="1803" spans="1:75" s="123" customFormat="1" x14ac:dyDescent="0.5">
      <c r="A1803" s="122" t="s">
        <v>1575</v>
      </c>
      <c r="B1803" s="187"/>
      <c r="C1803" s="686"/>
      <c r="D1803" s="686"/>
      <c r="E1803" s="686"/>
      <c r="F1803" s="686"/>
      <c r="G1803" s="686"/>
      <c r="H1803" s="686"/>
      <c r="I1803" s="686"/>
      <c r="J1803" s="686"/>
      <c r="K1803" s="686">
        <v>0</v>
      </c>
      <c r="L1803" s="686"/>
      <c r="M1803" s="686"/>
      <c r="N1803" s="686"/>
      <c r="O1803" s="686"/>
      <c r="P1803" s="686">
        <v>0</v>
      </c>
      <c r="Q1803" s="686"/>
      <c r="R1803" s="686"/>
      <c r="S1803" s="686"/>
      <c r="T1803" s="686"/>
      <c r="U1803" s="686">
        <v>0</v>
      </c>
      <c r="V1803" s="686"/>
      <c r="W1803" s="686"/>
      <c r="X1803" s="686"/>
      <c r="Y1803" s="686"/>
      <c r="Z1803" s="686">
        <v>0</v>
      </c>
      <c r="AA1803" s="686"/>
      <c r="AB1803" s="686"/>
      <c r="AC1803" s="686"/>
      <c r="AD1803" s="686"/>
      <c r="AE1803" s="686">
        <v>0</v>
      </c>
      <c r="AF1803" s="686"/>
      <c r="AG1803" s="686"/>
      <c r="AH1803" s="686"/>
      <c r="AI1803" s="686"/>
      <c r="AJ1803" s="686">
        <v>0</v>
      </c>
      <c r="AK1803" s="686"/>
      <c r="AL1803" s="686"/>
      <c r="AM1803" s="686"/>
      <c r="AN1803" s="686"/>
      <c r="AO1803" s="686">
        <v>0</v>
      </c>
      <c r="AP1803" s="686"/>
      <c r="AQ1803" s="686"/>
      <c r="AR1803" s="686"/>
      <c r="AS1803" s="686"/>
      <c r="AT1803" s="686">
        <v>0</v>
      </c>
      <c r="AU1803" s="686"/>
      <c r="AV1803" s="686"/>
      <c r="AW1803" s="686"/>
      <c r="AX1803" s="686"/>
      <c r="AY1803" s="686">
        <v>0</v>
      </c>
      <c r="AZ1803" s="686"/>
      <c r="BA1803" s="686"/>
      <c r="BB1803" s="686"/>
      <c r="BC1803" s="686"/>
      <c r="BD1803" s="686">
        <v>0</v>
      </c>
      <c r="BE1803" s="686"/>
      <c r="BF1803" s="686"/>
      <c r="BG1803" s="686"/>
      <c r="BH1803" s="686"/>
      <c r="BI1803" s="687">
        <v>0</v>
      </c>
      <c r="BJ1803" s="686"/>
      <c r="BK1803" s="686"/>
      <c r="BL1803" s="686"/>
      <c r="BM1803" s="686"/>
      <c r="BN1803" s="686">
        <v>0</v>
      </c>
      <c r="BO1803" s="686"/>
      <c r="BP1803" s="686"/>
      <c r="BQ1803" s="686"/>
      <c r="BR1803" s="686"/>
      <c r="BS1803" s="686">
        <v>0</v>
      </c>
      <c r="BT1803" s="686"/>
      <c r="BU1803" s="686"/>
      <c r="BV1803" s="686"/>
      <c r="BW1803" s="122"/>
    </row>
    <row r="1804" spans="1:75" s="123" customFormat="1" x14ac:dyDescent="0.5">
      <c r="A1804" s="122" t="s">
        <v>1576</v>
      </c>
      <c r="B1804" s="187"/>
      <c r="C1804" s="686"/>
      <c r="D1804" s="686"/>
      <c r="E1804" s="686"/>
      <c r="F1804" s="686"/>
      <c r="G1804" s="686"/>
      <c r="H1804" s="686"/>
      <c r="I1804" s="686"/>
      <c r="J1804" s="686"/>
      <c r="K1804" s="686">
        <v>0</v>
      </c>
      <c r="L1804" s="686"/>
      <c r="M1804" s="686"/>
      <c r="N1804" s="686"/>
      <c r="O1804" s="686"/>
      <c r="P1804" s="686">
        <v>0</v>
      </c>
      <c r="Q1804" s="686"/>
      <c r="R1804" s="686"/>
      <c r="S1804" s="686"/>
      <c r="T1804" s="686"/>
      <c r="U1804" s="686">
        <v>0</v>
      </c>
      <c r="V1804" s="686"/>
      <c r="W1804" s="686"/>
      <c r="X1804" s="686"/>
      <c r="Y1804" s="686"/>
      <c r="Z1804" s="686">
        <v>0</v>
      </c>
      <c r="AA1804" s="686"/>
      <c r="AB1804" s="686"/>
      <c r="AC1804" s="686"/>
      <c r="AD1804" s="686"/>
      <c r="AE1804" s="686">
        <v>0</v>
      </c>
      <c r="AF1804" s="686"/>
      <c r="AG1804" s="686"/>
      <c r="AH1804" s="686"/>
      <c r="AI1804" s="686"/>
      <c r="AJ1804" s="686">
        <v>0</v>
      </c>
      <c r="AK1804" s="686"/>
      <c r="AL1804" s="686"/>
      <c r="AM1804" s="686"/>
      <c r="AN1804" s="686"/>
      <c r="AO1804" s="686">
        <v>0</v>
      </c>
      <c r="AP1804" s="686"/>
      <c r="AQ1804" s="686"/>
      <c r="AR1804" s="686"/>
      <c r="AS1804" s="686"/>
      <c r="AT1804" s="686">
        <v>0</v>
      </c>
      <c r="AU1804" s="686"/>
      <c r="AV1804" s="686"/>
      <c r="AW1804" s="686"/>
      <c r="AX1804" s="686"/>
      <c r="AY1804" s="686">
        <v>0</v>
      </c>
      <c r="AZ1804" s="686"/>
      <c r="BA1804" s="686"/>
      <c r="BB1804" s="686"/>
      <c r="BC1804" s="686"/>
      <c r="BD1804" s="686">
        <v>0</v>
      </c>
      <c r="BE1804" s="686"/>
      <c r="BF1804" s="686"/>
      <c r="BG1804" s="686"/>
      <c r="BH1804" s="686"/>
      <c r="BI1804" s="687">
        <v>0</v>
      </c>
      <c r="BJ1804" s="686"/>
      <c r="BK1804" s="686"/>
      <c r="BL1804" s="686"/>
      <c r="BM1804" s="686"/>
      <c r="BN1804" s="686">
        <v>0</v>
      </c>
      <c r="BO1804" s="686"/>
      <c r="BP1804" s="686"/>
      <c r="BQ1804" s="686"/>
      <c r="BR1804" s="686"/>
      <c r="BS1804" s="686">
        <v>0</v>
      </c>
      <c r="BT1804" s="686"/>
      <c r="BU1804" s="686"/>
      <c r="BV1804" s="686"/>
      <c r="BW1804" s="122"/>
    </row>
    <row r="1805" spans="1:75" s="123" customFormat="1" x14ac:dyDescent="0.5">
      <c r="A1805" s="122" t="s">
        <v>1577</v>
      </c>
      <c r="B1805" s="187"/>
      <c r="C1805" s="686"/>
      <c r="D1805" s="686"/>
      <c r="E1805" s="686"/>
      <c r="F1805" s="686"/>
      <c r="G1805" s="686"/>
      <c r="H1805" s="686"/>
      <c r="I1805" s="686"/>
      <c r="J1805" s="686"/>
      <c r="K1805" s="686">
        <v>0</v>
      </c>
      <c r="L1805" s="686"/>
      <c r="M1805" s="686"/>
      <c r="N1805" s="686"/>
      <c r="O1805" s="686"/>
      <c r="P1805" s="686">
        <v>0</v>
      </c>
      <c r="Q1805" s="686"/>
      <c r="R1805" s="686"/>
      <c r="S1805" s="686"/>
      <c r="T1805" s="686"/>
      <c r="U1805" s="686">
        <v>0</v>
      </c>
      <c r="V1805" s="686"/>
      <c r="W1805" s="686"/>
      <c r="X1805" s="686"/>
      <c r="Y1805" s="686"/>
      <c r="Z1805" s="686">
        <v>0</v>
      </c>
      <c r="AA1805" s="686"/>
      <c r="AB1805" s="686"/>
      <c r="AC1805" s="686"/>
      <c r="AD1805" s="686"/>
      <c r="AE1805" s="686">
        <v>0</v>
      </c>
      <c r="AF1805" s="686"/>
      <c r="AG1805" s="686"/>
      <c r="AH1805" s="686"/>
      <c r="AI1805" s="686"/>
      <c r="AJ1805" s="686">
        <v>0</v>
      </c>
      <c r="AK1805" s="686"/>
      <c r="AL1805" s="686"/>
      <c r="AM1805" s="686"/>
      <c r="AN1805" s="686"/>
      <c r="AO1805" s="686">
        <v>0</v>
      </c>
      <c r="AP1805" s="686"/>
      <c r="AQ1805" s="686"/>
      <c r="AR1805" s="686"/>
      <c r="AS1805" s="686"/>
      <c r="AT1805" s="686">
        <v>0</v>
      </c>
      <c r="AU1805" s="686"/>
      <c r="AV1805" s="686"/>
      <c r="AW1805" s="686"/>
      <c r="AX1805" s="686"/>
      <c r="AY1805" s="686">
        <v>0</v>
      </c>
      <c r="AZ1805" s="686"/>
      <c r="BA1805" s="686"/>
      <c r="BB1805" s="686"/>
      <c r="BC1805" s="686"/>
      <c r="BD1805" s="686">
        <v>0</v>
      </c>
      <c r="BE1805" s="686"/>
      <c r="BF1805" s="686"/>
      <c r="BG1805" s="686"/>
      <c r="BH1805" s="686"/>
      <c r="BI1805" s="687">
        <v>0</v>
      </c>
      <c r="BJ1805" s="686"/>
      <c r="BK1805" s="686"/>
      <c r="BL1805" s="686"/>
      <c r="BM1805" s="686"/>
      <c r="BN1805" s="686">
        <v>0</v>
      </c>
      <c r="BO1805" s="686"/>
      <c r="BP1805" s="686"/>
      <c r="BQ1805" s="686"/>
      <c r="BR1805" s="686"/>
      <c r="BS1805" s="686">
        <v>0</v>
      </c>
      <c r="BT1805" s="686"/>
      <c r="BU1805" s="686"/>
      <c r="BV1805" s="686"/>
      <c r="BW1805" s="122"/>
    </row>
    <row r="1806" spans="1:75" s="123" customFormat="1" x14ac:dyDescent="0.5">
      <c r="A1806" s="118"/>
      <c r="B1806" s="187"/>
      <c r="C1806" s="187"/>
      <c r="D1806" s="187"/>
      <c r="E1806" s="187"/>
      <c r="F1806" s="187"/>
      <c r="G1806" s="187"/>
      <c r="H1806" s="187"/>
      <c r="I1806" s="187"/>
      <c r="J1806" s="187"/>
      <c r="K1806" s="187"/>
      <c r="L1806" s="187"/>
      <c r="M1806" s="187"/>
      <c r="N1806" s="187"/>
      <c r="O1806" s="187"/>
      <c r="P1806" s="187"/>
      <c r="Q1806" s="187"/>
      <c r="R1806" s="187"/>
      <c r="S1806" s="187"/>
      <c r="T1806" s="187"/>
      <c r="U1806" s="187"/>
      <c r="V1806" s="187"/>
      <c r="W1806" s="119"/>
      <c r="X1806" s="187"/>
      <c r="Y1806" s="119"/>
      <c r="Z1806" s="119"/>
      <c r="AA1806" s="119"/>
      <c r="AB1806" s="119"/>
      <c r="AC1806" s="187"/>
      <c r="AD1806" s="119"/>
      <c r="AE1806" s="119"/>
      <c r="AF1806" s="119"/>
      <c r="AG1806" s="119"/>
      <c r="AH1806" s="187"/>
      <c r="AI1806" s="119"/>
      <c r="AJ1806" s="119"/>
      <c r="AK1806" s="119"/>
      <c r="AL1806" s="119"/>
      <c r="AM1806" s="187"/>
      <c r="AN1806" s="119"/>
      <c r="AO1806" s="119"/>
      <c r="AP1806" s="119"/>
      <c r="AQ1806" s="119"/>
      <c r="AR1806" s="187"/>
      <c r="AS1806" s="119"/>
      <c r="AT1806" s="119"/>
      <c r="AU1806" s="119"/>
      <c r="AV1806" s="119"/>
      <c r="AW1806" s="187"/>
      <c r="AX1806" s="119"/>
      <c r="AY1806" s="119"/>
      <c r="AZ1806" s="119"/>
      <c r="BA1806" s="119"/>
      <c r="BB1806" s="187"/>
      <c r="BC1806" s="119"/>
      <c r="BD1806" s="119"/>
      <c r="BE1806" s="119"/>
      <c r="BF1806" s="119"/>
      <c r="BG1806" s="187"/>
      <c r="BH1806" s="119"/>
      <c r="BI1806" s="971"/>
      <c r="BJ1806" s="118"/>
      <c r="BK1806" s="118"/>
      <c r="BL1806" s="118"/>
      <c r="BM1806" s="118"/>
      <c r="BN1806" s="118"/>
      <c r="BO1806" s="118"/>
      <c r="BP1806" s="118"/>
      <c r="BQ1806" s="118"/>
      <c r="BR1806" s="118"/>
      <c r="BS1806" s="118"/>
      <c r="BT1806" s="119"/>
      <c r="BU1806" s="119"/>
      <c r="BV1806" s="118"/>
      <c r="BW1806" s="122"/>
    </row>
    <row r="1807" spans="1:75" s="198" customFormat="1" ht="14.25" x14ac:dyDescent="0.45">
      <c r="A1807" s="511" t="s">
        <v>1578</v>
      </c>
      <c r="B1807" s="511"/>
      <c r="C1807" s="511"/>
      <c r="D1807" s="511"/>
      <c r="E1807" s="511"/>
      <c r="F1807" s="511"/>
      <c r="G1807" s="511"/>
      <c r="H1807" s="511"/>
      <c r="I1807" s="511"/>
      <c r="J1807" s="511"/>
      <c r="K1807" s="511"/>
      <c r="L1807" s="511"/>
      <c r="M1807" s="511"/>
      <c r="N1807" s="511"/>
      <c r="O1807" s="511"/>
      <c r="P1807" s="511"/>
      <c r="Q1807" s="511"/>
      <c r="R1807" s="511"/>
      <c r="S1807" s="511"/>
      <c r="T1807" s="511"/>
      <c r="U1807" s="511"/>
      <c r="V1807" s="511"/>
      <c r="W1807" s="511"/>
      <c r="X1807" s="511"/>
      <c r="Y1807" s="511"/>
      <c r="Z1807" s="511"/>
      <c r="AA1807" s="511"/>
      <c r="AB1807" s="511"/>
      <c r="AC1807" s="511"/>
      <c r="AD1807" s="511"/>
      <c r="AE1807" s="511"/>
      <c r="AF1807" s="511"/>
      <c r="AG1807" s="511"/>
      <c r="AH1807" s="511"/>
      <c r="AI1807" s="511"/>
      <c r="AJ1807" s="511"/>
      <c r="AK1807" s="511"/>
      <c r="AL1807" s="511"/>
      <c r="AM1807" s="511"/>
      <c r="AN1807" s="511"/>
      <c r="AO1807" s="511"/>
      <c r="AP1807" s="511"/>
      <c r="AQ1807" s="511"/>
      <c r="AR1807" s="511"/>
      <c r="AS1807" s="511"/>
      <c r="AT1807" s="511"/>
      <c r="AU1807" s="511"/>
      <c r="AV1807" s="511"/>
      <c r="AW1807" s="511"/>
      <c r="AX1807" s="511"/>
      <c r="AY1807" s="511"/>
      <c r="AZ1807" s="511"/>
      <c r="BA1807" s="511"/>
      <c r="BB1807" s="511"/>
      <c r="BC1807" s="511"/>
      <c r="BD1807" s="511"/>
      <c r="BE1807" s="511"/>
      <c r="BF1807" s="511"/>
      <c r="BG1807" s="511"/>
      <c r="BH1807" s="511"/>
      <c r="BI1807" s="512"/>
      <c r="BJ1807" s="511"/>
      <c r="BK1807" s="511"/>
      <c r="BL1807" s="511"/>
      <c r="BM1807" s="511"/>
      <c r="BN1807" s="511"/>
      <c r="BO1807" s="511"/>
      <c r="BP1807" s="511"/>
      <c r="BQ1807" s="511"/>
      <c r="BR1807" s="511"/>
      <c r="BS1807" s="511"/>
      <c r="BT1807" s="511"/>
      <c r="BU1807" s="511"/>
      <c r="BV1807" s="511"/>
      <c r="BW1807" s="197"/>
    </row>
    <row r="1808" spans="1:75" s="123" customFormat="1" x14ac:dyDescent="0.5">
      <c r="A1808" s="972"/>
      <c r="B1808" s="118"/>
      <c r="C1808" s="973"/>
      <c r="D1808" s="973"/>
      <c r="E1808" s="119"/>
      <c r="F1808" s="119"/>
      <c r="G1808" s="119"/>
      <c r="H1808" s="119"/>
      <c r="I1808" s="119"/>
      <c r="J1808" s="119"/>
      <c r="K1808" s="119"/>
      <c r="L1808" s="119"/>
      <c r="M1808" s="119"/>
      <c r="N1808" s="119"/>
      <c r="O1808" s="119"/>
      <c r="P1808" s="119"/>
      <c r="Q1808" s="119"/>
      <c r="R1808" s="119"/>
      <c r="S1808" s="119"/>
      <c r="T1808" s="119"/>
      <c r="U1808" s="119"/>
      <c r="V1808" s="119"/>
      <c r="W1808" s="119"/>
      <c r="X1808" s="119"/>
      <c r="Y1808" s="119"/>
      <c r="Z1808" s="119"/>
      <c r="AA1808" s="119"/>
      <c r="AB1808" s="119"/>
      <c r="AC1808" s="119"/>
      <c r="AD1808" s="119"/>
      <c r="AE1808" s="119"/>
      <c r="AF1808" s="119"/>
      <c r="AG1808" s="119"/>
      <c r="AH1808" s="119"/>
      <c r="AI1808" s="119"/>
      <c r="AJ1808" s="119"/>
      <c r="AK1808" s="119"/>
      <c r="AL1808" s="119"/>
      <c r="AM1808" s="119"/>
      <c r="AN1808" s="119"/>
      <c r="AO1808" s="119"/>
      <c r="AP1808" s="119"/>
      <c r="AQ1808" s="119"/>
      <c r="AR1808" s="119"/>
      <c r="AS1808" s="119"/>
      <c r="AT1808" s="119"/>
      <c r="AU1808" s="119"/>
      <c r="AV1808" s="119"/>
      <c r="AW1808" s="119"/>
      <c r="AX1808" s="119"/>
      <c r="AY1808" s="119"/>
      <c r="AZ1808" s="119"/>
      <c r="BA1808" s="119"/>
      <c r="BB1808" s="119"/>
      <c r="BC1808" s="119"/>
      <c r="BD1808" s="119"/>
      <c r="BE1808" s="119"/>
      <c r="BF1808" s="119"/>
      <c r="BG1808" s="119"/>
      <c r="BH1808" s="119"/>
      <c r="BI1808" s="971"/>
      <c r="BJ1808" s="118"/>
      <c r="BK1808" s="118"/>
      <c r="BL1808" s="118"/>
      <c r="BM1808" s="118"/>
      <c r="BN1808" s="118"/>
      <c r="BO1808" s="118"/>
      <c r="BP1808" s="118"/>
      <c r="BQ1808" s="118"/>
      <c r="BR1808" s="118"/>
      <c r="BS1808" s="118"/>
      <c r="BT1808" s="119"/>
      <c r="BU1808" s="119"/>
      <c r="BV1808" s="118"/>
      <c r="BW1808" s="122"/>
    </row>
    <row r="1809" spans="1:75" s="169" customFormat="1" ht="14.25" x14ac:dyDescent="0.45">
      <c r="A1809" s="974" t="s">
        <v>1579</v>
      </c>
      <c r="B1809" s="975"/>
      <c r="C1809" s="976"/>
      <c r="D1809" s="976"/>
      <c r="E1809" s="247"/>
      <c r="F1809" s="247"/>
      <c r="G1809" s="247"/>
      <c r="H1809" s="247"/>
      <c r="I1809" s="247"/>
      <c r="J1809" s="247"/>
      <c r="K1809" s="247"/>
      <c r="L1809" s="247"/>
      <c r="M1809" s="247"/>
      <c r="N1809" s="247"/>
      <c r="O1809" s="247"/>
      <c r="P1809" s="247"/>
      <c r="Q1809" s="247"/>
      <c r="R1809" s="247"/>
      <c r="S1809" s="247"/>
      <c r="T1809" s="247"/>
      <c r="U1809" s="247"/>
      <c r="V1809" s="247"/>
      <c r="W1809" s="247"/>
      <c r="X1809" s="247"/>
      <c r="Y1809" s="247"/>
      <c r="Z1809" s="247"/>
      <c r="AA1809" s="247"/>
      <c r="AB1809" s="247"/>
      <c r="AC1809" s="247"/>
      <c r="AD1809" s="247"/>
      <c r="AE1809" s="247"/>
      <c r="AF1809" s="247"/>
      <c r="AG1809" s="247"/>
      <c r="AH1809" s="247"/>
      <c r="AI1809" s="247"/>
      <c r="AJ1809" s="247"/>
      <c r="AK1809" s="247"/>
      <c r="AL1809" s="247"/>
      <c r="AM1809" s="247"/>
      <c r="AN1809" s="247"/>
      <c r="AO1809" s="247"/>
      <c r="AP1809" s="247"/>
      <c r="AQ1809" s="247"/>
      <c r="AR1809" s="247"/>
      <c r="AS1809" s="247"/>
      <c r="AT1809" s="247"/>
      <c r="AU1809" s="247"/>
      <c r="AV1809" s="247"/>
      <c r="AW1809" s="247"/>
      <c r="AX1809" s="247"/>
      <c r="AY1809" s="247"/>
      <c r="AZ1809" s="247"/>
      <c r="BA1809" s="247"/>
      <c r="BB1809" s="247"/>
      <c r="BC1809" s="247"/>
      <c r="BD1809" s="247"/>
      <c r="BE1809" s="247"/>
      <c r="BF1809" s="247"/>
      <c r="BG1809" s="247"/>
      <c r="BH1809" s="247"/>
      <c r="BI1809" s="977"/>
      <c r="BJ1809" s="247"/>
      <c r="BK1809" s="247"/>
      <c r="BL1809" s="247"/>
      <c r="BM1809" s="247"/>
      <c r="BN1809" s="247"/>
      <c r="BO1809" s="247"/>
      <c r="BP1809" s="247"/>
      <c r="BQ1809" s="247"/>
      <c r="BR1809" s="247"/>
      <c r="BS1809" s="247"/>
      <c r="BT1809" s="247"/>
      <c r="BU1809" s="247"/>
      <c r="BV1809" s="247"/>
      <c r="BW1809" s="168"/>
    </row>
    <row r="1810" spans="1:75" s="169" customFormat="1" ht="14.25" x14ac:dyDescent="0.45">
      <c r="A1810" s="978" t="s">
        <v>1580</v>
      </c>
      <c r="B1810" s="979"/>
      <c r="C1810" s="980"/>
      <c r="D1810" s="980"/>
      <c r="E1810" s="254"/>
      <c r="F1810" s="254"/>
      <c r="G1810" s="254"/>
      <c r="H1810" s="254"/>
      <c r="I1810" s="254"/>
      <c r="J1810" s="254"/>
      <c r="K1810" s="254"/>
      <c r="L1810" s="254"/>
      <c r="M1810" s="254"/>
      <c r="N1810" s="254"/>
      <c r="O1810" s="254"/>
      <c r="P1810" s="254"/>
      <c r="Q1810" s="254"/>
      <c r="R1810" s="254"/>
      <c r="S1810" s="254"/>
      <c r="T1810" s="254"/>
      <c r="U1810" s="254"/>
      <c r="V1810" s="254"/>
      <c r="W1810" s="254"/>
      <c r="X1810" s="254"/>
      <c r="Y1810" s="254"/>
      <c r="Z1810" s="254"/>
      <c r="AA1810" s="254"/>
      <c r="AB1810" s="254"/>
      <c r="AC1810" s="254"/>
      <c r="AD1810" s="254"/>
      <c r="AE1810" s="254"/>
      <c r="AF1810" s="254"/>
      <c r="AG1810" s="254"/>
      <c r="AH1810" s="254"/>
      <c r="AI1810" s="254"/>
      <c r="AJ1810" s="254"/>
      <c r="AK1810" s="254"/>
      <c r="AL1810" s="254"/>
      <c r="AM1810" s="254"/>
      <c r="AN1810" s="254"/>
      <c r="AO1810" s="254"/>
      <c r="AP1810" s="254"/>
      <c r="AQ1810" s="254"/>
      <c r="AR1810" s="254"/>
      <c r="AS1810" s="254"/>
      <c r="AT1810" s="254"/>
      <c r="AU1810" s="254"/>
      <c r="AV1810" s="254"/>
      <c r="AW1810" s="254"/>
      <c r="AX1810" s="254"/>
      <c r="AY1810" s="254"/>
      <c r="AZ1810" s="254"/>
      <c r="BA1810" s="254"/>
      <c r="BB1810" s="254"/>
      <c r="BC1810" s="254"/>
      <c r="BD1810" s="254"/>
      <c r="BE1810" s="254"/>
      <c r="BF1810" s="254"/>
      <c r="BG1810" s="254"/>
      <c r="BH1810" s="254"/>
      <c r="BI1810" s="981"/>
      <c r="BJ1810" s="254"/>
      <c r="BK1810" s="254"/>
      <c r="BL1810" s="254"/>
      <c r="BM1810" s="254"/>
      <c r="BN1810" s="254"/>
      <c r="BO1810" s="254"/>
      <c r="BP1810" s="254"/>
      <c r="BQ1810" s="254"/>
      <c r="BR1810" s="254"/>
      <c r="BS1810" s="254"/>
      <c r="BT1810" s="254"/>
      <c r="BU1810" s="254"/>
      <c r="BV1810" s="254"/>
      <c r="BW1810" s="168"/>
    </row>
    <row r="1811" spans="1:75" s="224" customFormat="1" x14ac:dyDescent="0.5">
      <c r="A1811" s="982" t="s">
        <v>100</v>
      </c>
      <c r="B1811" s="979"/>
      <c r="C1811" s="980"/>
      <c r="D1811" s="980"/>
      <c r="E1811" s="254"/>
      <c r="F1811" s="254"/>
      <c r="G1811" s="254"/>
      <c r="H1811" s="254"/>
      <c r="I1811" s="254"/>
      <c r="J1811" s="254"/>
      <c r="K1811" s="254"/>
      <c r="L1811" s="254"/>
      <c r="M1811" s="254"/>
      <c r="N1811" s="254"/>
      <c r="O1811" s="254"/>
      <c r="P1811" s="254"/>
      <c r="Q1811" s="254"/>
      <c r="R1811" s="254"/>
      <c r="S1811" s="254"/>
      <c r="T1811" s="254"/>
      <c r="U1811" s="254"/>
      <c r="V1811" s="254"/>
      <c r="W1811" s="254"/>
      <c r="X1811" s="254"/>
      <c r="Y1811" s="254"/>
      <c r="Z1811" s="254"/>
      <c r="AA1811" s="254"/>
      <c r="AB1811" s="254"/>
      <c r="AC1811" s="254"/>
      <c r="AD1811" s="254"/>
      <c r="AE1811" s="254"/>
      <c r="AF1811" s="254"/>
      <c r="AG1811" s="254"/>
      <c r="AH1811" s="254"/>
      <c r="AI1811" s="254"/>
      <c r="AJ1811" s="254"/>
      <c r="AK1811" s="254"/>
      <c r="AL1811" s="254"/>
      <c r="AM1811" s="254"/>
      <c r="AN1811" s="254"/>
      <c r="AO1811" s="254"/>
      <c r="AP1811" s="254"/>
      <c r="AQ1811" s="254"/>
      <c r="AR1811" s="254"/>
      <c r="AS1811" s="254"/>
      <c r="AT1811" s="254"/>
      <c r="AU1811" s="254"/>
      <c r="AV1811" s="254"/>
      <c r="AW1811" s="254"/>
      <c r="AX1811" s="254"/>
      <c r="AY1811" s="254"/>
      <c r="AZ1811" s="254"/>
      <c r="BA1811" s="254"/>
      <c r="BB1811" s="254"/>
      <c r="BC1811" s="254"/>
      <c r="BD1811" s="254"/>
      <c r="BE1811" s="254"/>
      <c r="BF1811" s="254"/>
      <c r="BG1811" s="254"/>
      <c r="BH1811" s="254"/>
      <c r="BI1811" s="981"/>
      <c r="BJ1811" s="487"/>
      <c r="BK1811" s="487"/>
      <c r="BL1811" s="487"/>
      <c r="BM1811" s="487"/>
      <c r="BN1811" s="487"/>
      <c r="BO1811" s="487"/>
      <c r="BP1811" s="487"/>
      <c r="BQ1811" s="487"/>
      <c r="BR1811" s="487"/>
      <c r="BS1811" s="487"/>
      <c r="BT1811" s="254"/>
      <c r="BU1811" s="254"/>
      <c r="BV1811" s="487"/>
      <c r="BW1811" s="223"/>
    </row>
    <row r="1812" spans="1:75" s="224" customFormat="1" x14ac:dyDescent="0.5">
      <c r="A1812" s="983" t="s">
        <v>1581</v>
      </c>
      <c r="B1812" s="979"/>
      <c r="C1812" s="980"/>
      <c r="D1812" s="980"/>
      <c r="E1812" s="254"/>
      <c r="F1812" s="254"/>
      <c r="G1812" s="254"/>
      <c r="H1812" s="254"/>
      <c r="I1812" s="254"/>
      <c r="J1812" s="254"/>
      <c r="K1812" s="254"/>
      <c r="L1812" s="254"/>
      <c r="M1812" s="254"/>
      <c r="N1812" s="254"/>
      <c r="O1812" s="254"/>
      <c r="P1812" s="254"/>
      <c r="Q1812" s="254"/>
      <c r="R1812" s="254"/>
      <c r="S1812" s="254"/>
      <c r="T1812" s="254"/>
      <c r="U1812" s="254"/>
      <c r="V1812" s="254"/>
      <c r="W1812" s="254"/>
      <c r="X1812" s="254"/>
      <c r="Y1812" s="254"/>
      <c r="Z1812" s="254"/>
      <c r="AA1812" s="254"/>
      <c r="AB1812" s="254"/>
      <c r="AC1812" s="254"/>
      <c r="AD1812" s="254"/>
      <c r="AE1812" s="254"/>
      <c r="AF1812" s="254"/>
      <c r="AG1812" s="254"/>
      <c r="AH1812" s="254"/>
      <c r="AI1812" s="254"/>
      <c r="AJ1812" s="254"/>
      <c r="AK1812" s="254"/>
      <c r="AL1812" s="254"/>
      <c r="AM1812" s="254"/>
      <c r="AN1812" s="254"/>
      <c r="AO1812" s="254"/>
      <c r="AP1812" s="254"/>
      <c r="AQ1812" s="254"/>
      <c r="AR1812" s="254"/>
      <c r="AS1812" s="254"/>
      <c r="AT1812" s="254"/>
      <c r="AU1812" s="254"/>
      <c r="AV1812" s="254"/>
      <c r="AW1812" s="254"/>
      <c r="AX1812" s="254"/>
      <c r="AY1812" s="254"/>
      <c r="AZ1812" s="254"/>
      <c r="BA1812" s="254"/>
      <c r="BB1812" s="254"/>
      <c r="BC1812" s="254"/>
      <c r="BD1812" s="254"/>
      <c r="BE1812" s="254"/>
      <c r="BF1812" s="254"/>
      <c r="BG1812" s="254"/>
      <c r="BH1812" s="254"/>
      <c r="BI1812" s="981"/>
      <c r="BJ1812" s="487"/>
      <c r="BK1812" s="487"/>
      <c r="BL1812" s="487"/>
      <c r="BM1812" s="487"/>
      <c r="BN1812" s="487"/>
      <c r="BO1812" s="487"/>
      <c r="BP1812" s="487"/>
      <c r="BQ1812" s="487"/>
      <c r="BR1812" s="487"/>
      <c r="BS1812" s="487"/>
      <c r="BT1812" s="254"/>
      <c r="BU1812" s="254"/>
      <c r="BV1812" s="487"/>
      <c r="BW1812" s="223"/>
    </row>
    <row r="1813" spans="1:75" s="224" customFormat="1" x14ac:dyDescent="0.5">
      <c r="A1813" s="984" t="s">
        <v>1582</v>
      </c>
      <c r="B1813" s="979"/>
      <c r="C1813" s="980"/>
      <c r="D1813" s="980"/>
      <c r="E1813" s="254"/>
      <c r="F1813" s="254"/>
      <c r="G1813" s="254"/>
      <c r="H1813" s="254"/>
      <c r="I1813" s="254"/>
      <c r="J1813" s="254"/>
      <c r="K1813" s="254"/>
      <c r="L1813" s="254"/>
      <c r="M1813" s="254"/>
      <c r="N1813" s="254"/>
      <c r="O1813" s="254"/>
      <c r="P1813" s="254"/>
      <c r="Q1813" s="254"/>
      <c r="R1813" s="254"/>
      <c r="S1813" s="254"/>
      <c r="T1813" s="254"/>
      <c r="U1813" s="254"/>
      <c r="V1813" s="254"/>
      <c r="W1813" s="254"/>
      <c r="X1813" s="254"/>
      <c r="Y1813" s="254"/>
      <c r="Z1813" s="254"/>
      <c r="AA1813" s="254"/>
      <c r="AB1813" s="254"/>
      <c r="AC1813" s="254"/>
      <c r="AD1813" s="254"/>
      <c r="AE1813" s="254"/>
      <c r="AF1813" s="254"/>
      <c r="AG1813" s="254"/>
      <c r="AH1813" s="254"/>
      <c r="AI1813" s="254"/>
      <c r="AJ1813" s="254"/>
      <c r="AK1813" s="254"/>
      <c r="AL1813" s="254"/>
      <c r="AM1813" s="254"/>
      <c r="AN1813" s="254"/>
      <c r="AO1813" s="254"/>
      <c r="AP1813" s="254"/>
      <c r="AQ1813" s="254"/>
      <c r="AR1813" s="254"/>
      <c r="AS1813" s="254"/>
      <c r="AT1813" s="254"/>
      <c r="AU1813" s="254"/>
      <c r="AV1813" s="254"/>
      <c r="AW1813" s="254"/>
      <c r="AX1813" s="254"/>
      <c r="AY1813" s="254"/>
      <c r="AZ1813" s="254"/>
      <c r="BA1813" s="254"/>
      <c r="BB1813" s="254"/>
      <c r="BC1813" s="254"/>
      <c r="BD1813" s="254"/>
      <c r="BE1813" s="254"/>
      <c r="BF1813" s="254"/>
      <c r="BG1813" s="254"/>
      <c r="BH1813" s="254"/>
      <c r="BI1813" s="981"/>
      <c r="BJ1813" s="487"/>
      <c r="BK1813" s="487"/>
      <c r="BL1813" s="487"/>
      <c r="BM1813" s="487"/>
      <c r="BN1813" s="487"/>
      <c r="BO1813" s="487"/>
      <c r="BP1813" s="487"/>
      <c r="BQ1813" s="487"/>
      <c r="BR1813" s="487"/>
      <c r="BS1813" s="487"/>
      <c r="BT1813" s="254"/>
      <c r="BU1813" s="254"/>
      <c r="BV1813" s="487"/>
      <c r="BW1813" s="223"/>
    </row>
    <row r="1814" spans="1:75" s="224" customFormat="1" x14ac:dyDescent="0.5">
      <c r="A1814" s="985" t="s">
        <v>1583</v>
      </c>
      <c r="B1814" s="979"/>
      <c r="C1814" s="980"/>
      <c r="D1814" s="980"/>
      <c r="E1814" s="254"/>
      <c r="F1814" s="254"/>
      <c r="G1814" s="254"/>
      <c r="H1814" s="254"/>
      <c r="I1814" s="254"/>
      <c r="J1814" s="254"/>
      <c r="K1814" s="254"/>
      <c r="L1814" s="254"/>
      <c r="M1814" s="254"/>
      <c r="N1814" s="254"/>
      <c r="O1814" s="254"/>
      <c r="P1814" s="254"/>
      <c r="Q1814" s="254"/>
      <c r="R1814" s="254"/>
      <c r="S1814" s="254"/>
      <c r="T1814" s="254"/>
      <c r="U1814" s="254"/>
      <c r="V1814" s="254"/>
      <c r="W1814" s="254"/>
      <c r="X1814" s="254"/>
      <c r="Y1814" s="254"/>
      <c r="Z1814" s="254"/>
      <c r="AA1814" s="254"/>
      <c r="AB1814" s="254"/>
      <c r="AC1814" s="254"/>
      <c r="AD1814" s="254"/>
      <c r="AE1814" s="254"/>
      <c r="AF1814" s="254"/>
      <c r="AG1814" s="254"/>
      <c r="AH1814" s="254"/>
      <c r="AI1814" s="254"/>
      <c r="AJ1814" s="254"/>
      <c r="AK1814" s="254"/>
      <c r="AL1814" s="254"/>
      <c r="AM1814" s="254"/>
      <c r="AN1814" s="254"/>
      <c r="AO1814" s="254"/>
      <c r="AP1814" s="254"/>
      <c r="AQ1814" s="254"/>
      <c r="AR1814" s="254"/>
      <c r="AS1814" s="254"/>
      <c r="AT1814" s="254"/>
      <c r="AU1814" s="254"/>
      <c r="AV1814" s="254"/>
      <c r="AW1814" s="254"/>
      <c r="AX1814" s="254"/>
      <c r="AY1814" s="254"/>
      <c r="AZ1814" s="254"/>
      <c r="BA1814" s="254"/>
      <c r="BB1814" s="254"/>
      <c r="BC1814" s="254"/>
      <c r="BD1814" s="254"/>
      <c r="BE1814" s="254"/>
      <c r="BF1814" s="254"/>
      <c r="BG1814" s="254"/>
      <c r="BH1814" s="254"/>
      <c r="BI1814" s="981"/>
      <c r="BJ1814" s="487"/>
      <c r="BK1814" s="487"/>
      <c r="BL1814" s="487"/>
      <c r="BM1814" s="487"/>
      <c r="BN1814" s="487"/>
      <c r="BO1814" s="487"/>
      <c r="BP1814" s="487"/>
      <c r="BQ1814" s="487"/>
      <c r="BR1814" s="487"/>
      <c r="BS1814" s="487"/>
      <c r="BT1814" s="254"/>
      <c r="BU1814" s="254"/>
      <c r="BV1814" s="487"/>
      <c r="BW1814" s="223"/>
    </row>
    <row r="1815" spans="1:75" s="224" customFormat="1" x14ac:dyDescent="0.5">
      <c r="A1815" s="986"/>
      <c r="B1815" s="987"/>
      <c r="C1815" s="980"/>
      <c r="D1815" s="980"/>
      <c r="E1815" s="254"/>
      <c r="F1815" s="254"/>
      <c r="G1815" s="254"/>
      <c r="H1815" s="254"/>
      <c r="I1815" s="254"/>
      <c r="J1815" s="254"/>
      <c r="K1815" s="254"/>
      <c r="L1815" s="254"/>
      <c r="M1815" s="254"/>
      <c r="N1815" s="254"/>
      <c r="O1815" s="254"/>
      <c r="P1815" s="254"/>
      <c r="Q1815" s="254"/>
      <c r="R1815" s="254"/>
      <c r="S1815" s="254"/>
      <c r="T1815" s="254"/>
      <c r="U1815" s="254"/>
      <c r="V1815" s="254"/>
      <c r="W1815" s="254"/>
      <c r="X1815" s="254"/>
      <c r="Y1815" s="254"/>
      <c r="Z1815" s="254"/>
      <c r="AA1815" s="254"/>
      <c r="AB1815" s="254"/>
      <c r="AC1815" s="254"/>
      <c r="AD1815" s="254"/>
      <c r="AE1815" s="254"/>
      <c r="AF1815" s="254"/>
      <c r="AG1815" s="254"/>
      <c r="AH1815" s="254"/>
      <c r="AI1815" s="254"/>
      <c r="AJ1815" s="254"/>
      <c r="AK1815" s="254"/>
      <c r="AL1815" s="254"/>
      <c r="AM1815" s="254"/>
      <c r="AN1815" s="254"/>
      <c r="AO1815" s="254"/>
      <c r="AP1815" s="254"/>
      <c r="AQ1815" s="254"/>
      <c r="AR1815" s="254"/>
      <c r="AS1815" s="254"/>
      <c r="AT1815" s="254"/>
      <c r="AU1815" s="254"/>
      <c r="AV1815" s="254"/>
      <c r="AW1815" s="254"/>
      <c r="AX1815" s="254"/>
      <c r="AY1815" s="254"/>
      <c r="AZ1815" s="254"/>
      <c r="BA1815" s="254"/>
      <c r="BB1815" s="254"/>
      <c r="BC1815" s="254"/>
      <c r="BD1815" s="254"/>
      <c r="BE1815" s="254"/>
      <c r="BF1815" s="254"/>
      <c r="BG1815" s="254"/>
      <c r="BH1815" s="254"/>
      <c r="BI1815" s="981"/>
      <c r="BJ1815" s="487"/>
      <c r="BK1815" s="487"/>
      <c r="BL1815" s="487"/>
      <c r="BM1815" s="487"/>
      <c r="BN1815" s="487"/>
      <c r="BO1815" s="487"/>
      <c r="BP1815" s="487"/>
      <c r="BQ1815" s="487"/>
      <c r="BR1815" s="487"/>
      <c r="BS1815" s="487"/>
      <c r="BT1815" s="254"/>
      <c r="BU1815" s="254"/>
      <c r="BV1815" s="487"/>
      <c r="BW1815" s="223"/>
    </row>
    <row r="1816" spans="1:75" s="135" customFormat="1" ht="14.25" x14ac:dyDescent="0.45">
      <c r="A1816" s="988" t="s">
        <v>1584</v>
      </c>
      <c r="B1816" s="989"/>
      <c r="C1816" s="990"/>
      <c r="D1816" s="990"/>
      <c r="E1816" s="990"/>
      <c r="F1816" s="990"/>
      <c r="G1816" s="990"/>
      <c r="H1816" s="990"/>
      <c r="I1816" s="990"/>
      <c r="J1816" s="990"/>
      <c r="K1816" s="990"/>
      <c r="L1816" s="990"/>
      <c r="M1816" s="990"/>
      <c r="N1816" s="990"/>
      <c r="O1816" s="990"/>
      <c r="P1816" s="990"/>
      <c r="Q1816" s="990"/>
      <c r="R1816" s="990"/>
      <c r="S1816" s="990"/>
      <c r="T1816" s="990"/>
      <c r="U1816" s="990"/>
      <c r="V1816" s="990"/>
      <c r="W1816" s="990"/>
      <c r="X1816" s="990"/>
      <c r="Y1816" s="990"/>
      <c r="Z1816" s="990"/>
      <c r="AA1816" s="990"/>
      <c r="AB1816" s="990"/>
      <c r="AC1816" s="990"/>
      <c r="AD1816" s="990"/>
      <c r="AE1816" s="990"/>
      <c r="AF1816" s="990"/>
      <c r="AG1816" s="990"/>
      <c r="AH1816" s="990"/>
      <c r="AI1816" s="990"/>
      <c r="AJ1816" s="990"/>
      <c r="AK1816" s="990"/>
      <c r="AL1816" s="990"/>
      <c r="AM1816" s="990"/>
      <c r="AN1816" s="990"/>
      <c r="AO1816" s="990"/>
      <c r="AP1816" s="990"/>
      <c r="AQ1816" s="990"/>
      <c r="AR1816" s="990"/>
      <c r="AS1816" s="990"/>
      <c r="AT1816" s="990"/>
      <c r="AU1816" s="990"/>
      <c r="AV1816" s="990"/>
      <c r="AW1816" s="990"/>
      <c r="AX1816" s="990"/>
      <c r="AY1816" s="990"/>
      <c r="AZ1816" s="990"/>
      <c r="BA1816" s="990"/>
      <c r="BB1816" s="990"/>
      <c r="BC1816" s="990"/>
      <c r="BD1816" s="990"/>
      <c r="BE1816" s="990"/>
      <c r="BF1816" s="990"/>
      <c r="BG1816" s="990"/>
      <c r="BH1816" s="990"/>
      <c r="BI1816" s="991"/>
      <c r="BJ1816" s="990"/>
      <c r="BK1816" s="990"/>
      <c r="BL1816" s="990"/>
      <c r="BM1816" s="990"/>
      <c r="BN1816" s="990"/>
      <c r="BO1816" s="990"/>
      <c r="BP1816" s="990"/>
      <c r="BQ1816" s="990"/>
      <c r="BR1816" s="990"/>
      <c r="BS1816" s="990"/>
      <c r="BT1816" s="990"/>
      <c r="BU1816" s="990"/>
      <c r="BV1816" s="990"/>
      <c r="BW1816" s="134"/>
    </row>
    <row r="1817" spans="1:75" s="224" customFormat="1" x14ac:dyDescent="0.5">
      <c r="A1817" s="992" t="s">
        <v>1585</v>
      </c>
      <c r="B1817" s="993">
        <v>1</v>
      </c>
      <c r="C1817" s="254"/>
      <c r="D1817" s="980"/>
      <c r="E1817" s="254"/>
      <c r="F1817" s="254"/>
      <c r="G1817" s="254"/>
      <c r="H1817" s="254"/>
      <c r="I1817" s="254"/>
      <c r="J1817" s="254"/>
      <c r="K1817" s="254"/>
      <c r="L1817" s="254"/>
      <c r="M1817" s="254"/>
      <c r="N1817" s="254"/>
      <c r="O1817" s="254"/>
      <c r="P1817" s="254"/>
      <c r="Q1817" s="254"/>
      <c r="R1817" s="254"/>
      <c r="S1817" s="254"/>
      <c r="T1817" s="254"/>
      <c r="U1817" s="254"/>
      <c r="V1817" s="254"/>
      <c r="W1817" s="254"/>
      <c r="X1817" s="254"/>
      <c r="Y1817" s="254"/>
      <c r="Z1817" s="254"/>
      <c r="AA1817" s="254"/>
      <c r="AB1817" s="254"/>
      <c r="AC1817" s="254"/>
      <c r="AD1817" s="254"/>
      <c r="AE1817" s="254"/>
      <c r="AF1817" s="254"/>
      <c r="AG1817" s="254"/>
      <c r="AH1817" s="254"/>
      <c r="AI1817" s="254"/>
      <c r="AJ1817" s="254"/>
      <c r="AK1817" s="254"/>
      <c r="AL1817" s="254"/>
      <c r="AM1817" s="254"/>
      <c r="AN1817" s="254"/>
      <c r="AO1817" s="254"/>
      <c r="AP1817" s="254"/>
      <c r="AQ1817" s="254"/>
      <c r="AR1817" s="254"/>
      <c r="AS1817" s="254"/>
      <c r="AT1817" s="254"/>
      <c r="AU1817" s="254"/>
      <c r="AV1817" s="254"/>
      <c r="AW1817" s="254"/>
      <c r="AX1817" s="254"/>
      <c r="AY1817" s="254"/>
      <c r="AZ1817" s="254"/>
      <c r="BA1817" s="254"/>
      <c r="BB1817" s="254"/>
      <c r="BC1817" s="254"/>
      <c r="BD1817" s="254"/>
      <c r="BE1817" s="254"/>
      <c r="BF1817" s="254"/>
      <c r="BG1817" s="254"/>
      <c r="BH1817" s="254"/>
      <c r="BI1817" s="981"/>
      <c r="BJ1817" s="487"/>
      <c r="BK1817" s="487"/>
      <c r="BL1817" s="487"/>
      <c r="BM1817" s="487"/>
      <c r="BN1817" s="487"/>
      <c r="BO1817" s="487"/>
      <c r="BP1817" s="487"/>
      <c r="BQ1817" s="487"/>
      <c r="BR1817" s="487"/>
      <c r="BS1817" s="487"/>
      <c r="BT1817" s="254"/>
      <c r="BU1817" s="254"/>
      <c r="BV1817" s="487"/>
      <c r="BW1817" s="223"/>
    </row>
    <row r="1818" spans="1:75" s="224" customFormat="1" x14ac:dyDescent="0.5">
      <c r="A1818" s="992" t="s">
        <v>1586</v>
      </c>
      <c r="B1818" s="993">
        <v>2</v>
      </c>
      <c r="C1818" s="254"/>
      <c r="D1818" s="980"/>
      <c r="E1818" s="254"/>
      <c r="F1818" s="254"/>
      <c r="G1818" s="254"/>
      <c r="H1818" s="254"/>
      <c r="I1818" s="254"/>
      <c r="J1818" s="254"/>
      <c r="K1818" s="254"/>
      <c r="L1818" s="254"/>
      <c r="M1818" s="254"/>
      <c r="N1818" s="254"/>
      <c r="O1818" s="254"/>
      <c r="P1818" s="254"/>
      <c r="Q1818" s="254"/>
      <c r="R1818" s="254"/>
      <c r="S1818" s="254"/>
      <c r="T1818" s="254"/>
      <c r="U1818" s="254"/>
      <c r="V1818" s="254"/>
      <c r="W1818" s="254"/>
      <c r="X1818" s="254"/>
      <c r="Y1818" s="254"/>
      <c r="Z1818" s="254"/>
      <c r="AA1818" s="254"/>
      <c r="AB1818" s="254"/>
      <c r="AC1818" s="254"/>
      <c r="AD1818" s="254"/>
      <c r="AE1818" s="254"/>
      <c r="AF1818" s="254"/>
      <c r="AG1818" s="254"/>
      <c r="AH1818" s="254"/>
      <c r="AI1818" s="254"/>
      <c r="AJ1818" s="254"/>
      <c r="AK1818" s="254"/>
      <c r="AL1818" s="254"/>
      <c r="AM1818" s="254"/>
      <c r="AN1818" s="254"/>
      <c r="AO1818" s="254"/>
      <c r="AP1818" s="254"/>
      <c r="AQ1818" s="254"/>
      <c r="AR1818" s="254"/>
      <c r="AS1818" s="254"/>
      <c r="AT1818" s="254"/>
      <c r="AU1818" s="254"/>
      <c r="AV1818" s="254"/>
      <c r="AW1818" s="254"/>
      <c r="AX1818" s="254"/>
      <c r="AY1818" s="254"/>
      <c r="AZ1818" s="254"/>
      <c r="BA1818" s="254"/>
      <c r="BB1818" s="254"/>
      <c r="BC1818" s="254"/>
      <c r="BD1818" s="254"/>
      <c r="BE1818" s="254"/>
      <c r="BF1818" s="254"/>
      <c r="BG1818" s="254"/>
      <c r="BH1818" s="254"/>
      <c r="BI1818" s="981"/>
      <c r="BJ1818" s="487"/>
      <c r="BK1818" s="487"/>
      <c r="BL1818" s="487"/>
      <c r="BM1818" s="487"/>
      <c r="BN1818" s="487"/>
      <c r="BO1818" s="487"/>
      <c r="BP1818" s="487"/>
      <c r="BQ1818" s="487"/>
      <c r="BR1818" s="487"/>
      <c r="BS1818" s="487"/>
      <c r="BT1818" s="254"/>
      <c r="BU1818" s="254"/>
      <c r="BV1818" s="487"/>
      <c r="BW1818" s="223"/>
    </row>
    <row r="1819" spans="1:75" s="224" customFormat="1" x14ac:dyDescent="0.5">
      <c r="A1819" s="992" t="s">
        <v>1587</v>
      </c>
      <c r="B1819" s="993">
        <v>3</v>
      </c>
      <c r="C1819" s="254"/>
      <c r="D1819" s="980"/>
      <c r="E1819" s="254"/>
      <c r="F1819" s="254"/>
      <c r="G1819" s="254"/>
      <c r="H1819" s="254"/>
      <c r="I1819" s="254"/>
      <c r="J1819" s="254"/>
      <c r="K1819" s="254"/>
      <c r="L1819" s="254"/>
      <c r="M1819" s="254"/>
      <c r="N1819" s="254"/>
      <c r="O1819" s="254"/>
      <c r="P1819" s="254"/>
      <c r="Q1819" s="254"/>
      <c r="R1819" s="254"/>
      <c r="S1819" s="254"/>
      <c r="T1819" s="254"/>
      <c r="U1819" s="254"/>
      <c r="V1819" s="254"/>
      <c r="W1819" s="254"/>
      <c r="X1819" s="254"/>
      <c r="Y1819" s="254"/>
      <c r="Z1819" s="254"/>
      <c r="AA1819" s="254"/>
      <c r="AB1819" s="254"/>
      <c r="AC1819" s="254"/>
      <c r="AD1819" s="254"/>
      <c r="AE1819" s="254"/>
      <c r="AF1819" s="254"/>
      <c r="AG1819" s="254"/>
      <c r="AH1819" s="254"/>
      <c r="AI1819" s="254"/>
      <c r="AJ1819" s="254"/>
      <c r="AK1819" s="254"/>
      <c r="AL1819" s="254"/>
      <c r="AM1819" s="254"/>
      <c r="AN1819" s="254"/>
      <c r="AO1819" s="254"/>
      <c r="AP1819" s="254"/>
      <c r="AQ1819" s="254"/>
      <c r="AR1819" s="254"/>
      <c r="AS1819" s="254"/>
      <c r="AT1819" s="254"/>
      <c r="AU1819" s="254"/>
      <c r="AV1819" s="254"/>
      <c r="AW1819" s="254"/>
      <c r="AX1819" s="254"/>
      <c r="AY1819" s="254"/>
      <c r="AZ1819" s="254"/>
      <c r="BA1819" s="254"/>
      <c r="BB1819" s="254"/>
      <c r="BC1819" s="254"/>
      <c r="BD1819" s="254"/>
      <c r="BE1819" s="254"/>
      <c r="BF1819" s="254"/>
      <c r="BG1819" s="254"/>
      <c r="BH1819" s="254"/>
      <c r="BI1819" s="981"/>
      <c r="BJ1819" s="254"/>
      <c r="BK1819" s="254"/>
      <c r="BL1819" s="254"/>
      <c r="BM1819" s="254"/>
      <c r="BN1819" s="254"/>
      <c r="BO1819" s="254"/>
      <c r="BP1819" s="254"/>
      <c r="BQ1819" s="254"/>
      <c r="BR1819" s="254"/>
      <c r="BS1819" s="254"/>
      <c r="BT1819" s="254"/>
      <c r="BU1819" s="254"/>
      <c r="BV1819" s="254"/>
      <c r="BW1819" s="223"/>
    </row>
    <row r="1820" spans="1:75" s="224" customFormat="1" x14ac:dyDescent="0.5">
      <c r="A1820" s="994" t="s">
        <v>1322</v>
      </c>
      <c r="B1820" s="995">
        <v>4</v>
      </c>
      <c r="C1820" s="254"/>
      <c r="D1820" s="980"/>
      <c r="E1820" s="254"/>
      <c r="F1820" s="254"/>
      <c r="G1820" s="254"/>
      <c r="H1820" s="254"/>
      <c r="I1820" s="254"/>
      <c r="J1820" s="254"/>
      <c r="K1820" s="254"/>
      <c r="L1820" s="254"/>
      <c r="M1820" s="254"/>
      <c r="N1820" s="254"/>
      <c r="O1820" s="254"/>
      <c r="P1820" s="254"/>
      <c r="Q1820" s="254"/>
      <c r="R1820" s="254"/>
      <c r="S1820" s="254"/>
      <c r="T1820" s="254"/>
      <c r="U1820" s="254"/>
      <c r="V1820" s="254"/>
      <c r="W1820" s="254"/>
      <c r="X1820" s="254"/>
      <c r="Y1820" s="254"/>
      <c r="Z1820" s="254"/>
      <c r="AA1820" s="254"/>
      <c r="AB1820" s="254"/>
      <c r="AC1820" s="254"/>
      <c r="AD1820" s="254"/>
      <c r="AE1820" s="254"/>
      <c r="AF1820" s="254"/>
      <c r="AG1820" s="254"/>
      <c r="AH1820" s="254"/>
      <c r="AI1820" s="254"/>
      <c r="AJ1820" s="254"/>
      <c r="AK1820" s="254"/>
      <c r="AL1820" s="254"/>
      <c r="AM1820" s="254"/>
      <c r="AN1820" s="254"/>
      <c r="AO1820" s="254"/>
      <c r="AP1820" s="254"/>
      <c r="AQ1820" s="254"/>
      <c r="AR1820" s="254"/>
      <c r="AS1820" s="254"/>
      <c r="AT1820" s="254"/>
      <c r="AU1820" s="254"/>
      <c r="AV1820" s="254"/>
      <c r="AW1820" s="254"/>
      <c r="AX1820" s="254"/>
      <c r="AY1820" s="254"/>
      <c r="AZ1820" s="254"/>
      <c r="BA1820" s="254"/>
      <c r="BB1820" s="254"/>
      <c r="BC1820" s="254"/>
      <c r="BD1820" s="254"/>
      <c r="BE1820" s="254"/>
      <c r="BF1820" s="254"/>
      <c r="BG1820" s="254"/>
      <c r="BH1820" s="254"/>
      <c r="BI1820" s="981"/>
      <c r="BJ1820" s="254"/>
      <c r="BK1820" s="254"/>
      <c r="BL1820" s="254"/>
      <c r="BM1820" s="254"/>
      <c r="BN1820" s="254"/>
      <c r="BO1820" s="254"/>
      <c r="BP1820" s="254"/>
      <c r="BQ1820" s="254"/>
      <c r="BR1820" s="254"/>
      <c r="BS1820" s="254"/>
      <c r="BT1820" s="254"/>
      <c r="BU1820" s="254"/>
      <c r="BV1820" s="254"/>
      <c r="BW1820" s="223"/>
    </row>
    <row r="1821" spans="1:75" s="224" customFormat="1" x14ac:dyDescent="0.5">
      <c r="A1821" s="996"/>
      <c r="B1821" s="254"/>
      <c r="C1821" s="980"/>
      <c r="D1821" s="980"/>
      <c r="E1821" s="254"/>
      <c r="F1821" s="254"/>
      <c r="G1821" s="254"/>
      <c r="H1821" s="254"/>
      <c r="I1821" s="254"/>
      <c r="J1821" s="254"/>
      <c r="K1821" s="254"/>
      <c r="L1821" s="254"/>
      <c r="M1821" s="254"/>
      <c r="N1821" s="254"/>
      <c r="O1821" s="254"/>
      <c r="P1821" s="254"/>
      <c r="Q1821" s="254"/>
      <c r="R1821" s="254"/>
      <c r="S1821" s="254"/>
      <c r="T1821" s="254"/>
      <c r="U1821" s="254"/>
      <c r="V1821" s="254"/>
      <c r="W1821" s="254"/>
      <c r="X1821" s="254"/>
      <c r="Y1821" s="254"/>
      <c r="Z1821" s="254"/>
      <c r="AA1821" s="254"/>
      <c r="AB1821" s="254"/>
      <c r="AC1821" s="254"/>
      <c r="AD1821" s="254"/>
      <c r="AE1821" s="254"/>
      <c r="AF1821" s="254"/>
      <c r="AG1821" s="254"/>
      <c r="AH1821" s="254"/>
      <c r="AI1821" s="254"/>
      <c r="AJ1821" s="254"/>
      <c r="AK1821" s="254"/>
      <c r="AL1821" s="254"/>
      <c r="AM1821" s="254"/>
      <c r="AN1821" s="254"/>
      <c r="AO1821" s="254"/>
      <c r="AP1821" s="254"/>
      <c r="AQ1821" s="254"/>
      <c r="AR1821" s="254"/>
      <c r="AS1821" s="254"/>
      <c r="AT1821" s="254"/>
      <c r="AU1821" s="254"/>
      <c r="AV1821" s="254"/>
      <c r="AW1821" s="254"/>
      <c r="AX1821" s="254"/>
      <c r="AY1821" s="254"/>
      <c r="AZ1821" s="254"/>
      <c r="BA1821" s="254"/>
      <c r="BB1821" s="254"/>
      <c r="BC1821" s="254"/>
      <c r="BD1821" s="254"/>
      <c r="BE1821" s="254"/>
      <c r="BF1821" s="254"/>
      <c r="BG1821" s="254"/>
      <c r="BH1821" s="254"/>
      <c r="BI1821" s="981"/>
      <c r="BJ1821" s="254"/>
      <c r="BK1821" s="254"/>
      <c r="BL1821" s="254"/>
      <c r="BM1821" s="254"/>
      <c r="BN1821" s="254"/>
      <c r="BO1821" s="254"/>
      <c r="BP1821" s="254"/>
      <c r="BQ1821" s="254"/>
      <c r="BR1821" s="254"/>
      <c r="BS1821" s="254"/>
      <c r="BT1821" s="254"/>
      <c r="BU1821" s="254"/>
      <c r="BV1821" s="254"/>
      <c r="BW1821" s="223"/>
    </row>
    <row r="1822" spans="1:75" s="224" customFormat="1" x14ac:dyDescent="0.5">
      <c r="A1822" s="997" t="s">
        <v>1588</v>
      </c>
      <c r="B1822" s="254"/>
      <c r="C1822" s="980"/>
      <c r="D1822" s="980"/>
      <c r="E1822" s="254"/>
      <c r="F1822" s="254"/>
      <c r="G1822" s="254"/>
      <c r="H1822" s="254"/>
      <c r="I1822" s="254"/>
      <c r="J1822" s="254"/>
      <c r="K1822" s="254"/>
      <c r="L1822" s="254"/>
      <c r="M1822" s="254"/>
      <c r="N1822" s="254"/>
      <c r="O1822" s="254"/>
      <c r="P1822" s="254"/>
      <c r="Q1822" s="254"/>
      <c r="R1822" s="254"/>
      <c r="S1822" s="254"/>
      <c r="T1822" s="254"/>
      <c r="U1822" s="254"/>
      <c r="V1822" s="254"/>
      <c r="W1822" s="254"/>
      <c r="X1822" s="254"/>
      <c r="Y1822" s="254"/>
      <c r="Z1822" s="254"/>
      <c r="AA1822" s="254"/>
      <c r="AB1822" s="254"/>
      <c r="AC1822" s="254"/>
      <c r="AD1822" s="254"/>
      <c r="AE1822" s="254"/>
      <c r="AF1822" s="254"/>
      <c r="AG1822" s="254"/>
      <c r="AH1822" s="254"/>
      <c r="AI1822" s="254"/>
      <c r="AJ1822" s="254"/>
      <c r="AK1822" s="254"/>
      <c r="AL1822" s="254"/>
      <c r="AM1822" s="254"/>
      <c r="AN1822" s="254"/>
      <c r="AO1822" s="254"/>
      <c r="AP1822" s="254"/>
      <c r="AQ1822" s="254"/>
      <c r="AR1822" s="254"/>
      <c r="AS1822" s="254"/>
      <c r="AT1822" s="254"/>
      <c r="AU1822" s="254"/>
      <c r="AV1822" s="254"/>
      <c r="AW1822" s="254"/>
      <c r="AX1822" s="254"/>
      <c r="AY1822" s="254"/>
      <c r="AZ1822" s="254"/>
      <c r="BA1822" s="254"/>
      <c r="BB1822" s="254"/>
      <c r="BC1822" s="254"/>
      <c r="BD1822" s="254"/>
      <c r="BE1822" s="254"/>
      <c r="BF1822" s="254"/>
      <c r="BG1822" s="254"/>
      <c r="BH1822" s="254"/>
      <c r="BI1822" s="981"/>
      <c r="BJ1822" s="254"/>
      <c r="BK1822" s="254"/>
      <c r="BL1822" s="254"/>
      <c r="BM1822" s="254"/>
      <c r="BN1822" s="254"/>
      <c r="BO1822" s="254"/>
      <c r="BP1822" s="254"/>
      <c r="BQ1822" s="254"/>
      <c r="BR1822" s="254"/>
      <c r="BS1822" s="254"/>
      <c r="BT1822" s="254"/>
      <c r="BU1822" s="254"/>
      <c r="BV1822" s="254"/>
      <c r="BW1822" s="223"/>
    </row>
    <row r="1823" spans="1:75" s="224" customFormat="1" x14ac:dyDescent="0.5">
      <c r="A1823" s="998" t="s">
        <v>1047</v>
      </c>
      <c r="B1823" s="254"/>
      <c r="C1823" s="980"/>
      <c r="D1823" s="980"/>
      <c r="E1823" s="254"/>
      <c r="F1823" s="254"/>
      <c r="G1823" s="254"/>
      <c r="H1823" s="254"/>
      <c r="I1823" s="254"/>
      <c r="J1823" s="254"/>
      <c r="K1823" s="254"/>
      <c r="L1823" s="254"/>
      <c r="M1823" s="254"/>
      <c r="N1823" s="254"/>
      <c r="O1823" s="254"/>
      <c r="P1823" s="254"/>
      <c r="Q1823" s="254"/>
      <c r="R1823" s="254"/>
      <c r="S1823" s="254"/>
      <c r="T1823" s="254"/>
      <c r="U1823" s="254"/>
      <c r="V1823" s="254"/>
      <c r="W1823" s="254"/>
      <c r="X1823" s="254"/>
      <c r="Y1823" s="254"/>
      <c r="Z1823" s="254"/>
      <c r="AA1823" s="254"/>
      <c r="AB1823" s="254"/>
      <c r="AC1823" s="254"/>
      <c r="AD1823" s="254"/>
      <c r="AE1823" s="254"/>
      <c r="AF1823" s="254"/>
      <c r="AG1823" s="254"/>
      <c r="AH1823" s="254"/>
      <c r="AI1823" s="254"/>
      <c r="AJ1823" s="254"/>
      <c r="AK1823" s="254"/>
      <c r="AL1823" s="254"/>
      <c r="AM1823" s="254"/>
      <c r="AN1823" s="254"/>
      <c r="AO1823" s="254"/>
      <c r="AP1823" s="254"/>
      <c r="AQ1823" s="254"/>
      <c r="AR1823" s="254"/>
      <c r="AS1823" s="254"/>
      <c r="AT1823" s="254"/>
      <c r="AU1823" s="254"/>
      <c r="AV1823" s="254"/>
      <c r="AW1823" s="254"/>
      <c r="AX1823" s="254"/>
      <c r="AY1823" s="254"/>
      <c r="AZ1823" s="254"/>
      <c r="BA1823" s="254"/>
      <c r="BB1823" s="254"/>
      <c r="BC1823" s="254"/>
      <c r="BD1823" s="254"/>
      <c r="BE1823" s="254"/>
      <c r="BF1823" s="254"/>
      <c r="BG1823" s="254"/>
      <c r="BH1823" s="254"/>
      <c r="BI1823" s="981"/>
      <c r="BJ1823" s="254"/>
      <c r="BK1823" s="254"/>
      <c r="BL1823" s="254"/>
      <c r="BM1823" s="254"/>
      <c r="BN1823" s="254"/>
      <c r="BO1823" s="254"/>
      <c r="BP1823" s="254"/>
      <c r="BQ1823" s="254"/>
      <c r="BR1823" s="254"/>
      <c r="BS1823" s="254"/>
      <c r="BT1823" s="254"/>
      <c r="BU1823" s="254"/>
      <c r="BV1823" s="254"/>
      <c r="BW1823" s="223"/>
    </row>
    <row r="1824" spans="1:75" s="224" customFormat="1" x14ac:dyDescent="0.5">
      <c r="A1824" s="998" t="s">
        <v>1145</v>
      </c>
      <c r="B1824" s="254"/>
      <c r="C1824" s="980"/>
      <c r="D1824" s="980"/>
      <c r="E1824" s="254"/>
      <c r="F1824" s="254"/>
      <c r="G1824" s="254"/>
      <c r="H1824" s="254"/>
      <c r="I1824" s="254"/>
      <c r="J1824" s="254"/>
      <c r="K1824" s="254"/>
      <c r="L1824" s="254"/>
      <c r="M1824" s="254"/>
      <c r="N1824" s="254"/>
      <c r="O1824" s="254"/>
      <c r="P1824" s="254"/>
      <c r="Q1824" s="254"/>
      <c r="R1824" s="254"/>
      <c r="S1824" s="254"/>
      <c r="T1824" s="254"/>
      <c r="U1824" s="254"/>
      <c r="V1824" s="254"/>
      <c r="W1824" s="254"/>
      <c r="X1824" s="254"/>
      <c r="Y1824" s="254"/>
      <c r="Z1824" s="254"/>
      <c r="AA1824" s="254"/>
      <c r="AB1824" s="254"/>
      <c r="AC1824" s="254"/>
      <c r="AD1824" s="254"/>
      <c r="AE1824" s="254"/>
      <c r="AF1824" s="254"/>
      <c r="AG1824" s="254"/>
      <c r="AH1824" s="254"/>
      <c r="AI1824" s="254"/>
      <c r="AJ1824" s="254"/>
      <c r="AK1824" s="254"/>
      <c r="AL1824" s="254"/>
      <c r="AM1824" s="254"/>
      <c r="AN1824" s="254"/>
      <c r="AO1824" s="254"/>
      <c r="AP1824" s="254"/>
      <c r="AQ1824" s="254"/>
      <c r="AR1824" s="254"/>
      <c r="AS1824" s="254"/>
      <c r="AT1824" s="254"/>
      <c r="AU1824" s="254"/>
      <c r="AV1824" s="254"/>
      <c r="AW1824" s="254"/>
      <c r="AX1824" s="254"/>
      <c r="AY1824" s="254"/>
      <c r="AZ1824" s="254"/>
      <c r="BA1824" s="254"/>
      <c r="BB1824" s="254"/>
      <c r="BC1824" s="254"/>
      <c r="BD1824" s="254"/>
      <c r="BE1824" s="254"/>
      <c r="BF1824" s="254"/>
      <c r="BG1824" s="254"/>
      <c r="BH1824" s="254"/>
      <c r="BI1824" s="981"/>
      <c r="BJ1824" s="254"/>
      <c r="BK1824" s="254"/>
      <c r="BL1824" s="254"/>
      <c r="BM1824" s="254"/>
      <c r="BN1824" s="254"/>
      <c r="BO1824" s="254"/>
      <c r="BP1824" s="254"/>
      <c r="BQ1824" s="254"/>
      <c r="BR1824" s="254"/>
      <c r="BS1824" s="254"/>
      <c r="BT1824" s="254"/>
      <c r="BU1824" s="254"/>
      <c r="BV1824" s="254"/>
      <c r="BW1824" s="223"/>
    </row>
    <row r="1825" spans="1:75" s="224" customFormat="1" x14ac:dyDescent="0.5">
      <c r="A1825" s="998" t="s">
        <v>1157</v>
      </c>
      <c r="B1825" s="254"/>
      <c r="C1825" s="980"/>
      <c r="D1825" s="980"/>
      <c r="E1825" s="254"/>
      <c r="F1825" s="254"/>
      <c r="G1825" s="254"/>
      <c r="H1825" s="254"/>
      <c r="I1825" s="254"/>
      <c r="J1825" s="254"/>
      <c r="K1825" s="254"/>
      <c r="L1825" s="254"/>
      <c r="M1825" s="254"/>
      <c r="N1825" s="254"/>
      <c r="O1825" s="254"/>
      <c r="P1825" s="254"/>
      <c r="Q1825" s="254"/>
      <c r="R1825" s="254"/>
      <c r="S1825" s="254"/>
      <c r="T1825" s="254"/>
      <c r="U1825" s="254"/>
      <c r="V1825" s="254"/>
      <c r="W1825" s="254"/>
      <c r="X1825" s="254"/>
      <c r="Y1825" s="254"/>
      <c r="Z1825" s="254"/>
      <c r="AA1825" s="254"/>
      <c r="AB1825" s="254"/>
      <c r="AC1825" s="254"/>
      <c r="AD1825" s="254"/>
      <c r="AE1825" s="254"/>
      <c r="AF1825" s="254"/>
      <c r="AG1825" s="254"/>
      <c r="AH1825" s="254"/>
      <c r="AI1825" s="254"/>
      <c r="AJ1825" s="254"/>
      <c r="AK1825" s="254"/>
      <c r="AL1825" s="254"/>
      <c r="AM1825" s="254"/>
      <c r="AN1825" s="254"/>
      <c r="AO1825" s="254"/>
      <c r="AP1825" s="254"/>
      <c r="AQ1825" s="254"/>
      <c r="AR1825" s="254"/>
      <c r="AS1825" s="254"/>
      <c r="AT1825" s="254"/>
      <c r="AU1825" s="254"/>
      <c r="AV1825" s="254"/>
      <c r="AW1825" s="254"/>
      <c r="AX1825" s="254"/>
      <c r="AY1825" s="254"/>
      <c r="AZ1825" s="254"/>
      <c r="BA1825" s="254"/>
      <c r="BB1825" s="254"/>
      <c r="BC1825" s="254"/>
      <c r="BD1825" s="254"/>
      <c r="BE1825" s="254"/>
      <c r="BF1825" s="254"/>
      <c r="BG1825" s="254"/>
      <c r="BH1825" s="254"/>
      <c r="BI1825" s="981"/>
      <c r="BJ1825" s="254"/>
      <c r="BK1825" s="254"/>
      <c r="BL1825" s="254"/>
      <c r="BM1825" s="254"/>
      <c r="BN1825" s="254"/>
      <c r="BO1825" s="254"/>
      <c r="BP1825" s="254"/>
      <c r="BQ1825" s="254"/>
      <c r="BR1825" s="254"/>
      <c r="BS1825" s="254"/>
      <c r="BT1825" s="254"/>
      <c r="BU1825" s="254"/>
      <c r="BV1825" s="254"/>
      <c r="BW1825" s="223"/>
    </row>
    <row r="1826" spans="1:75" s="224" customFormat="1" x14ac:dyDescent="0.5">
      <c r="A1826" s="998" t="s">
        <v>1201</v>
      </c>
      <c r="B1826" s="254"/>
      <c r="C1826" s="980"/>
      <c r="D1826" s="980"/>
      <c r="E1826" s="254"/>
      <c r="F1826" s="254"/>
      <c r="G1826" s="254"/>
      <c r="H1826" s="254"/>
      <c r="I1826" s="254"/>
      <c r="J1826" s="254"/>
      <c r="K1826" s="254"/>
      <c r="L1826" s="254"/>
      <c r="M1826" s="254"/>
      <c r="N1826" s="254"/>
      <c r="O1826" s="254"/>
      <c r="P1826" s="254"/>
      <c r="Q1826" s="254"/>
      <c r="R1826" s="254"/>
      <c r="S1826" s="254"/>
      <c r="T1826" s="254"/>
      <c r="U1826" s="254"/>
      <c r="V1826" s="254"/>
      <c r="W1826" s="254"/>
      <c r="X1826" s="254"/>
      <c r="Y1826" s="254"/>
      <c r="Z1826" s="254"/>
      <c r="AA1826" s="254"/>
      <c r="AB1826" s="254"/>
      <c r="AC1826" s="254"/>
      <c r="AD1826" s="254"/>
      <c r="AE1826" s="254"/>
      <c r="AF1826" s="254"/>
      <c r="AG1826" s="254"/>
      <c r="AH1826" s="254"/>
      <c r="AI1826" s="254"/>
      <c r="AJ1826" s="254"/>
      <c r="AK1826" s="254"/>
      <c r="AL1826" s="254"/>
      <c r="AM1826" s="254"/>
      <c r="AN1826" s="254"/>
      <c r="AO1826" s="254"/>
      <c r="AP1826" s="254"/>
      <c r="AQ1826" s="254"/>
      <c r="AR1826" s="254"/>
      <c r="AS1826" s="254"/>
      <c r="AT1826" s="254"/>
      <c r="AU1826" s="254"/>
      <c r="AV1826" s="254"/>
      <c r="AW1826" s="254"/>
      <c r="AX1826" s="254"/>
      <c r="AY1826" s="254"/>
      <c r="AZ1826" s="254"/>
      <c r="BA1826" s="254"/>
      <c r="BB1826" s="254"/>
      <c r="BC1826" s="254"/>
      <c r="BD1826" s="254"/>
      <c r="BE1826" s="254"/>
      <c r="BF1826" s="254"/>
      <c r="BG1826" s="254"/>
      <c r="BH1826" s="254"/>
      <c r="BI1826" s="981"/>
      <c r="BJ1826" s="254"/>
      <c r="BK1826" s="254"/>
      <c r="BL1826" s="254"/>
      <c r="BM1826" s="254"/>
      <c r="BN1826" s="254"/>
      <c r="BO1826" s="254"/>
      <c r="BP1826" s="254"/>
      <c r="BQ1826" s="254"/>
      <c r="BR1826" s="254"/>
      <c r="BS1826" s="254"/>
      <c r="BT1826" s="254"/>
      <c r="BU1826" s="254"/>
      <c r="BV1826" s="254"/>
      <c r="BW1826" s="223"/>
    </row>
    <row r="1827" spans="1:75" s="224" customFormat="1" x14ac:dyDescent="0.5">
      <c r="A1827" s="998" t="s">
        <v>1326</v>
      </c>
      <c r="B1827" s="254"/>
      <c r="C1827" s="980"/>
      <c r="D1827" s="980"/>
      <c r="E1827" s="254"/>
      <c r="F1827" s="254"/>
      <c r="G1827" s="254"/>
      <c r="H1827" s="254"/>
      <c r="I1827" s="254"/>
      <c r="J1827" s="254"/>
      <c r="K1827" s="254"/>
      <c r="L1827" s="254"/>
      <c r="M1827" s="254"/>
      <c r="N1827" s="254"/>
      <c r="O1827" s="254"/>
      <c r="P1827" s="254"/>
      <c r="Q1827" s="254"/>
      <c r="R1827" s="254"/>
      <c r="S1827" s="254"/>
      <c r="T1827" s="254"/>
      <c r="U1827" s="254"/>
      <c r="V1827" s="254"/>
      <c r="W1827" s="254"/>
      <c r="X1827" s="254"/>
      <c r="Y1827" s="254"/>
      <c r="Z1827" s="254"/>
      <c r="AA1827" s="254"/>
      <c r="AB1827" s="254"/>
      <c r="AC1827" s="254"/>
      <c r="AD1827" s="254"/>
      <c r="AE1827" s="254"/>
      <c r="AF1827" s="254"/>
      <c r="AG1827" s="254"/>
      <c r="AH1827" s="254"/>
      <c r="AI1827" s="254"/>
      <c r="AJ1827" s="254"/>
      <c r="AK1827" s="254"/>
      <c r="AL1827" s="254"/>
      <c r="AM1827" s="254"/>
      <c r="AN1827" s="254"/>
      <c r="AO1827" s="254"/>
      <c r="AP1827" s="254"/>
      <c r="AQ1827" s="254"/>
      <c r="AR1827" s="254"/>
      <c r="AS1827" s="254"/>
      <c r="AT1827" s="254"/>
      <c r="AU1827" s="254"/>
      <c r="AV1827" s="254"/>
      <c r="AW1827" s="254"/>
      <c r="AX1827" s="254"/>
      <c r="AY1827" s="254"/>
      <c r="AZ1827" s="254"/>
      <c r="BA1827" s="254"/>
      <c r="BB1827" s="254"/>
      <c r="BC1827" s="254"/>
      <c r="BD1827" s="254"/>
      <c r="BE1827" s="254"/>
      <c r="BF1827" s="254"/>
      <c r="BG1827" s="254"/>
      <c r="BH1827" s="254"/>
      <c r="BI1827" s="981"/>
      <c r="BJ1827" s="254"/>
      <c r="BK1827" s="254"/>
      <c r="BL1827" s="254"/>
      <c r="BM1827" s="254"/>
      <c r="BN1827" s="254"/>
      <c r="BO1827" s="254"/>
      <c r="BP1827" s="254"/>
      <c r="BQ1827" s="254"/>
      <c r="BR1827" s="254"/>
      <c r="BS1827" s="254"/>
      <c r="BT1827" s="254"/>
      <c r="BU1827" s="254"/>
      <c r="BV1827" s="254"/>
      <c r="BW1827" s="223"/>
    </row>
    <row r="1828" spans="1:75" s="224" customFormat="1" x14ac:dyDescent="0.5">
      <c r="A1828" s="998" t="s">
        <v>1325</v>
      </c>
      <c r="B1828" s="254"/>
      <c r="C1828" s="980"/>
      <c r="D1828" s="980"/>
      <c r="E1828" s="254"/>
      <c r="F1828" s="254"/>
      <c r="G1828" s="254"/>
      <c r="H1828" s="254"/>
      <c r="I1828" s="254"/>
      <c r="J1828" s="254"/>
      <c r="K1828" s="254"/>
      <c r="L1828" s="254"/>
      <c r="M1828" s="254"/>
      <c r="N1828" s="254"/>
      <c r="O1828" s="254"/>
      <c r="P1828" s="254"/>
      <c r="Q1828" s="254"/>
      <c r="R1828" s="254"/>
      <c r="S1828" s="254"/>
      <c r="T1828" s="254"/>
      <c r="U1828" s="254"/>
      <c r="V1828" s="254"/>
      <c r="W1828" s="254"/>
      <c r="X1828" s="254"/>
      <c r="Y1828" s="254"/>
      <c r="Z1828" s="254"/>
      <c r="AA1828" s="254"/>
      <c r="AB1828" s="254"/>
      <c r="AC1828" s="254"/>
      <c r="AD1828" s="254"/>
      <c r="AE1828" s="254"/>
      <c r="AF1828" s="254"/>
      <c r="AG1828" s="254"/>
      <c r="AH1828" s="254"/>
      <c r="AI1828" s="254"/>
      <c r="AJ1828" s="254"/>
      <c r="AK1828" s="254"/>
      <c r="AL1828" s="254"/>
      <c r="AM1828" s="254"/>
      <c r="AN1828" s="254"/>
      <c r="AO1828" s="254"/>
      <c r="AP1828" s="254"/>
      <c r="AQ1828" s="254"/>
      <c r="AR1828" s="254"/>
      <c r="AS1828" s="254"/>
      <c r="AT1828" s="254"/>
      <c r="AU1828" s="254"/>
      <c r="AV1828" s="254"/>
      <c r="AW1828" s="254"/>
      <c r="AX1828" s="254"/>
      <c r="AY1828" s="254"/>
      <c r="AZ1828" s="254"/>
      <c r="BA1828" s="254"/>
      <c r="BB1828" s="254"/>
      <c r="BC1828" s="254"/>
      <c r="BD1828" s="254"/>
      <c r="BE1828" s="254"/>
      <c r="BF1828" s="254"/>
      <c r="BG1828" s="254"/>
      <c r="BH1828" s="254"/>
      <c r="BI1828" s="981"/>
      <c r="BJ1828" s="254"/>
      <c r="BK1828" s="254"/>
      <c r="BL1828" s="254"/>
      <c r="BM1828" s="254"/>
      <c r="BN1828" s="254"/>
      <c r="BO1828" s="254"/>
      <c r="BP1828" s="254"/>
      <c r="BQ1828" s="254"/>
      <c r="BR1828" s="254"/>
      <c r="BS1828" s="254"/>
      <c r="BT1828" s="254"/>
      <c r="BU1828" s="254"/>
      <c r="BV1828" s="254"/>
      <c r="BW1828" s="223"/>
    </row>
    <row r="1829" spans="1:75" s="224" customFormat="1" x14ac:dyDescent="0.5">
      <c r="A1829" s="999"/>
      <c r="B1829" s="254"/>
      <c r="C1829" s="980"/>
      <c r="D1829" s="980"/>
      <c r="E1829" s="254"/>
      <c r="F1829" s="254"/>
      <c r="G1829" s="254"/>
      <c r="H1829" s="254"/>
      <c r="I1829" s="254"/>
      <c r="J1829" s="254"/>
      <c r="K1829" s="254"/>
      <c r="L1829" s="254"/>
      <c r="M1829" s="254"/>
      <c r="N1829" s="254"/>
      <c r="O1829" s="254"/>
      <c r="P1829" s="254"/>
      <c r="Q1829" s="254"/>
      <c r="R1829" s="254"/>
      <c r="S1829" s="254"/>
      <c r="T1829" s="254"/>
      <c r="U1829" s="254"/>
      <c r="V1829" s="254"/>
      <c r="W1829" s="254"/>
      <c r="X1829" s="254"/>
      <c r="Y1829" s="254"/>
      <c r="Z1829" s="254"/>
      <c r="AA1829" s="254"/>
      <c r="AB1829" s="254"/>
      <c r="AC1829" s="254"/>
      <c r="AD1829" s="254"/>
      <c r="AE1829" s="254"/>
      <c r="AF1829" s="254"/>
      <c r="AG1829" s="254"/>
      <c r="AH1829" s="254"/>
      <c r="AI1829" s="254"/>
      <c r="AJ1829" s="254"/>
      <c r="AK1829" s="254"/>
      <c r="AL1829" s="254"/>
      <c r="AM1829" s="254"/>
      <c r="AN1829" s="254"/>
      <c r="AO1829" s="254"/>
      <c r="AP1829" s="254"/>
      <c r="AQ1829" s="254"/>
      <c r="AR1829" s="254"/>
      <c r="AS1829" s="254"/>
      <c r="AT1829" s="254"/>
      <c r="AU1829" s="254"/>
      <c r="AV1829" s="254"/>
      <c r="AW1829" s="254"/>
      <c r="AX1829" s="254"/>
      <c r="AY1829" s="254"/>
      <c r="AZ1829" s="254"/>
      <c r="BA1829" s="254"/>
      <c r="BB1829" s="254"/>
      <c r="BC1829" s="254"/>
      <c r="BD1829" s="254"/>
      <c r="BE1829" s="254"/>
      <c r="BF1829" s="254"/>
      <c r="BG1829" s="254"/>
      <c r="BH1829" s="254"/>
      <c r="BI1829" s="981"/>
      <c r="BJ1829" s="254"/>
      <c r="BK1829" s="254"/>
      <c r="BL1829" s="254"/>
      <c r="BM1829" s="254"/>
      <c r="BN1829" s="254"/>
      <c r="BO1829" s="254"/>
      <c r="BP1829" s="254"/>
      <c r="BQ1829" s="254"/>
      <c r="BR1829" s="254"/>
      <c r="BS1829" s="254"/>
      <c r="BT1829" s="254"/>
      <c r="BU1829" s="254"/>
      <c r="BV1829" s="254"/>
      <c r="BW1829" s="223"/>
    </row>
    <row r="1830" spans="1:75" s="224" customFormat="1" x14ac:dyDescent="0.5">
      <c r="A1830" s="996"/>
      <c r="B1830" s="254"/>
      <c r="C1830" s="980"/>
      <c r="D1830" s="980"/>
      <c r="E1830" s="254"/>
      <c r="F1830" s="254"/>
      <c r="G1830" s="254"/>
      <c r="H1830" s="254"/>
      <c r="I1830" s="254"/>
      <c r="J1830" s="254"/>
      <c r="K1830" s="254"/>
      <c r="L1830" s="254"/>
      <c r="M1830" s="254"/>
      <c r="N1830" s="254"/>
      <c r="O1830" s="254"/>
      <c r="P1830" s="254"/>
      <c r="Q1830" s="254"/>
      <c r="R1830" s="254"/>
      <c r="S1830" s="254"/>
      <c r="T1830" s="254"/>
      <c r="U1830" s="254"/>
      <c r="V1830" s="254"/>
      <c r="W1830" s="254"/>
      <c r="X1830" s="254"/>
      <c r="Y1830" s="254"/>
      <c r="Z1830" s="254"/>
      <c r="AA1830" s="254"/>
      <c r="AB1830" s="254"/>
      <c r="AC1830" s="254"/>
      <c r="AD1830" s="254"/>
      <c r="AE1830" s="254"/>
      <c r="AF1830" s="254"/>
      <c r="AG1830" s="254"/>
      <c r="AH1830" s="254"/>
      <c r="AI1830" s="254"/>
      <c r="AJ1830" s="254"/>
      <c r="AK1830" s="254"/>
      <c r="AL1830" s="254"/>
      <c r="AM1830" s="254"/>
      <c r="AN1830" s="254"/>
      <c r="AO1830" s="254"/>
      <c r="AP1830" s="254"/>
      <c r="AQ1830" s="254"/>
      <c r="AR1830" s="254"/>
      <c r="AS1830" s="254"/>
      <c r="AT1830" s="254"/>
      <c r="AU1830" s="254"/>
      <c r="AV1830" s="254"/>
      <c r="AW1830" s="254"/>
      <c r="AX1830" s="254"/>
      <c r="AY1830" s="254"/>
      <c r="AZ1830" s="254"/>
      <c r="BA1830" s="254"/>
      <c r="BB1830" s="254"/>
      <c r="BC1830" s="254"/>
      <c r="BD1830" s="254"/>
      <c r="BE1830" s="254"/>
      <c r="BF1830" s="254"/>
      <c r="BG1830" s="254"/>
      <c r="BH1830" s="254"/>
      <c r="BI1830" s="981"/>
      <c r="BJ1830" s="254"/>
      <c r="BK1830" s="254"/>
      <c r="BL1830" s="254"/>
      <c r="BM1830" s="254"/>
      <c r="BN1830" s="254"/>
      <c r="BO1830" s="254"/>
      <c r="BP1830" s="254"/>
      <c r="BQ1830" s="254"/>
      <c r="BR1830" s="254"/>
      <c r="BS1830" s="254"/>
      <c r="BT1830" s="254"/>
      <c r="BU1830" s="254"/>
      <c r="BV1830" s="254"/>
      <c r="BW1830" s="223"/>
    </row>
    <row r="1831" spans="1:75" s="224" customFormat="1" x14ac:dyDescent="0.5">
      <c r="A1831" s="1000" t="s">
        <v>1589</v>
      </c>
      <c r="B1831" s="254"/>
      <c r="C1831" s="980"/>
      <c r="D1831" s="980"/>
      <c r="E1831" s="254"/>
      <c r="F1831" s="254"/>
      <c r="G1831" s="254"/>
      <c r="H1831" s="254"/>
      <c r="I1831" s="254"/>
      <c r="J1831" s="254"/>
      <c r="K1831" s="254"/>
      <c r="L1831" s="254"/>
      <c r="M1831" s="254"/>
      <c r="N1831" s="254"/>
      <c r="O1831" s="254"/>
      <c r="P1831" s="254"/>
      <c r="Q1831" s="254"/>
      <c r="R1831" s="254"/>
      <c r="S1831" s="254"/>
      <c r="T1831" s="254"/>
      <c r="U1831" s="254"/>
      <c r="V1831" s="254"/>
      <c r="W1831" s="254"/>
      <c r="X1831" s="254"/>
      <c r="Y1831" s="254"/>
      <c r="Z1831" s="254"/>
      <c r="AA1831" s="254"/>
      <c r="AB1831" s="254"/>
      <c r="AC1831" s="254"/>
      <c r="AD1831" s="254"/>
      <c r="AE1831" s="254"/>
      <c r="AF1831" s="254"/>
      <c r="AG1831" s="254"/>
      <c r="AH1831" s="254"/>
      <c r="AI1831" s="254"/>
      <c r="AJ1831" s="254"/>
      <c r="AK1831" s="254"/>
      <c r="AL1831" s="254"/>
      <c r="AM1831" s="254"/>
      <c r="AN1831" s="254"/>
      <c r="AO1831" s="254"/>
      <c r="AP1831" s="254"/>
      <c r="AQ1831" s="254"/>
      <c r="AR1831" s="254"/>
      <c r="AS1831" s="254"/>
      <c r="AT1831" s="254"/>
      <c r="AU1831" s="254"/>
      <c r="AV1831" s="254"/>
      <c r="AW1831" s="254"/>
      <c r="AX1831" s="254"/>
      <c r="AY1831" s="254"/>
      <c r="AZ1831" s="254"/>
      <c r="BA1831" s="254"/>
      <c r="BB1831" s="254"/>
      <c r="BC1831" s="254"/>
      <c r="BD1831" s="254"/>
      <c r="BE1831" s="254"/>
      <c r="BF1831" s="254"/>
      <c r="BG1831" s="254"/>
      <c r="BH1831" s="254"/>
      <c r="BI1831" s="981"/>
      <c r="BJ1831" s="254"/>
      <c r="BK1831" s="254"/>
      <c r="BL1831" s="254"/>
      <c r="BM1831" s="254"/>
      <c r="BN1831" s="254"/>
      <c r="BO1831" s="254"/>
      <c r="BP1831" s="254"/>
      <c r="BQ1831" s="254"/>
      <c r="BR1831" s="254"/>
      <c r="BS1831" s="254"/>
      <c r="BT1831" s="254"/>
      <c r="BU1831" s="254"/>
      <c r="BV1831" s="254"/>
      <c r="BW1831" s="223"/>
    </row>
    <row r="1832" spans="1:75" s="224" customFormat="1" x14ac:dyDescent="0.5">
      <c r="A1832" s="1001" t="s">
        <v>1590</v>
      </c>
      <c r="B1832" s="254"/>
      <c r="C1832" s="980"/>
      <c r="D1832" s="980"/>
      <c r="E1832" s="254"/>
      <c r="F1832" s="254"/>
      <c r="G1832" s="254"/>
      <c r="H1832" s="254"/>
      <c r="I1832" s="254"/>
      <c r="J1832" s="254"/>
      <c r="K1832" s="254"/>
      <c r="L1832" s="254"/>
      <c r="M1832" s="254"/>
      <c r="N1832" s="254"/>
      <c r="O1832" s="254"/>
      <c r="P1832" s="254"/>
      <c r="Q1832" s="254"/>
      <c r="R1832" s="254"/>
      <c r="S1832" s="254"/>
      <c r="T1832" s="254"/>
      <c r="U1832" s="254"/>
      <c r="V1832" s="254"/>
      <c r="W1832" s="254"/>
      <c r="X1832" s="254"/>
      <c r="Y1832" s="254"/>
      <c r="Z1832" s="254"/>
      <c r="AA1832" s="254"/>
      <c r="AB1832" s="254"/>
      <c r="AC1832" s="254"/>
      <c r="AD1832" s="254"/>
      <c r="AE1832" s="254"/>
      <c r="AF1832" s="254"/>
      <c r="AG1832" s="254"/>
      <c r="AH1832" s="254"/>
      <c r="AI1832" s="254"/>
      <c r="AJ1832" s="254"/>
      <c r="AK1832" s="254"/>
      <c r="AL1832" s="254"/>
      <c r="AM1832" s="254"/>
      <c r="AN1832" s="254"/>
      <c r="AO1832" s="254"/>
      <c r="AP1832" s="254"/>
      <c r="AQ1832" s="254"/>
      <c r="AR1832" s="254"/>
      <c r="AS1832" s="254"/>
      <c r="AT1832" s="254"/>
      <c r="AU1832" s="254"/>
      <c r="AV1832" s="254"/>
      <c r="AW1832" s="254"/>
      <c r="AX1832" s="254"/>
      <c r="AY1832" s="254"/>
      <c r="AZ1832" s="254"/>
      <c r="BA1832" s="254"/>
      <c r="BB1832" s="254"/>
      <c r="BC1832" s="254"/>
      <c r="BD1832" s="254"/>
      <c r="BE1832" s="254"/>
      <c r="BF1832" s="254"/>
      <c r="BG1832" s="254"/>
      <c r="BH1832" s="254"/>
      <c r="BI1832" s="981"/>
      <c r="BJ1832" s="254"/>
      <c r="BK1832" s="254"/>
      <c r="BL1832" s="254"/>
      <c r="BM1832" s="254"/>
      <c r="BN1832" s="254"/>
      <c r="BO1832" s="254"/>
      <c r="BP1832" s="254"/>
      <c r="BQ1832" s="254"/>
      <c r="BR1832" s="254"/>
      <c r="BS1832" s="254"/>
      <c r="BT1832" s="254"/>
      <c r="BU1832" s="254"/>
      <c r="BV1832" s="254"/>
      <c r="BW1832" s="223"/>
    </row>
    <row r="1833" spans="1:75" s="224" customFormat="1" x14ac:dyDescent="0.5">
      <c r="A1833" s="1001" t="s">
        <v>1591</v>
      </c>
      <c r="B1833" s="254"/>
      <c r="C1833" s="980"/>
      <c r="D1833" s="980"/>
      <c r="E1833" s="254"/>
      <c r="F1833" s="254"/>
      <c r="G1833" s="254"/>
      <c r="H1833" s="254"/>
      <c r="I1833" s="254"/>
      <c r="J1833" s="254"/>
      <c r="K1833" s="254"/>
      <c r="L1833" s="254"/>
      <c r="M1833" s="254"/>
      <c r="N1833" s="254"/>
      <c r="O1833" s="254"/>
      <c r="P1833" s="254"/>
      <c r="Q1833" s="254"/>
      <c r="R1833" s="254"/>
      <c r="S1833" s="254"/>
      <c r="T1833" s="254"/>
      <c r="U1833" s="254"/>
      <c r="V1833" s="254"/>
      <c r="W1833" s="254"/>
      <c r="X1833" s="254"/>
      <c r="Y1833" s="254"/>
      <c r="Z1833" s="254"/>
      <c r="AA1833" s="254"/>
      <c r="AB1833" s="254"/>
      <c r="AC1833" s="254"/>
      <c r="AD1833" s="254"/>
      <c r="AE1833" s="254"/>
      <c r="AF1833" s="254"/>
      <c r="AG1833" s="254"/>
      <c r="AH1833" s="254"/>
      <c r="AI1833" s="254"/>
      <c r="AJ1833" s="254"/>
      <c r="AK1833" s="254"/>
      <c r="AL1833" s="254"/>
      <c r="AM1833" s="254"/>
      <c r="AN1833" s="254"/>
      <c r="AO1833" s="254"/>
      <c r="AP1833" s="254"/>
      <c r="AQ1833" s="254"/>
      <c r="AR1833" s="254"/>
      <c r="AS1833" s="254"/>
      <c r="AT1833" s="254"/>
      <c r="AU1833" s="254"/>
      <c r="AV1833" s="254"/>
      <c r="AW1833" s="254"/>
      <c r="AX1833" s="254"/>
      <c r="AY1833" s="254"/>
      <c r="AZ1833" s="254"/>
      <c r="BA1833" s="254"/>
      <c r="BB1833" s="254"/>
      <c r="BC1833" s="254"/>
      <c r="BD1833" s="254"/>
      <c r="BE1833" s="254"/>
      <c r="BF1833" s="254"/>
      <c r="BG1833" s="254"/>
      <c r="BH1833" s="254"/>
      <c r="BI1833" s="981"/>
      <c r="BJ1833" s="254"/>
      <c r="BK1833" s="254"/>
      <c r="BL1833" s="254"/>
      <c r="BM1833" s="254"/>
      <c r="BN1833" s="254"/>
      <c r="BO1833" s="254"/>
      <c r="BP1833" s="254"/>
      <c r="BQ1833" s="254"/>
      <c r="BR1833" s="254"/>
      <c r="BS1833" s="254"/>
      <c r="BT1833" s="254"/>
      <c r="BU1833" s="254"/>
      <c r="BV1833" s="254"/>
      <c r="BW1833" s="223"/>
    </row>
    <row r="1834" spans="1:75" s="224" customFormat="1" x14ac:dyDescent="0.5">
      <c r="A1834" s="1001" t="s">
        <v>1592</v>
      </c>
      <c r="B1834" s="254"/>
      <c r="C1834" s="980"/>
      <c r="D1834" s="980"/>
      <c r="E1834" s="254"/>
      <c r="F1834" s="254"/>
      <c r="G1834" s="254"/>
      <c r="H1834" s="254"/>
      <c r="I1834" s="254"/>
      <c r="J1834" s="254"/>
      <c r="K1834" s="254"/>
      <c r="L1834" s="254"/>
      <c r="M1834" s="254"/>
      <c r="N1834" s="254"/>
      <c r="O1834" s="254"/>
      <c r="P1834" s="254"/>
      <c r="Q1834" s="254"/>
      <c r="R1834" s="254"/>
      <c r="S1834" s="254"/>
      <c r="T1834" s="254"/>
      <c r="U1834" s="254"/>
      <c r="V1834" s="254"/>
      <c r="W1834" s="254"/>
      <c r="X1834" s="254"/>
      <c r="Y1834" s="254"/>
      <c r="Z1834" s="254"/>
      <c r="AA1834" s="254"/>
      <c r="AB1834" s="254"/>
      <c r="AC1834" s="254"/>
      <c r="AD1834" s="254"/>
      <c r="AE1834" s="254"/>
      <c r="AF1834" s="254"/>
      <c r="AG1834" s="254"/>
      <c r="AH1834" s="254"/>
      <c r="AI1834" s="254"/>
      <c r="AJ1834" s="254"/>
      <c r="AK1834" s="254"/>
      <c r="AL1834" s="254"/>
      <c r="AM1834" s="254"/>
      <c r="AN1834" s="254"/>
      <c r="AO1834" s="254"/>
      <c r="AP1834" s="254"/>
      <c r="AQ1834" s="254"/>
      <c r="AR1834" s="254"/>
      <c r="AS1834" s="254"/>
      <c r="AT1834" s="254"/>
      <c r="AU1834" s="254"/>
      <c r="AV1834" s="254"/>
      <c r="AW1834" s="254"/>
      <c r="AX1834" s="254"/>
      <c r="AY1834" s="254"/>
      <c r="AZ1834" s="254"/>
      <c r="BA1834" s="254"/>
      <c r="BB1834" s="254"/>
      <c r="BC1834" s="254"/>
      <c r="BD1834" s="254"/>
      <c r="BE1834" s="254"/>
      <c r="BF1834" s="254"/>
      <c r="BG1834" s="254"/>
      <c r="BH1834" s="254"/>
      <c r="BI1834" s="981"/>
      <c r="BJ1834" s="254"/>
      <c r="BK1834" s="254"/>
      <c r="BL1834" s="254"/>
      <c r="BM1834" s="254"/>
      <c r="BN1834" s="254"/>
      <c r="BO1834" s="254"/>
      <c r="BP1834" s="254"/>
      <c r="BQ1834" s="254"/>
      <c r="BR1834" s="254"/>
      <c r="BS1834" s="254"/>
      <c r="BT1834" s="254"/>
      <c r="BU1834" s="254"/>
      <c r="BV1834" s="254"/>
      <c r="BW1834" s="223"/>
    </row>
    <row r="1835" spans="1:75" s="224" customFormat="1" x14ac:dyDescent="0.5">
      <c r="A1835" s="1001" t="s">
        <v>1593</v>
      </c>
      <c r="B1835" s="254"/>
      <c r="C1835" s="980"/>
      <c r="D1835" s="980"/>
      <c r="E1835" s="254"/>
      <c r="F1835" s="254"/>
      <c r="G1835" s="254"/>
      <c r="H1835" s="254"/>
      <c r="I1835" s="254"/>
      <c r="J1835" s="254"/>
      <c r="K1835" s="254"/>
      <c r="L1835" s="254"/>
      <c r="M1835" s="254"/>
      <c r="N1835" s="254"/>
      <c r="O1835" s="254"/>
      <c r="P1835" s="254"/>
      <c r="Q1835" s="254"/>
      <c r="R1835" s="254"/>
      <c r="S1835" s="254"/>
      <c r="T1835" s="254"/>
      <c r="U1835" s="254"/>
      <c r="V1835" s="254"/>
      <c r="W1835" s="254"/>
      <c r="X1835" s="254"/>
      <c r="Y1835" s="254"/>
      <c r="Z1835" s="254"/>
      <c r="AA1835" s="254"/>
      <c r="AB1835" s="254"/>
      <c r="AC1835" s="254"/>
      <c r="AD1835" s="254"/>
      <c r="AE1835" s="254"/>
      <c r="AF1835" s="254"/>
      <c r="AG1835" s="254"/>
      <c r="AH1835" s="254"/>
      <c r="AI1835" s="254"/>
      <c r="AJ1835" s="254"/>
      <c r="AK1835" s="254"/>
      <c r="AL1835" s="254"/>
      <c r="AM1835" s="254"/>
      <c r="AN1835" s="254"/>
      <c r="AO1835" s="254"/>
      <c r="AP1835" s="254"/>
      <c r="AQ1835" s="254"/>
      <c r="AR1835" s="254"/>
      <c r="AS1835" s="254"/>
      <c r="AT1835" s="254"/>
      <c r="AU1835" s="254"/>
      <c r="AV1835" s="254"/>
      <c r="AW1835" s="254"/>
      <c r="AX1835" s="254"/>
      <c r="AY1835" s="254"/>
      <c r="AZ1835" s="254"/>
      <c r="BA1835" s="254"/>
      <c r="BB1835" s="254"/>
      <c r="BC1835" s="254"/>
      <c r="BD1835" s="254"/>
      <c r="BE1835" s="254"/>
      <c r="BF1835" s="254"/>
      <c r="BG1835" s="254"/>
      <c r="BH1835" s="254"/>
      <c r="BI1835" s="981"/>
      <c r="BJ1835" s="254"/>
      <c r="BK1835" s="254"/>
      <c r="BL1835" s="254"/>
      <c r="BM1835" s="254"/>
      <c r="BN1835" s="254"/>
      <c r="BO1835" s="254"/>
      <c r="BP1835" s="254"/>
      <c r="BQ1835" s="254"/>
      <c r="BR1835" s="254"/>
      <c r="BS1835" s="254"/>
      <c r="BT1835" s="254"/>
      <c r="BU1835" s="254"/>
      <c r="BV1835" s="254"/>
      <c r="BW1835" s="223"/>
    </row>
    <row r="1836" spans="1:75" s="224" customFormat="1" x14ac:dyDescent="0.5">
      <c r="A1836" s="1001" t="s">
        <v>1594</v>
      </c>
      <c r="B1836" s="254"/>
      <c r="C1836" s="980"/>
      <c r="D1836" s="980"/>
      <c r="E1836" s="254"/>
      <c r="F1836" s="254"/>
      <c r="G1836" s="254"/>
      <c r="H1836" s="254"/>
      <c r="I1836" s="254"/>
      <c r="J1836" s="254"/>
      <c r="K1836" s="254"/>
      <c r="L1836" s="254"/>
      <c r="M1836" s="254"/>
      <c r="N1836" s="254"/>
      <c r="O1836" s="254"/>
      <c r="P1836" s="254"/>
      <c r="Q1836" s="254"/>
      <c r="R1836" s="254"/>
      <c r="S1836" s="254"/>
      <c r="T1836" s="254"/>
      <c r="U1836" s="254"/>
      <c r="V1836" s="254"/>
      <c r="W1836" s="254"/>
      <c r="X1836" s="254"/>
      <c r="Y1836" s="254"/>
      <c r="Z1836" s="254"/>
      <c r="AA1836" s="254"/>
      <c r="AB1836" s="254"/>
      <c r="AC1836" s="254"/>
      <c r="AD1836" s="254"/>
      <c r="AE1836" s="254"/>
      <c r="AF1836" s="254"/>
      <c r="AG1836" s="254"/>
      <c r="AH1836" s="254"/>
      <c r="AI1836" s="254"/>
      <c r="AJ1836" s="254"/>
      <c r="AK1836" s="254"/>
      <c r="AL1836" s="254"/>
      <c r="AM1836" s="254"/>
      <c r="AN1836" s="254"/>
      <c r="AO1836" s="254"/>
      <c r="AP1836" s="254"/>
      <c r="AQ1836" s="254"/>
      <c r="AR1836" s="254"/>
      <c r="AS1836" s="254"/>
      <c r="AT1836" s="254"/>
      <c r="AU1836" s="254"/>
      <c r="AV1836" s="254"/>
      <c r="AW1836" s="254"/>
      <c r="AX1836" s="254"/>
      <c r="AY1836" s="254"/>
      <c r="AZ1836" s="254"/>
      <c r="BA1836" s="254"/>
      <c r="BB1836" s="254"/>
      <c r="BC1836" s="254"/>
      <c r="BD1836" s="254"/>
      <c r="BE1836" s="254"/>
      <c r="BF1836" s="254"/>
      <c r="BG1836" s="254"/>
      <c r="BH1836" s="254"/>
      <c r="BI1836" s="981"/>
      <c r="BJ1836" s="254"/>
      <c r="BK1836" s="254"/>
      <c r="BL1836" s="254"/>
      <c r="BM1836" s="254"/>
      <c r="BN1836" s="254"/>
      <c r="BO1836" s="254"/>
      <c r="BP1836" s="254"/>
      <c r="BQ1836" s="254"/>
      <c r="BR1836" s="254"/>
      <c r="BS1836" s="254"/>
      <c r="BT1836" s="254"/>
      <c r="BU1836" s="254"/>
      <c r="BV1836" s="254"/>
      <c r="BW1836" s="223"/>
    </row>
    <row r="1837" spans="1:75" s="224" customFormat="1" x14ac:dyDescent="0.5">
      <c r="A1837" s="1001" t="s">
        <v>1595</v>
      </c>
      <c r="B1837" s="254"/>
      <c r="C1837" s="980"/>
      <c r="D1837" s="980"/>
      <c r="E1837" s="254"/>
      <c r="F1837" s="254"/>
      <c r="G1837" s="254"/>
      <c r="H1837" s="254"/>
      <c r="I1837" s="254"/>
      <c r="J1837" s="254"/>
      <c r="K1837" s="254"/>
      <c r="L1837" s="254"/>
      <c r="M1837" s="254"/>
      <c r="N1837" s="254"/>
      <c r="O1837" s="254"/>
      <c r="P1837" s="254"/>
      <c r="Q1837" s="254"/>
      <c r="R1837" s="254"/>
      <c r="S1837" s="254"/>
      <c r="T1837" s="254"/>
      <c r="U1837" s="254"/>
      <c r="V1837" s="254"/>
      <c r="W1837" s="254"/>
      <c r="X1837" s="254"/>
      <c r="Y1837" s="254"/>
      <c r="Z1837" s="254"/>
      <c r="AA1837" s="254"/>
      <c r="AB1837" s="254"/>
      <c r="AC1837" s="254"/>
      <c r="AD1837" s="254"/>
      <c r="AE1837" s="254"/>
      <c r="AF1837" s="254"/>
      <c r="AG1837" s="254"/>
      <c r="AH1837" s="254"/>
      <c r="AI1837" s="254"/>
      <c r="AJ1837" s="254"/>
      <c r="AK1837" s="254"/>
      <c r="AL1837" s="254"/>
      <c r="AM1837" s="254"/>
      <c r="AN1837" s="254"/>
      <c r="AO1837" s="254"/>
      <c r="AP1837" s="254"/>
      <c r="AQ1837" s="254"/>
      <c r="AR1837" s="254"/>
      <c r="AS1837" s="254"/>
      <c r="AT1837" s="254"/>
      <c r="AU1837" s="254"/>
      <c r="AV1837" s="254"/>
      <c r="AW1837" s="254"/>
      <c r="AX1837" s="254"/>
      <c r="AY1837" s="254"/>
      <c r="AZ1837" s="254"/>
      <c r="BA1837" s="254"/>
      <c r="BB1837" s="254"/>
      <c r="BC1837" s="254"/>
      <c r="BD1837" s="254"/>
      <c r="BE1837" s="254"/>
      <c r="BF1837" s="254"/>
      <c r="BG1837" s="254"/>
      <c r="BH1837" s="254"/>
      <c r="BI1837" s="981"/>
      <c r="BJ1837" s="254"/>
      <c r="BK1837" s="254"/>
      <c r="BL1837" s="254"/>
      <c r="BM1837" s="254"/>
      <c r="BN1837" s="254"/>
      <c r="BO1837" s="254"/>
      <c r="BP1837" s="254"/>
      <c r="BQ1837" s="254"/>
      <c r="BR1837" s="254"/>
      <c r="BS1837" s="254"/>
      <c r="BT1837" s="254"/>
      <c r="BU1837" s="254"/>
      <c r="BV1837" s="254"/>
      <c r="BW1837" s="223"/>
    </row>
    <row r="1838" spans="1:75" s="224" customFormat="1" x14ac:dyDescent="0.5">
      <c r="A1838" s="999"/>
      <c r="B1838" s="254"/>
      <c r="C1838" s="980"/>
      <c r="D1838" s="980"/>
      <c r="E1838" s="254"/>
      <c r="F1838" s="254"/>
      <c r="G1838" s="254"/>
      <c r="H1838" s="254"/>
      <c r="I1838" s="254"/>
      <c r="J1838" s="254"/>
      <c r="K1838" s="254"/>
      <c r="L1838" s="254"/>
      <c r="M1838" s="254"/>
      <c r="N1838" s="254"/>
      <c r="O1838" s="254"/>
      <c r="P1838" s="254"/>
      <c r="Q1838" s="254"/>
      <c r="R1838" s="254"/>
      <c r="S1838" s="254"/>
      <c r="T1838" s="254"/>
      <c r="U1838" s="254"/>
      <c r="V1838" s="254"/>
      <c r="W1838" s="254"/>
      <c r="X1838" s="254"/>
      <c r="Y1838" s="254"/>
      <c r="Z1838" s="254"/>
      <c r="AA1838" s="254"/>
      <c r="AB1838" s="254"/>
      <c r="AC1838" s="254"/>
      <c r="AD1838" s="254"/>
      <c r="AE1838" s="254"/>
      <c r="AF1838" s="254"/>
      <c r="AG1838" s="254"/>
      <c r="AH1838" s="254"/>
      <c r="AI1838" s="254"/>
      <c r="AJ1838" s="254"/>
      <c r="AK1838" s="254"/>
      <c r="AL1838" s="254"/>
      <c r="AM1838" s="254"/>
      <c r="AN1838" s="254"/>
      <c r="AO1838" s="254"/>
      <c r="AP1838" s="254"/>
      <c r="AQ1838" s="254"/>
      <c r="AR1838" s="254"/>
      <c r="AS1838" s="254"/>
      <c r="AT1838" s="254"/>
      <c r="AU1838" s="254"/>
      <c r="AV1838" s="254"/>
      <c r="AW1838" s="254"/>
      <c r="AX1838" s="254"/>
      <c r="AY1838" s="254"/>
      <c r="AZ1838" s="254"/>
      <c r="BA1838" s="254"/>
      <c r="BB1838" s="254"/>
      <c r="BC1838" s="254"/>
      <c r="BD1838" s="254"/>
      <c r="BE1838" s="254"/>
      <c r="BF1838" s="254"/>
      <c r="BG1838" s="254"/>
      <c r="BH1838" s="254"/>
      <c r="BI1838" s="981"/>
      <c r="BJ1838" s="254"/>
      <c r="BK1838" s="254"/>
      <c r="BL1838" s="254"/>
      <c r="BM1838" s="254"/>
      <c r="BN1838" s="254"/>
      <c r="BO1838" s="254"/>
      <c r="BP1838" s="254"/>
      <c r="BQ1838" s="254"/>
      <c r="BR1838" s="254"/>
      <c r="BS1838" s="254"/>
      <c r="BT1838" s="254"/>
      <c r="BU1838" s="254"/>
      <c r="BV1838" s="254"/>
      <c r="BW1838" s="223"/>
    </row>
    <row r="1839" spans="1:75" s="224" customFormat="1" x14ac:dyDescent="0.5">
      <c r="A1839" s="1002"/>
      <c r="B1839" s="987"/>
      <c r="C1839" s="1003"/>
      <c r="D1839" s="1003"/>
      <c r="E1839" s="987"/>
      <c r="F1839" s="987"/>
      <c r="G1839" s="987"/>
      <c r="H1839" s="987"/>
      <c r="I1839" s="987"/>
      <c r="J1839" s="987"/>
      <c r="K1839" s="987"/>
      <c r="L1839" s="987"/>
      <c r="M1839" s="987"/>
      <c r="N1839" s="987"/>
      <c r="O1839" s="987"/>
      <c r="P1839" s="987"/>
      <c r="Q1839" s="987"/>
      <c r="R1839" s="987"/>
      <c r="S1839" s="987"/>
      <c r="T1839" s="987"/>
      <c r="U1839" s="987"/>
      <c r="V1839" s="987"/>
      <c r="W1839" s="987"/>
      <c r="X1839" s="987"/>
      <c r="Y1839" s="987"/>
      <c r="Z1839" s="987"/>
      <c r="AA1839" s="987"/>
      <c r="AB1839" s="987"/>
      <c r="AC1839" s="987"/>
      <c r="AD1839" s="987"/>
      <c r="AE1839" s="987"/>
      <c r="AF1839" s="987"/>
      <c r="AG1839" s="987"/>
      <c r="AH1839" s="987"/>
      <c r="AI1839" s="987"/>
      <c r="AJ1839" s="987"/>
      <c r="AK1839" s="987"/>
      <c r="AL1839" s="987"/>
      <c r="AM1839" s="987"/>
      <c r="AN1839" s="987"/>
      <c r="AO1839" s="987"/>
      <c r="AP1839" s="987"/>
      <c r="AQ1839" s="987"/>
      <c r="AR1839" s="987"/>
      <c r="AS1839" s="987"/>
      <c r="AT1839" s="987"/>
      <c r="AU1839" s="987"/>
      <c r="AV1839" s="987"/>
      <c r="AW1839" s="987"/>
      <c r="AX1839" s="987"/>
      <c r="AY1839" s="987"/>
      <c r="AZ1839" s="987"/>
      <c r="BA1839" s="987"/>
      <c r="BB1839" s="987"/>
      <c r="BC1839" s="987"/>
      <c r="BD1839" s="987"/>
      <c r="BE1839" s="987"/>
      <c r="BF1839" s="987"/>
      <c r="BG1839" s="987"/>
      <c r="BH1839" s="987"/>
      <c r="BI1839" s="1004"/>
      <c r="BJ1839" s="987"/>
      <c r="BK1839" s="987"/>
      <c r="BL1839" s="987"/>
      <c r="BM1839" s="987"/>
      <c r="BN1839" s="987"/>
      <c r="BO1839" s="987"/>
      <c r="BP1839" s="987"/>
      <c r="BQ1839" s="987"/>
      <c r="BR1839" s="987"/>
      <c r="BS1839" s="987"/>
      <c r="BT1839" s="987"/>
      <c r="BU1839" s="987"/>
      <c r="BV1839" s="987"/>
      <c r="BW1839" s="223"/>
    </row>
    <row r="1840" spans="1:75" s="224" customFormat="1" x14ac:dyDescent="0.5">
      <c r="A1840" s="1005" t="s">
        <v>1596</v>
      </c>
      <c r="B1840" s="1006"/>
      <c r="C1840" s="1007"/>
      <c r="D1840" s="1007"/>
      <c r="E1840" s="1006"/>
      <c r="F1840" s="1006"/>
      <c r="G1840" s="1006"/>
      <c r="H1840" s="1006"/>
      <c r="I1840" s="1006"/>
      <c r="J1840" s="1006"/>
      <c r="K1840" s="1006"/>
      <c r="L1840" s="1006"/>
      <c r="M1840" s="1006"/>
      <c r="N1840" s="1006"/>
      <c r="O1840" s="1006"/>
      <c r="P1840" s="1006"/>
      <c r="Q1840" s="1006"/>
      <c r="R1840" s="1006"/>
      <c r="S1840" s="1006"/>
      <c r="T1840" s="1006"/>
      <c r="U1840" s="1006"/>
      <c r="V1840" s="1006"/>
      <c r="W1840" s="1006"/>
      <c r="X1840" s="1006"/>
      <c r="Y1840" s="1006"/>
      <c r="Z1840" s="1006"/>
      <c r="AA1840" s="1006"/>
      <c r="AB1840" s="1006"/>
      <c r="AC1840" s="1006"/>
      <c r="AD1840" s="1006"/>
      <c r="AE1840" s="1006"/>
      <c r="AF1840" s="1006"/>
      <c r="AG1840" s="1006"/>
      <c r="AH1840" s="1006"/>
      <c r="AI1840" s="1006"/>
      <c r="AJ1840" s="1006"/>
      <c r="AK1840" s="1006"/>
      <c r="AL1840" s="1006"/>
      <c r="AM1840" s="1006"/>
      <c r="AN1840" s="1006"/>
      <c r="AO1840" s="1006"/>
      <c r="AP1840" s="1006"/>
      <c r="AQ1840" s="1006"/>
      <c r="AR1840" s="1006"/>
      <c r="AS1840" s="1006"/>
      <c r="AT1840" s="1006"/>
      <c r="AU1840" s="1006"/>
      <c r="AV1840" s="1006"/>
      <c r="AW1840" s="1006"/>
      <c r="AX1840" s="1006"/>
      <c r="AY1840" s="1006"/>
      <c r="AZ1840" s="1006"/>
      <c r="BA1840" s="1006"/>
      <c r="BB1840" s="1006"/>
      <c r="BC1840" s="1006"/>
      <c r="BD1840" s="1006"/>
      <c r="BE1840" s="1006"/>
      <c r="BF1840" s="1006"/>
      <c r="BG1840" s="1006"/>
      <c r="BH1840" s="1006"/>
      <c r="BI1840" s="1008"/>
      <c r="BJ1840" s="1006"/>
      <c r="BK1840" s="1006"/>
      <c r="BL1840" s="1006"/>
      <c r="BM1840" s="1006"/>
      <c r="BN1840" s="1006"/>
      <c r="BO1840" s="1006"/>
      <c r="BP1840" s="1006"/>
      <c r="BQ1840" s="1006"/>
      <c r="BR1840" s="1006"/>
      <c r="BS1840" s="1006"/>
      <c r="BT1840" s="1006"/>
      <c r="BU1840" s="1006"/>
      <c r="BV1840" s="1009"/>
      <c r="BW1840" s="223"/>
    </row>
    <row r="1841" spans="1:75" s="224" customFormat="1" x14ac:dyDescent="0.5">
      <c r="A1841" s="1010" t="s">
        <v>1597</v>
      </c>
      <c r="B1841" s="254"/>
      <c r="C1841" s="1011"/>
      <c r="D1841" s="1011"/>
      <c r="E1841" s="1012"/>
      <c r="F1841" s="1012"/>
      <c r="G1841" s="1012"/>
      <c r="H1841" s="1012"/>
      <c r="I1841" s="1012"/>
      <c r="J1841" s="1012"/>
      <c r="K1841" s="1012"/>
      <c r="L1841" s="1012"/>
      <c r="M1841" s="1012"/>
      <c r="N1841" s="1012"/>
      <c r="O1841" s="1012"/>
      <c r="P1841" s="1012"/>
      <c r="Q1841" s="1012"/>
      <c r="R1841" s="1012"/>
      <c r="S1841" s="1012"/>
      <c r="T1841" s="1012"/>
      <c r="U1841" s="1012"/>
      <c r="V1841" s="1012"/>
      <c r="W1841" s="1012"/>
      <c r="X1841" s="1012"/>
      <c r="Y1841" s="1012"/>
      <c r="Z1841" s="1012"/>
      <c r="AA1841" s="1012"/>
      <c r="AB1841" s="1012"/>
      <c r="AC1841" s="1013">
        <v>43054</v>
      </c>
      <c r="AD1841" s="1013">
        <v>43186</v>
      </c>
      <c r="AE1841" s="1013">
        <v>43186</v>
      </c>
      <c r="AF1841" s="1013">
        <v>43262</v>
      </c>
      <c r="AG1841" s="1013">
        <v>43347</v>
      </c>
      <c r="AH1841" s="1013">
        <v>43437</v>
      </c>
      <c r="AI1841" s="1013">
        <v>43552</v>
      </c>
      <c r="AJ1841" s="1013">
        <v>43552</v>
      </c>
      <c r="AK1841" s="1013">
        <v>43628</v>
      </c>
      <c r="AL1841" s="1013">
        <v>43718</v>
      </c>
      <c r="AM1841" s="1013">
        <v>43803</v>
      </c>
      <c r="AN1841" s="1012"/>
      <c r="AO1841" s="1012"/>
      <c r="AP1841" s="1013">
        <v>43986</v>
      </c>
      <c r="AQ1841" s="1013">
        <v>44083</v>
      </c>
      <c r="AR1841" s="1013">
        <v>44176</v>
      </c>
      <c r="AS1841" s="1013">
        <v>44279</v>
      </c>
      <c r="AT1841" s="1013">
        <v>44279</v>
      </c>
      <c r="AU1841" s="1013">
        <v>44356</v>
      </c>
      <c r="AV1841" s="1013">
        <v>44447</v>
      </c>
      <c r="AW1841" s="1013">
        <v>44538</v>
      </c>
      <c r="AX1841" s="1013">
        <v>44649</v>
      </c>
      <c r="AY1841" s="1013">
        <v>44649</v>
      </c>
      <c r="AZ1841" s="1013">
        <v>44714</v>
      </c>
      <c r="BA1841" s="1013">
        <v>44812</v>
      </c>
      <c r="BB1841" s="1013">
        <v>44903</v>
      </c>
      <c r="BC1841" s="1013">
        <v>45014</v>
      </c>
      <c r="BD1841" s="1013">
        <v>45014</v>
      </c>
      <c r="BE1841" s="1013">
        <v>45071</v>
      </c>
      <c r="BF1841" s="1013">
        <v>45176</v>
      </c>
      <c r="BG1841" s="1013">
        <v>45267</v>
      </c>
      <c r="BH1841" s="1013">
        <v>45378</v>
      </c>
      <c r="BI1841" s="1014">
        <v>45378</v>
      </c>
      <c r="BJ1841" s="1012"/>
      <c r="BK1841" s="1012"/>
      <c r="BL1841" s="1012"/>
      <c r="BM1841" s="1012"/>
      <c r="BN1841" s="1012"/>
      <c r="BO1841" s="1012"/>
      <c r="BP1841" s="1012"/>
      <c r="BQ1841" s="1012"/>
      <c r="BR1841" s="1012"/>
      <c r="BS1841" s="1012"/>
      <c r="BT1841" s="1012"/>
      <c r="BU1841" s="1012"/>
      <c r="BV1841" s="1015"/>
      <c r="BW1841" s="223"/>
    </row>
    <row r="1842" spans="1:75" s="224" customFormat="1" x14ac:dyDescent="0.5">
      <c r="A1842" s="1010" t="s">
        <v>1598</v>
      </c>
      <c r="B1842" s="254"/>
      <c r="C1842" s="1016"/>
      <c r="D1842" s="1016"/>
      <c r="E1842" s="1017"/>
      <c r="F1842" s="1017"/>
      <c r="G1842" s="1017"/>
      <c r="H1842" s="1017"/>
      <c r="I1842" s="1017"/>
      <c r="J1842" s="1017"/>
      <c r="K1842" s="1017"/>
      <c r="L1842" s="1017"/>
      <c r="M1842" s="1017"/>
      <c r="N1842" s="1017"/>
      <c r="O1842" s="1017"/>
      <c r="P1842" s="1017"/>
      <c r="Q1842" s="1017"/>
      <c r="R1842" s="1017"/>
      <c r="S1842" s="1017"/>
      <c r="T1842" s="1017"/>
      <c r="U1842" s="1017"/>
      <c r="V1842" s="1017"/>
      <c r="W1842" s="1017"/>
      <c r="X1842" s="1017"/>
      <c r="Y1842" s="1017"/>
      <c r="Z1842" s="1017"/>
      <c r="AA1842" s="1017"/>
      <c r="AB1842" s="1017"/>
      <c r="AC1842" s="1017" t="s">
        <v>132</v>
      </c>
      <c r="AD1842" s="1017" t="s">
        <v>134</v>
      </c>
      <c r="AE1842" s="1017" t="s">
        <v>134</v>
      </c>
      <c r="AF1842" s="1017" t="s">
        <v>135</v>
      </c>
      <c r="AG1842" s="1017" t="s">
        <v>136</v>
      </c>
      <c r="AH1842" s="1017" t="s">
        <v>137</v>
      </c>
      <c r="AI1842" s="1017" t="s">
        <v>139</v>
      </c>
      <c r="AJ1842" s="1017" t="s">
        <v>139</v>
      </c>
      <c r="AK1842" s="1017" t="s">
        <v>140</v>
      </c>
      <c r="AL1842" s="1017" t="s">
        <v>141</v>
      </c>
      <c r="AM1842" s="1017" t="s">
        <v>142</v>
      </c>
      <c r="AN1842" s="1017" t="s">
        <v>144</v>
      </c>
      <c r="AO1842" s="1017" t="s">
        <v>144</v>
      </c>
      <c r="AP1842" s="1017" t="s">
        <v>145</v>
      </c>
      <c r="AQ1842" s="1017" t="s">
        <v>146</v>
      </c>
      <c r="AR1842" s="1017" t="s">
        <v>147</v>
      </c>
      <c r="AS1842" s="1017" t="s">
        <v>149</v>
      </c>
      <c r="AT1842" s="1017" t="s">
        <v>149</v>
      </c>
      <c r="AU1842" s="1017" t="s">
        <v>150</v>
      </c>
      <c r="AV1842" s="1017" t="s">
        <v>151</v>
      </c>
      <c r="AW1842" s="1017" t="s">
        <v>152</v>
      </c>
      <c r="AX1842" s="1017" t="s">
        <v>154</v>
      </c>
      <c r="AY1842" s="1017" t="s">
        <v>154</v>
      </c>
      <c r="AZ1842" s="1017" t="s">
        <v>155</v>
      </c>
      <c r="BA1842" s="1017" t="s">
        <v>156</v>
      </c>
      <c r="BB1842" s="1017" t="s">
        <v>157</v>
      </c>
      <c r="BC1842" s="1017" t="s">
        <v>159</v>
      </c>
      <c r="BD1842" s="1017" t="s">
        <v>159</v>
      </c>
      <c r="BE1842" s="1017" t="s">
        <v>160</v>
      </c>
      <c r="BF1842" s="1017" t="s">
        <v>161</v>
      </c>
      <c r="BG1842" s="1017" t="s">
        <v>162</v>
      </c>
      <c r="BH1842" s="1017" t="s">
        <v>164</v>
      </c>
      <c r="BI1842" s="1018" t="s">
        <v>164</v>
      </c>
      <c r="BJ1842" s="1017"/>
      <c r="BK1842" s="1017"/>
      <c r="BL1842" s="1017"/>
      <c r="BM1842" s="1017"/>
      <c r="BN1842" s="1017"/>
      <c r="BO1842" s="1017"/>
      <c r="BP1842" s="1017"/>
      <c r="BQ1842" s="1017"/>
      <c r="BR1842" s="1017"/>
      <c r="BS1842" s="1017"/>
      <c r="BT1842" s="1017"/>
      <c r="BU1842" s="1017"/>
      <c r="BV1842" s="1019"/>
      <c r="BW1842" s="223"/>
    </row>
    <row r="1843" spans="1:75" s="224" customFormat="1" x14ac:dyDescent="0.5">
      <c r="A1843" s="1020"/>
      <c r="B1843" s="269"/>
      <c r="C1843" s="1021"/>
      <c r="D1843" s="1021"/>
      <c r="E1843" s="269"/>
      <c r="F1843" s="269"/>
      <c r="G1843" s="269"/>
      <c r="H1843" s="269"/>
      <c r="I1843" s="269"/>
      <c r="J1843" s="269"/>
      <c r="K1843" s="269"/>
      <c r="L1843" s="269"/>
      <c r="M1843" s="269"/>
      <c r="N1843" s="269"/>
      <c r="O1843" s="269"/>
      <c r="P1843" s="269"/>
      <c r="Q1843" s="269"/>
      <c r="R1843" s="269"/>
      <c r="S1843" s="269"/>
      <c r="T1843" s="269"/>
      <c r="U1843" s="269"/>
      <c r="V1843" s="269"/>
      <c r="W1843" s="269"/>
      <c r="X1843" s="269"/>
      <c r="Y1843" s="269"/>
      <c r="Z1843" s="269"/>
      <c r="AA1843" s="269"/>
      <c r="AB1843" s="269"/>
      <c r="AC1843" s="269"/>
      <c r="AD1843" s="269"/>
      <c r="AE1843" s="269"/>
      <c r="AF1843" s="269"/>
      <c r="AG1843" s="269"/>
      <c r="AH1843" s="269"/>
      <c r="AI1843" s="269"/>
      <c r="AJ1843" s="269"/>
      <c r="AK1843" s="269"/>
      <c r="AL1843" s="269"/>
      <c r="AM1843" s="269"/>
      <c r="AN1843" s="269"/>
      <c r="AO1843" s="269"/>
      <c r="AP1843" s="269"/>
      <c r="AQ1843" s="269"/>
      <c r="AR1843" s="269"/>
      <c r="AS1843" s="269"/>
      <c r="AT1843" s="269"/>
      <c r="AU1843" s="269"/>
      <c r="AV1843" s="269"/>
      <c r="AW1843" s="269"/>
      <c r="AX1843" s="269"/>
      <c r="AY1843" s="269"/>
      <c r="AZ1843" s="269"/>
      <c r="BA1843" s="269"/>
      <c r="BB1843" s="269"/>
      <c r="BC1843" s="269"/>
      <c r="BD1843" s="269"/>
      <c r="BE1843" s="269"/>
      <c r="BF1843" s="269"/>
      <c r="BG1843" s="269"/>
      <c r="BH1843" s="269"/>
      <c r="BI1843" s="1022"/>
      <c r="BJ1843" s="269"/>
      <c r="BK1843" s="269"/>
      <c r="BL1843" s="269"/>
      <c r="BM1843" s="269"/>
      <c r="BN1843" s="269"/>
      <c r="BO1843" s="269"/>
      <c r="BP1843" s="269"/>
      <c r="BQ1843" s="269"/>
      <c r="BR1843" s="269"/>
      <c r="BS1843" s="269"/>
      <c r="BT1843" s="269"/>
      <c r="BU1843" s="269"/>
      <c r="BV1843" s="1023"/>
      <c r="BW1843" s="223"/>
    </row>
    <row r="1844" spans="1:75" s="224" customFormat="1" x14ac:dyDescent="0.5">
      <c r="A1844" s="1002"/>
      <c r="B1844" s="987"/>
      <c r="C1844" s="1003"/>
      <c r="D1844" s="1003"/>
      <c r="E1844" s="987"/>
      <c r="F1844" s="987"/>
      <c r="G1844" s="987"/>
      <c r="H1844" s="987"/>
      <c r="I1844" s="987"/>
      <c r="J1844" s="987"/>
      <c r="K1844" s="987"/>
      <c r="L1844" s="987"/>
      <c r="M1844" s="987"/>
      <c r="N1844" s="987"/>
      <c r="O1844" s="987"/>
      <c r="P1844" s="987"/>
      <c r="Q1844" s="987"/>
      <c r="R1844" s="987"/>
      <c r="S1844" s="987"/>
      <c r="T1844" s="987"/>
      <c r="U1844" s="987"/>
      <c r="V1844" s="987"/>
      <c r="W1844" s="987"/>
      <c r="X1844" s="987"/>
      <c r="Y1844" s="987"/>
      <c r="Z1844" s="987"/>
      <c r="AA1844" s="987"/>
      <c r="AB1844" s="987"/>
      <c r="AC1844" s="987"/>
      <c r="AD1844" s="987"/>
      <c r="AE1844" s="987"/>
      <c r="AF1844" s="987"/>
      <c r="AG1844" s="987"/>
      <c r="AH1844" s="987"/>
      <c r="AI1844" s="987"/>
      <c r="AJ1844" s="987"/>
      <c r="AK1844" s="987"/>
      <c r="AL1844" s="987"/>
      <c r="AM1844" s="987"/>
      <c r="AN1844" s="987"/>
      <c r="AO1844" s="987"/>
      <c r="AP1844" s="987"/>
      <c r="AQ1844" s="987"/>
      <c r="AR1844" s="987"/>
      <c r="AS1844" s="987"/>
      <c r="AT1844" s="987"/>
      <c r="AU1844" s="987"/>
      <c r="AV1844" s="987"/>
      <c r="AW1844" s="987"/>
      <c r="AX1844" s="987"/>
      <c r="AY1844" s="987"/>
      <c r="AZ1844" s="987"/>
      <c r="BA1844" s="987"/>
      <c r="BB1844" s="987"/>
      <c r="BC1844" s="987"/>
      <c r="BD1844" s="987"/>
      <c r="BE1844" s="987"/>
      <c r="BF1844" s="987"/>
      <c r="BG1844" s="987"/>
      <c r="BH1844" s="987"/>
      <c r="BI1844" s="1004"/>
      <c r="BJ1844" s="987"/>
      <c r="BK1844" s="987"/>
      <c r="BL1844" s="987"/>
      <c r="BM1844" s="987"/>
      <c r="BN1844" s="987"/>
      <c r="BO1844" s="987"/>
      <c r="BP1844" s="987"/>
      <c r="BQ1844" s="987"/>
      <c r="BR1844" s="987"/>
      <c r="BS1844" s="987"/>
      <c r="BT1844" s="987"/>
      <c r="BU1844" s="987"/>
      <c r="BV1844" s="987"/>
      <c r="BW1844" s="223"/>
    </row>
    <row r="1845" spans="1:75" s="224" customFormat="1" x14ac:dyDescent="0.5">
      <c r="A1845" s="1005" t="s">
        <v>1599</v>
      </c>
      <c r="B1845" s="1006"/>
      <c r="C1845" s="1007"/>
      <c r="D1845" s="1007"/>
      <c r="E1845" s="1006"/>
      <c r="F1845" s="1006"/>
      <c r="G1845" s="1006"/>
      <c r="H1845" s="1006"/>
      <c r="I1845" s="1006"/>
      <c r="J1845" s="1006"/>
      <c r="K1845" s="1006"/>
      <c r="L1845" s="1006"/>
      <c r="M1845" s="1006"/>
      <c r="N1845" s="1006"/>
      <c r="O1845" s="1006"/>
      <c r="P1845" s="1006"/>
      <c r="Q1845" s="1006"/>
      <c r="R1845" s="1006"/>
      <c r="S1845" s="1006"/>
      <c r="T1845" s="1006"/>
      <c r="U1845" s="1006"/>
      <c r="V1845" s="1006"/>
      <c r="W1845" s="1006"/>
      <c r="X1845" s="1006"/>
      <c r="Y1845" s="1006"/>
      <c r="Z1845" s="1006"/>
      <c r="AA1845" s="1006"/>
      <c r="AB1845" s="1006"/>
      <c r="AC1845" s="1006"/>
      <c r="AD1845" s="1006"/>
      <c r="AE1845" s="1006"/>
      <c r="AF1845" s="1006"/>
      <c r="AG1845" s="1006"/>
      <c r="AH1845" s="1006"/>
      <c r="AI1845" s="1006"/>
      <c r="AJ1845" s="1006"/>
      <c r="AK1845" s="1006"/>
      <c r="AL1845" s="1006"/>
      <c r="AM1845" s="1006"/>
      <c r="AN1845" s="1006"/>
      <c r="AO1845" s="1006"/>
      <c r="AP1845" s="1006"/>
      <c r="AQ1845" s="1006"/>
      <c r="AR1845" s="1006"/>
      <c r="AS1845" s="1006"/>
      <c r="AT1845" s="1006"/>
      <c r="AU1845" s="1006"/>
      <c r="AV1845" s="1006"/>
      <c r="AW1845" s="1006"/>
      <c r="AX1845" s="1006"/>
      <c r="AY1845" s="1006"/>
      <c r="AZ1845" s="1006"/>
      <c r="BA1845" s="1006"/>
      <c r="BB1845" s="1006"/>
      <c r="BC1845" s="1006"/>
      <c r="BD1845" s="1006"/>
      <c r="BE1845" s="1006"/>
      <c r="BF1845" s="1006"/>
      <c r="BG1845" s="1006"/>
      <c r="BH1845" s="1006"/>
      <c r="BI1845" s="1008"/>
      <c r="BJ1845" s="1006"/>
      <c r="BK1845" s="1006"/>
      <c r="BL1845" s="1006"/>
      <c r="BM1845" s="1006"/>
      <c r="BN1845" s="1006"/>
      <c r="BO1845" s="1006"/>
      <c r="BP1845" s="1006"/>
      <c r="BQ1845" s="1006"/>
      <c r="BR1845" s="1006"/>
      <c r="BS1845" s="1006"/>
      <c r="BT1845" s="1006"/>
      <c r="BU1845" s="1006"/>
      <c r="BV1845" s="1009"/>
      <c r="BW1845" s="223"/>
    </row>
    <row r="1846" spans="1:75" s="224" customFormat="1" x14ac:dyDescent="0.5">
      <c r="A1846" s="1010" t="s">
        <v>1597</v>
      </c>
      <c r="B1846" s="254"/>
      <c r="C1846" s="1011"/>
      <c r="D1846" s="1011"/>
      <c r="E1846" s="1012"/>
      <c r="F1846" s="1012"/>
      <c r="G1846" s="1012"/>
      <c r="H1846" s="1012"/>
      <c r="I1846" s="1012"/>
      <c r="J1846" s="1012"/>
      <c r="K1846" s="1012"/>
      <c r="L1846" s="1012"/>
      <c r="M1846" s="1012"/>
      <c r="N1846" s="1012"/>
      <c r="O1846" s="1012"/>
      <c r="P1846" s="1012"/>
      <c r="Q1846" s="1012"/>
      <c r="R1846" s="1012"/>
      <c r="S1846" s="1012"/>
      <c r="T1846" s="1012"/>
      <c r="U1846" s="1012"/>
      <c r="V1846" s="1012"/>
      <c r="W1846" s="1012"/>
      <c r="X1846" s="1012"/>
      <c r="Y1846" s="1012"/>
      <c r="Z1846" s="1012"/>
      <c r="AA1846" s="1012"/>
      <c r="AB1846" s="1012"/>
      <c r="AC1846" s="1012">
        <v>43054</v>
      </c>
      <c r="AD1846" s="1012">
        <v>43186</v>
      </c>
      <c r="AE1846" s="1012">
        <v>43186</v>
      </c>
      <c r="AF1846" s="1012">
        <v>43262</v>
      </c>
      <c r="AG1846" s="1012">
        <v>43347</v>
      </c>
      <c r="AH1846" s="1012">
        <v>43437</v>
      </c>
      <c r="AI1846" s="1012">
        <v>43552</v>
      </c>
      <c r="AJ1846" s="1012">
        <v>43552</v>
      </c>
      <c r="AK1846" s="1012">
        <v>43628</v>
      </c>
      <c r="AL1846" s="1012">
        <v>43718</v>
      </c>
      <c r="AM1846" s="1012">
        <v>43803</v>
      </c>
      <c r="AN1846" s="1012"/>
      <c r="AO1846" s="1012"/>
      <c r="AP1846" s="1012">
        <v>43986</v>
      </c>
      <c r="AQ1846" s="1012">
        <v>44083</v>
      </c>
      <c r="AR1846" s="1012">
        <v>44176</v>
      </c>
      <c r="AS1846" s="1012">
        <v>44279</v>
      </c>
      <c r="AT1846" s="1012">
        <v>44279</v>
      </c>
      <c r="AU1846" s="1012">
        <v>44356</v>
      </c>
      <c r="AV1846" s="1012">
        <v>44447</v>
      </c>
      <c r="AW1846" s="1012">
        <v>44538</v>
      </c>
      <c r="AX1846" s="1012">
        <v>44649</v>
      </c>
      <c r="AY1846" s="1012">
        <v>44649</v>
      </c>
      <c r="AZ1846" s="1012">
        <v>44714</v>
      </c>
      <c r="BA1846" s="1012">
        <v>44812</v>
      </c>
      <c r="BB1846" s="1012">
        <v>44903</v>
      </c>
      <c r="BC1846" s="1012">
        <v>45014</v>
      </c>
      <c r="BD1846" s="1012">
        <v>45014</v>
      </c>
      <c r="BE1846" s="1012">
        <v>45071</v>
      </c>
      <c r="BF1846" s="1012">
        <v>45176</v>
      </c>
      <c r="BG1846" s="1012">
        <v>45267</v>
      </c>
      <c r="BH1846" s="1012">
        <v>45378</v>
      </c>
      <c r="BI1846" s="1024">
        <v>45378</v>
      </c>
      <c r="BJ1846" s="1012"/>
      <c r="BK1846" s="1012"/>
      <c r="BL1846" s="1012"/>
      <c r="BM1846" s="1012"/>
      <c r="BN1846" s="1012"/>
      <c r="BO1846" s="1012"/>
      <c r="BP1846" s="1012"/>
      <c r="BQ1846" s="1012"/>
      <c r="BR1846" s="1012"/>
      <c r="BS1846" s="1012"/>
      <c r="BT1846" s="1012"/>
      <c r="BU1846" s="1012"/>
      <c r="BV1846" s="1015"/>
      <c r="BW1846" s="223"/>
    </row>
    <row r="1847" spans="1:75" s="224" customFormat="1" x14ac:dyDescent="0.5">
      <c r="A1847" s="1010" t="s">
        <v>1600</v>
      </c>
      <c r="B1847" s="254"/>
      <c r="C1847" s="1016"/>
      <c r="D1847" s="1016"/>
      <c r="E1847" s="1017"/>
      <c r="F1847" s="1017"/>
      <c r="G1847" s="1017"/>
      <c r="H1847" s="1017"/>
      <c r="I1847" s="1017"/>
      <c r="J1847" s="1017"/>
      <c r="K1847" s="1017"/>
      <c r="L1847" s="1017"/>
      <c r="M1847" s="1017"/>
      <c r="N1847" s="1017"/>
      <c r="O1847" s="1017"/>
      <c r="P1847" s="1017"/>
      <c r="Q1847" s="1017"/>
      <c r="R1847" s="1017"/>
      <c r="S1847" s="1017"/>
      <c r="T1847" s="1017"/>
      <c r="U1847" s="1017"/>
      <c r="V1847" s="1017"/>
      <c r="W1847" s="1017"/>
      <c r="X1847" s="1017"/>
      <c r="Y1847" s="1017"/>
      <c r="Z1847" s="1017"/>
      <c r="AA1847" s="1017"/>
      <c r="AB1847" s="1017"/>
      <c r="AC1847" s="1017" t="s">
        <v>133</v>
      </c>
      <c r="AD1847" s="1017" t="s">
        <v>1601</v>
      </c>
      <c r="AE1847" s="1017" t="s">
        <v>1601</v>
      </c>
      <c r="AF1847" s="1017" t="s">
        <v>1601</v>
      </c>
      <c r="AG1847" s="1017" t="s">
        <v>1601</v>
      </c>
      <c r="AH1847" s="1017" t="s">
        <v>138</v>
      </c>
      <c r="AI1847" s="1017" t="s">
        <v>1601</v>
      </c>
      <c r="AJ1847" s="1017" t="s">
        <v>1601</v>
      </c>
      <c r="AK1847" s="1017" t="s">
        <v>1601</v>
      </c>
      <c r="AL1847" s="1017" t="s">
        <v>1601</v>
      </c>
      <c r="AM1847" s="1017" t="s">
        <v>143</v>
      </c>
      <c r="AN1847" s="1017" t="s">
        <v>1601</v>
      </c>
      <c r="AO1847" s="1017" t="s">
        <v>1601</v>
      </c>
      <c r="AP1847" s="1017" t="s">
        <v>1601</v>
      </c>
      <c r="AQ1847" s="1017" t="s">
        <v>1601</v>
      </c>
      <c r="AR1847" s="1017" t="s">
        <v>148</v>
      </c>
      <c r="AS1847" s="1017" t="s">
        <v>1601</v>
      </c>
      <c r="AT1847" s="1017" t="s">
        <v>1601</v>
      </c>
      <c r="AU1847" s="1017" t="s">
        <v>1601</v>
      </c>
      <c r="AV1847" s="1017" t="s">
        <v>1601</v>
      </c>
      <c r="AW1847" s="1017" t="s">
        <v>153</v>
      </c>
      <c r="AX1847" s="1017" t="s">
        <v>1601</v>
      </c>
      <c r="AY1847" s="1017" t="s">
        <v>1601</v>
      </c>
      <c r="AZ1847" s="1017" t="s">
        <v>1601</v>
      </c>
      <c r="BA1847" s="1017" t="s">
        <v>1601</v>
      </c>
      <c r="BB1847" s="1017" t="s">
        <v>158</v>
      </c>
      <c r="BC1847" s="1017" t="s">
        <v>1601</v>
      </c>
      <c r="BD1847" s="1017" t="s">
        <v>1601</v>
      </c>
      <c r="BE1847" s="1017" t="s">
        <v>1601</v>
      </c>
      <c r="BF1847" s="1017" t="s">
        <v>1601</v>
      </c>
      <c r="BG1847" s="1017" t="s">
        <v>163</v>
      </c>
      <c r="BH1847" s="1017" t="s">
        <v>1601</v>
      </c>
      <c r="BI1847" s="1018" t="s">
        <v>168</v>
      </c>
      <c r="BJ1847" s="1017"/>
      <c r="BK1847" s="1017"/>
      <c r="BL1847" s="1017"/>
      <c r="BM1847" s="1017"/>
      <c r="BN1847" s="1017"/>
      <c r="BO1847" s="1017"/>
      <c r="BP1847" s="1017"/>
      <c r="BQ1847" s="1017"/>
      <c r="BR1847" s="1017"/>
      <c r="BS1847" s="1017"/>
      <c r="BT1847" s="1017"/>
      <c r="BU1847" s="1017"/>
      <c r="BV1847" s="1019"/>
      <c r="BW1847" s="223"/>
    </row>
    <row r="1848" spans="1:75" s="224" customFormat="1" x14ac:dyDescent="0.5">
      <c r="A1848" s="1010" t="s">
        <v>1598</v>
      </c>
      <c r="B1848" s="254"/>
      <c r="C1848" s="1016"/>
      <c r="D1848" s="1016"/>
      <c r="E1848" s="1017"/>
      <c r="F1848" s="1017"/>
      <c r="G1848" s="1017"/>
      <c r="H1848" s="1017"/>
      <c r="I1848" s="1017"/>
      <c r="J1848" s="1017"/>
      <c r="K1848" s="1017"/>
      <c r="L1848" s="1017"/>
      <c r="M1848" s="1017"/>
      <c r="N1848" s="1017"/>
      <c r="O1848" s="1017"/>
      <c r="P1848" s="1017"/>
      <c r="Q1848" s="1017"/>
      <c r="R1848" s="1017"/>
      <c r="S1848" s="1017"/>
      <c r="T1848" s="1017"/>
      <c r="U1848" s="1017"/>
      <c r="V1848" s="1017"/>
      <c r="W1848" s="1017"/>
      <c r="X1848" s="1017"/>
      <c r="Y1848" s="1017"/>
      <c r="Z1848" s="1017"/>
      <c r="AA1848" s="1017"/>
      <c r="AB1848" s="1017"/>
      <c r="AC1848" s="1017" t="s">
        <v>133</v>
      </c>
      <c r="AD1848" s="1017" t="s">
        <v>138</v>
      </c>
      <c r="AE1848" s="1017" t="s">
        <v>138</v>
      </c>
      <c r="AF1848" s="1017" t="s">
        <v>138</v>
      </c>
      <c r="AG1848" s="1017" t="s">
        <v>138</v>
      </c>
      <c r="AH1848" s="1017" t="s">
        <v>138</v>
      </c>
      <c r="AI1848" s="1017" t="s">
        <v>143</v>
      </c>
      <c r="AJ1848" s="1017" t="s">
        <v>143</v>
      </c>
      <c r="AK1848" s="1017" t="s">
        <v>143</v>
      </c>
      <c r="AL1848" s="1017" t="s">
        <v>143</v>
      </c>
      <c r="AM1848" s="1017" t="s">
        <v>143</v>
      </c>
      <c r="AN1848" s="1017" t="s">
        <v>148</v>
      </c>
      <c r="AO1848" s="1017" t="s">
        <v>148</v>
      </c>
      <c r="AP1848" s="1017" t="s">
        <v>148</v>
      </c>
      <c r="AQ1848" s="1017" t="s">
        <v>148</v>
      </c>
      <c r="AR1848" s="1017" t="s">
        <v>148</v>
      </c>
      <c r="AS1848" s="1017" t="s">
        <v>153</v>
      </c>
      <c r="AT1848" s="1017" t="s">
        <v>153</v>
      </c>
      <c r="AU1848" s="1017" t="s">
        <v>153</v>
      </c>
      <c r="AV1848" s="1017" t="s">
        <v>153</v>
      </c>
      <c r="AW1848" s="1017" t="s">
        <v>153</v>
      </c>
      <c r="AX1848" s="1017" t="s">
        <v>158</v>
      </c>
      <c r="AY1848" s="1017" t="s">
        <v>158</v>
      </c>
      <c r="AZ1848" s="1017" t="s">
        <v>158</v>
      </c>
      <c r="BA1848" s="1017" t="s">
        <v>158</v>
      </c>
      <c r="BB1848" s="1017" t="s">
        <v>158</v>
      </c>
      <c r="BC1848" s="1017" t="s">
        <v>163</v>
      </c>
      <c r="BD1848" s="1017" t="s">
        <v>163</v>
      </c>
      <c r="BE1848" s="1017" t="s">
        <v>163</v>
      </c>
      <c r="BF1848" s="1017" t="s">
        <v>163</v>
      </c>
      <c r="BG1848" s="1017" t="s">
        <v>163</v>
      </c>
      <c r="BH1848" s="1017" t="s">
        <v>168</v>
      </c>
      <c r="BI1848" s="1018" t="s">
        <v>168</v>
      </c>
      <c r="BJ1848" s="1017"/>
      <c r="BK1848" s="1017"/>
      <c r="BL1848" s="1017"/>
      <c r="BM1848" s="1017"/>
      <c r="BN1848" s="1017"/>
      <c r="BO1848" s="1017"/>
      <c r="BP1848" s="1017"/>
      <c r="BQ1848" s="1017"/>
      <c r="BR1848" s="1017"/>
      <c r="BS1848" s="1017"/>
      <c r="BT1848" s="1017"/>
      <c r="BU1848" s="1017"/>
      <c r="BV1848" s="1019"/>
      <c r="BW1848" s="223"/>
    </row>
    <row r="1849" spans="1:75" s="224" customFormat="1" x14ac:dyDescent="0.5">
      <c r="A1849" s="1020"/>
      <c r="B1849" s="269"/>
      <c r="C1849" s="1021"/>
      <c r="D1849" s="1021"/>
      <c r="E1849" s="269"/>
      <c r="F1849" s="269"/>
      <c r="G1849" s="269"/>
      <c r="H1849" s="269"/>
      <c r="I1849" s="269"/>
      <c r="J1849" s="269"/>
      <c r="K1849" s="269"/>
      <c r="L1849" s="269"/>
      <c r="M1849" s="269"/>
      <c r="N1849" s="269"/>
      <c r="O1849" s="269"/>
      <c r="P1849" s="269"/>
      <c r="Q1849" s="269"/>
      <c r="R1849" s="269"/>
      <c r="S1849" s="269"/>
      <c r="T1849" s="269"/>
      <c r="U1849" s="269"/>
      <c r="V1849" s="269"/>
      <c r="W1849" s="269"/>
      <c r="X1849" s="269"/>
      <c r="Y1849" s="269"/>
      <c r="Z1849" s="269"/>
      <c r="AA1849" s="269"/>
      <c r="AB1849" s="269"/>
      <c r="AC1849" s="269"/>
      <c r="AD1849" s="269"/>
      <c r="AE1849" s="269"/>
      <c r="AF1849" s="269"/>
      <c r="AG1849" s="269"/>
      <c r="AH1849" s="269"/>
      <c r="AI1849" s="269"/>
      <c r="AJ1849" s="269"/>
      <c r="AK1849" s="269"/>
      <c r="AL1849" s="269"/>
      <c r="AM1849" s="269"/>
      <c r="AN1849" s="269"/>
      <c r="AO1849" s="269"/>
      <c r="AP1849" s="269"/>
      <c r="AQ1849" s="269"/>
      <c r="AR1849" s="269"/>
      <c r="AS1849" s="269"/>
      <c r="AT1849" s="269"/>
      <c r="AU1849" s="269"/>
      <c r="AV1849" s="269"/>
      <c r="AW1849" s="269"/>
      <c r="AX1849" s="269"/>
      <c r="AY1849" s="269"/>
      <c r="AZ1849" s="269"/>
      <c r="BA1849" s="269"/>
      <c r="BB1849" s="269"/>
      <c r="BC1849" s="269"/>
      <c r="BD1849" s="269"/>
      <c r="BE1849" s="269"/>
      <c r="BF1849" s="269"/>
      <c r="BG1849" s="269"/>
      <c r="BH1849" s="269"/>
      <c r="BI1849" s="1022"/>
      <c r="BJ1849" s="269"/>
      <c r="BK1849" s="269"/>
      <c r="BL1849" s="269"/>
      <c r="BM1849" s="269"/>
      <c r="BN1849" s="269"/>
      <c r="BO1849" s="269"/>
      <c r="BP1849" s="269"/>
      <c r="BQ1849" s="269"/>
      <c r="BR1849" s="269"/>
      <c r="BS1849" s="269"/>
      <c r="BT1849" s="269"/>
      <c r="BU1849" s="269"/>
      <c r="BV1849" s="1023"/>
      <c r="BW1849" s="223"/>
    </row>
    <row r="1850" spans="1:75" s="224" customFormat="1" x14ac:dyDescent="0.5">
      <c r="A1850" s="1002"/>
      <c r="B1850" s="987"/>
      <c r="C1850" s="1003"/>
      <c r="D1850" s="1003"/>
      <c r="E1850" s="987"/>
      <c r="F1850" s="987"/>
      <c r="G1850" s="987"/>
      <c r="H1850" s="987"/>
      <c r="I1850" s="987"/>
      <c r="J1850" s="987"/>
      <c r="K1850" s="987"/>
      <c r="L1850" s="987"/>
      <c r="M1850" s="987"/>
      <c r="N1850" s="987"/>
      <c r="O1850" s="987"/>
      <c r="P1850" s="987"/>
      <c r="Q1850" s="987"/>
      <c r="R1850" s="987"/>
      <c r="S1850" s="987"/>
      <c r="T1850" s="987"/>
      <c r="U1850" s="987"/>
      <c r="V1850" s="987"/>
      <c r="W1850" s="987"/>
      <c r="X1850" s="987"/>
      <c r="Y1850" s="987"/>
      <c r="Z1850" s="987"/>
      <c r="AA1850" s="987"/>
      <c r="AB1850" s="987"/>
      <c r="AC1850" s="987"/>
      <c r="AD1850" s="987"/>
      <c r="AE1850" s="987"/>
      <c r="AF1850" s="987"/>
      <c r="AG1850" s="987"/>
      <c r="AH1850" s="987"/>
      <c r="AI1850" s="987"/>
      <c r="AJ1850" s="987"/>
      <c r="AK1850" s="987"/>
      <c r="AL1850" s="987"/>
      <c r="AM1850" s="987"/>
      <c r="AN1850" s="987"/>
      <c r="AO1850" s="987"/>
      <c r="AP1850" s="987"/>
      <c r="AQ1850" s="987"/>
      <c r="AR1850" s="987"/>
      <c r="AS1850" s="987"/>
      <c r="AT1850" s="987"/>
      <c r="AU1850" s="987"/>
      <c r="AV1850" s="987"/>
      <c r="AW1850" s="987"/>
      <c r="AX1850" s="987"/>
      <c r="AY1850" s="987"/>
      <c r="AZ1850" s="987"/>
      <c r="BA1850" s="987"/>
      <c r="BB1850" s="987"/>
      <c r="BC1850" s="987"/>
      <c r="BD1850" s="987"/>
      <c r="BE1850" s="987"/>
      <c r="BF1850" s="987"/>
      <c r="BG1850" s="987"/>
      <c r="BH1850" s="987"/>
      <c r="BI1850" s="1004"/>
      <c r="BJ1850" s="987"/>
      <c r="BK1850" s="987"/>
      <c r="BL1850" s="987"/>
      <c r="BM1850" s="987"/>
      <c r="BN1850" s="987"/>
      <c r="BO1850" s="987"/>
      <c r="BP1850" s="987"/>
      <c r="BQ1850" s="987"/>
      <c r="BR1850" s="987"/>
      <c r="BS1850" s="987"/>
      <c r="BT1850" s="987"/>
      <c r="BU1850" s="987"/>
      <c r="BV1850" s="987"/>
      <c r="BW1850" s="223"/>
    </row>
    <row r="1851" spans="1:75" s="198" customFormat="1" ht="14.25" x14ac:dyDescent="0.45">
      <c r="A1851" s="1025" t="s">
        <v>1602</v>
      </c>
      <c r="B1851" s="327"/>
      <c r="C1851" s="327"/>
      <c r="D1851" s="327"/>
      <c r="E1851" s="327"/>
      <c r="F1851" s="327"/>
      <c r="G1851" s="327"/>
      <c r="H1851" s="327"/>
      <c r="I1851" s="327"/>
      <c r="J1851" s="327"/>
      <c r="K1851" s="327"/>
      <c r="L1851" s="327"/>
      <c r="M1851" s="327"/>
      <c r="N1851" s="327"/>
      <c r="O1851" s="327"/>
      <c r="P1851" s="327"/>
      <c r="Q1851" s="327"/>
      <c r="R1851" s="327"/>
      <c r="S1851" s="327"/>
      <c r="T1851" s="327"/>
      <c r="U1851" s="327"/>
      <c r="V1851" s="327"/>
      <c r="W1851" s="327"/>
      <c r="X1851" s="327"/>
      <c r="Y1851" s="327"/>
      <c r="Z1851" s="327"/>
      <c r="AA1851" s="327"/>
      <c r="AB1851" s="327"/>
      <c r="AC1851" s="327"/>
      <c r="AD1851" s="327"/>
      <c r="AE1851" s="327"/>
      <c r="AF1851" s="327"/>
      <c r="AG1851" s="327"/>
      <c r="AH1851" s="327"/>
      <c r="AI1851" s="327"/>
      <c r="AJ1851" s="327"/>
      <c r="AK1851" s="327"/>
      <c r="AL1851" s="327"/>
      <c r="AM1851" s="327"/>
      <c r="AN1851" s="327"/>
      <c r="AO1851" s="327"/>
      <c r="AP1851" s="327"/>
      <c r="AQ1851" s="327"/>
      <c r="AR1851" s="327"/>
      <c r="AS1851" s="327"/>
      <c r="AT1851" s="327"/>
      <c r="AU1851" s="327"/>
      <c r="AV1851" s="327"/>
      <c r="AW1851" s="327"/>
      <c r="AX1851" s="327"/>
      <c r="AY1851" s="327"/>
      <c r="AZ1851" s="327"/>
      <c r="BA1851" s="327"/>
      <c r="BB1851" s="327"/>
      <c r="BC1851" s="327"/>
      <c r="BD1851" s="327"/>
      <c r="BE1851" s="327"/>
      <c r="BF1851" s="327"/>
      <c r="BG1851" s="327"/>
      <c r="BH1851" s="327"/>
      <c r="BI1851" s="1026"/>
      <c r="BJ1851" s="327" t="s">
        <v>164</v>
      </c>
      <c r="BK1851" s="327" t="s">
        <v>165</v>
      </c>
      <c r="BL1851" s="327" t="s">
        <v>166</v>
      </c>
      <c r="BM1851" s="327" t="s">
        <v>167</v>
      </c>
      <c r="BN1851" s="327" t="s">
        <v>168</v>
      </c>
      <c r="BO1851" s="327" t="s">
        <v>169</v>
      </c>
      <c r="BP1851" s="327" t="s">
        <v>170</v>
      </c>
      <c r="BQ1851" s="327" t="s">
        <v>171</v>
      </c>
      <c r="BR1851" s="327" t="s">
        <v>172</v>
      </c>
      <c r="BS1851" s="327" t="s">
        <v>173</v>
      </c>
      <c r="BT1851" s="327" t="s">
        <v>174</v>
      </c>
      <c r="BU1851" s="327" t="s">
        <v>175</v>
      </c>
      <c r="BV1851" s="1027" t="s">
        <v>176</v>
      </c>
      <c r="BW1851" s="1028"/>
    </row>
    <row r="1852" spans="1:75" s="198" customFormat="1" ht="14.25" x14ac:dyDescent="0.45">
      <c r="A1852" s="1029" t="s">
        <v>1603</v>
      </c>
      <c r="B1852" s="295"/>
      <c r="C1852" s="295"/>
      <c r="D1852" s="295"/>
      <c r="E1852" s="295"/>
      <c r="F1852" s="295"/>
      <c r="G1852" s="295"/>
      <c r="H1852" s="295"/>
      <c r="I1852" s="295"/>
      <c r="J1852" s="295"/>
      <c r="K1852" s="295"/>
      <c r="L1852" s="295"/>
      <c r="M1852" s="295"/>
      <c r="N1852" s="295"/>
      <c r="O1852" s="295"/>
      <c r="P1852" s="295"/>
      <c r="Q1852" s="295"/>
      <c r="R1852" s="295"/>
      <c r="S1852" s="295"/>
      <c r="T1852" s="295"/>
      <c r="U1852" s="295"/>
      <c r="V1852" s="295"/>
      <c r="W1852" s="295"/>
      <c r="X1852" s="295"/>
      <c r="Y1852" s="295"/>
      <c r="Z1852" s="295"/>
      <c r="AA1852" s="295"/>
      <c r="AB1852" s="295"/>
      <c r="AC1852" s="295"/>
      <c r="AD1852" s="295"/>
      <c r="AE1852" s="295"/>
      <c r="AF1852" s="295"/>
      <c r="AG1852" s="295"/>
      <c r="AH1852" s="295"/>
      <c r="AI1852" s="295"/>
      <c r="AJ1852" s="295"/>
      <c r="AK1852" s="295"/>
      <c r="AL1852" s="295"/>
      <c r="AM1852" s="295"/>
      <c r="AN1852" s="295"/>
      <c r="AO1852" s="295"/>
      <c r="AP1852" s="295"/>
      <c r="AQ1852" s="295"/>
      <c r="AR1852" s="295"/>
      <c r="AS1852" s="295"/>
      <c r="AT1852" s="295"/>
      <c r="AU1852" s="295"/>
      <c r="AV1852" s="295"/>
      <c r="AW1852" s="295"/>
      <c r="AX1852" s="295"/>
      <c r="AY1852" s="295"/>
      <c r="AZ1852" s="295"/>
      <c r="BA1852" s="295"/>
      <c r="BB1852" s="295"/>
      <c r="BC1852" s="295"/>
      <c r="BD1852" s="295"/>
      <c r="BE1852" s="295"/>
      <c r="BF1852" s="295"/>
      <c r="BG1852" s="295"/>
      <c r="BH1852" s="295"/>
      <c r="BI1852" s="1030"/>
      <c r="BJ1852" s="295" t="s">
        <v>1604</v>
      </c>
      <c r="BK1852" s="295" t="s">
        <v>1604</v>
      </c>
      <c r="BL1852" s="295" t="s">
        <v>1604</v>
      </c>
      <c r="BM1852" s="295" t="s">
        <v>1604</v>
      </c>
      <c r="BN1852" s="295" t="s">
        <v>1605</v>
      </c>
      <c r="BO1852" s="295" t="s">
        <v>1604</v>
      </c>
      <c r="BP1852" s="295" t="s">
        <v>1604</v>
      </c>
      <c r="BQ1852" s="295" t="s">
        <v>1604</v>
      </c>
      <c r="BR1852" s="295" t="s">
        <v>1604</v>
      </c>
      <c r="BS1852" s="295" t="s">
        <v>1605</v>
      </c>
      <c r="BT1852" s="295" t="s">
        <v>1605</v>
      </c>
      <c r="BU1852" s="295" t="s">
        <v>1605</v>
      </c>
      <c r="BV1852" s="1031" t="s">
        <v>1605</v>
      </c>
      <c r="BW1852" s="1028"/>
    </row>
    <row r="1853" spans="1:75" s="198" customFormat="1" ht="14.25" x14ac:dyDescent="0.45">
      <c r="A1853" s="1029" t="s">
        <v>1606</v>
      </c>
      <c r="B1853" s="295"/>
      <c r="C1853" s="295"/>
      <c r="D1853" s="295"/>
      <c r="E1853" s="295"/>
      <c r="F1853" s="295"/>
      <c r="G1853" s="295"/>
      <c r="H1853" s="295"/>
      <c r="I1853" s="295"/>
      <c r="J1853" s="295"/>
      <c r="K1853" s="295"/>
      <c r="L1853" s="295"/>
      <c r="M1853" s="295"/>
      <c r="N1853" s="295"/>
      <c r="O1853" s="295"/>
      <c r="P1853" s="295"/>
      <c r="Q1853" s="295"/>
      <c r="R1853" s="295"/>
      <c r="S1853" s="295"/>
      <c r="T1853" s="295"/>
      <c r="U1853" s="295"/>
      <c r="V1853" s="295"/>
      <c r="W1853" s="295"/>
      <c r="X1853" s="295"/>
      <c r="Y1853" s="295"/>
      <c r="Z1853" s="295"/>
      <c r="AA1853" s="295"/>
      <c r="AB1853" s="295"/>
      <c r="AC1853" s="295"/>
      <c r="AD1853" s="295"/>
      <c r="AE1853" s="295"/>
      <c r="AF1853" s="295"/>
      <c r="AG1853" s="295"/>
      <c r="AH1853" s="295"/>
      <c r="AI1853" s="295"/>
      <c r="AJ1853" s="295"/>
      <c r="AK1853" s="295"/>
      <c r="AL1853" s="295"/>
      <c r="AM1853" s="295"/>
      <c r="AN1853" s="295"/>
      <c r="AO1853" s="295"/>
      <c r="AP1853" s="295"/>
      <c r="AQ1853" s="295"/>
      <c r="AR1853" s="295"/>
      <c r="AS1853" s="295"/>
      <c r="AT1853" s="295"/>
      <c r="AU1853" s="295"/>
      <c r="AV1853" s="295"/>
      <c r="AW1853" s="295"/>
      <c r="AX1853" s="295"/>
      <c r="AY1853" s="295"/>
      <c r="AZ1853" s="295"/>
      <c r="BA1853" s="295"/>
      <c r="BB1853" s="295"/>
      <c r="BC1853" s="295"/>
      <c r="BD1853" s="295"/>
      <c r="BE1853" s="295"/>
      <c r="BF1853" s="295"/>
      <c r="BG1853" s="295"/>
      <c r="BH1853" s="295"/>
      <c r="BI1853" s="1030"/>
      <c r="BJ1853" s="295">
        <v>1</v>
      </c>
      <c r="BK1853" s="295">
        <v>2</v>
      </c>
      <c r="BL1853" s="295">
        <v>3</v>
      </c>
      <c r="BM1853" s="295">
        <v>4</v>
      </c>
      <c r="BN1853" s="295">
        <v>1</v>
      </c>
      <c r="BO1853" s="295">
        <v>5</v>
      </c>
      <c r="BP1853" s="295">
        <v>6</v>
      </c>
      <c r="BQ1853" s="295">
        <v>7</v>
      </c>
      <c r="BR1853" s="295">
        <v>8</v>
      </c>
      <c r="BS1853" s="295">
        <v>2</v>
      </c>
      <c r="BT1853" s="295">
        <v>3</v>
      </c>
      <c r="BU1853" s="295">
        <v>4</v>
      </c>
      <c r="BV1853" s="1031">
        <v>5</v>
      </c>
      <c r="BW1853" s="1028"/>
    </row>
    <row r="1854" spans="1:75" s="217" customFormat="1" x14ac:dyDescent="0.5">
      <c r="A1854" s="1032" t="s">
        <v>195</v>
      </c>
      <c r="B1854" s="422"/>
      <c r="C1854" s="1033"/>
      <c r="D1854" s="1033"/>
      <c r="E1854" s="1033"/>
      <c r="F1854" s="1033"/>
      <c r="G1854" s="1033"/>
      <c r="H1854" s="422"/>
      <c r="I1854" s="422"/>
      <c r="J1854" s="422"/>
      <c r="K1854" s="422"/>
      <c r="L1854" s="422"/>
      <c r="M1854" s="422"/>
      <c r="N1854" s="422"/>
      <c r="O1854" s="422"/>
      <c r="P1854" s="422"/>
      <c r="Q1854" s="422"/>
      <c r="R1854" s="422"/>
      <c r="S1854" s="422"/>
      <c r="T1854" s="422"/>
      <c r="U1854" s="422"/>
      <c r="V1854" s="422"/>
      <c r="W1854" s="422"/>
      <c r="X1854" s="422"/>
      <c r="Y1854" s="422"/>
      <c r="Z1854" s="422"/>
      <c r="AA1854" s="422"/>
      <c r="AB1854" s="422"/>
      <c r="AC1854" s="422"/>
      <c r="AD1854" s="422"/>
      <c r="AE1854" s="422"/>
      <c r="AF1854" s="422"/>
      <c r="AG1854" s="422"/>
      <c r="AH1854" s="422"/>
      <c r="AI1854" s="422"/>
      <c r="AJ1854" s="422"/>
      <c r="AK1854" s="422"/>
      <c r="AL1854" s="422"/>
      <c r="AM1854" s="422"/>
      <c r="AN1854" s="422"/>
      <c r="AO1854" s="422"/>
      <c r="AP1854" s="422"/>
      <c r="AQ1854" s="422"/>
      <c r="AR1854" s="422"/>
      <c r="AS1854" s="422"/>
      <c r="AT1854" s="422"/>
      <c r="AU1854" s="422"/>
      <c r="AV1854" s="422"/>
      <c r="AW1854" s="422"/>
      <c r="AX1854" s="422"/>
      <c r="AY1854" s="422"/>
      <c r="AZ1854" s="422"/>
      <c r="BA1854" s="422"/>
      <c r="BB1854" s="422"/>
      <c r="BC1854" s="422"/>
      <c r="BD1854" s="422"/>
      <c r="BE1854" s="422"/>
      <c r="BF1854" s="422"/>
      <c r="BG1854" s="422"/>
      <c r="BH1854" s="422"/>
      <c r="BI1854" s="1034"/>
      <c r="BJ1854" s="422" t="s">
        <v>189</v>
      </c>
      <c r="BK1854" s="422" t="s">
        <v>189</v>
      </c>
      <c r="BL1854" s="422" t="s">
        <v>189</v>
      </c>
      <c r="BM1854" s="422" t="s">
        <v>189</v>
      </c>
      <c r="BN1854" s="422" t="s">
        <v>189</v>
      </c>
      <c r="BO1854" s="422" t="s">
        <v>189</v>
      </c>
      <c r="BP1854" s="422" t="s">
        <v>189</v>
      </c>
      <c r="BQ1854" s="422" t="s">
        <v>189</v>
      </c>
      <c r="BR1854" s="422" t="s">
        <v>189</v>
      </c>
      <c r="BS1854" s="422" t="s">
        <v>189</v>
      </c>
      <c r="BT1854" s="422" t="s">
        <v>189</v>
      </c>
      <c r="BU1854" s="422" t="s">
        <v>189</v>
      </c>
      <c r="BV1854" s="1035" t="s">
        <v>189</v>
      </c>
      <c r="BW1854" s="1036"/>
    </row>
    <row r="1855" spans="1:75" s="123" customFormat="1" x14ac:dyDescent="0.5">
      <c r="A1855" s="1037" t="s">
        <v>188</v>
      </c>
      <c r="B1855" s="119"/>
      <c r="C1855" s="973"/>
      <c r="D1855" s="973"/>
      <c r="E1855" s="973"/>
      <c r="F1855" s="973"/>
      <c r="G1855" s="973"/>
      <c r="H1855" s="119"/>
      <c r="I1855" s="119"/>
      <c r="J1855" s="119"/>
      <c r="K1855" s="119"/>
      <c r="L1855" s="119"/>
      <c r="M1855" s="119"/>
      <c r="N1855" s="119"/>
      <c r="O1855" s="119"/>
      <c r="P1855" s="119"/>
      <c r="Q1855" s="119"/>
      <c r="R1855" s="119"/>
      <c r="S1855" s="119"/>
      <c r="T1855" s="119"/>
      <c r="U1855" s="119"/>
      <c r="V1855" s="119"/>
      <c r="W1855" s="119"/>
      <c r="X1855" s="119"/>
      <c r="Y1855" s="119"/>
      <c r="Z1855" s="119"/>
      <c r="AA1855" s="119"/>
      <c r="AB1855" s="119"/>
      <c r="AC1855" s="119"/>
      <c r="AD1855" s="119"/>
      <c r="AE1855" s="119"/>
      <c r="AF1855" s="119"/>
      <c r="AG1855" s="119"/>
      <c r="AH1855" s="119"/>
      <c r="AI1855" s="119"/>
      <c r="AJ1855" s="119"/>
      <c r="AK1855" s="119"/>
      <c r="AL1855" s="119"/>
      <c r="AM1855" s="119"/>
      <c r="AN1855" s="119"/>
      <c r="AO1855" s="119"/>
      <c r="AP1855" s="119"/>
      <c r="AQ1855" s="119"/>
      <c r="AR1855" s="119"/>
      <c r="AS1855" s="119"/>
      <c r="AT1855" s="119"/>
      <c r="AU1855" s="119"/>
      <c r="AV1855" s="119"/>
      <c r="AW1855" s="119"/>
      <c r="AX1855" s="119"/>
      <c r="AY1855" s="119"/>
      <c r="AZ1855" s="119"/>
      <c r="BA1855" s="119"/>
      <c r="BB1855" s="119"/>
      <c r="BC1855" s="119"/>
      <c r="BD1855" s="119"/>
      <c r="BE1855" s="119"/>
      <c r="BF1855" s="119"/>
      <c r="BG1855" s="119"/>
      <c r="BH1855" s="119"/>
      <c r="BI1855" s="971"/>
      <c r="BJ1855" s="119" t="s">
        <v>189</v>
      </c>
      <c r="BK1855" s="119" t="s">
        <v>189</v>
      </c>
      <c r="BL1855" s="119" t="s">
        <v>189</v>
      </c>
      <c r="BM1855" s="119" t="s">
        <v>189</v>
      </c>
      <c r="BN1855" s="119" t="s">
        <v>189</v>
      </c>
      <c r="BO1855" s="119" t="s">
        <v>189</v>
      </c>
      <c r="BP1855" s="119" t="s">
        <v>189</v>
      </c>
      <c r="BQ1855" s="119" t="s">
        <v>189</v>
      </c>
      <c r="BR1855" s="119" t="s">
        <v>189</v>
      </c>
      <c r="BS1855" s="119" t="s">
        <v>189</v>
      </c>
      <c r="BT1855" s="119" t="s">
        <v>189</v>
      </c>
      <c r="BU1855" s="119" t="s">
        <v>189</v>
      </c>
      <c r="BV1855" s="1038" t="s">
        <v>189</v>
      </c>
      <c r="BW1855" s="1039"/>
    </row>
    <row r="1856" spans="1:75" s="123" customFormat="1" x14ac:dyDescent="0.5">
      <c r="A1856" s="1037" t="s">
        <v>1162</v>
      </c>
      <c r="B1856" s="119"/>
      <c r="C1856" s="973"/>
      <c r="D1856" s="973"/>
      <c r="E1856" s="973"/>
      <c r="F1856" s="973"/>
      <c r="G1856" s="973"/>
      <c r="H1856" s="119"/>
      <c r="I1856" s="119"/>
      <c r="J1856" s="119"/>
      <c r="K1856" s="119"/>
      <c r="L1856" s="119"/>
      <c r="M1856" s="119"/>
      <c r="N1856" s="119"/>
      <c r="O1856" s="119"/>
      <c r="P1856" s="119"/>
      <c r="Q1856" s="119"/>
      <c r="R1856" s="119"/>
      <c r="S1856" s="119"/>
      <c r="T1856" s="119"/>
      <c r="U1856" s="119"/>
      <c r="V1856" s="119"/>
      <c r="W1856" s="119"/>
      <c r="X1856" s="119"/>
      <c r="Y1856" s="119"/>
      <c r="Z1856" s="119"/>
      <c r="AA1856" s="119"/>
      <c r="AB1856" s="119"/>
      <c r="AC1856" s="119"/>
      <c r="AD1856" s="119"/>
      <c r="AE1856" s="119"/>
      <c r="AF1856" s="119"/>
      <c r="AG1856" s="119"/>
      <c r="AH1856" s="119"/>
      <c r="AI1856" s="119"/>
      <c r="AJ1856" s="119"/>
      <c r="AK1856" s="119"/>
      <c r="AL1856" s="119"/>
      <c r="AM1856" s="119"/>
      <c r="AN1856" s="119"/>
      <c r="AO1856" s="119"/>
      <c r="AP1856" s="119"/>
      <c r="AQ1856" s="119"/>
      <c r="AR1856" s="119"/>
      <c r="AS1856" s="119"/>
      <c r="AT1856" s="119"/>
      <c r="AU1856" s="119"/>
      <c r="AV1856" s="119"/>
      <c r="AW1856" s="119"/>
      <c r="AX1856" s="119"/>
      <c r="AY1856" s="119"/>
      <c r="AZ1856" s="119"/>
      <c r="BA1856" s="119"/>
      <c r="BB1856" s="119"/>
      <c r="BC1856" s="119"/>
      <c r="BD1856" s="119"/>
      <c r="BE1856" s="119"/>
      <c r="BF1856" s="119"/>
      <c r="BG1856" s="119"/>
      <c r="BH1856" s="119"/>
      <c r="BI1856" s="971"/>
      <c r="BJ1856" s="119" t="s">
        <v>189</v>
      </c>
      <c r="BK1856" s="119" t="s">
        <v>189</v>
      </c>
      <c r="BL1856" s="119" t="s">
        <v>189</v>
      </c>
      <c r="BM1856" s="119" t="s">
        <v>189</v>
      </c>
      <c r="BN1856" s="119" t="s">
        <v>189</v>
      </c>
      <c r="BO1856" s="119" t="s">
        <v>189</v>
      </c>
      <c r="BP1856" s="119" t="s">
        <v>189</v>
      </c>
      <c r="BQ1856" s="119" t="s">
        <v>189</v>
      </c>
      <c r="BR1856" s="119" t="s">
        <v>189</v>
      </c>
      <c r="BS1856" s="119" t="s">
        <v>189</v>
      </c>
      <c r="BT1856" s="119" t="s">
        <v>189</v>
      </c>
      <c r="BU1856" s="119" t="s">
        <v>189</v>
      </c>
      <c r="BV1856" s="1038" t="s">
        <v>189</v>
      </c>
      <c r="BW1856" s="1039"/>
    </row>
    <row r="1857" spans="1:75" s="123" customFormat="1" x14ac:dyDescent="0.5">
      <c r="A1857" s="1037" t="s">
        <v>198</v>
      </c>
      <c r="B1857" s="119"/>
      <c r="C1857" s="973"/>
      <c r="D1857" s="973"/>
      <c r="E1857" s="973"/>
      <c r="F1857" s="973"/>
      <c r="G1857" s="973"/>
      <c r="H1857" s="119"/>
      <c r="I1857" s="119"/>
      <c r="J1857" s="119"/>
      <c r="K1857" s="119"/>
      <c r="L1857" s="119"/>
      <c r="M1857" s="119"/>
      <c r="N1857" s="119"/>
      <c r="O1857" s="119"/>
      <c r="P1857" s="119"/>
      <c r="Q1857" s="119"/>
      <c r="R1857" s="119"/>
      <c r="S1857" s="119"/>
      <c r="T1857" s="119"/>
      <c r="U1857" s="119"/>
      <c r="V1857" s="119"/>
      <c r="W1857" s="119"/>
      <c r="X1857" s="119"/>
      <c r="Y1857" s="119"/>
      <c r="Z1857" s="119"/>
      <c r="AA1857" s="119"/>
      <c r="AB1857" s="119"/>
      <c r="AC1857" s="119"/>
      <c r="AD1857" s="119"/>
      <c r="AE1857" s="119"/>
      <c r="AF1857" s="119"/>
      <c r="AG1857" s="119"/>
      <c r="AH1857" s="119"/>
      <c r="AI1857" s="119"/>
      <c r="AJ1857" s="119"/>
      <c r="AK1857" s="119"/>
      <c r="AL1857" s="119"/>
      <c r="AM1857" s="119"/>
      <c r="AN1857" s="119"/>
      <c r="AO1857" s="119"/>
      <c r="AP1857" s="119"/>
      <c r="AQ1857" s="119"/>
      <c r="AR1857" s="119"/>
      <c r="AS1857" s="119"/>
      <c r="AT1857" s="119"/>
      <c r="AU1857" s="119"/>
      <c r="AV1857" s="119"/>
      <c r="AW1857" s="119"/>
      <c r="AX1857" s="119"/>
      <c r="AY1857" s="119"/>
      <c r="AZ1857" s="119"/>
      <c r="BA1857" s="119"/>
      <c r="BB1857" s="119"/>
      <c r="BC1857" s="119"/>
      <c r="BD1857" s="119"/>
      <c r="BE1857" s="119"/>
      <c r="BF1857" s="119"/>
      <c r="BG1857" s="119"/>
      <c r="BH1857" s="119"/>
      <c r="BI1857" s="971"/>
      <c r="BJ1857" s="119" t="s">
        <v>189</v>
      </c>
      <c r="BK1857" s="119" t="s">
        <v>189</v>
      </c>
      <c r="BL1857" s="119" t="s">
        <v>189</v>
      </c>
      <c r="BM1857" s="119" t="s">
        <v>189</v>
      </c>
      <c r="BN1857" s="119" t="s">
        <v>189</v>
      </c>
      <c r="BO1857" s="119" t="s">
        <v>189</v>
      </c>
      <c r="BP1857" s="119" t="s">
        <v>189</v>
      </c>
      <c r="BQ1857" s="119" t="s">
        <v>189</v>
      </c>
      <c r="BR1857" s="119" t="s">
        <v>189</v>
      </c>
      <c r="BS1857" s="119" t="s">
        <v>189</v>
      </c>
      <c r="BT1857" s="119" t="s">
        <v>189</v>
      </c>
      <c r="BU1857" s="119" t="s">
        <v>189</v>
      </c>
      <c r="BV1857" s="1038" t="s">
        <v>189</v>
      </c>
      <c r="BW1857" s="1039"/>
    </row>
    <row r="1858" spans="1:75" s="1046" customFormat="1" x14ac:dyDescent="0.5">
      <c r="A1858" s="1040" t="s">
        <v>203</v>
      </c>
      <c r="B1858" s="1041"/>
      <c r="C1858" s="1042"/>
      <c r="D1858" s="1042"/>
      <c r="E1858" s="1042"/>
      <c r="F1858" s="1042"/>
      <c r="G1858" s="1042"/>
      <c r="H1858" s="1041"/>
      <c r="I1858" s="1041"/>
      <c r="J1858" s="1041"/>
      <c r="K1858" s="1041"/>
      <c r="L1858" s="1041"/>
      <c r="M1858" s="1041"/>
      <c r="N1858" s="1041"/>
      <c r="O1858" s="1041"/>
      <c r="P1858" s="1041"/>
      <c r="Q1858" s="1041"/>
      <c r="R1858" s="1041"/>
      <c r="S1858" s="1041"/>
      <c r="T1858" s="1041"/>
      <c r="U1858" s="1041"/>
      <c r="V1858" s="1041"/>
      <c r="W1858" s="1041"/>
      <c r="X1858" s="1041"/>
      <c r="Y1858" s="1041"/>
      <c r="Z1858" s="1041"/>
      <c r="AA1858" s="1041"/>
      <c r="AB1858" s="1041"/>
      <c r="AC1858" s="1041"/>
      <c r="AD1858" s="1041"/>
      <c r="AE1858" s="1041"/>
      <c r="AF1858" s="1041"/>
      <c r="AG1858" s="1041"/>
      <c r="AH1858" s="1041"/>
      <c r="AI1858" s="1041"/>
      <c r="AJ1858" s="1041"/>
      <c r="AK1858" s="1041"/>
      <c r="AL1858" s="1041"/>
      <c r="AM1858" s="1041"/>
      <c r="AN1858" s="1041"/>
      <c r="AO1858" s="1041"/>
      <c r="AP1858" s="1041"/>
      <c r="AQ1858" s="1041"/>
      <c r="AR1858" s="1041"/>
      <c r="AS1858" s="1041"/>
      <c r="AT1858" s="1041"/>
      <c r="AU1858" s="1041"/>
      <c r="AV1858" s="1041"/>
      <c r="AW1858" s="1041"/>
      <c r="AX1858" s="1041"/>
      <c r="AY1858" s="1041"/>
      <c r="AZ1858" s="1041"/>
      <c r="BA1858" s="1041"/>
      <c r="BB1858" s="1041"/>
      <c r="BC1858" s="1041"/>
      <c r="BD1858" s="1041"/>
      <c r="BE1858" s="1041"/>
      <c r="BF1858" s="1041"/>
      <c r="BG1858" s="1041"/>
      <c r="BH1858" s="1041"/>
      <c r="BI1858" s="1043"/>
      <c r="BJ1858" s="1041" t="s">
        <v>189</v>
      </c>
      <c r="BK1858" s="1041" t="s">
        <v>189</v>
      </c>
      <c r="BL1858" s="1041" t="s">
        <v>189</v>
      </c>
      <c r="BM1858" s="1041" t="s">
        <v>189</v>
      </c>
      <c r="BN1858" s="1041" t="s">
        <v>189</v>
      </c>
      <c r="BO1858" s="1041" t="s">
        <v>189</v>
      </c>
      <c r="BP1858" s="1041" t="s">
        <v>189</v>
      </c>
      <c r="BQ1858" s="1041" t="s">
        <v>189</v>
      </c>
      <c r="BR1858" s="1041" t="s">
        <v>189</v>
      </c>
      <c r="BS1858" s="1041" t="s">
        <v>189</v>
      </c>
      <c r="BT1858" s="1041" t="s">
        <v>189</v>
      </c>
      <c r="BU1858" s="1041" t="s">
        <v>189</v>
      </c>
      <c r="BV1858" s="1044" t="s">
        <v>189</v>
      </c>
      <c r="BW1858" s="1045"/>
    </row>
    <row r="1859" spans="1:75" s="1046" customFormat="1" x14ac:dyDescent="0.5">
      <c r="A1859" s="1040" t="s">
        <v>1281</v>
      </c>
      <c r="B1859" s="1041"/>
      <c r="C1859" s="1042"/>
      <c r="D1859" s="1042"/>
      <c r="E1859" s="1042"/>
      <c r="F1859" s="1042"/>
      <c r="G1859" s="1042"/>
      <c r="H1859" s="1041"/>
      <c r="I1859" s="1041"/>
      <c r="J1859" s="1041"/>
      <c r="K1859" s="1041"/>
      <c r="L1859" s="1041"/>
      <c r="M1859" s="1041"/>
      <c r="N1859" s="1041"/>
      <c r="O1859" s="1041"/>
      <c r="P1859" s="1041"/>
      <c r="Q1859" s="1041"/>
      <c r="R1859" s="1041"/>
      <c r="S1859" s="1041"/>
      <c r="T1859" s="1041"/>
      <c r="U1859" s="1041"/>
      <c r="V1859" s="1041"/>
      <c r="W1859" s="1041"/>
      <c r="X1859" s="1041"/>
      <c r="Y1859" s="1041"/>
      <c r="Z1859" s="1041"/>
      <c r="AA1859" s="1041"/>
      <c r="AB1859" s="1041"/>
      <c r="AC1859" s="1041"/>
      <c r="AD1859" s="1041"/>
      <c r="AE1859" s="1041"/>
      <c r="AF1859" s="1041"/>
      <c r="AG1859" s="1041"/>
      <c r="AH1859" s="1041"/>
      <c r="AI1859" s="1041"/>
      <c r="AJ1859" s="1041"/>
      <c r="AK1859" s="1041"/>
      <c r="AL1859" s="1041"/>
      <c r="AM1859" s="1041"/>
      <c r="AN1859" s="1041"/>
      <c r="AO1859" s="1041"/>
      <c r="AP1859" s="1041"/>
      <c r="AQ1859" s="1041"/>
      <c r="AR1859" s="1041"/>
      <c r="AS1859" s="1041"/>
      <c r="AT1859" s="1041"/>
      <c r="AU1859" s="1041"/>
      <c r="AV1859" s="1041"/>
      <c r="AW1859" s="1041"/>
      <c r="AX1859" s="1041"/>
      <c r="AY1859" s="1041"/>
      <c r="AZ1859" s="1041"/>
      <c r="BA1859" s="1041"/>
      <c r="BB1859" s="1041"/>
      <c r="BC1859" s="1041"/>
      <c r="BD1859" s="1041"/>
      <c r="BE1859" s="1041"/>
      <c r="BF1859" s="1041"/>
      <c r="BG1859" s="1041"/>
      <c r="BH1859" s="1041"/>
      <c r="BI1859" s="1043"/>
      <c r="BJ1859" s="1041" t="s">
        <v>189</v>
      </c>
      <c r="BK1859" s="1041" t="s">
        <v>189</v>
      </c>
      <c r="BL1859" s="1041" t="s">
        <v>189</v>
      </c>
      <c r="BM1859" s="1041" t="s">
        <v>189</v>
      </c>
      <c r="BN1859" s="1041" t="s">
        <v>189</v>
      </c>
      <c r="BO1859" s="1041" t="s">
        <v>189</v>
      </c>
      <c r="BP1859" s="1041" t="s">
        <v>189</v>
      </c>
      <c r="BQ1859" s="1041" t="s">
        <v>189</v>
      </c>
      <c r="BR1859" s="1041" t="s">
        <v>189</v>
      </c>
      <c r="BS1859" s="1041" t="s">
        <v>189</v>
      </c>
      <c r="BT1859" s="1041" t="s">
        <v>189</v>
      </c>
      <c r="BU1859" s="1041" t="s">
        <v>189</v>
      </c>
      <c r="BV1859" s="1044" t="s">
        <v>189</v>
      </c>
      <c r="BW1859" s="1045"/>
    </row>
    <row r="1860" spans="1:75" s="123" customFormat="1" x14ac:dyDescent="0.5">
      <c r="A1860" s="1037" t="s">
        <v>1283</v>
      </c>
      <c r="B1860" s="119"/>
      <c r="C1860" s="973"/>
      <c r="D1860" s="973"/>
      <c r="E1860" s="973"/>
      <c r="F1860" s="973"/>
      <c r="G1860" s="973"/>
      <c r="H1860" s="119"/>
      <c r="I1860" s="119"/>
      <c r="J1860" s="119"/>
      <c r="K1860" s="119"/>
      <c r="L1860" s="119"/>
      <c r="M1860" s="119"/>
      <c r="N1860" s="119"/>
      <c r="O1860" s="119"/>
      <c r="P1860" s="119"/>
      <c r="Q1860" s="119"/>
      <c r="R1860" s="119"/>
      <c r="S1860" s="119"/>
      <c r="T1860" s="119"/>
      <c r="U1860" s="119"/>
      <c r="V1860" s="119"/>
      <c r="W1860" s="119"/>
      <c r="X1860" s="119"/>
      <c r="Y1860" s="119"/>
      <c r="Z1860" s="119"/>
      <c r="AA1860" s="119"/>
      <c r="AB1860" s="119"/>
      <c r="AC1860" s="119"/>
      <c r="AD1860" s="119"/>
      <c r="AE1860" s="119"/>
      <c r="AF1860" s="119"/>
      <c r="AG1860" s="119"/>
      <c r="AH1860" s="119"/>
      <c r="AI1860" s="119"/>
      <c r="AJ1860" s="119"/>
      <c r="AK1860" s="119"/>
      <c r="AL1860" s="119"/>
      <c r="AM1860" s="119"/>
      <c r="AN1860" s="119"/>
      <c r="AO1860" s="119"/>
      <c r="AP1860" s="119"/>
      <c r="AQ1860" s="119"/>
      <c r="AR1860" s="119"/>
      <c r="AS1860" s="119"/>
      <c r="AT1860" s="119"/>
      <c r="AU1860" s="119"/>
      <c r="AV1860" s="119"/>
      <c r="AW1860" s="119"/>
      <c r="AX1860" s="119"/>
      <c r="AY1860" s="119"/>
      <c r="AZ1860" s="119"/>
      <c r="BA1860" s="119"/>
      <c r="BB1860" s="119"/>
      <c r="BC1860" s="119"/>
      <c r="BD1860" s="119"/>
      <c r="BE1860" s="119"/>
      <c r="BF1860" s="119"/>
      <c r="BG1860" s="119"/>
      <c r="BH1860" s="119"/>
      <c r="BI1860" s="971"/>
      <c r="BJ1860" s="119" t="s">
        <v>189</v>
      </c>
      <c r="BK1860" s="119" t="s">
        <v>189</v>
      </c>
      <c r="BL1860" s="119" t="s">
        <v>189</v>
      </c>
      <c r="BM1860" s="119" t="s">
        <v>189</v>
      </c>
      <c r="BN1860" s="119" t="s">
        <v>189</v>
      </c>
      <c r="BO1860" s="119" t="s">
        <v>189</v>
      </c>
      <c r="BP1860" s="119" t="s">
        <v>189</v>
      </c>
      <c r="BQ1860" s="119" t="s">
        <v>189</v>
      </c>
      <c r="BR1860" s="119" t="s">
        <v>189</v>
      </c>
      <c r="BS1860" s="119" t="s">
        <v>189</v>
      </c>
      <c r="BT1860" s="119" t="s">
        <v>189</v>
      </c>
      <c r="BU1860" s="119" t="s">
        <v>189</v>
      </c>
      <c r="BV1860" s="1038" t="s">
        <v>189</v>
      </c>
      <c r="BW1860" s="1039"/>
    </row>
    <row r="1861" spans="1:75" s="123" customFormat="1" x14ac:dyDescent="0.5">
      <c r="A1861" s="1047"/>
      <c r="B1861" s="312"/>
      <c r="C1861" s="1048"/>
      <c r="D1861" s="1048"/>
      <c r="E1861" s="312"/>
      <c r="F1861" s="312"/>
      <c r="G1861" s="312"/>
      <c r="H1861" s="312"/>
      <c r="I1861" s="312"/>
      <c r="J1861" s="312"/>
      <c r="K1861" s="312"/>
      <c r="L1861" s="312"/>
      <c r="M1861" s="312"/>
      <c r="N1861" s="312"/>
      <c r="O1861" s="312"/>
      <c r="P1861" s="312"/>
      <c r="Q1861" s="312"/>
      <c r="R1861" s="312"/>
      <c r="S1861" s="312"/>
      <c r="T1861" s="312"/>
      <c r="U1861" s="312"/>
      <c r="V1861" s="312"/>
      <c r="W1861" s="312"/>
      <c r="X1861" s="312"/>
      <c r="Y1861" s="312"/>
      <c r="Z1861" s="312"/>
      <c r="AA1861" s="312"/>
      <c r="AB1861" s="312"/>
      <c r="AC1861" s="312"/>
      <c r="AD1861" s="312"/>
      <c r="AE1861" s="312"/>
      <c r="AF1861" s="312"/>
      <c r="AG1861" s="312"/>
      <c r="AH1861" s="312"/>
      <c r="AI1861" s="312"/>
      <c r="AJ1861" s="312"/>
      <c r="AK1861" s="312"/>
      <c r="AL1861" s="312"/>
      <c r="AM1861" s="312"/>
      <c r="AN1861" s="312"/>
      <c r="AO1861" s="312"/>
      <c r="AP1861" s="312"/>
      <c r="AQ1861" s="312"/>
      <c r="AR1861" s="312"/>
      <c r="AS1861" s="312"/>
      <c r="AT1861" s="312"/>
      <c r="AU1861" s="312"/>
      <c r="AV1861" s="312"/>
      <c r="AW1861" s="312"/>
      <c r="AX1861" s="312"/>
      <c r="AY1861" s="312"/>
      <c r="AZ1861" s="312"/>
      <c r="BA1861" s="312"/>
      <c r="BB1861" s="312"/>
      <c r="BC1861" s="312"/>
      <c r="BD1861" s="312"/>
      <c r="BE1861" s="312"/>
      <c r="BF1861" s="312"/>
      <c r="BG1861" s="312"/>
      <c r="BH1861" s="312"/>
      <c r="BI1861" s="1049"/>
      <c r="BJ1861" s="312"/>
      <c r="BK1861" s="312"/>
      <c r="BL1861" s="312"/>
      <c r="BM1861" s="312"/>
      <c r="BN1861" s="312"/>
      <c r="BO1861" s="312"/>
      <c r="BP1861" s="312"/>
      <c r="BQ1861" s="312"/>
      <c r="BR1861" s="312"/>
      <c r="BS1861" s="312"/>
      <c r="BT1861" s="312"/>
      <c r="BU1861" s="312"/>
      <c r="BV1861" s="1050"/>
      <c r="BW1861" s="1036"/>
    </row>
    <row r="1862" spans="1:75" s="123" customFormat="1" x14ac:dyDescent="0.5">
      <c r="A1862" s="1051"/>
      <c r="B1862" s="1052"/>
      <c r="C1862" s="1053"/>
      <c r="D1862" s="1053"/>
      <c r="E1862" s="1052"/>
      <c r="F1862" s="1052"/>
      <c r="G1862" s="1052"/>
      <c r="H1862" s="1052"/>
      <c r="I1862" s="1052"/>
      <c r="J1862" s="1052"/>
      <c r="K1862" s="1052"/>
      <c r="L1862" s="1052"/>
      <c r="M1862" s="1052"/>
      <c r="N1862" s="1052"/>
      <c r="O1862" s="1052"/>
      <c r="P1862" s="1052"/>
      <c r="Q1862" s="1052"/>
      <c r="R1862" s="1052"/>
      <c r="S1862" s="1052"/>
      <c r="T1862" s="1052"/>
      <c r="U1862" s="1052"/>
      <c r="V1862" s="1052"/>
      <c r="W1862" s="1052"/>
      <c r="X1862" s="1052"/>
      <c r="Y1862" s="1052"/>
      <c r="Z1862" s="1052"/>
      <c r="AA1862" s="1052"/>
      <c r="AB1862" s="1052"/>
      <c r="AC1862" s="1052"/>
      <c r="AD1862" s="1052"/>
      <c r="AE1862" s="1052"/>
      <c r="AF1862" s="1052"/>
      <c r="AG1862" s="1052"/>
      <c r="AH1862" s="1052"/>
      <c r="AI1862" s="1052"/>
      <c r="AJ1862" s="1052"/>
      <c r="AK1862" s="1052"/>
      <c r="AL1862" s="1052"/>
      <c r="AM1862" s="1052"/>
      <c r="AN1862" s="1052"/>
      <c r="AO1862" s="1052"/>
      <c r="AP1862" s="1052"/>
      <c r="AQ1862" s="1052"/>
      <c r="AR1862" s="1052"/>
      <c r="AS1862" s="1052"/>
      <c r="AT1862" s="1052"/>
      <c r="AU1862" s="1052"/>
      <c r="AV1862" s="1052"/>
      <c r="AW1862" s="1052"/>
      <c r="AX1862" s="1052"/>
      <c r="AY1862" s="1052"/>
      <c r="AZ1862" s="1052"/>
      <c r="BA1862" s="1052"/>
      <c r="BB1862" s="1052"/>
      <c r="BC1862" s="1052"/>
      <c r="BD1862" s="1052"/>
      <c r="BE1862" s="1052"/>
      <c r="BF1862" s="1052"/>
      <c r="BG1862" s="1052"/>
      <c r="BH1862" s="1052"/>
      <c r="BI1862" s="1054"/>
      <c r="BJ1862" s="1052"/>
      <c r="BK1862" s="1052"/>
      <c r="BL1862" s="1052"/>
      <c r="BM1862" s="1052"/>
      <c r="BN1862" s="1052"/>
      <c r="BO1862" s="1052"/>
      <c r="BP1862" s="1052"/>
      <c r="BQ1862" s="1052"/>
      <c r="BR1862" s="1052"/>
      <c r="BS1862" s="1052"/>
      <c r="BT1862" s="1052"/>
      <c r="BU1862" s="1052"/>
      <c r="BV1862" s="1052"/>
      <c r="BW1862" s="216"/>
    </row>
    <row r="1863" spans="1:75" s="123" customFormat="1" x14ac:dyDescent="0.5">
      <c r="A1863" s="1055" t="s">
        <v>1607</v>
      </c>
      <c r="B1863" s="1056"/>
      <c r="C1863" s="1057"/>
      <c r="D1863" s="1057"/>
      <c r="E1863" s="1056"/>
      <c r="F1863" s="1056"/>
      <c r="G1863" s="1056"/>
      <c r="H1863" s="1056"/>
      <c r="I1863" s="1056"/>
      <c r="J1863" s="1056"/>
      <c r="K1863" s="1056"/>
      <c r="L1863" s="1056"/>
      <c r="M1863" s="1056"/>
      <c r="N1863" s="1056"/>
      <c r="O1863" s="1056"/>
      <c r="P1863" s="1056"/>
      <c r="Q1863" s="1056"/>
      <c r="R1863" s="1056"/>
      <c r="S1863" s="1056"/>
      <c r="T1863" s="1056"/>
      <c r="U1863" s="1056"/>
      <c r="V1863" s="1056"/>
      <c r="W1863" s="1056"/>
      <c r="X1863" s="1056"/>
      <c r="Y1863" s="1056"/>
      <c r="Z1863" s="1056"/>
      <c r="AA1863" s="1056"/>
      <c r="AB1863" s="1056"/>
      <c r="AC1863" s="1056"/>
      <c r="AD1863" s="1056"/>
      <c r="AE1863" s="1056"/>
      <c r="AF1863" s="1056"/>
      <c r="AG1863" s="1056"/>
      <c r="AH1863" s="1056"/>
      <c r="AI1863" s="1056"/>
      <c r="AJ1863" s="1056"/>
      <c r="AK1863" s="1056"/>
      <c r="AL1863" s="1056"/>
      <c r="AM1863" s="1056"/>
      <c r="AN1863" s="1056"/>
      <c r="AO1863" s="1056"/>
      <c r="AP1863" s="1056"/>
      <c r="AQ1863" s="1056"/>
      <c r="AR1863" s="1056"/>
      <c r="AS1863" s="1056"/>
      <c r="AT1863" s="1056"/>
      <c r="AU1863" s="1056"/>
      <c r="AV1863" s="1056"/>
      <c r="AW1863" s="1056"/>
      <c r="AX1863" s="1056"/>
      <c r="AY1863" s="1056"/>
      <c r="AZ1863" s="1056"/>
      <c r="BA1863" s="1056"/>
      <c r="BB1863" s="1056"/>
      <c r="BC1863" s="1056"/>
      <c r="BD1863" s="1056"/>
      <c r="BE1863" s="1056"/>
      <c r="BF1863" s="1056"/>
      <c r="BG1863" s="1056"/>
      <c r="BH1863" s="1056"/>
      <c r="BI1863" s="1058"/>
      <c r="BJ1863" s="1056"/>
      <c r="BK1863" s="1056"/>
      <c r="BL1863" s="1056"/>
      <c r="BM1863" s="1056"/>
      <c r="BN1863" s="1056"/>
      <c r="BO1863" s="1056"/>
      <c r="BP1863" s="1056"/>
      <c r="BQ1863" s="1056"/>
      <c r="BR1863" s="1056"/>
      <c r="BS1863" s="1056"/>
      <c r="BT1863" s="1056"/>
      <c r="BU1863" s="1056"/>
      <c r="BV1863" s="1059"/>
      <c r="BW1863" s="1036"/>
    </row>
    <row r="1864" spans="1:75" s="123" customFormat="1" x14ac:dyDescent="0.5">
      <c r="A1864" s="1060" t="s">
        <v>1608</v>
      </c>
      <c r="B1864" s="118"/>
      <c r="C1864" s="1061">
        <v>39845</v>
      </c>
      <c r="D1864" s="1061">
        <v>40209</v>
      </c>
      <c r="E1864" s="1062">
        <v>40573</v>
      </c>
      <c r="F1864" s="1062">
        <v>40937</v>
      </c>
      <c r="G1864" s="1062">
        <v>41308</v>
      </c>
      <c r="H1864" s="1062">
        <v>41399</v>
      </c>
      <c r="I1864" s="1062">
        <v>41490</v>
      </c>
      <c r="J1864" s="1062">
        <v>41581</v>
      </c>
      <c r="K1864" s="1062">
        <v>41308</v>
      </c>
      <c r="L1864" s="1062">
        <v>41672</v>
      </c>
      <c r="M1864" s="1062">
        <v>41763</v>
      </c>
      <c r="N1864" s="1062">
        <v>41854</v>
      </c>
      <c r="O1864" s="1062">
        <v>41945</v>
      </c>
      <c r="P1864" s="1062">
        <v>41672</v>
      </c>
      <c r="Q1864" s="1062">
        <v>42036</v>
      </c>
      <c r="R1864" s="1062">
        <v>42127</v>
      </c>
      <c r="S1864" s="1062">
        <v>42218</v>
      </c>
      <c r="T1864" s="1062">
        <v>42309</v>
      </c>
      <c r="U1864" s="1062">
        <v>42036</v>
      </c>
      <c r="V1864" s="1062">
        <v>42400</v>
      </c>
      <c r="W1864" s="1062">
        <v>42491</v>
      </c>
      <c r="X1864" s="1062">
        <v>42582</v>
      </c>
      <c r="Y1864" s="1062">
        <v>42673</v>
      </c>
      <c r="Z1864" s="1062">
        <v>42400</v>
      </c>
      <c r="AA1864" s="1062">
        <v>42764</v>
      </c>
      <c r="AB1864" s="1062">
        <v>42855</v>
      </c>
      <c r="AC1864" s="1062">
        <v>42946</v>
      </c>
      <c r="AD1864" s="1062">
        <v>43037</v>
      </c>
      <c r="AE1864" s="1062">
        <v>42764</v>
      </c>
      <c r="AF1864" s="1062">
        <v>43135</v>
      </c>
      <c r="AG1864" s="1062">
        <v>43226</v>
      </c>
      <c r="AH1864" s="1062">
        <v>43317</v>
      </c>
      <c r="AI1864" s="1062">
        <v>43408</v>
      </c>
      <c r="AJ1864" s="1062">
        <v>43135</v>
      </c>
      <c r="AK1864" s="1062">
        <v>43499</v>
      </c>
      <c r="AL1864" s="1062">
        <v>43590</v>
      </c>
      <c r="AM1864" s="1062">
        <v>43681</v>
      </c>
      <c r="AN1864" s="1062">
        <v>43772</v>
      </c>
      <c r="AO1864" s="1062">
        <v>43499</v>
      </c>
      <c r="AP1864" s="1062">
        <v>43863</v>
      </c>
      <c r="AQ1864" s="1062">
        <v>43954</v>
      </c>
      <c r="AR1864" s="1062">
        <v>44045</v>
      </c>
      <c r="AS1864" s="1062">
        <v>44136</v>
      </c>
      <c r="AT1864" s="1062">
        <v>43863</v>
      </c>
      <c r="AU1864" s="1062">
        <v>44227</v>
      </c>
      <c r="AV1864" s="1062">
        <v>44318</v>
      </c>
      <c r="AW1864" s="1062">
        <v>44409</v>
      </c>
      <c r="AX1864" s="1062">
        <v>44500</v>
      </c>
      <c r="AY1864" s="1062">
        <v>44227</v>
      </c>
      <c r="AZ1864" s="1062">
        <v>44591</v>
      </c>
      <c r="BA1864" s="1062">
        <v>44682</v>
      </c>
      <c r="BB1864" s="1062">
        <v>44773</v>
      </c>
      <c r="BC1864" s="1062">
        <v>44864</v>
      </c>
      <c r="BD1864" s="1062">
        <v>44591</v>
      </c>
      <c r="BE1864" s="1062">
        <v>44955</v>
      </c>
      <c r="BF1864" s="1062">
        <v>45046</v>
      </c>
      <c r="BG1864" s="1062">
        <v>45137</v>
      </c>
      <c r="BH1864" s="1062">
        <v>45228</v>
      </c>
      <c r="BI1864" s="1063">
        <v>44955</v>
      </c>
      <c r="BJ1864" s="1062">
        <v>45326</v>
      </c>
      <c r="BK1864" s="1062">
        <v>45417</v>
      </c>
      <c r="BL1864" s="1062">
        <v>45508</v>
      </c>
      <c r="BM1864" s="1062">
        <v>45599</v>
      </c>
      <c r="BN1864" s="1062">
        <v>45326</v>
      </c>
      <c r="BO1864" s="1062">
        <v>45690</v>
      </c>
      <c r="BP1864" s="1062">
        <v>45781</v>
      </c>
      <c r="BQ1864" s="1062">
        <v>45872</v>
      </c>
      <c r="BR1864" s="1062">
        <v>45963</v>
      </c>
      <c r="BS1864" s="1062">
        <v>45690</v>
      </c>
      <c r="BT1864" s="1062">
        <v>46054</v>
      </c>
      <c r="BU1864" s="1062">
        <v>46418</v>
      </c>
      <c r="BV1864" s="1064">
        <v>46782</v>
      </c>
      <c r="BW1864" s="1036"/>
    </row>
    <row r="1865" spans="1:75" s="123" customFormat="1" x14ac:dyDescent="0.5">
      <c r="A1865" s="1060" t="s">
        <v>1609</v>
      </c>
      <c r="B1865" s="118"/>
      <c r="C1865" s="1061" t="b">
        <v>1</v>
      </c>
      <c r="D1865" s="1061" t="b">
        <v>1</v>
      </c>
      <c r="E1865" s="1062" t="b">
        <v>1</v>
      </c>
      <c r="F1865" s="1062" t="b">
        <v>1</v>
      </c>
      <c r="G1865" s="1062" t="b">
        <v>1</v>
      </c>
      <c r="H1865" s="1062" t="b">
        <v>1</v>
      </c>
      <c r="I1865" s="1062" t="b">
        <v>1</v>
      </c>
      <c r="J1865" s="1062" t="b">
        <v>1</v>
      </c>
      <c r="K1865" s="1062" t="b">
        <v>1</v>
      </c>
      <c r="L1865" s="1062" t="b">
        <v>1</v>
      </c>
      <c r="M1865" s="1062" t="b">
        <v>1</v>
      </c>
      <c r="N1865" s="1062" t="b">
        <v>1</v>
      </c>
      <c r="O1865" s="1062" t="b">
        <v>1</v>
      </c>
      <c r="P1865" s="1062" t="b">
        <v>1</v>
      </c>
      <c r="Q1865" s="1062" t="b">
        <v>1</v>
      </c>
      <c r="R1865" s="1062" t="b">
        <v>1</v>
      </c>
      <c r="S1865" s="1062" t="b">
        <v>1</v>
      </c>
      <c r="T1865" s="1062" t="b">
        <v>1</v>
      </c>
      <c r="U1865" s="1062" t="b">
        <v>1</v>
      </c>
      <c r="V1865" s="1062" t="b">
        <v>1</v>
      </c>
      <c r="W1865" s="1062" t="b">
        <v>1</v>
      </c>
      <c r="X1865" s="1062" t="b">
        <v>1</v>
      </c>
      <c r="Y1865" s="1062" t="b">
        <v>1</v>
      </c>
      <c r="Z1865" s="1062" t="b">
        <v>1</v>
      </c>
      <c r="AA1865" s="1062" t="b">
        <v>1</v>
      </c>
      <c r="AB1865" s="1062" t="b">
        <v>1</v>
      </c>
      <c r="AC1865" s="1062" t="b">
        <v>1</v>
      </c>
      <c r="AD1865" s="1062" t="b">
        <v>1</v>
      </c>
      <c r="AE1865" s="1062" t="b">
        <v>1</v>
      </c>
      <c r="AF1865" s="1062" t="b">
        <v>1</v>
      </c>
      <c r="AG1865" s="1062" t="b">
        <v>1</v>
      </c>
      <c r="AH1865" s="1062" t="b">
        <v>1</v>
      </c>
      <c r="AI1865" s="1062" t="b">
        <v>1</v>
      </c>
      <c r="AJ1865" s="1062" t="b">
        <v>1</v>
      </c>
      <c r="AK1865" s="1062" t="b">
        <v>1</v>
      </c>
      <c r="AL1865" s="1062" t="b">
        <v>1</v>
      </c>
      <c r="AM1865" s="1062" t="b">
        <v>1</v>
      </c>
      <c r="AN1865" s="1062" t="b">
        <v>1</v>
      </c>
      <c r="AO1865" s="1062" t="b">
        <v>1</v>
      </c>
      <c r="AP1865" s="1062" t="b">
        <v>1</v>
      </c>
      <c r="AQ1865" s="1062" t="b">
        <v>1</v>
      </c>
      <c r="AR1865" s="1062" t="b">
        <v>1</v>
      </c>
      <c r="AS1865" s="1062" t="b">
        <v>1</v>
      </c>
      <c r="AT1865" s="1062" t="b">
        <v>1</v>
      </c>
      <c r="AU1865" s="1062" t="b">
        <v>1</v>
      </c>
      <c r="AV1865" s="1062" t="b">
        <v>1</v>
      </c>
      <c r="AW1865" s="1062" t="b">
        <v>1</v>
      </c>
      <c r="AX1865" s="1062" t="b">
        <v>1</v>
      </c>
      <c r="AY1865" s="1062" t="b">
        <v>1</v>
      </c>
      <c r="AZ1865" s="1062" t="b">
        <v>1</v>
      </c>
      <c r="BA1865" s="1062" t="b">
        <v>1</v>
      </c>
      <c r="BB1865" s="1062" t="b">
        <v>1</v>
      </c>
      <c r="BC1865" s="1062" t="b">
        <v>1</v>
      </c>
      <c r="BD1865" s="1062" t="b">
        <v>1</v>
      </c>
      <c r="BE1865" s="1062" t="b">
        <v>1</v>
      </c>
      <c r="BF1865" s="1062" t="b">
        <v>1</v>
      </c>
      <c r="BG1865" s="1062" t="b">
        <v>1</v>
      </c>
      <c r="BH1865" s="1062" t="b">
        <v>1</v>
      </c>
      <c r="BI1865" s="1063" t="b">
        <v>1</v>
      </c>
      <c r="BJ1865" s="1062" t="b">
        <v>0</v>
      </c>
      <c r="BK1865" s="1062" t="b">
        <v>0</v>
      </c>
      <c r="BL1865" s="1062" t="b">
        <v>0</v>
      </c>
      <c r="BM1865" s="1062" t="b">
        <v>0</v>
      </c>
      <c r="BN1865" s="1062" t="b">
        <v>0</v>
      </c>
      <c r="BO1865" s="1062" t="b">
        <v>0</v>
      </c>
      <c r="BP1865" s="1062" t="b">
        <v>0</v>
      </c>
      <c r="BQ1865" s="1062" t="b">
        <v>0</v>
      </c>
      <c r="BR1865" s="1062" t="b">
        <v>0</v>
      </c>
      <c r="BS1865" s="1062" t="b">
        <v>0</v>
      </c>
      <c r="BT1865" s="1062" t="b">
        <v>0</v>
      </c>
      <c r="BU1865" s="1062" t="b">
        <v>0</v>
      </c>
      <c r="BV1865" s="1064" t="b">
        <v>0</v>
      </c>
      <c r="BW1865" s="1036"/>
    </row>
    <row r="1866" spans="1:75" s="921" customFormat="1" x14ac:dyDescent="0.5">
      <c r="A1866" s="1065" t="s">
        <v>1610</v>
      </c>
      <c r="B1866" s="785"/>
      <c r="C1866" s="1066">
        <v>0</v>
      </c>
      <c r="D1866" s="1066">
        <v>0</v>
      </c>
      <c r="E1866" s="785">
        <v>0</v>
      </c>
      <c r="F1866" s="785">
        <v>37.99</v>
      </c>
      <c r="G1866" s="785">
        <v>39.58</v>
      </c>
      <c r="H1866" s="785">
        <v>77.180000000000007</v>
      </c>
      <c r="I1866" s="785">
        <v>76.8</v>
      </c>
      <c r="J1866" s="785">
        <v>76.25</v>
      </c>
      <c r="K1866" s="785">
        <v>77.180000000000007</v>
      </c>
      <c r="L1866" s="785">
        <v>75.16</v>
      </c>
      <c r="M1866" s="785">
        <v>93.05</v>
      </c>
      <c r="N1866" s="785">
        <v>88.46</v>
      </c>
      <c r="O1866" s="785">
        <v>99.07</v>
      </c>
      <c r="P1866" s="785">
        <v>99.07</v>
      </c>
      <c r="Q1866" s="785">
        <v>99.19</v>
      </c>
      <c r="R1866" s="785">
        <v>105.63</v>
      </c>
      <c r="S1866" s="785">
        <v>103.69</v>
      </c>
      <c r="T1866" s="785">
        <v>105.64</v>
      </c>
      <c r="U1866" s="785">
        <v>105.64</v>
      </c>
      <c r="V1866" s="785">
        <v>59.49</v>
      </c>
      <c r="W1866" s="785">
        <v>42.77</v>
      </c>
      <c r="X1866" s="785">
        <v>36.380000000000003</v>
      </c>
      <c r="Y1866" s="785">
        <v>38.99</v>
      </c>
      <c r="Z1866" s="785">
        <v>59.49</v>
      </c>
      <c r="AA1866" s="785">
        <v>48.75</v>
      </c>
      <c r="AB1866" s="785">
        <v>77.400000000000006</v>
      </c>
      <c r="AC1866" s="785">
        <v>86.88</v>
      </c>
      <c r="AD1866" s="785">
        <v>105.78</v>
      </c>
      <c r="AE1866" s="785">
        <v>105.78</v>
      </c>
      <c r="AF1866" s="785">
        <v>100.84</v>
      </c>
      <c r="AG1866" s="785">
        <v>160.87</v>
      </c>
      <c r="AH1866" s="785">
        <v>159.15</v>
      </c>
      <c r="AI1866" s="785">
        <v>142.38999999999999</v>
      </c>
      <c r="AJ1866" s="785">
        <v>160.87</v>
      </c>
      <c r="AK1866" s="785">
        <v>156.21</v>
      </c>
      <c r="AL1866" s="785">
        <v>139.99</v>
      </c>
      <c r="AM1866" s="785">
        <v>188.59</v>
      </c>
      <c r="AN1866" s="785">
        <v>241.97</v>
      </c>
      <c r="AO1866" s="785">
        <v>241.97</v>
      </c>
      <c r="AP1866" s="785">
        <v>252.1</v>
      </c>
      <c r="AQ1866" s="785">
        <v>291.86</v>
      </c>
      <c r="AR1866" s="785">
        <v>394.08</v>
      </c>
      <c r="AS1866" s="785">
        <v>515.57000000000005</v>
      </c>
      <c r="AT1866" s="785">
        <v>515.57000000000005</v>
      </c>
      <c r="AU1866" s="785">
        <v>720.01</v>
      </c>
      <c r="AV1866" s="785">
        <v>713.52</v>
      </c>
      <c r="AW1866" s="785">
        <v>738.52</v>
      </c>
      <c r="AX1866" s="785">
        <v>676.58</v>
      </c>
      <c r="AY1866" s="785">
        <v>738.52</v>
      </c>
      <c r="AZ1866" s="785">
        <v>426.45</v>
      </c>
      <c r="BA1866" s="785">
        <v>347.83</v>
      </c>
      <c r="BB1866" s="785">
        <v>329.31</v>
      </c>
      <c r="BC1866" s="785">
        <v>319.41000000000003</v>
      </c>
      <c r="BD1866" s="785">
        <v>426.45</v>
      </c>
      <c r="BE1866" s="785">
        <v>347.05</v>
      </c>
      <c r="BF1866" s="785">
        <v>389.93</v>
      </c>
      <c r="BG1866" s="785">
        <v>401.84</v>
      </c>
      <c r="BH1866" s="785">
        <v>317.13</v>
      </c>
      <c r="BI1866" s="1067">
        <v>401.84</v>
      </c>
      <c r="BJ1866" s="785">
        <v>0</v>
      </c>
      <c r="BK1866" s="785">
        <v>0</v>
      </c>
      <c r="BL1866" s="785">
        <v>0</v>
      </c>
      <c r="BM1866" s="785">
        <v>0</v>
      </c>
      <c r="BN1866" s="785">
        <v>0</v>
      </c>
      <c r="BO1866" s="785">
        <v>0</v>
      </c>
      <c r="BP1866" s="785">
        <v>0</v>
      </c>
      <c r="BQ1866" s="785">
        <v>0</v>
      </c>
      <c r="BR1866" s="785">
        <v>0</v>
      </c>
      <c r="BS1866" s="785">
        <v>0</v>
      </c>
      <c r="BT1866" s="785">
        <v>0</v>
      </c>
      <c r="BU1866" s="785">
        <v>0</v>
      </c>
      <c r="BV1866" s="1068">
        <v>0</v>
      </c>
      <c r="BW1866" s="1069"/>
    </row>
    <row r="1867" spans="1:75" s="921" customFormat="1" hidden="1" outlineLevel="1" x14ac:dyDescent="0.5">
      <c r="A1867" s="1070" t="s">
        <v>1611</v>
      </c>
      <c r="B1867" s="785"/>
      <c r="C1867" s="1066"/>
      <c r="D1867" s="1066"/>
      <c r="E1867" s="785"/>
      <c r="F1867" s="1071">
        <v>37.99</v>
      </c>
      <c r="G1867" s="1071">
        <v>39.58</v>
      </c>
      <c r="H1867" s="1071">
        <v>77.180000000000007</v>
      </c>
      <c r="I1867" s="1071">
        <v>76.8</v>
      </c>
      <c r="J1867" s="1071">
        <v>76.25</v>
      </c>
      <c r="K1867" s="1071">
        <v>77.180000000000007</v>
      </c>
      <c r="L1867" s="1071">
        <v>75.16</v>
      </c>
      <c r="M1867" s="1071">
        <v>93.05</v>
      </c>
      <c r="N1867" s="1071">
        <v>88.46</v>
      </c>
      <c r="O1867" s="1071">
        <v>99.07</v>
      </c>
      <c r="P1867" s="1071">
        <v>99.07</v>
      </c>
      <c r="Q1867" s="1071">
        <v>99.19</v>
      </c>
      <c r="R1867" s="1071">
        <v>105.63</v>
      </c>
      <c r="S1867" s="1071">
        <v>103.69</v>
      </c>
      <c r="T1867" s="1071">
        <v>105.64</v>
      </c>
      <c r="U1867" s="1071">
        <v>105.64</v>
      </c>
      <c r="V1867" s="1071">
        <v>59.49</v>
      </c>
      <c r="W1867" s="1071">
        <v>42.77</v>
      </c>
      <c r="X1867" s="1071">
        <v>36.380000000000003</v>
      </c>
      <c r="Y1867" s="1071">
        <v>38.99</v>
      </c>
      <c r="Z1867" s="1071">
        <v>59.49</v>
      </c>
      <c r="AA1867" s="1071">
        <v>48.75</v>
      </c>
      <c r="AB1867" s="1071">
        <v>77.400000000000006</v>
      </c>
      <c r="AC1867" s="1071">
        <v>86.88</v>
      </c>
      <c r="AD1867" s="1071">
        <v>105.78</v>
      </c>
      <c r="AE1867" s="1071">
        <v>105.78</v>
      </c>
      <c r="AF1867" s="1071">
        <v>100.84</v>
      </c>
      <c r="AG1867" s="1071">
        <v>160.87</v>
      </c>
      <c r="AH1867" s="1071">
        <v>159.15</v>
      </c>
      <c r="AI1867" s="1071">
        <v>142.38999999999999</v>
      </c>
      <c r="AJ1867" s="1071">
        <v>160.87</v>
      </c>
      <c r="AK1867" s="1071">
        <v>156.21</v>
      </c>
      <c r="AL1867" s="1071">
        <v>139.99</v>
      </c>
      <c r="AM1867" s="1071">
        <v>188.59</v>
      </c>
      <c r="AN1867" s="1071">
        <v>241.97</v>
      </c>
      <c r="AO1867" s="1071">
        <v>241.97</v>
      </c>
      <c r="AP1867" s="1071">
        <v>252.1</v>
      </c>
      <c r="AQ1867" s="1071">
        <v>291.86</v>
      </c>
      <c r="AR1867" s="1071">
        <v>394.08</v>
      </c>
      <c r="AS1867" s="1071">
        <v>515.57000000000005</v>
      </c>
      <c r="AT1867" s="1071">
        <v>515.57000000000005</v>
      </c>
      <c r="AU1867" s="1071">
        <v>720.01</v>
      </c>
      <c r="AV1867" s="1071">
        <v>713.52</v>
      </c>
      <c r="AW1867" s="1071">
        <v>738.52</v>
      </c>
      <c r="AX1867" s="1071">
        <v>676.58</v>
      </c>
      <c r="AY1867" s="1071">
        <v>738.52</v>
      </c>
      <c r="AZ1867" s="1071">
        <v>426.45</v>
      </c>
      <c r="BA1867" s="1071">
        <v>347.83</v>
      </c>
      <c r="BB1867" s="1071">
        <v>329.31</v>
      </c>
      <c r="BC1867" s="1071">
        <v>319.41000000000003</v>
      </c>
      <c r="BD1867" s="1071">
        <v>426.45</v>
      </c>
      <c r="BE1867" s="1071">
        <v>347.05</v>
      </c>
      <c r="BF1867" s="1071">
        <v>389.93</v>
      </c>
      <c r="BG1867" s="1071">
        <v>401.84</v>
      </c>
      <c r="BH1867" s="1071">
        <v>317.13</v>
      </c>
      <c r="BI1867" s="1072">
        <v>401.84</v>
      </c>
      <c r="BJ1867" s="785"/>
      <c r="BK1867" s="785"/>
      <c r="BL1867" s="785"/>
      <c r="BM1867" s="785"/>
      <c r="BN1867" s="785"/>
      <c r="BO1867" s="785"/>
      <c r="BP1867" s="785"/>
      <c r="BQ1867" s="785"/>
      <c r="BR1867" s="785"/>
      <c r="BS1867" s="785"/>
      <c r="BT1867" s="785"/>
      <c r="BU1867" s="785"/>
      <c r="BV1867" s="1068"/>
      <c r="BW1867" s="1069"/>
    </row>
    <row r="1868" spans="1:75" s="921" customFormat="1" hidden="1" outlineLevel="1" x14ac:dyDescent="0.5">
      <c r="A1868" s="1070" t="s">
        <v>103</v>
      </c>
      <c r="B1868" s="785"/>
      <c r="C1868" s="1066" t="s">
        <v>189</v>
      </c>
      <c r="D1868" s="1066" t="s">
        <v>189</v>
      </c>
      <c r="E1868" s="785" t="s">
        <v>189</v>
      </c>
      <c r="F1868" s="785" t="s">
        <v>189</v>
      </c>
      <c r="G1868" s="785" t="s">
        <v>189</v>
      </c>
      <c r="H1868" s="785" t="s">
        <v>189</v>
      </c>
      <c r="I1868" s="785" t="s">
        <v>189</v>
      </c>
      <c r="J1868" s="785" t="s">
        <v>189</v>
      </c>
      <c r="K1868" s="785" t="s">
        <v>189</v>
      </c>
      <c r="L1868" s="785" t="s">
        <v>189</v>
      </c>
      <c r="M1868" s="785" t="s">
        <v>189</v>
      </c>
      <c r="N1868" s="785" t="s">
        <v>189</v>
      </c>
      <c r="O1868" s="785" t="s">
        <v>189</v>
      </c>
      <c r="P1868" s="785" t="s">
        <v>189</v>
      </c>
      <c r="Q1868" s="785" t="s">
        <v>189</v>
      </c>
      <c r="R1868" s="785" t="s">
        <v>189</v>
      </c>
      <c r="S1868" s="785" t="s">
        <v>189</v>
      </c>
      <c r="T1868" s="785" t="s">
        <v>189</v>
      </c>
      <c r="U1868" s="785" t="s">
        <v>189</v>
      </c>
      <c r="V1868" s="785" t="s">
        <v>189</v>
      </c>
      <c r="W1868" s="785" t="s">
        <v>189</v>
      </c>
      <c r="X1868" s="785" t="s">
        <v>189</v>
      </c>
      <c r="Y1868" s="785" t="s">
        <v>189</v>
      </c>
      <c r="Z1868" s="785" t="s">
        <v>189</v>
      </c>
      <c r="AA1868" s="785" t="s">
        <v>189</v>
      </c>
      <c r="AB1868" s="785" t="s">
        <v>189</v>
      </c>
      <c r="AC1868" s="785" t="s">
        <v>189</v>
      </c>
      <c r="AD1868" s="785" t="s">
        <v>189</v>
      </c>
      <c r="AE1868" s="785" t="s">
        <v>189</v>
      </c>
      <c r="AF1868" s="785" t="s">
        <v>189</v>
      </c>
      <c r="AG1868" s="785" t="s">
        <v>189</v>
      </c>
      <c r="AH1868" s="785" t="s">
        <v>189</v>
      </c>
      <c r="AI1868" s="785" t="s">
        <v>189</v>
      </c>
      <c r="AJ1868" s="785" t="s">
        <v>189</v>
      </c>
      <c r="AK1868" s="785" t="s">
        <v>189</v>
      </c>
      <c r="AL1868" s="785" t="s">
        <v>189</v>
      </c>
      <c r="AM1868" s="785" t="s">
        <v>189</v>
      </c>
      <c r="AN1868" s="785" t="s">
        <v>189</v>
      </c>
      <c r="AO1868" s="785" t="s">
        <v>189</v>
      </c>
      <c r="AP1868" s="785" t="s">
        <v>189</v>
      </c>
      <c r="AQ1868" s="785" t="s">
        <v>189</v>
      </c>
      <c r="AR1868" s="785" t="s">
        <v>189</v>
      </c>
      <c r="AS1868" s="785" t="s">
        <v>189</v>
      </c>
      <c r="AT1868" s="785" t="s">
        <v>189</v>
      </c>
      <c r="AU1868" s="785" t="s">
        <v>189</v>
      </c>
      <c r="AV1868" s="785" t="s">
        <v>189</v>
      </c>
      <c r="AW1868" s="785" t="s">
        <v>189</v>
      </c>
      <c r="AX1868" s="785" t="s">
        <v>189</v>
      </c>
      <c r="AY1868" s="785" t="s">
        <v>189</v>
      </c>
      <c r="AZ1868" s="785" t="s">
        <v>189</v>
      </c>
      <c r="BA1868" s="785" t="s">
        <v>189</v>
      </c>
      <c r="BB1868" s="785" t="s">
        <v>189</v>
      </c>
      <c r="BC1868" s="785" t="s">
        <v>189</v>
      </c>
      <c r="BD1868" s="785" t="s">
        <v>189</v>
      </c>
      <c r="BE1868" s="785" t="s">
        <v>189</v>
      </c>
      <c r="BF1868" s="785" t="s">
        <v>189</v>
      </c>
      <c r="BG1868" s="785" t="s">
        <v>189</v>
      </c>
      <c r="BH1868" s="785" t="s">
        <v>189</v>
      </c>
      <c r="BI1868" s="1067" t="s">
        <v>189</v>
      </c>
      <c r="BJ1868" s="785" t="s">
        <v>189</v>
      </c>
      <c r="BK1868" s="785" t="s">
        <v>189</v>
      </c>
      <c r="BL1868" s="785" t="s">
        <v>189</v>
      </c>
      <c r="BM1868" s="785" t="s">
        <v>189</v>
      </c>
      <c r="BN1868" s="785" t="s">
        <v>189</v>
      </c>
      <c r="BO1868" s="785" t="s">
        <v>189</v>
      </c>
      <c r="BP1868" s="785" t="s">
        <v>189</v>
      </c>
      <c r="BQ1868" s="785" t="s">
        <v>189</v>
      </c>
      <c r="BR1868" s="785" t="s">
        <v>189</v>
      </c>
      <c r="BS1868" s="785" t="s">
        <v>189</v>
      </c>
      <c r="BT1868" s="785" t="s">
        <v>189</v>
      </c>
      <c r="BU1868" s="785" t="s">
        <v>189</v>
      </c>
      <c r="BV1868" s="1068" t="s">
        <v>189</v>
      </c>
      <c r="BW1868" s="1069"/>
    </row>
    <row r="1869" spans="1:75" s="921" customFormat="1" hidden="1" outlineLevel="1" x14ac:dyDescent="0.5">
      <c r="A1869" s="1070" t="s">
        <v>1612</v>
      </c>
      <c r="B1869" s="785"/>
      <c r="C1869" s="1066" t="s">
        <v>189</v>
      </c>
      <c r="D1869" s="1066" t="s">
        <v>189</v>
      </c>
      <c r="E1869" s="785" t="s">
        <v>189</v>
      </c>
      <c r="F1869" s="785" t="s">
        <v>189</v>
      </c>
      <c r="G1869" s="785" t="s">
        <v>189</v>
      </c>
      <c r="H1869" s="785" t="s">
        <v>189</v>
      </c>
      <c r="I1869" s="785" t="s">
        <v>189</v>
      </c>
      <c r="J1869" s="785" t="s">
        <v>189</v>
      </c>
      <c r="K1869" s="785" t="s">
        <v>189</v>
      </c>
      <c r="L1869" s="785" t="s">
        <v>189</v>
      </c>
      <c r="M1869" s="785" t="s">
        <v>189</v>
      </c>
      <c r="N1869" s="785" t="s">
        <v>189</v>
      </c>
      <c r="O1869" s="785" t="s">
        <v>189</v>
      </c>
      <c r="P1869" s="785" t="s">
        <v>189</v>
      </c>
      <c r="Q1869" s="785" t="s">
        <v>189</v>
      </c>
      <c r="R1869" s="785" t="s">
        <v>189</v>
      </c>
      <c r="S1869" s="785" t="s">
        <v>189</v>
      </c>
      <c r="T1869" s="785" t="s">
        <v>189</v>
      </c>
      <c r="U1869" s="785" t="s">
        <v>189</v>
      </c>
      <c r="V1869" s="785" t="s">
        <v>189</v>
      </c>
      <c r="W1869" s="785" t="s">
        <v>189</v>
      </c>
      <c r="X1869" s="785" t="s">
        <v>189</v>
      </c>
      <c r="Y1869" s="785" t="s">
        <v>189</v>
      </c>
      <c r="Z1869" s="785" t="s">
        <v>189</v>
      </c>
      <c r="AA1869" s="785" t="s">
        <v>189</v>
      </c>
      <c r="AB1869" s="785" t="s">
        <v>189</v>
      </c>
      <c r="AC1869" s="785" t="s">
        <v>189</v>
      </c>
      <c r="AD1869" s="785" t="s">
        <v>189</v>
      </c>
      <c r="AE1869" s="785" t="s">
        <v>189</v>
      </c>
      <c r="AF1869" s="785" t="s">
        <v>189</v>
      </c>
      <c r="AG1869" s="785" t="s">
        <v>189</v>
      </c>
      <c r="AH1869" s="785" t="s">
        <v>189</v>
      </c>
      <c r="AI1869" s="785" t="s">
        <v>189</v>
      </c>
      <c r="AJ1869" s="785" t="s">
        <v>189</v>
      </c>
      <c r="AK1869" s="785" t="s">
        <v>189</v>
      </c>
      <c r="AL1869" s="785" t="s">
        <v>189</v>
      </c>
      <c r="AM1869" s="785" t="s">
        <v>189</v>
      </c>
      <c r="AN1869" s="785" t="s">
        <v>189</v>
      </c>
      <c r="AO1869" s="785" t="s">
        <v>189</v>
      </c>
      <c r="AP1869" s="785" t="s">
        <v>189</v>
      </c>
      <c r="AQ1869" s="785" t="s">
        <v>189</v>
      </c>
      <c r="AR1869" s="785" t="s">
        <v>189</v>
      </c>
      <c r="AS1869" s="785" t="s">
        <v>189</v>
      </c>
      <c r="AT1869" s="785" t="s">
        <v>189</v>
      </c>
      <c r="AU1869" s="785" t="s">
        <v>189</v>
      </c>
      <c r="AV1869" s="785" t="s">
        <v>189</v>
      </c>
      <c r="AW1869" s="785" t="s">
        <v>189</v>
      </c>
      <c r="AX1869" s="785" t="s">
        <v>189</v>
      </c>
      <c r="AY1869" s="785" t="s">
        <v>189</v>
      </c>
      <c r="AZ1869" s="785" t="s">
        <v>189</v>
      </c>
      <c r="BA1869" s="785" t="s">
        <v>189</v>
      </c>
      <c r="BB1869" s="785" t="s">
        <v>189</v>
      </c>
      <c r="BC1869" s="785" t="s">
        <v>189</v>
      </c>
      <c r="BD1869" s="785" t="s">
        <v>189</v>
      </c>
      <c r="BE1869" s="785" t="s">
        <v>189</v>
      </c>
      <c r="BF1869" s="785" t="s">
        <v>189</v>
      </c>
      <c r="BG1869" s="785" t="s">
        <v>189</v>
      </c>
      <c r="BH1869" s="785" t="s">
        <v>189</v>
      </c>
      <c r="BI1869" s="1067" t="s">
        <v>189</v>
      </c>
      <c r="BJ1869" s="785" t="s">
        <v>189</v>
      </c>
      <c r="BK1869" s="785" t="s">
        <v>189</v>
      </c>
      <c r="BL1869" s="785" t="s">
        <v>189</v>
      </c>
      <c r="BM1869" s="785" t="s">
        <v>189</v>
      </c>
      <c r="BN1869" s="785" t="s">
        <v>189</v>
      </c>
      <c r="BO1869" s="785" t="s">
        <v>189</v>
      </c>
      <c r="BP1869" s="785" t="s">
        <v>189</v>
      </c>
      <c r="BQ1869" s="785" t="s">
        <v>189</v>
      </c>
      <c r="BR1869" s="785" t="s">
        <v>189</v>
      </c>
      <c r="BS1869" s="785" t="s">
        <v>189</v>
      </c>
      <c r="BT1869" s="785" t="s">
        <v>189</v>
      </c>
      <c r="BU1869" s="785" t="s">
        <v>189</v>
      </c>
      <c r="BV1869" s="1068" t="s">
        <v>189</v>
      </c>
      <c r="BW1869" s="1069"/>
    </row>
    <row r="1870" spans="1:75" s="921" customFormat="1" hidden="1" outlineLevel="1" x14ac:dyDescent="0.5">
      <c r="A1870" s="1070" t="s">
        <v>1613</v>
      </c>
      <c r="B1870" s="785"/>
      <c r="C1870" s="1066" t="s">
        <v>189</v>
      </c>
      <c r="D1870" s="1066" t="s">
        <v>189</v>
      </c>
      <c r="E1870" s="785" t="s">
        <v>189</v>
      </c>
      <c r="F1870" s="785" t="s">
        <v>189</v>
      </c>
      <c r="G1870" s="785" t="s">
        <v>189</v>
      </c>
      <c r="H1870" s="785" t="s">
        <v>189</v>
      </c>
      <c r="I1870" s="785" t="s">
        <v>189</v>
      </c>
      <c r="J1870" s="785" t="s">
        <v>189</v>
      </c>
      <c r="K1870" s="785" t="s">
        <v>189</v>
      </c>
      <c r="L1870" s="785" t="s">
        <v>189</v>
      </c>
      <c r="M1870" s="785" t="s">
        <v>189</v>
      </c>
      <c r="N1870" s="785" t="s">
        <v>189</v>
      </c>
      <c r="O1870" s="785" t="s">
        <v>189</v>
      </c>
      <c r="P1870" s="785" t="s">
        <v>189</v>
      </c>
      <c r="Q1870" s="785" t="s">
        <v>189</v>
      </c>
      <c r="R1870" s="785" t="s">
        <v>189</v>
      </c>
      <c r="S1870" s="785" t="s">
        <v>189</v>
      </c>
      <c r="T1870" s="785" t="s">
        <v>189</v>
      </c>
      <c r="U1870" s="785" t="s">
        <v>189</v>
      </c>
      <c r="V1870" s="785" t="s">
        <v>189</v>
      </c>
      <c r="W1870" s="785" t="s">
        <v>189</v>
      </c>
      <c r="X1870" s="785" t="s">
        <v>189</v>
      </c>
      <c r="Y1870" s="785" t="s">
        <v>189</v>
      </c>
      <c r="Z1870" s="785" t="s">
        <v>189</v>
      </c>
      <c r="AA1870" s="785" t="s">
        <v>189</v>
      </c>
      <c r="AB1870" s="785" t="s">
        <v>189</v>
      </c>
      <c r="AC1870" s="785" t="s">
        <v>189</v>
      </c>
      <c r="AD1870" s="785" t="s">
        <v>189</v>
      </c>
      <c r="AE1870" s="785" t="s">
        <v>189</v>
      </c>
      <c r="AF1870" s="785" t="s">
        <v>189</v>
      </c>
      <c r="AG1870" s="785" t="s">
        <v>189</v>
      </c>
      <c r="AH1870" s="785" t="s">
        <v>189</v>
      </c>
      <c r="AI1870" s="785" t="s">
        <v>189</v>
      </c>
      <c r="AJ1870" s="785" t="s">
        <v>189</v>
      </c>
      <c r="AK1870" s="785" t="s">
        <v>189</v>
      </c>
      <c r="AL1870" s="785" t="s">
        <v>189</v>
      </c>
      <c r="AM1870" s="785" t="s">
        <v>189</v>
      </c>
      <c r="AN1870" s="785" t="s">
        <v>189</v>
      </c>
      <c r="AO1870" s="785" t="s">
        <v>189</v>
      </c>
      <c r="AP1870" s="785" t="s">
        <v>189</v>
      </c>
      <c r="AQ1870" s="785" t="s">
        <v>189</v>
      </c>
      <c r="AR1870" s="785" t="s">
        <v>189</v>
      </c>
      <c r="AS1870" s="785" t="s">
        <v>189</v>
      </c>
      <c r="AT1870" s="785" t="s">
        <v>189</v>
      </c>
      <c r="AU1870" s="785" t="s">
        <v>189</v>
      </c>
      <c r="AV1870" s="785" t="s">
        <v>189</v>
      </c>
      <c r="AW1870" s="785" t="s">
        <v>189</v>
      </c>
      <c r="AX1870" s="785" t="s">
        <v>189</v>
      </c>
      <c r="AY1870" s="785" t="s">
        <v>189</v>
      </c>
      <c r="AZ1870" s="785" t="s">
        <v>189</v>
      </c>
      <c r="BA1870" s="785" t="s">
        <v>189</v>
      </c>
      <c r="BB1870" s="785" t="s">
        <v>189</v>
      </c>
      <c r="BC1870" s="785" t="s">
        <v>189</v>
      </c>
      <c r="BD1870" s="785" t="s">
        <v>189</v>
      </c>
      <c r="BE1870" s="785" t="s">
        <v>189</v>
      </c>
      <c r="BF1870" s="785" t="s">
        <v>189</v>
      </c>
      <c r="BG1870" s="785" t="s">
        <v>189</v>
      </c>
      <c r="BH1870" s="785" t="s">
        <v>189</v>
      </c>
      <c r="BI1870" s="1067" t="s">
        <v>189</v>
      </c>
      <c r="BJ1870" s="785" t="s">
        <v>189</v>
      </c>
      <c r="BK1870" s="785" t="s">
        <v>189</v>
      </c>
      <c r="BL1870" s="785" t="s">
        <v>189</v>
      </c>
      <c r="BM1870" s="785" t="s">
        <v>189</v>
      </c>
      <c r="BN1870" s="785" t="s">
        <v>189</v>
      </c>
      <c r="BO1870" s="785" t="s">
        <v>189</v>
      </c>
      <c r="BP1870" s="785" t="s">
        <v>189</v>
      </c>
      <c r="BQ1870" s="785" t="s">
        <v>189</v>
      </c>
      <c r="BR1870" s="785" t="s">
        <v>189</v>
      </c>
      <c r="BS1870" s="785" t="s">
        <v>189</v>
      </c>
      <c r="BT1870" s="785" t="s">
        <v>189</v>
      </c>
      <c r="BU1870" s="785" t="s">
        <v>189</v>
      </c>
      <c r="BV1870" s="1068" t="s">
        <v>189</v>
      </c>
      <c r="BW1870" s="1069"/>
    </row>
    <row r="1871" spans="1:75" s="921" customFormat="1" hidden="1" outlineLevel="1" x14ac:dyDescent="0.5">
      <c r="A1871" s="1070" t="s">
        <v>1614</v>
      </c>
      <c r="B1871" s="785"/>
      <c r="C1871" s="1066" t="s">
        <v>189</v>
      </c>
      <c r="D1871" s="1066" t="s">
        <v>189</v>
      </c>
      <c r="E1871" s="785" t="s">
        <v>189</v>
      </c>
      <c r="F1871" s="785" t="s">
        <v>189</v>
      </c>
      <c r="G1871" s="785" t="s">
        <v>189</v>
      </c>
      <c r="H1871" s="785" t="s">
        <v>189</v>
      </c>
      <c r="I1871" s="785" t="s">
        <v>189</v>
      </c>
      <c r="J1871" s="785" t="s">
        <v>189</v>
      </c>
      <c r="K1871" s="785" t="s">
        <v>189</v>
      </c>
      <c r="L1871" s="785" t="s">
        <v>189</v>
      </c>
      <c r="M1871" s="785" t="s">
        <v>189</v>
      </c>
      <c r="N1871" s="785" t="s">
        <v>189</v>
      </c>
      <c r="O1871" s="785" t="s">
        <v>189</v>
      </c>
      <c r="P1871" s="785" t="s">
        <v>189</v>
      </c>
      <c r="Q1871" s="785" t="s">
        <v>189</v>
      </c>
      <c r="R1871" s="785" t="s">
        <v>189</v>
      </c>
      <c r="S1871" s="785" t="s">
        <v>189</v>
      </c>
      <c r="T1871" s="785" t="s">
        <v>189</v>
      </c>
      <c r="U1871" s="785" t="s">
        <v>189</v>
      </c>
      <c r="V1871" s="785" t="s">
        <v>189</v>
      </c>
      <c r="W1871" s="785" t="s">
        <v>189</v>
      </c>
      <c r="X1871" s="785" t="s">
        <v>189</v>
      </c>
      <c r="Y1871" s="785" t="s">
        <v>189</v>
      </c>
      <c r="Z1871" s="785" t="s">
        <v>189</v>
      </c>
      <c r="AA1871" s="785" t="s">
        <v>189</v>
      </c>
      <c r="AB1871" s="785" t="s">
        <v>189</v>
      </c>
      <c r="AC1871" s="785" t="s">
        <v>189</v>
      </c>
      <c r="AD1871" s="785" t="s">
        <v>189</v>
      </c>
      <c r="AE1871" s="785" t="s">
        <v>189</v>
      </c>
      <c r="AF1871" s="785" t="s">
        <v>189</v>
      </c>
      <c r="AG1871" s="785" t="s">
        <v>189</v>
      </c>
      <c r="AH1871" s="785" t="s">
        <v>189</v>
      </c>
      <c r="AI1871" s="785" t="s">
        <v>189</v>
      </c>
      <c r="AJ1871" s="785" t="s">
        <v>189</v>
      </c>
      <c r="AK1871" s="785" t="s">
        <v>189</v>
      </c>
      <c r="AL1871" s="785" t="s">
        <v>189</v>
      </c>
      <c r="AM1871" s="785" t="s">
        <v>189</v>
      </c>
      <c r="AN1871" s="785" t="s">
        <v>189</v>
      </c>
      <c r="AO1871" s="785" t="s">
        <v>189</v>
      </c>
      <c r="AP1871" s="785" t="s">
        <v>189</v>
      </c>
      <c r="AQ1871" s="785" t="s">
        <v>189</v>
      </c>
      <c r="AR1871" s="785" t="s">
        <v>189</v>
      </c>
      <c r="AS1871" s="785" t="s">
        <v>189</v>
      </c>
      <c r="AT1871" s="785" t="s">
        <v>189</v>
      </c>
      <c r="AU1871" s="785" t="s">
        <v>189</v>
      </c>
      <c r="AV1871" s="785" t="s">
        <v>189</v>
      </c>
      <c r="AW1871" s="785" t="s">
        <v>189</v>
      </c>
      <c r="AX1871" s="785" t="s">
        <v>189</v>
      </c>
      <c r="AY1871" s="785" t="s">
        <v>189</v>
      </c>
      <c r="AZ1871" s="785" t="s">
        <v>189</v>
      </c>
      <c r="BA1871" s="785" t="s">
        <v>189</v>
      </c>
      <c r="BB1871" s="785" t="s">
        <v>189</v>
      </c>
      <c r="BC1871" s="785" t="s">
        <v>189</v>
      </c>
      <c r="BD1871" s="785" t="s">
        <v>189</v>
      </c>
      <c r="BE1871" s="785" t="s">
        <v>189</v>
      </c>
      <c r="BF1871" s="785" t="s">
        <v>189</v>
      </c>
      <c r="BG1871" s="785" t="s">
        <v>189</v>
      </c>
      <c r="BH1871" s="785" t="s">
        <v>189</v>
      </c>
      <c r="BI1871" s="1067" t="s">
        <v>189</v>
      </c>
      <c r="BJ1871" s="785" t="s">
        <v>189</v>
      </c>
      <c r="BK1871" s="785" t="s">
        <v>189</v>
      </c>
      <c r="BL1871" s="785" t="s">
        <v>189</v>
      </c>
      <c r="BM1871" s="785" t="s">
        <v>189</v>
      </c>
      <c r="BN1871" s="785" t="s">
        <v>189</v>
      </c>
      <c r="BO1871" s="785" t="s">
        <v>189</v>
      </c>
      <c r="BP1871" s="785" t="s">
        <v>189</v>
      </c>
      <c r="BQ1871" s="785" t="s">
        <v>189</v>
      </c>
      <c r="BR1871" s="785" t="s">
        <v>189</v>
      </c>
      <c r="BS1871" s="785" t="s">
        <v>189</v>
      </c>
      <c r="BT1871" s="785" t="s">
        <v>189</v>
      </c>
      <c r="BU1871" s="785" t="s">
        <v>189</v>
      </c>
      <c r="BV1871" s="1068" t="s">
        <v>189</v>
      </c>
      <c r="BW1871" s="1069"/>
    </row>
    <row r="1872" spans="1:75" s="123" customFormat="1" hidden="1" outlineLevel="1" x14ac:dyDescent="0.5">
      <c r="A1872" s="1073"/>
      <c r="B1872" s="118"/>
      <c r="C1872" s="973"/>
      <c r="D1872" s="973"/>
      <c r="E1872" s="119"/>
      <c r="F1872" s="119"/>
      <c r="G1872" s="119"/>
      <c r="H1872" s="119"/>
      <c r="I1872" s="119"/>
      <c r="J1872" s="119"/>
      <c r="K1872" s="119"/>
      <c r="L1872" s="119"/>
      <c r="M1872" s="119"/>
      <c r="N1872" s="119"/>
      <c r="O1872" s="119"/>
      <c r="P1872" s="119"/>
      <c r="Q1872" s="119"/>
      <c r="R1872" s="119"/>
      <c r="S1872" s="119"/>
      <c r="T1872" s="119"/>
      <c r="U1872" s="119"/>
      <c r="V1872" s="119"/>
      <c r="W1872" s="119"/>
      <c r="X1872" s="119"/>
      <c r="Y1872" s="119"/>
      <c r="Z1872" s="119"/>
      <c r="AA1872" s="119"/>
      <c r="AB1872" s="119"/>
      <c r="AC1872" s="119"/>
      <c r="AD1872" s="119"/>
      <c r="AE1872" s="119"/>
      <c r="AF1872" s="119"/>
      <c r="AG1872" s="119"/>
      <c r="AH1872" s="119"/>
      <c r="AI1872" s="119"/>
      <c r="AJ1872" s="119"/>
      <c r="AK1872" s="119"/>
      <c r="AL1872" s="119"/>
      <c r="AM1872" s="119"/>
      <c r="AN1872" s="119"/>
      <c r="AO1872" s="119"/>
      <c r="AP1872" s="119"/>
      <c r="AQ1872" s="119"/>
      <c r="AR1872" s="119"/>
      <c r="AS1872" s="119"/>
      <c r="AT1872" s="119"/>
      <c r="AU1872" s="119"/>
      <c r="AV1872" s="119"/>
      <c r="AW1872" s="119"/>
      <c r="AX1872" s="119"/>
      <c r="AY1872" s="119"/>
      <c r="AZ1872" s="119"/>
      <c r="BA1872" s="119"/>
      <c r="BB1872" s="119"/>
      <c r="BC1872" s="119"/>
      <c r="BD1872" s="119"/>
      <c r="BE1872" s="119"/>
      <c r="BF1872" s="119"/>
      <c r="BG1872" s="119"/>
      <c r="BH1872" s="119"/>
      <c r="BI1872" s="971"/>
      <c r="BJ1872" s="118"/>
      <c r="BK1872" s="118"/>
      <c r="BL1872" s="118"/>
      <c r="BM1872" s="118"/>
      <c r="BN1872" s="118"/>
      <c r="BO1872" s="118"/>
      <c r="BP1872" s="118"/>
      <c r="BQ1872" s="118"/>
      <c r="BR1872" s="118"/>
      <c r="BS1872" s="119"/>
      <c r="BT1872" s="119"/>
      <c r="BU1872" s="119"/>
      <c r="BV1872" s="1074"/>
      <c r="BW1872" s="1036"/>
    </row>
    <row r="1873" spans="1:75" s="921" customFormat="1" collapsed="1" x14ac:dyDescent="0.5">
      <c r="A1873" s="1065" t="s">
        <v>1615</v>
      </c>
      <c r="B1873" s="785"/>
      <c r="C1873" s="1066">
        <v>0</v>
      </c>
      <c r="D1873" s="1066">
        <v>0</v>
      </c>
      <c r="E1873" s="785">
        <v>0</v>
      </c>
      <c r="F1873" s="785">
        <v>31.1</v>
      </c>
      <c r="G1873" s="785">
        <v>32.75</v>
      </c>
      <c r="H1873" s="785">
        <v>39.549999999999997</v>
      </c>
      <c r="I1873" s="785">
        <v>60.52</v>
      </c>
      <c r="J1873" s="785">
        <v>54.96</v>
      </c>
      <c r="K1873" s="785">
        <v>32.75</v>
      </c>
      <c r="L1873" s="785">
        <v>54.85</v>
      </c>
      <c r="M1873" s="785">
        <v>61.3</v>
      </c>
      <c r="N1873" s="785">
        <v>72.63</v>
      </c>
      <c r="O1873" s="785">
        <v>77.599999999999994</v>
      </c>
      <c r="P1873" s="785">
        <v>54.85</v>
      </c>
      <c r="Q1873" s="785">
        <v>84.85</v>
      </c>
      <c r="R1873" s="785">
        <v>86.93</v>
      </c>
      <c r="S1873" s="785">
        <v>91.06</v>
      </c>
      <c r="T1873" s="785">
        <v>60.22</v>
      </c>
      <c r="U1873" s="785">
        <v>60.22</v>
      </c>
      <c r="V1873" s="785">
        <v>36.65</v>
      </c>
      <c r="W1873" s="785">
        <v>25.39</v>
      </c>
      <c r="X1873" s="785">
        <v>28.13</v>
      </c>
      <c r="Y1873" s="785">
        <v>26.09</v>
      </c>
      <c r="Z1873" s="785">
        <v>25.39</v>
      </c>
      <c r="AA1873" s="785">
        <v>25.08</v>
      </c>
      <c r="AB1873" s="785">
        <v>42.54</v>
      </c>
      <c r="AC1873" s="785">
        <v>45.16</v>
      </c>
      <c r="AD1873" s="785">
        <v>82.11</v>
      </c>
      <c r="AE1873" s="785">
        <v>25.08</v>
      </c>
      <c r="AF1873" s="785">
        <v>75.31</v>
      </c>
      <c r="AG1873" s="785">
        <v>97.73</v>
      </c>
      <c r="AH1873" s="785">
        <v>104.17</v>
      </c>
      <c r="AI1873" s="785">
        <v>107.4</v>
      </c>
      <c r="AJ1873" s="785">
        <v>75.31</v>
      </c>
      <c r="AK1873" s="785">
        <v>101.25</v>
      </c>
      <c r="AL1873" s="785">
        <v>85.15</v>
      </c>
      <c r="AM1873" s="785">
        <v>134.05000000000001</v>
      </c>
      <c r="AN1873" s="785">
        <v>172.68</v>
      </c>
      <c r="AO1873" s="785">
        <v>85.15</v>
      </c>
      <c r="AP1873" s="785">
        <v>80.430000000000007</v>
      </c>
      <c r="AQ1873" s="785">
        <v>142.28</v>
      </c>
      <c r="AR1873" s="785">
        <v>293.89</v>
      </c>
      <c r="AS1873" s="785">
        <v>341.13</v>
      </c>
      <c r="AT1873" s="785">
        <v>80.430000000000007</v>
      </c>
      <c r="AU1873" s="785">
        <v>441.46</v>
      </c>
      <c r="AV1873" s="785">
        <v>605.92999999999995</v>
      </c>
      <c r="AW1873" s="785">
        <v>630.01</v>
      </c>
      <c r="AX1873" s="785">
        <v>366.91</v>
      </c>
      <c r="AY1873" s="785">
        <v>366.91</v>
      </c>
      <c r="AZ1873" s="785">
        <v>320</v>
      </c>
      <c r="BA1873" s="785">
        <v>212.26</v>
      </c>
      <c r="BB1873" s="785">
        <v>231.64</v>
      </c>
      <c r="BC1873" s="785">
        <v>233.97</v>
      </c>
      <c r="BD1873" s="785">
        <v>212.26</v>
      </c>
      <c r="BE1873" s="785">
        <v>232.18</v>
      </c>
      <c r="BF1873" s="785">
        <v>241.41</v>
      </c>
      <c r="BG1873" s="785">
        <v>213.13</v>
      </c>
      <c r="BH1873" s="785">
        <v>213.37</v>
      </c>
      <c r="BI1873" s="1067">
        <v>213.13</v>
      </c>
      <c r="BJ1873" s="785">
        <v>0</v>
      </c>
      <c r="BK1873" s="785">
        <v>0</v>
      </c>
      <c r="BL1873" s="785">
        <v>0</v>
      </c>
      <c r="BM1873" s="785">
        <v>0</v>
      </c>
      <c r="BN1873" s="785">
        <v>0</v>
      </c>
      <c r="BO1873" s="785">
        <v>0</v>
      </c>
      <c r="BP1873" s="785">
        <v>0</v>
      </c>
      <c r="BQ1873" s="785">
        <v>0</v>
      </c>
      <c r="BR1873" s="785">
        <v>0</v>
      </c>
      <c r="BS1873" s="785">
        <v>0</v>
      </c>
      <c r="BT1873" s="785">
        <v>0</v>
      </c>
      <c r="BU1873" s="785">
        <v>0</v>
      </c>
      <c r="BV1873" s="1068">
        <v>0</v>
      </c>
      <c r="BW1873" s="1069"/>
    </row>
    <row r="1874" spans="1:75" s="921" customFormat="1" hidden="1" outlineLevel="1" x14ac:dyDescent="0.5">
      <c r="A1874" s="1070" t="s">
        <v>1611</v>
      </c>
      <c r="B1874" s="785"/>
      <c r="C1874" s="1066"/>
      <c r="D1874" s="1066"/>
      <c r="E1874" s="785"/>
      <c r="F1874" s="1071">
        <v>31.1</v>
      </c>
      <c r="G1874" s="1071">
        <v>32.75</v>
      </c>
      <c r="H1874" s="1071">
        <v>39.549999999999997</v>
      </c>
      <c r="I1874" s="1071">
        <v>60.52</v>
      </c>
      <c r="J1874" s="1071">
        <v>54.96</v>
      </c>
      <c r="K1874" s="1071">
        <v>32.75</v>
      </c>
      <c r="L1874" s="1071">
        <v>54.85</v>
      </c>
      <c r="M1874" s="1071">
        <v>61.3</v>
      </c>
      <c r="N1874" s="1071">
        <v>72.63</v>
      </c>
      <c r="O1874" s="1071">
        <v>77.599999999999994</v>
      </c>
      <c r="P1874" s="1071">
        <v>54.85</v>
      </c>
      <c r="Q1874" s="1071">
        <v>84.85</v>
      </c>
      <c r="R1874" s="1071">
        <v>86.93</v>
      </c>
      <c r="S1874" s="1071">
        <v>91.06</v>
      </c>
      <c r="T1874" s="1071">
        <v>60.22</v>
      </c>
      <c r="U1874" s="1071">
        <v>60.22</v>
      </c>
      <c r="V1874" s="1071">
        <v>36.65</v>
      </c>
      <c r="W1874" s="1071">
        <v>25.39</v>
      </c>
      <c r="X1874" s="1071">
        <v>28.13</v>
      </c>
      <c r="Y1874" s="1071">
        <v>26.09</v>
      </c>
      <c r="Z1874" s="1071">
        <v>25.39</v>
      </c>
      <c r="AA1874" s="1071">
        <v>25.08</v>
      </c>
      <c r="AB1874" s="1071">
        <v>42.54</v>
      </c>
      <c r="AC1874" s="1071">
        <v>45.16</v>
      </c>
      <c r="AD1874" s="1071">
        <v>82.11</v>
      </c>
      <c r="AE1874" s="1071">
        <v>25.08</v>
      </c>
      <c r="AF1874" s="1071">
        <v>75.31</v>
      </c>
      <c r="AG1874" s="1071">
        <v>97.73</v>
      </c>
      <c r="AH1874" s="1071">
        <v>104.17</v>
      </c>
      <c r="AI1874" s="1071">
        <v>107.4</v>
      </c>
      <c r="AJ1874" s="1071">
        <v>75.31</v>
      </c>
      <c r="AK1874" s="1071">
        <v>101.25</v>
      </c>
      <c r="AL1874" s="1071">
        <v>85.15</v>
      </c>
      <c r="AM1874" s="1071">
        <v>134.05000000000001</v>
      </c>
      <c r="AN1874" s="1071">
        <v>172.68</v>
      </c>
      <c r="AO1874" s="1071">
        <v>85.15</v>
      </c>
      <c r="AP1874" s="1071">
        <v>80.430000000000007</v>
      </c>
      <c r="AQ1874" s="1071">
        <v>142.28</v>
      </c>
      <c r="AR1874" s="1071">
        <v>293.89</v>
      </c>
      <c r="AS1874" s="1071">
        <v>341.13</v>
      </c>
      <c r="AT1874" s="1071">
        <v>80.430000000000007</v>
      </c>
      <c r="AU1874" s="1071">
        <v>441.46</v>
      </c>
      <c r="AV1874" s="1071">
        <v>605.92999999999995</v>
      </c>
      <c r="AW1874" s="1071">
        <v>630.01</v>
      </c>
      <c r="AX1874" s="1071">
        <v>366.91</v>
      </c>
      <c r="AY1874" s="1071">
        <v>366.91</v>
      </c>
      <c r="AZ1874" s="1071">
        <v>320</v>
      </c>
      <c r="BA1874" s="1071">
        <v>212.26</v>
      </c>
      <c r="BB1874" s="1071">
        <v>231.64</v>
      </c>
      <c r="BC1874" s="1071">
        <v>233.97</v>
      </c>
      <c r="BD1874" s="1071">
        <v>212.26</v>
      </c>
      <c r="BE1874" s="1071">
        <v>232.18</v>
      </c>
      <c r="BF1874" s="1071">
        <v>241.41</v>
      </c>
      <c r="BG1874" s="1071">
        <v>213.13</v>
      </c>
      <c r="BH1874" s="1071">
        <v>213.37</v>
      </c>
      <c r="BI1874" s="1072">
        <v>213.13</v>
      </c>
      <c r="BJ1874" s="785"/>
      <c r="BK1874" s="785"/>
      <c r="BL1874" s="785"/>
      <c r="BM1874" s="785"/>
      <c r="BN1874" s="785"/>
      <c r="BO1874" s="785"/>
      <c r="BP1874" s="785"/>
      <c r="BQ1874" s="785"/>
      <c r="BR1874" s="785"/>
      <c r="BS1874" s="785"/>
      <c r="BT1874" s="785"/>
      <c r="BU1874" s="785"/>
      <c r="BV1874" s="1068"/>
      <c r="BW1874" s="1069"/>
    </row>
    <row r="1875" spans="1:75" s="921" customFormat="1" hidden="1" outlineLevel="1" x14ac:dyDescent="0.5">
      <c r="A1875" s="1070" t="s">
        <v>103</v>
      </c>
      <c r="B1875" s="785"/>
      <c r="C1875" s="1066" t="s">
        <v>189</v>
      </c>
      <c r="D1875" s="1066" t="s">
        <v>189</v>
      </c>
      <c r="E1875" s="785" t="s">
        <v>189</v>
      </c>
      <c r="F1875" s="785" t="s">
        <v>189</v>
      </c>
      <c r="G1875" s="785" t="s">
        <v>189</v>
      </c>
      <c r="H1875" s="785" t="s">
        <v>189</v>
      </c>
      <c r="I1875" s="785" t="s">
        <v>189</v>
      </c>
      <c r="J1875" s="785" t="s">
        <v>189</v>
      </c>
      <c r="K1875" s="785" t="s">
        <v>189</v>
      </c>
      <c r="L1875" s="785" t="s">
        <v>189</v>
      </c>
      <c r="M1875" s="785" t="s">
        <v>189</v>
      </c>
      <c r="N1875" s="785" t="s">
        <v>189</v>
      </c>
      <c r="O1875" s="785" t="s">
        <v>189</v>
      </c>
      <c r="P1875" s="785" t="s">
        <v>189</v>
      </c>
      <c r="Q1875" s="785" t="s">
        <v>189</v>
      </c>
      <c r="R1875" s="785" t="s">
        <v>189</v>
      </c>
      <c r="S1875" s="785" t="s">
        <v>189</v>
      </c>
      <c r="T1875" s="785" t="s">
        <v>189</v>
      </c>
      <c r="U1875" s="785" t="s">
        <v>189</v>
      </c>
      <c r="V1875" s="785" t="s">
        <v>189</v>
      </c>
      <c r="W1875" s="785" t="s">
        <v>189</v>
      </c>
      <c r="X1875" s="785" t="s">
        <v>189</v>
      </c>
      <c r="Y1875" s="785" t="s">
        <v>189</v>
      </c>
      <c r="Z1875" s="785" t="s">
        <v>189</v>
      </c>
      <c r="AA1875" s="785" t="s">
        <v>189</v>
      </c>
      <c r="AB1875" s="785" t="s">
        <v>189</v>
      </c>
      <c r="AC1875" s="785" t="s">
        <v>189</v>
      </c>
      <c r="AD1875" s="785" t="s">
        <v>189</v>
      </c>
      <c r="AE1875" s="785" t="s">
        <v>189</v>
      </c>
      <c r="AF1875" s="785" t="s">
        <v>189</v>
      </c>
      <c r="AG1875" s="785" t="s">
        <v>189</v>
      </c>
      <c r="AH1875" s="785" t="s">
        <v>189</v>
      </c>
      <c r="AI1875" s="785" t="s">
        <v>189</v>
      </c>
      <c r="AJ1875" s="785" t="s">
        <v>189</v>
      </c>
      <c r="AK1875" s="785" t="s">
        <v>189</v>
      </c>
      <c r="AL1875" s="785" t="s">
        <v>189</v>
      </c>
      <c r="AM1875" s="785" t="s">
        <v>189</v>
      </c>
      <c r="AN1875" s="785" t="s">
        <v>189</v>
      </c>
      <c r="AO1875" s="785" t="s">
        <v>189</v>
      </c>
      <c r="AP1875" s="785" t="s">
        <v>189</v>
      </c>
      <c r="AQ1875" s="785" t="s">
        <v>189</v>
      </c>
      <c r="AR1875" s="785" t="s">
        <v>189</v>
      </c>
      <c r="AS1875" s="785" t="s">
        <v>189</v>
      </c>
      <c r="AT1875" s="785" t="s">
        <v>189</v>
      </c>
      <c r="AU1875" s="785" t="s">
        <v>189</v>
      </c>
      <c r="AV1875" s="785" t="s">
        <v>189</v>
      </c>
      <c r="AW1875" s="785" t="s">
        <v>189</v>
      </c>
      <c r="AX1875" s="785" t="s">
        <v>189</v>
      </c>
      <c r="AY1875" s="785" t="s">
        <v>189</v>
      </c>
      <c r="AZ1875" s="785" t="s">
        <v>189</v>
      </c>
      <c r="BA1875" s="785" t="s">
        <v>189</v>
      </c>
      <c r="BB1875" s="785" t="s">
        <v>189</v>
      </c>
      <c r="BC1875" s="785" t="s">
        <v>189</v>
      </c>
      <c r="BD1875" s="785" t="s">
        <v>189</v>
      </c>
      <c r="BE1875" s="785" t="s">
        <v>189</v>
      </c>
      <c r="BF1875" s="785" t="s">
        <v>189</v>
      </c>
      <c r="BG1875" s="785" t="s">
        <v>189</v>
      </c>
      <c r="BH1875" s="785" t="s">
        <v>189</v>
      </c>
      <c r="BI1875" s="1067" t="s">
        <v>189</v>
      </c>
      <c r="BJ1875" s="785" t="s">
        <v>189</v>
      </c>
      <c r="BK1875" s="785" t="s">
        <v>189</v>
      </c>
      <c r="BL1875" s="785" t="s">
        <v>189</v>
      </c>
      <c r="BM1875" s="785" t="s">
        <v>189</v>
      </c>
      <c r="BN1875" s="785" t="s">
        <v>189</v>
      </c>
      <c r="BO1875" s="785" t="s">
        <v>189</v>
      </c>
      <c r="BP1875" s="785" t="s">
        <v>189</v>
      </c>
      <c r="BQ1875" s="785" t="s">
        <v>189</v>
      </c>
      <c r="BR1875" s="785" t="s">
        <v>189</v>
      </c>
      <c r="BS1875" s="785" t="s">
        <v>189</v>
      </c>
      <c r="BT1875" s="785" t="s">
        <v>189</v>
      </c>
      <c r="BU1875" s="785" t="s">
        <v>189</v>
      </c>
      <c r="BV1875" s="1068" t="s">
        <v>189</v>
      </c>
      <c r="BW1875" s="1069"/>
    </row>
    <row r="1876" spans="1:75" s="921" customFormat="1" hidden="1" outlineLevel="1" x14ac:dyDescent="0.5">
      <c r="A1876" s="1070" t="s">
        <v>1612</v>
      </c>
      <c r="B1876" s="785"/>
      <c r="C1876" s="1066" t="s">
        <v>189</v>
      </c>
      <c r="D1876" s="1066" t="s">
        <v>189</v>
      </c>
      <c r="E1876" s="785" t="s">
        <v>189</v>
      </c>
      <c r="F1876" s="785" t="s">
        <v>189</v>
      </c>
      <c r="G1876" s="785" t="s">
        <v>189</v>
      </c>
      <c r="H1876" s="785" t="s">
        <v>189</v>
      </c>
      <c r="I1876" s="785" t="s">
        <v>189</v>
      </c>
      <c r="J1876" s="785" t="s">
        <v>189</v>
      </c>
      <c r="K1876" s="785" t="s">
        <v>189</v>
      </c>
      <c r="L1876" s="785" t="s">
        <v>189</v>
      </c>
      <c r="M1876" s="785" t="s">
        <v>189</v>
      </c>
      <c r="N1876" s="785" t="s">
        <v>189</v>
      </c>
      <c r="O1876" s="785" t="s">
        <v>189</v>
      </c>
      <c r="P1876" s="785" t="s">
        <v>189</v>
      </c>
      <c r="Q1876" s="785" t="s">
        <v>189</v>
      </c>
      <c r="R1876" s="785" t="s">
        <v>189</v>
      </c>
      <c r="S1876" s="785" t="s">
        <v>189</v>
      </c>
      <c r="T1876" s="785" t="s">
        <v>189</v>
      </c>
      <c r="U1876" s="785" t="s">
        <v>189</v>
      </c>
      <c r="V1876" s="785" t="s">
        <v>189</v>
      </c>
      <c r="W1876" s="785" t="s">
        <v>189</v>
      </c>
      <c r="X1876" s="785" t="s">
        <v>189</v>
      </c>
      <c r="Y1876" s="785" t="s">
        <v>189</v>
      </c>
      <c r="Z1876" s="785" t="s">
        <v>189</v>
      </c>
      <c r="AA1876" s="785" t="s">
        <v>189</v>
      </c>
      <c r="AB1876" s="785" t="s">
        <v>189</v>
      </c>
      <c r="AC1876" s="785" t="s">
        <v>189</v>
      </c>
      <c r="AD1876" s="785" t="s">
        <v>189</v>
      </c>
      <c r="AE1876" s="785" t="s">
        <v>189</v>
      </c>
      <c r="AF1876" s="785" t="s">
        <v>189</v>
      </c>
      <c r="AG1876" s="785" t="s">
        <v>189</v>
      </c>
      <c r="AH1876" s="785" t="s">
        <v>189</v>
      </c>
      <c r="AI1876" s="785" t="s">
        <v>189</v>
      </c>
      <c r="AJ1876" s="785" t="s">
        <v>189</v>
      </c>
      <c r="AK1876" s="785" t="s">
        <v>189</v>
      </c>
      <c r="AL1876" s="785" t="s">
        <v>189</v>
      </c>
      <c r="AM1876" s="785" t="s">
        <v>189</v>
      </c>
      <c r="AN1876" s="785" t="s">
        <v>189</v>
      </c>
      <c r="AO1876" s="785" t="s">
        <v>189</v>
      </c>
      <c r="AP1876" s="785" t="s">
        <v>189</v>
      </c>
      <c r="AQ1876" s="785" t="s">
        <v>189</v>
      </c>
      <c r="AR1876" s="785" t="s">
        <v>189</v>
      </c>
      <c r="AS1876" s="785" t="s">
        <v>189</v>
      </c>
      <c r="AT1876" s="785" t="s">
        <v>189</v>
      </c>
      <c r="AU1876" s="785" t="s">
        <v>189</v>
      </c>
      <c r="AV1876" s="785" t="s">
        <v>189</v>
      </c>
      <c r="AW1876" s="785" t="s">
        <v>189</v>
      </c>
      <c r="AX1876" s="785" t="s">
        <v>189</v>
      </c>
      <c r="AY1876" s="785" t="s">
        <v>189</v>
      </c>
      <c r="AZ1876" s="785" t="s">
        <v>189</v>
      </c>
      <c r="BA1876" s="785" t="s">
        <v>189</v>
      </c>
      <c r="BB1876" s="785" t="s">
        <v>189</v>
      </c>
      <c r="BC1876" s="785" t="s">
        <v>189</v>
      </c>
      <c r="BD1876" s="785" t="s">
        <v>189</v>
      </c>
      <c r="BE1876" s="785" t="s">
        <v>189</v>
      </c>
      <c r="BF1876" s="785" t="s">
        <v>189</v>
      </c>
      <c r="BG1876" s="785" t="s">
        <v>189</v>
      </c>
      <c r="BH1876" s="785" t="s">
        <v>189</v>
      </c>
      <c r="BI1876" s="1067" t="s">
        <v>189</v>
      </c>
      <c r="BJ1876" s="785" t="s">
        <v>189</v>
      </c>
      <c r="BK1876" s="785" t="s">
        <v>189</v>
      </c>
      <c r="BL1876" s="785" t="s">
        <v>189</v>
      </c>
      <c r="BM1876" s="785" t="s">
        <v>189</v>
      </c>
      <c r="BN1876" s="785" t="s">
        <v>189</v>
      </c>
      <c r="BO1876" s="785" t="s">
        <v>189</v>
      </c>
      <c r="BP1876" s="785" t="s">
        <v>189</v>
      </c>
      <c r="BQ1876" s="785" t="s">
        <v>189</v>
      </c>
      <c r="BR1876" s="785" t="s">
        <v>189</v>
      </c>
      <c r="BS1876" s="785" t="s">
        <v>189</v>
      </c>
      <c r="BT1876" s="785" t="s">
        <v>189</v>
      </c>
      <c r="BU1876" s="785" t="s">
        <v>189</v>
      </c>
      <c r="BV1876" s="1068" t="s">
        <v>189</v>
      </c>
      <c r="BW1876" s="1069"/>
    </row>
    <row r="1877" spans="1:75" s="921" customFormat="1" hidden="1" outlineLevel="1" x14ac:dyDescent="0.5">
      <c r="A1877" s="1070" t="s">
        <v>1613</v>
      </c>
      <c r="B1877" s="785"/>
      <c r="C1877" s="1066" t="s">
        <v>189</v>
      </c>
      <c r="D1877" s="1066" t="s">
        <v>189</v>
      </c>
      <c r="E1877" s="785" t="s">
        <v>189</v>
      </c>
      <c r="F1877" s="785" t="s">
        <v>189</v>
      </c>
      <c r="G1877" s="785" t="s">
        <v>189</v>
      </c>
      <c r="H1877" s="785" t="s">
        <v>189</v>
      </c>
      <c r="I1877" s="785" t="s">
        <v>189</v>
      </c>
      <c r="J1877" s="785" t="s">
        <v>189</v>
      </c>
      <c r="K1877" s="785" t="s">
        <v>189</v>
      </c>
      <c r="L1877" s="785" t="s">
        <v>189</v>
      </c>
      <c r="M1877" s="785" t="s">
        <v>189</v>
      </c>
      <c r="N1877" s="785" t="s">
        <v>189</v>
      </c>
      <c r="O1877" s="785" t="s">
        <v>189</v>
      </c>
      <c r="P1877" s="785" t="s">
        <v>189</v>
      </c>
      <c r="Q1877" s="785" t="s">
        <v>189</v>
      </c>
      <c r="R1877" s="785" t="s">
        <v>189</v>
      </c>
      <c r="S1877" s="785" t="s">
        <v>189</v>
      </c>
      <c r="T1877" s="785" t="s">
        <v>189</v>
      </c>
      <c r="U1877" s="785" t="s">
        <v>189</v>
      </c>
      <c r="V1877" s="785" t="s">
        <v>189</v>
      </c>
      <c r="W1877" s="785" t="s">
        <v>189</v>
      </c>
      <c r="X1877" s="785" t="s">
        <v>189</v>
      </c>
      <c r="Y1877" s="785" t="s">
        <v>189</v>
      </c>
      <c r="Z1877" s="785" t="s">
        <v>189</v>
      </c>
      <c r="AA1877" s="785" t="s">
        <v>189</v>
      </c>
      <c r="AB1877" s="785" t="s">
        <v>189</v>
      </c>
      <c r="AC1877" s="785" t="s">
        <v>189</v>
      </c>
      <c r="AD1877" s="785" t="s">
        <v>189</v>
      </c>
      <c r="AE1877" s="785" t="s">
        <v>189</v>
      </c>
      <c r="AF1877" s="785" t="s">
        <v>189</v>
      </c>
      <c r="AG1877" s="785" t="s">
        <v>189</v>
      </c>
      <c r="AH1877" s="785" t="s">
        <v>189</v>
      </c>
      <c r="AI1877" s="785" t="s">
        <v>189</v>
      </c>
      <c r="AJ1877" s="785" t="s">
        <v>189</v>
      </c>
      <c r="AK1877" s="785" t="s">
        <v>189</v>
      </c>
      <c r="AL1877" s="785" t="s">
        <v>189</v>
      </c>
      <c r="AM1877" s="785" t="s">
        <v>189</v>
      </c>
      <c r="AN1877" s="785" t="s">
        <v>189</v>
      </c>
      <c r="AO1877" s="785" t="s">
        <v>189</v>
      </c>
      <c r="AP1877" s="785" t="s">
        <v>189</v>
      </c>
      <c r="AQ1877" s="785" t="s">
        <v>189</v>
      </c>
      <c r="AR1877" s="785" t="s">
        <v>189</v>
      </c>
      <c r="AS1877" s="785" t="s">
        <v>189</v>
      </c>
      <c r="AT1877" s="785" t="s">
        <v>189</v>
      </c>
      <c r="AU1877" s="785" t="s">
        <v>189</v>
      </c>
      <c r="AV1877" s="785" t="s">
        <v>189</v>
      </c>
      <c r="AW1877" s="785" t="s">
        <v>189</v>
      </c>
      <c r="AX1877" s="785" t="s">
        <v>189</v>
      </c>
      <c r="AY1877" s="785" t="s">
        <v>189</v>
      </c>
      <c r="AZ1877" s="785" t="s">
        <v>189</v>
      </c>
      <c r="BA1877" s="785" t="s">
        <v>189</v>
      </c>
      <c r="BB1877" s="785" t="s">
        <v>189</v>
      </c>
      <c r="BC1877" s="785" t="s">
        <v>189</v>
      </c>
      <c r="BD1877" s="785" t="s">
        <v>189</v>
      </c>
      <c r="BE1877" s="785" t="s">
        <v>189</v>
      </c>
      <c r="BF1877" s="785" t="s">
        <v>189</v>
      </c>
      <c r="BG1877" s="785" t="s">
        <v>189</v>
      </c>
      <c r="BH1877" s="785" t="s">
        <v>189</v>
      </c>
      <c r="BI1877" s="1067" t="s">
        <v>189</v>
      </c>
      <c r="BJ1877" s="785" t="s">
        <v>189</v>
      </c>
      <c r="BK1877" s="785" t="s">
        <v>189</v>
      </c>
      <c r="BL1877" s="785" t="s">
        <v>189</v>
      </c>
      <c r="BM1877" s="785" t="s">
        <v>189</v>
      </c>
      <c r="BN1877" s="785" t="s">
        <v>189</v>
      </c>
      <c r="BO1877" s="785" t="s">
        <v>189</v>
      </c>
      <c r="BP1877" s="785" t="s">
        <v>189</v>
      </c>
      <c r="BQ1877" s="785" t="s">
        <v>189</v>
      </c>
      <c r="BR1877" s="785" t="s">
        <v>189</v>
      </c>
      <c r="BS1877" s="785" t="s">
        <v>189</v>
      </c>
      <c r="BT1877" s="785" t="s">
        <v>189</v>
      </c>
      <c r="BU1877" s="785" t="s">
        <v>189</v>
      </c>
      <c r="BV1877" s="1068" t="s">
        <v>189</v>
      </c>
      <c r="BW1877" s="1069"/>
    </row>
    <row r="1878" spans="1:75" s="921" customFormat="1" hidden="1" outlineLevel="1" x14ac:dyDescent="0.5">
      <c r="A1878" s="1070" t="s">
        <v>1614</v>
      </c>
      <c r="B1878" s="785"/>
      <c r="C1878" s="1066" t="s">
        <v>189</v>
      </c>
      <c r="D1878" s="1066" t="s">
        <v>189</v>
      </c>
      <c r="E1878" s="785" t="s">
        <v>189</v>
      </c>
      <c r="F1878" s="785" t="s">
        <v>189</v>
      </c>
      <c r="G1878" s="785" t="s">
        <v>189</v>
      </c>
      <c r="H1878" s="785" t="s">
        <v>189</v>
      </c>
      <c r="I1878" s="785" t="s">
        <v>189</v>
      </c>
      <c r="J1878" s="785" t="s">
        <v>189</v>
      </c>
      <c r="K1878" s="785" t="s">
        <v>189</v>
      </c>
      <c r="L1878" s="785" t="s">
        <v>189</v>
      </c>
      <c r="M1878" s="785" t="s">
        <v>189</v>
      </c>
      <c r="N1878" s="785" t="s">
        <v>189</v>
      </c>
      <c r="O1878" s="785" t="s">
        <v>189</v>
      </c>
      <c r="P1878" s="785" t="s">
        <v>189</v>
      </c>
      <c r="Q1878" s="785" t="s">
        <v>189</v>
      </c>
      <c r="R1878" s="785" t="s">
        <v>189</v>
      </c>
      <c r="S1878" s="785" t="s">
        <v>189</v>
      </c>
      <c r="T1878" s="785" t="s">
        <v>189</v>
      </c>
      <c r="U1878" s="785" t="s">
        <v>189</v>
      </c>
      <c r="V1878" s="785" t="s">
        <v>189</v>
      </c>
      <c r="W1878" s="785" t="s">
        <v>189</v>
      </c>
      <c r="X1878" s="785" t="s">
        <v>189</v>
      </c>
      <c r="Y1878" s="785" t="s">
        <v>189</v>
      </c>
      <c r="Z1878" s="785" t="s">
        <v>189</v>
      </c>
      <c r="AA1878" s="785" t="s">
        <v>189</v>
      </c>
      <c r="AB1878" s="785" t="s">
        <v>189</v>
      </c>
      <c r="AC1878" s="785" t="s">
        <v>189</v>
      </c>
      <c r="AD1878" s="785" t="s">
        <v>189</v>
      </c>
      <c r="AE1878" s="785" t="s">
        <v>189</v>
      </c>
      <c r="AF1878" s="785" t="s">
        <v>189</v>
      </c>
      <c r="AG1878" s="785" t="s">
        <v>189</v>
      </c>
      <c r="AH1878" s="785" t="s">
        <v>189</v>
      </c>
      <c r="AI1878" s="785" t="s">
        <v>189</v>
      </c>
      <c r="AJ1878" s="785" t="s">
        <v>189</v>
      </c>
      <c r="AK1878" s="785" t="s">
        <v>189</v>
      </c>
      <c r="AL1878" s="785" t="s">
        <v>189</v>
      </c>
      <c r="AM1878" s="785" t="s">
        <v>189</v>
      </c>
      <c r="AN1878" s="785" t="s">
        <v>189</v>
      </c>
      <c r="AO1878" s="785" t="s">
        <v>189</v>
      </c>
      <c r="AP1878" s="785" t="s">
        <v>189</v>
      </c>
      <c r="AQ1878" s="785" t="s">
        <v>189</v>
      </c>
      <c r="AR1878" s="785" t="s">
        <v>189</v>
      </c>
      <c r="AS1878" s="785" t="s">
        <v>189</v>
      </c>
      <c r="AT1878" s="785" t="s">
        <v>189</v>
      </c>
      <c r="AU1878" s="785" t="s">
        <v>189</v>
      </c>
      <c r="AV1878" s="785" t="s">
        <v>189</v>
      </c>
      <c r="AW1878" s="785" t="s">
        <v>189</v>
      </c>
      <c r="AX1878" s="785" t="s">
        <v>189</v>
      </c>
      <c r="AY1878" s="785" t="s">
        <v>189</v>
      </c>
      <c r="AZ1878" s="785" t="s">
        <v>189</v>
      </c>
      <c r="BA1878" s="785" t="s">
        <v>189</v>
      </c>
      <c r="BB1878" s="785" t="s">
        <v>189</v>
      </c>
      <c r="BC1878" s="785" t="s">
        <v>189</v>
      </c>
      <c r="BD1878" s="785" t="s">
        <v>189</v>
      </c>
      <c r="BE1878" s="785" t="s">
        <v>189</v>
      </c>
      <c r="BF1878" s="785" t="s">
        <v>189</v>
      </c>
      <c r="BG1878" s="785" t="s">
        <v>189</v>
      </c>
      <c r="BH1878" s="785" t="s">
        <v>189</v>
      </c>
      <c r="BI1878" s="1067" t="s">
        <v>189</v>
      </c>
      <c r="BJ1878" s="785" t="s">
        <v>189</v>
      </c>
      <c r="BK1878" s="785" t="s">
        <v>189</v>
      </c>
      <c r="BL1878" s="785" t="s">
        <v>189</v>
      </c>
      <c r="BM1878" s="785" t="s">
        <v>189</v>
      </c>
      <c r="BN1878" s="785" t="s">
        <v>189</v>
      </c>
      <c r="BO1878" s="785" t="s">
        <v>189</v>
      </c>
      <c r="BP1878" s="785" t="s">
        <v>189</v>
      </c>
      <c r="BQ1878" s="785" t="s">
        <v>189</v>
      </c>
      <c r="BR1878" s="785" t="s">
        <v>189</v>
      </c>
      <c r="BS1878" s="785" t="s">
        <v>189</v>
      </c>
      <c r="BT1878" s="785" t="s">
        <v>189</v>
      </c>
      <c r="BU1878" s="785" t="s">
        <v>189</v>
      </c>
      <c r="BV1878" s="1068" t="s">
        <v>189</v>
      </c>
      <c r="BW1878" s="1069"/>
    </row>
    <row r="1879" spans="1:75" s="123" customFormat="1" hidden="1" outlineLevel="1" x14ac:dyDescent="0.5">
      <c r="A1879" s="1073"/>
      <c r="B1879" s="118"/>
      <c r="C1879" s="973"/>
      <c r="D1879" s="973"/>
      <c r="E1879" s="119"/>
      <c r="F1879" s="119"/>
      <c r="G1879" s="119"/>
      <c r="H1879" s="119"/>
      <c r="I1879" s="119"/>
      <c r="J1879" s="119"/>
      <c r="K1879" s="119"/>
      <c r="L1879" s="119"/>
      <c r="M1879" s="119"/>
      <c r="N1879" s="119"/>
      <c r="O1879" s="119"/>
      <c r="P1879" s="119"/>
      <c r="Q1879" s="119"/>
      <c r="R1879" s="119"/>
      <c r="S1879" s="119"/>
      <c r="T1879" s="119"/>
      <c r="U1879" s="119"/>
      <c r="V1879" s="119"/>
      <c r="W1879" s="119"/>
      <c r="X1879" s="119"/>
      <c r="Y1879" s="119"/>
      <c r="Z1879" s="119"/>
      <c r="AA1879" s="119"/>
      <c r="AB1879" s="119"/>
      <c r="AC1879" s="119"/>
      <c r="AD1879" s="119"/>
      <c r="AE1879" s="119"/>
      <c r="AF1879" s="119"/>
      <c r="AG1879" s="119"/>
      <c r="AH1879" s="119"/>
      <c r="AI1879" s="119"/>
      <c r="AJ1879" s="119"/>
      <c r="AK1879" s="119"/>
      <c r="AL1879" s="119"/>
      <c r="AM1879" s="119"/>
      <c r="AN1879" s="119"/>
      <c r="AO1879" s="119"/>
      <c r="AP1879" s="119"/>
      <c r="AQ1879" s="119"/>
      <c r="AR1879" s="119"/>
      <c r="AS1879" s="119"/>
      <c r="AT1879" s="119"/>
      <c r="AU1879" s="119"/>
      <c r="AV1879" s="119"/>
      <c r="AW1879" s="119"/>
      <c r="AX1879" s="119"/>
      <c r="AY1879" s="119"/>
      <c r="AZ1879" s="119"/>
      <c r="BA1879" s="119"/>
      <c r="BB1879" s="119"/>
      <c r="BC1879" s="119"/>
      <c r="BD1879" s="119"/>
      <c r="BE1879" s="119"/>
      <c r="BF1879" s="119"/>
      <c r="BG1879" s="119"/>
      <c r="BH1879" s="119"/>
      <c r="BI1879" s="971"/>
      <c r="BJ1879" s="118"/>
      <c r="BK1879" s="118"/>
      <c r="BL1879" s="118"/>
      <c r="BM1879" s="118"/>
      <c r="BN1879" s="118"/>
      <c r="BO1879" s="118"/>
      <c r="BP1879" s="118"/>
      <c r="BQ1879" s="118"/>
      <c r="BR1879" s="118"/>
      <c r="BS1879" s="119"/>
      <c r="BT1879" s="119"/>
      <c r="BU1879" s="119"/>
      <c r="BV1879" s="1074"/>
      <c r="BW1879" s="1036"/>
    </row>
    <row r="1880" spans="1:75" s="921" customFormat="1" collapsed="1" x14ac:dyDescent="0.5">
      <c r="A1880" s="1065" t="s">
        <v>1616</v>
      </c>
      <c r="B1880" s="785"/>
      <c r="C1880" s="1066">
        <v>0</v>
      </c>
      <c r="D1880" s="1066">
        <v>0</v>
      </c>
      <c r="E1880" s="785">
        <v>0</v>
      </c>
      <c r="F1880" s="785">
        <v>34.545000000000002</v>
      </c>
      <c r="G1880" s="785">
        <v>36.164999999999999</v>
      </c>
      <c r="H1880" s="785">
        <v>58.365000000000002</v>
      </c>
      <c r="I1880" s="785">
        <v>68.66</v>
      </c>
      <c r="J1880" s="785">
        <v>65.605000000000004</v>
      </c>
      <c r="K1880" s="785">
        <v>57.198749999999997</v>
      </c>
      <c r="L1880" s="785">
        <v>65.004999999999995</v>
      </c>
      <c r="M1880" s="785">
        <v>77.174999999999997</v>
      </c>
      <c r="N1880" s="785">
        <v>80.545000000000002</v>
      </c>
      <c r="O1880" s="785">
        <v>88.334999999999994</v>
      </c>
      <c r="P1880" s="785">
        <v>77.765000000000001</v>
      </c>
      <c r="Q1880" s="785">
        <v>92.02</v>
      </c>
      <c r="R1880" s="785">
        <v>96.28</v>
      </c>
      <c r="S1880" s="785">
        <v>97.375</v>
      </c>
      <c r="T1880" s="785">
        <v>82.93</v>
      </c>
      <c r="U1880" s="785">
        <v>92.151250000000005</v>
      </c>
      <c r="V1880" s="785">
        <v>48.07</v>
      </c>
      <c r="W1880" s="785">
        <v>34.08</v>
      </c>
      <c r="X1880" s="785">
        <v>32.255000000000003</v>
      </c>
      <c r="Y1880" s="785">
        <v>32.54</v>
      </c>
      <c r="Z1880" s="785">
        <v>36.736249999999998</v>
      </c>
      <c r="AA1880" s="785">
        <v>36.914999999999999</v>
      </c>
      <c r="AB1880" s="785">
        <v>59.97</v>
      </c>
      <c r="AC1880" s="785">
        <v>66.02</v>
      </c>
      <c r="AD1880" s="785">
        <v>93.944999999999993</v>
      </c>
      <c r="AE1880" s="785">
        <v>64.212500000000006</v>
      </c>
      <c r="AF1880" s="785">
        <v>86.309365079365094</v>
      </c>
      <c r="AG1880" s="785">
        <v>126.400634920635</v>
      </c>
      <c r="AH1880" s="785">
        <v>132.65656250000001</v>
      </c>
      <c r="AI1880" s="785">
        <v>124.693833333333</v>
      </c>
      <c r="AJ1880" s="785">
        <v>117.48952</v>
      </c>
      <c r="AK1880" s="785">
        <v>128.202857142857</v>
      </c>
      <c r="AL1880" s="785">
        <v>109.90111111111101</v>
      </c>
      <c r="AM1880" s="785">
        <v>162.37375</v>
      </c>
      <c r="AN1880" s="785">
        <v>208.890655737705</v>
      </c>
      <c r="AO1880" s="785">
        <v>151.931474103586</v>
      </c>
      <c r="AP1880" s="785">
        <v>153.79761904761901</v>
      </c>
      <c r="AQ1880" s="785">
        <v>234.16380952380999</v>
      </c>
      <c r="AR1880" s="785">
        <v>349.10546875</v>
      </c>
      <c r="AS1880" s="785">
        <v>449.74885245901697</v>
      </c>
      <c r="AT1880" s="785">
        <v>295.69322709163299</v>
      </c>
      <c r="AU1880" s="785">
        <v>543.70301587301606</v>
      </c>
      <c r="AV1880" s="785">
        <v>663.30222222222199</v>
      </c>
      <c r="AW1880" s="785">
        <v>679.66499999999996</v>
      </c>
      <c r="AX1880" s="785">
        <v>550.27548387096795</v>
      </c>
      <c r="AY1880" s="785">
        <v>609.74988095238098</v>
      </c>
      <c r="AZ1880" s="785">
        <v>365.85920634920598</v>
      </c>
      <c r="BA1880" s="785">
        <v>271.72967741935503</v>
      </c>
      <c r="BB1880" s="785">
        <v>266.301875</v>
      </c>
      <c r="BC1880" s="785">
        <v>276.42590163934398</v>
      </c>
      <c r="BD1880" s="785">
        <v>295.20668000000001</v>
      </c>
      <c r="BE1880" s="785">
        <v>273.14603174603201</v>
      </c>
      <c r="BF1880" s="785">
        <v>298.92870967741902</v>
      </c>
      <c r="BG1880" s="785">
        <v>308.61421875000002</v>
      </c>
      <c r="BH1880" s="785">
        <v>267.093114754098</v>
      </c>
      <c r="BI1880" s="1067">
        <v>287.14308</v>
      </c>
      <c r="BJ1880" s="785">
        <v>0</v>
      </c>
      <c r="BK1880" s="785">
        <v>0</v>
      </c>
      <c r="BL1880" s="785">
        <v>0</v>
      </c>
      <c r="BM1880" s="785">
        <v>0</v>
      </c>
      <c r="BN1880" s="785">
        <v>0</v>
      </c>
      <c r="BO1880" s="785">
        <v>0</v>
      </c>
      <c r="BP1880" s="785">
        <v>0</v>
      </c>
      <c r="BQ1880" s="785">
        <v>0</v>
      </c>
      <c r="BR1880" s="785">
        <v>0</v>
      </c>
      <c r="BS1880" s="785">
        <v>0</v>
      </c>
      <c r="BT1880" s="785">
        <v>0</v>
      </c>
      <c r="BU1880" s="785">
        <v>0</v>
      </c>
      <c r="BV1880" s="1068">
        <v>0</v>
      </c>
      <c r="BW1880" s="1069"/>
    </row>
    <row r="1881" spans="1:75" s="921" customFormat="1" hidden="1" outlineLevel="1" x14ac:dyDescent="0.5">
      <c r="A1881" s="1070" t="s">
        <v>1611</v>
      </c>
      <c r="B1881" s="785"/>
      <c r="C1881" s="1066"/>
      <c r="D1881" s="1066"/>
      <c r="E1881" s="785"/>
      <c r="F1881" s="1071">
        <v>34.545000000000002</v>
      </c>
      <c r="G1881" s="1071">
        <v>36.164999999999999</v>
      </c>
      <c r="H1881" s="1071">
        <v>58.365000000000002</v>
      </c>
      <c r="I1881" s="1071">
        <v>68.66</v>
      </c>
      <c r="J1881" s="1071">
        <v>65.605000000000004</v>
      </c>
      <c r="K1881" s="1071">
        <v>57.198749999999997</v>
      </c>
      <c r="L1881" s="1071">
        <v>65.004999999999995</v>
      </c>
      <c r="M1881" s="1071">
        <v>77.174999999999997</v>
      </c>
      <c r="N1881" s="1071">
        <v>80.545000000000002</v>
      </c>
      <c r="O1881" s="1071">
        <v>88.334999999999994</v>
      </c>
      <c r="P1881" s="1071">
        <v>77.765000000000001</v>
      </c>
      <c r="Q1881" s="1071">
        <v>92.02</v>
      </c>
      <c r="R1881" s="1071">
        <v>96.28</v>
      </c>
      <c r="S1881" s="1071">
        <v>97.375</v>
      </c>
      <c r="T1881" s="1071">
        <v>82.93</v>
      </c>
      <c r="U1881" s="1071">
        <v>92.151250000000005</v>
      </c>
      <c r="V1881" s="1071">
        <v>48.07</v>
      </c>
      <c r="W1881" s="1071">
        <v>34.08</v>
      </c>
      <c r="X1881" s="1071">
        <v>32.255000000000003</v>
      </c>
      <c r="Y1881" s="1071">
        <v>32.54</v>
      </c>
      <c r="Z1881" s="1071">
        <v>36.736249999999998</v>
      </c>
      <c r="AA1881" s="1071">
        <v>36.914999999999999</v>
      </c>
      <c r="AB1881" s="1071">
        <v>59.97</v>
      </c>
      <c r="AC1881" s="1071">
        <v>66.02</v>
      </c>
      <c r="AD1881" s="1071">
        <v>93.944999999999993</v>
      </c>
      <c r="AE1881" s="1071">
        <v>64.212500000000006</v>
      </c>
      <c r="AF1881" s="1071">
        <v>86.309365079365094</v>
      </c>
      <c r="AG1881" s="1071">
        <v>126.400634920635</v>
      </c>
      <c r="AH1881" s="1071">
        <v>132.65656250000001</v>
      </c>
      <c r="AI1881" s="1071">
        <v>124.693833333333</v>
      </c>
      <c r="AJ1881" s="1071">
        <v>117.48952</v>
      </c>
      <c r="AK1881" s="1071">
        <v>128.202857142857</v>
      </c>
      <c r="AL1881" s="1071">
        <v>109.90111111111101</v>
      </c>
      <c r="AM1881" s="1071">
        <v>162.37375</v>
      </c>
      <c r="AN1881" s="1071">
        <v>208.890655737705</v>
      </c>
      <c r="AO1881" s="1071">
        <v>151.931474103586</v>
      </c>
      <c r="AP1881" s="1071">
        <v>153.79761904761901</v>
      </c>
      <c r="AQ1881" s="1071">
        <v>234.16380952380999</v>
      </c>
      <c r="AR1881" s="1071">
        <v>349.10546875</v>
      </c>
      <c r="AS1881" s="1071">
        <v>449.74885245901697</v>
      </c>
      <c r="AT1881" s="1071">
        <v>295.69322709163299</v>
      </c>
      <c r="AU1881" s="1071">
        <v>543.70301587301606</v>
      </c>
      <c r="AV1881" s="1071">
        <v>663.30222222222199</v>
      </c>
      <c r="AW1881" s="1071">
        <v>679.66499999999996</v>
      </c>
      <c r="AX1881" s="1071">
        <v>550.27548387096795</v>
      </c>
      <c r="AY1881" s="1071">
        <v>609.74988095238098</v>
      </c>
      <c r="AZ1881" s="1071">
        <v>365.85920634920598</v>
      </c>
      <c r="BA1881" s="1071">
        <v>271.72967741935503</v>
      </c>
      <c r="BB1881" s="1071">
        <v>266.301875</v>
      </c>
      <c r="BC1881" s="1071">
        <v>276.42590163934398</v>
      </c>
      <c r="BD1881" s="1071">
        <v>295.20668000000001</v>
      </c>
      <c r="BE1881" s="1071">
        <v>273.14603174603201</v>
      </c>
      <c r="BF1881" s="1071">
        <v>298.92870967741902</v>
      </c>
      <c r="BG1881" s="1071">
        <v>308.61421875000002</v>
      </c>
      <c r="BH1881" s="1071">
        <v>267.093114754098</v>
      </c>
      <c r="BI1881" s="1072">
        <v>287.14308</v>
      </c>
      <c r="BJ1881" s="785"/>
      <c r="BK1881" s="785"/>
      <c r="BL1881" s="785"/>
      <c r="BM1881" s="785"/>
      <c r="BN1881" s="785"/>
      <c r="BO1881" s="785"/>
      <c r="BP1881" s="785"/>
      <c r="BQ1881" s="785"/>
      <c r="BR1881" s="785"/>
      <c r="BS1881" s="785"/>
      <c r="BT1881" s="785"/>
      <c r="BU1881" s="785"/>
      <c r="BV1881" s="1068"/>
      <c r="BW1881" s="1069"/>
    </row>
    <row r="1882" spans="1:75" s="921" customFormat="1" hidden="1" outlineLevel="1" x14ac:dyDescent="0.5">
      <c r="A1882" s="1070" t="s">
        <v>103</v>
      </c>
      <c r="B1882" s="785"/>
      <c r="C1882" s="1066" t="s">
        <v>189</v>
      </c>
      <c r="D1882" s="1066" t="s">
        <v>189</v>
      </c>
      <c r="E1882" s="785" t="s">
        <v>189</v>
      </c>
      <c r="F1882" s="785" t="s">
        <v>189</v>
      </c>
      <c r="G1882" s="785" t="s">
        <v>189</v>
      </c>
      <c r="H1882" s="785" t="s">
        <v>189</v>
      </c>
      <c r="I1882" s="785" t="s">
        <v>189</v>
      </c>
      <c r="J1882" s="785" t="s">
        <v>189</v>
      </c>
      <c r="K1882" s="785" t="s">
        <v>189</v>
      </c>
      <c r="L1882" s="785" t="s">
        <v>189</v>
      </c>
      <c r="M1882" s="785" t="s">
        <v>189</v>
      </c>
      <c r="N1882" s="785" t="s">
        <v>189</v>
      </c>
      <c r="O1882" s="785" t="s">
        <v>189</v>
      </c>
      <c r="P1882" s="785" t="s">
        <v>189</v>
      </c>
      <c r="Q1882" s="785" t="s">
        <v>189</v>
      </c>
      <c r="R1882" s="785" t="s">
        <v>189</v>
      </c>
      <c r="S1882" s="785" t="s">
        <v>189</v>
      </c>
      <c r="T1882" s="785" t="s">
        <v>189</v>
      </c>
      <c r="U1882" s="785" t="s">
        <v>189</v>
      </c>
      <c r="V1882" s="785" t="s">
        <v>189</v>
      </c>
      <c r="W1882" s="785" t="s">
        <v>189</v>
      </c>
      <c r="X1882" s="785" t="s">
        <v>189</v>
      </c>
      <c r="Y1882" s="785" t="s">
        <v>189</v>
      </c>
      <c r="Z1882" s="785" t="s">
        <v>189</v>
      </c>
      <c r="AA1882" s="785" t="s">
        <v>189</v>
      </c>
      <c r="AB1882" s="785" t="s">
        <v>189</v>
      </c>
      <c r="AC1882" s="785" t="s">
        <v>189</v>
      </c>
      <c r="AD1882" s="785" t="s">
        <v>189</v>
      </c>
      <c r="AE1882" s="785" t="s">
        <v>189</v>
      </c>
      <c r="AF1882" s="785" t="s">
        <v>189</v>
      </c>
      <c r="AG1882" s="785" t="s">
        <v>189</v>
      </c>
      <c r="AH1882" s="785" t="s">
        <v>189</v>
      </c>
      <c r="AI1882" s="785" t="s">
        <v>189</v>
      </c>
      <c r="AJ1882" s="785" t="s">
        <v>189</v>
      </c>
      <c r="AK1882" s="785" t="s">
        <v>189</v>
      </c>
      <c r="AL1882" s="785" t="s">
        <v>189</v>
      </c>
      <c r="AM1882" s="785" t="s">
        <v>189</v>
      </c>
      <c r="AN1882" s="785" t="s">
        <v>189</v>
      </c>
      <c r="AO1882" s="785" t="s">
        <v>189</v>
      </c>
      <c r="AP1882" s="785" t="s">
        <v>189</v>
      </c>
      <c r="AQ1882" s="785" t="s">
        <v>189</v>
      </c>
      <c r="AR1882" s="785" t="s">
        <v>189</v>
      </c>
      <c r="AS1882" s="785" t="s">
        <v>189</v>
      </c>
      <c r="AT1882" s="785" t="s">
        <v>189</v>
      </c>
      <c r="AU1882" s="785" t="s">
        <v>189</v>
      </c>
      <c r="AV1882" s="785" t="s">
        <v>189</v>
      </c>
      <c r="AW1882" s="785" t="s">
        <v>189</v>
      </c>
      <c r="AX1882" s="785" t="s">
        <v>189</v>
      </c>
      <c r="AY1882" s="785" t="s">
        <v>189</v>
      </c>
      <c r="AZ1882" s="785" t="s">
        <v>189</v>
      </c>
      <c r="BA1882" s="785" t="s">
        <v>189</v>
      </c>
      <c r="BB1882" s="785" t="s">
        <v>189</v>
      </c>
      <c r="BC1882" s="785" t="s">
        <v>189</v>
      </c>
      <c r="BD1882" s="785" t="s">
        <v>189</v>
      </c>
      <c r="BE1882" s="785" t="s">
        <v>189</v>
      </c>
      <c r="BF1882" s="785" t="s">
        <v>189</v>
      </c>
      <c r="BG1882" s="785" t="s">
        <v>189</v>
      </c>
      <c r="BH1882" s="785" t="s">
        <v>189</v>
      </c>
      <c r="BI1882" s="1067" t="s">
        <v>189</v>
      </c>
      <c r="BJ1882" s="785" t="s">
        <v>189</v>
      </c>
      <c r="BK1882" s="785" t="s">
        <v>189</v>
      </c>
      <c r="BL1882" s="785" t="s">
        <v>189</v>
      </c>
      <c r="BM1882" s="785" t="s">
        <v>189</v>
      </c>
      <c r="BN1882" s="785" t="s">
        <v>189</v>
      </c>
      <c r="BO1882" s="785" t="s">
        <v>189</v>
      </c>
      <c r="BP1882" s="785" t="s">
        <v>189</v>
      </c>
      <c r="BQ1882" s="785" t="s">
        <v>189</v>
      </c>
      <c r="BR1882" s="785" t="s">
        <v>189</v>
      </c>
      <c r="BS1882" s="785" t="s">
        <v>189</v>
      </c>
      <c r="BT1882" s="785" t="s">
        <v>189</v>
      </c>
      <c r="BU1882" s="785" t="s">
        <v>189</v>
      </c>
      <c r="BV1882" s="1068" t="s">
        <v>189</v>
      </c>
      <c r="BW1882" s="1069"/>
    </row>
    <row r="1883" spans="1:75" s="921" customFormat="1" hidden="1" outlineLevel="1" x14ac:dyDescent="0.5">
      <c r="A1883" s="1070" t="s">
        <v>1612</v>
      </c>
      <c r="B1883" s="785"/>
      <c r="C1883" s="1066" t="s">
        <v>189</v>
      </c>
      <c r="D1883" s="1066" t="s">
        <v>189</v>
      </c>
      <c r="E1883" s="785" t="s">
        <v>189</v>
      </c>
      <c r="F1883" s="785" t="s">
        <v>189</v>
      </c>
      <c r="G1883" s="785" t="s">
        <v>189</v>
      </c>
      <c r="H1883" s="785" t="s">
        <v>189</v>
      </c>
      <c r="I1883" s="785" t="s">
        <v>189</v>
      </c>
      <c r="J1883" s="785" t="s">
        <v>189</v>
      </c>
      <c r="K1883" s="785" t="s">
        <v>189</v>
      </c>
      <c r="L1883" s="785" t="s">
        <v>189</v>
      </c>
      <c r="M1883" s="785" t="s">
        <v>189</v>
      </c>
      <c r="N1883" s="785" t="s">
        <v>189</v>
      </c>
      <c r="O1883" s="785" t="s">
        <v>189</v>
      </c>
      <c r="P1883" s="785" t="s">
        <v>189</v>
      </c>
      <c r="Q1883" s="785" t="s">
        <v>189</v>
      </c>
      <c r="R1883" s="785" t="s">
        <v>189</v>
      </c>
      <c r="S1883" s="785" t="s">
        <v>189</v>
      </c>
      <c r="T1883" s="785" t="s">
        <v>189</v>
      </c>
      <c r="U1883" s="785" t="s">
        <v>189</v>
      </c>
      <c r="V1883" s="785" t="s">
        <v>189</v>
      </c>
      <c r="W1883" s="785" t="s">
        <v>189</v>
      </c>
      <c r="X1883" s="785" t="s">
        <v>189</v>
      </c>
      <c r="Y1883" s="785" t="s">
        <v>189</v>
      </c>
      <c r="Z1883" s="785" t="s">
        <v>189</v>
      </c>
      <c r="AA1883" s="785" t="s">
        <v>189</v>
      </c>
      <c r="AB1883" s="785" t="s">
        <v>189</v>
      </c>
      <c r="AC1883" s="785" t="s">
        <v>189</v>
      </c>
      <c r="AD1883" s="785" t="s">
        <v>189</v>
      </c>
      <c r="AE1883" s="785" t="s">
        <v>189</v>
      </c>
      <c r="AF1883" s="785" t="s">
        <v>189</v>
      </c>
      <c r="AG1883" s="785" t="s">
        <v>189</v>
      </c>
      <c r="AH1883" s="785" t="s">
        <v>189</v>
      </c>
      <c r="AI1883" s="785" t="s">
        <v>189</v>
      </c>
      <c r="AJ1883" s="785" t="s">
        <v>189</v>
      </c>
      <c r="AK1883" s="785" t="s">
        <v>189</v>
      </c>
      <c r="AL1883" s="785" t="s">
        <v>189</v>
      </c>
      <c r="AM1883" s="785" t="s">
        <v>189</v>
      </c>
      <c r="AN1883" s="785" t="s">
        <v>189</v>
      </c>
      <c r="AO1883" s="785" t="s">
        <v>189</v>
      </c>
      <c r="AP1883" s="785" t="s">
        <v>189</v>
      </c>
      <c r="AQ1883" s="785" t="s">
        <v>189</v>
      </c>
      <c r="AR1883" s="785" t="s">
        <v>189</v>
      </c>
      <c r="AS1883" s="785" t="s">
        <v>189</v>
      </c>
      <c r="AT1883" s="785" t="s">
        <v>189</v>
      </c>
      <c r="AU1883" s="785" t="s">
        <v>189</v>
      </c>
      <c r="AV1883" s="785" t="s">
        <v>189</v>
      </c>
      <c r="AW1883" s="785" t="s">
        <v>189</v>
      </c>
      <c r="AX1883" s="785" t="s">
        <v>189</v>
      </c>
      <c r="AY1883" s="785" t="s">
        <v>189</v>
      </c>
      <c r="AZ1883" s="785" t="s">
        <v>189</v>
      </c>
      <c r="BA1883" s="785" t="s">
        <v>189</v>
      </c>
      <c r="BB1883" s="785" t="s">
        <v>189</v>
      </c>
      <c r="BC1883" s="785" t="s">
        <v>189</v>
      </c>
      <c r="BD1883" s="785" t="s">
        <v>189</v>
      </c>
      <c r="BE1883" s="785" t="s">
        <v>189</v>
      </c>
      <c r="BF1883" s="785" t="s">
        <v>189</v>
      </c>
      <c r="BG1883" s="785" t="s">
        <v>189</v>
      </c>
      <c r="BH1883" s="785" t="s">
        <v>189</v>
      </c>
      <c r="BI1883" s="1067" t="s">
        <v>189</v>
      </c>
      <c r="BJ1883" s="785" t="s">
        <v>189</v>
      </c>
      <c r="BK1883" s="785" t="s">
        <v>189</v>
      </c>
      <c r="BL1883" s="785" t="s">
        <v>189</v>
      </c>
      <c r="BM1883" s="785" t="s">
        <v>189</v>
      </c>
      <c r="BN1883" s="785" t="s">
        <v>189</v>
      </c>
      <c r="BO1883" s="785" t="s">
        <v>189</v>
      </c>
      <c r="BP1883" s="785" t="s">
        <v>189</v>
      </c>
      <c r="BQ1883" s="785" t="s">
        <v>189</v>
      </c>
      <c r="BR1883" s="785" t="s">
        <v>189</v>
      </c>
      <c r="BS1883" s="785" t="s">
        <v>189</v>
      </c>
      <c r="BT1883" s="785" t="s">
        <v>189</v>
      </c>
      <c r="BU1883" s="785" t="s">
        <v>189</v>
      </c>
      <c r="BV1883" s="1068" t="s">
        <v>189</v>
      </c>
      <c r="BW1883" s="1069"/>
    </row>
    <row r="1884" spans="1:75" s="921" customFormat="1" hidden="1" outlineLevel="1" x14ac:dyDescent="0.5">
      <c r="A1884" s="1070" t="s">
        <v>1613</v>
      </c>
      <c r="B1884" s="785"/>
      <c r="C1884" s="1066" t="s">
        <v>189</v>
      </c>
      <c r="D1884" s="1066" t="s">
        <v>189</v>
      </c>
      <c r="E1884" s="785" t="s">
        <v>189</v>
      </c>
      <c r="F1884" s="785" t="s">
        <v>189</v>
      </c>
      <c r="G1884" s="785" t="s">
        <v>189</v>
      </c>
      <c r="H1884" s="785" t="s">
        <v>189</v>
      </c>
      <c r="I1884" s="785" t="s">
        <v>189</v>
      </c>
      <c r="J1884" s="785" t="s">
        <v>189</v>
      </c>
      <c r="K1884" s="785" t="s">
        <v>189</v>
      </c>
      <c r="L1884" s="785" t="s">
        <v>189</v>
      </c>
      <c r="M1884" s="785" t="s">
        <v>189</v>
      </c>
      <c r="N1884" s="785" t="s">
        <v>189</v>
      </c>
      <c r="O1884" s="785" t="s">
        <v>189</v>
      </c>
      <c r="P1884" s="785" t="s">
        <v>189</v>
      </c>
      <c r="Q1884" s="785" t="s">
        <v>189</v>
      </c>
      <c r="R1884" s="785" t="s">
        <v>189</v>
      </c>
      <c r="S1884" s="785" t="s">
        <v>189</v>
      </c>
      <c r="T1884" s="785" t="s">
        <v>189</v>
      </c>
      <c r="U1884" s="785" t="s">
        <v>189</v>
      </c>
      <c r="V1884" s="785" t="s">
        <v>189</v>
      </c>
      <c r="W1884" s="785" t="s">
        <v>189</v>
      </c>
      <c r="X1884" s="785" t="s">
        <v>189</v>
      </c>
      <c r="Y1884" s="785" t="s">
        <v>189</v>
      </c>
      <c r="Z1884" s="785" t="s">
        <v>189</v>
      </c>
      <c r="AA1884" s="785" t="s">
        <v>189</v>
      </c>
      <c r="AB1884" s="785" t="s">
        <v>189</v>
      </c>
      <c r="AC1884" s="785" t="s">
        <v>189</v>
      </c>
      <c r="AD1884" s="785" t="s">
        <v>189</v>
      </c>
      <c r="AE1884" s="785" t="s">
        <v>189</v>
      </c>
      <c r="AF1884" s="785" t="s">
        <v>189</v>
      </c>
      <c r="AG1884" s="785" t="s">
        <v>189</v>
      </c>
      <c r="AH1884" s="785" t="s">
        <v>189</v>
      </c>
      <c r="AI1884" s="785" t="s">
        <v>189</v>
      </c>
      <c r="AJ1884" s="785" t="s">
        <v>189</v>
      </c>
      <c r="AK1884" s="785" t="s">
        <v>189</v>
      </c>
      <c r="AL1884" s="785" t="s">
        <v>189</v>
      </c>
      <c r="AM1884" s="785" t="s">
        <v>189</v>
      </c>
      <c r="AN1884" s="785" t="s">
        <v>189</v>
      </c>
      <c r="AO1884" s="785" t="s">
        <v>189</v>
      </c>
      <c r="AP1884" s="785" t="s">
        <v>189</v>
      </c>
      <c r="AQ1884" s="785" t="s">
        <v>189</v>
      </c>
      <c r="AR1884" s="785" t="s">
        <v>189</v>
      </c>
      <c r="AS1884" s="785" t="s">
        <v>189</v>
      </c>
      <c r="AT1884" s="785" t="s">
        <v>189</v>
      </c>
      <c r="AU1884" s="785" t="s">
        <v>189</v>
      </c>
      <c r="AV1884" s="785" t="s">
        <v>189</v>
      </c>
      <c r="AW1884" s="785" t="s">
        <v>189</v>
      </c>
      <c r="AX1884" s="785" t="s">
        <v>189</v>
      </c>
      <c r="AY1884" s="785" t="s">
        <v>189</v>
      </c>
      <c r="AZ1884" s="785" t="s">
        <v>189</v>
      </c>
      <c r="BA1884" s="785" t="s">
        <v>189</v>
      </c>
      <c r="BB1884" s="785" t="s">
        <v>189</v>
      </c>
      <c r="BC1884" s="785" t="s">
        <v>189</v>
      </c>
      <c r="BD1884" s="785" t="s">
        <v>189</v>
      </c>
      <c r="BE1884" s="785" t="s">
        <v>189</v>
      </c>
      <c r="BF1884" s="785" t="s">
        <v>189</v>
      </c>
      <c r="BG1884" s="785" t="s">
        <v>189</v>
      </c>
      <c r="BH1884" s="785" t="s">
        <v>189</v>
      </c>
      <c r="BI1884" s="1067" t="s">
        <v>189</v>
      </c>
      <c r="BJ1884" s="785" t="s">
        <v>189</v>
      </c>
      <c r="BK1884" s="785" t="s">
        <v>189</v>
      </c>
      <c r="BL1884" s="785" t="s">
        <v>189</v>
      </c>
      <c r="BM1884" s="785" t="s">
        <v>189</v>
      </c>
      <c r="BN1884" s="785" t="s">
        <v>189</v>
      </c>
      <c r="BO1884" s="785" t="s">
        <v>189</v>
      </c>
      <c r="BP1884" s="785" t="s">
        <v>189</v>
      </c>
      <c r="BQ1884" s="785" t="s">
        <v>189</v>
      </c>
      <c r="BR1884" s="785" t="s">
        <v>189</v>
      </c>
      <c r="BS1884" s="785" t="s">
        <v>189</v>
      </c>
      <c r="BT1884" s="785" t="s">
        <v>189</v>
      </c>
      <c r="BU1884" s="785" t="s">
        <v>189</v>
      </c>
      <c r="BV1884" s="1068" t="s">
        <v>189</v>
      </c>
      <c r="BW1884" s="1069"/>
    </row>
    <row r="1885" spans="1:75" s="921" customFormat="1" hidden="1" outlineLevel="1" x14ac:dyDescent="0.5">
      <c r="A1885" s="1070" t="s">
        <v>1614</v>
      </c>
      <c r="B1885" s="785"/>
      <c r="C1885" s="1066" t="s">
        <v>189</v>
      </c>
      <c r="D1885" s="1066" t="s">
        <v>189</v>
      </c>
      <c r="E1885" s="785" t="s">
        <v>189</v>
      </c>
      <c r="F1885" s="785" t="s">
        <v>189</v>
      </c>
      <c r="G1885" s="785" t="s">
        <v>189</v>
      </c>
      <c r="H1885" s="785" t="s">
        <v>189</v>
      </c>
      <c r="I1885" s="785" t="s">
        <v>189</v>
      </c>
      <c r="J1885" s="785" t="s">
        <v>189</v>
      </c>
      <c r="K1885" s="785" t="s">
        <v>189</v>
      </c>
      <c r="L1885" s="785" t="s">
        <v>189</v>
      </c>
      <c r="M1885" s="785" t="s">
        <v>189</v>
      </c>
      <c r="N1885" s="785" t="s">
        <v>189</v>
      </c>
      <c r="O1885" s="785" t="s">
        <v>189</v>
      </c>
      <c r="P1885" s="785" t="s">
        <v>189</v>
      </c>
      <c r="Q1885" s="785" t="s">
        <v>189</v>
      </c>
      <c r="R1885" s="785" t="s">
        <v>189</v>
      </c>
      <c r="S1885" s="785" t="s">
        <v>189</v>
      </c>
      <c r="T1885" s="785" t="s">
        <v>189</v>
      </c>
      <c r="U1885" s="785" t="s">
        <v>189</v>
      </c>
      <c r="V1885" s="785" t="s">
        <v>189</v>
      </c>
      <c r="W1885" s="785" t="s">
        <v>189</v>
      </c>
      <c r="X1885" s="785" t="s">
        <v>189</v>
      </c>
      <c r="Y1885" s="785" t="s">
        <v>189</v>
      </c>
      <c r="Z1885" s="785" t="s">
        <v>189</v>
      </c>
      <c r="AA1885" s="785" t="s">
        <v>189</v>
      </c>
      <c r="AB1885" s="785" t="s">
        <v>189</v>
      </c>
      <c r="AC1885" s="785" t="s">
        <v>189</v>
      </c>
      <c r="AD1885" s="785" t="s">
        <v>189</v>
      </c>
      <c r="AE1885" s="785" t="s">
        <v>189</v>
      </c>
      <c r="AF1885" s="785" t="s">
        <v>189</v>
      </c>
      <c r="AG1885" s="785" t="s">
        <v>189</v>
      </c>
      <c r="AH1885" s="785" t="s">
        <v>189</v>
      </c>
      <c r="AI1885" s="785" t="s">
        <v>189</v>
      </c>
      <c r="AJ1885" s="785" t="s">
        <v>189</v>
      </c>
      <c r="AK1885" s="785" t="s">
        <v>189</v>
      </c>
      <c r="AL1885" s="785" t="s">
        <v>189</v>
      </c>
      <c r="AM1885" s="785" t="s">
        <v>189</v>
      </c>
      <c r="AN1885" s="785" t="s">
        <v>189</v>
      </c>
      <c r="AO1885" s="785" t="s">
        <v>189</v>
      </c>
      <c r="AP1885" s="785" t="s">
        <v>189</v>
      </c>
      <c r="AQ1885" s="785" t="s">
        <v>189</v>
      </c>
      <c r="AR1885" s="785" t="s">
        <v>189</v>
      </c>
      <c r="AS1885" s="785" t="s">
        <v>189</v>
      </c>
      <c r="AT1885" s="785" t="s">
        <v>189</v>
      </c>
      <c r="AU1885" s="785" t="s">
        <v>189</v>
      </c>
      <c r="AV1885" s="785" t="s">
        <v>189</v>
      </c>
      <c r="AW1885" s="785" t="s">
        <v>189</v>
      </c>
      <c r="AX1885" s="785" t="s">
        <v>189</v>
      </c>
      <c r="AY1885" s="785" t="s">
        <v>189</v>
      </c>
      <c r="AZ1885" s="785" t="s">
        <v>189</v>
      </c>
      <c r="BA1885" s="785" t="s">
        <v>189</v>
      </c>
      <c r="BB1885" s="785" t="s">
        <v>189</v>
      </c>
      <c r="BC1885" s="785" t="s">
        <v>189</v>
      </c>
      <c r="BD1885" s="785" t="s">
        <v>189</v>
      </c>
      <c r="BE1885" s="785" t="s">
        <v>189</v>
      </c>
      <c r="BF1885" s="785" t="s">
        <v>189</v>
      </c>
      <c r="BG1885" s="785" t="s">
        <v>189</v>
      </c>
      <c r="BH1885" s="785" t="s">
        <v>189</v>
      </c>
      <c r="BI1885" s="1067" t="s">
        <v>189</v>
      </c>
      <c r="BJ1885" s="785" t="s">
        <v>189</v>
      </c>
      <c r="BK1885" s="785" t="s">
        <v>189</v>
      </c>
      <c r="BL1885" s="785" t="s">
        <v>189</v>
      </c>
      <c r="BM1885" s="785" t="s">
        <v>189</v>
      </c>
      <c r="BN1885" s="785" t="s">
        <v>189</v>
      </c>
      <c r="BO1885" s="785" t="s">
        <v>189</v>
      </c>
      <c r="BP1885" s="785" t="s">
        <v>189</v>
      </c>
      <c r="BQ1885" s="785" t="s">
        <v>189</v>
      </c>
      <c r="BR1885" s="785" t="s">
        <v>189</v>
      </c>
      <c r="BS1885" s="785" t="s">
        <v>189</v>
      </c>
      <c r="BT1885" s="785" t="s">
        <v>189</v>
      </c>
      <c r="BU1885" s="785" t="s">
        <v>189</v>
      </c>
      <c r="BV1885" s="1068" t="s">
        <v>189</v>
      </c>
      <c r="BW1885" s="1069"/>
    </row>
    <row r="1886" spans="1:75" s="123" customFormat="1" hidden="1" outlineLevel="1" x14ac:dyDescent="0.5">
      <c r="A1886" s="1073"/>
      <c r="B1886" s="118"/>
      <c r="C1886" s="973"/>
      <c r="D1886" s="973"/>
      <c r="E1886" s="119"/>
      <c r="F1886" s="119"/>
      <c r="G1886" s="119"/>
      <c r="H1886" s="119"/>
      <c r="I1886" s="119"/>
      <c r="J1886" s="119"/>
      <c r="K1886" s="119"/>
      <c r="L1886" s="119"/>
      <c r="M1886" s="119"/>
      <c r="N1886" s="119"/>
      <c r="O1886" s="119"/>
      <c r="P1886" s="119"/>
      <c r="Q1886" s="119"/>
      <c r="R1886" s="119"/>
      <c r="S1886" s="119"/>
      <c r="T1886" s="119"/>
      <c r="U1886" s="119"/>
      <c r="V1886" s="119"/>
      <c r="W1886" s="119"/>
      <c r="X1886" s="119"/>
      <c r="Y1886" s="119"/>
      <c r="Z1886" s="119"/>
      <c r="AA1886" s="119"/>
      <c r="AB1886" s="119"/>
      <c r="AC1886" s="119"/>
      <c r="AD1886" s="119"/>
      <c r="AE1886" s="119"/>
      <c r="AF1886" s="119"/>
      <c r="AG1886" s="119"/>
      <c r="AH1886" s="119"/>
      <c r="AI1886" s="119"/>
      <c r="AJ1886" s="119"/>
      <c r="AK1886" s="119"/>
      <c r="AL1886" s="119"/>
      <c r="AM1886" s="119"/>
      <c r="AN1886" s="119"/>
      <c r="AO1886" s="119"/>
      <c r="AP1886" s="119"/>
      <c r="AQ1886" s="119"/>
      <c r="AR1886" s="119"/>
      <c r="AS1886" s="119"/>
      <c r="AT1886" s="119"/>
      <c r="AU1886" s="119"/>
      <c r="AV1886" s="119"/>
      <c r="AW1886" s="119"/>
      <c r="AX1886" s="119"/>
      <c r="AY1886" s="119"/>
      <c r="AZ1886" s="119"/>
      <c r="BA1886" s="119"/>
      <c r="BB1886" s="119"/>
      <c r="BC1886" s="119"/>
      <c r="BD1886" s="119"/>
      <c r="BE1886" s="119"/>
      <c r="BF1886" s="119"/>
      <c r="BG1886" s="119"/>
      <c r="BH1886" s="119"/>
      <c r="BI1886" s="971"/>
      <c r="BJ1886" s="118"/>
      <c r="BK1886" s="118"/>
      <c r="BL1886" s="118"/>
      <c r="BM1886" s="118"/>
      <c r="BN1886" s="118"/>
      <c r="BO1886" s="118"/>
      <c r="BP1886" s="118"/>
      <c r="BQ1886" s="118"/>
      <c r="BR1886" s="118"/>
      <c r="BS1886" s="119"/>
      <c r="BT1886" s="119"/>
      <c r="BU1886" s="119"/>
      <c r="BV1886" s="1074"/>
      <c r="BW1886" s="1036"/>
    </row>
    <row r="1887" spans="1:75" s="937" customFormat="1" collapsed="1" x14ac:dyDescent="0.5">
      <c r="A1887" s="1075" t="s">
        <v>1617</v>
      </c>
      <c r="B1887" s="1076"/>
      <c r="C1887" s="1077">
        <v>1</v>
      </c>
      <c r="D1887" s="1077">
        <v>1</v>
      </c>
      <c r="E1887" s="1076">
        <v>1</v>
      </c>
      <c r="F1887" s="1076">
        <v>1</v>
      </c>
      <c r="G1887" s="1076">
        <v>1</v>
      </c>
      <c r="H1887" s="1076">
        <v>1</v>
      </c>
      <c r="I1887" s="1076">
        <v>1</v>
      </c>
      <c r="J1887" s="1076">
        <v>1</v>
      </c>
      <c r="K1887" s="1076">
        <v>1</v>
      </c>
      <c r="L1887" s="1076">
        <v>1</v>
      </c>
      <c r="M1887" s="1076">
        <v>1</v>
      </c>
      <c r="N1887" s="1076">
        <v>1</v>
      </c>
      <c r="O1887" s="1076">
        <v>1</v>
      </c>
      <c r="P1887" s="1076">
        <v>1</v>
      </c>
      <c r="Q1887" s="1076">
        <v>1</v>
      </c>
      <c r="R1887" s="1076">
        <v>1</v>
      </c>
      <c r="S1887" s="1076">
        <v>1</v>
      </c>
      <c r="T1887" s="1076">
        <v>1</v>
      </c>
      <c r="U1887" s="1076">
        <v>1</v>
      </c>
      <c r="V1887" s="1076">
        <v>1</v>
      </c>
      <c r="W1887" s="1076">
        <v>1</v>
      </c>
      <c r="X1887" s="1076">
        <v>1</v>
      </c>
      <c r="Y1887" s="1076">
        <v>1</v>
      </c>
      <c r="Z1887" s="1076">
        <v>1</v>
      </c>
      <c r="AA1887" s="1076">
        <v>1</v>
      </c>
      <c r="AB1887" s="1076">
        <v>1</v>
      </c>
      <c r="AC1887" s="1076">
        <v>1</v>
      </c>
      <c r="AD1887" s="1076">
        <v>1</v>
      </c>
      <c r="AE1887" s="1076">
        <v>1</v>
      </c>
      <c r="AF1887" s="1076">
        <v>1</v>
      </c>
      <c r="AG1887" s="1076">
        <v>1</v>
      </c>
      <c r="AH1887" s="1076">
        <v>1</v>
      </c>
      <c r="AI1887" s="1076">
        <v>1</v>
      </c>
      <c r="AJ1887" s="1076">
        <v>1</v>
      </c>
      <c r="AK1887" s="1076">
        <v>1</v>
      </c>
      <c r="AL1887" s="1076">
        <v>1</v>
      </c>
      <c r="AM1887" s="1076">
        <v>1</v>
      </c>
      <c r="AN1887" s="1076">
        <v>1</v>
      </c>
      <c r="AO1887" s="1076">
        <v>1</v>
      </c>
      <c r="AP1887" s="1076">
        <v>1</v>
      </c>
      <c r="AQ1887" s="1076">
        <v>1</v>
      </c>
      <c r="AR1887" s="1076">
        <v>1</v>
      </c>
      <c r="AS1887" s="1076">
        <v>1</v>
      </c>
      <c r="AT1887" s="1076">
        <v>1</v>
      </c>
      <c r="AU1887" s="1076">
        <v>1</v>
      </c>
      <c r="AV1887" s="1076">
        <v>1</v>
      </c>
      <c r="AW1887" s="1076">
        <v>1</v>
      </c>
      <c r="AX1887" s="1076">
        <v>1</v>
      </c>
      <c r="AY1887" s="1076">
        <v>1</v>
      </c>
      <c r="AZ1887" s="1076">
        <v>1</v>
      </c>
      <c r="BA1887" s="1076">
        <v>1</v>
      </c>
      <c r="BB1887" s="1076">
        <v>1</v>
      </c>
      <c r="BC1887" s="1076">
        <v>1</v>
      </c>
      <c r="BD1887" s="1076">
        <v>1</v>
      </c>
      <c r="BE1887" s="1076">
        <v>1</v>
      </c>
      <c r="BF1887" s="1076">
        <v>1</v>
      </c>
      <c r="BG1887" s="1076">
        <v>1</v>
      </c>
      <c r="BH1887" s="1076">
        <v>1</v>
      </c>
      <c r="BI1887" s="1078">
        <v>1</v>
      </c>
      <c r="BJ1887" s="1076">
        <v>1</v>
      </c>
      <c r="BK1887" s="1076">
        <v>1</v>
      </c>
      <c r="BL1887" s="1076">
        <v>1</v>
      </c>
      <c r="BM1887" s="1076">
        <v>1</v>
      </c>
      <c r="BN1887" s="1076">
        <v>1</v>
      </c>
      <c r="BO1887" s="1076">
        <v>1</v>
      </c>
      <c r="BP1887" s="1076">
        <v>1</v>
      </c>
      <c r="BQ1887" s="1076">
        <v>1</v>
      </c>
      <c r="BR1887" s="1076">
        <v>1</v>
      </c>
      <c r="BS1887" s="1076">
        <v>1</v>
      </c>
      <c r="BT1887" s="1076">
        <v>1</v>
      </c>
      <c r="BU1887" s="1076">
        <v>1</v>
      </c>
      <c r="BV1887" s="1079">
        <v>1</v>
      </c>
      <c r="BW1887" s="1080"/>
    </row>
    <row r="1888" spans="1:75" s="937" customFormat="1" hidden="1" outlineLevel="1" x14ac:dyDescent="0.5">
      <c r="A1888" s="1081" t="s">
        <v>1611</v>
      </c>
      <c r="B1888" s="1076"/>
      <c r="C1888" s="1082">
        <v>1</v>
      </c>
      <c r="D1888" s="1082">
        <v>1</v>
      </c>
      <c r="E1888" s="1083">
        <v>1</v>
      </c>
      <c r="F1888" s="1083">
        <v>1</v>
      </c>
      <c r="G1888" s="1083">
        <v>1</v>
      </c>
      <c r="H1888" s="1083">
        <v>1</v>
      </c>
      <c r="I1888" s="1083">
        <v>1</v>
      </c>
      <c r="J1888" s="1083">
        <v>1</v>
      </c>
      <c r="K1888" s="1083">
        <v>1</v>
      </c>
      <c r="L1888" s="1083">
        <v>1</v>
      </c>
      <c r="M1888" s="1083">
        <v>1</v>
      </c>
      <c r="N1888" s="1083">
        <v>1</v>
      </c>
      <c r="O1888" s="1083">
        <v>1</v>
      </c>
      <c r="P1888" s="1083">
        <v>1</v>
      </c>
      <c r="Q1888" s="1083">
        <v>1</v>
      </c>
      <c r="R1888" s="1083">
        <v>1</v>
      </c>
      <c r="S1888" s="1083">
        <v>1</v>
      </c>
      <c r="T1888" s="1083">
        <v>1</v>
      </c>
      <c r="U1888" s="1083">
        <v>1</v>
      </c>
      <c r="V1888" s="1083">
        <v>1</v>
      </c>
      <c r="W1888" s="1083">
        <v>1</v>
      </c>
      <c r="X1888" s="1083">
        <v>1</v>
      </c>
      <c r="Y1888" s="1083">
        <v>1</v>
      </c>
      <c r="Z1888" s="1083">
        <v>1</v>
      </c>
      <c r="AA1888" s="1083">
        <v>1</v>
      </c>
      <c r="AB1888" s="1083">
        <v>1</v>
      </c>
      <c r="AC1888" s="1083">
        <v>1</v>
      </c>
      <c r="AD1888" s="1083">
        <v>1</v>
      </c>
      <c r="AE1888" s="1083">
        <v>1</v>
      </c>
      <c r="AF1888" s="1083">
        <v>1</v>
      </c>
      <c r="AG1888" s="1083">
        <v>1</v>
      </c>
      <c r="AH1888" s="1083">
        <v>1</v>
      </c>
      <c r="AI1888" s="1083">
        <v>1</v>
      </c>
      <c r="AJ1888" s="1083">
        <v>1</v>
      </c>
      <c r="AK1888" s="1083">
        <v>1</v>
      </c>
      <c r="AL1888" s="1083">
        <v>1</v>
      </c>
      <c r="AM1888" s="1083">
        <v>1</v>
      </c>
      <c r="AN1888" s="1083">
        <v>1</v>
      </c>
      <c r="AO1888" s="1083">
        <v>1</v>
      </c>
      <c r="AP1888" s="1083">
        <v>1</v>
      </c>
      <c r="AQ1888" s="1083">
        <v>1</v>
      </c>
      <c r="AR1888" s="1083">
        <v>1</v>
      </c>
      <c r="AS1888" s="1083">
        <v>1</v>
      </c>
      <c r="AT1888" s="1083">
        <v>1</v>
      </c>
      <c r="AU1888" s="1083">
        <v>1</v>
      </c>
      <c r="AV1888" s="1083">
        <v>1</v>
      </c>
      <c r="AW1888" s="1083">
        <v>1</v>
      </c>
      <c r="AX1888" s="1083">
        <v>1</v>
      </c>
      <c r="AY1888" s="1083">
        <v>1</v>
      </c>
      <c r="AZ1888" s="1083">
        <v>1</v>
      </c>
      <c r="BA1888" s="1083">
        <v>1</v>
      </c>
      <c r="BB1888" s="1083">
        <v>1</v>
      </c>
      <c r="BC1888" s="1083">
        <v>1</v>
      </c>
      <c r="BD1888" s="1083">
        <v>1</v>
      </c>
      <c r="BE1888" s="1083">
        <v>1</v>
      </c>
      <c r="BF1888" s="1083">
        <v>1</v>
      </c>
      <c r="BG1888" s="1083">
        <v>1</v>
      </c>
      <c r="BH1888" s="1083">
        <v>1</v>
      </c>
      <c r="BI1888" s="1084">
        <v>1</v>
      </c>
      <c r="BJ1888" s="1076">
        <v>1</v>
      </c>
      <c r="BK1888" s="1076">
        <v>1</v>
      </c>
      <c r="BL1888" s="1076">
        <v>1</v>
      </c>
      <c r="BM1888" s="1076">
        <v>1</v>
      </c>
      <c r="BN1888" s="1076">
        <v>1</v>
      </c>
      <c r="BO1888" s="1076">
        <v>1</v>
      </c>
      <c r="BP1888" s="1076">
        <v>1</v>
      </c>
      <c r="BQ1888" s="1076">
        <v>1</v>
      </c>
      <c r="BR1888" s="1076">
        <v>1</v>
      </c>
      <c r="BS1888" s="1076">
        <v>1</v>
      </c>
      <c r="BT1888" s="1076">
        <v>1</v>
      </c>
      <c r="BU1888" s="1076">
        <v>1</v>
      </c>
      <c r="BV1888" s="1079">
        <v>1</v>
      </c>
      <c r="BW1888" s="1080"/>
    </row>
    <row r="1889" spans="1:75" s="937" customFormat="1" hidden="1" outlineLevel="1" x14ac:dyDescent="0.5">
      <c r="A1889" s="1081" t="s">
        <v>103</v>
      </c>
      <c r="B1889" s="1076"/>
      <c r="C1889" s="1077" t="s">
        <v>189</v>
      </c>
      <c r="D1889" s="1077" t="s">
        <v>189</v>
      </c>
      <c r="E1889" s="1076" t="s">
        <v>189</v>
      </c>
      <c r="F1889" s="1076" t="s">
        <v>189</v>
      </c>
      <c r="G1889" s="1076" t="s">
        <v>189</v>
      </c>
      <c r="H1889" s="1076" t="s">
        <v>189</v>
      </c>
      <c r="I1889" s="1076" t="s">
        <v>189</v>
      </c>
      <c r="J1889" s="1076" t="s">
        <v>189</v>
      </c>
      <c r="K1889" s="1076" t="s">
        <v>189</v>
      </c>
      <c r="L1889" s="1076" t="s">
        <v>189</v>
      </c>
      <c r="M1889" s="1076" t="s">
        <v>189</v>
      </c>
      <c r="N1889" s="1076" t="s">
        <v>189</v>
      </c>
      <c r="O1889" s="1076" t="s">
        <v>189</v>
      </c>
      <c r="P1889" s="1076" t="s">
        <v>189</v>
      </c>
      <c r="Q1889" s="1076" t="s">
        <v>189</v>
      </c>
      <c r="R1889" s="1076" t="s">
        <v>189</v>
      </c>
      <c r="S1889" s="1076" t="s">
        <v>189</v>
      </c>
      <c r="T1889" s="1076" t="s">
        <v>189</v>
      </c>
      <c r="U1889" s="1076" t="s">
        <v>189</v>
      </c>
      <c r="V1889" s="1076" t="s">
        <v>189</v>
      </c>
      <c r="W1889" s="1076" t="s">
        <v>189</v>
      </c>
      <c r="X1889" s="1076" t="s">
        <v>189</v>
      </c>
      <c r="Y1889" s="1076" t="s">
        <v>189</v>
      </c>
      <c r="Z1889" s="1076" t="s">
        <v>189</v>
      </c>
      <c r="AA1889" s="1076" t="s">
        <v>189</v>
      </c>
      <c r="AB1889" s="1076" t="s">
        <v>189</v>
      </c>
      <c r="AC1889" s="1076" t="s">
        <v>189</v>
      </c>
      <c r="AD1889" s="1076" t="s">
        <v>189</v>
      </c>
      <c r="AE1889" s="1076" t="s">
        <v>189</v>
      </c>
      <c r="AF1889" s="1076" t="s">
        <v>189</v>
      </c>
      <c r="AG1889" s="1076" t="s">
        <v>189</v>
      </c>
      <c r="AH1889" s="1076" t="s">
        <v>189</v>
      </c>
      <c r="AI1889" s="1076" t="s">
        <v>189</v>
      </c>
      <c r="AJ1889" s="1076" t="s">
        <v>189</v>
      </c>
      <c r="AK1889" s="1076" t="s">
        <v>189</v>
      </c>
      <c r="AL1889" s="1076" t="s">
        <v>189</v>
      </c>
      <c r="AM1889" s="1076" t="s">
        <v>189</v>
      </c>
      <c r="AN1889" s="1076" t="s">
        <v>189</v>
      </c>
      <c r="AO1889" s="1076" t="s">
        <v>189</v>
      </c>
      <c r="AP1889" s="1076" t="s">
        <v>189</v>
      </c>
      <c r="AQ1889" s="1076" t="s">
        <v>189</v>
      </c>
      <c r="AR1889" s="1076" t="s">
        <v>189</v>
      </c>
      <c r="AS1889" s="1076" t="s">
        <v>189</v>
      </c>
      <c r="AT1889" s="1076" t="s">
        <v>189</v>
      </c>
      <c r="AU1889" s="1076" t="s">
        <v>189</v>
      </c>
      <c r="AV1889" s="1076" t="s">
        <v>189</v>
      </c>
      <c r="AW1889" s="1076" t="s">
        <v>189</v>
      </c>
      <c r="AX1889" s="1076" t="s">
        <v>189</v>
      </c>
      <c r="AY1889" s="1076" t="s">
        <v>189</v>
      </c>
      <c r="AZ1889" s="1076" t="s">
        <v>189</v>
      </c>
      <c r="BA1889" s="1076" t="s">
        <v>189</v>
      </c>
      <c r="BB1889" s="1076" t="s">
        <v>189</v>
      </c>
      <c r="BC1889" s="1076" t="s">
        <v>189</v>
      </c>
      <c r="BD1889" s="1076" t="s">
        <v>189</v>
      </c>
      <c r="BE1889" s="1076" t="s">
        <v>189</v>
      </c>
      <c r="BF1889" s="1076" t="s">
        <v>189</v>
      </c>
      <c r="BG1889" s="1076" t="s">
        <v>189</v>
      </c>
      <c r="BH1889" s="1076" t="s">
        <v>189</v>
      </c>
      <c r="BI1889" s="1078" t="s">
        <v>189</v>
      </c>
      <c r="BJ1889" s="1076" t="s">
        <v>189</v>
      </c>
      <c r="BK1889" s="1076" t="s">
        <v>189</v>
      </c>
      <c r="BL1889" s="1076" t="s">
        <v>189</v>
      </c>
      <c r="BM1889" s="1076" t="s">
        <v>189</v>
      </c>
      <c r="BN1889" s="1076" t="s">
        <v>189</v>
      </c>
      <c r="BO1889" s="1076" t="s">
        <v>189</v>
      </c>
      <c r="BP1889" s="1076" t="s">
        <v>189</v>
      </c>
      <c r="BQ1889" s="1076" t="s">
        <v>189</v>
      </c>
      <c r="BR1889" s="1076" t="s">
        <v>189</v>
      </c>
      <c r="BS1889" s="1076" t="s">
        <v>189</v>
      </c>
      <c r="BT1889" s="1076" t="s">
        <v>189</v>
      </c>
      <c r="BU1889" s="1076" t="s">
        <v>189</v>
      </c>
      <c r="BV1889" s="1079" t="s">
        <v>189</v>
      </c>
      <c r="BW1889" s="1080"/>
    </row>
    <row r="1890" spans="1:75" s="937" customFormat="1" hidden="1" outlineLevel="1" x14ac:dyDescent="0.5">
      <c r="A1890" s="1081" t="s">
        <v>1612</v>
      </c>
      <c r="B1890" s="1076"/>
      <c r="C1890" s="1077" t="s">
        <v>189</v>
      </c>
      <c r="D1890" s="1077" t="s">
        <v>189</v>
      </c>
      <c r="E1890" s="1076" t="s">
        <v>189</v>
      </c>
      <c r="F1890" s="1076" t="s">
        <v>189</v>
      </c>
      <c r="G1890" s="1076" t="s">
        <v>189</v>
      </c>
      <c r="H1890" s="1076" t="s">
        <v>189</v>
      </c>
      <c r="I1890" s="1076" t="s">
        <v>189</v>
      </c>
      <c r="J1890" s="1076" t="s">
        <v>189</v>
      </c>
      <c r="K1890" s="1076" t="s">
        <v>189</v>
      </c>
      <c r="L1890" s="1076" t="s">
        <v>189</v>
      </c>
      <c r="M1890" s="1076" t="s">
        <v>189</v>
      </c>
      <c r="N1890" s="1076" t="s">
        <v>189</v>
      </c>
      <c r="O1890" s="1076" t="s">
        <v>189</v>
      </c>
      <c r="P1890" s="1076" t="s">
        <v>189</v>
      </c>
      <c r="Q1890" s="1076" t="s">
        <v>189</v>
      </c>
      <c r="R1890" s="1076" t="s">
        <v>189</v>
      </c>
      <c r="S1890" s="1076" t="s">
        <v>189</v>
      </c>
      <c r="T1890" s="1076" t="s">
        <v>189</v>
      </c>
      <c r="U1890" s="1076" t="s">
        <v>189</v>
      </c>
      <c r="V1890" s="1076" t="s">
        <v>189</v>
      </c>
      <c r="W1890" s="1076" t="s">
        <v>189</v>
      </c>
      <c r="X1890" s="1076" t="s">
        <v>189</v>
      </c>
      <c r="Y1890" s="1076" t="s">
        <v>189</v>
      </c>
      <c r="Z1890" s="1076" t="s">
        <v>189</v>
      </c>
      <c r="AA1890" s="1076" t="s">
        <v>189</v>
      </c>
      <c r="AB1890" s="1076" t="s">
        <v>189</v>
      </c>
      <c r="AC1890" s="1076" t="s">
        <v>189</v>
      </c>
      <c r="AD1890" s="1076" t="s">
        <v>189</v>
      </c>
      <c r="AE1890" s="1076" t="s">
        <v>189</v>
      </c>
      <c r="AF1890" s="1076" t="s">
        <v>189</v>
      </c>
      <c r="AG1890" s="1076" t="s">
        <v>189</v>
      </c>
      <c r="AH1890" s="1076" t="s">
        <v>189</v>
      </c>
      <c r="AI1890" s="1076" t="s">
        <v>189</v>
      </c>
      <c r="AJ1890" s="1076" t="s">
        <v>189</v>
      </c>
      <c r="AK1890" s="1076" t="s">
        <v>189</v>
      </c>
      <c r="AL1890" s="1076" t="s">
        <v>189</v>
      </c>
      <c r="AM1890" s="1076" t="s">
        <v>189</v>
      </c>
      <c r="AN1890" s="1076" t="s">
        <v>189</v>
      </c>
      <c r="AO1890" s="1076" t="s">
        <v>189</v>
      </c>
      <c r="AP1890" s="1076" t="s">
        <v>189</v>
      </c>
      <c r="AQ1890" s="1076" t="s">
        <v>189</v>
      </c>
      <c r="AR1890" s="1076" t="s">
        <v>189</v>
      </c>
      <c r="AS1890" s="1076" t="s">
        <v>189</v>
      </c>
      <c r="AT1890" s="1076" t="s">
        <v>189</v>
      </c>
      <c r="AU1890" s="1076" t="s">
        <v>189</v>
      </c>
      <c r="AV1890" s="1076" t="s">
        <v>189</v>
      </c>
      <c r="AW1890" s="1076" t="s">
        <v>189</v>
      </c>
      <c r="AX1890" s="1076" t="s">
        <v>189</v>
      </c>
      <c r="AY1890" s="1076" t="s">
        <v>189</v>
      </c>
      <c r="AZ1890" s="1076" t="s">
        <v>189</v>
      </c>
      <c r="BA1890" s="1076" t="s">
        <v>189</v>
      </c>
      <c r="BB1890" s="1076" t="s">
        <v>189</v>
      </c>
      <c r="BC1890" s="1076" t="s">
        <v>189</v>
      </c>
      <c r="BD1890" s="1076" t="s">
        <v>189</v>
      </c>
      <c r="BE1890" s="1076" t="s">
        <v>189</v>
      </c>
      <c r="BF1890" s="1076" t="s">
        <v>189</v>
      </c>
      <c r="BG1890" s="1076" t="s">
        <v>189</v>
      </c>
      <c r="BH1890" s="1076" t="s">
        <v>189</v>
      </c>
      <c r="BI1890" s="1078" t="s">
        <v>189</v>
      </c>
      <c r="BJ1890" s="1076" t="s">
        <v>189</v>
      </c>
      <c r="BK1890" s="1076" t="s">
        <v>189</v>
      </c>
      <c r="BL1890" s="1076" t="s">
        <v>189</v>
      </c>
      <c r="BM1890" s="1076" t="s">
        <v>189</v>
      </c>
      <c r="BN1890" s="1076" t="s">
        <v>189</v>
      </c>
      <c r="BO1890" s="1076" t="s">
        <v>189</v>
      </c>
      <c r="BP1890" s="1076" t="s">
        <v>189</v>
      </c>
      <c r="BQ1890" s="1076" t="s">
        <v>189</v>
      </c>
      <c r="BR1890" s="1076" t="s">
        <v>189</v>
      </c>
      <c r="BS1890" s="1076" t="s">
        <v>189</v>
      </c>
      <c r="BT1890" s="1076" t="s">
        <v>189</v>
      </c>
      <c r="BU1890" s="1076" t="s">
        <v>189</v>
      </c>
      <c r="BV1890" s="1079" t="s">
        <v>189</v>
      </c>
      <c r="BW1890" s="1080"/>
    </row>
    <row r="1891" spans="1:75" s="937" customFormat="1" hidden="1" outlineLevel="1" x14ac:dyDescent="0.5">
      <c r="A1891" s="1081" t="s">
        <v>1613</v>
      </c>
      <c r="B1891" s="1076"/>
      <c r="C1891" s="1077" t="s">
        <v>189</v>
      </c>
      <c r="D1891" s="1077" t="s">
        <v>189</v>
      </c>
      <c r="E1891" s="1076" t="s">
        <v>189</v>
      </c>
      <c r="F1891" s="1076" t="s">
        <v>189</v>
      </c>
      <c r="G1891" s="1076" t="s">
        <v>189</v>
      </c>
      <c r="H1891" s="1076" t="s">
        <v>189</v>
      </c>
      <c r="I1891" s="1076" t="s">
        <v>189</v>
      </c>
      <c r="J1891" s="1076" t="s">
        <v>189</v>
      </c>
      <c r="K1891" s="1076" t="s">
        <v>189</v>
      </c>
      <c r="L1891" s="1076" t="s">
        <v>189</v>
      </c>
      <c r="M1891" s="1076" t="s">
        <v>189</v>
      </c>
      <c r="N1891" s="1076" t="s">
        <v>189</v>
      </c>
      <c r="O1891" s="1076" t="s">
        <v>189</v>
      </c>
      <c r="P1891" s="1076" t="s">
        <v>189</v>
      </c>
      <c r="Q1891" s="1076" t="s">
        <v>189</v>
      </c>
      <c r="R1891" s="1076" t="s">
        <v>189</v>
      </c>
      <c r="S1891" s="1076" t="s">
        <v>189</v>
      </c>
      <c r="T1891" s="1076" t="s">
        <v>189</v>
      </c>
      <c r="U1891" s="1076" t="s">
        <v>189</v>
      </c>
      <c r="V1891" s="1076" t="s">
        <v>189</v>
      </c>
      <c r="W1891" s="1076" t="s">
        <v>189</v>
      </c>
      <c r="X1891" s="1076" t="s">
        <v>189</v>
      </c>
      <c r="Y1891" s="1076" t="s">
        <v>189</v>
      </c>
      <c r="Z1891" s="1076" t="s">
        <v>189</v>
      </c>
      <c r="AA1891" s="1076" t="s">
        <v>189</v>
      </c>
      <c r="AB1891" s="1076" t="s">
        <v>189</v>
      </c>
      <c r="AC1891" s="1076" t="s">
        <v>189</v>
      </c>
      <c r="AD1891" s="1076" t="s">
        <v>189</v>
      </c>
      <c r="AE1891" s="1076" t="s">
        <v>189</v>
      </c>
      <c r="AF1891" s="1076" t="s">
        <v>189</v>
      </c>
      <c r="AG1891" s="1076" t="s">
        <v>189</v>
      </c>
      <c r="AH1891" s="1076" t="s">
        <v>189</v>
      </c>
      <c r="AI1891" s="1076" t="s">
        <v>189</v>
      </c>
      <c r="AJ1891" s="1076" t="s">
        <v>189</v>
      </c>
      <c r="AK1891" s="1076" t="s">
        <v>189</v>
      </c>
      <c r="AL1891" s="1076" t="s">
        <v>189</v>
      </c>
      <c r="AM1891" s="1076" t="s">
        <v>189</v>
      </c>
      <c r="AN1891" s="1076" t="s">
        <v>189</v>
      </c>
      <c r="AO1891" s="1076" t="s">
        <v>189</v>
      </c>
      <c r="AP1891" s="1076" t="s">
        <v>189</v>
      </c>
      <c r="AQ1891" s="1076" t="s">
        <v>189</v>
      </c>
      <c r="AR1891" s="1076" t="s">
        <v>189</v>
      </c>
      <c r="AS1891" s="1076" t="s">
        <v>189</v>
      </c>
      <c r="AT1891" s="1076" t="s">
        <v>189</v>
      </c>
      <c r="AU1891" s="1076" t="s">
        <v>189</v>
      </c>
      <c r="AV1891" s="1076" t="s">
        <v>189</v>
      </c>
      <c r="AW1891" s="1076" t="s">
        <v>189</v>
      </c>
      <c r="AX1891" s="1076" t="s">
        <v>189</v>
      </c>
      <c r="AY1891" s="1076" t="s">
        <v>189</v>
      </c>
      <c r="AZ1891" s="1076" t="s">
        <v>189</v>
      </c>
      <c r="BA1891" s="1076" t="s">
        <v>189</v>
      </c>
      <c r="BB1891" s="1076" t="s">
        <v>189</v>
      </c>
      <c r="BC1891" s="1076" t="s">
        <v>189</v>
      </c>
      <c r="BD1891" s="1076" t="s">
        <v>189</v>
      </c>
      <c r="BE1891" s="1076" t="s">
        <v>189</v>
      </c>
      <c r="BF1891" s="1076" t="s">
        <v>189</v>
      </c>
      <c r="BG1891" s="1076" t="s">
        <v>189</v>
      </c>
      <c r="BH1891" s="1076" t="s">
        <v>189</v>
      </c>
      <c r="BI1891" s="1078" t="s">
        <v>189</v>
      </c>
      <c r="BJ1891" s="1076" t="s">
        <v>189</v>
      </c>
      <c r="BK1891" s="1076" t="s">
        <v>189</v>
      </c>
      <c r="BL1891" s="1076" t="s">
        <v>189</v>
      </c>
      <c r="BM1891" s="1076" t="s">
        <v>189</v>
      </c>
      <c r="BN1891" s="1076" t="s">
        <v>189</v>
      </c>
      <c r="BO1891" s="1076" t="s">
        <v>189</v>
      </c>
      <c r="BP1891" s="1076" t="s">
        <v>189</v>
      </c>
      <c r="BQ1891" s="1076" t="s">
        <v>189</v>
      </c>
      <c r="BR1891" s="1076" t="s">
        <v>189</v>
      </c>
      <c r="BS1891" s="1076" t="s">
        <v>189</v>
      </c>
      <c r="BT1891" s="1076" t="s">
        <v>189</v>
      </c>
      <c r="BU1891" s="1076" t="s">
        <v>189</v>
      </c>
      <c r="BV1891" s="1079" t="s">
        <v>189</v>
      </c>
      <c r="BW1891" s="1080"/>
    </row>
    <row r="1892" spans="1:75" s="937" customFormat="1" hidden="1" outlineLevel="1" x14ac:dyDescent="0.5">
      <c r="A1892" s="1081" t="s">
        <v>1614</v>
      </c>
      <c r="B1892" s="1076"/>
      <c r="C1892" s="1077" t="s">
        <v>189</v>
      </c>
      <c r="D1892" s="1077" t="s">
        <v>189</v>
      </c>
      <c r="E1892" s="1076" t="s">
        <v>189</v>
      </c>
      <c r="F1892" s="1076" t="s">
        <v>189</v>
      </c>
      <c r="G1892" s="1076" t="s">
        <v>189</v>
      </c>
      <c r="H1892" s="1076" t="s">
        <v>189</v>
      </c>
      <c r="I1892" s="1076" t="s">
        <v>189</v>
      </c>
      <c r="J1892" s="1076" t="s">
        <v>189</v>
      </c>
      <c r="K1892" s="1076" t="s">
        <v>189</v>
      </c>
      <c r="L1892" s="1076" t="s">
        <v>189</v>
      </c>
      <c r="M1892" s="1076" t="s">
        <v>189</v>
      </c>
      <c r="N1892" s="1076" t="s">
        <v>189</v>
      </c>
      <c r="O1892" s="1076" t="s">
        <v>189</v>
      </c>
      <c r="P1892" s="1076" t="s">
        <v>189</v>
      </c>
      <c r="Q1892" s="1076" t="s">
        <v>189</v>
      </c>
      <c r="R1892" s="1076" t="s">
        <v>189</v>
      </c>
      <c r="S1892" s="1076" t="s">
        <v>189</v>
      </c>
      <c r="T1892" s="1076" t="s">
        <v>189</v>
      </c>
      <c r="U1892" s="1076" t="s">
        <v>189</v>
      </c>
      <c r="V1892" s="1076" t="s">
        <v>189</v>
      </c>
      <c r="W1892" s="1076" t="s">
        <v>189</v>
      </c>
      <c r="X1892" s="1076" t="s">
        <v>189</v>
      </c>
      <c r="Y1892" s="1076" t="s">
        <v>189</v>
      </c>
      <c r="Z1892" s="1076" t="s">
        <v>189</v>
      </c>
      <c r="AA1892" s="1076" t="s">
        <v>189</v>
      </c>
      <c r="AB1892" s="1076" t="s">
        <v>189</v>
      </c>
      <c r="AC1892" s="1076" t="s">
        <v>189</v>
      </c>
      <c r="AD1892" s="1076" t="s">
        <v>189</v>
      </c>
      <c r="AE1892" s="1076" t="s">
        <v>189</v>
      </c>
      <c r="AF1892" s="1076" t="s">
        <v>189</v>
      </c>
      <c r="AG1892" s="1076" t="s">
        <v>189</v>
      </c>
      <c r="AH1892" s="1076" t="s">
        <v>189</v>
      </c>
      <c r="AI1892" s="1076" t="s">
        <v>189</v>
      </c>
      <c r="AJ1892" s="1076" t="s">
        <v>189</v>
      </c>
      <c r="AK1892" s="1076" t="s">
        <v>189</v>
      </c>
      <c r="AL1892" s="1076" t="s">
        <v>189</v>
      </c>
      <c r="AM1892" s="1076" t="s">
        <v>189</v>
      </c>
      <c r="AN1892" s="1076" t="s">
        <v>189</v>
      </c>
      <c r="AO1892" s="1076" t="s">
        <v>189</v>
      </c>
      <c r="AP1892" s="1076" t="s">
        <v>189</v>
      </c>
      <c r="AQ1892" s="1076" t="s">
        <v>189</v>
      </c>
      <c r="AR1892" s="1076" t="s">
        <v>189</v>
      </c>
      <c r="AS1892" s="1076" t="s">
        <v>189</v>
      </c>
      <c r="AT1892" s="1076" t="s">
        <v>189</v>
      </c>
      <c r="AU1892" s="1076" t="s">
        <v>189</v>
      </c>
      <c r="AV1892" s="1076" t="s">
        <v>189</v>
      </c>
      <c r="AW1892" s="1076" t="s">
        <v>189</v>
      </c>
      <c r="AX1892" s="1076" t="s">
        <v>189</v>
      </c>
      <c r="AY1892" s="1076" t="s">
        <v>189</v>
      </c>
      <c r="AZ1892" s="1076" t="s">
        <v>189</v>
      </c>
      <c r="BA1892" s="1076" t="s">
        <v>189</v>
      </c>
      <c r="BB1892" s="1076" t="s">
        <v>189</v>
      </c>
      <c r="BC1892" s="1076" t="s">
        <v>189</v>
      </c>
      <c r="BD1892" s="1076" t="s">
        <v>189</v>
      </c>
      <c r="BE1892" s="1076" t="s">
        <v>189</v>
      </c>
      <c r="BF1892" s="1076" t="s">
        <v>189</v>
      </c>
      <c r="BG1892" s="1076" t="s">
        <v>189</v>
      </c>
      <c r="BH1892" s="1076" t="s">
        <v>189</v>
      </c>
      <c r="BI1892" s="1078" t="s">
        <v>189</v>
      </c>
      <c r="BJ1892" s="1076" t="s">
        <v>189</v>
      </c>
      <c r="BK1892" s="1076" t="s">
        <v>189</v>
      </c>
      <c r="BL1892" s="1076" t="s">
        <v>189</v>
      </c>
      <c r="BM1892" s="1076" t="s">
        <v>189</v>
      </c>
      <c r="BN1892" s="1076" t="s">
        <v>189</v>
      </c>
      <c r="BO1892" s="1076" t="s">
        <v>189</v>
      </c>
      <c r="BP1892" s="1076" t="s">
        <v>189</v>
      </c>
      <c r="BQ1892" s="1076" t="s">
        <v>189</v>
      </c>
      <c r="BR1892" s="1076" t="s">
        <v>189</v>
      </c>
      <c r="BS1892" s="1076" t="s">
        <v>189</v>
      </c>
      <c r="BT1892" s="1076" t="s">
        <v>189</v>
      </c>
      <c r="BU1892" s="1076" t="s">
        <v>189</v>
      </c>
      <c r="BV1892" s="1079" t="s">
        <v>189</v>
      </c>
      <c r="BW1892" s="1080"/>
    </row>
    <row r="1893" spans="1:75" s="123" customFormat="1" hidden="1" outlineLevel="1" collapsed="1" x14ac:dyDescent="0.5">
      <c r="A1893" s="1073"/>
      <c r="B1893" s="119"/>
      <c r="C1893" s="973"/>
      <c r="D1893" s="973"/>
      <c r="E1893" s="119"/>
      <c r="F1893" s="119"/>
      <c r="G1893" s="119"/>
      <c r="H1893" s="119"/>
      <c r="I1893" s="119"/>
      <c r="J1893" s="119"/>
      <c r="K1893" s="119"/>
      <c r="L1893" s="119"/>
      <c r="M1893" s="119"/>
      <c r="N1893" s="119"/>
      <c r="O1893" s="119"/>
      <c r="P1893" s="119"/>
      <c r="Q1893" s="119"/>
      <c r="R1893" s="119"/>
      <c r="S1893" s="119"/>
      <c r="T1893" s="119"/>
      <c r="U1893" s="119"/>
      <c r="V1893" s="119"/>
      <c r="W1893" s="119"/>
      <c r="X1893" s="119"/>
      <c r="Y1893" s="119"/>
      <c r="Z1893" s="119"/>
      <c r="AA1893" s="119"/>
      <c r="AB1893" s="119"/>
      <c r="AC1893" s="119"/>
      <c r="AD1893" s="119"/>
      <c r="AE1893" s="119"/>
      <c r="AF1893" s="119"/>
      <c r="AG1893" s="119"/>
      <c r="AH1893" s="119"/>
      <c r="AI1893" s="119"/>
      <c r="AJ1893" s="119"/>
      <c r="AK1893" s="119"/>
      <c r="AL1893" s="119"/>
      <c r="AM1893" s="119"/>
      <c r="AN1893" s="119"/>
      <c r="AO1893" s="119"/>
      <c r="AP1893" s="119"/>
      <c r="AQ1893" s="119"/>
      <c r="AR1893" s="119"/>
      <c r="AS1893" s="119"/>
      <c r="AT1893" s="119"/>
      <c r="AU1893" s="119"/>
      <c r="AV1893" s="119"/>
      <c r="AW1893" s="119"/>
      <c r="AX1893" s="119"/>
      <c r="AY1893" s="119"/>
      <c r="AZ1893" s="119"/>
      <c r="BA1893" s="119"/>
      <c r="BB1893" s="119"/>
      <c r="BC1893" s="119"/>
      <c r="BD1893" s="119"/>
      <c r="BE1893" s="119"/>
      <c r="BF1893" s="119"/>
      <c r="BG1893" s="119"/>
      <c r="BH1893" s="119"/>
      <c r="BI1893" s="971"/>
      <c r="BJ1893" s="119"/>
      <c r="BK1893" s="119"/>
      <c r="BL1893" s="119"/>
      <c r="BM1893" s="119"/>
      <c r="BN1893" s="119"/>
      <c r="BO1893" s="119"/>
      <c r="BP1893" s="119"/>
      <c r="BQ1893" s="119"/>
      <c r="BR1893" s="119"/>
      <c r="BS1893" s="119"/>
      <c r="BT1893" s="119"/>
      <c r="BU1893" s="119"/>
      <c r="BV1893" s="1074"/>
      <c r="BW1893" s="1036"/>
    </row>
    <row r="1894" spans="1:75" s="123" customFormat="1" collapsed="1" x14ac:dyDescent="0.5">
      <c r="A1894" s="1073" t="s">
        <v>1618</v>
      </c>
      <c r="B1894" s="119"/>
      <c r="C1894" s="1061">
        <v>40207</v>
      </c>
      <c r="D1894" s="1061">
        <v>40571</v>
      </c>
      <c r="E1894" s="1062">
        <v>40935</v>
      </c>
      <c r="F1894" s="1062">
        <v>41306</v>
      </c>
      <c r="G1894" s="1062">
        <v>41397</v>
      </c>
      <c r="H1894" s="1062">
        <v>41488</v>
      </c>
      <c r="I1894" s="1062">
        <v>41579</v>
      </c>
      <c r="J1894" s="1062">
        <v>41670</v>
      </c>
      <c r="K1894" s="1062">
        <v>41670</v>
      </c>
      <c r="L1894" s="1062">
        <v>41761</v>
      </c>
      <c r="M1894" s="1062">
        <v>41852</v>
      </c>
      <c r="N1894" s="1062">
        <v>41943</v>
      </c>
      <c r="O1894" s="1062">
        <v>42034</v>
      </c>
      <c r="P1894" s="1062">
        <v>42034</v>
      </c>
      <c r="Q1894" s="1062">
        <v>42125</v>
      </c>
      <c r="R1894" s="1062">
        <v>42216</v>
      </c>
      <c r="S1894" s="1062">
        <v>42307</v>
      </c>
      <c r="T1894" s="1062">
        <v>42398</v>
      </c>
      <c r="U1894" s="1062">
        <v>42398</v>
      </c>
      <c r="V1894" s="1062">
        <v>42489</v>
      </c>
      <c r="W1894" s="1062">
        <v>42580</v>
      </c>
      <c r="X1894" s="1062">
        <v>42671</v>
      </c>
      <c r="Y1894" s="1062">
        <v>42762</v>
      </c>
      <c r="Z1894" s="1062">
        <v>42762</v>
      </c>
      <c r="AA1894" s="1062">
        <v>42853</v>
      </c>
      <c r="AB1894" s="1062">
        <v>42944</v>
      </c>
      <c r="AC1894" s="1062">
        <v>43035</v>
      </c>
      <c r="AD1894" s="1062">
        <v>43133</v>
      </c>
      <c r="AE1894" s="1062">
        <v>43133</v>
      </c>
      <c r="AF1894" s="1062">
        <v>43224</v>
      </c>
      <c r="AG1894" s="1062">
        <v>43315</v>
      </c>
      <c r="AH1894" s="1062">
        <v>43406</v>
      </c>
      <c r="AI1894" s="1062">
        <v>43497</v>
      </c>
      <c r="AJ1894" s="1062">
        <v>43497</v>
      </c>
      <c r="AK1894" s="1062">
        <v>43588</v>
      </c>
      <c r="AL1894" s="1062">
        <v>43679</v>
      </c>
      <c r="AM1894" s="1062">
        <v>43770</v>
      </c>
      <c r="AN1894" s="1062">
        <v>43861</v>
      </c>
      <c r="AO1894" s="1062">
        <v>43861</v>
      </c>
      <c r="AP1894" s="1062">
        <v>43952</v>
      </c>
      <c r="AQ1894" s="1062">
        <v>44043</v>
      </c>
      <c r="AR1894" s="1062">
        <v>44134</v>
      </c>
      <c r="AS1894" s="1062">
        <v>44225</v>
      </c>
      <c r="AT1894" s="1062">
        <v>44225</v>
      </c>
      <c r="AU1894" s="1062">
        <v>44316</v>
      </c>
      <c r="AV1894" s="1062">
        <v>44407</v>
      </c>
      <c r="AW1894" s="1062">
        <v>44498</v>
      </c>
      <c r="AX1894" s="1062">
        <v>44589</v>
      </c>
      <c r="AY1894" s="1062">
        <v>44589</v>
      </c>
      <c r="AZ1894" s="1062">
        <v>44680</v>
      </c>
      <c r="BA1894" s="1062">
        <v>44771</v>
      </c>
      <c r="BB1894" s="1062">
        <v>44862</v>
      </c>
      <c r="BC1894" s="1062">
        <v>44953</v>
      </c>
      <c r="BD1894" s="1062">
        <v>44953</v>
      </c>
      <c r="BE1894" s="1062">
        <v>45044</v>
      </c>
      <c r="BF1894" s="1062">
        <v>45135</v>
      </c>
      <c r="BG1894" s="1062">
        <v>45226</v>
      </c>
      <c r="BH1894" s="1062">
        <v>45324</v>
      </c>
      <c r="BI1894" s="1063">
        <v>45324</v>
      </c>
      <c r="BJ1894" s="1062">
        <v>45415</v>
      </c>
      <c r="BK1894" s="1062">
        <v>45506</v>
      </c>
      <c r="BL1894" s="1062">
        <v>45597</v>
      </c>
      <c r="BM1894" s="1062">
        <v>45688</v>
      </c>
      <c r="BN1894" s="1062">
        <v>45688</v>
      </c>
      <c r="BO1894" s="1062">
        <v>45779</v>
      </c>
      <c r="BP1894" s="1062">
        <v>45870</v>
      </c>
      <c r="BQ1894" s="1062">
        <v>45961</v>
      </c>
      <c r="BR1894" s="1062">
        <v>46052</v>
      </c>
      <c r="BS1894" s="1062">
        <v>46052</v>
      </c>
      <c r="BT1894" s="1062">
        <v>46416</v>
      </c>
      <c r="BU1894" s="1062">
        <v>46780</v>
      </c>
      <c r="BV1894" s="1064">
        <v>47151</v>
      </c>
      <c r="BW1894" s="1036"/>
    </row>
    <row r="1895" spans="1:75" s="123" customFormat="1" collapsed="1" x14ac:dyDescent="0.5">
      <c r="A1895" s="1073" t="s">
        <v>1619</v>
      </c>
      <c r="B1895" s="119"/>
      <c r="C1895" s="1085">
        <v>0</v>
      </c>
      <c r="D1895" s="1085">
        <v>0</v>
      </c>
      <c r="E1895" s="1086">
        <v>0</v>
      </c>
      <c r="F1895" s="1086">
        <v>36.229999999999997</v>
      </c>
      <c r="G1895" s="1086">
        <v>38.79</v>
      </c>
      <c r="H1895" s="1086">
        <v>68.86</v>
      </c>
      <c r="I1895" s="1086">
        <v>68.59</v>
      </c>
      <c r="J1895" s="1086">
        <v>56.74</v>
      </c>
      <c r="K1895" s="1086">
        <v>56.74</v>
      </c>
      <c r="L1895" s="1086">
        <v>63.35</v>
      </c>
      <c r="M1895" s="1086">
        <v>82.14</v>
      </c>
      <c r="N1895" s="1086">
        <v>80.319999999999993</v>
      </c>
      <c r="O1895" s="1086">
        <v>87.53</v>
      </c>
      <c r="P1895" s="1086">
        <v>87.53</v>
      </c>
      <c r="Q1895" s="1086">
        <v>87.35</v>
      </c>
      <c r="R1895" s="1086">
        <v>101.46</v>
      </c>
      <c r="S1895" s="1086">
        <v>103.09</v>
      </c>
      <c r="T1895" s="1086">
        <v>61.62</v>
      </c>
      <c r="U1895" s="1086">
        <v>61.62</v>
      </c>
      <c r="V1895" s="1086">
        <v>43.27</v>
      </c>
      <c r="W1895" s="1086">
        <v>30.81</v>
      </c>
      <c r="X1895" s="1086">
        <v>29.02</v>
      </c>
      <c r="Y1895" s="1086">
        <v>26.09</v>
      </c>
      <c r="Z1895" s="1086">
        <v>26.09</v>
      </c>
      <c r="AA1895" s="1086">
        <v>47.97</v>
      </c>
      <c r="AB1895" s="1086">
        <v>69.87</v>
      </c>
      <c r="AC1895" s="1086">
        <v>86.64</v>
      </c>
      <c r="AD1895" s="1086">
        <v>92.04</v>
      </c>
      <c r="AE1895" s="1086">
        <v>92.04</v>
      </c>
      <c r="AF1895" s="1086">
        <v>100.84</v>
      </c>
      <c r="AG1895" s="1086">
        <v>134.74</v>
      </c>
      <c r="AH1895" s="1086">
        <v>124.91</v>
      </c>
      <c r="AI1895" s="1086">
        <v>133.63999999999999</v>
      </c>
      <c r="AJ1895" s="1086">
        <v>133.63999999999999</v>
      </c>
      <c r="AK1895" s="1086">
        <v>108.8</v>
      </c>
      <c r="AL1895" s="1086">
        <v>136.83000000000001</v>
      </c>
      <c r="AM1895" s="1086">
        <v>175.84</v>
      </c>
      <c r="AN1895" s="1086">
        <v>208.75</v>
      </c>
      <c r="AO1895" s="1086">
        <v>208.75</v>
      </c>
      <c r="AP1895" s="1086">
        <v>137.46</v>
      </c>
      <c r="AQ1895" s="1086">
        <v>287.43</v>
      </c>
      <c r="AR1895" s="1086">
        <v>335.23</v>
      </c>
      <c r="AS1895" s="1086">
        <v>475.36</v>
      </c>
      <c r="AT1895" s="1086">
        <v>475.36</v>
      </c>
      <c r="AU1895" s="1086">
        <v>688.02</v>
      </c>
      <c r="AV1895" s="1086">
        <v>664.08</v>
      </c>
      <c r="AW1895" s="1086">
        <v>659.63</v>
      </c>
      <c r="AX1895" s="1086">
        <v>391.92</v>
      </c>
      <c r="AY1895" s="1086">
        <v>391.92</v>
      </c>
      <c r="AZ1895" s="1086">
        <v>336.12</v>
      </c>
      <c r="BA1895" s="1086">
        <v>279.43</v>
      </c>
      <c r="BB1895" s="1086">
        <v>255.58</v>
      </c>
      <c r="BC1895" s="1086">
        <v>310.64999999999998</v>
      </c>
      <c r="BD1895" s="1086">
        <v>310.64999999999998</v>
      </c>
      <c r="BE1895" s="1086">
        <v>255.13</v>
      </c>
      <c r="BF1895" s="1086">
        <v>387.29</v>
      </c>
      <c r="BG1895" s="1086">
        <v>213.13</v>
      </c>
      <c r="BH1895" s="1086">
        <v>272.64</v>
      </c>
      <c r="BI1895" s="1087">
        <v>272.64</v>
      </c>
      <c r="BJ1895" s="1088"/>
      <c r="BK1895" s="1088"/>
      <c r="BL1895" s="1088"/>
      <c r="BM1895" s="1088"/>
      <c r="BN1895" s="1088"/>
      <c r="BO1895" s="1088"/>
      <c r="BP1895" s="1088"/>
      <c r="BQ1895" s="1088"/>
      <c r="BR1895" s="1088"/>
      <c r="BS1895" s="1088"/>
      <c r="BT1895" s="1088"/>
      <c r="BU1895" s="1088"/>
      <c r="BV1895" s="1089"/>
      <c r="BW1895" s="1036"/>
    </row>
    <row r="1896" spans="1:75" s="123" customFormat="1" collapsed="1" x14ac:dyDescent="0.5">
      <c r="A1896" s="1073" t="s">
        <v>1620</v>
      </c>
      <c r="B1896" s="119"/>
      <c r="C1896" s="1082">
        <v>1</v>
      </c>
      <c r="D1896" s="1082">
        <v>1</v>
      </c>
      <c r="E1896" s="1083">
        <v>1</v>
      </c>
      <c r="F1896" s="1083">
        <v>1</v>
      </c>
      <c r="G1896" s="1083">
        <v>1</v>
      </c>
      <c r="H1896" s="1083">
        <v>1</v>
      </c>
      <c r="I1896" s="1083">
        <v>1</v>
      </c>
      <c r="J1896" s="1083">
        <v>1</v>
      </c>
      <c r="K1896" s="1083">
        <v>1</v>
      </c>
      <c r="L1896" s="1083">
        <v>1</v>
      </c>
      <c r="M1896" s="1083">
        <v>1</v>
      </c>
      <c r="N1896" s="1083">
        <v>1</v>
      </c>
      <c r="O1896" s="1083">
        <v>1</v>
      </c>
      <c r="P1896" s="1083">
        <v>1</v>
      </c>
      <c r="Q1896" s="1083">
        <v>1</v>
      </c>
      <c r="R1896" s="1083">
        <v>1</v>
      </c>
      <c r="S1896" s="1083">
        <v>1</v>
      </c>
      <c r="T1896" s="1083">
        <v>1</v>
      </c>
      <c r="U1896" s="1083">
        <v>1</v>
      </c>
      <c r="V1896" s="1083">
        <v>1</v>
      </c>
      <c r="W1896" s="1083">
        <v>1</v>
      </c>
      <c r="X1896" s="1083">
        <v>1</v>
      </c>
      <c r="Y1896" s="1083">
        <v>1</v>
      </c>
      <c r="Z1896" s="1083">
        <v>1</v>
      </c>
      <c r="AA1896" s="1083">
        <v>1</v>
      </c>
      <c r="AB1896" s="1083">
        <v>1</v>
      </c>
      <c r="AC1896" s="1083">
        <v>1</v>
      </c>
      <c r="AD1896" s="1083">
        <v>1</v>
      </c>
      <c r="AE1896" s="1083">
        <v>1</v>
      </c>
      <c r="AF1896" s="1083">
        <v>1</v>
      </c>
      <c r="AG1896" s="1083">
        <v>1</v>
      </c>
      <c r="AH1896" s="1083">
        <v>1</v>
      </c>
      <c r="AI1896" s="1083">
        <v>1</v>
      </c>
      <c r="AJ1896" s="1083">
        <v>1</v>
      </c>
      <c r="AK1896" s="1083">
        <v>1</v>
      </c>
      <c r="AL1896" s="1083">
        <v>1</v>
      </c>
      <c r="AM1896" s="1083">
        <v>1</v>
      </c>
      <c r="AN1896" s="1083">
        <v>1</v>
      </c>
      <c r="AO1896" s="1083">
        <v>1</v>
      </c>
      <c r="AP1896" s="1083">
        <v>1</v>
      </c>
      <c r="AQ1896" s="1083">
        <v>1</v>
      </c>
      <c r="AR1896" s="1083">
        <v>1</v>
      </c>
      <c r="AS1896" s="1083">
        <v>1</v>
      </c>
      <c r="AT1896" s="1083">
        <v>1</v>
      </c>
      <c r="AU1896" s="1083">
        <v>1</v>
      </c>
      <c r="AV1896" s="1083">
        <v>1</v>
      </c>
      <c r="AW1896" s="1083">
        <v>1</v>
      </c>
      <c r="AX1896" s="1083">
        <v>1</v>
      </c>
      <c r="AY1896" s="1083">
        <v>1</v>
      </c>
      <c r="AZ1896" s="1083">
        <v>1</v>
      </c>
      <c r="BA1896" s="1083">
        <v>1</v>
      </c>
      <c r="BB1896" s="1083">
        <v>1</v>
      </c>
      <c r="BC1896" s="1083">
        <v>1</v>
      </c>
      <c r="BD1896" s="1083">
        <v>1</v>
      </c>
      <c r="BE1896" s="1083">
        <v>1</v>
      </c>
      <c r="BF1896" s="1083">
        <v>1</v>
      </c>
      <c r="BG1896" s="1083">
        <v>1</v>
      </c>
      <c r="BH1896" s="1083">
        <v>1</v>
      </c>
      <c r="BI1896" s="1084">
        <v>1</v>
      </c>
      <c r="BJ1896" s="1076"/>
      <c r="BK1896" s="1076"/>
      <c r="BL1896" s="1076"/>
      <c r="BM1896" s="1076"/>
      <c r="BN1896" s="1076"/>
      <c r="BO1896" s="1076"/>
      <c r="BP1896" s="1076"/>
      <c r="BQ1896" s="1076"/>
      <c r="BR1896" s="1076"/>
      <c r="BS1896" s="1076"/>
      <c r="BT1896" s="1076"/>
      <c r="BU1896" s="1076"/>
      <c r="BV1896" s="1079"/>
      <c r="BW1896" s="1036"/>
    </row>
    <row r="1897" spans="1:75" s="123" customFormat="1" collapsed="1" x14ac:dyDescent="0.5">
      <c r="A1897" s="1090"/>
      <c r="B1897" s="312"/>
      <c r="C1897" s="1091"/>
      <c r="D1897" s="1091"/>
      <c r="E1897" s="1092"/>
      <c r="F1897" s="1092"/>
      <c r="G1897" s="1092"/>
      <c r="H1897" s="1092"/>
      <c r="I1897" s="1092"/>
      <c r="J1897" s="1092"/>
      <c r="K1897" s="1092"/>
      <c r="L1897" s="1092"/>
      <c r="M1897" s="1092"/>
      <c r="N1897" s="1092"/>
      <c r="O1897" s="1092"/>
      <c r="P1897" s="1092"/>
      <c r="Q1897" s="1092"/>
      <c r="R1897" s="1092"/>
      <c r="S1897" s="1092"/>
      <c r="T1897" s="1092"/>
      <c r="U1897" s="1092"/>
      <c r="V1897" s="1092"/>
      <c r="W1897" s="1092"/>
      <c r="X1897" s="1092"/>
      <c r="Y1897" s="1092"/>
      <c r="Z1897" s="1092"/>
      <c r="AA1897" s="1092"/>
      <c r="AB1897" s="1092"/>
      <c r="AC1897" s="1092"/>
      <c r="AD1897" s="1092"/>
      <c r="AE1897" s="1092"/>
      <c r="AF1897" s="1092"/>
      <c r="AG1897" s="1092"/>
      <c r="AH1897" s="1092"/>
      <c r="AI1897" s="1092"/>
      <c r="AJ1897" s="1092"/>
      <c r="AK1897" s="1092"/>
      <c r="AL1897" s="1092"/>
      <c r="AM1897" s="1092"/>
      <c r="AN1897" s="1092"/>
      <c r="AO1897" s="1092"/>
      <c r="AP1897" s="1092"/>
      <c r="AQ1897" s="1092"/>
      <c r="AR1897" s="1092"/>
      <c r="AS1897" s="1092"/>
      <c r="AT1897" s="1092"/>
      <c r="AU1897" s="1092"/>
      <c r="AV1897" s="1092"/>
      <c r="AW1897" s="1092"/>
      <c r="AX1897" s="1092"/>
      <c r="AY1897" s="1092"/>
      <c r="AZ1897" s="1092"/>
      <c r="BA1897" s="1092"/>
      <c r="BB1897" s="1092"/>
      <c r="BC1897" s="1092"/>
      <c r="BD1897" s="1092"/>
      <c r="BE1897" s="1092"/>
      <c r="BF1897" s="1092"/>
      <c r="BG1897" s="1092"/>
      <c r="BH1897" s="1092"/>
      <c r="BI1897" s="1093"/>
      <c r="BJ1897" s="1092"/>
      <c r="BK1897" s="1092"/>
      <c r="BL1897" s="1092"/>
      <c r="BM1897" s="1092"/>
      <c r="BN1897" s="1092"/>
      <c r="BO1897" s="1092"/>
      <c r="BP1897" s="1092"/>
      <c r="BQ1897" s="1092"/>
      <c r="BR1897" s="1092"/>
      <c r="BS1897" s="1092"/>
      <c r="BT1897" s="1092"/>
      <c r="BU1897" s="1092"/>
      <c r="BV1897" s="1094"/>
      <c r="BW1897" s="1036"/>
    </row>
    <row r="1898" spans="1:75" s="123" customFormat="1" x14ac:dyDescent="0.5">
      <c r="A1898" s="1051"/>
      <c r="B1898" s="1052"/>
      <c r="C1898" s="1057"/>
      <c r="D1898" s="1057"/>
      <c r="E1898" s="1056"/>
      <c r="F1898" s="1056"/>
      <c r="G1898" s="1056"/>
      <c r="H1898" s="1056"/>
      <c r="I1898" s="1056"/>
      <c r="J1898" s="1056"/>
      <c r="K1898" s="1056"/>
      <c r="L1898" s="1056"/>
      <c r="M1898" s="1056"/>
      <c r="N1898" s="1056"/>
      <c r="O1898" s="1056"/>
      <c r="P1898" s="1056"/>
      <c r="Q1898" s="1056"/>
      <c r="R1898" s="1056"/>
      <c r="S1898" s="1056"/>
      <c r="T1898" s="1056"/>
      <c r="U1898" s="1056"/>
      <c r="V1898" s="1056"/>
      <c r="W1898" s="1056"/>
      <c r="X1898" s="1056"/>
      <c r="Y1898" s="1056"/>
      <c r="Z1898" s="1056"/>
      <c r="AA1898" s="1056"/>
      <c r="AB1898" s="1056"/>
      <c r="AC1898" s="1056"/>
      <c r="AD1898" s="1056"/>
      <c r="AE1898" s="1056"/>
      <c r="AF1898" s="1056"/>
      <c r="AG1898" s="1056"/>
      <c r="AH1898" s="1056"/>
      <c r="AI1898" s="1056"/>
      <c r="AJ1898" s="1056"/>
      <c r="AK1898" s="1056"/>
      <c r="AL1898" s="1056"/>
      <c r="AM1898" s="1056"/>
      <c r="AN1898" s="1056"/>
      <c r="AO1898" s="1056"/>
      <c r="AP1898" s="1056"/>
      <c r="AQ1898" s="1056"/>
      <c r="AR1898" s="1056"/>
      <c r="AS1898" s="1056"/>
      <c r="AT1898" s="1056"/>
      <c r="AU1898" s="1056"/>
      <c r="AV1898" s="1056"/>
      <c r="AW1898" s="1056"/>
      <c r="AX1898" s="1056"/>
      <c r="AY1898" s="1056"/>
      <c r="AZ1898" s="1056"/>
      <c r="BA1898" s="1056"/>
      <c r="BB1898" s="1056"/>
      <c r="BC1898" s="1056"/>
      <c r="BD1898" s="1056"/>
      <c r="BE1898" s="1056"/>
      <c r="BF1898" s="1056"/>
      <c r="BG1898" s="1056"/>
      <c r="BH1898" s="1056"/>
      <c r="BI1898" s="1058"/>
      <c r="BJ1898" s="1056"/>
      <c r="BK1898" s="1056"/>
      <c r="BL1898" s="1056"/>
      <c r="BM1898" s="1056"/>
      <c r="BN1898" s="1056"/>
      <c r="BO1898" s="1056"/>
      <c r="BP1898" s="1056"/>
      <c r="BQ1898" s="1056"/>
      <c r="BR1898" s="1056"/>
      <c r="BS1898" s="1056"/>
      <c r="BT1898" s="1056"/>
      <c r="BU1898" s="1056"/>
      <c r="BV1898" s="1056"/>
      <c r="BW1898" s="216"/>
    </row>
    <row r="1899" spans="1:75" s="123" customFormat="1" x14ac:dyDescent="0.5">
      <c r="A1899" s="1095" t="s">
        <v>1621</v>
      </c>
      <c r="B1899" s="1056"/>
      <c r="C1899" s="119"/>
      <c r="D1899" s="119"/>
      <c r="E1899" s="119"/>
      <c r="F1899" s="119"/>
      <c r="G1899" s="119"/>
      <c r="H1899" s="119"/>
      <c r="I1899" s="119"/>
      <c r="J1899" s="119"/>
      <c r="K1899" s="119"/>
      <c r="L1899" s="119"/>
      <c r="M1899" s="119"/>
      <c r="N1899" s="119"/>
      <c r="O1899" s="119"/>
      <c r="P1899" s="119"/>
      <c r="Q1899" s="119"/>
      <c r="R1899" s="119"/>
      <c r="S1899" s="119"/>
      <c r="T1899" s="119"/>
      <c r="U1899" s="119"/>
      <c r="V1899" s="119"/>
      <c r="W1899" s="119"/>
      <c r="X1899" s="119"/>
      <c r="Y1899" s="119"/>
      <c r="Z1899" s="119"/>
      <c r="AA1899" s="119"/>
      <c r="AB1899" s="119"/>
      <c r="AC1899" s="119"/>
      <c r="AD1899" s="119"/>
      <c r="AE1899" s="119"/>
      <c r="AF1899" s="119"/>
      <c r="AG1899" s="119"/>
      <c r="AH1899" s="119"/>
      <c r="AI1899" s="119"/>
      <c r="AJ1899" s="119"/>
      <c r="AK1899" s="119"/>
      <c r="AL1899" s="119"/>
      <c r="AM1899" s="119"/>
      <c r="AN1899" s="119"/>
      <c r="AO1899" s="119"/>
      <c r="AP1899" s="119"/>
      <c r="AQ1899" s="119"/>
      <c r="AR1899" s="119"/>
      <c r="AS1899" s="119"/>
      <c r="AT1899" s="119"/>
      <c r="AU1899" s="119"/>
      <c r="AV1899" s="119"/>
      <c r="AW1899" s="119"/>
      <c r="AX1899" s="119"/>
      <c r="AY1899" s="119"/>
      <c r="AZ1899" s="119"/>
      <c r="BA1899" s="119"/>
      <c r="BB1899" s="119"/>
      <c r="BC1899" s="119"/>
      <c r="BD1899" s="119"/>
      <c r="BE1899" s="119"/>
      <c r="BF1899" s="119"/>
      <c r="BG1899" s="119"/>
      <c r="BH1899" s="119"/>
      <c r="BI1899" s="971"/>
      <c r="BJ1899" s="118"/>
      <c r="BK1899" s="118"/>
      <c r="BL1899" s="118"/>
      <c r="BM1899" s="118"/>
      <c r="BN1899" s="118"/>
      <c r="BO1899" s="118"/>
      <c r="BP1899" s="118"/>
      <c r="BQ1899" s="118"/>
      <c r="BR1899" s="118"/>
      <c r="BS1899" s="118"/>
      <c r="BT1899" s="119"/>
      <c r="BU1899" s="119"/>
      <c r="BV1899" s="118"/>
      <c r="BW1899" s="122"/>
    </row>
    <row r="1900" spans="1:75" s="921" customFormat="1" x14ac:dyDescent="0.5">
      <c r="A1900" s="915" t="s">
        <v>1622</v>
      </c>
      <c r="B1900" s="785">
        <v>334.75</v>
      </c>
      <c r="C1900" s="785"/>
      <c r="D1900" s="785"/>
      <c r="E1900" s="785"/>
      <c r="F1900" s="785"/>
      <c r="G1900" s="785"/>
      <c r="H1900" s="785"/>
      <c r="I1900" s="785"/>
      <c r="J1900" s="785"/>
      <c r="K1900" s="785"/>
      <c r="L1900" s="785"/>
      <c r="M1900" s="785"/>
      <c r="N1900" s="785"/>
      <c r="O1900" s="785"/>
      <c r="P1900" s="785"/>
      <c r="Q1900" s="785"/>
      <c r="R1900" s="785"/>
      <c r="S1900" s="785"/>
      <c r="T1900" s="785"/>
      <c r="U1900" s="785"/>
      <c r="V1900" s="785"/>
      <c r="W1900" s="785"/>
      <c r="X1900" s="785"/>
      <c r="Y1900" s="785"/>
      <c r="Z1900" s="785"/>
      <c r="AA1900" s="785"/>
      <c r="AB1900" s="785"/>
      <c r="AC1900" s="785"/>
      <c r="AD1900" s="785"/>
      <c r="AE1900" s="785"/>
      <c r="AF1900" s="785"/>
      <c r="AG1900" s="785"/>
      <c r="AH1900" s="785"/>
      <c r="AI1900" s="785"/>
      <c r="AJ1900" s="785"/>
      <c r="AK1900" s="785"/>
      <c r="AL1900" s="785"/>
      <c r="AM1900" s="785"/>
      <c r="AN1900" s="785"/>
      <c r="AO1900" s="785"/>
      <c r="AP1900" s="785"/>
      <c r="AQ1900" s="785"/>
      <c r="AR1900" s="785"/>
      <c r="AS1900" s="785"/>
      <c r="AT1900" s="785"/>
      <c r="AU1900" s="785"/>
      <c r="AV1900" s="785"/>
      <c r="AW1900" s="785"/>
      <c r="AX1900" s="785"/>
      <c r="AY1900" s="785"/>
      <c r="AZ1900" s="785"/>
      <c r="BA1900" s="785"/>
      <c r="BB1900" s="785"/>
      <c r="BC1900" s="785"/>
      <c r="BD1900" s="785"/>
      <c r="BE1900" s="785"/>
      <c r="BF1900" s="785"/>
      <c r="BG1900" s="785"/>
      <c r="BH1900" s="785"/>
      <c r="BI1900" s="1067"/>
      <c r="BJ1900" s="785"/>
      <c r="BK1900" s="785"/>
      <c r="BL1900" s="785"/>
      <c r="BM1900" s="785"/>
      <c r="BN1900" s="785"/>
      <c r="BO1900" s="785"/>
      <c r="BP1900" s="785"/>
      <c r="BQ1900" s="785"/>
      <c r="BR1900" s="785"/>
      <c r="BS1900" s="785"/>
      <c r="BT1900" s="785"/>
      <c r="BU1900" s="785"/>
      <c r="BV1900" s="785"/>
      <c r="BW1900" s="787"/>
    </row>
    <row r="1901" spans="1:75" x14ac:dyDescent="0.5">
      <c r="A1901" s="464" t="s">
        <v>1623</v>
      </c>
      <c r="B1901" s="1096">
        <v>45383</v>
      </c>
      <c r="C1901" s="127"/>
      <c r="D1901" s="127"/>
      <c r="E1901" s="127"/>
      <c r="F1901" s="127"/>
      <c r="G1901" s="127"/>
      <c r="H1901" s="127"/>
      <c r="I1901" s="127"/>
      <c r="J1901" s="127"/>
      <c r="K1901" s="127"/>
      <c r="L1901" s="127"/>
      <c r="M1901" s="127"/>
      <c r="N1901" s="127"/>
      <c r="O1901" s="127"/>
      <c r="P1901" s="127"/>
      <c r="Q1901" s="127"/>
      <c r="R1901" s="127"/>
      <c r="S1901" s="127"/>
      <c r="T1901" s="127"/>
      <c r="U1901" s="127"/>
      <c r="V1901" s="127"/>
      <c r="W1901" s="127"/>
      <c r="X1901" s="127"/>
      <c r="Y1901" s="127"/>
      <c r="Z1901" s="127"/>
      <c r="AA1901" s="127"/>
      <c r="AB1901" s="127"/>
      <c r="AC1901" s="127"/>
      <c r="AD1901" s="127"/>
      <c r="AE1901" s="127"/>
      <c r="AF1901" s="127"/>
      <c r="AG1901" s="127"/>
      <c r="AH1901" s="127"/>
      <c r="AI1901" s="127"/>
      <c r="AJ1901" s="127"/>
      <c r="AK1901" s="127"/>
      <c r="AL1901" s="127"/>
      <c r="AM1901" s="127"/>
      <c r="AN1901" s="127"/>
      <c r="AO1901" s="127"/>
      <c r="AP1901" s="127"/>
      <c r="AQ1901" s="127"/>
      <c r="AR1901" s="127"/>
      <c r="AS1901" s="127"/>
      <c r="AT1901" s="127"/>
      <c r="AU1901" s="127"/>
      <c r="AV1901" s="127"/>
      <c r="AW1901" s="127"/>
      <c r="AX1901" s="127"/>
      <c r="AY1901" s="127"/>
      <c r="AZ1901" s="127"/>
      <c r="BA1901" s="127"/>
      <c r="BB1901" s="127"/>
      <c r="BC1901" s="127"/>
      <c r="BD1901" s="127"/>
      <c r="BE1901" s="127"/>
      <c r="BF1901" s="127"/>
      <c r="BG1901" s="127"/>
      <c r="BH1901" s="127"/>
      <c r="BI1901" s="1097"/>
      <c r="BJ1901" s="127"/>
      <c r="BK1901" s="127"/>
      <c r="BL1901" s="127"/>
      <c r="BM1901" s="127"/>
      <c r="BN1901" s="127"/>
      <c r="BO1901" s="127"/>
      <c r="BP1901" s="127"/>
      <c r="BQ1901" s="127"/>
      <c r="BR1901" s="127"/>
      <c r="BS1901" s="127"/>
      <c r="BT1901" s="127"/>
      <c r="BU1901" s="127"/>
      <c r="BV1901" s="127"/>
      <c r="BW1901" s="152"/>
    </row>
    <row r="1902" spans="1:75" x14ac:dyDescent="0.5">
      <c r="A1902" s="464" t="s">
        <v>1624</v>
      </c>
      <c r="B1902" s="152" t="b">
        <v>0</v>
      </c>
      <c r="C1902" s="127"/>
      <c r="D1902" s="127"/>
      <c r="E1902" s="127"/>
      <c r="F1902" s="127"/>
      <c r="G1902" s="127"/>
      <c r="H1902" s="127"/>
      <c r="I1902" s="127"/>
      <c r="J1902" s="127"/>
      <c r="K1902" s="127"/>
      <c r="L1902" s="127"/>
      <c r="M1902" s="127"/>
      <c r="N1902" s="127"/>
      <c r="O1902" s="127"/>
      <c r="P1902" s="127"/>
      <c r="Q1902" s="127"/>
      <c r="R1902" s="127"/>
      <c r="S1902" s="127"/>
      <c r="T1902" s="127"/>
      <c r="U1902" s="127"/>
      <c r="V1902" s="127"/>
      <c r="W1902" s="127"/>
      <c r="X1902" s="127"/>
      <c r="Y1902" s="127"/>
      <c r="Z1902" s="127"/>
      <c r="AA1902" s="127"/>
      <c r="AB1902" s="127"/>
      <c r="AC1902" s="127"/>
      <c r="AD1902" s="127"/>
      <c r="AE1902" s="127"/>
      <c r="AF1902" s="127"/>
      <c r="AG1902" s="127"/>
      <c r="AH1902" s="127"/>
      <c r="AI1902" s="127"/>
      <c r="AJ1902" s="127"/>
      <c r="AK1902" s="127"/>
      <c r="AL1902" s="127"/>
      <c r="AM1902" s="127"/>
      <c r="AN1902" s="127"/>
      <c r="AO1902" s="127"/>
      <c r="AP1902" s="127"/>
      <c r="AQ1902" s="127"/>
      <c r="AR1902" s="127"/>
      <c r="AS1902" s="127"/>
      <c r="AT1902" s="127"/>
      <c r="AU1902" s="127"/>
      <c r="AV1902" s="127"/>
      <c r="AW1902" s="127"/>
      <c r="AX1902" s="127"/>
      <c r="AY1902" s="127"/>
      <c r="AZ1902" s="127"/>
      <c r="BA1902" s="127"/>
      <c r="BB1902" s="127"/>
      <c r="BC1902" s="127"/>
      <c r="BD1902" s="127"/>
      <c r="BE1902" s="127"/>
      <c r="BF1902" s="127"/>
      <c r="BG1902" s="127"/>
      <c r="BH1902" s="127"/>
      <c r="BI1902" s="1097"/>
      <c r="BJ1902" s="127"/>
      <c r="BK1902" s="127"/>
      <c r="BL1902" s="127"/>
      <c r="BM1902" s="127"/>
      <c r="BN1902" s="127"/>
      <c r="BO1902" s="127"/>
      <c r="BP1902" s="127"/>
      <c r="BQ1902" s="127"/>
      <c r="BR1902" s="127"/>
      <c r="BS1902" s="127"/>
      <c r="BT1902" s="127"/>
      <c r="BU1902" s="127"/>
      <c r="BV1902" s="127"/>
      <c r="BW1902" s="152"/>
    </row>
    <row r="1903" spans="1:75" s="921" customFormat="1" x14ac:dyDescent="0.5">
      <c r="A1903" s="915" t="s">
        <v>1625</v>
      </c>
      <c r="B1903" s="787" t="s">
        <v>189</v>
      </c>
      <c r="C1903" s="785"/>
      <c r="D1903" s="785"/>
      <c r="E1903" s="785"/>
      <c r="F1903" s="785"/>
      <c r="G1903" s="785"/>
      <c r="H1903" s="785"/>
      <c r="I1903" s="785"/>
      <c r="J1903" s="785"/>
      <c r="K1903" s="785"/>
      <c r="L1903" s="785"/>
      <c r="M1903" s="785"/>
      <c r="N1903" s="785"/>
      <c r="O1903" s="785"/>
      <c r="P1903" s="785"/>
      <c r="Q1903" s="785"/>
      <c r="R1903" s="785"/>
      <c r="S1903" s="785"/>
      <c r="T1903" s="785"/>
      <c r="U1903" s="785"/>
      <c r="V1903" s="785"/>
      <c r="W1903" s="785"/>
      <c r="X1903" s="785"/>
      <c r="Y1903" s="785"/>
      <c r="Z1903" s="785"/>
      <c r="AA1903" s="785"/>
      <c r="AB1903" s="785"/>
      <c r="AC1903" s="785"/>
      <c r="AD1903" s="785"/>
      <c r="AE1903" s="785"/>
      <c r="AF1903" s="785"/>
      <c r="AG1903" s="785"/>
      <c r="AH1903" s="785"/>
      <c r="AI1903" s="785"/>
      <c r="AJ1903" s="785"/>
      <c r="AK1903" s="785"/>
      <c r="AL1903" s="785"/>
      <c r="AM1903" s="785"/>
      <c r="AN1903" s="785"/>
      <c r="AO1903" s="785"/>
      <c r="AP1903" s="785"/>
      <c r="AQ1903" s="785"/>
      <c r="AR1903" s="785"/>
      <c r="AS1903" s="785"/>
      <c r="AT1903" s="785"/>
      <c r="AU1903" s="785"/>
      <c r="AV1903" s="785"/>
      <c r="AW1903" s="785"/>
      <c r="AX1903" s="785"/>
      <c r="AY1903" s="785"/>
      <c r="AZ1903" s="785"/>
      <c r="BA1903" s="785"/>
      <c r="BB1903" s="785"/>
      <c r="BC1903" s="785"/>
      <c r="BD1903" s="785"/>
      <c r="BE1903" s="785"/>
      <c r="BF1903" s="785"/>
      <c r="BG1903" s="785"/>
      <c r="BH1903" s="785"/>
      <c r="BI1903" s="1067"/>
      <c r="BJ1903" s="785"/>
      <c r="BK1903" s="785"/>
      <c r="BL1903" s="785"/>
      <c r="BM1903" s="785"/>
      <c r="BN1903" s="785"/>
      <c r="BO1903" s="785"/>
      <c r="BP1903" s="785"/>
      <c r="BQ1903" s="785"/>
      <c r="BR1903" s="785"/>
      <c r="BS1903" s="785"/>
      <c r="BT1903" s="785"/>
      <c r="BU1903" s="785"/>
      <c r="BV1903" s="785"/>
      <c r="BW1903" s="787"/>
    </row>
    <row r="1904" spans="1:75" s="921" customFormat="1" x14ac:dyDescent="0.5">
      <c r="A1904" s="915" t="s">
        <v>1626</v>
      </c>
      <c r="B1904" s="787" t="b">
        <v>0</v>
      </c>
      <c r="C1904" s="785"/>
      <c r="D1904" s="785"/>
      <c r="E1904" s="785"/>
      <c r="F1904" s="785"/>
      <c r="G1904" s="785"/>
      <c r="H1904" s="785"/>
      <c r="I1904" s="785"/>
      <c r="J1904" s="785"/>
      <c r="K1904" s="785"/>
      <c r="L1904" s="785"/>
      <c r="M1904" s="785"/>
      <c r="N1904" s="785"/>
      <c r="O1904" s="785"/>
      <c r="P1904" s="785"/>
      <c r="Q1904" s="785"/>
      <c r="R1904" s="785"/>
      <c r="S1904" s="785"/>
      <c r="T1904" s="785"/>
      <c r="U1904" s="785"/>
      <c r="V1904" s="785"/>
      <c r="W1904" s="785"/>
      <c r="X1904" s="785"/>
      <c r="Y1904" s="785"/>
      <c r="Z1904" s="785"/>
      <c r="AA1904" s="785"/>
      <c r="AB1904" s="785"/>
      <c r="AC1904" s="785"/>
      <c r="AD1904" s="785"/>
      <c r="AE1904" s="785"/>
      <c r="AF1904" s="785"/>
      <c r="AG1904" s="785"/>
      <c r="AH1904" s="785"/>
      <c r="AI1904" s="785"/>
      <c r="AJ1904" s="785"/>
      <c r="AK1904" s="785"/>
      <c r="AL1904" s="785"/>
      <c r="AM1904" s="785"/>
      <c r="AN1904" s="785"/>
      <c r="AO1904" s="785"/>
      <c r="AP1904" s="785"/>
      <c r="AQ1904" s="785"/>
      <c r="AR1904" s="785"/>
      <c r="AS1904" s="785"/>
      <c r="AT1904" s="785"/>
      <c r="AU1904" s="785"/>
      <c r="AV1904" s="785"/>
      <c r="AW1904" s="785"/>
      <c r="AX1904" s="785"/>
      <c r="AY1904" s="785"/>
      <c r="AZ1904" s="785"/>
      <c r="BA1904" s="785"/>
      <c r="BB1904" s="785"/>
      <c r="BC1904" s="785"/>
      <c r="BD1904" s="785"/>
      <c r="BE1904" s="785"/>
      <c r="BF1904" s="785"/>
      <c r="BG1904" s="785"/>
      <c r="BH1904" s="785"/>
      <c r="BI1904" s="1067"/>
      <c r="BJ1904" s="785"/>
      <c r="BK1904" s="785"/>
      <c r="BL1904" s="785"/>
      <c r="BM1904" s="785"/>
      <c r="BN1904" s="785"/>
      <c r="BO1904" s="785"/>
      <c r="BP1904" s="785"/>
      <c r="BQ1904" s="785"/>
      <c r="BR1904" s="785"/>
      <c r="BS1904" s="785"/>
      <c r="BT1904" s="785"/>
      <c r="BU1904" s="785"/>
      <c r="BV1904" s="785"/>
      <c r="BW1904" s="787"/>
    </row>
    <row r="1905" spans="1:75" s="921" customFormat="1" x14ac:dyDescent="0.5">
      <c r="A1905" s="915" t="s">
        <v>1627</v>
      </c>
      <c r="B1905" s="787" t="s">
        <v>102</v>
      </c>
      <c r="C1905" s="785"/>
      <c r="D1905" s="785"/>
      <c r="E1905" s="785"/>
      <c r="F1905" s="785"/>
      <c r="G1905" s="785"/>
      <c r="H1905" s="785"/>
      <c r="I1905" s="785"/>
      <c r="J1905" s="785"/>
      <c r="K1905" s="785"/>
      <c r="L1905" s="785"/>
      <c r="M1905" s="785"/>
      <c r="N1905" s="785"/>
      <c r="O1905" s="785"/>
      <c r="P1905" s="785"/>
      <c r="Q1905" s="785"/>
      <c r="R1905" s="785"/>
      <c r="S1905" s="785"/>
      <c r="T1905" s="785"/>
      <c r="U1905" s="785"/>
      <c r="V1905" s="785"/>
      <c r="W1905" s="785"/>
      <c r="X1905" s="785"/>
      <c r="Y1905" s="785"/>
      <c r="Z1905" s="785"/>
      <c r="AA1905" s="785"/>
      <c r="AB1905" s="785"/>
      <c r="AC1905" s="785"/>
      <c r="AD1905" s="785"/>
      <c r="AE1905" s="785"/>
      <c r="AF1905" s="785"/>
      <c r="AG1905" s="785"/>
      <c r="AH1905" s="785"/>
      <c r="AI1905" s="785"/>
      <c r="AJ1905" s="785"/>
      <c r="AK1905" s="785"/>
      <c r="AL1905" s="785"/>
      <c r="AM1905" s="785"/>
      <c r="AN1905" s="785"/>
      <c r="AO1905" s="785"/>
      <c r="AP1905" s="785"/>
      <c r="AQ1905" s="785"/>
      <c r="AR1905" s="785"/>
      <c r="AS1905" s="785"/>
      <c r="AT1905" s="785"/>
      <c r="AU1905" s="785"/>
      <c r="AV1905" s="785"/>
      <c r="AW1905" s="785"/>
      <c r="AX1905" s="785"/>
      <c r="AY1905" s="785"/>
      <c r="AZ1905" s="785"/>
      <c r="BA1905" s="785"/>
      <c r="BB1905" s="785"/>
      <c r="BC1905" s="785"/>
      <c r="BD1905" s="785"/>
      <c r="BE1905" s="785"/>
      <c r="BF1905" s="785"/>
      <c r="BG1905" s="785"/>
      <c r="BH1905" s="785"/>
      <c r="BI1905" s="1067"/>
      <c r="BJ1905" s="785"/>
      <c r="BK1905" s="785"/>
      <c r="BL1905" s="785"/>
      <c r="BM1905" s="785"/>
      <c r="BN1905" s="785"/>
      <c r="BO1905" s="785"/>
      <c r="BP1905" s="785"/>
      <c r="BQ1905" s="785"/>
      <c r="BR1905" s="785"/>
      <c r="BS1905" s="785"/>
      <c r="BT1905" s="785"/>
      <c r="BU1905" s="785"/>
      <c r="BV1905" s="785"/>
      <c r="BW1905" s="787"/>
    </row>
    <row r="1906" spans="1:75" s="921" customFormat="1" x14ac:dyDescent="0.5">
      <c r="A1906" s="915" t="s">
        <v>1628</v>
      </c>
      <c r="B1906" s="1071" t="s">
        <v>102</v>
      </c>
      <c r="C1906" s="785"/>
      <c r="D1906" s="785"/>
      <c r="E1906" s="785"/>
      <c r="F1906" s="785"/>
      <c r="G1906" s="785"/>
      <c r="H1906" s="785"/>
      <c r="I1906" s="785"/>
      <c r="J1906" s="785"/>
      <c r="K1906" s="785"/>
      <c r="L1906" s="785"/>
      <c r="M1906" s="785"/>
      <c r="N1906" s="785"/>
      <c r="O1906" s="785"/>
      <c r="P1906" s="785"/>
      <c r="Q1906" s="785"/>
      <c r="R1906" s="785"/>
      <c r="S1906" s="785"/>
      <c r="T1906" s="785"/>
      <c r="U1906" s="785"/>
      <c r="V1906" s="785"/>
      <c r="W1906" s="785"/>
      <c r="X1906" s="785"/>
      <c r="Y1906" s="785"/>
      <c r="Z1906" s="785"/>
      <c r="AA1906" s="785"/>
      <c r="AB1906" s="785"/>
      <c r="AC1906" s="785"/>
      <c r="AD1906" s="785"/>
      <c r="AE1906" s="785"/>
      <c r="AF1906" s="785"/>
      <c r="AG1906" s="785"/>
      <c r="AH1906" s="785"/>
      <c r="AI1906" s="785"/>
      <c r="AJ1906" s="785"/>
      <c r="AK1906" s="785"/>
      <c r="AL1906" s="785"/>
      <c r="AM1906" s="785"/>
      <c r="AN1906" s="785"/>
      <c r="AO1906" s="785"/>
      <c r="AP1906" s="785"/>
      <c r="AQ1906" s="785"/>
      <c r="AR1906" s="785"/>
      <c r="AS1906" s="785"/>
      <c r="AT1906" s="785"/>
      <c r="AU1906" s="785"/>
      <c r="AV1906" s="785"/>
      <c r="AW1906" s="785"/>
      <c r="AX1906" s="785"/>
      <c r="AY1906" s="785"/>
      <c r="AZ1906" s="785"/>
      <c r="BA1906" s="785"/>
      <c r="BB1906" s="785"/>
      <c r="BC1906" s="785"/>
      <c r="BD1906" s="785"/>
      <c r="BE1906" s="785"/>
      <c r="BF1906" s="785"/>
      <c r="BG1906" s="785"/>
      <c r="BH1906" s="785"/>
      <c r="BI1906" s="1067"/>
      <c r="BJ1906" s="785"/>
      <c r="BK1906" s="785"/>
      <c r="BL1906" s="785"/>
      <c r="BM1906" s="785"/>
      <c r="BN1906" s="785"/>
      <c r="BO1906" s="785"/>
      <c r="BP1906" s="785"/>
      <c r="BQ1906" s="785"/>
      <c r="BR1906" s="785"/>
      <c r="BS1906" s="785"/>
      <c r="BT1906" s="785"/>
      <c r="BU1906" s="785"/>
      <c r="BV1906" s="785"/>
      <c r="BW1906" s="787"/>
    </row>
    <row r="1907" spans="1:75" s="921" customFormat="1" x14ac:dyDescent="0.5">
      <c r="A1907" s="915" t="s">
        <v>1629</v>
      </c>
      <c r="B1907" s="1071" t="s">
        <v>102</v>
      </c>
      <c r="C1907" s="785"/>
      <c r="D1907" s="785"/>
      <c r="E1907" s="785"/>
      <c r="F1907" s="785"/>
      <c r="G1907" s="785"/>
      <c r="H1907" s="785"/>
      <c r="I1907" s="785"/>
      <c r="J1907" s="785"/>
      <c r="K1907" s="785"/>
      <c r="L1907" s="785"/>
      <c r="M1907" s="785"/>
      <c r="N1907" s="785"/>
      <c r="O1907" s="785"/>
      <c r="P1907" s="785"/>
      <c r="Q1907" s="785"/>
      <c r="R1907" s="785"/>
      <c r="S1907" s="785"/>
      <c r="T1907" s="785"/>
      <c r="U1907" s="785"/>
      <c r="V1907" s="785"/>
      <c r="W1907" s="785"/>
      <c r="X1907" s="785"/>
      <c r="Y1907" s="785"/>
      <c r="Z1907" s="785"/>
      <c r="AA1907" s="785"/>
      <c r="AB1907" s="785"/>
      <c r="AC1907" s="785"/>
      <c r="AD1907" s="785"/>
      <c r="AE1907" s="785"/>
      <c r="AF1907" s="785"/>
      <c r="AG1907" s="785"/>
      <c r="AH1907" s="785"/>
      <c r="AI1907" s="785"/>
      <c r="AJ1907" s="785"/>
      <c r="AK1907" s="785"/>
      <c r="AL1907" s="785"/>
      <c r="AM1907" s="785"/>
      <c r="AN1907" s="785"/>
      <c r="AO1907" s="785"/>
      <c r="AP1907" s="785"/>
      <c r="AQ1907" s="785"/>
      <c r="AR1907" s="785"/>
      <c r="AS1907" s="785"/>
      <c r="AT1907" s="785"/>
      <c r="AU1907" s="785"/>
      <c r="AV1907" s="785"/>
      <c r="AW1907" s="785"/>
      <c r="AX1907" s="785"/>
      <c r="AY1907" s="785"/>
      <c r="AZ1907" s="785"/>
      <c r="BA1907" s="785"/>
      <c r="BB1907" s="785"/>
      <c r="BC1907" s="785"/>
      <c r="BD1907" s="785"/>
      <c r="BE1907" s="785"/>
      <c r="BF1907" s="785"/>
      <c r="BG1907" s="785"/>
      <c r="BH1907" s="785"/>
      <c r="BI1907" s="1067"/>
      <c r="BJ1907" s="785"/>
      <c r="BK1907" s="785"/>
      <c r="BL1907" s="785"/>
      <c r="BM1907" s="785"/>
      <c r="BN1907" s="785"/>
      <c r="BO1907" s="785"/>
      <c r="BP1907" s="785"/>
      <c r="BQ1907" s="785"/>
      <c r="BR1907" s="785"/>
      <c r="BS1907" s="785"/>
      <c r="BT1907" s="785"/>
      <c r="BU1907" s="785"/>
      <c r="BV1907" s="785"/>
      <c r="BW1907" s="787"/>
    </row>
    <row r="1908" spans="1:75" s="921" customFormat="1" x14ac:dyDescent="0.5">
      <c r="A1908" s="915" t="s">
        <v>1630</v>
      </c>
      <c r="B1908" s="936">
        <v>1</v>
      </c>
      <c r="C1908" s="785"/>
      <c r="D1908" s="785"/>
      <c r="E1908" s="785"/>
      <c r="F1908" s="785"/>
      <c r="G1908" s="785"/>
      <c r="H1908" s="785"/>
      <c r="I1908" s="785"/>
      <c r="J1908" s="785"/>
      <c r="K1908" s="785"/>
      <c r="L1908" s="785"/>
      <c r="M1908" s="785"/>
      <c r="N1908" s="785"/>
      <c r="O1908" s="785"/>
      <c r="P1908" s="785"/>
      <c r="Q1908" s="785"/>
      <c r="R1908" s="785"/>
      <c r="S1908" s="785"/>
      <c r="T1908" s="785"/>
      <c r="U1908" s="785"/>
      <c r="V1908" s="785"/>
      <c r="W1908" s="785"/>
      <c r="X1908" s="785"/>
      <c r="Y1908" s="785"/>
      <c r="Z1908" s="785"/>
      <c r="AA1908" s="785"/>
      <c r="AB1908" s="785"/>
      <c r="AC1908" s="785"/>
      <c r="AD1908" s="785"/>
      <c r="AE1908" s="785"/>
      <c r="AF1908" s="785"/>
      <c r="AG1908" s="785"/>
      <c r="AH1908" s="785"/>
      <c r="AI1908" s="785"/>
      <c r="AJ1908" s="785"/>
      <c r="AK1908" s="785"/>
      <c r="AL1908" s="785"/>
      <c r="AM1908" s="785"/>
      <c r="AN1908" s="785"/>
      <c r="AO1908" s="785"/>
      <c r="AP1908" s="785"/>
      <c r="AQ1908" s="785"/>
      <c r="AR1908" s="785"/>
      <c r="AS1908" s="785"/>
      <c r="AT1908" s="785"/>
      <c r="AU1908" s="785"/>
      <c r="AV1908" s="785"/>
      <c r="AW1908" s="785"/>
      <c r="AX1908" s="785"/>
      <c r="AY1908" s="785"/>
      <c r="AZ1908" s="785"/>
      <c r="BA1908" s="785"/>
      <c r="BB1908" s="785"/>
      <c r="BC1908" s="785"/>
      <c r="BD1908" s="785"/>
      <c r="BE1908" s="785"/>
      <c r="BF1908" s="785"/>
      <c r="BG1908" s="785"/>
      <c r="BH1908" s="785"/>
      <c r="BI1908" s="1067"/>
      <c r="BJ1908" s="785"/>
      <c r="BK1908" s="785"/>
      <c r="BL1908" s="785"/>
      <c r="BM1908" s="785"/>
      <c r="BN1908" s="785"/>
      <c r="BO1908" s="785"/>
      <c r="BP1908" s="785"/>
      <c r="BQ1908" s="785"/>
      <c r="BR1908" s="785"/>
      <c r="BS1908" s="785"/>
      <c r="BT1908" s="785"/>
      <c r="BU1908" s="785"/>
      <c r="BV1908" s="785"/>
      <c r="BW1908" s="787"/>
    </row>
    <row r="1909" spans="1:75" s="921" customFormat="1" x14ac:dyDescent="0.5">
      <c r="A1909" s="915" t="s">
        <v>1631</v>
      </c>
      <c r="B1909" s="1083">
        <v>1</v>
      </c>
      <c r="C1909" s="785"/>
      <c r="D1909" s="785"/>
      <c r="E1909" s="785"/>
      <c r="F1909" s="785"/>
      <c r="G1909" s="785"/>
      <c r="H1909" s="785"/>
      <c r="I1909" s="785"/>
      <c r="J1909" s="785"/>
      <c r="K1909" s="785"/>
      <c r="L1909" s="785"/>
      <c r="M1909" s="785"/>
      <c r="N1909" s="785"/>
      <c r="O1909" s="785"/>
      <c r="P1909" s="785"/>
      <c r="Q1909" s="785"/>
      <c r="R1909" s="785"/>
      <c r="S1909" s="785"/>
      <c r="T1909" s="785"/>
      <c r="U1909" s="785"/>
      <c r="V1909" s="785"/>
      <c r="W1909" s="785"/>
      <c r="X1909" s="785"/>
      <c r="Y1909" s="785"/>
      <c r="Z1909" s="785"/>
      <c r="AA1909" s="785"/>
      <c r="AB1909" s="785"/>
      <c r="AC1909" s="785"/>
      <c r="AD1909" s="785"/>
      <c r="AE1909" s="785"/>
      <c r="AF1909" s="785"/>
      <c r="AG1909" s="785"/>
      <c r="AH1909" s="785"/>
      <c r="AI1909" s="785"/>
      <c r="AJ1909" s="785"/>
      <c r="AK1909" s="785"/>
      <c r="AL1909" s="785"/>
      <c r="AM1909" s="785"/>
      <c r="AN1909" s="785"/>
      <c r="AO1909" s="785"/>
      <c r="AP1909" s="785"/>
      <c r="AQ1909" s="785"/>
      <c r="AR1909" s="785"/>
      <c r="AS1909" s="785"/>
      <c r="AT1909" s="785"/>
      <c r="AU1909" s="785"/>
      <c r="AV1909" s="785"/>
      <c r="AW1909" s="785"/>
      <c r="AX1909" s="785"/>
      <c r="AY1909" s="785"/>
      <c r="AZ1909" s="785"/>
      <c r="BA1909" s="785"/>
      <c r="BB1909" s="785"/>
      <c r="BC1909" s="785"/>
      <c r="BD1909" s="785"/>
      <c r="BE1909" s="785"/>
      <c r="BF1909" s="785"/>
      <c r="BG1909" s="785"/>
      <c r="BH1909" s="785"/>
      <c r="BI1909" s="1067"/>
      <c r="BJ1909" s="785"/>
      <c r="BK1909" s="785"/>
      <c r="BL1909" s="785"/>
      <c r="BM1909" s="785"/>
      <c r="BN1909" s="785"/>
      <c r="BO1909" s="785"/>
      <c r="BP1909" s="785"/>
      <c r="BQ1909" s="785"/>
      <c r="BR1909" s="785"/>
      <c r="BS1909" s="785"/>
      <c r="BT1909" s="785"/>
      <c r="BU1909" s="785"/>
      <c r="BV1909" s="785"/>
      <c r="BW1909" s="787"/>
    </row>
    <row r="1910" spans="1:75" s="224" customFormat="1" x14ac:dyDescent="0.5">
      <c r="A1910" s="533" t="s">
        <v>1632</v>
      </c>
      <c r="B1910" s="223">
        <v>61</v>
      </c>
      <c r="C1910" s="254"/>
      <c r="D1910" s="254"/>
      <c r="E1910" s="254"/>
      <c r="F1910" s="254"/>
      <c r="G1910" s="254"/>
      <c r="H1910" s="254"/>
      <c r="I1910" s="254"/>
      <c r="J1910" s="254"/>
      <c r="K1910" s="254"/>
      <c r="L1910" s="254"/>
      <c r="M1910" s="254"/>
      <c r="N1910" s="254"/>
      <c r="O1910" s="254"/>
      <c r="P1910" s="254"/>
      <c r="Q1910" s="254"/>
      <c r="R1910" s="254"/>
      <c r="S1910" s="254"/>
      <c r="T1910" s="254"/>
      <c r="U1910" s="254"/>
      <c r="V1910" s="254"/>
      <c r="W1910" s="254"/>
      <c r="X1910" s="254"/>
      <c r="Y1910" s="254"/>
      <c r="Z1910" s="254"/>
      <c r="AA1910" s="254"/>
      <c r="AB1910" s="254"/>
      <c r="AC1910" s="254"/>
      <c r="AD1910" s="254"/>
      <c r="AE1910" s="254"/>
      <c r="AF1910" s="254"/>
      <c r="AG1910" s="254"/>
      <c r="AH1910" s="254"/>
      <c r="AI1910" s="254"/>
      <c r="AJ1910" s="254"/>
      <c r="AK1910" s="254"/>
      <c r="AL1910" s="254"/>
      <c r="AM1910" s="254"/>
      <c r="AN1910" s="254"/>
      <c r="AO1910" s="254"/>
      <c r="AP1910" s="254"/>
      <c r="AQ1910" s="254"/>
      <c r="AR1910" s="254"/>
      <c r="AS1910" s="254"/>
      <c r="AT1910" s="254"/>
      <c r="AU1910" s="254"/>
      <c r="AV1910" s="254"/>
      <c r="AW1910" s="254"/>
      <c r="AX1910" s="254"/>
      <c r="AY1910" s="254"/>
      <c r="AZ1910" s="254"/>
      <c r="BA1910" s="254"/>
      <c r="BB1910" s="254"/>
      <c r="BC1910" s="254"/>
      <c r="BD1910" s="254"/>
      <c r="BE1910" s="254"/>
      <c r="BF1910" s="254"/>
      <c r="BG1910" s="254"/>
      <c r="BH1910" s="254"/>
      <c r="BI1910" s="981"/>
      <c r="BJ1910" s="487"/>
      <c r="BK1910" s="487"/>
      <c r="BL1910" s="487"/>
      <c r="BM1910" s="487"/>
      <c r="BN1910" s="487"/>
      <c r="BO1910" s="487"/>
      <c r="BP1910" s="487"/>
      <c r="BQ1910" s="487"/>
      <c r="BR1910" s="487"/>
      <c r="BS1910" s="487"/>
      <c r="BT1910" s="254"/>
      <c r="BU1910" s="254"/>
      <c r="BV1910" s="487"/>
      <c r="BW1910" s="223"/>
    </row>
    <row r="1911" spans="1:75" s="224" customFormat="1" x14ac:dyDescent="0.5">
      <c r="A1911" s="533" t="s">
        <v>1633</v>
      </c>
      <c r="B1911" s="256" t="s">
        <v>163</v>
      </c>
      <c r="C1911" s="254"/>
      <c r="D1911" s="254"/>
      <c r="E1911" s="254"/>
      <c r="F1911" s="254"/>
      <c r="G1911" s="254"/>
      <c r="H1911" s="254"/>
      <c r="I1911" s="254"/>
      <c r="J1911" s="254"/>
      <c r="K1911" s="254"/>
      <c r="L1911" s="254"/>
      <c r="M1911" s="254"/>
      <c r="N1911" s="254"/>
      <c r="O1911" s="254"/>
      <c r="P1911" s="254"/>
      <c r="Q1911" s="254"/>
      <c r="R1911" s="254"/>
      <c r="S1911" s="254"/>
      <c r="T1911" s="254"/>
      <c r="U1911" s="254"/>
      <c r="V1911" s="254"/>
      <c r="W1911" s="254"/>
      <c r="X1911" s="254"/>
      <c r="Y1911" s="254"/>
      <c r="Z1911" s="254"/>
      <c r="AA1911" s="254"/>
      <c r="AB1911" s="254"/>
      <c r="AC1911" s="254"/>
      <c r="AD1911" s="254"/>
      <c r="AE1911" s="254"/>
      <c r="AF1911" s="254"/>
      <c r="AG1911" s="254"/>
      <c r="AH1911" s="254"/>
      <c r="AI1911" s="254"/>
      <c r="AJ1911" s="254"/>
      <c r="AK1911" s="254"/>
      <c r="AL1911" s="254"/>
      <c r="AM1911" s="254"/>
      <c r="AN1911" s="254"/>
      <c r="AO1911" s="254"/>
      <c r="AP1911" s="254"/>
      <c r="AQ1911" s="254"/>
      <c r="AR1911" s="254"/>
      <c r="AS1911" s="254"/>
      <c r="AT1911" s="254"/>
      <c r="AU1911" s="254"/>
      <c r="AV1911" s="254"/>
      <c r="AW1911" s="254"/>
      <c r="AX1911" s="254"/>
      <c r="AY1911" s="254"/>
      <c r="AZ1911" s="254"/>
      <c r="BA1911" s="254"/>
      <c r="BB1911" s="254"/>
      <c r="BC1911" s="254"/>
      <c r="BD1911" s="254"/>
      <c r="BE1911" s="254"/>
      <c r="BF1911" s="254"/>
      <c r="BG1911" s="254"/>
      <c r="BH1911" s="254"/>
      <c r="BI1911" s="981"/>
      <c r="BJ1911" s="487"/>
      <c r="BK1911" s="487"/>
      <c r="BL1911" s="487"/>
      <c r="BM1911" s="487"/>
      <c r="BN1911" s="487"/>
      <c r="BO1911" s="487"/>
      <c r="BP1911" s="487"/>
      <c r="BQ1911" s="487"/>
      <c r="BR1911" s="487"/>
      <c r="BS1911" s="487"/>
      <c r="BT1911" s="254"/>
      <c r="BU1911" s="254"/>
      <c r="BV1911" s="487"/>
      <c r="BW1911" s="223"/>
    </row>
    <row r="1912" spans="1:75" s="224" customFormat="1" x14ac:dyDescent="0.5">
      <c r="A1912" s="533" t="s">
        <v>1634</v>
      </c>
      <c r="B1912" s="223" t="s">
        <v>163</v>
      </c>
      <c r="C1912" s="254"/>
      <c r="D1912" s="254"/>
      <c r="E1912" s="254"/>
      <c r="F1912" s="254"/>
      <c r="G1912" s="254"/>
      <c r="H1912" s="254"/>
      <c r="I1912" s="254"/>
      <c r="J1912" s="254"/>
      <c r="K1912" s="254"/>
      <c r="L1912" s="254"/>
      <c r="M1912" s="254"/>
      <c r="N1912" s="254"/>
      <c r="O1912" s="254"/>
      <c r="P1912" s="254"/>
      <c r="Q1912" s="254"/>
      <c r="R1912" s="254"/>
      <c r="S1912" s="254"/>
      <c r="T1912" s="254"/>
      <c r="U1912" s="254"/>
      <c r="V1912" s="254"/>
      <c r="W1912" s="254"/>
      <c r="X1912" s="254"/>
      <c r="Y1912" s="254"/>
      <c r="Z1912" s="254"/>
      <c r="AA1912" s="254"/>
      <c r="AB1912" s="254"/>
      <c r="AC1912" s="254"/>
      <c r="AD1912" s="254"/>
      <c r="AE1912" s="254"/>
      <c r="AF1912" s="254"/>
      <c r="AG1912" s="254"/>
      <c r="AH1912" s="254"/>
      <c r="AI1912" s="254"/>
      <c r="AJ1912" s="254"/>
      <c r="AK1912" s="254"/>
      <c r="AL1912" s="254"/>
      <c r="AM1912" s="254"/>
      <c r="AN1912" s="254"/>
      <c r="AO1912" s="254"/>
      <c r="AP1912" s="254"/>
      <c r="AQ1912" s="254"/>
      <c r="AR1912" s="254"/>
      <c r="AS1912" s="254"/>
      <c r="AT1912" s="254"/>
      <c r="AU1912" s="254"/>
      <c r="AV1912" s="254"/>
      <c r="AW1912" s="254"/>
      <c r="AX1912" s="254"/>
      <c r="AY1912" s="254"/>
      <c r="AZ1912" s="254"/>
      <c r="BA1912" s="254"/>
      <c r="BB1912" s="254"/>
      <c r="BC1912" s="254"/>
      <c r="BD1912" s="254"/>
      <c r="BE1912" s="254"/>
      <c r="BF1912" s="254"/>
      <c r="BG1912" s="254"/>
      <c r="BH1912" s="254"/>
      <c r="BI1912" s="981"/>
      <c r="BJ1912" s="487"/>
      <c r="BK1912" s="487"/>
      <c r="BL1912" s="487"/>
      <c r="BM1912" s="487"/>
      <c r="BN1912" s="487"/>
      <c r="BO1912" s="487"/>
      <c r="BP1912" s="487"/>
      <c r="BQ1912" s="487"/>
      <c r="BR1912" s="487"/>
      <c r="BS1912" s="487"/>
      <c r="BT1912" s="254"/>
      <c r="BU1912" s="254"/>
      <c r="BV1912" s="487"/>
      <c r="BW1912" s="223"/>
    </row>
    <row r="1913" spans="1:75" s="224" customFormat="1" x14ac:dyDescent="0.5">
      <c r="A1913" s="533" t="s">
        <v>1635</v>
      </c>
      <c r="B1913" s="223" t="s">
        <v>168</v>
      </c>
      <c r="C1913" s="254"/>
      <c r="D1913" s="254"/>
      <c r="E1913" s="254"/>
      <c r="F1913" s="254"/>
      <c r="G1913" s="254"/>
      <c r="H1913" s="254"/>
      <c r="I1913" s="254"/>
      <c r="J1913" s="254"/>
      <c r="K1913" s="254"/>
      <c r="L1913" s="254"/>
      <c r="M1913" s="254"/>
      <c r="N1913" s="254"/>
      <c r="O1913" s="254"/>
      <c r="P1913" s="254"/>
      <c r="Q1913" s="254"/>
      <c r="R1913" s="254"/>
      <c r="S1913" s="254"/>
      <c r="T1913" s="254"/>
      <c r="U1913" s="254"/>
      <c r="V1913" s="254"/>
      <c r="W1913" s="254"/>
      <c r="X1913" s="254"/>
      <c r="Y1913" s="254"/>
      <c r="Z1913" s="254"/>
      <c r="AA1913" s="254"/>
      <c r="AB1913" s="254"/>
      <c r="AC1913" s="254"/>
      <c r="AD1913" s="254"/>
      <c r="AE1913" s="254"/>
      <c r="AF1913" s="254"/>
      <c r="AG1913" s="254"/>
      <c r="AH1913" s="254"/>
      <c r="AI1913" s="254"/>
      <c r="AJ1913" s="254"/>
      <c r="AK1913" s="254"/>
      <c r="AL1913" s="254"/>
      <c r="AM1913" s="254"/>
      <c r="AN1913" s="254"/>
      <c r="AO1913" s="254"/>
      <c r="AP1913" s="254"/>
      <c r="AQ1913" s="254"/>
      <c r="AR1913" s="254"/>
      <c r="AS1913" s="254"/>
      <c r="AT1913" s="254"/>
      <c r="AU1913" s="254"/>
      <c r="AV1913" s="254"/>
      <c r="AW1913" s="254"/>
      <c r="AX1913" s="254"/>
      <c r="AY1913" s="254"/>
      <c r="AZ1913" s="254"/>
      <c r="BA1913" s="254"/>
      <c r="BB1913" s="254"/>
      <c r="BC1913" s="254"/>
      <c r="BD1913" s="254"/>
      <c r="BE1913" s="254"/>
      <c r="BF1913" s="254"/>
      <c r="BG1913" s="254"/>
      <c r="BH1913" s="254"/>
      <c r="BI1913" s="981"/>
      <c r="BJ1913" s="487"/>
      <c r="BK1913" s="487"/>
      <c r="BL1913" s="487"/>
      <c r="BM1913" s="487"/>
      <c r="BN1913" s="487"/>
      <c r="BO1913" s="487"/>
      <c r="BP1913" s="487"/>
      <c r="BQ1913" s="487"/>
      <c r="BR1913" s="487"/>
      <c r="BS1913" s="487"/>
      <c r="BT1913" s="254"/>
      <c r="BU1913" s="254"/>
      <c r="BV1913" s="487"/>
      <c r="BW1913" s="223"/>
    </row>
    <row r="1914" spans="1:75" s="224" customFormat="1" x14ac:dyDescent="0.5">
      <c r="A1914" s="533" t="s">
        <v>1636</v>
      </c>
      <c r="B1914" s="223">
        <v>6</v>
      </c>
      <c r="C1914" s="254"/>
      <c r="D1914" s="254"/>
      <c r="E1914" s="254"/>
      <c r="F1914" s="254"/>
      <c r="G1914" s="254"/>
      <c r="H1914" s="254"/>
      <c r="I1914" s="254"/>
      <c r="J1914" s="254"/>
      <c r="K1914" s="254"/>
      <c r="L1914" s="254"/>
      <c r="M1914" s="254"/>
      <c r="N1914" s="254"/>
      <c r="O1914" s="254"/>
      <c r="P1914" s="254"/>
      <c r="Q1914" s="254"/>
      <c r="R1914" s="254"/>
      <c r="S1914" s="254"/>
      <c r="T1914" s="254"/>
      <c r="U1914" s="254"/>
      <c r="V1914" s="254"/>
      <c r="W1914" s="254"/>
      <c r="X1914" s="254"/>
      <c r="Y1914" s="254"/>
      <c r="Z1914" s="254"/>
      <c r="AA1914" s="254"/>
      <c r="AB1914" s="254"/>
      <c r="AC1914" s="254"/>
      <c r="AD1914" s="254"/>
      <c r="AE1914" s="254"/>
      <c r="AF1914" s="254"/>
      <c r="AG1914" s="254"/>
      <c r="AH1914" s="254"/>
      <c r="AI1914" s="254"/>
      <c r="AJ1914" s="254"/>
      <c r="AK1914" s="254"/>
      <c r="AL1914" s="254"/>
      <c r="AM1914" s="254"/>
      <c r="AN1914" s="254"/>
      <c r="AO1914" s="254"/>
      <c r="AP1914" s="254"/>
      <c r="AQ1914" s="254"/>
      <c r="AR1914" s="254"/>
      <c r="AS1914" s="254"/>
      <c r="AT1914" s="254"/>
      <c r="AU1914" s="254"/>
      <c r="AV1914" s="254"/>
      <c r="AW1914" s="254"/>
      <c r="AX1914" s="254"/>
      <c r="AY1914" s="254"/>
      <c r="AZ1914" s="254"/>
      <c r="BA1914" s="254"/>
      <c r="BB1914" s="254"/>
      <c r="BC1914" s="254"/>
      <c r="BD1914" s="254"/>
      <c r="BE1914" s="254"/>
      <c r="BF1914" s="254"/>
      <c r="BG1914" s="254"/>
      <c r="BH1914" s="254"/>
      <c r="BI1914" s="981"/>
      <c r="BJ1914" s="487"/>
      <c r="BK1914" s="487"/>
      <c r="BL1914" s="487"/>
      <c r="BM1914" s="487"/>
      <c r="BN1914" s="487"/>
      <c r="BO1914" s="487"/>
      <c r="BP1914" s="487"/>
      <c r="BQ1914" s="487"/>
      <c r="BR1914" s="487"/>
      <c r="BS1914" s="487"/>
      <c r="BT1914" s="254"/>
      <c r="BU1914" s="254"/>
      <c r="BV1914" s="487"/>
      <c r="BW1914" s="223"/>
    </row>
    <row r="1915" spans="1:75" s="224" customFormat="1" x14ac:dyDescent="0.5">
      <c r="A1915" s="1098" t="s">
        <v>1637</v>
      </c>
      <c r="B1915" s="1099">
        <v>1</v>
      </c>
      <c r="C1915" s="254"/>
      <c r="D1915" s="254"/>
      <c r="E1915" s="254"/>
      <c r="F1915" s="254"/>
      <c r="G1915" s="254"/>
      <c r="H1915" s="254"/>
      <c r="I1915" s="254"/>
      <c r="J1915" s="254"/>
      <c r="K1915" s="254"/>
      <c r="L1915" s="254"/>
      <c r="M1915" s="254"/>
      <c r="N1915" s="254"/>
      <c r="O1915" s="254"/>
      <c r="P1915" s="254"/>
      <c r="Q1915" s="254"/>
      <c r="R1915" s="254"/>
      <c r="S1915" s="254"/>
      <c r="T1915" s="254"/>
      <c r="U1915" s="254"/>
      <c r="V1915" s="254"/>
      <c r="W1915" s="254"/>
      <c r="X1915" s="254"/>
      <c r="Y1915" s="254"/>
      <c r="Z1915" s="254"/>
      <c r="AA1915" s="254"/>
      <c r="AB1915" s="254"/>
      <c r="AC1915" s="254"/>
      <c r="AD1915" s="254"/>
      <c r="AE1915" s="254"/>
      <c r="AF1915" s="254"/>
      <c r="AG1915" s="254"/>
      <c r="AH1915" s="254"/>
      <c r="AI1915" s="254"/>
      <c r="AJ1915" s="254"/>
      <c r="AK1915" s="254"/>
      <c r="AL1915" s="254"/>
      <c r="AM1915" s="254"/>
      <c r="AN1915" s="254"/>
      <c r="AO1915" s="254"/>
      <c r="AP1915" s="254"/>
      <c r="AQ1915" s="254"/>
      <c r="AR1915" s="254"/>
      <c r="AS1915" s="254"/>
      <c r="AT1915" s="254"/>
      <c r="AU1915" s="254"/>
      <c r="AV1915" s="254"/>
      <c r="AW1915" s="254"/>
      <c r="AX1915" s="254"/>
      <c r="AY1915" s="254"/>
      <c r="AZ1915" s="254"/>
      <c r="BA1915" s="254"/>
      <c r="BB1915" s="254"/>
      <c r="BC1915" s="254"/>
      <c r="BD1915" s="254"/>
      <c r="BE1915" s="254"/>
      <c r="BF1915" s="254"/>
      <c r="BG1915" s="254"/>
      <c r="BH1915" s="254"/>
      <c r="BI1915" s="981"/>
      <c r="BJ1915" s="487"/>
      <c r="BK1915" s="487"/>
      <c r="BL1915" s="487"/>
      <c r="BM1915" s="487"/>
      <c r="BN1915" s="487"/>
      <c r="BO1915" s="487"/>
      <c r="BP1915" s="487"/>
      <c r="BQ1915" s="487"/>
      <c r="BR1915" s="487"/>
      <c r="BS1915" s="487"/>
      <c r="BT1915" s="254"/>
      <c r="BU1915" s="254"/>
      <c r="BV1915" s="487"/>
      <c r="BW1915" s="223"/>
    </row>
    <row r="1916" spans="1:75" x14ac:dyDescent="0.5">
      <c r="A1916" s="1100"/>
      <c r="B1916" s="1100"/>
      <c r="C1916" s="127"/>
      <c r="D1916" s="127"/>
      <c r="E1916" s="127"/>
      <c r="F1916" s="127"/>
      <c r="G1916" s="127"/>
      <c r="H1916" s="127"/>
      <c r="I1916" s="127"/>
      <c r="J1916" s="127"/>
      <c r="K1916" s="127"/>
      <c r="L1916" s="127"/>
      <c r="M1916" s="127"/>
      <c r="N1916" s="127"/>
      <c r="O1916" s="127"/>
      <c r="P1916" s="127"/>
      <c r="Q1916" s="127"/>
      <c r="R1916" s="127"/>
      <c r="S1916" s="127"/>
      <c r="T1916" s="127"/>
      <c r="U1916" s="127"/>
      <c r="V1916" s="127"/>
      <c r="W1916" s="127"/>
      <c r="X1916" s="127"/>
      <c r="Y1916" s="127"/>
      <c r="Z1916" s="127"/>
      <c r="AA1916" s="127"/>
      <c r="AB1916" s="127"/>
      <c r="AC1916" s="127"/>
      <c r="AD1916" s="127"/>
      <c r="AE1916" s="127"/>
      <c r="AF1916" s="127"/>
      <c r="AG1916" s="127"/>
      <c r="AH1916" s="127"/>
      <c r="AI1916" s="127"/>
      <c r="AJ1916" s="127"/>
      <c r="AK1916" s="127"/>
      <c r="AL1916" s="127"/>
      <c r="AM1916" s="127"/>
      <c r="AN1916" s="127"/>
      <c r="AO1916" s="127"/>
      <c r="AP1916" s="127"/>
      <c r="AQ1916" s="127"/>
      <c r="AR1916" s="127"/>
      <c r="AS1916" s="127"/>
      <c r="AT1916" s="127"/>
      <c r="AU1916" s="127"/>
      <c r="AV1916" s="127"/>
      <c r="AW1916" s="127"/>
      <c r="AX1916" s="127"/>
      <c r="AY1916" s="127"/>
      <c r="AZ1916" s="127"/>
      <c r="BA1916" s="127"/>
      <c r="BB1916" s="127"/>
      <c r="BC1916" s="127"/>
      <c r="BD1916" s="127"/>
      <c r="BE1916" s="127"/>
      <c r="BF1916" s="127"/>
      <c r="BG1916" s="127"/>
      <c r="BH1916" s="127"/>
      <c r="BI1916" s="1097"/>
      <c r="BJ1916" s="127"/>
      <c r="BK1916" s="127"/>
      <c r="BL1916" s="127"/>
      <c r="BM1916" s="127"/>
      <c r="BN1916" s="127"/>
      <c r="BO1916" s="127"/>
      <c r="BP1916" s="127"/>
      <c r="BQ1916" s="127"/>
      <c r="BR1916" s="127"/>
      <c r="BS1916" s="127"/>
      <c r="BT1916" s="127"/>
      <c r="BU1916" s="127"/>
      <c r="BV1916" s="127"/>
      <c r="BW1916" s="152"/>
    </row>
    <row r="1917" spans="1:75" x14ac:dyDescent="0.5">
      <c r="A1917" s="755" t="s">
        <v>1638</v>
      </c>
      <c r="B1917" s="1101"/>
      <c r="C1917" s="1101"/>
      <c r="D1917" s="1101"/>
      <c r="E1917" s="1101"/>
      <c r="F1917" s="1101"/>
      <c r="G1917" s="1101"/>
      <c r="H1917" s="1101"/>
      <c r="I1917" s="1101"/>
      <c r="J1917" s="1101"/>
      <c r="K1917" s="1101"/>
      <c r="L1917" s="1101"/>
      <c r="M1917" s="1101"/>
      <c r="N1917" s="1101"/>
      <c r="O1917" s="1101"/>
      <c r="P1917" s="1101"/>
      <c r="Q1917" s="1101"/>
      <c r="R1917" s="1101"/>
      <c r="S1917" s="1101"/>
      <c r="T1917" s="1101"/>
      <c r="U1917" s="1101"/>
      <c r="V1917" s="1101"/>
      <c r="W1917" s="1101"/>
      <c r="X1917" s="1101"/>
      <c r="Y1917" s="1101"/>
      <c r="Z1917" s="1101"/>
      <c r="AA1917" s="1101"/>
      <c r="AB1917" s="1101"/>
      <c r="AC1917" s="1101"/>
      <c r="AD1917" s="1101"/>
      <c r="AE1917" s="1101"/>
      <c r="AF1917" s="1101"/>
      <c r="AG1917" s="1101"/>
      <c r="AH1917" s="1101"/>
      <c r="AI1917" s="1101"/>
      <c r="AJ1917" s="1101"/>
      <c r="AK1917" s="1101"/>
      <c r="AL1917" s="1101"/>
      <c r="AM1917" s="1101"/>
      <c r="AN1917" s="1101"/>
      <c r="AO1917" s="1101"/>
      <c r="AP1917" s="1101"/>
      <c r="AQ1917" s="1101"/>
      <c r="AR1917" s="1101"/>
      <c r="AS1917" s="1101"/>
      <c r="AT1917" s="1101"/>
      <c r="AU1917" s="1101"/>
      <c r="AV1917" s="1101"/>
      <c r="AW1917" s="1101"/>
      <c r="AX1917" s="1101"/>
      <c r="AY1917" s="1101"/>
      <c r="AZ1917" s="1101"/>
      <c r="BA1917" s="1101"/>
      <c r="BB1917" s="1101"/>
      <c r="BC1917" s="1101"/>
      <c r="BD1917" s="1101"/>
      <c r="BE1917" s="1101"/>
      <c r="BF1917" s="1101"/>
      <c r="BG1917" s="1101"/>
      <c r="BH1917" s="1101"/>
      <c r="BI1917" s="1101"/>
      <c r="BJ1917" s="1101"/>
      <c r="BK1917" s="1101"/>
      <c r="BL1917" s="1101"/>
      <c r="BM1917" s="1101"/>
      <c r="BN1917" s="1101"/>
      <c r="BO1917" s="1101"/>
      <c r="BP1917" s="1101"/>
      <c r="BQ1917" s="1101"/>
      <c r="BR1917" s="1101"/>
      <c r="BS1917" s="1101"/>
      <c r="BT1917" s="1101"/>
      <c r="BU1917" s="1101"/>
      <c r="BV1917" s="1101"/>
      <c r="BW1917" s="152"/>
    </row>
    <row r="1918" spans="1:75" x14ac:dyDescent="0.5">
      <c r="A1918" s="152"/>
      <c r="B1918" s="152"/>
      <c r="C1918" s="152"/>
      <c r="D1918" s="152"/>
      <c r="E1918" s="152"/>
      <c r="F1918" s="152"/>
      <c r="G1918" s="152"/>
      <c r="H1918" s="152"/>
      <c r="I1918" s="152"/>
      <c r="J1918" s="152"/>
      <c r="K1918" s="152"/>
      <c r="L1918" s="152"/>
      <c r="M1918" s="152"/>
      <c r="N1918" s="152"/>
      <c r="O1918" s="152"/>
      <c r="P1918" s="152"/>
      <c r="Q1918" s="152"/>
      <c r="R1918" s="152"/>
      <c r="S1918" s="152"/>
      <c r="T1918" s="152"/>
      <c r="U1918" s="152"/>
      <c r="V1918" s="152"/>
      <c r="W1918" s="1102"/>
      <c r="X1918" s="152"/>
      <c r="Y1918" s="152"/>
      <c r="Z1918" s="152"/>
      <c r="AA1918" s="152"/>
      <c r="AB1918" s="152"/>
      <c r="AC1918" s="152"/>
      <c r="AD1918" s="152"/>
      <c r="AE1918" s="152"/>
      <c r="AF1918" s="152"/>
      <c r="AG1918" s="152"/>
      <c r="AH1918" s="152"/>
      <c r="AI1918" s="152"/>
      <c r="AJ1918" s="152"/>
      <c r="AK1918" s="152"/>
      <c r="AL1918" s="152"/>
      <c r="AM1918" s="152"/>
      <c r="AN1918" s="152"/>
      <c r="AO1918" s="152"/>
      <c r="AP1918" s="152"/>
      <c r="AQ1918" s="152"/>
      <c r="AR1918" s="152"/>
      <c r="AS1918" s="152"/>
      <c r="AT1918" s="152"/>
      <c r="AU1918" s="152"/>
      <c r="AV1918" s="152"/>
      <c r="AW1918" s="152"/>
      <c r="AX1918" s="152"/>
      <c r="AY1918" s="152"/>
      <c r="AZ1918" s="152"/>
      <c r="BA1918" s="152"/>
      <c r="BB1918" s="152"/>
      <c r="BC1918" s="152"/>
      <c r="BD1918" s="152"/>
      <c r="BE1918" s="152"/>
      <c r="BF1918" s="152"/>
      <c r="BG1918" s="152"/>
      <c r="BH1918" s="152"/>
      <c r="BI1918" s="152"/>
      <c r="BJ1918" s="152"/>
      <c r="BK1918" s="152"/>
      <c r="BL1918" s="152"/>
      <c r="BM1918" s="152"/>
      <c r="BN1918" s="152"/>
      <c r="BO1918" s="152"/>
      <c r="BP1918" s="152"/>
      <c r="BQ1918" s="152"/>
      <c r="BR1918" s="152"/>
      <c r="BS1918" s="152"/>
      <c r="BT1918" s="152"/>
      <c r="BU1918" s="152"/>
      <c r="BV1918" s="152"/>
      <c r="BW1918" s="152"/>
    </row>
  </sheetData>
  <conditionalFormatting sqref="C1635:AE1635 AG1635:BV1635">
    <cfRule type="cellIs" dxfId="23" priority="5" operator="notEqual">
      <formula>0</formula>
    </cfRule>
    <cfRule type="cellIs" dxfId="22" priority="6" operator="equal">
      <formula>0</formula>
    </cfRule>
  </conditionalFormatting>
  <conditionalFormatting sqref="C1776:BV1776">
    <cfRule type="cellIs" dxfId="21" priority="3" operator="notEqual">
      <formula>0</formula>
    </cfRule>
    <cfRule type="cellIs" dxfId="20" priority="4" operator="equal">
      <formula>0</formula>
    </cfRule>
  </conditionalFormatting>
  <conditionalFormatting sqref="C1779:BV1790 C1791:AJ1791 AL1791:BV1791 C1792:BV1799 C1800:AI1800 AK1800:AN1800 AP1800:BV1800 C1801:BV1805">
    <cfRule type="cellIs" dxfId="19" priority="1" operator="notEqual">
      <formula>0</formula>
    </cfRule>
    <cfRule type="cellIs" dxfId="18" priority="2" operator="equal">
      <formula>0</formula>
    </cfRule>
  </conditionalFormatting>
  <conditionalFormatting sqref="D1036:BV1036">
    <cfRule type="cellIs" dxfId="17" priority="7" operator="notEqual">
      <formula>0</formula>
    </cfRule>
    <cfRule type="cellIs" dxfId="16" priority="8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5215-4CFA-4991-98F8-D9E133F90D2E}">
  <dimension ref="A1:BW1300"/>
  <sheetViews>
    <sheetView workbookViewId="0">
      <pane xSplit="2" ySplit="6" topLeftCell="AT31" activePane="bottomRight" state="frozen"/>
      <selection pane="topRight" activeCell="C1" sqref="C1"/>
      <selection pane="bottomLeft" activeCell="A7" sqref="A7"/>
      <selection pane="bottomRight" activeCell="BI41" sqref="BI41"/>
    </sheetView>
  </sheetViews>
  <sheetFormatPr defaultColWidth="9.5" defaultRowHeight="15.75" outlineLevelRow="3" outlineLevelCol="1" x14ac:dyDescent="0.5"/>
  <cols>
    <col min="1" max="1" width="47.6875" customWidth="1"/>
    <col min="2" max="2" width="10.1875" customWidth="1"/>
    <col min="3" max="6" width="9" customWidth="1"/>
    <col min="7" max="10" width="9" hidden="1" customWidth="1" outlineLevel="1"/>
    <col min="11" max="11" width="9" customWidth="1" collapsed="1"/>
    <col min="12" max="15" width="9" hidden="1" customWidth="1" outlineLevel="1"/>
    <col min="16" max="16" width="9" customWidth="1" collapsed="1"/>
    <col min="17" max="20" width="9" hidden="1" customWidth="1" outlineLevel="1"/>
    <col min="21" max="21" width="9" customWidth="1" collapsed="1"/>
    <col min="22" max="25" width="9" hidden="1" customWidth="1" outlineLevel="1"/>
    <col min="26" max="26" width="9" customWidth="1" collapsed="1"/>
    <col min="27" max="30" width="9" hidden="1" customWidth="1" outlineLevel="1"/>
    <col min="31" max="31" width="9" customWidth="1" collapsed="1"/>
    <col min="32" max="35" width="9" hidden="1" customWidth="1" outlineLevel="1"/>
    <col min="36" max="36" width="9" customWidth="1" collapsed="1"/>
    <col min="37" max="40" width="9" hidden="1" customWidth="1" outlineLevel="1"/>
    <col min="41" max="41" width="9" customWidth="1" collapsed="1"/>
    <col min="42" max="45" width="9" hidden="1" customWidth="1" outlineLevel="1"/>
    <col min="46" max="46" width="9" customWidth="1" collapsed="1"/>
    <col min="47" max="50" width="9" hidden="1" customWidth="1" outlineLevel="1"/>
    <col min="51" max="51" width="9" customWidth="1" collapsed="1"/>
    <col min="52" max="55" width="9" hidden="1" customWidth="1" outlineLevel="1"/>
    <col min="56" max="56" width="9" customWidth="1" collapsed="1"/>
    <col min="57" max="60" width="9" hidden="1" customWidth="1" outlineLevel="1"/>
    <col min="61" max="61" width="9" customWidth="1" collapsed="1"/>
    <col min="62" max="65" width="9" customWidth="1" outlineLevel="1"/>
    <col min="66" max="66" width="9" customWidth="1"/>
    <col min="67" max="70" width="9" customWidth="1" outlineLevel="1"/>
    <col min="71" max="75" width="9" customWidth="1"/>
  </cols>
  <sheetData>
    <row r="1" spans="1:75" s="123" customFormat="1" ht="29.25" x14ac:dyDescent="0.9">
      <c r="A1" s="1104" t="s">
        <v>1639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971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22"/>
    </row>
    <row r="2" spans="1:75" s="135" customFormat="1" ht="14.25" x14ac:dyDescent="0.45">
      <c r="A2" s="124" t="str">
        <f>CHOOSE(MO.DataSourceIndex,MO.Ticker.Bloomberg,MO.Ticker.CapIQ,MO.Ticker.FactSet,MO.Ticker.Thomson)</f>
        <v>WSM US</v>
      </c>
      <c r="B2" s="125"/>
      <c r="C2" s="1105">
        <v>39845</v>
      </c>
      <c r="D2" s="120"/>
      <c r="E2" s="120"/>
      <c r="F2" s="120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09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34"/>
    </row>
    <row r="3" spans="1:75" s="144" customFormat="1" ht="14.25" x14ac:dyDescent="0.45">
      <c r="A3" s="136" t="str">
        <f ca="1">HP.TradeCurrency</f>
        <v>USD</v>
      </c>
      <c r="B3" s="137">
        <f ca="1">IF(MO.RealTime="OFF",MO.LastPriceHardcoded,MO.LastPriceFormula)</f>
        <v>292.52</v>
      </c>
      <c r="C3" s="138">
        <f>C4-C2</f>
        <v>364</v>
      </c>
      <c r="D3" s="138">
        <f t="shared" ref="D3:J3" si="0">D4-C4</f>
        <v>364</v>
      </c>
      <c r="E3" s="138">
        <f t="shared" si="0"/>
        <v>364</v>
      </c>
      <c r="F3" s="138">
        <f t="shared" si="0"/>
        <v>371</v>
      </c>
      <c r="G3" s="139">
        <f t="shared" si="0"/>
        <v>91</v>
      </c>
      <c r="H3" s="139">
        <f t="shared" si="0"/>
        <v>91</v>
      </c>
      <c r="I3" s="139">
        <f t="shared" si="0"/>
        <v>91</v>
      </c>
      <c r="J3" s="139">
        <f t="shared" si="0"/>
        <v>91</v>
      </c>
      <c r="K3" s="138">
        <f>K4-F4</f>
        <v>364</v>
      </c>
      <c r="L3" s="139">
        <f>L4-K4</f>
        <v>91</v>
      </c>
      <c r="M3" s="139">
        <f>M4-L4</f>
        <v>91</v>
      </c>
      <c r="N3" s="139">
        <f>N4-M4</f>
        <v>91</v>
      </c>
      <c r="O3" s="139">
        <f>O4-N4</f>
        <v>91</v>
      </c>
      <c r="P3" s="138">
        <f>P4-K4</f>
        <v>364</v>
      </c>
      <c r="Q3" s="139">
        <f>Q4-P4</f>
        <v>91</v>
      </c>
      <c r="R3" s="139">
        <f>R4-Q4</f>
        <v>91</v>
      </c>
      <c r="S3" s="139">
        <f>S4-R4</f>
        <v>91</v>
      </c>
      <c r="T3" s="139">
        <f>T4-S4</f>
        <v>91</v>
      </c>
      <c r="U3" s="138">
        <f>U4-P4</f>
        <v>364</v>
      </c>
      <c r="V3" s="139">
        <f>V4-U4</f>
        <v>91</v>
      </c>
      <c r="W3" s="139">
        <f>W4-V4</f>
        <v>91</v>
      </c>
      <c r="X3" s="139">
        <f>X4-W4</f>
        <v>91</v>
      </c>
      <c r="Y3" s="139">
        <f>Y4-X4</f>
        <v>91</v>
      </c>
      <c r="Z3" s="138">
        <f>Z4-U4</f>
        <v>364</v>
      </c>
      <c r="AA3" s="139">
        <f>AA4-Z4</f>
        <v>91</v>
      </c>
      <c r="AB3" s="139">
        <f>AB4-AA4</f>
        <v>91</v>
      </c>
      <c r="AC3" s="139">
        <f>AC4-AB4</f>
        <v>91</v>
      </c>
      <c r="AD3" s="139">
        <f>AD4-AC4</f>
        <v>91</v>
      </c>
      <c r="AE3" s="138">
        <f>AE4-Z4</f>
        <v>364</v>
      </c>
      <c r="AF3" s="139">
        <f>AF4-AE4</f>
        <v>91</v>
      </c>
      <c r="AG3" s="139">
        <f>AG4-AF4</f>
        <v>91</v>
      </c>
      <c r="AH3" s="139">
        <f>AH4-AG4</f>
        <v>91</v>
      </c>
      <c r="AI3" s="139">
        <f>AI4-AH4</f>
        <v>98</v>
      </c>
      <c r="AJ3" s="138">
        <f>AJ4-AE4</f>
        <v>371</v>
      </c>
      <c r="AK3" s="139">
        <f>AK4-AJ4</f>
        <v>91</v>
      </c>
      <c r="AL3" s="139">
        <f>AL4-AK4</f>
        <v>91</v>
      </c>
      <c r="AM3" s="139">
        <f>AM4-AL4</f>
        <v>91</v>
      </c>
      <c r="AN3" s="139">
        <f>AN4-AM4</f>
        <v>91</v>
      </c>
      <c r="AO3" s="138">
        <f>AO4-AJ4</f>
        <v>364</v>
      </c>
      <c r="AP3" s="139">
        <f>AP4-AO4</f>
        <v>91</v>
      </c>
      <c r="AQ3" s="139">
        <f>AQ4-AP4</f>
        <v>91</v>
      </c>
      <c r="AR3" s="139">
        <f>AR4-AQ4</f>
        <v>91</v>
      </c>
      <c r="AS3" s="139">
        <f>AS4-AR4</f>
        <v>91</v>
      </c>
      <c r="AT3" s="138">
        <f>AT4-AO4</f>
        <v>364</v>
      </c>
      <c r="AU3" s="139">
        <f>AU4-AT4</f>
        <v>91</v>
      </c>
      <c r="AV3" s="139">
        <f>AV4-AU4</f>
        <v>91</v>
      </c>
      <c r="AW3" s="139">
        <f>AW4-AV4</f>
        <v>91</v>
      </c>
      <c r="AX3" s="139">
        <f>AX4-AW4</f>
        <v>91</v>
      </c>
      <c r="AY3" s="138">
        <f>AY4-AT4</f>
        <v>364</v>
      </c>
      <c r="AZ3" s="139">
        <f>AZ4-AY4</f>
        <v>91</v>
      </c>
      <c r="BA3" s="139">
        <f>BA4-AZ4</f>
        <v>91</v>
      </c>
      <c r="BB3" s="139">
        <f>BB4-BA4</f>
        <v>91</v>
      </c>
      <c r="BC3" s="139">
        <f>BC4-BB4</f>
        <v>91</v>
      </c>
      <c r="BD3" s="138">
        <f>BD4-AY4</f>
        <v>364</v>
      </c>
      <c r="BE3" s="139">
        <f>BE4-BD4</f>
        <v>91</v>
      </c>
      <c r="BF3" s="139">
        <f>BF4-BE4</f>
        <v>91</v>
      </c>
      <c r="BG3" s="139">
        <f>BG4-BF4</f>
        <v>91</v>
      </c>
      <c r="BH3" s="139">
        <f>BH4-BG4</f>
        <v>91</v>
      </c>
      <c r="BI3" s="138">
        <f>BI4-BD4</f>
        <v>364</v>
      </c>
      <c r="BJ3" s="1106">
        <f>BJ4-BI4</f>
        <v>91</v>
      </c>
      <c r="BK3" s="141">
        <v>91</v>
      </c>
      <c r="BL3" s="141">
        <v>91</v>
      </c>
      <c r="BM3" s="141">
        <v>98</v>
      </c>
      <c r="BN3" s="138">
        <f>BN4-BI4</f>
        <v>371</v>
      </c>
      <c r="BO3" s="141">
        <v>91</v>
      </c>
      <c r="BP3" s="141">
        <v>91</v>
      </c>
      <c r="BQ3" s="141">
        <v>91</v>
      </c>
      <c r="BR3" s="141">
        <v>91</v>
      </c>
      <c r="BS3" s="138">
        <f>BS4-BN4</f>
        <v>364</v>
      </c>
      <c r="BT3" s="142">
        <v>364</v>
      </c>
      <c r="BU3" s="142">
        <v>364</v>
      </c>
      <c r="BV3" s="142">
        <v>364</v>
      </c>
      <c r="BW3" s="143"/>
    </row>
    <row r="4" spans="1:75" x14ac:dyDescent="0.5">
      <c r="A4" s="145" t="str">
        <f>FP.DataSourceName</f>
        <v>Bloomberg</v>
      </c>
      <c r="B4" s="146" t="str">
        <f ca="1">IF(AND(MO.RealTimeStockPriceToggle,MO.LastPriceFormula&lt;&gt;"N/A"),"ON","OFF")</f>
        <v>OFF</v>
      </c>
      <c r="C4" s="1107">
        <v>40209</v>
      </c>
      <c r="D4" s="147">
        <v>40573</v>
      </c>
      <c r="E4" s="147">
        <v>40937</v>
      </c>
      <c r="F4" s="147">
        <v>41308</v>
      </c>
      <c r="G4" s="148">
        <v>41399</v>
      </c>
      <c r="H4" s="148">
        <v>41490</v>
      </c>
      <c r="I4" s="148">
        <v>41581</v>
      </c>
      <c r="J4" s="149">
        <f>K4</f>
        <v>41672</v>
      </c>
      <c r="K4" s="147">
        <v>41672</v>
      </c>
      <c r="L4" s="148">
        <v>41763</v>
      </c>
      <c r="M4" s="148">
        <v>41854</v>
      </c>
      <c r="N4" s="148">
        <v>41945</v>
      </c>
      <c r="O4" s="149">
        <f>P4</f>
        <v>42036</v>
      </c>
      <c r="P4" s="147">
        <v>42036</v>
      </c>
      <c r="Q4" s="148">
        <v>42127</v>
      </c>
      <c r="R4" s="148">
        <v>42218</v>
      </c>
      <c r="S4" s="148">
        <v>42309</v>
      </c>
      <c r="T4" s="149">
        <f>U4</f>
        <v>42400</v>
      </c>
      <c r="U4" s="147">
        <v>42400</v>
      </c>
      <c r="V4" s="148">
        <v>42491</v>
      </c>
      <c r="W4" s="148">
        <v>42582</v>
      </c>
      <c r="X4" s="148">
        <v>42673</v>
      </c>
      <c r="Y4" s="149">
        <f>Z4</f>
        <v>42764</v>
      </c>
      <c r="Z4" s="147">
        <v>42764</v>
      </c>
      <c r="AA4" s="148">
        <v>42855</v>
      </c>
      <c r="AB4" s="148">
        <v>42946</v>
      </c>
      <c r="AC4" s="148">
        <v>43037</v>
      </c>
      <c r="AD4" s="149">
        <f>AE4</f>
        <v>43128</v>
      </c>
      <c r="AE4" s="147">
        <v>43128</v>
      </c>
      <c r="AF4" s="148">
        <v>43219</v>
      </c>
      <c r="AG4" s="148">
        <v>43310</v>
      </c>
      <c r="AH4" s="148">
        <v>43401</v>
      </c>
      <c r="AI4" s="149">
        <f>AJ4</f>
        <v>43499</v>
      </c>
      <c r="AJ4" s="147">
        <v>43499</v>
      </c>
      <c r="AK4" s="148">
        <v>43590</v>
      </c>
      <c r="AL4" s="148">
        <v>43681</v>
      </c>
      <c r="AM4" s="148">
        <v>43772</v>
      </c>
      <c r="AN4" s="149">
        <f>AO4</f>
        <v>43863</v>
      </c>
      <c r="AO4" s="147">
        <v>43863</v>
      </c>
      <c r="AP4" s="148">
        <v>43954</v>
      </c>
      <c r="AQ4" s="148">
        <v>44045</v>
      </c>
      <c r="AR4" s="148">
        <v>44136</v>
      </c>
      <c r="AS4" s="149">
        <f>AT4</f>
        <v>44227</v>
      </c>
      <c r="AT4" s="147">
        <v>44227</v>
      </c>
      <c r="AU4" s="148">
        <v>44318</v>
      </c>
      <c r="AV4" s="148">
        <v>44409</v>
      </c>
      <c r="AW4" s="148">
        <v>44500</v>
      </c>
      <c r="AX4" s="149">
        <f>AY4</f>
        <v>44591</v>
      </c>
      <c r="AY4" s="147">
        <v>44591</v>
      </c>
      <c r="AZ4" s="148">
        <v>44682</v>
      </c>
      <c r="BA4" s="148">
        <v>44773</v>
      </c>
      <c r="BB4" s="148">
        <v>44864</v>
      </c>
      <c r="BC4" s="149">
        <f>BD4</f>
        <v>44955</v>
      </c>
      <c r="BD4" s="147">
        <v>44955</v>
      </c>
      <c r="BE4" s="148">
        <v>45046</v>
      </c>
      <c r="BF4" s="148">
        <v>45137</v>
      </c>
      <c r="BG4" s="148">
        <v>45228</v>
      </c>
      <c r="BH4" s="149">
        <f>BI4</f>
        <v>45319</v>
      </c>
      <c r="BI4" s="147">
        <v>45319</v>
      </c>
      <c r="BJ4" s="1108">
        <v>45410</v>
      </c>
      <c r="BK4" s="149">
        <f>BJ4+BK3</f>
        <v>45501</v>
      </c>
      <c r="BL4" s="149">
        <f>BK4+BL3</f>
        <v>45592</v>
      </c>
      <c r="BM4" s="149">
        <f>BL4+BM3</f>
        <v>45690</v>
      </c>
      <c r="BN4" s="151">
        <f>BM4</f>
        <v>45690</v>
      </c>
      <c r="BO4" s="149">
        <f>BN4+BO3</f>
        <v>45781</v>
      </c>
      <c r="BP4" s="149">
        <f>BO4+BP3</f>
        <v>45872</v>
      </c>
      <c r="BQ4" s="149">
        <f>BP4+BQ3</f>
        <v>45963</v>
      </c>
      <c r="BR4" s="149">
        <f>BQ4+BR3</f>
        <v>46054</v>
      </c>
      <c r="BS4" s="151">
        <f>BR4</f>
        <v>46054</v>
      </c>
      <c r="BT4" s="151">
        <f>BS4+BT3</f>
        <v>46418</v>
      </c>
      <c r="BU4" s="151">
        <f>BT4+BU3</f>
        <v>46782</v>
      </c>
      <c r="BV4" s="151">
        <f>BU4+BV3</f>
        <v>47146</v>
      </c>
      <c r="BW4" s="152"/>
    </row>
    <row r="5" spans="1:75" s="135" customFormat="1" ht="14.25" x14ac:dyDescent="0.45">
      <c r="A5" s="153" t="str">
        <f>MO.ReportCurrency</f>
        <v>USD</v>
      </c>
      <c r="B5" s="154"/>
      <c r="C5" s="155" t="s">
        <v>105</v>
      </c>
      <c r="D5" s="156" t="str">
        <f>CONCATENATE("FY",RIGHT(C5,4)+1)</f>
        <v>FY2010</v>
      </c>
      <c r="E5" s="156" t="str">
        <f>CONCATENATE("FY",RIGHT(D5,4)+1)</f>
        <v>FY2011</v>
      </c>
      <c r="F5" s="156" t="str">
        <f>CONCATENATE("FY",RIGHT(E5,4)+1)</f>
        <v>FY2012</v>
      </c>
      <c r="G5" s="157" t="str">
        <f>CONCATENATE("Q1","-",RIGHT(F5,4)+1)</f>
        <v>Q1-2013</v>
      </c>
      <c r="H5" s="157" t="str">
        <f>CONCATENATE("Q2","-",RIGHT(G5,4))</f>
        <v>Q2-2013</v>
      </c>
      <c r="I5" s="157" t="str">
        <f>CONCATENATE("Q3","-",RIGHT(H5,4))</f>
        <v>Q3-2013</v>
      </c>
      <c r="J5" s="157" t="str">
        <f>CONCATENATE("Q4","-",RIGHT(I5,4))</f>
        <v>Q4-2013</v>
      </c>
      <c r="K5" s="156" t="str">
        <f>CONCATENATE("FY",RIGHT(F5,4)+1)</f>
        <v>FY2013</v>
      </c>
      <c r="L5" s="157" t="str">
        <f>CONCATENATE("Q1","-",RIGHT(K5,4)+1)</f>
        <v>Q1-2014</v>
      </c>
      <c r="M5" s="157" t="str">
        <f>CONCATENATE("Q2","-",RIGHT(L5,4))</f>
        <v>Q2-2014</v>
      </c>
      <c r="N5" s="157" t="str">
        <f>CONCATENATE("Q3","-",RIGHT(M5,4))</f>
        <v>Q3-2014</v>
      </c>
      <c r="O5" s="157" t="str">
        <f>CONCATENATE("Q4","-",RIGHT(N5,4))</f>
        <v>Q4-2014</v>
      </c>
      <c r="P5" s="156" t="str">
        <f>CONCATENATE("FY",RIGHT(K5,4)+1)</f>
        <v>FY2014</v>
      </c>
      <c r="Q5" s="157" t="str">
        <f>CONCATENATE("Q1","-",RIGHT(P5,4)+1)</f>
        <v>Q1-2015</v>
      </c>
      <c r="R5" s="157" t="str">
        <f>CONCATENATE("Q2","-",RIGHT(Q5,4))</f>
        <v>Q2-2015</v>
      </c>
      <c r="S5" s="157" t="str">
        <f>CONCATENATE("Q3","-",RIGHT(R5,4))</f>
        <v>Q3-2015</v>
      </c>
      <c r="T5" s="157" t="str">
        <f>CONCATENATE("Q4","-",RIGHT(S5,4))</f>
        <v>Q4-2015</v>
      </c>
      <c r="U5" s="156" t="str">
        <f>CONCATENATE("FY",RIGHT(P5,4)+1)</f>
        <v>FY2015</v>
      </c>
      <c r="V5" s="157" t="str">
        <f>CONCATENATE("Q1","-",RIGHT(U5,4)+1)</f>
        <v>Q1-2016</v>
      </c>
      <c r="W5" s="157" t="str">
        <f>CONCATENATE("Q2","-",RIGHT(V5,4))</f>
        <v>Q2-2016</v>
      </c>
      <c r="X5" s="157" t="str">
        <f>CONCATENATE("Q3","-",RIGHT(W5,4))</f>
        <v>Q3-2016</v>
      </c>
      <c r="Y5" s="157" t="str">
        <f>CONCATENATE("Q4","-",RIGHT(X5,4))</f>
        <v>Q4-2016</v>
      </c>
      <c r="Z5" s="156" t="str">
        <f>CONCATENATE("FY",RIGHT(U5,4)+1)</f>
        <v>FY2016</v>
      </c>
      <c r="AA5" s="157" t="str">
        <f>CONCATENATE("Q1","-",RIGHT(Z5,4)+1)</f>
        <v>Q1-2017</v>
      </c>
      <c r="AB5" s="157" t="str">
        <f>CONCATENATE("Q2","-",RIGHT(AA5,4))</f>
        <v>Q2-2017</v>
      </c>
      <c r="AC5" s="157" t="str">
        <f>CONCATENATE("Q3","-",RIGHT(AB5,4))</f>
        <v>Q3-2017</v>
      </c>
      <c r="AD5" s="157" t="str">
        <f>CONCATENATE("Q4","-",RIGHT(AC5,4))</f>
        <v>Q4-2017</v>
      </c>
      <c r="AE5" s="156" t="str">
        <f>CONCATENATE("FY",RIGHT(Z5,4)+1)</f>
        <v>FY2017</v>
      </c>
      <c r="AF5" s="157" t="str">
        <f>CONCATENATE("Q1","-",RIGHT(AE5,4)+1)</f>
        <v>Q1-2018</v>
      </c>
      <c r="AG5" s="157" t="str">
        <f>CONCATENATE("Q2","-",RIGHT(AF5,4))</f>
        <v>Q2-2018</v>
      </c>
      <c r="AH5" s="157" t="str">
        <f>CONCATENATE("Q3","-",RIGHT(AG5,4))</f>
        <v>Q3-2018</v>
      </c>
      <c r="AI5" s="157" t="str">
        <f>CONCATENATE("Q4","-",RIGHT(AH5,4))</f>
        <v>Q4-2018</v>
      </c>
      <c r="AJ5" s="156" t="str">
        <f>CONCATENATE("FY",RIGHT(AE5,4)+1)</f>
        <v>FY2018</v>
      </c>
      <c r="AK5" s="157" t="str">
        <f>CONCATENATE("Q1","-",RIGHT(AJ5,4)+1)</f>
        <v>Q1-2019</v>
      </c>
      <c r="AL5" s="157" t="str">
        <f>CONCATENATE("Q2","-",RIGHT(AK5,4))</f>
        <v>Q2-2019</v>
      </c>
      <c r="AM5" s="157" t="str">
        <f>CONCATENATE("Q3","-",RIGHT(AL5,4))</f>
        <v>Q3-2019</v>
      </c>
      <c r="AN5" s="157" t="str">
        <f>CONCATENATE("Q4","-",RIGHT(AM5,4))</f>
        <v>Q4-2019</v>
      </c>
      <c r="AO5" s="156" t="str">
        <f>CONCATENATE("FY",RIGHT(AJ5,4)+1)</f>
        <v>FY2019</v>
      </c>
      <c r="AP5" s="157" t="str">
        <f>CONCATENATE("Q1","-",RIGHT(AO5,4)+1)</f>
        <v>Q1-2020</v>
      </c>
      <c r="AQ5" s="157" t="str">
        <f>CONCATENATE("Q2","-",RIGHT(AP5,4))</f>
        <v>Q2-2020</v>
      </c>
      <c r="AR5" s="157" t="str">
        <f>CONCATENATE("Q3","-",RIGHT(AQ5,4))</f>
        <v>Q3-2020</v>
      </c>
      <c r="AS5" s="157" t="str">
        <f>CONCATENATE("Q4","-",RIGHT(AR5,4))</f>
        <v>Q4-2020</v>
      </c>
      <c r="AT5" s="156" t="str">
        <f>CONCATENATE("FY",RIGHT(AO5,4)+1)</f>
        <v>FY2020</v>
      </c>
      <c r="AU5" s="157" t="str">
        <f>CONCATENATE("Q1","-",RIGHT(AT5,4)+1)</f>
        <v>Q1-2021</v>
      </c>
      <c r="AV5" s="157" t="str">
        <f>CONCATENATE("Q2","-",RIGHT(AU5,4))</f>
        <v>Q2-2021</v>
      </c>
      <c r="AW5" s="157" t="str">
        <f>CONCATENATE("Q3","-",RIGHT(AV5,4))</f>
        <v>Q3-2021</v>
      </c>
      <c r="AX5" s="157" t="str">
        <f>CONCATENATE("Q4","-",RIGHT(AW5,4))</f>
        <v>Q4-2021</v>
      </c>
      <c r="AY5" s="156" t="str">
        <f>CONCATENATE("FY",RIGHT(AT5,4)+1)</f>
        <v>FY2021</v>
      </c>
      <c r="AZ5" s="157" t="str">
        <f>CONCATENATE("Q1","-",RIGHT(AY5,4)+1)</f>
        <v>Q1-2022</v>
      </c>
      <c r="BA5" s="157" t="str">
        <f>CONCATENATE("Q2","-",RIGHT(AZ5,4))</f>
        <v>Q2-2022</v>
      </c>
      <c r="BB5" s="157" t="str">
        <f>CONCATENATE("Q3","-",RIGHT(BA5,4))</f>
        <v>Q3-2022</v>
      </c>
      <c r="BC5" s="157" t="str">
        <f>CONCATENATE("Q4","-",RIGHT(BB5,4))</f>
        <v>Q4-2022</v>
      </c>
      <c r="BD5" s="156" t="str">
        <f>CONCATENATE("FY",RIGHT(AY5,4)+1)</f>
        <v>FY2022</v>
      </c>
      <c r="BE5" s="157" t="str">
        <f>CONCATENATE("Q1","-",RIGHT(BD5,4)+1)</f>
        <v>Q1-2023</v>
      </c>
      <c r="BF5" s="157" t="str">
        <f>CONCATENATE("Q2","-",RIGHT(BE5,4))</f>
        <v>Q2-2023</v>
      </c>
      <c r="BG5" s="157" t="str">
        <f>CONCATENATE("Q3","-",RIGHT(BF5,4))</f>
        <v>Q3-2023</v>
      </c>
      <c r="BH5" s="157" t="str">
        <f>CONCATENATE("Q4","-",RIGHT(BG5,4))</f>
        <v>Q4-2023</v>
      </c>
      <c r="BI5" s="156" t="str">
        <f>CONCATENATE("FY",RIGHT(BD5,4)+1)</f>
        <v>FY2023</v>
      </c>
      <c r="BJ5" s="1109" t="str">
        <f>CONCATENATE("Q1","-",RIGHT(BI5,4)+1)</f>
        <v>Q1-2024</v>
      </c>
      <c r="BK5" s="157" t="str">
        <f>CONCATENATE("Q2","-",RIGHT(BJ5,4))</f>
        <v>Q2-2024</v>
      </c>
      <c r="BL5" s="157" t="str">
        <f>CONCATENATE("Q3","-",RIGHT(BK5,4))</f>
        <v>Q3-2024</v>
      </c>
      <c r="BM5" s="157" t="str">
        <f>CONCATENATE("Q4","-",RIGHT(BL5,4))</f>
        <v>Q4-2024</v>
      </c>
      <c r="BN5" s="156" t="str">
        <f>CONCATENATE("FY",RIGHT(BI5,4)+1)</f>
        <v>FY2024</v>
      </c>
      <c r="BO5" s="157" t="str">
        <f>CONCATENATE("Q1","-",RIGHT(BN5,4)+1)</f>
        <v>Q1-2025</v>
      </c>
      <c r="BP5" s="157" t="str">
        <f>CONCATENATE("Q2","-",RIGHT(BO5,4))</f>
        <v>Q2-2025</v>
      </c>
      <c r="BQ5" s="157" t="str">
        <f>CONCATENATE("Q3","-",RIGHT(BP5,4))</f>
        <v>Q3-2025</v>
      </c>
      <c r="BR5" s="157" t="str">
        <f>CONCATENATE("Q4","-",RIGHT(BQ5,4))</f>
        <v>Q4-2025</v>
      </c>
      <c r="BS5" s="156" t="str">
        <f>CONCATENATE("FY",RIGHT(BN5,4)+1)</f>
        <v>FY2025</v>
      </c>
      <c r="BT5" s="156" t="str">
        <f>CONCATENATE("FY",RIGHT(BS5,4)+1)</f>
        <v>FY2026</v>
      </c>
      <c r="BU5" s="156" t="str">
        <f>CONCATENATE("FY",RIGHT(BT5,4)+1)</f>
        <v>FY2027</v>
      </c>
      <c r="BV5" s="156" t="str">
        <f>CONCATENATE("FY",RIGHT(BU5,4)+1)</f>
        <v>FY2028</v>
      </c>
      <c r="BW5" s="134"/>
    </row>
    <row r="6" spans="1:75" s="162" customFormat="1" ht="14.25" x14ac:dyDescent="0.45">
      <c r="A6" s="159" t="s">
        <v>177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60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61"/>
    </row>
    <row r="7" spans="1:75" s="169" customFormat="1" ht="14.25" x14ac:dyDescent="0.45">
      <c r="A7" s="163" t="s">
        <v>1641</v>
      </c>
      <c r="B7" s="164"/>
      <c r="C7" s="165">
        <f t="shared" ref="C7:BN7" si="1">C272</f>
        <v>610</v>
      </c>
      <c r="D7" s="165">
        <f t="shared" si="1"/>
        <v>592</v>
      </c>
      <c r="E7" s="165">
        <f t="shared" si="1"/>
        <v>576</v>
      </c>
      <c r="F7" s="165">
        <f t="shared" si="1"/>
        <v>581</v>
      </c>
      <c r="G7" s="166">
        <f t="shared" si="1"/>
        <v>587</v>
      </c>
      <c r="H7" s="166">
        <f t="shared" si="1"/>
        <v>590</v>
      </c>
      <c r="I7" s="166">
        <f t="shared" si="1"/>
        <v>595</v>
      </c>
      <c r="J7" s="166">
        <f t="shared" si="1"/>
        <v>585</v>
      </c>
      <c r="K7" s="165">
        <f t="shared" si="1"/>
        <v>585</v>
      </c>
      <c r="L7" s="166">
        <f t="shared" si="1"/>
        <v>589</v>
      </c>
      <c r="M7" s="166">
        <f t="shared" si="1"/>
        <v>589</v>
      </c>
      <c r="N7" s="166">
        <f t="shared" si="1"/>
        <v>603</v>
      </c>
      <c r="O7" s="166">
        <f t="shared" si="1"/>
        <v>601</v>
      </c>
      <c r="P7" s="165">
        <f t="shared" si="1"/>
        <v>601</v>
      </c>
      <c r="Q7" s="166">
        <f t="shared" si="1"/>
        <v>603</v>
      </c>
      <c r="R7" s="166">
        <f t="shared" si="1"/>
        <v>612</v>
      </c>
      <c r="S7" s="166">
        <f t="shared" si="1"/>
        <v>623</v>
      </c>
      <c r="T7" s="166">
        <f t="shared" si="1"/>
        <v>618</v>
      </c>
      <c r="U7" s="165">
        <f t="shared" si="1"/>
        <v>618</v>
      </c>
      <c r="V7" s="166">
        <f t="shared" si="1"/>
        <v>624</v>
      </c>
      <c r="W7" s="166">
        <f t="shared" si="1"/>
        <v>626</v>
      </c>
      <c r="X7" s="166">
        <f t="shared" si="1"/>
        <v>635</v>
      </c>
      <c r="Y7" s="166">
        <f t="shared" si="1"/>
        <v>629</v>
      </c>
      <c r="Z7" s="165">
        <f t="shared" si="1"/>
        <v>629</v>
      </c>
      <c r="AA7" s="166">
        <f t="shared" si="1"/>
        <v>628</v>
      </c>
      <c r="AB7" s="166">
        <f t="shared" si="1"/>
        <v>635</v>
      </c>
      <c r="AC7" s="166">
        <f t="shared" si="1"/>
        <v>636</v>
      </c>
      <c r="AD7" s="166">
        <f t="shared" si="1"/>
        <v>631</v>
      </c>
      <c r="AE7" s="165">
        <f t="shared" si="1"/>
        <v>631</v>
      </c>
      <c r="AF7" s="166">
        <f t="shared" si="1"/>
        <v>627</v>
      </c>
      <c r="AG7" s="166">
        <f t="shared" si="1"/>
        <v>632</v>
      </c>
      <c r="AH7" s="166">
        <f t="shared" si="1"/>
        <v>633</v>
      </c>
      <c r="AI7" s="166">
        <f t="shared" si="1"/>
        <v>625</v>
      </c>
      <c r="AJ7" s="165">
        <f t="shared" si="1"/>
        <v>625</v>
      </c>
      <c r="AK7" s="166">
        <f t="shared" si="1"/>
        <v>625</v>
      </c>
      <c r="AL7" s="166">
        <f t="shared" si="1"/>
        <v>623</v>
      </c>
      <c r="AM7" s="166">
        <f t="shared" si="1"/>
        <v>626</v>
      </c>
      <c r="AN7" s="166">
        <f t="shared" si="1"/>
        <v>614</v>
      </c>
      <c r="AO7" s="165">
        <f t="shared" si="1"/>
        <v>614</v>
      </c>
      <c r="AP7" s="166">
        <f t="shared" si="1"/>
        <v>616</v>
      </c>
      <c r="AQ7" s="166">
        <f t="shared" si="1"/>
        <v>614</v>
      </c>
      <c r="AR7" s="166">
        <f t="shared" si="1"/>
        <v>614</v>
      </c>
      <c r="AS7" s="166">
        <f t="shared" si="1"/>
        <v>581</v>
      </c>
      <c r="AT7" s="165">
        <f t="shared" si="1"/>
        <v>581</v>
      </c>
      <c r="AU7" s="166">
        <f t="shared" si="1"/>
        <v>578</v>
      </c>
      <c r="AV7" s="166">
        <f t="shared" si="1"/>
        <v>581</v>
      </c>
      <c r="AW7" s="166">
        <f t="shared" si="1"/>
        <v>577</v>
      </c>
      <c r="AX7" s="166">
        <f t="shared" si="1"/>
        <v>544</v>
      </c>
      <c r="AY7" s="165">
        <f t="shared" si="1"/>
        <v>544</v>
      </c>
      <c r="AZ7" s="166">
        <f t="shared" si="1"/>
        <v>545</v>
      </c>
      <c r="BA7" s="166">
        <f t="shared" si="1"/>
        <v>546</v>
      </c>
      <c r="BB7" s="166">
        <f t="shared" si="1"/>
        <v>547</v>
      </c>
      <c r="BC7" s="166">
        <f t="shared" si="1"/>
        <v>530</v>
      </c>
      <c r="BD7" s="165">
        <f t="shared" si="1"/>
        <v>530</v>
      </c>
      <c r="BE7" s="166">
        <f t="shared" si="1"/>
        <v>531</v>
      </c>
      <c r="BF7" s="166">
        <f t="shared" si="1"/>
        <v>532</v>
      </c>
      <c r="BG7" s="166">
        <f t="shared" si="1"/>
        <v>533</v>
      </c>
      <c r="BH7" s="166">
        <f t="shared" si="1"/>
        <v>518</v>
      </c>
      <c r="BI7" s="165">
        <f t="shared" si="1"/>
        <v>518</v>
      </c>
      <c r="BJ7" s="1110">
        <f t="shared" si="1"/>
        <v>517</v>
      </c>
      <c r="BK7" s="166">
        <f t="shared" si="1"/>
        <v>513</v>
      </c>
      <c r="BL7" s="166">
        <f t="shared" si="1"/>
        <v>509</v>
      </c>
      <c r="BM7" s="166">
        <f t="shared" si="1"/>
        <v>505</v>
      </c>
      <c r="BN7" s="165">
        <f t="shared" si="1"/>
        <v>505</v>
      </c>
      <c r="BO7" s="166">
        <f t="shared" ref="BO7:CF7" si="2">BO272</f>
        <v>501</v>
      </c>
      <c r="BP7" s="166">
        <f t="shared" si="2"/>
        <v>497</v>
      </c>
      <c r="BQ7" s="166">
        <f t="shared" si="2"/>
        <v>493</v>
      </c>
      <c r="BR7" s="166">
        <f t="shared" si="2"/>
        <v>489</v>
      </c>
      <c r="BS7" s="165">
        <f t="shared" si="2"/>
        <v>489</v>
      </c>
      <c r="BT7" s="165">
        <f t="shared" si="2"/>
        <v>479</v>
      </c>
      <c r="BU7" s="165">
        <f t="shared" si="2"/>
        <v>469</v>
      </c>
      <c r="BV7" s="165">
        <f t="shared" si="2"/>
        <v>459</v>
      </c>
      <c r="BW7" s="168"/>
    </row>
    <row r="8" spans="1:75" s="177" customFormat="1" ht="14.25" x14ac:dyDescent="0.45">
      <c r="A8" s="170" t="s">
        <v>1642</v>
      </c>
      <c r="B8" s="171"/>
      <c r="C8" s="172"/>
      <c r="D8" s="172"/>
      <c r="E8" s="172"/>
      <c r="F8" s="172"/>
      <c r="G8" s="175">
        <f>G7/F7-1</f>
        <v>1.0327022375215211E-2</v>
      </c>
      <c r="H8" s="175">
        <f t="shared" ref="H8:J8" si="3">H7/G7-1</f>
        <v>5.110732538330387E-3</v>
      </c>
      <c r="I8" s="175">
        <f t="shared" si="3"/>
        <v>8.4745762711864181E-3</v>
      </c>
      <c r="J8" s="175">
        <f t="shared" si="3"/>
        <v>-1.6806722689075682E-2</v>
      </c>
      <c r="K8" s="172"/>
      <c r="L8" s="175">
        <f t="shared" ref="L8" si="4">L7/J7-1</f>
        <v>6.8376068376068133E-3</v>
      </c>
      <c r="M8" s="175">
        <f t="shared" ref="M8:O8" si="5">M7/L7-1</f>
        <v>0</v>
      </c>
      <c r="N8" s="175">
        <f t="shared" si="5"/>
        <v>2.3769100169779289E-2</v>
      </c>
      <c r="O8" s="175">
        <f t="shared" si="5"/>
        <v>-3.3167495854062867E-3</v>
      </c>
      <c r="P8" s="172"/>
      <c r="Q8" s="175">
        <f t="shared" ref="Q8" si="6">Q7/O7-1</f>
        <v>3.3277870216306127E-3</v>
      </c>
      <c r="R8" s="175">
        <f t="shared" ref="R8:T8" si="7">R7/Q7-1</f>
        <v>1.4925373134328401E-2</v>
      </c>
      <c r="S8" s="175">
        <f t="shared" si="7"/>
        <v>1.7973856209150263E-2</v>
      </c>
      <c r="T8" s="175">
        <f t="shared" si="7"/>
        <v>-8.0256821829856051E-3</v>
      </c>
      <c r="U8" s="172"/>
      <c r="V8" s="175">
        <f t="shared" ref="V8" si="8">V7/T7-1</f>
        <v>9.7087378640776656E-3</v>
      </c>
      <c r="W8" s="175">
        <f t="shared" ref="W8:Y8" si="9">W7/V7-1</f>
        <v>3.2051282051281937E-3</v>
      </c>
      <c r="X8" s="175">
        <f t="shared" si="9"/>
        <v>1.437699680511173E-2</v>
      </c>
      <c r="Y8" s="175">
        <f t="shared" si="9"/>
        <v>-9.4488188976378229E-3</v>
      </c>
      <c r="Z8" s="172"/>
      <c r="AA8" s="175">
        <f t="shared" ref="AA8" si="10">AA7/Y7-1</f>
        <v>-1.5898251192368873E-3</v>
      </c>
      <c r="AB8" s="175">
        <f t="shared" ref="AB8:AD8" si="11">AB7/AA7-1</f>
        <v>1.1146496815286566E-2</v>
      </c>
      <c r="AC8" s="175">
        <f t="shared" si="11"/>
        <v>1.5748031496063408E-3</v>
      </c>
      <c r="AD8" s="175">
        <f t="shared" si="11"/>
        <v>-7.8616352201258399E-3</v>
      </c>
      <c r="AE8" s="172"/>
      <c r="AF8" s="175">
        <f t="shared" ref="AF8" si="12">AF7/AD7-1</f>
        <v>-6.3391442155309452E-3</v>
      </c>
      <c r="AG8" s="175">
        <f t="shared" ref="AG8:AI8" si="13">AG7/AF7-1</f>
        <v>7.9744816586921896E-3</v>
      </c>
      <c r="AH8" s="175">
        <f t="shared" si="13"/>
        <v>1.5822784810126667E-3</v>
      </c>
      <c r="AI8" s="175">
        <f t="shared" si="13"/>
        <v>-1.2638230647709303E-2</v>
      </c>
      <c r="AJ8" s="172"/>
      <c r="AK8" s="175">
        <f t="shared" ref="AK8" si="14">AK7/AI7-1</f>
        <v>0</v>
      </c>
      <c r="AL8" s="175">
        <f t="shared" ref="AL8:AN8" si="15">AL7/AK7-1</f>
        <v>-3.1999999999999806E-3</v>
      </c>
      <c r="AM8" s="175">
        <f t="shared" si="15"/>
        <v>4.8154093097914075E-3</v>
      </c>
      <c r="AN8" s="175">
        <f t="shared" si="15"/>
        <v>-1.9169329073482455E-2</v>
      </c>
      <c r="AO8" s="172"/>
      <c r="AP8" s="175">
        <f t="shared" ref="AP8" si="16">AP7/AN7-1</f>
        <v>3.2573289902280145E-3</v>
      </c>
      <c r="AQ8" s="175">
        <f t="shared" ref="AQ8:AS8" si="17">AQ7/AP7-1</f>
        <v>-3.2467532467532756E-3</v>
      </c>
      <c r="AR8" s="175">
        <f t="shared" si="17"/>
        <v>0</v>
      </c>
      <c r="AS8" s="175">
        <f t="shared" si="17"/>
        <v>-5.3745928338762239E-2</v>
      </c>
      <c r="AT8" s="172"/>
      <c r="AU8" s="175">
        <f t="shared" ref="AU8" si="18">AU7/AS7-1</f>
        <v>-5.1635111876076056E-3</v>
      </c>
      <c r="AV8" s="175">
        <f t="shared" ref="AV8:AX8" si="19">AV7/AU7-1</f>
        <v>5.1903114186850896E-3</v>
      </c>
      <c r="AW8" s="175">
        <f t="shared" si="19"/>
        <v>-6.8846815834767705E-3</v>
      </c>
      <c r="AX8" s="175">
        <f t="shared" si="19"/>
        <v>-5.7192374350086617E-2</v>
      </c>
      <c r="AY8" s="172"/>
      <c r="AZ8" s="175">
        <f>AZ7/AX7-1</f>
        <v>1.8382352941177516E-3</v>
      </c>
      <c r="BA8" s="175">
        <f t="shared" ref="BA8:BB8" si="20">BA7/AZ7-1</f>
        <v>1.8348623853210455E-3</v>
      </c>
      <c r="BB8" s="175">
        <f t="shared" si="20"/>
        <v>1.831501831501825E-3</v>
      </c>
      <c r="BC8" s="175">
        <f>BC7/BB7-1</f>
        <v>-3.1078610603290646E-2</v>
      </c>
      <c r="BD8" s="172"/>
      <c r="BE8" s="175">
        <f>BE7/BC7-1</f>
        <v>1.8867924528302993E-3</v>
      </c>
      <c r="BF8" s="175">
        <f>BF7/BE7-1</f>
        <v>1.8832391713747842E-3</v>
      </c>
      <c r="BG8" s="175">
        <f>BG7/BF7-1</f>
        <v>1.879699248120259E-3</v>
      </c>
      <c r="BH8" s="175">
        <f>BH7/BG7-1</f>
        <v>-2.8142589118198891E-2</v>
      </c>
      <c r="BI8" s="172"/>
      <c r="BJ8" s="1111">
        <f>BJ7/BH7-1</f>
        <v>-1.9305019305019266E-3</v>
      </c>
      <c r="BK8" s="175">
        <f>BK7/BJ7-1</f>
        <v>-7.7369439071566237E-3</v>
      </c>
      <c r="BL8" s="175">
        <f>BL7/BK7-1</f>
        <v>-7.7972709551656916E-3</v>
      </c>
      <c r="BM8" s="175">
        <f>BM7/BL7-1</f>
        <v>-7.8585461689587577E-3</v>
      </c>
      <c r="BN8" s="172"/>
      <c r="BO8" s="175">
        <f>BO7/BM7-1</f>
        <v>-7.9207920792079278E-3</v>
      </c>
      <c r="BP8" s="175">
        <f>BP7/BO7-1</f>
        <v>-7.9840319361277334E-3</v>
      </c>
      <c r="BQ8" s="175">
        <f>BQ7/BP7-1</f>
        <v>-8.0482897384306362E-3</v>
      </c>
      <c r="BR8" s="175">
        <f>BR7/BQ7-1</f>
        <v>-8.113590263691739E-3</v>
      </c>
      <c r="BS8" s="172"/>
      <c r="BT8" s="172"/>
      <c r="BU8" s="172"/>
      <c r="BV8" s="172"/>
      <c r="BW8" s="176"/>
    </row>
    <row r="9" spans="1:75" s="177" customFormat="1" ht="14.25" x14ac:dyDescent="0.45">
      <c r="A9" s="170" t="s">
        <v>1643</v>
      </c>
      <c r="B9" s="171"/>
      <c r="C9" s="172"/>
      <c r="D9" s="172">
        <f t="shared" ref="D9:F9" si="21">D7/C7-1</f>
        <v>-2.9508196721311442E-2</v>
      </c>
      <c r="E9" s="172">
        <f t="shared" si="21"/>
        <v>-2.7027027027026973E-2</v>
      </c>
      <c r="F9" s="172">
        <f t="shared" si="21"/>
        <v>8.6805555555555802E-3</v>
      </c>
      <c r="G9" s="175"/>
      <c r="H9" s="175"/>
      <c r="I9" s="175"/>
      <c r="J9" s="175"/>
      <c r="K9" s="172">
        <f t="shared" ref="K9:BS9" si="22">K7/F7-1</f>
        <v>6.8846815834766595E-3</v>
      </c>
      <c r="L9" s="175">
        <f t="shared" si="22"/>
        <v>3.4071550255536653E-3</v>
      </c>
      <c r="M9" s="175">
        <f t="shared" si="22"/>
        <v>-1.6949152542372614E-3</v>
      </c>
      <c r="N9" s="175">
        <f t="shared" si="22"/>
        <v>1.3445378151260456E-2</v>
      </c>
      <c r="O9" s="175">
        <f t="shared" si="22"/>
        <v>2.7350427350427253E-2</v>
      </c>
      <c r="P9" s="172">
        <f t="shared" si="22"/>
        <v>2.7350427350427253E-2</v>
      </c>
      <c r="Q9" s="175">
        <f t="shared" si="22"/>
        <v>2.3769100169779289E-2</v>
      </c>
      <c r="R9" s="175">
        <f t="shared" si="22"/>
        <v>3.9049235993208864E-2</v>
      </c>
      <c r="S9" s="175">
        <f t="shared" si="22"/>
        <v>3.3167495854063089E-2</v>
      </c>
      <c r="T9" s="175">
        <f t="shared" si="22"/>
        <v>2.8286189683860208E-2</v>
      </c>
      <c r="U9" s="172">
        <f t="shared" si="22"/>
        <v>2.8286189683860208E-2</v>
      </c>
      <c r="V9" s="175">
        <f t="shared" si="22"/>
        <v>3.4825870646766122E-2</v>
      </c>
      <c r="W9" s="175">
        <f t="shared" si="22"/>
        <v>2.2875816993463971E-2</v>
      </c>
      <c r="X9" s="175">
        <f t="shared" si="22"/>
        <v>1.9261637239165408E-2</v>
      </c>
      <c r="Y9" s="175">
        <f t="shared" si="22"/>
        <v>1.7799352750809128E-2</v>
      </c>
      <c r="Z9" s="172">
        <f t="shared" si="22"/>
        <v>1.7799352750809128E-2</v>
      </c>
      <c r="AA9" s="175">
        <f t="shared" si="22"/>
        <v>6.4102564102563875E-3</v>
      </c>
      <c r="AB9" s="175">
        <f t="shared" si="22"/>
        <v>1.437699680511173E-2</v>
      </c>
      <c r="AC9" s="175">
        <f t="shared" si="22"/>
        <v>1.5748031496063408E-3</v>
      </c>
      <c r="AD9" s="175">
        <f t="shared" si="22"/>
        <v>3.1796502384737746E-3</v>
      </c>
      <c r="AE9" s="172">
        <f t="shared" si="22"/>
        <v>3.1796502384737746E-3</v>
      </c>
      <c r="AF9" s="175">
        <f t="shared" si="22"/>
        <v>-1.5923566878981443E-3</v>
      </c>
      <c r="AG9" s="175">
        <f t="shared" si="22"/>
        <v>-4.7244094488189115E-3</v>
      </c>
      <c r="AH9" s="175">
        <f t="shared" si="22"/>
        <v>-4.7169811320755262E-3</v>
      </c>
      <c r="AI9" s="175">
        <f t="shared" si="22"/>
        <v>-9.5087163232963068E-3</v>
      </c>
      <c r="AJ9" s="172">
        <f t="shared" si="22"/>
        <v>-9.5087163232963068E-3</v>
      </c>
      <c r="AK9" s="175">
        <f t="shared" si="22"/>
        <v>-3.1897926634768536E-3</v>
      </c>
      <c r="AL9" s="175">
        <f t="shared" si="22"/>
        <v>-1.4240506329113889E-2</v>
      </c>
      <c r="AM9" s="175">
        <f t="shared" si="22"/>
        <v>-1.1058451816745696E-2</v>
      </c>
      <c r="AN9" s="175">
        <f t="shared" si="22"/>
        <v>-1.7599999999999949E-2</v>
      </c>
      <c r="AO9" s="172">
        <f t="shared" si="22"/>
        <v>-1.7599999999999949E-2</v>
      </c>
      <c r="AP9" s="175">
        <f t="shared" si="22"/>
        <v>-1.4399999999999968E-2</v>
      </c>
      <c r="AQ9" s="175">
        <f t="shared" si="22"/>
        <v>-1.4446227929374E-2</v>
      </c>
      <c r="AR9" s="175">
        <f t="shared" si="22"/>
        <v>-1.9169329073482455E-2</v>
      </c>
      <c r="AS9" s="175">
        <f t="shared" si="22"/>
        <v>-5.3745928338762239E-2</v>
      </c>
      <c r="AT9" s="172">
        <f t="shared" si="22"/>
        <v>-5.3745928338762239E-2</v>
      </c>
      <c r="AU9" s="175">
        <f t="shared" si="22"/>
        <v>-6.1688311688311681E-2</v>
      </c>
      <c r="AV9" s="175">
        <f t="shared" si="22"/>
        <v>-5.3745928338762239E-2</v>
      </c>
      <c r="AW9" s="175">
        <f t="shared" si="22"/>
        <v>-6.0260586319218268E-2</v>
      </c>
      <c r="AX9" s="175">
        <f t="shared" si="22"/>
        <v>-6.3683304647160099E-2</v>
      </c>
      <c r="AY9" s="172">
        <f t="shared" si="22"/>
        <v>-6.3683304647160099E-2</v>
      </c>
      <c r="AZ9" s="175">
        <f t="shared" si="22"/>
        <v>-5.7093425605536319E-2</v>
      </c>
      <c r="BA9" s="175">
        <f t="shared" si="22"/>
        <v>-6.0240963855421659E-2</v>
      </c>
      <c r="BB9" s="175">
        <f t="shared" si="22"/>
        <v>-5.1993067590987874E-2</v>
      </c>
      <c r="BC9" s="175">
        <f t="shared" si="22"/>
        <v>-2.5735294117647078E-2</v>
      </c>
      <c r="BD9" s="172">
        <f t="shared" si="22"/>
        <v>-2.5735294117647078E-2</v>
      </c>
      <c r="BE9" s="175">
        <f t="shared" si="22"/>
        <v>-2.5688073394495414E-2</v>
      </c>
      <c r="BF9" s="175">
        <f t="shared" si="22"/>
        <v>-2.5641025641025661E-2</v>
      </c>
      <c r="BG9" s="175">
        <f t="shared" si="22"/>
        <v>-2.5594149908592323E-2</v>
      </c>
      <c r="BH9" s="175">
        <f t="shared" si="22"/>
        <v>-2.2641509433962259E-2</v>
      </c>
      <c r="BI9" s="172">
        <f t="shared" si="22"/>
        <v>-2.2641509433962259E-2</v>
      </c>
      <c r="BJ9" s="1111">
        <f t="shared" si="22"/>
        <v>-2.6365348399246757E-2</v>
      </c>
      <c r="BK9" s="175">
        <f t="shared" si="22"/>
        <v>-3.5714285714285698E-2</v>
      </c>
      <c r="BL9" s="175">
        <f t="shared" si="22"/>
        <v>-4.5028142589118247E-2</v>
      </c>
      <c r="BM9" s="175">
        <f t="shared" si="22"/>
        <v>-2.5096525096525046E-2</v>
      </c>
      <c r="BN9" s="172">
        <f t="shared" si="22"/>
        <v>-2.5096525096525046E-2</v>
      </c>
      <c r="BO9" s="175">
        <f t="shared" si="22"/>
        <v>-3.0947775628626717E-2</v>
      </c>
      <c r="BP9" s="175">
        <f t="shared" si="22"/>
        <v>-3.1189083820662766E-2</v>
      </c>
      <c r="BQ9" s="175">
        <f t="shared" si="22"/>
        <v>-3.143418467583492E-2</v>
      </c>
      <c r="BR9" s="175">
        <f t="shared" si="22"/>
        <v>-3.1683168316831711E-2</v>
      </c>
      <c r="BS9" s="172">
        <f t="shared" si="22"/>
        <v>-3.1683168316831711E-2</v>
      </c>
      <c r="BT9" s="172">
        <f>BT7/BS7-1</f>
        <v>-2.0449897750511203E-2</v>
      </c>
      <c r="BU9" s="172">
        <f>BU7/BT7-1</f>
        <v>-2.087682672233826E-2</v>
      </c>
      <c r="BV9" s="172">
        <f>BV7/BU7-1</f>
        <v>-2.1321961620469065E-2</v>
      </c>
      <c r="BW9" s="176"/>
    </row>
    <row r="10" spans="1:75" s="162" customFormat="1" ht="14.25" x14ac:dyDescent="0.45">
      <c r="A10" s="178"/>
      <c r="B10" s="179"/>
      <c r="C10" s="180"/>
      <c r="D10" s="180"/>
      <c r="E10" s="180"/>
      <c r="F10" s="180"/>
      <c r="G10" s="183"/>
      <c r="H10" s="183"/>
      <c r="I10" s="183"/>
      <c r="J10" s="183"/>
      <c r="K10" s="180"/>
      <c r="L10" s="183"/>
      <c r="M10" s="183"/>
      <c r="N10" s="183"/>
      <c r="O10" s="183"/>
      <c r="P10" s="180"/>
      <c r="Q10" s="183"/>
      <c r="R10" s="183"/>
      <c r="S10" s="183"/>
      <c r="T10" s="183"/>
      <c r="U10" s="180"/>
      <c r="V10" s="183"/>
      <c r="W10" s="183"/>
      <c r="X10" s="183"/>
      <c r="Y10" s="183"/>
      <c r="Z10" s="180"/>
      <c r="AA10" s="183"/>
      <c r="AB10" s="183"/>
      <c r="AC10" s="183"/>
      <c r="AD10" s="183"/>
      <c r="AE10" s="180"/>
      <c r="AF10" s="183"/>
      <c r="AG10" s="183"/>
      <c r="AH10" s="183"/>
      <c r="AI10" s="183"/>
      <c r="AJ10" s="180"/>
      <c r="AK10" s="183"/>
      <c r="AL10" s="183"/>
      <c r="AM10" s="183"/>
      <c r="AN10" s="183"/>
      <c r="AO10" s="180"/>
      <c r="AP10" s="183"/>
      <c r="AQ10" s="183"/>
      <c r="AR10" s="183"/>
      <c r="AS10" s="183"/>
      <c r="AT10" s="180"/>
      <c r="AU10" s="183"/>
      <c r="AV10" s="183"/>
      <c r="AW10" s="183"/>
      <c r="AX10" s="183"/>
      <c r="AY10" s="180"/>
      <c r="AZ10" s="183"/>
      <c r="BA10" s="183"/>
      <c r="BB10" s="183"/>
      <c r="BC10" s="183"/>
      <c r="BD10" s="180"/>
      <c r="BE10" s="183"/>
      <c r="BF10" s="183"/>
      <c r="BG10" s="183"/>
      <c r="BH10" s="183"/>
      <c r="BI10" s="180"/>
      <c r="BJ10" s="1112"/>
      <c r="BK10" s="183"/>
      <c r="BL10" s="183"/>
      <c r="BM10" s="183"/>
      <c r="BN10" s="180"/>
      <c r="BO10" s="183"/>
      <c r="BP10" s="183"/>
      <c r="BQ10" s="183"/>
      <c r="BR10" s="183"/>
      <c r="BS10" s="180"/>
      <c r="BT10" s="180"/>
      <c r="BU10" s="180"/>
      <c r="BV10" s="180"/>
      <c r="BW10" s="161"/>
    </row>
    <row r="11" spans="1:75" s="198" customFormat="1" ht="14.25" x14ac:dyDescent="0.45">
      <c r="A11" s="1113" t="s">
        <v>1644</v>
      </c>
      <c r="B11" s="207"/>
      <c r="C11" s="208">
        <f>C284</f>
        <v>1304.319</v>
      </c>
      <c r="D11" s="208">
        <f>D284</f>
        <v>1511.029</v>
      </c>
      <c r="E11" s="208">
        <f>E284</f>
        <v>1600.847</v>
      </c>
      <c r="F11" s="208">
        <f>F284</f>
        <v>1752.9970000000001</v>
      </c>
      <c r="G11" s="209"/>
      <c r="H11" s="209"/>
      <c r="I11" s="209"/>
      <c r="J11" s="209"/>
      <c r="K11" s="208">
        <f>K284</f>
        <v>1910.9780000000001</v>
      </c>
      <c r="L11" s="209"/>
      <c r="M11" s="209"/>
      <c r="N11" s="209"/>
      <c r="O11" s="209"/>
      <c r="P11" s="208">
        <f>P284</f>
        <v>2022.3309999999999</v>
      </c>
      <c r="Q11" s="209"/>
      <c r="R11" s="209"/>
      <c r="S11" s="209"/>
      <c r="T11" s="209"/>
      <c r="U11" s="208">
        <f>U284</f>
        <v>2074.0509999999999</v>
      </c>
      <c r="V11" s="209"/>
      <c r="W11" s="209"/>
      <c r="X11" s="209"/>
      <c r="Y11" s="209"/>
      <c r="Z11" s="208">
        <f>Z284</f>
        <v>2024.2180000000001</v>
      </c>
      <c r="AA11" s="209"/>
      <c r="AB11" s="209"/>
      <c r="AC11" s="209"/>
      <c r="AD11" s="209"/>
      <c r="AE11" s="208">
        <f>AE284</f>
        <v>2066.3020000000001</v>
      </c>
      <c r="AF11" s="209">
        <f>AF284</f>
        <v>490.37200000000001</v>
      </c>
      <c r="AG11" s="209">
        <f>AG284</f>
        <v>506.46</v>
      </c>
      <c r="AH11" s="209">
        <f>AH284</f>
        <v>533.46900000000005</v>
      </c>
      <c r="AI11" s="209">
        <f t="shared" ref="AI11:BV11" si="23">AI284</f>
        <v>647.04300000000012</v>
      </c>
      <c r="AJ11" s="208">
        <f t="shared" si="23"/>
        <v>2177.3440000000001</v>
      </c>
      <c r="AK11" s="209">
        <f t="shared" si="23"/>
        <v>492.12599999999998</v>
      </c>
      <c r="AL11" s="209">
        <f t="shared" si="23"/>
        <v>524.84699999999998</v>
      </c>
      <c r="AM11" s="209">
        <f t="shared" si="23"/>
        <v>556.98500000000001</v>
      </c>
      <c r="AN11" s="209">
        <f t="shared" si="23"/>
        <v>640.43899999999985</v>
      </c>
      <c r="AO11" s="208">
        <f t="shared" si="23"/>
        <v>2214.3969999999999</v>
      </c>
      <c r="AP11" s="209">
        <f t="shared" si="23"/>
        <v>479.61500000000001</v>
      </c>
      <c r="AQ11" s="209">
        <f t="shared" si="23"/>
        <v>563.27599999999995</v>
      </c>
      <c r="AR11" s="209">
        <f t="shared" si="23"/>
        <v>684.029</v>
      </c>
      <c r="AS11" s="209">
        <f t="shared" si="23"/>
        <v>799.32099999999991</v>
      </c>
      <c r="AT11" s="208">
        <f t="shared" si="23"/>
        <v>2526.241</v>
      </c>
      <c r="AU11" s="209">
        <f t="shared" si="23"/>
        <v>679.05499999999995</v>
      </c>
      <c r="AV11" s="209">
        <f t="shared" si="23"/>
        <v>732.32299999999998</v>
      </c>
      <c r="AW11" s="209">
        <f t="shared" si="23"/>
        <v>788.73199999999997</v>
      </c>
      <c r="AX11" s="209">
        <f t="shared" si="23"/>
        <v>920.57700000000023</v>
      </c>
      <c r="AY11" s="208">
        <f t="shared" si="23"/>
        <v>3120.6869999999999</v>
      </c>
      <c r="AZ11" s="209">
        <f t="shared" si="23"/>
        <v>774.64599999999996</v>
      </c>
      <c r="BA11" s="209">
        <f t="shared" si="23"/>
        <v>879.10699999999997</v>
      </c>
      <c r="BB11" s="209">
        <f t="shared" si="23"/>
        <v>935.04499999999996</v>
      </c>
      <c r="BC11" s="209">
        <f t="shared" si="23"/>
        <v>966.72300000000041</v>
      </c>
      <c r="BD11" s="208">
        <f t="shared" si="23"/>
        <v>3555.5210000000002</v>
      </c>
      <c r="BE11" s="209">
        <f t="shared" si="23"/>
        <v>767.71400000000006</v>
      </c>
      <c r="BF11" s="209">
        <f t="shared" si="23"/>
        <v>786.30799999999999</v>
      </c>
      <c r="BG11" s="209">
        <f t="shared" si="23"/>
        <v>777.47500000000002</v>
      </c>
      <c r="BH11" s="209">
        <f t="shared" si="23"/>
        <v>874.67000000000007</v>
      </c>
      <c r="BI11" s="208">
        <f t="shared" si="23"/>
        <v>3206.1669999999999</v>
      </c>
      <c r="BJ11" s="1114">
        <f t="shared" si="23"/>
        <v>677.33500000000004</v>
      </c>
      <c r="BK11" s="209">
        <f t="shared" si="23"/>
        <v>786.25023189375747</v>
      </c>
      <c r="BL11" s="209">
        <f t="shared" si="23"/>
        <v>768.73439580854324</v>
      </c>
      <c r="BM11" s="209">
        <f t="shared" si="23"/>
        <v>922.12463233580422</v>
      </c>
      <c r="BN11" s="208">
        <f t="shared" si="23"/>
        <v>3154.4442600381053</v>
      </c>
      <c r="BO11" s="209">
        <f t="shared" si="23"/>
        <v>705.9887402890821</v>
      </c>
      <c r="BP11" s="209">
        <f t="shared" si="23"/>
        <v>813.91288234028889</v>
      </c>
      <c r="BQ11" s="209">
        <f t="shared" si="23"/>
        <v>795.56402042683942</v>
      </c>
      <c r="BR11" s="209">
        <f t="shared" si="23"/>
        <v>885.96539665399064</v>
      </c>
      <c r="BS11" s="208">
        <f t="shared" si="23"/>
        <v>3201.4310397102013</v>
      </c>
      <c r="BT11" s="208">
        <f t="shared" si="23"/>
        <v>3409.3735980352308</v>
      </c>
      <c r="BU11" s="208">
        <f t="shared" si="23"/>
        <v>3716.2172218584019</v>
      </c>
      <c r="BV11" s="208">
        <f t="shared" si="23"/>
        <v>4050.6767718256583</v>
      </c>
      <c r="BW11" s="197"/>
    </row>
    <row r="12" spans="1:75" s="177" customFormat="1" ht="14.25" x14ac:dyDescent="0.45">
      <c r="A12" s="189" t="s">
        <v>1645</v>
      </c>
      <c r="B12" s="171"/>
      <c r="C12" s="172">
        <f t="shared" ref="C12:BN12" si="24">C274</f>
        <v>-0.111</v>
      </c>
      <c r="D12" s="172">
        <f t="shared" si="24"/>
        <v>0.17699999999999999</v>
      </c>
      <c r="E12" s="172">
        <f t="shared" si="24"/>
        <v>7.5999999999999998E-2</v>
      </c>
      <c r="F12" s="172">
        <f t="shared" si="24"/>
        <v>8.5000000000000006E-2</v>
      </c>
      <c r="G12" s="175">
        <f t="shared" si="24"/>
        <v>7.5999999999999998E-2</v>
      </c>
      <c r="H12" s="175">
        <f t="shared" si="24"/>
        <v>9.9000000000000005E-2</v>
      </c>
      <c r="I12" s="175">
        <f t="shared" si="24"/>
        <v>8.4000000000000005E-2</v>
      </c>
      <c r="J12" s="175">
        <f t="shared" si="24"/>
        <v>0.14599999999999999</v>
      </c>
      <c r="K12" s="172">
        <f t="shared" si="24"/>
        <v>0.104</v>
      </c>
      <c r="L12" s="175">
        <f t="shared" si="24"/>
        <v>9.7000000000000003E-2</v>
      </c>
      <c r="M12" s="175">
        <f t="shared" si="24"/>
        <v>4.3999999999999997E-2</v>
      </c>
      <c r="N12" s="175">
        <f t="shared" si="24"/>
        <v>7.0000000000000007E-2</v>
      </c>
      <c r="O12" s="175">
        <f t="shared" si="24"/>
        <v>2.9000000000000001E-2</v>
      </c>
      <c r="P12" s="172">
        <f t="shared" si="24"/>
        <v>5.8000000000000003E-2</v>
      </c>
      <c r="Q12" s="175">
        <f t="shared" si="24"/>
        <v>2.4E-2</v>
      </c>
      <c r="R12" s="175">
        <f t="shared" si="24"/>
        <v>6.4000000000000001E-2</v>
      </c>
      <c r="S12" s="175">
        <f t="shared" si="24"/>
        <v>0.02</v>
      </c>
      <c r="T12" s="175">
        <f t="shared" si="24"/>
        <v>-0.02</v>
      </c>
      <c r="U12" s="172">
        <f t="shared" si="24"/>
        <v>1.9E-2</v>
      </c>
      <c r="V12" s="175">
        <f t="shared" si="24"/>
        <v>2E-3</v>
      </c>
      <c r="W12" s="175">
        <f t="shared" si="24"/>
        <v>-4.8000000000000001E-2</v>
      </c>
      <c r="X12" s="175">
        <f t="shared" si="24"/>
        <v>-4.5999999999999999E-2</v>
      </c>
      <c r="Y12" s="175">
        <f t="shared" si="24"/>
        <v>-4.1000000000000002E-2</v>
      </c>
      <c r="Z12" s="172">
        <f t="shared" si="24"/>
        <v>-3.5000000000000003E-2</v>
      </c>
      <c r="AA12" s="175">
        <f t="shared" si="24"/>
        <v>-1.4E-2</v>
      </c>
      <c r="AB12" s="175">
        <f t="shared" si="24"/>
        <v>1.2E-2</v>
      </c>
      <c r="AC12" s="175">
        <f t="shared" si="24"/>
        <v>-3.0000000000000001E-3</v>
      </c>
      <c r="AD12" s="175">
        <f t="shared" si="24"/>
        <v>4.1000000000000002E-2</v>
      </c>
      <c r="AE12" s="172">
        <f t="shared" si="24"/>
        <v>0.01</v>
      </c>
      <c r="AF12" s="175">
        <f t="shared" si="24"/>
        <v>2.7E-2</v>
      </c>
      <c r="AG12" s="175">
        <f t="shared" si="24"/>
        <v>0.02</v>
      </c>
      <c r="AH12" s="175">
        <f t="shared" si="24"/>
        <v>1.4E-2</v>
      </c>
      <c r="AI12" s="175">
        <f t="shared" si="24"/>
        <v>-4.0000000000000001E-3</v>
      </c>
      <c r="AJ12" s="172">
        <f t="shared" si="24"/>
        <v>1.2E-2</v>
      </c>
      <c r="AK12" s="175">
        <f t="shared" si="24"/>
        <v>1.4999999999999999E-2</v>
      </c>
      <c r="AL12" s="175">
        <f t="shared" si="24"/>
        <v>4.2000000000000003E-2</v>
      </c>
      <c r="AM12" s="175">
        <f t="shared" si="24"/>
        <v>3.4000000000000002E-2</v>
      </c>
      <c r="AN12" s="175">
        <f t="shared" si="24"/>
        <v>6.7000000000000004E-2</v>
      </c>
      <c r="AO12" s="172">
        <f t="shared" si="24"/>
        <v>4.1000000000000002E-2</v>
      </c>
      <c r="AP12" s="175">
        <f t="shared" si="24"/>
        <v>-1.0999999999999999E-2</v>
      </c>
      <c r="AQ12" s="175">
        <f t="shared" si="24"/>
        <v>8.1000000000000003E-2</v>
      </c>
      <c r="AR12" s="175">
        <f t="shared" si="24"/>
        <v>0.24099999999999999</v>
      </c>
      <c r="AS12" s="175">
        <f t="shared" si="24"/>
        <v>0.25700000000000001</v>
      </c>
      <c r="AT12" s="172">
        <f t="shared" si="24"/>
        <v>0.152</v>
      </c>
      <c r="AU12" s="175">
        <f t="shared" si="24"/>
        <v>0.41299999999999998</v>
      </c>
      <c r="AV12" s="175">
        <f t="shared" si="24"/>
        <v>0.29599999999999999</v>
      </c>
      <c r="AW12" s="175">
        <f t="shared" si="24"/>
        <v>0.159</v>
      </c>
      <c r="AX12" s="175">
        <f t="shared" si="24"/>
        <v>0.16200000000000001</v>
      </c>
      <c r="AY12" s="172">
        <f t="shared" si="24"/>
        <v>0.23899999999999999</v>
      </c>
      <c r="AZ12" s="175">
        <f t="shared" si="24"/>
        <v>0.14599999999999999</v>
      </c>
      <c r="BA12" s="175">
        <f t="shared" si="24"/>
        <v>0.215</v>
      </c>
      <c r="BB12" s="175">
        <f t="shared" si="24"/>
        <v>0.19600000000000001</v>
      </c>
      <c r="BC12" s="175">
        <f t="shared" si="24"/>
        <v>5.8000000000000003E-2</v>
      </c>
      <c r="BD12" s="172">
        <f t="shared" si="24"/>
        <v>0.14899999999999999</v>
      </c>
      <c r="BE12" s="175">
        <f t="shared" si="24"/>
        <v>-4.0000000000000001E-3</v>
      </c>
      <c r="BF12" s="175">
        <f t="shared" si="24"/>
        <v>-0.106</v>
      </c>
      <c r="BG12" s="175">
        <f t="shared" si="24"/>
        <v>-0.16600000000000001</v>
      </c>
      <c r="BH12" s="175">
        <f t="shared" si="24"/>
        <v>-9.6000000000000002E-2</v>
      </c>
      <c r="BI12" s="172">
        <f t="shared" si="24"/>
        <v>-9.7000000000000003E-2</v>
      </c>
      <c r="BJ12" s="1111">
        <f t="shared" si="24"/>
        <v>-0.108</v>
      </c>
      <c r="BK12" s="175">
        <f t="shared" si="24"/>
        <v>5.0000000000000001E-3</v>
      </c>
      <c r="BL12" s="175">
        <f t="shared" si="24"/>
        <v>5.0000000000000001E-3</v>
      </c>
      <c r="BM12" s="175">
        <f t="shared" si="24"/>
        <v>5.0000000000000001E-3</v>
      </c>
      <c r="BN12" s="172">
        <f t="shared" si="24"/>
        <v>-2.205775525729009E-2</v>
      </c>
      <c r="BO12" s="175">
        <f t="shared" ref="BO12:BV12" si="25">BO274</f>
        <v>0.05</v>
      </c>
      <c r="BP12" s="175">
        <f t="shared" si="25"/>
        <v>0.05</v>
      </c>
      <c r="BQ12" s="175">
        <f t="shared" si="25"/>
        <v>0.05</v>
      </c>
      <c r="BR12" s="175">
        <f t="shared" si="25"/>
        <v>0.05</v>
      </c>
      <c r="BS12" s="172">
        <f t="shared" si="25"/>
        <v>0.05</v>
      </c>
      <c r="BT12" s="172">
        <f t="shared" si="25"/>
        <v>0.09</v>
      </c>
      <c r="BU12" s="172">
        <f t="shared" si="25"/>
        <v>0.09</v>
      </c>
      <c r="BV12" s="172">
        <f t="shared" si="25"/>
        <v>0.09</v>
      </c>
      <c r="BW12" s="176"/>
    </row>
    <row r="13" spans="1:75" s="177" customFormat="1" ht="14.25" x14ac:dyDescent="0.45">
      <c r="A13" s="189" t="s">
        <v>1646</v>
      </c>
      <c r="B13" s="171"/>
      <c r="C13" s="172"/>
      <c r="D13" s="172">
        <f t="shared" ref="D13:F13" si="26">D11/C11-1</f>
        <v>0.15848116910050392</v>
      </c>
      <c r="E13" s="172">
        <f t="shared" si="26"/>
        <v>5.9441612305256797E-2</v>
      </c>
      <c r="F13" s="172">
        <f t="shared" si="26"/>
        <v>9.5043436380865876E-2</v>
      </c>
      <c r="G13" s="175"/>
      <c r="H13" s="175"/>
      <c r="I13" s="175"/>
      <c r="J13" s="175"/>
      <c r="K13" s="172">
        <f t="shared" ref="K13:BS13" si="27">K11/F11-1</f>
        <v>9.0120519316347902E-2</v>
      </c>
      <c r="L13" s="175"/>
      <c r="M13" s="175"/>
      <c r="N13" s="175"/>
      <c r="O13" s="175"/>
      <c r="P13" s="172">
        <f t="shared" si="27"/>
        <v>5.8270163235788042E-2</v>
      </c>
      <c r="Q13" s="175"/>
      <c r="R13" s="175"/>
      <c r="S13" s="175"/>
      <c r="T13" s="175"/>
      <c r="U13" s="172">
        <f t="shared" si="27"/>
        <v>2.557444849532553E-2</v>
      </c>
      <c r="V13" s="175"/>
      <c r="W13" s="175"/>
      <c r="X13" s="175"/>
      <c r="Y13" s="175"/>
      <c r="Z13" s="172">
        <f t="shared" si="27"/>
        <v>-2.4026892299176761E-2</v>
      </c>
      <c r="AA13" s="175"/>
      <c r="AB13" s="175"/>
      <c r="AC13" s="175"/>
      <c r="AD13" s="175"/>
      <c r="AE13" s="172">
        <f t="shared" si="27"/>
        <v>2.0790250852428027E-2</v>
      </c>
      <c r="AF13" s="175"/>
      <c r="AG13" s="175"/>
      <c r="AH13" s="175"/>
      <c r="AI13" s="175"/>
      <c r="AJ13" s="172">
        <f t="shared" si="27"/>
        <v>5.3739482418349249E-2</v>
      </c>
      <c r="AK13" s="175">
        <f t="shared" si="27"/>
        <v>3.5768763306223139E-3</v>
      </c>
      <c r="AL13" s="175">
        <f t="shared" si="27"/>
        <v>3.6304940172965372E-2</v>
      </c>
      <c r="AM13" s="175">
        <f t="shared" si="27"/>
        <v>4.4081286822664323E-2</v>
      </c>
      <c r="AN13" s="175">
        <f t="shared" si="27"/>
        <v>-1.0206431411823091E-2</v>
      </c>
      <c r="AO13" s="172">
        <f t="shared" si="27"/>
        <v>1.7017522265659446E-2</v>
      </c>
      <c r="AP13" s="175">
        <f t="shared" si="27"/>
        <v>-2.5422351186484726E-2</v>
      </c>
      <c r="AQ13" s="175">
        <f t="shared" si="27"/>
        <v>7.3219433472992979E-2</v>
      </c>
      <c r="AR13" s="175">
        <f t="shared" si="27"/>
        <v>0.22809231846459066</v>
      </c>
      <c r="AS13" s="175">
        <f t="shared" si="27"/>
        <v>0.24808295559764493</v>
      </c>
      <c r="AT13" s="172">
        <f t="shared" si="27"/>
        <v>0.14082569656660482</v>
      </c>
      <c r="AU13" s="175">
        <f t="shared" si="27"/>
        <v>0.41583353314637761</v>
      </c>
      <c r="AV13" s="175">
        <f t="shared" si="27"/>
        <v>0.30011397609697554</v>
      </c>
      <c r="AW13" s="175">
        <f t="shared" si="27"/>
        <v>0.15306807167532366</v>
      </c>
      <c r="AX13" s="175">
        <f t="shared" si="27"/>
        <v>0.1516987543177275</v>
      </c>
      <c r="AY13" s="172">
        <f t="shared" si="27"/>
        <v>0.23530850777894896</v>
      </c>
      <c r="AZ13" s="175">
        <f t="shared" si="27"/>
        <v>0.14077062977225707</v>
      </c>
      <c r="BA13" s="175">
        <f t="shared" si="27"/>
        <v>0.20043614634526019</v>
      </c>
      <c r="BB13" s="175">
        <f t="shared" si="27"/>
        <v>0.18550407489489462</v>
      </c>
      <c r="BC13" s="175">
        <f t="shared" si="27"/>
        <v>5.0127257144160886E-2</v>
      </c>
      <c r="BD13" s="172">
        <f t="shared" si="27"/>
        <v>0.13933919037699072</v>
      </c>
      <c r="BE13" s="175">
        <f t="shared" si="27"/>
        <v>-8.9486036202341968E-3</v>
      </c>
      <c r="BF13" s="175">
        <f t="shared" si="27"/>
        <v>-0.1055605290368522</v>
      </c>
      <c r="BG13" s="175">
        <f t="shared" si="27"/>
        <v>-0.16851595377762563</v>
      </c>
      <c r="BH13" s="175">
        <f t="shared" si="27"/>
        <v>-9.5221692253106949E-2</v>
      </c>
      <c r="BI13" s="172">
        <f t="shared" si="27"/>
        <v>-9.8256767432958525E-2</v>
      </c>
      <c r="BJ13" s="1111">
        <f t="shared" si="27"/>
        <v>-0.11772482981943799</v>
      </c>
      <c r="BK13" s="175">
        <f t="shared" si="27"/>
        <v>-7.3467529571824564E-5</v>
      </c>
      <c r="BL13" s="175">
        <f t="shared" si="27"/>
        <v>-1.1242296140013264E-2</v>
      </c>
      <c r="BM13" s="175">
        <f t="shared" si="27"/>
        <v>5.4254327158590243E-2</v>
      </c>
      <c r="BN13" s="172">
        <f t="shared" si="27"/>
        <v>-1.6132266336062573E-2</v>
      </c>
      <c r="BO13" s="175">
        <f t="shared" si="27"/>
        <v>4.2303646333176514E-2</v>
      </c>
      <c r="BP13" s="175">
        <f t="shared" si="27"/>
        <v>3.5183010858900854E-2</v>
      </c>
      <c r="BQ13" s="175">
        <f t="shared" si="27"/>
        <v>3.4901033132616943E-2</v>
      </c>
      <c r="BR13" s="175">
        <f t="shared" si="27"/>
        <v>-3.9212959304882444E-2</v>
      </c>
      <c r="BS13" s="172">
        <f t="shared" si="27"/>
        <v>1.489542239415842E-2</v>
      </c>
      <c r="BT13" s="172">
        <f>BT11/BS11-1</f>
        <v>6.4953002499736012E-2</v>
      </c>
      <c r="BU13" s="172">
        <f>BU11/BT11-1</f>
        <v>9.000000000000008E-2</v>
      </c>
      <c r="BV13" s="172">
        <f>BV11/BU11-1</f>
        <v>9.000000000000008E-2</v>
      </c>
      <c r="BW13" s="176"/>
    </row>
    <row r="14" spans="1:75" s="177" customFormat="1" ht="7.5" customHeight="1" x14ac:dyDescent="0.45">
      <c r="A14" s="189"/>
      <c r="B14" s="171"/>
      <c r="C14" s="172"/>
      <c r="D14" s="172"/>
      <c r="E14" s="172"/>
      <c r="F14" s="172"/>
      <c r="G14" s="175"/>
      <c r="H14" s="175"/>
      <c r="I14" s="175"/>
      <c r="J14" s="175"/>
      <c r="K14" s="172"/>
      <c r="L14" s="175"/>
      <c r="M14" s="175"/>
      <c r="N14" s="175"/>
      <c r="O14" s="175"/>
      <c r="P14" s="172"/>
      <c r="Q14" s="175"/>
      <c r="R14" s="175"/>
      <c r="S14" s="175"/>
      <c r="T14" s="175"/>
      <c r="U14" s="172"/>
      <c r="V14" s="175"/>
      <c r="W14" s="175"/>
      <c r="X14" s="175"/>
      <c r="Y14" s="175"/>
      <c r="Z14" s="172"/>
      <c r="AA14" s="175"/>
      <c r="AB14" s="175"/>
      <c r="AC14" s="175"/>
      <c r="AD14" s="175"/>
      <c r="AE14" s="172"/>
      <c r="AF14" s="175"/>
      <c r="AG14" s="175"/>
      <c r="AH14" s="175"/>
      <c r="AI14" s="175"/>
      <c r="AJ14" s="172"/>
      <c r="AK14" s="175"/>
      <c r="AL14" s="175"/>
      <c r="AM14" s="175"/>
      <c r="AN14" s="175"/>
      <c r="AO14" s="172"/>
      <c r="AP14" s="175"/>
      <c r="AQ14" s="175"/>
      <c r="AR14" s="175"/>
      <c r="AS14" s="175"/>
      <c r="AT14" s="172"/>
      <c r="AU14" s="175"/>
      <c r="AV14" s="175"/>
      <c r="AW14" s="175"/>
      <c r="AX14" s="175"/>
      <c r="AY14" s="172"/>
      <c r="AZ14" s="175"/>
      <c r="BA14" s="175"/>
      <c r="BB14" s="175"/>
      <c r="BC14" s="175"/>
      <c r="BD14" s="172"/>
      <c r="BE14" s="175"/>
      <c r="BF14" s="175"/>
      <c r="BG14" s="175"/>
      <c r="BH14" s="175"/>
      <c r="BI14" s="172"/>
      <c r="BJ14" s="1111"/>
      <c r="BK14" s="175"/>
      <c r="BL14" s="175"/>
      <c r="BM14" s="175"/>
      <c r="BN14" s="172"/>
      <c r="BO14" s="175"/>
      <c r="BP14" s="175"/>
      <c r="BQ14" s="175"/>
      <c r="BR14" s="175"/>
      <c r="BS14" s="172"/>
      <c r="BT14" s="172"/>
      <c r="BU14" s="172"/>
      <c r="BV14" s="172"/>
      <c r="BW14" s="176"/>
    </row>
    <row r="15" spans="1:75" s="198" customFormat="1" ht="14.25" x14ac:dyDescent="0.45">
      <c r="A15" s="1113" t="s">
        <v>1647</v>
      </c>
      <c r="B15" s="207"/>
      <c r="C15" s="208">
        <f>C285</f>
        <v>211.57599999999999</v>
      </c>
      <c r="D15" s="208">
        <f>D285</f>
        <v>259.93599999999998</v>
      </c>
      <c r="E15" s="208">
        <f>E285</f>
        <v>335.98</v>
      </c>
      <c r="F15" s="208">
        <f>F285</f>
        <v>430.09899999999999</v>
      </c>
      <c r="G15" s="209"/>
      <c r="H15" s="209"/>
      <c r="I15" s="209"/>
      <c r="J15" s="209"/>
      <c r="K15" s="208">
        <f>K285</f>
        <v>531.30499999999995</v>
      </c>
      <c r="L15" s="209"/>
      <c r="M15" s="209"/>
      <c r="N15" s="209"/>
      <c r="O15" s="209"/>
      <c r="P15" s="208">
        <f>P285</f>
        <v>669.07399999999996</v>
      </c>
      <c r="Q15" s="209"/>
      <c r="R15" s="209"/>
      <c r="S15" s="209"/>
      <c r="T15" s="209"/>
      <c r="U15" s="208">
        <f>U285</f>
        <v>821.13599999999997</v>
      </c>
      <c r="V15" s="209"/>
      <c r="W15" s="209"/>
      <c r="X15" s="209"/>
      <c r="Y15" s="209"/>
      <c r="Z15" s="208">
        <f>Z285</f>
        <v>971.56799999999998</v>
      </c>
      <c r="AA15" s="209"/>
      <c r="AB15" s="209"/>
      <c r="AC15" s="209"/>
      <c r="AD15" s="209"/>
      <c r="AE15" s="208">
        <f t="shared" ref="AE15:BV15" si="28">AE285</f>
        <v>1114.3389999999999</v>
      </c>
      <c r="AF15" s="209">
        <f t="shared" si="28"/>
        <v>273.34899999999999</v>
      </c>
      <c r="AG15" s="209">
        <f t="shared" si="28"/>
        <v>301.21300000000002</v>
      </c>
      <c r="AH15" s="209">
        <f t="shared" si="28"/>
        <v>339.09899999999999</v>
      </c>
      <c r="AI15" s="209">
        <f t="shared" si="28"/>
        <v>379.26700000000005</v>
      </c>
      <c r="AJ15" s="208">
        <f t="shared" si="28"/>
        <v>1292.9280000000001</v>
      </c>
      <c r="AK15" s="209">
        <f t="shared" si="28"/>
        <v>309.483</v>
      </c>
      <c r="AL15" s="209">
        <f t="shared" si="28"/>
        <v>357.57400000000001</v>
      </c>
      <c r="AM15" s="209">
        <f t="shared" si="28"/>
        <v>390.34100000000001</v>
      </c>
      <c r="AN15" s="209">
        <f t="shared" si="28"/>
        <v>409.1389999999999</v>
      </c>
      <c r="AO15" s="208">
        <f t="shared" si="28"/>
        <v>1466.537</v>
      </c>
      <c r="AP15" s="209">
        <f t="shared" si="28"/>
        <v>315.43</v>
      </c>
      <c r="AQ15" s="209">
        <f t="shared" si="28"/>
        <v>380.55200000000002</v>
      </c>
      <c r="AR15" s="209">
        <f t="shared" si="28"/>
        <v>474.959</v>
      </c>
      <c r="AS15" s="209">
        <f t="shared" si="28"/>
        <v>511.31299999999987</v>
      </c>
      <c r="AT15" s="208">
        <f t="shared" si="28"/>
        <v>1682.2539999999999</v>
      </c>
      <c r="AU15" s="209">
        <f t="shared" si="28"/>
        <v>477.31700000000001</v>
      </c>
      <c r="AV15" s="209">
        <f t="shared" si="28"/>
        <v>579.63599999999997</v>
      </c>
      <c r="AW15" s="209">
        <f t="shared" si="28"/>
        <v>579.66800000000001</v>
      </c>
      <c r="AX15" s="209">
        <f t="shared" si="28"/>
        <v>597.92699999999968</v>
      </c>
      <c r="AY15" s="208">
        <f t="shared" si="28"/>
        <v>2234.5479999999998</v>
      </c>
      <c r="AZ15" s="209">
        <f t="shared" si="28"/>
        <v>536.29300000000001</v>
      </c>
      <c r="BA15" s="209">
        <f t="shared" si="28"/>
        <v>607.91800000000001</v>
      </c>
      <c r="BB15" s="209">
        <f t="shared" si="28"/>
        <v>599.80200000000002</v>
      </c>
      <c r="BC15" s="209">
        <f t="shared" si="28"/>
        <v>534.11799999999994</v>
      </c>
      <c r="BD15" s="208">
        <f t="shared" si="28"/>
        <v>2278.1309999999999</v>
      </c>
      <c r="BE15" s="209">
        <f t="shared" si="28"/>
        <v>452.39299999999997</v>
      </c>
      <c r="BF15" s="209">
        <f t="shared" si="28"/>
        <v>484.10599999999999</v>
      </c>
      <c r="BG15" s="209">
        <f t="shared" si="28"/>
        <v>466.36</v>
      </c>
      <c r="BH15" s="209">
        <f t="shared" si="28"/>
        <v>451.952</v>
      </c>
      <c r="BI15" s="208">
        <f t="shared" si="28"/>
        <v>1854.8109999999999</v>
      </c>
      <c r="BJ15" s="1114">
        <f t="shared" si="28"/>
        <v>430.30900000000003</v>
      </c>
      <c r="BK15" s="209">
        <f t="shared" si="28"/>
        <v>471.03192836197513</v>
      </c>
      <c r="BL15" s="209">
        <f t="shared" si="28"/>
        <v>454.79041040559986</v>
      </c>
      <c r="BM15" s="209">
        <f t="shared" si="28"/>
        <v>474.27730047965065</v>
      </c>
      <c r="BN15" s="208">
        <f t="shared" si="28"/>
        <v>1830.4086392472257</v>
      </c>
      <c r="BO15" s="209">
        <f t="shared" si="28"/>
        <v>451.8920300839402</v>
      </c>
      <c r="BP15" s="209">
        <f t="shared" si="28"/>
        <v>492.81026139860433</v>
      </c>
      <c r="BQ15" s="209">
        <f t="shared" si="28"/>
        <v>475.81405799722415</v>
      </c>
      <c r="BR15" s="209">
        <f t="shared" si="28"/>
        <v>460.75518597416783</v>
      </c>
      <c r="BS15" s="208">
        <f t="shared" si="28"/>
        <v>1881.2715354539366</v>
      </c>
      <c r="BT15" s="208">
        <f t="shared" si="28"/>
        <v>2022.6284500750889</v>
      </c>
      <c r="BU15" s="208">
        <f t="shared" si="28"/>
        <v>2137.621730757422</v>
      </c>
      <c r="BV15" s="208">
        <f t="shared" si="28"/>
        <v>2257.3245997828362</v>
      </c>
      <c r="BW15" s="197"/>
    </row>
    <row r="16" spans="1:75" s="177" customFormat="1" ht="14.25" x14ac:dyDescent="0.45">
      <c r="A16" s="189" t="s">
        <v>1648</v>
      </c>
      <c r="B16" s="171"/>
      <c r="C16" s="172">
        <f t="shared" ref="C16:BN16" si="29">C275</f>
        <v>-0.12</v>
      </c>
      <c r="D16" s="172">
        <f t="shared" si="29"/>
        <v>0.16400000000000001</v>
      </c>
      <c r="E16" s="172">
        <f t="shared" si="29"/>
        <v>0.30299999999999999</v>
      </c>
      <c r="F16" s="172">
        <f t="shared" si="29"/>
        <v>0.17399999999999999</v>
      </c>
      <c r="G16" s="175">
        <f t="shared" si="29"/>
        <v>0.11799999999999999</v>
      </c>
      <c r="H16" s="175">
        <f t="shared" si="29"/>
        <v>0.16500000000000001</v>
      </c>
      <c r="I16" s="175">
        <f t="shared" si="29"/>
        <v>0.222</v>
      </c>
      <c r="J16" s="175">
        <f t="shared" si="29"/>
        <v>0.183</v>
      </c>
      <c r="K16" s="172">
        <f t="shared" si="29"/>
        <v>0.17399999999999999</v>
      </c>
      <c r="L16" s="175">
        <f t="shared" si="29"/>
        <v>0.188</v>
      </c>
      <c r="M16" s="175">
        <f t="shared" si="29"/>
        <v>0.16700000000000001</v>
      </c>
      <c r="N16" s="175">
        <f t="shared" si="29"/>
        <v>0.17399999999999999</v>
      </c>
      <c r="O16" s="175">
        <f t="shared" si="29"/>
        <v>0.19600000000000001</v>
      </c>
      <c r="P16" s="172">
        <f t="shared" si="29"/>
        <v>0.182</v>
      </c>
      <c r="Q16" s="175">
        <f t="shared" si="29"/>
        <v>0.153</v>
      </c>
      <c r="R16" s="175">
        <f t="shared" si="29"/>
        <v>0.157</v>
      </c>
      <c r="S16" s="175">
        <f t="shared" si="29"/>
        <v>0.157</v>
      </c>
      <c r="T16" s="175">
        <f t="shared" si="29"/>
        <v>0.128</v>
      </c>
      <c r="U16" s="172">
        <f t="shared" si="29"/>
        <v>0.14799999999999999</v>
      </c>
      <c r="V16" s="175">
        <f t="shared" si="29"/>
        <v>0.19</v>
      </c>
      <c r="W16" s="175">
        <f t="shared" si="29"/>
        <v>0.158</v>
      </c>
      <c r="X16" s="175">
        <f t="shared" si="29"/>
        <v>0.12</v>
      </c>
      <c r="Y16" s="175">
        <f t="shared" si="29"/>
        <v>6.5000000000000002E-2</v>
      </c>
      <c r="Z16" s="172">
        <f t="shared" si="29"/>
        <v>0.128</v>
      </c>
      <c r="AA16" s="175">
        <f t="shared" si="29"/>
        <v>0.06</v>
      </c>
      <c r="AB16" s="175">
        <f t="shared" si="29"/>
        <v>0.10100000000000001</v>
      </c>
      <c r="AC16" s="175">
        <f t="shared" si="29"/>
        <v>0.115</v>
      </c>
      <c r="AD16" s="175">
        <f t="shared" si="29"/>
        <v>0.123</v>
      </c>
      <c r="AE16" s="172">
        <f t="shared" si="29"/>
        <v>0.10199999999999999</v>
      </c>
      <c r="AF16" s="175">
        <f t="shared" si="29"/>
        <v>0.09</v>
      </c>
      <c r="AG16" s="175">
        <f t="shared" si="29"/>
        <v>9.5000000000000001E-2</v>
      </c>
      <c r="AH16" s="175">
        <f t="shared" si="29"/>
        <v>8.3000000000000004E-2</v>
      </c>
      <c r="AI16" s="175">
        <f t="shared" si="29"/>
        <v>0.111</v>
      </c>
      <c r="AJ16" s="172">
        <f t="shared" si="29"/>
        <v>9.5000000000000001E-2</v>
      </c>
      <c r="AK16" s="175">
        <f t="shared" si="29"/>
        <v>0.11799999999999999</v>
      </c>
      <c r="AL16" s="175">
        <f t="shared" si="29"/>
        <v>0.17499999999999999</v>
      </c>
      <c r="AM16" s="175">
        <f t="shared" si="29"/>
        <v>0.14099999999999999</v>
      </c>
      <c r="AN16" s="175">
        <f t="shared" si="29"/>
        <v>0.13900000000000001</v>
      </c>
      <c r="AO16" s="172">
        <f t="shared" si="29"/>
        <v>0.14399999999999999</v>
      </c>
      <c r="AP16" s="175">
        <f t="shared" si="29"/>
        <v>3.3000000000000002E-2</v>
      </c>
      <c r="AQ16" s="175">
        <f t="shared" si="29"/>
        <v>7.0000000000000007E-2</v>
      </c>
      <c r="AR16" s="175">
        <f t="shared" si="29"/>
        <v>0.218</v>
      </c>
      <c r="AS16" s="175">
        <f t="shared" si="29"/>
        <v>0.252</v>
      </c>
      <c r="AT16" s="172">
        <f t="shared" si="29"/>
        <v>0.152</v>
      </c>
      <c r="AU16" s="175">
        <f t="shared" si="29"/>
        <v>0.50900000000000001</v>
      </c>
      <c r="AV16" s="175">
        <f t="shared" si="29"/>
        <v>0.51100000000000001</v>
      </c>
      <c r="AW16" s="175">
        <f t="shared" si="29"/>
        <v>0.22500000000000001</v>
      </c>
      <c r="AX16" s="175">
        <f t="shared" si="29"/>
        <v>0.183</v>
      </c>
      <c r="AY16" s="172">
        <f t="shared" si="29"/>
        <v>0.33100000000000002</v>
      </c>
      <c r="AZ16" s="175">
        <f t="shared" si="29"/>
        <v>0.128</v>
      </c>
      <c r="BA16" s="175">
        <f t="shared" si="29"/>
        <v>6.0999999999999999E-2</v>
      </c>
      <c r="BB16" s="175">
        <f t="shared" si="29"/>
        <v>4.2000000000000003E-2</v>
      </c>
      <c r="BC16" s="175">
        <f t="shared" si="29"/>
        <v>-0.107</v>
      </c>
      <c r="BD16" s="172">
        <f t="shared" si="29"/>
        <v>2.5000000000000001E-2</v>
      </c>
      <c r="BE16" s="175">
        <f t="shared" si="29"/>
        <v>-0.158</v>
      </c>
      <c r="BF16" s="175">
        <f t="shared" si="29"/>
        <v>-0.20799999999999999</v>
      </c>
      <c r="BG16" s="175">
        <f t="shared" si="29"/>
        <v>-0.224</v>
      </c>
      <c r="BH16" s="175">
        <f t="shared" si="29"/>
        <v>-0.153</v>
      </c>
      <c r="BI16" s="172">
        <f t="shared" si="29"/>
        <v>-0.188</v>
      </c>
      <c r="BJ16" s="1111">
        <f t="shared" si="29"/>
        <v>-4.1000000000000002E-2</v>
      </c>
      <c r="BK16" s="175">
        <f t="shared" si="29"/>
        <v>-0.02</v>
      </c>
      <c r="BL16" s="175">
        <f t="shared" si="29"/>
        <v>-0.02</v>
      </c>
      <c r="BM16" s="175">
        <f t="shared" si="29"/>
        <v>-0.02</v>
      </c>
      <c r="BN16" s="172">
        <f t="shared" si="29"/>
        <v>-2.5121952047944509E-2</v>
      </c>
      <c r="BO16" s="175">
        <f t="shared" ref="BO16:CF16" si="30">BO275</f>
        <v>0.05</v>
      </c>
      <c r="BP16" s="175">
        <f t="shared" si="30"/>
        <v>0.05</v>
      </c>
      <c r="BQ16" s="175">
        <f t="shared" si="30"/>
        <v>0.05</v>
      </c>
      <c r="BR16" s="175">
        <f t="shared" si="30"/>
        <v>0.05</v>
      </c>
      <c r="BS16" s="172">
        <f t="shared" si="30"/>
        <v>0.05</v>
      </c>
      <c r="BT16" s="172">
        <f t="shared" si="30"/>
        <v>0.08</v>
      </c>
      <c r="BU16" s="172">
        <f t="shared" si="30"/>
        <v>0.08</v>
      </c>
      <c r="BV16" s="172">
        <f t="shared" si="30"/>
        <v>0.08</v>
      </c>
      <c r="BW16" s="176"/>
    </row>
    <row r="17" spans="1:75" s="177" customFormat="1" ht="14.25" x14ac:dyDescent="0.45">
      <c r="A17" s="189" t="s">
        <v>1649</v>
      </c>
      <c r="B17" s="171"/>
      <c r="C17" s="172"/>
      <c r="D17" s="172">
        <f t="shared" ref="D17:F17" si="31">D15/C15-1</f>
        <v>0.22857034824365696</v>
      </c>
      <c r="E17" s="172">
        <f t="shared" si="31"/>
        <v>0.29254893512249192</v>
      </c>
      <c r="F17" s="172">
        <f t="shared" si="31"/>
        <v>0.2801327459967855</v>
      </c>
      <c r="G17" s="175"/>
      <c r="H17" s="175"/>
      <c r="I17" s="175"/>
      <c r="J17" s="175"/>
      <c r="K17" s="172">
        <f t="shared" ref="K17:BS17" si="32">K15/F15-1</f>
        <v>0.23530861499329214</v>
      </c>
      <c r="L17" s="175"/>
      <c r="M17" s="175"/>
      <c r="N17" s="175"/>
      <c r="O17" s="175"/>
      <c r="P17" s="172">
        <f t="shared" si="32"/>
        <v>0.25930303686206613</v>
      </c>
      <c r="Q17" s="175"/>
      <c r="R17" s="175"/>
      <c r="S17" s="175"/>
      <c r="T17" s="175"/>
      <c r="U17" s="172">
        <f t="shared" si="32"/>
        <v>0.22727231965373051</v>
      </c>
      <c r="V17" s="175"/>
      <c r="W17" s="175"/>
      <c r="X17" s="175"/>
      <c r="Y17" s="175"/>
      <c r="Z17" s="172">
        <f t="shared" si="32"/>
        <v>0.18319985970655295</v>
      </c>
      <c r="AA17" s="175"/>
      <c r="AB17" s="175"/>
      <c r="AC17" s="175"/>
      <c r="AD17" s="175"/>
      <c r="AE17" s="172">
        <f t="shared" si="32"/>
        <v>0.14694905554732141</v>
      </c>
      <c r="AF17" s="175"/>
      <c r="AG17" s="175"/>
      <c r="AH17" s="175"/>
      <c r="AI17" s="175"/>
      <c r="AJ17" s="172">
        <f t="shared" si="32"/>
        <v>0.16026451555585886</v>
      </c>
      <c r="AK17" s="175">
        <f t="shared" si="32"/>
        <v>0.13218998423261108</v>
      </c>
      <c r="AL17" s="175">
        <f t="shared" si="32"/>
        <v>0.1871134379990238</v>
      </c>
      <c r="AM17" s="175">
        <f t="shared" si="32"/>
        <v>0.15111221206786229</v>
      </c>
      <c r="AN17" s="175">
        <f t="shared" si="32"/>
        <v>7.8762454945987548E-2</v>
      </c>
      <c r="AO17" s="172">
        <f t="shared" si="32"/>
        <v>0.13427584521334524</v>
      </c>
      <c r="AP17" s="175">
        <f t="shared" si="32"/>
        <v>1.9215918160286671E-2</v>
      </c>
      <c r="AQ17" s="175">
        <f t="shared" si="32"/>
        <v>6.4260824332865285E-2</v>
      </c>
      <c r="AR17" s="175">
        <f t="shared" si="32"/>
        <v>0.21677968750400289</v>
      </c>
      <c r="AS17" s="175">
        <f t="shared" si="32"/>
        <v>0.24972930959893835</v>
      </c>
      <c r="AT17" s="172">
        <f t="shared" si="32"/>
        <v>0.14709277706597224</v>
      </c>
      <c r="AU17" s="175">
        <f t="shared" si="32"/>
        <v>0.5132263893732365</v>
      </c>
      <c r="AV17" s="175">
        <f t="shared" si="32"/>
        <v>0.52314532573734973</v>
      </c>
      <c r="AW17" s="175">
        <f t="shared" si="32"/>
        <v>0.22045902909514292</v>
      </c>
      <c r="AX17" s="175">
        <f t="shared" si="32"/>
        <v>0.16939526278424344</v>
      </c>
      <c r="AY17" s="172">
        <f t="shared" si="32"/>
        <v>0.32830595141994001</v>
      </c>
      <c r="AZ17" s="175">
        <f t="shared" si="32"/>
        <v>0.12355730049422076</v>
      </c>
      <c r="BA17" s="175">
        <f t="shared" si="32"/>
        <v>4.879269058512592E-2</v>
      </c>
      <c r="BB17" s="175">
        <f t="shared" si="32"/>
        <v>3.4733675138182596E-2</v>
      </c>
      <c r="BC17" s="175">
        <f t="shared" si="32"/>
        <v>-0.10671704070898247</v>
      </c>
      <c r="BD17" s="172">
        <f t="shared" si="32"/>
        <v>1.9504168180768611E-2</v>
      </c>
      <c r="BE17" s="175">
        <f t="shared" si="32"/>
        <v>-0.15644433173656946</v>
      </c>
      <c r="BF17" s="175">
        <f t="shared" si="32"/>
        <v>-0.20366562595613225</v>
      </c>
      <c r="BG17" s="175">
        <f t="shared" si="32"/>
        <v>-0.22247675066105144</v>
      </c>
      <c r="BH17" s="175">
        <f t="shared" si="32"/>
        <v>-0.15383492037340052</v>
      </c>
      <c r="BI17" s="172">
        <f t="shared" si="32"/>
        <v>-0.18581898933818997</v>
      </c>
      <c r="BJ17" s="1111">
        <f t="shared" si="32"/>
        <v>-4.8815963111719096E-2</v>
      </c>
      <c r="BK17" s="175">
        <f t="shared" si="32"/>
        <v>-2.700663003149073E-2</v>
      </c>
      <c r="BL17" s="175">
        <f t="shared" si="32"/>
        <v>-2.4808280286474305E-2</v>
      </c>
      <c r="BM17" s="175">
        <f t="shared" si="32"/>
        <v>4.9397503450921088E-2</v>
      </c>
      <c r="BN17" s="172">
        <f t="shared" si="32"/>
        <v>-1.3156251905328542E-2</v>
      </c>
      <c r="BO17" s="175">
        <f t="shared" si="32"/>
        <v>5.0157050128954328E-2</v>
      </c>
      <c r="BP17" s="175">
        <f t="shared" si="32"/>
        <v>4.6235364792284628E-2</v>
      </c>
      <c r="BQ17" s="175">
        <f t="shared" si="32"/>
        <v>4.6227112776794366E-2</v>
      </c>
      <c r="BR17" s="175">
        <f t="shared" si="32"/>
        <v>-2.8510988174655472E-2</v>
      </c>
      <c r="BS17" s="172">
        <f t="shared" si="32"/>
        <v>2.7787727350122582E-2</v>
      </c>
      <c r="BT17" s="172">
        <f>BT15/BS15-1</f>
        <v>7.5139028022897181E-2</v>
      </c>
      <c r="BU17" s="172">
        <f>BU15/BT15-1</f>
        <v>5.6853388311661535E-2</v>
      </c>
      <c r="BV17" s="172">
        <f>BV15/BU15-1</f>
        <v>5.5998153135821571E-2</v>
      </c>
      <c r="BW17" s="176"/>
    </row>
    <row r="18" spans="1:75" s="162" customFormat="1" ht="7.5" customHeight="1" x14ac:dyDescent="0.45">
      <c r="A18" s="178"/>
      <c r="B18" s="179"/>
      <c r="C18" s="180"/>
      <c r="D18" s="180"/>
      <c r="E18" s="180"/>
      <c r="F18" s="180"/>
      <c r="G18" s="183"/>
      <c r="H18" s="183"/>
      <c r="I18" s="183"/>
      <c r="J18" s="183"/>
      <c r="K18" s="180"/>
      <c r="L18" s="183"/>
      <c r="M18" s="183"/>
      <c r="N18" s="183"/>
      <c r="O18" s="183"/>
      <c r="P18" s="180"/>
      <c r="Q18" s="183"/>
      <c r="R18" s="183"/>
      <c r="S18" s="183"/>
      <c r="T18" s="183"/>
      <c r="U18" s="180"/>
      <c r="V18" s="183"/>
      <c r="W18" s="183"/>
      <c r="X18" s="183"/>
      <c r="Y18" s="183"/>
      <c r="Z18" s="180"/>
      <c r="AA18" s="183"/>
      <c r="AB18" s="183"/>
      <c r="AC18" s="183"/>
      <c r="AD18" s="183"/>
      <c r="AE18" s="180"/>
      <c r="AF18" s="183"/>
      <c r="AG18" s="183"/>
      <c r="AH18" s="183"/>
      <c r="AI18" s="183"/>
      <c r="AJ18" s="180"/>
      <c r="AK18" s="183"/>
      <c r="AL18" s="183"/>
      <c r="AM18" s="183"/>
      <c r="AN18" s="183"/>
      <c r="AO18" s="180"/>
      <c r="AP18" s="183"/>
      <c r="AQ18" s="183"/>
      <c r="AR18" s="183"/>
      <c r="AS18" s="183"/>
      <c r="AT18" s="180"/>
      <c r="AU18" s="183"/>
      <c r="AV18" s="183"/>
      <c r="AW18" s="183"/>
      <c r="AX18" s="183"/>
      <c r="AY18" s="180"/>
      <c r="AZ18" s="183"/>
      <c r="BA18" s="183"/>
      <c r="BB18" s="183"/>
      <c r="BC18" s="183"/>
      <c r="BD18" s="180"/>
      <c r="BE18" s="183"/>
      <c r="BF18" s="183"/>
      <c r="BG18" s="183"/>
      <c r="BH18" s="183"/>
      <c r="BI18" s="180"/>
      <c r="BJ18" s="1112"/>
      <c r="BK18" s="183"/>
      <c r="BL18" s="183"/>
      <c r="BM18" s="183"/>
      <c r="BN18" s="180"/>
      <c r="BO18" s="183"/>
      <c r="BP18" s="183"/>
      <c r="BQ18" s="183"/>
      <c r="BR18" s="183"/>
      <c r="BS18" s="180"/>
      <c r="BT18" s="180"/>
      <c r="BU18" s="180"/>
      <c r="BV18" s="180"/>
      <c r="BW18" s="161"/>
    </row>
    <row r="19" spans="1:75" s="198" customFormat="1" ht="14.25" x14ac:dyDescent="0.45">
      <c r="A19" s="1113" t="s">
        <v>1650</v>
      </c>
      <c r="B19" s="207"/>
      <c r="C19" s="208">
        <f>C286</f>
        <v>958.46100000000001</v>
      </c>
      <c r="D19" s="208">
        <f>D286</f>
        <v>1006.086</v>
      </c>
      <c r="E19" s="208">
        <f>E286</f>
        <v>994.42499999999995</v>
      </c>
      <c r="F19" s="208">
        <f>F286</f>
        <v>980.70899999999995</v>
      </c>
      <c r="G19" s="209"/>
      <c r="H19" s="209"/>
      <c r="I19" s="209"/>
      <c r="J19" s="209"/>
      <c r="K19" s="208">
        <f>K286</f>
        <v>978.00199999999995</v>
      </c>
      <c r="L19" s="209"/>
      <c r="M19" s="209"/>
      <c r="N19" s="209"/>
      <c r="O19" s="209"/>
      <c r="P19" s="208">
        <f>P286</f>
        <v>994.65099999999995</v>
      </c>
      <c r="Q19" s="209"/>
      <c r="R19" s="209"/>
      <c r="S19" s="209"/>
      <c r="T19" s="209"/>
      <c r="U19" s="208">
        <f>U286</f>
        <v>993.60900000000004</v>
      </c>
      <c r="V19" s="209"/>
      <c r="W19" s="209"/>
      <c r="X19" s="209"/>
      <c r="Y19" s="209"/>
      <c r="Z19" s="208">
        <f>Z286</f>
        <v>1002.194</v>
      </c>
      <c r="AA19" s="209"/>
      <c r="AB19" s="209"/>
      <c r="AC19" s="209"/>
      <c r="AD19" s="209"/>
      <c r="AE19" s="208">
        <f t="shared" ref="AE19:BV19" si="33">AE286</f>
        <v>1022.434</v>
      </c>
      <c r="AF19" s="209">
        <f t="shared" si="33"/>
        <v>200.977</v>
      </c>
      <c r="AG19" s="209">
        <f t="shared" si="33"/>
        <v>195.178</v>
      </c>
      <c r="AH19" s="209">
        <f t="shared" si="33"/>
        <v>203.93600000000001</v>
      </c>
      <c r="AI19" s="209">
        <f t="shared" si="33"/>
        <v>456.03399999999999</v>
      </c>
      <c r="AJ19" s="208">
        <f t="shared" si="33"/>
        <v>1056.125</v>
      </c>
      <c r="AK19" s="209">
        <f t="shared" si="33"/>
        <v>194.89400000000001</v>
      </c>
      <c r="AL19" s="209">
        <f t="shared" si="33"/>
        <v>191.374</v>
      </c>
      <c r="AM19" s="209">
        <f t="shared" si="33"/>
        <v>205.49299999999999</v>
      </c>
      <c r="AN19" s="209">
        <f t="shared" si="33"/>
        <v>440.60699999999997</v>
      </c>
      <c r="AO19" s="208">
        <f t="shared" si="33"/>
        <v>1032.3679999999999</v>
      </c>
      <c r="AP19" s="209">
        <f t="shared" si="33"/>
        <v>199.30199999999999</v>
      </c>
      <c r="AQ19" s="209">
        <f t="shared" si="33"/>
        <v>243.13300000000001</v>
      </c>
      <c r="AR19" s="209">
        <f t="shared" si="33"/>
        <v>259.72500000000002</v>
      </c>
      <c r="AS19" s="209">
        <f t="shared" si="33"/>
        <v>540.11099999999988</v>
      </c>
      <c r="AT19" s="208">
        <f t="shared" si="33"/>
        <v>1242.271</v>
      </c>
      <c r="AU19" s="209">
        <f t="shared" si="33"/>
        <v>265.60700000000003</v>
      </c>
      <c r="AV19" s="209">
        <f t="shared" si="33"/>
        <v>255.45500000000001</v>
      </c>
      <c r="AW19" s="209">
        <f t="shared" si="33"/>
        <v>272.36099999999999</v>
      </c>
      <c r="AX19" s="209">
        <f t="shared" si="33"/>
        <v>552.42800000000011</v>
      </c>
      <c r="AY19" s="208">
        <f t="shared" si="33"/>
        <v>1345.8510000000001</v>
      </c>
      <c r="AZ19" s="209">
        <f t="shared" si="33"/>
        <v>252.22</v>
      </c>
      <c r="BA19" s="209">
        <f t="shared" si="33"/>
        <v>248.61099999999999</v>
      </c>
      <c r="BB19" s="209">
        <f t="shared" si="33"/>
        <v>261.82</v>
      </c>
      <c r="BC19" s="209">
        <f t="shared" si="33"/>
        <v>524</v>
      </c>
      <c r="BD19" s="208">
        <f t="shared" si="33"/>
        <v>1286.6510000000001</v>
      </c>
      <c r="BE19" s="209">
        <f t="shared" si="33"/>
        <v>239.42099999999999</v>
      </c>
      <c r="BF19" s="209">
        <f t="shared" si="33"/>
        <v>244.51300000000001</v>
      </c>
      <c r="BG19" s="209">
        <f t="shared" si="33"/>
        <v>252.40799999999999</v>
      </c>
      <c r="BH19" s="209">
        <f t="shared" si="33"/>
        <v>523.70300000000009</v>
      </c>
      <c r="BI19" s="208">
        <f t="shared" si="33"/>
        <v>1260.0450000000001</v>
      </c>
      <c r="BJ19" s="1114">
        <f t="shared" si="33"/>
        <v>238.239</v>
      </c>
      <c r="BK19" s="209">
        <f t="shared" si="33"/>
        <v>243.15501093582955</v>
      </c>
      <c r="BL19" s="209">
        <f t="shared" si="33"/>
        <v>250.34520749981175</v>
      </c>
      <c r="BM19" s="209">
        <f t="shared" si="33"/>
        <v>557.50226284517237</v>
      </c>
      <c r="BN19" s="208">
        <f t="shared" si="33"/>
        <v>1289.2414812808138</v>
      </c>
      <c r="BO19" s="209">
        <f t="shared" si="33"/>
        <v>251.22604617550539</v>
      </c>
      <c r="BP19" s="209">
        <f t="shared" si="33"/>
        <v>254.5218990238821</v>
      </c>
      <c r="BQ19" s="209">
        <f t="shared" si="33"/>
        <v>262.04034562828065</v>
      </c>
      <c r="BR19" s="209">
        <f t="shared" si="33"/>
        <v>541.84536721612881</v>
      </c>
      <c r="BS19" s="208">
        <f t="shared" si="33"/>
        <v>1309.6336580437969</v>
      </c>
      <c r="BT19" s="208">
        <f t="shared" si="33"/>
        <v>1407.3636201128818</v>
      </c>
      <c r="BU19" s="208">
        <f t="shared" si="33"/>
        <v>1523.2301853326453</v>
      </c>
      <c r="BV19" s="208">
        <f t="shared" si="33"/>
        <v>1648.700497999044</v>
      </c>
      <c r="BW19" s="197"/>
    </row>
    <row r="20" spans="1:75" s="177" customFormat="1" ht="14.25" x14ac:dyDescent="0.45">
      <c r="A20" s="189" t="s">
        <v>1651</v>
      </c>
      <c r="B20" s="171"/>
      <c r="C20" s="172">
        <f t="shared" ref="C20:BN20" si="34">C276</f>
        <v>-3.2000000000000001E-2</v>
      </c>
      <c r="D20" s="172">
        <f t="shared" si="34"/>
        <v>0.05</v>
      </c>
      <c r="E20" s="172">
        <f t="shared" si="34"/>
        <v>-3.0000000000000001E-3</v>
      </c>
      <c r="F20" s="172">
        <f t="shared" si="34"/>
        <v>-1.0999999999999999E-2</v>
      </c>
      <c r="G20" s="175">
        <f t="shared" si="34"/>
        <v>1.9E-2</v>
      </c>
      <c r="H20" s="175">
        <f t="shared" si="34"/>
        <v>-4.0000000000000001E-3</v>
      </c>
      <c r="I20" s="175">
        <f t="shared" si="34"/>
        <v>1.4E-2</v>
      </c>
      <c r="J20" s="175">
        <f t="shared" si="34"/>
        <v>2.3E-2</v>
      </c>
      <c r="K20" s="172">
        <f t="shared" si="34"/>
        <v>1.4999999999999999E-2</v>
      </c>
      <c r="L20" s="175">
        <f t="shared" si="34"/>
        <v>0.06</v>
      </c>
      <c r="M20" s="175">
        <f t="shared" si="34"/>
        <v>3.4000000000000002E-2</v>
      </c>
      <c r="N20" s="175">
        <f t="shared" si="34"/>
        <v>4.2999999999999997E-2</v>
      </c>
      <c r="O20" s="175">
        <f t="shared" si="34"/>
        <v>2.8000000000000001E-2</v>
      </c>
      <c r="P20" s="172">
        <f t="shared" si="34"/>
        <v>3.7999999999999999E-2</v>
      </c>
      <c r="Q20" s="175">
        <f t="shared" si="34"/>
        <v>2.7E-2</v>
      </c>
      <c r="R20" s="175">
        <f t="shared" si="34"/>
        <v>-3.0000000000000001E-3</v>
      </c>
      <c r="S20" s="175">
        <f t="shared" si="34"/>
        <v>1.2E-2</v>
      </c>
      <c r="T20" s="175">
        <f t="shared" si="34"/>
        <v>8.9999999999999993E-3</v>
      </c>
      <c r="U20" s="172">
        <f t="shared" si="34"/>
        <v>1.0999999999999999E-2</v>
      </c>
      <c r="V20" s="175">
        <f t="shared" si="34"/>
        <v>3.5000000000000003E-2</v>
      </c>
      <c r="W20" s="175">
        <f t="shared" si="34"/>
        <v>0</v>
      </c>
      <c r="X20" s="175">
        <f t="shared" si="34"/>
        <v>1E-3</v>
      </c>
      <c r="Y20" s="175">
        <f t="shared" si="34"/>
        <v>1.4E-2</v>
      </c>
      <c r="Z20" s="172">
        <f t="shared" si="34"/>
        <v>1.2999999999999999E-2</v>
      </c>
      <c r="AA20" s="175">
        <f t="shared" si="34"/>
        <v>3.2000000000000001E-2</v>
      </c>
      <c r="AB20" s="175">
        <f t="shared" si="34"/>
        <v>1.9E-2</v>
      </c>
      <c r="AC20" s="175">
        <f t="shared" si="34"/>
        <v>2.3E-2</v>
      </c>
      <c r="AD20" s="175">
        <f t="shared" si="34"/>
        <v>4.2999999999999997E-2</v>
      </c>
      <c r="AE20" s="172">
        <f t="shared" si="34"/>
        <v>3.2000000000000001E-2</v>
      </c>
      <c r="AF20" s="175">
        <f t="shared" si="34"/>
        <v>5.6000000000000001E-2</v>
      </c>
      <c r="AG20" s="175">
        <f t="shared" si="34"/>
        <v>1.6E-2</v>
      </c>
      <c r="AH20" s="175">
        <f t="shared" si="34"/>
        <v>2.1000000000000001E-2</v>
      </c>
      <c r="AI20" s="175">
        <f t="shared" si="34"/>
        <v>1E-3</v>
      </c>
      <c r="AJ20" s="172">
        <f t="shared" si="34"/>
        <v>1.7000000000000001E-2</v>
      </c>
      <c r="AK20" s="175">
        <f t="shared" si="34"/>
        <v>-1.6E-2</v>
      </c>
      <c r="AL20" s="175">
        <f t="shared" si="34"/>
        <v>-1.0999999999999999E-2</v>
      </c>
      <c r="AM20" s="175">
        <f t="shared" si="34"/>
        <v>-2.1000000000000001E-2</v>
      </c>
      <c r="AN20" s="175">
        <f t="shared" si="34"/>
        <v>3.3000000000000002E-2</v>
      </c>
      <c r="AO20" s="172">
        <f t="shared" si="34"/>
        <v>4.0000000000000001E-3</v>
      </c>
      <c r="AP20" s="175">
        <f t="shared" si="34"/>
        <v>5.3999999999999999E-2</v>
      </c>
      <c r="AQ20" s="175">
        <f t="shared" si="34"/>
        <v>0.29399999999999998</v>
      </c>
      <c r="AR20" s="175">
        <f t="shared" si="34"/>
        <v>0.30399999999999999</v>
      </c>
      <c r="AS20" s="175">
        <f t="shared" si="34"/>
        <v>0.26200000000000001</v>
      </c>
      <c r="AT20" s="172">
        <f t="shared" si="34"/>
        <v>0.23799999999999999</v>
      </c>
      <c r="AU20" s="175">
        <f t="shared" si="34"/>
        <v>0.35299999999999998</v>
      </c>
      <c r="AV20" s="175">
        <f t="shared" si="34"/>
        <v>6.4000000000000001E-2</v>
      </c>
      <c r="AW20" s="175">
        <f t="shared" si="34"/>
        <v>7.5999999999999998E-2</v>
      </c>
      <c r="AX20" s="175">
        <f t="shared" si="34"/>
        <v>4.4999999999999998E-2</v>
      </c>
      <c r="AY20" s="172">
        <f t="shared" si="34"/>
        <v>0.105</v>
      </c>
      <c r="AZ20" s="175">
        <f t="shared" si="34"/>
        <v>-2.1999999999999999E-2</v>
      </c>
      <c r="BA20" s="175">
        <f t="shared" si="34"/>
        <v>5.0000000000000001E-3</v>
      </c>
      <c r="BB20" s="175">
        <f t="shared" si="34"/>
        <v>-1.4999999999999999E-2</v>
      </c>
      <c r="BC20" s="175">
        <f t="shared" si="34"/>
        <v>-2.5000000000000001E-2</v>
      </c>
      <c r="BD20" s="172">
        <f t="shared" si="34"/>
        <v>-1.7000000000000001E-2</v>
      </c>
      <c r="BE20" s="175">
        <f t="shared" si="34"/>
        <v>-4.3999999999999997E-2</v>
      </c>
      <c r="BF20" s="175">
        <f t="shared" si="34"/>
        <v>-7.0000000000000001E-3</v>
      </c>
      <c r="BG20" s="175">
        <f t="shared" si="34"/>
        <v>-1.9E-2</v>
      </c>
      <c r="BH20" s="175">
        <f t="shared" si="34"/>
        <v>1.6E-2</v>
      </c>
      <c r="BI20" s="172">
        <f t="shared" si="34"/>
        <v>-7.0000000000000001E-3</v>
      </c>
      <c r="BJ20" s="1111">
        <f t="shared" si="34"/>
        <v>8.9999999999999993E-3</v>
      </c>
      <c r="BK20" s="175">
        <f t="shared" si="34"/>
        <v>5.0000000000000001E-3</v>
      </c>
      <c r="BL20" s="175">
        <f t="shared" si="34"/>
        <v>5.0000000000000001E-3</v>
      </c>
      <c r="BM20" s="175">
        <f t="shared" si="34"/>
        <v>5.0000000000000001E-3</v>
      </c>
      <c r="BN20" s="172">
        <f t="shared" si="34"/>
        <v>5.7600395223980092E-3</v>
      </c>
      <c r="BO20" s="175">
        <f t="shared" ref="BO20:CF20" si="35">BO276</f>
        <v>0.05</v>
      </c>
      <c r="BP20" s="175">
        <f t="shared" si="35"/>
        <v>0.05</v>
      </c>
      <c r="BQ20" s="175">
        <f t="shared" si="35"/>
        <v>0.05</v>
      </c>
      <c r="BR20" s="175">
        <f t="shared" si="35"/>
        <v>0.05</v>
      </c>
      <c r="BS20" s="172">
        <f t="shared" si="35"/>
        <v>0.05</v>
      </c>
      <c r="BT20" s="172">
        <f t="shared" si="35"/>
        <v>0.08</v>
      </c>
      <c r="BU20" s="172">
        <f t="shared" si="35"/>
        <v>0.08</v>
      </c>
      <c r="BV20" s="172">
        <f t="shared" si="35"/>
        <v>0.08</v>
      </c>
      <c r="BW20" s="176"/>
    </row>
    <row r="21" spans="1:75" s="177" customFormat="1" ht="14.25" x14ac:dyDescent="0.45">
      <c r="A21" s="189" t="s">
        <v>1652</v>
      </c>
      <c r="B21" s="171"/>
      <c r="C21" s="172"/>
      <c r="D21" s="172">
        <f t="shared" ref="D21:F21" si="36">D19/C19-1</f>
        <v>4.9689032730596328E-2</v>
      </c>
      <c r="E21" s="172">
        <f t="shared" si="36"/>
        <v>-1.1590460457654772E-2</v>
      </c>
      <c r="F21" s="172">
        <f t="shared" si="36"/>
        <v>-1.379289539180939E-2</v>
      </c>
      <c r="G21" s="175"/>
      <c r="H21" s="175"/>
      <c r="I21" s="175"/>
      <c r="J21" s="175"/>
      <c r="K21" s="172">
        <f t="shared" ref="K21" si="37">K19/F19-1</f>
        <v>-2.7602479430697269E-3</v>
      </c>
      <c r="L21" s="175"/>
      <c r="M21" s="175"/>
      <c r="N21" s="175"/>
      <c r="O21" s="175"/>
      <c r="P21" s="172">
        <f t="shared" ref="P21" si="38">P19/K19-1</f>
        <v>1.7023482569565207E-2</v>
      </c>
      <c r="Q21" s="175"/>
      <c r="R21" s="175"/>
      <c r="S21" s="175"/>
      <c r="T21" s="175"/>
      <c r="U21" s="172">
        <f t="shared" ref="U21" si="39">U19/P19-1</f>
        <v>-1.0476036318265436E-3</v>
      </c>
      <c r="V21" s="175"/>
      <c r="W21" s="175"/>
      <c r="X21" s="175"/>
      <c r="Y21" s="175"/>
      <c r="Z21" s="172">
        <f t="shared" ref="Z21" si="40">Z19/U19-1</f>
        <v>8.6402196437431744E-3</v>
      </c>
      <c r="AA21" s="175"/>
      <c r="AB21" s="175"/>
      <c r="AC21" s="175"/>
      <c r="AD21" s="175"/>
      <c r="AE21" s="172">
        <f t="shared" ref="AE21" si="41">AE19/Z19-1</f>
        <v>2.0195690654703613E-2</v>
      </c>
      <c r="AF21" s="175"/>
      <c r="AG21" s="175"/>
      <c r="AH21" s="175"/>
      <c r="AI21" s="175"/>
      <c r="AJ21" s="172">
        <f t="shared" ref="AJ21:BS21" si="42">AJ19/AE19-1</f>
        <v>3.2951760211417103E-2</v>
      </c>
      <c r="AK21" s="175">
        <f t="shared" si="42"/>
        <v>-3.0267144996691142E-2</v>
      </c>
      <c r="AL21" s="175">
        <f t="shared" si="42"/>
        <v>-1.9489901525786779E-2</v>
      </c>
      <c r="AM21" s="175">
        <f t="shared" si="42"/>
        <v>7.6347481562841768E-3</v>
      </c>
      <c r="AN21" s="175">
        <f t="shared" si="42"/>
        <v>-3.3828618041637282E-2</v>
      </c>
      <c r="AO21" s="172">
        <f t="shared" si="42"/>
        <v>-2.2494496390105367E-2</v>
      </c>
      <c r="AP21" s="175">
        <f t="shared" si="42"/>
        <v>2.2617422804190879E-2</v>
      </c>
      <c r="AQ21" s="175">
        <f t="shared" si="42"/>
        <v>0.27045993708654259</v>
      </c>
      <c r="AR21" s="175">
        <f t="shared" si="42"/>
        <v>0.26391166609081584</v>
      </c>
      <c r="AS21" s="175">
        <f t="shared" si="42"/>
        <v>0.22583390640638923</v>
      </c>
      <c r="AT21" s="172">
        <f t="shared" si="42"/>
        <v>0.20332187747004937</v>
      </c>
      <c r="AU21" s="175">
        <f t="shared" si="42"/>
        <v>0.33268607439965492</v>
      </c>
      <c r="AV21" s="175">
        <f t="shared" si="42"/>
        <v>5.0680080449794884E-2</v>
      </c>
      <c r="AW21" s="175">
        <f t="shared" si="42"/>
        <v>4.8651458273173409E-2</v>
      </c>
      <c r="AX21" s="175">
        <f t="shared" si="42"/>
        <v>2.2804571652864425E-2</v>
      </c>
      <c r="AY21" s="172">
        <f t="shared" si="42"/>
        <v>8.3379552448700878E-2</v>
      </c>
      <c r="AZ21" s="175">
        <f t="shared" si="42"/>
        <v>-5.0401533092124917E-2</v>
      </c>
      <c r="BA21" s="175">
        <f t="shared" si="42"/>
        <v>-2.6791411403182641E-2</v>
      </c>
      <c r="BB21" s="175">
        <f t="shared" si="42"/>
        <v>-3.8702310536383733E-2</v>
      </c>
      <c r="BC21" s="175">
        <f t="shared" si="42"/>
        <v>-5.1460099777708823E-2</v>
      </c>
      <c r="BD21" s="172">
        <f t="shared" si="42"/>
        <v>-4.3987038684074276E-2</v>
      </c>
      <c r="BE21" s="175">
        <f t="shared" si="42"/>
        <v>-5.0745381016572888E-2</v>
      </c>
      <c r="BF21" s="175">
        <f t="shared" si="42"/>
        <v>-1.6483582785958739E-2</v>
      </c>
      <c r="BG21" s="175">
        <f t="shared" si="42"/>
        <v>-3.5948361469712031E-2</v>
      </c>
      <c r="BH21" s="175">
        <f t="shared" si="42"/>
        <v>-5.6679389312963568E-4</v>
      </c>
      <c r="BI21" s="172">
        <f t="shared" si="42"/>
        <v>-2.0678490126693205E-2</v>
      </c>
      <c r="BJ21" s="1111">
        <f t="shared" si="42"/>
        <v>-4.9369102960892253E-3</v>
      </c>
      <c r="BK21" s="175">
        <f t="shared" si="42"/>
        <v>-5.5538522048743655E-3</v>
      </c>
      <c r="BL21" s="175">
        <f t="shared" si="42"/>
        <v>-8.1724529340917451E-3</v>
      </c>
      <c r="BM21" s="175">
        <f t="shared" si="42"/>
        <v>6.4538990315450295E-2</v>
      </c>
      <c r="BN21" s="172">
        <f t="shared" si="42"/>
        <v>2.3170983005220913E-2</v>
      </c>
      <c r="BO21" s="175">
        <f t="shared" si="42"/>
        <v>5.4512679181432766E-2</v>
      </c>
      <c r="BP21" s="175">
        <f t="shared" si="42"/>
        <v>4.6747496768850594E-2</v>
      </c>
      <c r="BQ21" s="175">
        <f t="shared" si="42"/>
        <v>4.6716045596669531E-2</v>
      </c>
      <c r="BR21" s="175">
        <f t="shared" si="42"/>
        <v>-2.8084003729670459E-2</v>
      </c>
      <c r="BS21" s="172">
        <f t="shared" si="42"/>
        <v>1.5817189455247904E-2</v>
      </c>
      <c r="BT21" s="172">
        <f>BT19/BS19-1</f>
        <v>7.462389307790418E-2</v>
      </c>
      <c r="BU21" s="172">
        <f>BU19/BT19-1</f>
        <v>8.2328805124627369E-2</v>
      </c>
      <c r="BV21" s="172">
        <f>BV19/BU19-1</f>
        <v>8.2371209469564333E-2</v>
      </c>
      <c r="BW21" s="176"/>
    </row>
    <row r="22" spans="1:75" s="177" customFormat="1" ht="7.5" customHeight="1" x14ac:dyDescent="0.45">
      <c r="A22" s="170"/>
      <c r="B22" s="171"/>
      <c r="C22" s="172"/>
      <c r="D22" s="172"/>
      <c r="E22" s="172"/>
      <c r="F22" s="172"/>
      <c r="G22" s="175"/>
      <c r="H22" s="175"/>
      <c r="I22" s="175"/>
      <c r="J22" s="175"/>
      <c r="K22" s="172"/>
      <c r="L22" s="175"/>
      <c r="M22" s="175"/>
      <c r="N22" s="175"/>
      <c r="O22" s="175"/>
      <c r="P22" s="172"/>
      <c r="Q22" s="175"/>
      <c r="R22" s="175"/>
      <c r="S22" s="175"/>
      <c r="T22" s="175"/>
      <c r="U22" s="172"/>
      <c r="V22" s="175"/>
      <c r="W22" s="175"/>
      <c r="X22" s="175"/>
      <c r="Y22" s="175"/>
      <c r="Z22" s="172"/>
      <c r="AA22" s="175"/>
      <c r="AB22" s="175"/>
      <c r="AC22" s="175"/>
      <c r="AD22" s="175"/>
      <c r="AE22" s="172"/>
      <c r="AF22" s="175"/>
      <c r="AG22" s="175"/>
      <c r="AH22" s="175"/>
      <c r="AI22" s="175"/>
      <c r="AJ22" s="172"/>
      <c r="AK22" s="175"/>
      <c r="AL22" s="175"/>
      <c r="AM22" s="175"/>
      <c r="AN22" s="175"/>
      <c r="AO22" s="172"/>
      <c r="AP22" s="175"/>
      <c r="AQ22" s="175"/>
      <c r="AR22" s="175"/>
      <c r="AS22" s="175"/>
      <c r="AT22" s="172"/>
      <c r="AU22" s="175"/>
      <c r="AV22" s="175"/>
      <c r="AW22" s="175"/>
      <c r="AX22" s="175"/>
      <c r="AY22" s="172"/>
      <c r="AZ22" s="175"/>
      <c r="BA22" s="175"/>
      <c r="BB22" s="175"/>
      <c r="BC22" s="175"/>
      <c r="BD22" s="172"/>
      <c r="BE22" s="175"/>
      <c r="BF22" s="175"/>
      <c r="BG22" s="175"/>
      <c r="BH22" s="175"/>
      <c r="BI22" s="172"/>
      <c r="BJ22" s="1111"/>
      <c r="BK22" s="175"/>
      <c r="BL22" s="175"/>
      <c r="BM22" s="175"/>
      <c r="BN22" s="172"/>
      <c r="BO22" s="175"/>
      <c r="BP22" s="175"/>
      <c r="BQ22" s="175"/>
      <c r="BR22" s="175"/>
      <c r="BS22" s="172"/>
      <c r="BT22" s="172"/>
      <c r="BU22" s="172"/>
      <c r="BV22" s="172"/>
      <c r="BW22" s="176"/>
    </row>
    <row r="23" spans="1:75" s="198" customFormat="1" ht="14.25" x14ac:dyDescent="0.45">
      <c r="A23" s="1113" t="s">
        <v>1653</v>
      </c>
      <c r="B23" s="207"/>
      <c r="C23" s="208">
        <f>C289</f>
        <v>596.23900000000003</v>
      </c>
      <c r="D23" s="208">
        <f>D289</f>
        <v>685.28199999999993</v>
      </c>
      <c r="E23" s="208">
        <f>E289</f>
        <v>733.83500000000004</v>
      </c>
      <c r="F23" s="208">
        <f>F289</f>
        <v>777.59699999999998</v>
      </c>
      <c r="G23" s="209"/>
      <c r="H23" s="209"/>
      <c r="I23" s="209"/>
      <c r="J23" s="209"/>
      <c r="K23" s="208">
        <f>K289</f>
        <v>844.077</v>
      </c>
      <c r="L23" s="209"/>
      <c r="M23" s="209"/>
      <c r="N23" s="209"/>
      <c r="O23" s="209"/>
      <c r="P23" s="208">
        <f>P289</f>
        <v>885.21100000000001</v>
      </c>
      <c r="Q23" s="209"/>
      <c r="R23" s="209"/>
      <c r="S23" s="209"/>
      <c r="T23" s="209"/>
      <c r="U23" s="208">
        <f>U289</f>
        <v>893.67499999999995</v>
      </c>
      <c r="V23" s="209"/>
      <c r="W23" s="209"/>
      <c r="X23" s="209"/>
      <c r="Y23" s="209"/>
      <c r="Z23" s="208">
        <f>Z289</f>
        <v>873.19899999999996</v>
      </c>
      <c r="AA23" s="209"/>
      <c r="AB23" s="209"/>
      <c r="AC23" s="209"/>
      <c r="AD23" s="209"/>
      <c r="AE23" s="208">
        <f t="shared" ref="AE23:BV23" si="43">AE289</f>
        <v>860.46799999999996</v>
      </c>
      <c r="AF23" s="209">
        <f t="shared" si="43"/>
        <v>180.39599999999999</v>
      </c>
      <c r="AG23" s="209">
        <f t="shared" si="43"/>
        <v>213.80699999999999</v>
      </c>
      <c r="AH23" s="209">
        <f t="shared" si="43"/>
        <v>227.33099999999999</v>
      </c>
      <c r="AI23" s="209">
        <f t="shared" si="43"/>
        <v>274.22799999999995</v>
      </c>
      <c r="AJ23" s="208">
        <f t="shared" si="43"/>
        <v>895.76199999999994</v>
      </c>
      <c r="AK23" s="209">
        <f t="shared" si="43"/>
        <v>177.04599999999999</v>
      </c>
      <c r="AL23" s="209">
        <f t="shared" si="43"/>
        <v>227.85300000000001</v>
      </c>
      <c r="AM23" s="209">
        <f t="shared" si="43"/>
        <v>228.05099999999999</v>
      </c>
      <c r="AN23" s="209">
        <f t="shared" si="43"/>
        <v>275.61099999999999</v>
      </c>
      <c r="AO23" s="208">
        <f t="shared" si="43"/>
        <v>908.56100000000004</v>
      </c>
      <c r="AP23" s="209">
        <f t="shared" si="43"/>
        <v>188.55199999999999</v>
      </c>
      <c r="AQ23" s="209">
        <f t="shared" si="43"/>
        <v>235.98699999999999</v>
      </c>
      <c r="AR23" s="209">
        <f t="shared" si="43"/>
        <v>277.59800000000001</v>
      </c>
      <c r="AS23" s="209">
        <f t="shared" si="43"/>
        <v>340.39400000000001</v>
      </c>
      <c r="AT23" s="208">
        <f t="shared" si="43"/>
        <v>1042.5309999999999</v>
      </c>
      <c r="AU23" s="209">
        <f t="shared" si="43"/>
        <v>236.06700000000001</v>
      </c>
      <c r="AV23" s="209">
        <f t="shared" si="43"/>
        <v>273.93700000000001</v>
      </c>
      <c r="AW23" s="209">
        <f t="shared" si="43"/>
        <v>316.41699999999997</v>
      </c>
      <c r="AX23" s="209">
        <f t="shared" si="43"/>
        <v>313.47199999999998</v>
      </c>
      <c r="AY23" s="208">
        <f t="shared" si="43"/>
        <v>1139.893</v>
      </c>
      <c r="AZ23" s="209">
        <f t="shared" si="43"/>
        <v>226.96899999999999</v>
      </c>
      <c r="BA23" s="209">
        <f t="shared" si="43"/>
        <v>284.16199999999998</v>
      </c>
      <c r="BB23" s="209">
        <f t="shared" si="43"/>
        <v>299.11200000000002</v>
      </c>
      <c r="BC23" s="209">
        <f t="shared" si="43"/>
        <v>322.69399999999996</v>
      </c>
      <c r="BD23" s="208">
        <f t="shared" si="43"/>
        <v>1132.9369999999999</v>
      </c>
      <c r="BE23" s="209">
        <f t="shared" si="43"/>
        <v>216.221</v>
      </c>
      <c r="BF23" s="209">
        <f t="shared" si="43"/>
        <v>255.98699999999999</v>
      </c>
      <c r="BG23" s="209">
        <f t="shared" si="43"/>
        <v>276.71499999999997</v>
      </c>
      <c r="BH23" s="209">
        <f t="shared" si="43"/>
        <v>311.54700000000003</v>
      </c>
      <c r="BI23" s="208">
        <f t="shared" si="43"/>
        <v>1060.47</v>
      </c>
      <c r="BJ23" s="1114">
        <f t="shared" si="43"/>
        <v>221.80199999999999</v>
      </c>
      <c r="BK23" s="209">
        <f t="shared" si="43"/>
        <v>252.14719499999998</v>
      </c>
      <c r="BL23" s="209">
        <f t="shared" si="43"/>
        <v>272.56427499999995</v>
      </c>
      <c r="BM23" s="209">
        <f t="shared" si="43"/>
        <v>306.87379500000003</v>
      </c>
      <c r="BN23" s="208">
        <f t="shared" si="43"/>
        <v>1053.3872649999998</v>
      </c>
      <c r="BO23" s="209">
        <f t="shared" si="43"/>
        <v>231.78308999999999</v>
      </c>
      <c r="BP23" s="209">
        <f t="shared" si="43"/>
        <v>271.05823462499995</v>
      </c>
      <c r="BQ23" s="209">
        <f t="shared" si="43"/>
        <v>284.82966737499993</v>
      </c>
      <c r="BR23" s="209">
        <f t="shared" si="43"/>
        <v>320.68311577500003</v>
      </c>
      <c r="BS23" s="208">
        <f t="shared" si="43"/>
        <v>1108.3541077749999</v>
      </c>
      <c r="BT23" s="208">
        <f t="shared" si="43"/>
        <v>1152.6882720859999</v>
      </c>
      <c r="BU23" s="208">
        <f t="shared" si="43"/>
        <v>1198.7958029694398</v>
      </c>
      <c r="BV23" s="208">
        <f t="shared" si="43"/>
        <v>1246.7476350882175</v>
      </c>
      <c r="BW23" s="197"/>
    </row>
    <row r="24" spans="1:75" s="177" customFormat="1" ht="14.25" x14ac:dyDescent="0.45">
      <c r="A24" s="189" t="s">
        <v>1654</v>
      </c>
      <c r="B24" s="171"/>
      <c r="C24" s="172"/>
      <c r="D24" s="172"/>
      <c r="E24" s="172"/>
      <c r="F24" s="172"/>
      <c r="G24" s="175"/>
      <c r="H24" s="175"/>
      <c r="I24" s="175"/>
      <c r="J24" s="175"/>
      <c r="K24" s="172"/>
      <c r="L24" s="175"/>
      <c r="M24" s="175"/>
      <c r="N24" s="175"/>
      <c r="O24" s="175"/>
      <c r="P24" s="172"/>
      <c r="Q24" s="175"/>
      <c r="R24" s="175"/>
      <c r="S24" s="175"/>
      <c r="T24" s="175"/>
      <c r="U24" s="172"/>
      <c r="V24" s="175"/>
      <c r="W24" s="175"/>
      <c r="X24" s="175"/>
      <c r="Y24" s="175"/>
      <c r="Z24" s="172"/>
      <c r="AA24" s="175"/>
      <c r="AB24" s="175"/>
      <c r="AC24" s="175"/>
      <c r="AD24" s="175"/>
      <c r="AE24" s="172"/>
      <c r="AF24" s="175"/>
      <c r="AG24" s="175">
        <f>AG279</f>
        <v>5.7000000000000002E-2</v>
      </c>
      <c r="AH24" s="175">
        <f>AH279</f>
        <v>0</v>
      </c>
      <c r="AI24" s="175">
        <f t="shared" ref="AI24:BV24" si="44">AI279</f>
        <v>1.6E-2</v>
      </c>
      <c r="AJ24" s="172">
        <f t="shared" si="44"/>
        <v>2.8000000000000001E-2</v>
      </c>
      <c r="AK24" s="175">
        <f t="shared" si="44"/>
        <v>1.2E-2</v>
      </c>
      <c r="AL24" s="175">
        <f t="shared" si="44"/>
        <v>3.6999999999999998E-2</v>
      </c>
      <c r="AM24" s="175">
        <f t="shared" si="44"/>
        <v>0.04</v>
      </c>
      <c r="AN24" s="175">
        <f t="shared" si="44"/>
        <v>7.9000000000000001E-2</v>
      </c>
      <c r="AO24" s="172">
        <f t="shared" si="44"/>
        <v>4.4999999999999998E-2</v>
      </c>
      <c r="AP24" s="175">
        <f t="shared" si="44"/>
        <v>8.5000000000000006E-2</v>
      </c>
      <c r="AQ24" s="175">
        <f t="shared" si="44"/>
        <v>4.8000000000000001E-2</v>
      </c>
      <c r="AR24" s="175">
        <f t="shared" si="44"/>
        <v>0.23799999999999999</v>
      </c>
      <c r="AS24" s="175">
        <f t="shared" si="44"/>
        <v>0.25700000000000001</v>
      </c>
      <c r="AT24" s="172">
        <f t="shared" si="44"/>
        <v>0.16600000000000001</v>
      </c>
      <c r="AU24" s="175">
        <f t="shared" si="44"/>
        <v>0.27600000000000002</v>
      </c>
      <c r="AV24" s="175">
        <f t="shared" si="44"/>
        <v>0.18</v>
      </c>
      <c r="AW24" s="175">
        <f t="shared" si="44"/>
        <v>0.16900000000000001</v>
      </c>
      <c r="AX24" s="175">
        <f t="shared" si="44"/>
        <v>-6.0999999999999999E-2</v>
      </c>
      <c r="AY24" s="172">
        <f t="shared" si="44"/>
        <v>0.11600000000000001</v>
      </c>
      <c r="AZ24" s="175">
        <f t="shared" si="44"/>
        <v>-3.1E-2</v>
      </c>
      <c r="BA24" s="175">
        <f t="shared" si="44"/>
        <v>5.2999999999999999E-2</v>
      </c>
      <c r="BB24" s="175">
        <f t="shared" si="44"/>
        <v>-4.8000000000000001E-2</v>
      </c>
      <c r="BC24" s="175">
        <f t="shared" si="44"/>
        <v>0.04</v>
      </c>
      <c r="BD24" s="172">
        <f t="shared" si="44"/>
        <v>4.0000000000000001E-3</v>
      </c>
      <c r="BE24" s="175">
        <f t="shared" si="44"/>
        <v>-3.3000000000000002E-2</v>
      </c>
      <c r="BF24" s="175">
        <f t="shared" si="44"/>
        <v>-0.09</v>
      </c>
      <c r="BG24" s="175">
        <f t="shared" si="44"/>
        <v>-6.9000000000000006E-2</v>
      </c>
      <c r="BH24" s="175">
        <f t="shared" si="44"/>
        <v>-2.5000000000000001E-2</v>
      </c>
      <c r="BI24" s="172">
        <f t="shared" si="44"/>
        <v>-5.5E-2</v>
      </c>
      <c r="BJ24" s="1111">
        <f t="shared" si="44"/>
        <v>2.8000000000000001E-2</v>
      </c>
      <c r="BK24" s="175">
        <f t="shared" si="44"/>
        <v>-0.01</v>
      </c>
      <c r="BL24" s="175">
        <f t="shared" si="44"/>
        <v>-0.01</v>
      </c>
      <c r="BM24" s="175">
        <f t="shared" si="44"/>
        <v>-0.01</v>
      </c>
      <c r="BN24" s="172">
        <f t="shared" si="44"/>
        <v>-2.2521165143757015E-3</v>
      </c>
      <c r="BO24" s="175">
        <f t="shared" si="44"/>
        <v>0.05</v>
      </c>
      <c r="BP24" s="175">
        <f t="shared" si="44"/>
        <v>0.08</v>
      </c>
      <c r="BQ24" s="175">
        <f t="shared" si="44"/>
        <v>0.05</v>
      </c>
      <c r="BR24" s="175">
        <f t="shared" si="44"/>
        <v>0.05</v>
      </c>
      <c r="BS24" s="172">
        <f t="shared" si="44"/>
        <v>5.7181039776477656E-2</v>
      </c>
      <c r="BT24" s="172">
        <f t="shared" si="44"/>
        <v>0.05</v>
      </c>
      <c r="BU24" s="172">
        <f t="shared" si="44"/>
        <v>0.05</v>
      </c>
      <c r="BV24" s="172">
        <f t="shared" si="44"/>
        <v>0.05</v>
      </c>
      <c r="BW24" s="176"/>
    </row>
    <row r="25" spans="1:75" s="177" customFormat="1" ht="14.25" x14ac:dyDescent="0.45">
      <c r="A25" s="189" t="s">
        <v>1655</v>
      </c>
      <c r="B25" s="171"/>
      <c r="C25" s="172"/>
      <c r="D25" s="172">
        <f t="shared" ref="D25:F25" si="45">D23/C23-1</f>
        <v>0.14934111992003185</v>
      </c>
      <c r="E25" s="172">
        <f t="shared" si="45"/>
        <v>7.0851124062794701E-2</v>
      </c>
      <c r="F25" s="172">
        <f t="shared" si="45"/>
        <v>5.9634659017353986E-2</v>
      </c>
      <c r="G25" s="175"/>
      <c r="H25" s="175"/>
      <c r="I25" s="175"/>
      <c r="J25" s="175"/>
      <c r="K25" s="172">
        <f t="shared" ref="K25" si="46">K23/F23-1</f>
        <v>8.5494156999062598E-2</v>
      </c>
      <c r="L25" s="175"/>
      <c r="M25" s="175"/>
      <c r="N25" s="175"/>
      <c r="O25" s="175"/>
      <c r="P25" s="172">
        <f t="shared" ref="P25" si="47">P23/K23-1</f>
        <v>4.8732520848216554E-2</v>
      </c>
      <c r="Q25" s="175"/>
      <c r="R25" s="175"/>
      <c r="S25" s="175"/>
      <c r="T25" s="175"/>
      <c r="U25" s="172">
        <f t="shared" ref="U25" si="48">U23/P23-1</f>
        <v>9.5615621586264687E-3</v>
      </c>
      <c r="V25" s="175"/>
      <c r="W25" s="175"/>
      <c r="X25" s="175"/>
      <c r="Y25" s="175"/>
      <c r="Z25" s="172">
        <f t="shared" ref="Z25" si="49">Z23/U23-1</f>
        <v>-2.2912132486642256E-2</v>
      </c>
      <c r="AA25" s="175"/>
      <c r="AB25" s="175"/>
      <c r="AC25" s="175"/>
      <c r="AD25" s="175"/>
      <c r="AE25" s="172">
        <f t="shared" ref="AE25" si="50">AE23/Z23-1</f>
        <v>-1.457972352235859E-2</v>
      </c>
      <c r="AF25" s="175"/>
      <c r="AG25" s="175"/>
      <c r="AH25" s="175"/>
      <c r="AI25" s="175"/>
      <c r="AJ25" s="172">
        <f t="shared" ref="AJ25:BS25" si="51">AJ23/AE23-1</f>
        <v>4.1017213888256077E-2</v>
      </c>
      <c r="AK25" s="175">
        <f t="shared" si="51"/>
        <v>-1.8570256546708297E-2</v>
      </c>
      <c r="AL25" s="175">
        <f t="shared" si="51"/>
        <v>6.5694762098528203E-2</v>
      </c>
      <c r="AM25" s="175">
        <f t="shared" si="51"/>
        <v>3.1671879330139596E-3</v>
      </c>
      <c r="AN25" s="175">
        <f t="shared" si="51"/>
        <v>5.0432486835774171E-3</v>
      </c>
      <c r="AO25" s="172">
        <f t="shared" si="51"/>
        <v>1.4288393568827606E-2</v>
      </c>
      <c r="AP25" s="175">
        <f t="shared" si="51"/>
        <v>6.4988759983281241E-2</v>
      </c>
      <c r="AQ25" s="175">
        <f t="shared" si="51"/>
        <v>3.569845470544597E-2</v>
      </c>
      <c r="AR25" s="175">
        <f t="shared" si="51"/>
        <v>0.21726280524970298</v>
      </c>
      <c r="AS25" s="175">
        <f t="shared" si="51"/>
        <v>0.2350523019763362</v>
      </c>
      <c r="AT25" s="172">
        <f t="shared" si="51"/>
        <v>0.14745295032474415</v>
      </c>
      <c r="AU25" s="175">
        <f t="shared" si="51"/>
        <v>0.25199944842801991</v>
      </c>
      <c r="AV25" s="175">
        <f t="shared" si="51"/>
        <v>0.16081394314093589</v>
      </c>
      <c r="AW25" s="175">
        <f t="shared" si="51"/>
        <v>0.1398389037384995</v>
      </c>
      <c r="AX25" s="175">
        <f t="shared" si="51"/>
        <v>-7.9090700776159428E-2</v>
      </c>
      <c r="AY25" s="172">
        <f t="shared" si="51"/>
        <v>9.3390028689794402E-2</v>
      </c>
      <c r="AZ25" s="175">
        <f t="shared" si="51"/>
        <v>-3.8539906043623229E-2</v>
      </c>
      <c r="BA25" s="175">
        <f t="shared" si="51"/>
        <v>3.7326100526763328E-2</v>
      </c>
      <c r="BB25" s="175">
        <f t="shared" si="51"/>
        <v>-5.4690487552817801E-2</v>
      </c>
      <c r="BC25" s="175">
        <f t="shared" si="51"/>
        <v>2.941889546753762E-2</v>
      </c>
      <c r="BD25" s="172">
        <f t="shared" si="51"/>
        <v>-6.1023271482499863E-3</v>
      </c>
      <c r="BE25" s="175">
        <f t="shared" si="51"/>
        <v>-4.735448453313007E-2</v>
      </c>
      <c r="BF25" s="175">
        <f t="shared" si="51"/>
        <v>-9.9151188406613078E-2</v>
      </c>
      <c r="BG25" s="175">
        <f t="shared" si="51"/>
        <v>-7.4878306453770027E-2</v>
      </c>
      <c r="BH25" s="175">
        <f t="shared" si="51"/>
        <v>-3.4543561392526456E-2</v>
      </c>
      <c r="BI25" s="172">
        <f t="shared" si="51"/>
        <v>-6.3963839119033028E-2</v>
      </c>
      <c r="BJ25" s="1111">
        <f t="shared" si="51"/>
        <v>2.5811553919369512E-2</v>
      </c>
      <c r="BK25" s="175">
        <f t="shared" si="51"/>
        <v>-1.5000000000000013E-2</v>
      </c>
      <c r="BL25" s="175">
        <f t="shared" si="51"/>
        <v>-1.5000000000000124E-2</v>
      </c>
      <c r="BM25" s="175">
        <f t="shared" si="51"/>
        <v>-1.5000000000000013E-2</v>
      </c>
      <c r="BN25" s="172">
        <f t="shared" si="51"/>
        <v>-6.6788640885646622E-3</v>
      </c>
      <c r="BO25" s="175">
        <f t="shared" si="51"/>
        <v>4.4999999999999929E-2</v>
      </c>
      <c r="BP25" s="175">
        <f t="shared" si="51"/>
        <v>7.4999999999999956E-2</v>
      </c>
      <c r="BQ25" s="175">
        <f t="shared" si="51"/>
        <v>4.4999999999999929E-2</v>
      </c>
      <c r="BR25" s="175">
        <f t="shared" si="51"/>
        <v>4.4999999999999929E-2</v>
      </c>
      <c r="BS25" s="172">
        <f t="shared" si="51"/>
        <v>5.21810397764777E-2</v>
      </c>
      <c r="BT25" s="172">
        <f>BT23/BS23-1</f>
        <v>4.0000000000000036E-2</v>
      </c>
      <c r="BU25" s="172">
        <f>BU23/BT23-1</f>
        <v>4.0000000000000036E-2</v>
      </c>
      <c r="BV25" s="172">
        <f>BV23/BU23-1</f>
        <v>4.0000000000000036E-2</v>
      </c>
      <c r="BW25" s="176"/>
    </row>
    <row r="26" spans="1:75" s="162" customFormat="1" ht="7.5" customHeight="1" x14ac:dyDescent="0.45">
      <c r="A26" s="178"/>
      <c r="B26" s="179"/>
      <c r="C26" s="180"/>
      <c r="D26" s="180"/>
      <c r="E26" s="180"/>
      <c r="F26" s="180"/>
      <c r="G26" s="183"/>
      <c r="H26" s="183"/>
      <c r="I26" s="183"/>
      <c r="J26" s="183"/>
      <c r="K26" s="180"/>
      <c r="L26" s="183"/>
      <c r="M26" s="183"/>
      <c r="N26" s="183"/>
      <c r="O26" s="183"/>
      <c r="P26" s="180"/>
      <c r="Q26" s="183"/>
      <c r="R26" s="183"/>
      <c r="S26" s="183"/>
      <c r="T26" s="183"/>
      <c r="U26" s="180"/>
      <c r="V26" s="183"/>
      <c r="W26" s="183"/>
      <c r="X26" s="183"/>
      <c r="Y26" s="183"/>
      <c r="Z26" s="180"/>
      <c r="AA26" s="183"/>
      <c r="AB26" s="183"/>
      <c r="AC26" s="183"/>
      <c r="AD26" s="183"/>
      <c r="AE26" s="180"/>
      <c r="AF26" s="183"/>
      <c r="AG26" s="183"/>
      <c r="AH26" s="183"/>
      <c r="AI26" s="183"/>
      <c r="AJ26" s="180"/>
      <c r="AK26" s="183"/>
      <c r="AL26" s="183"/>
      <c r="AM26" s="183"/>
      <c r="AN26" s="183"/>
      <c r="AO26" s="180"/>
      <c r="AP26" s="183"/>
      <c r="AQ26" s="183"/>
      <c r="AR26" s="183"/>
      <c r="AS26" s="183"/>
      <c r="AT26" s="180"/>
      <c r="AU26" s="183"/>
      <c r="AV26" s="183"/>
      <c r="AW26" s="183"/>
      <c r="AX26" s="183"/>
      <c r="AY26" s="180"/>
      <c r="AZ26" s="183"/>
      <c r="BA26" s="183"/>
      <c r="BB26" s="183"/>
      <c r="BC26" s="183"/>
      <c r="BD26" s="180"/>
      <c r="BE26" s="183"/>
      <c r="BF26" s="183"/>
      <c r="BG26" s="183"/>
      <c r="BH26" s="183"/>
      <c r="BI26" s="180"/>
      <c r="BJ26" s="1112"/>
      <c r="BK26" s="183"/>
      <c r="BL26" s="183"/>
      <c r="BM26" s="183"/>
      <c r="BN26" s="180"/>
      <c r="BO26" s="183"/>
      <c r="BP26" s="183"/>
      <c r="BQ26" s="183"/>
      <c r="BR26" s="183"/>
      <c r="BS26" s="180"/>
      <c r="BT26" s="180"/>
      <c r="BU26" s="180"/>
      <c r="BV26" s="180"/>
      <c r="BW26" s="161"/>
    </row>
    <row r="27" spans="1:75" s="198" customFormat="1" ht="14.45" customHeight="1" x14ac:dyDescent="0.45">
      <c r="A27" s="1113" t="s">
        <v>1656</v>
      </c>
      <c r="B27" s="207"/>
      <c r="C27" s="208">
        <f t="shared" ref="C27:BN27" si="52">C290</f>
        <v>32.109000000000002</v>
      </c>
      <c r="D27" s="208">
        <f t="shared" si="52"/>
        <v>41.825000000000003</v>
      </c>
      <c r="E27" s="208">
        <f t="shared" si="52"/>
        <v>55.808</v>
      </c>
      <c r="F27" s="208">
        <f t="shared" si="52"/>
        <v>101.468</v>
      </c>
      <c r="G27" s="209"/>
      <c r="H27" s="209"/>
      <c r="I27" s="209"/>
      <c r="J27" s="209"/>
      <c r="K27" s="208">
        <f t="shared" si="52"/>
        <v>123.527</v>
      </c>
      <c r="L27" s="209"/>
      <c r="M27" s="209"/>
      <c r="N27" s="209"/>
      <c r="O27" s="209"/>
      <c r="P27" s="208">
        <f t="shared" si="52"/>
        <v>127.452</v>
      </c>
      <c r="Q27" s="209"/>
      <c r="R27" s="209"/>
      <c r="S27" s="209"/>
      <c r="T27" s="209"/>
      <c r="U27" s="208">
        <f t="shared" si="52"/>
        <v>193.619</v>
      </c>
      <c r="V27" s="209"/>
      <c r="W27" s="209"/>
      <c r="X27" s="209"/>
      <c r="Y27" s="209"/>
      <c r="Z27" s="208">
        <f t="shared" si="52"/>
        <v>212.63300000000001</v>
      </c>
      <c r="AA27" s="209"/>
      <c r="AB27" s="209"/>
      <c r="AC27" s="209"/>
      <c r="AD27" s="209"/>
      <c r="AE27" s="208">
        <f t="shared" si="52"/>
        <v>228.816</v>
      </c>
      <c r="AF27" s="209">
        <f t="shared" si="52"/>
        <v>57.905999999999999</v>
      </c>
      <c r="AG27" s="209">
        <f t="shared" si="52"/>
        <v>58.515999999999998</v>
      </c>
      <c r="AH27" s="209">
        <f t="shared" si="52"/>
        <v>53.148000000000003</v>
      </c>
      <c r="AI27" s="209">
        <f t="shared" si="52"/>
        <v>79.864000000000004</v>
      </c>
      <c r="AJ27" s="208">
        <f t="shared" si="52"/>
        <v>249.434</v>
      </c>
      <c r="AK27" s="209">
        <f t="shared" si="52"/>
        <v>67.582999999999998</v>
      </c>
      <c r="AL27" s="209">
        <f t="shared" si="52"/>
        <v>69.165999999999997</v>
      </c>
      <c r="AM27" s="209">
        <f t="shared" si="52"/>
        <v>61.601999999999997</v>
      </c>
      <c r="AN27" s="209">
        <f t="shared" si="52"/>
        <v>77.793999999999983</v>
      </c>
      <c r="AO27" s="208">
        <f t="shared" si="52"/>
        <v>276.14499999999998</v>
      </c>
      <c r="AP27" s="209">
        <f t="shared" si="52"/>
        <v>52.304000000000002</v>
      </c>
      <c r="AQ27" s="209">
        <f t="shared" si="52"/>
        <v>67.828999999999994</v>
      </c>
      <c r="AR27" s="209">
        <f t="shared" si="52"/>
        <v>68.224999999999994</v>
      </c>
      <c r="AS27" s="209">
        <f t="shared" si="52"/>
        <v>101.53399999999999</v>
      </c>
      <c r="AT27" s="208">
        <f t="shared" si="52"/>
        <v>289.892</v>
      </c>
      <c r="AU27" s="209">
        <f t="shared" si="52"/>
        <v>90.983000000000004</v>
      </c>
      <c r="AV27" s="209">
        <f t="shared" si="52"/>
        <v>106.988</v>
      </c>
      <c r="AW27" s="209">
        <f t="shared" si="52"/>
        <v>90.361000000000004</v>
      </c>
      <c r="AX27" s="209">
        <f t="shared" si="52"/>
        <v>116.625</v>
      </c>
      <c r="AY27" s="208">
        <f t="shared" si="52"/>
        <v>404.95699999999999</v>
      </c>
      <c r="AZ27" s="209">
        <f t="shared" si="52"/>
        <v>101.099</v>
      </c>
      <c r="BA27" s="209">
        <f t="shared" si="52"/>
        <v>117.739</v>
      </c>
      <c r="BB27" s="209">
        <f t="shared" si="52"/>
        <v>96.795000000000002</v>
      </c>
      <c r="BC27" s="209">
        <f t="shared" si="52"/>
        <v>105.54399999999998</v>
      </c>
      <c r="BD27" s="208">
        <f t="shared" si="52"/>
        <v>421.17700000000002</v>
      </c>
      <c r="BE27" s="209">
        <f t="shared" si="52"/>
        <v>79.701999999999998</v>
      </c>
      <c r="BF27" s="209">
        <f t="shared" si="52"/>
        <v>91.7</v>
      </c>
      <c r="BG27" s="209">
        <f t="shared" si="52"/>
        <v>80.691999999999993</v>
      </c>
      <c r="BH27" s="209">
        <f t="shared" si="52"/>
        <v>117.065</v>
      </c>
      <c r="BI27" s="208">
        <f t="shared" si="52"/>
        <v>369.15899999999999</v>
      </c>
      <c r="BJ27" s="1114">
        <f t="shared" si="52"/>
        <v>92.662999999999997</v>
      </c>
      <c r="BK27" s="209">
        <f t="shared" si="52"/>
        <v>96.285000000000011</v>
      </c>
      <c r="BL27" s="209">
        <f t="shared" si="52"/>
        <v>84.726599999999991</v>
      </c>
      <c r="BM27" s="209">
        <f t="shared" si="52"/>
        <v>122.91825</v>
      </c>
      <c r="BN27" s="208">
        <f t="shared" si="52"/>
        <v>396.59285</v>
      </c>
      <c r="BO27" s="209">
        <f t="shared" ref="BO27:CF27" si="53">BO290</f>
        <v>97.296149999999997</v>
      </c>
      <c r="BP27" s="209">
        <f t="shared" si="53"/>
        <v>101.09925000000001</v>
      </c>
      <c r="BQ27" s="209">
        <f t="shared" si="53"/>
        <v>88.96293</v>
      </c>
      <c r="BR27" s="209">
        <f t="shared" si="53"/>
        <v>129.06416250000001</v>
      </c>
      <c r="BS27" s="208">
        <f t="shared" si="53"/>
        <v>416.42249250000003</v>
      </c>
      <c r="BT27" s="208">
        <f t="shared" si="53"/>
        <v>437.24361712500007</v>
      </c>
      <c r="BU27" s="208">
        <f t="shared" si="53"/>
        <v>459.10579798125008</v>
      </c>
      <c r="BV27" s="208">
        <f t="shared" si="53"/>
        <v>482.06108788031258</v>
      </c>
      <c r="BW27" s="197"/>
    </row>
    <row r="28" spans="1:75" s="177" customFormat="1" ht="14.45" customHeight="1" x14ac:dyDescent="0.45">
      <c r="A28" s="189" t="s">
        <v>1657</v>
      </c>
      <c r="B28" s="171"/>
      <c r="C28" s="172"/>
      <c r="D28" s="172">
        <f t="shared" ref="D28:F28" si="54">D27/C27-1</f>
        <v>0.30259428820579903</v>
      </c>
      <c r="E28" s="172">
        <f t="shared" si="54"/>
        <v>0.3343215780035862</v>
      </c>
      <c r="F28" s="172">
        <f t="shared" si="54"/>
        <v>0.81816227064220182</v>
      </c>
      <c r="G28" s="175"/>
      <c r="H28" s="175"/>
      <c r="I28" s="175"/>
      <c r="J28" s="175"/>
      <c r="K28" s="172">
        <f t="shared" ref="K28:BS28" si="55">K27/F27-1</f>
        <v>0.2173985887176253</v>
      </c>
      <c r="L28" s="175"/>
      <c r="M28" s="175"/>
      <c r="N28" s="175"/>
      <c r="O28" s="175"/>
      <c r="P28" s="172">
        <f t="shared" si="55"/>
        <v>3.1774429881726185E-2</v>
      </c>
      <c r="Q28" s="175"/>
      <c r="R28" s="175"/>
      <c r="S28" s="175"/>
      <c r="T28" s="175"/>
      <c r="U28" s="172">
        <f t="shared" si="55"/>
        <v>0.51915230831999493</v>
      </c>
      <c r="V28" s="175"/>
      <c r="W28" s="175"/>
      <c r="X28" s="175"/>
      <c r="Y28" s="175"/>
      <c r="Z28" s="172">
        <f t="shared" si="55"/>
        <v>9.8203172209339051E-2</v>
      </c>
      <c r="AA28" s="175"/>
      <c r="AB28" s="175"/>
      <c r="AC28" s="175"/>
      <c r="AD28" s="175"/>
      <c r="AE28" s="172">
        <f t="shared" si="55"/>
        <v>7.6107659676531769E-2</v>
      </c>
      <c r="AF28" s="175"/>
      <c r="AG28" s="175"/>
      <c r="AH28" s="175"/>
      <c r="AI28" s="175"/>
      <c r="AJ28" s="172">
        <f t="shared" si="55"/>
        <v>9.0107335151387913E-2</v>
      </c>
      <c r="AK28" s="175">
        <f t="shared" si="55"/>
        <v>0.1671156702241563</v>
      </c>
      <c r="AL28" s="175">
        <f t="shared" si="55"/>
        <v>0.1820015038621916</v>
      </c>
      <c r="AM28" s="175">
        <f t="shared" si="55"/>
        <v>0.15906525174983055</v>
      </c>
      <c r="AN28" s="175">
        <f t="shared" si="55"/>
        <v>-2.5919062406090654E-2</v>
      </c>
      <c r="AO28" s="172">
        <f t="shared" si="55"/>
        <v>0.10708644370855613</v>
      </c>
      <c r="AP28" s="175">
        <f t="shared" si="55"/>
        <v>-0.22607756388440881</v>
      </c>
      <c r="AQ28" s="175">
        <f t="shared" si="55"/>
        <v>-1.9330306798137853E-2</v>
      </c>
      <c r="AR28" s="175">
        <f t="shared" si="55"/>
        <v>0.10751274309275671</v>
      </c>
      <c r="AS28" s="175">
        <f t="shared" si="55"/>
        <v>0.30516492274468487</v>
      </c>
      <c r="AT28" s="172">
        <f t="shared" si="55"/>
        <v>4.9781817523402605E-2</v>
      </c>
      <c r="AU28" s="175">
        <f t="shared" si="55"/>
        <v>0.73950367084735391</v>
      </c>
      <c r="AV28" s="175">
        <f t="shared" si="55"/>
        <v>0.5773194356396234</v>
      </c>
      <c r="AW28" s="175">
        <f t="shared" si="55"/>
        <v>0.32445584463173338</v>
      </c>
      <c r="AX28" s="175">
        <f t="shared" si="55"/>
        <v>0.14863001556128985</v>
      </c>
      <c r="AY28" s="172">
        <f t="shared" si="55"/>
        <v>0.39692368192292293</v>
      </c>
      <c r="AZ28" s="175">
        <f t="shared" si="55"/>
        <v>0.11118560610223893</v>
      </c>
      <c r="BA28" s="175">
        <f t="shared" si="55"/>
        <v>0.10048790518562845</v>
      </c>
      <c r="BB28" s="175">
        <f t="shared" si="55"/>
        <v>7.1203284602870731E-2</v>
      </c>
      <c r="BC28" s="175">
        <f t="shared" si="55"/>
        <v>-9.5013933547695717E-2</v>
      </c>
      <c r="BD28" s="172">
        <f t="shared" si="55"/>
        <v>4.0053635324244441E-2</v>
      </c>
      <c r="BE28" s="175">
        <f t="shared" si="55"/>
        <v>-0.21164403208735993</v>
      </c>
      <c r="BF28" s="175">
        <f t="shared" si="55"/>
        <v>-0.22115866450369037</v>
      </c>
      <c r="BG28" s="175">
        <f t="shared" si="55"/>
        <v>-0.16636189885841224</v>
      </c>
      <c r="BH28" s="175">
        <f t="shared" si="55"/>
        <v>0.10915826574698717</v>
      </c>
      <c r="BI28" s="172">
        <f t="shared" si="55"/>
        <v>-0.12350626933569508</v>
      </c>
      <c r="BJ28" s="1111">
        <f t="shared" si="55"/>
        <v>0.16261825299239674</v>
      </c>
      <c r="BK28" s="175">
        <f t="shared" si="55"/>
        <v>5.0000000000000044E-2</v>
      </c>
      <c r="BL28" s="175">
        <f t="shared" si="55"/>
        <v>5.0000000000000044E-2</v>
      </c>
      <c r="BM28" s="175">
        <f t="shared" si="55"/>
        <v>5.0000000000000044E-2</v>
      </c>
      <c r="BN28" s="172">
        <f t="shared" si="55"/>
        <v>7.431445528891345E-2</v>
      </c>
      <c r="BO28" s="175">
        <f t="shared" si="55"/>
        <v>5.0000000000000044E-2</v>
      </c>
      <c r="BP28" s="175">
        <f t="shared" si="55"/>
        <v>5.0000000000000044E-2</v>
      </c>
      <c r="BQ28" s="175">
        <f t="shared" si="55"/>
        <v>5.0000000000000044E-2</v>
      </c>
      <c r="BR28" s="175">
        <f t="shared" si="55"/>
        <v>5.0000000000000044E-2</v>
      </c>
      <c r="BS28" s="172">
        <f t="shared" si="55"/>
        <v>5.0000000000000044E-2</v>
      </c>
      <c r="BT28" s="172">
        <f>BT27/BS27-1</f>
        <v>5.0000000000000044E-2</v>
      </c>
      <c r="BU28" s="172">
        <f>BU27/BT27-1</f>
        <v>5.0000000000000044E-2</v>
      </c>
      <c r="BV28" s="172">
        <f>BV27/BU27-1</f>
        <v>5.0000000000000044E-2</v>
      </c>
      <c r="BW28" s="176"/>
    </row>
    <row r="29" spans="1:75" s="177" customFormat="1" ht="7.5" customHeight="1" x14ac:dyDescent="0.45">
      <c r="A29" s="189"/>
      <c r="B29" s="171"/>
      <c r="C29" s="172"/>
      <c r="D29" s="172"/>
      <c r="E29" s="172"/>
      <c r="F29" s="172"/>
      <c r="G29" s="175"/>
      <c r="H29" s="175"/>
      <c r="I29" s="175"/>
      <c r="J29" s="175"/>
      <c r="K29" s="172"/>
      <c r="L29" s="175"/>
      <c r="M29" s="175"/>
      <c r="N29" s="175"/>
      <c r="O29" s="175"/>
      <c r="P29" s="172"/>
      <c r="Q29" s="175"/>
      <c r="R29" s="175"/>
      <c r="S29" s="175"/>
      <c r="T29" s="175"/>
      <c r="U29" s="172"/>
      <c r="V29" s="175"/>
      <c r="W29" s="175"/>
      <c r="X29" s="175"/>
      <c r="Y29" s="175"/>
      <c r="Z29" s="172"/>
      <c r="AA29" s="175"/>
      <c r="AB29" s="175"/>
      <c r="AC29" s="175"/>
      <c r="AD29" s="175"/>
      <c r="AE29" s="172"/>
      <c r="AF29" s="175"/>
      <c r="AG29" s="175"/>
      <c r="AH29" s="175"/>
      <c r="AI29" s="175"/>
      <c r="AJ29" s="172"/>
      <c r="AK29" s="175"/>
      <c r="AL29" s="175"/>
      <c r="AM29" s="175"/>
      <c r="AN29" s="175"/>
      <c r="AO29" s="172"/>
      <c r="AP29" s="175"/>
      <c r="AQ29" s="175"/>
      <c r="AR29" s="175"/>
      <c r="AS29" s="175"/>
      <c r="AT29" s="172"/>
      <c r="AU29" s="175"/>
      <c r="AV29" s="175"/>
      <c r="AW29" s="175"/>
      <c r="AX29" s="175"/>
      <c r="AY29" s="172"/>
      <c r="AZ29" s="175"/>
      <c r="BA29" s="175"/>
      <c r="BB29" s="175"/>
      <c r="BC29" s="175"/>
      <c r="BD29" s="172"/>
      <c r="BE29" s="175"/>
      <c r="BF29" s="175"/>
      <c r="BG29" s="175"/>
      <c r="BH29" s="175"/>
      <c r="BI29" s="172"/>
      <c r="BJ29" s="1111"/>
      <c r="BK29" s="175"/>
      <c r="BL29" s="175"/>
      <c r="BM29" s="175"/>
      <c r="BN29" s="172"/>
      <c r="BO29" s="175"/>
      <c r="BP29" s="175"/>
      <c r="BQ29" s="175"/>
      <c r="BR29" s="175"/>
      <c r="BS29" s="172"/>
      <c r="BT29" s="172"/>
      <c r="BU29" s="172"/>
      <c r="BV29" s="172"/>
      <c r="BW29" s="176"/>
    </row>
    <row r="30" spans="1:75" s="198" customFormat="1" ht="14.25" x14ac:dyDescent="0.45">
      <c r="A30" s="192" t="s">
        <v>187</v>
      </c>
      <c r="B30" s="193"/>
      <c r="C30" s="194">
        <f t="shared" ref="C30:BN30" si="56">C749</f>
        <v>3102.7040000000002</v>
      </c>
      <c r="D30" s="194">
        <f t="shared" si="56"/>
        <v>3504.1579999999999</v>
      </c>
      <c r="E30" s="194">
        <f t="shared" si="56"/>
        <v>3720.895</v>
      </c>
      <c r="F30" s="194">
        <f t="shared" si="56"/>
        <v>4042.87</v>
      </c>
      <c r="G30" s="195">
        <f t="shared" si="56"/>
        <v>887.80799999999999</v>
      </c>
      <c r="H30" s="195">
        <f t="shared" si="56"/>
        <v>982.20899999999995</v>
      </c>
      <c r="I30" s="195">
        <f t="shared" si="56"/>
        <v>1051.548</v>
      </c>
      <c r="J30" s="195">
        <f t="shared" si="56"/>
        <v>1466.3240000000001</v>
      </c>
      <c r="K30" s="194">
        <f t="shared" si="56"/>
        <v>4387.8890000000001</v>
      </c>
      <c r="L30" s="195">
        <f t="shared" si="56"/>
        <v>974.33</v>
      </c>
      <c r="M30" s="195">
        <f t="shared" si="56"/>
        <v>1039.1020000000001</v>
      </c>
      <c r="N30" s="195">
        <f t="shared" si="56"/>
        <v>1143.162</v>
      </c>
      <c r="O30" s="195">
        <f t="shared" si="56"/>
        <v>1542.125</v>
      </c>
      <c r="P30" s="194">
        <f t="shared" si="56"/>
        <v>4698.7190000000001</v>
      </c>
      <c r="Q30" s="195">
        <f t="shared" si="56"/>
        <v>1030.6759999999999</v>
      </c>
      <c r="R30" s="195">
        <f t="shared" si="56"/>
        <v>1127.028</v>
      </c>
      <c r="S30" s="195">
        <f t="shared" si="56"/>
        <v>1232.0820000000001</v>
      </c>
      <c r="T30" s="195">
        <f t="shared" si="56"/>
        <v>1586.3040000000001</v>
      </c>
      <c r="U30" s="194">
        <f t="shared" si="56"/>
        <v>4976.09</v>
      </c>
      <c r="V30" s="195">
        <f t="shared" si="56"/>
        <v>1097.817</v>
      </c>
      <c r="W30" s="195">
        <f t="shared" si="56"/>
        <v>1159.029</v>
      </c>
      <c r="X30" s="195">
        <f t="shared" si="56"/>
        <v>1245.385</v>
      </c>
      <c r="Y30" s="195">
        <f t="shared" si="56"/>
        <v>1581.5809999999999</v>
      </c>
      <c r="Z30" s="194">
        <f t="shared" si="56"/>
        <v>5083.8119999999999</v>
      </c>
      <c r="AA30" s="195">
        <f t="shared" si="56"/>
        <v>1111.5070000000001</v>
      </c>
      <c r="AB30" s="195">
        <f t="shared" si="56"/>
        <v>1201.606</v>
      </c>
      <c r="AC30" s="195">
        <f t="shared" si="56"/>
        <v>1299.336</v>
      </c>
      <c r="AD30" s="195">
        <f t="shared" si="56"/>
        <v>1679.91</v>
      </c>
      <c r="AE30" s="194">
        <f t="shared" si="56"/>
        <v>5292.3590000000004</v>
      </c>
      <c r="AF30" s="195">
        <f t="shared" si="56"/>
        <v>1203</v>
      </c>
      <c r="AG30" s="195">
        <f t="shared" si="56"/>
        <v>1275.174</v>
      </c>
      <c r="AH30" s="195">
        <f t="shared" si="56"/>
        <v>1356.9829999999999</v>
      </c>
      <c r="AI30" s="195">
        <f t="shared" si="56"/>
        <v>1836.4359999999997</v>
      </c>
      <c r="AJ30" s="194">
        <f t="shared" si="56"/>
        <v>5671.5929999999998</v>
      </c>
      <c r="AK30" s="195">
        <f t="shared" si="56"/>
        <v>1241.1320000000001</v>
      </c>
      <c r="AL30" s="195">
        <f t="shared" si="56"/>
        <v>1370.8140000000001</v>
      </c>
      <c r="AM30" s="195">
        <f t="shared" si="56"/>
        <v>1442.472</v>
      </c>
      <c r="AN30" s="195">
        <f t="shared" si="56"/>
        <v>1843.5900000000001</v>
      </c>
      <c r="AO30" s="194">
        <f t="shared" si="56"/>
        <v>5898.0079999999998</v>
      </c>
      <c r="AP30" s="195">
        <f t="shared" si="56"/>
        <v>1235.203</v>
      </c>
      <c r="AQ30" s="195">
        <f t="shared" si="56"/>
        <v>1490.777</v>
      </c>
      <c r="AR30" s="195">
        <f t="shared" si="56"/>
        <v>1764.5360000000001</v>
      </c>
      <c r="AS30" s="195">
        <f t="shared" si="56"/>
        <v>2292.6730000000007</v>
      </c>
      <c r="AT30" s="194">
        <f t="shared" si="56"/>
        <v>6783.1890000000003</v>
      </c>
      <c r="AU30" s="195">
        <f t="shared" si="56"/>
        <v>1749.029</v>
      </c>
      <c r="AV30" s="195">
        <f t="shared" si="56"/>
        <v>1948.3389999999999</v>
      </c>
      <c r="AW30" s="195">
        <f t="shared" si="56"/>
        <v>2047.539</v>
      </c>
      <c r="AX30" s="195">
        <f t="shared" si="56"/>
        <v>2501.0289999999995</v>
      </c>
      <c r="AY30" s="194">
        <f t="shared" si="56"/>
        <v>8245.9359999999997</v>
      </c>
      <c r="AZ30" s="195">
        <f t="shared" si="56"/>
        <v>1891.2270000000001</v>
      </c>
      <c r="BA30" s="195">
        <f t="shared" si="56"/>
        <v>2137.5369999999998</v>
      </c>
      <c r="BB30" s="195">
        <f t="shared" si="56"/>
        <v>2192.5740000000001</v>
      </c>
      <c r="BC30" s="195">
        <f t="shared" si="56"/>
        <v>2453.0789999999997</v>
      </c>
      <c r="BD30" s="194">
        <f t="shared" si="56"/>
        <v>8674.4169999999995</v>
      </c>
      <c r="BE30" s="195">
        <f t="shared" si="56"/>
        <v>1755.451</v>
      </c>
      <c r="BF30" s="195">
        <f t="shared" si="56"/>
        <v>1862.614</v>
      </c>
      <c r="BG30" s="195">
        <f t="shared" si="56"/>
        <v>1853.65</v>
      </c>
      <c r="BH30" s="195">
        <f t="shared" si="56"/>
        <v>2278.9369999999999</v>
      </c>
      <c r="BI30" s="194">
        <f t="shared" si="56"/>
        <v>7750.652</v>
      </c>
      <c r="BJ30" s="1115">
        <f t="shared" si="56"/>
        <v>1660.348</v>
      </c>
      <c r="BK30" s="195">
        <f t="shared" si="56"/>
        <v>1848.8693661915622</v>
      </c>
      <c r="BL30" s="195">
        <f t="shared" si="56"/>
        <v>1831.1608887139548</v>
      </c>
      <c r="BM30" s="195">
        <f t="shared" si="56"/>
        <v>2383.6962406606276</v>
      </c>
      <c r="BN30" s="194">
        <f t="shared" si="56"/>
        <v>7724.0744955661448</v>
      </c>
      <c r="BO30" s="195">
        <f t="shared" ref="BO30:CF30" si="57">BO749</f>
        <v>1738.1860565485274</v>
      </c>
      <c r="BP30" s="195">
        <f t="shared" si="57"/>
        <v>1933.4025273877753</v>
      </c>
      <c r="BQ30" s="195">
        <f t="shared" si="57"/>
        <v>1907.2110214273439</v>
      </c>
      <c r="BR30" s="195">
        <f t="shared" si="57"/>
        <v>2338.313228119287</v>
      </c>
      <c r="BS30" s="194">
        <f t="shared" si="57"/>
        <v>7917.1128334829336</v>
      </c>
      <c r="BT30" s="194">
        <f t="shared" si="57"/>
        <v>8429.2975574342017</v>
      </c>
      <c r="BU30" s="194">
        <f t="shared" si="57"/>
        <v>9034.9707388991592</v>
      </c>
      <c r="BV30" s="194">
        <f t="shared" si="57"/>
        <v>9685.510592576069</v>
      </c>
      <c r="BW30" s="197"/>
    </row>
    <row r="31" spans="1:75" s="205" customFormat="1" ht="14.25" x14ac:dyDescent="0.45">
      <c r="A31" s="199" t="str">
        <f>A752</f>
        <v>Consensus Estimates - Net Revenue</v>
      </c>
      <c r="B31" s="200"/>
      <c r="C31" s="201"/>
      <c r="D31" s="201"/>
      <c r="E31" s="201"/>
      <c r="F31" s="201"/>
      <c r="G31" s="202"/>
      <c r="H31" s="202"/>
      <c r="I31" s="202"/>
      <c r="J31" s="202"/>
      <c r="K31" s="201"/>
      <c r="L31" s="202"/>
      <c r="M31" s="202"/>
      <c r="N31" s="202"/>
      <c r="O31" s="202"/>
      <c r="P31" s="201"/>
      <c r="Q31" s="202"/>
      <c r="R31" s="202"/>
      <c r="S31" s="202"/>
      <c r="T31" s="202"/>
      <c r="U31" s="201"/>
      <c r="V31" s="202"/>
      <c r="W31" s="202"/>
      <c r="X31" s="202"/>
      <c r="Y31" s="202"/>
      <c r="Z31" s="201"/>
      <c r="AA31" s="202"/>
      <c r="AB31" s="202"/>
      <c r="AC31" s="202"/>
      <c r="AD31" s="202"/>
      <c r="AE31" s="201"/>
      <c r="AF31" s="202"/>
      <c r="AG31" s="202"/>
      <c r="AH31" s="202"/>
      <c r="AI31" s="202"/>
      <c r="AJ31" s="201"/>
      <c r="AK31" s="202"/>
      <c r="AL31" s="202"/>
      <c r="AM31" s="202"/>
      <c r="AN31" s="202"/>
      <c r="AO31" s="201"/>
      <c r="AP31" s="202"/>
      <c r="AQ31" s="202"/>
      <c r="AR31" s="202"/>
      <c r="AS31" s="202"/>
      <c r="AT31" s="201"/>
      <c r="AU31" s="202"/>
      <c r="AV31" s="202"/>
      <c r="AW31" s="202"/>
      <c r="AX31" s="202"/>
      <c r="AY31" s="201"/>
      <c r="AZ31" s="202"/>
      <c r="BA31" s="202"/>
      <c r="BB31" s="202"/>
      <c r="BC31" s="202"/>
      <c r="BD31" s="201"/>
      <c r="BE31" s="202"/>
      <c r="BF31" s="202"/>
      <c r="BG31" s="202"/>
      <c r="BH31" s="202"/>
      <c r="BI31" s="201"/>
      <c r="BJ31" s="1116"/>
      <c r="BK31" s="202" t="str">
        <f t="shared" ref="BK31:BV31" ca="1" si="58">BK752</f>
        <v>N/A</v>
      </c>
      <c r="BL31" s="202" t="str">
        <f t="shared" ca="1" si="58"/>
        <v>N/A</v>
      </c>
      <c r="BM31" s="202" t="str">
        <f t="shared" ca="1" si="58"/>
        <v>N/A</v>
      </c>
      <c r="BN31" s="201" t="str">
        <f t="shared" ca="1" si="58"/>
        <v>N/A</v>
      </c>
      <c r="BO31" s="202" t="str">
        <f t="shared" ca="1" si="58"/>
        <v>N/A</v>
      </c>
      <c r="BP31" s="202" t="str">
        <f t="shared" ca="1" si="58"/>
        <v>N/A</v>
      </c>
      <c r="BQ31" s="202" t="str">
        <f t="shared" ca="1" si="58"/>
        <v>N/A</v>
      </c>
      <c r="BR31" s="202" t="str">
        <f t="shared" ca="1" si="58"/>
        <v>N/A</v>
      </c>
      <c r="BS31" s="201" t="str">
        <f t="shared" ca="1" si="58"/>
        <v>N/A</v>
      </c>
      <c r="BT31" s="201" t="str">
        <f t="shared" ca="1" si="58"/>
        <v>N/A</v>
      </c>
      <c r="BU31" s="201" t="str">
        <f t="shared" ca="1" si="58"/>
        <v>N/A</v>
      </c>
      <c r="BV31" s="201" t="str">
        <f t="shared" ca="1" si="58"/>
        <v>N/A</v>
      </c>
      <c r="BW31" s="204"/>
    </row>
    <row r="32" spans="1:75" s="177" customFormat="1" ht="14.25" x14ac:dyDescent="0.45">
      <c r="A32" s="170" t="s">
        <v>1658</v>
      </c>
      <c r="B32" s="171"/>
      <c r="C32" s="172"/>
      <c r="D32" s="172"/>
      <c r="E32" s="172"/>
      <c r="F32" s="172"/>
      <c r="G32" s="175"/>
      <c r="H32" s="175"/>
      <c r="I32" s="175"/>
      <c r="J32" s="175"/>
      <c r="K32" s="172"/>
      <c r="L32" s="175"/>
      <c r="M32" s="175"/>
      <c r="N32" s="175"/>
      <c r="O32" s="175"/>
      <c r="P32" s="172"/>
      <c r="Q32" s="175"/>
      <c r="R32" s="175"/>
      <c r="S32" s="175"/>
      <c r="T32" s="175"/>
      <c r="U32" s="172"/>
      <c r="V32" s="175"/>
      <c r="W32" s="175"/>
      <c r="X32" s="175"/>
      <c r="Y32" s="175"/>
      <c r="Z32" s="172"/>
      <c r="AA32" s="175"/>
      <c r="AB32" s="175"/>
      <c r="AC32" s="175"/>
      <c r="AD32" s="175"/>
      <c r="AE32" s="172"/>
      <c r="AF32" s="175"/>
      <c r="AG32" s="175"/>
      <c r="AH32" s="175">
        <f>AH282</f>
        <v>4.5999999999999999E-2</v>
      </c>
      <c r="AI32" s="175"/>
      <c r="AJ32" s="172"/>
      <c r="AK32" s="175"/>
      <c r="AL32" s="175"/>
      <c r="AM32" s="175"/>
      <c r="AN32" s="175"/>
      <c r="AO32" s="172"/>
      <c r="AP32" s="175"/>
      <c r="AQ32" s="175">
        <f>AQ282</f>
        <v>0.19</v>
      </c>
      <c r="AR32" s="175">
        <f>AR282</f>
        <v>0.31</v>
      </c>
      <c r="AS32" s="175">
        <f>AS282</f>
        <v>0.3</v>
      </c>
      <c r="AT32" s="172"/>
      <c r="AU32" s="175">
        <f>AU282</f>
        <v>0.4</v>
      </c>
      <c r="AV32" s="175"/>
      <c r="AW32" s="175">
        <f>AW282</f>
        <v>0.16900000000000001</v>
      </c>
      <c r="AX32" s="175">
        <f>AX282</f>
        <v>0.108</v>
      </c>
      <c r="AY32" s="172"/>
      <c r="AZ32" s="175">
        <f>AZ282</f>
        <v>9.5000000000000001E-2</v>
      </c>
      <c r="BA32" s="175"/>
      <c r="BB32" s="175"/>
      <c r="BC32" s="175">
        <f>BC282</f>
        <v>-0.05</v>
      </c>
      <c r="BD32" s="172"/>
      <c r="BE32" s="175">
        <f>BE282</f>
        <v>-0.1</v>
      </c>
      <c r="BF32" s="175">
        <f>BF282</f>
        <v>-0.114</v>
      </c>
      <c r="BG32" s="175">
        <f>BG282</f>
        <v>-0.11799999999999999</v>
      </c>
      <c r="BH32" s="175"/>
      <c r="BI32" s="172"/>
      <c r="BJ32" s="1111"/>
      <c r="BK32" s="175"/>
      <c r="BL32" s="175"/>
      <c r="BM32" s="175"/>
      <c r="BN32" s="172"/>
      <c r="BO32" s="175"/>
      <c r="BP32" s="175"/>
      <c r="BQ32" s="175"/>
      <c r="BR32" s="175"/>
      <c r="BS32" s="172"/>
      <c r="BT32" s="172"/>
      <c r="BU32" s="172"/>
      <c r="BV32" s="172"/>
      <c r="BW32" s="176"/>
    </row>
    <row r="33" spans="1:75" s="177" customFormat="1" ht="14.25" x14ac:dyDescent="0.45">
      <c r="A33" s="170" t="s">
        <v>1659</v>
      </c>
      <c r="B33" s="171"/>
      <c r="C33" s="172">
        <f t="shared" ref="C33:BN33" si="59">C280</f>
        <v>-9.2999999999999999E-2</v>
      </c>
      <c r="D33" s="172">
        <f t="shared" si="59"/>
        <v>0.13900000000000001</v>
      </c>
      <c r="E33" s="172">
        <f t="shared" si="59"/>
        <v>7.2999999999999995E-2</v>
      </c>
      <c r="F33" s="172">
        <f t="shared" si="59"/>
        <v>6.0999999999999999E-2</v>
      </c>
      <c r="G33" s="175">
        <f t="shared" si="59"/>
        <v>7.1999999999999995E-2</v>
      </c>
      <c r="H33" s="175">
        <f t="shared" si="59"/>
        <v>8.4000000000000005E-2</v>
      </c>
      <c r="I33" s="175">
        <f t="shared" si="59"/>
        <v>8.2000000000000003E-2</v>
      </c>
      <c r="J33" s="175">
        <f t="shared" si="59"/>
        <v>0.104</v>
      </c>
      <c r="K33" s="172">
        <f t="shared" si="59"/>
        <v>8.7999999999999995E-2</v>
      </c>
      <c r="L33" s="175">
        <f t="shared" si="59"/>
        <v>0.1</v>
      </c>
      <c r="M33" s="175">
        <f t="shared" si="59"/>
        <v>5.7000000000000002E-2</v>
      </c>
      <c r="N33" s="175">
        <f t="shared" si="59"/>
        <v>8.6999999999999994E-2</v>
      </c>
      <c r="O33" s="175">
        <f t="shared" si="59"/>
        <v>5.0999999999999997E-2</v>
      </c>
      <c r="P33" s="172">
        <f t="shared" si="59"/>
        <v>7.0999999999999994E-2</v>
      </c>
      <c r="Q33" s="175">
        <f t="shared" si="59"/>
        <v>4.5999999999999999E-2</v>
      </c>
      <c r="R33" s="175">
        <f t="shared" si="59"/>
        <v>6.3E-2</v>
      </c>
      <c r="S33" s="175">
        <f t="shared" si="59"/>
        <v>4.4999999999999998E-2</v>
      </c>
      <c r="T33" s="175">
        <f t="shared" si="59"/>
        <v>8.0000000000000002E-3</v>
      </c>
      <c r="U33" s="172">
        <f t="shared" si="59"/>
        <v>3.6999999999999998E-2</v>
      </c>
      <c r="V33" s="175">
        <f t="shared" si="59"/>
        <v>4.4999999999999998E-2</v>
      </c>
      <c r="W33" s="175">
        <f t="shared" si="59"/>
        <v>6.0000000000000001E-3</v>
      </c>
      <c r="X33" s="175">
        <f t="shared" si="59"/>
        <v>-4.0000000000000001E-3</v>
      </c>
      <c r="Y33" s="175">
        <f t="shared" si="59"/>
        <v>-8.9999999999999993E-3</v>
      </c>
      <c r="Z33" s="172">
        <f t="shared" si="59"/>
        <v>7.0000000000000001E-3</v>
      </c>
      <c r="AA33" s="175">
        <f t="shared" si="59"/>
        <v>1E-3</v>
      </c>
      <c r="AB33" s="175">
        <f t="shared" si="59"/>
        <v>2.8000000000000001E-2</v>
      </c>
      <c r="AC33" s="175">
        <f t="shared" si="59"/>
        <v>3.3000000000000002E-2</v>
      </c>
      <c r="AD33" s="175">
        <f t="shared" si="59"/>
        <v>5.3999999999999999E-2</v>
      </c>
      <c r="AE33" s="172">
        <f t="shared" si="59"/>
        <v>3.2000000000000001E-2</v>
      </c>
      <c r="AF33" s="175">
        <f t="shared" si="59"/>
        <v>5.5E-2</v>
      </c>
      <c r="AG33" s="175">
        <f t="shared" si="59"/>
        <v>4.5999999999999999E-2</v>
      </c>
      <c r="AH33" s="175">
        <f t="shared" si="59"/>
        <v>3.1E-2</v>
      </c>
      <c r="AI33" s="175">
        <f t="shared" si="59"/>
        <v>2.4E-2</v>
      </c>
      <c r="AJ33" s="172">
        <f t="shared" si="59"/>
        <v>3.6999999999999998E-2</v>
      </c>
      <c r="AK33" s="175">
        <f t="shared" si="59"/>
        <v>3.5000000000000003E-2</v>
      </c>
      <c r="AL33" s="175">
        <f t="shared" si="59"/>
        <v>6.5000000000000002E-2</v>
      </c>
      <c r="AM33" s="175">
        <f t="shared" si="59"/>
        <v>5.5E-2</v>
      </c>
      <c r="AN33" s="175">
        <f t="shared" si="59"/>
        <v>7.5999999999999998E-2</v>
      </c>
      <c r="AO33" s="172">
        <f t="shared" si="59"/>
        <v>0.06</v>
      </c>
      <c r="AP33" s="175">
        <f t="shared" si="59"/>
        <v>2.5999999999999999E-2</v>
      </c>
      <c r="AQ33" s="175">
        <f t="shared" si="59"/>
        <v>0.105</v>
      </c>
      <c r="AR33" s="175">
        <f t="shared" si="59"/>
        <v>0.24399999999999999</v>
      </c>
      <c r="AS33" s="175">
        <f t="shared" si="59"/>
        <v>0.25700000000000001</v>
      </c>
      <c r="AT33" s="172">
        <f t="shared" si="59"/>
        <v>0.17</v>
      </c>
      <c r="AU33" s="175">
        <f t="shared" si="59"/>
        <v>0.40400000000000003</v>
      </c>
      <c r="AV33" s="175">
        <f t="shared" si="59"/>
        <v>0.29799999999999999</v>
      </c>
      <c r="AW33" s="175">
        <f t="shared" si="59"/>
        <v>0.16900000000000001</v>
      </c>
      <c r="AX33" s="175">
        <f t="shared" si="59"/>
        <v>0.108</v>
      </c>
      <c r="AY33" s="172">
        <f t="shared" si="59"/>
        <v>0.22</v>
      </c>
      <c r="AZ33" s="175">
        <f t="shared" si="59"/>
        <v>9.5000000000000001E-2</v>
      </c>
      <c r="BA33" s="175">
        <f t="shared" si="59"/>
        <v>0.113</v>
      </c>
      <c r="BB33" s="175">
        <f t="shared" si="59"/>
        <v>8.1000000000000003E-2</v>
      </c>
      <c r="BC33" s="175">
        <f t="shared" si="59"/>
        <v>-6.0000000000000001E-3</v>
      </c>
      <c r="BD33" s="172">
        <f t="shared" si="59"/>
        <v>6.5000000000000002E-2</v>
      </c>
      <c r="BE33" s="175">
        <f t="shared" si="59"/>
        <v>-0.06</v>
      </c>
      <c r="BF33" s="175">
        <f t="shared" si="59"/>
        <v>-0.11899999999999999</v>
      </c>
      <c r="BG33" s="175">
        <f t="shared" si="59"/>
        <v>-0.14599999999999999</v>
      </c>
      <c r="BH33" s="175">
        <f t="shared" si="59"/>
        <v>-6.8000000000000005E-2</v>
      </c>
      <c r="BI33" s="172">
        <f t="shared" si="59"/>
        <v>-9.9000000000000005E-2</v>
      </c>
      <c r="BJ33" s="1111">
        <f>BJ280</f>
        <v>-4.9000000000000002E-2</v>
      </c>
      <c r="BK33" s="175">
        <f t="shared" si="59"/>
        <v>-4.0023880323945705E-3</v>
      </c>
      <c r="BL33" s="175">
        <f t="shared" si="59"/>
        <v>-3.9171458094325986E-3</v>
      </c>
      <c r="BM33" s="175">
        <f t="shared" si="59"/>
        <v>-2.3880437879763459E-3</v>
      </c>
      <c r="BN33" s="172">
        <f t="shared" si="59"/>
        <v>-1.5233735641285575E-2</v>
      </c>
      <c r="BO33" s="175">
        <f t="shared" ref="BO33:CF33" si="60">BO280</f>
        <v>5.000000000000001E-2</v>
      </c>
      <c r="BP33" s="175">
        <f t="shared" si="60"/>
        <v>5.4316149336900564E-2</v>
      </c>
      <c r="BQ33" s="175">
        <f t="shared" si="60"/>
        <v>0.05</v>
      </c>
      <c r="BR33" s="175">
        <f t="shared" si="60"/>
        <v>0.05</v>
      </c>
      <c r="BS33" s="172">
        <f t="shared" si="60"/>
        <v>5.1032335011658096E-2</v>
      </c>
      <c r="BT33" s="172">
        <f t="shared" si="60"/>
        <v>7.9835173460049036E-2</v>
      </c>
      <c r="BU33" s="172">
        <f t="shared" si="60"/>
        <v>7.9939075463471038E-2</v>
      </c>
      <c r="BV33" s="172">
        <f t="shared" si="60"/>
        <v>8.0139729127937098E-2</v>
      </c>
      <c r="BW33" s="176"/>
    </row>
    <row r="34" spans="1:75" s="177" customFormat="1" ht="14.25" x14ac:dyDescent="0.45">
      <c r="A34" s="170" t="s">
        <v>191</v>
      </c>
      <c r="B34" s="171"/>
      <c r="C34" s="172"/>
      <c r="D34" s="172">
        <f>D30/C30-1</f>
        <v>0.12938843022086521</v>
      </c>
      <c r="E34" s="172">
        <f t="shared" ref="E34:F34" si="61">E30/D30-1</f>
        <v>6.1851377706142241E-2</v>
      </c>
      <c r="F34" s="172">
        <f t="shared" si="61"/>
        <v>8.6531600596093217E-2</v>
      </c>
      <c r="G34" s="175"/>
      <c r="H34" s="175"/>
      <c r="I34" s="175"/>
      <c r="J34" s="175"/>
      <c r="K34" s="172">
        <f t="shared" ref="K34:BS34" si="62">K30/F30-1</f>
        <v>8.5340117292913353E-2</v>
      </c>
      <c r="L34" s="175">
        <f t="shared" si="62"/>
        <v>9.7455756199538612E-2</v>
      </c>
      <c r="M34" s="175">
        <f t="shared" si="62"/>
        <v>5.7923517296217142E-2</v>
      </c>
      <c r="N34" s="175">
        <f t="shared" si="62"/>
        <v>8.7122984400141545E-2</v>
      </c>
      <c r="O34" s="175">
        <f t="shared" si="62"/>
        <v>5.1694577733161218E-2</v>
      </c>
      <c r="P34" s="172">
        <f t="shared" si="62"/>
        <v>7.0838163864218151E-2</v>
      </c>
      <c r="Q34" s="175">
        <f t="shared" si="62"/>
        <v>5.783050917040411E-2</v>
      </c>
      <c r="R34" s="175">
        <f t="shared" si="62"/>
        <v>8.461729454856215E-2</v>
      </c>
      <c r="S34" s="175">
        <f t="shared" si="62"/>
        <v>7.778425105103226E-2</v>
      </c>
      <c r="T34" s="175">
        <f t="shared" si="62"/>
        <v>2.8648131636540564E-2</v>
      </c>
      <c r="U34" s="172">
        <f t="shared" si="62"/>
        <v>5.9031195523716162E-2</v>
      </c>
      <c r="V34" s="175">
        <f t="shared" si="62"/>
        <v>6.5142683054616679E-2</v>
      </c>
      <c r="W34" s="175">
        <f t="shared" si="62"/>
        <v>2.8394148148936926E-2</v>
      </c>
      <c r="X34" s="175">
        <f t="shared" si="62"/>
        <v>1.0797170967516756E-2</v>
      </c>
      <c r="Y34" s="175">
        <f t="shared" si="62"/>
        <v>-2.9773612119746717E-3</v>
      </c>
      <c r="Z34" s="172">
        <f t="shared" si="62"/>
        <v>2.1647920355138295E-2</v>
      </c>
      <c r="AA34" s="175">
        <f t="shared" si="62"/>
        <v>1.2470202228604732E-2</v>
      </c>
      <c r="AB34" s="175">
        <f t="shared" si="62"/>
        <v>3.6735060123603391E-2</v>
      </c>
      <c r="AC34" s="175">
        <f t="shared" si="62"/>
        <v>4.3320740172717587E-2</v>
      </c>
      <c r="AD34" s="175">
        <f t="shared" si="62"/>
        <v>6.2171333621231062E-2</v>
      </c>
      <c r="AE34" s="172">
        <f t="shared" si="62"/>
        <v>4.1021776572383262E-2</v>
      </c>
      <c r="AF34" s="175">
        <f t="shared" si="62"/>
        <v>8.2314371389473839E-2</v>
      </c>
      <c r="AG34" s="175">
        <f t="shared" si="62"/>
        <v>6.1224727572931625E-2</v>
      </c>
      <c r="AH34" s="175">
        <f t="shared" si="62"/>
        <v>4.436650720060098E-2</v>
      </c>
      <c r="AI34" s="175">
        <f t="shared" si="62"/>
        <v>9.3175229625396261E-2</v>
      </c>
      <c r="AJ34" s="172">
        <f t="shared" si="62"/>
        <v>7.1656892512393711E-2</v>
      </c>
      <c r="AK34" s="175">
        <f t="shared" si="62"/>
        <v>3.1697423108894451E-2</v>
      </c>
      <c r="AL34" s="175">
        <f t="shared" si="62"/>
        <v>7.5001529203073458E-2</v>
      </c>
      <c r="AM34" s="175">
        <f t="shared" si="62"/>
        <v>6.2999315393044819E-2</v>
      </c>
      <c r="AN34" s="175">
        <f t="shared" si="62"/>
        <v>3.8955890649063907E-3</v>
      </c>
      <c r="AO34" s="172">
        <f t="shared" si="62"/>
        <v>3.9920882898332177E-2</v>
      </c>
      <c r="AP34" s="175">
        <f t="shared" si="62"/>
        <v>-4.7770905914923389E-3</v>
      </c>
      <c r="AQ34" s="175">
        <f t="shared" si="62"/>
        <v>8.7512237254653069E-2</v>
      </c>
      <c r="AR34" s="175">
        <f t="shared" si="62"/>
        <v>0.22327227148949857</v>
      </c>
      <c r="AS34" s="175">
        <f t="shared" si="62"/>
        <v>0.24359157947265953</v>
      </c>
      <c r="AT34" s="172">
        <f t="shared" si="62"/>
        <v>0.15008134949969554</v>
      </c>
      <c r="AU34" s="175">
        <f t="shared" si="62"/>
        <v>0.41598506480311337</v>
      </c>
      <c r="AV34" s="175">
        <f t="shared" si="62"/>
        <v>0.30692853458297242</v>
      </c>
      <c r="AW34" s="175">
        <f t="shared" si="62"/>
        <v>0.16038380628108451</v>
      </c>
      <c r="AX34" s="175">
        <f t="shared" si="62"/>
        <v>9.0879074338119148E-2</v>
      </c>
      <c r="AY34" s="172">
        <f t="shared" si="62"/>
        <v>0.21564296675206895</v>
      </c>
      <c r="AZ34" s="175">
        <f t="shared" si="62"/>
        <v>8.1301110501884155E-2</v>
      </c>
      <c r="BA34" s="175">
        <f t="shared" si="62"/>
        <v>9.7107330911099021E-2</v>
      </c>
      <c r="BB34" s="175">
        <f t="shared" si="62"/>
        <v>7.0833815619629314E-2</v>
      </c>
      <c r="BC34" s="175">
        <f t="shared" si="62"/>
        <v>-1.9172108760034279E-2</v>
      </c>
      <c r="BD34" s="172">
        <f t="shared" si="62"/>
        <v>5.1962688044146832E-2</v>
      </c>
      <c r="BE34" s="175">
        <f t="shared" si="62"/>
        <v>-7.1792545262943097E-2</v>
      </c>
      <c r="BF34" s="175">
        <f t="shared" si="62"/>
        <v>-0.12861672102050159</v>
      </c>
      <c r="BG34" s="175">
        <f t="shared" si="62"/>
        <v>-0.15457813510513208</v>
      </c>
      <c r="BH34" s="175">
        <f t="shared" si="62"/>
        <v>-7.098915281570628E-2</v>
      </c>
      <c r="BI34" s="172">
        <f t="shared" si="62"/>
        <v>-0.1064930357855749</v>
      </c>
      <c r="BJ34" s="1111">
        <f>BJ30/BE30-1</f>
        <v>-5.4175821484051756E-2</v>
      </c>
      <c r="BK34" s="175">
        <f t="shared" si="62"/>
        <v>-7.3792174913523967E-3</v>
      </c>
      <c r="BL34" s="175">
        <f t="shared" si="62"/>
        <v>-1.2132339592719865E-2</v>
      </c>
      <c r="BM34" s="175">
        <f t="shared" si="62"/>
        <v>4.5968467167204485E-2</v>
      </c>
      <c r="BN34" s="172">
        <f t="shared" si="62"/>
        <v>-3.4290669267379448E-3</v>
      </c>
      <c r="BO34" s="175">
        <f t="shared" si="62"/>
        <v>4.6880567536761841E-2</v>
      </c>
      <c r="BP34" s="175">
        <f t="shared" si="62"/>
        <v>4.5721543523835173E-2</v>
      </c>
      <c r="BQ34" s="175">
        <f t="shared" si="62"/>
        <v>4.1531103674238068E-2</v>
      </c>
      <c r="BR34" s="175">
        <f t="shared" si="62"/>
        <v>-1.9038924409581215E-2</v>
      </c>
      <c r="BS34" s="172">
        <f t="shared" si="62"/>
        <v>2.49917757820175E-2</v>
      </c>
      <c r="BT34" s="172">
        <f>BT30/BS30-1</f>
        <v>6.4693371778806075E-2</v>
      </c>
      <c r="BU34" s="172">
        <f>BU30/BT30-1</f>
        <v>7.1853339775718839E-2</v>
      </c>
      <c r="BV34" s="172">
        <f>BV30/BU30-1</f>
        <v>7.2002430608444135E-2</v>
      </c>
      <c r="BW34" s="176"/>
    </row>
    <row r="35" spans="1:75" s="162" customFormat="1" ht="14.45" customHeight="1" x14ac:dyDescent="0.45">
      <c r="A35" s="178"/>
      <c r="B35" s="179"/>
      <c r="C35" s="180"/>
      <c r="D35" s="180"/>
      <c r="E35" s="180"/>
      <c r="F35" s="180"/>
      <c r="G35" s="183"/>
      <c r="H35" s="183"/>
      <c r="I35" s="183"/>
      <c r="J35" s="183"/>
      <c r="K35" s="180"/>
      <c r="L35" s="183"/>
      <c r="M35" s="183"/>
      <c r="N35" s="183"/>
      <c r="O35" s="183"/>
      <c r="P35" s="180"/>
      <c r="Q35" s="183"/>
      <c r="R35" s="183"/>
      <c r="S35" s="183"/>
      <c r="T35" s="183"/>
      <c r="U35" s="180"/>
      <c r="V35" s="183"/>
      <c r="W35" s="183"/>
      <c r="X35" s="183"/>
      <c r="Y35" s="183"/>
      <c r="Z35" s="180"/>
      <c r="AA35" s="183"/>
      <c r="AB35" s="183"/>
      <c r="AC35" s="183"/>
      <c r="AD35" s="183"/>
      <c r="AE35" s="180"/>
      <c r="AF35" s="183"/>
      <c r="AG35" s="183"/>
      <c r="AH35" s="183"/>
      <c r="AI35" s="183"/>
      <c r="AJ35" s="180"/>
      <c r="AK35" s="183"/>
      <c r="AL35" s="183"/>
      <c r="AM35" s="183"/>
      <c r="AN35" s="183"/>
      <c r="AO35" s="180"/>
      <c r="AP35" s="183"/>
      <c r="AQ35" s="183"/>
      <c r="AR35" s="183"/>
      <c r="AS35" s="183"/>
      <c r="AT35" s="180"/>
      <c r="AU35" s="183"/>
      <c r="AV35" s="183"/>
      <c r="AW35" s="183"/>
      <c r="AX35" s="183"/>
      <c r="AY35" s="180"/>
      <c r="AZ35" s="183"/>
      <c r="BA35" s="183"/>
      <c r="BB35" s="183"/>
      <c r="BC35" s="183"/>
      <c r="BD35" s="180"/>
      <c r="BE35" s="183"/>
      <c r="BF35" s="183"/>
      <c r="BG35" s="183"/>
      <c r="BH35" s="183"/>
      <c r="BI35" s="180"/>
      <c r="BJ35" s="1112"/>
      <c r="BK35" s="183"/>
      <c r="BL35" s="183"/>
      <c r="BM35" s="183"/>
      <c r="BN35" s="180"/>
      <c r="BO35" s="183"/>
      <c r="BP35" s="183"/>
      <c r="BQ35" s="183"/>
      <c r="BR35" s="183"/>
      <c r="BS35" s="180"/>
      <c r="BT35" s="180"/>
      <c r="BU35" s="180"/>
      <c r="BV35" s="180"/>
      <c r="BW35" s="161"/>
    </row>
    <row r="36" spans="1:75" s="217" customFormat="1" x14ac:dyDescent="0.5">
      <c r="A36" s="211" t="s">
        <v>1660</v>
      </c>
      <c r="B36" s="212"/>
      <c r="C36" s="213">
        <f t="shared" ref="C36:AJ36" si="63">C397</f>
        <v>0.39471054924994459</v>
      </c>
      <c r="D36" s="213">
        <f t="shared" si="63"/>
        <v>0.41452811203147799</v>
      </c>
      <c r="E36" s="213">
        <f t="shared" si="63"/>
        <v>0.43882211134686677</v>
      </c>
      <c r="F36" s="213">
        <f t="shared" si="63"/>
        <v>0.46239082631892692</v>
      </c>
      <c r="G36" s="214">
        <f t="shared" si="63"/>
        <v>0.47204350490196079</v>
      </c>
      <c r="H36" s="214">
        <f t="shared" si="63"/>
        <v>0.48630892203186898</v>
      </c>
      <c r="I36" s="214">
        <f t="shared" si="63"/>
        <v>0.48678139276571303</v>
      </c>
      <c r="J36" s="214">
        <f t="shared" si="63"/>
        <v>0.48175369154429709</v>
      </c>
      <c r="K36" s="213">
        <f t="shared" si="63"/>
        <v>0.48201356050711397</v>
      </c>
      <c r="L36" s="214">
        <f t="shared" si="63"/>
        <v>0.50423265218149904</v>
      </c>
      <c r="M36" s="214">
        <f t="shared" si="63"/>
        <v>0.50292367832994256</v>
      </c>
      <c r="N36" s="214">
        <f t="shared" si="63"/>
        <v>0.51346703266903548</v>
      </c>
      <c r="O36" s="214">
        <f t="shared" si="63"/>
        <v>0.49920726270568205</v>
      </c>
      <c r="P36" s="213">
        <f t="shared" si="63"/>
        <v>0.50454049284496472</v>
      </c>
      <c r="Q36" s="214">
        <f t="shared" si="63"/>
        <v>0.51672203485867529</v>
      </c>
      <c r="R36" s="214">
        <f t="shared" si="63"/>
        <v>0.50567776488250515</v>
      </c>
      <c r="S36" s="214">
        <f t="shared" si="63"/>
        <v>0.50986135663048404</v>
      </c>
      <c r="T36" s="214">
        <f t="shared" si="63"/>
        <v>0.49921263515694336</v>
      </c>
      <c r="U36" s="213">
        <f t="shared" si="63"/>
        <v>0.50694018797891516</v>
      </c>
      <c r="V36" s="214">
        <f t="shared" si="63"/>
        <v>0.52489076048193828</v>
      </c>
      <c r="W36" s="214">
        <f t="shared" si="63"/>
        <v>0.51740120393881428</v>
      </c>
      <c r="X36" s="214">
        <f t="shared" si="63"/>
        <v>0.52091762788214091</v>
      </c>
      <c r="Y36" s="214">
        <f t="shared" si="63"/>
        <v>0.51147680706837018</v>
      </c>
      <c r="Z36" s="213">
        <f t="shared" si="63"/>
        <v>0.51803685895544527</v>
      </c>
      <c r="AA36" s="214">
        <f t="shared" si="63"/>
        <v>0.52227291416068455</v>
      </c>
      <c r="AB36" s="214">
        <f t="shared" si="63"/>
        <v>0.52495826418975933</v>
      </c>
      <c r="AC36" s="214">
        <f t="shared" si="63"/>
        <v>0.53107510297567373</v>
      </c>
      <c r="AD36" s="214">
        <f t="shared" si="63"/>
        <v>0.52211666101160159</v>
      </c>
      <c r="AE36" s="213">
        <f t="shared" si="63"/>
        <v>0.52499405274661071</v>
      </c>
      <c r="AF36" s="214">
        <f t="shared" si="63"/>
        <v>0.53714048212801324</v>
      </c>
      <c r="AG36" s="214">
        <f t="shared" si="63"/>
        <v>0.53870452189269857</v>
      </c>
      <c r="AH36" s="214">
        <f t="shared" si="63"/>
        <v>0.550276606265517</v>
      </c>
      <c r="AI36" s="214">
        <f t="shared" si="63"/>
        <v>0.54574512806327047</v>
      </c>
      <c r="AJ36" s="213">
        <f t="shared" si="63"/>
        <v>0.54342122222098799</v>
      </c>
      <c r="AK36" s="214"/>
      <c r="AL36" s="214">
        <f>AL397</f>
        <v>0.56610226048872347</v>
      </c>
      <c r="AM36" s="214"/>
      <c r="AN36" s="214"/>
      <c r="AO36" s="213">
        <f t="shared" ref="AO36:BD36" si="64">AO397</f>
        <v>0.56200000000000006</v>
      </c>
      <c r="AP36" s="214">
        <f t="shared" si="64"/>
        <v>0.62758548999638097</v>
      </c>
      <c r="AQ36" s="214">
        <f t="shared" si="64"/>
        <v>0.76</v>
      </c>
      <c r="AR36" s="214">
        <f t="shared" si="64"/>
        <v>0.7</v>
      </c>
      <c r="AS36" s="214">
        <f t="shared" si="64"/>
        <v>0.7</v>
      </c>
      <c r="AT36" s="213">
        <f t="shared" si="64"/>
        <v>0.7</v>
      </c>
      <c r="AU36" s="214">
        <f t="shared" si="64"/>
        <v>0.65</v>
      </c>
      <c r="AV36" s="214">
        <f t="shared" si="64"/>
        <v>0.65</v>
      </c>
      <c r="AW36" s="214">
        <f t="shared" si="64"/>
        <v>0.67</v>
      </c>
      <c r="AX36" s="214">
        <f t="shared" si="64"/>
        <v>0.66659660083909467</v>
      </c>
      <c r="AY36" s="213">
        <f t="shared" si="64"/>
        <v>0.66</v>
      </c>
      <c r="AZ36" s="214">
        <f t="shared" si="64"/>
        <v>0.65</v>
      </c>
      <c r="BA36" s="214">
        <f t="shared" si="64"/>
        <v>0.65400000000000003</v>
      </c>
      <c r="BB36" s="214">
        <f t="shared" si="64"/>
        <v>0.65</v>
      </c>
      <c r="BC36" s="214">
        <f t="shared" si="64"/>
        <v>0.68187586783792919</v>
      </c>
      <c r="BD36" s="213">
        <f t="shared" si="64"/>
        <v>0.66</v>
      </c>
      <c r="BE36" s="214"/>
      <c r="BF36" s="214">
        <f>BF397</f>
        <v>0.66</v>
      </c>
      <c r="BG36" s="214"/>
      <c r="BH36" s="214"/>
      <c r="BI36" s="213">
        <f t="shared" ref="BI36" si="65">BI397</f>
        <v>0.66</v>
      </c>
      <c r="BJ36" s="1117"/>
      <c r="BK36" s="214"/>
      <c r="BL36" s="214"/>
      <c r="BM36" s="214"/>
      <c r="BN36" s="213"/>
      <c r="BO36" s="214"/>
      <c r="BP36" s="214"/>
      <c r="BQ36" s="214"/>
      <c r="BR36" s="214"/>
      <c r="BS36" s="213"/>
      <c r="BT36" s="213"/>
      <c r="BU36" s="213"/>
      <c r="BV36" s="213"/>
      <c r="BW36" s="216"/>
    </row>
    <row r="37" spans="1:75" s="177" customFormat="1" ht="14.25" x14ac:dyDescent="0.45">
      <c r="A37" s="170" t="s">
        <v>1661</v>
      </c>
      <c r="B37" s="171"/>
      <c r="C37" s="172"/>
      <c r="D37" s="172">
        <f>D390</f>
        <v>0.18609258004197038</v>
      </c>
      <c r="E37" s="172">
        <f>E390</f>
        <v>0.12408266165119519</v>
      </c>
      <c r="F37" s="172">
        <f>F390</f>
        <v>0.14488817138052101</v>
      </c>
      <c r="G37" s="175"/>
      <c r="H37" s="175"/>
      <c r="I37" s="175"/>
      <c r="J37" s="175"/>
      <c r="K37" s="172">
        <f t="shared" ref="K37:AJ37" si="66">K390</f>
        <v>0.13139929367182601</v>
      </c>
      <c r="L37" s="175">
        <f t="shared" si="66"/>
        <v>0.17229242824827473</v>
      </c>
      <c r="M37" s="175">
        <f t="shared" si="66"/>
        <v>9.4067500319266806E-2</v>
      </c>
      <c r="N37" s="175">
        <f t="shared" si="66"/>
        <v>0.14671970055130745</v>
      </c>
      <c r="O37" s="175">
        <f t="shared" si="66"/>
        <v>8.9796675287759031E-2</v>
      </c>
      <c r="P37" s="172">
        <f t="shared" si="66"/>
        <v>0.12088384896232762</v>
      </c>
      <c r="Q37" s="175">
        <f t="shared" si="66"/>
        <v>8.4032005601590853E-2</v>
      </c>
      <c r="R37" s="175">
        <f t="shared" si="66"/>
        <v>9.0556823813742637E-2</v>
      </c>
      <c r="S37" s="175">
        <f t="shared" si="66"/>
        <v>7.0215818023224186E-2</v>
      </c>
      <c r="T37" s="175">
        <f t="shared" si="66"/>
        <v>2.8659201912085708E-2</v>
      </c>
      <c r="U37" s="172">
        <f t="shared" si="66"/>
        <v>6.4068158944174058E-2</v>
      </c>
      <c r="V37" s="175">
        <f t="shared" si="66"/>
        <v>8.1981249518845445E-2</v>
      </c>
      <c r="W37" s="175">
        <f t="shared" si="66"/>
        <v>5.2236043045166491E-2</v>
      </c>
      <c r="X37" s="175">
        <f t="shared" si="66"/>
        <v>3.2716164351288102E-2</v>
      </c>
      <c r="Y37" s="175">
        <f t="shared" si="66"/>
        <v>2.1516524119747027E-2</v>
      </c>
      <c r="Z37" s="172">
        <f t="shared" si="66"/>
        <v>4.4011290028462824E-2</v>
      </c>
      <c r="AA37" s="175">
        <f t="shared" si="66"/>
        <v>7.4205964937854585E-3</v>
      </c>
      <c r="AB37" s="175">
        <f t="shared" si="66"/>
        <v>5.1877408564191541E-2</v>
      </c>
      <c r="AC37" s="175">
        <f t="shared" si="66"/>
        <v>6.3664656111896312E-2</v>
      </c>
      <c r="AD37" s="175">
        <f t="shared" si="66"/>
        <v>8.4266857203606493E-2</v>
      </c>
      <c r="AE37" s="172">
        <f t="shared" si="66"/>
        <v>5.5002616188778664E-2</v>
      </c>
      <c r="AF37" s="175">
        <f t="shared" si="66"/>
        <v>0.11312466624175288</v>
      </c>
      <c r="AG37" s="175">
        <f t="shared" si="66"/>
        <v>8.9013353033404075E-2</v>
      </c>
      <c r="AH37" s="175">
        <f t="shared" si="66"/>
        <v>8.2126527980059372E-2</v>
      </c>
      <c r="AI37" s="175">
        <f t="shared" si="66"/>
        <v>0.1426470370273254</v>
      </c>
      <c r="AJ37" s="172">
        <f t="shared" si="66"/>
        <v>0.10927180085925392</v>
      </c>
      <c r="AK37" s="175"/>
      <c r="AL37" s="175">
        <f>AL390</f>
        <v>0.12967456365979824</v>
      </c>
      <c r="AM37" s="175"/>
      <c r="AN37" s="175"/>
      <c r="AO37" s="172">
        <f>AO390</f>
        <v>7.547425880838321E-2</v>
      </c>
      <c r="AP37" s="175"/>
      <c r="AQ37" s="175">
        <f>AQ390</f>
        <v>0.46</v>
      </c>
      <c r="AR37" s="175"/>
      <c r="AS37" s="175"/>
      <c r="AT37" s="172">
        <f t="shared" ref="AT37:BD37" si="67">AT390</f>
        <v>0.43248566663663102</v>
      </c>
      <c r="AU37" s="175">
        <f t="shared" si="67"/>
        <v>0.46655763524317884</v>
      </c>
      <c r="AV37" s="175">
        <f t="shared" si="67"/>
        <v>0.11776782563017396</v>
      </c>
      <c r="AW37" s="175">
        <f t="shared" si="67"/>
        <v>0.11065307172618111</v>
      </c>
      <c r="AX37" s="175">
        <f t="shared" si="67"/>
        <v>3.8823261257554753E-2</v>
      </c>
      <c r="AY37" s="172">
        <f t="shared" si="67"/>
        <v>0.14617765436623653</v>
      </c>
      <c r="AZ37" s="175">
        <f t="shared" si="67"/>
        <v>8.1301110501884155E-2</v>
      </c>
      <c r="BA37" s="175">
        <f t="shared" si="67"/>
        <v>0.10385876063978272</v>
      </c>
      <c r="BB37" s="175">
        <f t="shared" si="67"/>
        <v>3.8868627093670227E-2</v>
      </c>
      <c r="BC37" s="175">
        <f t="shared" si="67"/>
        <v>3.3097509003583436E-3</v>
      </c>
      <c r="BD37" s="172">
        <f t="shared" si="67"/>
        <v>5.1962688044146832E-2</v>
      </c>
      <c r="BE37" s="214"/>
      <c r="BF37" s="175">
        <f>BF390</f>
        <v>-0.12062237901151529</v>
      </c>
      <c r="BG37" s="175"/>
      <c r="BH37" s="175"/>
      <c r="BI37" s="172">
        <f t="shared" ref="BI37" si="68">BI390</f>
        <v>-0.1064930357855749</v>
      </c>
      <c r="BJ37" s="1117"/>
      <c r="BK37" s="175"/>
      <c r="BL37" s="175"/>
      <c r="BM37" s="175"/>
      <c r="BN37" s="172"/>
      <c r="BO37" s="175"/>
      <c r="BP37" s="175"/>
      <c r="BQ37" s="175"/>
      <c r="BR37" s="175"/>
      <c r="BS37" s="172"/>
      <c r="BT37" s="172"/>
      <c r="BU37" s="172"/>
      <c r="BV37" s="172"/>
      <c r="BW37" s="176"/>
    </row>
    <row r="38" spans="1:75" s="162" customFormat="1" ht="14.25" x14ac:dyDescent="0.45">
      <c r="A38" s="178"/>
      <c r="B38" s="179"/>
      <c r="C38" s="180"/>
      <c r="D38" s="180"/>
      <c r="E38" s="180"/>
      <c r="F38" s="180"/>
      <c r="G38" s="183"/>
      <c r="H38" s="183"/>
      <c r="I38" s="183"/>
      <c r="J38" s="183"/>
      <c r="K38" s="180"/>
      <c r="L38" s="183"/>
      <c r="M38" s="183"/>
      <c r="N38" s="183"/>
      <c r="O38" s="183"/>
      <c r="P38" s="180"/>
      <c r="Q38" s="183"/>
      <c r="R38" s="183"/>
      <c r="S38" s="183"/>
      <c r="T38" s="183"/>
      <c r="U38" s="180"/>
      <c r="V38" s="183"/>
      <c r="W38" s="183"/>
      <c r="X38" s="183"/>
      <c r="Y38" s="183"/>
      <c r="Z38" s="180"/>
      <c r="AA38" s="183"/>
      <c r="AB38" s="183"/>
      <c r="AC38" s="183"/>
      <c r="AD38" s="183"/>
      <c r="AE38" s="180"/>
      <c r="AF38" s="183"/>
      <c r="AG38" s="183"/>
      <c r="AH38" s="183"/>
      <c r="AI38" s="183"/>
      <c r="AJ38" s="180"/>
      <c r="AK38" s="183"/>
      <c r="AL38" s="183"/>
      <c r="AM38" s="183"/>
      <c r="AN38" s="183"/>
      <c r="AO38" s="180"/>
      <c r="AP38" s="183"/>
      <c r="AQ38" s="183"/>
      <c r="AR38" s="183"/>
      <c r="AS38" s="183"/>
      <c r="AT38" s="180"/>
      <c r="AU38" s="183"/>
      <c r="AV38" s="183"/>
      <c r="AW38" s="183"/>
      <c r="AX38" s="183"/>
      <c r="AY38" s="180"/>
      <c r="AZ38" s="183"/>
      <c r="BA38" s="183"/>
      <c r="BB38" s="183"/>
      <c r="BC38" s="183"/>
      <c r="BD38" s="180"/>
      <c r="BE38" s="183"/>
      <c r="BF38" s="183"/>
      <c r="BG38" s="183"/>
      <c r="BH38" s="183"/>
      <c r="BI38" s="180"/>
      <c r="BJ38" s="1112"/>
      <c r="BK38" s="183"/>
      <c r="BL38" s="183"/>
      <c r="BM38" s="183"/>
      <c r="BN38" s="180"/>
      <c r="BO38" s="183"/>
      <c r="BP38" s="183"/>
      <c r="BQ38" s="183"/>
      <c r="BR38" s="183"/>
      <c r="BS38" s="180"/>
      <c r="BT38" s="180"/>
      <c r="BU38" s="180"/>
      <c r="BV38" s="180"/>
      <c r="BW38" s="161"/>
    </row>
    <row r="39" spans="1:75" s="198" customFormat="1" ht="14.25" x14ac:dyDescent="0.45">
      <c r="A39" s="206" t="s">
        <v>192</v>
      </c>
      <c r="B39" s="207"/>
      <c r="C39" s="208">
        <f t="shared" ref="C39:BN39" si="69">C323</f>
        <v>1103.2370000000001</v>
      </c>
      <c r="D39" s="208">
        <f t="shared" si="69"/>
        <v>1373.8589999999999</v>
      </c>
      <c r="E39" s="208">
        <f t="shared" si="69"/>
        <v>1459.8559999999998</v>
      </c>
      <c r="F39" s="208">
        <f t="shared" si="69"/>
        <v>1592.4760000000001</v>
      </c>
      <c r="G39" s="209">
        <f t="shared" si="69"/>
        <v>334.18499999999995</v>
      </c>
      <c r="H39" s="209">
        <f t="shared" si="69"/>
        <v>368.92399999999998</v>
      </c>
      <c r="I39" s="209">
        <f t="shared" si="69"/>
        <v>405.38800000000003</v>
      </c>
      <c r="J39" s="209">
        <f t="shared" si="69"/>
        <v>595.71900000000005</v>
      </c>
      <c r="K39" s="208">
        <f t="shared" si="69"/>
        <v>1704.2160000000003</v>
      </c>
      <c r="L39" s="209">
        <f t="shared" si="69"/>
        <v>368.40800000000002</v>
      </c>
      <c r="M39" s="209">
        <f t="shared" si="69"/>
        <v>382.09800000000007</v>
      </c>
      <c r="N39" s="209">
        <f t="shared" si="69"/>
        <v>431.40700000000004</v>
      </c>
      <c r="O39" s="209">
        <f t="shared" si="69"/>
        <v>618.59100000000001</v>
      </c>
      <c r="P39" s="208">
        <f t="shared" si="69"/>
        <v>1800.5039999999999</v>
      </c>
      <c r="Q39" s="209">
        <f t="shared" si="69"/>
        <v>378.84099999999989</v>
      </c>
      <c r="R39" s="209">
        <f t="shared" si="69"/>
        <v>406.625</v>
      </c>
      <c r="S39" s="209">
        <f t="shared" si="69"/>
        <v>451.1880000000001</v>
      </c>
      <c r="T39" s="209">
        <f t="shared" si="69"/>
        <v>607.56000000000006</v>
      </c>
      <c r="U39" s="208">
        <f t="shared" si="69"/>
        <v>1844.2139999999999</v>
      </c>
      <c r="V39" s="209">
        <f t="shared" si="69"/>
        <v>392.51700000000005</v>
      </c>
      <c r="W39" s="209">
        <f t="shared" si="69"/>
        <v>410.53899999999999</v>
      </c>
      <c r="X39" s="209">
        <f t="shared" si="69"/>
        <v>458.22299999999996</v>
      </c>
      <c r="Y39" s="209">
        <f t="shared" si="69"/>
        <v>622.03099999999995</v>
      </c>
      <c r="Z39" s="208">
        <f t="shared" si="69"/>
        <v>1883.31</v>
      </c>
      <c r="AA39" s="209">
        <f t="shared" si="69"/>
        <v>395.7600000000001</v>
      </c>
      <c r="AB39" s="209">
        <f t="shared" si="69"/>
        <v>422.71100000000001</v>
      </c>
      <c r="AC39" s="209">
        <f t="shared" si="69"/>
        <v>467.06700000000001</v>
      </c>
      <c r="AD39" s="209">
        <f t="shared" si="69"/>
        <v>646.52300000000002</v>
      </c>
      <c r="AE39" s="208">
        <f t="shared" si="69"/>
        <v>1932.0610000000001</v>
      </c>
      <c r="AF39" s="209">
        <f t="shared" si="69"/>
        <v>432.74599999999998</v>
      </c>
      <c r="AG39" s="209">
        <f t="shared" si="69"/>
        <v>464.93</v>
      </c>
      <c r="AH39" s="209">
        <f t="shared" si="69"/>
        <v>495.0499999999999</v>
      </c>
      <c r="AI39" s="209">
        <f t="shared" si="69"/>
        <v>711.01399999999978</v>
      </c>
      <c r="AJ39" s="208">
        <f t="shared" si="69"/>
        <v>2103.7399999999998</v>
      </c>
      <c r="AK39" s="209">
        <f t="shared" si="69"/>
        <v>444.89600000000002</v>
      </c>
      <c r="AL39" s="209">
        <f t="shared" si="69"/>
        <v>484.74000000000012</v>
      </c>
      <c r="AM39" s="209">
        <f t="shared" si="69"/>
        <v>518.89800000000002</v>
      </c>
      <c r="AN39" s="209">
        <f t="shared" si="69"/>
        <v>693.62300000000005</v>
      </c>
      <c r="AO39" s="208">
        <f t="shared" si="69"/>
        <v>2142.1569999999997</v>
      </c>
      <c r="AP39" s="209">
        <f t="shared" si="69"/>
        <v>425.63799999999998</v>
      </c>
      <c r="AQ39" s="209">
        <f t="shared" si="69"/>
        <v>551.202</v>
      </c>
      <c r="AR39" s="209">
        <f t="shared" si="69"/>
        <v>705.58300000000008</v>
      </c>
      <c r="AS39" s="209">
        <f t="shared" si="69"/>
        <v>965.22400000000061</v>
      </c>
      <c r="AT39" s="208">
        <f t="shared" si="69"/>
        <v>2647.6470000000004</v>
      </c>
      <c r="AU39" s="209">
        <f t="shared" si="69"/>
        <v>752.85299999999995</v>
      </c>
      <c r="AV39" s="209">
        <f t="shared" si="69"/>
        <v>858.38799999999992</v>
      </c>
      <c r="AW39" s="209">
        <f t="shared" si="69"/>
        <v>895.4849999999999</v>
      </c>
      <c r="AX39" s="209">
        <f t="shared" si="69"/>
        <v>1125.2369999999996</v>
      </c>
      <c r="AY39" s="208">
        <f t="shared" si="69"/>
        <v>3631.9629999999997</v>
      </c>
      <c r="AZ39" s="209">
        <f t="shared" si="69"/>
        <v>828.548</v>
      </c>
      <c r="BA39" s="209">
        <f t="shared" si="69"/>
        <v>928.80899999999974</v>
      </c>
      <c r="BB39" s="209">
        <f t="shared" si="69"/>
        <v>910.52600000000007</v>
      </c>
      <c r="BC39" s="209">
        <f t="shared" si="69"/>
        <v>1009.8499999999995</v>
      </c>
      <c r="BD39" s="208">
        <f t="shared" si="69"/>
        <v>3677.7329999999993</v>
      </c>
      <c r="BE39" s="209">
        <f t="shared" si="69"/>
        <v>677.19999999999993</v>
      </c>
      <c r="BF39" s="209">
        <f t="shared" si="69"/>
        <v>757.56700000000001</v>
      </c>
      <c r="BG39" s="209">
        <f t="shared" si="69"/>
        <v>822.36000000000013</v>
      </c>
      <c r="BH39" s="209">
        <f t="shared" si="69"/>
        <v>1048.6149999999998</v>
      </c>
      <c r="BI39" s="208">
        <f t="shared" si="69"/>
        <v>3305.7419999999997</v>
      </c>
      <c r="BJ39" s="1114">
        <f t="shared" si="69"/>
        <v>802.51499999999999</v>
      </c>
      <c r="BK39" s="209">
        <f t="shared" si="69"/>
        <v>775.0887746365695</v>
      </c>
      <c r="BL39" s="209">
        <f t="shared" si="69"/>
        <v>839.69649994619886</v>
      </c>
      <c r="BM39" s="209">
        <f t="shared" si="69"/>
        <v>1127.2070047975881</v>
      </c>
      <c r="BN39" s="208">
        <f t="shared" si="69"/>
        <v>3544.5072793803565</v>
      </c>
      <c r="BO39" s="209">
        <f t="shared" ref="BO39:CF39" si="70">BO323</f>
        <v>801.92594351812795</v>
      </c>
      <c r="BP39" s="209">
        <f t="shared" si="70"/>
        <v>819.4348021951472</v>
      </c>
      <c r="BQ39" s="209">
        <f t="shared" si="70"/>
        <v>888.34203360833544</v>
      </c>
      <c r="BR39" s="209">
        <f t="shared" si="70"/>
        <v>1102.6197351018366</v>
      </c>
      <c r="BS39" s="208">
        <f t="shared" si="70"/>
        <v>3612.3225144234466</v>
      </c>
      <c r="BT39" s="208">
        <f t="shared" si="70"/>
        <v>3878.2090863914882</v>
      </c>
      <c r="BU39" s="208">
        <f t="shared" si="70"/>
        <v>4196.1542132726854</v>
      </c>
      <c r="BV39" s="208">
        <f t="shared" si="70"/>
        <v>4539.0661555918487</v>
      </c>
      <c r="BW39" s="197"/>
    </row>
    <row r="40" spans="1:75" s="205" customFormat="1" ht="14.25" x14ac:dyDescent="0.45">
      <c r="A40" s="199" t="s">
        <v>193</v>
      </c>
      <c r="B40" s="200"/>
      <c r="C40" s="201"/>
      <c r="D40" s="201"/>
      <c r="E40" s="201"/>
      <c r="F40" s="201"/>
      <c r="G40" s="202"/>
      <c r="H40" s="202"/>
      <c r="I40" s="202"/>
      <c r="J40" s="202"/>
      <c r="K40" s="201"/>
      <c r="L40" s="202"/>
      <c r="M40" s="202"/>
      <c r="N40" s="202"/>
      <c r="O40" s="202"/>
      <c r="P40" s="201"/>
      <c r="Q40" s="202"/>
      <c r="R40" s="202"/>
      <c r="S40" s="202"/>
      <c r="T40" s="202"/>
      <c r="U40" s="201"/>
      <c r="V40" s="202"/>
      <c r="W40" s="202"/>
      <c r="X40" s="202"/>
      <c r="Y40" s="202"/>
      <c r="Z40" s="201"/>
      <c r="AA40" s="202"/>
      <c r="AB40" s="202"/>
      <c r="AC40" s="202"/>
      <c r="AD40" s="202"/>
      <c r="AE40" s="201"/>
      <c r="AF40" s="202"/>
      <c r="AG40" s="202"/>
      <c r="AH40" s="202"/>
      <c r="AI40" s="202"/>
      <c r="AJ40" s="201"/>
      <c r="AK40" s="202"/>
      <c r="AL40" s="202"/>
      <c r="AM40" s="202"/>
      <c r="AN40" s="202"/>
      <c r="AO40" s="201"/>
      <c r="AP40" s="202"/>
      <c r="AQ40" s="202"/>
      <c r="AR40" s="202"/>
      <c r="AS40" s="202"/>
      <c r="AT40" s="201"/>
      <c r="AU40" s="202"/>
      <c r="AV40" s="202"/>
      <c r="AW40" s="202"/>
      <c r="AX40" s="202"/>
      <c r="AY40" s="201"/>
      <c r="AZ40" s="202"/>
      <c r="BA40" s="202"/>
      <c r="BB40" s="202"/>
      <c r="BC40" s="202"/>
      <c r="BD40" s="201"/>
      <c r="BE40" s="202"/>
      <c r="BF40" s="202"/>
      <c r="BG40" s="202"/>
      <c r="BH40" s="202"/>
      <c r="BI40" s="201"/>
      <c r="BJ40" s="1116"/>
      <c r="BK40" s="202" t="str">
        <f ca="1">IFERROR(BK626*BK752,"N/A")</f>
        <v>N/A</v>
      </c>
      <c r="BL40" s="202" t="str">
        <f ca="1">IFERROR(BL626*BL752,"N/A")</f>
        <v>N/A</v>
      </c>
      <c r="BM40" s="202" t="str">
        <f ca="1">IFERROR(BM626*BM752,"N/A")</f>
        <v>N/A</v>
      </c>
      <c r="BN40" s="201" t="str">
        <f t="shared" ref="BN40:BV40" ca="1" si="71">IFERROR(BN626*BN752,"N/A")</f>
        <v>N/A</v>
      </c>
      <c r="BO40" s="202" t="str">
        <f t="shared" ca="1" si="71"/>
        <v>N/A</v>
      </c>
      <c r="BP40" s="202" t="str">
        <f t="shared" ca="1" si="71"/>
        <v>N/A</v>
      </c>
      <c r="BQ40" s="202" t="str">
        <f t="shared" ca="1" si="71"/>
        <v>N/A</v>
      </c>
      <c r="BR40" s="202" t="str">
        <f t="shared" ca="1" si="71"/>
        <v>N/A</v>
      </c>
      <c r="BS40" s="201" t="str">
        <f t="shared" ca="1" si="71"/>
        <v>N/A</v>
      </c>
      <c r="BT40" s="201" t="str">
        <f t="shared" ca="1" si="71"/>
        <v>N/A</v>
      </c>
      <c r="BU40" s="201" t="str">
        <f t="shared" ca="1" si="71"/>
        <v>N/A</v>
      </c>
      <c r="BV40" s="201" t="str">
        <f t="shared" ca="1" si="71"/>
        <v>N/A</v>
      </c>
      <c r="BW40" s="204"/>
    </row>
    <row r="41" spans="1:75" s="217" customFormat="1" x14ac:dyDescent="0.5">
      <c r="A41" s="211" t="s">
        <v>194</v>
      </c>
      <c r="B41" s="212"/>
      <c r="C41" s="213">
        <f t="shared" ref="C41:BN41" si="72">C327</f>
        <v>0.35557275202533017</v>
      </c>
      <c r="D41" s="213">
        <f t="shared" si="72"/>
        <v>0.39206536919853496</v>
      </c>
      <c r="E41" s="213">
        <f t="shared" si="72"/>
        <v>0.3923400149695167</v>
      </c>
      <c r="F41" s="213">
        <f t="shared" si="72"/>
        <v>0.39389740456655797</v>
      </c>
      <c r="G41" s="214">
        <f t="shared" si="72"/>
        <v>0.37641584666955014</v>
      </c>
      <c r="H41" s="214">
        <f t="shared" si="72"/>
        <v>0.37560641370624787</v>
      </c>
      <c r="I41" s="214">
        <f t="shared" si="72"/>
        <v>0.38551544960382222</v>
      </c>
      <c r="J41" s="214">
        <f t="shared" si="72"/>
        <v>0.40626696419072456</v>
      </c>
      <c r="K41" s="213">
        <f t="shared" si="72"/>
        <v>0.38839086403507478</v>
      </c>
      <c r="L41" s="214">
        <f t="shared" si="72"/>
        <v>0.37811419129042523</v>
      </c>
      <c r="M41" s="214">
        <f t="shared" si="72"/>
        <v>0.36771943466570178</v>
      </c>
      <c r="N41" s="214">
        <f t="shared" si="72"/>
        <v>0.3773804587626251</v>
      </c>
      <c r="O41" s="214">
        <f t="shared" si="72"/>
        <v>0.40112896166004702</v>
      </c>
      <c r="P41" s="213">
        <f t="shared" si="72"/>
        <v>0.38319039721251685</v>
      </c>
      <c r="Q41" s="214">
        <f t="shared" si="72"/>
        <v>0.36756555891473164</v>
      </c>
      <c r="R41" s="214">
        <f t="shared" si="72"/>
        <v>0.36079405303151296</v>
      </c>
      <c r="S41" s="214">
        <f t="shared" si="72"/>
        <v>0.36619965229586998</v>
      </c>
      <c r="T41" s="214">
        <f t="shared" si="72"/>
        <v>0.3830035100459937</v>
      </c>
      <c r="U41" s="213">
        <f t="shared" si="72"/>
        <v>0.37061508131886678</v>
      </c>
      <c r="V41" s="214">
        <f t="shared" si="72"/>
        <v>0.35754319709022547</v>
      </c>
      <c r="W41" s="214">
        <f t="shared" si="72"/>
        <v>0.35420942875458683</v>
      </c>
      <c r="X41" s="214">
        <f t="shared" si="72"/>
        <v>0.36793682274959144</v>
      </c>
      <c r="Y41" s="214">
        <f t="shared" si="72"/>
        <v>0.3932969604465405</v>
      </c>
      <c r="Z41" s="213">
        <f t="shared" si="72"/>
        <v>0.37045232986585658</v>
      </c>
      <c r="AA41" s="214">
        <f t="shared" si="72"/>
        <v>0.35605713684214324</v>
      </c>
      <c r="AB41" s="214">
        <f t="shared" si="72"/>
        <v>0.35178835658277341</v>
      </c>
      <c r="AC41" s="214">
        <f t="shared" si="72"/>
        <v>0.35946591181957555</v>
      </c>
      <c r="AD41" s="214">
        <f t="shared" si="72"/>
        <v>0.38494922899764333</v>
      </c>
      <c r="AE41" s="213">
        <f t="shared" si="72"/>
        <v>0.36509427241484288</v>
      </c>
      <c r="AF41" s="214">
        <f t="shared" si="72"/>
        <v>0.35993000118106372</v>
      </c>
      <c r="AG41" s="214">
        <f t="shared" si="72"/>
        <v>0.36480348255388334</v>
      </c>
      <c r="AH41" s="214">
        <f t="shared" si="72"/>
        <v>0.36511531684752174</v>
      </c>
      <c r="AI41" s="214">
        <f t="shared" si="72"/>
        <v>0.38734818265912829</v>
      </c>
      <c r="AJ41" s="213">
        <f t="shared" si="72"/>
        <v>0.37114518792429396</v>
      </c>
      <c r="AK41" s="214">
        <f t="shared" si="72"/>
        <v>0.35845985761385574</v>
      </c>
      <c r="AL41" s="214">
        <f t="shared" si="72"/>
        <v>0.3536147135935292</v>
      </c>
      <c r="AM41" s="214">
        <f t="shared" si="72"/>
        <v>0.35972829975209225</v>
      </c>
      <c r="AN41" s="214">
        <f t="shared" si="72"/>
        <v>0.37623495462657097</v>
      </c>
      <c r="AO41" s="213">
        <f t="shared" si="72"/>
        <v>0.3632000838249117</v>
      </c>
      <c r="AP41" s="214">
        <f t="shared" si="72"/>
        <v>0.34458951281692157</v>
      </c>
      <c r="AQ41" s="214">
        <f t="shared" si="72"/>
        <v>0.36974141672429878</v>
      </c>
      <c r="AR41" s="214">
        <f t="shared" si="72"/>
        <v>0.39986886070899097</v>
      </c>
      <c r="AS41" s="214">
        <f t="shared" si="72"/>
        <v>0.42100378030360208</v>
      </c>
      <c r="AT41" s="213">
        <f t="shared" si="72"/>
        <v>0.39032481624793297</v>
      </c>
      <c r="AU41" s="214">
        <f t="shared" si="72"/>
        <v>0.43044054729795789</v>
      </c>
      <c r="AV41" s="214">
        <f t="shared" si="72"/>
        <v>0.44057425324853627</v>
      </c>
      <c r="AW41" s="214">
        <f t="shared" si="72"/>
        <v>0.43734698093662683</v>
      </c>
      <c r="AX41" s="214">
        <f t="shared" si="72"/>
        <v>0.44990961720155975</v>
      </c>
      <c r="AY41" s="213">
        <f t="shared" si="72"/>
        <v>0.44045491015210403</v>
      </c>
      <c r="AZ41" s="214">
        <f t="shared" si="72"/>
        <v>0.43810076738540638</v>
      </c>
      <c r="BA41" s="214">
        <f t="shared" si="72"/>
        <v>0.43452300474798788</v>
      </c>
      <c r="BB41" s="214">
        <f t="shared" si="72"/>
        <v>0.41527720387088418</v>
      </c>
      <c r="BC41" s="214">
        <f t="shared" si="72"/>
        <v>0.41166631812509891</v>
      </c>
      <c r="BD41" s="213">
        <f t="shared" si="72"/>
        <v>0.42397466019906577</v>
      </c>
      <c r="BE41" s="214">
        <f t="shared" si="72"/>
        <v>0.38576981072100558</v>
      </c>
      <c r="BF41" s="214">
        <f t="shared" si="72"/>
        <v>0.40672248785846127</v>
      </c>
      <c r="BG41" s="214">
        <f t="shared" si="72"/>
        <v>0.44364362204299629</v>
      </c>
      <c r="BH41" s="214">
        <f t="shared" si="72"/>
        <v>0.4601333867500505</v>
      </c>
      <c r="BI41" s="213">
        <f t="shared" si="72"/>
        <v>0.42651147284125257</v>
      </c>
      <c r="BJ41" s="1117">
        <f t="shared" si="72"/>
        <v>0.48334144408280671</v>
      </c>
      <c r="BK41" s="214">
        <f t="shared" si="72"/>
        <v>0.41922311484513081</v>
      </c>
      <c r="BL41" s="214">
        <f t="shared" si="72"/>
        <v>0.45855965203359456</v>
      </c>
      <c r="BM41" s="214">
        <f t="shared" si="72"/>
        <v>0.47288198285079697</v>
      </c>
      <c r="BN41" s="213">
        <f t="shared" si="72"/>
        <v>0.4588908718339022</v>
      </c>
      <c r="BO41" s="214">
        <f t="shared" ref="BO41:CF41" si="73">BO327</f>
        <v>0.46135794295260441</v>
      </c>
      <c r="BP41" s="214">
        <f t="shared" si="73"/>
        <v>0.42383041843970665</v>
      </c>
      <c r="BQ41" s="214">
        <f t="shared" si="73"/>
        <v>0.46578067325948347</v>
      </c>
      <c r="BR41" s="214">
        <f t="shared" si="73"/>
        <v>0.47154492470997023</v>
      </c>
      <c r="BS41" s="213">
        <f t="shared" si="73"/>
        <v>0.45626765594981378</v>
      </c>
      <c r="BT41" s="213">
        <f t="shared" si="73"/>
        <v>0.46008686488604378</v>
      </c>
      <c r="BU41" s="213">
        <f t="shared" si="73"/>
        <v>0.46443473194733931</v>
      </c>
      <c r="BV41" s="213">
        <f t="shared" si="73"/>
        <v>0.4686450045360579</v>
      </c>
      <c r="BW41" s="216"/>
    </row>
    <row r="42" spans="1:75" s="224" customFormat="1" x14ac:dyDescent="0.5">
      <c r="A42" s="218" t="s">
        <v>196</v>
      </c>
      <c r="B42" s="219"/>
      <c r="C42" s="220"/>
      <c r="D42" s="220">
        <f t="shared" ref="D42:F42" si="74">(D41-C41)*10000</f>
        <v>364.92617173204786</v>
      </c>
      <c r="E42" s="220">
        <f t="shared" si="74"/>
        <v>2.746457709817407</v>
      </c>
      <c r="F42" s="220">
        <f t="shared" si="74"/>
        <v>15.5738959704127</v>
      </c>
      <c r="G42" s="221"/>
      <c r="H42" s="221"/>
      <c r="I42" s="221"/>
      <c r="J42" s="221"/>
      <c r="K42" s="220">
        <f t="shared" ref="K42:BS42" si="75">(K41-F41)*10000</f>
        <v>-55.065405314831949</v>
      </c>
      <c r="L42" s="221">
        <f t="shared" si="75"/>
        <v>16.983446208750919</v>
      </c>
      <c r="M42" s="221">
        <f t="shared" si="75"/>
        <v>-78.869790405460833</v>
      </c>
      <c r="N42" s="221">
        <f t="shared" si="75"/>
        <v>-81.349908411971199</v>
      </c>
      <c r="O42" s="221">
        <f t="shared" si="75"/>
        <v>-51.380025306775323</v>
      </c>
      <c r="P42" s="220">
        <f t="shared" si="75"/>
        <v>-52.004668225579252</v>
      </c>
      <c r="Q42" s="221">
        <f t="shared" si="75"/>
        <v>-105.48632375693589</v>
      </c>
      <c r="R42" s="221">
        <f t="shared" si="75"/>
        <v>-69.253816341888211</v>
      </c>
      <c r="S42" s="221">
        <f t="shared" si="75"/>
        <v>-111.80806466755122</v>
      </c>
      <c r="T42" s="221">
        <f t="shared" si="75"/>
        <v>-181.25451614053324</v>
      </c>
      <c r="U42" s="220">
        <f t="shared" si="75"/>
        <v>-125.75315893650074</v>
      </c>
      <c r="V42" s="221">
        <f t="shared" si="75"/>
        <v>-100.22361824506166</v>
      </c>
      <c r="W42" s="221">
        <f t="shared" si="75"/>
        <v>-65.846242769261323</v>
      </c>
      <c r="X42" s="221">
        <f t="shared" si="75"/>
        <v>17.371704537214594</v>
      </c>
      <c r="Y42" s="221">
        <f t="shared" si="75"/>
        <v>102.934504005468</v>
      </c>
      <c r="Z42" s="220">
        <f t="shared" si="75"/>
        <v>-1.6275145301020144</v>
      </c>
      <c r="AA42" s="221">
        <f t="shared" si="75"/>
        <v>-14.860602480822326</v>
      </c>
      <c r="AB42" s="221">
        <f t="shared" si="75"/>
        <v>-24.210721718134209</v>
      </c>
      <c r="AC42" s="221">
        <f t="shared" si="75"/>
        <v>-84.709109300158957</v>
      </c>
      <c r="AD42" s="221">
        <f t="shared" si="75"/>
        <v>-83.477314488971672</v>
      </c>
      <c r="AE42" s="220">
        <f t="shared" si="75"/>
        <v>-53.580574510136984</v>
      </c>
      <c r="AF42" s="221">
        <f t="shared" si="75"/>
        <v>38.728643389204784</v>
      </c>
      <c r="AG42" s="221">
        <f t="shared" si="75"/>
        <v>130.1512597110993</v>
      </c>
      <c r="AH42" s="221">
        <f t="shared" si="75"/>
        <v>56.494050279461973</v>
      </c>
      <c r="AI42" s="221">
        <f t="shared" si="75"/>
        <v>23.989536614849595</v>
      </c>
      <c r="AJ42" s="220">
        <f t="shared" si="75"/>
        <v>60.509155094510824</v>
      </c>
      <c r="AK42" s="221">
        <f t="shared" si="75"/>
        <v>-14.701435672079821</v>
      </c>
      <c r="AL42" s="221">
        <f t="shared" si="75"/>
        <v>-111.88768960354145</v>
      </c>
      <c r="AM42" s="221">
        <f t="shared" si="75"/>
        <v>-53.870170954294913</v>
      </c>
      <c r="AN42" s="221">
        <f t="shared" si="75"/>
        <v>-111.13228032557321</v>
      </c>
      <c r="AO42" s="220">
        <f t="shared" si="75"/>
        <v>-79.451040993822602</v>
      </c>
      <c r="AP42" s="221">
        <f t="shared" si="75"/>
        <v>-138.70344796934165</v>
      </c>
      <c r="AQ42" s="221">
        <f t="shared" si="75"/>
        <v>161.26703130769582</v>
      </c>
      <c r="AR42" s="221">
        <f t="shared" si="75"/>
        <v>401.40560956898719</v>
      </c>
      <c r="AS42" s="221">
        <f t="shared" si="75"/>
        <v>447.68825677031111</v>
      </c>
      <c r="AT42" s="220">
        <f t="shared" si="75"/>
        <v>271.24732423021271</v>
      </c>
      <c r="AU42" s="221">
        <f t="shared" si="75"/>
        <v>858.51034481036311</v>
      </c>
      <c r="AV42" s="221">
        <f t="shared" si="75"/>
        <v>708.32836524237496</v>
      </c>
      <c r="AW42" s="221">
        <f t="shared" si="75"/>
        <v>374.78120227635856</v>
      </c>
      <c r="AX42" s="221">
        <f t="shared" si="75"/>
        <v>289.0583689795767</v>
      </c>
      <c r="AY42" s="220">
        <f t="shared" si="75"/>
        <v>501.30093904171059</v>
      </c>
      <c r="AZ42" s="221">
        <f t="shared" si="75"/>
        <v>76.602200874484879</v>
      </c>
      <c r="BA42" s="221">
        <f t="shared" si="75"/>
        <v>-60.512485005483896</v>
      </c>
      <c r="BB42" s="221">
        <f t="shared" si="75"/>
        <v>-220.69777065742647</v>
      </c>
      <c r="BC42" s="221">
        <f t="shared" si="75"/>
        <v>-382.43299076460846</v>
      </c>
      <c r="BD42" s="220">
        <f t="shared" si="75"/>
        <v>-164.80249953038262</v>
      </c>
      <c r="BE42" s="221">
        <f t="shared" si="75"/>
        <v>-523.30956664400799</v>
      </c>
      <c r="BF42" s="221">
        <f t="shared" si="75"/>
        <v>-278.00516889526614</v>
      </c>
      <c r="BG42" s="221">
        <f t="shared" si="75"/>
        <v>283.66418172112105</v>
      </c>
      <c r="BH42" s="221">
        <f t="shared" si="75"/>
        <v>484.67068624951594</v>
      </c>
      <c r="BI42" s="220">
        <f t="shared" si="75"/>
        <v>25.36812642186803</v>
      </c>
      <c r="BJ42" s="1118">
        <f t="shared" si="75"/>
        <v>975.71633361801139</v>
      </c>
      <c r="BK42" s="221">
        <f t="shared" si="75"/>
        <v>125.00626986669539</v>
      </c>
      <c r="BL42" s="221">
        <f t="shared" si="75"/>
        <v>149.16029990598267</v>
      </c>
      <c r="BM42" s="221">
        <f t="shared" si="75"/>
        <v>127.48596100746468</v>
      </c>
      <c r="BN42" s="220">
        <f t="shared" si="75"/>
        <v>323.79398992649635</v>
      </c>
      <c r="BO42" s="221">
        <f t="shared" si="75"/>
        <v>-219.8350113020231</v>
      </c>
      <c r="BP42" s="221">
        <f t="shared" si="75"/>
        <v>46.073035945758399</v>
      </c>
      <c r="BQ42" s="221">
        <f t="shared" si="75"/>
        <v>72.210212258889129</v>
      </c>
      <c r="BR42" s="221">
        <f t="shared" si="75"/>
        <v>-13.370581408267412</v>
      </c>
      <c r="BS42" s="220">
        <f t="shared" si="75"/>
        <v>-26.232158840884257</v>
      </c>
      <c r="BT42" s="220">
        <f>(BT41-BS41)*10000</f>
        <v>38.19208936230001</v>
      </c>
      <c r="BU42" s="220">
        <f>(BU41-BT41)*10000</f>
        <v>43.478670612955298</v>
      </c>
      <c r="BV42" s="220">
        <f>(BV41-BU41)*10000</f>
        <v>42.10272588718589</v>
      </c>
      <c r="BW42" s="223"/>
    </row>
    <row r="43" spans="1:75" s="162" customFormat="1" ht="14.25" x14ac:dyDescent="0.45">
      <c r="A43" s="178"/>
      <c r="B43" s="179"/>
      <c r="C43" s="180"/>
      <c r="D43" s="180"/>
      <c r="E43" s="180"/>
      <c r="F43" s="180"/>
      <c r="G43" s="183"/>
      <c r="H43" s="183"/>
      <c r="I43" s="183"/>
      <c r="J43" s="183"/>
      <c r="K43" s="180"/>
      <c r="L43" s="183"/>
      <c r="M43" s="183"/>
      <c r="N43" s="183"/>
      <c r="O43" s="183"/>
      <c r="P43" s="180"/>
      <c r="Q43" s="183"/>
      <c r="R43" s="183"/>
      <c r="S43" s="183"/>
      <c r="T43" s="183"/>
      <c r="U43" s="180"/>
      <c r="V43" s="183"/>
      <c r="W43" s="183"/>
      <c r="X43" s="183"/>
      <c r="Y43" s="183"/>
      <c r="Z43" s="180"/>
      <c r="AA43" s="183"/>
      <c r="AB43" s="183"/>
      <c r="AC43" s="183"/>
      <c r="AD43" s="183"/>
      <c r="AE43" s="180"/>
      <c r="AF43" s="183"/>
      <c r="AG43" s="183"/>
      <c r="AH43" s="183"/>
      <c r="AI43" s="183"/>
      <c r="AJ43" s="180"/>
      <c r="AK43" s="183"/>
      <c r="AL43" s="183"/>
      <c r="AM43" s="183"/>
      <c r="AN43" s="183"/>
      <c r="AO43" s="180"/>
      <c r="AP43" s="183"/>
      <c r="AQ43" s="183"/>
      <c r="AR43" s="183"/>
      <c r="AS43" s="183"/>
      <c r="AT43" s="180"/>
      <c r="AU43" s="183"/>
      <c r="AV43" s="183"/>
      <c r="AW43" s="183"/>
      <c r="AX43" s="183"/>
      <c r="AY43" s="180"/>
      <c r="AZ43" s="183"/>
      <c r="BA43" s="183"/>
      <c r="BB43" s="183"/>
      <c r="BC43" s="183"/>
      <c r="BD43" s="180"/>
      <c r="BE43" s="183"/>
      <c r="BF43" s="183"/>
      <c r="BG43" s="183"/>
      <c r="BH43" s="183"/>
      <c r="BI43" s="180"/>
      <c r="BJ43" s="1112"/>
      <c r="BK43" s="183"/>
      <c r="BL43" s="183"/>
      <c r="BM43" s="183"/>
      <c r="BN43" s="180"/>
      <c r="BO43" s="183"/>
      <c r="BP43" s="183"/>
      <c r="BQ43" s="183"/>
      <c r="BR43" s="183"/>
      <c r="BS43" s="180"/>
      <c r="BT43" s="180"/>
      <c r="BU43" s="180"/>
      <c r="BV43" s="180"/>
      <c r="BW43" s="161"/>
    </row>
    <row r="44" spans="1:75" s="198" customFormat="1" ht="14.25" x14ac:dyDescent="0.45">
      <c r="A44" s="206" t="s">
        <v>771</v>
      </c>
      <c r="B44" s="207"/>
      <c r="C44" s="208">
        <f t="shared" ref="C44:BN44" si="76">C366</f>
        <v>162.18514069792039</v>
      </c>
      <c r="D44" s="208">
        <f t="shared" si="76"/>
        <v>344.94729435430702</v>
      </c>
      <c r="E44" s="208">
        <f t="shared" si="76"/>
        <v>384.8345914464125</v>
      </c>
      <c r="F44" s="208">
        <f t="shared" si="76"/>
        <v>416.25420607390299</v>
      </c>
      <c r="G44" s="209">
        <f t="shared" si="76"/>
        <v>66.790843236375395</v>
      </c>
      <c r="H44" s="209">
        <f t="shared" si="76"/>
        <v>78.165500391464505</v>
      </c>
      <c r="I44" s="209">
        <f t="shared" si="76"/>
        <v>92.581959845865356</v>
      </c>
      <c r="J44" s="209">
        <f t="shared" si="76"/>
        <v>217.88349037456939</v>
      </c>
      <c r="K44" s="208">
        <f t="shared" si="76"/>
        <v>455.13703314418433</v>
      </c>
      <c r="L44" s="209">
        <f t="shared" si="76"/>
        <v>74.402284215820117</v>
      </c>
      <c r="M44" s="209">
        <f t="shared" si="76"/>
        <v>85.418124757723561</v>
      </c>
      <c r="N44" s="209">
        <f t="shared" si="76"/>
        <v>104.81160556421577</v>
      </c>
      <c r="O44" s="209">
        <f t="shared" si="76"/>
        <v>230.62325662640836</v>
      </c>
      <c r="P44" s="208">
        <f t="shared" si="76"/>
        <v>494.95789402792536</v>
      </c>
      <c r="Q44" s="209">
        <f t="shared" si="76"/>
        <v>71.997787207618956</v>
      </c>
      <c r="R44" s="209">
        <f t="shared" si="76"/>
        <v>83.41694936061927</v>
      </c>
      <c r="S44" s="209">
        <f t="shared" si="76"/>
        <v>110.77283411818379</v>
      </c>
      <c r="T44" s="209">
        <f t="shared" si="76"/>
        <v>222.82037662390064</v>
      </c>
      <c r="U44" s="208">
        <f t="shared" si="76"/>
        <v>488.7321963750656</v>
      </c>
      <c r="V44" s="209">
        <f t="shared" si="76"/>
        <v>76.803864835396098</v>
      </c>
      <c r="W44" s="209">
        <f t="shared" si="76"/>
        <v>83.347849798408845</v>
      </c>
      <c r="X44" s="209">
        <f t="shared" si="76"/>
        <v>111.25230923770555</v>
      </c>
      <c r="Y44" s="209">
        <f t="shared" si="76"/>
        <v>215.95545775967207</v>
      </c>
      <c r="Z44" s="208">
        <f t="shared" si="76"/>
        <v>487.09796154145744</v>
      </c>
      <c r="AA44" s="209">
        <f t="shared" si="76"/>
        <v>68.235206573597935</v>
      </c>
      <c r="AB44" s="209">
        <f t="shared" si="76"/>
        <v>81.651895799455062</v>
      </c>
      <c r="AC44" s="209">
        <f t="shared" si="76"/>
        <v>110.89828432984231</v>
      </c>
      <c r="AD44" s="209">
        <f t="shared" si="76"/>
        <v>208.17445177915835</v>
      </c>
      <c r="AE44" s="208">
        <f t="shared" si="76"/>
        <v>468.71775495124592</v>
      </c>
      <c r="AF44" s="209">
        <f t="shared" si="76"/>
        <v>75.233351965306682</v>
      </c>
      <c r="AG44" s="209">
        <f t="shared" si="76"/>
        <v>86.384193739029726</v>
      </c>
      <c r="AH44" s="209">
        <f t="shared" si="76"/>
        <v>103.45361123940064</v>
      </c>
      <c r="AI44" s="209">
        <f t="shared" si="76"/>
        <v>217.77842125546266</v>
      </c>
      <c r="AJ44" s="208">
        <f t="shared" si="76"/>
        <v>482.63391152809334</v>
      </c>
      <c r="AK44" s="209">
        <f t="shared" si="76"/>
        <v>87.129729343857065</v>
      </c>
      <c r="AL44" s="209">
        <f t="shared" si="76"/>
        <v>94.080856813542994</v>
      </c>
      <c r="AM44" s="209">
        <f t="shared" si="76"/>
        <v>109.9466363797703</v>
      </c>
      <c r="AN44" s="209">
        <f t="shared" si="76"/>
        <v>213.52148335041949</v>
      </c>
      <c r="AO44" s="208">
        <f t="shared" si="76"/>
        <v>504.45398836352842</v>
      </c>
      <c r="AP44" s="209">
        <f t="shared" si="76"/>
        <v>79.040382190619653</v>
      </c>
      <c r="AQ44" s="209">
        <f t="shared" si="76"/>
        <v>195.18133851608926</v>
      </c>
      <c r="AR44" s="209">
        <f t="shared" si="76"/>
        <v>276.97862391472893</v>
      </c>
      <c r="AS44" s="209">
        <f t="shared" si="76"/>
        <v>410.53037913169538</v>
      </c>
      <c r="AT44" s="208">
        <f t="shared" si="76"/>
        <v>961.37025794268777</v>
      </c>
      <c r="AU44" s="209">
        <f t="shared" si="76"/>
        <v>278.17333129639354</v>
      </c>
      <c r="AV44" s="209">
        <f t="shared" si="76"/>
        <v>326.02283356387147</v>
      </c>
      <c r="AW44" s="209">
        <f t="shared" si="76"/>
        <v>333.18029949173126</v>
      </c>
      <c r="AX44" s="209">
        <f t="shared" si="76"/>
        <v>525.59374246999857</v>
      </c>
      <c r="AY44" s="208">
        <f t="shared" si="76"/>
        <v>1462.4522220807919</v>
      </c>
      <c r="AZ44" s="209">
        <f t="shared" si="76"/>
        <v>323.65204292610036</v>
      </c>
      <c r="BA44" s="209">
        <f t="shared" si="76"/>
        <v>365.69200101659032</v>
      </c>
      <c r="BB44" s="209">
        <f t="shared" si="76"/>
        <v>339.78790149933371</v>
      </c>
      <c r="BC44" s="209">
        <f t="shared" si="76"/>
        <v>487.6655091197627</v>
      </c>
      <c r="BD44" s="208">
        <f t="shared" si="76"/>
        <v>1516.2817403697552</v>
      </c>
      <c r="BE44" s="209">
        <f t="shared" si="76"/>
        <v>225.83763290687122</v>
      </c>
      <c r="BF44" s="209">
        <f t="shared" si="76"/>
        <v>271.69378866045247</v>
      </c>
      <c r="BG44" s="209">
        <f t="shared" si="76"/>
        <v>315.24697653278679</v>
      </c>
      <c r="BH44" s="209">
        <f t="shared" si="76"/>
        <v>458.29201082215076</v>
      </c>
      <c r="BI44" s="208">
        <f t="shared" si="76"/>
        <v>1270.6005275272323</v>
      </c>
      <c r="BJ44" s="1114">
        <f t="shared" si="76"/>
        <v>323.82799999999997</v>
      </c>
      <c r="BK44" s="209">
        <f t="shared" si="76"/>
        <v>255.67882721866772</v>
      </c>
      <c r="BL44" s="209">
        <f t="shared" si="76"/>
        <v>311.10061624110324</v>
      </c>
      <c r="BM44" s="209">
        <f t="shared" si="76"/>
        <v>485.70055928553563</v>
      </c>
      <c r="BN44" s="208">
        <f t="shared" si="76"/>
        <v>1376.3080027453066</v>
      </c>
      <c r="BO44" s="209">
        <f t="shared" ref="BO44:CF44" si="77">BO366</f>
        <v>269.5104762677845</v>
      </c>
      <c r="BP44" s="209">
        <f t="shared" si="77"/>
        <v>266.60961762272609</v>
      </c>
      <c r="BQ44" s="209">
        <f t="shared" si="77"/>
        <v>339.70019047673543</v>
      </c>
      <c r="BR44" s="209">
        <f t="shared" si="77"/>
        <v>461.63531617355079</v>
      </c>
      <c r="BS44" s="208">
        <f t="shared" si="77"/>
        <v>1337.4556005407962</v>
      </c>
      <c r="BT44" s="208">
        <f t="shared" si="77"/>
        <v>1430.8854688294196</v>
      </c>
      <c r="BU44" s="208">
        <f t="shared" si="77"/>
        <v>1545.8773080600904</v>
      </c>
      <c r="BV44" s="208">
        <f t="shared" si="77"/>
        <v>1668.9063396407937</v>
      </c>
      <c r="BW44" s="197"/>
    </row>
    <row r="45" spans="1:75" s="205" customFormat="1" ht="14.25" x14ac:dyDescent="0.45">
      <c r="A45" s="199" t="s">
        <v>198</v>
      </c>
      <c r="B45" s="200"/>
      <c r="C45" s="201"/>
      <c r="D45" s="201"/>
      <c r="E45" s="201"/>
      <c r="F45" s="201"/>
      <c r="G45" s="202"/>
      <c r="H45" s="202"/>
      <c r="I45" s="202"/>
      <c r="J45" s="202"/>
      <c r="K45" s="201"/>
      <c r="L45" s="202"/>
      <c r="M45" s="202"/>
      <c r="N45" s="202"/>
      <c r="O45" s="202"/>
      <c r="P45" s="201"/>
      <c r="Q45" s="202"/>
      <c r="R45" s="202"/>
      <c r="S45" s="202"/>
      <c r="T45" s="202"/>
      <c r="U45" s="201"/>
      <c r="V45" s="202"/>
      <c r="W45" s="202"/>
      <c r="X45" s="202"/>
      <c r="Y45" s="202"/>
      <c r="Z45" s="201"/>
      <c r="AA45" s="202"/>
      <c r="AB45" s="202"/>
      <c r="AC45" s="202"/>
      <c r="AD45" s="202"/>
      <c r="AE45" s="201"/>
      <c r="AF45" s="202"/>
      <c r="AG45" s="202"/>
      <c r="AH45" s="202"/>
      <c r="AI45" s="202"/>
      <c r="AJ45" s="201"/>
      <c r="AK45" s="202"/>
      <c r="AL45" s="202"/>
      <c r="AM45" s="202"/>
      <c r="AN45" s="202"/>
      <c r="AO45" s="201"/>
      <c r="AP45" s="202"/>
      <c r="AQ45" s="202"/>
      <c r="AR45" s="202"/>
      <c r="AS45" s="202"/>
      <c r="AT45" s="201"/>
      <c r="AU45" s="202"/>
      <c r="AV45" s="202"/>
      <c r="AW45" s="202"/>
      <c r="AX45" s="202"/>
      <c r="AY45" s="201"/>
      <c r="AZ45" s="202"/>
      <c r="BA45" s="202"/>
      <c r="BB45" s="202"/>
      <c r="BC45" s="202"/>
      <c r="BD45" s="201"/>
      <c r="BE45" s="202"/>
      <c r="BF45" s="202"/>
      <c r="BG45" s="202"/>
      <c r="BH45" s="202"/>
      <c r="BI45" s="201"/>
      <c r="BJ45" s="1116"/>
      <c r="BK45" s="202" t="str">
        <f t="shared" ref="BK45:BV45" ca="1" si="78">BK764</f>
        <v>N/A</v>
      </c>
      <c r="BL45" s="202" t="str">
        <f t="shared" ca="1" si="78"/>
        <v>N/A</v>
      </c>
      <c r="BM45" s="202" t="str">
        <f t="shared" ca="1" si="78"/>
        <v>N/A</v>
      </c>
      <c r="BN45" s="201" t="str">
        <f t="shared" ca="1" si="78"/>
        <v>N/A</v>
      </c>
      <c r="BO45" s="202" t="str">
        <f t="shared" ca="1" si="78"/>
        <v>N/A</v>
      </c>
      <c r="BP45" s="202" t="str">
        <f t="shared" ca="1" si="78"/>
        <v>N/A</v>
      </c>
      <c r="BQ45" s="202" t="str">
        <f t="shared" ca="1" si="78"/>
        <v>N/A</v>
      </c>
      <c r="BR45" s="202" t="str">
        <f t="shared" ca="1" si="78"/>
        <v>N/A</v>
      </c>
      <c r="BS45" s="201" t="str">
        <f t="shared" ca="1" si="78"/>
        <v>N/A</v>
      </c>
      <c r="BT45" s="201" t="str">
        <f t="shared" ca="1" si="78"/>
        <v>N/A</v>
      </c>
      <c r="BU45" s="201" t="str">
        <f t="shared" ca="1" si="78"/>
        <v>N/A</v>
      </c>
      <c r="BV45" s="201" t="str">
        <f t="shared" ca="1" si="78"/>
        <v>N/A</v>
      </c>
      <c r="BW45" s="204"/>
    </row>
    <row r="46" spans="1:75" s="217" customFormat="1" x14ac:dyDescent="0.5">
      <c r="A46" s="211" t="s">
        <v>774</v>
      </c>
      <c r="B46" s="212"/>
      <c r="C46" s="213">
        <f t="shared" ref="C46:BN46" si="79">C370</f>
        <v>5.2272192480468771E-2</v>
      </c>
      <c r="D46" s="213">
        <f t="shared" si="79"/>
        <v>9.843942378006558E-2</v>
      </c>
      <c r="E46" s="213">
        <f t="shared" si="79"/>
        <v>0.1034252757593032</v>
      </c>
      <c r="F46" s="213">
        <f t="shared" si="79"/>
        <v>0.10296007689436044</v>
      </c>
      <c r="G46" s="214">
        <f t="shared" si="79"/>
        <v>7.5231179755505015E-2</v>
      </c>
      <c r="H46" s="214">
        <f t="shared" si="79"/>
        <v>7.958133186670506E-2</v>
      </c>
      <c r="I46" s="214">
        <f t="shared" si="79"/>
        <v>8.8043493826116689E-2</v>
      </c>
      <c r="J46" s="214">
        <f t="shared" si="79"/>
        <v>0.14859164166621386</v>
      </c>
      <c r="K46" s="213">
        <f t="shared" si="79"/>
        <v>0.10372573990458381</v>
      </c>
      <c r="L46" s="214">
        <f t="shared" si="79"/>
        <v>7.6362509843502832E-2</v>
      </c>
      <c r="M46" s="214">
        <f t="shared" si="79"/>
        <v>8.2203792079818497E-2</v>
      </c>
      <c r="N46" s="214">
        <f t="shared" si="79"/>
        <v>9.1685697708824968E-2</v>
      </c>
      <c r="O46" s="214">
        <f t="shared" si="79"/>
        <v>0.14954900324319259</v>
      </c>
      <c r="P46" s="213">
        <f t="shared" si="79"/>
        <v>0.10533890067227374</v>
      </c>
      <c r="Q46" s="214">
        <f t="shared" si="79"/>
        <v>6.9854917750698534E-2</v>
      </c>
      <c r="R46" s="214">
        <f t="shared" si="79"/>
        <v>7.4014975103208855E-2</v>
      </c>
      <c r="S46" s="214">
        <f t="shared" si="79"/>
        <v>8.9907030634473833E-2</v>
      </c>
      <c r="T46" s="214">
        <f t="shared" si="79"/>
        <v>0.14046511678965737</v>
      </c>
      <c r="U46" s="213">
        <f t="shared" si="79"/>
        <v>9.821610870684927E-2</v>
      </c>
      <c r="V46" s="214">
        <f t="shared" si="79"/>
        <v>6.9960535166968721E-2</v>
      </c>
      <c r="W46" s="214">
        <f t="shared" si="79"/>
        <v>7.1911789781281446E-2</v>
      </c>
      <c r="X46" s="214">
        <f t="shared" si="79"/>
        <v>8.9331659878435624E-2</v>
      </c>
      <c r="Y46" s="214">
        <f t="shared" si="79"/>
        <v>0.13654403900886017</v>
      </c>
      <c r="Z46" s="213">
        <f t="shared" si="79"/>
        <v>9.5813527632701095E-2</v>
      </c>
      <c r="AA46" s="214">
        <f t="shared" si="79"/>
        <v>6.1389812725963874E-2</v>
      </c>
      <c r="AB46" s="214">
        <f t="shared" si="79"/>
        <v>6.7952303666472258E-2</v>
      </c>
      <c r="AC46" s="214">
        <f t="shared" si="79"/>
        <v>8.5349966698253815E-2</v>
      </c>
      <c r="AD46" s="214">
        <f t="shared" si="79"/>
        <v>0.12395010650726128</v>
      </c>
      <c r="AE46" s="213">
        <f t="shared" si="79"/>
        <v>8.8571824446455741E-2</v>
      </c>
      <c r="AF46" s="214">
        <f t="shared" si="79"/>
        <v>6.2574213191406075E-2</v>
      </c>
      <c r="AG46" s="214">
        <f t="shared" si="79"/>
        <v>6.7780643782090658E-2</v>
      </c>
      <c r="AH46" s="214">
        <f t="shared" si="79"/>
        <v>7.6300369753952352E-2</v>
      </c>
      <c r="AI46" s="214">
        <f t="shared" si="79"/>
        <v>0.11864193348608827</v>
      </c>
      <c r="AJ46" s="213">
        <f t="shared" si="79"/>
        <v>8.5147049441818515E-2</v>
      </c>
      <c r="AK46" s="214">
        <f t="shared" si="79"/>
        <v>7.0201823290235901E-2</v>
      </c>
      <c r="AL46" s="214">
        <f t="shared" si="79"/>
        <v>6.8631380197125932E-2</v>
      </c>
      <c r="AM46" s="214">
        <f t="shared" si="79"/>
        <v>7.6220984795386179E-2</v>
      </c>
      <c r="AN46" s="214">
        <f t="shared" si="79"/>
        <v>0.11581831283008666</v>
      </c>
      <c r="AO46" s="213">
        <f t="shared" si="79"/>
        <v>8.5529553090387206E-2</v>
      </c>
      <c r="AP46" s="214">
        <f t="shared" si="79"/>
        <v>6.3989791306060348E-2</v>
      </c>
      <c r="AQ46" s="214">
        <f t="shared" si="79"/>
        <v>0.13092591213581189</v>
      </c>
      <c r="AR46" s="214">
        <f t="shared" si="79"/>
        <v>0.15696966449804872</v>
      </c>
      <c r="AS46" s="214">
        <f t="shared" si="79"/>
        <v>0.17906189811268125</v>
      </c>
      <c r="AT46" s="213">
        <f t="shared" si="79"/>
        <v>0.14172836079647608</v>
      </c>
      <c r="AU46" s="214">
        <f t="shared" si="79"/>
        <v>0.15904443625371195</v>
      </c>
      <c r="AV46" s="214">
        <f t="shared" si="79"/>
        <v>0.16733373071312102</v>
      </c>
      <c r="AW46" s="214">
        <f t="shared" si="79"/>
        <v>0.16272232152439162</v>
      </c>
      <c r="AX46" s="214">
        <f t="shared" si="79"/>
        <v>0.21015099883687821</v>
      </c>
      <c r="AY46" s="213">
        <f t="shared" si="79"/>
        <v>0.17735430181374096</v>
      </c>
      <c r="AZ46" s="214">
        <f t="shared" si="79"/>
        <v>0.17113336628871118</v>
      </c>
      <c r="BA46" s="214">
        <f t="shared" si="79"/>
        <v>0.17108101568140827</v>
      </c>
      <c r="BB46" s="214">
        <f t="shared" si="79"/>
        <v>0.15497214757601507</v>
      </c>
      <c r="BC46" s="214">
        <f t="shared" si="79"/>
        <v>0.19879731110158408</v>
      </c>
      <c r="BD46" s="213">
        <f t="shared" si="79"/>
        <v>0.17479926782050659</v>
      </c>
      <c r="BE46" s="214">
        <f t="shared" si="79"/>
        <v>0.12864935159504379</v>
      </c>
      <c r="BF46" s="214">
        <f t="shared" si="79"/>
        <v>0.14586693145249227</v>
      </c>
      <c r="BG46" s="214">
        <f t="shared" si="79"/>
        <v>0.1700682310753307</v>
      </c>
      <c r="BH46" s="214">
        <f t="shared" si="79"/>
        <v>0.20109902591521872</v>
      </c>
      <c r="BI46" s="213">
        <f t="shared" si="79"/>
        <v>0.16393466350021035</v>
      </c>
      <c r="BJ46" s="1117">
        <f t="shared" si="79"/>
        <v>0.19503622132227702</v>
      </c>
      <c r="BK46" s="214">
        <f t="shared" si="79"/>
        <v>0.13828928743913035</v>
      </c>
      <c r="BL46" s="214">
        <f t="shared" si="79"/>
        <v>0.16989256277726245</v>
      </c>
      <c r="BM46" s="214">
        <f t="shared" si="79"/>
        <v>0.2037594182516001</v>
      </c>
      <c r="BN46" s="213">
        <f t="shared" si="79"/>
        <v>0.17818419585872061</v>
      </c>
      <c r="BO46" s="214">
        <f t="shared" ref="BO46:CF46" si="80">BO370</f>
        <v>0.15505272019207467</v>
      </c>
      <c r="BP46" s="214">
        <f t="shared" si="80"/>
        <v>0.13789659103370625</v>
      </c>
      <c r="BQ46" s="214">
        <f t="shared" si="80"/>
        <v>0.17811358400315142</v>
      </c>
      <c r="BR46" s="214">
        <f t="shared" si="80"/>
        <v>0.19742236011077335</v>
      </c>
      <c r="BS46" s="213">
        <f t="shared" si="80"/>
        <v>0.16893223939975305</v>
      </c>
      <c r="BT46" s="213">
        <f t="shared" si="80"/>
        <v>0.16975144833598299</v>
      </c>
      <c r="BU46" s="213">
        <f t="shared" si="80"/>
        <v>0.1710993153972786</v>
      </c>
      <c r="BV46" s="213">
        <f t="shared" si="80"/>
        <v>0.17230958798599716</v>
      </c>
      <c r="BW46" s="216"/>
    </row>
    <row r="47" spans="1:75" s="224" customFormat="1" x14ac:dyDescent="0.5">
      <c r="A47" s="218" t="s">
        <v>775</v>
      </c>
      <c r="B47" s="219"/>
      <c r="C47" s="220"/>
      <c r="D47" s="220">
        <f t="shared" ref="D47:F47" si="81">(D46-C46)*10000</f>
        <v>461.67231299596807</v>
      </c>
      <c r="E47" s="220">
        <f t="shared" si="81"/>
        <v>49.858519792376214</v>
      </c>
      <c r="F47" s="220">
        <f t="shared" si="81"/>
        <v>-4.6519886494275635</v>
      </c>
      <c r="G47" s="221"/>
      <c r="H47" s="221"/>
      <c r="I47" s="221"/>
      <c r="J47" s="221"/>
      <c r="K47" s="220">
        <f t="shared" ref="K47:BS47" si="82">(K46-F46)*10000</f>
        <v>7.6566301022336356</v>
      </c>
      <c r="L47" s="221">
        <f t="shared" si="82"/>
        <v>11.313300879978172</v>
      </c>
      <c r="M47" s="221">
        <f t="shared" si="82"/>
        <v>26.224602131134368</v>
      </c>
      <c r="N47" s="221">
        <f t="shared" si="82"/>
        <v>36.42203882708278</v>
      </c>
      <c r="O47" s="221">
        <f t="shared" si="82"/>
        <v>9.5736157697873239</v>
      </c>
      <c r="P47" s="220">
        <f t="shared" si="82"/>
        <v>16.131607676899279</v>
      </c>
      <c r="Q47" s="221">
        <f t="shared" si="82"/>
        <v>-65.07592092804299</v>
      </c>
      <c r="R47" s="221">
        <f t="shared" si="82"/>
        <v>-81.888169766096425</v>
      </c>
      <c r="S47" s="221">
        <f t="shared" si="82"/>
        <v>-17.78667074351134</v>
      </c>
      <c r="T47" s="221">
        <f t="shared" si="82"/>
        <v>-90.838864535352229</v>
      </c>
      <c r="U47" s="220">
        <f t="shared" si="82"/>
        <v>-71.227919654244658</v>
      </c>
      <c r="V47" s="221">
        <f t="shared" si="82"/>
        <v>1.0561741627018728</v>
      </c>
      <c r="W47" s="221">
        <f t="shared" si="82"/>
        <v>-21.031853219274087</v>
      </c>
      <c r="X47" s="221">
        <f t="shared" si="82"/>
        <v>-5.7537075603820984</v>
      </c>
      <c r="Y47" s="221">
        <f t="shared" si="82"/>
        <v>-39.210777807971994</v>
      </c>
      <c r="Z47" s="220">
        <f t="shared" si="82"/>
        <v>-24.025810741481745</v>
      </c>
      <c r="AA47" s="221">
        <f t="shared" si="82"/>
        <v>-85.707224410048468</v>
      </c>
      <c r="AB47" s="221">
        <f t="shared" si="82"/>
        <v>-39.59486114809188</v>
      </c>
      <c r="AC47" s="221">
        <f t="shared" si="82"/>
        <v>-39.816931801818086</v>
      </c>
      <c r="AD47" s="221">
        <f t="shared" si="82"/>
        <v>-125.9393250159889</v>
      </c>
      <c r="AE47" s="220">
        <f t="shared" si="82"/>
        <v>-72.417031862453541</v>
      </c>
      <c r="AF47" s="221">
        <f t="shared" si="82"/>
        <v>11.844004654422008</v>
      </c>
      <c r="AG47" s="221">
        <f t="shared" si="82"/>
        <v>-1.7165988438160029</v>
      </c>
      <c r="AH47" s="221">
        <f t="shared" si="82"/>
        <v>-90.49596944301463</v>
      </c>
      <c r="AI47" s="221">
        <f t="shared" si="82"/>
        <v>-53.081730211730068</v>
      </c>
      <c r="AJ47" s="220">
        <f t="shared" si="82"/>
        <v>-34.247750046372261</v>
      </c>
      <c r="AK47" s="221">
        <f t="shared" si="82"/>
        <v>76.276100988298268</v>
      </c>
      <c r="AL47" s="221">
        <f t="shared" si="82"/>
        <v>8.507364150352748</v>
      </c>
      <c r="AM47" s="221">
        <f t="shared" si="82"/>
        <v>-0.7938495856617267</v>
      </c>
      <c r="AN47" s="221">
        <f t="shared" si="82"/>
        <v>-28.236206560016129</v>
      </c>
      <c r="AO47" s="220">
        <f t="shared" si="82"/>
        <v>3.825036485686911</v>
      </c>
      <c r="AP47" s="221">
        <f t="shared" si="82"/>
        <v>-62.120319841755531</v>
      </c>
      <c r="AQ47" s="221">
        <f t="shared" si="82"/>
        <v>622.94531938685964</v>
      </c>
      <c r="AR47" s="221">
        <f t="shared" si="82"/>
        <v>807.48679702662548</v>
      </c>
      <c r="AS47" s="221">
        <f t="shared" si="82"/>
        <v>632.43585282594597</v>
      </c>
      <c r="AT47" s="220">
        <f t="shared" si="82"/>
        <v>561.98807706088871</v>
      </c>
      <c r="AU47" s="221">
        <f t="shared" si="82"/>
        <v>950.54644947651605</v>
      </c>
      <c r="AV47" s="221">
        <f t="shared" si="82"/>
        <v>364.07818577309126</v>
      </c>
      <c r="AW47" s="221">
        <f t="shared" si="82"/>
        <v>57.526570263428944</v>
      </c>
      <c r="AX47" s="221">
        <f t="shared" si="82"/>
        <v>310.89100724196959</v>
      </c>
      <c r="AY47" s="220">
        <f t="shared" si="82"/>
        <v>356.25941017264876</v>
      </c>
      <c r="AZ47" s="221">
        <f t="shared" si="82"/>
        <v>120.88930034999224</v>
      </c>
      <c r="BA47" s="221">
        <f t="shared" si="82"/>
        <v>37.472849682872457</v>
      </c>
      <c r="BB47" s="221">
        <f t="shared" si="82"/>
        <v>-77.501739483765434</v>
      </c>
      <c r="BC47" s="221">
        <f t="shared" si="82"/>
        <v>-113.53687735294132</v>
      </c>
      <c r="BD47" s="220">
        <f t="shared" si="82"/>
        <v>-25.550339932343679</v>
      </c>
      <c r="BE47" s="221">
        <f t="shared" si="82"/>
        <v>-424.84014693667388</v>
      </c>
      <c r="BF47" s="221">
        <f t="shared" si="82"/>
        <v>-252.14084228915996</v>
      </c>
      <c r="BG47" s="221">
        <f t="shared" si="82"/>
        <v>150.96083499315625</v>
      </c>
      <c r="BH47" s="221">
        <f t="shared" si="82"/>
        <v>23.017148136346421</v>
      </c>
      <c r="BI47" s="220">
        <f t="shared" si="82"/>
        <v>-108.64604320296235</v>
      </c>
      <c r="BJ47" s="1118">
        <f t="shared" si="82"/>
        <v>663.86869727233238</v>
      </c>
      <c r="BK47" s="221">
        <f t="shared" si="82"/>
        <v>-75.776440133619175</v>
      </c>
      <c r="BL47" s="221">
        <f t="shared" si="82"/>
        <v>-1.7566829806825446</v>
      </c>
      <c r="BM47" s="221">
        <f t="shared" si="82"/>
        <v>26.603923363813784</v>
      </c>
      <c r="BN47" s="220">
        <f t="shared" si="82"/>
        <v>142.4953235851026</v>
      </c>
      <c r="BO47" s="221">
        <f t="shared" si="82"/>
        <v>-399.83501130202353</v>
      </c>
      <c r="BP47" s="221">
        <f t="shared" si="82"/>
        <v>-3.9269640542410889</v>
      </c>
      <c r="BQ47" s="221">
        <f t="shared" si="82"/>
        <v>82.210212258889698</v>
      </c>
      <c r="BR47" s="221">
        <f t="shared" si="82"/>
        <v>-63.370581408267455</v>
      </c>
      <c r="BS47" s="220">
        <f t="shared" si="82"/>
        <v>-92.519564589675639</v>
      </c>
      <c r="BT47" s="220">
        <f>(BT46-BS46)*10000</f>
        <v>8.1920893622994271</v>
      </c>
      <c r="BU47" s="220">
        <f>(BU46-BT46)*10000</f>
        <v>13.478670612956101</v>
      </c>
      <c r="BV47" s="220">
        <f>(BV46-BU46)*10000</f>
        <v>12.102725887185583</v>
      </c>
      <c r="BW47" s="223"/>
    </row>
    <row r="48" spans="1:75" s="162" customFormat="1" ht="14.25" x14ac:dyDescent="0.45">
      <c r="A48" s="178"/>
      <c r="B48" s="179"/>
      <c r="C48" s="180"/>
      <c r="D48" s="180"/>
      <c r="E48" s="180"/>
      <c r="F48" s="180"/>
      <c r="G48" s="183"/>
      <c r="H48" s="183"/>
      <c r="I48" s="183"/>
      <c r="J48" s="183"/>
      <c r="K48" s="180"/>
      <c r="L48" s="183"/>
      <c r="M48" s="183"/>
      <c r="N48" s="183"/>
      <c r="O48" s="183"/>
      <c r="P48" s="180"/>
      <c r="Q48" s="183"/>
      <c r="R48" s="183"/>
      <c r="S48" s="183"/>
      <c r="T48" s="183"/>
      <c r="U48" s="180"/>
      <c r="V48" s="183"/>
      <c r="W48" s="183"/>
      <c r="X48" s="183"/>
      <c r="Y48" s="183"/>
      <c r="Z48" s="180"/>
      <c r="AA48" s="183"/>
      <c r="AB48" s="183"/>
      <c r="AC48" s="183"/>
      <c r="AD48" s="183"/>
      <c r="AE48" s="180"/>
      <c r="AF48" s="183"/>
      <c r="AG48" s="183"/>
      <c r="AH48" s="183"/>
      <c r="AI48" s="183"/>
      <c r="AJ48" s="180"/>
      <c r="AK48" s="183"/>
      <c r="AL48" s="183"/>
      <c r="AM48" s="183"/>
      <c r="AN48" s="183"/>
      <c r="AO48" s="180"/>
      <c r="AP48" s="183"/>
      <c r="AQ48" s="183"/>
      <c r="AR48" s="183"/>
      <c r="AS48" s="183"/>
      <c r="AT48" s="180"/>
      <c r="AU48" s="183"/>
      <c r="AV48" s="183"/>
      <c r="AW48" s="183"/>
      <c r="AX48" s="183"/>
      <c r="AY48" s="180"/>
      <c r="AZ48" s="183"/>
      <c r="BA48" s="183"/>
      <c r="BB48" s="183"/>
      <c r="BC48" s="183"/>
      <c r="BD48" s="180"/>
      <c r="BE48" s="183"/>
      <c r="BF48" s="183"/>
      <c r="BG48" s="183"/>
      <c r="BH48" s="183"/>
      <c r="BI48" s="180"/>
      <c r="BJ48" s="1112"/>
      <c r="BK48" s="183"/>
      <c r="BL48" s="183"/>
      <c r="BM48" s="183"/>
      <c r="BN48" s="180"/>
      <c r="BO48" s="183"/>
      <c r="BP48" s="183"/>
      <c r="BQ48" s="183"/>
      <c r="BR48" s="183"/>
      <c r="BS48" s="180"/>
      <c r="BT48" s="180"/>
      <c r="BU48" s="180"/>
      <c r="BV48" s="180"/>
      <c r="BW48" s="161"/>
    </row>
    <row r="49" spans="1:75" s="231" customFormat="1" ht="14.25" x14ac:dyDescent="0.45">
      <c r="A49" s="225" t="s">
        <v>1662</v>
      </c>
      <c r="B49" s="226"/>
      <c r="C49" s="227">
        <f t="shared" ref="C49:BN50" si="83">C811</f>
        <v>0.95124277052890327</v>
      </c>
      <c r="D49" s="227">
        <f t="shared" si="83"/>
        <v>1.9481897700918576</v>
      </c>
      <c r="E49" s="227">
        <f t="shared" si="83"/>
        <v>2.2429926253964019</v>
      </c>
      <c r="F49" s="227">
        <f t="shared" si="83"/>
        <v>2.5805983117435751</v>
      </c>
      <c r="G49" s="228">
        <f t="shared" si="83"/>
        <v>0.41658342963372225</v>
      </c>
      <c r="H49" s="228">
        <f t="shared" si="83"/>
        <v>0.49434602908333763</v>
      </c>
      <c r="I49" s="228">
        <f t="shared" si="83"/>
        <v>0.57957552905592535</v>
      </c>
      <c r="J49" s="228">
        <f t="shared" si="83"/>
        <v>1.379744877440114</v>
      </c>
      <c r="K49" s="227">
        <f t="shared" si="83"/>
        <v>2.8438951045410867</v>
      </c>
      <c r="L49" s="228">
        <f t="shared" si="83"/>
        <v>0.48277520968855259</v>
      </c>
      <c r="M49" s="228">
        <f t="shared" si="83"/>
        <v>0.52950260332432464</v>
      </c>
      <c r="N49" s="228">
        <f t="shared" si="83"/>
        <v>0.68381795195954498</v>
      </c>
      <c r="O49" s="228">
        <f t="shared" si="83"/>
        <v>1.5202203094798228</v>
      </c>
      <c r="P49" s="227">
        <f t="shared" si="83"/>
        <v>3.2042647058823612</v>
      </c>
      <c r="Q49" s="228">
        <f t="shared" si="83"/>
        <v>0.48006430868167088</v>
      </c>
      <c r="R49" s="228">
        <f t="shared" si="83"/>
        <v>0.57979344021433965</v>
      </c>
      <c r="S49" s="228">
        <f t="shared" si="83"/>
        <v>0.76776941427653667</v>
      </c>
      <c r="T49" s="228">
        <f t="shared" si="83"/>
        <v>1.5510616784630946</v>
      </c>
      <c r="U49" s="227">
        <f t="shared" si="83"/>
        <v>3.3665718442596249</v>
      </c>
      <c r="V49" s="228">
        <f t="shared" si="83"/>
        <v>0.5274682369578203</v>
      </c>
      <c r="W49" s="228">
        <f t="shared" si="83"/>
        <v>0.57708166176339626</v>
      </c>
      <c r="X49" s="228">
        <f t="shared" si="83"/>
        <v>0.78826886834784349</v>
      </c>
      <c r="Y49" s="228">
        <f t="shared" si="83"/>
        <v>1.551751153633522</v>
      </c>
      <c r="Z49" s="227">
        <f t="shared" si="83"/>
        <v>3.4335945988240861</v>
      </c>
      <c r="AA49" s="228">
        <f t="shared" si="83"/>
        <v>0.50983924295975658</v>
      </c>
      <c r="AB49" s="228">
        <f t="shared" si="83"/>
        <v>0.60930591378039922</v>
      </c>
      <c r="AC49" s="228">
        <f t="shared" si="83"/>
        <v>0.83520331678065862</v>
      </c>
      <c r="AD49" s="228">
        <f t="shared" si="83"/>
        <v>1.6761519214427338</v>
      </c>
      <c r="AE49" s="227">
        <f t="shared" si="83"/>
        <v>3.6125116171003668</v>
      </c>
      <c r="AF49" s="228">
        <f t="shared" si="83"/>
        <v>0.66974362629790518</v>
      </c>
      <c r="AG49" s="228">
        <f t="shared" si="83"/>
        <v>0.76895884184832886</v>
      </c>
      <c r="AH49" s="228">
        <f t="shared" si="83"/>
        <v>0.95322203304711528</v>
      </c>
      <c r="AI49" s="228">
        <f t="shared" si="83"/>
        <v>2.099540164350961</v>
      </c>
      <c r="AJ49" s="227">
        <f t="shared" si="83"/>
        <v>4.4637114403692131</v>
      </c>
      <c r="AK49" s="228">
        <f t="shared" si="83"/>
        <v>0.80702918602176288</v>
      </c>
      <c r="AL49" s="228">
        <f t="shared" si="83"/>
        <v>0.87401535170504963</v>
      </c>
      <c r="AM49" s="228">
        <f t="shared" si="83"/>
        <v>1.020381103913325</v>
      </c>
      <c r="AN49" s="228">
        <f t="shared" si="83"/>
        <v>2.1353406326034059</v>
      </c>
      <c r="AO49" s="227">
        <f t="shared" si="83"/>
        <v>4.83713474282108</v>
      </c>
      <c r="AP49" s="228">
        <f t="shared" si="83"/>
        <v>0.7405834258090026</v>
      </c>
      <c r="AQ49" s="228">
        <f t="shared" si="83"/>
        <v>1.7980672184093629</v>
      </c>
      <c r="AR49" s="228">
        <f t="shared" si="83"/>
        <v>2.5572404578228207</v>
      </c>
      <c r="AS49" s="228">
        <f t="shared" si="83"/>
        <v>3.9485446128480013</v>
      </c>
      <c r="AT49" s="227">
        <f t="shared" si="83"/>
        <v>9.0415154006704146</v>
      </c>
      <c r="AU49" s="228">
        <f t="shared" si="83"/>
        <v>2.932152640631966</v>
      </c>
      <c r="AV49" s="228">
        <f t="shared" si="83"/>
        <v>3.2430403217382211</v>
      </c>
      <c r="AW49" s="228">
        <f t="shared" si="83"/>
        <v>3.3156841315196957</v>
      </c>
      <c r="AX49" s="228">
        <f t="shared" si="83"/>
        <v>5.4199428210944429</v>
      </c>
      <c r="AY49" s="227">
        <f t="shared" si="83"/>
        <v>14.853183854153032</v>
      </c>
      <c r="AZ49" s="228">
        <f t="shared" si="83"/>
        <v>3.4976738424269116</v>
      </c>
      <c r="BA49" s="228">
        <f t="shared" si="83"/>
        <v>3.8661136926217003</v>
      </c>
      <c r="BB49" s="228">
        <f t="shared" si="83"/>
        <v>3.7227768164810628</v>
      </c>
      <c r="BC49" s="228">
        <f t="shared" si="83"/>
        <v>5.5034895314057728</v>
      </c>
      <c r="BD49" s="227">
        <f t="shared" si="83"/>
        <v>16.537641099855257</v>
      </c>
      <c r="BE49" s="228">
        <f t="shared" si="83"/>
        <v>2.6375494782295754</v>
      </c>
      <c r="BF49" s="228">
        <f t="shared" si="83"/>
        <v>3.122880699253014</v>
      </c>
      <c r="BG49" s="228">
        <f t="shared" si="83"/>
        <v>3.6632753882730782</v>
      </c>
      <c r="BH49" s="228">
        <f t="shared" si="83"/>
        <v>5.4406035581070471</v>
      </c>
      <c r="BI49" s="227">
        <f t="shared" si="83"/>
        <v>14.847790783184193</v>
      </c>
      <c r="BJ49" s="1119">
        <f t="shared" si="83"/>
        <v>4.0674577049682297</v>
      </c>
      <c r="BK49" s="228">
        <f t="shared" ca="1" si="83"/>
        <v>2.9429243130878153</v>
      </c>
      <c r="BL49" s="228">
        <f t="shared" ca="1" si="83"/>
        <v>3.5610869798766132</v>
      </c>
      <c r="BM49" s="228">
        <f t="shared" ca="1" si="83"/>
        <v>5.5350206428905881</v>
      </c>
      <c r="BN49" s="227">
        <f t="shared" ca="1" si="83"/>
        <v>16.108180310030896</v>
      </c>
      <c r="BO49" s="228">
        <f t="shared" ref="BO49:BV50" ca="1" si="84">BO811</f>
        <v>3.299269174737991</v>
      </c>
      <c r="BP49" s="228">
        <f t="shared" ca="1" si="84"/>
        <v>3.2639693557789604</v>
      </c>
      <c r="BQ49" s="228">
        <f t="shared" ca="1" si="84"/>
        <v>4.1226784563585195</v>
      </c>
      <c r="BR49" s="228">
        <f t="shared" ca="1" si="84"/>
        <v>5.5688999922464761</v>
      </c>
      <c r="BS49" s="227">
        <f t="shared" ca="1" si="84"/>
        <v>16.254816979121937</v>
      </c>
      <c r="BT49" s="227">
        <f t="shared" ca="1" si="84"/>
        <v>17.532494717040414</v>
      </c>
      <c r="BU49" s="227">
        <f t="shared" ca="1" si="84"/>
        <v>19.101687813095534</v>
      </c>
      <c r="BV49" s="227">
        <f t="shared" ca="1" si="84"/>
        <v>20.803687841670392</v>
      </c>
      <c r="BW49" s="230"/>
    </row>
    <row r="50" spans="1:75" s="238" customFormat="1" ht="14.25" x14ac:dyDescent="0.45">
      <c r="A50" s="232" t="s">
        <v>203</v>
      </c>
      <c r="B50" s="233"/>
      <c r="C50" s="234"/>
      <c r="D50" s="234"/>
      <c r="E50" s="234"/>
      <c r="F50" s="234"/>
      <c r="G50" s="235"/>
      <c r="H50" s="235"/>
      <c r="I50" s="235"/>
      <c r="J50" s="235"/>
      <c r="K50" s="234"/>
      <c r="L50" s="235"/>
      <c r="M50" s="235"/>
      <c r="N50" s="235"/>
      <c r="O50" s="235"/>
      <c r="P50" s="234"/>
      <c r="Q50" s="235"/>
      <c r="R50" s="235"/>
      <c r="S50" s="235"/>
      <c r="T50" s="235"/>
      <c r="U50" s="234"/>
      <c r="V50" s="235"/>
      <c r="W50" s="235"/>
      <c r="X50" s="235"/>
      <c r="Y50" s="235"/>
      <c r="Z50" s="234"/>
      <c r="AA50" s="235"/>
      <c r="AB50" s="235"/>
      <c r="AC50" s="235"/>
      <c r="AD50" s="235"/>
      <c r="AE50" s="234"/>
      <c r="AF50" s="235"/>
      <c r="AG50" s="235"/>
      <c r="AH50" s="235"/>
      <c r="AI50" s="235"/>
      <c r="AJ50" s="234"/>
      <c r="AK50" s="235"/>
      <c r="AL50" s="235"/>
      <c r="AM50" s="235"/>
      <c r="AN50" s="235"/>
      <c r="AO50" s="234"/>
      <c r="AP50" s="235"/>
      <c r="AQ50" s="235"/>
      <c r="AR50" s="235"/>
      <c r="AS50" s="235"/>
      <c r="AT50" s="234"/>
      <c r="AU50" s="235"/>
      <c r="AV50" s="235"/>
      <c r="AW50" s="235"/>
      <c r="AX50" s="235"/>
      <c r="AY50" s="234"/>
      <c r="AZ50" s="235"/>
      <c r="BA50" s="235"/>
      <c r="BB50" s="235"/>
      <c r="BC50" s="235"/>
      <c r="BD50" s="234"/>
      <c r="BE50" s="235"/>
      <c r="BF50" s="235"/>
      <c r="BG50" s="235"/>
      <c r="BH50" s="235"/>
      <c r="BI50" s="234"/>
      <c r="BJ50" s="1120"/>
      <c r="BK50" s="235" t="str">
        <f ca="1">BK812</f>
        <v>N/A</v>
      </c>
      <c r="BL50" s="235" t="str">
        <f ca="1">BL812</f>
        <v>N/A</v>
      </c>
      <c r="BM50" s="235" t="str">
        <f ca="1">BM812</f>
        <v>N/A</v>
      </c>
      <c r="BN50" s="234" t="str">
        <f t="shared" ca="1" si="83"/>
        <v>N/A</v>
      </c>
      <c r="BO50" s="235" t="str">
        <f t="shared" ca="1" si="84"/>
        <v>N/A</v>
      </c>
      <c r="BP50" s="235" t="str">
        <f t="shared" ca="1" si="84"/>
        <v>N/A</v>
      </c>
      <c r="BQ50" s="235" t="str">
        <f t="shared" ca="1" si="84"/>
        <v>N/A</v>
      </c>
      <c r="BR50" s="235" t="str">
        <f t="shared" ca="1" si="84"/>
        <v>N/A</v>
      </c>
      <c r="BS50" s="234" t="str">
        <f t="shared" ca="1" si="84"/>
        <v>N/A</v>
      </c>
      <c r="BT50" s="234" t="str">
        <f t="shared" ca="1" si="84"/>
        <v>N/A</v>
      </c>
      <c r="BU50" s="234" t="str">
        <f t="shared" ca="1" si="84"/>
        <v>N/A</v>
      </c>
      <c r="BV50" s="234" t="str">
        <f t="shared" ca="1" si="84"/>
        <v>N/A</v>
      </c>
      <c r="BW50" s="237"/>
    </row>
    <row r="51" spans="1:75" s="177" customFormat="1" ht="14.25" x14ac:dyDescent="0.45">
      <c r="A51" s="170" t="s">
        <v>1663</v>
      </c>
      <c r="B51" s="171"/>
      <c r="C51" s="172"/>
      <c r="D51" s="172">
        <f t="shared" ref="D51:F51" si="85">IF(C49&gt;0,D49/C49-1,-(D49/C49-1))</f>
        <v>1.0480468608540794</v>
      </c>
      <c r="E51" s="172">
        <f t="shared" si="85"/>
        <v>0.15132142660344861</v>
      </c>
      <c r="F51" s="172">
        <f t="shared" si="85"/>
        <v>0.15051573621982306</v>
      </c>
      <c r="G51" s="175"/>
      <c r="H51" s="175"/>
      <c r="I51" s="175"/>
      <c r="J51" s="175"/>
      <c r="K51" s="172">
        <f t="shared" ref="K51:BS51" si="86">IF(F49&gt;0,K49/F49-1,-(K49/F49-1))</f>
        <v>0.10202935947036873</v>
      </c>
      <c r="L51" s="175">
        <f t="shared" si="86"/>
        <v>0.15889201381108453</v>
      </c>
      <c r="M51" s="175">
        <f t="shared" si="86"/>
        <v>7.1117339217182662E-2</v>
      </c>
      <c r="N51" s="175">
        <f t="shared" si="86"/>
        <v>0.17985994521442406</v>
      </c>
      <c r="O51" s="175">
        <f t="shared" si="86"/>
        <v>0.10181261357558902</v>
      </c>
      <c r="P51" s="172">
        <f t="shared" si="86"/>
        <v>0.12671691046756339</v>
      </c>
      <c r="Q51" s="175">
        <f t="shared" si="86"/>
        <v>-5.6152448437245539E-3</v>
      </c>
      <c r="R51" s="175">
        <f t="shared" si="86"/>
        <v>9.4977506388597366E-2</v>
      </c>
      <c r="S51" s="175">
        <f t="shared" si="86"/>
        <v>0.12276873117533826</v>
      </c>
      <c r="T51" s="175">
        <f t="shared" si="86"/>
        <v>2.0287433861362336E-2</v>
      </c>
      <c r="U51" s="172">
        <f t="shared" si="86"/>
        <v>5.0653473815475136E-2</v>
      </c>
      <c r="V51" s="175">
        <f t="shared" si="86"/>
        <v>9.8744954413144681E-2</v>
      </c>
      <c r="W51" s="175">
        <f t="shared" si="86"/>
        <v>-4.6771457951315654E-3</v>
      </c>
      <c r="X51" s="175">
        <f t="shared" si="86"/>
        <v>2.6700013949661372E-2</v>
      </c>
      <c r="Y51" s="175">
        <f t="shared" si="86"/>
        <v>4.4451821613611386E-4</v>
      </c>
      <c r="Z51" s="172">
        <f t="shared" si="86"/>
        <v>1.99083095994943E-2</v>
      </c>
      <c r="AA51" s="175">
        <f t="shared" si="86"/>
        <v>-3.3421906311817295E-2</v>
      </c>
      <c r="AB51" s="175">
        <f t="shared" si="86"/>
        <v>5.5840020836106508E-2</v>
      </c>
      <c r="AC51" s="175">
        <f t="shared" si="86"/>
        <v>5.9541167128909223E-2</v>
      </c>
      <c r="AD51" s="175">
        <f t="shared" si="86"/>
        <v>8.0167987965028775E-2</v>
      </c>
      <c r="AE51" s="172">
        <f t="shared" si="86"/>
        <v>5.2107787662980076E-2</v>
      </c>
      <c r="AF51" s="175">
        <f t="shared" si="86"/>
        <v>0.31363686798579837</v>
      </c>
      <c r="AG51" s="175">
        <f t="shared" si="86"/>
        <v>0.26202425490567349</v>
      </c>
      <c r="AH51" s="175">
        <f t="shared" si="86"/>
        <v>0.14130537306935853</v>
      </c>
      <c r="AI51" s="175">
        <f t="shared" si="86"/>
        <v>0.25259538678558391</v>
      </c>
      <c r="AJ51" s="172">
        <f t="shared" si="86"/>
        <v>0.23562549092979079</v>
      </c>
      <c r="AK51" s="175">
        <f t="shared" si="86"/>
        <v>0.20498225639372114</v>
      </c>
      <c r="AL51" s="175">
        <f t="shared" si="86"/>
        <v>0.13662175937037002</v>
      </c>
      <c r="AM51" s="175">
        <f t="shared" si="86"/>
        <v>7.0454803327956839E-2</v>
      </c>
      <c r="AN51" s="175">
        <f t="shared" si="86"/>
        <v>1.7051575797556673E-2</v>
      </c>
      <c r="AO51" s="172">
        <f t="shared" si="86"/>
        <v>8.3657581239386714E-2</v>
      </c>
      <c r="AP51" s="175">
        <f t="shared" si="86"/>
        <v>-8.2333775981886848E-2</v>
      </c>
      <c r="AQ51" s="175">
        <f t="shared" si="86"/>
        <v>1.0572490115896147</v>
      </c>
      <c r="AR51" s="175">
        <f t="shared" si="86"/>
        <v>1.5061621074865008</v>
      </c>
      <c r="AS51" s="175">
        <f t="shared" si="86"/>
        <v>0.84914039126110685</v>
      </c>
      <c r="AT51" s="172">
        <f t="shared" si="86"/>
        <v>0.86918824498101221</v>
      </c>
      <c r="AU51" s="175">
        <f t="shared" si="86"/>
        <v>2.9592469105407333</v>
      </c>
      <c r="AV51" s="175">
        <f t="shared" si="86"/>
        <v>0.80362574242754681</v>
      </c>
      <c r="AW51" s="175">
        <f t="shared" si="86"/>
        <v>0.29658676460273026</v>
      </c>
      <c r="AX51" s="175">
        <f t="shared" si="86"/>
        <v>0.37264317679448822</v>
      </c>
      <c r="AY51" s="172">
        <f t="shared" si="86"/>
        <v>0.64277592814271944</v>
      </c>
      <c r="AZ51" s="175">
        <f t="shared" si="86"/>
        <v>0.1928689502580121</v>
      </c>
      <c r="BA51" s="175">
        <f t="shared" si="86"/>
        <v>0.19212631021174631</v>
      </c>
      <c r="BB51" s="175">
        <f t="shared" si="86"/>
        <v>0.12277788498953979</v>
      </c>
      <c r="BC51" s="175">
        <f t="shared" si="86"/>
        <v>1.5414684816630553E-2</v>
      </c>
      <c r="BD51" s="172">
        <f t="shared" si="86"/>
        <v>0.11340714975606003</v>
      </c>
      <c r="BE51" s="175">
        <f t="shared" si="86"/>
        <v>-0.24591325633739669</v>
      </c>
      <c r="BF51" s="175">
        <f t="shared" si="86"/>
        <v>-0.19224292208144633</v>
      </c>
      <c r="BG51" s="175">
        <f t="shared" si="86"/>
        <v>-1.5983076918435368E-2</v>
      </c>
      <c r="BH51" s="175">
        <f t="shared" si="86"/>
        <v>-1.1426563626561914E-2</v>
      </c>
      <c r="BI51" s="172">
        <f t="shared" si="86"/>
        <v>-0.1021820649310049</v>
      </c>
      <c r="BJ51" s="1111">
        <f t="shared" si="86"/>
        <v>0.5421351290435179</v>
      </c>
      <c r="BK51" s="175">
        <f t="shared" ca="1" si="86"/>
        <v>-5.7625123562435099E-2</v>
      </c>
      <c r="BL51" s="175">
        <f t="shared" ca="1" si="86"/>
        <v>-2.7895366186116322E-2</v>
      </c>
      <c r="BM51" s="175">
        <f t="shared" ca="1" si="86"/>
        <v>1.735415634959292E-2</v>
      </c>
      <c r="BN51" s="172">
        <f t="shared" ca="1" si="86"/>
        <v>8.4887344201681092E-2</v>
      </c>
      <c r="BO51" s="175">
        <f t="shared" ca="1" si="86"/>
        <v>-0.18886208190731235</v>
      </c>
      <c r="BP51" s="175">
        <f t="shared" ca="1" si="86"/>
        <v>0.10909048569933955</v>
      </c>
      <c r="BQ51" s="175">
        <f t="shared" ca="1" si="86"/>
        <v>0.15770226328517389</v>
      </c>
      <c r="BR51" s="175">
        <f t="shared" ca="1" si="86"/>
        <v>6.1209074982229161E-3</v>
      </c>
      <c r="BS51" s="172">
        <f t="shared" ca="1" si="86"/>
        <v>9.1032423444954436E-3</v>
      </c>
      <c r="BT51" s="172">
        <f ca="1">IF(BS49&gt;0,BT49/BS49-1,-(BT49/BS49-1))</f>
        <v>7.8603022080135032E-2</v>
      </c>
      <c r="BU51" s="172">
        <f ca="1">IF(BT49&gt;0,BU49/BT49-1,-(BU49/BT49-1))</f>
        <v>8.9501985962669117E-2</v>
      </c>
      <c r="BV51" s="172">
        <f ca="1">IF(BU49&gt;0,BV49/BU49-1,-(BV49/BU49-1))</f>
        <v>8.9102075441104045E-2</v>
      </c>
      <c r="BW51" s="176"/>
    </row>
    <row r="52" spans="1:75" s="162" customFormat="1" ht="14.25" x14ac:dyDescent="0.45">
      <c r="A52" s="178"/>
      <c r="B52" s="179"/>
      <c r="C52" s="180"/>
      <c r="D52" s="180"/>
      <c r="E52" s="180"/>
      <c r="F52" s="180"/>
      <c r="G52" s="183"/>
      <c r="H52" s="183"/>
      <c r="I52" s="183"/>
      <c r="J52" s="183"/>
      <c r="K52" s="180"/>
      <c r="L52" s="183"/>
      <c r="M52" s="183"/>
      <c r="N52" s="183"/>
      <c r="O52" s="183"/>
      <c r="P52" s="180"/>
      <c r="Q52" s="183"/>
      <c r="R52" s="183"/>
      <c r="S52" s="183"/>
      <c r="T52" s="183"/>
      <c r="U52" s="180"/>
      <c r="V52" s="183"/>
      <c r="W52" s="183"/>
      <c r="X52" s="183"/>
      <c r="Y52" s="183"/>
      <c r="Z52" s="180"/>
      <c r="AA52" s="183"/>
      <c r="AB52" s="183"/>
      <c r="AC52" s="183"/>
      <c r="AD52" s="183"/>
      <c r="AE52" s="180"/>
      <c r="AF52" s="183"/>
      <c r="AG52" s="183"/>
      <c r="AH52" s="183"/>
      <c r="AI52" s="183"/>
      <c r="AJ52" s="180"/>
      <c r="AK52" s="183"/>
      <c r="AL52" s="183"/>
      <c r="AM52" s="183"/>
      <c r="AN52" s="183"/>
      <c r="AO52" s="180"/>
      <c r="AP52" s="183"/>
      <c r="AQ52" s="183"/>
      <c r="AR52" s="183"/>
      <c r="AS52" s="183"/>
      <c r="AT52" s="180"/>
      <c r="AU52" s="183"/>
      <c r="AV52" s="183"/>
      <c r="AW52" s="183"/>
      <c r="AX52" s="183"/>
      <c r="AY52" s="180"/>
      <c r="AZ52" s="183"/>
      <c r="BA52" s="183"/>
      <c r="BB52" s="183"/>
      <c r="BC52" s="183"/>
      <c r="BD52" s="180"/>
      <c r="BE52" s="183"/>
      <c r="BF52" s="183"/>
      <c r="BG52" s="183"/>
      <c r="BH52" s="183"/>
      <c r="BI52" s="180"/>
      <c r="BJ52" s="1112"/>
      <c r="BK52" s="183"/>
      <c r="BL52" s="183"/>
      <c r="BM52" s="183"/>
      <c r="BN52" s="180"/>
      <c r="BO52" s="183"/>
      <c r="BP52" s="183"/>
      <c r="BQ52" s="183"/>
      <c r="BR52" s="183"/>
      <c r="BS52" s="180"/>
      <c r="BT52" s="180"/>
      <c r="BU52" s="180"/>
      <c r="BV52" s="180"/>
      <c r="BW52" s="161"/>
    </row>
    <row r="53" spans="1:75" s="198" customFormat="1" ht="14.25" x14ac:dyDescent="0.45">
      <c r="A53" s="239" t="s">
        <v>1664</v>
      </c>
      <c r="B53" s="239"/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39"/>
      <c r="AY53" s="239"/>
      <c r="AZ53" s="239"/>
      <c r="BA53" s="239"/>
      <c r="BB53" s="239"/>
      <c r="BC53" s="239"/>
      <c r="BD53" s="239"/>
      <c r="BE53" s="239"/>
      <c r="BF53" s="239"/>
      <c r="BG53" s="239"/>
      <c r="BH53" s="239"/>
      <c r="BI53" s="239"/>
      <c r="BJ53" s="241"/>
      <c r="BK53" s="239"/>
      <c r="BL53" s="239"/>
      <c r="BM53" s="239"/>
      <c r="BN53" s="239"/>
      <c r="BO53" s="239"/>
      <c r="BP53" s="239"/>
      <c r="BQ53" s="239"/>
      <c r="BR53" s="239"/>
      <c r="BS53" s="239"/>
      <c r="BT53" s="239"/>
      <c r="BU53" s="239"/>
      <c r="BV53" s="239"/>
      <c r="BW53" s="197"/>
    </row>
    <row r="54" spans="1:75" s="169" customFormat="1" ht="14.25" outlineLevel="1" x14ac:dyDescent="0.45">
      <c r="A54" s="558" t="s">
        <v>1665</v>
      </c>
      <c r="B54" s="1121"/>
      <c r="C54" s="1122">
        <v>204</v>
      </c>
      <c r="D54" s="1123">
        <f t="shared" ref="D54:J54" si="87">C57</f>
        <v>199</v>
      </c>
      <c r="E54" s="1123">
        <f t="shared" si="87"/>
        <v>193</v>
      </c>
      <c r="F54" s="1123">
        <f t="shared" si="87"/>
        <v>194</v>
      </c>
      <c r="G54" s="168">
        <f t="shared" si="87"/>
        <v>192</v>
      </c>
      <c r="H54" s="168">
        <f t="shared" si="87"/>
        <v>195</v>
      </c>
      <c r="I54" s="168">
        <f t="shared" si="87"/>
        <v>196</v>
      </c>
      <c r="J54" s="168">
        <f t="shared" si="87"/>
        <v>196</v>
      </c>
      <c r="K54" s="1123">
        <f>F57</f>
        <v>192</v>
      </c>
      <c r="L54" s="168">
        <f>K57</f>
        <v>194</v>
      </c>
      <c r="M54" s="168">
        <f>L57</f>
        <v>195</v>
      </c>
      <c r="N54" s="168">
        <f>M57</f>
        <v>195</v>
      </c>
      <c r="O54" s="168">
        <f>N57</f>
        <v>198</v>
      </c>
      <c r="P54" s="1123">
        <f>K57</f>
        <v>194</v>
      </c>
      <c r="Q54" s="168">
        <f>P57</f>
        <v>199</v>
      </c>
      <c r="R54" s="168">
        <f>Q57</f>
        <v>198</v>
      </c>
      <c r="S54" s="168">
        <f>R57</f>
        <v>199</v>
      </c>
      <c r="T54" s="168">
        <f>S57</f>
        <v>200</v>
      </c>
      <c r="U54" s="1123">
        <f>P57</f>
        <v>199</v>
      </c>
      <c r="V54" s="168">
        <f>U57</f>
        <v>197</v>
      </c>
      <c r="W54" s="168">
        <f>V57</f>
        <v>200</v>
      </c>
      <c r="X54" s="168">
        <f>W57</f>
        <v>201</v>
      </c>
      <c r="Y54" s="168">
        <f>X57</f>
        <v>202</v>
      </c>
      <c r="Z54" s="1123">
        <f>U57</f>
        <v>197</v>
      </c>
      <c r="AA54" s="168">
        <f>Z57</f>
        <v>201</v>
      </c>
      <c r="AB54" s="168">
        <f>AA57</f>
        <v>199</v>
      </c>
      <c r="AC54" s="168">
        <f>AB57</f>
        <v>204</v>
      </c>
      <c r="AD54" s="168">
        <f>AC57</f>
        <v>202</v>
      </c>
      <c r="AE54" s="1123">
        <f>Z57</f>
        <v>201</v>
      </c>
      <c r="AF54" s="168">
        <f>AE57</f>
        <v>203</v>
      </c>
      <c r="AG54" s="168">
        <f>AF57</f>
        <v>203</v>
      </c>
      <c r="AH54" s="168">
        <f>AG57</f>
        <v>205</v>
      </c>
      <c r="AI54" s="168">
        <f>AH57</f>
        <v>205</v>
      </c>
      <c r="AJ54" s="1123">
        <f>AE57</f>
        <v>203</v>
      </c>
      <c r="AK54" s="168">
        <f>AJ57</f>
        <v>205</v>
      </c>
      <c r="AL54" s="168">
        <f>AK57</f>
        <v>205</v>
      </c>
      <c r="AM54" s="168">
        <f>AL57</f>
        <v>205</v>
      </c>
      <c r="AN54" s="168">
        <f>AM57</f>
        <v>205</v>
      </c>
      <c r="AO54" s="1123">
        <f>AJ57</f>
        <v>205</v>
      </c>
      <c r="AP54" s="168">
        <f>AO57</f>
        <v>201</v>
      </c>
      <c r="AQ54" s="168">
        <f>AP57</f>
        <v>201</v>
      </c>
      <c r="AR54" s="168">
        <f>AQ57</f>
        <v>201</v>
      </c>
      <c r="AS54" s="168">
        <f>AR57</f>
        <v>201</v>
      </c>
      <c r="AT54" s="1123">
        <f>AO57</f>
        <v>201</v>
      </c>
      <c r="AU54" s="168">
        <f>AT57</f>
        <v>195</v>
      </c>
      <c r="AV54" s="168">
        <f>AU57</f>
        <v>195</v>
      </c>
      <c r="AW54" s="168">
        <f>AV57</f>
        <v>195</v>
      </c>
      <c r="AX54" s="168">
        <f>AW57</f>
        <v>195</v>
      </c>
      <c r="AY54" s="1123">
        <f>AT57</f>
        <v>195</v>
      </c>
      <c r="AZ54" s="168">
        <f>AY57</f>
        <v>188</v>
      </c>
      <c r="BA54" s="168">
        <f>AZ57</f>
        <v>188</v>
      </c>
      <c r="BB54" s="168">
        <f>BA57</f>
        <v>189</v>
      </c>
      <c r="BC54" s="168">
        <f>BB57</f>
        <v>189</v>
      </c>
      <c r="BD54" s="1123">
        <f>AY57</f>
        <v>188</v>
      </c>
      <c r="BE54" s="168">
        <f>BD57</f>
        <v>188</v>
      </c>
      <c r="BF54" s="168">
        <f>BE57</f>
        <v>188</v>
      </c>
      <c r="BG54" s="168">
        <f>BF57</f>
        <v>190</v>
      </c>
      <c r="BH54" s="168">
        <f>BG57</f>
        <v>191</v>
      </c>
      <c r="BI54" s="1123">
        <f>BD57</f>
        <v>188</v>
      </c>
      <c r="BJ54" s="1124">
        <f>BI57</f>
        <v>184</v>
      </c>
      <c r="BK54" s="247">
        <f>BJ57</f>
        <v>184</v>
      </c>
      <c r="BL54" s="247">
        <f>BK57</f>
        <v>182</v>
      </c>
      <c r="BM54" s="247">
        <f>BL57</f>
        <v>180</v>
      </c>
      <c r="BN54" s="840">
        <f>BI57</f>
        <v>184</v>
      </c>
      <c r="BO54" s="247">
        <f>BN57</f>
        <v>178</v>
      </c>
      <c r="BP54" s="247">
        <f>BO57</f>
        <v>176</v>
      </c>
      <c r="BQ54" s="247">
        <f>BP57</f>
        <v>174</v>
      </c>
      <c r="BR54" s="247">
        <f>BQ57</f>
        <v>172</v>
      </c>
      <c r="BS54" s="840">
        <f>BN57</f>
        <v>178</v>
      </c>
      <c r="BT54" s="840">
        <f>BS57</f>
        <v>170</v>
      </c>
      <c r="BU54" s="840">
        <f>BT57</f>
        <v>170</v>
      </c>
      <c r="BV54" s="840">
        <f>BU57</f>
        <v>170</v>
      </c>
      <c r="BW54" s="168"/>
    </row>
    <row r="55" spans="1:75" s="224" customFormat="1" outlineLevel="1" x14ac:dyDescent="0.5">
      <c r="A55" s="533" t="s">
        <v>1666</v>
      </c>
      <c r="B55" s="494"/>
      <c r="C55" s="427">
        <f>2+1+0+2</f>
        <v>5</v>
      </c>
      <c r="D55" s="427">
        <f>0+1+0+2</f>
        <v>3</v>
      </c>
      <c r="E55" s="427">
        <f>0+1+4+10+3</f>
        <v>18</v>
      </c>
      <c r="F55" s="427">
        <f>2+4+1+1</f>
        <v>8</v>
      </c>
      <c r="G55" s="256">
        <v>4</v>
      </c>
      <c r="H55" s="256">
        <v>1</v>
      </c>
      <c r="I55" s="256">
        <v>1</v>
      </c>
      <c r="J55" s="256">
        <v>1</v>
      </c>
      <c r="K55" s="1125">
        <f>SUM(G55,H55,I55,J55)</f>
        <v>7</v>
      </c>
      <c r="L55" s="256">
        <v>2</v>
      </c>
      <c r="M55" s="256">
        <v>0</v>
      </c>
      <c r="N55" s="256">
        <v>3</v>
      </c>
      <c r="O55" s="256">
        <v>2</v>
      </c>
      <c r="P55" s="1125">
        <f>SUM(L55,M55,N55,O55)</f>
        <v>7</v>
      </c>
      <c r="Q55" s="256">
        <v>0</v>
      </c>
      <c r="R55" s="256">
        <v>2</v>
      </c>
      <c r="S55" s="256">
        <v>2</v>
      </c>
      <c r="T55" s="256">
        <v>0</v>
      </c>
      <c r="U55" s="1125">
        <f>SUM(Q55,R55,S55,T55)</f>
        <v>4</v>
      </c>
      <c r="V55" s="256">
        <v>3</v>
      </c>
      <c r="W55" s="256">
        <v>1</v>
      </c>
      <c r="X55" s="256">
        <v>1</v>
      </c>
      <c r="Y55" s="256">
        <v>1</v>
      </c>
      <c r="Z55" s="1125">
        <f>SUM(V55,W55,X55,Y55)</f>
        <v>6</v>
      </c>
      <c r="AA55" s="256">
        <v>1</v>
      </c>
      <c r="AB55" s="256">
        <v>6</v>
      </c>
      <c r="AC55" s="256">
        <v>1</v>
      </c>
      <c r="AD55" s="256">
        <v>2</v>
      </c>
      <c r="AE55" s="1125">
        <f>SUM(AA55,AB55,AC55,AD55)</f>
        <v>10</v>
      </c>
      <c r="AF55" s="256">
        <v>1</v>
      </c>
      <c r="AG55" s="256">
        <v>2</v>
      </c>
      <c r="AH55" s="256">
        <v>0</v>
      </c>
      <c r="AI55" s="256">
        <v>3</v>
      </c>
      <c r="AJ55" s="1125">
        <f>SUM(AF55,AG55,AH55,AI55)</f>
        <v>6</v>
      </c>
      <c r="AK55" s="256">
        <v>0</v>
      </c>
      <c r="AL55" s="256">
        <v>2</v>
      </c>
      <c r="AM55" s="256">
        <v>0</v>
      </c>
      <c r="AN55" s="256">
        <v>0</v>
      </c>
      <c r="AO55" s="1125">
        <f>SUM(AK55,AL55,AM55,AN55)</f>
        <v>2</v>
      </c>
      <c r="AP55" s="256">
        <v>0</v>
      </c>
      <c r="AQ55" s="256">
        <v>0</v>
      </c>
      <c r="AR55" s="256">
        <v>1</v>
      </c>
      <c r="AS55" s="256">
        <v>0</v>
      </c>
      <c r="AT55" s="1125">
        <f>SUM(AP55,AQ55,AR55,AS55)</f>
        <v>1</v>
      </c>
      <c r="AU55" s="256">
        <v>2</v>
      </c>
      <c r="AV55" s="256">
        <v>1</v>
      </c>
      <c r="AW55" s="256">
        <v>0</v>
      </c>
      <c r="AX55" s="256">
        <v>1</v>
      </c>
      <c r="AY55" s="1125">
        <f>SUM(AU55,AV55,AW55,AX55)</f>
        <v>4</v>
      </c>
      <c r="AZ55" s="256">
        <v>1</v>
      </c>
      <c r="BA55" s="256">
        <v>2</v>
      </c>
      <c r="BB55" s="256">
        <v>2</v>
      </c>
      <c r="BC55" s="256">
        <v>2</v>
      </c>
      <c r="BD55" s="1125">
        <f>SUM(AZ55,BA55,BB55,BC55)</f>
        <v>7</v>
      </c>
      <c r="BE55" s="256">
        <v>0</v>
      </c>
      <c r="BF55" s="256">
        <v>3</v>
      </c>
      <c r="BG55" s="256">
        <v>2</v>
      </c>
      <c r="BH55" s="256">
        <v>1</v>
      </c>
      <c r="BI55" s="1125">
        <f>SUM(BE55,BF55,BG55,BH55)</f>
        <v>6</v>
      </c>
      <c r="BJ55" s="1126">
        <v>1</v>
      </c>
      <c r="BK55" s="256">
        <v>0</v>
      </c>
      <c r="BL55" s="256">
        <v>0</v>
      </c>
      <c r="BM55" s="256">
        <v>0</v>
      </c>
      <c r="BN55" s="425">
        <f>SUM(BJ55,BK55,BL55,BM55)</f>
        <v>1</v>
      </c>
      <c r="BO55" s="256">
        <v>0</v>
      </c>
      <c r="BP55" s="256">
        <v>0</v>
      </c>
      <c r="BQ55" s="256">
        <v>0</v>
      </c>
      <c r="BR55" s="256">
        <v>0</v>
      </c>
      <c r="BS55" s="425">
        <f>SUM(BO55,BP55,BQ55,BR55)</f>
        <v>0</v>
      </c>
      <c r="BT55" s="427">
        <v>0</v>
      </c>
      <c r="BU55" s="427">
        <v>0</v>
      </c>
      <c r="BV55" s="427">
        <v>0</v>
      </c>
      <c r="BW55" s="223"/>
    </row>
    <row r="56" spans="1:75" s="224" customFormat="1" outlineLevel="1" x14ac:dyDescent="0.5">
      <c r="A56" s="533" t="s">
        <v>1667</v>
      </c>
      <c r="B56" s="494"/>
      <c r="C56" s="427">
        <f>-7-1+0-2</f>
        <v>-10</v>
      </c>
      <c r="D56" s="427">
        <f>-5+0-2-2</f>
        <v>-9</v>
      </c>
      <c r="E56" s="427">
        <f>-7+0-5-5</f>
        <v>-17</v>
      </c>
      <c r="F56" s="427">
        <f>-3-4-1-2</f>
        <v>-10</v>
      </c>
      <c r="G56" s="256">
        <v>-1</v>
      </c>
      <c r="H56" s="256">
        <v>0</v>
      </c>
      <c r="I56" s="256">
        <v>-1</v>
      </c>
      <c r="J56" s="256">
        <v>-3</v>
      </c>
      <c r="K56" s="1125">
        <f>SUM(G56,H56,I56,J56)</f>
        <v>-5</v>
      </c>
      <c r="L56" s="256">
        <v>-1</v>
      </c>
      <c r="M56" s="256">
        <v>0</v>
      </c>
      <c r="N56" s="256">
        <v>0</v>
      </c>
      <c r="O56" s="256">
        <v>-1</v>
      </c>
      <c r="P56" s="1125">
        <f>SUM(L56,M56,N56,O56)</f>
        <v>-2</v>
      </c>
      <c r="Q56" s="256">
        <v>-1</v>
      </c>
      <c r="R56" s="256">
        <v>-1</v>
      </c>
      <c r="S56" s="256">
        <v>-1</v>
      </c>
      <c r="T56" s="256">
        <v>-3</v>
      </c>
      <c r="U56" s="1125">
        <f>SUM(Q56,R56,S56,T56)</f>
        <v>-6</v>
      </c>
      <c r="V56" s="256">
        <v>0</v>
      </c>
      <c r="W56" s="256">
        <v>0</v>
      </c>
      <c r="X56" s="256">
        <v>0</v>
      </c>
      <c r="Y56" s="256">
        <v>-2</v>
      </c>
      <c r="Z56" s="1125">
        <f>SUM(V56,W56,X56,Y56)</f>
        <v>-2</v>
      </c>
      <c r="AA56" s="256">
        <v>-3</v>
      </c>
      <c r="AB56" s="256">
        <v>-1</v>
      </c>
      <c r="AC56" s="256">
        <v>-3</v>
      </c>
      <c r="AD56" s="256">
        <v>-1</v>
      </c>
      <c r="AE56" s="1125">
        <f>SUM(AA56,AB56,AC56,AD56)</f>
        <v>-8</v>
      </c>
      <c r="AF56" s="256">
        <v>-1</v>
      </c>
      <c r="AG56" s="256">
        <v>0</v>
      </c>
      <c r="AH56" s="256">
        <v>0</v>
      </c>
      <c r="AI56" s="256">
        <v>-3</v>
      </c>
      <c r="AJ56" s="1125">
        <f>SUM(AF56,AG56,AH56,AI56)</f>
        <v>-4</v>
      </c>
      <c r="AK56" s="256">
        <v>0</v>
      </c>
      <c r="AL56" s="256">
        <v>-2</v>
      </c>
      <c r="AM56" s="256">
        <v>0</v>
      </c>
      <c r="AN56" s="256">
        <v>-4</v>
      </c>
      <c r="AO56" s="1125">
        <f>SUM(AK56,AL56,AM56,AN56)</f>
        <v>-6</v>
      </c>
      <c r="AP56" s="256">
        <v>0</v>
      </c>
      <c r="AQ56" s="256">
        <v>0</v>
      </c>
      <c r="AR56" s="256">
        <v>-1</v>
      </c>
      <c r="AS56" s="256">
        <v>-6</v>
      </c>
      <c r="AT56" s="1125">
        <f>SUM(AP56,AQ56,AR56,AS56)</f>
        <v>-7</v>
      </c>
      <c r="AU56" s="256">
        <v>-2</v>
      </c>
      <c r="AV56" s="256">
        <v>-1</v>
      </c>
      <c r="AW56" s="256">
        <v>0</v>
      </c>
      <c r="AX56" s="256">
        <v>-8</v>
      </c>
      <c r="AY56" s="1125">
        <f>SUM(AU56,AV56,AW56,AX56)</f>
        <v>-11</v>
      </c>
      <c r="AZ56" s="256">
        <v>-1</v>
      </c>
      <c r="BA56" s="256">
        <v>-1</v>
      </c>
      <c r="BB56" s="256">
        <v>-2</v>
      </c>
      <c r="BC56" s="256">
        <v>-3</v>
      </c>
      <c r="BD56" s="1125">
        <f>SUM(AZ56,BA56,BB56,BC56)</f>
        <v>-7</v>
      </c>
      <c r="BE56" s="256">
        <v>0</v>
      </c>
      <c r="BF56" s="256">
        <v>-1</v>
      </c>
      <c r="BG56" s="356">
        <v>-1</v>
      </c>
      <c r="BH56" s="256">
        <v>-8</v>
      </c>
      <c r="BI56" s="1125">
        <f>SUM(BE56,BF56,BG56,BH56)</f>
        <v>-10</v>
      </c>
      <c r="BJ56" s="1126">
        <v>-1</v>
      </c>
      <c r="BK56" s="256">
        <v>-2</v>
      </c>
      <c r="BL56" s="256">
        <v>-2</v>
      </c>
      <c r="BM56" s="256">
        <v>-2</v>
      </c>
      <c r="BN56" s="425">
        <f>SUM(BJ56,BK56,BL56,BM56)</f>
        <v>-7</v>
      </c>
      <c r="BO56" s="256">
        <v>-2</v>
      </c>
      <c r="BP56" s="256">
        <v>-2</v>
      </c>
      <c r="BQ56" s="256">
        <v>-2</v>
      </c>
      <c r="BR56" s="256">
        <v>-2</v>
      </c>
      <c r="BS56" s="425">
        <f>SUM(BO56,BP56,BQ56,BR56)</f>
        <v>-8</v>
      </c>
      <c r="BT56" s="427">
        <v>0</v>
      </c>
      <c r="BU56" s="427">
        <v>0</v>
      </c>
      <c r="BV56" s="427">
        <v>0</v>
      </c>
      <c r="BW56" s="223"/>
    </row>
    <row r="57" spans="1:75" s="169" customFormat="1" ht="14.25" outlineLevel="1" x14ac:dyDescent="0.45">
      <c r="A57" s="360" t="s">
        <v>1668</v>
      </c>
      <c r="B57" s="1127"/>
      <c r="C57" s="1128">
        <f t="shared" ref="C57:J57" si="88">SUM(C54:C56)</f>
        <v>199</v>
      </c>
      <c r="D57" s="1128">
        <f t="shared" si="88"/>
        <v>193</v>
      </c>
      <c r="E57" s="1128">
        <f t="shared" si="88"/>
        <v>194</v>
      </c>
      <c r="F57" s="1128">
        <f t="shared" si="88"/>
        <v>192</v>
      </c>
      <c r="G57" s="287">
        <f t="shared" si="88"/>
        <v>195</v>
      </c>
      <c r="H57" s="287">
        <f t="shared" si="88"/>
        <v>196</v>
      </c>
      <c r="I57" s="287">
        <f t="shared" si="88"/>
        <v>196</v>
      </c>
      <c r="J57" s="287">
        <f t="shared" si="88"/>
        <v>194</v>
      </c>
      <c r="K57" s="1128">
        <f>J57</f>
        <v>194</v>
      </c>
      <c r="L57" s="287">
        <f>SUM(L54:L56)</f>
        <v>195</v>
      </c>
      <c r="M57" s="287">
        <f>SUM(M54:M56)</f>
        <v>195</v>
      </c>
      <c r="N57" s="287">
        <f>SUM(N54:N56)</f>
        <v>198</v>
      </c>
      <c r="O57" s="287">
        <f>SUM(O54:O56)</f>
        <v>199</v>
      </c>
      <c r="P57" s="1128">
        <f>O57</f>
        <v>199</v>
      </c>
      <c r="Q57" s="287">
        <f>SUM(Q54:Q56)</f>
        <v>198</v>
      </c>
      <c r="R57" s="287">
        <f>SUM(R54:R56)</f>
        <v>199</v>
      </c>
      <c r="S57" s="287">
        <f>SUM(S54:S56)</f>
        <v>200</v>
      </c>
      <c r="T57" s="287">
        <f>SUM(T54:T56)</f>
        <v>197</v>
      </c>
      <c r="U57" s="1128">
        <f>T57</f>
        <v>197</v>
      </c>
      <c r="V57" s="287">
        <f>SUM(V54:V56)</f>
        <v>200</v>
      </c>
      <c r="W57" s="287">
        <f>SUM(W54:W56)</f>
        <v>201</v>
      </c>
      <c r="X57" s="287">
        <f>SUM(X54:X56)</f>
        <v>202</v>
      </c>
      <c r="Y57" s="287">
        <f>SUM(Y54:Y56)</f>
        <v>201</v>
      </c>
      <c r="Z57" s="1128">
        <f>Y57</f>
        <v>201</v>
      </c>
      <c r="AA57" s="287">
        <f>SUM(AA54:AA56)</f>
        <v>199</v>
      </c>
      <c r="AB57" s="287">
        <f>SUM(AB54:AB56)</f>
        <v>204</v>
      </c>
      <c r="AC57" s="287">
        <f>SUM(AC54:AC56)</f>
        <v>202</v>
      </c>
      <c r="AD57" s="287">
        <f>SUM(AD54:AD56)</f>
        <v>203</v>
      </c>
      <c r="AE57" s="1128">
        <f>AD57</f>
        <v>203</v>
      </c>
      <c r="AF57" s="287">
        <f>SUM(AF54:AF56)</f>
        <v>203</v>
      </c>
      <c r="AG57" s="287">
        <f>SUM(AG54:AG56)</f>
        <v>205</v>
      </c>
      <c r="AH57" s="287">
        <f>SUM(AH54:AH56)</f>
        <v>205</v>
      </c>
      <c r="AI57" s="287">
        <f>SUM(AI54:AI56)</f>
        <v>205</v>
      </c>
      <c r="AJ57" s="1128">
        <f>AI57</f>
        <v>205</v>
      </c>
      <c r="AK57" s="287">
        <f>SUM(AK54:AK56)</f>
        <v>205</v>
      </c>
      <c r="AL57" s="287">
        <f>SUM(AL54:AL56)</f>
        <v>205</v>
      </c>
      <c r="AM57" s="287">
        <f>SUM(AM54:AM56)</f>
        <v>205</v>
      </c>
      <c r="AN57" s="287">
        <f>SUM(AN54:AN56)</f>
        <v>201</v>
      </c>
      <c r="AO57" s="1128">
        <f>AN57</f>
        <v>201</v>
      </c>
      <c r="AP57" s="287">
        <f>SUM(AP54:AP56)</f>
        <v>201</v>
      </c>
      <c r="AQ57" s="287">
        <f>SUM(AQ54:AQ56)</f>
        <v>201</v>
      </c>
      <c r="AR57" s="287">
        <f>SUM(AR54:AR56)</f>
        <v>201</v>
      </c>
      <c r="AS57" s="287">
        <f>SUM(AS54:AS56)</f>
        <v>195</v>
      </c>
      <c r="AT57" s="1128">
        <f>AS57</f>
        <v>195</v>
      </c>
      <c r="AU57" s="287">
        <f>SUM(AU54:AU56)</f>
        <v>195</v>
      </c>
      <c r="AV57" s="287">
        <f>SUM(AV54:AV56)</f>
        <v>195</v>
      </c>
      <c r="AW57" s="287">
        <f>SUM(AW54:AW56)</f>
        <v>195</v>
      </c>
      <c r="AX57" s="287">
        <f>SUM(AX54:AX56)</f>
        <v>188</v>
      </c>
      <c r="AY57" s="1128">
        <f>AX57</f>
        <v>188</v>
      </c>
      <c r="AZ57" s="287">
        <f t="shared" ref="AZ57:BB57" si="89">SUM(AZ54:AZ56)</f>
        <v>188</v>
      </c>
      <c r="BA57" s="287">
        <f t="shared" si="89"/>
        <v>189</v>
      </c>
      <c r="BB57" s="287">
        <f t="shared" si="89"/>
        <v>189</v>
      </c>
      <c r="BC57" s="287">
        <f>SUM(BC54:BC56)</f>
        <v>188</v>
      </c>
      <c r="BD57" s="1128">
        <f>BC57</f>
        <v>188</v>
      </c>
      <c r="BE57" s="287">
        <f>SUM(BE54:BE56)</f>
        <v>188</v>
      </c>
      <c r="BF57" s="287">
        <f>SUM(BF54:BF56)</f>
        <v>190</v>
      </c>
      <c r="BG57" s="247">
        <f>SUM(BG54:BG56)</f>
        <v>191</v>
      </c>
      <c r="BH57" s="287">
        <f>SUM(BH54:BH56)</f>
        <v>184</v>
      </c>
      <c r="BI57" s="1128">
        <f>BH57</f>
        <v>184</v>
      </c>
      <c r="BJ57" s="1129">
        <f>SUM(BJ54:BJ56)</f>
        <v>184</v>
      </c>
      <c r="BK57" s="287">
        <f t="shared" ref="BK57:BV57" si="90">SUM(BK54:BK56)</f>
        <v>182</v>
      </c>
      <c r="BL57" s="287">
        <f t="shared" si="90"/>
        <v>180</v>
      </c>
      <c r="BM57" s="287">
        <f t="shared" si="90"/>
        <v>178</v>
      </c>
      <c r="BN57" s="1128">
        <f t="shared" si="90"/>
        <v>178</v>
      </c>
      <c r="BO57" s="287">
        <f t="shared" si="90"/>
        <v>176</v>
      </c>
      <c r="BP57" s="287">
        <f t="shared" si="90"/>
        <v>174</v>
      </c>
      <c r="BQ57" s="287">
        <f t="shared" si="90"/>
        <v>172</v>
      </c>
      <c r="BR57" s="287">
        <f t="shared" si="90"/>
        <v>170</v>
      </c>
      <c r="BS57" s="1128">
        <f t="shared" si="90"/>
        <v>170</v>
      </c>
      <c r="BT57" s="1128">
        <f t="shared" si="90"/>
        <v>170</v>
      </c>
      <c r="BU57" s="1128">
        <f t="shared" si="90"/>
        <v>170</v>
      </c>
      <c r="BV57" s="1128">
        <f t="shared" si="90"/>
        <v>170</v>
      </c>
      <c r="BW57" s="168"/>
    </row>
    <row r="58" spans="1:75" s="177" customFormat="1" ht="14.25" outlineLevel="1" x14ac:dyDescent="0.45">
      <c r="A58" s="170" t="s">
        <v>1669</v>
      </c>
      <c r="B58" s="491"/>
      <c r="C58" s="417"/>
      <c r="D58" s="417"/>
      <c r="E58" s="417"/>
      <c r="F58" s="417"/>
      <c r="G58" s="378"/>
      <c r="H58" s="378">
        <f t="shared" ref="H58:J58" si="91">H57/G57-1</f>
        <v>5.12820512820511E-3</v>
      </c>
      <c r="I58" s="378">
        <f t="shared" si="91"/>
        <v>0</v>
      </c>
      <c r="J58" s="378">
        <f t="shared" si="91"/>
        <v>-1.0204081632653073E-2</v>
      </c>
      <c r="K58" s="417"/>
      <c r="L58" s="378">
        <f>L57/J57-1</f>
        <v>5.1546391752577136E-3</v>
      </c>
      <c r="M58" s="378">
        <f t="shared" ref="M58:O58" si="92">M57/L57-1</f>
        <v>0</v>
      </c>
      <c r="N58" s="378">
        <f t="shared" si="92"/>
        <v>1.538461538461533E-2</v>
      </c>
      <c r="O58" s="378">
        <f t="shared" si="92"/>
        <v>5.050505050504972E-3</v>
      </c>
      <c r="P58" s="417"/>
      <c r="Q58" s="378">
        <f>Q57/O57-1</f>
        <v>-5.0251256281407253E-3</v>
      </c>
      <c r="R58" s="378">
        <f t="shared" ref="R58:T58" si="93">R57/Q57-1</f>
        <v>5.050505050504972E-3</v>
      </c>
      <c r="S58" s="378">
        <f t="shared" si="93"/>
        <v>5.0251256281406143E-3</v>
      </c>
      <c r="T58" s="378">
        <f t="shared" si="93"/>
        <v>-1.5000000000000013E-2</v>
      </c>
      <c r="U58" s="417"/>
      <c r="V58" s="378">
        <f>V57/T57-1</f>
        <v>1.5228426395939021E-2</v>
      </c>
      <c r="W58" s="378">
        <f t="shared" ref="W58:Y58" si="94">W57/V57-1</f>
        <v>4.9999999999998934E-3</v>
      </c>
      <c r="X58" s="378">
        <f t="shared" si="94"/>
        <v>4.9751243781095411E-3</v>
      </c>
      <c r="Y58" s="378">
        <f t="shared" si="94"/>
        <v>-4.9504950495049549E-3</v>
      </c>
      <c r="Z58" s="417"/>
      <c r="AA58" s="378">
        <f>AA57/Y57-1</f>
        <v>-9.9502487562188602E-3</v>
      </c>
      <c r="AB58" s="378">
        <f t="shared" ref="AB58:AD58" si="95">AB57/AA57-1</f>
        <v>2.5125628140703515E-2</v>
      </c>
      <c r="AC58" s="378">
        <f t="shared" si="95"/>
        <v>-9.8039215686274161E-3</v>
      </c>
      <c r="AD58" s="378">
        <f t="shared" si="95"/>
        <v>4.9504950495049549E-3</v>
      </c>
      <c r="AE58" s="417"/>
      <c r="AF58" s="378">
        <f>AF57/AD57-1</f>
        <v>0</v>
      </c>
      <c r="AG58" s="378">
        <f t="shared" ref="AG58:AI58" si="96">AG57/AF57-1</f>
        <v>9.8522167487684609E-3</v>
      </c>
      <c r="AH58" s="378">
        <f t="shared" si="96"/>
        <v>0</v>
      </c>
      <c r="AI58" s="378">
        <f t="shared" si="96"/>
        <v>0</v>
      </c>
      <c r="AJ58" s="417"/>
      <c r="AK58" s="378">
        <f>AK57/AI57-1</f>
        <v>0</v>
      </c>
      <c r="AL58" s="378">
        <f t="shared" ref="AL58:AN58" si="97">AL57/AK57-1</f>
        <v>0</v>
      </c>
      <c r="AM58" s="378">
        <f t="shared" si="97"/>
        <v>0</v>
      </c>
      <c r="AN58" s="378">
        <f t="shared" si="97"/>
        <v>-1.9512195121951237E-2</v>
      </c>
      <c r="AO58" s="417"/>
      <c r="AP58" s="378">
        <f>AP57/AN57-1</f>
        <v>0</v>
      </c>
      <c r="AQ58" s="378">
        <f t="shared" ref="AQ58:AS58" si="98">AQ57/AP57-1</f>
        <v>0</v>
      </c>
      <c r="AR58" s="378">
        <f t="shared" si="98"/>
        <v>0</v>
      </c>
      <c r="AS58" s="378">
        <f t="shared" si="98"/>
        <v>-2.9850746268656692E-2</v>
      </c>
      <c r="AT58" s="417"/>
      <c r="AU58" s="378">
        <f>AU57/AS57-1</f>
        <v>0</v>
      </c>
      <c r="AV58" s="378">
        <f t="shared" ref="AV58:BA58" si="99">AV57/AU57-1</f>
        <v>0</v>
      </c>
      <c r="AW58" s="378">
        <f t="shared" si="99"/>
        <v>0</v>
      </c>
      <c r="AX58" s="378">
        <f t="shared" si="99"/>
        <v>-3.5897435897435881E-2</v>
      </c>
      <c r="AY58" s="417"/>
      <c r="AZ58" s="378">
        <f>AZ57/AX57-1</f>
        <v>0</v>
      </c>
      <c r="BA58" s="378">
        <f t="shared" si="99"/>
        <v>5.3191489361701372E-3</v>
      </c>
      <c r="BB58" s="378">
        <f>BB57/BA57-1</f>
        <v>0</v>
      </c>
      <c r="BC58" s="378">
        <f>BC57/BB57-1</f>
        <v>-5.2910052910053462E-3</v>
      </c>
      <c r="BD58" s="417"/>
      <c r="BE58" s="378">
        <f>BE57/BC57-1</f>
        <v>0</v>
      </c>
      <c r="BF58" s="378">
        <f>BF57/BE57-1</f>
        <v>1.0638297872340496E-2</v>
      </c>
      <c r="BG58" s="378">
        <f>BG57/BF57-1</f>
        <v>5.2631578947368585E-3</v>
      </c>
      <c r="BH58" s="378">
        <f>BH57/BG57-1</f>
        <v>-3.6649214659685847E-2</v>
      </c>
      <c r="BI58" s="417"/>
      <c r="BJ58" s="1130">
        <f>BJ57/BH57-1</f>
        <v>0</v>
      </c>
      <c r="BK58" s="378">
        <f>BK57/BJ57-1</f>
        <v>-1.0869565217391353E-2</v>
      </c>
      <c r="BL58" s="378">
        <f>BL57/BK57-1</f>
        <v>-1.098901098901095E-2</v>
      </c>
      <c r="BM58" s="378">
        <f>BM57/BL57-1</f>
        <v>-1.1111111111111072E-2</v>
      </c>
      <c r="BN58" s="417"/>
      <c r="BO58" s="378">
        <f>BO57/BM57-1</f>
        <v>-1.1235955056179803E-2</v>
      </c>
      <c r="BP58" s="378">
        <f>BP57/BO57-1</f>
        <v>-1.1363636363636354E-2</v>
      </c>
      <c r="BQ58" s="378">
        <f>BQ57/BP57-1</f>
        <v>-1.1494252873563204E-2</v>
      </c>
      <c r="BR58" s="378">
        <f>BR57/BQ57-1</f>
        <v>-1.1627906976744207E-2</v>
      </c>
      <c r="BS58" s="417"/>
      <c r="BT58" s="417"/>
      <c r="BU58" s="417"/>
      <c r="BV58" s="417"/>
      <c r="BW58" s="176"/>
    </row>
    <row r="59" spans="1:75" s="177" customFormat="1" ht="14.25" outlineLevel="1" x14ac:dyDescent="0.45">
      <c r="A59" s="170" t="s">
        <v>1670</v>
      </c>
      <c r="B59" s="491"/>
      <c r="C59" s="417"/>
      <c r="D59" s="417">
        <f t="shared" ref="D59:E59" si="100">D57/C57-1</f>
        <v>-3.0150753768844241E-2</v>
      </c>
      <c r="E59" s="417">
        <f t="shared" si="100"/>
        <v>5.1813471502590858E-3</v>
      </c>
      <c r="F59" s="417">
        <f>F57/E57-1</f>
        <v>-1.0309278350515427E-2</v>
      </c>
      <c r="G59" s="378"/>
      <c r="H59" s="378"/>
      <c r="I59" s="378"/>
      <c r="J59" s="378"/>
      <c r="K59" s="417">
        <f t="shared" ref="K59:BS59" si="101">K57/F57-1</f>
        <v>1.0416666666666741E-2</v>
      </c>
      <c r="L59" s="378">
        <f t="shared" si="101"/>
        <v>0</v>
      </c>
      <c r="M59" s="378">
        <f t="shared" si="101"/>
        <v>-5.1020408163264808E-3</v>
      </c>
      <c r="N59" s="378">
        <f t="shared" si="101"/>
        <v>1.0204081632652962E-2</v>
      </c>
      <c r="O59" s="378">
        <f t="shared" si="101"/>
        <v>2.5773195876288568E-2</v>
      </c>
      <c r="P59" s="417">
        <f t="shared" si="101"/>
        <v>2.5773195876288568E-2</v>
      </c>
      <c r="Q59" s="378">
        <f t="shared" si="101"/>
        <v>1.538461538461533E-2</v>
      </c>
      <c r="R59" s="378">
        <f t="shared" si="101"/>
        <v>2.051282051282044E-2</v>
      </c>
      <c r="S59" s="378">
        <f t="shared" si="101"/>
        <v>1.0101010101010166E-2</v>
      </c>
      <c r="T59" s="378">
        <f t="shared" si="101"/>
        <v>-1.0050251256281451E-2</v>
      </c>
      <c r="U59" s="417">
        <f t="shared" si="101"/>
        <v>-1.0050251256281451E-2</v>
      </c>
      <c r="V59" s="378">
        <f t="shared" si="101"/>
        <v>1.0101010101010166E-2</v>
      </c>
      <c r="W59" s="378">
        <f t="shared" si="101"/>
        <v>1.0050251256281451E-2</v>
      </c>
      <c r="X59" s="378">
        <f t="shared" si="101"/>
        <v>1.0000000000000009E-2</v>
      </c>
      <c r="Y59" s="378">
        <f t="shared" si="101"/>
        <v>2.0304568527918843E-2</v>
      </c>
      <c r="Z59" s="417">
        <f t="shared" si="101"/>
        <v>2.0304568527918843E-2</v>
      </c>
      <c r="AA59" s="378">
        <f t="shared" si="101"/>
        <v>-5.0000000000000044E-3</v>
      </c>
      <c r="AB59" s="378">
        <f t="shared" si="101"/>
        <v>1.4925373134328401E-2</v>
      </c>
      <c r="AC59" s="378">
        <f t="shared" si="101"/>
        <v>0</v>
      </c>
      <c r="AD59" s="378">
        <f t="shared" si="101"/>
        <v>9.9502487562188602E-3</v>
      </c>
      <c r="AE59" s="417">
        <f t="shared" si="101"/>
        <v>9.9502487562188602E-3</v>
      </c>
      <c r="AF59" s="378">
        <f t="shared" si="101"/>
        <v>2.0100502512562901E-2</v>
      </c>
      <c r="AG59" s="378">
        <f t="shared" si="101"/>
        <v>4.9019607843137081E-3</v>
      </c>
      <c r="AH59" s="378">
        <f t="shared" si="101"/>
        <v>1.4851485148514865E-2</v>
      </c>
      <c r="AI59" s="378">
        <f t="shared" si="101"/>
        <v>9.8522167487684609E-3</v>
      </c>
      <c r="AJ59" s="417">
        <f t="shared" si="101"/>
        <v>9.8522167487684609E-3</v>
      </c>
      <c r="AK59" s="378">
        <f t="shared" si="101"/>
        <v>9.8522167487684609E-3</v>
      </c>
      <c r="AL59" s="378">
        <f t="shared" si="101"/>
        <v>0</v>
      </c>
      <c r="AM59" s="378">
        <f t="shared" si="101"/>
        <v>0</v>
      </c>
      <c r="AN59" s="378">
        <f t="shared" si="101"/>
        <v>-1.9512195121951237E-2</v>
      </c>
      <c r="AO59" s="417">
        <f t="shared" si="101"/>
        <v>-1.9512195121951237E-2</v>
      </c>
      <c r="AP59" s="378">
        <f t="shared" si="101"/>
        <v>-1.9512195121951237E-2</v>
      </c>
      <c r="AQ59" s="378">
        <f t="shared" si="101"/>
        <v>-1.9512195121951237E-2</v>
      </c>
      <c r="AR59" s="378">
        <f t="shared" si="101"/>
        <v>-1.9512195121951237E-2</v>
      </c>
      <c r="AS59" s="378">
        <f t="shared" si="101"/>
        <v>-2.9850746268656692E-2</v>
      </c>
      <c r="AT59" s="417">
        <f t="shared" si="101"/>
        <v>-2.9850746268656692E-2</v>
      </c>
      <c r="AU59" s="378">
        <f t="shared" si="101"/>
        <v>-2.9850746268656692E-2</v>
      </c>
      <c r="AV59" s="378">
        <f t="shared" si="101"/>
        <v>-2.9850746268656692E-2</v>
      </c>
      <c r="AW59" s="378">
        <f t="shared" si="101"/>
        <v>-2.9850746268656692E-2</v>
      </c>
      <c r="AX59" s="378">
        <f t="shared" si="101"/>
        <v>-3.5897435897435881E-2</v>
      </c>
      <c r="AY59" s="417">
        <f t="shared" si="101"/>
        <v>-3.5897435897435881E-2</v>
      </c>
      <c r="AZ59" s="378">
        <f t="shared" si="101"/>
        <v>-3.5897435897435881E-2</v>
      </c>
      <c r="BA59" s="378">
        <f t="shared" si="101"/>
        <v>-3.0769230769230771E-2</v>
      </c>
      <c r="BB59" s="378">
        <f t="shared" si="101"/>
        <v>-3.0769230769230771E-2</v>
      </c>
      <c r="BC59" s="378">
        <f t="shared" si="101"/>
        <v>0</v>
      </c>
      <c r="BD59" s="417">
        <f t="shared" si="101"/>
        <v>0</v>
      </c>
      <c r="BE59" s="378">
        <f t="shared" si="101"/>
        <v>0</v>
      </c>
      <c r="BF59" s="378">
        <f t="shared" si="101"/>
        <v>5.2910052910053462E-3</v>
      </c>
      <c r="BG59" s="378">
        <f t="shared" si="101"/>
        <v>1.0582010582010692E-2</v>
      </c>
      <c r="BH59" s="378">
        <f t="shared" si="101"/>
        <v>-2.1276595744680882E-2</v>
      </c>
      <c r="BI59" s="417">
        <f t="shared" si="101"/>
        <v>-2.1276595744680882E-2</v>
      </c>
      <c r="BJ59" s="1130">
        <f>BJ57/BE57-1</f>
        <v>-2.1276595744680882E-2</v>
      </c>
      <c r="BK59" s="378">
        <f t="shared" si="101"/>
        <v>-4.2105263157894757E-2</v>
      </c>
      <c r="BL59" s="378">
        <f t="shared" si="101"/>
        <v>-5.759162303664922E-2</v>
      </c>
      <c r="BM59" s="378">
        <f t="shared" si="101"/>
        <v>-3.2608695652173947E-2</v>
      </c>
      <c r="BN59" s="417">
        <f t="shared" si="101"/>
        <v>-3.2608695652173947E-2</v>
      </c>
      <c r="BO59" s="378">
        <f t="shared" si="101"/>
        <v>-4.3478260869565188E-2</v>
      </c>
      <c r="BP59" s="378">
        <f t="shared" si="101"/>
        <v>-4.3956043956043911E-2</v>
      </c>
      <c r="BQ59" s="378">
        <f t="shared" si="101"/>
        <v>-4.4444444444444398E-2</v>
      </c>
      <c r="BR59" s="378">
        <f t="shared" si="101"/>
        <v>-4.49438202247191E-2</v>
      </c>
      <c r="BS59" s="417">
        <f t="shared" si="101"/>
        <v>-4.49438202247191E-2</v>
      </c>
      <c r="BT59" s="417">
        <f>BT57/BS57-1</f>
        <v>0</v>
      </c>
      <c r="BU59" s="417">
        <f>BU57/BT57-1</f>
        <v>0</v>
      </c>
      <c r="BV59" s="417">
        <f>BV57/BU57-1</f>
        <v>0</v>
      </c>
      <c r="BW59" s="176"/>
    </row>
    <row r="60" spans="1:75" s="169" customFormat="1" ht="14.25" outlineLevel="1" x14ac:dyDescent="0.45">
      <c r="A60" s="163" t="s">
        <v>1671</v>
      </c>
      <c r="B60" s="1121"/>
      <c r="C60" s="840">
        <f t="shared" ref="C60:J60" si="102">AVERAGE(C57,C54)</f>
        <v>201.5</v>
      </c>
      <c r="D60" s="840">
        <f t="shared" si="102"/>
        <v>196</v>
      </c>
      <c r="E60" s="840">
        <f t="shared" si="102"/>
        <v>193.5</v>
      </c>
      <c r="F60" s="840">
        <f t="shared" si="102"/>
        <v>193</v>
      </c>
      <c r="G60" s="247">
        <f t="shared" si="102"/>
        <v>193.5</v>
      </c>
      <c r="H60" s="247">
        <f t="shared" si="102"/>
        <v>195.5</v>
      </c>
      <c r="I60" s="247">
        <f t="shared" si="102"/>
        <v>196</v>
      </c>
      <c r="J60" s="247">
        <f t="shared" si="102"/>
        <v>195</v>
      </c>
      <c r="K60" s="840">
        <f>SUM(G60*G$3,H60*H$3,I60*I$3,J60*J$3)/K$3</f>
        <v>195</v>
      </c>
      <c r="L60" s="247">
        <f>AVERAGE(L57,L54)</f>
        <v>194.5</v>
      </c>
      <c r="M60" s="247">
        <f>AVERAGE(M57,M54)</f>
        <v>195</v>
      </c>
      <c r="N60" s="247">
        <f>AVERAGE(N57,N54)</f>
        <v>196.5</v>
      </c>
      <c r="O60" s="247">
        <f>AVERAGE(O57,O54)</f>
        <v>198.5</v>
      </c>
      <c r="P60" s="840">
        <f>SUM(L60*L$3,M60*M$3,N60*N$3,O60*O$3)/P$3</f>
        <v>196.125</v>
      </c>
      <c r="Q60" s="247">
        <f>AVERAGE(Q57,Q54)</f>
        <v>198.5</v>
      </c>
      <c r="R60" s="247">
        <f>AVERAGE(R57,R54)</f>
        <v>198.5</v>
      </c>
      <c r="S60" s="247">
        <f>AVERAGE(S57,S54)</f>
        <v>199.5</v>
      </c>
      <c r="T60" s="247">
        <f>AVERAGE(T57,T54)</f>
        <v>198.5</v>
      </c>
      <c r="U60" s="840">
        <f>SUM(Q60*Q$3,R60*R$3,S60*S$3,T60*T$3)/U$3</f>
        <v>198.75</v>
      </c>
      <c r="V60" s="247">
        <f>AVERAGE(V57,V54)</f>
        <v>198.5</v>
      </c>
      <c r="W60" s="247">
        <f>AVERAGE(W57,W54)</f>
        <v>200.5</v>
      </c>
      <c r="X60" s="247">
        <f>AVERAGE(X57,X54)</f>
        <v>201.5</v>
      </c>
      <c r="Y60" s="247">
        <f>AVERAGE(Y57,Y54)</f>
        <v>201.5</v>
      </c>
      <c r="Z60" s="840">
        <f>SUM(V60*V$3,W60*W$3,X60*X$3,Y60*Y$3)/Z$3</f>
        <v>200.5</v>
      </c>
      <c r="AA60" s="247">
        <f>AVERAGE(AA57,AA54)</f>
        <v>200</v>
      </c>
      <c r="AB60" s="247">
        <f>AVERAGE(AB57,AB54)</f>
        <v>201.5</v>
      </c>
      <c r="AC60" s="247">
        <f>AVERAGE(AC57,AC54)</f>
        <v>203</v>
      </c>
      <c r="AD60" s="247">
        <f>AVERAGE(AD57,AD54)</f>
        <v>202.5</v>
      </c>
      <c r="AE60" s="840">
        <f>SUM(AA60*AA$3,AB60*AB$3,AC60*AC$3,AD60*AD$3)/AE$3</f>
        <v>201.75</v>
      </c>
      <c r="AF60" s="247">
        <f>AVERAGE(AF57,AF54)</f>
        <v>203</v>
      </c>
      <c r="AG60" s="247">
        <f>AVERAGE(AG57,AG54)</f>
        <v>204</v>
      </c>
      <c r="AH60" s="247">
        <f>AVERAGE(AH57,AH54)</f>
        <v>205</v>
      </c>
      <c r="AI60" s="247">
        <f>AVERAGE(AI57,AI54)</f>
        <v>205</v>
      </c>
      <c r="AJ60" s="840">
        <f>SUM(AF60*AF$3,AG60*AG$3,AH60*AH$3,AI60*AI$3)/AJ$3</f>
        <v>204.26415094339623</v>
      </c>
      <c r="AK60" s="247">
        <f>AVERAGE(AK57,AK54)</f>
        <v>205</v>
      </c>
      <c r="AL60" s="247">
        <f>AVERAGE(AL57,AL54)</f>
        <v>205</v>
      </c>
      <c r="AM60" s="247">
        <f>AVERAGE(AM57,AM54)</f>
        <v>205</v>
      </c>
      <c r="AN60" s="247">
        <f>AVERAGE(AN57,AN54)</f>
        <v>203</v>
      </c>
      <c r="AO60" s="840">
        <f>SUM(AK60*AK$3,AL60*AL$3,AM60*AM$3,AN60*AN$3)/AO$3</f>
        <v>204.5</v>
      </c>
      <c r="AP60" s="247">
        <f>AVERAGE(AP57,AP54)</f>
        <v>201</v>
      </c>
      <c r="AQ60" s="247">
        <f>AVERAGE(AQ57,AQ54)</f>
        <v>201</v>
      </c>
      <c r="AR60" s="247">
        <f>AVERAGE(AR57,AR54)</f>
        <v>201</v>
      </c>
      <c r="AS60" s="247">
        <f>AVERAGE(AS57,AS54)</f>
        <v>198</v>
      </c>
      <c r="AT60" s="840">
        <f>SUM(AP60*AP$3,AQ60*AQ$3,AR60*AR$3,AS60*AS$3)/AT$3</f>
        <v>200.25</v>
      </c>
      <c r="AU60" s="247">
        <f>AVERAGE(AU57,AU54)</f>
        <v>195</v>
      </c>
      <c r="AV60" s="247">
        <f>AVERAGE(AV57,AV54)</f>
        <v>195</v>
      </c>
      <c r="AW60" s="247">
        <f>AVERAGE(AW57,AW54)</f>
        <v>195</v>
      </c>
      <c r="AX60" s="247">
        <f>AVERAGE(AX57,AX54)</f>
        <v>191.5</v>
      </c>
      <c r="AY60" s="840">
        <f>SUM(AU60*AU$3,AV60*AV$3,AW60*AW$3,AX60*AX$3)/AY$3</f>
        <v>194.125</v>
      </c>
      <c r="AZ60" s="247">
        <f>AVERAGE(AZ57,AZ54)</f>
        <v>188</v>
      </c>
      <c r="BA60" s="247">
        <f>AVERAGE(BA57,BA54)</f>
        <v>188.5</v>
      </c>
      <c r="BB60" s="247">
        <f>AVERAGE(BB57,BB54)</f>
        <v>189</v>
      </c>
      <c r="BC60" s="247">
        <f>AVERAGE(BC57,BC54)</f>
        <v>188.5</v>
      </c>
      <c r="BD60" s="840">
        <f>SUM(AZ60*AZ$3,BA60*BA$3,BB60*BB$3,BC60*BC$3)/BD$3</f>
        <v>188.5</v>
      </c>
      <c r="BE60" s="247">
        <f>AVERAGE(BE57,BE54)</f>
        <v>188</v>
      </c>
      <c r="BF60" s="247">
        <f>AVERAGE(BF57,BF54)</f>
        <v>189</v>
      </c>
      <c r="BG60" s="247">
        <f>AVERAGE(BG57,BG54)</f>
        <v>190.5</v>
      </c>
      <c r="BH60" s="247">
        <f>AVERAGE(BH57,BH54)</f>
        <v>187.5</v>
      </c>
      <c r="BI60" s="840">
        <f>SUM(BE60*BE$3,BF60*BF$3,BG60*BG$3,BH60*BH$3)/BI$3</f>
        <v>188.75</v>
      </c>
      <c r="BJ60" s="977">
        <f>AVERAGE(BJ57,BJ54)</f>
        <v>184</v>
      </c>
      <c r="BK60" s="247">
        <f>AVERAGE(BK57,BK54)</f>
        <v>183</v>
      </c>
      <c r="BL60" s="247">
        <f>AVERAGE(BL57,BL54)</f>
        <v>181</v>
      </c>
      <c r="BM60" s="247">
        <f>AVERAGE(BM57,BM54)</f>
        <v>179</v>
      </c>
      <c r="BN60" s="840">
        <f>SUM(BJ60*BJ$3,BK60*BK$3,BL60*BL$3,BM60*BM$3)/BN$3</f>
        <v>181.69811320754718</v>
      </c>
      <c r="BO60" s="247">
        <f>AVERAGE(BO57,BO54)</f>
        <v>177</v>
      </c>
      <c r="BP60" s="247">
        <f>AVERAGE(BP57,BP54)</f>
        <v>175</v>
      </c>
      <c r="BQ60" s="247">
        <f>AVERAGE(BQ57,BQ54)</f>
        <v>173</v>
      </c>
      <c r="BR60" s="247">
        <f>AVERAGE(BR57,BR54)</f>
        <v>171</v>
      </c>
      <c r="BS60" s="840">
        <f>SUM(BO60*BO$3,BP60*BP$3,BQ60*BQ$3,BR60*BR$3)/BS$3</f>
        <v>174</v>
      </c>
      <c r="BT60" s="840">
        <f>AVERAGE(BT57,BT54)</f>
        <v>170</v>
      </c>
      <c r="BU60" s="840">
        <f>AVERAGE(BU57,BU54)</f>
        <v>170</v>
      </c>
      <c r="BV60" s="840">
        <f>AVERAGE(BV57,BV54)</f>
        <v>170</v>
      </c>
      <c r="BW60" s="168"/>
    </row>
    <row r="61" spans="1:75" s="169" customFormat="1" ht="14.25" outlineLevel="1" x14ac:dyDescent="0.45">
      <c r="A61" s="163"/>
      <c r="B61" s="1121"/>
      <c r="C61" s="840"/>
      <c r="D61" s="840"/>
      <c r="E61" s="840"/>
      <c r="F61" s="840"/>
      <c r="G61" s="247"/>
      <c r="H61" s="247"/>
      <c r="I61" s="247"/>
      <c r="J61" s="247"/>
      <c r="K61" s="840"/>
      <c r="L61" s="247"/>
      <c r="M61" s="247"/>
      <c r="N61" s="247"/>
      <c r="O61" s="247"/>
      <c r="P61" s="840"/>
      <c r="Q61" s="247"/>
      <c r="R61" s="247"/>
      <c r="S61" s="247"/>
      <c r="T61" s="247"/>
      <c r="U61" s="840"/>
      <c r="V61" s="247"/>
      <c r="W61" s="247"/>
      <c r="X61" s="247"/>
      <c r="Y61" s="247"/>
      <c r="Z61" s="840"/>
      <c r="AA61" s="247"/>
      <c r="AB61" s="247"/>
      <c r="AC61" s="247"/>
      <c r="AD61" s="247"/>
      <c r="AE61" s="840"/>
      <c r="AF61" s="247"/>
      <c r="AG61" s="247"/>
      <c r="AH61" s="247"/>
      <c r="AI61" s="247"/>
      <c r="AJ61" s="840"/>
      <c r="AK61" s="247"/>
      <c r="AL61" s="247"/>
      <c r="AM61" s="247"/>
      <c r="AN61" s="247"/>
      <c r="AO61" s="840"/>
      <c r="AP61" s="247"/>
      <c r="AQ61" s="247"/>
      <c r="AR61" s="247"/>
      <c r="AS61" s="247"/>
      <c r="AT61" s="840"/>
      <c r="AU61" s="247"/>
      <c r="AV61" s="247"/>
      <c r="AW61" s="247"/>
      <c r="AX61" s="247"/>
      <c r="AY61" s="840"/>
      <c r="AZ61" s="247"/>
      <c r="BA61" s="247"/>
      <c r="BB61" s="247"/>
      <c r="BC61" s="247"/>
      <c r="BD61" s="840"/>
      <c r="BE61" s="247"/>
      <c r="BF61" s="247"/>
      <c r="BG61" s="247"/>
      <c r="BH61" s="247"/>
      <c r="BI61" s="840"/>
      <c r="BJ61" s="977"/>
      <c r="BK61" s="247"/>
      <c r="BL61" s="247"/>
      <c r="BM61" s="247"/>
      <c r="BN61" s="840"/>
      <c r="BO61" s="247"/>
      <c r="BP61" s="247"/>
      <c r="BQ61" s="247"/>
      <c r="BR61" s="247"/>
      <c r="BS61" s="840"/>
      <c r="BT61" s="840"/>
      <c r="BU61" s="840"/>
      <c r="BV61" s="840"/>
      <c r="BW61" s="168"/>
    </row>
    <row r="62" spans="1:75" s="224" customFormat="1" outlineLevel="1" x14ac:dyDescent="0.5">
      <c r="A62" s="588" t="s">
        <v>1672</v>
      </c>
      <c r="B62" s="494"/>
      <c r="C62" s="425"/>
      <c r="D62" s="425">
        <f>C57+SUM(D56)</f>
        <v>190</v>
      </c>
      <c r="E62" s="425">
        <f>D57+SUM(E56)</f>
        <v>176</v>
      </c>
      <c r="F62" s="425">
        <f>E57+SUM(F56)</f>
        <v>184</v>
      </c>
      <c r="G62" s="487"/>
      <c r="H62" s="487"/>
      <c r="I62" s="487"/>
      <c r="J62" s="487"/>
      <c r="K62" s="425">
        <f>F57+SUM(K56)</f>
        <v>187</v>
      </c>
      <c r="L62" s="487">
        <f>G57+SUM(L56,J56,I56,H56)</f>
        <v>190</v>
      </c>
      <c r="M62" s="487">
        <f>H57+SUM(M56,L56,J56,I56)</f>
        <v>191</v>
      </c>
      <c r="N62" s="487">
        <f>I57+SUM(N56,M56,L56,J56)</f>
        <v>192</v>
      </c>
      <c r="O62" s="487">
        <f>J57+SUM(O56,N56,M56,L56)</f>
        <v>192</v>
      </c>
      <c r="P62" s="425">
        <f>K57+SUM(P56)</f>
        <v>192</v>
      </c>
      <c r="Q62" s="487">
        <f>L57+SUM(Q56,O56,N56,M56)</f>
        <v>193</v>
      </c>
      <c r="R62" s="487">
        <f>M57+SUM(R56,Q56,O56,N56)</f>
        <v>192</v>
      </c>
      <c r="S62" s="487">
        <f>N57+SUM(S56,R56,Q56,O56)</f>
        <v>194</v>
      </c>
      <c r="T62" s="487">
        <f>O57+SUM(T56,S56,R56,Q56)</f>
        <v>193</v>
      </c>
      <c r="U62" s="425">
        <f>P57+SUM(U56)</f>
        <v>193</v>
      </c>
      <c r="V62" s="487">
        <f>Q57+SUM(V56,T56,S56,R56)</f>
        <v>193</v>
      </c>
      <c r="W62" s="487">
        <f>R57+SUM(W56,V56,T56,S56)</f>
        <v>195</v>
      </c>
      <c r="X62" s="487">
        <f>S57+SUM(X56,W56,V56,T56)</f>
        <v>197</v>
      </c>
      <c r="Y62" s="487">
        <f>T57+SUM(Y56,X56,W56,V56)</f>
        <v>195</v>
      </c>
      <c r="Z62" s="425">
        <f>U57+SUM(Z56)</f>
        <v>195</v>
      </c>
      <c r="AA62" s="487">
        <f>V57+SUM(AA56,Y56,X56,W56)</f>
        <v>195</v>
      </c>
      <c r="AB62" s="487">
        <f>W57+SUM(AB56,AA56,Y56,X56)</f>
        <v>195</v>
      </c>
      <c r="AC62" s="487">
        <f>X57+SUM(AC56,AB56,AA56,Y56)</f>
        <v>193</v>
      </c>
      <c r="AD62" s="487">
        <f>Y57+SUM(AD56,AC56,AB56,AA56)</f>
        <v>193</v>
      </c>
      <c r="AE62" s="425">
        <f>Z57+SUM(AE56)</f>
        <v>193</v>
      </c>
      <c r="AF62" s="487">
        <f>AA57+SUM(AF56,AD56,AC56,AB56)</f>
        <v>193</v>
      </c>
      <c r="AG62" s="487">
        <f>AB57+SUM(AG56,AF56,AD56,AC56)</f>
        <v>199</v>
      </c>
      <c r="AH62" s="487">
        <f>AC57+SUM(AH56,AG56,AF56,AD56)</f>
        <v>200</v>
      </c>
      <c r="AI62" s="487">
        <f>AD57+SUM(AI56,AH56,AG56,AF56)</f>
        <v>199</v>
      </c>
      <c r="AJ62" s="425">
        <f>AE57+SUM(AJ56)</f>
        <v>199</v>
      </c>
      <c r="AK62" s="487">
        <f>AF57+SUM(AK56,AI56,AH56,AG56)</f>
        <v>200</v>
      </c>
      <c r="AL62" s="487">
        <f>AG57+SUM(AL56,AK56,AI56,AH56)</f>
        <v>200</v>
      </c>
      <c r="AM62" s="487">
        <f>AH57+SUM(AM56,AL56,AK56,AI56)</f>
        <v>200</v>
      </c>
      <c r="AN62" s="487">
        <f>AI57+SUM(AN56,AM56,AL56,AK56)</f>
        <v>199</v>
      </c>
      <c r="AO62" s="425">
        <f>AJ57+SUM(AO56)</f>
        <v>199</v>
      </c>
      <c r="AP62" s="487">
        <f>AK57+SUM(AP56,AN56,AM56,AL56)</f>
        <v>199</v>
      </c>
      <c r="AQ62" s="487">
        <f>AL57+SUM(AQ56,AP56,AN56,AM56)</f>
        <v>201</v>
      </c>
      <c r="AR62" s="487">
        <f>AM57+SUM(AR56,AQ56,AP56,AN56)</f>
        <v>200</v>
      </c>
      <c r="AS62" s="487">
        <f>AN57+SUM(AS56,AR56,AQ56,AP56)</f>
        <v>194</v>
      </c>
      <c r="AT62" s="425">
        <f>AO57+SUM(AT56)</f>
        <v>194</v>
      </c>
      <c r="AU62" s="487">
        <f>AP57+SUM(AU56,AS56,AR56,AQ56)</f>
        <v>192</v>
      </c>
      <c r="AV62" s="487">
        <f>AQ57+SUM(AV56,AU56,AS56,AR56)</f>
        <v>191</v>
      </c>
      <c r="AW62" s="487">
        <f>AR57+SUM(AW56,AV56,AU56,AS56)</f>
        <v>192</v>
      </c>
      <c r="AX62" s="487">
        <f>AS57+SUM(AX56,AW56,AV56,AU56)</f>
        <v>184</v>
      </c>
      <c r="AY62" s="425">
        <f>AT57+SUM(AY56)</f>
        <v>184</v>
      </c>
      <c r="AZ62" s="487">
        <f>AU57+SUM(AZ56,AX56,AW56,AV56)</f>
        <v>185</v>
      </c>
      <c r="BA62" s="487">
        <f>AV57+SUM(BA56,AZ56,AX56,AW56)</f>
        <v>185</v>
      </c>
      <c r="BB62" s="487">
        <f>AW57+SUM(BB56,BA56,AZ56,AX56)</f>
        <v>183</v>
      </c>
      <c r="BC62" s="487">
        <f>AX57+SUM(BC56,BB56,BA56,AZ56)</f>
        <v>181</v>
      </c>
      <c r="BD62" s="425">
        <f>AY57+SUM(BD56)</f>
        <v>181</v>
      </c>
      <c r="BE62" s="487">
        <f>AZ57+SUM(BE56,BC56,BB56,BA56)</f>
        <v>182</v>
      </c>
      <c r="BF62" s="487">
        <f>BA57+SUM(BF56,BE56,BC56,BB56)</f>
        <v>183</v>
      </c>
      <c r="BG62" s="487">
        <f>BB57+SUM(BG56,BF56,BE56,BC56)</f>
        <v>184</v>
      </c>
      <c r="BH62" s="487">
        <f>BC57+SUM(BH56,BG56,BF56,BE56)</f>
        <v>178</v>
      </c>
      <c r="BI62" s="425">
        <f>BD57+SUM(BI56)</f>
        <v>178</v>
      </c>
      <c r="BJ62" s="981">
        <f>BE57+SUM(BJ56,BH56,BG56,BF56)</f>
        <v>177</v>
      </c>
      <c r="BK62" s="487">
        <f>BF57+SUM(BK56,BJ56,BH56,BG56)</f>
        <v>178</v>
      </c>
      <c r="BL62" s="487">
        <f>BG57+SUM(BL56,BK56,BJ56,BH56)</f>
        <v>178</v>
      </c>
      <c r="BM62" s="487">
        <f>BH57+SUM(BM56,BL56,BK56,BJ56)</f>
        <v>177</v>
      </c>
      <c r="BN62" s="425">
        <f>BI57+SUM(BN56)</f>
        <v>177</v>
      </c>
      <c r="BO62" s="487">
        <f>BJ57+SUM(BO56,BM56,BL56,BK56)</f>
        <v>176</v>
      </c>
      <c r="BP62" s="487">
        <f>BK57+SUM(BP56,BO56,BM56,BL56)</f>
        <v>174</v>
      </c>
      <c r="BQ62" s="487">
        <f>BL57+SUM(BQ56,BP56,BO56,BM56)</f>
        <v>172</v>
      </c>
      <c r="BR62" s="487">
        <f>BM57+SUM(BR56,BQ56,BP56,BO56)</f>
        <v>170</v>
      </c>
      <c r="BS62" s="425">
        <f>BN57+SUM(BS56)</f>
        <v>170</v>
      </c>
      <c r="BT62" s="425">
        <f>BS57+SUM(BT56)</f>
        <v>170</v>
      </c>
      <c r="BU62" s="425">
        <f>BT57+SUM(BU56)</f>
        <v>170</v>
      </c>
      <c r="BV62" s="425">
        <f>BU57+SUM(BV56)</f>
        <v>170</v>
      </c>
      <c r="BW62" s="223"/>
    </row>
    <row r="63" spans="1:75" s="224" customFormat="1" outlineLevel="1" x14ac:dyDescent="0.5">
      <c r="A63" s="588" t="s">
        <v>1673</v>
      </c>
      <c r="B63" s="494"/>
      <c r="C63" s="425"/>
      <c r="D63" s="425">
        <f>SUM(D55)</f>
        <v>3</v>
      </c>
      <c r="E63" s="425">
        <f>SUM(E55)</f>
        <v>18</v>
      </c>
      <c r="F63" s="425">
        <f>SUM(F55)</f>
        <v>8</v>
      </c>
      <c r="G63" s="487"/>
      <c r="H63" s="487"/>
      <c r="I63" s="487"/>
      <c r="J63" s="487"/>
      <c r="K63" s="425">
        <f>SUM(K55)</f>
        <v>7</v>
      </c>
      <c r="L63" s="487">
        <f>SUM(L55,J55,I55,H55)</f>
        <v>5</v>
      </c>
      <c r="M63" s="487">
        <f>SUM(M55,L55,J55,I55)</f>
        <v>4</v>
      </c>
      <c r="N63" s="487">
        <f>SUM(N55,M55,L55,J55)</f>
        <v>6</v>
      </c>
      <c r="O63" s="487">
        <f>SUM(O55,N55,M55,L55)</f>
        <v>7</v>
      </c>
      <c r="P63" s="425">
        <f>SUM(P55)</f>
        <v>7</v>
      </c>
      <c r="Q63" s="487">
        <f>SUM(Q55,O55,N55,M55)</f>
        <v>5</v>
      </c>
      <c r="R63" s="487">
        <f>SUM(R55,Q55,O55,N55)</f>
        <v>7</v>
      </c>
      <c r="S63" s="487">
        <f>SUM(S55,R55,Q55,O55)</f>
        <v>6</v>
      </c>
      <c r="T63" s="487">
        <f>SUM(T55,S55,R55,Q55)</f>
        <v>4</v>
      </c>
      <c r="U63" s="425">
        <f>SUM(U55)</f>
        <v>4</v>
      </c>
      <c r="V63" s="487">
        <f>SUM(V55,T55,S55,R55)</f>
        <v>7</v>
      </c>
      <c r="W63" s="487">
        <f>SUM(W55,V55,T55,S55)</f>
        <v>6</v>
      </c>
      <c r="X63" s="487">
        <f>SUM(X55,W55,V55,T55)</f>
        <v>5</v>
      </c>
      <c r="Y63" s="487">
        <f>SUM(Y55,X55,W55,V55)</f>
        <v>6</v>
      </c>
      <c r="Z63" s="425">
        <f>SUM(Z55)</f>
        <v>6</v>
      </c>
      <c r="AA63" s="487">
        <f>SUM(AA55,Y55,X55,W55)</f>
        <v>4</v>
      </c>
      <c r="AB63" s="487">
        <f>SUM(AB55,AA55,Y55,X55)</f>
        <v>9</v>
      </c>
      <c r="AC63" s="487">
        <f>SUM(AC55,AB55,AA55,Y55)</f>
        <v>9</v>
      </c>
      <c r="AD63" s="487">
        <f>SUM(AD55,AC55,AB55,AA55)</f>
        <v>10</v>
      </c>
      <c r="AE63" s="425">
        <f>SUM(AE55)</f>
        <v>10</v>
      </c>
      <c r="AF63" s="487">
        <f>SUM(AF55,AD55,AC55,AB55)</f>
        <v>10</v>
      </c>
      <c r="AG63" s="487">
        <f>SUM(AG55,AF55,AD55,AC55)</f>
        <v>6</v>
      </c>
      <c r="AH63" s="487">
        <f>SUM(AH55,AG55,AF55,AD55)</f>
        <v>5</v>
      </c>
      <c r="AI63" s="487">
        <f>SUM(AI55,AH55,AG55,AF55)</f>
        <v>6</v>
      </c>
      <c r="AJ63" s="425">
        <f>SUM(AJ55)</f>
        <v>6</v>
      </c>
      <c r="AK63" s="487">
        <f>SUM(AK55,AI55,AH55,AG55)</f>
        <v>5</v>
      </c>
      <c r="AL63" s="487">
        <f>SUM(AL55,AK55,AI55,AH55)</f>
        <v>5</v>
      </c>
      <c r="AM63" s="487">
        <f>SUM(AM55,AL55,AK55,AI55)</f>
        <v>5</v>
      </c>
      <c r="AN63" s="487">
        <f>SUM(AN55,AM55,AL55,AK55)</f>
        <v>2</v>
      </c>
      <c r="AO63" s="425">
        <f>SUM(AO55)</f>
        <v>2</v>
      </c>
      <c r="AP63" s="487">
        <f>SUM(AP55,AN55,AM55,AL55)</f>
        <v>2</v>
      </c>
      <c r="AQ63" s="487">
        <f>SUM(AQ55,AP55,AN55,AM55)</f>
        <v>0</v>
      </c>
      <c r="AR63" s="487">
        <f>SUM(AR55,AQ55,AP55,AN55)</f>
        <v>1</v>
      </c>
      <c r="AS63" s="487">
        <f>SUM(AS55,AR55,AQ55,AP55)</f>
        <v>1</v>
      </c>
      <c r="AT63" s="425">
        <f>SUM(AT55)</f>
        <v>1</v>
      </c>
      <c r="AU63" s="487">
        <f>SUM(AU55,AS55,AR55,AQ55)</f>
        <v>3</v>
      </c>
      <c r="AV63" s="487">
        <f>SUM(AV55,AU55,AS55,AR55)</f>
        <v>4</v>
      </c>
      <c r="AW63" s="487">
        <f>SUM(AW55,AV55,AU55,AS55)</f>
        <v>3</v>
      </c>
      <c r="AX63" s="487">
        <f>SUM(AX55,AW55,AV55,AU55)</f>
        <v>4</v>
      </c>
      <c r="AY63" s="425">
        <f>SUM(AY55)</f>
        <v>4</v>
      </c>
      <c r="AZ63" s="487">
        <f>SUM(AZ55,AX55,AW55,AV55)</f>
        <v>3</v>
      </c>
      <c r="BA63" s="487">
        <f>SUM(BA55,AZ55,AX55,AW55)</f>
        <v>4</v>
      </c>
      <c r="BB63" s="487">
        <f>SUM(BB55,BA55,AZ55,AX55)</f>
        <v>6</v>
      </c>
      <c r="BC63" s="487">
        <f>SUM(BC55,BB55,BA55,AZ55)</f>
        <v>7</v>
      </c>
      <c r="BD63" s="425">
        <f>SUM(BD55)</f>
        <v>7</v>
      </c>
      <c r="BE63" s="487">
        <f>SUM(BE55,BC55,BB55,BA55)</f>
        <v>6</v>
      </c>
      <c r="BF63" s="487">
        <f>SUM(BF55,BE55,BC55,BB55)</f>
        <v>7</v>
      </c>
      <c r="BG63" s="487">
        <f>SUM(BG55,BF55,BE55,BC55)</f>
        <v>7</v>
      </c>
      <c r="BH63" s="487">
        <f>SUM(BH55,BG55,BF55,BE55)</f>
        <v>6</v>
      </c>
      <c r="BI63" s="425">
        <f>SUM(BI55)</f>
        <v>6</v>
      </c>
      <c r="BJ63" s="981">
        <f>SUM(BJ55,BH55,BG55,BF55)</f>
        <v>7</v>
      </c>
      <c r="BK63" s="487">
        <f>SUM(BK55,BJ55,BH55,BG55)</f>
        <v>4</v>
      </c>
      <c r="BL63" s="487">
        <f>SUM(BL55,BK55,BJ55,BH55)</f>
        <v>2</v>
      </c>
      <c r="BM63" s="487">
        <f>SUM(BM55,BL55,BK55,BJ55)</f>
        <v>1</v>
      </c>
      <c r="BN63" s="425">
        <f>SUM(BN55)</f>
        <v>1</v>
      </c>
      <c r="BO63" s="487">
        <f>SUM(BO55,BM55,BL55,BK55)</f>
        <v>0</v>
      </c>
      <c r="BP63" s="487">
        <f>SUM(BP55,BO55,BM55,BL55)</f>
        <v>0</v>
      </c>
      <c r="BQ63" s="487">
        <f>SUM(BQ55,BP55,BO55,BM55)</f>
        <v>0</v>
      </c>
      <c r="BR63" s="487">
        <f>SUM(BR55,BQ55,BP55,BO55)</f>
        <v>0</v>
      </c>
      <c r="BS63" s="425">
        <f>SUM(BS55)</f>
        <v>0</v>
      </c>
      <c r="BT63" s="425">
        <f>SUM(BT55)</f>
        <v>0</v>
      </c>
      <c r="BU63" s="425">
        <f>SUM(BU55)</f>
        <v>0</v>
      </c>
      <c r="BV63" s="425">
        <f>SUM(BV55)</f>
        <v>0</v>
      </c>
      <c r="BW63" s="223"/>
    </row>
    <row r="64" spans="1:75" s="169" customFormat="1" ht="14.25" outlineLevel="1" x14ac:dyDescent="0.45">
      <c r="A64" s="163"/>
      <c r="B64" s="1121"/>
      <c r="C64" s="840"/>
      <c r="D64" s="840"/>
      <c r="E64" s="840"/>
      <c r="F64" s="840"/>
      <c r="G64" s="247"/>
      <c r="H64" s="247"/>
      <c r="I64" s="247"/>
      <c r="J64" s="247"/>
      <c r="K64" s="840"/>
      <c r="L64" s="247"/>
      <c r="M64" s="247"/>
      <c r="N64" s="247"/>
      <c r="O64" s="247"/>
      <c r="P64" s="840"/>
      <c r="Q64" s="247"/>
      <c r="R64" s="247"/>
      <c r="S64" s="247"/>
      <c r="T64" s="247"/>
      <c r="U64" s="840"/>
      <c r="V64" s="247"/>
      <c r="W64" s="247"/>
      <c r="X64" s="247"/>
      <c r="Y64" s="247"/>
      <c r="Z64" s="840"/>
      <c r="AA64" s="247"/>
      <c r="AB64" s="247"/>
      <c r="AC64" s="247"/>
      <c r="AD64" s="247"/>
      <c r="AE64" s="840"/>
      <c r="AF64" s="247"/>
      <c r="AG64" s="247"/>
      <c r="AH64" s="247"/>
      <c r="AI64" s="247"/>
      <c r="AJ64" s="840"/>
      <c r="AK64" s="247"/>
      <c r="AL64" s="247"/>
      <c r="AM64" s="247"/>
      <c r="AN64" s="247"/>
      <c r="AO64" s="840"/>
      <c r="AP64" s="247"/>
      <c r="AQ64" s="247"/>
      <c r="AR64" s="247"/>
      <c r="AS64" s="247"/>
      <c r="AT64" s="840"/>
      <c r="AU64" s="247"/>
      <c r="AV64" s="247"/>
      <c r="AW64" s="247"/>
      <c r="AX64" s="247"/>
      <c r="AY64" s="840"/>
      <c r="AZ64" s="247"/>
      <c r="BA64" s="247"/>
      <c r="BB64" s="247"/>
      <c r="BC64" s="247"/>
      <c r="BD64" s="840"/>
      <c r="BE64" s="247"/>
      <c r="BF64" s="247"/>
      <c r="BG64" s="247"/>
      <c r="BH64" s="247"/>
      <c r="BI64" s="840"/>
      <c r="BJ64" s="977"/>
      <c r="BK64" s="247"/>
      <c r="BL64" s="247"/>
      <c r="BM64" s="247"/>
      <c r="BN64" s="840"/>
      <c r="BO64" s="247"/>
      <c r="BP64" s="247"/>
      <c r="BQ64" s="247"/>
      <c r="BR64" s="247"/>
      <c r="BS64" s="840"/>
      <c r="BT64" s="840"/>
      <c r="BU64" s="840"/>
      <c r="BV64" s="840"/>
      <c r="BW64" s="168"/>
    </row>
    <row r="65" spans="1:75" s="224" customFormat="1" outlineLevel="1" x14ac:dyDescent="0.5">
      <c r="A65" s="218" t="s">
        <v>1674</v>
      </c>
      <c r="B65" s="494"/>
      <c r="C65" s="220"/>
      <c r="D65" s="220">
        <f>D79/D62*1000</f>
        <v>13000</v>
      </c>
      <c r="E65" s="220">
        <f>E79/E62*1000</f>
        <v>13109.659090909092</v>
      </c>
      <c r="F65" s="220">
        <f>F79/F62*1000</f>
        <v>13837.518527667984</v>
      </c>
      <c r="G65" s="221"/>
      <c r="H65" s="221"/>
      <c r="I65" s="221"/>
      <c r="J65" s="221"/>
      <c r="K65" s="220">
        <f>K79/K62*1000</f>
        <v>13901.670627602462</v>
      </c>
      <c r="L65" s="221">
        <f>L79/L62*1000</f>
        <v>13798.675027693294</v>
      </c>
      <c r="M65" s="221">
        <f>M79/M62*1000</f>
        <v>13696.58772388338</v>
      </c>
      <c r="N65" s="221">
        <f>N79/N62*1000</f>
        <v>13697.321738486424</v>
      </c>
      <c r="O65" s="221">
        <f>O79/O62*1000</f>
        <v>13698.442748093285</v>
      </c>
      <c r="P65" s="220">
        <f>O65</f>
        <v>13698.442748093285</v>
      </c>
      <c r="Q65" s="221">
        <f>Q79/Q62*1000</f>
        <v>13700.013877002659</v>
      </c>
      <c r="R65" s="221">
        <f>R79/R62*1000</f>
        <v>13700.013877002659</v>
      </c>
      <c r="S65" s="221">
        <f>S79/S62*1000</f>
        <v>13700.013662409834</v>
      </c>
      <c r="T65" s="221">
        <f>T79/T62*1000</f>
        <v>13802.072395056966</v>
      </c>
      <c r="U65" s="220">
        <f t="shared" ref="U65" si="103">T65</f>
        <v>13802.072395056966</v>
      </c>
      <c r="V65" s="221">
        <f>V79/V62*1000</f>
        <v>13802.072395056966</v>
      </c>
      <c r="W65" s="221">
        <f>W79/W62*1000</f>
        <v>13801.025569861526</v>
      </c>
      <c r="X65" s="221">
        <f>X79/X62*1000</f>
        <v>13799.999999999998</v>
      </c>
      <c r="Y65" s="221">
        <f>Y79/Y62*1000</f>
        <v>13800</v>
      </c>
      <c r="Z65" s="220">
        <f t="shared" ref="Z65" si="104">Y65</f>
        <v>13800</v>
      </c>
      <c r="AA65" s="221">
        <f>AA79/AA62*1000</f>
        <v>13800</v>
      </c>
      <c r="AB65" s="221">
        <f>AB79/AB62*1000</f>
        <v>13800</v>
      </c>
      <c r="AC65" s="221">
        <f>AC79/AC62*1000</f>
        <v>13800</v>
      </c>
      <c r="AD65" s="221">
        <f>AD79/AD62*1000</f>
        <v>13904.145077720206</v>
      </c>
      <c r="AE65" s="220">
        <f t="shared" ref="AE65" si="105">AD65</f>
        <v>13904.145077720206</v>
      </c>
      <c r="AF65" s="221">
        <f>AF79/AF62*1000</f>
        <v>13799.460388198338</v>
      </c>
      <c r="AG65" s="221">
        <f>AG79/AG62*1000</f>
        <v>13799.476657900903</v>
      </c>
      <c r="AH65" s="221">
        <f>AH79/AH62*1000</f>
        <v>13900.479274611402</v>
      </c>
      <c r="AI65" s="221">
        <f>AI79/AI62*1000</f>
        <v>13899.971945218318</v>
      </c>
      <c r="AJ65" s="220">
        <f t="shared" ref="AJ65" si="106">AI65</f>
        <v>13899.971945218318</v>
      </c>
      <c r="AK65" s="221">
        <f>AK79/AK62*1000</f>
        <v>13797.492810880829</v>
      </c>
      <c r="AL65" s="221">
        <f>AL79/AL62*1000</f>
        <v>13798.517882772021</v>
      </c>
      <c r="AM65" s="221">
        <f>AM79/AM62*1000</f>
        <v>13798.517882772021</v>
      </c>
      <c r="AN65" s="221">
        <f>AN79/AN62*1000</f>
        <v>14097.010122503711</v>
      </c>
      <c r="AO65" s="220">
        <f t="shared" ref="AO65" si="107">AN65</f>
        <v>14097.010122503711</v>
      </c>
      <c r="AP65" s="221">
        <f>AP79/AP62*1000</f>
        <v>14097.010122503711</v>
      </c>
      <c r="AQ65" s="221">
        <f>AQ79/AQ62*1000</f>
        <v>14400</v>
      </c>
      <c r="AR65" s="221">
        <f>AR79/AR62*1000</f>
        <v>14400</v>
      </c>
      <c r="AS65" s="221">
        <f>AS79/AS62*1000</f>
        <v>14601.030927835051</v>
      </c>
      <c r="AT65" s="220">
        <f t="shared" ref="AT65" si="108">AS65</f>
        <v>14601.030927835051</v>
      </c>
      <c r="AU65" s="221">
        <f>AU79/AU62*1000</f>
        <v>14601.030927835052</v>
      </c>
      <c r="AV65" s="221">
        <f>AV79/AV62*1000</f>
        <v>14601.030927835051</v>
      </c>
      <c r="AW65" s="221">
        <f>AW79/AW62*1000</f>
        <v>14498.421391752578</v>
      </c>
      <c r="AX65" s="221">
        <f>AX79/AX62*1000</f>
        <v>14498.421391752578</v>
      </c>
      <c r="AY65" s="220">
        <f t="shared" ref="AY65" si="109">AX65</f>
        <v>14498.421391752578</v>
      </c>
      <c r="AZ65" s="221">
        <f>AZ79/AZ62*1000</f>
        <v>14499.530684034549</v>
      </c>
      <c r="BA65" s="221">
        <f>BA79/BA62*1000</f>
        <v>14500.07933400104</v>
      </c>
      <c r="BB65" s="221">
        <f>BB79/BB62*1000</f>
        <v>14500.07933400104</v>
      </c>
      <c r="BC65" s="221">
        <f>BC79/BC62*1000</f>
        <v>14500.009122951422</v>
      </c>
      <c r="BD65" s="220">
        <f>BC65</f>
        <v>14500.009122951422</v>
      </c>
      <c r="BE65" s="221">
        <f>BE79/BE62*1000</f>
        <v>14500.000399153627</v>
      </c>
      <c r="BF65" s="221">
        <f>BF79/BF62*1000</f>
        <v>14603.276518747767</v>
      </c>
      <c r="BG65" s="221">
        <f>BG79/BG62*1000</f>
        <v>14807.589592826604</v>
      </c>
      <c r="BH65" s="221">
        <f>BH79/BH62*1000</f>
        <v>14802.449473817334</v>
      </c>
      <c r="BI65" s="220">
        <f>BH65</f>
        <v>14802.449473817334</v>
      </c>
      <c r="BJ65" s="1118">
        <f>BJ79/BJ62*1000</f>
        <v>14802.449473817334</v>
      </c>
      <c r="BK65" s="221">
        <f>BK79/BK62*1000</f>
        <v>15014.205945602173</v>
      </c>
      <c r="BL65" s="221">
        <f>BL79/BL62*1000</f>
        <v>15011.817544633315</v>
      </c>
      <c r="BM65" s="221">
        <f>BM79/BM62*1000</f>
        <v>15003.054263265969</v>
      </c>
      <c r="BN65" s="220">
        <f>BM65</f>
        <v>15003.054263265969</v>
      </c>
      <c r="BO65" s="221">
        <f>BO79/BO62*1000</f>
        <v>15106.459917871376</v>
      </c>
      <c r="BP65" s="221">
        <f>BP79/BP62*1000</f>
        <v>15106.459917871374</v>
      </c>
      <c r="BQ65" s="221">
        <f>BQ79/BQ62*1000</f>
        <v>15106.459917871374</v>
      </c>
      <c r="BR65" s="221">
        <f>BR79/BR62*1000</f>
        <v>15106.459917871372</v>
      </c>
      <c r="BS65" s="220">
        <f>BR65</f>
        <v>15106.459917871372</v>
      </c>
      <c r="BT65" s="220">
        <f>BT79/BT62*1000</f>
        <v>15106.459917871376</v>
      </c>
      <c r="BU65" s="220">
        <f>BU79/BU62*1000</f>
        <v>15106.459917871376</v>
      </c>
      <c r="BV65" s="220">
        <f>BV79/BV62*1000</f>
        <v>15106.459917871376</v>
      </c>
      <c r="BW65" s="223"/>
    </row>
    <row r="66" spans="1:75" s="177" customFormat="1" ht="14.25" outlineLevel="1" x14ac:dyDescent="0.45">
      <c r="A66" s="189" t="s">
        <v>1675</v>
      </c>
      <c r="B66" s="491"/>
      <c r="C66" s="172"/>
      <c r="D66" s="172">
        <f>IFERROR(D68/D65,"n/a")</f>
        <v>1.4948717948717996</v>
      </c>
      <c r="E66" s="172">
        <f>IFERROR(E68/E65,"n/a")</f>
        <v>1.5675464829020915</v>
      </c>
      <c r="F66" s="172">
        <f>IFERROR(F68/F65,"n/a")</f>
        <v>1.1083688042021465</v>
      </c>
      <c r="G66" s="175"/>
      <c r="H66" s="175"/>
      <c r="I66" s="175"/>
      <c r="J66" s="175"/>
      <c r="K66" s="172">
        <f t="shared" ref="K66:BH66" si="110">IFERROR(K68/K65,"n/a")</f>
        <v>0.79731005735881555</v>
      </c>
      <c r="L66" s="175">
        <f t="shared" si="110"/>
        <v>1.0037800938135977</v>
      </c>
      <c r="M66" s="175" t="str">
        <f t="shared" si="110"/>
        <v>n/a</v>
      </c>
      <c r="N66" s="175">
        <f t="shared" si="110"/>
        <v>1.000195531766332</v>
      </c>
      <c r="O66" s="175">
        <f t="shared" si="110"/>
        <v>1.0000159230617724</v>
      </c>
      <c r="P66" s="172">
        <f t="shared" si="110"/>
        <v>1.0032317868444194</v>
      </c>
      <c r="Q66" s="175" t="str">
        <f t="shared" si="110"/>
        <v>n/a</v>
      </c>
      <c r="R66" s="175">
        <f t="shared" si="110"/>
        <v>0.99999949354057194</v>
      </c>
      <c r="S66" s="175">
        <f t="shared" si="110"/>
        <v>0.99999950920424163</v>
      </c>
      <c r="T66" s="175" t="str">
        <f t="shared" si="110"/>
        <v>n/a</v>
      </c>
      <c r="U66" s="172">
        <f t="shared" si="110"/>
        <v>0.9926050629474914</v>
      </c>
      <c r="V66" s="175">
        <f t="shared" si="110"/>
        <v>0.99984984899385998</v>
      </c>
      <c r="W66" s="175">
        <f t="shared" si="110"/>
        <v>0.99992568886593591</v>
      </c>
      <c r="X66" s="175">
        <f t="shared" si="110"/>
        <v>0.99999999999998035</v>
      </c>
      <c r="Y66" s="175">
        <f t="shared" si="110"/>
        <v>2.4565217391304475</v>
      </c>
      <c r="Z66" s="172">
        <f t="shared" si="110"/>
        <v>1.242753623188408</v>
      </c>
      <c r="AA66" s="175">
        <f t="shared" si="110"/>
        <v>-0.45652173913045468</v>
      </c>
      <c r="AB66" s="175">
        <f t="shared" si="110"/>
        <v>0.99999999999999989</v>
      </c>
      <c r="AC66" s="175">
        <f t="shared" si="110"/>
        <v>2.4637681159420555</v>
      </c>
      <c r="AD66" s="175">
        <f t="shared" si="110"/>
        <v>0.99610583193589164</v>
      </c>
      <c r="AE66" s="172">
        <f t="shared" si="110"/>
        <v>0.99394820197503053</v>
      </c>
      <c r="AF66" s="175">
        <f t="shared" si="110"/>
        <v>1.0075861437025029</v>
      </c>
      <c r="AG66" s="175">
        <f t="shared" si="110"/>
        <v>1.0072845764075866</v>
      </c>
      <c r="AH66" s="175" t="str">
        <f t="shared" si="110"/>
        <v>n/a</v>
      </c>
      <c r="AI66" s="175">
        <f t="shared" si="110"/>
        <v>2.4748596191552306</v>
      </c>
      <c r="AJ66" s="172">
        <f t="shared" si="110"/>
        <v>1.737480520016482</v>
      </c>
      <c r="AK66" s="175" t="str">
        <f t="shared" si="110"/>
        <v>n/a</v>
      </c>
      <c r="AL66" s="175">
        <f t="shared" si="110"/>
        <v>3.2284259214897331</v>
      </c>
      <c r="AM66" s="175" t="str">
        <f t="shared" si="110"/>
        <v>n/a</v>
      </c>
      <c r="AN66" s="175" t="str">
        <f t="shared" si="110"/>
        <v>n/a</v>
      </c>
      <c r="AO66" s="172">
        <f t="shared" si="110"/>
        <v>3.160066739241933</v>
      </c>
      <c r="AP66" s="175" t="str">
        <f t="shared" si="110"/>
        <v>n/a</v>
      </c>
      <c r="AQ66" s="175" t="str">
        <f t="shared" si="110"/>
        <v>n/a</v>
      </c>
      <c r="AR66" s="175">
        <f t="shared" si="110"/>
        <v>1</v>
      </c>
      <c r="AS66" s="175" t="str">
        <f t="shared" si="110"/>
        <v>n/a</v>
      </c>
      <c r="AT66" s="172">
        <f t="shared" si="110"/>
        <v>0.98623173056555813</v>
      </c>
      <c r="AU66" s="175">
        <f t="shared" si="110"/>
        <v>0.99999999999999989</v>
      </c>
      <c r="AV66" s="175">
        <f t="shared" si="110"/>
        <v>1.0000000000000002</v>
      </c>
      <c r="AW66" s="175" t="str">
        <f t="shared" si="110"/>
        <v>n/a</v>
      </c>
      <c r="AX66" s="175">
        <f t="shared" si="110"/>
        <v>0.99923783028280277</v>
      </c>
      <c r="AY66" s="172">
        <f t="shared" si="110"/>
        <v>1.0051174252440389</v>
      </c>
      <c r="AZ66" s="175">
        <f t="shared" si="110"/>
        <v>0.99992349460778107</v>
      </c>
      <c r="BA66" s="175">
        <f t="shared" si="110"/>
        <v>1.651698917664391</v>
      </c>
      <c r="BB66" s="175">
        <f t="shared" si="110"/>
        <v>2.3034411443309493</v>
      </c>
      <c r="BC66" s="175">
        <f t="shared" si="110"/>
        <v>0.98966275671423753</v>
      </c>
      <c r="BD66" s="172">
        <f t="shared" si="110"/>
        <v>1.5556477773507262</v>
      </c>
      <c r="BE66" s="175" t="str">
        <f t="shared" si="110"/>
        <v>n/a</v>
      </c>
      <c r="BF66" s="175">
        <f t="shared" si="110"/>
        <v>1.874008669532784</v>
      </c>
      <c r="BG66" s="175">
        <f t="shared" si="110"/>
        <v>0.99959808897893809</v>
      </c>
      <c r="BH66" s="175">
        <f t="shared" si="110"/>
        <v>0.90935738483162742</v>
      </c>
      <c r="BI66" s="172">
        <f>IFERROR(BI68/BI65,"n/a")</f>
        <v>1.4092711917027088</v>
      </c>
      <c r="BJ66" s="1111">
        <f t="shared" ref="BJ66" si="111">IFERROR(BJ68/BJ65,"n/a")</f>
        <v>2.2430375143347812</v>
      </c>
      <c r="BK66" s="190">
        <v>1</v>
      </c>
      <c r="BL66" s="190">
        <v>1</v>
      </c>
      <c r="BM66" s="190">
        <v>1</v>
      </c>
      <c r="BN66" s="172">
        <f>IFERROR(BN68/BN65,"n/a")</f>
        <v>2.2130460165775396</v>
      </c>
      <c r="BO66" s="190">
        <v>1</v>
      </c>
      <c r="BP66" s="190">
        <v>1</v>
      </c>
      <c r="BQ66" s="190">
        <v>1</v>
      </c>
      <c r="BR66" s="190">
        <v>1</v>
      </c>
      <c r="BS66" s="172" t="str">
        <f>IFERROR(BS68/BS65,"n/a")</f>
        <v>n/a</v>
      </c>
      <c r="BT66" s="191">
        <v>1</v>
      </c>
      <c r="BU66" s="191">
        <v>1</v>
      </c>
      <c r="BV66" s="191">
        <v>1</v>
      </c>
      <c r="BW66" s="176"/>
    </row>
    <row r="67" spans="1:75" s="177" customFormat="1" ht="14.25" outlineLevel="1" x14ac:dyDescent="0.45">
      <c r="A67" s="189" t="s">
        <v>1676</v>
      </c>
      <c r="B67" s="491"/>
      <c r="C67" s="172"/>
      <c r="D67" s="191">
        <v>1</v>
      </c>
      <c r="E67" s="191">
        <v>1</v>
      </c>
      <c r="F67" s="191">
        <v>1</v>
      </c>
      <c r="G67" s="175"/>
      <c r="H67" s="175"/>
      <c r="I67" s="175"/>
      <c r="J67" s="175"/>
      <c r="K67" s="172">
        <f>K74/K56*1000/F65</f>
        <v>1.0000000000000002</v>
      </c>
      <c r="L67" s="190">
        <v>1</v>
      </c>
      <c r="M67" s="190">
        <v>1</v>
      </c>
      <c r="N67" s="190">
        <v>1</v>
      </c>
      <c r="O67" s="190">
        <v>1</v>
      </c>
      <c r="P67" s="172">
        <f>SUM(L74*L67,M74*M67,N74*N67,O74*O67)/P74</f>
        <v>1</v>
      </c>
      <c r="Q67" s="190">
        <v>1</v>
      </c>
      <c r="R67" s="190">
        <v>1</v>
      </c>
      <c r="S67" s="190">
        <v>1</v>
      </c>
      <c r="T67" s="190">
        <v>1</v>
      </c>
      <c r="U67" s="172">
        <f>SUM(Q74*Q67,R74*R67,S74*S67,T74*T67)/U74</f>
        <v>1</v>
      </c>
      <c r="V67" s="190">
        <v>1</v>
      </c>
      <c r="W67" s="190">
        <v>1</v>
      </c>
      <c r="X67" s="190">
        <v>1</v>
      </c>
      <c r="Y67" s="190">
        <v>1</v>
      </c>
      <c r="Z67" s="172">
        <f>SUM(V74*V67,W74*W67,X74*X67,Y74*Y67)/Z74</f>
        <v>1</v>
      </c>
      <c r="AA67" s="190">
        <v>1</v>
      </c>
      <c r="AB67" s="190">
        <v>1</v>
      </c>
      <c r="AC67" s="190">
        <v>1</v>
      </c>
      <c r="AD67" s="190">
        <v>1</v>
      </c>
      <c r="AE67" s="172">
        <f>SUM(AA74*AA67,AB74*AB67,AC74*AC67,AD74*AD67)/AE74</f>
        <v>1</v>
      </c>
      <c r="AF67" s="190">
        <v>1</v>
      </c>
      <c r="AG67" s="190">
        <v>1</v>
      </c>
      <c r="AH67" s="190">
        <v>1</v>
      </c>
      <c r="AI67" s="190">
        <v>1</v>
      </c>
      <c r="AJ67" s="172">
        <f>SUM(AF74*AF67,AG74*AG67,AH74*AH67,AI74*AI67)/AJ74</f>
        <v>1</v>
      </c>
      <c r="AK67" s="190">
        <v>1</v>
      </c>
      <c r="AL67" s="190">
        <v>1</v>
      </c>
      <c r="AM67" s="190">
        <v>1</v>
      </c>
      <c r="AN67" s="190">
        <v>1</v>
      </c>
      <c r="AO67" s="172">
        <f>SUM(AK74*AK67,AL74*AL67,AM74*AM67,AN74*AN67)/AO74</f>
        <v>1</v>
      </c>
      <c r="AP67" s="190">
        <v>1</v>
      </c>
      <c r="AQ67" s="190">
        <v>1</v>
      </c>
      <c r="AR67" s="190">
        <v>1</v>
      </c>
      <c r="AS67" s="190">
        <v>1</v>
      </c>
      <c r="AT67" s="172">
        <f>SUM(AP74*AP67,AQ74*AQ67,AR74*AR67,AS74*AS67)/AT74</f>
        <v>1</v>
      </c>
      <c r="AU67" s="190">
        <v>1</v>
      </c>
      <c r="AV67" s="190">
        <v>1</v>
      </c>
      <c r="AW67" s="190">
        <v>1</v>
      </c>
      <c r="AX67" s="190">
        <v>1</v>
      </c>
      <c r="AY67" s="172">
        <f>SUM(AU74*AU67,AV74*AV67,AW74*AW67,AX74*AX67)/AY74</f>
        <v>1</v>
      </c>
      <c r="AZ67" s="190">
        <v>1</v>
      </c>
      <c r="BA67" s="190">
        <v>1</v>
      </c>
      <c r="BB67" s="190">
        <v>1</v>
      </c>
      <c r="BC67" s="190">
        <v>1</v>
      </c>
      <c r="BD67" s="172">
        <f>SUM(AZ74*AZ67,BA74*BA67,BB74*BB67,BC74*BC67)/BD74</f>
        <v>1</v>
      </c>
      <c r="BE67" s="190">
        <v>1</v>
      </c>
      <c r="BF67" s="190">
        <v>1</v>
      </c>
      <c r="BG67" s="190">
        <v>1</v>
      </c>
      <c r="BH67" s="190">
        <v>1</v>
      </c>
      <c r="BI67" s="172">
        <f>SUM(BE74*BE67,BF74*BF67,BG74*BG67,BH74*BH67)/BI74</f>
        <v>1</v>
      </c>
      <c r="BJ67" s="1131">
        <v>1</v>
      </c>
      <c r="BK67" s="190">
        <v>1</v>
      </c>
      <c r="BL67" s="190">
        <v>1</v>
      </c>
      <c r="BM67" s="190">
        <v>1</v>
      </c>
      <c r="BN67" s="172">
        <f>SUM(BJ74*BJ67,BK74*BK67,BL74*BL67,BM74*BM67)/BN74</f>
        <v>1</v>
      </c>
      <c r="BO67" s="190">
        <v>1</v>
      </c>
      <c r="BP67" s="190">
        <v>1</v>
      </c>
      <c r="BQ67" s="190">
        <v>1</v>
      </c>
      <c r="BR67" s="190">
        <v>1</v>
      </c>
      <c r="BS67" s="172">
        <f>SUM(BO74*BO67,BP74*BP67,BQ74*BQ67,BR74*BR67)/BS74</f>
        <v>1</v>
      </c>
      <c r="BT67" s="191">
        <v>1</v>
      </c>
      <c r="BU67" s="191">
        <v>1</v>
      </c>
      <c r="BV67" s="191">
        <v>1</v>
      </c>
      <c r="BW67" s="176"/>
    </row>
    <row r="68" spans="1:75" s="224" customFormat="1" outlineLevel="1" x14ac:dyDescent="0.5">
      <c r="A68" s="218" t="s">
        <v>1677</v>
      </c>
      <c r="B68" s="494"/>
      <c r="C68" s="220"/>
      <c r="D68" s="220">
        <f>IFERROR(D73/D55*1000,"n/a")</f>
        <v>19433.333333333394</v>
      </c>
      <c r="E68" s="220">
        <f>IFERROR(E73/E55*1000,"n/a")</f>
        <v>20549.999999999978</v>
      </c>
      <c r="F68" s="220">
        <f>IFERROR(F73/F55*1000,"n/a")</f>
        <v>15337.073863636409</v>
      </c>
      <c r="G68" s="221"/>
      <c r="H68" s="221"/>
      <c r="I68" s="221"/>
      <c r="J68" s="221"/>
      <c r="K68" s="220">
        <f t="shared" ref="K68:BJ68" si="112">IFERROR(K73/K55*1000,"n/a")</f>
        <v>11083.941805477079</v>
      </c>
      <c r="L68" s="221">
        <f t="shared" si="112"/>
        <v>13850.835313801323</v>
      </c>
      <c r="M68" s="221" t="str">
        <f t="shared" si="112"/>
        <v>n/a</v>
      </c>
      <c r="N68" s="221">
        <f t="shared" si="112"/>
        <v>13699.999999999969</v>
      </c>
      <c r="O68" s="221">
        <f t="shared" si="112"/>
        <v>13698.660869243347</v>
      </c>
      <c r="P68" s="220">
        <f t="shared" si="112"/>
        <v>13742.713195155606</v>
      </c>
      <c r="Q68" s="221" t="str">
        <f t="shared" si="112"/>
        <v>n/a</v>
      </c>
      <c r="R68" s="221">
        <f t="shared" si="112"/>
        <v>13700.006938501467</v>
      </c>
      <c r="S68" s="221">
        <f t="shared" si="112"/>
        <v>13700.006938501239</v>
      </c>
      <c r="T68" s="221" t="str">
        <f t="shared" si="112"/>
        <v>n/a</v>
      </c>
      <c r="U68" s="220">
        <f t="shared" si="112"/>
        <v>13700.006938501354</v>
      </c>
      <c r="V68" s="221">
        <f t="shared" si="112"/>
        <v>13800.000000000031</v>
      </c>
      <c r="W68" s="221">
        <f t="shared" si="112"/>
        <v>13800.000000000182</v>
      </c>
      <c r="X68" s="221">
        <f t="shared" si="112"/>
        <v>13799.999999999727</v>
      </c>
      <c r="Y68" s="221">
        <f t="shared" si="112"/>
        <v>33900.000000000175</v>
      </c>
      <c r="Z68" s="220">
        <f t="shared" si="112"/>
        <v>17150.000000000029</v>
      </c>
      <c r="AA68" s="221">
        <f t="shared" si="112"/>
        <v>-6300.0000000002747</v>
      </c>
      <c r="AB68" s="221">
        <f t="shared" si="112"/>
        <v>13799.999999999998</v>
      </c>
      <c r="AC68" s="221">
        <f t="shared" si="112"/>
        <v>34000.000000000364</v>
      </c>
      <c r="AD68" s="221">
        <f t="shared" si="112"/>
        <v>13849.999999999818</v>
      </c>
      <c r="AE68" s="220">
        <f t="shared" si="112"/>
        <v>13819.999999999971</v>
      </c>
      <c r="AF68" s="221">
        <f t="shared" si="112"/>
        <v>13904.145077720206</v>
      </c>
      <c r="AG68" s="221">
        <f t="shared" si="112"/>
        <v>13900.000000000091</v>
      </c>
      <c r="AH68" s="221" t="str">
        <f t="shared" si="112"/>
        <v>n/a</v>
      </c>
      <c r="AI68" s="221">
        <f t="shared" si="112"/>
        <v>34400.479274611396</v>
      </c>
      <c r="AJ68" s="220">
        <f t="shared" si="112"/>
        <v>24150.930483592434</v>
      </c>
      <c r="AK68" s="221" t="str">
        <f t="shared" si="112"/>
        <v>n/a</v>
      </c>
      <c r="AL68" s="221">
        <f t="shared" si="112"/>
        <v>44547.492810880824</v>
      </c>
      <c r="AM68" s="221" t="str">
        <f t="shared" si="112"/>
        <v>n/a</v>
      </c>
      <c r="AN68" s="221" t="str">
        <f t="shared" si="112"/>
        <v>n/a</v>
      </c>
      <c r="AO68" s="220">
        <f t="shared" si="112"/>
        <v>44547.492810880824</v>
      </c>
      <c r="AP68" s="221" t="str">
        <f t="shared" si="112"/>
        <v>n/a</v>
      </c>
      <c r="AQ68" s="221" t="str">
        <f t="shared" si="112"/>
        <v>n/a</v>
      </c>
      <c r="AR68" s="221">
        <f t="shared" si="112"/>
        <v>14400</v>
      </c>
      <c r="AS68" s="221" t="str">
        <f t="shared" si="112"/>
        <v>n/a</v>
      </c>
      <c r="AT68" s="220">
        <f t="shared" si="112"/>
        <v>14399.999999999998</v>
      </c>
      <c r="AU68" s="221">
        <f t="shared" si="112"/>
        <v>14601.030927835051</v>
      </c>
      <c r="AV68" s="221">
        <f t="shared" si="112"/>
        <v>14601.030927835052</v>
      </c>
      <c r="AW68" s="221" t="str">
        <f t="shared" si="112"/>
        <v>n/a</v>
      </c>
      <c r="AX68" s="221">
        <f t="shared" si="112"/>
        <v>14487.371134020619</v>
      </c>
      <c r="AY68" s="220">
        <f t="shared" si="112"/>
        <v>14572.615979381446</v>
      </c>
      <c r="AZ68" s="221">
        <f t="shared" si="112"/>
        <v>14498.421391752578</v>
      </c>
      <c r="BA68" s="221">
        <f t="shared" si="112"/>
        <v>23949.765342017323</v>
      </c>
      <c r="BB68" s="221">
        <f t="shared" si="112"/>
        <v>33400.079334000904</v>
      </c>
      <c r="BC68" s="221">
        <f t="shared" si="112"/>
        <v>14350.119001001698</v>
      </c>
      <c r="BD68" s="220">
        <f t="shared" si="112"/>
        <v>22556.906963684633</v>
      </c>
      <c r="BE68" s="221" t="str">
        <f t="shared" si="112"/>
        <v>n/a</v>
      </c>
      <c r="BF68" s="221">
        <f t="shared" si="112"/>
        <v>27366.666799717848</v>
      </c>
      <c r="BG68" s="221">
        <f t="shared" si="112"/>
        <v>14801.638259373885</v>
      </c>
      <c r="BH68" s="221">
        <f t="shared" si="112"/>
        <v>13460.716742612831</v>
      </c>
      <c r="BI68" s="220">
        <f t="shared" si="112"/>
        <v>20860.665610085689</v>
      </c>
      <c r="BJ68" s="1118">
        <f t="shared" si="112"/>
        <v>33202.449473817425</v>
      </c>
      <c r="BK68" s="221" t="str">
        <f>IF(BK55=0,"n/a",BK65*BK66)</f>
        <v>n/a</v>
      </c>
      <c r="BL68" s="221" t="str">
        <f>IF(BL55=0,"n/a",BL65*BL66)</f>
        <v>n/a</v>
      </c>
      <c r="BM68" s="221" t="str">
        <f>IF(BM55=0,"n/a",BM65*BM66)</f>
        <v>n/a</v>
      </c>
      <c r="BN68" s="220">
        <f>IFERROR(BN73/BN55*1000,"n/a")</f>
        <v>33202.449473817425</v>
      </c>
      <c r="BO68" s="221" t="str">
        <f>IF(BO55=0,"n/a",BO65*BO66)</f>
        <v>n/a</v>
      </c>
      <c r="BP68" s="221" t="str">
        <f>IF(BP55=0,"n/a",BP65*BP66)</f>
        <v>n/a</v>
      </c>
      <c r="BQ68" s="221" t="str">
        <f>IF(BQ55=0,"n/a",BQ65*BQ66)</f>
        <v>n/a</v>
      </c>
      <c r="BR68" s="221" t="str">
        <f>IF(BR55=0,"n/a",BR65*BR66)</f>
        <v>n/a</v>
      </c>
      <c r="BS68" s="220" t="str">
        <f>IFERROR(BS73/BS55*1000,"n/a")</f>
        <v>n/a</v>
      </c>
      <c r="BT68" s="220" t="str">
        <f>IF(BT55=0,"n/a",BT65*BT66)</f>
        <v>n/a</v>
      </c>
      <c r="BU68" s="220" t="str">
        <f>IF(BU55=0,"n/a",BU65*BU66)</f>
        <v>n/a</v>
      </c>
      <c r="BV68" s="220" t="str">
        <f>IF(BV55=0,"n/a",BV65*BV66)</f>
        <v>n/a</v>
      </c>
      <c r="BW68" s="223"/>
    </row>
    <row r="69" spans="1:75" s="224" customFormat="1" outlineLevel="1" x14ac:dyDescent="0.5">
      <c r="A69" s="218" t="s">
        <v>1678</v>
      </c>
      <c r="B69" s="494"/>
      <c r="C69" s="220"/>
      <c r="D69" s="220">
        <f>IFERROR(D73/D55*1000,"n/a")</f>
        <v>19433.333333333394</v>
      </c>
      <c r="E69" s="220">
        <f>IFERROR(E73/E55*1000,"n/a")</f>
        <v>20549.999999999978</v>
      </c>
      <c r="F69" s="220">
        <f>IFERROR(F73/F55*1000,"n/a")</f>
        <v>15337.073863636409</v>
      </c>
      <c r="G69" s="221"/>
      <c r="H69" s="221"/>
      <c r="I69" s="221"/>
      <c r="J69" s="221"/>
      <c r="K69" s="220">
        <f>IFERROR(K73/K55*1000,"n/a")</f>
        <v>11083.941805477079</v>
      </c>
      <c r="L69" s="221">
        <f>IFERROR(SUM(L73,J73,I73,H73)/SUM(L55,J55,I55,H55)*1000,"n/a")</f>
        <v>13850.348947654878</v>
      </c>
      <c r="M69" s="221">
        <f>IFERROR(SUM(M73,L73,J73,I73)/SUM(M55,L55,J55,I55)*1000,"n/a")</f>
        <v>13862.936184568554</v>
      </c>
      <c r="N69" s="221">
        <f>IFERROR(SUM(N73,M73,L73,J73)/SUM(N55,M55,L55,J55)*1000,"n/a")</f>
        <v>13785.704368434357</v>
      </c>
      <c r="O69" s="221">
        <f>IFERROR(SUM(O73,N73,M73,L73)/SUM(O55,N55,M55,L55)*1000,"n/a")</f>
        <v>13742.713195155606</v>
      </c>
      <c r="P69" s="220">
        <f t="shared" ref="P69" si="113">O69</f>
        <v>13742.713195155606</v>
      </c>
      <c r="Q69" s="221">
        <f>IFERROR(SUM(Q73,O73,N73,M73)/SUM(Q55,O55,N55,M55)*1000,"n/a")</f>
        <v>13699.46434769732</v>
      </c>
      <c r="R69" s="221">
        <f>IFERROR(SUM(R73,Q73,O73,N73)/SUM(R55,Q55,O55,N55)*1000,"n/a")</f>
        <v>13699.619373641364</v>
      </c>
      <c r="S69" s="221">
        <f>IFERROR(SUM(S73,R73,Q73,O73)/SUM(S55,R55,Q55,O55)*1000,"n/a")</f>
        <v>13699.558248748684</v>
      </c>
      <c r="T69" s="221">
        <f>IFERROR(SUM(T73,S73,R73,Q73)/SUM(T55,S55,R55,Q55)*1000,"n/a")</f>
        <v>13700.006938501354</v>
      </c>
      <c r="U69" s="220">
        <f t="shared" ref="U69" si="114">T69</f>
        <v>13700.006938501354</v>
      </c>
      <c r="V69" s="221">
        <f>IFERROR(SUM(V73,T73,S73,R73)/SUM(V55,T55,S55,R55)*1000,"n/a")</f>
        <v>13742.861107715073</v>
      </c>
      <c r="W69" s="221">
        <f>IFERROR(SUM(W73,V73,T73,S73)/SUM(W55,V55,T55,S55)*1000,"n/a")</f>
        <v>13766.668979500459</v>
      </c>
      <c r="X69" s="221">
        <f>IFERROR(SUM(X73,W73,V73,T73)/SUM(X55,W55,V55,T55)*1000,"n/a")</f>
        <v>13800</v>
      </c>
      <c r="Y69" s="221">
        <f>IFERROR(SUM(Y73,X73,W73,V73)/SUM(Y55,X55,W55,V55)*1000,"n/a")</f>
        <v>17150.000000000029</v>
      </c>
      <c r="Z69" s="220">
        <f t="shared" ref="Z69" si="115">Y69</f>
        <v>17150.000000000029</v>
      </c>
      <c r="AA69" s="221">
        <f>IFERROR(SUM(AA73,Y73,X73,W73)/SUM(AA55,Y55,X55,W55)*1000,"n/a")</f>
        <v>13799.999999999953</v>
      </c>
      <c r="AB69" s="221">
        <f>IFERROR(SUM(AB73,AA73,Y73,X73)/SUM(AB55,AA55,Y55,X55)*1000,"n/a")</f>
        <v>13799.999999999958</v>
      </c>
      <c r="AC69" s="221">
        <f>IFERROR(SUM(AC73,AB73,AA73,Y73)/SUM(AC55,AB55,AA55,Y55)*1000,"n/a")</f>
        <v>16044.444444444473</v>
      </c>
      <c r="AD69" s="221">
        <f>IFERROR(SUM(AD73,AC73,AB73,AA73)/SUM(AD55,AC55,AB55,AA55)*1000,"n/a")</f>
        <v>13819.999999999975</v>
      </c>
      <c r="AE69" s="220">
        <f t="shared" ref="AE69" si="116">AD69</f>
        <v>13819.999999999975</v>
      </c>
      <c r="AF69" s="221">
        <f>IFERROR(SUM(AF73,AD73,AC73,AB73)/SUM(AF55,AD55,AC55,AB55)*1000,"n/a")</f>
        <v>15840.41450777202</v>
      </c>
      <c r="AG69" s="221">
        <f>IFERROR(SUM(AG73,AF73,AD73,AC73)/SUM(AG55,AF55,AD55,AC55)*1000,"n/a")</f>
        <v>17234.024179620064</v>
      </c>
      <c r="AH69" s="221">
        <f>IFERROR(SUM(AH73,AG73,AF73,AD73)/SUM(AH55,AG55,AF55,AD55)*1000,"n/a")</f>
        <v>13880.829015544006</v>
      </c>
      <c r="AI69" s="221">
        <f>IFERROR(SUM(AI73,AH73,AG73,AF73)/SUM(AI55,AH55,AG55,AF55)*1000,"n/a")</f>
        <v>24150.930483592434</v>
      </c>
      <c r="AJ69" s="220">
        <f t="shared" ref="AJ69" si="117">AI69</f>
        <v>24150.930483592434</v>
      </c>
      <c r="AK69" s="221">
        <f>IFERROR(SUM(AK73,AI73,AH73,AG73)/SUM(AK55,AI55,AH55,AG55)*1000,"n/a")</f>
        <v>26200.287564766873</v>
      </c>
      <c r="AL69" s="221">
        <f>IFERROR(SUM(AL73,AK73,AI73,AH73)/SUM(AL55,AK55,AI55,AH55)*1000,"n/a")</f>
        <v>38459.284689119173</v>
      </c>
      <c r="AM69" s="221">
        <f>IFERROR(SUM(AM73,AL73,AK73,AI73)/SUM(AM55,AL55,AK55,AI55)*1000,"n/a")</f>
        <v>38459.284689119173</v>
      </c>
      <c r="AN69" s="221">
        <f>IFERROR(SUM(AN73,AM73,AL73,AK73)/SUM(AN55,AM55,AL55,AK55)*1000,"n/a")</f>
        <v>44547.492810880824</v>
      </c>
      <c r="AO69" s="220">
        <f t="shared" ref="AO69" si="118">AN69</f>
        <v>44547.492810880824</v>
      </c>
      <c r="AP69" s="221">
        <f>IFERROR(SUM(AP73,AN73,AM73,AL73)/SUM(AP55,AN55,AM55,AL55)*1000,"n/a")</f>
        <v>44547.492810880824</v>
      </c>
      <c r="AQ69" s="221" t="str">
        <f>IFERROR(SUM(AQ73,AP73,AN73,AM73)/SUM(AQ55,AP55,AN55,AM55)*1000,"n/a")</f>
        <v>n/a</v>
      </c>
      <c r="AR69" s="221">
        <f>IFERROR(SUM(AR73,AQ73,AP73,AN73)/SUM(AR55,AQ55,AP55,AN55)*1000,"n/a")</f>
        <v>14400</v>
      </c>
      <c r="AS69" s="221">
        <f>IFERROR(SUM(AS73,AR73,AQ73,AP73)/SUM(AS55,AR55,AQ55,AP55)*1000,"n/a")</f>
        <v>14400</v>
      </c>
      <c r="AT69" s="220">
        <f t="shared" ref="AT69" si="119">AS69</f>
        <v>14400</v>
      </c>
      <c r="AU69" s="221">
        <f>IFERROR(SUM(AU73,AS73,AR73,AQ73)/SUM(AU55,AS55,AR55,AQ55)*1000,"n/a")</f>
        <v>14534.0206185567</v>
      </c>
      <c r="AV69" s="221">
        <f>IFERROR(SUM(AV73,AU73,AS73,AR73)/SUM(AV55,AU55,AS55,AR55)*1000,"n/a")</f>
        <v>14550.773195876289</v>
      </c>
      <c r="AW69" s="221">
        <f>IFERROR(SUM(AW73,AV73,AU73,AS73)/SUM(AW55,AV55,AU55,AS55)*1000,"n/a")</f>
        <v>14601.030927835052</v>
      </c>
      <c r="AX69" s="221">
        <f>IFERROR(SUM(AX73,AW73,AV73,AU73)/SUM(AX55,AW55,AV55,AU55)*1000,"n/a")</f>
        <v>14572.615979381444</v>
      </c>
      <c r="AY69" s="220">
        <f t="shared" ref="AY69" si="120">AX69</f>
        <v>14572.615979381444</v>
      </c>
      <c r="AZ69" s="221">
        <f>IFERROR(SUM(AZ73,AX73,AW73,AV73)/SUM(AZ55,AX55,AW55,AV55)*1000,"n/a")</f>
        <v>14528.941151202751</v>
      </c>
      <c r="BA69" s="221">
        <f>IFERROR(SUM(BA73,AZ73,AX73,AW73)/SUM(BA55,AZ55,AX55,AW55)*1000,"n/a")</f>
        <v>19221.330802451957</v>
      </c>
      <c r="BB69" s="221">
        <f>IFERROR(SUM(BB73,BA73,AZ73,AX73)/SUM(BB55,BA55,AZ55,AX55)*1000,"n/a")</f>
        <v>23947.580312968275</v>
      </c>
      <c r="BC69" s="221">
        <f>IFERROR(SUM(BC73,BB73,BA73,AZ73)/SUM(BC55,BB55,BA55,AZ55)*1000,"n/a")</f>
        <v>22556.906963684633</v>
      </c>
      <c r="BD69" s="220">
        <f t="shared" ref="BD69" si="121">BC69</f>
        <v>22556.906963684633</v>
      </c>
      <c r="BE69" s="221">
        <f>IFERROR(SUM(BE73,BC73,BB73,BA73)/SUM(BE55,BC55,BB55,BA55)*1000,"n/a")</f>
        <v>23899.987892339974</v>
      </c>
      <c r="BF69" s="221">
        <f>IFERROR(SUM(BF73,BE73,BC73,BB73)/SUM(BF55,BE55,BC55,BB55)*1000,"n/a")</f>
        <v>25371.48529559411</v>
      </c>
      <c r="BG69" s="221">
        <f>IFERROR(SUM(BG73,BF73,BE73,BC73)/SUM(BG55,BF55,BE55,BC55)*1000,"n/a")</f>
        <v>20057.644988557819</v>
      </c>
      <c r="BH69" s="221">
        <f>IFERROR(SUM(BH73,BG73,BF73,BE73)/SUM(BH55,BG55,BF55,BE55)*1000,"n/a")</f>
        <v>20860.665610085689</v>
      </c>
      <c r="BI69" s="220">
        <f>BH69</f>
        <v>20860.665610085689</v>
      </c>
      <c r="BJ69" s="1118">
        <f>IFERROR(SUM(BJ73,BH73,BG73,BF73)/SUM(BJ55,BH55,BG55,BF55)*1000,"n/a")</f>
        <v>22623.777590618796</v>
      </c>
      <c r="BK69" s="221">
        <f>IFERROR(SUM(BK73,BJ73,BH73,BG73)/SUM(BK55,BJ55,BH55,BG55)*1000,"n/a")</f>
        <v>19066.610683794508</v>
      </c>
      <c r="BL69" s="221">
        <f>IFERROR(SUM(BL73,BK73,BJ73,BH73)/SUM(BL55,BK55,BJ55,BH55)*1000,"n/a")</f>
        <v>23331.583108215127</v>
      </c>
      <c r="BM69" s="221">
        <f>IFERROR(SUM(BM73,BL73,BK73,BJ73)/SUM(BM55,BL55,BK55,BJ55)*1000,"n/a")</f>
        <v>33202.449473817425</v>
      </c>
      <c r="BN69" s="220">
        <f>BM69</f>
        <v>33202.449473817425</v>
      </c>
      <c r="BO69" s="221" t="str">
        <f>IFERROR(SUM(BO73,BM73,BL73,BK73)/SUM(BO55,BM55,BL55,BK55)*1000,"n/a")</f>
        <v>n/a</v>
      </c>
      <c r="BP69" s="221" t="str">
        <f>IFERROR(SUM(BP73,BO73,BM73,BL73)/SUM(BP55,BO55,BM55,BL55)*1000,"n/a")</f>
        <v>n/a</v>
      </c>
      <c r="BQ69" s="221" t="str">
        <f>IFERROR(SUM(BQ73,BP73,BO73,BM73)/SUM(BQ55,BP55,BO55,BM55)*1000,"n/a")</f>
        <v>n/a</v>
      </c>
      <c r="BR69" s="221" t="str">
        <f>IFERROR(SUM(BR73,BQ73,BP73,BO73)/SUM(BR55,BQ55,BP55,BO55)*1000,"n/a")</f>
        <v>n/a</v>
      </c>
      <c r="BS69" s="220" t="str">
        <f>BR69</f>
        <v>n/a</v>
      </c>
      <c r="BT69" s="220" t="str">
        <f>IFERROR(BT73/BT55*1000,"n/a")</f>
        <v>n/a</v>
      </c>
      <c r="BU69" s="220" t="str">
        <f>IFERROR(BU73/BU55*1000,"n/a")</f>
        <v>n/a</v>
      </c>
      <c r="BV69" s="220" t="str">
        <f>IFERROR(BV73/BV55*1000,"n/a")</f>
        <v>n/a</v>
      </c>
      <c r="BW69" s="223"/>
    </row>
    <row r="70" spans="1:75" s="169" customFormat="1" ht="14.25" outlineLevel="1" x14ac:dyDescent="0.45">
      <c r="A70" s="360" t="s">
        <v>1679</v>
      </c>
      <c r="B70" s="1127"/>
      <c r="C70" s="362">
        <f t="shared" ref="C70:BJ70" si="122">C440</f>
        <v>13000</v>
      </c>
      <c r="D70" s="362">
        <f t="shared" si="122"/>
        <v>13100</v>
      </c>
      <c r="E70" s="362">
        <f t="shared" si="122"/>
        <v>13800</v>
      </c>
      <c r="F70" s="362">
        <f t="shared" si="122"/>
        <v>13900</v>
      </c>
      <c r="G70" s="346">
        <f t="shared" si="122"/>
        <v>13800</v>
      </c>
      <c r="H70" s="346">
        <f t="shared" si="122"/>
        <v>13800</v>
      </c>
      <c r="I70" s="346">
        <f t="shared" si="122"/>
        <v>13800</v>
      </c>
      <c r="J70" s="346">
        <f t="shared" si="122"/>
        <v>13800</v>
      </c>
      <c r="K70" s="362">
        <f t="shared" si="122"/>
        <v>13800</v>
      </c>
      <c r="L70" s="346">
        <f t="shared" si="122"/>
        <v>13800</v>
      </c>
      <c r="M70" s="346">
        <f t="shared" si="122"/>
        <v>13700</v>
      </c>
      <c r="N70" s="346">
        <f t="shared" si="122"/>
        <v>13700</v>
      </c>
      <c r="O70" s="346">
        <f t="shared" si="122"/>
        <v>13700</v>
      </c>
      <c r="P70" s="362">
        <f t="shared" si="122"/>
        <v>13700</v>
      </c>
      <c r="Q70" s="346">
        <f t="shared" si="122"/>
        <v>13700</v>
      </c>
      <c r="R70" s="346">
        <f t="shared" si="122"/>
        <v>13700</v>
      </c>
      <c r="S70" s="346">
        <f t="shared" si="122"/>
        <v>13700</v>
      </c>
      <c r="T70" s="346">
        <f t="shared" si="122"/>
        <v>13800</v>
      </c>
      <c r="U70" s="362">
        <f t="shared" si="122"/>
        <v>13800</v>
      </c>
      <c r="V70" s="346">
        <f t="shared" si="122"/>
        <v>13800</v>
      </c>
      <c r="W70" s="346">
        <f t="shared" si="122"/>
        <v>13800</v>
      </c>
      <c r="X70" s="346">
        <f t="shared" si="122"/>
        <v>13800</v>
      </c>
      <c r="Y70" s="346">
        <f t="shared" si="122"/>
        <v>13900</v>
      </c>
      <c r="Z70" s="362">
        <f t="shared" si="122"/>
        <v>13900</v>
      </c>
      <c r="AA70" s="346">
        <f t="shared" si="122"/>
        <v>13800</v>
      </c>
      <c r="AB70" s="346">
        <f t="shared" si="122"/>
        <v>13800</v>
      </c>
      <c r="AC70" s="346">
        <f t="shared" si="122"/>
        <v>13900</v>
      </c>
      <c r="AD70" s="346">
        <f t="shared" si="122"/>
        <v>13900</v>
      </c>
      <c r="AE70" s="362">
        <f t="shared" si="122"/>
        <v>13900</v>
      </c>
      <c r="AF70" s="346">
        <f t="shared" si="122"/>
        <v>13900</v>
      </c>
      <c r="AG70" s="346">
        <f t="shared" si="122"/>
        <v>13900</v>
      </c>
      <c r="AH70" s="346">
        <f t="shared" si="122"/>
        <v>13900</v>
      </c>
      <c r="AI70" s="346">
        <f t="shared" si="122"/>
        <v>14200</v>
      </c>
      <c r="AJ70" s="362">
        <f t="shared" si="122"/>
        <v>14200</v>
      </c>
      <c r="AK70" s="346">
        <f t="shared" si="122"/>
        <v>14100</v>
      </c>
      <c r="AL70" s="346">
        <f t="shared" si="122"/>
        <v>14400</v>
      </c>
      <c r="AM70" s="346">
        <f t="shared" si="122"/>
        <v>14400</v>
      </c>
      <c r="AN70" s="346">
        <f t="shared" si="122"/>
        <v>14400</v>
      </c>
      <c r="AO70" s="362">
        <f t="shared" si="122"/>
        <v>14400</v>
      </c>
      <c r="AP70" s="346">
        <f t="shared" si="122"/>
        <v>14400</v>
      </c>
      <c r="AQ70" s="346">
        <f t="shared" si="122"/>
        <v>14400</v>
      </c>
      <c r="AR70" s="346">
        <f t="shared" si="122"/>
        <v>14400</v>
      </c>
      <c r="AS70" s="346">
        <f t="shared" si="122"/>
        <v>14600</v>
      </c>
      <c r="AT70" s="362">
        <f t="shared" si="122"/>
        <v>14600</v>
      </c>
      <c r="AU70" s="346">
        <f t="shared" si="122"/>
        <v>14600</v>
      </c>
      <c r="AV70" s="346">
        <f t="shared" si="122"/>
        <v>14600</v>
      </c>
      <c r="AW70" s="346">
        <f t="shared" si="122"/>
        <v>14500</v>
      </c>
      <c r="AX70" s="346">
        <f t="shared" si="122"/>
        <v>14500</v>
      </c>
      <c r="AY70" s="362">
        <f t="shared" si="122"/>
        <v>14500</v>
      </c>
      <c r="AZ70" s="346">
        <f t="shared" si="122"/>
        <v>14500</v>
      </c>
      <c r="BA70" s="346">
        <f t="shared" si="122"/>
        <v>14600</v>
      </c>
      <c r="BB70" s="346">
        <f t="shared" si="122"/>
        <v>14800</v>
      </c>
      <c r="BC70" s="346">
        <f t="shared" si="122"/>
        <v>14800</v>
      </c>
      <c r="BD70" s="362">
        <f t="shared" si="122"/>
        <v>14800</v>
      </c>
      <c r="BE70" s="346">
        <f t="shared" si="122"/>
        <v>14800</v>
      </c>
      <c r="BF70" s="346">
        <f t="shared" si="122"/>
        <v>15000</v>
      </c>
      <c r="BG70" s="346">
        <f t="shared" si="122"/>
        <v>15000</v>
      </c>
      <c r="BH70" s="346">
        <f t="shared" si="122"/>
        <v>15000</v>
      </c>
      <c r="BI70" s="362">
        <f t="shared" si="122"/>
        <v>15000</v>
      </c>
      <c r="BJ70" s="1132">
        <f t="shared" si="122"/>
        <v>15100</v>
      </c>
      <c r="BK70" s="346">
        <f>BK76/BK57*1000</f>
        <v>15103.269786002007</v>
      </c>
      <c r="BL70" s="346">
        <f>BL76/BL57*1000</f>
        <v>15104.259384228671</v>
      </c>
      <c r="BM70" s="346">
        <f>BM76/BM57*1000</f>
        <v>15105.298056583675</v>
      </c>
      <c r="BN70" s="362">
        <f t="shared" ref="BN70:BV70" si="123">BN76/BN57*1000</f>
        <v>15105.298056583675</v>
      </c>
      <c r="BO70" s="346">
        <f t="shared" si="123"/>
        <v>15106.459917871376</v>
      </c>
      <c r="BP70" s="346">
        <f t="shared" si="123"/>
        <v>15106.459917871374</v>
      </c>
      <c r="BQ70" s="346">
        <f t="shared" si="123"/>
        <v>15106.459917871374</v>
      </c>
      <c r="BR70" s="346">
        <f t="shared" si="123"/>
        <v>15106.459917871372</v>
      </c>
      <c r="BS70" s="362">
        <f t="shared" si="123"/>
        <v>15106.459917871376</v>
      </c>
      <c r="BT70" s="362">
        <f t="shared" si="123"/>
        <v>15106.459917871376</v>
      </c>
      <c r="BU70" s="362">
        <f t="shared" si="123"/>
        <v>15106.459917871376</v>
      </c>
      <c r="BV70" s="362">
        <f t="shared" si="123"/>
        <v>15106.459917871376</v>
      </c>
      <c r="BW70" s="168"/>
    </row>
    <row r="71" spans="1:75" s="123" customFormat="1" outlineLevel="1" x14ac:dyDescent="0.5">
      <c r="A71" s="184"/>
      <c r="B71" s="489"/>
      <c r="C71" s="401"/>
      <c r="D71" s="401"/>
      <c r="E71" s="401"/>
      <c r="F71" s="401"/>
      <c r="G71" s="118"/>
      <c r="H71" s="118"/>
      <c r="I71" s="118"/>
      <c r="J71" s="118"/>
      <c r="K71" s="401"/>
      <c r="L71" s="118"/>
      <c r="M71" s="118"/>
      <c r="N71" s="118"/>
      <c r="O71" s="118"/>
      <c r="P71" s="401"/>
      <c r="Q71" s="118"/>
      <c r="R71" s="118"/>
      <c r="S71" s="118"/>
      <c r="T71" s="118"/>
      <c r="U71" s="401"/>
      <c r="V71" s="118"/>
      <c r="W71" s="118"/>
      <c r="X71" s="118"/>
      <c r="Y71" s="118"/>
      <c r="Z71" s="401"/>
      <c r="AA71" s="118"/>
      <c r="AB71" s="118"/>
      <c r="AC71" s="118"/>
      <c r="AD71" s="118"/>
      <c r="AE71" s="401"/>
      <c r="AF71" s="118"/>
      <c r="AG71" s="118"/>
      <c r="AH71" s="118"/>
      <c r="AI71" s="118"/>
      <c r="AJ71" s="401"/>
      <c r="AK71" s="118"/>
      <c r="AL71" s="118"/>
      <c r="AM71" s="118"/>
      <c r="AN71" s="118"/>
      <c r="AO71" s="401"/>
      <c r="AP71" s="118"/>
      <c r="AQ71" s="118"/>
      <c r="AR71" s="118"/>
      <c r="AS71" s="118"/>
      <c r="AT71" s="401"/>
      <c r="AU71" s="118"/>
      <c r="AV71" s="118"/>
      <c r="AW71" s="118"/>
      <c r="AX71" s="118"/>
      <c r="AY71" s="401"/>
      <c r="AZ71" s="118"/>
      <c r="BA71" s="118"/>
      <c r="BB71" s="118"/>
      <c r="BC71" s="118"/>
      <c r="BD71" s="401"/>
      <c r="BE71" s="118"/>
      <c r="BF71" s="118"/>
      <c r="BG71" s="118"/>
      <c r="BH71" s="118"/>
      <c r="BI71" s="401"/>
      <c r="BJ71" s="971"/>
      <c r="BK71" s="118"/>
      <c r="BL71" s="118"/>
      <c r="BM71" s="118"/>
      <c r="BN71" s="401"/>
      <c r="BO71" s="118"/>
      <c r="BP71" s="118"/>
      <c r="BQ71" s="118"/>
      <c r="BR71" s="118"/>
      <c r="BS71" s="401"/>
      <c r="BT71" s="401"/>
      <c r="BU71" s="401"/>
      <c r="BV71" s="401"/>
      <c r="BW71" s="122"/>
    </row>
    <row r="72" spans="1:75" s="169" customFormat="1" ht="14.25" outlineLevel="1" x14ac:dyDescent="0.45">
      <c r="A72" s="163" t="s">
        <v>1680</v>
      </c>
      <c r="B72" s="1121"/>
      <c r="C72" s="840"/>
      <c r="D72" s="840">
        <f t="shared" ref="D72:AX72" si="124">C76</f>
        <v>2587</v>
      </c>
      <c r="E72" s="840">
        <f t="shared" si="124"/>
        <v>2528.3000000000002</v>
      </c>
      <c r="F72" s="840">
        <f t="shared" si="124"/>
        <v>2677.2</v>
      </c>
      <c r="G72" s="247">
        <f t="shared" si="124"/>
        <v>2668.8</v>
      </c>
      <c r="H72" s="247">
        <f t="shared" si="124"/>
        <v>2691</v>
      </c>
      <c r="I72" s="247">
        <f t="shared" si="124"/>
        <v>2704.8</v>
      </c>
      <c r="J72" s="247">
        <f t="shared" si="124"/>
        <v>2704.8</v>
      </c>
      <c r="K72" s="840">
        <f>F76</f>
        <v>2668.8</v>
      </c>
      <c r="L72" s="247">
        <f t="shared" si="124"/>
        <v>2677.2</v>
      </c>
      <c r="M72" s="247">
        <f t="shared" si="124"/>
        <v>2691</v>
      </c>
      <c r="N72" s="247">
        <f t="shared" si="124"/>
        <v>2671.5</v>
      </c>
      <c r="O72" s="247">
        <f t="shared" si="124"/>
        <v>2712.6</v>
      </c>
      <c r="P72" s="840">
        <f t="shared" ref="P72" si="125">K76</f>
        <v>2677.2</v>
      </c>
      <c r="Q72" s="247">
        <f t="shared" si="124"/>
        <v>2726.3</v>
      </c>
      <c r="R72" s="247">
        <f t="shared" si="124"/>
        <v>2712.6</v>
      </c>
      <c r="S72" s="247">
        <f t="shared" si="124"/>
        <v>2726.3</v>
      </c>
      <c r="T72" s="247">
        <f t="shared" si="124"/>
        <v>2740</v>
      </c>
      <c r="U72" s="840">
        <f t="shared" ref="U72" si="126">P76</f>
        <v>2726.3</v>
      </c>
      <c r="V72" s="247">
        <f t="shared" si="124"/>
        <v>2718.6</v>
      </c>
      <c r="W72" s="247">
        <f t="shared" si="124"/>
        <v>2760</v>
      </c>
      <c r="X72" s="247">
        <f t="shared" si="124"/>
        <v>2773.8</v>
      </c>
      <c r="Y72" s="247">
        <f t="shared" si="124"/>
        <v>2787.6</v>
      </c>
      <c r="Z72" s="840">
        <f t="shared" ref="Z72" si="127">U76</f>
        <v>2718.6</v>
      </c>
      <c r="AA72" s="247">
        <f t="shared" si="124"/>
        <v>2793.9</v>
      </c>
      <c r="AB72" s="247">
        <f t="shared" si="124"/>
        <v>2746.2</v>
      </c>
      <c r="AC72" s="247">
        <f t="shared" si="124"/>
        <v>2815.2</v>
      </c>
      <c r="AD72" s="247">
        <f t="shared" si="124"/>
        <v>2807.8</v>
      </c>
      <c r="AE72" s="840">
        <f t="shared" ref="AE72" si="128">Z76</f>
        <v>2793.9</v>
      </c>
      <c r="AF72" s="247">
        <f t="shared" si="124"/>
        <v>2821.7</v>
      </c>
      <c r="AG72" s="247">
        <f t="shared" si="124"/>
        <v>2821.7</v>
      </c>
      <c r="AH72" s="247">
        <f t="shared" si="124"/>
        <v>2849.5</v>
      </c>
      <c r="AI72" s="247">
        <f t="shared" si="124"/>
        <v>2849.5</v>
      </c>
      <c r="AJ72" s="840">
        <f t="shared" ref="AJ72" si="129">AE76</f>
        <v>2821.7</v>
      </c>
      <c r="AK72" s="247">
        <f t="shared" si="124"/>
        <v>2911</v>
      </c>
      <c r="AL72" s="247">
        <f t="shared" si="124"/>
        <v>2890.5</v>
      </c>
      <c r="AM72" s="247">
        <f t="shared" si="124"/>
        <v>2952</v>
      </c>
      <c r="AN72" s="247">
        <f t="shared" si="124"/>
        <v>2952</v>
      </c>
      <c r="AO72" s="840">
        <f t="shared" ref="AO72" si="130">AJ76</f>
        <v>2911</v>
      </c>
      <c r="AP72" s="247">
        <f t="shared" si="124"/>
        <v>2894.4</v>
      </c>
      <c r="AQ72" s="247">
        <f t="shared" si="124"/>
        <v>2894.4</v>
      </c>
      <c r="AR72" s="247">
        <f t="shared" si="124"/>
        <v>2894.4</v>
      </c>
      <c r="AS72" s="247">
        <f t="shared" si="124"/>
        <v>2894.4</v>
      </c>
      <c r="AT72" s="840">
        <f t="shared" ref="AT72" si="131">AO76</f>
        <v>2894.4</v>
      </c>
      <c r="AU72" s="247">
        <f t="shared" si="124"/>
        <v>2847</v>
      </c>
      <c r="AV72" s="247">
        <f t="shared" si="124"/>
        <v>2847</v>
      </c>
      <c r="AW72" s="247">
        <f t="shared" si="124"/>
        <v>2847</v>
      </c>
      <c r="AX72" s="247">
        <f t="shared" si="124"/>
        <v>2827.5</v>
      </c>
      <c r="AY72" s="840">
        <f t="shared" ref="AY72" si="132">AT76</f>
        <v>2847</v>
      </c>
      <c r="AZ72" s="247">
        <f>AY76</f>
        <v>2726</v>
      </c>
      <c r="BA72" s="247">
        <f>AZ76</f>
        <v>2726</v>
      </c>
      <c r="BB72" s="247">
        <f>BA76</f>
        <v>2759.4</v>
      </c>
      <c r="BC72" s="247">
        <f t="shared" ref="BC72" si="133">BB76</f>
        <v>2797.2</v>
      </c>
      <c r="BD72" s="840">
        <f t="shared" ref="BD72" si="134">AY76</f>
        <v>2726</v>
      </c>
      <c r="BE72" s="247">
        <f>BD76</f>
        <v>2782.4</v>
      </c>
      <c r="BF72" s="247">
        <f>BE76</f>
        <v>2782.4</v>
      </c>
      <c r="BG72" s="247">
        <f>BF76</f>
        <v>2850</v>
      </c>
      <c r="BH72" s="247">
        <f>BG76</f>
        <v>2865</v>
      </c>
      <c r="BI72" s="840">
        <f>BD76</f>
        <v>2782.4</v>
      </c>
      <c r="BJ72" s="977">
        <f>BI76</f>
        <v>2760</v>
      </c>
      <c r="BK72" s="247">
        <f>BJ76</f>
        <v>2778.4</v>
      </c>
      <c r="BL72" s="247">
        <f>BK76</f>
        <v>2748.7951010523652</v>
      </c>
      <c r="BM72" s="247">
        <f>BL76</f>
        <v>2718.7666891611607</v>
      </c>
      <c r="BN72" s="840">
        <f>BI76</f>
        <v>2760</v>
      </c>
      <c r="BO72" s="247">
        <f>BN76</f>
        <v>2688.7430540718942</v>
      </c>
      <c r="BP72" s="247">
        <f>BO76</f>
        <v>2658.7369455453622</v>
      </c>
      <c r="BQ72" s="247">
        <f>BP76</f>
        <v>2628.5240257096193</v>
      </c>
      <c r="BR72" s="247">
        <f>BQ76</f>
        <v>2598.3111058738764</v>
      </c>
      <c r="BS72" s="840">
        <f>BN76</f>
        <v>2688.7430540718942</v>
      </c>
      <c r="BT72" s="840">
        <f>BS76</f>
        <v>2568.0981860381339</v>
      </c>
      <c r="BU72" s="840">
        <f>BT76</f>
        <v>2568.0981860381339</v>
      </c>
      <c r="BV72" s="840">
        <f>BU76</f>
        <v>2568.0981860381339</v>
      </c>
      <c r="BW72" s="168"/>
    </row>
    <row r="73" spans="1:75" s="224" customFormat="1" outlineLevel="1" x14ac:dyDescent="0.5">
      <c r="A73" s="272" t="s">
        <v>1681</v>
      </c>
      <c r="B73" s="494"/>
      <c r="C73" s="425"/>
      <c r="D73" s="425">
        <f t="shared" ref="D73:J73" si="135">IF(D55=0,0,D75-D74)</f>
        <v>58.300000000000182</v>
      </c>
      <c r="E73" s="425">
        <f t="shared" si="135"/>
        <v>369.89999999999964</v>
      </c>
      <c r="F73" s="425">
        <f t="shared" si="135"/>
        <v>122.69659090909127</v>
      </c>
      <c r="G73" s="487">
        <f t="shared" si="135"/>
        <v>36.0375185276678</v>
      </c>
      <c r="H73" s="487">
        <f t="shared" si="135"/>
        <v>13.800000000000182</v>
      </c>
      <c r="I73" s="487">
        <f t="shared" si="135"/>
        <v>13.837518527667983</v>
      </c>
      <c r="J73" s="487">
        <f t="shared" si="135"/>
        <v>13.912555583003588</v>
      </c>
      <c r="K73" s="425">
        <f t="shared" ref="K73" si="136">K75-K74</f>
        <v>77.587592638339558</v>
      </c>
      <c r="L73" s="487">
        <f>IF(L55=0,0,L75-L74)</f>
        <v>27.701670627602645</v>
      </c>
      <c r="M73" s="487">
        <f>IF(M55=0,0,M75-M74)</f>
        <v>0</v>
      </c>
      <c r="N73" s="487">
        <f>IF(N55=0,0,N75-N74)</f>
        <v>41.099999999999909</v>
      </c>
      <c r="O73" s="487">
        <f>IF(O55=0,0,O75-O74)</f>
        <v>27.397321738486696</v>
      </c>
      <c r="P73" s="425">
        <f t="shared" ref="P73" si="137">P75-P74</f>
        <v>96.198992366089243</v>
      </c>
      <c r="Q73" s="487">
        <f>IF(Q55=0,0,Q75-Q74)</f>
        <v>0</v>
      </c>
      <c r="R73" s="487">
        <f>IF(R55=0,0,R75-R74)</f>
        <v>27.400013877002934</v>
      </c>
      <c r="S73" s="487">
        <f>IF(S55=0,0,S75-S74)</f>
        <v>27.400013877002479</v>
      </c>
      <c r="T73" s="487">
        <f>IF(T55=0,0,T75-T74)</f>
        <v>0</v>
      </c>
      <c r="U73" s="425">
        <f t="shared" ref="U73" si="138">U75-U74</f>
        <v>54.800027754005413</v>
      </c>
      <c r="V73" s="487">
        <f>IF(V55=0,0,V75-V74)</f>
        <v>41.400000000000091</v>
      </c>
      <c r="W73" s="487">
        <f>IF(W55=0,0,W75-W74)</f>
        <v>13.800000000000182</v>
      </c>
      <c r="X73" s="487">
        <f>IF(X55=0,0,X75-X74)</f>
        <v>13.799999999999727</v>
      </c>
      <c r="Y73" s="487">
        <f>IF(Y55=0,0,Y75-Y74)</f>
        <v>33.900000000000176</v>
      </c>
      <c r="Z73" s="425">
        <f t="shared" ref="Z73" si="139">Z75-Z74</f>
        <v>102.90000000000018</v>
      </c>
      <c r="AA73" s="487">
        <f>IF(AA55=0,0,AA75-AA74)</f>
        <v>-6.3000000000002743</v>
      </c>
      <c r="AB73" s="487">
        <f>IF(AB55=0,0,AB75-AB74)</f>
        <v>82.8</v>
      </c>
      <c r="AC73" s="487">
        <f>IF(AC55=0,0,AC75-AC74)</f>
        <v>34.000000000000362</v>
      </c>
      <c r="AD73" s="487">
        <f>IF(AD55=0,0,AD75-AD74)</f>
        <v>27.699999999999637</v>
      </c>
      <c r="AE73" s="425">
        <f t="shared" ref="AE73" si="140">AE75-AE74</f>
        <v>138.1999999999997</v>
      </c>
      <c r="AF73" s="487">
        <f>IF(AF55=0,0,AF75-AF74)</f>
        <v>13.904145077720207</v>
      </c>
      <c r="AG73" s="487">
        <f>IF(AG55=0,0,AG75-AG74)</f>
        <v>27.800000000000182</v>
      </c>
      <c r="AH73" s="487">
        <f>IF(AH55=0,0,AH75-AH74)</f>
        <v>0</v>
      </c>
      <c r="AI73" s="487">
        <f>IF(AI55=0,0,AI75-AI74)</f>
        <v>103.2014378238342</v>
      </c>
      <c r="AJ73" s="425">
        <f t="shared" ref="AJ73" si="141">AJ75-AJ74</f>
        <v>144.9055829015546</v>
      </c>
      <c r="AK73" s="487">
        <f>IF(AK55=0,0,AK75-AK74)</f>
        <v>0</v>
      </c>
      <c r="AL73" s="487">
        <f>IF(AL55=0,0,AL75-AL74)</f>
        <v>89.094985621761651</v>
      </c>
      <c r="AM73" s="487">
        <f>IF(AM55=0,0,AM75-AM74)</f>
        <v>0</v>
      </c>
      <c r="AN73" s="487">
        <f>IF(AN55=0,0,AN75-AN74)</f>
        <v>0</v>
      </c>
      <c r="AO73" s="425">
        <f t="shared" ref="AO73" si="142">AO75-AO74</f>
        <v>89.094985621761651</v>
      </c>
      <c r="AP73" s="487">
        <f>IF(AP55=0,0,AP75-AP74)</f>
        <v>0</v>
      </c>
      <c r="AQ73" s="487">
        <f>IF(AQ55=0,0,AQ75-AQ74)</f>
        <v>0</v>
      </c>
      <c r="AR73" s="487">
        <f>IF(AR55=0,0,AR75-AR74)</f>
        <v>14.4</v>
      </c>
      <c r="AS73" s="487">
        <f>IF(AS55=0,0,AS75-AS74)</f>
        <v>0</v>
      </c>
      <c r="AT73" s="425">
        <f t="shared" ref="AT73" si="143">AT75-AT74</f>
        <v>14.399999999999999</v>
      </c>
      <c r="AU73" s="487">
        <f>IF(AU55=0,0,AU75-AU74)</f>
        <v>29.202061855670102</v>
      </c>
      <c r="AV73" s="487">
        <f>IF(AV55=0,0,AV75-AV74)</f>
        <v>14.601030927835053</v>
      </c>
      <c r="AW73" s="487">
        <f>IF(AW55=0,0,AW75-AW74)</f>
        <v>0</v>
      </c>
      <c r="AX73" s="487">
        <f>IF(AX55=0,0,AX75-AX74)</f>
        <v>14.48737113402062</v>
      </c>
      <c r="AY73" s="425">
        <f t="shared" ref="AY73" si="144">AY75-AY74</f>
        <v>58.290463917525784</v>
      </c>
      <c r="AZ73" s="487">
        <f>IF(AZ55=0,0,AZ75-AZ74)</f>
        <v>14.498421391752577</v>
      </c>
      <c r="BA73" s="487">
        <f>IF(BA55=0,0,BA75-BA74)</f>
        <v>47.899530684034644</v>
      </c>
      <c r="BB73" s="487">
        <f>IF(BB55=0,0,BB75-BB74)</f>
        <v>66.800158668001814</v>
      </c>
      <c r="BC73" s="487">
        <f>IF(BC55=0,0,BC75-BC74)</f>
        <v>28.700238002003395</v>
      </c>
      <c r="BD73" s="425">
        <f t="shared" ref="BD73" si="145">BD75-BD74</f>
        <v>157.89834874579242</v>
      </c>
      <c r="BE73" s="487">
        <f>IF(BE55=0,0,BE75-BE74)</f>
        <v>0</v>
      </c>
      <c r="BF73" s="487">
        <f>IF(BF55=0,0,BF75-BF74)</f>
        <v>82.100000399153544</v>
      </c>
      <c r="BG73" s="487">
        <f>IF(BG55=0,0,BG75-BG74)</f>
        <v>29.603276518747769</v>
      </c>
      <c r="BH73" s="487">
        <f>IF(BH55=0,0,BH75-BH74)</f>
        <v>13.460716742612831</v>
      </c>
      <c r="BI73" s="425">
        <f t="shared" ref="BI73" si="146">BI75-BI74</f>
        <v>125.16399366051414</v>
      </c>
      <c r="BJ73" s="981">
        <f>IF(BJ55=0,0,BJ75-BJ74)</f>
        <v>33.202449473817424</v>
      </c>
      <c r="BK73" s="487">
        <f>IF(BK55=0,0,BK68*BK55/1000)</f>
        <v>0</v>
      </c>
      <c r="BL73" s="487">
        <f>IF(BL55=0,0,BL68*BL55/1000)</f>
        <v>0</v>
      </c>
      <c r="BM73" s="487">
        <f>IF(BM55=0,0,BM68*BM55/1000)</f>
        <v>0</v>
      </c>
      <c r="BN73" s="425">
        <f>SUM(BJ73,BK73,BL73,BM73)</f>
        <v>33.202449473817424</v>
      </c>
      <c r="BO73" s="487">
        <f>IF(BO55=0,0,BO68*BO55/1000)</f>
        <v>0</v>
      </c>
      <c r="BP73" s="487">
        <f>IF(BP55=0,0,BP68*BP55/1000)</f>
        <v>0</v>
      </c>
      <c r="BQ73" s="487">
        <f>IF(BQ55=0,0,BQ68*BQ55/1000)</f>
        <v>0</v>
      </c>
      <c r="BR73" s="487">
        <f>IF(BR55=0,0,BR68*BR55/1000)</f>
        <v>0</v>
      </c>
      <c r="BS73" s="425">
        <f>SUM(BO73,BP73,BQ73,BR73)</f>
        <v>0</v>
      </c>
      <c r="BT73" s="425">
        <f>IF(BT55=0,0,BT68*BT55/1000)</f>
        <v>0</v>
      </c>
      <c r="BU73" s="425">
        <f>IF(BU55=0,0,BU68*BU55/1000)</f>
        <v>0</v>
      </c>
      <c r="BV73" s="425">
        <f>IF(BV55=0,0,BV68*BV55/1000)</f>
        <v>0</v>
      </c>
      <c r="BW73" s="223"/>
    </row>
    <row r="74" spans="1:75" s="224" customFormat="1" outlineLevel="1" x14ac:dyDescent="0.5">
      <c r="A74" s="272" t="s">
        <v>1682</v>
      </c>
      <c r="B74" s="494"/>
      <c r="C74" s="425"/>
      <c r="D74" s="425">
        <f>IF(D55=0,D75-D73,C70*D67*D56/1000)</f>
        <v>-117</v>
      </c>
      <c r="E74" s="425">
        <f>IF(E55=0,E75-E73,D65*E67*E56/1000)</f>
        <v>-221</v>
      </c>
      <c r="F74" s="425">
        <f>IF(F55=0,F75-F73,E65*F67*F56/1000)</f>
        <v>-131.09659090909091</v>
      </c>
      <c r="G74" s="487">
        <f>IF(G55=0,G75-G73,F65*G56/1000)</f>
        <v>-13.837518527667983</v>
      </c>
      <c r="H74" s="487">
        <f>IF(H55=0,H75-H73,F65*H56/1000)</f>
        <v>0</v>
      </c>
      <c r="I74" s="487">
        <f>IF(I55=0,I75-I73,F65*I56/1000)</f>
        <v>-13.837518527667983</v>
      </c>
      <c r="J74" s="487">
        <f>IF(J55=0,J75-J73,F65*J56/1000)</f>
        <v>-41.512555583003952</v>
      </c>
      <c r="K74" s="425">
        <f>SUM(G74,H74,I74,J74)</f>
        <v>-69.187592638339922</v>
      </c>
      <c r="L74" s="487">
        <f>IF(L55=0,L75-L73,K65*L67*L56/1000)</f>
        <v>-13.901670627602462</v>
      </c>
      <c r="M74" s="487">
        <f>IF(M55=0,M75-M73,L65*M67*M56/1000)</f>
        <v>-19.5</v>
      </c>
      <c r="N74" s="487">
        <f>IF(N55=0,N75-N73,M65*N67*N56/1000)</f>
        <v>0</v>
      </c>
      <c r="O74" s="487">
        <f>IF(O55=0,O75-O73,N65*O67*O56/1000)</f>
        <v>-13.697321738486425</v>
      </c>
      <c r="P74" s="425">
        <f>SUM(L74,M74,N74,O74)</f>
        <v>-47.098992366088886</v>
      </c>
      <c r="Q74" s="487">
        <f>IF(Q55=0,Q75-Q73,P65*Q67*Q56/1000)</f>
        <v>-13.700000000000273</v>
      </c>
      <c r="R74" s="487">
        <f>IF(R55=0,R75-R73,Q65*R67*R56/1000)</f>
        <v>-13.700013877002659</v>
      </c>
      <c r="S74" s="487">
        <f>IF(S55=0,S75-S73,R65*S67*S56/1000)</f>
        <v>-13.700013877002659</v>
      </c>
      <c r="T74" s="487">
        <f>IF(T55=0,T75-T73,S65*T67*T56/1000)</f>
        <v>-21.400000000000091</v>
      </c>
      <c r="U74" s="425">
        <f t="shared" ref="U74" si="147">SUM(Q74,R74,S74,T74)</f>
        <v>-62.500027754005686</v>
      </c>
      <c r="V74" s="487">
        <f>IF(V55=0,V75-V73,U65*V67*V56/1000)</f>
        <v>0</v>
      </c>
      <c r="W74" s="487">
        <f>IF(W55=0,W75-W73,V65*W67*W56/1000)</f>
        <v>0</v>
      </c>
      <c r="X74" s="487">
        <f>IF(X55=0,X75-X73,W65*X67*X56/1000)</f>
        <v>0</v>
      </c>
      <c r="Y74" s="487">
        <f>IF(Y55=0,Y75-Y73,X65*Y67*Y56/1000)</f>
        <v>-27.599999999999998</v>
      </c>
      <c r="Z74" s="425">
        <f t="shared" ref="Z74" si="148">SUM(V74,W74,X74,Y74)</f>
        <v>-27.599999999999998</v>
      </c>
      <c r="AA74" s="487">
        <f>IF(AA55=0,AA75-AA73,Z65*AA67*AA56/1000)</f>
        <v>-41.4</v>
      </c>
      <c r="AB74" s="487">
        <f>IF(AB55=0,AB75-AB73,AA65*AB67*AB56/1000)</f>
        <v>-13.8</v>
      </c>
      <c r="AC74" s="487">
        <f>IF(AC55=0,AC75-AC73,AB65*AC67*AC56/1000)</f>
        <v>-41.4</v>
      </c>
      <c r="AD74" s="487">
        <f>IF(AD55=0,AD75-AD73,AC65*AD67*AD56/1000)</f>
        <v>-13.8</v>
      </c>
      <c r="AE74" s="425">
        <f t="shared" ref="AE74" si="149">SUM(AA74,AB74,AC74,AD74)</f>
        <v>-110.39999999999999</v>
      </c>
      <c r="AF74" s="487">
        <f>IF(AF55=0,AF75-AF73,AE65*AF67*AF56/1000)</f>
        <v>-13.904145077720207</v>
      </c>
      <c r="AG74" s="487">
        <f>IF(AG55=0,AG75-AG73,AF65*AG67*AG56/1000)</f>
        <v>0</v>
      </c>
      <c r="AH74" s="487">
        <f>IF(AH55=0,AH75-AH73,AG65*AH67*AH56/1000)</f>
        <v>0</v>
      </c>
      <c r="AI74" s="487">
        <f>IF(AI55=0,AI75-AI73,AH65*AI67*AI56/1000)</f>
        <v>-41.701437823834205</v>
      </c>
      <c r="AJ74" s="425">
        <f t="shared" ref="AJ74" si="150">SUM(AF74,AG74,AH74,AI74)</f>
        <v>-55.605582901554413</v>
      </c>
      <c r="AK74" s="487">
        <f>IF(AK55=0,AK75-AK73,AJ65*AK67*AK56/1000)</f>
        <v>-20.5</v>
      </c>
      <c r="AL74" s="487">
        <f>IF(AL55=0,AL75-AL73,AK65*AL67*AL56/1000)</f>
        <v>-27.594985621761658</v>
      </c>
      <c r="AM74" s="487">
        <f>IF(AM55=0,AM75-AM73,AL65*AM67*AM56/1000)</f>
        <v>0</v>
      </c>
      <c r="AN74" s="487">
        <f>IF(AN55=0,AN75-AN73,AM65*AN67*AN56/1000)</f>
        <v>-57.599999999999909</v>
      </c>
      <c r="AO74" s="425">
        <f t="shared" ref="AO74" si="151">SUM(AK74,AL74,AM74,AN74)</f>
        <v>-105.69498562176156</v>
      </c>
      <c r="AP74" s="487">
        <f>IF(AP55=0,AP75-AP73,AO65*AP67*AP56/1000)</f>
        <v>0</v>
      </c>
      <c r="AQ74" s="487">
        <f>IF(AQ55=0,AQ75-AQ73,AP65*AQ67*AQ56/1000)</f>
        <v>0</v>
      </c>
      <c r="AR74" s="487">
        <f>IF(AR55=0,AR75-AR73,AQ65*AR67*AR56/1000)</f>
        <v>-14.4</v>
      </c>
      <c r="AS74" s="487">
        <f>IF(AS55=0,AS75-AS73,AR65*AS67*AS56/1000)</f>
        <v>-47.400000000000091</v>
      </c>
      <c r="AT74" s="425">
        <f t="shared" ref="AT74" si="152">SUM(AP74,AQ74,AR74,AS74)</f>
        <v>-61.80000000000009</v>
      </c>
      <c r="AU74" s="487">
        <f>IF(AU55=0,AU75-AU73,AT65*AU67*AU56/1000)</f>
        <v>-29.202061855670102</v>
      </c>
      <c r="AV74" s="487">
        <f>IF(AV55=0,AV75-AV73,AU65*AV67*AV56/1000)</f>
        <v>-14.601030927835053</v>
      </c>
      <c r="AW74" s="487">
        <f>IF(AW55=0,AW75-AW73,AV65*AW67*AW56/1000)</f>
        <v>-19.5</v>
      </c>
      <c r="AX74" s="487">
        <f>IF(AX55=0,AX75-AX73,AW65*AX67*AX56/1000)</f>
        <v>-115.98737113402062</v>
      </c>
      <c r="AY74" s="425">
        <f t="shared" ref="AY74" si="153">SUM(AU74,AV74,AW74,AX74)</f>
        <v>-179.29046391752578</v>
      </c>
      <c r="AZ74" s="487">
        <f>IF(AZ55=0,AZ75-AZ73,AY65*AZ67*AZ56/1000)</f>
        <v>-14.498421391752577</v>
      </c>
      <c r="BA74" s="487">
        <f>IF(BA55=0,BA75-BA73,AZ65*BA67*BA56/1000)</f>
        <v>-14.49953068403455</v>
      </c>
      <c r="BB74" s="487">
        <f>IF(BB55=0,BB75-BB73,BA65*BB67*BB56/1000)</f>
        <v>-29.000158668002079</v>
      </c>
      <c r="BC74" s="487">
        <f>IF(BC55=0,BC75-BC73,BB65*BC67*BC56/1000)</f>
        <v>-43.500238002003123</v>
      </c>
      <c r="BD74" s="425">
        <f t="shared" ref="BD74" si="154">SUM(AZ74,BA74,BB74,BC74)</f>
        <v>-101.49834874579233</v>
      </c>
      <c r="BE74" s="487">
        <f>IF(BE55=0,BE75-BE73,BD65*BE67*BE56/1000)</f>
        <v>0</v>
      </c>
      <c r="BF74" s="487">
        <f>IF(BF55=0,BF75-BF73,BE65*BF67*BF56/1000)</f>
        <v>-14.500000399153627</v>
      </c>
      <c r="BG74" s="487">
        <f>IF(BG55=0,BG75-BG73,BF65*BG67*BG56/1000)</f>
        <v>-14.603276518747768</v>
      </c>
      <c r="BH74" s="487">
        <f>IF(BH55=0,BH75-BH73,BG65*BH67*BH56/1000)</f>
        <v>-118.46071674261283</v>
      </c>
      <c r="BI74" s="425">
        <f t="shared" ref="BI74" si="155">SUM(BE74,BF74,BG74,BH74)</f>
        <v>-147.56399366051423</v>
      </c>
      <c r="BJ74" s="981">
        <f>IF(BJ55=0,BJ75-BJ73,BI65*BJ67*BJ56/1000)</f>
        <v>-14.802449473817335</v>
      </c>
      <c r="BK74" s="487">
        <f>BJ65*BK67*BK56/1000</f>
        <v>-29.60489894763467</v>
      </c>
      <c r="BL74" s="487">
        <f>BK65*BL67*BL56/1000</f>
        <v>-30.028411891204346</v>
      </c>
      <c r="BM74" s="487">
        <f>BL65*BM67*BM56/1000</f>
        <v>-30.02363508926663</v>
      </c>
      <c r="BN74" s="425">
        <f>SUM(BJ74,BK74,BL74,BM74)</f>
        <v>-104.45939540192299</v>
      </c>
      <c r="BO74" s="487">
        <f>BN65*BO67*BO56/1000</f>
        <v>-30.006108526531939</v>
      </c>
      <c r="BP74" s="487">
        <f>BO65*BP67*BP56/1000</f>
        <v>-30.212919835742753</v>
      </c>
      <c r="BQ74" s="487">
        <f>BP65*BQ67*BQ56/1000</f>
        <v>-30.212919835742749</v>
      </c>
      <c r="BR74" s="487">
        <f>BQ65*BR67*BR56/1000</f>
        <v>-30.212919835742749</v>
      </c>
      <c r="BS74" s="425">
        <f>SUM(BO74,BP74,BQ74,BR74)</f>
        <v>-120.64486803376019</v>
      </c>
      <c r="BT74" s="425">
        <f>BS65*BT67*BT56/1000</f>
        <v>0</v>
      </c>
      <c r="BU74" s="425">
        <f>BT65*BU67*BU56/1000</f>
        <v>0</v>
      </c>
      <c r="BV74" s="425">
        <f>BU65*BV67*BV56/1000</f>
        <v>0</v>
      </c>
      <c r="BW74" s="223"/>
    </row>
    <row r="75" spans="1:75" s="224" customFormat="1" outlineLevel="1" x14ac:dyDescent="0.5">
      <c r="A75" s="1133" t="s">
        <v>1683</v>
      </c>
      <c r="B75" s="1134"/>
      <c r="C75" s="1135"/>
      <c r="D75" s="1135">
        <f t="shared" ref="D75:AY75" si="156">D76-D72</f>
        <v>-58.699999999999818</v>
      </c>
      <c r="E75" s="1135">
        <f t="shared" si="156"/>
        <v>148.89999999999964</v>
      </c>
      <c r="F75" s="1135">
        <f t="shared" si="156"/>
        <v>-8.3999999999996362</v>
      </c>
      <c r="G75" s="1006">
        <f t="shared" si="156"/>
        <v>22.199999999999818</v>
      </c>
      <c r="H75" s="1006">
        <f t="shared" si="156"/>
        <v>13.800000000000182</v>
      </c>
      <c r="I75" s="1006">
        <f t="shared" si="156"/>
        <v>0</v>
      </c>
      <c r="J75" s="1006">
        <f t="shared" si="156"/>
        <v>-27.600000000000364</v>
      </c>
      <c r="K75" s="1135">
        <f t="shared" si="156"/>
        <v>8.3999999999996362</v>
      </c>
      <c r="L75" s="1006">
        <f t="shared" si="156"/>
        <v>13.800000000000182</v>
      </c>
      <c r="M75" s="1006">
        <f t="shared" si="156"/>
        <v>-19.5</v>
      </c>
      <c r="N75" s="1006">
        <f t="shared" si="156"/>
        <v>41.099999999999909</v>
      </c>
      <c r="O75" s="1006">
        <f t="shared" si="156"/>
        <v>13.700000000000273</v>
      </c>
      <c r="P75" s="1135">
        <f t="shared" si="156"/>
        <v>49.100000000000364</v>
      </c>
      <c r="Q75" s="1006">
        <f t="shared" si="156"/>
        <v>-13.700000000000273</v>
      </c>
      <c r="R75" s="1006">
        <f t="shared" si="156"/>
        <v>13.700000000000273</v>
      </c>
      <c r="S75" s="1006">
        <f t="shared" si="156"/>
        <v>13.699999999999818</v>
      </c>
      <c r="T75" s="1006">
        <f t="shared" si="156"/>
        <v>-21.400000000000091</v>
      </c>
      <c r="U75" s="1135">
        <f t="shared" si="156"/>
        <v>-7.7000000000002728</v>
      </c>
      <c r="V75" s="1006">
        <f t="shared" si="156"/>
        <v>41.400000000000091</v>
      </c>
      <c r="W75" s="1006">
        <f t="shared" si="156"/>
        <v>13.800000000000182</v>
      </c>
      <c r="X75" s="1006">
        <f t="shared" si="156"/>
        <v>13.799999999999727</v>
      </c>
      <c r="Y75" s="1006">
        <f t="shared" si="156"/>
        <v>6.3000000000001819</v>
      </c>
      <c r="Z75" s="1135">
        <f t="shared" si="156"/>
        <v>75.300000000000182</v>
      </c>
      <c r="AA75" s="1006">
        <f t="shared" si="156"/>
        <v>-47.700000000000273</v>
      </c>
      <c r="AB75" s="1006">
        <f t="shared" si="156"/>
        <v>69</v>
      </c>
      <c r="AC75" s="1006">
        <f t="shared" si="156"/>
        <v>-7.3999999999996362</v>
      </c>
      <c r="AD75" s="1006">
        <f t="shared" si="156"/>
        <v>13.899999999999636</v>
      </c>
      <c r="AE75" s="1135">
        <f t="shared" si="156"/>
        <v>27.799999999999727</v>
      </c>
      <c r="AF75" s="1006">
        <f t="shared" si="156"/>
        <v>0</v>
      </c>
      <c r="AG75" s="1006">
        <f t="shared" si="156"/>
        <v>27.800000000000182</v>
      </c>
      <c r="AH75" s="1006">
        <f t="shared" si="156"/>
        <v>0</v>
      </c>
      <c r="AI75" s="1006">
        <f t="shared" si="156"/>
        <v>61.5</v>
      </c>
      <c r="AJ75" s="1135">
        <f t="shared" si="156"/>
        <v>89.300000000000182</v>
      </c>
      <c r="AK75" s="1006">
        <f t="shared" si="156"/>
        <v>-20.5</v>
      </c>
      <c r="AL75" s="1006">
        <f t="shared" si="156"/>
        <v>61.5</v>
      </c>
      <c r="AM75" s="1006">
        <f t="shared" si="156"/>
        <v>0</v>
      </c>
      <c r="AN75" s="1006">
        <f t="shared" si="156"/>
        <v>-57.599999999999909</v>
      </c>
      <c r="AO75" s="1135">
        <f t="shared" si="156"/>
        <v>-16.599999999999909</v>
      </c>
      <c r="AP75" s="1006">
        <f t="shared" si="156"/>
        <v>0</v>
      </c>
      <c r="AQ75" s="1006">
        <f t="shared" si="156"/>
        <v>0</v>
      </c>
      <c r="AR75" s="1006">
        <f t="shared" si="156"/>
        <v>0</v>
      </c>
      <c r="AS75" s="1006">
        <f t="shared" si="156"/>
        <v>-47.400000000000091</v>
      </c>
      <c r="AT75" s="1135">
        <f t="shared" si="156"/>
        <v>-47.400000000000091</v>
      </c>
      <c r="AU75" s="1006">
        <f t="shared" si="156"/>
        <v>0</v>
      </c>
      <c r="AV75" s="1006">
        <f t="shared" si="156"/>
        <v>0</v>
      </c>
      <c r="AW75" s="1006">
        <f t="shared" si="156"/>
        <v>-19.5</v>
      </c>
      <c r="AX75" s="1006">
        <f t="shared" si="156"/>
        <v>-101.5</v>
      </c>
      <c r="AY75" s="1135">
        <f t="shared" si="156"/>
        <v>-121</v>
      </c>
      <c r="AZ75" s="1006">
        <f>AZ76-AZ72</f>
        <v>0</v>
      </c>
      <c r="BA75" s="1006">
        <f t="shared" ref="BA75:BD75" si="157">BA76-BA72</f>
        <v>33.400000000000091</v>
      </c>
      <c r="BB75" s="1006">
        <f t="shared" si="157"/>
        <v>37.799999999999727</v>
      </c>
      <c r="BC75" s="1006">
        <f t="shared" si="157"/>
        <v>-14.799999999999727</v>
      </c>
      <c r="BD75" s="1135">
        <f t="shared" si="157"/>
        <v>56.400000000000091</v>
      </c>
      <c r="BE75" s="1006">
        <f>BE76-BE72</f>
        <v>0</v>
      </c>
      <c r="BF75" s="1006">
        <f t="shared" ref="BF75:BI75" si="158">BF76-BF72</f>
        <v>67.599999999999909</v>
      </c>
      <c r="BG75" s="1006">
        <f t="shared" si="158"/>
        <v>15</v>
      </c>
      <c r="BH75" s="1006">
        <f t="shared" si="158"/>
        <v>-105</v>
      </c>
      <c r="BI75" s="1135">
        <f t="shared" si="158"/>
        <v>-22.400000000000091</v>
      </c>
      <c r="BJ75" s="1008">
        <f>BJ76-BJ72</f>
        <v>18.400000000000091</v>
      </c>
      <c r="BK75" s="1006">
        <f t="shared" ref="BK75:BV75" si="159">SUM(BK73:BK74)</f>
        <v>-29.60489894763467</v>
      </c>
      <c r="BL75" s="1006">
        <f t="shared" si="159"/>
        <v>-30.028411891204346</v>
      </c>
      <c r="BM75" s="1006">
        <f t="shared" si="159"/>
        <v>-30.02363508926663</v>
      </c>
      <c r="BN75" s="1135">
        <f t="shared" si="159"/>
        <v>-71.256945928105566</v>
      </c>
      <c r="BO75" s="1006">
        <f t="shared" si="159"/>
        <v>-30.006108526531939</v>
      </c>
      <c r="BP75" s="1006">
        <f t="shared" si="159"/>
        <v>-30.212919835742753</v>
      </c>
      <c r="BQ75" s="1006">
        <f t="shared" si="159"/>
        <v>-30.212919835742749</v>
      </c>
      <c r="BR75" s="1006">
        <f t="shared" si="159"/>
        <v>-30.212919835742749</v>
      </c>
      <c r="BS75" s="1135">
        <f t="shared" si="159"/>
        <v>-120.64486803376019</v>
      </c>
      <c r="BT75" s="1135">
        <f t="shared" si="159"/>
        <v>0</v>
      </c>
      <c r="BU75" s="1135">
        <f t="shared" si="159"/>
        <v>0</v>
      </c>
      <c r="BV75" s="1135">
        <f t="shared" si="159"/>
        <v>0</v>
      </c>
      <c r="BW75" s="223"/>
    </row>
    <row r="76" spans="1:75" s="169" customFormat="1" ht="14.25" outlineLevel="1" x14ac:dyDescent="0.45">
      <c r="A76" s="360" t="s">
        <v>1684</v>
      </c>
      <c r="B76" s="1127"/>
      <c r="C76" s="1128">
        <f t="shared" ref="C76:BJ76" si="160">C57*C70/1000</f>
        <v>2587</v>
      </c>
      <c r="D76" s="1128">
        <f t="shared" si="160"/>
        <v>2528.3000000000002</v>
      </c>
      <c r="E76" s="1128">
        <f t="shared" si="160"/>
        <v>2677.2</v>
      </c>
      <c r="F76" s="1128">
        <f t="shared" si="160"/>
        <v>2668.8</v>
      </c>
      <c r="G76" s="287">
        <f t="shared" si="160"/>
        <v>2691</v>
      </c>
      <c r="H76" s="287">
        <f t="shared" si="160"/>
        <v>2704.8</v>
      </c>
      <c r="I76" s="287">
        <f t="shared" si="160"/>
        <v>2704.8</v>
      </c>
      <c r="J76" s="287">
        <f t="shared" si="160"/>
        <v>2677.2</v>
      </c>
      <c r="K76" s="1128">
        <f t="shared" si="160"/>
        <v>2677.2</v>
      </c>
      <c r="L76" s="287">
        <f t="shared" si="160"/>
        <v>2691</v>
      </c>
      <c r="M76" s="287">
        <f t="shared" si="160"/>
        <v>2671.5</v>
      </c>
      <c r="N76" s="287">
        <f t="shared" si="160"/>
        <v>2712.6</v>
      </c>
      <c r="O76" s="287">
        <f t="shared" si="160"/>
        <v>2726.3</v>
      </c>
      <c r="P76" s="1128">
        <f t="shared" si="160"/>
        <v>2726.3</v>
      </c>
      <c r="Q76" s="287">
        <f t="shared" si="160"/>
        <v>2712.6</v>
      </c>
      <c r="R76" s="287">
        <f t="shared" si="160"/>
        <v>2726.3</v>
      </c>
      <c r="S76" s="287">
        <f t="shared" si="160"/>
        <v>2740</v>
      </c>
      <c r="T76" s="287">
        <f t="shared" si="160"/>
        <v>2718.6</v>
      </c>
      <c r="U76" s="1128">
        <f t="shared" si="160"/>
        <v>2718.6</v>
      </c>
      <c r="V76" s="287">
        <f t="shared" si="160"/>
        <v>2760</v>
      </c>
      <c r="W76" s="287">
        <f t="shared" si="160"/>
        <v>2773.8</v>
      </c>
      <c r="X76" s="287">
        <f t="shared" si="160"/>
        <v>2787.6</v>
      </c>
      <c r="Y76" s="287">
        <f t="shared" si="160"/>
        <v>2793.9</v>
      </c>
      <c r="Z76" s="1128">
        <f t="shared" si="160"/>
        <v>2793.9</v>
      </c>
      <c r="AA76" s="287">
        <f t="shared" si="160"/>
        <v>2746.2</v>
      </c>
      <c r="AB76" s="287">
        <f t="shared" si="160"/>
        <v>2815.2</v>
      </c>
      <c r="AC76" s="287">
        <f t="shared" si="160"/>
        <v>2807.8</v>
      </c>
      <c r="AD76" s="287">
        <f t="shared" si="160"/>
        <v>2821.7</v>
      </c>
      <c r="AE76" s="1128">
        <f t="shared" si="160"/>
        <v>2821.7</v>
      </c>
      <c r="AF76" s="287">
        <f t="shared" si="160"/>
        <v>2821.7</v>
      </c>
      <c r="AG76" s="287">
        <f t="shared" si="160"/>
        <v>2849.5</v>
      </c>
      <c r="AH76" s="287">
        <f t="shared" si="160"/>
        <v>2849.5</v>
      </c>
      <c r="AI76" s="287">
        <f t="shared" si="160"/>
        <v>2911</v>
      </c>
      <c r="AJ76" s="1128">
        <f t="shared" si="160"/>
        <v>2911</v>
      </c>
      <c r="AK76" s="287">
        <f t="shared" si="160"/>
        <v>2890.5</v>
      </c>
      <c r="AL76" s="287">
        <f t="shared" si="160"/>
        <v>2952</v>
      </c>
      <c r="AM76" s="287">
        <f t="shared" si="160"/>
        <v>2952</v>
      </c>
      <c r="AN76" s="287">
        <f t="shared" si="160"/>
        <v>2894.4</v>
      </c>
      <c r="AO76" s="1128">
        <f t="shared" si="160"/>
        <v>2894.4</v>
      </c>
      <c r="AP76" s="287">
        <f>AP57*AP70/1000</f>
        <v>2894.4</v>
      </c>
      <c r="AQ76" s="287">
        <f t="shared" si="160"/>
        <v>2894.4</v>
      </c>
      <c r="AR76" s="287">
        <f t="shared" si="160"/>
        <v>2894.4</v>
      </c>
      <c r="AS76" s="287">
        <f t="shared" si="160"/>
        <v>2847</v>
      </c>
      <c r="AT76" s="1128">
        <f t="shared" si="160"/>
        <v>2847</v>
      </c>
      <c r="AU76" s="287">
        <f>AU57*AU70/1000</f>
        <v>2847</v>
      </c>
      <c r="AV76" s="287">
        <f t="shared" si="160"/>
        <v>2847</v>
      </c>
      <c r="AW76" s="287">
        <f t="shared" si="160"/>
        <v>2827.5</v>
      </c>
      <c r="AX76" s="287">
        <f t="shared" si="160"/>
        <v>2726</v>
      </c>
      <c r="AY76" s="1128">
        <f t="shared" si="160"/>
        <v>2726</v>
      </c>
      <c r="AZ76" s="287">
        <f t="shared" si="160"/>
        <v>2726</v>
      </c>
      <c r="BA76" s="287">
        <f t="shared" si="160"/>
        <v>2759.4</v>
      </c>
      <c r="BB76" s="287">
        <f t="shared" si="160"/>
        <v>2797.2</v>
      </c>
      <c r="BC76" s="287">
        <f t="shared" si="160"/>
        <v>2782.4</v>
      </c>
      <c r="BD76" s="1128">
        <f t="shared" si="160"/>
        <v>2782.4</v>
      </c>
      <c r="BE76" s="287">
        <f t="shared" si="160"/>
        <v>2782.4</v>
      </c>
      <c r="BF76" s="287">
        <f t="shared" si="160"/>
        <v>2850</v>
      </c>
      <c r="BG76" s="287">
        <f t="shared" si="160"/>
        <v>2865</v>
      </c>
      <c r="BH76" s="287">
        <f t="shared" si="160"/>
        <v>2760</v>
      </c>
      <c r="BI76" s="1128">
        <f t="shared" si="160"/>
        <v>2760</v>
      </c>
      <c r="BJ76" s="1129">
        <f t="shared" si="160"/>
        <v>2778.4</v>
      </c>
      <c r="BK76" s="287">
        <f t="shared" ref="BK76:BV76" si="161">BK72+BK75</f>
        <v>2748.7951010523652</v>
      </c>
      <c r="BL76" s="287">
        <f t="shared" si="161"/>
        <v>2718.7666891611607</v>
      </c>
      <c r="BM76" s="287">
        <f t="shared" si="161"/>
        <v>2688.7430540718942</v>
      </c>
      <c r="BN76" s="1128">
        <f t="shared" si="161"/>
        <v>2688.7430540718942</v>
      </c>
      <c r="BO76" s="287">
        <f t="shared" si="161"/>
        <v>2658.7369455453622</v>
      </c>
      <c r="BP76" s="287">
        <f t="shared" si="161"/>
        <v>2628.5240257096193</v>
      </c>
      <c r="BQ76" s="287">
        <f t="shared" si="161"/>
        <v>2598.3111058738764</v>
      </c>
      <c r="BR76" s="287">
        <f t="shared" si="161"/>
        <v>2568.0981860381335</v>
      </c>
      <c r="BS76" s="1128">
        <f t="shared" si="161"/>
        <v>2568.0981860381339</v>
      </c>
      <c r="BT76" s="1128">
        <f t="shared" si="161"/>
        <v>2568.0981860381339</v>
      </c>
      <c r="BU76" s="1128">
        <f t="shared" si="161"/>
        <v>2568.0981860381339</v>
      </c>
      <c r="BV76" s="1128">
        <f t="shared" si="161"/>
        <v>2568.0981860381339</v>
      </c>
      <c r="BW76" s="168"/>
    </row>
    <row r="77" spans="1:75" s="169" customFormat="1" ht="14.25" outlineLevel="1" x14ac:dyDescent="0.45">
      <c r="A77" s="163" t="s">
        <v>1685</v>
      </c>
      <c r="B77" s="1121"/>
      <c r="C77" s="840"/>
      <c r="D77" s="840">
        <f t="shared" ref="D77:J77" si="162">AVERAGE(D76,D72)</f>
        <v>2557.65</v>
      </c>
      <c r="E77" s="840">
        <f t="shared" si="162"/>
        <v>2602.75</v>
      </c>
      <c r="F77" s="840">
        <f t="shared" si="162"/>
        <v>2673</v>
      </c>
      <c r="G77" s="247">
        <f t="shared" si="162"/>
        <v>2679.9</v>
      </c>
      <c r="H77" s="247">
        <f t="shared" si="162"/>
        <v>2697.9</v>
      </c>
      <c r="I77" s="247">
        <f t="shared" si="162"/>
        <v>2704.8</v>
      </c>
      <c r="J77" s="247">
        <f t="shared" si="162"/>
        <v>2691</v>
      </c>
      <c r="K77" s="840">
        <f t="shared" ref="K77" si="163">SUM(G77*G$3,H77*H$3,I77*I$3,J77*J$3)/K$3</f>
        <v>2693.4</v>
      </c>
      <c r="L77" s="247">
        <f>AVERAGE(L76,L72)</f>
        <v>2684.1</v>
      </c>
      <c r="M77" s="247">
        <f>AVERAGE(M76,M72)</f>
        <v>2681.25</v>
      </c>
      <c r="N77" s="247">
        <f>AVERAGE(N76,N72)</f>
        <v>2692.05</v>
      </c>
      <c r="O77" s="247">
        <f>AVERAGE(O76,O72)</f>
        <v>2719.45</v>
      </c>
      <c r="P77" s="840">
        <f t="shared" ref="P77" si="164">SUM(L77*L$3,M77*M$3,N77*N$3,O77*O$3)/P$3</f>
        <v>2694.2125000000001</v>
      </c>
      <c r="Q77" s="247">
        <f>AVERAGE(Q76,Q72)</f>
        <v>2719.45</v>
      </c>
      <c r="R77" s="247">
        <f>AVERAGE(R76,R72)</f>
        <v>2719.45</v>
      </c>
      <c r="S77" s="247">
        <f>AVERAGE(S76,S72)</f>
        <v>2733.15</v>
      </c>
      <c r="T77" s="247">
        <f>AVERAGE(T76,T72)</f>
        <v>2729.3</v>
      </c>
      <c r="U77" s="840">
        <f t="shared" ref="U77" si="165">SUM(Q77*Q$3,R77*R$3,S77*S$3,T77*T$3)/U$3</f>
        <v>2725.3375000000001</v>
      </c>
      <c r="V77" s="247">
        <f>AVERAGE(V76,V72)</f>
        <v>2739.3</v>
      </c>
      <c r="W77" s="247">
        <f>AVERAGE(W76,W72)</f>
        <v>2766.9</v>
      </c>
      <c r="X77" s="247">
        <f>AVERAGE(X76,X72)</f>
        <v>2780.7</v>
      </c>
      <c r="Y77" s="247">
        <f>AVERAGE(Y76,Y72)</f>
        <v>2790.75</v>
      </c>
      <c r="Z77" s="840">
        <f t="shared" ref="Z77" si="166">SUM(V77*V$3,W77*W$3,X77*X$3,Y77*Y$3)/Z$3</f>
        <v>2769.4124999999999</v>
      </c>
      <c r="AA77" s="247">
        <f>AVERAGE(AA76,AA72)</f>
        <v>2770.05</v>
      </c>
      <c r="AB77" s="247">
        <f>AVERAGE(AB76,AB72)</f>
        <v>2780.7</v>
      </c>
      <c r="AC77" s="247">
        <f>AVERAGE(AC76,AC72)</f>
        <v>2811.5</v>
      </c>
      <c r="AD77" s="247">
        <f>AVERAGE(AD76,AD72)</f>
        <v>2814.75</v>
      </c>
      <c r="AE77" s="840">
        <f t="shared" ref="AE77" si="167">SUM(AA77*AA$3,AB77*AB$3,AC77*AC$3,AD77*AD$3)/AE$3</f>
        <v>2794.25</v>
      </c>
      <c r="AF77" s="247">
        <f>AVERAGE(AF76,AF72)</f>
        <v>2821.7</v>
      </c>
      <c r="AG77" s="247">
        <f>AVERAGE(AG76,AG72)</f>
        <v>2835.6</v>
      </c>
      <c r="AH77" s="247">
        <f>AVERAGE(AH76,AH72)</f>
        <v>2849.5</v>
      </c>
      <c r="AI77" s="247">
        <f>AVERAGE(AI76,AI72)</f>
        <v>2880.25</v>
      </c>
      <c r="AJ77" s="840">
        <f t="shared" ref="AJ77" si="168">SUM(AF77*AF$3,AG77*AG$3,AH77*AH$3,AI77*AI$3)/AJ$3</f>
        <v>2847.3943396226418</v>
      </c>
      <c r="AK77" s="247">
        <f>AVERAGE(AK76,AK72)</f>
        <v>2900.75</v>
      </c>
      <c r="AL77" s="247">
        <f>AVERAGE(AL76,AL72)</f>
        <v>2921.25</v>
      </c>
      <c r="AM77" s="247">
        <f>AVERAGE(AM76,AM72)</f>
        <v>2952</v>
      </c>
      <c r="AN77" s="247">
        <f>AVERAGE(AN76,AN72)</f>
        <v>2923.2</v>
      </c>
      <c r="AO77" s="840">
        <f t="shared" ref="AO77" si="169">SUM(AK77*AK$3,AL77*AL$3,AM77*AM$3,AN77*AN$3)/AO$3</f>
        <v>2924.2999999999997</v>
      </c>
      <c r="AP77" s="247">
        <f>AVERAGE(AP76,AP72)</f>
        <v>2894.4</v>
      </c>
      <c r="AQ77" s="247">
        <f>AVERAGE(AQ76,AQ72)</f>
        <v>2894.4</v>
      </c>
      <c r="AR77" s="247">
        <f>AVERAGE(AR76,AR72)</f>
        <v>2894.4</v>
      </c>
      <c r="AS77" s="247">
        <f>AVERAGE(AS76,AS72)</f>
        <v>2870.7</v>
      </c>
      <c r="AT77" s="840">
        <f t="shared" ref="AT77" si="170">SUM(AP77*AP$3,AQ77*AQ$3,AR77*AR$3,AS77*AS$3)/AT$3</f>
        <v>2888.4750000000004</v>
      </c>
      <c r="AU77" s="247">
        <f>AVERAGE(AU76,AU72)</f>
        <v>2847</v>
      </c>
      <c r="AV77" s="247">
        <f>AVERAGE(AV76,AV72)</f>
        <v>2847</v>
      </c>
      <c r="AW77" s="247">
        <f>AVERAGE(AW76,AW72)</f>
        <v>2837.25</v>
      </c>
      <c r="AX77" s="247">
        <f>AVERAGE(AX76,AX72)</f>
        <v>2776.75</v>
      </c>
      <c r="AY77" s="840">
        <f t="shared" ref="AY77" si="171">SUM(AU77*AU$3,AV77*AV$3,AW77*AW$3,AX77*AX$3)/AY$3</f>
        <v>2827</v>
      </c>
      <c r="AZ77" s="247">
        <f>AVERAGE(AZ76,AZ72)</f>
        <v>2726</v>
      </c>
      <c r="BA77" s="247">
        <f>AVERAGE(BA76,BA72)</f>
        <v>2742.7</v>
      </c>
      <c r="BB77" s="247">
        <f>AVERAGE(BB76,BB72)</f>
        <v>2778.3</v>
      </c>
      <c r="BC77" s="247">
        <f>AVERAGE(BC76,BC72)</f>
        <v>2789.8</v>
      </c>
      <c r="BD77" s="840">
        <f t="shared" ref="BD77" si="172">SUM(AZ77*AZ$3,BA77*BA$3,BB77*BB$3,BC77*BC$3)/BD$3</f>
        <v>2759.2000000000003</v>
      </c>
      <c r="BE77" s="247">
        <f>AVERAGE(BE76,BE72)</f>
        <v>2782.4</v>
      </c>
      <c r="BF77" s="247">
        <f>AVERAGE(BF76,BF72)</f>
        <v>2816.2</v>
      </c>
      <c r="BG77" s="247">
        <f>AVERAGE(BG76,BG72)</f>
        <v>2857.5</v>
      </c>
      <c r="BH77" s="247">
        <f>AVERAGE(BH76,BH72)</f>
        <v>2812.5</v>
      </c>
      <c r="BI77" s="840">
        <f t="shared" ref="BI77" si="173">SUM(BE77*BE$3,BF77*BF$3,BG77*BG$3,BH77*BH$3)/BI$3</f>
        <v>2817.15</v>
      </c>
      <c r="BJ77" s="977">
        <f>AVERAGE(BJ76,BJ72)</f>
        <v>2769.2</v>
      </c>
      <c r="BK77" s="247">
        <f>AVERAGE(BK76,BK72)</f>
        <v>2763.5975505261827</v>
      </c>
      <c r="BL77" s="247">
        <f>AVERAGE(BL76,BL72)</f>
        <v>2733.7808951067627</v>
      </c>
      <c r="BM77" s="247">
        <f>AVERAGE(BM76,BM72)</f>
        <v>2703.7548716165275</v>
      </c>
      <c r="BN77" s="840">
        <f>SUM(BJ77*BJ$3,BK77*BK$3,BL77*BL$3,BM77*BM$3)/BN$3</f>
        <v>2741.8507169030127</v>
      </c>
      <c r="BO77" s="247">
        <f>AVERAGE(BO76,BO72)</f>
        <v>2673.7399998086285</v>
      </c>
      <c r="BP77" s="247">
        <f>AVERAGE(BP76,BP72)</f>
        <v>2643.630485627491</v>
      </c>
      <c r="BQ77" s="247">
        <f>AVERAGE(BQ76,BQ72)</f>
        <v>2613.4175657917476</v>
      </c>
      <c r="BR77" s="247">
        <f>AVERAGE(BR76,BR72)</f>
        <v>2583.2046459560052</v>
      </c>
      <c r="BS77" s="840">
        <f>SUM(BO77*BO$3,BP77*BP$3,BQ77*BQ$3,BR77*BR$3)/BS$3</f>
        <v>2628.4981742959681</v>
      </c>
      <c r="BT77" s="840">
        <f>AVERAGE(BT76,BT72)</f>
        <v>2568.0981860381339</v>
      </c>
      <c r="BU77" s="840">
        <f>AVERAGE(BU76,BU72)</f>
        <v>2568.0981860381339</v>
      </c>
      <c r="BV77" s="840">
        <f>AVERAGE(BV76,BV72)</f>
        <v>2568.0981860381339</v>
      </c>
      <c r="BW77" s="168"/>
    </row>
    <row r="78" spans="1:75" s="123" customFormat="1" outlineLevel="1" x14ac:dyDescent="0.5">
      <c r="A78" s="184"/>
      <c r="B78" s="489"/>
      <c r="C78" s="401"/>
      <c r="D78" s="401"/>
      <c r="E78" s="401"/>
      <c r="F78" s="401"/>
      <c r="G78" s="118"/>
      <c r="H78" s="118"/>
      <c r="I78" s="118"/>
      <c r="J78" s="118"/>
      <c r="K78" s="401"/>
      <c r="L78" s="118"/>
      <c r="M78" s="118"/>
      <c r="N78" s="118"/>
      <c r="O78" s="118"/>
      <c r="P78" s="401"/>
      <c r="Q78" s="118"/>
      <c r="R78" s="118"/>
      <c r="S78" s="118"/>
      <c r="T78" s="118"/>
      <c r="U78" s="401"/>
      <c r="V78" s="118"/>
      <c r="W78" s="118"/>
      <c r="X78" s="118"/>
      <c r="Y78" s="118"/>
      <c r="Z78" s="401"/>
      <c r="AA78" s="118"/>
      <c r="AB78" s="118"/>
      <c r="AC78" s="118"/>
      <c r="AD78" s="118"/>
      <c r="AE78" s="401"/>
      <c r="AF78" s="118"/>
      <c r="AG78" s="118"/>
      <c r="AH78" s="118"/>
      <c r="AI78" s="118"/>
      <c r="AJ78" s="401"/>
      <c r="AK78" s="118"/>
      <c r="AL78" s="118"/>
      <c r="AM78" s="118"/>
      <c r="AN78" s="118"/>
      <c r="AO78" s="401"/>
      <c r="AP78" s="118"/>
      <c r="AQ78" s="118"/>
      <c r="AR78" s="118"/>
      <c r="AS78" s="118"/>
      <c r="AT78" s="401"/>
      <c r="AU78" s="118"/>
      <c r="AV78" s="118"/>
      <c r="AW78" s="118"/>
      <c r="AX78" s="118"/>
      <c r="AY78" s="401"/>
      <c r="AZ78" s="118"/>
      <c r="BA78" s="118"/>
      <c r="BB78" s="118"/>
      <c r="BC78" s="118"/>
      <c r="BD78" s="401"/>
      <c r="BE78" s="118"/>
      <c r="BF78" s="118"/>
      <c r="BG78" s="118"/>
      <c r="BH78" s="118"/>
      <c r="BI78" s="401"/>
      <c r="BJ78" s="971"/>
      <c r="BK78" s="118"/>
      <c r="BL78" s="118"/>
      <c r="BM78" s="118"/>
      <c r="BN78" s="401"/>
      <c r="BO78" s="118"/>
      <c r="BP78" s="118"/>
      <c r="BQ78" s="118"/>
      <c r="BR78" s="118"/>
      <c r="BS78" s="401"/>
      <c r="BT78" s="401"/>
      <c r="BU78" s="401"/>
      <c r="BV78" s="401"/>
      <c r="BW78" s="122"/>
    </row>
    <row r="79" spans="1:75" s="224" customFormat="1" outlineLevel="1" x14ac:dyDescent="0.5">
      <c r="A79" s="218" t="s">
        <v>1686</v>
      </c>
      <c r="B79" s="494"/>
      <c r="C79" s="425"/>
      <c r="D79" s="425">
        <f>D76-D82</f>
        <v>2470</v>
      </c>
      <c r="E79" s="425">
        <f>E76-E82</f>
        <v>2307.3000000000002</v>
      </c>
      <c r="F79" s="425">
        <f>F76-F82</f>
        <v>2546.1034090909088</v>
      </c>
      <c r="G79" s="487"/>
      <c r="H79" s="487"/>
      <c r="I79" s="487"/>
      <c r="J79" s="487"/>
      <c r="K79" s="425">
        <f t="shared" ref="K79:BC80" si="174">K76-K82</f>
        <v>2599.6124073616602</v>
      </c>
      <c r="L79" s="487">
        <f t="shared" si="174"/>
        <v>2621.7482552617257</v>
      </c>
      <c r="M79" s="487">
        <f t="shared" si="174"/>
        <v>2616.0482552617259</v>
      </c>
      <c r="N79" s="487">
        <f t="shared" si="174"/>
        <v>2629.8857737893936</v>
      </c>
      <c r="O79" s="487">
        <f t="shared" si="174"/>
        <v>2630.1010076339107</v>
      </c>
      <c r="P79" s="425">
        <f t="shared" si="174"/>
        <v>2630.1010076339107</v>
      </c>
      <c r="Q79" s="487">
        <f t="shared" si="174"/>
        <v>2644.1026782615131</v>
      </c>
      <c r="R79" s="487">
        <f t="shared" si="174"/>
        <v>2630.4026643845104</v>
      </c>
      <c r="S79" s="487">
        <f t="shared" si="174"/>
        <v>2657.8026505075077</v>
      </c>
      <c r="T79" s="487">
        <f t="shared" si="174"/>
        <v>2663.7999722459945</v>
      </c>
      <c r="U79" s="425">
        <f>U76-U82</f>
        <v>2663.7999722459945</v>
      </c>
      <c r="V79" s="487">
        <f t="shared" si="174"/>
        <v>2663.7999722459945</v>
      </c>
      <c r="W79" s="487">
        <f t="shared" si="174"/>
        <v>2691.1999861229974</v>
      </c>
      <c r="X79" s="487">
        <f t="shared" si="174"/>
        <v>2718.6</v>
      </c>
      <c r="Y79" s="487">
        <f t="shared" si="174"/>
        <v>2691</v>
      </c>
      <c r="Z79" s="425">
        <f t="shared" si="174"/>
        <v>2691</v>
      </c>
      <c r="AA79" s="487">
        <f t="shared" si="174"/>
        <v>2691</v>
      </c>
      <c r="AB79" s="487">
        <f t="shared" si="174"/>
        <v>2691</v>
      </c>
      <c r="AC79" s="487">
        <f t="shared" si="174"/>
        <v>2663.4</v>
      </c>
      <c r="AD79" s="487">
        <f t="shared" si="174"/>
        <v>2683.5</v>
      </c>
      <c r="AE79" s="425">
        <f t="shared" si="174"/>
        <v>2683.5</v>
      </c>
      <c r="AF79" s="487">
        <f t="shared" si="174"/>
        <v>2663.2958549222794</v>
      </c>
      <c r="AG79" s="487">
        <f t="shared" si="174"/>
        <v>2746.0958549222796</v>
      </c>
      <c r="AH79" s="487">
        <f t="shared" si="174"/>
        <v>2780.0958549222801</v>
      </c>
      <c r="AI79" s="487">
        <f t="shared" si="174"/>
        <v>2766.0944170984453</v>
      </c>
      <c r="AJ79" s="425">
        <f t="shared" si="174"/>
        <v>2766.0944170984453</v>
      </c>
      <c r="AK79" s="487">
        <f t="shared" si="174"/>
        <v>2759.4985621761657</v>
      </c>
      <c r="AL79" s="487">
        <f t="shared" si="174"/>
        <v>2759.7035765544042</v>
      </c>
      <c r="AM79" s="487">
        <f t="shared" si="174"/>
        <v>2759.7035765544042</v>
      </c>
      <c r="AN79" s="487">
        <f t="shared" si="174"/>
        <v>2805.3050143782384</v>
      </c>
      <c r="AO79" s="425">
        <f t="shared" si="174"/>
        <v>2805.3050143782384</v>
      </c>
      <c r="AP79" s="487">
        <f t="shared" si="174"/>
        <v>2805.3050143782384</v>
      </c>
      <c r="AQ79" s="487">
        <f t="shared" si="174"/>
        <v>2894.4</v>
      </c>
      <c r="AR79" s="487">
        <f t="shared" si="174"/>
        <v>2880</v>
      </c>
      <c r="AS79" s="487">
        <f t="shared" si="174"/>
        <v>2832.6</v>
      </c>
      <c r="AT79" s="425">
        <f t="shared" si="174"/>
        <v>2832.6</v>
      </c>
      <c r="AU79" s="487">
        <f t="shared" si="174"/>
        <v>2803.3979381443301</v>
      </c>
      <c r="AV79" s="487">
        <f t="shared" si="174"/>
        <v>2788.7969072164947</v>
      </c>
      <c r="AW79" s="487">
        <f t="shared" si="174"/>
        <v>2783.6969072164948</v>
      </c>
      <c r="AX79" s="487">
        <f t="shared" si="174"/>
        <v>2667.7095360824742</v>
      </c>
      <c r="AY79" s="425">
        <f t="shared" si="174"/>
        <v>2667.7095360824742</v>
      </c>
      <c r="AZ79" s="487">
        <f t="shared" si="174"/>
        <v>2682.4131765463917</v>
      </c>
      <c r="BA79" s="487">
        <f t="shared" si="174"/>
        <v>2682.5146767901924</v>
      </c>
      <c r="BB79" s="487">
        <f t="shared" si="174"/>
        <v>2653.5145181221901</v>
      </c>
      <c r="BC79" s="487">
        <f t="shared" si="174"/>
        <v>2624.5016512542074</v>
      </c>
      <c r="BD79" s="425">
        <f>BD76-BD82</f>
        <v>2624.5016512542074</v>
      </c>
      <c r="BE79" s="487">
        <f t="shared" ref="BE79:BH80" si="175">BE76-BE82</f>
        <v>2639.0000726459602</v>
      </c>
      <c r="BF79" s="487">
        <f t="shared" si="175"/>
        <v>2672.3996029308414</v>
      </c>
      <c r="BG79" s="487">
        <f t="shared" si="175"/>
        <v>2724.5964850800951</v>
      </c>
      <c r="BH79" s="487">
        <f t="shared" si="175"/>
        <v>2634.8360063394857</v>
      </c>
      <c r="BI79" s="425">
        <f>BI76-BI82</f>
        <v>2634.8360063394857</v>
      </c>
      <c r="BJ79" s="981">
        <f t="shared" ref="BJ79" si="176">BJ76-BJ82</f>
        <v>2620.0335568656683</v>
      </c>
      <c r="BK79" s="487">
        <f>BJ79+BF73+BK74</f>
        <v>2672.5286583171869</v>
      </c>
      <c r="BL79" s="487">
        <f>BK79+BG73+BL74</f>
        <v>2672.1035229447302</v>
      </c>
      <c r="BM79" s="487">
        <f>BL79+BH73+BM74</f>
        <v>2655.5406045980767</v>
      </c>
      <c r="BN79" s="425">
        <f>BN76-BN82</f>
        <v>2655.5406045980767</v>
      </c>
      <c r="BO79" s="487">
        <f>BN79+BJ73+BO74</f>
        <v>2658.7369455453622</v>
      </c>
      <c r="BP79" s="487">
        <f>BO79+BK73+BP74</f>
        <v>2628.5240257096193</v>
      </c>
      <c r="BQ79" s="487">
        <f>BP79+BL73+BQ74</f>
        <v>2598.3111058738764</v>
      </c>
      <c r="BR79" s="487">
        <f>BQ79+BM73+BR74</f>
        <v>2568.0981860381335</v>
      </c>
      <c r="BS79" s="425">
        <f>BS76-BS82</f>
        <v>2568.0981860381339</v>
      </c>
      <c r="BT79" s="425">
        <f>BS79+BS73+BT74</f>
        <v>2568.0981860381339</v>
      </c>
      <c r="BU79" s="425">
        <f>BT79+BT73+BU74</f>
        <v>2568.0981860381339</v>
      </c>
      <c r="BV79" s="425">
        <f>BU79+BU73+BV74</f>
        <v>2568.0981860381339</v>
      </c>
      <c r="BW79" s="223"/>
    </row>
    <row r="80" spans="1:75" s="224" customFormat="1" outlineLevel="1" x14ac:dyDescent="0.5">
      <c r="A80" s="218" t="s">
        <v>1687</v>
      </c>
      <c r="B80" s="494"/>
      <c r="C80" s="425"/>
      <c r="D80" s="425">
        <f>D77-D83</f>
        <v>2479.9166666666665</v>
      </c>
      <c r="E80" s="425">
        <f t="shared" ref="E80:F80" si="177">E77-E83</f>
        <v>2386.9750000000004</v>
      </c>
      <c r="F80" s="425">
        <f t="shared" si="177"/>
        <v>2473.6180397727267</v>
      </c>
      <c r="G80" s="487"/>
      <c r="H80" s="487"/>
      <c r="I80" s="487"/>
      <c r="J80" s="487"/>
      <c r="K80" s="425">
        <f t="shared" si="174"/>
        <v>2642.1367691496685</v>
      </c>
      <c r="L80" s="487">
        <f t="shared" si="174"/>
        <v>2600.9979063140709</v>
      </c>
      <c r="M80" s="487">
        <f t="shared" si="174"/>
        <v>2618.8667871694415</v>
      </c>
      <c r="N80" s="487">
        <f t="shared" si="174"/>
        <v>2623.1214781578283</v>
      </c>
      <c r="O80" s="487">
        <f t="shared" si="174"/>
        <v>2630.1223642314885</v>
      </c>
      <c r="P80" s="425">
        <f t="shared" ref="P80" si="178">SUM(L80*L$3,M80*M$3,N80*N$3,O80*O$3)/P$3</f>
        <v>2618.2771339682076</v>
      </c>
      <c r="Q80" s="487">
        <f t="shared" si="174"/>
        <v>2637.2532139138157</v>
      </c>
      <c r="R80" s="487">
        <f t="shared" si="174"/>
        <v>2637.2522837581519</v>
      </c>
      <c r="S80" s="487">
        <f t="shared" si="174"/>
        <v>2644.1028713831338</v>
      </c>
      <c r="T80" s="487">
        <f t="shared" si="174"/>
        <v>2660.7999653074935</v>
      </c>
      <c r="U80" s="425">
        <f t="shared" ref="U80" si="179">SUM(Q80*Q$3,R80*R$3,S80*S$3,T80*T$3)/U$3</f>
        <v>2644.8520835906488</v>
      </c>
      <c r="V80" s="487">
        <f t="shared" si="174"/>
        <v>2663.7142639075673</v>
      </c>
      <c r="W80" s="487">
        <f t="shared" si="174"/>
        <v>2677.4166516332471</v>
      </c>
      <c r="X80" s="487">
        <f t="shared" si="174"/>
        <v>2704.7999999999997</v>
      </c>
      <c r="Y80" s="487">
        <f t="shared" si="174"/>
        <v>2696.4249999999997</v>
      </c>
      <c r="Z80" s="425">
        <f t="shared" ref="Z80" si="180">SUM(V80*V$3,W80*W$3,X80*X$3,Y80*Y$3)/Z$3</f>
        <v>2685.5889788852037</v>
      </c>
      <c r="AA80" s="487">
        <f t="shared" si="174"/>
        <v>2701.0500000000006</v>
      </c>
      <c r="AB80" s="487">
        <f t="shared" si="174"/>
        <v>2691</v>
      </c>
      <c r="AC80" s="487">
        <f t="shared" si="174"/>
        <v>2667.1</v>
      </c>
      <c r="AD80" s="487">
        <f t="shared" si="174"/>
        <v>2683.46</v>
      </c>
      <c r="AE80" s="425">
        <f t="shared" ref="AE80" si="181">SUM(AA80*AA$3,AB80*AB$3,AC80*AC$3,AD80*AD$3)/AE$3</f>
        <v>2685.6525000000001</v>
      </c>
      <c r="AF80" s="487">
        <f t="shared" si="174"/>
        <v>2663.2958549222794</v>
      </c>
      <c r="AG80" s="487">
        <f t="shared" si="174"/>
        <v>2697.7278065630394</v>
      </c>
      <c r="AH80" s="487">
        <f t="shared" si="174"/>
        <v>2773.1554404145081</v>
      </c>
      <c r="AI80" s="487">
        <f t="shared" si="174"/>
        <v>2747.4198823402417</v>
      </c>
      <c r="AJ80" s="425">
        <f t="shared" ref="AJ80" si="182">SUM(AF80*AF$3,AG80*AG$3,AH80*AH$3,AI80*AI$3)/AJ$3</f>
        <v>2720.9095599520965</v>
      </c>
      <c r="AK80" s="487">
        <f t="shared" si="174"/>
        <v>2756.6484183937823</v>
      </c>
      <c r="AL80" s="487">
        <f t="shared" si="174"/>
        <v>2728.9535765544042</v>
      </c>
      <c r="AM80" s="487">
        <f t="shared" si="174"/>
        <v>2759.7035765544042</v>
      </c>
      <c r="AN80" s="487">
        <f t="shared" si="174"/>
        <v>2767.2837751619168</v>
      </c>
      <c r="AO80" s="425">
        <f t="shared" ref="AO80" si="183">SUM(AK80*AK$3,AL80*AL$3,AM80*AM$3,AN80*AN$3)/AO$3</f>
        <v>2753.1473366661271</v>
      </c>
      <c r="AP80" s="487">
        <f t="shared" si="174"/>
        <v>2805.3050143782384</v>
      </c>
      <c r="AQ80" s="487">
        <f t="shared" si="174"/>
        <v>2880</v>
      </c>
      <c r="AR80" s="487">
        <f t="shared" si="174"/>
        <v>2887.2000000000003</v>
      </c>
      <c r="AS80" s="487">
        <f t="shared" si="174"/>
        <v>2856.2999999999997</v>
      </c>
      <c r="AT80" s="425">
        <f t="shared" ref="AT80" si="184">SUM(AP80*AP$3,AQ80*AQ$3,AR80*AR$3,AS80*AS$3)/AT$3</f>
        <v>2857.2012535945596</v>
      </c>
      <c r="AU80" s="487">
        <f t="shared" si="174"/>
        <v>2817.9319587628866</v>
      </c>
      <c r="AV80" s="487">
        <f t="shared" si="174"/>
        <v>2796.0722938144331</v>
      </c>
      <c r="AW80" s="487">
        <f t="shared" si="174"/>
        <v>2786.1463917525775</v>
      </c>
      <c r="AX80" s="487">
        <f t="shared" si="174"/>
        <v>2725.7458440721648</v>
      </c>
      <c r="AY80" s="425">
        <f t="shared" ref="AY80" si="185">SUM(AU80*AU$3,AV80*AV$3,AW80*AW$3,AX80*AX$3)/AY$3</f>
        <v>2781.4741221005156</v>
      </c>
      <c r="AZ80" s="487">
        <f>AZ77-AZ83</f>
        <v>2675.1487059707902</v>
      </c>
      <c r="BA80" s="487">
        <f>BA77-BA83</f>
        <v>2675.4253421914182</v>
      </c>
      <c r="BB80" s="487">
        <f>BB77-BB83</f>
        <v>2658.562098435159</v>
      </c>
      <c r="BC80" s="487">
        <f t="shared" si="174"/>
        <v>2643.18010473605</v>
      </c>
      <c r="BD80" s="425">
        <f>SUM(AZ80*AZ$3,BA80*BA$3,BB80*BB$3,BC80*BC$3)/BD$3</f>
        <v>2663.0790628333543</v>
      </c>
      <c r="BE80" s="487">
        <f>BE77-BE83</f>
        <v>2627.0500786997904</v>
      </c>
      <c r="BF80" s="487">
        <f>BF77-BF83</f>
        <v>2651.285345578638</v>
      </c>
      <c r="BG80" s="487">
        <f>BG77-BG83</f>
        <v>2717.0964850800951</v>
      </c>
      <c r="BH80" s="487">
        <f t="shared" si="175"/>
        <v>2676.9056735344429</v>
      </c>
      <c r="BI80" s="425">
        <f>SUM(BE80*BE$3,BF80*BF$3,BG80*BG$3,BH80*BH$3)/BI$3</f>
        <v>2668.0843957232414</v>
      </c>
      <c r="BJ80" s="981">
        <f>BJ77-BJ83</f>
        <v>2622.1454456609777</v>
      </c>
      <c r="BK80" s="487">
        <f>BK77-BK83</f>
        <v>2658.7311917653128</v>
      </c>
      <c r="BL80" s="487">
        <f>BL77-BL83</f>
        <v>2663.7861457821173</v>
      </c>
      <c r="BM80" s="487">
        <f>BM77-BM83</f>
        <v>2653.9511974058014</v>
      </c>
      <c r="BN80" s="425">
        <f>SUM(BJ80*BJ$3,BK80*BK$3,BL80*BL$3,BM80*BM$3)/BN$3</f>
        <v>2649.7345838752931</v>
      </c>
      <c r="BO80" s="487">
        <f>BO77-BO83</f>
        <v>2666.1867698496926</v>
      </c>
      <c r="BP80" s="487">
        <f>BP77-BP83</f>
        <v>2643.630485627491</v>
      </c>
      <c r="BQ80" s="487">
        <f>BQ77-BQ83</f>
        <v>2613.4175657917476</v>
      </c>
      <c r="BR80" s="487">
        <f>BR77-BR83</f>
        <v>2583.2046459560052</v>
      </c>
      <c r="BS80" s="425">
        <f>SUM(BO80*BO$3,BP80*BP$3,BQ80*BQ$3,BR80*BR$3)/BS$3</f>
        <v>2626.6098668062341</v>
      </c>
      <c r="BT80" s="425">
        <f>BT77-BT83</f>
        <v>2568.0981860381339</v>
      </c>
      <c r="BU80" s="425">
        <f>BU77-BU83</f>
        <v>2568.0981860381339</v>
      </c>
      <c r="BV80" s="425">
        <f>BV77-BV83</f>
        <v>2568.0981860381339</v>
      </c>
      <c r="BW80" s="223"/>
    </row>
    <row r="81" spans="1:75" s="224" customFormat="1" outlineLevel="1" x14ac:dyDescent="0.5">
      <c r="A81" s="218"/>
      <c r="B81" s="494"/>
      <c r="C81" s="425"/>
      <c r="D81" s="425"/>
      <c r="E81" s="425"/>
      <c r="F81" s="425"/>
      <c r="G81" s="487"/>
      <c r="H81" s="487"/>
      <c r="I81" s="487"/>
      <c r="J81" s="487"/>
      <c r="K81" s="425"/>
      <c r="L81" s="487"/>
      <c r="M81" s="487"/>
      <c r="N81" s="487"/>
      <c r="O81" s="487"/>
      <c r="P81" s="425"/>
      <c r="Q81" s="487"/>
      <c r="R81" s="487"/>
      <c r="S81" s="487"/>
      <c r="T81" s="487"/>
      <c r="U81" s="425"/>
      <c r="V81" s="487"/>
      <c r="W81" s="487"/>
      <c r="X81" s="487"/>
      <c r="Y81" s="487"/>
      <c r="Z81" s="425"/>
      <c r="AA81" s="487"/>
      <c r="AB81" s="487"/>
      <c r="AC81" s="487"/>
      <c r="AD81" s="487"/>
      <c r="AE81" s="425"/>
      <c r="AF81" s="487"/>
      <c r="AG81" s="487"/>
      <c r="AH81" s="487"/>
      <c r="AI81" s="487"/>
      <c r="AJ81" s="425"/>
      <c r="AK81" s="487"/>
      <c r="AL81" s="487"/>
      <c r="AM81" s="487"/>
      <c r="AN81" s="487"/>
      <c r="AO81" s="425"/>
      <c r="AP81" s="487"/>
      <c r="AQ81" s="487"/>
      <c r="AR81" s="487"/>
      <c r="AS81" s="487"/>
      <c r="AT81" s="425"/>
      <c r="AU81" s="487"/>
      <c r="AV81" s="487"/>
      <c r="AW81" s="487"/>
      <c r="AX81" s="487"/>
      <c r="AY81" s="425"/>
      <c r="AZ81" s="487"/>
      <c r="BA81" s="487"/>
      <c r="BB81" s="487"/>
      <c r="BC81" s="487"/>
      <c r="BD81" s="425"/>
      <c r="BE81" s="487"/>
      <c r="BF81" s="487"/>
      <c r="BG81" s="487"/>
      <c r="BH81" s="487"/>
      <c r="BI81" s="425"/>
      <c r="BJ81" s="981"/>
      <c r="BK81" s="487"/>
      <c r="BL81" s="487"/>
      <c r="BM81" s="487"/>
      <c r="BN81" s="425"/>
      <c r="BO81" s="487"/>
      <c r="BP81" s="487"/>
      <c r="BQ81" s="487"/>
      <c r="BR81" s="487"/>
      <c r="BS81" s="425"/>
      <c r="BT81" s="425"/>
      <c r="BU81" s="425"/>
      <c r="BV81" s="425"/>
      <c r="BW81" s="223"/>
    </row>
    <row r="82" spans="1:75" s="224" customFormat="1" outlineLevel="1" x14ac:dyDescent="0.5">
      <c r="A82" s="218" t="s">
        <v>1688</v>
      </c>
      <c r="B82" s="494"/>
      <c r="C82" s="425"/>
      <c r="D82" s="425">
        <f t="shared" ref="D82:F82" si="186">IFERROR(D69*D63/1000,0)</f>
        <v>58.300000000000182</v>
      </c>
      <c r="E82" s="425">
        <f t="shared" si="186"/>
        <v>369.89999999999958</v>
      </c>
      <c r="F82" s="425">
        <f t="shared" si="186"/>
        <v>122.69659090909127</v>
      </c>
      <c r="G82" s="487"/>
      <c r="H82" s="487"/>
      <c r="I82" s="487"/>
      <c r="J82" s="487"/>
      <c r="K82" s="425">
        <f t="shared" ref="K82:BV82" si="187">IFERROR(K69*K63/1000,0)</f>
        <v>77.587592638339558</v>
      </c>
      <c r="L82" s="487">
        <f t="shared" si="187"/>
        <v>69.251744738274397</v>
      </c>
      <c r="M82" s="487">
        <f t="shared" si="187"/>
        <v>55.451744738274215</v>
      </c>
      <c r="N82" s="487">
        <f t="shared" si="187"/>
        <v>82.714226210606142</v>
      </c>
      <c r="O82" s="487">
        <f t="shared" si="187"/>
        <v>96.198992366089243</v>
      </c>
      <c r="P82" s="425">
        <f t="shared" si="187"/>
        <v>96.198992366089243</v>
      </c>
      <c r="Q82" s="487">
        <f t="shared" si="187"/>
        <v>68.497321738486605</v>
      </c>
      <c r="R82" s="487">
        <f t="shared" si="187"/>
        <v>95.897335615489538</v>
      </c>
      <c r="S82" s="487">
        <f t="shared" si="187"/>
        <v>82.197349492492108</v>
      </c>
      <c r="T82" s="487">
        <f t="shared" si="187"/>
        <v>54.800027754005413</v>
      </c>
      <c r="U82" s="425">
        <f t="shared" si="187"/>
        <v>54.800027754005413</v>
      </c>
      <c r="V82" s="487">
        <f t="shared" si="187"/>
        <v>96.200027754005504</v>
      </c>
      <c r="W82" s="487">
        <f t="shared" si="187"/>
        <v>82.600013877002752</v>
      </c>
      <c r="X82" s="487">
        <f t="shared" si="187"/>
        <v>69</v>
      </c>
      <c r="Y82" s="487">
        <f t="shared" si="187"/>
        <v>102.90000000000018</v>
      </c>
      <c r="Z82" s="425">
        <f t="shared" si="187"/>
        <v>102.90000000000018</v>
      </c>
      <c r="AA82" s="487">
        <f t="shared" si="187"/>
        <v>55.199999999999811</v>
      </c>
      <c r="AB82" s="487">
        <f t="shared" si="187"/>
        <v>124.19999999999962</v>
      </c>
      <c r="AC82" s="487">
        <f t="shared" si="187"/>
        <v>144.40000000000026</v>
      </c>
      <c r="AD82" s="487">
        <f t="shared" si="187"/>
        <v>138.19999999999973</v>
      </c>
      <c r="AE82" s="425">
        <f t="shared" si="187"/>
        <v>138.19999999999973</v>
      </c>
      <c r="AF82" s="487">
        <f t="shared" si="187"/>
        <v>158.40414507772019</v>
      </c>
      <c r="AG82" s="487">
        <f t="shared" si="187"/>
        <v>103.40414507772039</v>
      </c>
      <c r="AH82" s="487">
        <f t="shared" si="187"/>
        <v>69.404145077720031</v>
      </c>
      <c r="AI82" s="487">
        <f t="shared" si="187"/>
        <v>144.9055829015546</v>
      </c>
      <c r="AJ82" s="425">
        <f t="shared" si="187"/>
        <v>144.9055829015546</v>
      </c>
      <c r="AK82" s="487">
        <f t="shared" si="187"/>
        <v>131.00143782383435</v>
      </c>
      <c r="AL82" s="487">
        <f t="shared" si="187"/>
        <v>192.29642344559588</v>
      </c>
      <c r="AM82" s="487">
        <f t="shared" si="187"/>
        <v>192.29642344559588</v>
      </c>
      <c r="AN82" s="487">
        <f t="shared" si="187"/>
        <v>89.094985621761651</v>
      </c>
      <c r="AO82" s="425">
        <f t="shared" si="187"/>
        <v>89.094985621761651</v>
      </c>
      <c r="AP82" s="487">
        <f t="shared" si="187"/>
        <v>89.094985621761651</v>
      </c>
      <c r="AQ82" s="487">
        <f t="shared" si="187"/>
        <v>0</v>
      </c>
      <c r="AR82" s="487">
        <f t="shared" si="187"/>
        <v>14.4</v>
      </c>
      <c r="AS82" s="487">
        <f t="shared" si="187"/>
        <v>14.4</v>
      </c>
      <c r="AT82" s="425">
        <f t="shared" si="187"/>
        <v>14.4</v>
      </c>
      <c r="AU82" s="487">
        <f t="shared" si="187"/>
        <v>43.602061855670101</v>
      </c>
      <c r="AV82" s="487">
        <f t="shared" si="187"/>
        <v>58.203092783505156</v>
      </c>
      <c r="AW82" s="487">
        <f t="shared" si="187"/>
        <v>43.803092783505157</v>
      </c>
      <c r="AX82" s="487">
        <f t="shared" si="187"/>
        <v>58.290463917525777</v>
      </c>
      <c r="AY82" s="425">
        <f t="shared" si="187"/>
        <v>58.290463917525777</v>
      </c>
      <c r="AZ82" s="487">
        <f t="shared" si="187"/>
        <v>43.586823453608254</v>
      </c>
      <c r="BA82" s="487">
        <f t="shared" si="187"/>
        <v>76.885323209807837</v>
      </c>
      <c r="BB82" s="487">
        <f t="shared" si="187"/>
        <v>143.68548187780965</v>
      </c>
      <c r="BC82" s="487">
        <f t="shared" si="187"/>
        <v>157.89834874579245</v>
      </c>
      <c r="BD82" s="425">
        <f t="shared" si="187"/>
        <v>157.89834874579245</v>
      </c>
      <c r="BE82" s="487">
        <f t="shared" si="187"/>
        <v>143.39992735403985</v>
      </c>
      <c r="BF82" s="487">
        <f t="shared" si="187"/>
        <v>177.60039706915876</v>
      </c>
      <c r="BG82" s="487">
        <f t="shared" si="187"/>
        <v>140.40351491990472</v>
      </c>
      <c r="BH82" s="487">
        <f t="shared" si="187"/>
        <v>125.16399366051412</v>
      </c>
      <c r="BI82" s="425">
        <f t="shared" si="187"/>
        <v>125.16399366051412</v>
      </c>
      <c r="BJ82" s="981">
        <f t="shared" si="187"/>
        <v>158.36644313433158</v>
      </c>
      <c r="BK82" s="487">
        <f t="shared" si="187"/>
        <v>76.266442735178032</v>
      </c>
      <c r="BL82" s="487">
        <f t="shared" si="187"/>
        <v>46.663166216430255</v>
      </c>
      <c r="BM82" s="487">
        <f t="shared" si="187"/>
        <v>33.202449473817424</v>
      </c>
      <c r="BN82" s="425">
        <f t="shared" si="187"/>
        <v>33.202449473817424</v>
      </c>
      <c r="BO82" s="487">
        <f t="shared" si="187"/>
        <v>0</v>
      </c>
      <c r="BP82" s="487">
        <f t="shared" si="187"/>
        <v>0</v>
      </c>
      <c r="BQ82" s="487">
        <f t="shared" si="187"/>
        <v>0</v>
      </c>
      <c r="BR82" s="487">
        <f t="shared" si="187"/>
        <v>0</v>
      </c>
      <c r="BS82" s="425">
        <f t="shared" si="187"/>
        <v>0</v>
      </c>
      <c r="BT82" s="425">
        <f t="shared" si="187"/>
        <v>0</v>
      </c>
      <c r="BU82" s="425">
        <f t="shared" si="187"/>
        <v>0</v>
      </c>
      <c r="BV82" s="425">
        <f t="shared" si="187"/>
        <v>0</v>
      </c>
      <c r="BW82" s="223"/>
    </row>
    <row r="83" spans="1:75" s="224" customFormat="1" outlineLevel="1" x14ac:dyDescent="0.5">
      <c r="A83" s="218" t="s">
        <v>1689</v>
      </c>
      <c r="B83" s="494"/>
      <c r="C83" s="425"/>
      <c r="D83" s="425">
        <f>IFERROR(D82-(D55-C55)/2*D69/1000,D82-(D55-C55)/2*D70/1000)</f>
        <v>77.733333333333576</v>
      </c>
      <c r="E83" s="425">
        <f>IFERROR(E82-(E55-D55)/2*E69/1000,E82-(E55-D55)/2*E70/1000)</f>
        <v>215.77499999999975</v>
      </c>
      <c r="F83" s="425">
        <f>IFERROR(F82-(F55-E55)/2*F69/1000,F82-(F55-E55)/2*F70/1000)</f>
        <v>199.38196022727331</v>
      </c>
      <c r="G83" s="487"/>
      <c r="H83" s="487"/>
      <c r="I83" s="487"/>
      <c r="J83" s="487"/>
      <c r="K83" s="425">
        <f>K82-(G55*G$3/2/K$3+H55*(H$3/2+G$3)/K$3+I55*(I$3/2+H$3+G$3)/K$3+J55*(J$3/2+I$3+H$3+G$3)/K$3)*K69/1000</f>
        <v>51.263230850331496</v>
      </c>
      <c r="L83" s="487">
        <f>IFERROR(L82-(L55-G55)/2*L69/1000,L82-(L55-G55)/2*L70/1000)</f>
        <v>83.102093685929276</v>
      </c>
      <c r="M83" s="487">
        <f>IFERROR(M82-(M55-H55)/2*M69/1000,M82-(M55-H55)/2*M70/1000)</f>
        <v>62.383212830558492</v>
      </c>
      <c r="N83" s="487">
        <f>IFERROR(N82-(N55-I55)/2*N69/1000,N82-(N55-I55)/2*N70/1000)</f>
        <v>68.92852184217179</v>
      </c>
      <c r="O83" s="487">
        <f>IFERROR(O82-(O55-J55)/2*O69/1000,O82-(O55-J55)/2*O70/1000)</f>
        <v>89.327635768511442</v>
      </c>
      <c r="P83" s="425">
        <f t="shared" ref="P83" si="188">SUM(L83*L$3,M83*M$3,N83*N$3,O83*O$3)/P$3</f>
        <v>75.935366031792753</v>
      </c>
      <c r="Q83" s="487">
        <f>IFERROR(Q82-(Q55-L55)/2*Q69/1000,Q82-(Q55-L55)/2*Q70/1000)</f>
        <v>82.19678608618392</v>
      </c>
      <c r="R83" s="487">
        <f>IFERROR(R82-(R55-M55)/2*R69/1000,R82-(R55-M55)/2*R70/1000)</f>
        <v>82.19771624184817</v>
      </c>
      <c r="S83" s="487">
        <f>IFERROR(S82-(S55-N55)/2*S69/1000,S82-(S55-N55)/2*S70/1000)</f>
        <v>89.047128616866445</v>
      </c>
      <c r="T83" s="487">
        <f>IFERROR(T82-(T55-O55)/2*T69/1000,T82-(T55-O55)/2*T70/1000)</f>
        <v>68.500034692506773</v>
      </c>
      <c r="U83" s="425">
        <f t="shared" ref="U83" si="189">SUM(Q83*Q$3,R83*R$3,S83*S$3,T83*T$3)/U$3</f>
        <v>80.48541640935133</v>
      </c>
      <c r="V83" s="487">
        <f>IFERROR(V82-(V55-Q55)/2*V69/1000,V82-(V55-Q55)/2*V70/1000)</f>
        <v>75.585736092432896</v>
      </c>
      <c r="W83" s="487">
        <f>IFERROR(W82-(W55-R55)/2*W69/1000,W82-(W55-R55)/2*W70/1000)</f>
        <v>89.483348366752978</v>
      </c>
      <c r="X83" s="487">
        <f>IFERROR(X82-(X55-S55)/2*X69/1000,X82-(X55-S55)/2*X70/1000)</f>
        <v>75.900000000000006</v>
      </c>
      <c r="Y83" s="487">
        <f>IFERROR(Y82-(Y55-T55)/2*Y69/1000,Y82-(Y55-T55)/2*Y70/1000)</f>
        <v>94.325000000000159</v>
      </c>
      <c r="Z83" s="425">
        <f t="shared" ref="Z83" si="190">SUM(V83*V$3,W83*W$3,X83*X$3,Y83*Y$3)/Z$3</f>
        <v>83.82352111479652</v>
      </c>
      <c r="AA83" s="487">
        <f>IFERROR(AA82-(AA55-V55)/2*AA69/1000,AA82-(AA55-V55)/2*AA70/1000)</f>
        <v>68.999999999999758</v>
      </c>
      <c r="AB83" s="487">
        <f>IFERROR(AB82-(AB55-W55)/2*AB69/1000,AB82-(AB55-W55)/2*AB70/1000)</f>
        <v>89.699999999999719</v>
      </c>
      <c r="AC83" s="487">
        <f>IFERROR(AC82-(AC55-X55)/2*AC69/1000,AC82-(AC55-X55)/2*AC70/1000)</f>
        <v>144.40000000000026</v>
      </c>
      <c r="AD83" s="487">
        <f>IFERROR(AD82-(AD55-Y55)/2*AD69/1000,AD82-(AD55-Y55)/2*AD70/1000)</f>
        <v>131.28999999999974</v>
      </c>
      <c r="AE83" s="425">
        <f t="shared" ref="AE83" si="191">SUM(AA83*AA$3,AB83*AB$3,AC83*AC$3,AD83*AD$3)/AE$3</f>
        <v>108.59749999999987</v>
      </c>
      <c r="AF83" s="487">
        <f>IFERROR(AF82-(AF55-AA55)/2*AF69/1000,AF82-(AF55-AA55)/2*AF70/1000)</f>
        <v>158.40414507772019</v>
      </c>
      <c r="AG83" s="487">
        <f>IFERROR(AG82-(AG55-AB55)/2*AG69/1000,AG82-(AG55-AB55)/2*AG70/1000)</f>
        <v>137.87219343696052</v>
      </c>
      <c r="AH83" s="487">
        <f>IFERROR(AH82-(AH55-AC55)/2*AH69/1000,AH82-(AH55-AC55)/2*AH70/1000)</f>
        <v>76.344559585492036</v>
      </c>
      <c r="AI83" s="487">
        <f>IFERROR(AI82-(AI55-AD55)/2*AI69/1000,AI82-(AI55-AD55)/2*AI70/1000)</f>
        <v>132.83011765975837</v>
      </c>
      <c r="AJ83" s="425">
        <f t="shared" ref="AJ83" si="192">SUM(AF83*AF$3,AG83*AG$3,AH83*AH$3,AI83*AI$3)/AJ$3</f>
        <v>126.48477967054458</v>
      </c>
      <c r="AK83" s="487">
        <f>IFERROR(AK82-(AK55-AF55)/2*AK69/1000,AK82-(AK55-AF55)/2*AK70/1000)</f>
        <v>144.10158160621779</v>
      </c>
      <c r="AL83" s="487">
        <f>IFERROR(AL82-(AL55-AG55)/2*AL69/1000,AL82-(AL55-AG55)/2*AL70/1000)</f>
        <v>192.29642344559588</v>
      </c>
      <c r="AM83" s="487">
        <f>IFERROR(AM82-(AM55-AH55)/2*AM69/1000,AM82-(AM55-AH55)/2*AM70/1000)</f>
        <v>192.29642344559588</v>
      </c>
      <c r="AN83" s="487">
        <f>IFERROR(AN82-(AN55-AI55)/2*AN69/1000,AN82-(AN55-AI55)/2*AN70/1000)</f>
        <v>155.91622483808288</v>
      </c>
      <c r="AO83" s="425">
        <f t="shared" ref="AO83" si="193">SUM(AK83*AK$3,AL83*AL$3,AM83*AM$3,AN83*AN$3)/AO$3</f>
        <v>171.15266333387311</v>
      </c>
      <c r="AP83" s="487">
        <f>IFERROR(AP82-(AP55-AK55)/2*AP69/1000,AP82-(AP55-AK55)/2*AP70/1000)</f>
        <v>89.094985621761651</v>
      </c>
      <c r="AQ83" s="487">
        <f>IFERROR(AQ82-(AQ55-AL55)/2*AQ69/1000,AQ82-(AQ55-AL55)/2*AQ70/1000)</f>
        <v>14.4</v>
      </c>
      <c r="AR83" s="487">
        <f>IFERROR(AR82-(AR55-AM55)/2*AR69/1000,AR82-(AR55-AM55)/2*AR70/1000)</f>
        <v>7.2</v>
      </c>
      <c r="AS83" s="487">
        <f>IFERROR(AS82-(AS55-AN55)/2*AS69/1000,AS82-(AS55-AN55)/2*AS70/1000)</f>
        <v>14.4</v>
      </c>
      <c r="AT83" s="425">
        <f t="shared" ref="AT83" si="194">SUM(AP83*AP$3,AQ83*AQ$3,AR83*AR$3,AS83*AS$3)/AT$3</f>
        <v>31.273746405440416</v>
      </c>
      <c r="AU83" s="487">
        <f>IFERROR(AU82-(AU55-AP55)/2*AU69/1000,AU82-(AU55-AP55)/2*AU70/1000)</f>
        <v>29.068041237113398</v>
      </c>
      <c r="AV83" s="487">
        <f>IFERROR(AV82-(AV55-AQ55)/2*AV69/1000,AV82-(AV55-AQ55)/2*AV70/1000)</f>
        <v>50.927706185567011</v>
      </c>
      <c r="AW83" s="487">
        <f>IFERROR(AW82-(AW55-AR55)/2*AW69/1000,AW82-(AW55-AR55)/2*AW70/1000)</f>
        <v>51.103608247422684</v>
      </c>
      <c r="AX83" s="487">
        <f>IFERROR(AX82-(AX55-AS55)/2*AX69/1000,AX82-(AX55-AS55)/2*AX70/1000)</f>
        <v>51.004155927835058</v>
      </c>
      <c r="AY83" s="425">
        <f t="shared" ref="AY83" si="195">SUM(AU83*AU$3,AV83*AV$3,AW83*AW$3,AX83*AX$3)/AY$3</f>
        <v>45.525877899484541</v>
      </c>
      <c r="AZ83" s="487">
        <f>IFERROR(AZ82-(AZ55-AU55)/2*AZ69/1000,AZ82-(AZ55-AU55)/2*AZ70/1000)</f>
        <v>50.851294029209626</v>
      </c>
      <c r="BA83" s="487">
        <f>IFERROR(BA82-(BA55-AV55)/2*BA69/1000,BA82-(BA55-AV55)/2*BA70/1000)</f>
        <v>67.27465780858185</v>
      </c>
      <c r="BB83" s="487">
        <f>IFERROR(BB82-(BB55-AW55)/2*BB69/1000,BB82-(BB55-AW55)/2*BB70/1000)</f>
        <v>119.73790156484138</v>
      </c>
      <c r="BC83" s="487">
        <f>IFERROR(BC82-(BC55-AX55)/2*BC69/1000,BC82-(BC55-AX55)/2*BC70/1000)</f>
        <v>146.61989526395013</v>
      </c>
      <c r="BD83" s="425">
        <f>SUM(AZ83*AZ$3,BA83*BA$3,BB83*BB$3,BC83*BC$3)/BD$3</f>
        <v>96.120937166645746</v>
      </c>
      <c r="BE83" s="487">
        <f>IFERROR(BE82-(BE55-AZ55)/2*BE69/1000,BE82-(BE55-AZ55)/2*BE70/1000)</f>
        <v>155.34992130020984</v>
      </c>
      <c r="BF83" s="487">
        <f>IFERROR(BF82-(BF55-BA55)/2*BF69/1000,BF82-(BF55-BA55)/2*BF70/1000)</f>
        <v>164.91465442136172</v>
      </c>
      <c r="BG83" s="487">
        <f>IFERROR(BG82-(BG55-BB55)/2*BG69/1000,BG82-(BG55-BB55)/2*BG70/1000)</f>
        <v>140.40351491990472</v>
      </c>
      <c r="BH83" s="487">
        <f>IFERROR(BH82-(BH55-BC55)/2*BH69/1000,BH82-(BH55-BC55)/2*BH70/1000)</f>
        <v>135.59432646555697</v>
      </c>
      <c r="BI83" s="425">
        <f>SUM(BE83*BE$3,BF83*BF$3,BG83*BG$3,BH83*BH$3)/BI$3</f>
        <v>149.06560427675831</v>
      </c>
      <c r="BJ83" s="981">
        <f>IFERROR(BJ82-(BJ55-BE55)/2*BJ69/1000,BJ82-(BJ55-BE55)/2*BJ70/1000)</f>
        <v>147.05455433902219</v>
      </c>
      <c r="BK83" s="487">
        <f>IFERROR(BK82-(BK55-BF55)/2*BK69/1000,BK82-(BK55-BF55)/2*BK70/1000)</f>
        <v>104.86635876086979</v>
      </c>
      <c r="BL83" s="487">
        <f>IFERROR(BL82-(BL55-BG55)/2*BL69/1000,BL82-(BL55-BG55)/2*BL70/1000)</f>
        <v>69.994749324645383</v>
      </c>
      <c r="BM83" s="487">
        <f>IFERROR(BM82-(BM55-BH55)/2*BM69/1000,BM82-(BM55-BH55)/2*BM70/1000)</f>
        <v>49.803674210726136</v>
      </c>
      <c r="BN83" s="425">
        <f>SUM(BJ83*BJ$3,BK83*BK$3,BL83*BL$3,BM83*BM$3)/BN$3</f>
        <v>92.11613302771984</v>
      </c>
      <c r="BO83" s="487">
        <f>IFERROR(BO82-(BO55-BJ55)/2*BO69/1000,BO82-(BO55-BJ55)/2*BO70/1000)</f>
        <v>7.5532299589356882</v>
      </c>
      <c r="BP83" s="487">
        <f>IFERROR(BP82-(BP55-BK55)/2*BP69/1000,BP82-(BP55-BK55)/2*BP70/1000)</f>
        <v>0</v>
      </c>
      <c r="BQ83" s="487">
        <f>IFERROR(BQ82-(BQ55-BL55)/2*BQ69/1000,BQ82-(BQ55-BL55)/2*BQ70/1000)</f>
        <v>0</v>
      </c>
      <c r="BR83" s="487">
        <f>IFERROR(BR82-(BR55-BM55)/2*BR69/1000,BR82-(BR55-BM55)/2*BR70/1000)</f>
        <v>0</v>
      </c>
      <c r="BS83" s="425">
        <f>SUM(BO83*BO$3,BP83*BP$3,BQ83*BQ$3,BR83*BR$3)/BS$3</f>
        <v>1.888307489733922</v>
      </c>
      <c r="BT83" s="425">
        <f>IFERROR(BT82-(BT55-BS55)/2*BT69/1000,BT82-(BT55-BS55)/2*BT70/1000)</f>
        <v>0</v>
      </c>
      <c r="BU83" s="425">
        <f>IFERROR(BU82-(BU55-BT55)/2*BU69/1000,BU82-(BU55-BT55)/2*BU70/1000)</f>
        <v>0</v>
      </c>
      <c r="BV83" s="425">
        <f>IFERROR(BV82-(BV55-BU55)/2*BV69/1000,BV82-(BV55-BU55)/2*BV70/1000)</f>
        <v>0</v>
      </c>
      <c r="BW83" s="223"/>
    </row>
    <row r="84" spans="1:75" s="123" customFormat="1" outlineLevel="1" x14ac:dyDescent="0.5">
      <c r="A84" s="184"/>
      <c r="B84" s="489"/>
      <c r="C84" s="401"/>
      <c r="D84" s="401"/>
      <c r="E84" s="401"/>
      <c r="F84" s="401"/>
      <c r="G84" s="118"/>
      <c r="H84" s="118"/>
      <c r="I84" s="118"/>
      <c r="J84" s="118"/>
      <c r="K84" s="401"/>
      <c r="L84" s="118"/>
      <c r="M84" s="118"/>
      <c r="N84" s="118"/>
      <c r="O84" s="118"/>
      <c r="P84" s="401"/>
      <c r="Q84" s="118"/>
      <c r="R84" s="118"/>
      <c r="S84" s="118"/>
      <c r="T84" s="118"/>
      <c r="U84" s="401"/>
      <c r="V84" s="118"/>
      <c r="W84" s="118"/>
      <c r="X84" s="118"/>
      <c r="Y84" s="118"/>
      <c r="Z84" s="401"/>
      <c r="AA84" s="118"/>
      <c r="AB84" s="118"/>
      <c r="AC84" s="118"/>
      <c r="AD84" s="118"/>
      <c r="AE84" s="401"/>
      <c r="AF84" s="118"/>
      <c r="AG84" s="118"/>
      <c r="AH84" s="118"/>
      <c r="AI84" s="118"/>
      <c r="AJ84" s="401"/>
      <c r="AK84" s="118"/>
      <c r="AL84" s="118"/>
      <c r="AM84" s="118"/>
      <c r="AN84" s="118"/>
      <c r="AO84" s="401"/>
      <c r="AP84" s="118"/>
      <c r="AQ84" s="118"/>
      <c r="AR84" s="118"/>
      <c r="AS84" s="118"/>
      <c r="AT84" s="401"/>
      <c r="AU84" s="118"/>
      <c r="AV84" s="118"/>
      <c r="AW84" s="118"/>
      <c r="AX84" s="118"/>
      <c r="AY84" s="401"/>
      <c r="AZ84" s="118"/>
      <c r="BA84" s="118"/>
      <c r="BB84" s="118"/>
      <c r="BC84" s="118"/>
      <c r="BD84" s="401"/>
      <c r="BE84" s="118"/>
      <c r="BF84" s="118"/>
      <c r="BG84" s="118"/>
      <c r="BH84" s="118"/>
      <c r="BI84" s="401"/>
      <c r="BJ84" s="971"/>
      <c r="BK84" s="118"/>
      <c r="BL84" s="118"/>
      <c r="BM84" s="118"/>
      <c r="BN84" s="401"/>
      <c r="BO84" s="118"/>
      <c r="BP84" s="118"/>
      <c r="BQ84" s="118"/>
      <c r="BR84" s="118"/>
      <c r="BS84" s="401"/>
      <c r="BT84" s="401"/>
      <c r="BU84" s="401"/>
      <c r="BV84" s="401"/>
      <c r="BW84" s="122"/>
    </row>
    <row r="85" spans="1:75" s="1144" customFormat="1" ht="14.25" outlineLevel="1" x14ac:dyDescent="0.45">
      <c r="A85" s="1136" t="s">
        <v>1690</v>
      </c>
      <c r="B85" s="1137"/>
      <c r="C85" s="1138">
        <f t="shared" ref="C85:BJ85" si="196">C274</f>
        <v>-0.111</v>
      </c>
      <c r="D85" s="1138">
        <f t="shared" si="196"/>
        <v>0.17699999999999999</v>
      </c>
      <c r="E85" s="1138">
        <f t="shared" si="196"/>
        <v>7.5999999999999998E-2</v>
      </c>
      <c r="F85" s="1138">
        <f t="shared" si="196"/>
        <v>8.5000000000000006E-2</v>
      </c>
      <c r="G85" s="1139">
        <f t="shared" si="196"/>
        <v>7.5999999999999998E-2</v>
      </c>
      <c r="H85" s="1139">
        <f t="shared" si="196"/>
        <v>9.9000000000000005E-2</v>
      </c>
      <c r="I85" s="1139">
        <f t="shared" si="196"/>
        <v>8.4000000000000005E-2</v>
      </c>
      <c r="J85" s="1139">
        <f t="shared" si="196"/>
        <v>0.14599999999999999</v>
      </c>
      <c r="K85" s="1138">
        <f t="shared" si="196"/>
        <v>0.104</v>
      </c>
      <c r="L85" s="1139">
        <f t="shared" si="196"/>
        <v>9.7000000000000003E-2</v>
      </c>
      <c r="M85" s="1139">
        <f t="shared" si="196"/>
        <v>4.3999999999999997E-2</v>
      </c>
      <c r="N85" s="1139">
        <f t="shared" si="196"/>
        <v>7.0000000000000007E-2</v>
      </c>
      <c r="O85" s="1139">
        <f t="shared" si="196"/>
        <v>2.9000000000000001E-2</v>
      </c>
      <c r="P85" s="1138">
        <f t="shared" si="196"/>
        <v>5.8000000000000003E-2</v>
      </c>
      <c r="Q85" s="1139">
        <f t="shared" si="196"/>
        <v>2.4E-2</v>
      </c>
      <c r="R85" s="1139">
        <f t="shared" si="196"/>
        <v>6.4000000000000001E-2</v>
      </c>
      <c r="S85" s="1139">
        <f t="shared" si="196"/>
        <v>0.02</v>
      </c>
      <c r="T85" s="1139">
        <f t="shared" si="196"/>
        <v>-0.02</v>
      </c>
      <c r="U85" s="1138">
        <f t="shared" si="196"/>
        <v>1.9E-2</v>
      </c>
      <c r="V85" s="1139">
        <f t="shared" si="196"/>
        <v>2E-3</v>
      </c>
      <c r="W85" s="1139">
        <f t="shared" si="196"/>
        <v>-4.8000000000000001E-2</v>
      </c>
      <c r="X85" s="1139">
        <f t="shared" si="196"/>
        <v>-4.5999999999999999E-2</v>
      </c>
      <c r="Y85" s="1139">
        <f t="shared" si="196"/>
        <v>-4.1000000000000002E-2</v>
      </c>
      <c r="Z85" s="1138">
        <f t="shared" si="196"/>
        <v>-3.5000000000000003E-2</v>
      </c>
      <c r="AA85" s="1139">
        <f t="shared" si="196"/>
        <v>-1.4E-2</v>
      </c>
      <c r="AB85" s="1139">
        <f t="shared" si="196"/>
        <v>1.2E-2</v>
      </c>
      <c r="AC85" s="1139">
        <f t="shared" si="196"/>
        <v>-3.0000000000000001E-3</v>
      </c>
      <c r="AD85" s="1139">
        <f t="shared" si="196"/>
        <v>4.1000000000000002E-2</v>
      </c>
      <c r="AE85" s="1138">
        <f t="shared" si="196"/>
        <v>0.01</v>
      </c>
      <c r="AF85" s="1139">
        <f t="shared" si="196"/>
        <v>2.7E-2</v>
      </c>
      <c r="AG85" s="1139">
        <f t="shared" si="196"/>
        <v>0.02</v>
      </c>
      <c r="AH85" s="1139">
        <f t="shared" si="196"/>
        <v>1.4E-2</v>
      </c>
      <c r="AI85" s="1139">
        <f t="shared" si="196"/>
        <v>-4.0000000000000001E-3</v>
      </c>
      <c r="AJ85" s="1138">
        <f t="shared" si="196"/>
        <v>1.2E-2</v>
      </c>
      <c r="AK85" s="1139">
        <f t="shared" si="196"/>
        <v>1.4999999999999999E-2</v>
      </c>
      <c r="AL85" s="1139">
        <f t="shared" si="196"/>
        <v>4.2000000000000003E-2</v>
      </c>
      <c r="AM85" s="1139">
        <f t="shared" si="196"/>
        <v>3.4000000000000002E-2</v>
      </c>
      <c r="AN85" s="1139">
        <f t="shared" si="196"/>
        <v>6.7000000000000004E-2</v>
      </c>
      <c r="AO85" s="1138">
        <f t="shared" si="196"/>
        <v>4.1000000000000002E-2</v>
      </c>
      <c r="AP85" s="1139">
        <f t="shared" si="196"/>
        <v>-1.0999999999999999E-2</v>
      </c>
      <c r="AQ85" s="1139">
        <f t="shared" si="196"/>
        <v>8.1000000000000003E-2</v>
      </c>
      <c r="AR85" s="1139">
        <f t="shared" si="196"/>
        <v>0.24099999999999999</v>
      </c>
      <c r="AS85" s="1139">
        <f t="shared" si="196"/>
        <v>0.25700000000000001</v>
      </c>
      <c r="AT85" s="1138">
        <f t="shared" si="196"/>
        <v>0.152</v>
      </c>
      <c r="AU85" s="1139">
        <f t="shared" si="196"/>
        <v>0.41299999999999998</v>
      </c>
      <c r="AV85" s="1139">
        <f t="shared" si="196"/>
        <v>0.29599999999999999</v>
      </c>
      <c r="AW85" s="1139">
        <f t="shared" si="196"/>
        <v>0.159</v>
      </c>
      <c r="AX85" s="1139">
        <f t="shared" si="196"/>
        <v>0.16200000000000001</v>
      </c>
      <c r="AY85" s="1138">
        <f t="shared" si="196"/>
        <v>0.23899999999999999</v>
      </c>
      <c r="AZ85" s="1139">
        <f t="shared" si="196"/>
        <v>0.14599999999999999</v>
      </c>
      <c r="BA85" s="1139">
        <f t="shared" si="196"/>
        <v>0.215</v>
      </c>
      <c r="BB85" s="1139">
        <f t="shared" si="196"/>
        <v>0.19600000000000001</v>
      </c>
      <c r="BC85" s="1139">
        <f t="shared" si="196"/>
        <v>5.8000000000000003E-2</v>
      </c>
      <c r="BD85" s="1138">
        <f t="shared" si="196"/>
        <v>0.14899999999999999</v>
      </c>
      <c r="BE85" s="1139">
        <f t="shared" si="196"/>
        <v>-4.0000000000000001E-3</v>
      </c>
      <c r="BF85" s="1139">
        <f t="shared" si="196"/>
        <v>-0.106</v>
      </c>
      <c r="BG85" s="1139">
        <f t="shared" si="196"/>
        <v>-0.16600000000000001</v>
      </c>
      <c r="BH85" s="1139">
        <f t="shared" si="196"/>
        <v>-9.6000000000000002E-2</v>
      </c>
      <c r="BI85" s="1138">
        <f t="shared" si="196"/>
        <v>-9.7000000000000003E-2</v>
      </c>
      <c r="BJ85" s="1140">
        <f t="shared" si="196"/>
        <v>-0.108</v>
      </c>
      <c r="BK85" s="1141">
        <v>5.0000000000000001E-3</v>
      </c>
      <c r="BL85" s="1141">
        <v>5.0000000000000001E-3</v>
      </c>
      <c r="BM85" s="1141">
        <v>5.0000000000000001E-3</v>
      </c>
      <c r="BN85" s="1138">
        <f>SUM(BJ85*BE$102,BK85*BF$102,BL85*BG$102,BM85*BH$102)/BI$102</f>
        <v>-2.205775525729009E-2</v>
      </c>
      <c r="BO85" s="1141">
        <v>0.05</v>
      </c>
      <c r="BP85" s="1141">
        <v>0.05</v>
      </c>
      <c r="BQ85" s="1141">
        <v>0.05</v>
      </c>
      <c r="BR85" s="1141">
        <v>0.05</v>
      </c>
      <c r="BS85" s="1138">
        <f>SUM(BO85*BJ$102,BP85*BK$102,BQ85*BL$102,BR85*BM$102)/BN$102</f>
        <v>0.05</v>
      </c>
      <c r="BT85" s="1142">
        <v>0.09</v>
      </c>
      <c r="BU85" s="1142">
        <v>0.09</v>
      </c>
      <c r="BV85" s="1142">
        <v>0.09</v>
      </c>
      <c r="BW85" s="1143"/>
    </row>
    <row r="86" spans="1:75" s="177" customFormat="1" ht="14.25" outlineLevel="1" x14ac:dyDescent="0.45">
      <c r="A86" s="189" t="s">
        <v>1691</v>
      </c>
      <c r="B86" s="491"/>
      <c r="C86" s="417"/>
      <c r="D86" s="417"/>
      <c r="E86" s="417"/>
      <c r="F86" s="417"/>
      <c r="G86" s="378"/>
      <c r="H86" s="378"/>
      <c r="I86" s="378"/>
      <c r="J86" s="378"/>
      <c r="K86" s="417"/>
      <c r="L86" s="378"/>
      <c r="M86" s="378"/>
      <c r="N86" s="378"/>
      <c r="O86" s="378"/>
      <c r="P86" s="417"/>
      <c r="Q86" s="378"/>
      <c r="R86" s="378"/>
      <c r="S86" s="378"/>
      <c r="T86" s="378"/>
      <c r="U86" s="417"/>
      <c r="V86" s="378"/>
      <c r="W86" s="378"/>
      <c r="X86" s="378"/>
      <c r="Y86" s="378"/>
      <c r="Z86" s="417"/>
      <c r="AA86" s="378"/>
      <c r="AB86" s="378"/>
      <c r="AC86" s="378"/>
      <c r="AD86" s="378"/>
      <c r="AE86" s="417"/>
      <c r="AF86" s="378"/>
      <c r="AG86" s="378"/>
      <c r="AH86" s="378"/>
      <c r="AI86" s="378"/>
      <c r="AJ86" s="417"/>
      <c r="AK86" s="378">
        <f t="shared" ref="AK86:BV86" si="197">AK88-AK87</f>
        <v>-2.1213970237643869E-2</v>
      </c>
      <c r="AL86" s="378">
        <f t="shared" si="197"/>
        <v>-1.8648389289746471E-2</v>
      </c>
      <c r="AM86" s="378">
        <f t="shared" si="197"/>
        <v>-1.0494132290882724E-2</v>
      </c>
      <c r="AN86" s="378">
        <f t="shared" si="197"/>
        <v>-9.087954888738943E-2</v>
      </c>
      <c r="AO86" s="417">
        <f t="shared" si="197"/>
        <v>-3.830494743269168E-2</v>
      </c>
      <c r="AP86" s="378">
        <f t="shared" si="197"/>
        <v>-1.8446223857168709E-2</v>
      </c>
      <c r="AQ86" s="378">
        <f t="shared" si="197"/>
        <v>-9.0259895425654491E-3</v>
      </c>
      <c r="AR86" s="378">
        <f t="shared" si="197"/>
        <v>-1.3919723378940631E-2</v>
      </c>
      <c r="AS86" s="378">
        <f t="shared" si="197"/>
        <v>-1.0410260766416147E-2</v>
      </c>
      <c r="AT86" s="417">
        <f t="shared" si="197"/>
        <v>-1.3050170776325209E-2</v>
      </c>
      <c r="AU86" s="378">
        <f t="shared" si="197"/>
        <v>-2.7288322590131161E-3</v>
      </c>
      <c r="AV86" s="378">
        <f t="shared" si="197"/>
        <v>-7.4844383933944207E-3</v>
      </c>
      <c r="AW86" s="378">
        <f t="shared" si="197"/>
        <v>-1.1344776779812644E-2</v>
      </c>
      <c r="AX86" s="378">
        <f t="shared" si="197"/>
        <v>-1.6985140314258851E-2</v>
      </c>
      <c r="AY86" s="417">
        <f t="shared" si="197"/>
        <v>-1.0914090960219733E-2</v>
      </c>
      <c r="AZ86" s="378">
        <f t="shared" si="197"/>
        <v>-1.9373598377282503E-2</v>
      </c>
      <c r="BA86" s="378">
        <f t="shared" si="197"/>
        <v>-2.7045735851692732E-2</v>
      </c>
      <c r="BB86" s="378">
        <f t="shared" si="197"/>
        <v>-2.7051912703798295E-2</v>
      </c>
      <c r="BC86" s="378">
        <f t="shared" si="197"/>
        <v>-2.4644291930886242E-2</v>
      </c>
      <c r="BD86" s="417">
        <f t="shared" si="197"/>
        <v>-2.4799533181557941E-2</v>
      </c>
      <c r="BE86" s="378">
        <f t="shared" si="197"/>
        <v>-1.4710018870175061E-2</v>
      </c>
      <c r="BF86" s="378">
        <f t="shared" si="197"/>
        <v>-1.0724114417180023E-2</v>
      </c>
      <c r="BG86" s="378">
        <f t="shared" si="197"/>
        <v>-3.5531104851201506E-3</v>
      </c>
      <c r="BH86" s="378">
        <f t="shared" si="197"/>
        <v>-4.3796720839590093E-3</v>
      </c>
      <c r="BI86" s="417">
        <f t="shared" si="197"/>
        <v>-7.8188868129956818E-3</v>
      </c>
      <c r="BJ86" s="1130">
        <f t="shared" si="197"/>
        <v>-1.7037309573896726E-2</v>
      </c>
      <c r="BK86" s="378">
        <f t="shared" si="197"/>
        <v>-1.4837033064514164E-2</v>
      </c>
      <c r="BL86" s="378">
        <f t="shared" si="197"/>
        <v>-2.397563702511302E-2</v>
      </c>
      <c r="BM86" s="378">
        <f t="shared" si="197"/>
        <v>4.3352357373046685E-2</v>
      </c>
      <c r="BN86" s="417">
        <f t="shared" si="197"/>
        <v>-1.705373066881225E-3</v>
      </c>
      <c r="BO86" s="378">
        <f t="shared" si="197"/>
        <v>-8.5814462539856393E-3</v>
      </c>
      <c r="BP86" s="378">
        <f t="shared" si="197"/>
        <v>-1.4816989141099149E-2</v>
      </c>
      <c r="BQ86" s="378">
        <f t="shared" si="197"/>
        <v>-1.509896686738306E-2</v>
      </c>
      <c r="BR86" s="378">
        <f t="shared" si="197"/>
        <v>-8.9212959304882447E-2</v>
      </c>
      <c r="BS86" s="417">
        <f t="shared" si="197"/>
        <v>-3.5294628257590374E-2</v>
      </c>
      <c r="BT86" s="417">
        <f t="shared" si="197"/>
        <v>-2.5046997500263984E-2</v>
      </c>
      <c r="BU86" s="417">
        <f t="shared" si="197"/>
        <v>0</v>
      </c>
      <c r="BV86" s="417">
        <f t="shared" si="197"/>
        <v>0</v>
      </c>
      <c r="BW86" s="176"/>
    </row>
    <row r="87" spans="1:75" s="177" customFormat="1" ht="14.25" outlineLevel="1" x14ac:dyDescent="0.45">
      <c r="A87" s="189" t="s">
        <v>1692</v>
      </c>
      <c r="B87" s="491"/>
      <c r="C87" s="417"/>
      <c r="D87" s="417"/>
      <c r="E87" s="417"/>
      <c r="F87" s="417"/>
      <c r="G87" s="378"/>
      <c r="H87" s="378"/>
      <c r="I87" s="378"/>
      <c r="J87" s="378"/>
      <c r="K87" s="417"/>
      <c r="L87" s="378"/>
      <c r="M87" s="378"/>
      <c r="N87" s="378"/>
      <c r="O87" s="378"/>
      <c r="P87" s="417"/>
      <c r="Q87" s="378"/>
      <c r="R87" s="378"/>
      <c r="S87" s="378"/>
      <c r="T87" s="378"/>
      <c r="U87" s="417"/>
      <c r="V87" s="378"/>
      <c r="W87" s="378"/>
      <c r="X87" s="378"/>
      <c r="Y87" s="378"/>
      <c r="Z87" s="417"/>
      <c r="AA87" s="378"/>
      <c r="AB87" s="378"/>
      <c r="AC87" s="378"/>
      <c r="AD87" s="378"/>
      <c r="AE87" s="417"/>
      <c r="AF87" s="378"/>
      <c r="AG87" s="378"/>
      <c r="AH87" s="378"/>
      <c r="AI87" s="378"/>
      <c r="AJ87" s="417"/>
      <c r="AK87" s="378">
        <f t="shared" ref="AK87:BS87" si="198">AK101/AF102</f>
        <v>9.790846568266183E-3</v>
      </c>
      <c r="AL87" s="378">
        <f t="shared" si="198"/>
        <v>1.2953329462711842E-2</v>
      </c>
      <c r="AM87" s="378">
        <f t="shared" si="198"/>
        <v>2.0575419113547044E-2</v>
      </c>
      <c r="AN87" s="378">
        <f t="shared" si="198"/>
        <v>1.3673117475566338E-2</v>
      </c>
      <c r="AO87" s="417">
        <f t="shared" si="198"/>
        <v>1.4322469698351121E-2</v>
      </c>
      <c r="AP87" s="378">
        <f t="shared" si="198"/>
        <v>4.0238726706839836E-3</v>
      </c>
      <c r="AQ87" s="378">
        <f t="shared" si="198"/>
        <v>1.2454230155584244E-3</v>
      </c>
      <c r="AR87" s="378">
        <f t="shared" si="198"/>
        <v>1.012041843531298E-3</v>
      </c>
      <c r="AS87" s="378">
        <f t="shared" si="198"/>
        <v>1.4932163640610685E-3</v>
      </c>
      <c r="AT87" s="417">
        <f t="shared" si="198"/>
        <v>1.8758673429300312E-3</v>
      </c>
      <c r="AU87" s="378">
        <f t="shared" si="198"/>
        <v>5.5623654053907476E-3</v>
      </c>
      <c r="AV87" s="378">
        <f t="shared" si="198"/>
        <v>1.1598414490369979E-2</v>
      </c>
      <c r="AW87" s="378">
        <f t="shared" si="198"/>
        <v>5.4128484551362998E-3</v>
      </c>
      <c r="AX87" s="378">
        <f t="shared" si="198"/>
        <v>6.6838946319863497E-3</v>
      </c>
      <c r="AY87" s="417">
        <f t="shared" si="198"/>
        <v>7.2225987391687039E-3</v>
      </c>
      <c r="AZ87" s="378">
        <f t="shared" si="198"/>
        <v>1.4144228149539582E-2</v>
      </c>
      <c r="BA87" s="378">
        <f t="shared" si="198"/>
        <v>1.2481882196952924E-2</v>
      </c>
      <c r="BB87" s="378">
        <f t="shared" si="198"/>
        <v>1.6555987598692909E-2</v>
      </c>
      <c r="BC87" s="378">
        <f t="shared" si="198"/>
        <v>1.6771549075047125E-2</v>
      </c>
      <c r="BD87" s="417">
        <f t="shared" si="198"/>
        <v>1.5138723558548665E-2</v>
      </c>
      <c r="BE87" s="378">
        <f t="shared" si="198"/>
        <v>9.7614152499408639E-3</v>
      </c>
      <c r="BF87" s="378">
        <f t="shared" si="198"/>
        <v>1.1163585380327818E-2</v>
      </c>
      <c r="BG87" s="378">
        <f t="shared" si="198"/>
        <v>1.0371567074945324E-3</v>
      </c>
      <c r="BH87" s="378">
        <f t="shared" si="198"/>
        <v>5.1579798308520625E-3</v>
      </c>
      <c r="BI87" s="417">
        <f t="shared" si="198"/>
        <v>6.5621193800371605E-3</v>
      </c>
      <c r="BJ87" s="1130">
        <f t="shared" si="198"/>
        <v>7.3124797544587318E-3</v>
      </c>
      <c r="BK87" s="378">
        <f t="shared" si="198"/>
        <v>9.7635655349423388E-3</v>
      </c>
      <c r="BL87" s="378">
        <f t="shared" si="198"/>
        <v>7.7333408850997556E-3</v>
      </c>
      <c r="BM87" s="378">
        <f t="shared" si="198"/>
        <v>5.9019697855435573E-3</v>
      </c>
      <c r="BN87" s="417">
        <f t="shared" si="198"/>
        <v>7.6308619881086314E-3</v>
      </c>
      <c r="BO87" s="378">
        <f t="shared" si="198"/>
        <v>8.8509258716215026E-4</v>
      </c>
      <c r="BP87" s="378">
        <f t="shared" si="198"/>
        <v>0</v>
      </c>
      <c r="BQ87" s="378">
        <f t="shared" si="198"/>
        <v>0</v>
      </c>
      <c r="BR87" s="378">
        <f t="shared" si="198"/>
        <v>0</v>
      </c>
      <c r="BS87" s="417">
        <f t="shared" si="198"/>
        <v>1.9005065174879115E-4</v>
      </c>
      <c r="BT87" s="417">
        <f>BT101/BS102</f>
        <v>0</v>
      </c>
      <c r="BU87" s="417">
        <f>BU101/BT102</f>
        <v>0</v>
      </c>
      <c r="BV87" s="417">
        <f>BV101/BU102</f>
        <v>0</v>
      </c>
      <c r="BW87" s="176"/>
    </row>
    <row r="88" spans="1:75" s="1144" customFormat="1" ht="14.25" outlineLevel="1" x14ac:dyDescent="0.45">
      <c r="A88" s="1145" t="s">
        <v>1693</v>
      </c>
      <c r="B88" s="1146"/>
      <c r="C88" s="1147"/>
      <c r="D88" s="1147">
        <f>D89-D85</f>
        <v>-1.8518830899496075E-2</v>
      </c>
      <c r="E88" s="1147">
        <f>E89-E85</f>
        <v>-1.6558387694743201E-2</v>
      </c>
      <c r="F88" s="1147">
        <f>F89-F85</f>
        <v>1.0043436380865869E-2</v>
      </c>
      <c r="G88" s="1148"/>
      <c r="H88" s="1148"/>
      <c r="I88" s="1148"/>
      <c r="J88" s="1148"/>
      <c r="K88" s="1147">
        <f t="shared" ref="K88:BV88" si="199">K89-K85</f>
        <v>-1.3879480683652093E-2</v>
      </c>
      <c r="L88" s="1148"/>
      <c r="M88" s="1148"/>
      <c r="N88" s="1148"/>
      <c r="O88" s="1148"/>
      <c r="P88" s="1147">
        <f t="shared" si="199"/>
        <v>2.7016323578803875E-4</v>
      </c>
      <c r="Q88" s="1148"/>
      <c r="R88" s="1148"/>
      <c r="S88" s="1148"/>
      <c r="T88" s="1148"/>
      <c r="U88" s="1147">
        <f t="shared" si="199"/>
        <v>6.5744484953255307E-3</v>
      </c>
      <c r="V88" s="1148"/>
      <c r="W88" s="1148"/>
      <c r="X88" s="1148"/>
      <c r="Y88" s="1148"/>
      <c r="Z88" s="1147">
        <f t="shared" si="199"/>
        <v>1.0973107700823242E-2</v>
      </c>
      <c r="AA88" s="1148"/>
      <c r="AB88" s="1148"/>
      <c r="AC88" s="1148"/>
      <c r="AD88" s="1148"/>
      <c r="AE88" s="1147">
        <f t="shared" si="199"/>
        <v>1.0790250852428027E-2</v>
      </c>
      <c r="AF88" s="1148"/>
      <c r="AG88" s="1148"/>
      <c r="AH88" s="1148"/>
      <c r="AI88" s="1148"/>
      <c r="AJ88" s="1147">
        <f t="shared" si="199"/>
        <v>4.1739482418349252E-2</v>
      </c>
      <c r="AK88" s="1148">
        <f t="shared" si="199"/>
        <v>-1.1423123669377686E-2</v>
      </c>
      <c r="AL88" s="1148">
        <f t="shared" si="199"/>
        <v>-5.6950598270346306E-3</v>
      </c>
      <c r="AM88" s="1148">
        <f t="shared" si="199"/>
        <v>1.008128682266432E-2</v>
      </c>
      <c r="AN88" s="1148">
        <f t="shared" si="199"/>
        <v>-7.7206431411823095E-2</v>
      </c>
      <c r="AO88" s="1147">
        <f t="shared" si="199"/>
        <v>-2.3982477734340556E-2</v>
      </c>
      <c r="AP88" s="1148">
        <f t="shared" si="199"/>
        <v>-1.4422351186484727E-2</v>
      </c>
      <c r="AQ88" s="1148">
        <f t="shared" si="199"/>
        <v>-7.780566527007024E-3</v>
      </c>
      <c r="AR88" s="1148">
        <f t="shared" si="199"/>
        <v>-1.2907681535409332E-2</v>
      </c>
      <c r="AS88" s="1148">
        <f t="shared" si="199"/>
        <v>-8.9170444023550788E-3</v>
      </c>
      <c r="AT88" s="1147">
        <f t="shared" si="199"/>
        <v>-1.1174303433395177E-2</v>
      </c>
      <c r="AU88" s="1148">
        <f t="shared" si="199"/>
        <v>2.8335331463776314E-3</v>
      </c>
      <c r="AV88" s="1148">
        <f t="shared" si="199"/>
        <v>4.1139760969755579E-3</v>
      </c>
      <c r="AW88" s="1148">
        <f t="shared" si="199"/>
        <v>-5.9319283246763443E-3</v>
      </c>
      <c r="AX88" s="1148">
        <f t="shared" si="199"/>
        <v>-1.0301245682272503E-2</v>
      </c>
      <c r="AY88" s="1147">
        <f t="shared" si="199"/>
        <v>-3.6914922210510293E-3</v>
      </c>
      <c r="AZ88" s="1148">
        <f t="shared" si="199"/>
        <v>-5.2293702277429188E-3</v>
      </c>
      <c r="BA88" s="1148">
        <f t="shared" si="199"/>
        <v>-1.4563853654739806E-2</v>
      </c>
      <c r="BB88" s="1148">
        <f t="shared" si="199"/>
        <v>-1.0495925105105386E-2</v>
      </c>
      <c r="BC88" s="1148">
        <f t="shared" si="199"/>
        <v>-7.8727428558391169E-3</v>
      </c>
      <c r="BD88" s="1147">
        <f t="shared" si="199"/>
        <v>-9.6608096230092755E-3</v>
      </c>
      <c r="BE88" s="1148">
        <f t="shared" si="199"/>
        <v>-4.9486036202341967E-3</v>
      </c>
      <c r="BF88" s="1148">
        <f t="shared" si="199"/>
        <v>4.3947096314779499E-4</v>
      </c>
      <c r="BG88" s="1148">
        <f t="shared" si="199"/>
        <v>-2.515953777625618E-3</v>
      </c>
      <c r="BH88" s="1148">
        <f t="shared" si="199"/>
        <v>7.7830774689305326E-4</v>
      </c>
      <c r="BI88" s="1147">
        <f t="shared" si="199"/>
        <v>-1.2567674329585221E-3</v>
      </c>
      <c r="BJ88" s="1149">
        <f t="shared" si="199"/>
        <v>-9.724829819437994E-3</v>
      </c>
      <c r="BK88" s="1148">
        <f t="shared" si="199"/>
        <v>-5.0734675295718247E-3</v>
      </c>
      <c r="BL88" s="1148">
        <f t="shared" si="199"/>
        <v>-1.6242296140013265E-2</v>
      </c>
      <c r="BM88" s="1148">
        <f t="shared" si="199"/>
        <v>4.9254327158590246E-2</v>
      </c>
      <c r="BN88" s="1147">
        <f t="shared" si="199"/>
        <v>5.9254889212274064E-3</v>
      </c>
      <c r="BO88" s="1148">
        <f t="shared" si="199"/>
        <v>-7.6963536668234883E-3</v>
      </c>
      <c r="BP88" s="1148">
        <f t="shared" si="199"/>
        <v>-1.4816989141099149E-2</v>
      </c>
      <c r="BQ88" s="1148">
        <f t="shared" si="199"/>
        <v>-1.509896686738306E-2</v>
      </c>
      <c r="BR88" s="1148">
        <f t="shared" si="199"/>
        <v>-8.9212959304882447E-2</v>
      </c>
      <c r="BS88" s="1147">
        <f t="shared" si="199"/>
        <v>-3.5104577605841583E-2</v>
      </c>
      <c r="BT88" s="1147">
        <f t="shared" si="199"/>
        <v>-2.5046997500263984E-2</v>
      </c>
      <c r="BU88" s="1147">
        <f t="shared" si="199"/>
        <v>0</v>
      </c>
      <c r="BV88" s="1147">
        <f t="shared" si="199"/>
        <v>0</v>
      </c>
      <c r="BW88" s="1143"/>
    </row>
    <row r="89" spans="1:75" s="1144" customFormat="1" ht="14.25" outlineLevel="1" x14ac:dyDescent="0.45">
      <c r="A89" s="1150" t="s">
        <v>1694</v>
      </c>
      <c r="B89" s="1146"/>
      <c r="C89" s="1147"/>
      <c r="D89" s="1147">
        <f t="shared" ref="D89:E89" si="200">D102/C102-1</f>
        <v>0.15848116910050392</v>
      </c>
      <c r="E89" s="1147">
        <f t="shared" si="200"/>
        <v>5.9441612305256797E-2</v>
      </c>
      <c r="F89" s="1147">
        <f>F102/E102-1</f>
        <v>9.5043436380865876E-2</v>
      </c>
      <c r="G89" s="1148"/>
      <c r="H89" s="1148"/>
      <c r="I89" s="1148"/>
      <c r="J89" s="1148"/>
      <c r="K89" s="1147">
        <f t="shared" ref="K89:BS89" si="201">K102/F102-1</f>
        <v>9.0120519316347902E-2</v>
      </c>
      <c r="L89" s="1148"/>
      <c r="M89" s="1148"/>
      <c r="N89" s="1148"/>
      <c r="O89" s="1148"/>
      <c r="P89" s="1147">
        <f t="shared" si="201"/>
        <v>5.8270163235788042E-2</v>
      </c>
      <c r="Q89" s="1148"/>
      <c r="R89" s="1148"/>
      <c r="S89" s="1148"/>
      <c r="T89" s="1148"/>
      <c r="U89" s="1147">
        <f t="shared" si="201"/>
        <v>2.557444849532553E-2</v>
      </c>
      <c r="V89" s="1148"/>
      <c r="W89" s="1148"/>
      <c r="X89" s="1148"/>
      <c r="Y89" s="1148"/>
      <c r="Z89" s="1147">
        <f t="shared" si="201"/>
        <v>-2.4026892299176761E-2</v>
      </c>
      <c r="AA89" s="1148"/>
      <c r="AB89" s="1148"/>
      <c r="AC89" s="1148"/>
      <c r="AD89" s="1148"/>
      <c r="AE89" s="1147">
        <f t="shared" si="201"/>
        <v>2.0790250852428027E-2</v>
      </c>
      <c r="AF89" s="1148"/>
      <c r="AG89" s="1148"/>
      <c r="AH89" s="1148"/>
      <c r="AI89" s="1148"/>
      <c r="AJ89" s="1147">
        <f t="shared" si="201"/>
        <v>5.3739482418349249E-2</v>
      </c>
      <c r="AK89" s="1148">
        <f t="shared" si="201"/>
        <v>3.5768763306223139E-3</v>
      </c>
      <c r="AL89" s="1148">
        <f t="shared" si="201"/>
        <v>3.6304940172965372E-2</v>
      </c>
      <c r="AM89" s="1148">
        <f t="shared" si="201"/>
        <v>4.4081286822664323E-2</v>
      </c>
      <c r="AN89" s="1148">
        <f t="shared" si="201"/>
        <v>-1.0206431411823091E-2</v>
      </c>
      <c r="AO89" s="1147">
        <f t="shared" si="201"/>
        <v>1.7017522265659446E-2</v>
      </c>
      <c r="AP89" s="1148">
        <f t="shared" si="201"/>
        <v>-2.5422351186484726E-2</v>
      </c>
      <c r="AQ89" s="1148">
        <f t="shared" si="201"/>
        <v>7.3219433472992979E-2</v>
      </c>
      <c r="AR89" s="1148">
        <f t="shared" si="201"/>
        <v>0.22809231846459066</v>
      </c>
      <c r="AS89" s="1148">
        <f t="shared" si="201"/>
        <v>0.24808295559764493</v>
      </c>
      <c r="AT89" s="1147">
        <f t="shared" si="201"/>
        <v>0.14082569656660482</v>
      </c>
      <c r="AU89" s="1148">
        <f t="shared" si="201"/>
        <v>0.41583353314637761</v>
      </c>
      <c r="AV89" s="1148">
        <f t="shared" si="201"/>
        <v>0.30011397609697554</v>
      </c>
      <c r="AW89" s="1148">
        <f t="shared" si="201"/>
        <v>0.15306807167532366</v>
      </c>
      <c r="AX89" s="1148">
        <f t="shared" si="201"/>
        <v>0.1516987543177275</v>
      </c>
      <c r="AY89" s="1147">
        <f t="shared" si="201"/>
        <v>0.23530850777894896</v>
      </c>
      <c r="AZ89" s="1148">
        <f t="shared" si="201"/>
        <v>0.14077062977225707</v>
      </c>
      <c r="BA89" s="1148">
        <f t="shared" si="201"/>
        <v>0.20043614634526019</v>
      </c>
      <c r="BB89" s="1148">
        <f t="shared" si="201"/>
        <v>0.18550407489489462</v>
      </c>
      <c r="BC89" s="1148">
        <f t="shared" si="201"/>
        <v>5.0127257144160886E-2</v>
      </c>
      <c r="BD89" s="1147">
        <f t="shared" si="201"/>
        <v>0.13933919037699072</v>
      </c>
      <c r="BE89" s="1148">
        <f t="shared" si="201"/>
        <v>-8.9486036202341968E-3</v>
      </c>
      <c r="BF89" s="1148">
        <f t="shared" si="201"/>
        <v>-0.1055605290368522</v>
      </c>
      <c r="BG89" s="1148">
        <f t="shared" si="201"/>
        <v>-0.16851595377762563</v>
      </c>
      <c r="BH89" s="1148">
        <f t="shared" si="201"/>
        <v>-9.5221692253106949E-2</v>
      </c>
      <c r="BI89" s="1147">
        <f t="shared" si="201"/>
        <v>-9.8256767432958525E-2</v>
      </c>
      <c r="BJ89" s="1149">
        <f t="shared" si="201"/>
        <v>-0.11772482981943799</v>
      </c>
      <c r="BK89" s="1148">
        <f t="shared" si="201"/>
        <v>-7.3467529571824564E-5</v>
      </c>
      <c r="BL89" s="1148">
        <f t="shared" si="201"/>
        <v>-1.1242296140013264E-2</v>
      </c>
      <c r="BM89" s="1148">
        <f t="shared" si="201"/>
        <v>5.4254327158590243E-2</v>
      </c>
      <c r="BN89" s="1147">
        <f t="shared" si="201"/>
        <v>-1.6132266336062684E-2</v>
      </c>
      <c r="BO89" s="1148">
        <f t="shared" si="201"/>
        <v>4.2303646333176514E-2</v>
      </c>
      <c r="BP89" s="1148">
        <f t="shared" si="201"/>
        <v>3.5183010858900854E-2</v>
      </c>
      <c r="BQ89" s="1148">
        <f t="shared" si="201"/>
        <v>3.4901033132616943E-2</v>
      </c>
      <c r="BR89" s="1148">
        <f t="shared" si="201"/>
        <v>-3.9212959304882444E-2</v>
      </c>
      <c r="BS89" s="1147">
        <f t="shared" si="201"/>
        <v>1.489542239415842E-2</v>
      </c>
      <c r="BT89" s="1147">
        <f>BT102/BS102-1</f>
        <v>6.4953002499736012E-2</v>
      </c>
      <c r="BU89" s="1147">
        <f>BU102/BT102-1</f>
        <v>9.000000000000008E-2</v>
      </c>
      <c r="BV89" s="1147">
        <f>BV102/BU102-1</f>
        <v>9.000000000000008E-2</v>
      </c>
      <c r="BW89" s="1143"/>
    </row>
    <row r="90" spans="1:75" s="123" customFormat="1" outlineLevel="1" x14ac:dyDescent="0.5">
      <c r="A90" s="184"/>
      <c r="B90" s="489"/>
      <c r="C90" s="401"/>
      <c r="D90" s="401"/>
      <c r="E90" s="401"/>
      <c r="F90" s="401"/>
      <c r="G90" s="118"/>
      <c r="H90" s="118"/>
      <c r="I90" s="118"/>
      <c r="J90" s="118"/>
      <c r="K90" s="401"/>
      <c r="L90" s="118"/>
      <c r="M90" s="118"/>
      <c r="N90" s="118"/>
      <c r="O90" s="118"/>
      <c r="P90" s="401"/>
      <c r="Q90" s="118"/>
      <c r="R90" s="118"/>
      <c r="S90" s="118"/>
      <c r="T90" s="118"/>
      <c r="U90" s="401"/>
      <c r="V90" s="118"/>
      <c r="W90" s="118"/>
      <c r="X90" s="118"/>
      <c r="Y90" s="118"/>
      <c r="Z90" s="401"/>
      <c r="AA90" s="118"/>
      <c r="AB90" s="118"/>
      <c r="AC90" s="118"/>
      <c r="AD90" s="118"/>
      <c r="AE90" s="401"/>
      <c r="AF90" s="118"/>
      <c r="AG90" s="118"/>
      <c r="AH90" s="118"/>
      <c r="AI90" s="118"/>
      <c r="AJ90" s="401"/>
      <c r="AK90" s="118"/>
      <c r="AL90" s="118"/>
      <c r="AM90" s="118"/>
      <c r="AN90" s="118"/>
      <c r="AO90" s="401"/>
      <c r="AP90" s="118"/>
      <c r="AQ90" s="118"/>
      <c r="AR90" s="118"/>
      <c r="AS90" s="118"/>
      <c r="AT90" s="401"/>
      <c r="AU90" s="118"/>
      <c r="AV90" s="118"/>
      <c r="AW90" s="118"/>
      <c r="AX90" s="118"/>
      <c r="AY90" s="401"/>
      <c r="AZ90" s="118"/>
      <c r="BA90" s="118"/>
      <c r="BB90" s="118"/>
      <c r="BC90" s="118"/>
      <c r="BD90" s="401"/>
      <c r="BE90" s="118"/>
      <c r="BF90" s="118"/>
      <c r="BG90" s="118"/>
      <c r="BH90" s="118"/>
      <c r="BI90" s="401"/>
      <c r="BJ90" s="971"/>
      <c r="BK90" s="118"/>
      <c r="BL90" s="118"/>
      <c r="BM90" s="118"/>
      <c r="BN90" s="401"/>
      <c r="BO90" s="118"/>
      <c r="BP90" s="118"/>
      <c r="BQ90" s="118"/>
      <c r="BR90" s="118"/>
      <c r="BS90" s="401"/>
      <c r="BT90" s="401"/>
      <c r="BU90" s="401"/>
      <c r="BV90" s="401"/>
      <c r="BW90" s="122"/>
    </row>
    <row r="91" spans="1:75" s="217" customFormat="1" outlineLevel="1" x14ac:dyDescent="0.5">
      <c r="A91" s="640" t="s">
        <v>1695</v>
      </c>
      <c r="B91" s="493"/>
      <c r="C91" s="423"/>
      <c r="D91" s="423"/>
      <c r="E91" s="423"/>
      <c r="F91" s="423"/>
      <c r="G91" s="422"/>
      <c r="H91" s="422"/>
      <c r="I91" s="422"/>
      <c r="J91" s="422"/>
      <c r="K91" s="423"/>
      <c r="L91" s="422"/>
      <c r="M91" s="422"/>
      <c r="N91" s="422"/>
      <c r="O91" s="422"/>
      <c r="P91" s="423"/>
      <c r="Q91" s="422"/>
      <c r="R91" s="422"/>
      <c r="S91" s="422"/>
      <c r="T91" s="422"/>
      <c r="U91" s="423"/>
      <c r="V91" s="422"/>
      <c r="W91" s="422"/>
      <c r="X91" s="422"/>
      <c r="Y91" s="422"/>
      <c r="Z91" s="423"/>
      <c r="AA91" s="422"/>
      <c r="AB91" s="422"/>
      <c r="AC91" s="422"/>
      <c r="AD91" s="422"/>
      <c r="AE91" s="423"/>
      <c r="AF91" s="422"/>
      <c r="AG91" s="422"/>
      <c r="AH91" s="422"/>
      <c r="AI91" s="422"/>
      <c r="AJ91" s="423"/>
      <c r="AK91" s="443">
        <v>0.9</v>
      </c>
      <c r="AL91" s="443">
        <v>0.35</v>
      </c>
      <c r="AM91" s="443">
        <v>0.3</v>
      </c>
      <c r="AN91" s="443">
        <v>0.3</v>
      </c>
      <c r="AO91" s="423">
        <f t="shared" ref="AO91" si="202">AVERAGE(AK91,AL91,AM91,AN91)</f>
        <v>0.46250000000000002</v>
      </c>
      <c r="AP91" s="443">
        <v>0.5</v>
      </c>
      <c r="AQ91" s="443">
        <v>0.7</v>
      </c>
      <c r="AR91" s="443">
        <v>0.55000000000000004</v>
      </c>
      <c r="AS91" s="443">
        <v>0.3</v>
      </c>
      <c r="AT91" s="423">
        <f t="shared" ref="AT91" si="203">AVERAGE(AP91,AQ91,AR91,AS91)</f>
        <v>0.51249999999999996</v>
      </c>
      <c r="AU91" s="443">
        <v>0.2</v>
      </c>
      <c r="AV91" s="443">
        <v>0.2</v>
      </c>
      <c r="AW91" s="443">
        <v>0.25</v>
      </c>
      <c r="AX91" s="443">
        <v>0.4</v>
      </c>
      <c r="AY91" s="423">
        <f t="shared" ref="AY91" si="204">AVERAGE(AU91,AV91,AW91,AX91)</f>
        <v>0.26250000000000001</v>
      </c>
      <c r="AZ91" s="443">
        <v>0.2</v>
      </c>
      <c r="BA91" s="443">
        <v>0.3</v>
      </c>
      <c r="BB91" s="443">
        <v>0.3</v>
      </c>
      <c r="BC91" s="443">
        <v>0.3</v>
      </c>
      <c r="BD91" s="423">
        <f>AVERAGE(AZ91,BA91,BB91,BC91)</f>
        <v>0.27500000000000002</v>
      </c>
      <c r="BE91" s="443">
        <v>0.3</v>
      </c>
      <c r="BF91" s="443">
        <v>0.3</v>
      </c>
      <c r="BG91" s="443">
        <v>0.3</v>
      </c>
      <c r="BH91" s="443">
        <v>0.3</v>
      </c>
      <c r="BI91" s="423">
        <f>AVERAGE(BE91,BF91,BG91,BH91)</f>
        <v>0.3</v>
      </c>
      <c r="BJ91" s="1151">
        <v>0.3</v>
      </c>
      <c r="BK91" s="443">
        <v>0.3</v>
      </c>
      <c r="BL91" s="443">
        <v>0.3</v>
      </c>
      <c r="BM91" s="443">
        <v>0.3</v>
      </c>
      <c r="BN91" s="423">
        <f>AVERAGE(BJ91,BK91,BL91,BM91)</f>
        <v>0.3</v>
      </c>
      <c r="BO91" s="443">
        <v>0.3</v>
      </c>
      <c r="BP91" s="443">
        <v>0.3</v>
      </c>
      <c r="BQ91" s="443">
        <v>0.3</v>
      </c>
      <c r="BR91" s="443">
        <v>0.3</v>
      </c>
      <c r="BS91" s="423">
        <f>AVERAGE(BO91,BP91,BQ91,BR91)</f>
        <v>0.3</v>
      </c>
      <c r="BT91" s="735">
        <v>0.3</v>
      </c>
      <c r="BU91" s="735">
        <v>0.3</v>
      </c>
      <c r="BV91" s="735">
        <v>0.3</v>
      </c>
      <c r="BW91" s="216"/>
    </row>
    <row r="92" spans="1:75" s="217" customFormat="1" outlineLevel="1" x14ac:dyDescent="0.5">
      <c r="A92" s="640" t="s">
        <v>1696</v>
      </c>
      <c r="B92" s="493"/>
      <c r="C92" s="423"/>
      <c r="D92" s="423"/>
      <c r="E92" s="423"/>
      <c r="F92" s="423"/>
      <c r="G92" s="422"/>
      <c r="H92" s="422"/>
      <c r="I92" s="422"/>
      <c r="J92" s="422"/>
      <c r="K92" s="423"/>
      <c r="L92" s="422"/>
      <c r="M92" s="422"/>
      <c r="N92" s="422"/>
      <c r="O92" s="422"/>
      <c r="P92" s="423"/>
      <c r="Q92" s="422"/>
      <c r="R92" s="422"/>
      <c r="S92" s="422"/>
      <c r="T92" s="422"/>
      <c r="U92" s="423"/>
      <c r="V92" s="422"/>
      <c r="W92" s="422"/>
      <c r="X92" s="422"/>
      <c r="Y92" s="422"/>
      <c r="Z92" s="423"/>
      <c r="AA92" s="422"/>
      <c r="AB92" s="422"/>
      <c r="AC92" s="422"/>
      <c r="AD92" s="422"/>
      <c r="AE92" s="423"/>
      <c r="AF92" s="422"/>
      <c r="AG92" s="422"/>
      <c r="AH92" s="422"/>
      <c r="AI92" s="422"/>
      <c r="AJ92" s="423"/>
      <c r="AK92" s="422">
        <f>(AK79-(2-AK91)*SUM(AK74,AI74,AH74,AG74))/(AK79-SUM(AK74,AI74,AH74,AG74))-1</f>
        <v>2.2043958544082365E-3</v>
      </c>
      <c r="AL92" s="422">
        <f>(AL79-(2-AL91)*SUM(AL74,AK74,AI74,AH74))/(AL79-SUM(AL74,AK74,AI74,AH74))-1</f>
        <v>2.0483479641915103E-2</v>
      </c>
      <c r="AM92" s="422">
        <f>(AM79-(2-AM91)*SUM(AM74,AL74,AK74,AI74))/(AM79-SUM(AM74,AL74,AK74,AI74))-1</f>
        <v>2.2059131922062436E-2</v>
      </c>
      <c r="AN92" s="422">
        <f>(AN79-(2-AN91)*SUM(AN74,AM74,AL74,AK74))/(AN79-SUM(AN74,AM74,AL74,AK74))-1</f>
        <v>2.5416176549375891E-2</v>
      </c>
      <c r="AO92" s="423">
        <f t="shared" ref="AO92" si="205">(AO93*AJ$3/AO$3)/AJ98-1</f>
        <v>1.5333772900337328E-2</v>
      </c>
      <c r="AP92" s="422">
        <f>(AP79-(2-AP91)*SUM(AP74,AN74,AM74,AL74))/(AP79-SUM(AP74,AN74,AM74,AL74))-1</f>
        <v>1.4737067223968392E-2</v>
      </c>
      <c r="AQ92" s="422">
        <f>(AQ79-(2-AQ91)*SUM(AQ74,AP74,AN74,AM74))/(AQ79-SUM(AQ74,AP74,AN74,AM74))-1</f>
        <v>5.8536585365853711E-3</v>
      </c>
      <c r="AR92" s="422">
        <f>(AR79-(2-AR91)*SUM(AR74,AQ74,AP74,AN74))/(AR79-SUM(AR74,AQ74,AP74,AN74))-1</f>
        <v>1.0975609756097571E-2</v>
      </c>
      <c r="AS92" s="422">
        <f>(AS79-(2-AS91)*SUM(AS74,AR74,AQ74,AP74))/(AS79-SUM(AS74,AR74,AQ74,AP74))-1</f>
        <v>1.4946102819237028E-2</v>
      </c>
      <c r="AT92" s="423">
        <f t="shared" ref="AT92" si="206">(AT93*AO$3/AT$3)/AO98-1</f>
        <v>1.1889773923768443E-2</v>
      </c>
      <c r="AU92" s="422">
        <f>(AU79-(2-AU91)*SUM(AU74,AS74,AR74,AQ74))/(AU79-SUM(AU74,AS74,AR74,AQ74))-1</f>
        <v>2.5152587577576213E-2</v>
      </c>
      <c r="AV92" s="422">
        <f>(AV79-(2-AV91)*SUM(AV74,AU74,AS74,AR74))/(AV79-SUM(AV74,AU74,AS74,AR74))-1</f>
        <v>2.918825118394297E-2</v>
      </c>
      <c r="AW92" s="422">
        <f>(AW79-(2-AW91)*SUM(AW74,AV74,AU74,AS74))/(AW79-SUM(AW74,AV74,AU74,AS74))-1</f>
        <v>2.8685502897881632E-2</v>
      </c>
      <c r="AX92" s="422">
        <f>(AX79-(2-AX91)*SUM(AX74,AW74,AV74,AU74))/(AX79-SUM(AX74,AW74,AV74,AU74))-1</f>
        <v>3.7785134650690333E-2</v>
      </c>
      <c r="AY92" s="423">
        <f t="shared" ref="AY92" si="207">(AY93*AT$3/AY$3)/AT98-1</f>
        <v>2.9321469218789087E-2</v>
      </c>
      <c r="AZ92" s="422">
        <f>(AZ79-(2-AZ91)*SUM(AZ74,AX74,AW74,AV74))/(AZ79-SUM(AZ74,AX74,AW74,AV74))-1</f>
        <v>4.6248492716152612E-2</v>
      </c>
      <c r="BA92" s="422">
        <f>(BA79-(2-BA91)*SUM(BA74,AZ74,AX74,AW74))/(BA79-SUM(BA74,AZ74,AX74,AW74))-1</f>
        <v>4.0442474972555376E-2</v>
      </c>
      <c r="BB92" s="422">
        <f>(BB79-(2-BB91)*SUM(BB74,BA74,AZ74,AX74))/(BB79-SUM(BB74,BA74,AZ74,AX74))-1</f>
        <v>4.3073328846849446E-2</v>
      </c>
      <c r="BC92" s="422">
        <f>(BC79-(2-BC91)*SUM(BC74,BB74,BA74,AZ74))/(BC79-SUM(BC74,BB74,BA74,AZ74))-1</f>
        <v>2.6063405767444703E-2</v>
      </c>
      <c r="BD92" s="423">
        <f>(BD93*AY$3/BD$3)/AY98-1</f>
        <v>3.864104469501739E-2</v>
      </c>
      <c r="BE92" s="422">
        <f>(BE79-(2-BE91)*SUM(BE74,BC74,BB74,BA74))/(BE79-SUM(BE74,BC74,BB74,BA74))-1</f>
        <v>2.2340406877413121E-2</v>
      </c>
      <c r="BF92" s="422">
        <f>(BF79-(2-BF91)*SUM(BF74,BE74,BC74,BB74))/(BF79-SUM(BF74,BE74,BC74,BB74))-1</f>
        <v>2.2070115948543689E-2</v>
      </c>
      <c r="BG92" s="422">
        <f>(BG79-(2-BG91)*SUM(BG74,BF74,BE74,BC74))/(BG79-SUM(BG74,BF74,BE74,BC74))-1</f>
        <v>1.8169047777753855E-2</v>
      </c>
      <c r="BH92" s="422">
        <f>(BH79-(2-BH91)*SUM(BH74,BG74,BF74,BE74))/(BH79-SUM(BH74,BG74,BF74,BE74))-1</f>
        <v>3.7124351481584217E-2</v>
      </c>
      <c r="BI92" s="423">
        <f>(BI93*BD$3/BI$3)/BD98-1</f>
        <v>2.5195706971823162E-2</v>
      </c>
      <c r="BJ92" s="1034">
        <f>(BJ79-(2-BJ91)*SUM(BJ74,BH74,BG74,BF74))/(BJ79-SUM(BJ74,BH74,BG74,BF74))-1</f>
        <v>4.0848371978878806E-2</v>
      </c>
      <c r="BK92" s="422">
        <f>(BK79-(2-BK91)*SUM(BK74,BJ74,BH74,BG74))/(BK79-SUM(BK74,BJ74,BH74,BG74))-1</f>
        <v>4.3589452343147039E-2</v>
      </c>
      <c r="BL92" s="422">
        <f>(BL79-(2-BL91)*SUM(BL74,BK74,BJ74,BH74))/(BL79-SUM(BL74,BK74,BJ74,BH74))-1</f>
        <v>4.7130029297971499E-2</v>
      </c>
      <c r="BM92" s="422">
        <f>(BM79-(2-BM91)*SUM(BM74,BL74,BK74,BJ74))/(BM79-SUM(BM74,BL74,BK74,BJ74))-1</f>
        <v>2.6493324920777495E-2</v>
      </c>
      <c r="BN92" s="423">
        <f>(BN93*BI$3/BN$3)/BI98-1</f>
        <v>4.1302884045902877E-2</v>
      </c>
      <c r="BO92" s="422">
        <f>(BO79-(2-BO91)*SUM(BO74,BM74,BL74,BK74))/(BO79-SUM(BO74,BM74,BL74,BK74))-1</f>
        <v>3.0148336495193773E-2</v>
      </c>
      <c r="BP92" s="422">
        <f>(BP79-(2-BP91)*SUM(BP74,BO74,BM74,BL74))/(BP79-SUM(BP74,BO74,BM74,BL74))-1</f>
        <v>3.0627874994280546E-2</v>
      </c>
      <c r="BQ92" s="422">
        <f>(BQ79-(2-BQ91)*SUM(BQ74,BP74,BO74,BM74))/(BQ79-SUM(BQ74,BP74,BO74,BM74))-1</f>
        <v>3.1013660950478306E-2</v>
      </c>
      <c r="BR92" s="422">
        <f>(BR79-(2-BR91)*SUM(BR74,BQ74,BP74,BO74))/(BR79-SUM(BR74,BQ74,BP74,BO74))-1</f>
        <v>3.1409251804755733E-2</v>
      </c>
      <c r="BS92" s="423">
        <f>(BS93*BN$3/BS$3)/BN98-1</f>
        <v>2.8185371113596425E-2</v>
      </c>
      <c r="BT92" s="423">
        <f>(BT79-(2-BT91)*BT74)/(BT79-BT74)-1</f>
        <v>0</v>
      </c>
      <c r="BU92" s="423">
        <f>(BU79-(2-BU91)*BU74)/(BU79-BU74)-1</f>
        <v>0</v>
      </c>
      <c r="BV92" s="423">
        <f>(BV79-(2-BV91)*BV74)/(BV79-BV74)-1</f>
        <v>0</v>
      </c>
      <c r="BW92" s="216"/>
    </row>
    <row r="93" spans="1:75" s="370" customFormat="1" outlineLevel="1" x14ac:dyDescent="0.5">
      <c r="A93" s="364" t="s">
        <v>1697</v>
      </c>
      <c r="B93" s="1152"/>
      <c r="C93" s="1153"/>
      <c r="D93" s="1153"/>
      <c r="E93" s="1153"/>
      <c r="F93" s="1153"/>
      <c r="G93" s="1154"/>
      <c r="H93" s="1154"/>
      <c r="I93" s="1154"/>
      <c r="J93" s="1154"/>
      <c r="K93" s="1153"/>
      <c r="L93" s="1154"/>
      <c r="M93" s="1154"/>
      <c r="N93" s="1154"/>
      <c r="O93" s="1154"/>
      <c r="P93" s="1153"/>
      <c r="Q93" s="1154"/>
      <c r="R93" s="1154"/>
      <c r="S93" s="1154"/>
      <c r="T93" s="1154"/>
      <c r="U93" s="1153"/>
      <c r="V93" s="1154"/>
      <c r="W93" s="1154"/>
      <c r="X93" s="1154"/>
      <c r="Y93" s="1154"/>
      <c r="Z93" s="1153"/>
      <c r="AA93" s="1154"/>
      <c r="AB93" s="1154"/>
      <c r="AC93" s="1154"/>
      <c r="AD93" s="1154"/>
      <c r="AE93" s="1153"/>
      <c r="AF93" s="1154"/>
      <c r="AG93" s="1154"/>
      <c r="AH93" s="1154"/>
      <c r="AI93" s="1154"/>
      <c r="AJ93" s="1153"/>
      <c r="AK93" s="1154">
        <f t="shared" ref="AK93:AN93" si="208">(AF98*AK$3/AF$3)*(1+AK92)</f>
        <v>174.16910869472937</v>
      </c>
      <c r="AL93" s="1154">
        <f t="shared" si="208"/>
        <v>182.26620930294976</v>
      </c>
      <c r="AM93" s="1154">
        <f t="shared" si="208"/>
        <v>191.34474927086535</v>
      </c>
      <c r="AN93" s="1154">
        <f t="shared" si="208"/>
        <v>213.903769975312</v>
      </c>
      <c r="AO93" s="1153">
        <f>AO95/(1+AO85)</f>
        <v>761.75574436435704</v>
      </c>
      <c r="AP93" s="1154">
        <f t="shared" ref="AP93:AS93" si="209">(AK98*AP$3/AK$3)*(1+AP92)</f>
        <v>172.15495783665003</v>
      </c>
      <c r="AQ93" s="1154">
        <f t="shared" si="209"/>
        <v>180.71691061085193</v>
      </c>
      <c r="AR93" s="1154">
        <f t="shared" si="209"/>
        <v>190.75143970189706</v>
      </c>
      <c r="AS93" s="1154">
        <f t="shared" si="209"/>
        <v>222.36284453456804</v>
      </c>
      <c r="AT93" s="1153">
        <f>AT95/(1+AT85)</f>
        <v>766.24343593594074</v>
      </c>
      <c r="AU93" s="1154">
        <f t="shared" ref="AU93:AX93" si="210">(AP98*AU$3/AP$3)*(1+AU92)</f>
        <v>169.87235982967772</v>
      </c>
      <c r="AV93" s="1154">
        <f t="shared" si="210"/>
        <v>200.28919339893818</v>
      </c>
      <c r="AW93" s="1154">
        <f t="shared" si="210"/>
        <v>243.10762709429764</v>
      </c>
      <c r="AX93" s="1154">
        <f t="shared" si="210"/>
        <v>288.96208298119774</v>
      </c>
      <c r="AY93" s="1153">
        <f>AY95/(1+AY85)</f>
        <v>900.23770249724942</v>
      </c>
      <c r="AZ93" s="1154">
        <f>(AU98*AZ$3/AU$3)*(1+AZ92)</f>
        <v>249.54698637912435</v>
      </c>
      <c r="BA93" s="1154">
        <f>(AV98*BA$3/AV$3)*(1+BA92)</f>
        <v>267.62906729867461</v>
      </c>
      <c r="BB93" s="1154">
        <f>(AW98*BB$3/AW$3)*(1+BB92)</f>
        <v>289.96574598926185</v>
      </c>
      <c r="BC93" s="1154">
        <f>(AX98*BC$3/AX$3)*(1+BC92)</f>
        <v>340.17119722379658</v>
      </c>
      <c r="BD93" s="1153">
        <f>BD95/(1+BD85)</f>
        <v>1146.5417778019666</v>
      </c>
      <c r="BE93" s="1154">
        <f>(AZ98*BE$3/AZ$3)*(1+BE92)</f>
        <v>290.51794087526065</v>
      </c>
      <c r="BF93" s="1154">
        <f>(BA98*BF$3/BA$3)*(1+BF92)</f>
        <v>327.60017261135971</v>
      </c>
      <c r="BG93" s="1154">
        <f>(BB98*BG$3/BB$3)*(1+BG92)</f>
        <v>342.66777427900143</v>
      </c>
      <c r="BH93" s="1154">
        <f>(BC98*BH$3/BC$3)*(1+BH92)</f>
        <v>359.38488939613302</v>
      </c>
      <c r="BI93" s="1153">
        <f>BI95/(1+BI85)</f>
        <v>1321.0730883039155</v>
      </c>
      <c r="BJ93" s="1155">
        <f>(BE98*BJ$3/BE$3)*(1+BJ92)</f>
        <v>287.18871012269727</v>
      </c>
      <c r="BK93" s="1154">
        <f>(BF98*BK$3/BF$3)*(1+BK92)</f>
        <v>291.37942443471178</v>
      </c>
      <c r="BL93" s="1154">
        <f>(BG98*BL$3/BG$3)*(1+BL92)</f>
        <v>284.90548364949791</v>
      </c>
      <c r="BM93" s="1154">
        <f>(BH98*BM$3/BH$3)*(1+BM92)</f>
        <v>343.78942444084493</v>
      </c>
      <c r="BN93" s="1153">
        <f>BN95/(1+BN85)</f>
        <v>1207.8854927247696</v>
      </c>
      <c r="BO93" s="1154">
        <f>(BJ98*BO$3/BJ$3)*(1+BO92)</f>
        <v>251.97007204245705</v>
      </c>
      <c r="BP93" s="1154">
        <f>(BK98*BP$3/BK$3)*(1+BP92)</f>
        <v>293.21613979435546</v>
      </c>
      <c r="BQ93" s="1154">
        <f>(BL98*BQ$3/BL$3)*(1+BQ92)</f>
        <v>289.91923425164168</v>
      </c>
      <c r="BR93" s="1154">
        <f>(BM98*BR$3/BM$3)*(1+BR92)</f>
        <v>326.63945907763213</v>
      </c>
      <c r="BS93" s="1153">
        <f>BS95/(1+BS85)</f>
        <v>1160.5876551125264</v>
      </c>
      <c r="BT93" s="1153">
        <f>(BS98*BT$3/BS$3)*(1+BT92)</f>
        <v>1217.9696645852496</v>
      </c>
      <c r="BU93" s="1153">
        <f>(BT98*BU$3/BT$3)*(1+BU92)</f>
        <v>1327.5869343979221</v>
      </c>
      <c r="BV93" s="1153">
        <f>(BU98*BV$3/BU$3)*(1+BV92)</f>
        <v>1447.069758493735</v>
      </c>
      <c r="BW93" s="369"/>
    </row>
    <row r="94" spans="1:75" s="123" customFormat="1" outlineLevel="1" x14ac:dyDescent="0.5">
      <c r="A94" s="184"/>
      <c r="B94" s="489"/>
      <c r="C94" s="401"/>
      <c r="D94" s="401"/>
      <c r="E94" s="401"/>
      <c r="F94" s="401"/>
      <c r="G94" s="118"/>
      <c r="H94" s="118"/>
      <c r="I94" s="118"/>
      <c r="J94" s="118"/>
      <c r="K94" s="401"/>
      <c r="L94" s="118"/>
      <c r="M94" s="118"/>
      <c r="N94" s="118"/>
      <c r="O94" s="118"/>
      <c r="P94" s="401"/>
      <c r="Q94" s="118"/>
      <c r="R94" s="118"/>
      <c r="S94" s="118"/>
      <c r="T94" s="118"/>
      <c r="U94" s="401"/>
      <c r="V94" s="118"/>
      <c r="W94" s="118"/>
      <c r="X94" s="118"/>
      <c r="Y94" s="118"/>
      <c r="Z94" s="401"/>
      <c r="AA94" s="118"/>
      <c r="AB94" s="118"/>
      <c r="AC94" s="118"/>
      <c r="AD94" s="118"/>
      <c r="AE94" s="401"/>
      <c r="AF94" s="118"/>
      <c r="AG94" s="118"/>
      <c r="AH94" s="118"/>
      <c r="AI94" s="118"/>
      <c r="AJ94" s="401"/>
      <c r="AK94" s="118"/>
      <c r="AL94" s="118"/>
      <c r="AM94" s="118"/>
      <c r="AN94" s="118"/>
      <c r="AO94" s="401"/>
      <c r="AP94" s="118"/>
      <c r="AQ94" s="118"/>
      <c r="AR94" s="118"/>
      <c r="AS94" s="118"/>
      <c r="AT94" s="401"/>
      <c r="AU94" s="118"/>
      <c r="AV94" s="118"/>
      <c r="AW94" s="118"/>
      <c r="AX94" s="118"/>
      <c r="AY94" s="401"/>
      <c r="AZ94" s="118"/>
      <c r="BA94" s="118"/>
      <c r="BB94" s="118"/>
      <c r="BC94" s="118"/>
      <c r="BD94" s="401"/>
      <c r="BE94" s="118"/>
      <c r="BF94" s="118"/>
      <c r="BG94" s="118"/>
      <c r="BH94" s="118"/>
      <c r="BI94" s="401"/>
      <c r="BJ94" s="971"/>
      <c r="BK94" s="118"/>
      <c r="BL94" s="118"/>
      <c r="BM94" s="118"/>
      <c r="BN94" s="401"/>
      <c r="BO94" s="118"/>
      <c r="BP94" s="118"/>
      <c r="BQ94" s="118"/>
      <c r="BR94" s="118"/>
      <c r="BS94" s="401"/>
      <c r="BT94" s="401"/>
      <c r="BU94" s="401"/>
      <c r="BV94" s="401"/>
      <c r="BW94" s="122"/>
    </row>
    <row r="95" spans="1:75" s="370" customFormat="1" outlineLevel="1" x14ac:dyDescent="0.5">
      <c r="A95" s="364" t="s">
        <v>1698</v>
      </c>
      <c r="B95" s="1152"/>
      <c r="C95" s="1153"/>
      <c r="D95" s="1153"/>
      <c r="E95" s="1153"/>
      <c r="F95" s="1153"/>
      <c r="G95" s="1154"/>
      <c r="H95" s="1154"/>
      <c r="I95" s="1154"/>
      <c r="J95" s="1154"/>
      <c r="K95" s="1153"/>
      <c r="L95" s="1154"/>
      <c r="M95" s="1154"/>
      <c r="N95" s="1154"/>
      <c r="O95" s="1154"/>
      <c r="P95" s="1153"/>
      <c r="Q95" s="1154"/>
      <c r="R95" s="1154"/>
      <c r="S95" s="1154"/>
      <c r="T95" s="1154"/>
      <c r="U95" s="1153"/>
      <c r="V95" s="1154"/>
      <c r="W95" s="1154"/>
      <c r="X95" s="1154"/>
      <c r="Y95" s="1154"/>
      <c r="Z95" s="1153"/>
      <c r="AA95" s="1154"/>
      <c r="AB95" s="1154"/>
      <c r="AC95" s="1154"/>
      <c r="AD95" s="1154"/>
      <c r="AE95" s="1153"/>
      <c r="AF95" s="1154"/>
      <c r="AG95" s="1154"/>
      <c r="AH95" s="1154"/>
      <c r="AI95" s="1154"/>
      <c r="AJ95" s="1153"/>
      <c r="AK95" s="1154">
        <f>AK93*(1+AK85)</f>
        <v>176.78164532515029</v>
      </c>
      <c r="AL95" s="1154">
        <f>AL93*(1+AL85)</f>
        <v>189.92139009367366</v>
      </c>
      <c r="AM95" s="1154">
        <f>AM93*(1+AM85)</f>
        <v>197.85047074607479</v>
      </c>
      <c r="AN95" s="1154">
        <f>AN93*(1+AN85)</f>
        <v>228.23532256365789</v>
      </c>
      <c r="AO95" s="1153">
        <f>AO100/AO80*1000</f>
        <v>792.98772988329563</v>
      </c>
      <c r="AP95" s="1154">
        <f>AP93*(1+AP85)</f>
        <v>170.26125330044687</v>
      </c>
      <c r="AQ95" s="1154">
        <f>AQ93*(1+AQ85)</f>
        <v>195.35498037033094</v>
      </c>
      <c r="AR95" s="1154">
        <f>AR93*(1+AR85)</f>
        <v>236.72253667005427</v>
      </c>
      <c r="AS95" s="1154">
        <f>AS93*(1+AS85)</f>
        <v>279.51009557995206</v>
      </c>
      <c r="AT95" s="1153">
        <f>AT100/AT80*1000</f>
        <v>882.7124381982037</v>
      </c>
      <c r="AU95" s="1154">
        <f>AU93*(1+AU85)</f>
        <v>240.02964443933462</v>
      </c>
      <c r="AV95" s="1154">
        <f>AV93*(1+AV85)</f>
        <v>259.57479464502387</v>
      </c>
      <c r="AW95" s="1154">
        <f>AW93*(1+AW85)</f>
        <v>281.76173980229095</v>
      </c>
      <c r="AX95" s="1154">
        <f>AX93*(1+AX85)</f>
        <v>335.77394042415176</v>
      </c>
      <c r="AY95" s="1153">
        <f>AY100/AY80*1000</f>
        <v>1115.394513394092</v>
      </c>
      <c r="AZ95" s="1154">
        <f>AZ93*(1+AZ85)</f>
        <v>285.98084639047647</v>
      </c>
      <c r="BA95" s="1154">
        <f>BA93*(1+BA85)</f>
        <v>325.16931676788965</v>
      </c>
      <c r="BB95" s="1154">
        <f>BB93*(1+BB85)</f>
        <v>346.79903220315714</v>
      </c>
      <c r="BC95" s="1154">
        <f>BC93*(1+BC85)</f>
        <v>359.90112666277679</v>
      </c>
      <c r="BD95" s="1153">
        <f>BD100/BD80*1000</f>
        <v>1317.3765026944598</v>
      </c>
      <c r="BE95" s="1154">
        <f>BE93*(1+BE85)</f>
        <v>289.3558691117596</v>
      </c>
      <c r="BF95" s="1154">
        <f>BF93*(1+BF85)</f>
        <v>292.87455431455561</v>
      </c>
      <c r="BG95" s="1154">
        <f>BG93*(1+BG85)</f>
        <v>285.78492374868716</v>
      </c>
      <c r="BH95" s="1154">
        <f>BH93*(1+BH85)</f>
        <v>324.88394001410427</v>
      </c>
      <c r="BI95" s="1153">
        <f>BI100/BI80*1000</f>
        <v>1192.9289987384357</v>
      </c>
      <c r="BJ95" s="1155">
        <f>BJ93*(1+BJ85)</f>
        <v>256.17232942944599</v>
      </c>
      <c r="BK95" s="1154">
        <f>BK93*(1+BK85)</f>
        <v>292.83632155688531</v>
      </c>
      <c r="BL95" s="1154">
        <f>BL93*(1+BL85)</f>
        <v>286.33001106774537</v>
      </c>
      <c r="BM95" s="1154">
        <f>BM93*(1+BM85)</f>
        <v>345.50837156304914</v>
      </c>
      <c r="BN95" s="1153">
        <f>BN100/BN80*1000</f>
        <v>1181.2422501474155</v>
      </c>
      <c r="BO95" s="1154">
        <f>BO93*(1+BO85)</f>
        <v>264.56857564457994</v>
      </c>
      <c r="BP95" s="1154">
        <f>BP93*(1+BP85)</f>
        <v>307.87694678407325</v>
      </c>
      <c r="BQ95" s="1154">
        <f>BQ93*(1+BQ85)</f>
        <v>304.41519596422376</v>
      </c>
      <c r="BR95" s="1154">
        <f>BR93*(1+BR85)</f>
        <v>342.97143203151376</v>
      </c>
      <c r="BS95" s="1153">
        <f>BS100/BS80*1000</f>
        <v>1218.6170378681527</v>
      </c>
      <c r="BT95" s="1153">
        <f>BT93*(1+BT85)</f>
        <v>1327.5869343979221</v>
      </c>
      <c r="BU95" s="1153">
        <f>BU93*(1+BU85)</f>
        <v>1447.0697584937352</v>
      </c>
      <c r="BV95" s="1153">
        <f>BV93*(1+BV85)</f>
        <v>1577.3060367581713</v>
      </c>
      <c r="BW95" s="369"/>
    </row>
    <row r="96" spans="1:75" s="177" customFormat="1" ht="14.25" outlineLevel="1" x14ac:dyDescent="0.45">
      <c r="A96" s="189" t="s">
        <v>1699</v>
      </c>
      <c r="B96" s="491"/>
      <c r="C96" s="172"/>
      <c r="D96" s="172"/>
      <c r="E96" s="172"/>
      <c r="F96" s="172"/>
      <c r="G96" s="175"/>
      <c r="H96" s="175"/>
      <c r="I96" s="175"/>
      <c r="J96" s="175"/>
      <c r="K96" s="172"/>
      <c r="L96" s="175"/>
      <c r="M96" s="175"/>
      <c r="N96" s="175"/>
      <c r="O96" s="175"/>
      <c r="P96" s="172"/>
      <c r="Q96" s="175"/>
      <c r="R96" s="175"/>
      <c r="S96" s="175"/>
      <c r="T96" s="175"/>
      <c r="U96" s="172"/>
      <c r="V96" s="175"/>
      <c r="W96" s="175"/>
      <c r="X96" s="175"/>
      <c r="Y96" s="175"/>
      <c r="Z96" s="172"/>
      <c r="AA96" s="175"/>
      <c r="AB96" s="175"/>
      <c r="AC96" s="175"/>
      <c r="AD96" s="175"/>
      <c r="AE96" s="172"/>
      <c r="AF96" s="175"/>
      <c r="AG96" s="175"/>
      <c r="AH96" s="175"/>
      <c r="AI96" s="175"/>
      <c r="AJ96" s="172"/>
      <c r="AK96" s="175">
        <f t="shared" ref="AK96:BJ96" si="211">IFERROR(AK97/AK95,"n/a")</f>
        <v>0.1884690276435883</v>
      </c>
      <c r="AL96" s="175">
        <f t="shared" si="211"/>
        <v>0.17963107762149691</v>
      </c>
      <c r="AM96" s="175">
        <f t="shared" si="211"/>
        <v>0.28850250156805168</v>
      </c>
      <c r="AN96" s="175">
        <f t="shared" si="211"/>
        <v>0.2486145370458723</v>
      </c>
      <c r="AO96" s="172">
        <f t="shared" si="211"/>
        <v>0.22977079768370687</v>
      </c>
      <c r="AP96" s="175">
        <f t="shared" si="211"/>
        <v>0.13054235764404948</v>
      </c>
      <c r="AQ96" s="175">
        <f t="shared" si="211"/>
        <v>0.23236067356278076</v>
      </c>
      <c r="AR96" s="175">
        <f t="shared" si="211"/>
        <v>0.33072716348563436</v>
      </c>
      <c r="AS96" s="175">
        <f t="shared" si="211"/>
        <v>0.23759676357392542</v>
      </c>
      <c r="AT96" s="172">
        <f t="shared" si="211"/>
        <v>0.15047295535398103</v>
      </c>
      <c r="AU96" s="175">
        <f t="shared" si="211"/>
        <v>0.38235926943400528</v>
      </c>
      <c r="AV96" s="175">
        <f t="shared" si="211"/>
        <v>0.49420056480909963</v>
      </c>
      <c r="AW96" s="175">
        <f t="shared" si="211"/>
        <v>0.25713831701414575</v>
      </c>
      <c r="AX96" s="175">
        <f t="shared" si="211"/>
        <v>0.31195953606169952</v>
      </c>
      <c r="AY96" s="172">
        <f t="shared" si="211"/>
        <v>0.35932003548086389</v>
      </c>
      <c r="AZ96" s="175">
        <f t="shared" si="211"/>
        <v>0.66045806550201103</v>
      </c>
      <c r="BA96" s="175">
        <f t="shared" si="211"/>
        <v>0.4178512423333442</v>
      </c>
      <c r="BB96" s="175">
        <f t="shared" si="211"/>
        <v>0.31446696844240313</v>
      </c>
      <c r="BC96" s="175">
        <f t="shared" si="211"/>
        <v>0.29258845543162004</v>
      </c>
      <c r="BD96" s="172">
        <f t="shared" si="211"/>
        <v>0.37308824087890985</v>
      </c>
      <c r="BE96" s="175">
        <f t="shared" si="211"/>
        <v>0.16821810542412682</v>
      </c>
      <c r="BF96" s="175">
        <f t="shared" si="211"/>
        <v>0.20319103695818141</v>
      </c>
      <c r="BG96" s="175">
        <f t="shared" si="211"/>
        <v>2.416905099312466E-2</v>
      </c>
      <c r="BH96" s="175">
        <f t="shared" si="211"/>
        <v>0.1131910084917936</v>
      </c>
      <c r="BI96" s="172">
        <f t="shared" si="211"/>
        <v>0.13120649501768025</v>
      </c>
      <c r="BJ96" s="1111">
        <f t="shared" si="211"/>
        <v>0.14902304749342249</v>
      </c>
      <c r="BK96" s="190">
        <v>0.25</v>
      </c>
      <c r="BL96" s="190">
        <v>0.3</v>
      </c>
      <c r="BM96" s="190">
        <v>0.3</v>
      </c>
      <c r="BN96" s="172">
        <f>IFERROR(BN97/BN95,"n/a")</f>
        <v>0.22484594942736313</v>
      </c>
      <c r="BO96" s="190">
        <v>0.3</v>
      </c>
      <c r="BP96" s="190">
        <v>0.25</v>
      </c>
      <c r="BQ96" s="190">
        <v>0.3</v>
      </c>
      <c r="BR96" s="190">
        <v>0.3</v>
      </c>
      <c r="BS96" s="172">
        <f>IFERROR(BS97/BS95,"n/a")</f>
        <v>0.26052671258305976</v>
      </c>
      <c r="BT96" s="191">
        <v>0.3</v>
      </c>
      <c r="BU96" s="191">
        <v>0.3</v>
      </c>
      <c r="BV96" s="191">
        <v>0.3</v>
      </c>
      <c r="BW96" s="176"/>
    </row>
    <row r="97" spans="1:75" s="370" customFormat="1" outlineLevel="1" x14ac:dyDescent="0.5">
      <c r="A97" s="364" t="s">
        <v>1700</v>
      </c>
      <c r="B97" s="1152"/>
      <c r="C97" s="366"/>
      <c r="D97" s="366"/>
      <c r="E97" s="366"/>
      <c r="F97" s="366"/>
      <c r="G97" s="367"/>
      <c r="H97" s="367"/>
      <c r="I97" s="367"/>
      <c r="J97" s="367"/>
      <c r="K97" s="366"/>
      <c r="L97" s="367"/>
      <c r="M97" s="367"/>
      <c r="N97" s="367"/>
      <c r="O97" s="367"/>
      <c r="P97" s="366"/>
      <c r="Q97" s="367"/>
      <c r="R97" s="367"/>
      <c r="S97" s="367"/>
      <c r="T97" s="367"/>
      <c r="U97" s="366"/>
      <c r="V97" s="367"/>
      <c r="W97" s="367"/>
      <c r="X97" s="367"/>
      <c r="Y97" s="367"/>
      <c r="Z97" s="366"/>
      <c r="AA97" s="367"/>
      <c r="AB97" s="367"/>
      <c r="AC97" s="367"/>
      <c r="AD97" s="367"/>
      <c r="AE97" s="366"/>
      <c r="AF97" s="367"/>
      <c r="AG97" s="367"/>
      <c r="AH97" s="367"/>
      <c r="AI97" s="367"/>
      <c r="AJ97" s="366"/>
      <c r="AK97" s="367">
        <f t="shared" ref="AK97:BJ97" si="212">IFERROR(AK101/AK83*1000,"n/a")</f>
        <v>33.317864799664775</v>
      </c>
      <c r="AL97" s="367">
        <f t="shared" si="212"/>
        <v>34.11578396589929</v>
      </c>
      <c r="AM97" s="367">
        <f t="shared" si="212"/>
        <v>57.080355746659201</v>
      </c>
      <c r="AN97" s="367">
        <f t="shared" si="212"/>
        <v>56.742619056679139</v>
      </c>
      <c r="AO97" s="366">
        <f t="shared" si="212"/>
        <v>182.20542324867671</v>
      </c>
      <c r="AP97" s="367">
        <f t="shared" si="212"/>
        <v>22.226305421271032</v>
      </c>
      <c r="AQ97" s="367">
        <f t="shared" si="212"/>
        <v>45.392814822693907</v>
      </c>
      <c r="AR97" s="367">
        <f t="shared" si="212"/>
        <v>78.290573086011108</v>
      </c>
      <c r="AS97" s="367">
        <f t="shared" si="212"/>
        <v>66.410694096035172</v>
      </c>
      <c r="AT97" s="366">
        <f t="shared" si="212"/>
        <v>132.82434930340204</v>
      </c>
      <c r="AU97" s="367">
        <f t="shared" si="212"/>
        <v>91.777559490328031</v>
      </c>
      <c r="AV97" s="367">
        <f t="shared" si="212"/>
        <v>128.28201012377684</v>
      </c>
      <c r="AW97" s="367">
        <f t="shared" si="212"/>
        <v>72.451739571738742</v>
      </c>
      <c r="AX97" s="367">
        <f t="shared" si="212"/>
        <v>104.74788267632711</v>
      </c>
      <c r="AY97" s="366">
        <f t="shared" si="212"/>
        <v>400.78359612792605</v>
      </c>
      <c r="AZ97" s="367">
        <f t="shared" si="212"/>
        <v>188.87835657768187</v>
      </c>
      <c r="BA97" s="367">
        <f t="shared" si="212"/>
        <v>135.87240298014743</v>
      </c>
      <c r="BB97" s="367">
        <f t="shared" si="212"/>
        <v>109.05684031568616</v>
      </c>
      <c r="BC97" s="367">
        <f t="shared" si="212"/>
        <v>105.30291475836171</v>
      </c>
      <c r="BD97" s="366">
        <f t="shared" si="212"/>
        <v>491.49768196548644</v>
      </c>
      <c r="BE97" s="367">
        <f t="shared" si="212"/>
        <v>48.674896095331817</v>
      </c>
      <c r="BF97" s="367">
        <f t="shared" si="212"/>
        <v>59.509484389839777</v>
      </c>
      <c r="BG97" s="367">
        <f t="shared" si="212"/>
        <v>6.9071503951482631</v>
      </c>
      <c r="BH97" s="367">
        <f t="shared" si="212"/>
        <v>36.773940812983838</v>
      </c>
      <c r="BI97" s="366">
        <f t="shared" si="212"/>
        <v>156.52003272942085</v>
      </c>
      <c r="BJ97" s="1156">
        <f t="shared" si="212"/>
        <v>38.175581215065002</v>
      </c>
      <c r="BK97" s="367">
        <f>BK95*BK96</f>
        <v>73.209080389221327</v>
      </c>
      <c r="BL97" s="367">
        <f>BL95*BL96</f>
        <v>85.899003320323615</v>
      </c>
      <c r="BM97" s="367">
        <f>BM95*BM96</f>
        <v>103.65251146891474</v>
      </c>
      <c r="BN97" s="366">
        <f>IFERROR(BN101/BN83*1000,"n/a")</f>
        <v>265.59753523811042</v>
      </c>
      <c r="BO97" s="367">
        <f>BO95*BO96</f>
        <v>79.370572693373973</v>
      </c>
      <c r="BP97" s="367">
        <f>BP95*BP96</f>
        <v>76.969236696018314</v>
      </c>
      <c r="BQ97" s="367">
        <f>BQ95*BQ96</f>
        <v>91.32455878926713</v>
      </c>
      <c r="BR97" s="367">
        <f>BR95*BR96</f>
        <v>102.89142960945412</v>
      </c>
      <c r="BS97" s="366">
        <f>IFERROR(BS101/BS83*1000,"n/a")</f>
        <v>317.48229077349589</v>
      </c>
      <c r="BT97" s="366">
        <f>BT95*BT96</f>
        <v>398.2760803193766</v>
      </c>
      <c r="BU97" s="366">
        <f>BU95*BU96</f>
        <v>434.12092754812056</v>
      </c>
      <c r="BV97" s="366">
        <f>BV95*BV96</f>
        <v>473.19181102745137</v>
      </c>
      <c r="BW97" s="369"/>
    </row>
    <row r="98" spans="1:75" s="573" customFormat="1" ht="14.25" outlineLevel="1" x14ac:dyDescent="0.45">
      <c r="A98" s="1157" t="s">
        <v>1701</v>
      </c>
      <c r="B98" s="1158"/>
      <c r="C98" s="1159"/>
      <c r="D98" s="1159">
        <f t="shared" ref="D98:F98" si="213">D102/D77*1000</f>
        <v>590.78802807264469</v>
      </c>
      <c r="E98" s="1159">
        <f t="shared" si="213"/>
        <v>615.05984055326098</v>
      </c>
      <c r="F98" s="1159">
        <f t="shared" si="213"/>
        <v>655.8163112607557</v>
      </c>
      <c r="G98" s="1160"/>
      <c r="H98" s="1160"/>
      <c r="I98" s="1160"/>
      <c r="J98" s="1160"/>
      <c r="K98" s="1159">
        <f>K102/K77*1000</f>
        <v>709.50397267394374</v>
      </c>
      <c r="L98" s="1160"/>
      <c r="M98" s="1160"/>
      <c r="N98" s="1160"/>
      <c r="O98" s="1160"/>
      <c r="P98" s="1159">
        <f>P102/P77*1000</f>
        <v>750.62045031711489</v>
      </c>
      <c r="Q98" s="1160"/>
      <c r="R98" s="1160"/>
      <c r="S98" s="1160"/>
      <c r="T98" s="1160"/>
      <c r="U98" s="1159">
        <f>U102/U77*1000</f>
        <v>761.02537759084873</v>
      </c>
      <c r="V98" s="1160"/>
      <c r="W98" s="1160"/>
      <c r="X98" s="1160"/>
      <c r="Y98" s="1160"/>
      <c r="Z98" s="1159">
        <f>Z102/Z77*1000</f>
        <v>730.91964450944022</v>
      </c>
      <c r="AA98" s="1160"/>
      <c r="AB98" s="1160"/>
      <c r="AC98" s="1160"/>
      <c r="AD98" s="1160"/>
      <c r="AE98" s="1159">
        <f t="shared" ref="AE98:BV98" si="214">AE102/AE77*1000</f>
        <v>739.48358235662522</v>
      </c>
      <c r="AF98" s="1160">
        <f t="shared" si="214"/>
        <v>173.78601552255734</v>
      </c>
      <c r="AG98" s="1160">
        <f t="shared" si="214"/>
        <v>178.60770207363521</v>
      </c>
      <c r="AH98" s="1160">
        <f t="shared" si="214"/>
        <v>187.21494999122655</v>
      </c>
      <c r="AI98" s="1160">
        <f t="shared" si="214"/>
        <v>224.64820762086629</v>
      </c>
      <c r="AJ98" s="1159">
        <f t="shared" si="214"/>
        <v>764.67947193031159</v>
      </c>
      <c r="AK98" s="1160">
        <f t="shared" si="214"/>
        <v>169.65474446263894</v>
      </c>
      <c r="AL98" s="1160">
        <f t="shared" si="214"/>
        <v>179.66521181001283</v>
      </c>
      <c r="AM98" s="1160">
        <f t="shared" si="214"/>
        <v>188.68055555555557</v>
      </c>
      <c r="AN98" s="1160">
        <f t="shared" si="214"/>
        <v>219.08832785987957</v>
      </c>
      <c r="AO98" s="1159">
        <f t="shared" si="214"/>
        <v>757.24002325342826</v>
      </c>
      <c r="AP98" s="1160">
        <f t="shared" si="214"/>
        <v>165.70446379215036</v>
      </c>
      <c r="AQ98" s="1160">
        <f t="shared" si="214"/>
        <v>194.60889994472083</v>
      </c>
      <c r="AR98" s="1160">
        <f t="shared" si="214"/>
        <v>236.32842730790492</v>
      </c>
      <c r="AS98" s="1160">
        <f t="shared" si="214"/>
        <v>278.44114675863028</v>
      </c>
      <c r="AT98" s="1159">
        <f t="shared" si="214"/>
        <v>874.59334077670735</v>
      </c>
      <c r="AU98" s="1160">
        <f t="shared" si="214"/>
        <v>238.51598173515981</v>
      </c>
      <c r="AV98" s="1160">
        <f t="shared" si="214"/>
        <v>257.22620302072357</v>
      </c>
      <c r="AW98" s="1160">
        <f t="shared" si="214"/>
        <v>277.9917173319235</v>
      </c>
      <c r="AX98" s="1160">
        <f t="shared" si="214"/>
        <v>331.53038624290997</v>
      </c>
      <c r="AY98" s="1159">
        <f t="shared" si="214"/>
        <v>1103.8864520693314</v>
      </c>
      <c r="AZ98" s="1160">
        <f t="shared" si="214"/>
        <v>284.16947909024208</v>
      </c>
      <c r="BA98" s="1160">
        <f t="shared" si="214"/>
        <v>320.52612389251465</v>
      </c>
      <c r="BB98" s="1160">
        <f t="shared" si="214"/>
        <v>336.55292804952666</v>
      </c>
      <c r="BC98" s="1160">
        <f t="shared" si="214"/>
        <v>346.52053910674613</v>
      </c>
      <c r="BD98" s="1159">
        <f t="shared" si="214"/>
        <v>1288.6057552913887</v>
      </c>
      <c r="BE98" s="1160">
        <f t="shared" si="214"/>
        <v>275.9179125934445</v>
      </c>
      <c r="BF98" s="1160">
        <f t="shared" si="214"/>
        <v>279.20886300688875</v>
      </c>
      <c r="BG98" s="1160">
        <f t="shared" si="214"/>
        <v>272.08223972003498</v>
      </c>
      <c r="BH98" s="1160">
        <f t="shared" si="214"/>
        <v>310.99377777777784</v>
      </c>
      <c r="BI98" s="1159">
        <f t="shared" si="214"/>
        <v>1138.0888486591059</v>
      </c>
      <c r="BJ98" s="1161">
        <f t="shared" si="214"/>
        <v>244.59591217680199</v>
      </c>
      <c r="BK98" s="1160">
        <f t="shared" si="214"/>
        <v>284.50243478615658</v>
      </c>
      <c r="BL98" s="1160">
        <f t="shared" si="214"/>
        <v>281.19824715452251</v>
      </c>
      <c r="BM98" s="1160">
        <f t="shared" si="214"/>
        <v>341.0533410465876</v>
      </c>
      <c r="BN98" s="1159">
        <f t="shared" si="214"/>
        <v>1150.47994429147</v>
      </c>
      <c r="BO98" s="1160">
        <f t="shared" si="214"/>
        <v>264.04539721125195</v>
      </c>
      <c r="BP98" s="1160">
        <f t="shared" si="214"/>
        <v>307.87694678407331</v>
      </c>
      <c r="BQ98" s="1160">
        <f t="shared" si="214"/>
        <v>304.41519596422376</v>
      </c>
      <c r="BR98" s="1160">
        <f t="shared" si="214"/>
        <v>342.97143203151376</v>
      </c>
      <c r="BS98" s="1159">
        <f t="shared" si="214"/>
        <v>1217.9696645852496</v>
      </c>
      <c r="BT98" s="1159">
        <f t="shared" si="214"/>
        <v>1327.5869343979221</v>
      </c>
      <c r="BU98" s="1159">
        <f t="shared" si="214"/>
        <v>1447.069758493735</v>
      </c>
      <c r="BV98" s="1159">
        <f t="shared" si="214"/>
        <v>1577.3060367581716</v>
      </c>
      <c r="BW98" s="572"/>
    </row>
    <row r="99" spans="1:75" s="217" customFormat="1" outlineLevel="1" x14ac:dyDescent="0.5">
      <c r="A99" s="526"/>
      <c r="B99" s="493"/>
      <c r="C99" s="423"/>
      <c r="D99" s="423"/>
      <c r="E99" s="423"/>
      <c r="F99" s="423"/>
      <c r="G99" s="422"/>
      <c r="H99" s="422"/>
      <c r="I99" s="422"/>
      <c r="J99" s="422"/>
      <c r="K99" s="423"/>
      <c r="L99" s="422"/>
      <c r="M99" s="422"/>
      <c r="N99" s="422"/>
      <c r="O99" s="422"/>
      <c r="P99" s="423"/>
      <c r="Q99" s="422"/>
      <c r="R99" s="422"/>
      <c r="S99" s="422"/>
      <c r="T99" s="422"/>
      <c r="U99" s="423"/>
      <c r="V99" s="422"/>
      <c r="W99" s="422"/>
      <c r="X99" s="422"/>
      <c r="Y99" s="422"/>
      <c r="Z99" s="423"/>
      <c r="AA99" s="422"/>
      <c r="AB99" s="422"/>
      <c r="AC99" s="422"/>
      <c r="AD99" s="422"/>
      <c r="AE99" s="423"/>
      <c r="AF99" s="422"/>
      <c r="AG99" s="422"/>
      <c r="AH99" s="422"/>
      <c r="AI99" s="422"/>
      <c r="AJ99" s="423"/>
      <c r="AK99" s="422"/>
      <c r="AL99" s="422"/>
      <c r="AM99" s="422"/>
      <c r="AN99" s="422"/>
      <c r="AO99" s="423"/>
      <c r="AP99" s="422"/>
      <c r="AQ99" s="422"/>
      <c r="AR99" s="422"/>
      <c r="AS99" s="422"/>
      <c r="AT99" s="423"/>
      <c r="AU99" s="422"/>
      <c r="AV99" s="422"/>
      <c r="AW99" s="422"/>
      <c r="AX99" s="422"/>
      <c r="AY99" s="423"/>
      <c r="AZ99" s="422"/>
      <c r="BA99" s="422"/>
      <c r="BB99" s="422"/>
      <c r="BC99" s="422"/>
      <c r="BD99" s="423"/>
      <c r="BE99" s="422"/>
      <c r="BF99" s="422"/>
      <c r="BG99" s="422"/>
      <c r="BH99" s="422"/>
      <c r="BI99" s="423"/>
      <c r="BJ99" s="1034"/>
      <c r="BK99" s="422"/>
      <c r="BL99" s="422"/>
      <c r="BM99" s="422"/>
      <c r="BN99" s="423"/>
      <c r="BO99" s="422"/>
      <c r="BP99" s="422"/>
      <c r="BQ99" s="422"/>
      <c r="BR99" s="422"/>
      <c r="BS99" s="423"/>
      <c r="BT99" s="423"/>
      <c r="BU99" s="423"/>
      <c r="BV99" s="423"/>
      <c r="BW99" s="216"/>
    </row>
    <row r="100" spans="1:75" s="123" customFormat="1" outlineLevel="1" x14ac:dyDescent="0.5">
      <c r="A100" s="184" t="s">
        <v>1702</v>
      </c>
      <c r="B100" s="489"/>
      <c r="C100" s="401"/>
      <c r="D100" s="401"/>
      <c r="E100" s="401"/>
      <c r="F100" s="401"/>
      <c r="G100" s="118"/>
      <c r="H100" s="118"/>
      <c r="I100" s="118"/>
      <c r="J100" s="118"/>
      <c r="K100" s="401"/>
      <c r="L100" s="118"/>
      <c r="M100" s="118"/>
      <c r="N100" s="118"/>
      <c r="O100" s="118"/>
      <c r="P100" s="401"/>
      <c r="Q100" s="118"/>
      <c r="R100" s="118"/>
      <c r="S100" s="118"/>
      <c r="T100" s="118"/>
      <c r="U100" s="401"/>
      <c r="V100" s="118"/>
      <c r="W100" s="118"/>
      <c r="X100" s="118"/>
      <c r="Y100" s="118"/>
      <c r="Z100" s="401"/>
      <c r="AA100" s="118"/>
      <c r="AB100" s="118"/>
      <c r="AC100" s="118"/>
      <c r="AD100" s="118"/>
      <c r="AE100" s="401"/>
      <c r="AF100" s="118"/>
      <c r="AG100" s="118"/>
      <c r="AH100" s="118"/>
      <c r="AI100" s="118"/>
      <c r="AJ100" s="401"/>
      <c r="AK100" s="118">
        <f>AK95*AK80/1000</f>
        <v>487.32484298662615</v>
      </c>
      <c r="AL100" s="118">
        <f>AL95*AL80/1000</f>
        <v>518.28665676031494</v>
      </c>
      <c r="AM100" s="118">
        <f>AM95*AM80/1000</f>
        <v>546.00865174091518</v>
      </c>
      <c r="AN100" s="118">
        <f>AN95*AN80/1000</f>
        <v>631.59190504925698</v>
      </c>
      <c r="AO100" s="401">
        <f t="shared" ref="AO100" si="215">SUM(AK100,AL100,AM100,AN100)</f>
        <v>2183.2120565371133</v>
      </c>
      <c r="AP100" s="118">
        <f>AP95*AP80/1000</f>
        <v>477.63474763806698</v>
      </c>
      <c r="AQ100" s="118">
        <f>AQ95*AQ80/1000</f>
        <v>562.62234346655316</v>
      </c>
      <c r="AR100" s="118">
        <f>AR95*AR80/1000</f>
        <v>683.46530787378072</v>
      </c>
      <c r="AS100" s="118">
        <f>AS95*AS80/1000</f>
        <v>798.36468600501701</v>
      </c>
      <c r="AT100" s="401">
        <f t="shared" ref="AT100" si="216">SUM(AP100,AQ100,AR100,AS100)</f>
        <v>2522.0870849834178</v>
      </c>
      <c r="AU100" s="118">
        <f>AU95*AU80/1000</f>
        <v>676.38720611609347</v>
      </c>
      <c r="AV100" s="118">
        <f>AV95*AV80/1000</f>
        <v>725.78989147952234</v>
      </c>
      <c r="AW100" s="118">
        <f>AW95*AW80/1000</f>
        <v>785.02945468408154</v>
      </c>
      <c r="AX100" s="118">
        <f>AX95*AX80/1000</f>
        <v>915.23442265886627</v>
      </c>
      <c r="AY100" s="401">
        <f t="shared" ref="AY100" si="217">SUM(AU100,AV100,AW100,AX100)</f>
        <v>3102.4409749385636</v>
      </c>
      <c r="AZ100" s="118">
        <f>AZ95*AZ80/1000</f>
        <v>765.04129115391436</v>
      </c>
      <c r="BA100" s="118">
        <f>BA95*BA80/1000</f>
        <v>869.96623058388082</v>
      </c>
      <c r="BB100" s="118">
        <f>BB95*BB80/1000</f>
        <v>921.9867627893077</v>
      </c>
      <c r="BC100" s="118">
        <f>BC95*BC80/1000</f>
        <v>951.28349766714075</v>
      </c>
      <c r="BD100" s="401">
        <f>SUM(AZ100,BA100,BB100,BC100)</f>
        <v>3508.2777821942436</v>
      </c>
      <c r="BE100" s="118">
        <f>BE95*BE80/1000</f>
        <v>760.15235872229437</v>
      </c>
      <c r="BF100" s="118">
        <f>BF95*BF80/1000</f>
        <v>776.49401394705615</v>
      </c>
      <c r="BG100" s="118">
        <f>BG95*BG80/1000</f>
        <v>776.5052118064408</v>
      </c>
      <c r="BH100" s="118">
        <f>BH95*BH80/1000</f>
        <v>869.68366226397927</v>
      </c>
      <c r="BI100" s="401">
        <f>SUM(BE100,BF100,BG100,BH100)</f>
        <v>3182.8352467397708</v>
      </c>
      <c r="BJ100" s="971">
        <f>BJ95*BJ80/1000</f>
        <v>671.72110691778551</v>
      </c>
      <c r="BK100" s="118">
        <f>BK95*BK80/1000</f>
        <v>778.57306220510804</v>
      </c>
      <c r="BL100" s="118">
        <f>BL95*BL80/1000</f>
        <v>762.72191660390035</v>
      </c>
      <c r="BM100" s="118">
        <f>BM95*BM80/1000</f>
        <v>916.96235642348279</v>
      </c>
      <c r="BN100" s="401">
        <f>SUM(BJ100,BK100,BL100,BM100)</f>
        <v>3129.9784421502764</v>
      </c>
      <c r="BO100" s="118">
        <f>BO95*BO80/1000</f>
        <v>705.38923610155666</v>
      </c>
      <c r="BP100" s="118">
        <f>BP95*BP80/1000</f>
        <v>813.91288234028889</v>
      </c>
      <c r="BQ100" s="118">
        <f>BQ95*BQ80/1000</f>
        <v>795.56402042683942</v>
      </c>
      <c r="BR100" s="118">
        <f>BR95*BR80/1000</f>
        <v>885.96539665399064</v>
      </c>
      <c r="BS100" s="401">
        <f>SUM(BO100,BP100,BQ100,BR100)</f>
        <v>3200.8315355226759</v>
      </c>
      <c r="BT100" s="401">
        <f>BT95*BT80/1000</f>
        <v>3409.3735980352308</v>
      </c>
      <c r="BU100" s="401">
        <f>BU95*BU80/1000</f>
        <v>3716.2172218584019</v>
      </c>
      <c r="BV100" s="401">
        <f>BV95*BV80/1000</f>
        <v>4050.6767718256583</v>
      </c>
      <c r="BW100" s="122"/>
    </row>
    <row r="101" spans="1:75" s="123" customFormat="1" outlineLevel="1" x14ac:dyDescent="0.5">
      <c r="A101" s="184" t="s">
        <v>1703</v>
      </c>
      <c r="B101" s="489"/>
      <c r="C101" s="401"/>
      <c r="D101" s="401"/>
      <c r="E101" s="401"/>
      <c r="F101" s="401"/>
      <c r="G101" s="118"/>
      <c r="H101" s="118"/>
      <c r="I101" s="118"/>
      <c r="J101" s="118"/>
      <c r="K101" s="401"/>
      <c r="L101" s="118"/>
      <c r="M101" s="118"/>
      <c r="N101" s="118"/>
      <c r="O101" s="118"/>
      <c r="P101" s="401"/>
      <c r="Q101" s="118"/>
      <c r="R101" s="118"/>
      <c r="S101" s="118"/>
      <c r="T101" s="118"/>
      <c r="U101" s="401"/>
      <c r="V101" s="118"/>
      <c r="W101" s="118"/>
      <c r="X101" s="118"/>
      <c r="Y101" s="118"/>
      <c r="Z101" s="401"/>
      <c r="AA101" s="118"/>
      <c r="AB101" s="118"/>
      <c r="AC101" s="118"/>
      <c r="AD101" s="118"/>
      <c r="AE101" s="401"/>
      <c r="AF101" s="118"/>
      <c r="AG101" s="118"/>
      <c r="AH101" s="118"/>
      <c r="AI101" s="118"/>
      <c r="AJ101" s="401"/>
      <c r="AK101" s="118">
        <f t="shared" ref="AK101:BG101" si="218">AK102-AK100</f>
        <v>4.8011570133738246</v>
      </c>
      <c r="AL101" s="118">
        <f t="shared" si="218"/>
        <v>6.5603432396850394</v>
      </c>
      <c r="AM101" s="118">
        <f t="shared" si="218"/>
        <v>10.97634825908483</v>
      </c>
      <c r="AN101" s="118">
        <f t="shared" si="218"/>
        <v>8.8470949507428713</v>
      </c>
      <c r="AO101" s="401">
        <f t="shared" si="218"/>
        <v>31.184943462886622</v>
      </c>
      <c r="AP101" s="118">
        <f t="shared" si="218"/>
        <v>1.9802523619330259</v>
      </c>
      <c r="AQ101" s="118">
        <f t="shared" si="218"/>
        <v>0.65365653344679231</v>
      </c>
      <c r="AR101" s="118">
        <f t="shared" si="218"/>
        <v>0.56369212621928</v>
      </c>
      <c r="AS101" s="118">
        <f t="shared" si="218"/>
        <v>0.95631399498290648</v>
      </c>
      <c r="AT101" s="401">
        <f t="shared" si="218"/>
        <v>4.1539150165822321</v>
      </c>
      <c r="AU101" s="118">
        <f t="shared" si="218"/>
        <v>2.6677938839064836</v>
      </c>
      <c r="AV101" s="118">
        <f t="shared" si="218"/>
        <v>6.53310852047764</v>
      </c>
      <c r="AW101" s="118">
        <f t="shared" si="218"/>
        <v>3.7025453159184281</v>
      </c>
      <c r="AX101" s="118">
        <f t="shared" si="218"/>
        <v>5.3425773411339605</v>
      </c>
      <c r="AY101" s="401">
        <f t="shared" si="218"/>
        <v>18.246025061436285</v>
      </c>
      <c r="AZ101" s="118">
        <f t="shared" si="218"/>
        <v>9.6047088460856003</v>
      </c>
      <c r="BA101" s="118">
        <f t="shared" si="218"/>
        <v>9.1407694161191557</v>
      </c>
      <c r="BB101" s="118">
        <f t="shared" si="218"/>
        <v>13.058237210692255</v>
      </c>
      <c r="BC101" s="118">
        <f t="shared" si="218"/>
        <v>15.439502332859661</v>
      </c>
      <c r="BD101" s="401">
        <f t="shared" si="218"/>
        <v>47.243217805756558</v>
      </c>
      <c r="BE101" s="118">
        <f t="shared" si="218"/>
        <v>7.5616412777056894</v>
      </c>
      <c r="BF101" s="118">
        <f t="shared" si="218"/>
        <v>9.8139860529438465</v>
      </c>
      <c r="BG101" s="118">
        <f t="shared" si="218"/>
        <v>0.96978819355922496</v>
      </c>
      <c r="BH101" s="118">
        <f>BH102-BH100</f>
        <v>4.9863377360208005</v>
      </c>
      <c r="BI101" s="401">
        <f>BI102-BI100</f>
        <v>23.331753260229107</v>
      </c>
      <c r="BJ101" s="971">
        <f t="shared" ref="BJ101" si="219">BJ102-BJ100</f>
        <v>5.6138930822145312</v>
      </c>
      <c r="BK101" s="118">
        <f>BK97*BK83/1000</f>
        <v>7.6771696886494398</v>
      </c>
      <c r="BL101" s="118">
        <f>BL97*BL83/1000</f>
        <v>6.0124792046429327</v>
      </c>
      <c r="BM101" s="118">
        <f>BM97*BM83/1000</f>
        <v>5.1622759123213839</v>
      </c>
      <c r="BN101" s="401">
        <f>SUM(BJ101,BK101,BL101,BM101)</f>
        <v>24.465817887828287</v>
      </c>
      <c r="BO101" s="118">
        <f>BO97*BO83/1000</f>
        <v>0.59950418752547507</v>
      </c>
      <c r="BP101" s="118">
        <f>BP97*BP83/1000</f>
        <v>0</v>
      </c>
      <c r="BQ101" s="118">
        <f>BQ97*BQ83/1000</f>
        <v>0</v>
      </c>
      <c r="BR101" s="118">
        <f>BR97*BR83/1000</f>
        <v>0</v>
      </c>
      <c r="BS101" s="401">
        <f>SUM(BO101,BP101,BQ101,BR101)</f>
        <v>0.59950418752547507</v>
      </c>
      <c r="BT101" s="401">
        <f>BT97*BT83/1000</f>
        <v>0</v>
      </c>
      <c r="BU101" s="401">
        <f>BU97*BU83/1000</f>
        <v>0</v>
      </c>
      <c r="BV101" s="401">
        <f>BV97*BV83/1000</f>
        <v>0</v>
      </c>
      <c r="BW101" s="122"/>
    </row>
    <row r="102" spans="1:75" s="198" customFormat="1" ht="14.25" outlineLevel="1" x14ac:dyDescent="0.45">
      <c r="A102" s="192" t="s">
        <v>1644</v>
      </c>
      <c r="B102" s="495"/>
      <c r="C102" s="518">
        <f>C284</f>
        <v>1304.319</v>
      </c>
      <c r="D102" s="518">
        <f>D284</f>
        <v>1511.029</v>
      </c>
      <c r="E102" s="518">
        <f>E284</f>
        <v>1600.847</v>
      </c>
      <c r="F102" s="518">
        <f>F284</f>
        <v>1752.9970000000001</v>
      </c>
      <c r="G102" s="327"/>
      <c r="H102" s="327"/>
      <c r="I102" s="327"/>
      <c r="J102" s="327"/>
      <c r="K102" s="518">
        <f>K284</f>
        <v>1910.9780000000001</v>
      </c>
      <c r="L102" s="327"/>
      <c r="M102" s="327"/>
      <c r="N102" s="327"/>
      <c r="O102" s="327"/>
      <c r="P102" s="518">
        <f>P284</f>
        <v>2022.3309999999999</v>
      </c>
      <c r="Q102" s="327"/>
      <c r="R102" s="327"/>
      <c r="S102" s="327"/>
      <c r="T102" s="327"/>
      <c r="U102" s="518">
        <f>U284</f>
        <v>2074.0509999999999</v>
      </c>
      <c r="V102" s="327"/>
      <c r="W102" s="327"/>
      <c r="X102" s="327"/>
      <c r="Y102" s="327"/>
      <c r="Z102" s="518">
        <f>Z284</f>
        <v>2024.2180000000001</v>
      </c>
      <c r="AA102" s="327"/>
      <c r="AB102" s="327"/>
      <c r="AC102" s="327"/>
      <c r="AD102" s="327"/>
      <c r="AE102" s="518">
        <f t="shared" ref="AE102:BJ102" si="220">AE284</f>
        <v>2066.3020000000001</v>
      </c>
      <c r="AF102" s="327">
        <f t="shared" si="220"/>
        <v>490.37200000000001</v>
      </c>
      <c r="AG102" s="327">
        <f t="shared" si="220"/>
        <v>506.46</v>
      </c>
      <c r="AH102" s="327">
        <f t="shared" si="220"/>
        <v>533.46900000000005</v>
      </c>
      <c r="AI102" s="327">
        <f t="shared" si="220"/>
        <v>647.04300000000012</v>
      </c>
      <c r="AJ102" s="518">
        <f t="shared" si="220"/>
        <v>2177.3440000000001</v>
      </c>
      <c r="AK102" s="327">
        <f t="shared" si="220"/>
        <v>492.12599999999998</v>
      </c>
      <c r="AL102" s="327">
        <f t="shared" si="220"/>
        <v>524.84699999999998</v>
      </c>
      <c r="AM102" s="327">
        <f t="shared" si="220"/>
        <v>556.98500000000001</v>
      </c>
      <c r="AN102" s="327">
        <f t="shared" si="220"/>
        <v>640.43899999999985</v>
      </c>
      <c r="AO102" s="518">
        <f t="shared" si="220"/>
        <v>2214.3969999999999</v>
      </c>
      <c r="AP102" s="327">
        <f t="shared" si="220"/>
        <v>479.61500000000001</v>
      </c>
      <c r="AQ102" s="327">
        <f t="shared" si="220"/>
        <v>563.27599999999995</v>
      </c>
      <c r="AR102" s="327">
        <f t="shared" si="220"/>
        <v>684.029</v>
      </c>
      <c r="AS102" s="327">
        <f t="shared" si="220"/>
        <v>799.32099999999991</v>
      </c>
      <c r="AT102" s="518">
        <f t="shared" si="220"/>
        <v>2526.241</v>
      </c>
      <c r="AU102" s="327">
        <f t="shared" si="220"/>
        <v>679.05499999999995</v>
      </c>
      <c r="AV102" s="327">
        <f t="shared" si="220"/>
        <v>732.32299999999998</v>
      </c>
      <c r="AW102" s="327">
        <f t="shared" si="220"/>
        <v>788.73199999999997</v>
      </c>
      <c r="AX102" s="327">
        <f t="shared" si="220"/>
        <v>920.57700000000023</v>
      </c>
      <c r="AY102" s="518">
        <f t="shared" si="220"/>
        <v>3120.6869999999999</v>
      </c>
      <c r="AZ102" s="327">
        <f t="shared" si="220"/>
        <v>774.64599999999996</v>
      </c>
      <c r="BA102" s="327">
        <f t="shared" si="220"/>
        <v>879.10699999999997</v>
      </c>
      <c r="BB102" s="327">
        <f t="shared" si="220"/>
        <v>935.04499999999996</v>
      </c>
      <c r="BC102" s="327">
        <f t="shared" si="220"/>
        <v>966.72300000000041</v>
      </c>
      <c r="BD102" s="518">
        <f t="shared" si="220"/>
        <v>3555.5210000000002</v>
      </c>
      <c r="BE102" s="327">
        <f t="shared" si="220"/>
        <v>767.71400000000006</v>
      </c>
      <c r="BF102" s="327">
        <f t="shared" si="220"/>
        <v>786.30799999999999</v>
      </c>
      <c r="BG102" s="327">
        <f t="shared" si="220"/>
        <v>777.47500000000002</v>
      </c>
      <c r="BH102" s="327">
        <f t="shared" si="220"/>
        <v>874.67000000000007</v>
      </c>
      <c r="BI102" s="518">
        <f t="shared" si="220"/>
        <v>3206.1669999999999</v>
      </c>
      <c r="BJ102" s="1026">
        <f t="shared" si="220"/>
        <v>677.33500000000004</v>
      </c>
      <c r="BK102" s="327">
        <f t="shared" ref="BK102:BV102" si="221">SUM(BK100:BK101)</f>
        <v>786.25023189375747</v>
      </c>
      <c r="BL102" s="327">
        <f t="shared" si="221"/>
        <v>768.73439580854324</v>
      </c>
      <c r="BM102" s="327">
        <f t="shared" si="221"/>
        <v>922.12463233580422</v>
      </c>
      <c r="BN102" s="518">
        <f t="shared" si="221"/>
        <v>3154.4442600381049</v>
      </c>
      <c r="BO102" s="327">
        <f t="shared" si="221"/>
        <v>705.9887402890821</v>
      </c>
      <c r="BP102" s="327">
        <f t="shared" si="221"/>
        <v>813.91288234028889</v>
      </c>
      <c r="BQ102" s="327">
        <f t="shared" si="221"/>
        <v>795.56402042683942</v>
      </c>
      <c r="BR102" s="327">
        <f t="shared" si="221"/>
        <v>885.96539665399064</v>
      </c>
      <c r="BS102" s="518">
        <f t="shared" si="221"/>
        <v>3201.4310397102013</v>
      </c>
      <c r="BT102" s="518">
        <f t="shared" si="221"/>
        <v>3409.3735980352308</v>
      </c>
      <c r="BU102" s="518">
        <f t="shared" si="221"/>
        <v>3716.2172218584019</v>
      </c>
      <c r="BV102" s="518">
        <f t="shared" si="221"/>
        <v>4050.6767718256583</v>
      </c>
      <c r="BW102" s="197"/>
    </row>
    <row r="103" spans="1:75" s="177" customFormat="1" ht="14.25" outlineLevel="1" x14ac:dyDescent="0.45">
      <c r="A103" s="170" t="s">
        <v>1646</v>
      </c>
      <c r="B103" s="491"/>
      <c r="C103" s="417"/>
      <c r="D103" s="417">
        <f t="shared" ref="D103:E103" si="222">D102/C102-1</f>
        <v>0.15848116910050392</v>
      </c>
      <c r="E103" s="417">
        <f t="shared" si="222"/>
        <v>5.9441612305256797E-2</v>
      </c>
      <c r="F103" s="417">
        <f>F102/E102-1</f>
        <v>9.5043436380865876E-2</v>
      </c>
      <c r="G103" s="378"/>
      <c r="H103" s="378"/>
      <c r="I103" s="378"/>
      <c r="J103" s="378"/>
      <c r="K103" s="417">
        <f>K102/F102-1</f>
        <v>9.0120519316347902E-2</v>
      </c>
      <c r="L103" s="378"/>
      <c r="M103" s="378"/>
      <c r="N103" s="378"/>
      <c r="O103" s="378"/>
      <c r="P103" s="417">
        <f>P102/K102-1</f>
        <v>5.8270163235788042E-2</v>
      </c>
      <c r="Q103" s="378"/>
      <c r="R103" s="378"/>
      <c r="S103" s="378"/>
      <c r="T103" s="378"/>
      <c r="U103" s="417">
        <f>U102/P102-1</f>
        <v>2.557444849532553E-2</v>
      </c>
      <c r="V103" s="378"/>
      <c r="W103" s="378"/>
      <c r="X103" s="378"/>
      <c r="Y103" s="378"/>
      <c r="Z103" s="417">
        <f>Z102/U102-1</f>
        <v>-2.4026892299176761E-2</v>
      </c>
      <c r="AA103" s="378"/>
      <c r="AB103" s="378"/>
      <c r="AC103" s="378"/>
      <c r="AD103" s="378"/>
      <c r="AE103" s="417">
        <f>AE102/Z102-1</f>
        <v>2.0790250852428027E-2</v>
      </c>
      <c r="AF103" s="378"/>
      <c r="AG103" s="378"/>
      <c r="AH103" s="378"/>
      <c r="AI103" s="378"/>
      <c r="AJ103" s="417">
        <f t="shared" ref="AJ103:BS103" si="223">AJ102/AE102-1</f>
        <v>5.3739482418349249E-2</v>
      </c>
      <c r="AK103" s="378">
        <f t="shared" si="223"/>
        <v>3.5768763306223139E-3</v>
      </c>
      <c r="AL103" s="378">
        <f t="shared" si="223"/>
        <v>3.6304940172965372E-2</v>
      </c>
      <c r="AM103" s="378">
        <f t="shared" si="223"/>
        <v>4.4081286822664323E-2</v>
      </c>
      <c r="AN103" s="378">
        <f t="shared" si="223"/>
        <v>-1.0206431411823091E-2</v>
      </c>
      <c r="AO103" s="417">
        <f t="shared" si="223"/>
        <v>1.7017522265659446E-2</v>
      </c>
      <c r="AP103" s="378">
        <f t="shared" si="223"/>
        <v>-2.5422351186484726E-2</v>
      </c>
      <c r="AQ103" s="378">
        <f t="shared" si="223"/>
        <v>7.3219433472992979E-2</v>
      </c>
      <c r="AR103" s="378">
        <f t="shared" si="223"/>
        <v>0.22809231846459066</v>
      </c>
      <c r="AS103" s="378">
        <f t="shared" si="223"/>
        <v>0.24808295559764493</v>
      </c>
      <c r="AT103" s="417">
        <f t="shared" si="223"/>
        <v>0.14082569656660482</v>
      </c>
      <c r="AU103" s="378">
        <f t="shared" si="223"/>
        <v>0.41583353314637761</v>
      </c>
      <c r="AV103" s="378">
        <f t="shared" si="223"/>
        <v>0.30011397609697554</v>
      </c>
      <c r="AW103" s="378">
        <f t="shared" si="223"/>
        <v>0.15306807167532366</v>
      </c>
      <c r="AX103" s="378">
        <f t="shared" si="223"/>
        <v>0.1516987543177275</v>
      </c>
      <c r="AY103" s="417">
        <f t="shared" si="223"/>
        <v>0.23530850777894896</v>
      </c>
      <c r="AZ103" s="378">
        <f t="shared" si="223"/>
        <v>0.14077062977225707</v>
      </c>
      <c r="BA103" s="378">
        <f t="shared" si="223"/>
        <v>0.20043614634526019</v>
      </c>
      <c r="BB103" s="378">
        <f t="shared" si="223"/>
        <v>0.18550407489489462</v>
      </c>
      <c r="BC103" s="378">
        <f t="shared" si="223"/>
        <v>5.0127257144160886E-2</v>
      </c>
      <c r="BD103" s="417">
        <f t="shared" si="223"/>
        <v>0.13933919037699072</v>
      </c>
      <c r="BE103" s="378">
        <f t="shared" si="223"/>
        <v>-8.9486036202341968E-3</v>
      </c>
      <c r="BF103" s="378">
        <f t="shared" si="223"/>
        <v>-0.1055605290368522</v>
      </c>
      <c r="BG103" s="378">
        <f t="shared" si="223"/>
        <v>-0.16851595377762563</v>
      </c>
      <c r="BH103" s="378">
        <f t="shared" si="223"/>
        <v>-9.5221692253106949E-2</v>
      </c>
      <c r="BI103" s="417">
        <f t="shared" si="223"/>
        <v>-9.8256767432958525E-2</v>
      </c>
      <c r="BJ103" s="1130">
        <f t="shared" si="223"/>
        <v>-0.11772482981943799</v>
      </c>
      <c r="BK103" s="378">
        <f t="shared" si="223"/>
        <v>-7.3467529571824564E-5</v>
      </c>
      <c r="BL103" s="378">
        <f t="shared" si="223"/>
        <v>-1.1242296140013264E-2</v>
      </c>
      <c r="BM103" s="378">
        <f t="shared" si="223"/>
        <v>5.4254327158590243E-2</v>
      </c>
      <c r="BN103" s="417">
        <f t="shared" si="223"/>
        <v>-1.6132266336062684E-2</v>
      </c>
      <c r="BO103" s="378">
        <f t="shared" si="223"/>
        <v>4.2303646333176514E-2</v>
      </c>
      <c r="BP103" s="378">
        <f t="shared" si="223"/>
        <v>3.5183010858900854E-2</v>
      </c>
      <c r="BQ103" s="378">
        <f t="shared" si="223"/>
        <v>3.4901033132616943E-2</v>
      </c>
      <c r="BR103" s="378">
        <f t="shared" si="223"/>
        <v>-3.9212959304882444E-2</v>
      </c>
      <c r="BS103" s="417">
        <f t="shared" si="223"/>
        <v>1.489542239415842E-2</v>
      </c>
      <c r="BT103" s="417">
        <f>BT102/BS102-1</f>
        <v>6.4953002499736012E-2</v>
      </c>
      <c r="BU103" s="417">
        <f>BU102/BT102-1</f>
        <v>9.000000000000008E-2</v>
      </c>
      <c r="BV103" s="417">
        <f>BV102/BU102-1</f>
        <v>9.000000000000008E-2</v>
      </c>
      <c r="BW103" s="176"/>
    </row>
    <row r="104" spans="1:75" s="123" customFormat="1" outlineLevel="1" x14ac:dyDescent="0.5">
      <c r="A104" s="752"/>
      <c r="B104" s="489"/>
      <c r="C104" s="401"/>
      <c r="D104" s="401"/>
      <c r="E104" s="401"/>
      <c r="F104" s="401"/>
      <c r="G104" s="118"/>
      <c r="H104" s="118"/>
      <c r="I104" s="118"/>
      <c r="J104" s="118"/>
      <c r="K104" s="401"/>
      <c r="L104" s="118"/>
      <c r="M104" s="118"/>
      <c r="N104" s="118"/>
      <c r="O104" s="118"/>
      <c r="P104" s="401"/>
      <c r="Q104" s="118"/>
      <c r="R104" s="118"/>
      <c r="S104" s="118"/>
      <c r="T104" s="118"/>
      <c r="U104" s="401"/>
      <c r="V104" s="118"/>
      <c r="W104" s="118"/>
      <c r="X104" s="118"/>
      <c r="Y104" s="118"/>
      <c r="Z104" s="401"/>
      <c r="AA104" s="118"/>
      <c r="AB104" s="118"/>
      <c r="AC104" s="118"/>
      <c r="AD104" s="118"/>
      <c r="AE104" s="401"/>
      <c r="AF104" s="118"/>
      <c r="AG104" s="118"/>
      <c r="AH104" s="118"/>
      <c r="AI104" s="118"/>
      <c r="AJ104" s="401"/>
      <c r="AK104" s="118"/>
      <c r="AL104" s="118"/>
      <c r="AM104" s="118"/>
      <c r="AN104" s="118"/>
      <c r="AO104" s="401"/>
      <c r="AP104" s="118"/>
      <c r="AQ104" s="118"/>
      <c r="AR104" s="118"/>
      <c r="AS104" s="118"/>
      <c r="AT104" s="401"/>
      <c r="AU104" s="118"/>
      <c r="AV104" s="118"/>
      <c r="AW104" s="118"/>
      <c r="AX104" s="118"/>
      <c r="AY104" s="401"/>
      <c r="AZ104" s="118"/>
      <c r="BA104" s="118"/>
      <c r="BB104" s="118"/>
      <c r="BC104" s="118"/>
      <c r="BD104" s="401"/>
      <c r="BE104" s="118"/>
      <c r="BF104" s="118"/>
      <c r="BG104" s="118"/>
      <c r="BH104" s="118"/>
      <c r="BI104" s="401"/>
      <c r="BJ104" s="971"/>
      <c r="BK104" s="118"/>
      <c r="BL104" s="118"/>
      <c r="BM104" s="118"/>
      <c r="BN104" s="401"/>
      <c r="BO104" s="118"/>
      <c r="BP104" s="118"/>
      <c r="BQ104" s="118"/>
      <c r="BR104" s="118"/>
      <c r="BS104" s="401"/>
      <c r="BT104" s="401"/>
      <c r="BU104" s="401"/>
      <c r="BV104" s="401"/>
      <c r="BW104" s="122"/>
    </row>
    <row r="105" spans="1:75" s="370" customFormat="1" outlineLevel="1" x14ac:dyDescent="0.5">
      <c r="A105" s="364" t="s">
        <v>1704</v>
      </c>
      <c r="B105" s="1152"/>
      <c r="C105" s="366"/>
      <c r="D105" s="366"/>
      <c r="E105" s="366"/>
      <c r="F105" s="366"/>
      <c r="G105" s="367"/>
      <c r="H105" s="367"/>
      <c r="I105" s="367"/>
      <c r="J105" s="367"/>
      <c r="K105" s="366"/>
      <c r="L105" s="367"/>
      <c r="M105" s="367"/>
      <c r="N105" s="367"/>
      <c r="O105" s="367"/>
      <c r="P105" s="366"/>
      <c r="Q105" s="367"/>
      <c r="R105" s="367"/>
      <c r="S105" s="367"/>
      <c r="T105" s="367"/>
      <c r="U105" s="366"/>
      <c r="V105" s="367"/>
      <c r="W105" s="367"/>
      <c r="X105" s="367"/>
      <c r="Y105" s="367"/>
      <c r="Z105" s="366"/>
      <c r="AA105" s="367"/>
      <c r="AB105" s="367"/>
      <c r="AC105" s="367"/>
      <c r="AD105" s="367"/>
      <c r="AE105" s="366"/>
      <c r="AF105" s="367"/>
      <c r="AG105" s="367"/>
      <c r="AH105" s="367"/>
      <c r="AI105" s="367"/>
      <c r="AJ105" s="366"/>
      <c r="AK105" s="367">
        <f t="shared" ref="AK105:BV105" si="224">AK100/AK80*AK65</f>
        <v>2439.1434804694459</v>
      </c>
      <c r="AL105" s="367">
        <f t="shared" si="224"/>
        <v>2620.6336975284771</v>
      </c>
      <c r="AM105" s="367">
        <f t="shared" si="224"/>
        <v>2730.0432587045761</v>
      </c>
      <c r="AN105" s="367">
        <f t="shared" si="224"/>
        <v>3217.4356524927848</v>
      </c>
      <c r="AO105" s="366">
        <f t="shared" si="224"/>
        <v>11178.756055186055</v>
      </c>
      <c r="AP105" s="367">
        <f t="shared" si="224"/>
        <v>2400.1746112465676</v>
      </c>
      <c r="AQ105" s="367">
        <f t="shared" si="224"/>
        <v>2813.1117173327661</v>
      </c>
      <c r="AR105" s="367">
        <f t="shared" si="224"/>
        <v>3408.8045280487813</v>
      </c>
      <c r="AS105" s="367">
        <f t="shared" si="224"/>
        <v>4081.135550205011</v>
      </c>
      <c r="AT105" s="366">
        <f t="shared" si="224"/>
        <v>12888.511610516658</v>
      </c>
      <c r="AU105" s="367">
        <f t="shared" si="224"/>
        <v>3504.6802620559761</v>
      </c>
      <c r="AV105" s="367">
        <f t="shared" si="224"/>
        <v>3790.0596046984256</v>
      </c>
      <c r="AW105" s="367">
        <f t="shared" si="224"/>
        <v>4085.1004357269589</v>
      </c>
      <c r="AX105" s="367">
        <f t="shared" si="224"/>
        <v>4868.1920806385779</v>
      </c>
      <c r="AY105" s="366">
        <f t="shared" si="224"/>
        <v>16171.459673236359</v>
      </c>
      <c r="AZ105" s="367">
        <f t="shared" si="224"/>
        <v>4146.5880572848846</v>
      </c>
      <c r="BA105" s="367">
        <f t="shared" si="224"/>
        <v>4714.9808901173146</v>
      </c>
      <c r="BB105" s="367">
        <f t="shared" si="224"/>
        <v>5028.6134799005595</v>
      </c>
      <c r="BC105" s="367">
        <f t="shared" si="224"/>
        <v>5218.569619970759</v>
      </c>
      <c r="BD105" s="366">
        <f t="shared" si="224"/>
        <v>19101.971307431504</v>
      </c>
      <c r="BE105" s="367">
        <f t="shared" si="224"/>
        <v>4195.6602176179595</v>
      </c>
      <c r="BF105" s="367">
        <f t="shared" si="224"/>
        <v>4276.9281019604678</v>
      </c>
      <c r="BG105" s="367">
        <f t="shared" si="224"/>
        <v>4231.7858626878042</v>
      </c>
      <c r="BH105" s="367">
        <f t="shared" si="224"/>
        <v>4809.07810691348</v>
      </c>
      <c r="BI105" s="366">
        <f t="shared" si="224"/>
        <v>17658.271229677197</v>
      </c>
      <c r="BJ105" s="1156">
        <f t="shared" si="224"/>
        <v>3791.977962969464</v>
      </c>
      <c r="BK105" s="367">
        <f t="shared" si="224"/>
        <v>4396.7048402076571</v>
      </c>
      <c r="BL105" s="367">
        <f t="shared" si="224"/>
        <v>4298.3338837018309</v>
      </c>
      <c r="BM105" s="367">
        <f t="shared" si="224"/>
        <v>5183.6808469730868</v>
      </c>
      <c r="BN105" s="366">
        <f t="shared" si="224"/>
        <v>17722.241577024066</v>
      </c>
      <c r="BO105" s="367">
        <f t="shared" si="224"/>
        <v>3996.6945835031684</v>
      </c>
      <c r="BP105" s="367">
        <f t="shared" si="224"/>
        <v>4650.930756230221</v>
      </c>
      <c r="BQ105" s="367">
        <f t="shared" si="224"/>
        <v>4598.6359562245052</v>
      </c>
      <c r="BR105" s="367">
        <f t="shared" si="224"/>
        <v>5181.0841909590081</v>
      </c>
      <c r="BS105" s="366">
        <f t="shared" si="224"/>
        <v>18408.989437790387</v>
      </c>
      <c r="BT105" s="366">
        <f t="shared" si="224"/>
        <v>20055.138811971945</v>
      </c>
      <c r="BU105" s="366">
        <f t="shared" si="224"/>
        <v>21860.101305049422</v>
      </c>
      <c r="BV105" s="366">
        <f t="shared" si="224"/>
        <v>23827.510422503874</v>
      </c>
      <c r="BW105" s="369"/>
    </row>
    <row r="106" spans="1:75" s="370" customFormat="1" outlineLevel="1" x14ac:dyDescent="0.5">
      <c r="A106" s="364" t="s">
        <v>1705</v>
      </c>
      <c r="B106" s="1152"/>
      <c r="C106" s="366"/>
      <c r="D106" s="366"/>
      <c r="E106" s="366"/>
      <c r="F106" s="366"/>
      <c r="G106" s="367"/>
      <c r="H106" s="367"/>
      <c r="I106" s="367"/>
      <c r="J106" s="367"/>
      <c r="K106" s="366"/>
      <c r="L106" s="367"/>
      <c r="M106" s="367"/>
      <c r="N106" s="367"/>
      <c r="O106" s="367"/>
      <c r="P106" s="366"/>
      <c r="Q106" s="367"/>
      <c r="R106" s="367"/>
      <c r="S106" s="367"/>
      <c r="T106" s="367"/>
      <c r="U106" s="366"/>
      <c r="V106" s="367"/>
      <c r="W106" s="367"/>
      <c r="X106" s="367"/>
      <c r="Y106" s="367"/>
      <c r="Z106" s="366"/>
      <c r="AA106" s="367"/>
      <c r="AB106" s="367"/>
      <c r="AC106" s="367"/>
      <c r="AD106" s="367"/>
      <c r="AE106" s="366"/>
      <c r="AF106" s="367"/>
      <c r="AG106" s="367"/>
      <c r="AH106" s="367"/>
      <c r="AI106" s="367"/>
      <c r="AJ106" s="366"/>
      <c r="AK106" s="367">
        <f t="shared" ref="AK106:BV106" si="225">IFERROR(AK101/AK83*AK69,"n/a")</f>
        <v>872.9376387952409</v>
      </c>
      <c r="AL106" s="367">
        <f t="shared" si="225"/>
        <v>1312.0686479370079</v>
      </c>
      <c r="AM106" s="367">
        <f t="shared" si="225"/>
        <v>2195.2696518169655</v>
      </c>
      <c r="AN106" s="367">
        <f t="shared" si="225"/>
        <v>2527.7414144979634</v>
      </c>
      <c r="AO106" s="366">
        <f t="shared" si="225"/>
        <v>8116.7947822739243</v>
      </c>
      <c r="AP106" s="367">
        <f t="shared" si="225"/>
        <v>990.12618096651283</v>
      </c>
      <c r="AQ106" s="367" t="str">
        <f t="shared" si="225"/>
        <v>n/a</v>
      </c>
      <c r="AR106" s="367">
        <f t="shared" si="225"/>
        <v>1127.38425243856</v>
      </c>
      <c r="AS106" s="367">
        <f t="shared" si="225"/>
        <v>956.31399498290648</v>
      </c>
      <c r="AT106" s="366">
        <f t="shared" si="225"/>
        <v>1912.6706299689893</v>
      </c>
      <c r="AU106" s="367">
        <f t="shared" si="225"/>
        <v>1333.8969419532418</v>
      </c>
      <c r="AV106" s="367">
        <f t="shared" si="225"/>
        <v>1866.602434422183</v>
      </c>
      <c r="AW106" s="367">
        <f t="shared" si="225"/>
        <v>1057.870090262408</v>
      </c>
      <c r="AX106" s="367">
        <f t="shared" si="225"/>
        <v>1526.450668895417</v>
      </c>
      <c r="AY106" s="366">
        <f t="shared" si="225"/>
        <v>5840.4654372077739</v>
      </c>
      <c r="AZ106" s="367">
        <f t="shared" si="225"/>
        <v>2744.2025274530288</v>
      </c>
      <c r="BA106" s="367">
        <f t="shared" si="225"/>
        <v>2611.6484046054729</v>
      </c>
      <c r="BB106" s="367">
        <f t="shared" si="225"/>
        <v>2611.647442138451</v>
      </c>
      <c r="BC106" s="367">
        <f t="shared" si="225"/>
        <v>2375.3080512091783</v>
      </c>
      <c r="BD106" s="366">
        <f t="shared" si="225"/>
        <v>11086.667484962136</v>
      </c>
      <c r="BE106" s="367">
        <f t="shared" si="225"/>
        <v>1163.3294273393367</v>
      </c>
      <c r="BF106" s="367">
        <f t="shared" si="225"/>
        <v>1509.8440081452072</v>
      </c>
      <c r="BG106" s="367">
        <f t="shared" si="225"/>
        <v>138.54117050846071</v>
      </c>
      <c r="BH106" s="367">
        <f t="shared" si="225"/>
        <v>767.12888246473847</v>
      </c>
      <c r="BI106" s="366">
        <f t="shared" si="225"/>
        <v>3265.1120640481163</v>
      </c>
      <c r="BJ106" s="1156">
        <f t="shared" si="225"/>
        <v>863.67585880223544</v>
      </c>
      <c r="BK106" s="367">
        <f t="shared" si="225"/>
        <v>1395.8490342998982</v>
      </c>
      <c r="BL106" s="367">
        <f t="shared" si="225"/>
        <v>2004.1597348809776</v>
      </c>
      <c r="BM106" s="367">
        <f t="shared" si="225"/>
        <v>3441.5172748809227</v>
      </c>
      <c r="BN106" s="366">
        <f t="shared" si="225"/>
        <v>8818.4887441138035</v>
      </c>
      <c r="BO106" s="367" t="str">
        <f t="shared" si="225"/>
        <v>n/a</v>
      </c>
      <c r="BP106" s="367" t="str">
        <f t="shared" si="225"/>
        <v>n/a</v>
      </c>
      <c r="BQ106" s="367" t="str">
        <f t="shared" si="225"/>
        <v>n/a</v>
      </c>
      <c r="BR106" s="367" t="str">
        <f t="shared" si="225"/>
        <v>n/a</v>
      </c>
      <c r="BS106" s="366" t="str">
        <f t="shared" si="225"/>
        <v>n/a</v>
      </c>
      <c r="BT106" s="366" t="str">
        <f t="shared" si="225"/>
        <v>n/a</v>
      </c>
      <c r="BU106" s="366" t="str">
        <f t="shared" si="225"/>
        <v>n/a</v>
      </c>
      <c r="BV106" s="366" t="str">
        <f t="shared" si="225"/>
        <v>n/a</v>
      </c>
      <c r="BW106" s="369"/>
    </row>
    <row r="107" spans="1:75" s="573" customFormat="1" ht="14.25" outlineLevel="1" x14ac:dyDescent="0.45">
      <c r="A107" s="1157" t="s">
        <v>1706</v>
      </c>
      <c r="B107" s="1158"/>
      <c r="C107" s="1162"/>
      <c r="D107" s="1162">
        <f t="shared" ref="D107:F107" si="226">D102/D77*D70</f>
        <v>7739.323167751646</v>
      </c>
      <c r="E107" s="1162">
        <f t="shared" si="226"/>
        <v>8487.8257996350021</v>
      </c>
      <c r="F107" s="1162">
        <f t="shared" si="226"/>
        <v>9115.8467265245035</v>
      </c>
      <c r="G107" s="1163"/>
      <c r="H107" s="1163"/>
      <c r="I107" s="1163"/>
      <c r="J107" s="1163"/>
      <c r="K107" s="1162">
        <f>K102/K77*K70</f>
        <v>9791.1548229004238</v>
      </c>
      <c r="L107" s="1163"/>
      <c r="M107" s="1163"/>
      <c r="N107" s="1163"/>
      <c r="O107" s="1163"/>
      <c r="P107" s="1162">
        <f>P102/P77*P70</f>
        <v>10283.500169344474</v>
      </c>
      <c r="Q107" s="1163"/>
      <c r="R107" s="1163"/>
      <c r="S107" s="1163"/>
      <c r="T107" s="1163"/>
      <c r="U107" s="1162">
        <f>U102/U77*U70</f>
        <v>10502.150210753713</v>
      </c>
      <c r="V107" s="1163"/>
      <c r="W107" s="1163"/>
      <c r="X107" s="1163"/>
      <c r="Y107" s="1163"/>
      <c r="Z107" s="1162">
        <f>Z102/Z77*Z70</f>
        <v>10159.78305868122</v>
      </c>
      <c r="AA107" s="1163"/>
      <c r="AB107" s="1163"/>
      <c r="AC107" s="1163"/>
      <c r="AD107" s="1163"/>
      <c r="AE107" s="1162">
        <f t="shared" ref="AE107:BB107" si="227">AE102/AE77*AE70</f>
        <v>10278.82179475709</v>
      </c>
      <c r="AF107" s="1163">
        <f t="shared" si="227"/>
        <v>2415.6256157635471</v>
      </c>
      <c r="AG107" s="1163">
        <f t="shared" si="227"/>
        <v>2482.6470588235293</v>
      </c>
      <c r="AH107" s="1163">
        <f t="shared" si="227"/>
        <v>2602.287804878049</v>
      </c>
      <c r="AI107" s="1163">
        <f t="shared" si="227"/>
        <v>3190.0045482163014</v>
      </c>
      <c r="AJ107" s="1162">
        <f t="shared" si="227"/>
        <v>10858.448501410425</v>
      </c>
      <c r="AK107" s="1163">
        <f t="shared" si="227"/>
        <v>2392.1318969232093</v>
      </c>
      <c r="AL107" s="1163">
        <f t="shared" si="227"/>
        <v>2587.1790500641846</v>
      </c>
      <c r="AM107" s="1163">
        <f t="shared" si="227"/>
        <v>2717.0000000000005</v>
      </c>
      <c r="AN107" s="1163">
        <f t="shared" si="227"/>
        <v>3154.8719211822654</v>
      </c>
      <c r="AO107" s="1162">
        <f t="shared" si="227"/>
        <v>10904.256334849366</v>
      </c>
      <c r="AP107" s="1163">
        <f t="shared" si="227"/>
        <v>2386.1442786069651</v>
      </c>
      <c r="AQ107" s="1163">
        <f t="shared" si="227"/>
        <v>2802.3681592039798</v>
      </c>
      <c r="AR107" s="1163">
        <f t="shared" si="227"/>
        <v>3403.1293532338304</v>
      </c>
      <c r="AS107" s="1163">
        <f t="shared" si="227"/>
        <v>4065.2407426760024</v>
      </c>
      <c r="AT107" s="1162">
        <f t="shared" si="227"/>
        <v>12769.062775339928</v>
      </c>
      <c r="AU107" s="1163">
        <f t="shared" si="227"/>
        <v>3482.333333333333</v>
      </c>
      <c r="AV107" s="1163">
        <f t="shared" si="227"/>
        <v>3755.5025641025641</v>
      </c>
      <c r="AW107" s="1163">
        <f t="shared" si="227"/>
        <v>4030.879901312891</v>
      </c>
      <c r="AX107" s="1163">
        <f t="shared" si="227"/>
        <v>4807.1906005221945</v>
      </c>
      <c r="AY107" s="1162">
        <f t="shared" si="227"/>
        <v>16006.353555005306</v>
      </c>
      <c r="AZ107" s="1163">
        <f t="shared" si="227"/>
        <v>4120.4574468085102</v>
      </c>
      <c r="BA107" s="1163">
        <f t="shared" si="227"/>
        <v>4679.6814088307137</v>
      </c>
      <c r="BB107" s="1163">
        <f t="shared" si="227"/>
        <v>4980.9833351329944</v>
      </c>
      <c r="BC107" s="1163">
        <f>BC102/BC77*BC70</f>
        <v>5128.5039787798423</v>
      </c>
      <c r="BD107" s="1162">
        <f t="shared" ref="BD107:BV107" si="228">BD102/BD77*BD70</f>
        <v>19071.365178312553</v>
      </c>
      <c r="BE107" s="1163">
        <f t="shared" si="228"/>
        <v>4083.5851063829787</v>
      </c>
      <c r="BF107" s="1163">
        <f t="shared" si="228"/>
        <v>4188.1329451033307</v>
      </c>
      <c r="BG107" s="1163">
        <f t="shared" si="228"/>
        <v>4081.2335958005247</v>
      </c>
      <c r="BH107" s="1163">
        <f t="shared" si="228"/>
        <v>4664.9066666666668</v>
      </c>
      <c r="BI107" s="1162">
        <f t="shared" si="228"/>
        <v>17071.332729886588</v>
      </c>
      <c r="BJ107" s="1164">
        <f t="shared" si="228"/>
        <v>3693.39827386971</v>
      </c>
      <c r="BK107" s="1163">
        <f t="shared" si="228"/>
        <v>4296.9170273497657</v>
      </c>
      <c r="BL107" s="1163">
        <f t="shared" si="228"/>
        <v>4247.2912634123504</v>
      </c>
      <c r="BM107" s="1163">
        <f t="shared" si="228"/>
        <v>5151.712369702389</v>
      </c>
      <c r="BN107" s="1162">
        <f t="shared" si="228"/>
        <v>17378.342466644437</v>
      </c>
      <c r="BO107" s="1163">
        <f t="shared" si="228"/>
        <v>3988.7912094702042</v>
      </c>
      <c r="BP107" s="1163">
        <f t="shared" si="228"/>
        <v>4650.930756230221</v>
      </c>
      <c r="BQ107" s="1163">
        <f t="shared" si="228"/>
        <v>4598.6359562245052</v>
      </c>
      <c r="BR107" s="1163">
        <f t="shared" si="228"/>
        <v>5181.0841909590081</v>
      </c>
      <c r="BS107" s="1162">
        <f t="shared" si="228"/>
        <v>18399.209919240318</v>
      </c>
      <c r="BT107" s="1162">
        <f t="shared" si="228"/>
        <v>20055.138811971945</v>
      </c>
      <c r="BU107" s="1162">
        <f t="shared" si="228"/>
        <v>21860.101305049422</v>
      </c>
      <c r="BV107" s="1162">
        <f t="shared" si="228"/>
        <v>23827.510422503874</v>
      </c>
      <c r="BW107" s="572"/>
    </row>
    <row r="108" spans="1:75" s="217" customFormat="1" x14ac:dyDescent="0.5">
      <c r="A108" s="526"/>
      <c r="B108" s="493"/>
      <c r="C108" s="423"/>
      <c r="D108" s="423"/>
      <c r="E108" s="423"/>
      <c r="F108" s="423"/>
      <c r="G108" s="422"/>
      <c r="H108" s="422"/>
      <c r="I108" s="422"/>
      <c r="J108" s="422"/>
      <c r="K108" s="423"/>
      <c r="L108" s="422"/>
      <c r="M108" s="422"/>
      <c r="N108" s="422"/>
      <c r="O108" s="422"/>
      <c r="P108" s="423"/>
      <c r="Q108" s="422"/>
      <c r="R108" s="422"/>
      <c r="S108" s="422"/>
      <c r="T108" s="422"/>
      <c r="U108" s="423"/>
      <c r="V108" s="422"/>
      <c r="W108" s="422"/>
      <c r="X108" s="422"/>
      <c r="Y108" s="422"/>
      <c r="Z108" s="423"/>
      <c r="AA108" s="422"/>
      <c r="AB108" s="422"/>
      <c r="AC108" s="422"/>
      <c r="AD108" s="422"/>
      <c r="AE108" s="423"/>
      <c r="AF108" s="422"/>
      <c r="AG108" s="422"/>
      <c r="AH108" s="422"/>
      <c r="AI108" s="422"/>
      <c r="AJ108" s="423"/>
      <c r="AK108" s="422"/>
      <c r="AL108" s="422"/>
      <c r="AM108" s="422"/>
      <c r="AN108" s="422"/>
      <c r="AO108" s="423"/>
      <c r="AP108" s="422"/>
      <c r="AQ108" s="422"/>
      <c r="AR108" s="422"/>
      <c r="AS108" s="422"/>
      <c r="AT108" s="423"/>
      <c r="AU108" s="422"/>
      <c r="AV108" s="422"/>
      <c r="AW108" s="422"/>
      <c r="AX108" s="422"/>
      <c r="AY108" s="423"/>
      <c r="AZ108" s="422"/>
      <c r="BA108" s="422"/>
      <c r="BB108" s="422"/>
      <c r="BC108" s="422"/>
      <c r="BD108" s="423"/>
      <c r="BE108" s="422"/>
      <c r="BF108" s="422"/>
      <c r="BG108" s="422"/>
      <c r="BH108" s="422"/>
      <c r="BI108" s="423"/>
      <c r="BJ108" s="1034"/>
      <c r="BK108" s="422"/>
      <c r="BL108" s="422"/>
      <c r="BM108" s="422"/>
      <c r="BN108" s="423"/>
      <c r="BO108" s="422"/>
      <c r="BP108" s="422"/>
      <c r="BQ108" s="422"/>
      <c r="BR108" s="422"/>
      <c r="BS108" s="423"/>
      <c r="BT108" s="423"/>
      <c r="BU108" s="423"/>
      <c r="BV108" s="423"/>
      <c r="BW108" s="216"/>
    </row>
    <row r="109" spans="1:75" s="198" customFormat="1" ht="14.25" x14ac:dyDescent="0.45">
      <c r="A109" s="239" t="s">
        <v>1707</v>
      </c>
      <c r="B109" s="239"/>
      <c r="C109" s="239"/>
      <c r="D109" s="239"/>
      <c r="E109" s="239"/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239"/>
      <c r="AP109" s="239"/>
      <c r="AQ109" s="239"/>
      <c r="AR109" s="239"/>
      <c r="AS109" s="239"/>
      <c r="AT109" s="239"/>
      <c r="AU109" s="239"/>
      <c r="AV109" s="239"/>
      <c r="AW109" s="239"/>
      <c r="AX109" s="239"/>
      <c r="AY109" s="239"/>
      <c r="AZ109" s="239"/>
      <c r="BA109" s="239"/>
      <c r="BB109" s="239"/>
      <c r="BC109" s="239"/>
      <c r="BD109" s="239"/>
      <c r="BE109" s="239"/>
      <c r="BF109" s="239"/>
      <c r="BG109" s="239"/>
      <c r="BH109" s="239"/>
      <c r="BI109" s="239"/>
      <c r="BJ109" s="241"/>
      <c r="BK109" s="239"/>
      <c r="BL109" s="239"/>
      <c r="BM109" s="239"/>
      <c r="BN109" s="239"/>
      <c r="BO109" s="239"/>
      <c r="BP109" s="239"/>
      <c r="BQ109" s="239"/>
      <c r="BR109" s="239"/>
      <c r="BS109" s="239"/>
      <c r="BT109" s="239"/>
      <c r="BU109" s="239"/>
      <c r="BV109" s="239"/>
      <c r="BW109" s="197"/>
    </row>
    <row r="110" spans="1:75" s="169" customFormat="1" ht="14.25" hidden="1" outlineLevel="1" x14ac:dyDescent="0.45">
      <c r="A110" s="558" t="s">
        <v>1708</v>
      </c>
      <c r="B110" s="1121"/>
      <c r="C110" s="1122">
        <v>36</v>
      </c>
      <c r="D110" s="1123">
        <f t="shared" ref="D110:J110" si="229">C113</f>
        <v>36</v>
      </c>
      <c r="E110" s="1123">
        <f t="shared" si="229"/>
        <v>36</v>
      </c>
      <c r="F110" s="1123">
        <f t="shared" si="229"/>
        <v>37</v>
      </c>
      <c r="G110" s="168">
        <f t="shared" si="229"/>
        <v>48</v>
      </c>
      <c r="H110" s="168">
        <f t="shared" si="229"/>
        <v>49</v>
      </c>
      <c r="I110" s="168">
        <f t="shared" si="229"/>
        <v>51</v>
      </c>
      <c r="J110" s="168">
        <f t="shared" si="229"/>
        <v>55</v>
      </c>
      <c r="K110" s="1123">
        <f>F113</f>
        <v>48</v>
      </c>
      <c r="L110" s="168">
        <f>K113</f>
        <v>58</v>
      </c>
      <c r="M110" s="168">
        <f>L113</f>
        <v>58</v>
      </c>
      <c r="N110" s="168">
        <f>M113</f>
        <v>59</v>
      </c>
      <c r="O110" s="168">
        <f>N113</f>
        <v>68</v>
      </c>
      <c r="P110" s="1123">
        <f>K113</f>
        <v>58</v>
      </c>
      <c r="Q110" s="168">
        <f>P113</f>
        <v>69</v>
      </c>
      <c r="R110" s="168">
        <f>Q113</f>
        <v>72</v>
      </c>
      <c r="S110" s="168">
        <f>R113</f>
        <v>78</v>
      </c>
      <c r="T110" s="168">
        <f>S113</f>
        <v>84</v>
      </c>
      <c r="U110" s="1123">
        <f>P113</f>
        <v>69</v>
      </c>
      <c r="V110" s="168">
        <f>U113</f>
        <v>87</v>
      </c>
      <c r="W110" s="168">
        <f>V113</f>
        <v>87</v>
      </c>
      <c r="X110" s="168">
        <f>W113</f>
        <v>89</v>
      </c>
      <c r="Y110" s="168">
        <f>X113</f>
        <v>97</v>
      </c>
      <c r="Z110" s="1123">
        <f>U113</f>
        <v>87</v>
      </c>
      <c r="AA110" s="168">
        <f>Z113</f>
        <v>98</v>
      </c>
      <c r="AB110" s="168">
        <f>AA113</f>
        <v>99</v>
      </c>
      <c r="AC110" s="168">
        <f>AB113</f>
        <v>101</v>
      </c>
      <c r="AD110" s="168">
        <f>AC113</f>
        <v>105</v>
      </c>
      <c r="AE110" s="1123">
        <f>Z113</f>
        <v>98</v>
      </c>
      <c r="AF110" s="168">
        <f>AE113</f>
        <v>106</v>
      </c>
      <c r="AG110" s="168">
        <f>AF113</f>
        <v>108</v>
      </c>
      <c r="AH110" s="168">
        <f>AG113</f>
        <v>109</v>
      </c>
      <c r="AI110" s="168">
        <f>AH113</f>
        <v>112</v>
      </c>
      <c r="AJ110" s="1123">
        <f>AE113</f>
        <v>106</v>
      </c>
      <c r="AK110" s="168">
        <f>AJ113</f>
        <v>112</v>
      </c>
      <c r="AL110" s="168">
        <f>AK113</f>
        <v>113</v>
      </c>
      <c r="AM110" s="168">
        <f>AL113</f>
        <v>112</v>
      </c>
      <c r="AN110" s="168">
        <f>AM113</f>
        <v>114</v>
      </c>
      <c r="AO110" s="1123">
        <f>AJ113</f>
        <v>112</v>
      </c>
      <c r="AP110" s="168">
        <f>AO113</f>
        <v>118</v>
      </c>
      <c r="AQ110" s="168">
        <f>AP113</f>
        <v>119</v>
      </c>
      <c r="AR110" s="168">
        <f>AQ113</f>
        <v>121</v>
      </c>
      <c r="AS110" s="168">
        <f>AR113</f>
        <v>122</v>
      </c>
      <c r="AT110" s="1123">
        <f>AO113</f>
        <v>118</v>
      </c>
      <c r="AU110" s="168">
        <f>AT113</f>
        <v>121</v>
      </c>
      <c r="AV110" s="168">
        <f>AU113</f>
        <v>121</v>
      </c>
      <c r="AW110" s="168">
        <f>AV113</f>
        <v>123</v>
      </c>
      <c r="AX110" s="168">
        <f>AW113</f>
        <v>121</v>
      </c>
      <c r="AY110" s="1123">
        <f>AT113</f>
        <v>121</v>
      </c>
      <c r="AZ110" s="168">
        <f>AY113</f>
        <v>121</v>
      </c>
      <c r="BA110" s="168">
        <f>AZ113</f>
        <v>121</v>
      </c>
      <c r="BB110" s="168">
        <f>BA113</f>
        <v>121</v>
      </c>
      <c r="BC110" s="168">
        <f>BB113</f>
        <v>122</v>
      </c>
      <c r="BD110" s="1123">
        <f>AY113</f>
        <v>121</v>
      </c>
      <c r="BE110" s="168">
        <f>BD113</f>
        <v>122</v>
      </c>
      <c r="BF110" s="168">
        <f>BE113</f>
        <v>123</v>
      </c>
      <c r="BG110" s="168">
        <f>BF113</f>
        <v>123</v>
      </c>
      <c r="BH110" s="168">
        <f>BG113</f>
        <v>123</v>
      </c>
      <c r="BI110" s="1123">
        <f>BD113</f>
        <v>122</v>
      </c>
      <c r="BJ110" s="1124">
        <f>BI113</f>
        <v>121</v>
      </c>
      <c r="BK110" s="247">
        <f>BJ113</f>
        <v>121</v>
      </c>
      <c r="BL110" s="247">
        <f>BK113</f>
        <v>121</v>
      </c>
      <c r="BM110" s="247">
        <f>BL113</f>
        <v>121</v>
      </c>
      <c r="BN110" s="840">
        <f>BI113</f>
        <v>121</v>
      </c>
      <c r="BO110" s="247">
        <f>BN113</f>
        <v>121</v>
      </c>
      <c r="BP110" s="247">
        <f>BO113</f>
        <v>121</v>
      </c>
      <c r="BQ110" s="247">
        <f>BP113</f>
        <v>121</v>
      </c>
      <c r="BR110" s="247">
        <f>BQ113</f>
        <v>121</v>
      </c>
      <c r="BS110" s="840">
        <f>BN113</f>
        <v>121</v>
      </c>
      <c r="BT110" s="840">
        <f>BS113</f>
        <v>121</v>
      </c>
      <c r="BU110" s="840">
        <f>BT113</f>
        <v>117</v>
      </c>
      <c r="BV110" s="840">
        <f>BU113</f>
        <v>113</v>
      </c>
      <c r="BW110" s="168"/>
    </row>
    <row r="111" spans="1:75" s="224" customFormat="1" hidden="1" outlineLevel="1" x14ac:dyDescent="0.5">
      <c r="A111" s="533" t="s">
        <v>1709</v>
      </c>
      <c r="B111" s="494"/>
      <c r="C111" s="427">
        <f>0+1+0+3</f>
        <v>4</v>
      </c>
      <c r="D111" s="427">
        <f>0+0+0+2</f>
        <v>2</v>
      </c>
      <c r="E111" s="427">
        <f>1+1+0+0</f>
        <v>2</v>
      </c>
      <c r="F111" s="427">
        <f>4+5+2+2</f>
        <v>13</v>
      </c>
      <c r="G111" s="256">
        <v>1</v>
      </c>
      <c r="H111" s="256">
        <v>3</v>
      </c>
      <c r="I111" s="256">
        <v>4</v>
      </c>
      <c r="J111" s="256">
        <v>3</v>
      </c>
      <c r="K111" s="1125">
        <f>SUM(G111,H111,I111,J111)</f>
        <v>11</v>
      </c>
      <c r="L111" s="256">
        <v>0</v>
      </c>
      <c r="M111" s="256">
        <v>1</v>
      </c>
      <c r="N111" s="256">
        <v>9</v>
      </c>
      <c r="O111" s="256">
        <v>1</v>
      </c>
      <c r="P111" s="1125">
        <f>SUM(L111,M111,N111,O111)</f>
        <v>11</v>
      </c>
      <c r="Q111" s="256">
        <v>3</v>
      </c>
      <c r="R111" s="256">
        <v>6</v>
      </c>
      <c r="S111" s="256">
        <v>6</v>
      </c>
      <c r="T111" s="256">
        <v>3</v>
      </c>
      <c r="U111" s="1125">
        <f>SUM(Q111,R111,S111,T111)</f>
        <v>18</v>
      </c>
      <c r="V111" s="256">
        <v>0</v>
      </c>
      <c r="W111" s="256">
        <v>2</v>
      </c>
      <c r="X111" s="256">
        <v>10</v>
      </c>
      <c r="Y111" s="256">
        <v>1</v>
      </c>
      <c r="Z111" s="1125">
        <f>SUM(V111,W111,X111,Y111)</f>
        <v>13</v>
      </c>
      <c r="AA111" s="256">
        <v>1</v>
      </c>
      <c r="AB111" s="256">
        <v>2</v>
      </c>
      <c r="AC111" s="256">
        <v>5</v>
      </c>
      <c r="AD111" s="256">
        <v>3</v>
      </c>
      <c r="AE111" s="1125">
        <f>SUM(AA111,AB111,AC111,AD111)</f>
        <v>11</v>
      </c>
      <c r="AF111" s="256">
        <v>2</v>
      </c>
      <c r="AG111" s="256">
        <v>3</v>
      </c>
      <c r="AH111" s="256">
        <v>3</v>
      </c>
      <c r="AI111" s="256">
        <v>1</v>
      </c>
      <c r="AJ111" s="1125">
        <f>SUM(AF111,AG111,AH111,AI111)</f>
        <v>9</v>
      </c>
      <c r="AK111" s="256">
        <v>1</v>
      </c>
      <c r="AL111" s="256">
        <v>0</v>
      </c>
      <c r="AM111" s="256">
        <v>2</v>
      </c>
      <c r="AN111" s="256">
        <v>4</v>
      </c>
      <c r="AO111" s="1125">
        <f>SUM(AK111,AL111,AM111,AN111)</f>
        <v>7</v>
      </c>
      <c r="AP111" s="256">
        <v>2</v>
      </c>
      <c r="AQ111" s="256">
        <v>3</v>
      </c>
      <c r="AR111" s="256">
        <v>2</v>
      </c>
      <c r="AS111" s="256">
        <v>0</v>
      </c>
      <c r="AT111" s="1125">
        <f>SUM(AP111,AQ111,AR111,AS111)</f>
        <v>7</v>
      </c>
      <c r="AU111" s="256">
        <v>0</v>
      </c>
      <c r="AV111" s="256">
        <v>2</v>
      </c>
      <c r="AW111" s="256">
        <v>1</v>
      </c>
      <c r="AX111" s="256">
        <v>1</v>
      </c>
      <c r="AY111" s="1125">
        <f>SUM(AU111,AV111,AW111,AX111)</f>
        <v>4</v>
      </c>
      <c r="AZ111" s="256">
        <v>0</v>
      </c>
      <c r="BA111" s="256">
        <v>1</v>
      </c>
      <c r="BB111" s="256">
        <v>2</v>
      </c>
      <c r="BC111" s="256">
        <v>1</v>
      </c>
      <c r="BD111" s="1125">
        <f>SUM(AZ111,BA111,BB111,BC111)</f>
        <v>4</v>
      </c>
      <c r="BE111" s="256">
        <v>1</v>
      </c>
      <c r="BF111" s="256">
        <v>1</v>
      </c>
      <c r="BG111" s="256">
        <v>0</v>
      </c>
      <c r="BH111" s="256">
        <v>0</v>
      </c>
      <c r="BI111" s="1125">
        <f>SUM(BE111,BF111,BG111,BH111)</f>
        <v>2</v>
      </c>
      <c r="BJ111" s="1126">
        <v>1</v>
      </c>
      <c r="BK111" s="256">
        <v>1</v>
      </c>
      <c r="BL111" s="256">
        <v>1</v>
      </c>
      <c r="BM111" s="256">
        <v>1</v>
      </c>
      <c r="BN111" s="425">
        <f>SUM(BJ111,BK111,BL111,BM111)</f>
        <v>4</v>
      </c>
      <c r="BO111" s="256">
        <v>1</v>
      </c>
      <c r="BP111" s="256">
        <v>1</v>
      </c>
      <c r="BQ111" s="256">
        <v>1</v>
      </c>
      <c r="BR111" s="256">
        <v>1</v>
      </c>
      <c r="BS111" s="425">
        <f>SUM(BO111,BP111,BQ111,BR111)</f>
        <v>4</v>
      </c>
      <c r="BT111" s="427">
        <v>4</v>
      </c>
      <c r="BU111" s="427">
        <v>4</v>
      </c>
      <c r="BV111" s="427">
        <v>4</v>
      </c>
      <c r="BW111" s="223"/>
    </row>
    <row r="112" spans="1:75" s="224" customFormat="1" hidden="1" outlineLevel="1" x14ac:dyDescent="0.5">
      <c r="A112" s="533" t="s">
        <v>1710</v>
      </c>
      <c r="B112" s="494"/>
      <c r="C112" s="427">
        <f>-4+0+0+0</f>
        <v>-4</v>
      </c>
      <c r="D112" s="427">
        <f>-1+0+0-1</f>
        <v>-2</v>
      </c>
      <c r="E112" s="427">
        <f>0+0+0-1</f>
        <v>-1</v>
      </c>
      <c r="F112" s="427">
        <f>-1+0+0-1</f>
        <v>-2</v>
      </c>
      <c r="G112" s="256">
        <v>0</v>
      </c>
      <c r="H112" s="256">
        <v>-1</v>
      </c>
      <c r="I112" s="256">
        <v>0</v>
      </c>
      <c r="J112" s="256">
        <v>0</v>
      </c>
      <c r="K112" s="1125">
        <f>SUM(G112,H112,I112,J112)</f>
        <v>-1</v>
      </c>
      <c r="L112" s="256">
        <v>0</v>
      </c>
      <c r="M112" s="256">
        <v>0</v>
      </c>
      <c r="N112" s="256">
        <v>0</v>
      </c>
      <c r="O112" s="256">
        <v>0</v>
      </c>
      <c r="P112" s="1125">
        <f>SUM(L112,M112,N112,O112)</f>
        <v>0</v>
      </c>
      <c r="Q112" s="256">
        <v>0</v>
      </c>
      <c r="R112" s="256">
        <v>0</v>
      </c>
      <c r="S112" s="256">
        <v>0</v>
      </c>
      <c r="T112" s="256">
        <v>0</v>
      </c>
      <c r="U112" s="1125">
        <f>SUM(Q112,R112,S112,T112)</f>
        <v>0</v>
      </c>
      <c r="V112" s="256">
        <v>0</v>
      </c>
      <c r="W112" s="256">
        <v>0</v>
      </c>
      <c r="X112" s="256">
        <v>-2</v>
      </c>
      <c r="Y112" s="256">
        <v>0</v>
      </c>
      <c r="Z112" s="1125">
        <f>SUM(V112,W112,X112,Y112)</f>
        <v>-2</v>
      </c>
      <c r="AA112" s="256">
        <v>0</v>
      </c>
      <c r="AB112" s="256">
        <v>0</v>
      </c>
      <c r="AC112" s="256">
        <v>-1</v>
      </c>
      <c r="AD112" s="256">
        <v>-2</v>
      </c>
      <c r="AE112" s="1125">
        <f>SUM(AA112,AB112,AC112,AD112)</f>
        <v>-3</v>
      </c>
      <c r="AF112" s="256">
        <v>0</v>
      </c>
      <c r="AG112" s="256">
        <v>-2</v>
      </c>
      <c r="AH112" s="256">
        <v>0</v>
      </c>
      <c r="AI112" s="256">
        <v>-1</v>
      </c>
      <c r="AJ112" s="1125">
        <f>SUM(AF112,AG112,AH112,AI112)</f>
        <v>-3</v>
      </c>
      <c r="AK112" s="256">
        <v>0</v>
      </c>
      <c r="AL112" s="256">
        <v>-1</v>
      </c>
      <c r="AM112" s="256">
        <v>0</v>
      </c>
      <c r="AN112" s="256">
        <v>0</v>
      </c>
      <c r="AO112" s="1125">
        <f>SUM(AK112,AL112,AM112,AN112)</f>
        <v>-1</v>
      </c>
      <c r="AP112" s="256">
        <v>-1</v>
      </c>
      <c r="AQ112" s="256">
        <v>-1</v>
      </c>
      <c r="AR112" s="256">
        <v>-1</v>
      </c>
      <c r="AS112" s="256">
        <v>-1</v>
      </c>
      <c r="AT112" s="1125">
        <f>SUM(AP112,AQ112,AR112,AS112)</f>
        <v>-4</v>
      </c>
      <c r="AU112" s="256">
        <v>0</v>
      </c>
      <c r="AV112" s="256">
        <v>0</v>
      </c>
      <c r="AW112" s="256">
        <v>-3</v>
      </c>
      <c r="AX112" s="256">
        <v>-1</v>
      </c>
      <c r="AY112" s="1125">
        <f>SUM(AU112,AV112,AW112,AX112)</f>
        <v>-4</v>
      </c>
      <c r="AZ112" s="256">
        <v>0</v>
      </c>
      <c r="BA112" s="256">
        <v>-1</v>
      </c>
      <c r="BB112" s="256">
        <v>-1</v>
      </c>
      <c r="BC112" s="256">
        <v>-1</v>
      </c>
      <c r="BD112" s="1125">
        <f>SUM(AZ112,BA112,BB112,BC112)</f>
        <v>-3</v>
      </c>
      <c r="BE112" s="256">
        <v>0</v>
      </c>
      <c r="BF112" s="256">
        <v>-1</v>
      </c>
      <c r="BG112" s="356">
        <v>0</v>
      </c>
      <c r="BH112" s="256">
        <v>-2</v>
      </c>
      <c r="BI112" s="1125">
        <f>SUM(BE112,BF112,BG112,BH112)</f>
        <v>-3</v>
      </c>
      <c r="BJ112" s="1126">
        <v>-1</v>
      </c>
      <c r="BK112" s="256">
        <v>-1</v>
      </c>
      <c r="BL112" s="256">
        <v>-1</v>
      </c>
      <c r="BM112" s="256">
        <v>-1</v>
      </c>
      <c r="BN112" s="425">
        <f>SUM(BJ112,BK112,BL112,BM112)</f>
        <v>-4</v>
      </c>
      <c r="BO112" s="256">
        <v>-1</v>
      </c>
      <c r="BP112" s="256">
        <v>-1</v>
      </c>
      <c r="BQ112" s="256">
        <v>-1</v>
      </c>
      <c r="BR112" s="256">
        <v>-1</v>
      </c>
      <c r="BS112" s="425">
        <f>SUM(BO112,BP112,BQ112,BR112)</f>
        <v>-4</v>
      </c>
      <c r="BT112" s="427">
        <v>-8</v>
      </c>
      <c r="BU112" s="427">
        <v>-8</v>
      </c>
      <c r="BV112" s="427">
        <v>-8</v>
      </c>
      <c r="BW112" s="223"/>
    </row>
    <row r="113" spans="1:75" s="169" customFormat="1" ht="14.25" hidden="1" outlineLevel="1" x14ac:dyDescent="0.45">
      <c r="A113" s="562" t="s">
        <v>1711</v>
      </c>
      <c r="B113" s="1127"/>
      <c r="C113" s="1165">
        <f t="shared" ref="C113:J113" si="230">SUM(C110:C112)</f>
        <v>36</v>
      </c>
      <c r="D113" s="1165">
        <f t="shared" si="230"/>
        <v>36</v>
      </c>
      <c r="E113" s="1165">
        <f t="shared" si="230"/>
        <v>37</v>
      </c>
      <c r="F113" s="1165">
        <f t="shared" si="230"/>
        <v>48</v>
      </c>
      <c r="G113" s="284">
        <f t="shared" si="230"/>
        <v>49</v>
      </c>
      <c r="H113" s="284">
        <f t="shared" si="230"/>
        <v>51</v>
      </c>
      <c r="I113" s="284">
        <f t="shared" si="230"/>
        <v>55</v>
      </c>
      <c r="J113" s="284">
        <f t="shared" si="230"/>
        <v>58</v>
      </c>
      <c r="K113" s="1165">
        <f>J113</f>
        <v>58</v>
      </c>
      <c r="L113" s="284">
        <f>SUM(L110:L112)</f>
        <v>58</v>
      </c>
      <c r="M113" s="284">
        <f>SUM(M110:M112)</f>
        <v>59</v>
      </c>
      <c r="N113" s="284">
        <f>SUM(N110:N112)</f>
        <v>68</v>
      </c>
      <c r="O113" s="284">
        <f>SUM(O110:O112)</f>
        <v>69</v>
      </c>
      <c r="P113" s="1165">
        <f>O113</f>
        <v>69</v>
      </c>
      <c r="Q113" s="284">
        <f>SUM(Q110:Q112)</f>
        <v>72</v>
      </c>
      <c r="R113" s="284">
        <f>SUM(R110:R112)</f>
        <v>78</v>
      </c>
      <c r="S113" s="284">
        <f>SUM(S110:S112)</f>
        <v>84</v>
      </c>
      <c r="T113" s="284">
        <f>SUM(T110:T112)</f>
        <v>87</v>
      </c>
      <c r="U113" s="1165">
        <f>T113</f>
        <v>87</v>
      </c>
      <c r="V113" s="284">
        <f>SUM(V110:V112)</f>
        <v>87</v>
      </c>
      <c r="W113" s="284">
        <f>SUM(W110:W112)</f>
        <v>89</v>
      </c>
      <c r="X113" s="284">
        <f>SUM(X110:X112)</f>
        <v>97</v>
      </c>
      <c r="Y113" s="284">
        <f>SUM(Y110:Y112)</f>
        <v>98</v>
      </c>
      <c r="Z113" s="1165">
        <f>Y113</f>
        <v>98</v>
      </c>
      <c r="AA113" s="284">
        <f>SUM(AA110:AA112)</f>
        <v>99</v>
      </c>
      <c r="AB113" s="284">
        <f>SUM(AB110:AB112)</f>
        <v>101</v>
      </c>
      <c r="AC113" s="284">
        <f>SUM(AC110:AC112)</f>
        <v>105</v>
      </c>
      <c r="AD113" s="284">
        <f>SUM(AD110:AD112)</f>
        <v>106</v>
      </c>
      <c r="AE113" s="1165">
        <f>AD113</f>
        <v>106</v>
      </c>
      <c r="AF113" s="284">
        <f>SUM(AF110:AF112)</f>
        <v>108</v>
      </c>
      <c r="AG113" s="284">
        <f>SUM(AG110:AG112)</f>
        <v>109</v>
      </c>
      <c r="AH113" s="284">
        <f>SUM(AH110:AH112)</f>
        <v>112</v>
      </c>
      <c r="AI113" s="284">
        <f>SUM(AI110:AI112)</f>
        <v>112</v>
      </c>
      <c r="AJ113" s="1165">
        <f>AI113</f>
        <v>112</v>
      </c>
      <c r="AK113" s="284">
        <f>SUM(AK110:AK112)</f>
        <v>113</v>
      </c>
      <c r="AL113" s="284">
        <f>SUM(AL110:AL112)</f>
        <v>112</v>
      </c>
      <c r="AM113" s="284">
        <f>SUM(AM110:AM112)</f>
        <v>114</v>
      </c>
      <c r="AN113" s="284">
        <f>SUM(AN110:AN112)</f>
        <v>118</v>
      </c>
      <c r="AO113" s="1165">
        <f>AN113</f>
        <v>118</v>
      </c>
      <c r="AP113" s="284">
        <f t="shared" ref="AP113:AQ113" si="231">SUM(AP110:AP112)</f>
        <v>119</v>
      </c>
      <c r="AQ113" s="284">
        <f t="shared" si="231"/>
        <v>121</v>
      </c>
      <c r="AR113" s="284">
        <f>SUM(AR110:AR112)</f>
        <v>122</v>
      </c>
      <c r="AS113" s="284">
        <f>SUM(AS110:AS112)</f>
        <v>121</v>
      </c>
      <c r="AT113" s="1165">
        <f>AS113</f>
        <v>121</v>
      </c>
      <c r="AU113" s="284">
        <f>SUM(AU110:AU112)</f>
        <v>121</v>
      </c>
      <c r="AV113" s="284">
        <f>SUM(AV110:AV112)</f>
        <v>123</v>
      </c>
      <c r="AW113" s="284">
        <f>SUM(AW110:AW112)</f>
        <v>121</v>
      </c>
      <c r="AX113" s="284">
        <f>SUM(AX110:AX112)</f>
        <v>121</v>
      </c>
      <c r="AY113" s="1165">
        <f>AX113</f>
        <v>121</v>
      </c>
      <c r="AZ113" s="284">
        <f>SUM(AZ110:AZ112)</f>
        <v>121</v>
      </c>
      <c r="BA113" s="284">
        <f>SUM(BA110:BA112)</f>
        <v>121</v>
      </c>
      <c r="BB113" s="284">
        <f>SUM(BB110:BB112)</f>
        <v>122</v>
      </c>
      <c r="BC113" s="284">
        <f>SUM(BC110:BC112)</f>
        <v>122</v>
      </c>
      <c r="BD113" s="1165">
        <f>BC113</f>
        <v>122</v>
      </c>
      <c r="BE113" s="284">
        <f>SUM(BE110:BE112)</f>
        <v>123</v>
      </c>
      <c r="BF113" s="284">
        <f>SUM(BF110:BF112)</f>
        <v>123</v>
      </c>
      <c r="BG113" s="168">
        <f>SUM(BG110:BG112)</f>
        <v>123</v>
      </c>
      <c r="BH113" s="284">
        <f>SUM(BH110:BH112)</f>
        <v>121</v>
      </c>
      <c r="BI113" s="1165">
        <f>BH113</f>
        <v>121</v>
      </c>
      <c r="BJ113" s="1166">
        <f>SUM(BJ110:BJ112)</f>
        <v>121</v>
      </c>
      <c r="BK113" s="287">
        <f t="shared" ref="BK113:BV113" si="232">SUM(BK110:BK112)</f>
        <v>121</v>
      </c>
      <c r="BL113" s="287">
        <f t="shared" si="232"/>
        <v>121</v>
      </c>
      <c r="BM113" s="287">
        <f t="shared" si="232"/>
        <v>121</v>
      </c>
      <c r="BN113" s="1128">
        <f t="shared" si="232"/>
        <v>121</v>
      </c>
      <c r="BO113" s="287">
        <f t="shared" si="232"/>
        <v>121</v>
      </c>
      <c r="BP113" s="287">
        <f t="shared" si="232"/>
        <v>121</v>
      </c>
      <c r="BQ113" s="287">
        <f t="shared" si="232"/>
        <v>121</v>
      </c>
      <c r="BR113" s="287">
        <f t="shared" si="232"/>
        <v>121</v>
      </c>
      <c r="BS113" s="1128">
        <f t="shared" si="232"/>
        <v>121</v>
      </c>
      <c r="BT113" s="1128">
        <f t="shared" si="232"/>
        <v>117</v>
      </c>
      <c r="BU113" s="1128">
        <f t="shared" si="232"/>
        <v>113</v>
      </c>
      <c r="BV113" s="1128">
        <f t="shared" si="232"/>
        <v>109</v>
      </c>
      <c r="BW113" s="168"/>
    </row>
    <row r="114" spans="1:75" s="177" customFormat="1" ht="14.25" hidden="1" outlineLevel="1" x14ac:dyDescent="0.45">
      <c r="A114" s="564" t="s">
        <v>1712</v>
      </c>
      <c r="B114" s="491"/>
      <c r="C114" s="417"/>
      <c r="D114" s="417"/>
      <c r="E114" s="417"/>
      <c r="F114" s="417"/>
      <c r="G114" s="378"/>
      <c r="H114" s="176">
        <f t="shared" ref="H114:J114" si="233">H113/G113-1</f>
        <v>4.081632653061229E-2</v>
      </c>
      <c r="I114" s="176">
        <f t="shared" si="233"/>
        <v>7.8431372549019551E-2</v>
      </c>
      <c r="J114" s="176">
        <f t="shared" si="233"/>
        <v>5.4545454545454453E-2</v>
      </c>
      <c r="K114" s="417"/>
      <c r="L114" s="176">
        <f>L113/J113-1</f>
        <v>0</v>
      </c>
      <c r="M114" s="176">
        <f t="shared" ref="M114:O114" si="234">M113/L113-1</f>
        <v>1.7241379310344751E-2</v>
      </c>
      <c r="N114" s="176">
        <f t="shared" si="234"/>
        <v>0.15254237288135597</v>
      </c>
      <c r="O114" s="176">
        <f t="shared" si="234"/>
        <v>1.4705882352941124E-2</v>
      </c>
      <c r="P114" s="417"/>
      <c r="Q114" s="176">
        <f>Q113/O113-1</f>
        <v>4.3478260869565188E-2</v>
      </c>
      <c r="R114" s="176">
        <f t="shared" ref="R114:T114" si="235">R113/Q113-1</f>
        <v>8.3333333333333259E-2</v>
      </c>
      <c r="S114" s="176">
        <f t="shared" si="235"/>
        <v>7.6923076923076872E-2</v>
      </c>
      <c r="T114" s="176">
        <f t="shared" si="235"/>
        <v>3.5714285714285809E-2</v>
      </c>
      <c r="U114" s="417"/>
      <c r="V114" s="176">
        <f>V113/T113-1</f>
        <v>0</v>
      </c>
      <c r="W114" s="176">
        <f t="shared" ref="W114:Y114" si="236">W113/V113-1</f>
        <v>2.2988505747126409E-2</v>
      </c>
      <c r="X114" s="176">
        <f t="shared" si="236"/>
        <v>8.98876404494382E-2</v>
      </c>
      <c r="Y114" s="176">
        <f t="shared" si="236"/>
        <v>1.0309278350515427E-2</v>
      </c>
      <c r="Z114" s="417"/>
      <c r="AA114" s="176">
        <f>AA113/Y113-1</f>
        <v>1.0204081632652962E-2</v>
      </c>
      <c r="AB114" s="176">
        <f t="shared" ref="AB114:AD114" si="237">AB113/AA113-1</f>
        <v>2.020202020202011E-2</v>
      </c>
      <c r="AC114" s="176">
        <f t="shared" si="237"/>
        <v>3.9603960396039639E-2</v>
      </c>
      <c r="AD114" s="176">
        <f t="shared" si="237"/>
        <v>9.52380952380949E-3</v>
      </c>
      <c r="AE114" s="417"/>
      <c r="AF114" s="176">
        <f>AF113/AD113-1</f>
        <v>1.8867924528301883E-2</v>
      </c>
      <c r="AG114" s="176">
        <f t="shared" ref="AG114:AI114" si="238">AG113/AF113-1</f>
        <v>9.2592592592593004E-3</v>
      </c>
      <c r="AH114" s="176">
        <f t="shared" si="238"/>
        <v>2.7522935779816571E-2</v>
      </c>
      <c r="AI114" s="176">
        <f t="shared" si="238"/>
        <v>0</v>
      </c>
      <c r="AJ114" s="417"/>
      <c r="AK114" s="176">
        <f>AK113/AI113-1</f>
        <v>8.9285714285713969E-3</v>
      </c>
      <c r="AL114" s="176">
        <f t="shared" ref="AL114:AN114" si="239">AL113/AK113-1</f>
        <v>-8.8495575221239076E-3</v>
      </c>
      <c r="AM114" s="176">
        <f t="shared" si="239"/>
        <v>1.7857142857142794E-2</v>
      </c>
      <c r="AN114" s="176">
        <f t="shared" si="239"/>
        <v>3.5087719298245723E-2</v>
      </c>
      <c r="AO114" s="417"/>
      <c r="AP114" s="176">
        <f>AP113/AN113-1</f>
        <v>8.4745762711864181E-3</v>
      </c>
      <c r="AQ114" s="176">
        <f t="shared" ref="AQ114:AS114" si="240">AQ113/AP113-1</f>
        <v>1.6806722689075571E-2</v>
      </c>
      <c r="AR114" s="176">
        <f t="shared" si="240"/>
        <v>8.2644628099173278E-3</v>
      </c>
      <c r="AS114" s="176">
        <f t="shared" si="240"/>
        <v>-8.1967213114754189E-3</v>
      </c>
      <c r="AT114" s="417"/>
      <c r="AU114" s="176">
        <f>AU113/AS113-1</f>
        <v>0</v>
      </c>
      <c r="AV114" s="176">
        <f t="shared" ref="AV114:AX114" si="241">AV113/AU113-1</f>
        <v>1.6528925619834656E-2</v>
      </c>
      <c r="AW114" s="176">
        <f t="shared" si="241"/>
        <v>-1.6260162601625994E-2</v>
      </c>
      <c r="AX114" s="176">
        <f t="shared" si="241"/>
        <v>0</v>
      </c>
      <c r="AY114" s="417"/>
      <c r="AZ114" s="176">
        <f>AZ113/AX113-1</f>
        <v>0</v>
      </c>
      <c r="BA114" s="176">
        <f t="shared" ref="BA114" si="242">BA113/AZ113-1</f>
        <v>0</v>
      </c>
      <c r="BB114" s="176">
        <f>BB113/BA113-1</f>
        <v>8.2644628099173278E-3</v>
      </c>
      <c r="BC114" s="176">
        <f>BC113/BB113-1</f>
        <v>0</v>
      </c>
      <c r="BD114" s="417"/>
      <c r="BE114" s="176">
        <f>BE113/BC113-1</f>
        <v>8.1967213114753079E-3</v>
      </c>
      <c r="BF114" s="176">
        <f>BF113/BE113-1</f>
        <v>0</v>
      </c>
      <c r="BG114" s="176">
        <f>BG113/BF113-1</f>
        <v>0</v>
      </c>
      <c r="BH114" s="176">
        <f>BH113/BG113-1</f>
        <v>-1.6260162601625994E-2</v>
      </c>
      <c r="BI114" s="417"/>
      <c r="BJ114" s="1167">
        <f>BJ113/BH113-1</f>
        <v>0</v>
      </c>
      <c r="BK114" s="378">
        <f>BK113/BJ113-1</f>
        <v>0</v>
      </c>
      <c r="BL114" s="378">
        <f>BL113/BK113-1</f>
        <v>0</v>
      </c>
      <c r="BM114" s="378">
        <f>BM113/BL113-1</f>
        <v>0</v>
      </c>
      <c r="BN114" s="417"/>
      <c r="BO114" s="378">
        <f>BO113/BM113-1</f>
        <v>0</v>
      </c>
      <c r="BP114" s="378">
        <f>BP113/BO113-1</f>
        <v>0</v>
      </c>
      <c r="BQ114" s="378">
        <f>BQ113/BP113-1</f>
        <v>0</v>
      </c>
      <c r="BR114" s="378">
        <f>BR113/BQ113-1</f>
        <v>0</v>
      </c>
      <c r="BS114" s="417"/>
      <c r="BT114" s="417"/>
      <c r="BU114" s="417"/>
      <c r="BV114" s="417"/>
      <c r="BW114" s="176"/>
    </row>
    <row r="115" spans="1:75" s="177" customFormat="1" ht="14.25" hidden="1" outlineLevel="1" x14ac:dyDescent="0.45">
      <c r="A115" s="564" t="s">
        <v>1713</v>
      </c>
      <c r="B115" s="491"/>
      <c r="C115" s="417"/>
      <c r="D115" s="1168">
        <f t="shared" ref="D115:E115" si="243">D113/C113-1</f>
        <v>0</v>
      </c>
      <c r="E115" s="1168">
        <f t="shared" si="243"/>
        <v>2.7777777777777679E-2</v>
      </c>
      <c r="F115" s="1168">
        <f>F113/E113-1</f>
        <v>0.29729729729729737</v>
      </c>
      <c r="G115" s="378"/>
      <c r="H115" s="378"/>
      <c r="I115" s="378"/>
      <c r="J115" s="378"/>
      <c r="K115" s="1168">
        <f t="shared" ref="K115:BS115" si="244">K113/F113-1</f>
        <v>0.20833333333333326</v>
      </c>
      <c r="L115" s="176">
        <f t="shared" si="244"/>
        <v>0.18367346938775508</v>
      </c>
      <c r="M115" s="176">
        <f t="shared" si="244"/>
        <v>0.15686274509803932</v>
      </c>
      <c r="N115" s="176">
        <f t="shared" si="244"/>
        <v>0.23636363636363633</v>
      </c>
      <c r="O115" s="176">
        <f t="shared" si="244"/>
        <v>0.18965517241379315</v>
      </c>
      <c r="P115" s="1168">
        <f t="shared" si="244"/>
        <v>0.18965517241379315</v>
      </c>
      <c r="Q115" s="176">
        <f t="shared" si="244"/>
        <v>0.24137931034482762</v>
      </c>
      <c r="R115" s="176">
        <f t="shared" si="244"/>
        <v>0.32203389830508478</v>
      </c>
      <c r="S115" s="176">
        <f t="shared" si="244"/>
        <v>0.23529411764705888</v>
      </c>
      <c r="T115" s="176">
        <f t="shared" si="244"/>
        <v>0.26086956521739135</v>
      </c>
      <c r="U115" s="1168">
        <f t="shared" si="244"/>
        <v>0.26086956521739135</v>
      </c>
      <c r="V115" s="176">
        <f t="shared" si="244"/>
        <v>0.20833333333333326</v>
      </c>
      <c r="W115" s="176">
        <f t="shared" si="244"/>
        <v>0.14102564102564097</v>
      </c>
      <c r="X115" s="176">
        <f t="shared" si="244"/>
        <v>0.15476190476190466</v>
      </c>
      <c r="Y115" s="176">
        <f t="shared" si="244"/>
        <v>0.12643678160919536</v>
      </c>
      <c r="Z115" s="1168">
        <f t="shared" si="244"/>
        <v>0.12643678160919536</v>
      </c>
      <c r="AA115" s="176">
        <f t="shared" si="244"/>
        <v>0.13793103448275867</v>
      </c>
      <c r="AB115" s="176">
        <f t="shared" si="244"/>
        <v>0.13483146067415741</v>
      </c>
      <c r="AC115" s="176">
        <f t="shared" si="244"/>
        <v>8.247422680412364E-2</v>
      </c>
      <c r="AD115" s="176">
        <f t="shared" si="244"/>
        <v>8.163265306122458E-2</v>
      </c>
      <c r="AE115" s="1168">
        <f t="shared" si="244"/>
        <v>8.163265306122458E-2</v>
      </c>
      <c r="AF115" s="176">
        <f t="shared" si="244"/>
        <v>9.0909090909090828E-2</v>
      </c>
      <c r="AG115" s="176">
        <f t="shared" si="244"/>
        <v>7.9207920792079278E-2</v>
      </c>
      <c r="AH115" s="176">
        <f t="shared" si="244"/>
        <v>6.6666666666666652E-2</v>
      </c>
      <c r="AI115" s="176">
        <f t="shared" si="244"/>
        <v>5.6603773584905648E-2</v>
      </c>
      <c r="AJ115" s="1168">
        <f t="shared" si="244"/>
        <v>5.6603773584905648E-2</v>
      </c>
      <c r="AK115" s="176">
        <f t="shared" si="244"/>
        <v>4.629629629629628E-2</v>
      </c>
      <c r="AL115" s="176">
        <f t="shared" si="244"/>
        <v>2.7522935779816571E-2</v>
      </c>
      <c r="AM115" s="176">
        <f t="shared" si="244"/>
        <v>1.7857142857142794E-2</v>
      </c>
      <c r="AN115" s="176">
        <f t="shared" si="244"/>
        <v>5.3571428571428603E-2</v>
      </c>
      <c r="AO115" s="1168">
        <f t="shared" si="244"/>
        <v>5.3571428571428603E-2</v>
      </c>
      <c r="AP115" s="176">
        <f t="shared" si="244"/>
        <v>5.3097345132743445E-2</v>
      </c>
      <c r="AQ115" s="176">
        <f t="shared" si="244"/>
        <v>8.0357142857142794E-2</v>
      </c>
      <c r="AR115" s="176">
        <f t="shared" si="244"/>
        <v>7.0175438596491224E-2</v>
      </c>
      <c r="AS115" s="176">
        <f t="shared" si="244"/>
        <v>2.5423728813559254E-2</v>
      </c>
      <c r="AT115" s="1168">
        <f t="shared" si="244"/>
        <v>2.5423728813559254E-2</v>
      </c>
      <c r="AU115" s="176">
        <f t="shared" si="244"/>
        <v>1.6806722689075571E-2</v>
      </c>
      <c r="AV115" s="176">
        <f t="shared" si="244"/>
        <v>1.6528925619834656E-2</v>
      </c>
      <c r="AW115" s="176">
        <f t="shared" si="244"/>
        <v>-8.1967213114754189E-3</v>
      </c>
      <c r="AX115" s="176">
        <f t="shared" si="244"/>
        <v>0</v>
      </c>
      <c r="AY115" s="1168">
        <f t="shared" si="244"/>
        <v>0</v>
      </c>
      <c r="AZ115" s="176">
        <f t="shared" si="244"/>
        <v>0</v>
      </c>
      <c r="BA115" s="176">
        <f t="shared" si="244"/>
        <v>-1.6260162601625994E-2</v>
      </c>
      <c r="BB115" s="176">
        <f t="shared" si="244"/>
        <v>8.2644628099173278E-3</v>
      </c>
      <c r="BC115" s="176">
        <f t="shared" si="244"/>
        <v>8.2644628099173278E-3</v>
      </c>
      <c r="BD115" s="1168">
        <f t="shared" si="244"/>
        <v>8.2644628099173278E-3</v>
      </c>
      <c r="BE115" s="176">
        <f t="shared" si="244"/>
        <v>1.6528925619834656E-2</v>
      </c>
      <c r="BF115" s="176">
        <f t="shared" si="244"/>
        <v>1.6528925619834656E-2</v>
      </c>
      <c r="BG115" s="176">
        <f t="shared" si="244"/>
        <v>8.1967213114753079E-3</v>
      </c>
      <c r="BH115" s="176">
        <f t="shared" si="244"/>
        <v>-8.1967213114754189E-3</v>
      </c>
      <c r="BI115" s="1168">
        <f t="shared" si="244"/>
        <v>-8.1967213114754189E-3</v>
      </c>
      <c r="BJ115" s="1167">
        <f>BJ113/BE113-1</f>
        <v>-1.6260162601625994E-2</v>
      </c>
      <c r="BK115" s="378">
        <f t="shared" si="244"/>
        <v>-1.6260162601625994E-2</v>
      </c>
      <c r="BL115" s="378">
        <f t="shared" si="244"/>
        <v>-1.6260162601625994E-2</v>
      </c>
      <c r="BM115" s="378">
        <f t="shared" si="244"/>
        <v>0</v>
      </c>
      <c r="BN115" s="417">
        <f t="shared" si="244"/>
        <v>0</v>
      </c>
      <c r="BO115" s="378">
        <f t="shared" si="244"/>
        <v>0</v>
      </c>
      <c r="BP115" s="378">
        <f t="shared" si="244"/>
        <v>0</v>
      </c>
      <c r="BQ115" s="378">
        <f t="shared" si="244"/>
        <v>0</v>
      </c>
      <c r="BR115" s="378">
        <f t="shared" si="244"/>
        <v>0</v>
      </c>
      <c r="BS115" s="417">
        <f t="shared" si="244"/>
        <v>0</v>
      </c>
      <c r="BT115" s="417">
        <f>BT113/BS113-1</f>
        <v>-3.3057851239669422E-2</v>
      </c>
      <c r="BU115" s="417">
        <f>BU113/BT113-1</f>
        <v>-3.4188034188034178E-2</v>
      </c>
      <c r="BV115" s="417">
        <f>BV113/BU113-1</f>
        <v>-3.539823008849563E-2</v>
      </c>
      <c r="BW115" s="176"/>
    </row>
    <row r="116" spans="1:75" s="169" customFormat="1" ht="14.25" hidden="1" outlineLevel="1" x14ac:dyDescent="0.45">
      <c r="A116" s="558" t="s">
        <v>1714</v>
      </c>
      <c r="B116" s="1121"/>
      <c r="C116" s="1123">
        <f t="shared" ref="C116:J116" si="245">AVERAGE(C113,C110)</f>
        <v>36</v>
      </c>
      <c r="D116" s="1123">
        <f t="shared" si="245"/>
        <v>36</v>
      </c>
      <c r="E116" s="1123">
        <f t="shared" si="245"/>
        <v>36.5</v>
      </c>
      <c r="F116" s="1123">
        <f t="shared" si="245"/>
        <v>42.5</v>
      </c>
      <c r="G116" s="168">
        <f t="shared" si="245"/>
        <v>48.5</v>
      </c>
      <c r="H116" s="168">
        <f t="shared" si="245"/>
        <v>50</v>
      </c>
      <c r="I116" s="168">
        <f t="shared" si="245"/>
        <v>53</v>
      </c>
      <c r="J116" s="168">
        <f t="shared" si="245"/>
        <v>56.5</v>
      </c>
      <c r="K116" s="1123">
        <f>SUM(G116*G$3,H116*H$3,I116*I$3,J116*J$3)/K$3</f>
        <v>52</v>
      </c>
      <c r="L116" s="168">
        <f>AVERAGE(L113,L110)</f>
        <v>58</v>
      </c>
      <c r="M116" s="168">
        <f>AVERAGE(M113,M110)</f>
        <v>58.5</v>
      </c>
      <c r="N116" s="168">
        <f>AVERAGE(N113,N110)</f>
        <v>63.5</v>
      </c>
      <c r="O116" s="168">
        <f>AVERAGE(O113,O110)</f>
        <v>68.5</v>
      </c>
      <c r="P116" s="1123">
        <f>SUM(L116*L$3,M116*M$3,N116*N$3,O116*O$3)/P$3</f>
        <v>62.125</v>
      </c>
      <c r="Q116" s="168">
        <f>AVERAGE(Q113,Q110)</f>
        <v>70.5</v>
      </c>
      <c r="R116" s="168">
        <f>AVERAGE(R113,R110)</f>
        <v>75</v>
      </c>
      <c r="S116" s="168">
        <f>AVERAGE(S113,S110)</f>
        <v>81</v>
      </c>
      <c r="T116" s="168">
        <f>AVERAGE(T113,T110)</f>
        <v>85.5</v>
      </c>
      <c r="U116" s="1123">
        <f>SUM(Q116*Q$3,R116*R$3,S116*S$3,T116*T$3)/U$3</f>
        <v>78</v>
      </c>
      <c r="V116" s="168">
        <f>AVERAGE(V113,V110)</f>
        <v>87</v>
      </c>
      <c r="W116" s="168">
        <f>AVERAGE(W113,W110)</f>
        <v>88</v>
      </c>
      <c r="X116" s="168">
        <f>AVERAGE(X113,X110)</f>
        <v>93</v>
      </c>
      <c r="Y116" s="168">
        <f>AVERAGE(Y113,Y110)</f>
        <v>97.5</v>
      </c>
      <c r="Z116" s="1123">
        <f>SUM(V116*V$3,W116*W$3,X116*X$3,Y116*Y$3)/Z$3</f>
        <v>91.375</v>
      </c>
      <c r="AA116" s="168">
        <f>AVERAGE(AA113,AA110)</f>
        <v>98.5</v>
      </c>
      <c r="AB116" s="168">
        <f>AVERAGE(AB113,AB110)</f>
        <v>100</v>
      </c>
      <c r="AC116" s="168">
        <f>AVERAGE(AC113,AC110)</f>
        <v>103</v>
      </c>
      <c r="AD116" s="168">
        <f>AVERAGE(AD113,AD110)</f>
        <v>105.5</v>
      </c>
      <c r="AE116" s="1123">
        <f>SUM(AA116*AA$3,AB116*AB$3,AC116*AC$3,AD116*AD$3)/AE$3</f>
        <v>101.75</v>
      </c>
      <c r="AF116" s="168">
        <f>AVERAGE(AF113,AF110)</f>
        <v>107</v>
      </c>
      <c r="AG116" s="168">
        <f>AVERAGE(AG113,AG110)</f>
        <v>108.5</v>
      </c>
      <c r="AH116" s="168">
        <f>AVERAGE(AH113,AH110)</f>
        <v>110.5</v>
      </c>
      <c r="AI116" s="168">
        <f>AVERAGE(AI113,AI110)</f>
        <v>112</v>
      </c>
      <c r="AJ116" s="1123">
        <f>SUM(AF116*AF$3,AG116*AG$3,AH116*AH$3,AI116*AI$3)/AJ$3</f>
        <v>109.54716981132076</v>
      </c>
      <c r="AK116" s="168">
        <f>AVERAGE(AK113,AK110)</f>
        <v>112.5</v>
      </c>
      <c r="AL116" s="168">
        <f>AVERAGE(AL113,AL110)</f>
        <v>112.5</v>
      </c>
      <c r="AM116" s="168">
        <f>AVERAGE(AM113,AM110)</f>
        <v>113</v>
      </c>
      <c r="AN116" s="168">
        <f>AVERAGE(AN113,AN110)</f>
        <v>116</v>
      </c>
      <c r="AO116" s="1123">
        <f>SUM(AK116*AK$3,AL116*AL$3,AM116*AM$3,AN116*AN$3)/AO$3</f>
        <v>113.5</v>
      </c>
      <c r="AP116" s="168">
        <f>AVERAGE(AP113,AP110)</f>
        <v>118.5</v>
      </c>
      <c r="AQ116" s="168">
        <f>AVERAGE(AQ113,AQ110)</f>
        <v>120</v>
      </c>
      <c r="AR116" s="168">
        <f>AVERAGE(AR113,AR110)</f>
        <v>121.5</v>
      </c>
      <c r="AS116" s="168">
        <f>AVERAGE(AS113,AS110)</f>
        <v>121.5</v>
      </c>
      <c r="AT116" s="1123">
        <f>SUM(AP116*AP$3,AQ116*AQ$3,AR116*AR$3,AS116*AS$3)/AT$3</f>
        <v>120.375</v>
      </c>
      <c r="AU116" s="168">
        <f>AVERAGE(AU113,AU110)</f>
        <v>121</v>
      </c>
      <c r="AV116" s="168">
        <f>AVERAGE(AV113,AV110)</f>
        <v>122</v>
      </c>
      <c r="AW116" s="168">
        <f>AVERAGE(AW113,AW110)</f>
        <v>122</v>
      </c>
      <c r="AX116" s="168">
        <f>AVERAGE(AX113,AX110)</f>
        <v>121</v>
      </c>
      <c r="AY116" s="1123">
        <f>SUM(AU116*AU$3,AV116*AV$3,AW116*AW$3,AX116*AX$3)/AY$3</f>
        <v>121.5</v>
      </c>
      <c r="AZ116" s="168">
        <f>AVERAGE(AZ113,AZ110)</f>
        <v>121</v>
      </c>
      <c r="BA116" s="168">
        <f>AVERAGE(BA113,BA110)</f>
        <v>121</v>
      </c>
      <c r="BB116" s="168">
        <f>AVERAGE(BB113,BB110)</f>
        <v>121.5</v>
      </c>
      <c r="BC116" s="168">
        <f>AVERAGE(BC113,BC110)</f>
        <v>122</v>
      </c>
      <c r="BD116" s="1123">
        <f>SUM(AZ116*AZ$3,BA116*BA$3,BB116*BB$3,BC116*BC$3)/BD$3</f>
        <v>121.375</v>
      </c>
      <c r="BE116" s="168">
        <f>AVERAGE(BE113,BE110)</f>
        <v>122.5</v>
      </c>
      <c r="BF116" s="168">
        <f>AVERAGE(BF113,BF110)</f>
        <v>123</v>
      </c>
      <c r="BG116" s="168">
        <f>AVERAGE(BG113,BG110)</f>
        <v>123</v>
      </c>
      <c r="BH116" s="168">
        <f>AVERAGE(BH113,BH110)</f>
        <v>122</v>
      </c>
      <c r="BI116" s="1123">
        <f>SUM(BE116*BE$3,BF116*BF$3,BG116*BG$3,BH116*BH$3)/BI$3</f>
        <v>122.625</v>
      </c>
      <c r="BJ116" s="1124">
        <f>AVERAGE(BJ113,BJ110)</f>
        <v>121</v>
      </c>
      <c r="BK116" s="247">
        <f>AVERAGE(BK113,BK110)</f>
        <v>121</v>
      </c>
      <c r="BL116" s="247">
        <f>AVERAGE(BL113,BL110)</f>
        <v>121</v>
      </c>
      <c r="BM116" s="247">
        <f>AVERAGE(BM113,BM110)</f>
        <v>121</v>
      </c>
      <c r="BN116" s="840">
        <f>SUM(BJ116*BJ$3,BK116*BK$3,BL116*BL$3,BM116*BM$3)/BN$3</f>
        <v>121</v>
      </c>
      <c r="BO116" s="247">
        <f>AVERAGE(BO113,BO110)</f>
        <v>121</v>
      </c>
      <c r="BP116" s="247">
        <f>AVERAGE(BP113,BP110)</f>
        <v>121</v>
      </c>
      <c r="BQ116" s="247">
        <f>AVERAGE(BQ113,BQ110)</f>
        <v>121</v>
      </c>
      <c r="BR116" s="247">
        <f>AVERAGE(BR113,BR110)</f>
        <v>121</v>
      </c>
      <c r="BS116" s="840">
        <f>SUM(BO116*BO$3,BP116*BP$3,BQ116*BQ$3,BR116*BR$3)/BS$3</f>
        <v>121</v>
      </c>
      <c r="BT116" s="840">
        <f>AVERAGE(BT113,BT110)</f>
        <v>119</v>
      </c>
      <c r="BU116" s="840">
        <f>AVERAGE(BU113,BU110)</f>
        <v>115</v>
      </c>
      <c r="BV116" s="840">
        <f>AVERAGE(BV113,BV110)</f>
        <v>111</v>
      </c>
      <c r="BW116" s="168"/>
    </row>
    <row r="117" spans="1:75" s="169" customFormat="1" ht="14.25" hidden="1" outlineLevel="1" x14ac:dyDescent="0.45">
      <c r="A117" s="163"/>
      <c r="B117" s="1121"/>
      <c r="C117" s="840"/>
      <c r="D117" s="840"/>
      <c r="E117" s="840"/>
      <c r="F117" s="840"/>
      <c r="G117" s="247"/>
      <c r="H117" s="247"/>
      <c r="I117" s="247"/>
      <c r="J117" s="247"/>
      <c r="K117" s="840"/>
      <c r="L117" s="247"/>
      <c r="M117" s="247"/>
      <c r="N117" s="247"/>
      <c r="O117" s="247"/>
      <c r="P117" s="840"/>
      <c r="Q117" s="247"/>
      <c r="R117" s="247"/>
      <c r="S117" s="247"/>
      <c r="T117" s="247"/>
      <c r="U117" s="840"/>
      <c r="V117" s="247"/>
      <c r="W117" s="247"/>
      <c r="X117" s="247"/>
      <c r="Y117" s="247"/>
      <c r="Z117" s="840"/>
      <c r="AA117" s="247"/>
      <c r="AB117" s="247"/>
      <c r="AC117" s="247"/>
      <c r="AD117" s="247"/>
      <c r="AE117" s="840"/>
      <c r="AF117" s="247"/>
      <c r="AG117" s="247"/>
      <c r="AH117" s="247"/>
      <c r="AI117" s="247"/>
      <c r="AJ117" s="840"/>
      <c r="AK117" s="247"/>
      <c r="AL117" s="247"/>
      <c r="AM117" s="247"/>
      <c r="AN117" s="247"/>
      <c r="AO117" s="840"/>
      <c r="AP117" s="247"/>
      <c r="AQ117" s="247"/>
      <c r="AR117" s="247"/>
      <c r="AS117" s="247"/>
      <c r="AT117" s="840"/>
      <c r="AU117" s="247"/>
      <c r="AV117" s="247"/>
      <c r="AW117" s="247"/>
      <c r="AX117" s="247"/>
      <c r="AY117" s="840"/>
      <c r="AZ117" s="247"/>
      <c r="BA117" s="247"/>
      <c r="BB117" s="247"/>
      <c r="BC117" s="247"/>
      <c r="BD117" s="840"/>
      <c r="BE117" s="247"/>
      <c r="BF117" s="247"/>
      <c r="BG117" s="247"/>
      <c r="BH117" s="247"/>
      <c r="BI117" s="840"/>
      <c r="BJ117" s="977"/>
      <c r="BK117" s="247"/>
      <c r="BL117" s="247"/>
      <c r="BM117" s="247"/>
      <c r="BN117" s="840"/>
      <c r="BO117" s="247"/>
      <c r="BP117" s="247"/>
      <c r="BQ117" s="247"/>
      <c r="BR117" s="247"/>
      <c r="BS117" s="840"/>
      <c r="BT117" s="840"/>
      <c r="BU117" s="840"/>
      <c r="BV117" s="840"/>
      <c r="BW117" s="168"/>
    </row>
    <row r="118" spans="1:75" s="224" customFormat="1" hidden="1" outlineLevel="1" x14ac:dyDescent="0.5">
      <c r="A118" s="590" t="s">
        <v>1715</v>
      </c>
      <c r="B118" s="494"/>
      <c r="C118" s="425"/>
      <c r="D118" s="1125">
        <f>C113+SUM(D112)</f>
        <v>34</v>
      </c>
      <c r="E118" s="1125">
        <f>D113+SUM(E112)</f>
        <v>35</v>
      </c>
      <c r="F118" s="1125">
        <f>E113+SUM(F112)</f>
        <v>35</v>
      </c>
      <c r="G118" s="487"/>
      <c r="H118" s="487"/>
      <c r="I118" s="487"/>
      <c r="J118" s="487"/>
      <c r="K118" s="1125">
        <f>F113+SUM(K112)</f>
        <v>47</v>
      </c>
      <c r="L118" s="223">
        <f>G113+SUM(L112,J112,I112,H112)</f>
        <v>48</v>
      </c>
      <c r="M118" s="223">
        <f>H113+SUM(M112,L112,J112,I112)</f>
        <v>51</v>
      </c>
      <c r="N118" s="223">
        <f>I113+SUM(N112,M112,L112,J112)</f>
        <v>55</v>
      </c>
      <c r="O118" s="223">
        <f>J113+SUM(O112,N112,M112,L112)</f>
        <v>58</v>
      </c>
      <c r="P118" s="1125">
        <f>K113+SUM(P112)</f>
        <v>58</v>
      </c>
      <c r="Q118" s="223">
        <f>L113+SUM(Q112,O112,N112,M112)</f>
        <v>58</v>
      </c>
      <c r="R118" s="223">
        <f>M113+SUM(R112,Q112,O112,N112)</f>
        <v>59</v>
      </c>
      <c r="S118" s="223">
        <f>N113+SUM(S112,R112,Q112,O112)</f>
        <v>68</v>
      </c>
      <c r="T118" s="223">
        <f>O113+SUM(T112,S112,R112,Q112)</f>
        <v>69</v>
      </c>
      <c r="U118" s="1125">
        <f>P113+SUM(U112)</f>
        <v>69</v>
      </c>
      <c r="V118" s="223">
        <f>Q113+SUM(V112,T112,S112,R112)</f>
        <v>72</v>
      </c>
      <c r="W118" s="223">
        <f>R113+SUM(W112,V112,T112,S112)</f>
        <v>78</v>
      </c>
      <c r="X118" s="223">
        <f>S113+SUM(X112,W112,V112,T112)</f>
        <v>82</v>
      </c>
      <c r="Y118" s="223">
        <f>T113+SUM(Y112,X112,W112,V112)</f>
        <v>85</v>
      </c>
      <c r="Z118" s="1125">
        <f>U113+SUM(Z112)</f>
        <v>85</v>
      </c>
      <c r="AA118" s="223">
        <f>V113+SUM(AA112,Y112,X112,W112)</f>
        <v>85</v>
      </c>
      <c r="AB118" s="223">
        <f>W113+SUM(AB112,AA112,Y112,X112)</f>
        <v>87</v>
      </c>
      <c r="AC118" s="223">
        <f>X113+SUM(AC112,AB112,AA112,Y112)</f>
        <v>96</v>
      </c>
      <c r="AD118" s="223">
        <f>Y113+SUM(AD112,AC112,AB112,AA112)</f>
        <v>95</v>
      </c>
      <c r="AE118" s="1125">
        <f>Z113+SUM(AE112)</f>
        <v>95</v>
      </c>
      <c r="AF118" s="223">
        <f>AA113+SUM(AF112,AD112,AC112,AB112)</f>
        <v>96</v>
      </c>
      <c r="AG118" s="223">
        <f>AB113+SUM(AG112,AF112,AD112,AC112)</f>
        <v>96</v>
      </c>
      <c r="AH118" s="223">
        <f>AC113+SUM(AH112,AG112,AF112,AD112)</f>
        <v>101</v>
      </c>
      <c r="AI118" s="223">
        <f>AD113+SUM(AI112,AH112,AG112,AF112)</f>
        <v>103</v>
      </c>
      <c r="AJ118" s="1125">
        <f>AE113+SUM(AJ112)</f>
        <v>103</v>
      </c>
      <c r="AK118" s="223">
        <f>AF113+SUM(AK112,AI112,AH112,AG112)</f>
        <v>105</v>
      </c>
      <c r="AL118" s="223">
        <f>AG113+SUM(AL112,AK112,AI112,AH112)</f>
        <v>107</v>
      </c>
      <c r="AM118" s="223">
        <f>AH113+SUM(AM112,AL112,AK112,AI112)</f>
        <v>110</v>
      </c>
      <c r="AN118" s="223">
        <f>AI113+SUM(AN112,AM112,AL112,AK112)</f>
        <v>111</v>
      </c>
      <c r="AO118" s="1125">
        <f>AJ113+SUM(AO112)</f>
        <v>111</v>
      </c>
      <c r="AP118" s="223">
        <f>AK113+SUM(AP112,AN112,AM112,AL112)</f>
        <v>111</v>
      </c>
      <c r="AQ118" s="223">
        <f>AL113+SUM(AQ112,AP112,AN112,AM112)</f>
        <v>110</v>
      </c>
      <c r="AR118" s="223">
        <f>AM113+SUM(AR112,AQ112,AP112,AN112)</f>
        <v>111</v>
      </c>
      <c r="AS118" s="223">
        <f>AN113+SUM(AS112,AR112,AQ112,AP112)</f>
        <v>114</v>
      </c>
      <c r="AT118" s="1125">
        <f>AO113+SUM(AT112)</f>
        <v>114</v>
      </c>
      <c r="AU118" s="223">
        <f>AP113+SUM(AU112,AS112,AR112,AQ112)</f>
        <v>116</v>
      </c>
      <c r="AV118" s="223">
        <f>AQ113+SUM(AV112,AU112,AS112,AR112)</f>
        <v>119</v>
      </c>
      <c r="AW118" s="223">
        <f>AR113+SUM(AW112,AV112,AU112,AS112)</f>
        <v>118</v>
      </c>
      <c r="AX118" s="223">
        <f>AS113+SUM(AX112,AW112,AV112,AU112)</f>
        <v>117</v>
      </c>
      <c r="AY118" s="1125">
        <f>AT113+SUM(AY112)</f>
        <v>117</v>
      </c>
      <c r="AZ118" s="223">
        <f>AU113+SUM(AZ112,AX112,AW112,AV112)</f>
        <v>117</v>
      </c>
      <c r="BA118" s="223">
        <f>AV113+SUM(BA112,AZ112,AX112,AW112)</f>
        <v>118</v>
      </c>
      <c r="BB118" s="223">
        <f>AW113+SUM(BB112,BA112,AZ112,AX112)</f>
        <v>118</v>
      </c>
      <c r="BC118" s="223">
        <f>AX113+SUM(BC112,BB112,BA112,AZ112)</f>
        <v>118</v>
      </c>
      <c r="BD118" s="1125">
        <f>AY113+SUM(BD112)</f>
        <v>118</v>
      </c>
      <c r="BE118" s="223">
        <f>AZ113+SUM(BE112,BC112,BB112,BA112)</f>
        <v>118</v>
      </c>
      <c r="BF118" s="223">
        <f>BA113+SUM(BF112,BE112,BC112,BB112)</f>
        <v>118</v>
      </c>
      <c r="BG118" s="223">
        <f>BB113+SUM(BG112,BF112,BE112,BC112)</f>
        <v>120</v>
      </c>
      <c r="BH118" s="223">
        <f>BC113+SUM(BH112,BG112,BF112,BE112)</f>
        <v>119</v>
      </c>
      <c r="BI118" s="1125">
        <f>BD113+SUM(BI112)</f>
        <v>119</v>
      </c>
      <c r="BJ118" s="1169">
        <f>BE113+SUM(BJ112,BH112,BG112,BF112)</f>
        <v>119</v>
      </c>
      <c r="BK118" s="487">
        <f>BF113+SUM(BK112,BJ112,BH112,BG112)</f>
        <v>119</v>
      </c>
      <c r="BL118" s="487">
        <f>BG113+SUM(BL112,BK112,BJ112,BH112)</f>
        <v>118</v>
      </c>
      <c r="BM118" s="487">
        <f>BH113+SUM(BM112,BL112,BK112,BJ112)</f>
        <v>117</v>
      </c>
      <c r="BN118" s="425">
        <f>BI113+SUM(BN112)</f>
        <v>117</v>
      </c>
      <c r="BO118" s="487">
        <f>BJ113+SUM(BO112,BM112,BL112,BK112)</f>
        <v>117</v>
      </c>
      <c r="BP118" s="487">
        <f>BK113+SUM(BP112,BO112,BM112,BL112)</f>
        <v>117</v>
      </c>
      <c r="BQ118" s="487">
        <f>BL113+SUM(BQ112,BP112,BO112,BM112)</f>
        <v>117</v>
      </c>
      <c r="BR118" s="487">
        <f>BM113+SUM(BR112,BQ112,BP112,BO112)</f>
        <v>117</v>
      </c>
      <c r="BS118" s="425">
        <f>BN113+SUM(BS112)</f>
        <v>117</v>
      </c>
      <c r="BT118" s="425">
        <f>BS113+SUM(BT112)</f>
        <v>113</v>
      </c>
      <c r="BU118" s="425">
        <f>BT113+SUM(BU112)</f>
        <v>109</v>
      </c>
      <c r="BV118" s="425">
        <f>BU113+SUM(BV112)</f>
        <v>105</v>
      </c>
      <c r="BW118" s="223"/>
    </row>
    <row r="119" spans="1:75" s="224" customFormat="1" hidden="1" outlineLevel="1" x14ac:dyDescent="0.5">
      <c r="A119" s="590" t="s">
        <v>1716</v>
      </c>
      <c r="B119" s="494"/>
      <c r="C119" s="425"/>
      <c r="D119" s="1125">
        <f>SUM(D111)</f>
        <v>2</v>
      </c>
      <c r="E119" s="1125">
        <f>SUM(E111)</f>
        <v>2</v>
      </c>
      <c r="F119" s="1125">
        <f>SUM(F111)</f>
        <v>13</v>
      </c>
      <c r="G119" s="487"/>
      <c r="H119" s="487"/>
      <c r="I119" s="487"/>
      <c r="J119" s="487"/>
      <c r="K119" s="1125">
        <f>SUM(K111)</f>
        <v>11</v>
      </c>
      <c r="L119" s="223">
        <f>SUM(L111,J111,I111,H111)</f>
        <v>10</v>
      </c>
      <c r="M119" s="223">
        <f>SUM(M111,L111,J111,I111)</f>
        <v>8</v>
      </c>
      <c r="N119" s="223">
        <f>SUM(N111,M111,L111,J111)</f>
        <v>13</v>
      </c>
      <c r="O119" s="223">
        <f>SUM(O111,N111,M111,L111)</f>
        <v>11</v>
      </c>
      <c r="P119" s="1125">
        <f>SUM(P111)</f>
        <v>11</v>
      </c>
      <c r="Q119" s="223">
        <f>SUM(Q111,O111,N111,M111)</f>
        <v>14</v>
      </c>
      <c r="R119" s="223">
        <f>SUM(R111,Q111,O111,N111)</f>
        <v>19</v>
      </c>
      <c r="S119" s="223">
        <f>SUM(S111,R111,Q111,O111)</f>
        <v>16</v>
      </c>
      <c r="T119" s="223">
        <f>SUM(T111,S111,R111,Q111)</f>
        <v>18</v>
      </c>
      <c r="U119" s="1125">
        <f>SUM(U111)</f>
        <v>18</v>
      </c>
      <c r="V119" s="223">
        <f>SUM(V111,T111,S111,R111)</f>
        <v>15</v>
      </c>
      <c r="W119" s="223">
        <f>SUM(W111,V111,T111,S111)</f>
        <v>11</v>
      </c>
      <c r="X119" s="223">
        <f>SUM(X111,W111,V111,T111)</f>
        <v>15</v>
      </c>
      <c r="Y119" s="223">
        <f>SUM(Y111,X111,W111,V111)</f>
        <v>13</v>
      </c>
      <c r="Z119" s="1125">
        <f>SUM(Z111)</f>
        <v>13</v>
      </c>
      <c r="AA119" s="223">
        <f>SUM(AA111,Y111,X111,W111)</f>
        <v>14</v>
      </c>
      <c r="AB119" s="223">
        <f>SUM(AB111,AA111,Y111,X111)</f>
        <v>14</v>
      </c>
      <c r="AC119" s="223">
        <f>SUM(AC111,AB111,AA111,Y111)</f>
        <v>9</v>
      </c>
      <c r="AD119" s="223">
        <f>SUM(AD111,AC111,AB111,AA111)</f>
        <v>11</v>
      </c>
      <c r="AE119" s="1125">
        <f>SUM(AE111)</f>
        <v>11</v>
      </c>
      <c r="AF119" s="223">
        <f>SUM(AF111,AD111,AC111,AB111)</f>
        <v>12</v>
      </c>
      <c r="AG119" s="223">
        <f>SUM(AG111,AF111,AD111,AC111)</f>
        <v>13</v>
      </c>
      <c r="AH119" s="223">
        <f>SUM(AH111,AG111,AF111,AD111)</f>
        <v>11</v>
      </c>
      <c r="AI119" s="223">
        <f>SUM(AI111,AH111,AG111,AF111)</f>
        <v>9</v>
      </c>
      <c r="AJ119" s="1125">
        <f>SUM(AJ111)</f>
        <v>9</v>
      </c>
      <c r="AK119" s="223">
        <f>SUM(AK111,AI111,AH111,AG111)</f>
        <v>8</v>
      </c>
      <c r="AL119" s="223">
        <f>SUM(AL111,AK111,AI111,AH111)</f>
        <v>5</v>
      </c>
      <c r="AM119" s="223">
        <f>SUM(AM111,AL111,AK111,AI111)</f>
        <v>4</v>
      </c>
      <c r="AN119" s="223">
        <f>SUM(AN111,AM111,AL111,AK111)</f>
        <v>7</v>
      </c>
      <c r="AO119" s="1125">
        <f>SUM(AO111)</f>
        <v>7</v>
      </c>
      <c r="AP119" s="223">
        <f>SUM(AP111,AN111,AM111,AL111)</f>
        <v>8</v>
      </c>
      <c r="AQ119" s="223">
        <f>SUM(AQ111,AP111,AN111,AM111)</f>
        <v>11</v>
      </c>
      <c r="AR119" s="223">
        <f>SUM(AR111,AQ111,AP111,AN111)</f>
        <v>11</v>
      </c>
      <c r="AS119" s="223">
        <f>SUM(AS111,AR111,AQ111,AP111)</f>
        <v>7</v>
      </c>
      <c r="AT119" s="1125">
        <f>SUM(AT111)</f>
        <v>7</v>
      </c>
      <c r="AU119" s="223">
        <f>SUM(AU111,AS111,AR111,AQ111)</f>
        <v>5</v>
      </c>
      <c r="AV119" s="223">
        <f>SUM(AV111,AU111,AS111,AR111)</f>
        <v>4</v>
      </c>
      <c r="AW119" s="223">
        <f>SUM(AW111,AV111,AU111,AS111)</f>
        <v>3</v>
      </c>
      <c r="AX119" s="223">
        <f>SUM(AX111,AW111,AV111,AU111)</f>
        <v>4</v>
      </c>
      <c r="AY119" s="1125">
        <f>SUM(AY111)</f>
        <v>4</v>
      </c>
      <c r="AZ119" s="223">
        <f>SUM(AZ111,AX111,AW111,AV111)</f>
        <v>4</v>
      </c>
      <c r="BA119" s="223">
        <f>SUM(BA111,AZ111,AX111,AW111)</f>
        <v>3</v>
      </c>
      <c r="BB119" s="223">
        <f>SUM(BB111,BA111,AZ111,AX111)</f>
        <v>4</v>
      </c>
      <c r="BC119" s="223">
        <f>SUM(BC111,BB111,BA111,AZ111)</f>
        <v>4</v>
      </c>
      <c r="BD119" s="1125">
        <f>SUM(BD111)</f>
        <v>4</v>
      </c>
      <c r="BE119" s="223">
        <f>SUM(BE111,BC111,BB111,BA111)</f>
        <v>5</v>
      </c>
      <c r="BF119" s="223">
        <f>SUM(BF111,BE111,BC111,BB111)</f>
        <v>5</v>
      </c>
      <c r="BG119" s="223">
        <f>SUM(BG111,BF111,BE111,BC111)</f>
        <v>3</v>
      </c>
      <c r="BH119" s="223">
        <f>SUM(BH111,BG111,BF111,BE111)</f>
        <v>2</v>
      </c>
      <c r="BI119" s="1125">
        <f>SUM(BI111)</f>
        <v>2</v>
      </c>
      <c r="BJ119" s="1169">
        <f>SUM(BJ111,BH111,BG111,BF111)</f>
        <v>2</v>
      </c>
      <c r="BK119" s="487">
        <f>SUM(BK111,BJ111,BH111,BG111)</f>
        <v>2</v>
      </c>
      <c r="BL119" s="487">
        <f>SUM(BL111,BK111,BJ111,BH111)</f>
        <v>3</v>
      </c>
      <c r="BM119" s="487">
        <f>SUM(BM111,BL111,BK111,BJ111)</f>
        <v>4</v>
      </c>
      <c r="BN119" s="425">
        <f>SUM(BN111)</f>
        <v>4</v>
      </c>
      <c r="BO119" s="487">
        <f>SUM(BO111,BM111,BL111,BK111)</f>
        <v>4</v>
      </c>
      <c r="BP119" s="487">
        <f>SUM(BP111,BO111,BM111,BL111)</f>
        <v>4</v>
      </c>
      <c r="BQ119" s="487">
        <f>SUM(BQ111,BP111,BO111,BM111)</f>
        <v>4</v>
      </c>
      <c r="BR119" s="487">
        <f>SUM(BR111,BQ111,BP111,BO111)</f>
        <v>4</v>
      </c>
      <c r="BS119" s="425">
        <f>SUM(BS111)</f>
        <v>4</v>
      </c>
      <c r="BT119" s="425">
        <f>SUM(BT111)</f>
        <v>4</v>
      </c>
      <c r="BU119" s="425">
        <f>SUM(BU111)</f>
        <v>4</v>
      </c>
      <c r="BV119" s="425">
        <f>SUM(BV111)</f>
        <v>4</v>
      </c>
      <c r="BW119" s="223"/>
    </row>
    <row r="120" spans="1:75" s="169" customFormat="1" ht="14.25" hidden="1" outlineLevel="1" x14ac:dyDescent="0.45">
      <c r="A120" s="163"/>
      <c r="B120" s="1121"/>
      <c r="C120" s="840"/>
      <c r="D120" s="840"/>
      <c r="E120" s="840"/>
      <c r="F120" s="840"/>
      <c r="G120" s="247"/>
      <c r="H120" s="247"/>
      <c r="I120" s="247"/>
      <c r="J120" s="247"/>
      <c r="K120" s="840"/>
      <c r="L120" s="247"/>
      <c r="M120" s="247"/>
      <c r="N120" s="247"/>
      <c r="O120" s="247"/>
      <c r="P120" s="840"/>
      <c r="Q120" s="247"/>
      <c r="R120" s="247"/>
      <c r="S120" s="247"/>
      <c r="T120" s="247"/>
      <c r="U120" s="840"/>
      <c r="V120" s="247"/>
      <c r="W120" s="247"/>
      <c r="X120" s="247"/>
      <c r="Y120" s="247"/>
      <c r="Z120" s="840"/>
      <c r="AA120" s="247"/>
      <c r="AB120" s="247"/>
      <c r="AC120" s="247"/>
      <c r="AD120" s="247"/>
      <c r="AE120" s="840"/>
      <c r="AF120" s="247"/>
      <c r="AG120" s="247"/>
      <c r="AH120" s="247"/>
      <c r="AI120" s="247"/>
      <c r="AJ120" s="840"/>
      <c r="AK120" s="247"/>
      <c r="AL120" s="247"/>
      <c r="AM120" s="247"/>
      <c r="AN120" s="247"/>
      <c r="AO120" s="840"/>
      <c r="AP120" s="247"/>
      <c r="AQ120" s="247"/>
      <c r="AR120" s="247"/>
      <c r="AS120" s="247"/>
      <c r="AT120" s="840"/>
      <c r="AU120" s="247"/>
      <c r="AV120" s="247"/>
      <c r="AW120" s="247"/>
      <c r="AX120" s="247"/>
      <c r="AY120" s="840"/>
      <c r="AZ120" s="247"/>
      <c r="BA120" s="247"/>
      <c r="BB120" s="247"/>
      <c r="BC120" s="247"/>
      <c r="BD120" s="840"/>
      <c r="BE120" s="247"/>
      <c r="BF120" s="247"/>
      <c r="BG120" s="247"/>
      <c r="BH120" s="247"/>
      <c r="BI120" s="840"/>
      <c r="BJ120" s="977"/>
      <c r="BK120" s="247"/>
      <c r="BL120" s="247"/>
      <c r="BM120" s="247"/>
      <c r="BN120" s="840"/>
      <c r="BO120" s="247"/>
      <c r="BP120" s="247"/>
      <c r="BQ120" s="247"/>
      <c r="BR120" s="247"/>
      <c r="BS120" s="840"/>
      <c r="BT120" s="840"/>
      <c r="BU120" s="840"/>
      <c r="BV120" s="840"/>
      <c r="BW120" s="168"/>
    </row>
    <row r="121" spans="1:75" s="224" customFormat="1" hidden="1" outlineLevel="1" x14ac:dyDescent="0.5">
      <c r="A121" s="218" t="s">
        <v>1717</v>
      </c>
      <c r="B121" s="494"/>
      <c r="C121" s="220"/>
      <c r="D121" s="220">
        <f>D135/D118*1000</f>
        <v>17599.999999999996</v>
      </c>
      <c r="E121" s="220">
        <f>E135/E118*1000</f>
        <v>17085.714285714286</v>
      </c>
      <c r="F121" s="220">
        <f>F135/F118*1000</f>
        <v>17100.816326530614</v>
      </c>
      <c r="G121" s="221"/>
      <c r="H121" s="221"/>
      <c r="I121" s="221"/>
      <c r="J121" s="221"/>
      <c r="K121" s="220">
        <f>K135/K118*1000</f>
        <v>14853.174120712118</v>
      </c>
      <c r="L121" s="221">
        <f>L135/L118*1000</f>
        <v>14752.066326530612</v>
      </c>
      <c r="M121" s="221">
        <f>M135/M118*1000</f>
        <v>14600</v>
      </c>
      <c r="N121" s="221">
        <f>N135/N118*1000</f>
        <v>14300</v>
      </c>
      <c r="O121" s="221">
        <f>O135/O118*1000</f>
        <v>14100</v>
      </c>
      <c r="P121" s="220">
        <f>O121</f>
        <v>14100</v>
      </c>
      <c r="Q121" s="221">
        <f>Q135/Q118*1000</f>
        <v>14100</v>
      </c>
      <c r="R121" s="221">
        <f>R135/R118*1000</f>
        <v>14000</v>
      </c>
      <c r="S121" s="221">
        <f>S135/S118*1000</f>
        <v>13799.999999999998</v>
      </c>
      <c r="T121" s="221">
        <f>T135/T118*1000</f>
        <v>13700</v>
      </c>
      <c r="U121" s="220">
        <f t="shared" ref="U121" si="246">T121</f>
        <v>13700</v>
      </c>
      <c r="V121" s="221">
        <f>V135/V118*1000</f>
        <v>13600.000000000002</v>
      </c>
      <c r="W121" s="221">
        <f>W135/W118*1000</f>
        <v>13400</v>
      </c>
      <c r="X121" s="221">
        <f>X135/X118*1000</f>
        <v>13399.999999999998</v>
      </c>
      <c r="Y121" s="221">
        <f>Y135/Y118*1000</f>
        <v>13195.294117647061</v>
      </c>
      <c r="Z121" s="220">
        <f t="shared" ref="Z121" si="247">Y121</f>
        <v>13195.294117647061</v>
      </c>
      <c r="AA121" s="221">
        <f>AA135/AA118*1000</f>
        <v>13195.294117647061</v>
      </c>
      <c r="AB121" s="221">
        <f>AB135/AB118*1000</f>
        <v>13297.701149425287</v>
      </c>
      <c r="AC121" s="221">
        <f>AC135/AC118*1000</f>
        <v>13300.02394636015</v>
      </c>
      <c r="AD121" s="221">
        <f>AD135/AD118*1000</f>
        <v>13300.023694293206</v>
      </c>
      <c r="AE121" s="220">
        <f t="shared" ref="AE121" si="248">AD121</f>
        <v>13300.023694293206</v>
      </c>
      <c r="AF121" s="221">
        <f>AF135/AF118*1000</f>
        <v>13300.023447477652</v>
      </c>
      <c r="AG121" s="221">
        <f>AG135/AG118*1000</f>
        <v>13194.814625655199</v>
      </c>
      <c r="AH121" s="221">
        <f>AH135/AH118*1000</f>
        <v>13092.078269428954</v>
      </c>
      <c r="AI121" s="221">
        <f>AI135/AI118*1000</f>
        <v>13096.192959569085</v>
      </c>
      <c r="AJ121" s="220">
        <f t="shared" ref="AJ121" si="249">AI121</f>
        <v>13096.192959569085</v>
      </c>
      <c r="AK121" s="221">
        <f>AK135/AK118*1000</f>
        <v>12993.408331767769</v>
      </c>
      <c r="AL121" s="221">
        <f>AL135/AL118*1000</f>
        <v>13100.074034865152</v>
      </c>
      <c r="AM121" s="221">
        <f>AM135/AM118*1000</f>
        <v>13201.890197550649</v>
      </c>
      <c r="AN121" s="221">
        <f>AN135/AN118*1000</f>
        <v>13100.000000000002</v>
      </c>
      <c r="AO121" s="220">
        <f t="shared" ref="AO121" si="250">AN121</f>
        <v>13100.000000000002</v>
      </c>
      <c r="AP121" s="221">
        <f>AP135/AP118*1000</f>
        <v>13100.000000000002</v>
      </c>
      <c r="AQ121" s="221">
        <f>AQ135/AQ118*1000</f>
        <v>13100</v>
      </c>
      <c r="AR121" s="221">
        <f>AR135/AR118*1000</f>
        <v>13100.000000000002</v>
      </c>
      <c r="AS121" s="221">
        <f>AS135/AS118*1000</f>
        <v>13100</v>
      </c>
      <c r="AT121" s="220">
        <f t="shared" ref="AT121" si="251">AS121</f>
        <v>13100</v>
      </c>
      <c r="AU121" s="221">
        <f>AU135/AU118*1000</f>
        <v>13202.586206896551</v>
      </c>
      <c r="AV121" s="221">
        <f>AV135/AV118*1000</f>
        <v>13201.680672268907</v>
      </c>
      <c r="AW121" s="221">
        <f>AW135/AW118*1000</f>
        <v>13097.414898162655</v>
      </c>
      <c r="AX121" s="221">
        <f>AX135/AX118*1000</f>
        <v>13097.414898162655</v>
      </c>
      <c r="AY121" s="220">
        <f t="shared" ref="AY121" si="252">AX121</f>
        <v>13097.414898162655</v>
      </c>
      <c r="AZ121" s="221">
        <f>AZ135/AZ118*1000</f>
        <v>13097.414898162655</v>
      </c>
      <c r="BA121" s="221">
        <f>BA135/BA118*1000</f>
        <v>13097.458713448033</v>
      </c>
      <c r="BB121" s="221">
        <f>BB135/BB118*1000</f>
        <v>13100.065351612089</v>
      </c>
      <c r="BC121" s="221">
        <f>BC135/BC118*1000</f>
        <v>13202.585263023535</v>
      </c>
      <c r="BD121" s="220">
        <f>BC121</f>
        <v>13202.585263023535</v>
      </c>
      <c r="BE121" s="221">
        <f>BE135/BE118*1000</f>
        <v>13202.585263023535</v>
      </c>
      <c r="BF121" s="221">
        <f>BF135/BF118*1000</f>
        <v>13201.693988745054</v>
      </c>
      <c r="BG121" s="221">
        <f>BG135/BG118*1000</f>
        <v>13200.811244878036</v>
      </c>
      <c r="BH121" s="221">
        <f>BH135/BH118*1000</f>
        <v>13199.978275100644</v>
      </c>
      <c r="BI121" s="220">
        <f>BH121</f>
        <v>13199.978275100644</v>
      </c>
      <c r="BJ121" s="1118">
        <f>BJ135/BJ118*1000</f>
        <v>13199.978457662821</v>
      </c>
      <c r="BK121" s="221">
        <f>BK135/BK118*1000</f>
        <v>13200.000363590223</v>
      </c>
      <c r="BL121" s="221">
        <f>BL135/BL118*1000</f>
        <v>13200.000363590221</v>
      </c>
      <c r="BM121" s="221">
        <f>BM135/BM118*1000</f>
        <v>13200.000363590221</v>
      </c>
      <c r="BN121" s="220">
        <f>BM121</f>
        <v>13200.000363590221</v>
      </c>
      <c r="BO121" s="221">
        <f>BO135/BO118*1000</f>
        <v>13303.418978218519</v>
      </c>
      <c r="BP121" s="221">
        <f>BP135/BP118*1000</f>
        <v>13302.535058435371</v>
      </c>
      <c r="BQ121" s="221">
        <f>BQ135/BQ118*1000</f>
        <v>13301.658693522166</v>
      </c>
      <c r="BR121" s="221">
        <f>BR135/BR118*1000</f>
        <v>13300.789818907366</v>
      </c>
      <c r="BS121" s="220">
        <f>BR121</f>
        <v>13300.789818907366</v>
      </c>
      <c r="BT121" s="220">
        <f>BT135/BT118*1000</f>
        <v>13300.836219557399</v>
      </c>
      <c r="BU121" s="220">
        <f>BU135/BU118*1000</f>
        <v>13300.836219557401</v>
      </c>
      <c r="BV121" s="220">
        <f>BV135/BV118*1000</f>
        <v>13300.836219557401</v>
      </c>
      <c r="BW121" s="223"/>
    </row>
    <row r="122" spans="1:75" s="177" customFormat="1" ht="14.25" hidden="1" outlineLevel="1" x14ac:dyDescent="0.45">
      <c r="A122" s="189" t="s">
        <v>1718</v>
      </c>
      <c r="B122" s="491"/>
      <c r="C122" s="172"/>
      <c r="D122" s="172">
        <f>IFERROR(D124/D121,"n/a")</f>
        <v>0.48863636363636381</v>
      </c>
      <c r="E122" s="172">
        <f>IFERROR(E124/E121,"n/a")</f>
        <v>1.0154682274247495</v>
      </c>
      <c r="F122" s="172">
        <f>IFERROR(F124/F121,"n/a")</f>
        <v>0.52481268164968664</v>
      </c>
      <c r="G122" s="175"/>
      <c r="H122" s="175"/>
      <c r="I122" s="175"/>
      <c r="J122" s="175"/>
      <c r="K122" s="172">
        <f t="shared" ref="K122:BJ122" si="253">IFERROR(K124/K121,"n/a")</f>
        <v>0.73263077002151489</v>
      </c>
      <c r="L122" s="175" t="str">
        <f t="shared" si="253"/>
        <v>n/a</v>
      </c>
      <c r="M122" s="175">
        <f t="shared" si="253"/>
        <v>0.56164383561644149</v>
      </c>
      <c r="N122" s="175">
        <f t="shared" si="253"/>
        <v>0.87334887334887323</v>
      </c>
      <c r="O122" s="175">
        <f t="shared" si="253"/>
        <v>0.48936170212765795</v>
      </c>
      <c r="P122" s="172">
        <f t="shared" si="253"/>
        <v>0.82205029013539654</v>
      </c>
      <c r="Q122" s="175">
        <f t="shared" si="253"/>
        <v>0.80141843971631421</v>
      </c>
      <c r="R122" s="175">
        <f t="shared" si="253"/>
        <v>0.7857142857142857</v>
      </c>
      <c r="S122" s="175">
        <f t="shared" si="253"/>
        <v>0.97101449275362173</v>
      </c>
      <c r="T122" s="175">
        <f t="shared" si="253"/>
        <v>0.55474452554744969</v>
      </c>
      <c r="U122" s="172">
        <f t="shared" si="253"/>
        <v>0.82360097323601034</v>
      </c>
      <c r="V122" s="175" t="str">
        <f t="shared" si="253"/>
        <v>n/a</v>
      </c>
      <c r="W122" s="175">
        <f t="shared" si="253"/>
        <v>1.3171641791044759</v>
      </c>
      <c r="X122" s="175">
        <f t="shared" si="253"/>
        <v>0.99402985074626782</v>
      </c>
      <c r="Y122" s="175">
        <f t="shared" si="253"/>
        <v>1.0079350927246926</v>
      </c>
      <c r="Z122" s="172">
        <f t="shared" si="253"/>
        <v>1.0598183913091186</v>
      </c>
      <c r="AA122" s="175">
        <f t="shared" si="253"/>
        <v>1.0079350927246753</v>
      </c>
      <c r="AB122" s="175">
        <f t="shared" si="253"/>
        <v>0.62040798686144005</v>
      </c>
      <c r="AC122" s="175">
        <f t="shared" si="253"/>
        <v>0.83605415108505565</v>
      </c>
      <c r="AD122" s="175">
        <f t="shared" si="253"/>
        <v>0.99498689639564986</v>
      </c>
      <c r="AE122" s="172">
        <f t="shared" si="253"/>
        <v>0.85507536690139696</v>
      </c>
      <c r="AF122" s="175">
        <f t="shared" si="253"/>
        <v>0.57894634775702969</v>
      </c>
      <c r="AG122" s="175">
        <f t="shared" si="253"/>
        <v>1.2757548660255815</v>
      </c>
      <c r="AH122" s="175">
        <f t="shared" si="253"/>
        <v>1.2857647950853233</v>
      </c>
      <c r="AI122" s="175">
        <f t="shared" si="253"/>
        <v>0.14447544223502076</v>
      </c>
      <c r="AJ122" s="172">
        <f t="shared" si="253"/>
        <v>1.0036175782753471</v>
      </c>
      <c r="AK122" s="175">
        <f t="shared" si="253"/>
        <v>1.0082035187004423</v>
      </c>
      <c r="AL122" s="175" t="str">
        <f t="shared" si="253"/>
        <v>n/a</v>
      </c>
      <c r="AM122" s="175">
        <f t="shared" si="253"/>
        <v>0.99228215081128834</v>
      </c>
      <c r="AN122" s="175">
        <f t="shared" si="253"/>
        <v>0.99999999999999722</v>
      </c>
      <c r="AO122" s="172">
        <f t="shared" si="253"/>
        <v>0.99999999999999789</v>
      </c>
      <c r="AP122" s="175">
        <f t="shared" si="253"/>
        <v>1.4541984732824424</v>
      </c>
      <c r="AQ122" s="175">
        <f t="shared" si="253"/>
        <v>1.0050890585241754</v>
      </c>
      <c r="AR122" s="175">
        <f t="shared" si="253"/>
        <v>0.53816793893129766</v>
      </c>
      <c r="AS122" s="175" t="str">
        <f t="shared" si="253"/>
        <v>n/a</v>
      </c>
      <c r="AT122" s="172">
        <f t="shared" si="253"/>
        <v>1.0000000000000011</v>
      </c>
      <c r="AU122" s="175" t="str">
        <f t="shared" si="253"/>
        <v>n/a</v>
      </c>
      <c r="AV122" s="175">
        <f t="shared" si="253"/>
        <v>0.99229789942711821</v>
      </c>
      <c r="AW122" s="175">
        <f t="shared" si="253"/>
        <v>1.0234876211096571</v>
      </c>
      <c r="AX122" s="175">
        <f t="shared" si="253"/>
        <v>1.9238464303133256</v>
      </c>
      <c r="AY122" s="172">
        <f t="shared" si="253"/>
        <v>1.2369322003394005</v>
      </c>
      <c r="AZ122" s="175" t="str">
        <f t="shared" si="253"/>
        <v>n/a</v>
      </c>
      <c r="BA122" s="175">
        <f t="shared" si="253"/>
        <v>0.99999665467276233</v>
      </c>
      <c r="BB122" s="175">
        <f t="shared" si="253"/>
        <v>1.0037147910186541</v>
      </c>
      <c r="BC122" s="175">
        <f t="shared" si="253"/>
        <v>0.99223486087239499</v>
      </c>
      <c r="BD122" s="172">
        <f t="shared" si="253"/>
        <v>0.99402764529469345</v>
      </c>
      <c r="BE122" s="175">
        <f t="shared" si="253"/>
        <v>0.9998041850916155</v>
      </c>
      <c r="BF122" s="175">
        <f t="shared" si="253"/>
        <v>1.0000675121146756</v>
      </c>
      <c r="BG122" s="175" t="str">
        <f t="shared" si="253"/>
        <v>n/a</v>
      </c>
      <c r="BH122" s="175" t="str">
        <f t="shared" si="253"/>
        <v>n/a</v>
      </c>
      <c r="BI122" s="172">
        <f t="shared" si="253"/>
        <v>1.0000995726192605</v>
      </c>
      <c r="BJ122" s="1111">
        <f t="shared" si="253"/>
        <v>1.9166681488342483</v>
      </c>
      <c r="BK122" s="190">
        <v>1</v>
      </c>
      <c r="BL122" s="190">
        <v>1</v>
      </c>
      <c r="BM122" s="190">
        <v>1</v>
      </c>
      <c r="BN122" s="172">
        <f>IFERROR(BN124/BN121,"n/a")</f>
        <v>1.2291662420117409</v>
      </c>
      <c r="BO122" s="190">
        <v>1</v>
      </c>
      <c r="BP122" s="190">
        <v>1</v>
      </c>
      <c r="BQ122" s="190">
        <v>1</v>
      </c>
      <c r="BR122" s="190">
        <v>1</v>
      </c>
      <c r="BS122" s="172">
        <f>IFERROR(BS124/BS121,"n/a")</f>
        <v>1.0000985519191969</v>
      </c>
      <c r="BT122" s="191">
        <v>1</v>
      </c>
      <c r="BU122" s="191">
        <v>1</v>
      </c>
      <c r="BV122" s="191">
        <v>1</v>
      </c>
      <c r="BW122" s="176"/>
    </row>
    <row r="123" spans="1:75" s="177" customFormat="1" ht="14.25" hidden="1" outlineLevel="1" x14ac:dyDescent="0.45">
      <c r="A123" s="189" t="s">
        <v>1719</v>
      </c>
      <c r="B123" s="491"/>
      <c r="C123" s="172"/>
      <c r="D123" s="191">
        <v>1</v>
      </c>
      <c r="E123" s="191">
        <v>1</v>
      </c>
      <c r="F123" s="191">
        <v>1</v>
      </c>
      <c r="G123" s="175"/>
      <c r="H123" s="175"/>
      <c r="I123" s="175"/>
      <c r="J123" s="175"/>
      <c r="K123" s="172">
        <f>K130/K112*1000/F121</f>
        <v>1</v>
      </c>
      <c r="L123" s="190">
        <v>1</v>
      </c>
      <c r="M123" s="190">
        <v>1</v>
      </c>
      <c r="N123" s="190">
        <v>1</v>
      </c>
      <c r="O123" s="190">
        <v>1</v>
      </c>
      <c r="P123" s="172" t="str">
        <f>IFERROR(SUM(L130*L123,M130*M123,N130*N123,O130*O123)/P130,"n/a")</f>
        <v>n/a</v>
      </c>
      <c r="Q123" s="190">
        <v>1</v>
      </c>
      <c r="R123" s="190">
        <v>1</v>
      </c>
      <c r="S123" s="190">
        <v>1</v>
      </c>
      <c r="T123" s="190">
        <v>1</v>
      </c>
      <c r="U123" s="172" t="str">
        <f>IFERROR(SUM(Q130*Q123,R130*R123,S130*S123,T130*T123)/U130,"n/a")</f>
        <v>n/a</v>
      </c>
      <c r="V123" s="190">
        <v>1</v>
      </c>
      <c r="W123" s="190">
        <v>1</v>
      </c>
      <c r="X123" s="190">
        <v>1</v>
      </c>
      <c r="Y123" s="190">
        <v>1</v>
      </c>
      <c r="Z123" s="172">
        <f>SUM(V130*V123,W130*W123,X130*X123,Y130*Y123)/Z130</f>
        <v>1</v>
      </c>
      <c r="AA123" s="190">
        <v>1</v>
      </c>
      <c r="AB123" s="190">
        <v>1</v>
      </c>
      <c r="AC123" s="190">
        <v>1</v>
      </c>
      <c r="AD123" s="190">
        <v>1</v>
      </c>
      <c r="AE123" s="172">
        <f>SUM(AA130*AA123,AB130*AB123,AC130*AC123,AD130*AD123)/AE130</f>
        <v>1</v>
      </c>
      <c r="AF123" s="190">
        <v>1</v>
      </c>
      <c r="AG123" s="190">
        <v>1</v>
      </c>
      <c r="AH123" s="190">
        <v>1</v>
      </c>
      <c r="AI123" s="190">
        <v>1</v>
      </c>
      <c r="AJ123" s="172">
        <f>SUM(AF130*AF123,AG130*AG123,AH130*AH123,AI130*AI123)/AJ130</f>
        <v>1</v>
      </c>
      <c r="AK123" s="190">
        <v>1</v>
      </c>
      <c r="AL123" s="190">
        <v>1</v>
      </c>
      <c r="AM123" s="190">
        <v>1</v>
      </c>
      <c r="AN123" s="190">
        <v>1</v>
      </c>
      <c r="AO123" s="172">
        <f>SUM(AK130*AK123,AL130*AL123,AM130*AM123,AN130*AN123)/AO130</f>
        <v>1</v>
      </c>
      <c r="AP123" s="190">
        <v>1</v>
      </c>
      <c r="AQ123" s="190">
        <v>1</v>
      </c>
      <c r="AR123" s="190">
        <v>1</v>
      </c>
      <c r="AS123" s="190">
        <v>1</v>
      </c>
      <c r="AT123" s="172">
        <f>SUM(AP130*AP123,AQ130*AQ123,AR130*AR123,AS130*AS123)/AT130</f>
        <v>1</v>
      </c>
      <c r="AU123" s="190">
        <v>1</v>
      </c>
      <c r="AV123" s="190">
        <v>1</v>
      </c>
      <c r="AW123" s="190">
        <v>1</v>
      </c>
      <c r="AX123" s="190">
        <v>1</v>
      </c>
      <c r="AY123" s="172">
        <f>SUM(AU130*AU123,AV130*AV123,AW130*AW123,AX130*AX123)/AY130</f>
        <v>1</v>
      </c>
      <c r="AZ123" s="190">
        <v>1</v>
      </c>
      <c r="BA123" s="190">
        <v>1</v>
      </c>
      <c r="BB123" s="190">
        <v>1</v>
      </c>
      <c r="BC123" s="190">
        <v>1</v>
      </c>
      <c r="BD123" s="172">
        <f>SUM(AZ130*AZ123,BA130*BA123,BB130*BB123,BC130*BC123)/BD130</f>
        <v>1</v>
      </c>
      <c r="BE123" s="190">
        <v>1</v>
      </c>
      <c r="BF123" s="190">
        <v>1</v>
      </c>
      <c r="BG123" s="190">
        <v>1</v>
      </c>
      <c r="BH123" s="190">
        <v>1</v>
      </c>
      <c r="BI123" s="172">
        <f>SUM(BE130*BE123,BF130*BF123,BG130*BG123,BH130*BH123)/BI130</f>
        <v>1</v>
      </c>
      <c r="BJ123" s="1131">
        <v>1</v>
      </c>
      <c r="BK123" s="190">
        <v>1</v>
      </c>
      <c r="BL123" s="190">
        <v>1</v>
      </c>
      <c r="BM123" s="190">
        <v>1</v>
      </c>
      <c r="BN123" s="172">
        <f>SUM(BJ130*BJ123,BK130*BK123,BL130*BL123,BM130*BM123)/BN130</f>
        <v>1</v>
      </c>
      <c r="BO123" s="190">
        <v>1</v>
      </c>
      <c r="BP123" s="190">
        <v>1</v>
      </c>
      <c r="BQ123" s="190">
        <v>1</v>
      </c>
      <c r="BR123" s="190">
        <v>1</v>
      </c>
      <c r="BS123" s="172">
        <f>SUM(BO130*BO123,BP130*BP123,BQ130*BQ123,BR130*BR123)/BS130</f>
        <v>1</v>
      </c>
      <c r="BT123" s="191">
        <v>1</v>
      </c>
      <c r="BU123" s="191">
        <v>1</v>
      </c>
      <c r="BV123" s="191">
        <v>1</v>
      </c>
      <c r="BW123" s="176"/>
    </row>
    <row r="124" spans="1:75" s="224" customFormat="1" hidden="1" outlineLevel="1" x14ac:dyDescent="0.5">
      <c r="A124" s="218" t="s">
        <v>1720</v>
      </c>
      <c r="B124" s="494"/>
      <c r="C124" s="220"/>
      <c r="D124" s="220">
        <f>IFERROR(D129/D111*1000,"n/a")</f>
        <v>8600.0000000000018</v>
      </c>
      <c r="E124" s="220">
        <f>IFERROR(E129/E111*1000,"n/a")</f>
        <v>17350.000000000007</v>
      </c>
      <c r="F124" s="220">
        <f>IFERROR(F129/F111*1000,"n/a")</f>
        <v>8974.7252747252751</v>
      </c>
      <c r="G124" s="221"/>
      <c r="H124" s="221"/>
      <c r="I124" s="221"/>
      <c r="J124" s="221"/>
      <c r="K124" s="220">
        <f t="shared" ref="K124:BJ124" si="254">IFERROR(K129/K111*1000,"n/a")</f>
        <v>10881.892393320955</v>
      </c>
      <c r="L124" s="221" t="str">
        <f t="shared" si="254"/>
        <v>n/a</v>
      </c>
      <c r="M124" s="221">
        <f t="shared" si="254"/>
        <v>8200.0000000000455</v>
      </c>
      <c r="N124" s="221">
        <f t="shared" si="254"/>
        <v>12488.888888888887</v>
      </c>
      <c r="O124" s="221">
        <f t="shared" si="254"/>
        <v>6899.9999999999773</v>
      </c>
      <c r="P124" s="220">
        <f t="shared" si="254"/>
        <v>11590.909090909092</v>
      </c>
      <c r="Q124" s="221">
        <f t="shared" si="254"/>
        <v>11300.000000000031</v>
      </c>
      <c r="R124" s="221">
        <f t="shared" si="254"/>
        <v>11000</v>
      </c>
      <c r="S124" s="221">
        <f t="shared" si="254"/>
        <v>13399.999999999978</v>
      </c>
      <c r="T124" s="221">
        <f t="shared" si="254"/>
        <v>7600.0000000000609</v>
      </c>
      <c r="U124" s="220">
        <f t="shared" si="254"/>
        <v>11283.333333333341</v>
      </c>
      <c r="V124" s="221" t="str">
        <f t="shared" si="254"/>
        <v>n/a</v>
      </c>
      <c r="W124" s="221">
        <f t="shared" si="254"/>
        <v>17649.999999999978</v>
      </c>
      <c r="X124" s="221">
        <f t="shared" si="254"/>
        <v>13319.999999999987</v>
      </c>
      <c r="Y124" s="221">
        <f t="shared" si="254"/>
        <v>13300.000000000182</v>
      </c>
      <c r="Z124" s="220">
        <f t="shared" si="254"/>
        <v>13984.615384615385</v>
      </c>
      <c r="AA124" s="221">
        <f t="shared" si="254"/>
        <v>13299.999999999955</v>
      </c>
      <c r="AB124" s="221">
        <f t="shared" si="254"/>
        <v>8250</v>
      </c>
      <c r="AC124" s="221">
        <f t="shared" si="254"/>
        <v>11119.540229885048</v>
      </c>
      <c r="AD124" s="221">
        <f t="shared" si="254"/>
        <v>13233.349297573403</v>
      </c>
      <c r="AE124" s="220">
        <f t="shared" si="254"/>
        <v>11372.522640195037</v>
      </c>
      <c r="AF124" s="221">
        <f t="shared" si="254"/>
        <v>7700.0000000000455</v>
      </c>
      <c r="AG124" s="221">
        <f t="shared" si="254"/>
        <v>16833.348964985133</v>
      </c>
      <c r="AH124" s="221">
        <f t="shared" si="254"/>
        <v>16833.333333333332</v>
      </c>
      <c r="AI124" s="221">
        <f t="shared" si="254"/>
        <v>1892.0782694289092</v>
      </c>
      <c r="AJ124" s="220">
        <f t="shared" si="254"/>
        <v>13143.569462709378</v>
      </c>
      <c r="AK124" s="221">
        <f t="shared" si="254"/>
        <v>13099.999999999909</v>
      </c>
      <c r="AL124" s="221" t="str">
        <f t="shared" si="254"/>
        <v>n/a</v>
      </c>
      <c r="AM124" s="221">
        <f t="shared" si="254"/>
        <v>13100.000000000022</v>
      </c>
      <c r="AN124" s="221">
        <f t="shared" si="254"/>
        <v>13099.999999999965</v>
      </c>
      <c r="AO124" s="220">
        <f t="shared" si="254"/>
        <v>13099.999999999975</v>
      </c>
      <c r="AP124" s="221">
        <f t="shared" si="254"/>
        <v>19050</v>
      </c>
      <c r="AQ124" s="221">
        <f t="shared" si="254"/>
        <v>13166.666666666699</v>
      </c>
      <c r="AR124" s="221">
        <f t="shared" si="254"/>
        <v>7050</v>
      </c>
      <c r="AS124" s="221" t="str">
        <f t="shared" si="254"/>
        <v>n/a</v>
      </c>
      <c r="AT124" s="220">
        <f t="shared" si="254"/>
        <v>13100.000000000015</v>
      </c>
      <c r="AU124" s="221" t="str">
        <f t="shared" si="254"/>
        <v>n/a</v>
      </c>
      <c r="AV124" s="221">
        <f t="shared" si="254"/>
        <v>13100.000000000022</v>
      </c>
      <c r="AW124" s="221">
        <f t="shared" si="254"/>
        <v>13405.042016806676</v>
      </c>
      <c r="AX124" s="221">
        <f t="shared" si="254"/>
        <v>25197.414898162791</v>
      </c>
      <c r="AY124" s="220">
        <f t="shared" si="254"/>
        <v>16200.614228742377</v>
      </c>
      <c r="AZ124" s="221" t="str">
        <f t="shared" si="254"/>
        <v>n/a</v>
      </c>
      <c r="BA124" s="221">
        <f t="shared" si="254"/>
        <v>13097.414898162655</v>
      </c>
      <c r="BB124" s="221">
        <f t="shared" si="254"/>
        <v>13148.729356724039</v>
      </c>
      <c r="BC124" s="221">
        <f t="shared" si="254"/>
        <v>13100.065351612089</v>
      </c>
      <c r="BD124" s="220">
        <f t="shared" si="254"/>
        <v>13123.734740805705</v>
      </c>
      <c r="BE124" s="221">
        <f t="shared" si="254"/>
        <v>13199.999999999818</v>
      </c>
      <c r="BF124" s="221">
        <f t="shared" si="254"/>
        <v>13202.585263023535</v>
      </c>
      <c r="BG124" s="221" t="str">
        <f t="shared" si="254"/>
        <v>n/a</v>
      </c>
      <c r="BH124" s="221" t="str">
        <f t="shared" si="254"/>
        <v>n/a</v>
      </c>
      <c r="BI124" s="220">
        <f t="shared" si="254"/>
        <v>13201.292631511677</v>
      </c>
      <c r="BJ124" s="1118">
        <f t="shared" si="254"/>
        <v>25299.978275100555</v>
      </c>
      <c r="BK124" s="221">
        <f>IF(BK111=0,"n/a",BK121*BK122)</f>
        <v>13200.000363590223</v>
      </c>
      <c r="BL124" s="221">
        <f>IF(BL111=0,"n/a",BL121*BL122)</f>
        <v>13200.000363590221</v>
      </c>
      <c r="BM124" s="221">
        <f>IF(BM111=0,"n/a",BM121*BM122)</f>
        <v>13200.000363590221</v>
      </c>
      <c r="BN124" s="220">
        <f>IFERROR(BN129/BN111*1000,"n/a")</f>
        <v>16224.994841467804</v>
      </c>
      <c r="BO124" s="221">
        <f>IF(BO111=0,"n/a",BO121*BO122)</f>
        <v>13303.418978218519</v>
      </c>
      <c r="BP124" s="221">
        <f>IF(BP111=0,"n/a",BP121*BP122)</f>
        <v>13302.535058435371</v>
      </c>
      <c r="BQ124" s="221">
        <f>IF(BQ111=0,"n/a",BQ121*BQ122)</f>
        <v>13301.658693522166</v>
      </c>
      <c r="BR124" s="221">
        <f>IF(BR111=0,"n/a",BR121*BR122)</f>
        <v>13300.789818907366</v>
      </c>
      <c r="BS124" s="220">
        <f>IFERROR(BS129/BS111*1000,"n/a")</f>
        <v>13302.100637270854</v>
      </c>
      <c r="BT124" s="220">
        <f>IF(BT111=0,"n/a",BT121*BT122)</f>
        <v>13300.836219557399</v>
      </c>
      <c r="BU124" s="220">
        <f>IF(BU111=0,"n/a",BU121*BU122)</f>
        <v>13300.836219557401</v>
      </c>
      <c r="BV124" s="220">
        <f>IF(BV111=0,"n/a",BV121*BV122)</f>
        <v>13300.836219557401</v>
      </c>
      <c r="BW124" s="223"/>
    </row>
    <row r="125" spans="1:75" s="224" customFormat="1" hidden="1" outlineLevel="1" x14ac:dyDescent="0.5">
      <c r="A125" s="218" t="s">
        <v>1721</v>
      </c>
      <c r="B125" s="494"/>
      <c r="C125" s="220"/>
      <c r="D125" s="220">
        <f>IFERROR(D129/D111*1000,"n/a")</f>
        <v>8600.0000000000018</v>
      </c>
      <c r="E125" s="220">
        <f>IFERROR(E129/E111*1000,"n/a")</f>
        <v>17350.000000000007</v>
      </c>
      <c r="F125" s="220">
        <f>IFERROR(F129/F111*1000,"n/a")</f>
        <v>8974.7252747252751</v>
      </c>
      <c r="G125" s="221"/>
      <c r="H125" s="221"/>
      <c r="I125" s="221"/>
      <c r="J125" s="221"/>
      <c r="K125" s="220">
        <f>IFERROR(K129/K111*1000,"n/a")</f>
        <v>10881.892393320955</v>
      </c>
      <c r="L125" s="221">
        <f>IFERROR(SUM(L129,J129,I129,H129)/SUM(L111,J111,I111,H111)*1000,"n/a")</f>
        <v>10970.081632653053</v>
      </c>
      <c r="M125" s="221">
        <f>IFERROR(SUM(M129,L129,J129,I129)/SUM(M111,L111,J111,I111)*1000,"n/a")</f>
        <v>10174.999999999996</v>
      </c>
      <c r="N125" s="221">
        <f>IFERROR(SUM(N129,M129,L129,J129)/SUM(N111,M111,L111,J111)*1000,"n/a")</f>
        <v>11684.615384615383</v>
      </c>
      <c r="O125" s="221">
        <f>IFERROR(SUM(O129,N129,M129,L129)/SUM(O111,N111,M111,L111)*1000,"n/a")</f>
        <v>11590.909090909092</v>
      </c>
      <c r="P125" s="220">
        <f t="shared" ref="P125" si="255">O125</f>
        <v>11590.909090909092</v>
      </c>
      <c r="Q125" s="221">
        <f>IFERROR(SUM(Q129,O129,N129,M129)/SUM(Q111,O111,N111,M111)*1000,"n/a")</f>
        <v>11528.571428571435</v>
      </c>
      <c r="R125" s="221">
        <f>IFERROR(SUM(R129,Q129,O129,N129)/SUM(R111,Q111,O111,N111)*1000,"n/a")</f>
        <v>11536.84210526316</v>
      </c>
      <c r="S125" s="221">
        <f>IFERROR(SUM(S129,R129,Q129,O129)/SUM(S111,R111,Q111,O111)*1000,"n/a")</f>
        <v>11699.999999999996</v>
      </c>
      <c r="T125" s="221">
        <f>IFERROR(SUM(T129,S129,R129,Q129)/SUM(T111,S111,R111,Q111)*1000,"n/a")</f>
        <v>11283.333333333341</v>
      </c>
      <c r="U125" s="220">
        <f t="shared" ref="U125" si="256">T125</f>
        <v>11283.333333333341</v>
      </c>
      <c r="V125" s="221">
        <f>IFERROR(SUM(V129,T129,S129,R129)/SUM(V111,T111,S111,R111)*1000,"n/a")</f>
        <v>11280.000000000004</v>
      </c>
      <c r="W125" s="221">
        <f>IFERROR(SUM(W129,V129,T129,S129)/SUM(W111,V111,T111,S111)*1000,"n/a")</f>
        <v>12590.909090909092</v>
      </c>
      <c r="X125" s="221">
        <f>IFERROR(SUM(X129,W129,V129,T129)/SUM(X111,W111,V111,T111)*1000,"n/a")</f>
        <v>12753.333333333334</v>
      </c>
      <c r="Y125" s="221">
        <f>IFERROR(SUM(Y129,X129,W129,V129)/SUM(Y111,X111,W111,V111)*1000,"n/a")</f>
        <v>13984.615384615385</v>
      </c>
      <c r="Z125" s="220">
        <f t="shared" ref="Z125" si="257">Y125</f>
        <v>13984.615384615385</v>
      </c>
      <c r="AA125" s="221">
        <f>IFERROR(SUM(AA129,Y129,X129,W129)/SUM(AA111,Y111,X111,W111)*1000,"n/a")</f>
        <v>13935.714285714283</v>
      </c>
      <c r="AB125" s="221">
        <f>IFERROR(SUM(AB129,AA129,Y129,X129)/SUM(AB111,AA111,Y111,X111)*1000,"n/a")</f>
        <v>12592.857142857143</v>
      </c>
      <c r="AC125" s="221">
        <f>IFERROR(SUM(AC129,AB129,AA129,Y129)/SUM(AC111,AB111,AA111,Y111)*1000,"n/a")</f>
        <v>10966.411238825041</v>
      </c>
      <c r="AD125" s="221">
        <f>IFERROR(SUM(AD129,AC129,AB129,AA129)/SUM(AD111,AC111,AB111,AA111)*1000,"n/a")</f>
        <v>11372.522640195037</v>
      </c>
      <c r="AE125" s="220">
        <f t="shared" ref="AE125" si="258">AD125</f>
        <v>11372.522640195037</v>
      </c>
      <c r="AF125" s="221">
        <f>IFERROR(SUM(AF129,AD129,AC129,AB129)/SUM(AF111,AD111,AC111,AB111)*1000,"n/a")</f>
        <v>10599.812420178794</v>
      </c>
      <c r="AG125" s="221">
        <f>IFERROR(SUM(AG129,AF129,AD129,AC129)/SUM(AG111,AF111,AD111,AC111)*1000,"n/a")</f>
        <v>12399.83045670007</v>
      </c>
      <c r="AH125" s="221">
        <f>IFERROR(SUM(AH129,AG129,AF129,AD129)/SUM(AH111,AG111,AF111,AD111)*1000,"n/a")</f>
        <v>14190.917707970517</v>
      </c>
      <c r="AI125" s="221">
        <f>IFERROR(SUM(AI129,AH129,AG129,AF129)/SUM(AI111,AH111,AG111,AF111)*1000,"n/a")</f>
        <v>13143.569462709376</v>
      </c>
      <c r="AJ125" s="220">
        <f t="shared" ref="AJ125" si="259">AI125</f>
        <v>13143.569462709376</v>
      </c>
      <c r="AK125" s="221">
        <f>IFERROR(SUM(AK129,AI129,AH129,AG129)/SUM(AK111,AI111,AH111,AG111)*1000,"n/a")</f>
        <v>14499.015645548026</v>
      </c>
      <c r="AL125" s="221">
        <f>IFERROR(SUM(AL129,AK129,AI129,AH129)/SUM(AL111,AK111,AI111,AH111)*1000,"n/a")</f>
        <v>13098.415653885762</v>
      </c>
      <c r="AM125" s="221">
        <f>IFERROR(SUM(AM129,AL129,AK129,AI129)/SUM(AM111,AL111,AK111,AI111)*1000,"n/a")</f>
        <v>10298.019567357216</v>
      </c>
      <c r="AN125" s="221">
        <f>IFERROR(SUM(AN129,AM129,AL129,AK129)/SUM(AN111,AM111,AL111,AK111)*1000,"n/a")</f>
        <v>13099.999999999975</v>
      </c>
      <c r="AO125" s="220">
        <f t="shared" ref="AO125" si="260">AN125</f>
        <v>13099.999999999975</v>
      </c>
      <c r="AP125" s="221">
        <f>IFERROR(SUM(AP129,AN129,AM129,AL129)/SUM(AP111,AN111,AM111,AL111)*1000,"n/a")</f>
        <v>14587.499999999987</v>
      </c>
      <c r="AQ125" s="221">
        <f>IFERROR(SUM(AQ129,AP129,AN129,AM129)/SUM(AQ111,AP111,AN111,AM111)*1000,"n/a")</f>
        <v>14200</v>
      </c>
      <c r="AR125" s="221">
        <f>IFERROR(SUM(AR129,AQ129,AP129,AN129)/SUM(AR111,AQ111,AP111,AN111)*1000,"n/a")</f>
        <v>13099.999999999996</v>
      </c>
      <c r="AS125" s="221">
        <f>IFERROR(SUM(AS129,AR129,AQ129,AP129)/SUM(AS111,AR111,AQ111,AP111)*1000,"n/a")</f>
        <v>13100.000000000015</v>
      </c>
      <c r="AT125" s="220">
        <f t="shared" ref="AT125" si="261">AS125</f>
        <v>13100.000000000015</v>
      </c>
      <c r="AU125" s="221">
        <f>IFERROR(SUM(AU129,AS129,AR129,AQ129)/SUM(AU111,AS111,AR111,AQ111)*1000,"n/a")</f>
        <v>10720.000000000018</v>
      </c>
      <c r="AV125" s="221">
        <f>IFERROR(SUM(AV129,AU129,AS129,AR129)/SUM(AV111,AU111,AS111,AR111)*1000,"n/a")</f>
        <v>10075.000000000011</v>
      </c>
      <c r="AW125" s="221">
        <f>IFERROR(SUM(AW129,AV129,AU129,AS129)/SUM(AW111,AV111,AU111,AS111)*1000,"n/a")</f>
        <v>13201.680672268907</v>
      </c>
      <c r="AX125" s="221">
        <f>IFERROR(SUM(AX129,AW129,AV129,AU129)/SUM(AX111,AW111,AV111,AU111)*1000,"n/a")</f>
        <v>16200.614228742377</v>
      </c>
      <c r="AY125" s="220">
        <f t="shared" ref="AY125" si="262">AX125</f>
        <v>16200.614228742377</v>
      </c>
      <c r="AZ125" s="221">
        <f>IFERROR(SUM(AZ129,AX129,AW129,AV129)/SUM(AZ111,AX111,AW111,AV111)*1000,"n/a")</f>
        <v>16200.614228742377</v>
      </c>
      <c r="BA125" s="221">
        <f>IFERROR(SUM(BA129,AZ129,AX129,AW129)/SUM(BA111,AZ111,AX111,AW111)*1000,"n/a")</f>
        <v>17233.290604377373</v>
      </c>
      <c r="BB125" s="221">
        <f>IFERROR(SUM(BB129,BA129,AZ129,AX129)/SUM(BB111,BA111,AZ111,AX111)*1000,"n/a")</f>
        <v>16148.072127443382</v>
      </c>
      <c r="BC125" s="221">
        <f>IFERROR(SUM(BC129,BB129,BA129,AZ129)/SUM(BC111,BB111,BA111,AZ111)*1000,"n/a")</f>
        <v>13123.734740805705</v>
      </c>
      <c r="BD125" s="220">
        <f t="shared" ref="BD125" si="263">BC125</f>
        <v>13123.734740805705</v>
      </c>
      <c r="BE125" s="221">
        <f>IFERROR(SUM(BE129,BC129,BB129,BA129)/SUM(BE111,BC111,BB111,BA111)*1000,"n/a")</f>
        <v>13138.987792644528</v>
      </c>
      <c r="BF125" s="221">
        <f>IFERROR(SUM(BF129,BE129,BC129,BB129)/SUM(BF111,BE111,BC111,BB111)*1000,"n/a")</f>
        <v>13160.021865616704</v>
      </c>
      <c r="BG125" s="221">
        <f>IFERROR(SUM(BG129,BF129,BE129,BC129)/SUM(BG111,BF111,BE111,BC111)*1000,"n/a")</f>
        <v>13167.55020487848</v>
      </c>
      <c r="BH125" s="221">
        <f>IFERROR(SUM(BH129,BG129,BF129,BE129)/SUM(BH111,BG111,BF111,BE111)*1000,"n/a")</f>
        <v>13201.292631511677</v>
      </c>
      <c r="BI125" s="220">
        <f t="shared" ref="BI125" si="264">BH125</f>
        <v>13201.292631511677</v>
      </c>
      <c r="BJ125" s="1118">
        <f>IFERROR(SUM(BJ129,BH129,BG129,BF129)/SUM(BJ111,BH111,BG111,BF111)*1000,"n/a")</f>
        <v>19251.281769062043</v>
      </c>
      <c r="BK125" s="221">
        <f>IFERROR(SUM(BK129,BJ129,BH129,BG129)/SUM(BK111,BJ111,BH111,BG111)*1000,"n/a")</f>
        <v>19249.98931934539</v>
      </c>
      <c r="BL125" s="221">
        <f>IFERROR(SUM(BL129,BK129,BJ129,BH129)/SUM(BL111,BK111,BJ111,BH111)*1000,"n/a")</f>
        <v>17233.326334093665</v>
      </c>
      <c r="BM125" s="221">
        <f>IFERROR(SUM(BM129,BL129,BK129,BJ129)/SUM(BM111,BL111,BK111,BJ111)*1000,"n/a")</f>
        <v>16224.994841467804</v>
      </c>
      <c r="BN125" s="220">
        <f>BM125</f>
        <v>16224.994841467804</v>
      </c>
      <c r="BO125" s="221">
        <f>IFERROR(SUM(BO129,BM129,BL129,BK129)/SUM(BO111,BM111,BL111,BK111)*1000,"n/a")</f>
        <v>13225.855017247299</v>
      </c>
      <c r="BP125" s="221">
        <f>IFERROR(SUM(BP129,BO129,BM129,BL129)/SUM(BP111,BO111,BM111,BL111)*1000,"n/a")</f>
        <v>13251.488690958582</v>
      </c>
      <c r="BQ125" s="221">
        <f>IFERROR(SUM(BQ129,BP129,BO129,BM129)/SUM(BQ111,BP111,BO111,BM111)*1000,"n/a")</f>
        <v>13276.903273441569</v>
      </c>
      <c r="BR125" s="221">
        <f>IFERROR(SUM(BR129,BQ129,BP129,BO129)/SUM(BR111,BQ111,BP111,BO111)*1000,"n/a")</f>
        <v>13302.100637270854</v>
      </c>
      <c r="BS125" s="220">
        <f>BR125</f>
        <v>13302.100637270854</v>
      </c>
      <c r="BT125" s="220">
        <f>IFERROR(BT129/BT111*1000,"n/a")</f>
        <v>13300.836219557399</v>
      </c>
      <c r="BU125" s="220">
        <f>IFERROR(BU129/BU111*1000,"n/a")</f>
        <v>13300.836219557401</v>
      </c>
      <c r="BV125" s="220">
        <f>IFERROR(BV129/BV111*1000,"n/a")</f>
        <v>13300.836219557401</v>
      </c>
      <c r="BW125" s="223"/>
    </row>
    <row r="126" spans="1:75" s="169" customFormat="1" ht="14.25" hidden="1" outlineLevel="1" x14ac:dyDescent="0.45">
      <c r="A126" s="360" t="s">
        <v>1722</v>
      </c>
      <c r="B126" s="1127"/>
      <c r="C126" s="362">
        <f t="shared" ref="C126:BJ126" si="265">C441</f>
        <v>17600</v>
      </c>
      <c r="D126" s="362">
        <f t="shared" si="265"/>
        <v>17100</v>
      </c>
      <c r="E126" s="362">
        <f t="shared" si="265"/>
        <v>17100</v>
      </c>
      <c r="F126" s="362">
        <f t="shared" si="265"/>
        <v>14900</v>
      </c>
      <c r="G126" s="346">
        <f t="shared" si="265"/>
        <v>14800</v>
      </c>
      <c r="H126" s="346">
        <f t="shared" si="265"/>
        <v>14600</v>
      </c>
      <c r="I126" s="346">
        <f t="shared" si="265"/>
        <v>14300</v>
      </c>
      <c r="J126" s="346">
        <f t="shared" si="265"/>
        <v>14100</v>
      </c>
      <c r="K126" s="362">
        <f t="shared" si="265"/>
        <v>14100</v>
      </c>
      <c r="L126" s="346">
        <f t="shared" si="265"/>
        <v>14100</v>
      </c>
      <c r="M126" s="346">
        <f t="shared" si="265"/>
        <v>14000</v>
      </c>
      <c r="N126" s="346">
        <f t="shared" si="265"/>
        <v>13800</v>
      </c>
      <c r="O126" s="346">
        <f t="shared" si="265"/>
        <v>13700</v>
      </c>
      <c r="P126" s="362">
        <f t="shared" si="265"/>
        <v>13700</v>
      </c>
      <c r="Q126" s="346">
        <f t="shared" si="265"/>
        <v>13600</v>
      </c>
      <c r="R126" s="346">
        <f t="shared" si="265"/>
        <v>13400</v>
      </c>
      <c r="S126" s="346">
        <f t="shared" si="265"/>
        <v>13400</v>
      </c>
      <c r="T126" s="346">
        <f t="shared" si="265"/>
        <v>13200</v>
      </c>
      <c r="U126" s="362">
        <f t="shared" si="265"/>
        <v>13200</v>
      </c>
      <c r="V126" s="346">
        <f t="shared" si="265"/>
        <v>13200</v>
      </c>
      <c r="W126" s="346">
        <f t="shared" si="265"/>
        <v>13300</v>
      </c>
      <c r="X126" s="346">
        <f t="shared" si="265"/>
        <v>13300</v>
      </c>
      <c r="Y126" s="346">
        <f t="shared" si="265"/>
        <v>13300</v>
      </c>
      <c r="Z126" s="362">
        <f t="shared" si="265"/>
        <v>13300</v>
      </c>
      <c r="AA126" s="346">
        <f t="shared" si="265"/>
        <v>13300</v>
      </c>
      <c r="AB126" s="346">
        <f t="shared" si="265"/>
        <v>13200</v>
      </c>
      <c r="AC126" s="346">
        <f t="shared" si="265"/>
        <v>13100</v>
      </c>
      <c r="AD126" s="346">
        <f t="shared" si="265"/>
        <v>13100</v>
      </c>
      <c r="AE126" s="362">
        <f t="shared" si="265"/>
        <v>13100</v>
      </c>
      <c r="AF126" s="346">
        <f t="shared" si="265"/>
        <v>13000</v>
      </c>
      <c r="AG126" s="346">
        <f t="shared" si="265"/>
        <v>13100</v>
      </c>
      <c r="AH126" s="346">
        <f t="shared" si="265"/>
        <v>13200</v>
      </c>
      <c r="AI126" s="346">
        <f t="shared" si="265"/>
        <v>13100</v>
      </c>
      <c r="AJ126" s="362">
        <f t="shared" si="265"/>
        <v>13100</v>
      </c>
      <c r="AK126" s="346">
        <f t="shared" si="265"/>
        <v>13100</v>
      </c>
      <c r="AL126" s="346">
        <f t="shared" si="265"/>
        <v>13100</v>
      </c>
      <c r="AM126" s="346">
        <f t="shared" si="265"/>
        <v>13100</v>
      </c>
      <c r="AN126" s="346">
        <f t="shared" si="265"/>
        <v>13100</v>
      </c>
      <c r="AO126" s="362">
        <f t="shared" si="265"/>
        <v>13100</v>
      </c>
      <c r="AP126" s="346">
        <f t="shared" si="265"/>
        <v>13200</v>
      </c>
      <c r="AQ126" s="346">
        <f t="shared" si="265"/>
        <v>13200</v>
      </c>
      <c r="AR126" s="346">
        <f t="shared" si="265"/>
        <v>13100</v>
      </c>
      <c r="AS126" s="346">
        <f t="shared" si="265"/>
        <v>13100</v>
      </c>
      <c r="AT126" s="362">
        <f t="shared" si="265"/>
        <v>13100</v>
      </c>
      <c r="AU126" s="346">
        <f t="shared" si="265"/>
        <v>13100</v>
      </c>
      <c r="AV126" s="346">
        <f t="shared" si="265"/>
        <v>13100</v>
      </c>
      <c r="AW126" s="346">
        <f t="shared" si="265"/>
        <v>13100</v>
      </c>
      <c r="AX126" s="346">
        <f t="shared" si="265"/>
        <v>13200</v>
      </c>
      <c r="AY126" s="362">
        <f t="shared" si="265"/>
        <v>13200</v>
      </c>
      <c r="AZ126" s="346">
        <f t="shared" si="265"/>
        <v>13200</v>
      </c>
      <c r="BA126" s="346">
        <f t="shared" si="265"/>
        <v>13200</v>
      </c>
      <c r="BB126" s="346">
        <f t="shared" si="265"/>
        <v>13200</v>
      </c>
      <c r="BC126" s="346">
        <f t="shared" si="265"/>
        <v>13200</v>
      </c>
      <c r="BD126" s="362">
        <f t="shared" si="265"/>
        <v>13200</v>
      </c>
      <c r="BE126" s="346">
        <f t="shared" si="265"/>
        <v>13200</v>
      </c>
      <c r="BF126" s="346">
        <f t="shared" si="265"/>
        <v>13200</v>
      </c>
      <c r="BG126" s="346">
        <f t="shared" si="265"/>
        <v>13200</v>
      </c>
      <c r="BH126" s="346">
        <f t="shared" si="265"/>
        <v>13200</v>
      </c>
      <c r="BI126" s="362">
        <f t="shared" si="265"/>
        <v>13200</v>
      </c>
      <c r="BJ126" s="1132">
        <f t="shared" si="265"/>
        <v>13300</v>
      </c>
      <c r="BK126" s="346">
        <f>BK132/BK113*1000</f>
        <v>13300.000181040723</v>
      </c>
      <c r="BL126" s="346">
        <f>BL132/BL113*1000</f>
        <v>13300.000181040723</v>
      </c>
      <c r="BM126" s="346">
        <f>BM132/BM113*1000</f>
        <v>13300.000181040723</v>
      </c>
      <c r="BN126" s="362">
        <f t="shared" ref="BN126:BV126" si="266">BN132/BN113*1000</f>
        <v>13300.000181040723</v>
      </c>
      <c r="BO126" s="346">
        <f t="shared" si="266"/>
        <v>13300.854880335171</v>
      </c>
      <c r="BP126" s="346">
        <f t="shared" si="266"/>
        <v>13300.847575212996</v>
      </c>
      <c r="BQ126" s="346">
        <f t="shared" si="266"/>
        <v>13300.840332527765</v>
      </c>
      <c r="BR126" s="346">
        <f t="shared" si="266"/>
        <v>13300.833151745825</v>
      </c>
      <c r="BS126" s="362">
        <f t="shared" si="266"/>
        <v>13300.833151745825</v>
      </c>
      <c r="BT126" s="362">
        <f t="shared" si="266"/>
        <v>13300.836219557395</v>
      </c>
      <c r="BU126" s="362">
        <f t="shared" si="266"/>
        <v>13300.836219557397</v>
      </c>
      <c r="BV126" s="362">
        <f t="shared" si="266"/>
        <v>13300.836219557395</v>
      </c>
      <c r="BW126" s="168"/>
    </row>
    <row r="127" spans="1:75" s="169" customFormat="1" ht="14.25" hidden="1" outlineLevel="1" x14ac:dyDescent="0.45">
      <c r="A127" s="163"/>
      <c r="B127" s="1121"/>
      <c r="C127" s="840"/>
      <c r="D127" s="840"/>
      <c r="E127" s="840"/>
      <c r="F127" s="840"/>
      <c r="G127" s="247"/>
      <c r="H127" s="247"/>
      <c r="I127" s="247"/>
      <c r="J127" s="247"/>
      <c r="K127" s="840"/>
      <c r="L127" s="247"/>
      <c r="M127" s="247"/>
      <c r="N127" s="247"/>
      <c r="O127" s="247"/>
      <c r="P127" s="840"/>
      <c r="Q127" s="247"/>
      <c r="R127" s="247"/>
      <c r="S127" s="247"/>
      <c r="T127" s="247"/>
      <c r="U127" s="840"/>
      <c r="V127" s="247"/>
      <c r="W127" s="247"/>
      <c r="X127" s="247"/>
      <c r="Y127" s="247"/>
      <c r="Z127" s="840"/>
      <c r="AA127" s="247"/>
      <c r="AB127" s="247"/>
      <c r="AC127" s="247"/>
      <c r="AD127" s="247"/>
      <c r="AE127" s="840"/>
      <c r="AF127" s="247"/>
      <c r="AG127" s="247"/>
      <c r="AH127" s="247"/>
      <c r="AI127" s="247"/>
      <c r="AJ127" s="840"/>
      <c r="AK127" s="247"/>
      <c r="AL127" s="247"/>
      <c r="AM127" s="247"/>
      <c r="AN127" s="247"/>
      <c r="AO127" s="840"/>
      <c r="AP127" s="247"/>
      <c r="AQ127" s="247"/>
      <c r="AR127" s="247"/>
      <c r="AS127" s="247"/>
      <c r="AT127" s="840"/>
      <c r="AU127" s="247"/>
      <c r="AV127" s="247"/>
      <c r="AW127" s="247"/>
      <c r="AX127" s="247"/>
      <c r="AY127" s="840"/>
      <c r="AZ127" s="247"/>
      <c r="BA127" s="247"/>
      <c r="BB127" s="247"/>
      <c r="BC127" s="247"/>
      <c r="BD127" s="840"/>
      <c r="BE127" s="247"/>
      <c r="BF127" s="247"/>
      <c r="BG127" s="247"/>
      <c r="BH127" s="247"/>
      <c r="BI127" s="840"/>
      <c r="BJ127" s="977"/>
      <c r="BK127" s="247"/>
      <c r="BL127" s="247"/>
      <c r="BM127" s="247"/>
      <c r="BN127" s="840"/>
      <c r="BO127" s="247"/>
      <c r="BP127" s="247"/>
      <c r="BQ127" s="247"/>
      <c r="BR127" s="247"/>
      <c r="BS127" s="840"/>
      <c r="BT127" s="840"/>
      <c r="BU127" s="840"/>
      <c r="BV127" s="840"/>
      <c r="BW127" s="168"/>
    </row>
    <row r="128" spans="1:75" s="169" customFormat="1" ht="14.25" hidden="1" outlineLevel="1" x14ac:dyDescent="0.45">
      <c r="A128" s="163" t="s">
        <v>1723</v>
      </c>
      <c r="B128" s="1121"/>
      <c r="C128" s="840"/>
      <c r="D128" s="840">
        <f t="shared" ref="D128:J128" si="267">C132</f>
        <v>633.6</v>
      </c>
      <c r="E128" s="840">
        <f t="shared" si="267"/>
        <v>615.6</v>
      </c>
      <c r="F128" s="840">
        <f t="shared" si="267"/>
        <v>632.70000000000005</v>
      </c>
      <c r="G128" s="247">
        <f t="shared" si="267"/>
        <v>715.2</v>
      </c>
      <c r="H128" s="247">
        <f t="shared" si="267"/>
        <v>725.2</v>
      </c>
      <c r="I128" s="247">
        <f t="shared" si="267"/>
        <v>744.6</v>
      </c>
      <c r="J128" s="247">
        <f t="shared" si="267"/>
        <v>786.5</v>
      </c>
      <c r="K128" s="840">
        <f>F132</f>
        <v>715.2</v>
      </c>
      <c r="L128" s="247">
        <f t="shared" ref="L128:O128" si="268">K132</f>
        <v>817.8</v>
      </c>
      <c r="M128" s="247">
        <f t="shared" si="268"/>
        <v>817.8</v>
      </c>
      <c r="N128" s="247">
        <f t="shared" si="268"/>
        <v>826</v>
      </c>
      <c r="O128" s="247">
        <f t="shared" si="268"/>
        <v>938.4</v>
      </c>
      <c r="P128" s="840">
        <f t="shared" ref="P128" si="269">K132</f>
        <v>817.8</v>
      </c>
      <c r="Q128" s="247">
        <f t="shared" ref="Q128:T128" si="270">P132</f>
        <v>945.3</v>
      </c>
      <c r="R128" s="247">
        <f t="shared" si="270"/>
        <v>979.2</v>
      </c>
      <c r="S128" s="247">
        <f t="shared" si="270"/>
        <v>1045.2</v>
      </c>
      <c r="T128" s="247">
        <f t="shared" si="270"/>
        <v>1125.5999999999999</v>
      </c>
      <c r="U128" s="840">
        <f t="shared" ref="U128" si="271">P132</f>
        <v>945.3</v>
      </c>
      <c r="V128" s="247">
        <f t="shared" ref="V128:Y128" si="272">U132</f>
        <v>1148.4000000000001</v>
      </c>
      <c r="W128" s="247">
        <f t="shared" si="272"/>
        <v>1148.4000000000001</v>
      </c>
      <c r="X128" s="247">
        <f t="shared" si="272"/>
        <v>1183.7</v>
      </c>
      <c r="Y128" s="247">
        <f t="shared" si="272"/>
        <v>1290.0999999999999</v>
      </c>
      <c r="Z128" s="840">
        <f t="shared" ref="Z128" si="273">U132</f>
        <v>1148.4000000000001</v>
      </c>
      <c r="AA128" s="247">
        <f t="shared" ref="AA128:AD128" si="274">Z132</f>
        <v>1303.4000000000001</v>
      </c>
      <c r="AB128" s="247">
        <f t="shared" si="274"/>
        <v>1316.7</v>
      </c>
      <c r="AC128" s="247">
        <f t="shared" si="274"/>
        <v>1333.2</v>
      </c>
      <c r="AD128" s="247">
        <f t="shared" si="274"/>
        <v>1375.5</v>
      </c>
      <c r="AE128" s="840">
        <f t="shared" ref="AE128" si="275">Z132</f>
        <v>1303.4000000000001</v>
      </c>
      <c r="AF128" s="247">
        <f t="shared" ref="AF128:AI128" si="276">AE132</f>
        <v>1388.6</v>
      </c>
      <c r="AG128" s="247">
        <f t="shared" si="276"/>
        <v>1404</v>
      </c>
      <c r="AH128" s="247">
        <f t="shared" si="276"/>
        <v>1427.9</v>
      </c>
      <c r="AI128" s="247">
        <f t="shared" si="276"/>
        <v>1478.4</v>
      </c>
      <c r="AJ128" s="840">
        <f t="shared" ref="AJ128" si="277">AE132</f>
        <v>1388.6</v>
      </c>
      <c r="AK128" s="247">
        <f t="shared" ref="AK128:AN128" si="278">AJ132</f>
        <v>1467.2</v>
      </c>
      <c r="AL128" s="247">
        <f t="shared" si="278"/>
        <v>1480.3</v>
      </c>
      <c r="AM128" s="247">
        <f t="shared" si="278"/>
        <v>1467.2</v>
      </c>
      <c r="AN128" s="247">
        <f t="shared" si="278"/>
        <v>1493.4</v>
      </c>
      <c r="AO128" s="840">
        <f t="shared" ref="AO128" si="279">AJ132</f>
        <v>1467.2</v>
      </c>
      <c r="AP128" s="247">
        <f t="shared" ref="AP128:AS128" si="280">AO132</f>
        <v>1545.8</v>
      </c>
      <c r="AQ128" s="247">
        <f t="shared" si="280"/>
        <v>1570.8</v>
      </c>
      <c r="AR128" s="247">
        <f t="shared" si="280"/>
        <v>1597.2</v>
      </c>
      <c r="AS128" s="247">
        <f t="shared" si="280"/>
        <v>1598.2</v>
      </c>
      <c r="AT128" s="840">
        <f t="shared" ref="AT128" si="281">AO132</f>
        <v>1545.8</v>
      </c>
      <c r="AU128" s="247">
        <f t="shared" ref="AU128:AX128" si="282">AT132</f>
        <v>1585.1</v>
      </c>
      <c r="AV128" s="247">
        <f t="shared" si="282"/>
        <v>1585.1</v>
      </c>
      <c r="AW128" s="247">
        <f t="shared" si="282"/>
        <v>1611.3</v>
      </c>
      <c r="AX128" s="247">
        <f t="shared" si="282"/>
        <v>1585.1</v>
      </c>
      <c r="AY128" s="840">
        <f t="shared" ref="AY128" si="283">AT132</f>
        <v>1585.1</v>
      </c>
      <c r="AZ128" s="247">
        <f>AY132</f>
        <v>1597.2</v>
      </c>
      <c r="BA128" s="247">
        <f>AZ132</f>
        <v>1597.2</v>
      </c>
      <c r="BB128" s="247">
        <f>BA132</f>
        <v>1597.2</v>
      </c>
      <c r="BC128" s="247">
        <f t="shared" ref="BC128" si="284">BB132</f>
        <v>1610.4</v>
      </c>
      <c r="BD128" s="840">
        <f t="shared" ref="BD128" si="285">AY132</f>
        <v>1597.2</v>
      </c>
      <c r="BE128" s="247">
        <f>BD132</f>
        <v>1610.4</v>
      </c>
      <c r="BF128" s="247">
        <f>BE132</f>
        <v>1623.6</v>
      </c>
      <c r="BG128" s="247">
        <f>BF132</f>
        <v>1623.6</v>
      </c>
      <c r="BH128" s="247">
        <f>BG132</f>
        <v>1623.6</v>
      </c>
      <c r="BI128" s="840">
        <f>BD132</f>
        <v>1610.4</v>
      </c>
      <c r="BJ128" s="977">
        <f>BI132</f>
        <v>1597.2</v>
      </c>
      <c r="BK128" s="247">
        <f>BJ132</f>
        <v>1609.3</v>
      </c>
      <c r="BL128" s="247">
        <f>BK132</f>
        <v>1609.3000219059275</v>
      </c>
      <c r="BM128" s="247">
        <f>BL132</f>
        <v>1609.3000219059275</v>
      </c>
      <c r="BN128" s="840">
        <f>BI132</f>
        <v>1597.2</v>
      </c>
      <c r="BO128" s="247">
        <f>BN132</f>
        <v>1609.3000219059275</v>
      </c>
      <c r="BP128" s="247">
        <f>BO132</f>
        <v>1609.4034405205557</v>
      </c>
      <c r="BQ128" s="247">
        <f>BP132</f>
        <v>1609.4025566007726</v>
      </c>
      <c r="BR128" s="247">
        <f>BQ132</f>
        <v>1609.4016802358594</v>
      </c>
      <c r="BS128" s="840">
        <f>BN132</f>
        <v>1609.3000219059275</v>
      </c>
      <c r="BT128" s="840">
        <f>BS132</f>
        <v>1609.4008113612447</v>
      </c>
      <c r="BU128" s="840">
        <f>BT132</f>
        <v>1556.1978376882153</v>
      </c>
      <c r="BV128" s="840">
        <f>BU132</f>
        <v>1502.9944928099858</v>
      </c>
      <c r="BW128" s="168"/>
    </row>
    <row r="129" spans="1:75" s="224" customFormat="1" hidden="1" outlineLevel="1" x14ac:dyDescent="0.5">
      <c r="A129" s="272" t="s">
        <v>1724</v>
      </c>
      <c r="B129" s="494"/>
      <c r="C129" s="425"/>
      <c r="D129" s="425">
        <f t="shared" ref="D129:J129" si="286">IF(D111=0,0,D131-D130)</f>
        <v>17.200000000000003</v>
      </c>
      <c r="E129" s="425">
        <f t="shared" si="286"/>
        <v>34.700000000000017</v>
      </c>
      <c r="F129" s="425">
        <f t="shared" si="286"/>
        <v>116.67142857142858</v>
      </c>
      <c r="G129" s="487">
        <f t="shared" si="286"/>
        <v>10</v>
      </c>
      <c r="H129" s="487">
        <f t="shared" si="286"/>
        <v>36.50081632653059</v>
      </c>
      <c r="I129" s="487">
        <f t="shared" si="286"/>
        <v>41.899999999999977</v>
      </c>
      <c r="J129" s="487">
        <f t="shared" si="286"/>
        <v>31.299999999999955</v>
      </c>
      <c r="K129" s="425">
        <f t="shared" ref="K129" si="287">K131-K130</f>
        <v>119.70081632653051</v>
      </c>
      <c r="L129" s="487">
        <f>IF(L111=0,0,L131-L130)</f>
        <v>0</v>
      </c>
      <c r="M129" s="487">
        <f>IF(M111=0,0,M131-M130)</f>
        <v>8.2000000000000455</v>
      </c>
      <c r="N129" s="487">
        <f>IF(N111=0,0,N131-N130)</f>
        <v>112.39999999999998</v>
      </c>
      <c r="O129" s="487">
        <f>IF(O111=0,0,O131-O130)</f>
        <v>6.8999999999999773</v>
      </c>
      <c r="P129" s="425">
        <f t="shared" ref="P129" si="288">P131-P130</f>
        <v>127.5</v>
      </c>
      <c r="Q129" s="487">
        <f>IF(Q111=0,0,Q131-Q130)</f>
        <v>33.900000000000091</v>
      </c>
      <c r="R129" s="487">
        <f>IF(R111=0,0,R131-R130)</f>
        <v>66</v>
      </c>
      <c r="S129" s="487">
        <f>IF(S111=0,0,S131-S130)</f>
        <v>80.399999999999864</v>
      </c>
      <c r="T129" s="487">
        <f>IF(T111=0,0,T131-T130)</f>
        <v>22.800000000000182</v>
      </c>
      <c r="U129" s="425">
        <f t="shared" ref="U129" si="289">U131-U130</f>
        <v>203.10000000000014</v>
      </c>
      <c r="V129" s="487">
        <f>IF(V111=0,0,V131-V130)</f>
        <v>0</v>
      </c>
      <c r="W129" s="487">
        <f>IF(W111=0,0,W131-W130)</f>
        <v>35.299999999999955</v>
      </c>
      <c r="X129" s="487">
        <f>IF(X111=0,0,X131-X130)</f>
        <v>133.19999999999987</v>
      </c>
      <c r="Y129" s="487">
        <f>IF(Y111=0,0,Y131-Y130)</f>
        <v>13.300000000000182</v>
      </c>
      <c r="Z129" s="425">
        <f t="shared" ref="Z129" si="290">Z131-Z130</f>
        <v>181.8</v>
      </c>
      <c r="AA129" s="487">
        <f>IF(AA111=0,0,AA131-AA130)</f>
        <v>13.299999999999955</v>
      </c>
      <c r="AB129" s="487">
        <f>IF(AB111=0,0,AB131-AB130)</f>
        <v>16.5</v>
      </c>
      <c r="AC129" s="487">
        <f>IF(AC111=0,0,AC131-AC130)</f>
        <v>55.597701149425241</v>
      </c>
      <c r="AD129" s="487">
        <f>IF(AD111=0,0,AD131-AD130)</f>
        <v>39.700047892720207</v>
      </c>
      <c r="AE129" s="425">
        <f t="shared" ref="AE129" si="291">AE131-AE130</f>
        <v>125.09774904214541</v>
      </c>
      <c r="AF129" s="487">
        <f>IF(AF111=0,0,AF131-AF130)</f>
        <v>15.400000000000091</v>
      </c>
      <c r="AG129" s="487">
        <f>IF(AG111=0,0,AG131-AG130)</f>
        <v>50.500046894955389</v>
      </c>
      <c r="AH129" s="487">
        <f>IF(AH111=0,0,AH131-AH130)</f>
        <v>50.5</v>
      </c>
      <c r="AI129" s="487">
        <f>IF(AI111=0,0,AI131-AI130)</f>
        <v>1.8920782694289091</v>
      </c>
      <c r="AJ129" s="425">
        <f t="shared" ref="AJ129" si="292">AJ131-AJ130</f>
        <v>118.2921251643844</v>
      </c>
      <c r="AK129" s="487">
        <f>IF(AK111=0,0,AK131-AK130)</f>
        <v>13.099999999999909</v>
      </c>
      <c r="AL129" s="487">
        <f>IF(AL111=0,0,AL131-AL130)</f>
        <v>0</v>
      </c>
      <c r="AM129" s="487">
        <f>IF(AM111=0,0,AM131-AM130)</f>
        <v>26.200000000000045</v>
      </c>
      <c r="AN129" s="487">
        <f>IF(AN111=0,0,AN131-AN130)</f>
        <v>52.399999999999864</v>
      </c>
      <c r="AO129" s="425">
        <f t="shared" ref="AO129" si="293">AO131-AO130</f>
        <v>91.699999999999818</v>
      </c>
      <c r="AP129" s="487">
        <f>IF(AP111=0,0,AP131-AP130)</f>
        <v>38.1</v>
      </c>
      <c r="AQ129" s="487">
        <f>IF(AQ111=0,0,AQ131-AQ130)</f>
        <v>39.500000000000092</v>
      </c>
      <c r="AR129" s="487">
        <f>IF(AR111=0,0,AR131-AR130)</f>
        <v>14.1</v>
      </c>
      <c r="AS129" s="487">
        <f>IF(AS111=0,0,AS131-AS130)</f>
        <v>0</v>
      </c>
      <c r="AT129" s="425">
        <f t="shared" ref="AT129" si="294">AT131-AT130</f>
        <v>91.700000000000102</v>
      </c>
      <c r="AU129" s="487">
        <f>IF(AU111=0,0,AU131-AU130)</f>
        <v>0</v>
      </c>
      <c r="AV129" s="487">
        <f>IF(AV111=0,0,AV131-AV130)</f>
        <v>26.200000000000045</v>
      </c>
      <c r="AW129" s="487">
        <f>IF(AW111=0,0,AW131-AW130)</f>
        <v>13.405042016806675</v>
      </c>
      <c r="AX129" s="487">
        <f>IF(AX111=0,0,AX131-AX130)</f>
        <v>25.197414898162791</v>
      </c>
      <c r="AY129" s="425">
        <f t="shared" ref="AY129" si="295">AY131-AY130</f>
        <v>64.802456914969511</v>
      </c>
      <c r="AZ129" s="487">
        <f>IF(AZ111=0,0,AZ131-AZ130)</f>
        <v>0</v>
      </c>
      <c r="BA129" s="487">
        <f>IF(BA111=0,0,BA131-BA130)</f>
        <v>13.097414898162654</v>
      </c>
      <c r="BB129" s="487">
        <f>IF(BB111=0,0,BB131-BB130)</f>
        <v>26.29745871344808</v>
      </c>
      <c r="BC129" s="487">
        <f>IF(BC111=0,0,BC131-BC130)</f>
        <v>13.10006535161209</v>
      </c>
      <c r="BD129" s="425">
        <f t="shared" ref="BD129" si="296">BD131-BD130</f>
        <v>52.494938963222822</v>
      </c>
      <c r="BE129" s="487">
        <f>IF(BE111=0,0,BE131-BE130)</f>
        <v>13.199999999999818</v>
      </c>
      <c r="BF129" s="487">
        <f>IF(BF111=0,0,BF131-BF130)</f>
        <v>13.202585263023535</v>
      </c>
      <c r="BG129" s="487">
        <f>IF(BG111=0,0,BG131-BG130)</f>
        <v>0</v>
      </c>
      <c r="BH129" s="487">
        <f>IF(BH111=0,0,BH131-BH130)</f>
        <v>0</v>
      </c>
      <c r="BI129" s="425">
        <f t="shared" ref="BI129" si="297">BI131-BI130</f>
        <v>26.402585263023354</v>
      </c>
      <c r="BJ129" s="981">
        <f>IF(BJ111=0,0,BJ131-BJ130)</f>
        <v>25.299978275100553</v>
      </c>
      <c r="BK129" s="487">
        <f>IF(BK111=0,0,BK124*BK111/1000)</f>
        <v>13.200000363590224</v>
      </c>
      <c r="BL129" s="487">
        <f>IF(BL111=0,0,BL124*BL111/1000)</f>
        <v>13.200000363590222</v>
      </c>
      <c r="BM129" s="487">
        <f>IF(BM111=0,0,BM124*BM111/1000)</f>
        <v>13.200000363590222</v>
      </c>
      <c r="BN129" s="425">
        <f>SUM(BJ129,BK129,BL129,BM129)</f>
        <v>64.899979365871218</v>
      </c>
      <c r="BO129" s="487">
        <f>IF(BO111=0,0,BO124*BO111/1000)</f>
        <v>13.303418978218518</v>
      </c>
      <c r="BP129" s="487">
        <f>IF(BP111=0,0,BP124*BP111/1000)</f>
        <v>13.302535058435371</v>
      </c>
      <c r="BQ129" s="487">
        <f>IF(BQ111=0,0,BQ124*BQ111/1000)</f>
        <v>13.301658693522166</v>
      </c>
      <c r="BR129" s="487">
        <f>IF(BR111=0,0,BR124*BR111/1000)</f>
        <v>13.300789818907365</v>
      </c>
      <c r="BS129" s="425">
        <f>SUM(BO129,BP129,BQ129,BR129)</f>
        <v>53.208402549083416</v>
      </c>
      <c r="BT129" s="425">
        <f>IF(BT111=0,0,BT124*BT111/1000)</f>
        <v>53.203344878229593</v>
      </c>
      <c r="BU129" s="425">
        <f>IF(BU111=0,0,BU124*BU111/1000)</f>
        <v>53.203344878229601</v>
      </c>
      <c r="BV129" s="425">
        <f>IF(BV111=0,0,BV124*BV111/1000)</f>
        <v>53.203344878229601</v>
      </c>
      <c r="BW129" s="223"/>
    </row>
    <row r="130" spans="1:75" s="224" customFormat="1" hidden="1" outlineLevel="1" x14ac:dyDescent="0.5">
      <c r="A130" s="272" t="s">
        <v>1725</v>
      </c>
      <c r="B130" s="494"/>
      <c r="C130" s="425"/>
      <c r="D130" s="425">
        <f>IF(D111=0,D131-D129,C126*D123*D112/1000)</f>
        <v>-35.200000000000003</v>
      </c>
      <c r="E130" s="425">
        <f>IF(E111=0,E131-E129,D121*E123*E112/1000)</f>
        <v>-17.599999999999998</v>
      </c>
      <c r="F130" s="425">
        <f>IF(F111=0,F131-F129,E121*F123*F112/1000)</f>
        <v>-34.171428571428571</v>
      </c>
      <c r="G130" s="487">
        <f>IF(G111=0,G131-G129,F121*G112/1000)</f>
        <v>0</v>
      </c>
      <c r="H130" s="487">
        <f>IF(H111=0,H131-H129,F121*H112/1000)</f>
        <v>-17.100816326530612</v>
      </c>
      <c r="I130" s="487">
        <f>IF(I111=0,I131-I129,F121*I112/1000)</f>
        <v>0</v>
      </c>
      <c r="J130" s="487">
        <f>IF(J111=0,J131-J129,F121*J112/1000)</f>
        <v>0</v>
      </c>
      <c r="K130" s="425">
        <f>SUM(G130,H130,I130,J130)</f>
        <v>-17.100816326530612</v>
      </c>
      <c r="L130" s="487">
        <f>IF(L111=0,L131-L129,K121*L123*L112/1000)</f>
        <v>0</v>
      </c>
      <c r="M130" s="487">
        <f>IF(M111=0,M131-M129,L121*M123*M112/1000)</f>
        <v>0</v>
      </c>
      <c r="N130" s="487">
        <f>IF(N111=0,N131-N129,M121*N123*N112/1000)</f>
        <v>0</v>
      </c>
      <c r="O130" s="487">
        <f>IF(O111=0,O131-O129,N121*O123*O112/1000)</f>
        <v>0</v>
      </c>
      <c r="P130" s="425">
        <f>SUM(L130,M130,N130,O130)</f>
        <v>0</v>
      </c>
      <c r="Q130" s="487">
        <f>IF(Q111=0,Q131-Q129,P121*Q123*Q112/1000)</f>
        <v>0</v>
      </c>
      <c r="R130" s="487">
        <f>IF(R111=0,R131-R129,Q121*R123*R112/1000)</f>
        <v>0</v>
      </c>
      <c r="S130" s="487">
        <f>IF(S111=0,S131-S129,R121*S123*S112/1000)</f>
        <v>0</v>
      </c>
      <c r="T130" s="487">
        <f>IF(T111=0,T131-T129,S121*T123*T112/1000)</f>
        <v>0</v>
      </c>
      <c r="U130" s="425">
        <f t="shared" ref="U130" si="298">SUM(Q130,R130,S130,T130)</f>
        <v>0</v>
      </c>
      <c r="V130" s="487">
        <f>IF(V111=0,V131-V129,U121*V123*V112/1000)</f>
        <v>0</v>
      </c>
      <c r="W130" s="487">
        <f>IF(W111=0,W131-W129,V121*W123*W112/1000)</f>
        <v>0</v>
      </c>
      <c r="X130" s="487">
        <f>IF(X111=0,X131-X129,W121*X123*X112/1000)</f>
        <v>-26.8</v>
      </c>
      <c r="Y130" s="487">
        <f>IF(Y111=0,Y131-Y129,X121*Y123*Y112/1000)</f>
        <v>0</v>
      </c>
      <c r="Z130" s="425">
        <f t="shared" ref="Z130" si="299">SUM(V130,W130,X130,Y130)</f>
        <v>-26.8</v>
      </c>
      <c r="AA130" s="487">
        <f>IF(AA111=0,AA131-AA129,Z121*AA123*AA112/1000)</f>
        <v>0</v>
      </c>
      <c r="AB130" s="487">
        <f>IF(AB111=0,AB131-AB129,AA121*AB123*AB112/1000)</f>
        <v>0</v>
      </c>
      <c r="AC130" s="487">
        <f>IF(AC111=0,AC131-AC129,AB121*AC123*AC112/1000)</f>
        <v>-13.297701149425288</v>
      </c>
      <c r="AD130" s="487">
        <f>IF(AD111=0,AD131-AD129,AC121*AD123*AD112/1000)</f>
        <v>-26.600047892720301</v>
      </c>
      <c r="AE130" s="425">
        <f t="shared" ref="AE130" si="300">SUM(AA130,AB130,AC130,AD130)</f>
        <v>-39.897749042145591</v>
      </c>
      <c r="AF130" s="487">
        <f>IF(AF111=0,AF131-AF129,AE121*AF123*AF112/1000)</f>
        <v>0</v>
      </c>
      <c r="AG130" s="487">
        <f>IF(AG111=0,AG131-AG129,AF121*AG123*AG112/1000)</f>
        <v>-26.600046894955302</v>
      </c>
      <c r="AH130" s="487">
        <f>IF(AH111=0,AH131-AH129,AG121*AH123*AH112/1000)</f>
        <v>0</v>
      </c>
      <c r="AI130" s="487">
        <f>IF(AI111=0,AI131-AI129,AH121*AI123*AI112/1000)</f>
        <v>-13.092078269428955</v>
      </c>
      <c r="AJ130" s="425">
        <f t="shared" ref="AJ130" si="301">SUM(AF130,AG130,AH130,AI130)</f>
        <v>-39.692125164384258</v>
      </c>
      <c r="AK130" s="487">
        <f>IF(AK111=0,AK131-AK129,AJ121*AK123*AK112/1000)</f>
        <v>0</v>
      </c>
      <c r="AL130" s="487">
        <f>IF(AL111=0,AL131-AL129,AK121*AL123*AL112/1000)</f>
        <v>-13.099999999999909</v>
      </c>
      <c r="AM130" s="487">
        <f>IF(AM111=0,AM131-AM129,AL121*AM123*AM112/1000)</f>
        <v>0</v>
      </c>
      <c r="AN130" s="487">
        <f>IF(AN111=0,AN131-AN129,AM121*AN123*AN112/1000)</f>
        <v>0</v>
      </c>
      <c r="AO130" s="425">
        <f t="shared" ref="AO130" si="302">SUM(AK130,AL130,AM130,AN130)</f>
        <v>-13.099999999999909</v>
      </c>
      <c r="AP130" s="487">
        <f>IF(AP111=0,AP131-AP129,AO121*AP123*AP112/1000)</f>
        <v>-13.100000000000001</v>
      </c>
      <c r="AQ130" s="487">
        <f>IF(AQ111=0,AQ131-AQ129,AP121*AQ123*AQ112/1000)</f>
        <v>-13.100000000000001</v>
      </c>
      <c r="AR130" s="487">
        <f>IF(AR111=0,AR131-AR129,AQ121*AR123*AR112/1000)</f>
        <v>-13.1</v>
      </c>
      <c r="AS130" s="487">
        <f>IF(AS111=0,AS131-AS129,AR121*AS123*AS112/1000)</f>
        <v>-13.100000000000136</v>
      </c>
      <c r="AT130" s="425">
        <f t="shared" ref="AT130" si="303">SUM(AP130,AQ130,AR130,AS130)</f>
        <v>-52.400000000000141</v>
      </c>
      <c r="AU130" s="487">
        <f>IF(AU111=0,AU131-AU129,AT121*AU123*AU112/1000)</f>
        <v>0</v>
      </c>
      <c r="AV130" s="487">
        <f>IF(AV111=0,AV131-AV129,AU121*AV123*AV112/1000)</f>
        <v>0</v>
      </c>
      <c r="AW130" s="487">
        <f>IF(AW111=0,AW131-AW129,AV121*AW123*AW112/1000)</f>
        <v>-39.605042016806721</v>
      </c>
      <c r="AX130" s="487">
        <f>IF(AX111=0,AX131-AX129,AW121*AX123*AX112/1000)</f>
        <v>-13.097414898162654</v>
      </c>
      <c r="AY130" s="425">
        <f t="shared" ref="AY130" si="304">SUM(AU130,AV130,AW130,AX130)</f>
        <v>-52.702456914969375</v>
      </c>
      <c r="AZ130" s="487">
        <f>IF(AZ111=0,AZ131-AZ129,AY121*AZ123*AZ112/1000)</f>
        <v>0</v>
      </c>
      <c r="BA130" s="487">
        <f>IF(BA111=0,BA131-BA129,AZ121*BA123*BA112/1000)</f>
        <v>-13.097414898162654</v>
      </c>
      <c r="BB130" s="487">
        <f>IF(BB111=0,BB131-BB129,BA121*BB123*BB112/1000)</f>
        <v>-13.097458713448033</v>
      </c>
      <c r="BC130" s="487">
        <f>IF(BC111=0,BC131-BC129,BB121*BC123*BC112/1000)</f>
        <v>-13.10006535161209</v>
      </c>
      <c r="BD130" s="425">
        <f t="shared" ref="BD130" si="305">SUM(AZ130,BA130,BB130,BC130)</f>
        <v>-39.294938963222776</v>
      </c>
      <c r="BE130" s="487">
        <f>IF(BE111=0,BE131-BE129,BD121*BE123*BE112/1000)</f>
        <v>0</v>
      </c>
      <c r="BF130" s="487">
        <f>IF(BF111=0,BF131-BF129,BE121*BF123*BF112/1000)</f>
        <v>-13.202585263023535</v>
      </c>
      <c r="BG130" s="487">
        <f>IF(BG111=0,BG131-BG129,BF121*BG123*BG112/1000)</f>
        <v>0</v>
      </c>
      <c r="BH130" s="487">
        <f>IF(BH111=0,BH131-BH129,BG121*BH123*BH112/1000)</f>
        <v>-26.399999999999864</v>
      </c>
      <c r="BI130" s="425">
        <f t="shared" ref="BI130" si="306">SUM(BE130,BF130,BG130,BH130)</f>
        <v>-39.6025852630234</v>
      </c>
      <c r="BJ130" s="981">
        <f>IF(BJ111=0,BJ131-BJ129,BI121*BJ123*BJ112/1000)</f>
        <v>-13.199978275100644</v>
      </c>
      <c r="BK130" s="487">
        <f>BJ121*BK123*BK112/1000</f>
        <v>-13.199978457662821</v>
      </c>
      <c r="BL130" s="487">
        <f>BK121*BL123*BL112/1000</f>
        <v>-13.200000363590224</v>
      </c>
      <c r="BM130" s="487">
        <f>BL121*BM123*BM112/1000</f>
        <v>-13.200000363590222</v>
      </c>
      <c r="BN130" s="425">
        <f>SUM(BJ130,BK130,BL130,BM130)</f>
        <v>-52.799957459943911</v>
      </c>
      <c r="BO130" s="487">
        <f>BN121*BO123*BO112/1000</f>
        <v>-13.200000363590222</v>
      </c>
      <c r="BP130" s="487">
        <f>BO121*BP123*BP112/1000</f>
        <v>-13.303418978218518</v>
      </c>
      <c r="BQ130" s="487">
        <f>BP121*BQ123*BQ112/1000</f>
        <v>-13.302535058435371</v>
      </c>
      <c r="BR130" s="487">
        <f>BQ121*BR123*BR112/1000</f>
        <v>-13.301658693522166</v>
      </c>
      <c r="BS130" s="425">
        <f>SUM(BO130,BP130,BQ130,BR130)</f>
        <v>-53.107613093766275</v>
      </c>
      <c r="BT130" s="425">
        <f>BS121*BT123*BT112/1000</f>
        <v>-106.40631855125892</v>
      </c>
      <c r="BU130" s="425">
        <f>BT121*BU123*BU112/1000</f>
        <v>-106.40668975645919</v>
      </c>
      <c r="BV130" s="425">
        <f>BU121*BV123*BV112/1000</f>
        <v>-106.4066897564592</v>
      </c>
      <c r="BW130" s="223"/>
    </row>
    <row r="131" spans="1:75" s="224" customFormat="1" hidden="1" outlineLevel="1" x14ac:dyDescent="0.5">
      <c r="A131" s="1133" t="s">
        <v>1726</v>
      </c>
      <c r="B131" s="1134"/>
      <c r="C131" s="1135"/>
      <c r="D131" s="1135">
        <f t="shared" ref="D131:AY131" si="307">D132-D128</f>
        <v>-18</v>
      </c>
      <c r="E131" s="1135">
        <f t="shared" si="307"/>
        <v>17.100000000000023</v>
      </c>
      <c r="F131" s="1135">
        <f t="shared" si="307"/>
        <v>82.5</v>
      </c>
      <c r="G131" s="1006">
        <f t="shared" si="307"/>
        <v>10</v>
      </c>
      <c r="H131" s="1006">
        <f t="shared" si="307"/>
        <v>19.399999999999977</v>
      </c>
      <c r="I131" s="1006">
        <f t="shared" si="307"/>
        <v>41.899999999999977</v>
      </c>
      <c r="J131" s="1006">
        <f t="shared" si="307"/>
        <v>31.299999999999955</v>
      </c>
      <c r="K131" s="1135">
        <f t="shared" si="307"/>
        <v>102.59999999999991</v>
      </c>
      <c r="L131" s="1006">
        <f t="shared" si="307"/>
        <v>0</v>
      </c>
      <c r="M131" s="1006">
        <f t="shared" si="307"/>
        <v>8.2000000000000455</v>
      </c>
      <c r="N131" s="1006">
        <f t="shared" si="307"/>
        <v>112.39999999999998</v>
      </c>
      <c r="O131" s="1006">
        <f t="shared" si="307"/>
        <v>6.8999999999999773</v>
      </c>
      <c r="P131" s="1135">
        <f t="shared" si="307"/>
        <v>127.5</v>
      </c>
      <c r="Q131" s="1006">
        <f t="shared" si="307"/>
        <v>33.900000000000091</v>
      </c>
      <c r="R131" s="1006">
        <f t="shared" si="307"/>
        <v>66</v>
      </c>
      <c r="S131" s="1006">
        <f t="shared" si="307"/>
        <v>80.399999999999864</v>
      </c>
      <c r="T131" s="1006">
        <f t="shared" si="307"/>
        <v>22.800000000000182</v>
      </c>
      <c r="U131" s="1135">
        <f t="shared" si="307"/>
        <v>203.10000000000014</v>
      </c>
      <c r="V131" s="1006">
        <f t="shared" si="307"/>
        <v>0</v>
      </c>
      <c r="W131" s="1006">
        <f t="shared" si="307"/>
        <v>35.299999999999955</v>
      </c>
      <c r="X131" s="1006">
        <f t="shared" si="307"/>
        <v>106.39999999999986</v>
      </c>
      <c r="Y131" s="1006">
        <f t="shared" si="307"/>
        <v>13.300000000000182</v>
      </c>
      <c r="Z131" s="1135">
        <f t="shared" si="307"/>
        <v>155</v>
      </c>
      <c r="AA131" s="1006">
        <f t="shared" si="307"/>
        <v>13.299999999999955</v>
      </c>
      <c r="AB131" s="1006">
        <f t="shared" si="307"/>
        <v>16.5</v>
      </c>
      <c r="AC131" s="1006">
        <f t="shared" si="307"/>
        <v>42.299999999999955</v>
      </c>
      <c r="AD131" s="1006">
        <f t="shared" si="307"/>
        <v>13.099999999999909</v>
      </c>
      <c r="AE131" s="1135">
        <f t="shared" si="307"/>
        <v>85.199999999999818</v>
      </c>
      <c r="AF131" s="1006">
        <f t="shared" si="307"/>
        <v>15.400000000000091</v>
      </c>
      <c r="AG131" s="1006">
        <f t="shared" si="307"/>
        <v>23.900000000000091</v>
      </c>
      <c r="AH131" s="1006">
        <f t="shared" si="307"/>
        <v>50.5</v>
      </c>
      <c r="AI131" s="1006">
        <f t="shared" si="307"/>
        <v>-11.200000000000045</v>
      </c>
      <c r="AJ131" s="1135">
        <f t="shared" si="307"/>
        <v>78.600000000000136</v>
      </c>
      <c r="AK131" s="1006">
        <f t="shared" si="307"/>
        <v>13.099999999999909</v>
      </c>
      <c r="AL131" s="1006">
        <f t="shared" si="307"/>
        <v>-13.099999999999909</v>
      </c>
      <c r="AM131" s="1006">
        <f t="shared" si="307"/>
        <v>26.200000000000045</v>
      </c>
      <c r="AN131" s="1006">
        <f t="shared" si="307"/>
        <v>52.399999999999864</v>
      </c>
      <c r="AO131" s="1135">
        <f t="shared" si="307"/>
        <v>78.599999999999909</v>
      </c>
      <c r="AP131" s="1006">
        <f t="shared" si="307"/>
        <v>25</v>
      </c>
      <c r="AQ131" s="1006">
        <f t="shared" si="307"/>
        <v>26.400000000000091</v>
      </c>
      <c r="AR131" s="1006">
        <f t="shared" si="307"/>
        <v>1</v>
      </c>
      <c r="AS131" s="1006">
        <f t="shared" si="307"/>
        <v>-13.100000000000136</v>
      </c>
      <c r="AT131" s="1135">
        <f t="shared" si="307"/>
        <v>39.299999999999955</v>
      </c>
      <c r="AU131" s="1006">
        <f t="shared" si="307"/>
        <v>0</v>
      </c>
      <c r="AV131" s="1006">
        <f t="shared" si="307"/>
        <v>26.200000000000045</v>
      </c>
      <c r="AW131" s="1006">
        <f t="shared" si="307"/>
        <v>-26.200000000000045</v>
      </c>
      <c r="AX131" s="1006">
        <f t="shared" si="307"/>
        <v>12.100000000000136</v>
      </c>
      <c r="AY131" s="1135">
        <f t="shared" si="307"/>
        <v>12.100000000000136</v>
      </c>
      <c r="AZ131" s="1006">
        <f>AZ132-AZ128</f>
        <v>0</v>
      </c>
      <c r="BA131" s="1006">
        <f t="shared" ref="BA131:BD131" si="308">BA132-BA128</f>
        <v>0</v>
      </c>
      <c r="BB131" s="1006">
        <f t="shared" si="308"/>
        <v>13.200000000000045</v>
      </c>
      <c r="BC131" s="1006">
        <f t="shared" si="308"/>
        <v>0</v>
      </c>
      <c r="BD131" s="1135">
        <f t="shared" si="308"/>
        <v>13.200000000000045</v>
      </c>
      <c r="BE131" s="1006">
        <f>BE132-BE128</f>
        <v>13.199999999999818</v>
      </c>
      <c r="BF131" s="1006">
        <f t="shared" ref="BF131:BI131" si="309">BF132-BF128</f>
        <v>0</v>
      </c>
      <c r="BG131" s="1006">
        <f t="shared" si="309"/>
        <v>0</v>
      </c>
      <c r="BH131" s="1006">
        <f t="shared" si="309"/>
        <v>-26.399999999999864</v>
      </c>
      <c r="BI131" s="1135">
        <f t="shared" si="309"/>
        <v>-13.200000000000045</v>
      </c>
      <c r="BJ131" s="1008">
        <f>BJ132-BJ128</f>
        <v>12.099999999999909</v>
      </c>
      <c r="BK131" s="1006">
        <f t="shared" ref="BK131:BV131" si="310">SUM(BK129:BK130)</f>
        <v>2.1905927402698921E-5</v>
      </c>
      <c r="BL131" s="1006">
        <f t="shared" si="310"/>
        <v>0</v>
      </c>
      <c r="BM131" s="1006">
        <f t="shared" si="310"/>
        <v>0</v>
      </c>
      <c r="BN131" s="1135">
        <f t="shared" si="310"/>
        <v>12.100021905927306</v>
      </c>
      <c r="BO131" s="1006">
        <f t="shared" si="310"/>
        <v>0.10341861462829627</v>
      </c>
      <c r="BP131" s="1006">
        <f t="shared" si="310"/>
        <v>-8.8391978314739106E-4</v>
      </c>
      <c r="BQ131" s="1006">
        <f t="shared" si="310"/>
        <v>-8.7636491320530752E-4</v>
      </c>
      <c r="BR131" s="1006">
        <f t="shared" si="310"/>
        <v>-8.6887461480067429E-4</v>
      </c>
      <c r="BS131" s="1135">
        <f t="shared" si="310"/>
        <v>0.10078945531714112</v>
      </c>
      <c r="BT131" s="1135">
        <f t="shared" si="310"/>
        <v>-53.202973673029327</v>
      </c>
      <c r="BU131" s="1135">
        <f t="shared" si="310"/>
        <v>-53.203344878229586</v>
      </c>
      <c r="BV131" s="1135">
        <f t="shared" si="310"/>
        <v>-53.203344878229601</v>
      </c>
      <c r="BW131" s="223"/>
    </row>
    <row r="132" spans="1:75" s="169" customFormat="1" ht="14.25" hidden="1" outlineLevel="1" x14ac:dyDescent="0.45">
      <c r="A132" s="360" t="s">
        <v>1727</v>
      </c>
      <c r="B132" s="1127"/>
      <c r="C132" s="1128">
        <f t="shared" ref="C132:AT132" si="311">C113*C126/1000</f>
        <v>633.6</v>
      </c>
      <c r="D132" s="1128">
        <f t="shared" si="311"/>
        <v>615.6</v>
      </c>
      <c r="E132" s="1128">
        <f t="shared" si="311"/>
        <v>632.70000000000005</v>
      </c>
      <c r="F132" s="1128">
        <f t="shared" si="311"/>
        <v>715.2</v>
      </c>
      <c r="G132" s="287">
        <f t="shared" si="311"/>
        <v>725.2</v>
      </c>
      <c r="H132" s="287">
        <f t="shared" si="311"/>
        <v>744.6</v>
      </c>
      <c r="I132" s="287">
        <f t="shared" si="311"/>
        <v>786.5</v>
      </c>
      <c r="J132" s="287">
        <f t="shared" si="311"/>
        <v>817.8</v>
      </c>
      <c r="K132" s="1128">
        <f t="shared" si="311"/>
        <v>817.8</v>
      </c>
      <c r="L132" s="287">
        <f t="shared" si="311"/>
        <v>817.8</v>
      </c>
      <c r="M132" s="287">
        <f t="shared" si="311"/>
        <v>826</v>
      </c>
      <c r="N132" s="287">
        <f t="shared" si="311"/>
        <v>938.4</v>
      </c>
      <c r="O132" s="287">
        <f t="shared" si="311"/>
        <v>945.3</v>
      </c>
      <c r="P132" s="1128">
        <f t="shared" si="311"/>
        <v>945.3</v>
      </c>
      <c r="Q132" s="287">
        <f t="shared" si="311"/>
        <v>979.2</v>
      </c>
      <c r="R132" s="287">
        <f t="shared" si="311"/>
        <v>1045.2</v>
      </c>
      <c r="S132" s="287">
        <f t="shared" si="311"/>
        <v>1125.5999999999999</v>
      </c>
      <c r="T132" s="287">
        <f t="shared" si="311"/>
        <v>1148.4000000000001</v>
      </c>
      <c r="U132" s="1128">
        <f t="shared" si="311"/>
        <v>1148.4000000000001</v>
      </c>
      <c r="V132" s="287">
        <f t="shared" si="311"/>
        <v>1148.4000000000001</v>
      </c>
      <c r="W132" s="287">
        <f t="shared" si="311"/>
        <v>1183.7</v>
      </c>
      <c r="X132" s="287">
        <f t="shared" si="311"/>
        <v>1290.0999999999999</v>
      </c>
      <c r="Y132" s="287">
        <f t="shared" si="311"/>
        <v>1303.4000000000001</v>
      </c>
      <c r="Z132" s="1128">
        <f t="shared" si="311"/>
        <v>1303.4000000000001</v>
      </c>
      <c r="AA132" s="287">
        <f t="shared" si="311"/>
        <v>1316.7</v>
      </c>
      <c r="AB132" s="287">
        <f t="shared" si="311"/>
        <v>1333.2</v>
      </c>
      <c r="AC132" s="287">
        <f t="shared" si="311"/>
        <v>1375.5</v>
      </c>
      <c r="AD132" s="287">
        <f t="shared" si="311"/>
        <v>1388.6</v>
      </c>
      <c r="AE132" s="1128">
        <f t="shared" si="311"/>
        <v>1388.6</v>
      </c>
      <c r="AF132" s="287">
        <f t="shared" si="311"/>
        <v>1404</v>
      </c>
      <c r="AG132" s="287">
        <f t="shared" si="311"/>
        <v>1427.9</v>
      </c>
      <c r="AH132" s="287">
        <f t="shared" si="311"/>
        <v>1478.4</v>
      </c>
      <c r="AI132" s="287">
        <f t="shared" si="311"/>
        <v>1467.2</v>
      </c>
      <c r="AJ132" s="1128">
        <f t="shared" si="311"/>
        <v>1467.2</v>
      </c>
      <c r="AK132" s="287">
        <f t="shared" si="311"/>
        <v>1480.3</v>
      </c>
      <c r="AL132" s="287">
        <f t="shared" si="311"/>
        <v>1467.2</v>
      </c>
      <c r="AM132" s="287">
        <f t="shared" si="311"/>
        <v>1493.4</v>
      </c>
      <c r="AN132" s="287">
        <f t="shared" si="311"/>
        <v>1545.8</v>
      </c>
      <c r="AO132" s="1128">
        <f t="shared" si="311"/>
        <v>1545.8</v>
      </c>
      <c r="AP132" s="287">
        <f t="shared" si="311"/>
        <v>1570.8</v>
      </c>
      <c r="AQ132" s="287">
        <f t="shared" si="311"/>
        <v>1597.2</v>
      </c>
      <c r="AR132" s="287">
        <f t="shared" si="311"/>
        <v>1598.2</v>
      </c>
      <c r="AS132" s="287">
        <f t="shared" si="311"/>
        <v>1585.1</v>
      </c>
      <c r="AT132" s="1128">
        <f t="shared" si="311"/>
        <v>1585.1</v>
      </c>
      <c r="AU132" s="287">
        <f>AU113*AU126/1000</f>
        <v>1585.1</v>
      </c>
      <c r="AV132" s="287">
        <f t="shared" ref="AV132:BJ132" si="312">AV113*AV126/1000</f>
        <v>1611.3</v>
      </c>
      <c r="AW132" s="287">
        <f t="shared" si="312"/>
        <v>1585.1</v>
      </c>
      <c r="AX132" s="287">
        <f t="shared" si="312"/>
        <v>1597.2</v>
      </c>
      <c r="AY132" s="1128">
        <f t="shared" si="312"/>
        <v>1597.2</v>
      </c>
      <c r="AZ132" s="287">
        <f t="shared" si="312"/>
        <v>1597.2</v>
      </c>
      <c r="BA132" s="287">
        <f t="shared" si="312"/>
        <v>1597.2</v>
      </c>
      <c r="BB132" s="287">
        <f t="shared" si="312"/>
        <v>1610.4</v>
      </c>
      <c r="BC132" s="287">
        <f t="shared" si="312"/>
        <v>1610.4</v>
      </c>
      <c r="BD132" s="1128">
        <f t="shared" si="312"/>
        <v>1610.4</v>
      </c>
      <c r="BE132" s="287">
        <f t="shared" si="312"/>
        <v>1623.6</v>
      </c>
      <c r="BF132" s="287">
        <f t="shared" si="312"/>
        <v>1623.6</v>
      </c>
      <c r="BG132" s="287">
        <f t="shared" si="312"/>
        <v>1623.6</v>
      </c>
      <c r="BH132" s="287">
        <f t="shared" si="312"/>
        <v>1597.2</v>
      </c>
      <c r="BI132" s="1128">
        <f t="shared" si="312"/>
        <v>1597.2</v>
      </c>
      <c r="BJ132" s="1129">
        <f t="shared" si="312"/>
        <v>1609.3</v>
      </c>
      <c r="BK132" s="287">
        <f t="shared" ref="BK132:BV132" si="313">BK128+BK131</f>
        <v>1609.3000219059275</v>
      </c>
      <c r="BL132" s="287">
        <f t="shared" si="313"/>
        <v>1609.3000219059275</v>
      </c>
      <c r="BM132" s="287">
        <f t="shared" si="313"/>
        <v>1609.3000219059275</v>
      </c>
      <c r="BN132" s="1128">
        <f t="shared" si="313"/>
        <v>1609.3000219059275</v>
      </c>
      <c r="BO132" s="287">
        <f t="shared" si="313"/>
        <v>1609.4034405205557</v>
      </c>
      <c r="BP132" s="287">
        <f t="shared" si="313"/>
        <v>1609.4025566007726</v>
      </c>
      <c r="BQ132" s="287">
        <f t="shared" si="313"/>
        <v>1609.4016802358594</v>
      </c>
      <c r="BR132" s="287">
        <f t="shared" si="313"/>
        <v>1609.4008113612447</v>
      </c>
      <c r="BS132" s="1128">
        <f t="shared" si="313"/>
        <v>1609.4008113612447</v>
      </c>
      <c r="BT132" s="1128">
        <f t="shared" si="313"/>
        <v>1556.1978376882153</v>
      </c>
      <c r="BU132" s="1128">
        <f t="shared" si="313"/>
        <v>1502.9944928099858</v>
      </c>
      <c r="BV132" s="1128">
        <f t="shared" si="313"/>
        <v>1449.7911479317561</v>
      </c>
      <c r="BW132" s="168"/>
    </row>
    <row r="133" spans="1:75" s="169" customFormat="1" ht="14.25" hidden="1" outlineLevel="1" x14ac:dyDescent="0.45">
      <c r="A133" s="163" t="s">
        <v>1728</v>
      </c>
      <c r="B133" s="1121"/>
      <c r="C133" s="840"/>
      <c r="D133" s="840">
        <f t="shared" ref="D133:J133" si="314">AVERAGE(D132,D128)</f>
        <v>624.6</v>
      </c>
      <c r="E133" s="840">
        <f t="shared" si="314"/>
        <v>624.15000000000009</v>
      </c>
      <c r="F133" s="840">
        <f t="shared" si="314"/>
        <v>673.95</v>
      </c>
      <c r="G133" s="247">
        <f t="shared" si="314"/>
        <v>720.2</v>
      </c>
      <c r="H133" s="247">
        <f t="shared" si="314"/>
        <v>734.90000000000009</v>
      </c>
      <c r="I133" s="247">
        <f t="shared" si="314"/>
        <v>765.55</v>
      </c>
      <c r="J133" s="247">
        <f t="shared" si="314"/>
        <v>802.15</v>
      </c>
      <c r="K133" s="840">
        <f t="shared" ref="K133" si="315">SUM(G133*G$3,H133*H$3,I133*I$3,J133*J$3)/K$3</f>
        <v>755.70000000000016</v>
      </c>
      <c r="L133" s="247">
        <f>AVERAGE(L132,L128)</f>
        <v>817.8</v>
      </c>
      <c r="M133" s="247">
        <f>AVERAGE(M132,M128)</f>
        <v>821.9</v>
      </c>
      <c r="N133" s="247">
        <f>AVERAGE(N132,N128)</f>
        <v>882.2</v>
      </c>
      <c r="O133" s="247">
        <f>AVERAGE(O132,O128)</f>
        <v>941.84999999999991</v>
      </c>
      <c r="P133" s="840">
        <f t="shared" ref="P133" si="316">SUM(L133*L$3,M133*M$3,N133*N$3,O133*O$3)/P$3</f>
        <v>865.9375</v>
      </c>
      <c r="Q133" s="247">
        <f>AVERAGE(Q132,Q128)</f>
        <v>962.25</v>
      </c>
      <c r="R133" s="247">
        <f>AVERAGE(R132,R128)</f>
        <v>1012.2</v>
      </c>
      <c r="S133" s="247">
        <f>AVERAGE(S132,S128)</f>
        <v>1085.4000000000001</v>
      </c>
      <c r="T133" s="247">
        <f>AVERAGE(T132,T128)</f>
        <v>1137</v>
      </c>
      <c r="U133" s="840">
        <f t="shared" ref="U133" si="317">SUM(Q133*Q$3,R133*R$3,S133*S$3,T133*T$3)/U$3</f>
        <v>1049.2125000000001</v>
      </c>
      <c r="V133" s="247">
        <f>AVERAGE(V132,V128)</f>
        <v>1148.4000000000001</v>
      </c>
      <c r="W133" s="247">
        <f>AVERAGE(W132,W128)</f>
        <v>1166.0500000000002</v>
      </c>
      <c r="X133" s="247">
        <f>AVERAGE(X132,X128)</f>
        <v>1236.9000000000001</v>
      </c>
      <c r="Y133" s="247">
        <f>AVERAGE(Y132,Y128)</f>
        <v>1296.75</v>
      </c>
      <c r="Z133" s="840">
        <f t="shared" ref="Z133" si="318">SUM(V133*V$3,W133*W$3,X133*X$3,Y133*Y$3)/Z$3</f>
        <v>1212.0250000000001</v>
      </c>
      <c r="AA133" s="247">
        <f>AVERAGE(AA132,AA128)</f>
        <v>1310.0500000000002</v>
      </c>
      <c r="AB133" s="247">
        <f>AVERAGE(AB132,AB128)</f>
        <v>1324.95</v>
      </c>
      <c r="AC133" s="247">
        <f>AVERAGE(AC132,AC128)</f>
        <v>1354.35</v>
      </c>
      <c r="AD133" s="247">
        <f>AVERAGE(AD132,AD128)</f>
        <v>1382.05</v>
      </c>
      <c r="AE133" s="840">
        <f t="shared" ref="AE133" si="319">SUM(AA133*AA$3,AB133*AB$3,AC133*AC$3,AD133*AD$3)/AE$3</f>
        <v>1342.85</v>
      </c>
      <c r="AF133" s="247">
        <f>AVERAGE(AF132,AF128)</f>
        <v>1396.3</v>
      </c>
      <c r="AG133" s="247">
        <f>AVERAGE(AG132,AG128)</f>
        <v>1415.95</v>
      </c>
      <c r="AH133" s="247">
        <f>AVERAGE(AH132,AH128)</f>
        <v>1453.15</v>
      </c>
      <c r="AI133" s="247">
        <f>AVERAGE(AI132,AI128)</f>
        <v>1472.8000000000002</v>
      </c>
      <c r="AJ133" s="840">
        <f t="shared" ref="AJ133" si="320">SUM(AF133*AF$3,AG133*AG$3,AH133*AH$3,AI133*AI$3)/AJ$3</f>
        <v>1435.2716981132078</v>
      </c>
      <c r="AK133" s="247">
        <f>AVERAGE(AK132,AK128)</f>
        <v>1473.75</v>
      </c>
      <c r="AL133" s="247">
        <f>AVERAGE(AL132,AL128)</f>
        <v>1473.75</v>
      </c>
      <c r="AM133" s="247">
        <f>AVERAGE(AM132,AM128)</f>
        <v>1480.3000000000002</v>
      </c>
      <c r="AN133" s="247">
        <f>AVERAGE(AN132,AN128)</f>
        <v>1519.6</v>
      </c>
      <c r="AO133" s="840">
        <f t="shared" ref="AO133" si="321">SUM(AK133*AK$3,AL133*AL$3,AM133*AM$3,AN133*AN$3)/AO$3</f>
        <v>1486.8500000000001</v>
      </c>
      <c r="AP133" s="247">
        <f>AVERAGE(AP132,AP128)</f>
        <v>1558.3</v>
      </c>
      <c r="AQ133" s="247">
        <f>AVERAGE(AQ132,AQ128)</f>
        <v>1584</v>
      </c>
      <c r="AR133" s="247">
        <f>AVERAGE(AR132,AR128)</f>
        <v>1597.7</v>
      </c>
      <c r="AS133" s="247">
        <f>AVERAGE(AS132,AS128)</f>
        <v>1591.65</v>
      </c>
      <c r="AT133" s="840">
        <f t="shared" ref="AT133" si="322">SUM(AP133*AP$3,AQ133*AQ$3,AR133*AR$3,AS133*AS$3)/AT$3</f>
        <v>1582.9125000000001</v>
      </c>
      <c r="AU133" s="247">
        <f>AVERAGE(AU132,AU128)</f>
        <v>1585.1</v>
      </c>
      <c r="AV133" s="247">
        <f>AVERAGE(AV132,AV128)</f>
        <v>1598.1999999999998</v>
      </c>
      <c r="AW133" s="247">
        <f>AVERAGE(AW132,AW128)</f>
        <v>1598.1999999999998</v>
      </c>
      <c r="AX133" s="247">
        <f>AVERAGE(AX132,AX128)</f>
        <v>1591.15</v>
      </c>
      <c r="AY133" s="840">
        <f t="shared" ref="AY133" si="323">SUM(AU133*AU$3,AV133*AV$3,AW133*AW$3,AX133*AX$3)/AY$3</f>
        <v>1593.1625000000001</v>
      </c>
      <c r="AZ133" s="247">
        <f>AVERAGE(AZ132,AZ128)</f>
        <v>1597.2</v>
      </c>
      <c r="BA133" s="247">
        <f>AVERAGE(BA132,BA128)</f>
        <v>1597.2</v>
      </c>
      <c r="BB133" s="247">
        <f>AVERAGE(BB132,BB128)</f>
        <v>1603.8000000000002</v>
      </c>
      <c r="BC133" s="247">
        <f>AVERAGE(BC132,BC128)</f>
        <v>1610.4</v>
      </c>
      <c r="BD133" s="840">
        <f t="shared" ref="BD133" si="324">SUM(AZ133*AZ$3,BA133*BA$3,BB133*BB$3,BC133*BC$3)/BD$3</f>
        <v>1602.1500000000003</v>
      </c>
      <c r="BE133" s="247">
        <f>AVERAGE(BE132,BE128)</f>
        <v>1617</v>
      </c>
      <c r="BF133" s="247">
        <f>AVERAGE(BF132,BF128)</f>
        <v>1623.6</v>
      </c>
      <c r="BG133" s="247">
        <f>AVERAGE(BG132,BG128)</f>
        <v>1623.6</v>
      </c>
      <c r="BH133" s="247">
        <f>AVERAGE(BH132,BH128)</f>
        <v>1610.4</v>
      </c>
      <c r="BI133" s="840">
        <f>SUM(BE133*BE$3,BF133*BF$3,BG133*BG$3,BH133*BH$3)/BI$3</f>
        <v>1618.6499999999999</v>
      </c>
      <c r="BJ133" s="977">
        <f>AVERAGE(BJ132,BJ128)</f>
        <v>1603.25</v>
      </c>
      <c r="BK133" s="247">
        <f>AVERAGE(BK132,BK128)</f>
        <v>1609.3000109529637</v>
      </c>
      <c r="BL133" s="247">
        <f>AVERAGE(BL132,BL128)</f>
        <v>1609.3000219059275</v>
      </c>
      <c r="BM133" s="247">
        <f>AVERAGE(BM132,BM128)</f>
        <v>1609.3000219059275</v>
      </c>
      <c r="BN133" s="840">
        <f>SUM(BJ133*BJ$3,BK133*BK$3,BL133*BL$3,BM133*BM$3)/BN$3</f>
        <v>1607.8160515820484</v>
      </c>
      <c r="BO133" s="247">
        <f>AVERAGE(BO132,BO128)</f>
        <v>1609.3517312132417</v>
      </c>
      <c r="BP133" s="247">
        <f>AVERAGE(BP132,BP128)</f>
        <v>1609.4029985606642</v>
      </c>
      <c r="BQ133" s="247">
        <f>AVERAGE(BQ132,BQ128)</f>
        <v>1609.4021184183161</v>
      </c>
      <c r="BR133" s="247">
        <f>AVERAGE(BR132,BR128)</f>
        <v>1609.4012457985521</v>
      </c>
      <c r="BS133" s="840">
        <f>SUM(BO133*BO$3,BP133*BP$3,BQ133*BQ$3,BR133*BR$3)/BS$3</f>
        <v>1609.3895234976935</v>
      </c>
      <c r="BT133" s="840">
        <f>AVERAGE(BT132,BT128)</f>
        <v>1582.7993245247299</v>
      </c>
      <c r="BU133" s="840">
        <f>AVERAGE(BU132,BU128)</f>
        <v>1529.5961652491005</v>
      </c>
      <c r="BV133" s="840">
        <f>AVERAGE(BV132,BV128)</f>
        <v>1476.392820370871</v>
      </c>
      <c r="BW133" s="168"/>
    </row>
    <row r="134" spans="1:75" s="224" customFormat="1" hidden="1" outlineLevel="1" x14ac:dyDescent="0.5">
      <c r="A134" s="588"/>
      <c r="B134" s="494"/>
      <c r="C134" s="425"/>
      <c r="D134" s="425"/>
      <c r="E134" s="425"/>
      <c r="F134" s="425"/>
      <c r="G134" s="487"/>
      <c r="H134" s="487"/>
      <c r="I134" s="487"/>
      <c r="J134" s="487"/>
      <c r="K134" s="425"/>
      <c r="L134" s="487"/>
      <c r="M134" s="487"/>
      <c r="N134" s="487"/>
      <c r="O134" s="487"/>
      <c r="P134" s="425"/>
      <c r="Q134" s="487"/>
      <c r="R134" s="487"/>
      <c r="S134" s="487"/>
      <c r="T134" s="487"/>
      <c r="U134" s="425"/>
      <c r="V134" s="487"/>
      <c r="W134" s="487"/>
      <c r="X134" s="487"/>
      <c r="Y134" s="487"/>
      <c r="Z134" s="425"/>
      <c r="AA134" s="487"/>
      <c r="AB134" s="487"/>
      <c r="AC134" s="487"/>
      <c r="AD134" s="487"/>
      <c r="AE134" s="425"/>
      <c r="AF134" s="487"/>
      <c r="AG134" s="487"/>
      <c r="AH134" s="487"/>
      <c r="AI134" s="487"/>
      <c r="AJ134" s="425"/>
      <c r="AK134" s="487"/>
      <c r="AL134" s="487"/>
      <c r="AM134" s="487"/>
      <c r="AN134" s="487"/>
      <c r="AO134" s="425"/>
      <c r="AP134" s="487"/>
      <c r="AQ134" s="487"/>
      <c r="AR134" s="487"/>
      <c r="AS134" s="487"/>
      <c r="AT134" s="425"/>
      <c r="AU134" s="487"/>
      <c r="AV134" s="487"/>
      <c r="AW134" s="487"/>
      <c r="AX134" s="487"/>
      <c r="AY134" s="425"/>
      <c r="AZ134" s="487"/>
      <c r="BA134" s="487"/>
      <c r="BB134" s="487"/>
      <c r="BC134" s="487"/>
      <c r="BD134" s="425"/>
      <c r="BE134" s="487"/>
      <c r="BF134" s="487"/>
      <c r="BG134" s="487"/>
      <c r="BH134" s="487"/>
      <c r="BI134" s="425"/>
      <c r="BJ134" s="981"/>
      <c r="BK134" s="487"/>
      <c r="BL134" s="487"/>
      <c r="BM134" s="487"/>
      <c r="BN134" s="425"/>
      <c r="BO134" s="487"/>
      <c r="BP134" s="487"/>
      <c r="BQ134" s="487"/>
      <c r="BR134" s="487"/>
      <c r="BS134" s="425"/>
      <c r="BT134" s="425"/>
      <c r="BU134" s="425"/>
      <c r="BV134" s="425"/>
      <c r="BW134" s="223"/>
    </row>
    <row r="135" spans="1:75" s="224" customFormat="1" hidden="1" outlineLevel="1" x14ac:dyDescent="0.5">
      <c r="A135" s="218" t="s">
        <v>1729</v>
      </c>
      <c r="B135" s="494"/>
      <c r="C135" s="425"/>
      <c r="D135" s="425">
        <f>D132-D138</f>
        <v>598.4</v>
      </c>
      <c r="E135" s="425">
        <f>E132-E138</f>
        <v>598</v>
      </c>
      <c r="F135" s="425">
        <f>F132-F138</f>
        <v>598.52857142857147</v>
      </c>
      <c r="G135" s="487"/>
      <c r="H135" s="487"/>
      <c r="I135" s="487"/>
      <c r="J135" s="487"/>
      <c r="K135" s="425">
        <f t="shared" ref="K135:BJ136" si="325">K132-K138</f>
        <v>698.0991836734695</v>
      </c>
      <c r="L135" s="487">
        <f t="shared" si="325"/>
        <v>708.09918367346938</v>
      </c>
      <c r="M135" s="487">
        <f t="shared" si="325"/>
        <v>744.6</v>
      </c>
      <c r="N135" s="487">
        <f t="shared" si="325"/>
        <v>786.5</v>
      </c>
      <c r="O135" s="487">
        <f t="shared" si="325"/>
        <v>817.8</v>
      </c>
      <c r="P135" s="425">
        <f t="shared" si="325"/>
        <v>817.8</v>
      </c>
      <c r="Q135" s="487">
        <f t="shared" si="325"/>
        <v>817.8</v>
      </c>
      <c r="R135" s="487">
        <f t="shared" si="325"/>
        <v>826</v>
      </c>
      <c r="S135" s="487">
        <f t="shared" si="325"/>
        <v>938.4</v>
      </c>
      <c r="T135" s="487">
        <f t="shared" si="325"/>
        <v>945.3</v>
      </c>
      <c r="U135" s="425">
        <f t="shared" si="325"/>
        <v>945.3</v>
      </c>
      <c r="V135" s="487">
        <f t="shared" si="325"/>
        <v>979.2</v>
      </c>
      <c r="W135" s="487">
        <f t="shared" si="325"/>
        <v>1045.2</v>
      </c>
      <c r="X135" s="487">
        <f t="shared" si="325"/>
        <v>1098.8</v>
      </c>
      <c r="Y135" s="487">
        <f t="shared" si="325"/>
        <v>1121.6000000000001</v>
      </c>
      <c r="Z135" s="425">
        <f t="shared" si="325"/>
        <v>1121.6000000000001</v>
      </c>
      <c r="AA135" s="487">
        <f t="shared" si="325"/>
        <v>1121.6000000000001</v>
      </c>
      <c r="AB135" s="487">
        <f t="shared" si="325"/>
        <v>1156.9000000000001</v>
      </c>
      <c r="AC135" s="487">
        <f t="shared" si="325"/>
        <v>1276.8022988505745</v>
      </c>
      <c r="AD135" s="487">
        <f t="shared" si="325"/>
        <v>1263.5022509578546</v>
      </c>
      <c r="AE135" s="425">
        <f t="shared" si="325"/>
        <v>1263.5022509578546</v>
      </c>
      <c r="AF135" s="487">
        <f t="shared" si="325"/>
        <v>1276.8022509578545</v>
      </c>
      <c r="AG135" s="487">
        <f t="shared" si="325"/>
        <v>1266.7022040628992</v>
      </c>
      <c r="AH135" s="487">
        <f t="shared" si="325"/>
        <v>1322.2999052123243</v>
      </c>
      <c r="AI135" s="487">
        <f t="shared" si="325"/>
        <v>1348.9078748356158</v>
      </c>
      <c r="AJ135" s="425">
        <f t="shared" si="325"/>
        <v>1348.9078748356158</v>
      </c>
      <c r="AK135" s="487">
        <f t="shared" si="325"/>
        <v>1364.3078748356158</v>
      </c>
      <c r="AL135" s="487">
        <f t="shared" si="325"/>
        <v>1401.7079217305713</v>
      </c>
      <c r="AM135" s="487">
        <f t="shared" si="325"/>
        <v>1452.2079217305713</v>
      </c>
      <c r="AN135" s="487">
        <f t="shared" si="325"/>
        <v>1454.1000000000001</v>
      </c>
      <c r="AO135" s="425">
        <f t="shared" si="325"/>
        <v>1454.1000000000001</v>
      </c>
      <c r="AP135" s="487">
        <f t="shared" si="325"/>
        <v>1454.1000000000001</v>
      </c>
      <c r="AQ135" s="487">
        <f t="shared" si="325"/>
        <v>1441</v>
      </c>
      <c r="AR135" s="487">
        <f t="shared" si="325"/>
        <v>1454.1000000000001</v>
      </c>
      <c r="AS135" s="487">
        <f t="shared" si="325"/>
        <v>1493.3999999999999</v>
      </c>
      <c r="AT135" s="425">
        <f t="shared" si="325"/>
        <v>1493.3999999999999</v>
      </c>
      <c r="AU135" s="487">
        <f t="shared" si="325"/>
        <v>1531.4999999999998</v>
      </c>
      <c r="AV135" s="487">
        <f t="shared" si="325"/>
        <v>1571</v>
      </c>
      <c r="AW135" s="487">
        <f t="shared" si="325"/>
        <v>1545.4949579831932</v>
      </c>
      <c r="AX135" s="487">
        <f t="shared" si="325"/>
        <v>1532.3975430850305</v>
      </c>
      <c r="AY135" s="425">
        <f t="shared" si="325"/>
        <v>1532.3975430850305</v>
      </c>
      <c r="AZ135" s="487">
        <f t="shared" si="325"/>
        <v>1532.3975430850305</v>
      </c>
      <c r="BA135" s="487">
        <f t="shared" si="325"/>
        <v>1545.5001281868679</v>
      </c>
      <c r="BB135" s="487">
        <f t="shared" si="325"/>
        <v>1545.8077114902267</v>
      </c>
      <c r="BC135" s="487">
        <f t="shared" si="325"/>
        <v>1557.9050610367772</v>
      </c>
      <c r="BD135" s="425">
        <f t="shared" si="325"/>
        <v>1557.9050610367772</v>
      </c>
      <c r="BE135" s="487">
        <f t="shared" si="325"/>
        <v>1557.9050610367772</v>
      </c>
      <c r="BF135" s="487">
        <f t="shared" si="325"/>
        <v>1557.7998906719163</v>
      </c>
      <c r="BG135" s="487">
        <f t="shared" si="325"/>
        <v>1584.0973493853644</v>
      </c>
      <c r="BH135" s="487">
        <f t="shared" si="325"/>
        <v>1570.7974147369766</v>
      </c>
      <c r="BI135" s="425">
        <f t="shared" si="325"/>
        <v>1570.7974147369766</v>
      </c>
      <c r="BJ135" s="981">
        <f t="shared" si="325"/>
        <v>1570.7974364618758</v>
      </c>
      <c r="BK135" s="487">
        <f>BJ135+BF129+BK130</f>
        <v>1570.8000432672366</v>
      </c>
      <c r="BL135" s="487">
        <f>BK135+BG129+BL130</f>
        <v>1557.6000429036462</v>
      </c>
      <c r="BM135" s="487">
        <f>BL135+BH129+BM130</f>
        <v>1544.4000425400559</v>
      </c>
      <c r="BN135" s="425">
        <f>BN132-BN138</f>
        <v>1544.4000425400563</v>
      </c>
      <c r="BO135" s="487">
        <f>BN135+BJ129+BO130</f>
        <v>1556.5000204515666</v>
      </c>
      <c r="BP135" s="487">
        <f>BO135+BK129+BP130</f>
        <v>1556.3966018369383</v>
      </c>
      <c r="BQ135" s="487">
        <f>BP135+BL129+BQ130</f>
        <v>1556.2940671420934</v>
      </c>
      <c r="BR135" s="487">
        <f>BQ135+BM129+BR130</f>
        <v>1556.1924088121616</v>
      </c>
      <c r="BS135" s="425">
        <f>BS132-BS138</f>
        <v>1556.1924088121614</v>
      </c>
      <c r="BT135" s="425">
        <f>BS135+BS129+BT130</f>
        <v>1502.994492809986</v>
      </c>
      <c r="BU135" s="425">
        <f>BT135+BT129+BU130</f>
        <v>1449.7911479317565</v>
      </c>
      <c r="BV135" s="425">
        <f>BU135+BU129+BV130</f>
        <v>1396.5878030535271</v>
      </c>
      <c r="BW135" s="223"/>
    </row>
    <row r="136" spans="1:75" s="224" customFormat="1" hidden="1" outlineLevel="1" x14ac:dyDescent="0.5">
      <c r="A136" s="218" t="s">
        <v>1730</v>
      </c>
      <c r="B136" s="494"/>
      <c r="C136" s="425"/>
      <c r="D136" s="425">
        <f>D133-D139</f>
        <v>598.80000000000007</v>
      </c>
      <c r="E136" s="425">
        <f t="shared" ref="E136:F136" si="326">E133-E139</f>
        <v>589.45000000000005</v>
      </c>
      <c r="F136" s="425">
        <f t="shared" si="326"/>
        <v>606.63956043956046</v>
      </c>
      <c r="G136" s="487"/>
      <c r="H136" s="487"/>
      <c r="I136" s="487"/>
      <c r="J136" s="487"/>
      <c r="K136" s="425">
        <f t="shared" si="325"/>
        <v>705.37124768089075</v>
      </c>
      <c r="L136" s="487">
        <f t="shared" si="325"/>
        <v>702.61414285714295</v>
      </c>
      <c r="M136" s="487">
        <f t="shared" si="325"/>
        <v>730.32500000000005</v>
      </c>
      <c r="N136" s="487">
        <f t="shared" si="325"/>
        <v>759.51153846153852</v>
      </c>
      <c r="O136" s="487">
        <f t="shared" si="325"/>
        <v>802.75909090909079</v>
      </c>
      <c r="P136" s="425">
        <f t="shared" ref="P136" si="327">SUM(L136*L$3,M136*M$3,N136*N$3,O136*O$3)/P$3</f>
        <v>748.80244305694305</v>
      </c>
      <c r="Q136" s="487">
        <f t="shared" si="325"/>
        <v>818.14285714285711</v>
      </c>
      <c r="R136" s="487">
        <f t="shared" si="325"/>
        <v>821.84210526315792</v>
      </c>
      <c r="S136" s="487">
        <f t="shared" si="325"/>
        <v>880.6500000000002</v>
      </c>
      <c r="T136" s="487">
        <f t="shared" si="325"/>
        <v>945.18333333333317</v>
      </c>
      <c r="U136" s="425">
        <f t="shared" ref="U136" si="328">SUM(Q136*Q$3,R136*R$3,S136*S$3,T136*T$3)/U$3</f>
        <v>866.45457393483696</v>
      </c>
      <c r="V136" s="487">
        <f t="shared" si="325"/>
        <v>962.28</v>
      </c>
      <c r="W136" s="487">
        <f t="shared" si="325"/>
        <v>1002.3681818181819</v>
      </c>
      <c r="X136" s="487">
        <f t="shared" si="325"/>
        <v>1071.1066666666668</v>
      </c>
      <c r="Y136" s="487">
        <f t="shared" si="325"/>
        <v>1100.9653846153847</v>
      </c>
      <c r="Z136" s="425">
        <f t="shared" ref="Z136" si="329">SUM(V136*V$3,W136*W$3,X136*X$3,Y136*Y$3)/Z$3</f>
        <v>1034.1800582750584</v>
      </c>
      <c r="AA136" s="487">
        <f t="shared" si="325"/>
        <v>1121.9178571428574</v>
      </c>
      <c r="AB136" s="487">
        <f t="shared" si="325"/>
        <v>1148.6500000000001</v>
      </c>
      <c r="AC136" s="487">
        <f t="shared" si="325"/>
        <v>1228.2362707535119</v>
      </c>
      <c r="AD136" s="487">
        <f t="shared" si="325"/>
        <v>1268.3247735980497</v>
      </c>
      <c r="AE136" s="425">
        <f t="shared" ref="AE136" si="330">SUM(AA136*AA$3,AB136*AB$3,AC136*AC$3,AD136*AD$3)/AE$3</f>
        <v>1191.7822253736049</v>
      </c>
      <c r="AF136" s="487">
        <f t="shared" si="325"/>
        <v>1274.4021571679439</v>
      </c>
      <c r="AG136" s="487">
        <f t="shared" si="325"/>
        <v>1260.9521192912491</v>
      </c>
      <c r="AH136" s="487">
        <f t="shared" si="325"/>
        <v>1282.858987504354</v>
      </c>
      <c r="AI136" s="487">
        <f t="shared" si="325"/>
        <v>1341.3643053729065</v>
      </c>
      <c r="AJ136" s="425">
        <f t="shared" ref="AJ136" si="331">SUM(AF136*AF$3,AG136*AG$3,AH136*AH$3,AI136*AI$3)/AJ$3</f>
        <v>1290.8655227688075</v>
      </c>
      <c r="AK136" s="487">
        <f t="shared" si="325"/>
        <v>1350.5083670128417</v>
      </c>
      <c r="AL136" s="487">
        <f t="shared" si="325"/>
        <v>1388.6102982497425</v>
      </c>
      <c r="AM136" s="487">
        <f t="shared" si="325"/>
        <v>1433.9589119468926</v>
      </c>
      <c r="AN136" s="487">
        <f t="shared" si="325"/>
        <v>1447.55</v>
      </c>
      <c r="AO136" s="425">
        <f t="shared" ref="AO136" si="332">SUM(AK136*AK$3,AL136*AL$3,AM136*AM$3,AN136*AN$3)/AO$3</f>
        <v>1405.1568943023692</v>
      </c>
      <c r="AP136" s="487">
        <f t="shared" si="325"/>
        <v>1448.89375</v>
      </c>
      <c r="AQ136" s="487">
        <f t="shared" si="325"/>
        <v>1449.1</v>
      </c>
      <c r="AR136" s="487">
        <f t="shared" si="325"/>
        <v>1453.6000000000001</v>
      </c>
      <c r="AS136" s="487">
        <f t="shared" si="325"/>
        <v>1473.75</v>
      </c>
      <c r="AT136" s="425">
        <f t="shared" ref="AT136" si="333">SUM(AP136*AP$3,AQ136*AQ$3,AR136*AR$3,AS136*AS$3)/AT$3</f>
        <v>1456.3359375</v>
      </c>
      <c r="AU136" s="487">
        <f t="shared" si="325"/>
        <v>1520.7799999999997</v>
      </c>
      <c r="AV136" s="487">
        <f t="shared" si="325"/>
        <v>1552.8624999999997</v>
      </c>
      <c r="AW136" s="487">
        <f t="shared" si="325"/>
        <v>1551.9941176470586</v>
      </c>
      <c r="AX136" s="487">
        <f t="shared" si="325"/>
        <v>1534.4478501994017</v>
      </c>
      <c r="AY136" s="425">
        <f t="shared" ref="AY136" si="334">SUM(AU136*AU$3,AV136*AV$3,AW136*AW$3,AX136*AX$3)/AY$3</f>
        <v>1540.021116961615</v>
      </c>
      <c r="AZ136" s="487">
        <f>AZ133-AZ139</f>
        <v>1532.3975430850305</v>
      </c>
      <c r="BA136" s="487">
        <f>BA133-BA139</f>
        <v>1536.8834828846793</v>
      </c>
      <c r="BB136" s="487">
        <f>BB133-BB139</f>
        <v>1547.2817475539484</v>
      </c>
      <c r="BC136" s="487">
        <f t="shared" si="325"/>
        <v>1557.9050610367772</v>
      </c>
      <c r="BD136" s="425">
        <f t="shared" ref="BD136" si="335">SUM(AZ136*AZ$3,BA136*BA$3,BB136*BB$3,BC136*BC$3)/BD$3</f>
        <v>1543.616958640109</v>
      </c>
      <c r="BE136" s="487">
        <f>BE133-BE139</f>
        <v>1557.8745549330997</v>
      </c>
      <c r="BF136" s="487">
        <f>BF133-BF139</f>
        <v>1557.7998906719163</v>
      </c>
      <c r="BG136" s="487">
        <f>BG133-BG139</f>
        <v>1570.929799180486</v>
      </c>
      <c r="BH136" s="487">
        <f t="shared" si="325"/>
        <v>1577.3967684212209</v>
      </c>
      <c r="BI136" s="425">
        <f t="shared" ref="BI136" si="336">SUM(BE136*BE$3,BF136*BF$3,BG136*BG$3,BH136*BH$3)/BI$3</f>
        <v>1566.0002533016805</v>
      </c>
      <c r="BJ136" s="981">
        <f>BJ133-BJ139</f>
        <v>1564.7474364618759</v>
      </c>
      <c r="BK136" s="487">
        <f>BK133-BK139</f>
        <v>1570.8000323142728</v>
      </c>
      <c r="BL136" s="487">
        <f>BL133-BL139</f>
        <v>1566.2167060706934</v>
      </c>
      <c r="BM136" s="487">
        <f>BM133-BM139</f>
        <v>1552.51253996079</v>
      </c>
      <c r="BN136" s="425">
        <f>SUM(BJ136*BJ$3,BK136*BK$3,BL136*BL$3,BM136*BM$3)/BN$3</f>
        <v>1563.360562876604</v>
      </c>
      <c r="BO136" s="487">
        <f>BO133-BO139</f>
        <v>1556.4483111442526</v>
      </c>
      <c r="BP136" s="487">
        <f>BP133-BP139</f>
        <v>1556.3970437968298</v>
      </c>
      <c r="BQ136" s="487">
        <f>BQ133-BQ139</f>
        <v>1556.2945053245498</v>
      </c>
      <c r="BR136" s="487">
        <f>BR133-BR139</f>
        <v>1556.1928432494688</v>
      </c>
      <c r="BS136" s="425">
        <f>SUM(BO136*BO$3,BP136*BP$3,BQ136*BQ$3,BR136*BR$3)/BS$3</f>
        <v>1556.3331758787754</v>
      </c>
      <c r="BT136" s="425">
        <f>BT133-BT139</f>
        <v>1529.5959796465002</v>
      </c>
      <c r="BU136" s="425">
        <f>BU133-BU139</f>
        <v>1476.3928203708708</v>
      </c>
      <c r="BV136" s="425">
        <f>BV133-BV139</f>
        <v>1423.1894754926413</v>
      </c>
      <c r="BW136" s="223"/>
    </row>
    <row r="137" spans="1:75" s="224" customFormat="1" hidden="1" outlineLevel="1" x14ac:dyDescent="0.5">
      <c r="A137" s="218"/>
      <c r="B137" s="494"/>
      <c r="C137" s="425"/>
      <c r="D137" s="425"/>
      <c r="E137" s="425"/>
      <c r="F137" s="425"/>
      <c r="G137" s="487"/>
      <c r="H137" s="487"/>
      <c r="I137" s="487"/>
      <c r="J137" s="487"/>
      <c r="K137" s="425"/>
      <c r="L137" s="487"/>
      <c r="M137" s="487"/>
      <c r="N137" s="487"/>
      <c r="O137" s="487"/>
      <c r="P137" s="425"/>
      <c r="Q137" s="487"/>
      <c r="R137" s="487"/>
      <c r="S137" s="487"/>
      <c r="T137" s="487"/>
      <c r="U137" s="425"/>
      <c r="V137" s="487"/>
      <c r="W137" s="487"/>
      <c r="X137" s="487"/>
      <c r="Y137" s="487"/>
      <c r="Z137" s="425"/>
      <c r="AA137" s="487"/>
      <c r="AB137" s="487"/>
      <c r="AC137" s="487"/>
      <c r="AD137" s="487"/>
      <c r="AE137" s="425"/>
      <c r="AF137" s="487"/>
      <c r="AG137" s="487"/>
      <c r="AH137" s="487"/>
      <c r="AI137" s="487"/>
      <c r="AJ137" s="425"/>
      <c r="AK137" s="487"/>
      <c r="AL137" s="487"/>
      <c r="AM137" s="487"/>
      <c r="AN137" s="487"/>
      <c r="AO137" s="425"/>
      <c r="AP137" s="487"/>
      <c r="AQ137" s="487"/>
      <c r="AR137" s="487"/>
      <c r="AS137" s="487"/>
      <c r="AT137" s="425"/>
      <c r="AU137" s="487"/>
      <c r="AV137" s="487"/>
      <c r="AW137" s="487"/>
      <c r="AX137" s="487"/>
      <c r="AY137" s="425"/>
      <c r="AZ137" s="487"/>
      <c r="BA137" s="487"/>
      <c r="BB137" s="487"/>
      <c r="BC137" s="487"/>
      <c r="BD137" s="425"/>
      <c r="BE137" s="487"/>
      <c r="BF137" s="487"/>
      <c r="BG137" s="487"/>
      <c r="BH137" s="487"/>
      <c r="BI137" s="425"/>
      <c r="BJ137" s="981"/>
      <c r="BK137" s="487"/>
      <c r="BL137" s="487"/>
      <c r="BM137" s="487"/>
      <c r="BN137" s="425"/>
      <c r="BO137" s="487"/>
      <c r="BP137" s="487"/>
      <c r="BQ137" s="487"/>
      <c r="BR137" s="487"/>
      <c r="BS137" s="425"/>
      <c r="BT137" s="425"/>
      <c r="BU137" s="425"/>
      <c r="BV137" s="425"/>
      <c r="BW137" s="223"/>
    </row>
    <row r="138" spans="1:75" s="224" customFormat="1" hidden="1" outlineLevel="1" x14ac:dyDescent="0.5">
      <c r="A138" s="218" t="s">
        <v>1731</v>
      </c>
      <c r="B138" s="494"/>
      <c r="C138" s="425"/>
      <c r="D138" s="425">
        <f t="shared" ref="D138:F138" si="337">IFERROR(D125*D119/1000,0)</f>
        <v>17.200000000000003</v>
      </c>
      <c r="E138" s="425">
        <f t="shared" si="337"/>
        <v>34.700000000000017</v>
      </c>
      <c r="F138" s="425">
        <f t="shared" si="337"/>
        <v>116.67142857142858</v>
      </c>
      <c r="G138" s="487"/>
      <c r="H138" s="487"/>
      <c r="I138" s="487"/>
      <c r="J138" s="487"/>
      <c r="K138" s="425">
        <f t="shared" ref="K138:BV138" si="338">IFERROR(K125*K119/1000,0)</f>
        <v>119.7008163265305</v>
      </c>
      <c r="L138" s="487">
        <f t="shared" si="338"/>
        <v>109.70081632653053</v>
      </c>
      <c r="M138" s="487">
        <f t="shared" si="338"/>
        <v>81.399999999999977</v>
      </c>
      <c r="N138" s="487">
        <f t="shared" si="338"/>
        <v>151.89999999999998</v>
      </c>
      <c r="O138" s="487">
        <f t="shared" si="338"/>
        <v>127.50000000000001</v>
      </c>
      <c r="P138" s="425">
        <f t="shared" si="338"/>
        <v>127.50000000000001</v>
      </c>
      <c r="Q138" s="487">
        <f t="shared" si="338"/>
        <v>161.40000000000009</v>
      </c>
      <c r="R138" s="487">
        <f t="shared" si="338"/>
        <v>219.20000000000005</v>
      </c>
      <c r="S138" s="487">
        <f t="shared" si="338"/>
        <v>187.19999999999993</v>
      </c>
      <c r="T138" s="487">
        <f t="shared" si="338"/>
        <v>203.10000000000014</v>
      </c>
      <c r="U138" s="425">
        <f t="shared" si="338"/>
        <v>203.10000000000014</v>
      </c>
      <c r="V138" s="487">
        <f t="shared" si="338"/>
        <v>169.20000000000005</v>
      </c>
      <c r="W138" s="487">
        <f t="shared" si="338"/>
        <v>138.5</v>
      </c>
      <c r="X138" s="487">
        <f t="shared" si="338"/>
        <v>191.3</v>
      </c>
      <c r="Y138" s="487">
        <f t="shared" si="338"/>
        <v>181.8</v>
      </c>
      <c r="Z138" s="425">
        <f t="shared" si="338"/>
        <v>181.8</v>
      </c>
      <c r="AA138" s="487">
        <f t="shared" si="338"/>
        <v>195.09999999999994</v>
      </c>
      <c r="AB138" s="487">
        <f t="shared" si="338"/>
        <v>176.3</v>
      </c>
      <c r="AC138" s="487">
        <f t="shared" si="338"/>
        <v>98.69770114942537</v>
      </c>
      <c r="AD138" s="487">
        <f t="shared" si="338"/>
        <v>125.0977490421454</v>
      </c>
      <c r="AE138" s="425">
        <f t="shared" si="338"/>
        <v>125.0977490421454</v>
      </c>
      <c r="AF138" s="487">
        <f t="shared" si="338"/>
        <v>127.19774904214553</v>
      </c>
      <c r="AG138" s="487">
        <f t="shared" si="338"/>
        <v>161.19779593710092</v>
      </c>
      <c r="AH138" s="487">
        <f t="shared" si="338"/>
        <v>156.10009478767569</v>
      </c>
      <c r="AI138" s="487">
        <f t="shared" si="338"/>
        <v>118.29212516438439</v>
      </c>
      <c r="AJ138" s="425">
        <f t="shared" si="338"/>
        <v>118.29212516438439</v>
      </c>
      <c r="AK138" s="487">
        <f t="shared" si="338"/>
        <v>115.99212516438421</v>
      </c>
      <c r="AL138" s="487">
        <f t="shared" si="338"/>
        <v>65.492078269428816</v>
      </c>
      <c r="AM138" s="487">
        <f t="shared" si="338"/>
        <v>41.192078269428862</v>
      </c>
      <c r="AN138" s="487">
        <f t="shared" si="338"/>
        <v>91.699999999999832</v>
      </c>
      <c r="AO138" s="425">
        <f t="shared" si="338"/>
        <v>91.699999999999832</v>
      </c>
      <c r="AP138" s="487">
        <f t="shared" si="338"/>
        <v>116.6999999999999</v>
      </c>
      <c r="AQ138" s="487">
        <f t="shared" si="338"/>
        <v>156.19999999999999</v>
      </c>
      <c r="AR138" s="487">
        <f t="shared" si="338"/>
        <v>144.09999999999997</v>
      </c>
      <c r="AS138" s="487">
        <f t="shared" si="338"/>
        <v>91.700000000000102</v>
      </c>
      <c r="AT138" s="425">
        <f t="shared" si="338"/>
        <v>91.700000000000102</v>
      </c>
      <c r="AU138" s="487">
        <f t="shared" si="338"/>
        <v>53.600000000000087</v>
      </c>
      <c r="AV138" s="487">
        <f t="shared" si="338"/>
        <v>40.300000000000047</v>
      </c>
      <c r="AW138" s="487">
        <f t="shared" si="338"/>
        <v>39.605042016806721</v>
      </c>
      <c r="AX138" s="487">
        <f t="shared" si="338"/>
        <v>64.802456914969511</v>
      </c>
      <c r="AY138" s="425">
        <f t="shared" si="338"/>
        <v>64.802456914969511</v>
      </c>
      <c r="AZ138" s="487">
        <f t="shared" si="338"/>
        <v>64.802456914969511</v>
      </c>
      <c r="BA138" s="487">
        <f t="shared" si="338"/>
        <v>51.69987181313212</v>
      </c>
      <c r="BB138" s="487">
        <f t="shared" si="338"/>
        <v>64.592288509773525</v>
      </c>
      <c r="BC138" s="487">
        <f t="shared" si="338"/>
        <v>52.494938963222822</v>
      </c>
      <c r="BD138" s="425">
        <f t="shared" si="338"/>
        <v>52.494938963222822</v>
      </c>
      <c r="BE138" s="487">
        <f t="shared" si="338"/>
        <v>65.69493896322264</v>
      </c>
      <c r="BF138" s="487">
        <f t="shared" si="338"/>
        <v>65.800109328083522</v>
      </c>
      <c r="BG138" s="487">
        <f t="shared" si="338"/>
        <v>39.502650614635435</v>
      </c>
      <c r="BH138" s="487">
        <f t="shared" si="338"/>
        <v>26.402585263023354</v>
      </c>
      <c r="BI138" s="425">
        <f t="shared" si="338"/>
        <v>26.402585263023354</v>
      </c>
      <c r="BJ138" s="981">
        <f t="shared" si="338"/>
        <v>38.502563538124086</v>
      </c>
      <c r="BK138" s="487">
        <f t="shared" si="338"/>
        <v>38.499978638690777</v>
      </c>
      <c r="BL138" s="487">
        <f t="shared" si="338"/>
        <v>51.69997900228099</v>
      </c>
      <c r="BM138" s="487">
        <f t="shared" si="338"/>
        <v>64.899979365871218</v>
      </c>
      <c r="BN138" s="425">
        <f t="shared" si="338"/>
        <v>64.899979365871218</v>
      </c>
      <c r="BO138" s="487">
        <f t="shared" si="338"/>
        <v>52.903420068989192</v>
      </c>
      <c r="BP138" s="487">
        <f t="shared" si="338"/>
        <v>53.005954763834332</v>
      </c>
      <c r="BQ138" s="487">
        <f t="shared" si="338"/>
        <v>53.107613093766275</v>
      </c>
      <c r="BR138" s="487">
        <f t="shared" si="338"/>
        <v>53.208402549083416</v>
      </c>
      <c r="BS138" s="425">
        <f t="shared" si="338"/>
        <v>53.208402549083416</v>
      </c>
      <c r="BT138" s="425">
        <f t="shared" si="338"/>
        <v>53.203344878229593</v>
      </c>
      <c r="BU138" s="425">
        <f t="shared" si="338"/>
        <v>53.203344878229601</v>
      </c>
      <c r="BV138" s="425">
        <f t="shared" si="338"/>
        <v>53.203344878229601</v>
      </c>
      <c r="BW138" s="223"/>
    </row>
    <row r="139" spans="1:75" s="224" customFormat="1" hidden="1" outlineLevel="1" x14ac:dyDescent="0.5">
      <c r="A139" s="218" t="s">
        <v>1732</v>
      </c>
      <c r="B139" s="494"/>
      <c r="C139" s="425"/>
      <c r="D139" s="425">
        <f>IFERROR(D138-(D111-C111)/2*D125/1000,D138-(D111-C111)/2*D126/1000)</f>
        <v>25.800000000000004</v>
      </c>
      <c r="E139" s="425">
        <f>IFERROR(E138-(E111-D111)/2*E125/1000,E138-(E111-D111)/2*E126/1000)</f>
        <v>34.700000000000017</v>
      </c>
      <c r="F139" s="425">
        <f>IFERROR(F138-(F111-E111)/2*F125/1000,F138-(F111-E111)/2*F126/1000)</f>
        <v>67.310439560439562</v>
      </c>
      <c r="G139" s="487"/>
      <c r="H139" s="487"/>
      <c r="I139" s="487"/>
      <c r="J139" s="487"/>
      <c r="K139" s="425">
        <f>K138-(G111*G$3/2/K$3+H111*(H$3/2+G$3)/K$3+I111*(I$3/2+H$3+G$3)/K$3+J111*(J$3/2+I$3+H$3+G$3)/K$3)*K125/1000</f>
        <v>50.328752319109398</v>
      </c>
      <c r="L139" s="487">
        <f>IFERROR(L138-(L111-G111)/2*L125/1000,L138-(L111-G111)/2*L126/1000)</f>
        <v>115.18585714285706</v>
      </c>
      <c r="M139" s="487">
        <f>IFERROR(M138-(M111-H111)/2*M125/1000,M138-(M111-H111)/2*M126/1000)</f>
        <v>91.574999999999974</v>
      </c>
      <c r="N139" s="487">
        <f>IFERROR(N138-(N111-I111)/2*N125/1000,N138-(N111-I111)/2*N126/1000)</f>
        <v>122.68846153846152</v>
      </c>
      <c r="O139" s="487">
        <f>IFERROR(O138-(O111-J111)/2*O125/1000,O138-(O111-J111)/2*O126/1000)</f>
        <v>139.09090909090909</v>
      </c>
      <c r="P139" s="425">
        <f t="shared" ref="P139" si="339">SUM(L139*L$3,M139*M$3,N139*N$3,O139*O$3)/P$3</f>
        <v>117.1350569430569</v>
      </c>
      <c r="Q139" s="487">
        <f>IFERROR(Q138-(Q111-L111)/2*Q125/1000,Q138-(Q111-L111)/2*Q126/1000)</f>
        <v>144.10714285714295</v>
      </c>
      <c r="R139" s="487">
        <f>IFERROR(R138-(R111-M111)/2*R125/1000,R138-(R111-M111)/2*R126/1000)</f>
        <v>190.35789473684216</v>
      </c>
      <c r="S139" s="487">
        <f>IFERROR(S138-(S111-N111)/2*S125/1000,S138-(S111-N111)/2*S126/1000)</f>
        <v>204.74999999999991</v>
      </c>
      <c r="T139" s="487">
        <f>IFERROR(T138-(T111-O111)/2*T125/1000,T138-(T111-O111)/2*T126/1000)</f>
        <v>191.8166666666668</v>
      </c>
      <c r="U139" s="425">
        <f t="shared" ref="U139" si="340">SUM(Q139*Q$3,R139*R$3,S139*S$3,T139*T$3)/U$3</f>
        <v>182.75792606516296</v>
      </c>
      <c r="V139" s="487">
        <f>IFERROR(V138-(V111-Q111)/2*V125/1000,V138-(V111-Q111)/2*V126/1000)</f>
        <v>186.12000000000006</v>
      </c>
      <c r="W139" s="487">
        <f>IFERROR(W138-(W111-R111)/2*W125/1000,W138-(W111-R111)/2*W126/1000)</f>
        <v>163.68181818181819</v>
      </c>
      <c r="X139" s="487">
        <f>IFERROR(X138-(X111-S111)/2*X125/1000,X138-(X111-S111)/2*X126/1000)</f>
        <v>165.79333333333335</v>
      </c>
      <c r="Y139" s="487">
        <f>IFERROR(Y138-(Y111-T111)/2*Y125/1000,Y138-(Y111-T111)/2*Y126/1000)</f>
        <v>195.78461538461539</v>
      </c>
      <c r="Z139" s="425">
        <f t="shared" ref="Z139" si="341">SUM(V139*V$3,W139*W$3,X139*X$3,Y139*Y$3)/Z$3</f>
        <v>177.84494172494175</v>
      </c>
      <c r="AA139" s="487">
        <f>IFERROR(AA138-(AA111-V111)/2*AA125/1000,AA138-(AA111-V111)/2*AA126/1000)</f>
        <v>188.13214285714281</v>
      </c>
      <c r="AB139" s="487">
        <f>IFERROR(AB138-(AB111-W111)/2*AB125/1000,AB138-(AB111-W111)/2*AB126/1000)</f>
        <v>176.3</v>
      </c>
      <c r="AC139" s="487">
        <f>IFERROR(AC138-(AC111-X111)/2*AC125/1000,AC138-(AC111-X111)/2*AC126/1000)</f>
        <v>126.11372924648798</v>
      </c>
      <c r="AD139" s="487">
        <f>IFERROR(AD138-(AD111-Y111)/2*AD125/1000,AD138-(AD111-Y111)/2*AD126/1000)</f>
        <v>113.72522640195035</v>
      </c>
      <c r="AE139" s="425">
        <f t="shared" ref="AE139" si="342">SUM(AA139*AA$3,AB139*AB$3,AC139*AC$3,AD139*AD$3)/AE$3</f>
        <v>151.06777462639528</v>
      </c>
      <c r="AF139" s="487">
        <f>IFERROR(AF138-(AF111-AA111)/2*AF125/1000,AF138-(AF111-AA111)/2*AF126/1000)</f>
        <v>121.89784283205613</v>
      </c>
      <c r="AG139" s="487">
        <f>IFERROR(AG138-(AG111-AB111)/2*AG125/1000,AG138-(AG111-AB111)/2*AG126/1000)</f>
        <v>154.9978807087509</v>
      </c>
      <c r="AH139" s="487">
        <f>IFERROR(AH138-(AH111-AC111)/2*AH125/1000,AH138-(AH111-AC111)/2*AH126/1000)</f>
        <v>170.29101249564621</v>
      </c>
      <c r="AI139" s="487">
        <f>IFERROR(AI138-(AI111-AD111)/2*AI125/1000,AI138-(AI111-AD111)/2*AI126/1000)</f>
        <v>131.43569462709377</v>
      </c>
      <c r="AJ139" s="425">
        <f t="shared" ref="AJ139" si="343">SUM(AF139*AF$3,AG139*AG$3,AH139*AH$3,AI139*AI$3)/AJ$3</f>
        <v>144.40617534440011</v>
      </c>
      <c r="AK139" s="487">
        <f>IFERROR(AK138-(AK111-AF111)/2*AK125/1000,AK138-(AK111-AF111)/2*AK126/1000)</f>
        <v>123.24163298715821</v>
      </c>
      <c r="AL139" s="487">
        <f>IFERROR(AL138-(AL111-AG111)/2*AL125/1000,AL138-(AL111-AG111)/2*AL126/1000)</f>
        <v>85.139701750257458</v>
      </c>
      <c r="AM139" s="487">
        <f>IFERROR(AM138-(AM111-AH111)/2*AM125/1000,AM138-(AM111-AH111)/2*AM126/1000)</f>
        <v>46.34108805310747</v>
      </c>
      <c r="AN139" s="487">
        <f>IFERROR(AN138-(AN111-AI111)/2*AN125/1000,AN138-(AN111-AI111)/2*AN126/1000)</f>
        <v>72.049999999999869</v>
      </c>
      <c r="AO139" s="425">
        <f t="shared" ref="AO139" si="344">SUM(AK139*AK$3,AL139*AL$3,AM139*AM$3,AN139*AN$3)/AO$3</f>
        <v>81.693105697630756</v>
      </c>
      <c r="AP139" s="487">
        <f>IFERROR(AP138-(AP111-AK111)/2*AP125/1000,AP138-(AP111-AK111)/2*AP126/1000)</f>
        <v>109.40624999999991</v>
      </c>
      <c r="AQ139" s="487">
        <f>IFERROR(AQ138-(AQ111-AL111)/2*AQ125/1000,AQ138-(AQ111-AL111)/2*AQ126/1000)</f>
        <v>134.89999999999998</v>
      </c>
      <c r="AR139" s="487">
        <f>IFERROR(AR138-(AR111-AM111)/2*AR125/1000,AR138-(AR111-AM111)/2*AR126/1000)</f>
        <v>144.09999999999997</v>
      </c>
      <c r="AS139" s="487">
        <f>IFERROR(AS138-(AS111-AN111)/2*AS125/1000,AS138-(AS111-AN111)/2*AS126/1000)</f>
        <v>117.90000000000013</v>
      </c>
      <c r="AT139" s="425">
        <f t="shared" ref="AT139" si="345">SUM(AP139*AP$3,AQ139*AQ$3,AR139*AR$3,AS139*AS$3)/AT$3</f>
        <v>126.57656249999998</v>
      </c>
      <c r="AU139" s="487">
        <f>IFERROR(AU138-(AU111-AP111)/2*AU125/1000,AU138-(AU111-AP111)/2*AU126/1000)</f>
        <v>64.320000000000107</v>
      </c>
      <c r="AV139" s="487">
        <f>IFERROR(AV138-(AV111-AQ111)/2*AV125/1000,AV138-(AV111-AQ111)/2*AV126/1000)</f>
        <v>45.337500000000055</v>
      </c>
      <c r="AW139" s="487">
        <f>IFERROR(AW138-(AW111-AR111)/2*AW125/1000,AW138-(AW111-AR111)/2*AW126/1000)</f>
        <v>46.205882352941174</v>
      </c>
      <c r="AX139" s="487">
        <f>IFERROR(AX138-(AX111-AS111)/2*AX125/1000,AX138-(AX111-AS111)/2*AX126/1000)</f>
        <v>56.70214980059832</v>
      </c>
      <c r="AY139" s="425">
        <f t="shared" ref="AY139" si="346">SUM(AU139*AU$3,AV139*AV$3,AW139*AW$3,AX139*AX$3)/AY$3</f>
        <v>53.141383038384916</v>
      </c>
      <c r="AZ139" s="487">
        <f>IFERROR(AZ138-(AZ111-AU111)/2*AZ125/1000,AZ138-(AZ111-AU111)/2*AZ126/1000)</f>
        <v>64.802456914969511</v>
      </c>
      <c r="BA139" s="487">
        <f>IFERROR(BA138-(BA111-AV111)/2*BA125/1000,BA138-(BA111-AV111)/2*BA126/1000)</f>
        <v>60.316517115320806</v>
      </c>
      <c r="BB139" s="487">
        <f>IFERROR(BB138-(BB111-AW111)/2*BB125/1000,BB138-(BB111-AW111)/2*BB126/1000)</f>
        <v>56.518252446051832</v>
      </c>
      <c r="BC139" s="487">
        <f>IFERROR(BC138-(BC111-AX111)/2*BC125/1000,BC138-(BC111-AX111)/2*BC126/1000)</f>
        <v>52.494938963222822</v>
      </c>
      <c r="BD139" s="425">
        <f>SUM(AZ139*AZ$3,BA139*BA$3,BB139*BB$3,BC139*BC$3)/BD$3</f>
        <v>58.533041359891236</v>
      </c>
      <c r="BE139" s="487">
        <f>IFERROR(BE138-(BE111-AZ111)/2*BE125/1000,BE138-(BE111-AZ111)/2*BE126/1000)</f>
        <v>59.125445066900376</v>
      </c>
      <c r="BF139" s="487">
        <f>IFERROR(BF138-(BF111-BA111)/2*BF125/1000,BF138-(BF111-BA111)/2*BF126/1000)</f>
        <v>65.800109328083522</v>
      </c>
      <c r="BG139" s="487">
        <f>IFERROR(BG138-(BG111-BB111)/2*BG125/1000,BG138-(BG111-BB111)/2*BG126/1000)</f>
        <v>52.670200819513916</v>
      </c>
      <c r="BH139" s="487">
        <f>IFERROR(BH138-(BH111-BC111)/2*BH125/1000,BH138-(BH111-BC111)/2*BH126/1000)</f>
        <v>33.003231578779193</v>
      </c>
      <c r="BI139" s="425">
        <f>SUM(BE139*BE$3,BF139*BF$3,BG139*BG$3,BH139*BH$3)/BI$3</f>
        <v>52.649746698319248</v>
      </c>
      <c r="BJ139" s="981">
        <f>IFERROR(BJ138-(BJ111-BE111)/2*BJ125/1000,BJ138-(BJ111-BE111)/2*BJ126/1000)</f>
        <v>38.502563538124086</v>
      </c>
      <c r="BK139" s="487">
        <f>IFERROR(BK138-(BK111-BF111)/2*BK125/1000,BK138-(BK111-BF111)/2*BK126/1000)</f>
        <v>38.499978638690777</v>
      </c>
      <c r="BL139" s="487">
        <f>IFERROR(BL138-(BL111-BG111)/2*BL125/1000,BL138-(BL111-BG111)/2*BL126/1000)</f>
        <v>43.08331583523416</v>
      </c>
      <c r="BM139" s="487">
        <f>IFERROR(BM138-(BM111-BH111)/2*BM125/1000,BM138-(BM111-BH111)/2*BM126/1000)</f>
        <v>56.787481945137316</v>
      </c>
      <c r="BN139" s="425">
        <f>SUM(BJ139*BJ$3,BK139*BK$3,BL139*BL$3,BM139*BM$3)/BN$3</f>
        <v>44.45548870544453</v>
      </c>
      <c r="BO139" s="487">
        <f>IFERROR(BO138-(BO111-BJ111)/2*BO125/1000,BO138-(BO111-BJ111)/2*BO126/1000)</f>
        <v>52.903420068989192</v>
      </c>
      <c r="BP139" s="487">
        <f>IFERROR(BP138-(BP111-BK111)/2*BP125/1000,BP138-(BP111-BK111)/2*BP126/1000)</f>
        <v>53.005954763834332</v>
      </c>
      <c r="BQ139" s="487">
        <f>IFERROR(BQ138-(BQ111-BL111)/2*BQ125/1000,BQ138-(BQ111-BL111)/2*BQ126/1000)</f>
        <v>53.107613093766275</v>
      </c>
      <c r="BR139" s="487">
        <f>IFERROR(BR138-(BR111-BM111)/2*BR125/1000,BR138-(BR111-BM111)/2*BR126/1000)</f>
        <v>53.208402549083416</v>
      </c>
      <c r="BS139" s="425">
        <f>SUM(BO139*BO$3,BP139*BP$3,BQ139*BQ$3,BR139*BR$3)/BS$3</f>
        <v>53.056347618918302</v>
      </c>
      <c r="BT139" s="425">
        <f>IFERROR(BT138-(BT111-BS111)/2*BT125/1000,BT138-(BT111-BS111)/2*BT126/1000)</f>
        <v>53.203344878229593</v>
      </c>
      <c r="BU139" s="425">
        <f>IFERROR(BU138-(BU111-BT111)/2*BU125/1000,BU138-(BU111-BT111)/2*BU126/1000)</f>
        <v>53.203344878229601</v>
      </c>
      <c r="BV139" s="425">
        <f>IFERROR(BV138-(BV111-BU111)/2*BV125/1000,BV138-(BV111-BU111)/2*BV126/1000)</f>
        <v>53.203344878229601</v>
      </c>
      <c r="BW139" s="223"/>
    </row>
    <row r="140" spans="1:75" s="224" customFormat="1" hidden="1" outlineLevel="1" x14ac:dyDescent="0.5">
      <c r="A140" s="588"/>
      <c r="B140" s="494"/>
      <c r="C140" s="425"/>
      <c r="D140" s="425"/>
      <c r="E140" s="425"/>
      <c r="F140" s="425"/>
      <c r="G140" s="487"/>
      <c r="H140" s="487"/>
      <c r="I140" s="487"/>
      <c r="J140" s="487"/>
      <c r="K140" s="425"/>
      <c r="L140" s="487"/>
      <c r="M140" s="487"/>
      <c r="N140" s="487"/>
      <c r="O140" s="487"/>
      <c r="P140" s="425"/>
      <c r="Q140" s="487"/>
      <c r="R140" s="487"/>
      <c r="S140" s="487"/>
      <c r="T140" s="487"/>
      <c r="U140" s="425"/>
      <c r="V140" s="487"/>
      <c r="W140" s="487"/>
      <c r="X140" s="487"/>
      <c r="Y140" s="487"/>
      <c r="Z140" s="425"/>
      <c r="AA140" s="487"/>
      <c r="AB140" s="487"/>
      <c r="AC140" s="487"/>
      <c r="AD140" s="487"/>
      <c r="AE140" s="425"/>
      <c r="AF140" s="487"/>
      <c r="AG140" s="487"/>
      <c r="AH140" s="487"/>
      <c r="AI140" s="487"/>
      <c r="AJ140" s="425"/>
      <c r="AK140" s="487"/>
      <c r="AL140" s="487"/>
      <c r="AM140" s="487"/>
      <c r="AN140" s="487"/>
      <c r="AO140" s="425"/>
      <c r="AP140" s="487"/>
      <c r="AQ140" s="487"/>
      <c r="AR140" s="487"/>
      <c r="AS140" s="487"/>
      <c r="AT140" s="425"/>
      <c r="AU140" s="487"/>
      <c r="AV140" s="487"/>
      <c r="AW140" s="487"/>
      <c r="AX140" s="487"/>
      <c r="AY140" s="425"/>
      <c r="AZ140" s="487"/>
      <c r="BA140" s="487"/>
      <c r="BB140" s="487"/>
      <c r="BC140" s="487"/>
      <c r="BD140" s="425"/>
      <c r="BE140" s="487"/>
      <c r="BF140" s="487"/>
      <c r="BG140" s="487"/>
      <c r="BH140" s="487"/>
      <c r="BI140" s="425"/>
      <c r="BJ140" s="981"/>
      <c r="BK140" s="487"/>
      <c r="BL140" s="487"/>
      <c r="BM140" s="487"/>
      <c r="BN140" s="425"/>
      <c r="BO140" s="487"/>
      <c r="BP140" s="487"/>
      <c r="BQ140" s="487"/>
      <c r="BR140" s="487"/>
      <c r="BS140" s="425"/>
      <c r="BT140" s="425"/>
      <c r="BU140" s="425"/>
      <c r="BV140" s="425"/>
      <c r="BW140" s="223"/>
    </row>
    <row r="141" spans="1:75" s="1144" customFormat="1" ht="14.25" hidden="1" outlineLevel="1" x14ac:dyDescent="0.45">
      <c r="A141" s="1136" t="s">
        <v>1733</v>
      </c>
      <c r="B141" s="1137"/>
      <c r="C141" s="1138">
        <f t="shared" ref="C141:BJ141" si="347">C275</f>
        <v>-0.12</v>
      </c>
      <c r="D141" s="1138">
        <f t="shared" si="347"/>
        <v>0.16400000000000001</v>
      </c>
      <c r="E141" s="1138">
        <f t="shared" si="347"/>
        <v>0.30299999999999999</v>
      </c>
      <c r="F141" s="1138">
        <f t="shared" si="347"/>
        <v>0.17399999999999999</v>
      </c>
      <c r="G141" s="1139">
        <f t="shared" si="347"/>
        <v>0.11799999999999999</v>
      </c>
      <c r="H141" s="1139">
        <f t="shared" si="347"/>
        <v>0.16500000000000001</v>
      </c>
      <c r="I141" s="1139">
        <f t="shared" si="347"/>
        <v>0.222</v>
      </c>
      <c r="J141" s="1139">
        <f t="shared" si="347"/>
        <v>0.183</v>
      </c>
      <c r="K141" s="1138">
        <f t="shared" si="347"/>
        <v>0.17399999999999999</v>
      </c>
      <c r="L141" s="1139">
        <f t="shared" si="347"/>
        <v>0.188</v>
      </c>
      <c r="M141" s="1139">
        <f t="shared" si="347"/>
        <v>0.16700000000000001</v>
      </c>
      <c r="N141" s="1139">
        <f t="shared" si="347"/>
        <v>0.17399999999999999</v>
      </c>
      <c r="O141" s="1139">
        <f t="shared" si="347"/>
        <v>0.19600000000000001</v>
      </c>
      <c r="P141" s="1138">
        <f t="shared" si="347"/>
        <v>0.182</v>
      </c>
      <c r="Q141" s="1139">
        <f t="shared" si="347"/>
        <v>0.153</v>
      </c>
      <c r="R141" s="1139">
        <f t="shared" si="347"/>
        <v>0.157</v>
      </c>
      <c r="S141" s="1139">
        <f t="shared" si="347"/>
        <v>0.157</v>
      </c>
      <c r="T141" s="1139">
        <f t="shared" si="347"/>
        <v>0.128</v>
      </c>
      <c r="U141" s="1138">
        <f t="shared" si="347"/>
        <v>0.14799999999999999</v>
      </c>
      <c r="V141" s="1139">
        <f t="shared" si="347"/>
        <v>0.19</v>
      </c>
      <c r="W141" s="1139">
        <f t="shared" si="347"/>
        <v>0.158</v>
      </c>
      <c r="X141" s="1139">
        <f t="shared" si="347"/>
        <v>0.12</v>
      </c>
      <c r="Y141" s="1139">
        <f t="shared" si="347"/>
        <v>6.5000000000000002E-2</v>
      </c>
      <c r="Z141" s="1138">
        <f t="shared" si="347"/>
        <v>0.128</v>
      </c>
      <c r="AA141" s="1139">
        <f t="shared" si="347"/>
        <v>0.06</v>
      </c>
      <c r="AB141" s="1139">
        <f t="shared" si="347"/>
        <v>0.10100000000000001</v>
      </c>
      <c r="AC141" s="1139">
        <f t="shared" si="347"/>
        <v>0.115</v>
      </c>
      <c r="AD141" s="1139">
        <f t="shared" si="347"/>
        <v>0.123</v>
      </c>
      <c r="AE141" s="1138">
        <f t="shared" si="347"/>
        <v>0.10199999999999999</v>
      </c>
      <c r="AF141" s="1139">
        <f t="shared" si="347"/>
        <v>0.09</v>
      </c>
      <c r="AG141" s="1139">
        <f t="shared" si="347"/>
        <v>9.5000000000000001E-2</v>
      </c>
      <c r="AH141" s="1139">
        <f t="shared" si="347"/>
        <v>8.3000000000000004E-2</v>
      </c>
      <c r="AI141" s="1139">
        <f t="shared" si="347"/>
        <v>0.111</v>
      </c>
      <c r="AJ141" s="1138">
        <f t="shared" si="347"/>
        <v>9.5000000000000001E-2</v>
      </c>
      <c r="AK141" s="1139">
        <f t="shared" si="347"/>
        <v>0.11799999999999999</v>
      </c>
      <c r="AL141" s="1139">
        <f t="shared" si="347"/>
        <v>0.17499999999999999</v>
      </c>
      <c r="AM141" s="1139">
        <f t="shared" si="347"/>
        <v>0.14099999999999999</v>
      </c>
      <c r="AN141" s="1139">
        <f t="shared" si="347"/>
        <v>0.13900000000000001</v>
      </c>
      <c r="AO141" s="1138">
        <f t="shared" si="347"/>
        <v>0.14399999999999999</v>
      </c>
      <c r="AP141" s="1139">
        <f t="shared" si="347"/>
        <v>3.3000000000000002E-2</v>
      </c>
      <c r="AQ141" s="1139">
        <f t="shared" si="347"/>
        <v>7.0000000000000007E-2</v>
      </c>
      <c r="AR141" s="1139">
        <f t="shared" si="347"/>
        <v>0.218</v>
      </c>
      <c r="AS141" s="1139">
        <f t="shared" si="347"/>
        <v>0.252</v>
      </c>
      <c r="AT141" s="1138">
        <f t="shared" si="347"/>
        <v>0.152</v>
      </c>
      <c r="AU141" s="1139">
        <f t="shared" si="347"/>
        <v>0.50900000000000001</v>
      </c>
      <c r="AV141" s="1139">
        <f t="shared" si="347"/>
        <v>0.51100000000000001</v>
      </c>
      <c r="AW141" s="1139">
        <f t="shared" si="347"/>
        <v>0.22500000000000001</v>
      </c>
      <c r="AX141" s="1139">
        <f t="shared" si="347"/>
        <v>0.183</v>
      </c>
      <c r="AY141" s="1138">
        <f t="shared" si="347"/>
        <v>0.33100000000000002</v>
      </c>
      <c r="AZ141" s="1139">
        <f t="shared" si="347"/>
        <v>0.128</v>
      </c>
      <c r="BA141" s="1139">
        <f t="shared" si="347"/>
        <v>6.0999999999999999E-2</v>
      </c>
      <c r="BB141" s="1139">
        <f t="shared" si="347"/>
        <v>4.2000000000000003E-2</v>
      </c>
      <c r="BC141" s="1139">
        <f t="shared" si="347"/>
        <v>-0.107</v>
      </c>
      <c r="BD141" s="1138">
        <f t="shared" si="347"/>
        <v>2.5000000000000001E-2</v>
      </c>
      <c r="BE141" s="1139">
        <f t="shared" si="347"/>
        <v>-0.158</v>
      </c>
      <c r="BF141" s="1139">
        <f t="shared" si="347"/>
        <v>-0.20799999999999999</v>
      </c>
      <c r="BG141" s="1139">
        <f t="shared" si="347"/>
        <v>-0.224</v>
      </c>
      <c r="BH141" s="1139">
        <f t="shared" si="347"/>
        <v>-0.153</v>
      </c>
      <c r="BI141" s="1138">
        <f t="shared" si="347"/>
        <v>-0.188</v>
      </c>
      <c r="BJ141" s="1140">
        <f t="shared" si="347"/>
        <v>-4.1000000000000002E-2</v>
      </c>
      <c r="BK141" s="1141">
        <v>-0.02</v>
      </c>
      <c r="BL141" s="1141">
        <v>-0.02</v>
      </c>
      <c r="BM141" s="1141">
        <v>-0.02</v>
      </c>
      <c r="BN141" s="1138">
        <f>SUM(BJ141*BE$158,BK141*BF$158,BL141*BG$158,BM141*BH$158)/BI$158</f>
        <v>-2.5121952047944509E-2</v>
      </c>
      <c r="BO141" s="1141">
        <v>0.05</v>
      </c>
      <c r="BP141" s="1141">
        <v>0.05</v>
      </c>
      <c r="BQ141" s="1141">
        <v>0.05</v>
      </c>
      <c r="BR141" s="1141">
        <v>0.05</v>
      </c>
      <c r="BS141" s="1138">
        <f>SUM(BO141*BJ$158,BP141*BK$158,BQ141*BL$158,BR141*BM$158)/BN$158</f>
        <v>0.05</v>
      </c>
      <c r="BT141" s="1142">
        <v>0.08</v>
      </c>
      <c r="BU141" s="1142">
        <v>0.08</v>
      </c>
      <c r="BV141" s="1142">
        <v>0.08</v>
      </c>
      <c r="BW141" s="1143"/>
    </row>
    <row r="142" spans="1:75" s="177" customFormat="1" ht="14.25" hidden="1" outlineLevel="1" x14ac:dyDescent="0.45">
      <c r="A142" s="189" t="s">
        <v>1734</v>
      </c>
      <c r="B142" s="491"/>
      <c r="C142" s="417"/>
      <c r="D142" s="417"/>
      <c r="E142" s="417"/>
      <c r="F142" s="417"/>
      <c r="G142" s="378"/>
      <c r="H142" s="378"/>
      <c r="I142" s="378"/>
      <c r="J142" s="378"/>
      <c r="K142" s="417"/>
      <c r="L142" s="378"/>
      <c r="M142" s="378"/>
      <c r="N142" s="378"/>
      <c r="O142" s="378"/>
      <c r="P142" s="417"/>
      <c r="Q142" s="378"/>
      <c r="R142" s="378"/>
      <c r="S142" s="378"/>
      <c r="T142" s="378"/>
      <c r="U142" s="417"/>
      <c r="V142" s="378"/>
      <c r="W142" s="378"/>
      <c r="X142" s="378"/>
      <c r="Y142" s="378"/>
      <c r="Z142" s="417"/>
      <c r="AA142" s="378"/>
      <c r="AB142" s="378"/>
      <c r="AC142" s="378"/>
      <c r="AD142" s="378"/>
      <c r="AE142" s="417"/>
      <c r="AF142" s="378"/>
      <c r="AG142" s="378"/>
      <c r="AH142" s="378"/>
      <c r="AI142" s="378"/>
      <c r="AJ142" s="417"/>
      <c r="AK142" s="378">
        <f t="shared" ref="AK142:BV142" si="348">AK144-AK143</f>
        <v>-2.443672902604431E-2</v>
      </c>
      <c r="AL142" s="378">
        <f t="shared" si="348"/>
        <v>-1.4232563963141143E-2</v>
      </c>
      <c r="AM142" s="378">
        <f t="shared" si="348"/>
        <v>-7.0896392191760853E-3</v>
      </c>
      <c r="AN142" s="378">
        <f t="shared" si="348"/>
        <v>-9.577706235485095E-2</v>
      </c>
      <c r="AO142" s="417">
        <f t="shared" si="348"/>
        <v>-3.8965093500404044E-2</v>
      </c>
      <c r="AP142" s="378">
        <f t="shared" si="348"/>
        <v>-1.6523824641401525E-2</v>
      </c>
      <c r="AQ142" s="378">
        <f t="shared" si="348"/>
        <v>-1.6018106143220724E-2</v>
      </c>
      <c r="AR142" s="378">
        <f t="shared" si="348"/>
        <v>-1.8821475021066028E-2</v>
      </c>
      <c r="AS142" s="378">
        <f t="shared" si="348"/>
        <v>-3.3659848042080401E-2</v>
      </c>
      <c r="AT142" s="417">
        <f t="shared" si="348"/>
        <v>-2.1433479044059331E-2</v>
      </c>
      <c r="AU142" s="378">
        <f t="shared" si="348"/>
        <v>-2.8964017976240874E-2</v>
      </c>
      <c r="AV142" s="378">
        <f t="shared" si="348"/>
        <v>-1.7553116886745115E-2</v>
      </c>
      <c r="AW142" s="378">
        <f t="shared" si="348"/>
        <v>-1.9347111898350831E-2</v>
      </c>
      <c r="AX142" s="378">
        <f t="shared" si="348"/>
        <v>-2.7347887056656452E-2</v>
      </c>
      <c r="AY142" s="417">
        <f t="shared" si="348"/>
        <v>-2.3993099152957557E-2</v>
      </c>
      <c r="AZ142" s="378">
        <f t="shared" si="348"/>
        <v>-1.9375733490453073E-2</v>
      </c>
      <c r="BA142" s="378">
        <f t="shared" si="348"/>
        <v>-1.9873692244759114E-2</v>
      </c>
      <c r="BB142" s="378">
        <f t="shared" si="348"/>
        <v>-2.069450174274003E-2</v>
      </c>
      <c r="BC142" s="378">
        <f t="shared" si="348"/>
        <v>-7.9025823324919298E-3</v>
      </c>
      <c r="BD142" s="417">
        <f t="shared" si="348"/>
        <v>-1.6348023512127142E-2</v>
      </c>
      <c r="BE142" s="378">
        <f t="shared" si="348"/>
        <v>-1.0628708322827789E-2</v>
      </c>
      <c r="BF142" s="378">
        <f t="shared" si="348"/>
        <v>-1.0009596841044091E-2</v>
      </c>
      <c r="BG142" s="378">
        <f t="shared" si="348"/>
        <v>-9.6969559747444312E-3</v>
      </c>
      <c r="BH142" s="378">
        <f t="shared" si="348"/>
        <v>-7.1570778785896337E-3</v>
      </c>
      <c r="BI142" s="417">
        <f t="shared" si="348"/>
        <v>-8.9513753488752214E-3</v>
      </c>
      <c r="BJ142" s="1130">
        <f t="shared" si="348"/>
        <v>-1.5899283230489052E-2</v>
      </c>
      <c r="BK142" s="378">
        <f t="shared" si="348"/>
        <v>-1.6453162221131662E-2</v>
      </c>
      <c r="BL142" s="378">
        <f t="shared" si="348"/>
        <v>-1.542168569883595E-2</v>
      </c>
      <c r="BM142" s="378">
        <f t="shared" si="348"/>
        <v>5.4265050381902484E-2</v>
      </c>
      <c r="BN142" s="417">
        <f t="shared" si="348"/>
        <v>1.1728104475219204E-3</v>
      </c>
      <c r="BO142" s="378">
        <f t="shared" si="348"/>
        <v>-1.3929298426043563E-2</v>
      </c>
      <c r="BP142" s="378">
        <f t="shared" si="348"/>
        <v>-1.7825670858463954E-2</v>
      </c>
      <c r="BQ142" s="378">
        <f t="shared" si="348"/>
        <v>-1.7861331506198945E-2</v>
      </c>
      <c r="BR142" s="378">
        <f t="shared" si="348"/>
        <v>-9.1618349990528841E-2</v>
      </c>
      <c r="BS142" s="417">
        <f t="shared" si="348"/>
        <v>-3.6038962652816309E-2</v>
      </c>
      <c r="BT142" s="417">
        <f t="shared" si="348"/>
        <v>-1.9614167952280888E-2</v>
      </c>
      <c r="BU142" s="417">
        <f t="shared" si="348"/>
        <v>-3.8164066584418926E-2</v>
      </c>
      <c r="BV142" s="417">
        <f t="shared" si="348"/>
        <v>-3.9559830704116873E-2</v>
      </c>
      <c r="BW142" s="176"/>
    </row>
    <row r="143" spans="1:75" s="177" customFormat="1" ht="14.25" hidden="1" outlineLevel="1" x14ac:dyDescent="0.45">
      <c r="A143" s="189" t="s">
        <v>1735</v>
      </c>
      <c r="B143" s="491"/>
      <c r="C143" s="417"/>
      <c r="D143" s="417"/>
      <c r="E143" s="417"/>
      <c r="F143" s="417"/>
      <c r="G143" s="378"/>
      <c r="H143" s="378"/>
      <c r="I143" s="378"/>
      <c r="J143" s="378"/>
      <c r="K143" s="417"/>
      <c r="L143" s="378"/>
      <c r="M143" s="378"/>
      <c r="N143" s="378"/>
      <c r="O143" s="378"/>
      <c r="P143" s="417"/>
      <c r="Q143" s="378"/>
      <c r="R143" s="378"/>
      <c r="S143" s="378"/>
      <c r="T143" s="378"/>
      <c r="U143" s="417"/>
      <c r="V143" s="378"/>
      <c r="W143" s="378"/>
      <c r="X143" s="378"/>
      <c r="Y143" s="378"/>
      <c r="Z143" s="417"/>
      <c r="AA143" s="378"/>
      <c r="AB143" s="378"/>
      <c r="AC143" s="378"/>
      <c r="AD143" s="378"/>
      <c r="AE143" s="417"/>
      <c r="AF143" s="378"/>
      <c r="AG143" s="378"/>
      <c r="AH143" s="378"/>
      <c r="AI143" s="378"/>
      <c r="AJ143" s="417"/>
      <c r="AK143" s="378">
        <f t="shared" ref="AK143:BS143" si="349">AK157/AF158</f>
        <v>3.8626713258655396E-2</v>
      </c>
      <c r="AL143" s="378">
        <f t="shared" si="349"/>
        <v>2.6346001962164956E-2</v>
      </c>
      <c r="AM143" s="378">
        <f t="shared" si="349"/>
        <v>1.7201851287038394E-2</v>
      </c>
      <c r="AN143" s="378">
        <f t="shared" si="349"/>
        <v>3.5539517300838493E-2</v>
      </c>
      <c r="AO143" s="417">
        <f t="shared" si="349"/>
        <v>2.924093871374929E-2</v>
      </c>
      <c r="AP143" s="378">
        <f t="shared" si="349"/>
        <v>2.739742801688194E-3</v>
      </c>
      <c r="AQ143" s="378">
        <f t="shared" si="349"/>
        <v>1.0278930476086004E-2</v>
      </c>
      <c r="AR143" s="378">
        <f t="shared" si="349"/>
        <v>1.7601162525068922E-2</v>
      </c>
      <c r="AS143" s="378">
        <f t="shared" si="349"/>
        <v>3.1389157641018753E-2</v>
      </c>
      <c r="AT143" s="417">
        <f t="shared" si="349"/>
        <v>1.652625611003157E-2</v>
      </c>
      <c r="AU143" s="378">
        <f t="shared" si="349"/>
        <v>3.3190407349477369E-2</v>
      </c>
      <c r="AV143" s="378">
        <f t="shared" si="349"/>
        <v>2.9698442624094837E-2</v>
      </c>
      <c r="AW143" s="378">
        <f t="shared" si="349"/>
        <v>1.4806140993493746E-2</v>
      </c>
      <c r="AX143" s="378">
        <f t="shared" si="349"/>
        <v>1.3743149840899896E-2</v>
      </c>
      <c r="AY143" s="417">
        <f t="shared" si="349"/>
        <v>2.1299050572897552E-2</v>
      </c>
      <c r="AZ143" s="378">
        <f t="shared" si="349"/>
        <v>1.4933033984673825E-2</v>
      </c>
      <c r="BA143" s="378">
        <f t="shared" si="349"/>
        <v>7.6663828298850368E-3</v>
      </c>
      <c r="BB143" s="378">
        <f t="shared" si="349"/>
        <v>1.3428176880922623E-2</v>
      </c>
      <c r="BC143" s="378">
        <f t="shared" si="349"/>
        <v>8.1855416235094586E-3</v>
      </c>
      <c r="BD143" s="417">
        <f t="shared" si="349"/>
        <v>1.0852191692895754E-2</v>
      </c>
      <c r="BE143" s="378">
        <f t="shared" si="349"/>
        <v>1.2184376586258327E-2</v>
      </c>
      <c r="BF143" s="378">
        <f t="shared" si="349"/>
        <v>1.4343970884911836E-2</v>
      </c>
      <c r="BG143" s="378">
        <f t="shared" si="349"/>
        <v>1.1220205313692999E-2</v>
      </c>
      <c r="BH143" s="378">
        <f t="shared" si="349"/>
        <v>6.322157505189112E-3</v>
      </c>
      <c r="BI143" s="417">
        <f t="shared" si="349"/>
        <v>1.1132386010685256E-2</v>
      </c>
      <c r="BJ143" s="1130">
        <f t="shared" si="349"/>
        <v>8.0833201187699589E-3</v>
      </c>
      <c r="BK143" s="378">
        <f t="shared" si="349"/>
        <v>9.4465321896409302E-3</v>
      </c>
      <c r="BL143" s="378">
        <f t="shared" si="349"/>
        <v>1.0613405412361646E-2</v>
      </c>
      <c r="BM143" s="378">
        <f t="shared" si="349"/>
        <v>1.5132453069018607E-2</v>
      </c>
      <c r="BN143" s="417">
        <f t="shared" si="349"/>
        <v>1.0792889695094047E-2</v>
      </c>
      <c r="BO143" s="378">
        <f t="shared" si="349"/>
        <v>1.4086348554997888E-2</v>
      </c>
      <c r="BP143" s="378">
        <f t="shared" si="349"/>
        <v>1.4061035650748581E-2</v>
      </c>
      <c r="BQ143" s="378">
        <f t="shared" si="349"/>
        <v>1.408844428299331E-2</v>
      </c>
      <c r="BR143" s="378">
        <f t="shared" si="349"/>
        <v>1.3107361815873362E-2</v>
      </c>
      <c r="BS143" s="417">
        <f t="shared" si="349"/>
        <v>1.3826690002938891E-2</v>
      </c>
      <c r="BT143" s="417">
        <f>BT157/BS158</f>
        <v>1.4753195975178067E-2</v>
      </c>
      <c r="BU143" s="417">
        <f>BU157/BT158</f>
        <v>1.5017454896080456E-2</v>
      </c>
      <c r="BV143" s="417">
        <f>BV157/BU158</f>
        <v>1.5557983839938444E-2</v>
      </c>
      <c r="BW143" s="176"/>
    </row>
    <row r="144" spans="1:75" s="1144" customFormat="1" ht="14.25" hidden="1" outlineLevel="1" x14ac:dyDescent="0.45">
      <c r="A144" s="1145" t="s">
        <v>1736</v>
      </c>
      <c r="B144" s="1146"/>
      <c r="C144" s="1147"/>
      <c r="D144" s="1147">
        <f>D145-D141</f>
        <v>6.4570348243656955E-2</v>
      </c>
      <c r="E144" s="1147">
        <f>E145-E141</f>
        <v>-1.0451064877508076E-2</v>
      </c>
      <c r="F144" s="1147">
        <f>F145-F141</f>
        <v>0.10613274599678552</v>
      </c>
      <c r="G144" s="1148"/>
      <c r="H144" s="1148"/>
      <c r="I144" s="1148"/>
      <c r="J144" s="1148"/>
      <c r="K144" s="1147">
        <f t="shared" ref="K144" si="350">K145-K141</f>
        <v>6.1308614993292154E-2</v>
      </c>
      <c r="L144" s="1148"/>
      <c r="M144" s="1148"/>
      <c r="N144" s="1148"/>
      <c r="O144" s="1148"/>
      <c r="P144" s="1147">
        <f t="shared" ref="P144" si="351">P145-P141</f>
        <v>7.7303036862066132E-2</v>
      </c>
      <c r="Q144" s="1148"/>
      <c r="R144" s="1148"/>
      <c r="S144" s="1148"/>
      <c r="T144" s="1148"/>
      <c r="U144" s="1147">
        <f t="shared" ref="U144" si="352">U145-U141</f>
        <v>7.9272319653730522E-2</v>
      </c>
      <c r="V144" s="1148"/>
      <c r="W144" s="1148"/>
      <c r="X144" s="1148"/>
      <c r="Y144" s="1148"/>
      <c r="Z144" s="1147">
        <f t="shared" ref="Z144" si="353">Z145-Z141</f>
        <v>5.5199859706552945E-2</v>
      </c>
      <c r="AA144" s="1148"/>
      <c r="AB144" s="1148"/>
      <c r="AC144" s="1148"/>
      <c r="AD144" s="1148"/>
      <c r="AE144" s="1147">
        <f t="shared" ref="AE144" si="354">AE145-AE141</f>
        <v>4.4949055547321412E-2</v>
      </c>
      <c r="AF144" s="1148"/>
      <c r="AG144" s="1148"/>
      <c r="AH144" s="1148"/>
      <c r="AI144" s="1148"/>
      <c r="AJ144" s="1147">
        <f t="shared" ref="AJ144:BV144" si="355">AJ145-AJ141</f>
        <v>6.5264515555858854E-2</v>
      </c>
      <c r="AK144" s="1148">
        <f t="shared" si="355"/>
        <v>1.4189984232611086E-2</v>
      </c>
      <c r="AL144" s="1148">
        <f t="shared" si="355"/>
        <v>1.2113437999023813E-2</v>
      </c>
      <c r="AM144" s="1148">
        <f t="shared" si="355"/>
        <v>1.0112212067862308E-2</v>
      </c>
      <c r="AN144" s="1148">
        <f t="shared" si="355"/>
        <v>-6.0237545054012465E-2</v>
      </c>
      <c r="AO144" s="1147">
        <f t="shared" si="355"/>
        <v>-9.724154786654754E-3</v>
      </c>
      <c r="AP144" s="1148">
        <f t="shared" si="355"/>
        <v>-1.378408183971333E-2</v>
      </c>
      <c r="AQ144" s="1148">
        <f t="shared" si="355"/>
        <v>-5.7391756671347216E-3</v>
      </c>
      <c r="AR144" s="1148">
        <f t="shared" si="355"/>
        <v>-1.2203124959971057E-3</v>
      </c>
      <c r="AS144" s="1148">
        <f t="shared" si="355"/>
        <v>-2.270690401061648E-3</v>
      </c>
      <c r="AT144" s="1147">
        <f t="shared" si="355"/>
        <v>-4.9072229340277607E-3</v>
      </c>
      <c r="AU144" s="1148">
        <f t="shared" si="355"/>
        <v>4.2263893732364943E-3</v>
      </c>
      <c r="AV144" s="1148">
        <f t="shared" si="355"/>
        <v>1.2145325737349721E-2</v>
      </c>
      <c r="AW144" s="1148">
        <f t="shared" si="355"/>
        <v>-4.5409709048570834E-3</v>
      </c>
      <c r="AX144" s="1148">
        <f t="shared" si="355"/>
        <v>-1.3604737215756557E-2</v>
      </c>
      <c r="AY144" s="1147">
        <f t="shared" si="355"/>
        <v>-2.6940485800600045E-3</v>
      </c>
      <c r="AZ144" s="1148">
        <f t="shared" si="355"/>
        <v>-4.4426995057792462E-3</v>
      </c>
      <c r="BA144" s="1148">
        <f t="shared" si="355"/>
        <v>-1.2207309414874079E-2</v>
      </c>
      <c r="BB144" s="1148">
        <f t="shared" si="355"/>
        <v>-7.2663248618174067E-3</v>
      </c>
      <c r="BC144" s="1148">
        <f t="shared" si="355"/>
        <v>2.8295929101752881E-4</v>
      </c>
      <c r="BD144" s="1147">
        <f t="shared" si="355"/>
        <v>-5.4958318192313907E-3</v>
      </c>
      <c r="BE144" s="1148">
        <f t="shared" si="355"/>
        <v>1.5556682634305374E-3</v>
      </c>
      <c r="BF144" s="1148">
        <f t="shared" si="355"/>
        <v>4.3343740438677447E-3</v>
      </c>
      <c r="BG144" s="1148">
        <f t="shared" si="355"/>
        <v>1.523249338948568E-3</v>
      </c>
      <c r="BH144" s="1148">
        <f t="shared" si="355"/>
        <v>-8.3492037340052172E-4</v>
      </c>
      <c r="BI144" s="1147">
        <f t="shared" si="355"/>
        <v>2.1810106618100344E-3</v>
      </c>
      <c r="BJ144" s="1149">
        <f t="shared" si="355"/>
        <v>-7.8159631117190945E-3</v>
      </c>
      <c r="BK144" s="1148">
        <f t="shared" si="355"/>
        <v>-7.00663003149073E-3</v>
      </c>
      <c r="BL144" s="1148">
        <f t="shared" si="355"/>
        <v>-4.8082802864743042E-3</v>
      </c>
      <c r="BM144" s="1148">
        <f t="shared" si="355"/>
        <v>6.9397503450921091E-2</v>
      </c>
      <c r="BN144" s="1147">
        <f t="shared" si="355"/>
        <v>1.1965700142615967E-2</v>
      </c>
      <c r="BO144" s="1148">
        <f t="shared" si="355"/>
        <v>1.5705012895432524E-4</v>
      </c>
      <c r="BP144" s="1148">
        <f t="shared" si="355"/>
        <v>-3.764635207715375E-3</v>
      </c>
      <c r="BQ144" s="1148">
        <f t="shared" si="355"/>
        <v>-3.7728872232056371E-3</v>
      </c>
      <c r="BR144" s="1148">
        <f t="shared" si="355"/>
        <v>-7.8510988174655474E-2</v>
      </c>
      <c r="BS144" s="1147">
        <f t="shared" si="355"/>
        <v>-2.2212272649877421E-2</v>
      </c>
      <c r="BT144" s="1147">
        <f t="shared" si="355"/>
        <v>-4.8609719771028209E-3</v>
      </c>
      <c r="BU144" s="1147">
        <f t="shared" si="355"/>
        <v>-2.3146611688338467E-2</v>
      </c>
      <c r="BV144" s="1147">
        <f t="shared" si="355"/>
        <v>-2.400184686417843E-2</v>
      </c>
      <c r="BW144" s="1143"/>
    </row>
    <row r="145" spans="1:75" s="1144" customFormat="1" ht="14.25" hidden="1" outlineLevel="1" x14ac:dyDescent="0.45">
      <c r="A145" s="1150" t="s">
        <v>1737</v>
      </c>
      <c r="B145" s="1146"/>
      <c r="C145" s="1147"/>
      <c r="D145" s="1147">
        <f t="shared" ref="D145:E145" si="356">D158/C158-1</f>
        <v>0.22857034824365696</v>
      </c>
      <c r="E145" s="1147">
        <f t="shared" si="356"/>
        <v>0.29254893512249192</v>
      </c>
      <c r="F145" s="1147">
        <f>F158/E158-1</f>
        <v>0.2801327459967855</v>
      </c>
      <c r="G145" s="1148"/>
      <c r="H145" s="1148"/>
      <c r="I145" s="1148"/>
      <c r="J145" s="1148"/>
      <c r="K145" s="1147">
        <f t="shared" ref="K145" si="357">K158/F158-1</f>
        <v>0.23530861499329214</v>
      </c>
      <c r="L145" s="1148"/>
      <c r="M145" s="1148"/>
      <c r="N145" s="1148"/>
      <c r="O145" s="1148"/>
      <c r="P145" s="1147">
        <f t="shared" ref="P145" si="358">P158/K158-1</f>
        <v>0.25930303686206613</v>
      </c>
      <c r="Q145" s="1148"/>
      <c r="R145" s="1148"/>
      <c r="S145" s="1148"/>
      <c r="T145" s="1148"/>
      <c r="U145" s="1147">
        <f t="shared" ref="U145" si="359">U158/P158-1</f>
        <v>0.22727231965373051</v>
      </c>
      <c r="V145" s="1148"/>
      <c r="W145" s="1148"/>
      <c r="X145" s="1148"/>
      <c r="Y145" s="1148"/>
      <c r="Z145" s="1147">
        <f t="shared" ref="Z145" si="360">Z158/U158-1</f>
        <v>0.18319985970655295</v>
      </c>
      <c r="AA145" s="1148"/>
      <c r="AB145" s="1148"/>
      <c r="AC145" s="1148"/>
      <c r="AD145" s="1148"/>
      <c r="AE145" s="1147">
        <f t="shared" ref="AE145" si="361">AE158/Z158-1</f>
        <v>0.14694905554732141</v>
      </c>
      <c r="AF145" s="1148"/>
      <c r="AG145" s="1148"/>
      <c r="AH145" s="1148"/>
      <c r="AI145" s="1148"/>
      <c r="AJ145" s="1147">
        <f t="shared" ref="AJ145:BS145" si="362">AJ158/AE158-1</f>
        <v>0.16026451555585886</v>
      </c>
      <c r="AK145" s="1148">
        <f t="shared" si="362"/>
        <v>0.13218998423261108</v>
      </c>
      <c r="AL145" s="1148">
        <f t="shared" si="362"/>
        <v>0.1871134379990238</v>
      </c>
      <c r="AM145" s="1148">
        <f t="shared" si="362"/>
        <v>0.15111221206786229</v>
      </c>
      <c r="AN145" s="1148">
        <f t="shared" si="362"/>
        <v>7.8762454945987548E-2</v>
      </c>
      <c r="AO145" s="1147">
        <f t="shared" si="362"/>
        <v>0.13427584521334524</v>
      </c>
      <c r="AP145" s="1148">
        <f t="shared" si="362"/>
        <v>1.9215918160286671E-2</v>
      </c>
      <c r="AQ145" s="1148">
        <f t="shared" si="362"/>
        <v>6.4260824332865285E-2</v>
      </c>
      <c r="AR145" s="1148">
        <f t="shared" si="362"/>
        <v>0.21677968750400289</v>
      </c>
      <c r="AS145" s="1148">
        <f t="shared" si="362"/>
        <v>0.24972930959893835</v>
      </c>
      <c r="AT145" s="1147">
        <f t="shared" si="362"/>
        <v>0.14709277706597224</v>
      </c>
      <c r="AU145" s="1148">
        <f t="shared" si="362"/>
        <v>0.5132263893732365</v>
      </c>
      <c r="AV145" s="1148">
        <f t="shared" si="362"/>
        <v>0.52314532573734973</v>
      </c>
      <c r="AW145" s="1148">
        <f t="shared" si="362"/>
        <v>0.22045902909514292</v>
      </c>
      <c r="AX145" s="1148">
        <f t="shared" si="362"/>
        <v>0.16939526278424344</v>
      </c>
      <c r="AY145" s="1147">
        <f t="shared" si="362"/>
        <v>0.32830595141994001</v>
      </c>
      <c r="AZ145" s="1148">
        <f t="shared" si="362"/>
        <v>0.12355730049422076</v>
      </c>
      <c r="BA145" s="1148">
        <f t="shared" si="362"/>
        <v>4.879269058512592E-2</v>
      </c>
      <c r="BB145" s="1148">
        <f t="shared" si="362"/>
        <v>3.4733675138182596E-2</v>
      </c>
      <c r="BC145" s="1148">
        <f t="shared" si="362"/>
        <v>-0.10671704070898247</v>
      </c>
      <c r="BD145" s="1147">
        <f t="shared" si="362"/>
        <v>1.9504168180768611E-2</v>
      </c>
      <c r="BE145" s="1148">
        <f t="shared" si="362"/>
        <v>-0.15644433173656946</v>
      </c>
      <c r="BF145" s="1148">
        <f t="shared" si="362"/>
        <v>-0.20366562595613225</v>
      </c>
      <c r="BG145" s="1148">
        <f t="shared" si="362"/>
        <v>-0.22247675066105144</v>
      </c>
      <c r="BH145" s="1148">
        <f t="shared" si="362"/>
        <v>-0.15383492037340052</v>
      </c>
      <c r="BI145" s="1147">
        <f t="shared" si="362"/>
        <v>-0.18581898933818997</v>
      </c>
      <c r="BJ145" s="1149">
        <f t="shared" si="362"/>
        <v>-4.8815963111719096E-2</v>
      </c>
      <c r="BK145" s="1148">
        <f t="shared" si="362"/>
        <v>-2.700663003149073E-2</v>
      </c>
      <c r="BL145" s="1148">
        <f t="shared" si="362"/>
        <v>-2.4808280286474305E-2</v>
      </c>
      <c r="BM145" s="1148">
        <f t="shared" si="362"/>
        <v>4.9397503450921088E-2</v>
      </c>
      <c r="BN145" s="1147">
        <f t="shared" si="362"/>
        <v>-1.3156251905328542E-2</v>
      </c>
      <c r="BO145" s="1148">
        <f t="shared" si="362"/>
        <v>5.0157050128954328E-2</v>
      </c>
      <c r="BP145" s="1148">
        <f t="shared" si="362"/>
        <v>4.6235364792284628E-2</v>
      </c>
      <c r="BQ145" s="1148">
        <f t="shared" si="362"/>
        <v>4.6227112776794366E-2</v>
      </c>
      <c r="BR145" s="1148">
        <f t="shared" si="362"/>
        <v>-2.8510988174655472E-2</v>
      </c>
      <c r="BS145" s="1147">
        <f t="shared" si="362"/>
        <v>2.7787727350122582E-2</v>
      </c>
      <c r="BT145" s="1147">
        <f>BT158/BS158-1</f>
        <v>7.5139028022897181E-2</v>
      </c>
      <c r="BU145" s="1147">
        <f>BU158/BT158-1</f>
        <v>5.6853388311661535E-2</v>
      </c>
      <c r="BV145" s="1147">
        <f>BV158/BU158-1</f>
        <v>5.5998153135821571E-2</v>
      </c>
      <c r="BW145" s="1143"/>
    </row>
    <row r="146" spans="1:75" s="169" customFormat="1" ht="14.25" hidden="1" outlineLevel="1" x14ac:dyDescent="0.45">
      <c r="A146" s="163"/>
      <c r="B146" s="1121"/>
      <c r="C146" s="840"/>
      <c r="D146" s="840"/>
      <c r="E146" s="840"/>
      <c r="F146" s="840"/>
      <c r="G146" s="247"/>
      <c r="H146" s="247"/>
      <c r="I146" s="247"/>
      <c r="J146" s="247"/>
      <c r="K146" s="840"/>
      <c r="L146" s="247"/>
      <c r="M146" s="247"/>
      <c r="N146" s="247"/>
      <c r="O146" s="247"/>
      <c r="P146" s="840"/>
      <c r="Q146" s="247"/>
      <c r="R146" s="247"/>
      <c r="S146" s="247"/>
      <c r="T146" s="247"/>
      <c r="U146" s="840"/>
      <c r="V146" s="247"/>
      <c r="W146" s="247"/>
      <c r="X146" s="247"/>
      <c r="Y146" s="247"/>
      <c r="Z146" s="840"/>
      <c r="AA146" s="247"/>
      <c r="AB146" s="247"/>
      <c r="AC146" s="247"/>
      <c r="AD146" s="247"/>
      <c r="AE146" s="840"/>
      <c r="AF146" s="247"/>
      <c r="AG146" s="247"/>
      <c r="AH146" s="247"/>
      <c r="AI146" s="247"/>
      <c r="AJ146" s="840"/>
      <c r="AK146" s="247"/>
      <c r="AL146" s="247"/>
      <c r="AM146" s="247"/>
      <c r="AN146" s="247"/>
      <c r="AO146" s="840"/>
      <c r="AP146" s="247"/>
      <c r="AQ146" s="247"/>
      <c r="AR146" s="247"/>
      <c r="AS146" s="247"/>
      <c r="AT146" s="840"/>
      <c r="AU146" s="247"/>
      <c r="AV146" s="247"/>
      <c r="AW146" s="247"/>
      <c r="AX146" s="247"/>
      <c r="AY146" s="840"/>
      <c r="AZ146" s="247"/>
      <c r="BA146" s="247"/>
      <c r="BB146" s="247"/>
      <c r="BC146" s="247"/>
      <c r="BD146" s="840"/>
      <c r="BE146" s="247"/>
      <c r="BF146" s="247"/>
      <c r="BG146" s="247"/>
      <c r="BH146" s="247"/>
      <c r="BI146" s="840"/>
      <c r="BJ146" s="977"/>
      <c r="BK146" s="247"/>
      <c r="BL146" s="247"/>
      <c r="BM146" s="247"/>
      <c r="BN146" s="840"/>
      <c r="BO146" s="247"/>
      <c r="BP146" s="247"/>
      <c r="BQ146" s="247"/>
      <c r="BR146" s="247"/>
      <c r="BS146" s="840"/>
      <c r="BT146" s="840"/>
      <c r="BU146" s="840"/>
      <c r="BV146" s="840"/>
      <c r="BW146" s="168"/>
    </row>
    <row r="147" spans="1:75" s="217" customFormat="1" hidden="1" outlineLevel="1" x14ac:dyDescent="0.5">
      <c r="A147" s="640" t="s">
        <v>1738</v>
      </c>
      <c r="B147" s="493"/>
      <c r="C147" s="423"/>
      <c r="D147" s="423"/>
      <c r="E147" s="423"/>
      <c r="F147" s="423"/>
      <c r="G147" s="422"/>
      <c r="H147" s="422"/>
      <c r="I147" s="422"/>
      <c r="J147" s="422"/>
      <c r="K147" s="423"/>
      <c r="L147" s="422"/>
      <c r="M147" s="422"/>
      <c r="N147" s="422"/>
      <c r="O147" s="422"/>
      <c r="P147" s="423"/>
      <c r="Q147" s="422"/>
      <c r="R147" s="422"/>
      <c r="S147" s="422"/>
      <c r="T147" s="422"/>
      <c r="U147" s="423"/>
      <c r="V147" s="422"/>
      <c r="W147" s="422"/>
      <c r="X147" s="422"/>
      <c r="Y147" s="422"/>
      <c r="Z147" s="423"/>
      <c r="AA147" s="422"/>
      <c r="AB147" s="422"/>
      <c r="AC147" s="422"/>
      <c r="AD147" s="422"/>
      <c r="AE147" s="423"/>
      <c r="AF147" s="422"/>
      <c r="AG147" s="422"/>
      <c r="AH147" s="422"/>
      <c r="AI147" s="422"/>
      <c r="AJ147" s="423"/>
      <c r="AK147" s="443">
        <v>0.6</v>
      </c>
      <c r="AL147" s="443">
        <v>0.6</v>
      </c>
      <c r="AM147" s="443">
        <v>0.6</v>
      </c>
      <c r="AN147" s="443">
        <v>0.6</v>
      </c>
      <c r="AO147" s="423">
        <f t="shared" ref="AO147" si="363">AVERAGE(AK147,AL147,AM147,AN147)</f>
        <v>0.6</v>
      </c>
      <c r="AP147" s="443">
        <v>0.95</v>
      </c>
      <c r="AQ147" s="443">
        <v>0.9</v>
      </c>
      <c r="AR147" s="443">
        <v>0.9</v>
      </c>
      <c r="AS147" s="443">
        <v>0.9</v>
      </c>
      <c r="AT147" s="423">
        <f t="shared" ref="AT147" si="364">AVERAGE(AP147,AQ147,AR147,AS147)</f>
        <v>0.91249999999999998</v>
      </c>
      <c r="AU147" s="443">
        <v>0.8</v>
      </c>
      <c r="AV147" s="443">
        <v>0.5</v>
      </c>
      <c r="AW147" s="443">
        <v>0.6</v>
      </c>
      <c r="AX147" s="443">
        <v>0.6</v>
      </c>
      <c r="AY147" s="423">
        <f t="shared" ref="AY147" si="365">AVERAGE(AU147,AV147,AW147,AX147)</f>
        <v>0.625</v>
      </c>
      <c r="AZ147" s="443">
        <v>0.5</v>
      </c>
      <c r="BA147" s="443">
        <v>0.5</v>
      </c>
      <c r="BB147" s="443">
        <v>0.5</v>
      </c>
      <c r="BC147" s="443">
        <v>0.5</v>
      </c>
      <c r="BD147" s="423">
        <f>AVERAGE(AZ147,BA147,BB147,BC147)</f>
        <v>0.5</v>
      </c>
      <c r="BE147" s="443">
        <v>0.5</v>
      </c>
      <c r="BF147" s="443">
        <v>0.5</v>
      </c>
      <c r="BG147" s="443">
        <v>0.5</v>
      </c>
      <c r="BH147" s="443">
        <v>0.5</v>
      </c>
      <c r="BI147" s="423">
        <f>AVERAGE(BE147,BF147,BG147,BH147)</f>
        <v>0.5</v>
      </c>
      <c r="BJ147" s="1151">
        <v>0.5</v>
      </c>
      <c r="BK147" s="443">
        <v>0.5</v>
      </c>
      <c r="BL147" s="443">
        <v>0.5</v>
      </c>
      <c r="BM147" s="443">
        <v>0.5</v>
      </c>
      <c r="BN147" s="423">
        <f>AVERAGE(BJ147,BK147,BL147,BM147)</f>
        <v>0.5</v>
      </c>
      <c r="BO147" s="443">
        <v>0.5</v>
      </c>
      <c r="BP147" s="443">
        <v>0.5</v>
      </c>
      <c r="BQ147" s="443">
        <v>0.5</v>
      </c>
      <c r="BR147" s="443">
        <v>0.5</v>
      </c>
      <c r="BS147" s="423">
        <f>AVERAGE(BO147,BP147,BQ147,BR147)</f>
        <v>0.5</v>
      </c>
      <c r="BT147" s="735">
        <v>0.5</v>
      </c>
      <c r="BU147" s="735">
        <v>0.5</v>
      </c>
      <c r="BV147" s="735">
        <v>0.5</v>
      </c>
      <c r="BW147" s="216"/>
    </row>
    <row r="148" spans="1:75" s="217" customFormat="1" hidden="1" outlineLevel="1" x14ac:dyDescent="0.5">
      <c r="A148" s="640" t="s">
        <v>1739</v>
      </c>
      <c r="B148" s="493"/>
      <c r="C148" s="423"/>
      <c r="D148" s="423"/>
      <c r="E148" s="423"/>
      <c r="F148" s="423"/>
      <c r="G148" s="422"/>
      <c r="H148" s="422"/>
      <c r="I148" s="422"/>
      <c r="J148" s="422"/>
      <c r="K148" s="423"/>
      <c r="L148" s="422"/>
      <c r="M148" s="422"/>
      <c r="N148" s="422"/>
      <c r="O148" s="422"/>
      <c r="P148" s="423"/>
      <c r="Q148" s="422"/>
      <c r="R148" s="422"/>
      <c r="S148" s="422"/>
      <c r="T148" s="422"/>
      <c r="U148" s="423"/>
      <c r="V148" s="422"/>
      <c r="W148" s="422"/>
      <c r="X148" s="422"/>
      <c r="Y148" s="422"/>
      <c r="Z148" s="423"/>
      <c r="AA148" s="422"/>
      <c r="AB148" s="422"/>
      <c r="AC148" s="422"/>
      <c r="AD148" s="422"/>
      <c r="AE148" s="423"/>
      <c r="AF148" s="422"/>
      <c r="AG148" s="422"/>
      <c r="AH148" s="422"/>
      <c r="AI148" s="422"/>
      <c r="AJ148" s="423"/>
      <c r="AK148" s="422">
        <f>(AK135-(2-AK147)*SUM(AK130,AI130,AH130,AG130))/(AK135-SUM(AK130,AI130,AH130,AG130))-1</f>
        <v>1.130829776763087E-2</v>
      </c>
      <c r="AL148" s="422">
        <f>(AL135-(2-AL147)*SUM(AL130,AK130,AI130,AH130))/(AL135-SUM(AL130,AK130,AI130,AH130))-1</f>
        <v>7.3372304137344635E-3</v>
      </c>
      <c r="AM148" s="422">
        <f>(AM135-(2-AM147)*SUM(AM130,AL130,AK130,AI130))/(AM135-SUM(AM130,AL130,AK130,AI130))-1</f>
        <v>7.0866012633736819E-3</v>
      </c>
      <c r="AN148" s="422">
        <f>(AN135-(2-AN147)*SUM(AN130,AM130,AL130,AK130))/(AN135-SUM(AN130,AM130,AL130,AK130))-1</f>
        <v>3.5714285714285587E-3</v>
      </c>
      <c r="AO148" s="423">
        <f t="shared" ref="AO148" si="366">(AO149*AJ$3/AO$3)/AJ154-1</f>
        <v>5.6151350399142874E-3</v>
      </c>
      <c r="AP148" s="422">
        <f>(AP135-(2-AP147)*SUM(AP130,AN130,AM130,AL130))/(AP135-SUM(AP130,AN130,AM130,AL130))-1</f>
        <v>8.849557522125906E-4</v>
      </c>
      <c r="AQ148" s="422">
        <f>(AQ135-(2-AQ147)*SUM(AQ130,AP130,AN130,AM130))/(AQ135-SUM(AQ130,AP130,AN130,AM130))-1</f>
        <v>1.7857142857142794E-3</v>
      </c>
      <c r="AR148" s="422">
        <f>(AR135-(2-AR147)*SUM(AR130,AQ130,AP130,AN130))/(AR135-SUM(AR130,AQ130,AP130,AN130))-1</f>
        <v>2.6315789473685403E-3</v>
      </c>
      <c r="AS148" s="422">
        <f>(AS135-(2-AS147)*SUM(AS130,AR130,AQ130,AP130))/(AS135-SUM(AS130,AR130,AQ130,AP130))-1</f>
        <v>3.3898305084745228E-3</v>
      </c>
      <c r="AT148" s="423">
        <f t="shared" ref="AT148" si="367">(AT149*AO$3/AT$3)/AO154-1</f>
        <v>1.9573425765533337E-3</v>
      </c>
      <c r="AU148" s="422">
        <f>(AU135-(2-AU147)*SUM(AU130,AS130,AR130,AQ130))/(AU135-SUM(AU130,AS130,AR130,AQ130))-1</f>
        <v>5.0038197097019843E-3</v>
      </c>
      <c r="AV148" s="422">
        <f>(AV135-(2-AV147)*SUM(AV130,AU130,AS130,AR130))/(AV135-SUM(AV130,AU130,AS130,AR130))-1</f>
        <v>8.201853243175572E-3</v>
      </c>
      <c r="AW148" s="422">
        <f>(AW135-(2-AW147)*SUM(AW130,AV130,AU130,AS130))/(AW135-SUM(AW130,AV130,AU130,AS130))-1</f>
        <v>1.3191100492255581E-2</v>
      </c>
      <c r="AX148" s="422">
        <f>(AX135-(2-AX147)*SUM(AX130,AW130,AV130,AU130))/(AX135-SUM(AX130,AW130,AV130,AU130))-1</f>
        <v>1.3299465501222407E-2</v>
      </c>
      <c r="AY148" s="423">
        <f t="shared" ref="AY148" si="368">(AY149*AT$3/AY$3)/AT154-1</f>
        <v>9.3227395815640435E-3</v>
      </c>
      <c r="AZ148" s="422">
        <f>(AZ135-(2-AZ147)*SUM(AZ130,AX130,AW130,AV130))/(AZ135-SUM(AZ130,AX130,AW130,AV130))-1</f>
        <v>1.6624331876528009E-2</v>
      </c>
      <c r="BA148" s="422">
        <f>(BA135-(2-BA147)*SUM(BA130,AZ130,AX130,AW130))/(BA135-SUM(BA130,AZ130,AX130,AW130))-1</f>
        <v>2.0418256008543523E-2</v>
      </c>
      <c r="BB148" s="422">
        <f>(BB135-(2-BB147)*SUM(BB130,BA130,AZ130,AX130))/(BB135-SUM(BB130,BA130,AZ130,AX130))-1</f>
        <v>1.2394261721586641E-2</v>
      </c>
      <c r="BC148" s="422">
        <f>(BC135-(2-BC147)*SUM(BC130,BB130,BA130,AZ130))/(BC135-SUM(BC130,BB130,BA130,AZ130))-1</f>
        <v>1.2301195518163777E-2</v>
      </c>
      <c r="BD148" s="423">
        <f>(BD149*AY$3/BD$3)/AY154-1</f>
        <v>1.5635827614772113E-2</v>
      </c>
      <c r="BE148" s="422">
        <f>(BE135-(2-BE147)*SUM(BE130,BC130,BB130,BA130))/(BE135-SUM(BE130,BC130,BB130,BA130))-1</f>
        <v>1.2301195518163777E-2</v>
      </c>
      <c r="BF148" s="422">
        <f>(BF135-(2-BF147)*SUM(BF130,BE130,BC130,BB130))/(BF135-SUM(BF130,BE130,BC130,BB130))-1</f>
        <v>1.2334118873054134E-2</v>
      </c>
      <c r="BG148" s="422">
        <f>(BG135-(2-BG147)*SUM(BG130,BF130,BE130,BC130))/(BG135-SUM(BG130,BF130,BE130,BC130))-1</f>
        <v>8.1664960924725527E-3</v>
      </c>
      <c r="BH148" s="422">
        <f>(BH135-(2-BH147)*SUM(BH130,BG130,BF130,BE130))/(BH135-SUM(BH130,BG130,BF130,BE130))-1</f>
        <v>1.2295884644505373E-2</v>
      </c>
      <c r="BI148" s="423">
        <f>(BI149*BD$3/BI$3)/BD154-1</f>
        <v>1.1805788236800119E-2</v>
      </c>
      <c r="BJ148" s="1034">
        <f>(BJ135-(2-BJ147)*SUM(BJ130,BH130,BG130,BF130))/(BJ135-SUM(BJ130,BH130,BG130,BF130))-1</f>
        <v>1.6260952062738365E-2</v>
      </c>
      <c r="BK148" s="422">
        <f>(BK135-(2-BK147)*SUM(BK130,BJ130,BH130,BG130))/(BK135-SUM(BK130,BJ130,BH130,BG130))-1</f>
        <v>1.6260149277150582E-2</v>
      </c>
      <c r="BL148" s="422">
        <f>(BL135-(2-BL147)*SUM(BL130,BK130,BJ130,BH130))/(BL135-SUM(BL130,BK130,BJ130,BH130))-1</f>
        <v>2.0325190039527596E-2</v>
      </c>
      <c r="BM148" s="422">
        <f>(BM135-(2-BM147)*SUM(BM130,BL130,BK130,BJ130))/(BM135-SUM(BM130,BL130,BK130,BJ130))-1</f>
        <v>1.6528912302762322E-2</v>
      </c>
      <c r="BN148" s="423">
        <f>(BN149*BI$3/BN$3)/BI154-1</f>
        <v>1.7052636321214676E-2</v>
      </c>
      <c r="BO148" s="422">
        <f>(BO135-(2-BO147)*SUM(BO130,BM130,BL130,BK130))/(BO135-SUM(BO130,BM130,BL130,BK130))-1</f>
        <v>1.6404641629414574E-2</v>
      </c>
      <c r="BP148" s="422">
        <f>(BP135-(2-BP147)*SUM(BP130,BO130,BM130,BL130))/(BP135-SUM(BP130,BO130,BM130,BL130))-1</f>
        <v>1.6436779764140708E-2</v>
      </c>
      <c r="BQ148" s="422">
        <f>(BQ135-(2-BQ147)*SUM(BQ130,BP130,BO130,BM130))/(BQ135-SUM(BQ130,BP130,BO130,BM130))-1</f>
        <v>1.646863668747689E-2</v>
      </c>
      <c r="BR148" s="422">
        <f>(BR135-(2-BR147)*SUM(BR130,BQ130,BP130,BO130))/(BR135-SUM(BR130,BQ130,BP130,BO130))-1</f>
        <v>1.6500221329416753E-2</v>
      </c>
      <c r="BS148" s="423">
        <f>(BS149*BN$3/BS$3)/BN154-1</f>
        <v>1.6806417972646814E-2</v>
      </c>
      <c r="BT148" s="423">
        <f>(BT135-(2-BT147)*BT130)/(BT135-BT130)-1</f>
        <v>3.3057743540361395E-2</v>
      </c>
      <c r="BU148" s="423">
        <f>(BU135-(2-BU147)*BU130)/(BU135-BU130)-1</f>
        <v>3.4188034188034289E-2</v>
      </c>
      <c r="BV148" s="423">
        <f>(BV135-(2-BV147)*BV130)/(BV135-BV130)-1</f>
        <v>3.539823008849563E-2</v>
      </c>
      <c r="BW148" s="216"/>
    </row>
    <row r="149" spans="1:75" s="370" customFormat="1" hidden="1" outlineLevel="1" x14ac:dyDescent="0.5">
      <c r="A149" s="364" t="s">
        <v>1740</v>
      </c>
      <c r="B149" s="1152"/>
      <c r="C149" s="1153"/>
      <c r="D149" s="1153"/>
      <c r="E149" s="1153"/>
      <c r="F149" s="1153"/>
      <c r="G149" s="1154"/>
      <c r="H149" s="1154"/>
      <c r="I149" s="1154"/>
      <c r="J149" s="1154"/>
      <c r="K149" s="1153"/>
      <c r="L149" s="1154"/>
      <c r="M149" s="1154"/>
      <c r="N149" s="1154"/>
      <c r="O149" s="1154"/>
      <c r="P149" s="1153"/>
      <c r="Q149" s="1154"/>
      <c r="R149" s="1154"/>
      <c r="S149" s="1154"/>
      <c r="T149" s="1154"/>
      <c r="U149" s="1153"/>
      <c r="V149" s="1154"/>
      <c r="W149" s="1154"/>
      <c r="X149" s="1154"/>
      <c r="Y149" s="1154"/>
      <c r="Z149" s="1153"/>
      <c r="AA149" s="1154"/>
      <c r="AB149" s="1154"/>
      <c r="AC149" s="1154"/>
      <c r="AD149" s="1154"/>
      <c r="AE149" s="1153"/>
      <c r="AF149" s="1154"/>
      <c r="AG149" s="1154"/>
      <c r="AH149" s="1154"/>
      <c r="AI149" s="1154"/>
      <c r="AJ149" s="1153"/>
      <c r="AK149" s="1154">
        <f t="shared" ref="AK149:AN149" si="369">(AF154*AK$3/AF$3)*(1+AK148)</f>
        <v>197.98045684056731</v>
      </c>
      <c r="AL149" s="1154">
        <f t="shared" si="369"/>
        <v>214.28939523613982</v>
      </c>
      <c r="AM149" s="1154">
        <f t="shared" si="369"/>
        <v>235.0081267603542</v>
      </c>
      <c r="AN149" s="1154">
        <f t="shared" si="369"/>
        <v>239.97438431170949</v>
      </c>
      <c r="AO149" s="1153">
        <f>AO151/(1+AO141)</f>
        <v>888.79068582739046</v>
      </c>
      <c r="AP149" s="1154">
        <f t="shared" ref="AP149:AS149" si="370">(AK154*AP$3/AK$3)*(1+AP148)</f>
        <v>210.18278457069516</v>
      </c>
      <c r="AQ149" s="1154">
        <f t="shared" si="370"/>
        <v>243.06193384223917</v>
      </c>
      <c r="AR149" s="1154">
        <f t="shared" si="370"/>
        <v>264.38439043294926</v>
      </c>
      <c r="AS149" s="1154">
        <f t="shared" si="370"/>
        <v>270.15392989234454</v>
      </c>
      <c r="AT149" s="1153">
        <f>AT151/(1+AT141)</f>
        <v>988.26883364844502</v>
      </c>
      <c r="AU149" s="1154">
        <f t="shared" ref="AU149:AX149" si="371">(AP154*AU$3/AP$3)*(1+AU148)</f>
        <v>203.43217278510645</v>
      </c>
      <c r="AV149" s="1154">
        <f t="shared" si="371"/>
        <v>242.21794927739708</v>
      </c>
      <c r="AW149" s="1154">
        <f t="shared" si="371"/>
        <v>301.19811723020672</v>
      </c>
      <c r="AX149" s="1154">
        <f t="shared" si="371"/>
        <v>325.51954864689242</v>
      </c>
      <c r="AY149" s="1153">
        <f>AY151/(1+AY141)</f>
        <v>1072.6665030139341</v>
      </c>
      <c r="AZ149" s="1154">
        <f>(AU154*AZ$3/AU$3)*(1+AZ148)</f>
        <v>306.13341506422859</v>
      </c>
      <c r="BA149" s="1154">
        <f>(AV154*BA$3/AV$3)*(1+BA148)</f>
        <v>370.08581919645115</v>
      </c>
      <c r="BB149" s="1154">
        <f>(AW154*BB$3/AW$3)*(1+BB148)</f>
        <v>367.19594350120678</v>
      </c>
      <c r="BC149" s="1154">
        <f>(AX154*BC$3/AX$3)*(1+BC148)</f>
        <v>380.40550352423639</v>
      </c>
      <c r="BD149" s="1153">
        <f>BD151/(1+BD141)</f>
        <v>1424.5169637905321</v>
      </c>
      <c r="BE149" s="1154">
        <f>(AZ154*BE$3/AZ$3)*(1+BE148)</f>
        <v>339.90110508891973</v>
      </c>
      <c r="BF149" s="1154">
        <f>(BA154*BF$3/BA$3)*(1+BF148)</f>
        <v>385.30937445346188</v>
      </c>
      <c r="BG149" s="1154">
        <f>(BB154*BG$3/BB$3)*(1+BG148)</f>
        <v>377.04220020529817</v>
      </c>
      <c r="BH149" s="1154">
        <f>(BC154*BH$3/BC$3)*(1+BH148)</f>
        <v>335.74605893849593</v>
      </c>
      <c r="BI149" s="1153">
        <f>BI151/(1+BI141)</f>
        <v>1438.7080686338293</v>
      </c>
      <c r="BJ149" s="1155">
        <f>(BE154*BJ$3/BE$3)*(1+BJ148)</f>
        <v>284.32241242208926</v>
      </c>
      <c r="BK149" s="1154">
        <f>(BF154*BK$3/BF$3)*(1+BK148)</f>
        <v>303.01652859445937</v>
      </c>
      <c r="BL149" s="1154">
        <f>(BG154*BL$3/BG$3)*(1+BL148)</f>
        <v>293.07640775242311</v>
      </c>
      <c r="BM149" s="1154">
        <f>(BH154*BM$3/BH$3)*(1+BM148)</f>
        <v>307.22953922689123</v>
      </c>
      <c r="BN149" s="1153">
        <f>BN151/(1+BN141)</f>
        <v>1187.8529130835786</v>
      </c>
      <c r="BO149" s="1154">
        <f>(BJ154*BO$3/BJ$3)*(1+BO148)</f>
        <v>272.80091372830918</v>
      </c>
      <c r="BP149" s="1154">
        <f>(BK154*BP$3/BK$3)*(1+BP148)</f>
        <v>297.50461267121244</v>
      </c>
      <c r="BQ149" s="1154">
        <f>(BL154*BQ$3/BL$3)*(1+BQ148)</f>
        <v>287.25544159008342</v>
      </c>
      <c r="BR149" s="1154">
        <f>(BM154*BR$3/BM$3)*(1+BR148)</f>
        <v>278.17501249463112</v>
      </c>
      <c r="BS149" s="1153">
        <f>BS151/(1+BS141)</f>
        <v>1135.736150529963</v>
      </c>
      <c r="BT149" s="1153">
        <f>(BS154*BT$3/BS$3)*(1+BT148)</f>
        <v>1207.577220447552</v>
      </c>
      <c r="BU149" s="1153">
        <f>(BT154*BU$3/BT$3)*(1+BU148)</f>
        <v>1321.568760022089</v>
      </c>
      <c r="BV149" s="1153">
        <f>(BU154*BV$3/BU$3)*(1+BV148)</f>
        <v>1446.9765333548014</v>
      </c>
      <c r="BW149" s="369"/>
    </row>
    <row r="150" spans="1:75" s="224" customFormat="1" hidden="1" outlineLevel="1" x14ac:dyDescent="0.5">
      <c r="A150" s="588"/>
      <c r="B150" s="494"/>
      <c r="C150" s="425"/>
      <c r="D150" s="425"/>
      <c r="E150" s="425"/>
      <c r="F150" s="425"/>
      <c r="G150" s="487"/>
      <c r="H150" s="487"/>
      <c r="I150" s="487"/>
      <c r="J150" s="487"/>
      <c r="K150" s="425"/>
      <c r="L150" s="487"/>
      <c r="M150" s="487"/>
      <c r="N150" s="487"/>
      <c r="O150" s="487"/>
      <c r="P150" s="425"/>
      <c r="Q150" s="487"/>
      <c r="R150" s="487"/>
      <c r="S150" s="487"/>
      <c r="T150" s="487"/>
      <c r="U150" s="425"/>
      <c r="V150" s="487"/>
      <c r="W150" s="487"/>
      <c r="X150" s="487"/>
      <c r="Y150" s="487"/>
      <c r="Z150" s="425"/>
      <c r="AA150" s="487"/>
      <c r="AB150" s="487"/>
      <c r="AC150" s="487"/>
      <c r="AD150" s="487"/>
      <c r="AE150" s="425"/>
      <c r="AF150" s="487"/>
      <c r="AG150" s="487"/>
      <c r="AH150" s="487"/>
      <c r="AI150" s="487"/>
      <c r="AJ150" s="425"/>
      <c r="AK150" s="487"/>
      <c r="AL150" s="487"/>
      <c r="AM150" s="487"/>
      <c r="AN150" s="487"/>
      <c r="AO150" s="425"/>
      <c r="AP150" s="487"/>
      <c r="AQ150" s="487"/>
      <c r="AR150" s="487"/>
      <c r="AS150" s="487"/>
      <c r="AT150" s="425"/>
      <c r="AU150" s="487"/>
      <c r="AV150" s="487"/>
      <c r="AW150" s="487"/>
      <c r="AX150" s="487"/>
      <c r="AY150" s="425"/>
      <c r="AZ150" s="487"/>
      <c r="BA150" s="487"/>
      <c r="BB150" s="487"/>
      <c r="BC150" s="487"/>
      <c r="BD150" s="425"/>
      <c r="BE150" s="487"/>
      <c r="BF150" s="487"/>
      <c r="BG150" s="487"/>
      <c r="BH150" s="487"/>
      <c r="BI150" s="425"/>
      <c r="BJ150" s="981"/>
      <c r="BK150" s="487"/>
      <c r="BL150" s="487"/>
      <c r="BM150" s="487"/>
      <c r="BN150" s="425"/>
      <c r="BO150" s="487"/>
      <c r="BP150" s="487"/>
      <c r="BQ150" s="487"/>
      <c r="BR150" s="487"/>
      <c r="BS150" s="425"/>
      <c r="BT150" s="425"/>
      <c r="BU150" s="425"/>
      <c r="BV150" s="425"/>
      <c r="BW150" s="223"/>
    </row>
    <row r="151" spans="1:75" s="370" customFormat="1" hidden="1" outlineLevel="1" x14ac:dyDescent="0.5">
      <c r="A151" s="364" t="s">
        <v>1741</v>
      </c>
      <c r="B151" s="1152"/>
      <c r="C151" s="1153"/>
      <c r="D151" s="1153"/>
      <c r="E151" s="1153"/>
      <c r="F151" s="1153"/>
      <c r="G151" s="1154"/>
      <c r="H151" s="1154"/>
      <c r="I151" s="1154"/>
      <c r="J151" s="1154"/>
      <c r="K151" s="1153"/>
      <c r="L151" s="1154"/>
      <c r="M151" s="1154"/>
      <c r="N151" s="1154"/>
      <c r="O151" s="1154"/>
      <c r="P151" s="1153"/>
      <c r="Q151" s="1154"/>
      <c r="R151" s="1154"/>
      <c r="S151" s="1154"/>
      <c r="T151" s="1154"/>
      <c r="U151" s="1153"/>
      <c r="V151" s="1154"/>
      <c r="W151" s="1154"/>
      <c r="X151" s="1154"/>
      <c r="Y151" s="1154"/>
      <c r="Z151" s="1153"/>
      <c r="AA151" s="1154"/>
      <c r="AB151" s="1154"/>
      <c r="AC151" s="1154"/>
      <c r="AD151" s="1154"/>
      <c r="AE151" s="1153"/>
      <c r="AF151" s="1154"/>
      <c r="AG151" s="1154"/>
      <c r="AH151" s="1154"/>
      <c r="AI151" s="1154"/>
      <c r="AJ151" s="1153"/>
      <c r="AK151" s="1154">
        <f>AK149*(1+AK141)</f>
        <v>221.34215074775423</v>
      </c>
      <c r="AL151" s="1154">
        <f>AL149*(1+AL141)</f>
        <v>251.79003940246432</v>
      </c>
      <c r="AM151" s="1154">
        <f>AM149*(1+AM141)</f>
        <v>268.14427263356413</v>
      </c>
      <c r="AN151" s="1154">
        <f>AN149*(1+AN141)</f>
        <v>273.33082373103713</v>
      </c>
      <c r="AO151" s="1153">
        <f>AO156/AO136*1000</f>
        <v>1016.7765445865347</v>
      </c>
      <c r="AP151" s="1154">
        <f>AP149*(1+AP141)</f>
        <v>217.1188164615281</v>
      </c>
      <c r="AQ151" s="1154">
        <f>AQ149*(1+AQ141)</f>
        <v>260.07626921119595</v>
      </c>
      <c r="AR151" s="1154">
        <f>AR149*(1+AR141)</f>
        <v>322.02018754733217</v>
      </c>
      <c r="AS151" s="1154">
        <f>AS149*(1+AS141)</f>
        <v>338.23272022521536</v>
      </c>
      <c r="AT151" s="1153">
        <f>AT156/AT136*1000</f>
        <v>1138.4856963630086</v>
      </c>
      <c r="AU151" s="1154">
        <f>AU149*(1+AU141)</f>
        <v>306.9791487327256</v>
      </c>
      <c r="AV151" s="1154">
        <f>AV149*(1+AV141)</f>
        <v>365.99132135814705</v>
      </c>
      <c r="AW151" s="1154">
        <f>AW149*(1+AW141)</f>
        <v>368.96769360700324</v>
      </c>
      <c r="AX151" s="1154">
        <f>AX149*(1+AX141)</f>
        <v>385.08962604927376</v>
      </c>
      <c r="AY151" s="1153">
        <f>AY156/AY136*1000</f>
        <v>1427.7191155115463</v>
      </c>
      <c r="AZ151" s="1154">
        <f>AZ149*(1+AZ141)</f>
        <v>345.31849219244987</v>
      </c>
      <c r="BA151" s="1154">
        <f>BA149*(1+BA141)</f>
        <v>392.66105416743466</v>
      </c>
      <c r="BB151" s="1154">
        <f>BB149*(1+BB141)</f>
        <v>382.61817312825747</v>
      </c>
      <c r="BC151" s="1154">
        <f>BC149*(1+BC141)</f>
        <v>339.70211464714311</v>
      </c>
      <c r="BD151" s="1153">
        <f>BD156/BD136*1000</f>
        <v>1460.1298878852954</v>
      </c>
      <c r="BE151" s="1154">
        <f>BE149*(1+BE141)</f>
        <v>286.19673048487039</v>
      </c>
      <c r="BF151" s="1154">
        <f>BF149*(1+BF141)</f>
        <v>305.16502456714181</v>
      </c>
      <c r="BG151" s="1154">
        <f>BG149*(1+BG141)</f>
        <v>292.58474735931139</v>
      </c>
      <c r="BH151" s="1154">
        <f>BH149*(1+BH141)</f>
        <v>284.37691192090602</v>
      </c>
      <c r="BI151" s="1153">
        <f>BI156/BI136*1000</f>
        <v>1168.2309517306694</v>
      </c>
      <c r="BJ151" s="1155">
        <f>BJ149*(1+BJ141)</f>
        <v>272.66519351278356</v>
      </c>
      <c r="BK151" s="1154">
        <f>BK149*(1+BK141)</f>
        <v>296.95619802257016</v>
      </c>
      <c r="BL151" s="1154">
        <f>BL149*(1+BL141)</f>
        <v>287.21487959737465</v>
      </c>
      <c r="BM151" s="1154">
        <f>BM149*(1+BM141)</f>
        <v>301.08494844235338</v>
      </c>
      <c r="BN151" s="1153">
        <f>BN156/BN136*1000</f>
        <v>1158.0117291610818</v>
      </c>
      <c r="BO151" s="1154">
        <f>BO149*(1+BO141)</f>
        <v>286.44095941472466</v>
      </c>
      <c r="BP151" s="1154">
        <f>BP149*(1+BP141)</f>
        <v>312.37984330477309</v>
      </c>
      <c r="BQ151" s="1154">
        <f>BQ149*(1+BQ141)</f>
        <v>301.61821366958759</v>
      </c>
      <c r="BR151" s="1154">
        <f>BR149*(1+BR141)</f>
        <v>292.08376311936269</v>
      </c>
      <c r="BS151" s="1153">
        <f>BS156/BS136*1000</f>
        <v>1192.5229580564612</v>
      </c>
      <c r="BT151" s="1153">
        <f>BT149*(1+BT141)</f>
        <v>1304.1833980833562</v>
      </c>
      <c r="BU151" s="1153">
        <f>BU149*(1+BU141)</f>
        <v>1427.2942608238561</v>
      </c>
      <c r="BV151" s="1153">
        <f>BV149*(1+BV141)</f>
        <v>1562.7346560231856</v>
      </c>
      <c r="BW151" s="369"/>
    </row>
    <row r="152" spans="1:75" s="177" customFormat="1" ht="14.25" hidden="1" outlineLevel="1" x14ac:dyDescent="0.45">
      <c r="A152" s="189" t="s">
        <v>1742</v>
      </c>
      <c r="B152" s="491"/>
      <c r="C152" s="172"/>
      <c r="D152" s="172"/>
      <c r="E152" s="172"/>
      <c r="F152" s="172"/>
      <c r="G152" s="175"/>
      <c r="H152" s="175"/>
      <c r="I152" s="175"/>
      <c r="J152" s="175"/>
      <c r="K152" s="172"/>
      <c r="L152" s="175"/>
      <c r="M152" s="175"/>
      <c r="N152" s="175"/>
      <c r="O152" s="175"/>
      <c r="P152" s="172"/>
      <c r="Q152" s="175"/>
      <c r="R152" s="175"/>
      <c r="S152" s="175"/>
      <c r="T152" s="175"/>
      <c r="U152" s="172"/>
      <c r="V152" s="175"/>
      <c r="W152" s="175"/>
      <c r="X152" s="175"/>
      <c r="Y152" s="175"/>
      <c r="Z152" s="172"/>
      <c r="AA152" s="175"/>
      <c r="AB152" s="175"/>
      <c r="AC152" s="175"/>
      <c r="AD152" s="175"/>
      <c r="AE152" s="172"/>
      <c r="AF152" s="175"/>
      <c r="AG152" s="175"/>
      <c r="AH152" s="175"/>
      <c r="AI152" s="175"/>
      <c r="AJ152" s="172"/>
      <c r="AK152" s="175">
        <f t="shared" ref="AK152:BJ152" si="372">IFERROR(AK153/AK151,"n/a")</f>
        <v>0.38706479757689721</v>
      </c>
      <c r="AL152" s="175">
        <f t="shared" si="372"/>
        <v>0.37018409996149459</v>
      </c>
      <c r="AM152" s="175">
        <f t="shared" si="372"/>
        <v>0.46942579039348287</v>
      </c>
      <c r="AN152" s="175">
        <f t="shared" si="372"/>
        <v>0.68443779892118495</v>
      </c>
      <c r="AO152" s="172">
        <f t="shared" si="372"/>
        <v>0.45515018682172803</v>
      </c>
      <c r="AP152" s="175">
        <f t="shared" si="372"/>
        <v>3.5694968024150467E-2</v>
      </c>
      <c r="AQ152" s="175">
        <f t="shared" si="372"/>
        <v>0.10476137383734251</v>
      </c>
      <c r="AR152" s="175">
        <f t="shared" si="372"/>
        <v>0.14806023832178886</v>
      </c>
      <c r="AS152" s="175">
        <f t="shared" si="372"/>
        <v>0.32204837859294805</v>
      </c>
      <c r="AT152" s="172">
        <f t="shared" si="372"/>
        <v>0.1681847552376243</v>
      </c>
      <c r="AU152" s="175">
        <f t="shared" si="372"/>
        <v>0.5302255672030094</v>
      </c>
      <c r="AV152" s="175">
        <f t="shared" si="372"/>
        <v>0.68111324951759844</v>
      </c>
      <c r="AW152" s="175">
        <f t="shared" si="372"/>
        <v>0.41248902013159533</v>
      </c>
      <c r="AX152" s="175">
        <f t="shared" si="372"/>
        <v>0.32181906742692307</v>
      </c>
      <c r="AY152" s="172">
        <f t="shared" si="372"/>
        <v>0.47225458938299181</v>
      </c>
      <c r="AZ152" s="175">
        <f t="shared" si="372"/>
        <v>0.31852509060200696</v>
      </c>
      <c r="BA152" s="175">
        <f t="shared" si="372"/>
        <v>0.18762545962227098</v>
      </c>
      <c r="BB152" s="175">
        <f t="shared" si="372"/>
        <v>0.35994990298151813</v>
      </c>
      <c r="BC152" s="175">
        <f t="shared" si="372"/>
        <v>0.27446053189013708</v>
      </c>
      <c r="BD152" s="172">
        <f t="shared" si="372"/>
        <v>0.28373607932915984</v>
      </c>
      <c r="BE152" s="175">
        <f t="shared" si="372"/>
        <v>0.38615916859733324</v>
      </c>
      <c r="BF152" s="175">
        <f t="shared" si="372"/>
        <v>0.43426319729517709</v>
      </c>
      <c r="BG152" s="175">
        <f t="shared" si="372"/>
        <v>0.43670891424321046</v>
      </c>
      <c r="BH152" s="175">
        <f t="shared" si="372"/>
        <v>0.35979218410669156</v>
      </c>
      <c r="BI152" s="172">
        <f t="shared" si="372"/>
        <v>0.41232717271598379</v>
      </c>
      <c r="BJ152" s="1111">
        <f t="shared" si="372"/>
        <v>0.34832633142493707</v>
      </c>
      <c r="BK152" s="190">
        <v>0.4</v>
      </c>
      <c r="BL152" s="190">
        <v>0.4</v>
      </c>
      <c r="BM152" s="190">
        <v>0.4</v>
      </c>
      <c r="BN152" s="172">
        <f>IFERROR(BN153/BN151,"n/a")</f>
        <v>0.38886517749431226</v>
      </c>
      <c r="BO152" s="190">
        <v>0.4</v>
      </c>
      <c r="BP152" s="190">
        <v>0.4</v>
      </c>
      <c r="BQ152" s="190">
        <v>0.4</v>
      </c>
      <c r="BR152" s="190">
        <v>0.4</v>
      </c>
      <c r="BS152" s="172">
        <f>IFERROR(BS153/BS151,"n/a")</f>
        <v>0.40000201974483368</v>
      </c>
      <c r="BT152" s="191">
        <v>0.4</v>
      </c>
      <c r="BU152" s="191">
        <v>0.4</v>
      </c>
      <c r="BV152" s="191">
        <v>0.4</v>
      </c>
      <c r="BW152" s="176"/>
    </row>
    <row r="153" spans="1:75" s="370" customFormat="1" hidden="1" outlineLevel="1" x14ac:dyDescent="0.5">
      <c r="A153" s="364" t="s">
        <v>1743</v>
      </c>
      <c r="B153" s="1152"/>
      <c r="C153" s="366"/>
      <c r="D153" s="366"/>
      <c r="E153" s="366"/>
      <c r="F153" s="366"/>
      <c r="G153" s="367"/>
      <c r="H153" s="367"/>
      <c r="I153" s="367"/>
      <c r="J153" s="367"/>
      <c r="K153" s="366"/>
      <c r="L153" s="367"/>
      <c r="M153" s="367"/>
      <c r="N153" s="367"/>
      <c r="O153" s="367"/>
      <c r="P153" s="366"/>
      <c r="Q153" s="367"/>
      <c r="R153" s="367"/>
      <c r="S153" s="367"/>
      <c r="T153" s="367"/>
      <c r="U153" s="366"/>
      <c r="V153" s="367"/>
      <c r="W153" s="367"/>
      <c r="X153" s="367"/>
      <c r="Y153" s="367"/>
      <c r="Z153" s="366"/>
      <c r="AA153" s="367"/>
      <c r="AB153" s="367"/>
      <c r="AC153" s="367"/>
      <c r="AD153" s="367"/>
      <c r="AE153" s="366"/>
      <c r="AF153" s="367"/>
      <c r="AG153" s="367"/>
      <c r="AH153" s="367"/>
      <c r="AI153" s="367"/>
      <c r="AJ153" s="366"/>
      <c r="AK153" s="367">
        <f t="shared" ref="AK153:BJ153" si="373">IFERROR(AK157/AK139*1000,"n/a")</f>
        <v>85.673754774414562</v>
      </c>
      <c r="AL153" s="367">
        <f t="shared" si="373"/>
        <v>93.208669115470514</v>
      </c>
      <c r="AM153" s="367">
        <f t="shared" si="373"/>
        <v>125.8738371204964</v>
      </c>
      <c r="AN153" s="367">
        <f t="shared" si="373"/>
        <v>187.07794737178543</v>
      </c>
      <c r="AO153" s="366">
        <f t="shared" si="373"/>
        <v>462.78603422451232</v>
      </c>
      <c r="AP153" s="367">
        <f t="shared" si="373"/>
        <v>7.7500492110356394</v>
      </c>
      <c r="AQ153" s="367">
        <f t="shared" si="373"/>
        <v>27.245947265055431</v>
      </c>
      <c r="AR153" s="367">
        <f t="shared" si="373"/>
        <v>47.678385712685149</v>
      </c>
      <c r="AS153" s="367">
        <f t="shared" si="373"/>
        <v>108.92729913561283</v>
      </c>
      <c r="AT153" s="366">
        <f t="shared" si="373"/>
        <v>191.47593818434888</v>
      </c>
      <c r="AU153" s="367">
        <f t="shared" si="373"/>
        <v>162.7681932563064</v>
      </c>
      <c r="AV153" s="367">
        <f t="shared" si="373"/>
        <v>249.28153818548716</v>
      </c>
      <c r="AW153" s="367">
        <f t="shared" si="373"/>
        <v>152.19512239616745</v>
      </c>
      <c r="AX153" s="367">
        <f t="shared" si="373"/>
        <v>123.92918433095983</v>
      </c>
      <c r="AY153" s="366">
        <f t="shared" si="373"/>
        <v>674.24690465015351</v>
      </c>
      <c r="AZ153" s="367">
        <f t="shared" si="373"/>
        <v>109.99260401214852</v>
      </c>
      <c r="BA153" s="367">
        <f t="shared" si="373"/>
        <v>73.673210763930371</v>
      </c>
      <c r="BB153" s="367">
        <f t="shared" si="373"/>
        <v>137.72337429648198</v>
      </c>
      <c r="BC153" s="367">
        <f t="shared" si="373"/>
        <v>93.234823070259225</v>
      </c>
      <c r="BD153" s="366">
        <f t="shared" si="373"/>
        <v>414.2915296998994</v>
      </c>
      <c r="BE153" s="367">
        <f t="shared" si="373"/>
        <v>110.5174914993126</v>
      </c>
      <c r="BF153" s="367">
        <f t="shared" si="373"/>
        <v>132.52193927118827</v>
      </c>
      <c r="BG153" s="367">
        <f t="shared" si="373"/>
        <v>127.77436734340891</v>
      </c>
      <c r="BH153" s="367">
        <f t="shared" si="373"/>
        <v>102.31659024953903</v>
      </c>
      <c r="BI153" s="366">
        <f t="shared" si="373"/>
        <v>481.69336540640984</v>
      </c>
      <c r="BJ153" s="1156">
        <f t="shared" si="373"/>
        <v>94.976466563578455</v>
      </c>
      <c r="BK153" s="367">
        <f>BK151*BK152</f>
        <v>118.78247920902807</v>
      </c>
      <c r="BL153" s="367">
        <f>BL151*BL152</f>
        <v>114.88595183894986</v>
      </c>
      <c r="BM153" s="367">
        <f>BM151*BM152</f>
        <v>120.43397937694135</v>
      </c>
      <c r="BN153" s="366">
        <f>IFERROR(BN157/BN139*1000,"n/a")</f>
        <v>450.31043660071953</v>
      </c>
      <c r="BO153" s="367">
        <f>BO151*BO152</f>
        <v>114.57638376588987</v>
      </c>
      <c r="BP153" s="367">
        <f>BP151*BP152</f>
        <v>124.95193732190924</v>
      </c>
      <c r="BQ153" s="367">
        <f>BQ151*BQ152</f>
        <v>120.64728546783505</v>
      </c>
      <c r="BR153" s="367">
        <f>BR151*BR152</f>
        <v>116.83350524774508</v>
      </c>
      <c r="BS153" s="366">
        <f>IFERROR(BS157/BS139*1000,"n/a")</f>
        <v>477.01159181466807</v>
      </c>
      <c r="BT153" s="366">
        <f>BT151*BT152</f>
        <v>521.67335923334247</v>
      </c>
      <c r="BU153" s="366">
        <f>BU151*BU152</f>
        <v>570.91770432954252</v>
      </c>
      <c r="BV153" s="366">
        <f>BV151*BV152</f>
        <v>625.09386240927427</v>
      </c>
      <c r="BW153" s="369"/>
    </row>
    <row r="154" spans="1:75" s="573" customFormat="1" ht="14.25" hidden="1" outlineLevel="1" x14ac:dyDescent="0.45">
      <c r="A154" s="1157" t="s">
        <v>1744</v>
      </c>
      <c r="B154" s="1158"/>
      <c r="C154" s="1159"/>
      <c r="D154" s="1159">
        <f t="shared" ref="D154:F154" si="374">D158/D133*1000</f>
        <v>416.16394492475177</v>
      </c>
      <c r="E154" s="1159">
        <f t="shared" si="374"/>
        <v>538.30008811984294</v>
      </c>
      <c r="F154" s="1159">
        <f t="shared" si="374"/>
        <v>638.17642258327771</v>
      </c>
      <c r="G154" s="1160"/>
      <c r="H154" s="1160"/>
      <c r="I154" s="1160"/>
      <c r="J154" s="1160"/>
      <c r="K154" s="1159">
        <f>K158/K133*1000</f>
        <v>703.06338494111401</v>
      </c>
      <c r="L154" s="1160"/>
      <c r="M154" s="1160"/>
      <c r="N154" s="1160"/>
      <c r="O154" s="1160"/>
      <c r="P154" s="1159">
        <f>P158/P133*1000</f>
        <v>772.65853482497289</v>
      </c>
      <c r="Q154" s="1160"/>
      <c r="R154" s="1160"/>
      <c r="S154" s="1160"/>
      <c r="T154" s="1160"/>
      <c r="U154" s="1159">
        <f>U158/U133*1000</f>
        <v>782.62125165302541</v>
      </c>
      <c r="V154" s="1160"/>
      <c r="W154" s="1160"/>
      <c r="X154" s="1160"/>
      <c r="Y154" s="1160"/>
      <c r="Z154" s="1159">
        <f>Z158/Z133*1000</f>
        <v>801.60722757368865</v>
      </c>
      <c r="AA154" s="1160"/>
      <c r="AB154" s="1160"/>
      <c r="AC154" s="1160"/>
      <c r="AD154" s="1160"/>
      <c r="AE154" s="1159">
        <f t="shared" ref="AE154:BV154" si="375">AE158/AE133*1000</f>
        <v>829.8313288900473</v>
      </c>
      <c r="AF154" s="1160">
        <f t="shared" si="375"/>
        <v>195.76666905392824</v>
      </c>
      <c r="AG154" s="1160">
        <f t="shared" si="375"/>
        <v>212.72855679932201</v>
      </c>
      <c r="AH154" s="1160">
        <f t="shared" si="375"/>
        <v>233.35443691291329</v>
      </c>
      <c r="AI154" s="1160">
        <f t="shared" si="375"/>
        <v>257.5142585551331</v>
      </c>
      <c r="AJ154" s="1159">
        <f t="shared" si="375"/>
        <v>900.82456283341264</v>
      </c>
      <c r="AK154" s="1160">
        <f t="shared" si="375"/>
        <v>209.99694656488549</v>
      </c>
      <c r="AL154" s="1160">
        <f t="shared" si="375"/>
        <v>242.62866836301953</v>
      </c>
      <c r="AM154" s="1160">
        <f t="shared" si="375"/>
        <v>263.69046814834832</v>
      </c>
      <c r="AN154" s="1160">
        <f t="shared" si="375"/>
        <v>269.24124769676229</v>
      </c>
      <c r="AO154" s="1159">
        <f t="shared" si="375"/>
        <v>986.33823183239735</v>
      </c>
      <c r="AP154" s="1160">
        <f t="shared" si="375"/>
        <v>202.41930308669706</v>
      </c>
      <c r="AQ154" s="1160">
        <f t="shared" si="375"/>
        <v>240.24747474747477</v>
      </c>
      <c r="AR154" s="1160">
        <f t="shared" si="375"/>
        <v>297.27671027101462</v>
      </c>
      <c r="AS154" s="1160">
        <f t="shared" si="375"/>
        <v>321.24713347783734</v>
      </c>
      <c r="AT154" s="1159">
        <f t="shared" si="375"/>
        <v>1062.7586805966846</v>
      </c>
      <c r="AU154" s="1160">
        <f t="shared" si="375"/>
        <v>301.12737366727652</v>
      </c>
      <c r="AV154" s="1160">
        <f t="shared" si="375"/>
        <v>362.68051558002759</v>
      </c>
      <c r="AW154" s="1160">
        <f t="shared" si="375"/>
        <v>362.70053810536854</v>
      </c>
      <c r="AX154" s="1160">
        <f t="shared" si="375"/>
        <v>375.78292430003432</v>
      </c>
      <c r="AY154" s="1159">
        <f t="shared" si="375"/>
        <v>1402.5863651699055</v>
      </c>
      <c r="AZ154" s="1160">
        <f t="shared" si="375"/>
        <v>335.77072376659152</v>
      </c>
      <c r="BA154" s="1160">
        <f t="shared" si="375"/>
        <v>380.61482594540445</v>
      </c>
      <c r="BB154" s="1160">
        <f t="shared" si="375"/>
        <v>373.98802843247284</v>
      </c>
      <c r="BC154" s="1160">
        <f t="shared" si="375"/>
        <v>331.66790859413805</v>
      </c>
      <c r="BD154" s="1159">
        <f t="shared" si="375"/>
        <v>1421.9211684299221</v>
      </c>
      <c r="BE154" s="1160">
        <f t="shared" si="375"/>
        <v>279.77303648732214</v>
      </c>
      <c r="BF154" s="1160">
        <f t="shared" si="375"/>
        <v>298.16826804631683</v>
      </c>
      <c r="BG154" s="1160">
        <f t="shared" si="375"/>
        <v>287.23823601872385</v>
      </c>
      <c r="BH154" s="1160">
        <f t="shared" si="375"/>
        <v>280.64580228514654</v>
      </c>
      <c r="BI154" s="1159">
        <f t="shared" si="375"/>
        <v>1145.8999783770428</v>
      </c>
      <c r="BJ154" s="1161">
        <f t="shared" si="375"/>
        <v>268.39794168096051</v>
      </c>
      <c r="BK154" s="1160">
        <f t="shared" si="375"/>
        <v>292.69367125838062</v>
      </c>
      <c r="BL154" s="1160">
        <f t="shared" si="375"/>
        <v>282.60138210088513</v>
      </c>
      <c r="BM154" s="1160">
        <f t="shared" si="375"/>
        <v>294.71030511635377</v>
      </c>
      <c r="BN154" s="1159">
        <f t="shared" si="375"/>
        <v>1138.4440635768949</v>
      </c>
      <c r="BO154" s="1160">
        <f t="shared" si="375"/>
        <v>280.79134058735093</v>
      </c>
      <c r="BP154" s="1160">
        <f t="shared" si="375"/>
        <v>306.20687412620634</v>
      </c>
      <c r="BQ154" s="1160">
        <f t="shared" si="375"/>
        <v>295.64647178720219</v>
      </c>
      <c r="BR154" s="1160">
        <f t="shared" si="375"/>
        <v>286.2898156547347</v>
      </c>
      <c r="BS154" s="1159">
        <f t="shared" si="375"/>
        <v>1168.9348712581159</v>
      </c>
      <c r="BT154" s="1159">
        <f t="shared" si="375"/>
        <v>1277.8805365502842</v>
      </c>
      <c r="BU154" s="1159">
        <f t="shared" si="375"/>
        <v>1397.5072501631842</v>
      </c>
      <c r="BV154" s="1159">
        <f t="shared" si="375"/>
        <v>1528.9457985956574</v>
      </c>
      <c r="BW154" s="572"/>
    </row>
    <row r="155" spans="1:75" s="224" customFormat="1" hidden="1" outlineLevel="1" x14ac:dyDescent="0.5">
      <c r="A155" s="588"/>
      <c r="B155" s="494"/>
      <c r="C155" s="425"/>
      <c r="D155" s="425"/>
      <c r="E155" s="425"/>
      <c r="F155" s="425"/>
      <c r="G155" s="487"/>
      <c r="H155" s="487"/>
      <c r="I155" s="487"/>
      <c r="J155" s="487"/>
      <c r="K155" s="425"/>
      <c r="L155" s="487"/>
      <c r="M155" s="487"/>
      <c r="N155" s="487"/>
      <c r="O155" s="487"/>
      <c r="P155" s="425"/>
      <c r="Q155" s="487"/>
      <c r="R155" s="487"/>
      <c r="S155" s="487"/>
      <c r="T155" s="487"/>
      <c r="U155" s="425"/>
      <c r="V155" s="487"/>
      <c r="W155" s="487"/>
      <c r="X155" s="487"/>
      <c r="Y155" s="487"/>
      <c r="Z155" s="425"/>
      <c r="AA155" s="487"/>
      <c r="AB155" s="487"/>
      <c r="AC155" s="487"/>
      <c r="AD155" s="487"/>
      <c r="AE155" s="425"/>
      <c r="AF155" s="487"/>
      <c r="AG155" s="487"/>
      <c r="AH155" s="487"/>
      <c r="AI155" s="487"/>
      <c r="AJ155" s="425"/>
      <c r="AK155" s="487"/>
      <c r="AL155" s="487"/>
      <c r="AM155" s="487"/>
      <c r="AN155" s="487"/>
      <c r="AO155" s="425"/>
      <c r="AP155" s="487"/>
      <c r="AQ155" s="487"/>
      <c r="AR155" s="487"/>
      <c r="AS155" s="487"/>
      <c r="AT155" s="425"/>
      <c r="AU155" s="487"/>
      <c r="AV155" s="487"/>
      <c r="AW155" s="487"/>
      <c r="AX155" s="487"/>
      <c r="AY155" s="425"/>
      <c r="AZ155" s="487"/>
      <c r="BA155" s="487"/>
      <c r="BB155" s="487"/>
      <c r="BC155" s="487"/>
      <c r="BD155" s="425"/>
      <c r="BE155" s="487"/>
      <c r="BF155" s="487"/>
      <c r="BG155" s="487"/>
      <c r="BH155" s="487"/>
      <c r="BI155" s="425"/>
      <c r="BJ155" s="981"/>
      <c r="BK155" s="487"/>
      <c r="BL155" s="487"/>
      <c r="BM155" s="487"/>
      <c r="BN155" s="425"/>
      <c r="BO155" s="487"/>
      <c r="BP155" s="487"/>
      <c r="BQ155" s="487"/>
      <c r="BR155" s="487"/>
      <c r="BS155" s="425"/>
      <c r="BT155" s="425"/>
      <c r="BU155" s="425"/>
      <c r="BV155" s="425"/>
      <c r="BW155" s="223"/>
    </row>
    <row r="156" spans="1:75" s="123" customFormat="1" hidden="1" outlineLevel="1" x14ac:dyDescent="0.5">
      <c r="A156" s="184" t="s">
        <v>1745</v>
      </c>
      <c r="B156" s="489"/>
      <c r="C156" s="401"/>
      <c r="D156" s="401"/>
      <c r="E156" s="401"/>
      <c r="F156" s="401"/>
      <c r="G156" s="118"/>
      <c r="H156" s="118"/>
      <c r="I156" s="118"/>
      <c r="J156" s="118"/>
      <c r="K156" s="401"/>
      <c r="L156" s="118"/>
      <c r="M156" s="118"/>
      <c r="N156" s="118"/>
      <c r="O156" s="118"/>
      <c r="P156" s="401"/>
      <c r="Q156" s="118"/>
      <c r="R156" s="118"/>
      <c r="S156" s="118"/>
      <c r="T156" s="118"/>
      <c r="U156" s="401"/>
      <c r="V156" s="118"/>
      <c r="W156" s="118"/>
      <c r="X156" s="118"/>
      <c r="Y156" s="118"/>
      <c r="Z156" s="401"/>
      <c r="AA156" s="118"/>
      <c r="AB156" s="118"/>
      <c r="AC156" s="118"/>
      <c r="AD156" s="118"/>
      <c r="AE156" s="401"/>
      <c r="AF156" s="118"/>
      <c r="AG156" s="118"/>
      <c r="AH156" s="118"/>
      <c r="AI156" s="118"/>
      <c r="AJ156" s="401"/>
      <c r="AK156" s="118">
        <f>AK151*AK136/1000</f>
        <v>298.92442655745981</v>
      </c>
      <c r="AL156" s="118">
        <f>AL151*AL136/1000</f>
        <v>349.63824171097042</v>
      </c>
      <c r="AM156" s="118">
        <f>AM151*AM136/1000</f>
        <v>384.50786943041658</v>
      </c>
      <c r="AN156" s="118">
        <f>AN151*AN136/1000</f>
        <v>395.66003389186278</v>
      </c>
      <c r="AO156" s="401">
        <f t="shared" ref="AO156" si="376">SUM(AK156,AL156,AM156,AN156)</f>
        <v>1428.7305715907096</v>
      </c>
      <c r="AP156" s="118">
        <f>AP151*AP136/1000</f>
        <v>314.58209617850514</v>
      </c>
      <c r="AQ156" s="118">
        <f>AQ151*AQ136/1000</f>
        <v>376.87652171394404</v>
      </c>
      <c r="AR156" s="118">
        <f>AR151*AR136/1000</f>
        <v>468.08854461880208</v>
      </c>
      <c r="AS156" s="118">
        <f>AS151*AS136/1000</f>
        <v>498.47047143191111</v>
      </c>
      <c r="AT156" s="401">
        <f t="shared" ref="AT156" si="377">SUM(AP156,AQ156,AR156,AS156)</f>
        <v>1658.0176339431625</v>
      </c>
      <c r="AU156" s="118">
        <f>AU151*AU136/1000</f>
        <v>466.84774980975436</v>
      </c>
      <c r="AV156" s="118">
        <f>AV151*AV136/1000</f>
        <v>568.33419826251543</v>
      </c>
      <c r="AW156" s="118">
        <f>AW151*AW136/1000</f>
        <v>572.63569007987121</v>
      </c>
      <c r="AX156" s="118">
        <f>AX151*AX136/1000</f>
        <v>590.89994882539963</v>
      </c>
      <c r="AY156" s="401">
        <f t="shared" ref="AY156" si="378">SUM(AU156,AV156,AW156,AX156)</f>
        <v>2198.7175869775406</v>
      </c>
      <c r="AZ156" s="118">
        <f>AZ151*AZ136/1000</f>
        <v>529.16520901753745</v>
      </c>
      <c r="BA156" s="118">
        <f>BA151*BA136/1000</f>
        <v>603.47428852201676</v>
      </c>
      <c r="BB156" s="118">
        <f>BB151*BB136/1000</f>
        <v>592.01811556378937</v>
      </c>
      <c r="BC156" s="118">
        <f>BC151*BC136/1000</f>
        <v>529.2236436536798</v>
      </c>
      <c r="BD156" s="401">
        <f>SUM(AZ156,BA156,BB156,BC156)</f>
        <v>2253.881256757023</v>
      </c>
      <c r="BE156" s="118">
        <f>BE151*BE136/1000</f>
        <v>445.85860412742574</v>
      </c>
      <c r="BF156" s="118">
        <f>BF151*BF136/1000</f>
        <v>475.38604190758616</v>
      </c>
      <c r="BG156" s="118">
        <f>BG151*BG136/1000</f>
        <v>459.63009841243633</v>
      </c>
      <c r="BH156" s="118">
        <f>BH151*BH136/1000</f>
        <v>448.5752218776434</v>
      </c>
      <c r="BI156" s="401">
        <f>SUM(BE156,BF156,BG156,BH156)</f>
        <v>1829.4499663250915</v>
      </c>
      <c r="BJ156" s="971">
        <f>BJ151*BJ136/1000</f>
        <v>426.65216256150933</v>
      </c>
      <c r="BK156" s="118">
        <f>BK151*BK136/1000</f>
        <v>466.45880544977683</v>
      </c>
      <c r="BL156" s="118">
        <f>BL151*BL136/1000</f>
        <v>449.84074265749086</v>
      </c>
      <c r="BM156" s="118">
        <f>BM151*BM136/1000</f>
        <v>467.43815805020154</v>
      </c>
      <c r="BN156" s="401">
        <f>SUM(BJ156,BK156,BL156,BM156)</f>
        <v>1810.3898687189785</v>
      </c>
      <c r="BO156" s="118">
        <f>BO151*BO136/1000</f>
        <v>445.8305475235876</v>
      </c>
      <c r="BP156" s="118">
        <f>BP151*BP136/1000</f>
        <v>486.18706466126577</v>
      </c>
      <c r="BQ156" s="118">
        <f>BQ151*BQ136/1000</f>
        <v>469.40676863978518</v>
      </c>
      <c r="BR156" s="118">
        <f>BR151*BR136/1000</f>
        <v>454.53866179572537</v>
      </c>
      <c r="BS156" s="401">
        <f>SUM(BO156,BP156,BQ156,BR156)</f>
        <v>1855.9630426203639</v>
      </c>
      <c r="BT156" s="401">
        <f>BT151*BT136/1000</f>
        <v>1994.8736824300129</v>
      </c>
      <c r="BU156" s="401">
        <f>BU151*BU136/1000</f>
        <v>2107.2469992368901</v>
      </c>
      <c r="BV156" s="401">
        <f>BV151*BV136/1000</f>
        <v>2224.0675154398109</v>
      </c>
      <c r="BW156" s="122"/>
    </row>
    <row r="157" spans="1:75" s="123" customFormat="1" hidden="1" outlineLevel="1" x14ac:dyDescent="0.5">
      <c r="A157" s="184" t="s">
        <v>1746</v>
      </c>
      <c r="B157" s="489"/>
      <c r="C157" s="401"/>
      <c r="D157" s="401"/>
      <c r="E157" s="401"/>
      <c r="F157" s="401"/>
      <c r="G157" s="118"/>
      <c r="H157" s="118"/>
      <c r="I157" s="118"/>
      <c r="J157" s="118"/>
      <c r="K157" s="401"/>
      <c r="L157" s="118"/>
      <c r="M157" s="118"/>
      <c r="N157" s="118"/>
      <c r="O157" s="118"/>
      <c r="P157" s="401"/>
      <c r="Q157" s="118"/>
      <c r="R157" s="118"/>
      <c r="S157" s="118"/>
      <c r="T157" s="118"/>
      <c r="U157" s="401"/>
      <c r="V157" s="118"/>
      <c r="W157" s="118"/>
      <c r="X157" s="118"/>
      <c r="Y157" s="118"/>
      <c r="Z157" s="401"/>
      <c r="AA157" s="118"/>
      <c r="AB157" s="118"/>
      <c r="AC157" s="118"/>
      <c r="AD157" s="118"/>
      <c r="AE157" s="401"/>
      <c r="AF157" s="118"/>
      <c r="AG157" s="118"/>
      <c r="AH157" s="118"/>
      <c r="AI157" s="118"/>
      <c r="AJ157" s="401"/>
      <c r="AK157" s="118">
        <f t="shared" ref="AK157:BG157" si="379">AK158-AK156</f>
        <v>10.558573442540194</v>
      </c>
      <c r="AL157" s="118">
        <f t="shared" si="379"/>
        <v>7.935758289029593</v>
      </c>
      <c r="AM157" s="118">
        <f t="shared" si="379"/>
        <v>5.8331305695834317</v>
      </c>
      <c r="AN157" s="118">
        <f t="shared" si="379"/>
        <v>13.478966108137115</v>
      </c>
      <c r="AO157" s="401">
        <f t="shared" si="379"/>
        <v>37.806428409290447</v>
      </c>
      <c r="AP157" s="118">
        <f t="shared" si="379"/>
        <v>0.84790382149486732</v>
      </c>
      <c r="AQ157" s="118">
        <f t="shared" si="379"/>
        <v>3.6754782860559772</v>
      </c>
      <c r="AR157" s="118">
        <f t="shared" si="379"/>
        <v>6.8704553811979281</v>
      </c>
      <c r="AS157" s="118">
        <f t="shared" si="379"/>
        <v>12.842528568088767</v>
      </c>
      <c r="AT157" s="401">
        <f t="shared" si="379"/>
        <v>24.236366056837369</v>
      </c>
      <c r="AU157" s="118">
        <f t="shared" si="379"/>
        <v>10.469250190245646</v>
      </c>
      <c r="AV157" s="118">
        <f t="shared" si="379"/>
        <v>11.301801737484539</v>
      </c>
      <c r="AW157" s="118">
        <f t="shared" si="379"/>
        <v>7.032309920128796</v>
      </c>
      <c r="AX157" s="118">
        <f t="shared" si="379"/>
        <v>7.0270511746000466</v>
      </c>
      <c r="AY157" s="401">
        <f t="shared" si="379"/>
        <v>35.830413022459197</v>
      </c>
      <c r="AZ157" s="118">
        <f t="shared" si="379"/>
        <v>7.1277909824625567</v>
      </c>
      <c r="BA157" s="118">
        <f t="shared" si="379"/>
        <v>4.4437114779832427</v>
      </c>
      <c r="BB157" s="118">
        <f t="shared" si="379"/>
        <v>7.7838844362106556</v>
      </c>
      <c r="BC157" s="118">
        <f t="shared" si="379"/>
        <v>4.8943563463201372</v>
      </c>
      <c r="BD157" s="401">
        <f t="shared" si="379"/>
        <v>24.24974324297682</v>
      </c>
      <c r="BE157" s="118">
        <f t="shared" si="379"/>
        <v>6.5343958725742368</v>
      </c>
      <c r="BF157" s="118">
        <f t="shared" si="379"/>
        <v>8.7199580924138331</v>
      </c>
      <c r="BG157" s="118">
        <f t="shared" si="379"/>
        <v>6.7299015875636883</v>
      </c>
      <c r="BH157" s="118">
        <f>BH158-BH156</f>
        <v>3.3767781223565976</v>
      </c>
      <c r="BI157" s="401">
        <f>BI158-BI156</f>
        <v>25.361033674908413</v>
      </c>
      <c r="BJ157" s="971">
        <f t="shared" ref="BJ157" si="380">BJ158-BJ156</f>
        <v>3.6568374384906974</v>
      </c>
      <c r="BK157" s="118">
        <f>BK153*BK139/1000</f>
        <v>4.5731229121983121</v>
      </c>
      <c r="BL157" s="118">
        <f>BL153*BL139/1000</f>
        <v>4.9496677481089772</v>
      </c>
      <c r="BM157" s="118">
        <f>BM153*BM139/1000</f>
        <v>6.8391424294490974</v>
      </c>
      <c r="BN157" s="401">
        <f>SUM(BJ157,BK157,BL157,BM157)</f>
        <v>20.018770528247082</v>
      </c>
      <c r="BO157" s="118">
        <f>BO153*BO139/1000</f>
        <v>6.0614825603525864</v>
      </c>
      <c r="BP157" s="118">
        <f>BP153*BP139/1000</f>
        <v>6.6231967373385841</v>
      </c>
      <c r="BQ157" s="118">
        <f>BQ153*BQ139/1000</f>
        <v>6.4072893574389544</v>
      </c>
      <c r="BR157" s="118">
        <f>BR153*BR139/1000</f>
        <v>6.2165241784424694</v>
      </c>
      <c r="BS157" s="401">
        <f>SUM(BO157,BP157,BQ157,BR157)</f>
        <v>25.308492833572593</v>
      </c>
      <c r="BT157" s="401">
        <f>BT153*BT139/1000</f>
        <v>27.754767645076079</v>
      </c>
      <c r="BU157" s="401">
        <f>BU153*BU139/1000</f>
        <v>30.374731520531768</v>
      </c>
      <c r="BV157" s="401">
        <f>BV153*BV139/1000</f>
        <v>33.25708434302522</v>
      </c>
      <c r="BW157" s="122"/>
    </row>
    <row r="158" spans="1:75" s="198" customFormat="1" ht="14.25" hidden="1" outlineLevel="1" x14ac:dyDescent="0.45">
      <c r="A158" s="192" t="s">
        <v>1647</v>
      </c>
      <c r="B158" s="495"/>
      <c r="C158" s="518">
        <f>C285</f>
        <v>211.57599999999999</v>
      </c>
      <c r="D158" s="518">
        <f>D285</f>
        <v>259.93599999999998</v>
      </c>
      <c r="E158" s="518">
        <f>E285</f>
        <v>335.98</v>
      </c>
      <c r="F158" s="518">
        <f>F285</f>
        <v>430.09899999999999</v>
      </c>
      <c r="G158" s="327"/>
      <c r="H158" s="327"/>
      <c r="I158" s="327"/>
      <c r="J158" s="327"/>
      <c r="K158" s="518">
        <f>K285</f>
        <v>531.30499999999995</v>
      </c>
      <c r="L158" s="327"/>
      <c r="M158" s="327"/>
      <c r="N158" s="327"/>
      <c r="O158" s="327"/>
      <c r="P158" s="518">
        <f>P285</f>
        <v>669.07399999999996</v>
      </c>
      <c r="Q158" s="327"/>
      <c r="R158" s="327"/>
      <c r="S158" s="327"/>
      <c r="T158" s="327"/>
      <c r="U158" s="518">
        <f>U285</f>
        <v>821.13599999999997</v>
      </c>
      <c r="V158" s="327"/>
      <c r="W158" s="327"/>
      <c r="X158" s="327"/>
      <c r="Y158" s="327"/>
      <c r="Z158" s="518">
        <f>Z285</f>
        <v>971.56799999999998</v>
      </c>
      <c r="AA158" s="327"/>
      <c r="AB158" s="327"/>
      <c r="AC158" s="327"/>
      <c r="AD158" s="327"/>
      <c r="AE158" s="518">
        <f t="shared" ref="AE158:BJ158" si="381">AE285</f>
        <v>1114.3389999999999</v>
      </c>
      <c r="AF158" s="327">
        <f t="shared" si="381"/>
        <v>273.34899999999999</v>
      </c>
      <c r="AG158" s="327">
        <f t="shared" si="381"/>
        <v>301.21300000000002</v>
      </c>
      <c r="AH158" s="327">
        <f t="shared" si="381"/>
        <v>339.09899999999999</v>
      </c>
      <c r="AI158" s="327">
        <f t="shared" si="381"/>
        <v>379.26700000000005</v>
      </c>
      <c r="AJ158" s="518">
        <f t="shared" si="381"/>
        <v>1292.9280000000001</v>
      </c>
      <c r="AK158" s="327">
        <f t="shared" si="381"/>
        <v>309.483</v>
      </c>
      <c r="AL158" s="327">
        <f t="shared" si="381"/>
        <v>357.57400000000001</v>
      </c>
      <c r="AM158" s="327">
        <f t="shared" si="381"/>
        <v>390.34100000000001</v>
      </c>
      <c r="AN158" s="327">
        <f t="shared" si="381"/>
        <v>409.1389999999999</v>
      </c>
      <c r="AO158" s="518">
        <f t="shared" si="381"/>
        <v>1466.537</v>
      </c>
      <c r="AP158" s="327">
        <f t="shared" si="381"/>
        <v>315.43</v>
      </c>
      <c r="AQ158" s="327">
        <f t="shared" si="381"/>
        <v>380.55200000000002</v>
      </c>
      <c r="AR158" s="327">
        <f t="shared" si="381"/>
        <v>474.959</v>
      </c>
      <c r="AS158" s="327">
        <f t="shared" si="381"/>
        <v>511.31299999999987</v>
      </c>
      <c r="AT158" s="518">
        <f t="shared" si="381"/>
        <v>1682.2539999999999</v>
      </c>
      <c r="AU158" s="327">
        <f t="shared" si="381"/>
        <v>477.31700000000001</v>
      </c>
      <c r="AV158" s="327">
        <f t="shared" si="381"/>
        <v>579.63599999999997</v>
      </c>
      <c r="AW158" s="327">
        <f t="shared" si="381"/>
        <v>579.66800000000001</v>
      </c>
      <c r="AX158" s="327">
        <f t="shared" si="381"/>
        <v>597.92699999999968</v>
      </c>
      <c r="AY158" s="518">
        <f t="shared" si="381"/>
        <v>2234.5479999999998</v>
      </c>
      <c r="AZ158" s="327">
        <f t="shared" si="381"/>
        <v>536.29300000000001</v>
      </c>
      <c r="BA158" s="327">
        <f t="shared" si="381"/>
        <v>607.91800000000001</v>
      </c>
      <c r="BB158" s="327">
        <f t="shared" si="381"/>
        <v>599.80200000000002</v>
      </c>
      <c r="BC158" s="327">
        <f t="shared" si="381"/>
        <v>534.11799999999994</v>
      </c>
      <c r="BD158" s="518">
        <f t="shared" si="381"/>
        <v>2278.1309999999999</v>
      </c>
      <c r="BE158" s="327">
        <f t="shared" si="381"/>
        <v>452.39299999999997</v>
      </c>
      <c r="BF158" s="327">
        <f t="shared" si="381"/>
        <v>484.10599999999999</v>
      </c>
      <c r="BG158" s="327">
        <f t="shared" si="381"/>
        <v>466.36</v>
      </c>
      <c r="BH158" s="327">
        <f t="shared" si="381"/>
        <v>451.952</v>
      </c>
      <c r="BI158" s="518">
        <f t="shared" si="381"/>
        <v>1854.8109999999999</v>
      </c>
      <c r="BJ158" s="1026">
        <f t="shared" si="381"/>
        <v>430.30900000000003</v>
      </c>
      <c r="BK158" s="327">
        <f t="shared" ref="BK158:BV158" si="382">SUM(BK156:BK157)</f>
        <v>471.03192836197513</v>
      </c>
      <c r="BL158" s="327">
        <f t="shared" si="382"/>
        <v>454.79041040559986</v>
      </c>
      <c r="BM158" s="327">
        <f t="shared" si="382"/>
        <v>474.27730047965065</v>
      </c>
      <c r="BN158" s="518">
        <f t="shared" si="382"/>
        <v>1830.4086392472257</v>
      </c>
      <c r="BO158" s="327">
        <f t="shared" si="382"/>
        <v>451.8920300839402</v>
      </c>
      <c r="BP158" s="327">
        <f t="shared" si="382"/>
        <v>492.81026139860433</v>
      </c>
      <c r="BQ158" s="327">
        <f t="shared" si="382"/>
        <v>475.81405799722415</v>
      </c>
      <c r="BR158" s="327">
        <f t="shared" si="382"/>
        <v>460.75518597416783</v>
      </c>
      <c r="BS158" s="518">
        <f t="shared" si="382"/>
        <v>1881.2715354539366</v>
      </c>
      <c r="BT158" s="518">
        <f t="shared" si="382"/>
        <v>2022.6284500750889</v>
      </c>
      <c r="BU158" s="518">
        <f t="shared" si="382"/>
        <v>2137.621730757422</v>
      </c>
      <c r="BV158" s="518">
        <f t="shared" si="382"/>
        <v>2257.3245997828362</v>
      </c>
      <c r="BW158" s="197"/>
    </row>
    <row r="159" spans="1:75" s="177" customFormat="1" ht="14.25" hidden="1" outlineLevel="1" x14ac:dyDescent="0.45">
      <c r="A159" s="170" t="s">
        <v>1649</v>
      </c>
      <c r="B159" s="491"/>
      <c r="C159" s="417"/>
      <c r="D159" s="417">
        <f t="shared" ref="D159:E159" si="383">D158/C158-1</f>
        <v>0.22857034824365696</v>
      </c>
      <c r="E159" s="417">
        <f t="shared" si="383"/>
        <v>0.29254893512249192</v>
      </c>
      <c r="F159" s="417">
        <f>F158/E158-1</f>
        <v>0.2801327459967855</v>
      </c>
      <c r="G159" s="378"/>
      <c r="H159" s="378"/>
      <c r="I159" s="378"/>
      <c r="J159" s="378"/>
      <c r="K159" s="417">
        <f>K158/F158-1</f>
        <v>0.23530861499329214</v>
      </c>
      <c r="L159" s="378"/>
      <c r="M159" s="378"/>
      <c r="N159" s="378"/>
      <c r="O159" s="378"/>
      <c r="P159" s="417">
        <f>P158/K158-1</f>
        <v>0.25930303686206613</v>
      </c>
      <c r="Q159" s="378"/>
      <c r="R159" s="378"/>
      <c r="S159" s="378"/>
      <c r="T159" s="378"/>
      <c r="U159" s="417">
        <f>U158/P158-1</f>
        <v>0.22727231965373051</v>
      </c>
      <c r="V159" s="378"/>
      <c r="W159" s="378"/>
      <c r="X159" s="378"/>
      <c r="Y159" s="378"/>
      <c r="Z159" s="417">
        <f>Z158/U158-1</f>
        <v>0.18319985970655295</v>
      </c>
      <c r="AA159" s="378"/>
      <c r="AB159" s="378"/>
      <c r="AC159" s="378"/>
      <c r="AD159" s="378"/>
      <c r="AE159" s="417">
        <f>AE158/Z158-1</f>
        <v>0.14694905554732141</v>
      </c>
      <c r="AF159" s="378"/>
      <c r="AG159" s="378"/>
      <c r="AH159" s="378"/>
      <c r="AI159" s="378"/>
      <c r="AJ159" s="417">
        <f t="shared" ref="AJ159:BS159" si="384">AJ158/AE158-1</f>
        <v>0.16026451555585886</v>
      </c>
      <c r="AK159" s="378">
        <f t="shared" si="384"/>
        <v>0.13218998423261108</v>
      </c>
      <c r="AL159" s="378">
        <f t="shared" si="384"/>
        <v>0.1871134379990238</v>
      </c>
      <c r="AM159" s="378">
        <f t="shared" si="384"/>
        <v>0.15111221206786229</v>
      </c>
      <c r="AN159" s="378">
        <f t="shared" si="384"/>
        <v>7.8762454945987548E-2</v>
      </c>
      <c r="AO159" s="417">
        <f t="shared" si="384"/>
        <v>0.13427584521334524</v>
      </c>
      <c r="AP159" s="378">
        <f t="shared" si="384"/>
        <v>1.9215918160286671E-2</v>
      </c>
      <c r="AQ159" s="378">
        <f t="shared" si="384"/>
        <v>6.4260824332865285E-2</v>
      </c>
      <c r="AR159" s="378">
        <f t="shared" si="384"/>
        <v>0.21677968750400289</v>
      </c>
      <c r="AS159" s="378">
        <f t="shared" si="384"/>
        <v>0.24972930959893835</v>
      </c>
      <c r="AT159" s="417">
        <f t="shared" si="384"/>
        <v>0.14709277706597224</v>
      </c>
      <c r="AU159" s="378">
        <f t="shared" si="384"/>
        <v>0.5132263893732365</v>
      </c>
      <c r="AV159" s="378">
        <f t="shared" si="384"/>
        <v>0.52314532573734973</v>
      </c>
      <c r="AW159" s="378">
        <f t="shared" si="384"/>
        <v>0.22045902909514292</v>
      </c>
      <c r="AX159" s="378">
        <f t="shared" si="384"/>
        <v>0.16939526278424344</v>
      </c>
      <c r="AY159" s="417">
        <f t="shared" si="384"/>
        <v>0.32830595141994001</v>
      </c>
      <c r="AZ159" s="378">
        <f t="shared" si="384"/>
        <v>0.12355730049422076</v>
      </c>
      <c r="BA159" s="378">
        <f t="shared" si="384"/>
        <v>4.879269058512592E-2</v>
      </c>
      <c r="BB159" s="378">
        <f t="shared" si="384"/>
        <v>3.4733675138182596E-2</v>
      </c>
      <c r="BC159" s="378">
        <f t="shared" si="384"/>
        <v>-0.10671704070898247</v>
      </c>
      <c r="BD159" s="417">
        <f t="shared" si="384"/>
        <v>1.9504168180768611E-2</v>
      </c>
      <c r="BE159" s="378">
        <f t="shared" si="384"/>
        <v>-0.15644433173656946</v>
      </c>
      <c r="BF159" s="378">
        <f t="shared" si="384"/>
        <v>-0.20366562595613225</v>
      </c>
      <c r="BG159" s="378">
        <f t="shared" si="384"/>
        <v>-0.22247675066105144</v>
      </c>
      <c r="BH159" s="378">
        <f t="shared" si="384"/>
        <v>-0.15383492037340052</v>
      </c>
      <c r="BI159" s="417">
        <f t="shared" si="384"/>
        <v>-0.18581898933818997</v>
      </c>
      <c r="BJ159" s="1130">
        <f t="shared" si="384"/>
        <v>-4.8815963111719096E-2</v>
      </c>
      <c r="BK159" s="378">
        <f t="shared" si="384"/>
        <v>-2.700663003149073E-2</v>
      </c>
      <c r="BL159" s="378">
        <f t="shared" si="384"/>
        <v>-2.4808280286474305E-2</v>
      </c>
      <c r="BM159" s="378">
        <f t="shared" si="384"/>
        <v>4.9397503450921088E-2</v>
      </c>
      <c r="BN159" s="417">
        <f t="shared" si="384"/>
        <v>-1.3156251905328542E-2</v>
      </c>
      <c r="BO159" s="378">
        <f t="shared" si="384"/>
        <v>5.0157050128954328E-2</v>
      </c>
      <c r="BP159" s="378">
        <f t="shared" si="384"/>
        <v>4.6235364792284628E-2</v>
      </c>
      <c r="BQ159" s="378">
        <f t="shared" si="384"/>
        <v>4.6227112776794366E-2</v>
      </c>
      <c r="BR159" s="378">
        <f t="shared" si="384"/>
        <v>-2.8510988174655472E-2</v>
      </c>
      <c r="BS159" s="417">
        <f t="shared" si="384"/>
        <v>2.7787727350122582E-2</v>
      </c>
      <c r="BT159" s="417">
        <f>BT158/BS158-1</f>
        <v>7.5139028022897181E-2</v>
      </c>
      <c r="BU159" s="417">
        <f>BU158/BT158-1</f>
        <v>5.6853388311661535E-2</v>
      </c>
      <c r="BV159" s="417">
        <f>BV158/BU158-1</f>
        <v>5.5998153135821571E-2</v>
      </c>
      <c r="BW159" s="176"/>
    </row>
    <row r="160" spans="1:75" s="198" customFormat="1" ht="14.25" hidden="1" outlineLevel="1" x14ac:dyDescent="0.45">
      <c r="A160" s="206"/>
      <c r="B160" s="485"/>
      <c r="C160" s="397"/>
      <c r="D160" s="397"/>
      <c r="E160" s="397"/>
      <c r="F160" s="397"/>
      <c r="G160" s="295"/>
      <c r="H160" s="295"/>
      <c r="I160" s="295"/>
      <c r="J160" s="295"/>
      <c r="K160" s="397"/>
      <c r="L160" s="295"/>
      <c r="M160" s="295"/>
      <c r="N160" s="295"/>
      <c r="O160" s="295"/>
      <c r="P160" s="397"/>
      <c r="Q160" s="295"/>
      <c r="R160" s="295"/>
      <c r="S160" s="295"/>
      <c r="T160" s="295"/>
      <c r="U160" s="397"/>
      <c r="V160" s="295"/>
      <c r="W160" s="295"/>
      <c r="X160" s="295"/>
      <c r="Y160" s="295"/>
      <c r="Z160" s="397"/>
      <c r="AA160" s="295"/>
      <c r="AB160" s="295"/>
      <c r="AC160" s="295"/>
      <c r="AD160" s="295"/>
      <c r="AE160" s="397"/>
      <c r="AF160" s="295"/>
      <c r="AG160" s="295"/>
      <c r="AH160" s="295"/>
      <c r="AI160" s="295"/>
      <c r="AJ160" s="397"/>
      <c r="AK160" s="295"/>
      <c r="AL160" s="295"/>
      <c r="AM160" s="295"/>
      <c r="AN160" s="295"/>
      <c r="AO160" s="397"/>
      <c r="AP160" s="295"/>
      <c r="AQ160" s="295"/>
      <c r="AR160" s="295"/>
      <c r="AS160" s="295"/>
      <c r="AT160" s="397"/>
      <c r="AU160" s="295"/>
      <c r="AV160" s="295"/>
      <c r="AW160" s="295"/>
      <c r="AX160" s="295"/>
      <c r="AY160" s="397"/>
      <c r="AZ160" s="295"/>
      <c r="BA160" s="295"/>
      <c r="BB160" s="295"/>
      <c r="BC160" s="295"/>
      <c r="BD160" s="397"/>
      <c r="BE160" s="295"/>
      <c r="BF160" s="295"/>
      <c r="BG160" s="295"/>
      <c r="BH160" s="295"/>
      <c r="BI160" s="397"/>
      <c r="BJ160" s="1030"/>
      <c r="BK160" s="295"/>
      <c r="BL160" s="295"/>
      <c r="BM160" s="295"/>
      <c r="BN160" s="397"/>
      <c r="BO160" s="295"/>
      <c r="BP160" s="295"/>
      <c r="BQ160" s="295"/>
      <c r="BR160" s="295"/>
      <c r="BS160" s="397"/>
      <c r="BT160" s="397"/>
      <c r="BU160" s="397"/>
      <c r="BV160" s="397"/>
      <c r="BW160" s="197"/>
    </row>
    <row r="161" spans="1:75" s="370" customFormat="1" hidden="1" outlineLevel="1" x14ac:dyDescent="0.5">
      <c r="A161" s="364" t="s">
        <v>1747</v>
      </c>
      <c r="B161" s="1152"/>
      <c r="C161" s="1153"/>
      <c r="D161" s="1153"/>
      <c r="E161" s="1153"/>
      <c r="F161" s="1153"/>
      <c r="G161" s="1154"/>
      <c r="H161" s="1154"/>
      <c r="I161" s="1154"/>
      <c r="J161" s="1154"/>
      <c r="K161" s="1153"/>
      <c r="L161" s="1154"/>
      <c r="M161" s="1154"/>
      <c r="N161" s="1154"/>
      <c r="O161" s="1154"/>
      <c r="P161" s="1153"/>
      <c r="Q161" s="1154"/>
      <c r="R161" s="1154"/>
      <c r="S161" s="1154"/>
      <c r="T161" s="1154"/>
      <c r="U161" s="1153"/>
      <c r="V161" s="1154"/>
      <c r="W161" s="1154"/>
      <c r="X161" s="1154"/>
      <c r="Y161" s="1154"/>
      <c r="Z161" s="1153"/>
      <c r="AA161" s="1154"/>
      <c r="AB161" s="1154"/>
      <c r="AC161" s="1154"/>
      <c r="AD161" s="1154"/>
      <c r="AE161" s="1153"/>
      <c r="AF161" s="1154"/>
      <c r="AG161" s="1154"/>
      <c r="AH161" s="1154"/>
      <c r="AI161" s="1154"/>
      <c r="AJ161" s="1153"/>
      <c r="AK161" s="1154">
        <f t="shared" ref="AK161:BV161" si="385">AK156/AK136*AK121</f>
        <v>2875.9889456972674</v>
      </c>
      <c r="AL161" s="1154">
        <f t="shared" si="385"/>
        <v>3298.4681574138963</v>
      </c>
      <c r="AM161" s="1154">
        <f t="shared" si="385"/>
        <v>3540.0112444103993</v>
      </c>
      <c r="AN161" s="1154">
        <f t="shared" si="385"/>
        <v>3580.6337908765868</v>
      </c>
      <c r="AO161" s="1153">
        <f t="shared" si="385"/>
        <v>13319.772734083606</v>
      </c>
      <c r="AP161" s="1154">
        <f t="shared" si="385"/>
        <v>2844.2564956460183</v>
      </c>
      <c r="AQ161" s="1154">
        <f t="shared" si="385"/>
        <v>3406.9991266666675</v>
      </c>
      <c r="AR161" s="1154">
        <f t="shared" si="385"/>
        <v>4218.4644568700514</v>
      </c>
      <c r="AS161" s="1154">
        <f t="shared" si="385"/>
        <v>4430.848634950321</v>
      </c>
      <c r="AT161" s="1153">
        <f t="shared" si="385"/>
        <v>14914.162622355412</v>
      </c>
      <c r="AU161" s="1154">
        <f t="shared" si="385"/>
        <v>4052.9186748635275</v>
      </c>
      <c r="AV161" s="1154">
        <f t="shared" si="385"/>
        <v>4831.7005533920074</v>
      </c>
      <c r="AW161" s="1154">
        <f t="shared" si="385"/>
        <v>4832.5229671890775</v>
      </c>
      <c r="AX161" s="1154">
        <f t="shared" si="385"/>
        <v>5043.6786053456435</v>
      </c>
      <c r="AY161" s="1153">
        <f t="shared" si="385"/>
        <v>18699.429613892535</v>
      </c>
      <c r="AZ161" s="1154">
        <f t="shared" si="385"/>
        <v>4522.779564252457</v>
      </c>
      <c r="BA161" s="1154">
        <f t="shared" si="385"/>
        <v>5142.8619453369574</v>
      </c>
      <c r="BB161" s="1154">
        <f t="shared" si="385"/>
        <v>5012.3230726946013</v>
      </c>
      <c r="BC161" s="1154">
        <f t="shared" si="385"/>
        <v>4484.9461326583032</v>
      </c>
      <c r="BD161" s="1153">
        <f t="shared" si="385"/>
        <v>19277.489339894604</v>
      </c>
      <c r="BE161" s="1154">
        <f t="shared" si="385"/>
        <v>3778.5367362250681</v>
      </c>
      <c r="BF161" s="1154">
        <f t="shared" si="385"/>
        <v>4028.6952704032728</v>
      </c>
      <c r="BG161" s="1154">
        <f t="shared" si="385"/>
        <v>3862.3560230205971</v>
      </c>
      <c r="BH161" s="1154">
        <f t="shared" si="385"/>
        <v>3753.7690592961699</v>
      </c>
      <c r="BI161" s="1153">
        <f t="shared" si="385"/>
        <v>15420.623183144986</v>
      </c>
      <c r="BJ161" s="1155">
        <f t="shared" si="385"/>
        <v>3599.1746805232065</v>
      </c>
      <c r="BK161" s="1154">
        <f t="shared" si="385"/>
        <v>3919.8219218682966</v>
      </c>
      <c r="BL161" s="1154">
        <f t="shared" si="385"/>
        <v>3791.2365151138665</v>
      </c>
      <c r="BM161" s="1154">
        <f t="shared" si="385"/>
        <v>3974.3214289106072</v>
      </c>
      <c r="BN161" s="1153">
        <f t="shared" si="385"/>
        <v>15285.755245968021</v>
      </c>
      <c r="BO161" s="1154">
        <f t="shared" si="385"/>
        <v>3810.644095616969</v>
      </c>
      <c r="BP161" s="1154">
        <f t="shared" si="385"/>
        <v>4155.443817110292</v>
      </c>
      <c r="BQ161" s="1154">
        <f t="shared" si="385"/>
        <v>4012.0225339826957</v>
      </c>
      <c r="BR161" s="1154">
        <f t="shared" si="385"/>
        <v>3884.9447427661698</v>
      </c>
      <c r="BS161" s="1153">
        <f t="shared" si="385"/>
        <v>15861.497219330673</v>
      </c>
      <c r="BT161" s="1153">
        <f t="shared" si="385"/>
        <v>17346.729778172554</v>
      </c>
      <c r="BU161" s="1153">
        <f t="shared" si="385"/>
        <v>18984.207200332352</v>
      </c>
      <c r="BV161" s="1153">
        <f t="shared" si="385"/>
        <v>20785.677714390764</v>
      </c>
      <c r="BW161" s="369"/>
    </row>
    <row r="162" spans="1:75" s="370" customFormat="1" hidden="1" outlineLevel="1" x14ac:dyDescent="0.5">
      <c r="A162" s="364" t="s">
        <v>1748</v>
      </c>
      <c r="B162" s="1152"/>
      <c r="C162" s="1153"/>
      <c r="D162" s="1153"/>
      <c r="E162" s="1153"/>
      <c r="F162" s="1153"/>
      <c r="G162" s="1154"/>
      <c r="H162" s="1154"/>
      <c r="I162" s="1154"/>
      <c r="J162" s="1154"/>
      <c r="K162" s="1153"/>
      <c r="L162" s="1154"/>
      <c r="M162" s="1154"/>
      <c r="N162" s="1154"/>
      <c r="O162" s="1154"/>
      <c r="P162" s="1153"/>
      <c r="Q162" s="1154"/>
      <c r="R162" s="1154"/>
      <c r="S162" s="1154"/>
      <c r="T162" s="1154"/>
      <c r="U162" s="1153"/>
      <c r="V162" s="1154"/>
      <c r="W162" s="1154"/>
      <c r="X162" s="1154"/>
      <c r="Y162" s="1154"/>
      <c r="Z162" s="1153"/>
      <c r="AA162" s="1154"/>
      <c r="AB162" s="1154"/>
      <c r="AC162" s="1154"/>
      <c r="AD162" s="1154"/>
      <c r="AE162" s="1153"/>
      <c r="AF162" s="1154"/>
      <c r="AG162" s="1154"/>
      <c r="AH162" s="1154"/>
      <c r="AI162" s="1154"/>
      <c r="AJ162" s="1153"/>
      <c r="AK162" s="1154">
        <f t="shared" ref="AK162:BV162" si="386">IFERROR(AK157/AK139*AK125,"n/a")</f>
        <v>1242.1851108870817</v>
      </c>
      <c r="AL162" s="1154">
        <f t="shared" si="386"/>
        <v>1220.8858906199373</v>
      </c>
      <c r="AM162" s="1154">
        <f t="shared" si="386"/>
        <v>1296.2512376852071</v>
      </c>
      <c r="AN162" s="1154">
        <f t="shared" si="386"/>
        <v>2450.7211105703846</v>
      </c>
      <c r="AO162" s="1153">
        <f t="shared" si="386"/>
        <v>6062.4970483410998</v>
      </c>
      <c r="AP162" s="1154">
        <f t="shared" si="386"/>
        <v>113.05384286598229</v>
      </c>
      <c r="AQ162" s="1154">
        <f t="shared" si="386"/>
        <v>386.89245116378714</v>
      </c>
      <c r="AR162" s="1154">
        <f t="shared" si="386"/>
        <v>624.58685283617535</v>
      </c>
      <c r="AS162" s="1154">
        <f t="shared" si="386"/>
        <v>1426.9476186765296</v>
      </c>
      <c r="AT162" s="1153">
        <f t="shared" si="386"/>
        <v>2508.3347902149731</v>
      </c>
      <c r="AU162" s="1154">
        <f t="shared" si="386"/>
        <v>1744.8750317076076</v>
      </c>
      <c r="AV162" s="1154">
        <f t="shared" si="386"/>
        <v>2511.5114972187862</v>
      </c>
      <c r="AW162" s="1154">
        <f t="shared" si="386"/>
        <v>2009.2314057510844</v>
      </c>
      <c r="AX162" s="1154">
        <f t="shared" si="386"/>
        <v>2007.7289070285847</v>
      </c>
      <c r="AY162" s="1153">
        <f t="shared" si="386"/>
        <v>10923.213997160781</v>
      </c>
      <c r="AZ162" s="1154">
        <f t="shared" si="386"/>
        <v>1781.9477456156392</v>
      </c>
      <c r="BA162" s="1154">
        <f t="shared" si="386"/>
        <v>1269.631850852355</v>
      </c>
      <c r="BB162" s="1154">
        <f t="shared" si="386"/>
        <v>2223.966981774473</v>
      </c>
      <c r="BC162" s="1154">
        <f t="shared" si="386"/>
        <v>1223.5890865800343</v>
      </c>
      <c r="BD162" s="1153">
        <f t="shared" si="386"/>
        <v>5437.0521411441086</v>
      </c>
      <c r="BE162" s="1154">
        <f t="shared" si="386"/>
        <v>1452.0879716831637</v>
      </c>
      <c r="BF162" s="1154">
        <f t="shared" si="386"/>
        <v>1743.9916184827666</v>
      </c>
      <c r="BG162" s="1154">
        <f t="shared" si="386"/>
        <v>1682.4753968909222</v>
      </c>
      <c r="BH162" s="1154">
        <f t="shared" si="386"/>
        <v>1350.711248942639</v>
      </c>
      <c r="BI162" s="1153">
        <f t="shared" si="386"/>
        <v>6358.9750753876997</v>
      </c>
      <c r="BJ162" s="1155">
        <f t="shared" si="386"/>
        <v>1828.4187192453487</v>
      </c>
      <c r="BK162" s="1154">
        <f t="shared" si="386"/>
        <v>2286.5614560991562</v>
      </c>
      <c r="BL162" s="1154">
        <f t="shared" si="386"/>
        <v>1979.8670992435909</v>
      </c>
      <c r="BM162" s="1154">
        <f t="shared" si="386"/>
        <v>1954.0406941283136</v>
      </c>
      <c r="BN162" s="1153">
        <f t="shared" si="386"/>
        <v>7306.2845109057889</v>
      </c>
      <c r="BO162" s="1154">
        <f t="shared" si="386"/>
        <v>1515.3706400881467</v>
      </c>
      <c r="BP162" s="1154">
        <f t="shared" si="386"/>
        <v>1655.799184334646</v>
      </c>
      <c r="BQ162" s="1154">
        <f t="shared" si="386"/>
        <v>1601.8223393597386</v>
      </c>
      <c r="BR162" s="1154">
        <f t="shared" si="386"/>
        <v>1554.1310446106174</v>
      </c>
      <c r="BS162" s="1153">
        <f t="shared" si="386"/>
        <v>6345.2561994634807</v>
      </c>
      <c r="BT162" s="1153">
        <f t="shared" si="386"/>
        <v>6938.6919112690193</v>
      </c>
      <c r="BU162" s="1153">
        <f t="shared" si="386"/>
        <v>7593.682880132942</v>
      </c>
      <c r="BV162" s="1153">
        <f t="shared" si="386"/>
        <v>8314.2710857563052</v>
      </c>
      <c r="BW162" s="369"/>
    </row>
    <row r="163" spans="1:75" s="573" customFormat="1" ht="14.25" hidden="1" outlineLevel="1" x14ac:dyDescent="0.45">
      <c r="A163" s="1157" t="s">
        <v>1749</v>
      </c>
      <c r="B163" s="1158"/>
      <c r="C163" s="1159"/>
      <c r="D163" s="1159">
        <f t="shared" ref="D163:F163" si="387">D158/D133*D126</f>
        <v>7116.4034582132554</v>
      </c>
      <c r="E163" s="1159">
        <f t="shared" si="387"/>
        <v>9204.9315068493142</v>
      </c>
      <c r="F163" s="1159">
        <f t="shared" si="387"/>
        <v>9508.8286964908366</v>
      </c>
      <c r="G163" s="1160"/>
      <c r="H163" s="1160"/>
      <c r="I163" s="1160"/>
      <c r="J163" s="1160"/>
      <c r="K163" s="1159">
        <f>K158/K133*K126</f>
        <v>9913.1937276697063</v>
      </c>
      <c r="L163" s="1160"/>
      <c r="M163" s="1160"/>
      <c r="N163" s="1160"/>
      <c r="O163" s="1160"/>
      <c r="P163" s="1159">
        <f>P158/P133*P126</f>
        <v>10585.421927102128</v>
      </c>
      <c r="Q163" s="1160"/>
      <c r="R163" s="1160"/>
      <c r="S163" s="1160"/>
      <c r="T163" s="1160"/>
      <c r="U163" s="1159">
        <f>U158/U133*U126</f>
        <v>10330.600521819935</v>
      </c>
      <c r="V163" s="1160"/>
      <c r="W163" s="1160"/>
      <c r="X163" s="1160"/>
      <c r="Y163" s="1160"/>
      <c r="Z163" s="1159">
        <f>Z158/Z133*Z126</f>
        <v>10661.376126730058</v>
      </c>
      <c r="AA163" s="1160"/>
      <c r="AB163" s="1160"/>
      <c r="AC163" s="1160"/>
      <c r="AD163" s="1160"/>
      <c r="AE163" s="1159">
        <f t="shared" ref="AE163:BV163" si="388">AE158/AE133*AE126</f>
        <v>10870.790408459619</v>
      </c>
      <c r="AF163" s="1160">
        <f t="shared" si="388"/>
        <v>2544.966697701067</v>
      </c>
      <c r="AG163" s="1160">
        <f t="shared" si="388"/>
        <v>2786.7440940711185</v>
      </c>
      <c r="AH163" s="1160">
        <f t="shared" si="388"/>
        <v>3080.2785672504556</v>
      </c>
      <c r="AI163" s="1160">
        <f t="shared" si="388"/>
        <v>3373.4367870722435</v>
      </c>
      <c r="AJ163" s="1159">
        <f t="shared" si="388"/>
        <v>11800.801773117706</v>
      </c>
      <c r="AK163" s="1160">
        <f t="shared" si="388"/>
        <v>2750.96</v>
      </c>
      <c r="AL163" s="1160">
        <f t="shared" si="388"/>
        <v>3178.4355555555558</v>
      </c>
      <c r="AM163" s="1160">
        <f t="shared" si="388"/>
        <v>3454.3451327433627</v>
      </c>
      <c r="AN163" s="1160">
        <f t="shared" si="388"/>
        <v>3527.0603448275856</v>
      </c>
      <c r="AO163" s="1159">
        <f t="shared" si="388"/>
        <v>12921.030837004406</v>
      </c>
      <c r="AP163" s="1160">
        <f t="shared" si="388"/>
        <v>2671.9348007444014</v>
      </c>
      <c r="AQ163" s="1160">
        <f t="shared" si="388"/>
        <v>3171.2666666666669</v>
      </c>
      <c r="AR163" s="1160">
        <f t="shared" si="388"/>
        <v>3894.3249045502912</v>
      </c>
      <c r="AS163" s="1160">
        <f t="shared" si="388"/>
        <v>4208.3374485596696</v>
      </c>
      <c r="AT163" s="1159">
        <f t="shared" si="388"/>
        <v>13922.138715816569</v>
      </c>
      <c r="AU163" s="1160">
        <f t="shared" si="388"/>
        <v>3944.7685950413229</v>
      </c>
      <c r="AV163" s="1160">
        <f t="shared" si="388"/>
        <v>4751.1147540983611</v>
      </c>
      <c r="AW163" s="1160">
        <f t="shared" si="388"/>
        <v>4751.377049180328</v>
      </c>
      <c r="AX163" s="1160">
        <f t="shared" si="388"/>
        <v>4960.3346007604532</v>
      </c>
      <c r="AY163" s="1159">
        <f t="shared" si="388"/>
        <v>18514.140020242754</v>
      </c>
      <c r="AZ163" s="1160">
        <f t="shared" si="388"/>
        <v>4432.1735537190079</v>
      </c>
      <c r="BA163" s="1160">
        <f t="shared" si="388"/>
        <v>5024.1157024793392</v>
      </c>
      <c r="BB163" s="1160">
        <f t="shared" si="388"/>
        <v>4936.641975308642</v>
      </c>
      <c r="BC163" s="1160">
        <f t="shared" si="388"/>
        <v>4378.0163934426218</v>
      </c>
      <c r="BD163" s="1159">
        <f t="shared" si="388"/>
        <v>18769.359423274971</v>
      </c>
      <c r="BE163" s="1160">
        <f t="shared" si="388"/>
        <v>3693.0040816326523</v>
      </c>
      <c r="BF163" s="1160">
        <f t="shared" si="388"/>
        <v>3935.8211382113823</v>
      </c>
      <c r="BG163" s="1160">
        <f t="shared" si="388"/>
        <v>3791.5447154471544</v>
      </c>
      <c r="BH163" s="1160">
        <f t="shared" si="388"/>
        <v>3704.5245901639341</v>
      </c>
      <c r="BI163" s="1159">
        <f t="shared" si="388"/>
        <v>15125.879714576964</v>
      </c>
      <c r="BJ163" s="1161">
        <f t="shared" si="388"/>
        <v>3569.692624356775</v>
      </c>
      <c r="BK163" s="1160">
        <f t="shared" si="388"/>
        <v>3892.8258807259363</v>
      </c>
      <c r="BL163" s="1160">
        <f t="shared" si="388"/>
        <v>3758.5984331041309</v>
      </c>
      <c r="BM163" s="1160">
        <f t="shared" si="388"/>
        <v>3919.6471114020719</v>
      </c>
      <c r="BN163" s="1159">
        <f t="shared" si="388"/>
        <v>15141.306251677439</v>
      </c>
      <c r="BO163" s="1160">
        <f t="shared" si="388"/>
        <v>3734.7648728071222</v>
      </c>
      <c r="BP163" s="1160">
        <f t="shared" si="388"/>
        <v>4072.8109592351029</v>
      </c>
      <c r="BQ163" s="1160">
        <f t="shared" si="388"/>
        <v>3932.346516116751</v>
      </c>
      <c r="BR163" s="1160">
        <f t="shared" si="388"/>
        <v>3807.8930710676964</v>
      </c>
      <c r="BS163" s="1159">
        <f t="shared" si="388"/>
        <v>15547.807687861685</v>
      </c>
      <c r="BT163" s="1159">
        <f t="shared" si="388"/>
        <v>16996.879724815459</v>
      </c>
      <c r="BU163" s="1159">
        <f t="shared" si="388"/>
        <v>18588.01505006454</v>
      </c>
      <c r="BV163" s="1159">
        <f t="shared" si="388"/>
        <v>20336.257655701225</v>
      </c>
      <c r="BW163" s="572"/>
    </row>
    <row r="164" spans="1:75" s="217" customFormat="1" collapsed="1" x14ac:dyDescent="0.5">
      <c r="A164" s="526"/>
      <c r="B164" s="493"/>
      <c r="C164" s="423"/>
      <c r="D164" s="423"/>
      <c r="E164" s="423"/>
      <c r="F164" s="423"/>
      <c r="G164" s="422"/>
      <c r="H164" s="422"/>
      <c r="I164" s="422"/>
      <c r="J164" s="422"/>
      <c r="K164" s="423"/>
      <c r="L164" s="422"/>
      <c r="M164" s="422"/>
      <c r="N164" s="422"/>
      <c r="O164" s="422"/>
      <c r="P164" s="423"/>
      <c r="Q164" s="422"/>
      <c r="R164" s="422"/>
      <c r="S164" s="422"/>
      <c r="T164" s="422"/>
      <c r="U164" s="423"/>
      <c r="V164" s="422"/>
      <c r="W164" s="422"/>
      <c r="X164" s="422"/>
      <c r="Y164" s="422"/>
      <c r="Z164" s="423"/>
      <c r="AA164" s="422"/>
      <c r="AB164" s="422"/>
      <c r="AC164" s="422"/>
      <c r="AD164" s="422"/>
      <c r="AE164" s="423"/>
      <c r="AF164" s="422"/>
      <c r="AG164" s="422"/>
      <c r="AH164" s="422"/>
      <c r="AI164" s="422"/>
      <c r="AJ164" s="423"/>
      <c r="AK164" s="422"/>
      <c r="AL164" s="422"/>
      <c r="AM164" s="422"/>
      <c r="AN164" s="422"/>
      <c r="AO164" s="423"/>
      <c r="AP164" s="422"/>
      <c r="AQ164" s="422"/>
      <c r="AR164" s="422"/>
      <c r="AS164" s="422"/>
      <c r="AT164" s="423"/>
      <c r="AU164" s="422"/>
      <c r="AV164" s="422"/>
      <c r="AW164" s="422"/>
      <c r="AX164" s="422"/>
      <c r="AY164" s="423"/>
      <c r="AZ164" s="422"/>
      <c r="BA164" s="422"/>
      <c r="BB164" s="422"/>
      <c r="BC164" s="422"/>
      <c r="BD164" s="423"/>
      <c r="BE164" s="422"/>
      <c r="BF164" s="422"/>
      <c r="BG164" s="422"/>
      <c r="BH164" s="422"/>
      <c r="BI164" s="423"/>
      <c r="BJ164" s="1034"/>
      <c r="BK164" s="422"/>
      <c r="BL164" s="422"/>
      <c r="BM164" s="422"/>
      <c r="BN164" s="423"/>
      <c r="BO164" s="422"/>
      <c r="BP164" s="422"/>
      <c r="BQ164" s="422"/>
      <c r="BR164" s="422"/>
      <c r="BS164" s="423"/>
      <c r="BT164" s="423"/>
      <c r="BU164" s="423"/>
      <c r="BV164" s="423"/>
      <c r="BW164" s="216"/>
    </row>
    <row r="165" spans="1:75" s="198" customFormat="1" ht="14.25" x14ac:dyDescent="0.45">
      <c r="A165" s="239" t="s">
        <v>1750</v>
      </c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239"/>
      <c r="AP165" s="239"/>
      <c r="AQ165" s="239"/>
      <c r="AR165" s="239"/>
      <c r="AS165" s="239"/>
      <c r="AT165" s="239"/>
      <c r="AU165" s="239"/>
      <c r="AV165" s="239"/>
      <c r="AW165" s="239"/>
      <c r="AX165" s="239"/>
      <c r="AY165" s="239"/>
      <c r="AZ165" s="239"/>
      <c r="BA165" s="239"/>
      <c r="BB165" s="239"/>
      <c r="BC165" s="239"/>
      <c r="BD165" s="239"/>
      <c r="BE165" s="239"/>
      <c r="BF165" s="239"/>
      <c r="BG165" s="239"/>
      <c r="BH165" s="239"/>
      <c r="BI165" s="239"/>
      <c r="BJ165" s="241"/>
      <c r="BK165" s="239"/>
      <c r="BL165" s="239"/>
      <c r="BM165" s="239"/>
      <c r="BN165" s="239"/>
      <c r="BO165" s="239"/>
      <c r="BP165" s="239"/>
      <c r="BQ165" s="239"/>
      <c r="BR165" s="239"/>
      <c r="BS165" s="239"/>
      <c r="BT165" s="239"/>
      <c r="BU165" s="239"/>
      <c r="BV165" s="239"/>
      <c r="BW165" s="197"/>
    </row>
    <row r="166" spans="1:75" s="169" customFormat="1" ht="14.25" hidden="1" outlineLevel="1" x14ac:dyDescent="0.45">
      <c r="A166" s="558" t="s">
        <v>1751</v>
      </c>
      <c r="B166" s="1121"/>
      <c r="C166" s="1122">
        <v>264</v>
      </c>
      <c r="D166" s="1123">
        <f t="shared" ref="D166:J166" si="389">C169</f>
        <v>259</v>
      </c>
      <c r="E166" s="1123">
        <f t="shared" si="389"/>
        <v>260</v>
      </c>
      <c r="F166" s="1123">
        <f t="shared" si="389"/>
        <v>259</v>
      </c>
      <c r="G166" s="168">
        <f t="shared" si="389"/>
        <v>253</v>
      </c>
      <c r="H166" s="168">
        <f t="shared" si="389"/>
        <v>254</v>
      </c>
      <c r="I166" s="168">
        <f t="shared" si="389"/>
        <v>253</v>
      </c>
      <c r="J166" s="168">
        <f t="shared" si="389"/>
        <v>256</v>
      </c>
      <c r="K166" s="1123">
        <f>F169</f>
        <v>253</v>
      </c>
      <c r="L166" s="168">
        <f>K169</f>
        <v>248</v>
      </c>
      <c r="M166" s="168">
        <f>L169</f>
        <v>248</v>
      </c>
      <c r="N166" s="168">
        <f>M169</f>
        <v>247</v>
      </c>
      <c r="O166" s="168">
        <f>N169</f>
        <v>248</v>
      </c>
      <c r="P166" s="1123">
        <f>K169</f>
        <v>248</v>
      </c>
      <c r="Q166" s="168">
        <f>P169</f>
        <v>243</v>
      </c>
      <c r="R166" s="168">
        <f>Q169</f>
        <v>241</v>
      </c>
      <c r="S166" s="168">
        <f>R169</f>
        <v>241</v>
      </c>
      <c r="T166" s="168">
        <f>S169</f>
        <v>243</v>
      </c>
      <c r="U166" s="1123">
        <f>P169</f>
        <v>243</v>
      </c>
      <c r="V166" s="168">
        <f>U169</f>
        <v>239</v>
      </c>
      <c r="W166" s="168">
        <f>V169</f>
        <v>241</v>
      </c>
      <c r="X166" s="168">
        <f>W169</f>
        <v>241</v>
      </c>
      <c r="Y166" s="168">
        <f>X169</f>
        <v>241</v>
      </c>
      <c r="Z166" s="1123">
        <f>U169</f>
        <v>239</v>
      </c>
      <c r="AA166" s="168">
        <f>Z169</f>
        <v>234</v>
      </c>
      <c r="AB166" s="168">
        <f>AA169</f>
        <v>233</v>
      </c>
      <c r="AC166" s="168">
        <f>AB169</f>
        <v>234</v>
      </c>
      <c r="AD166" s="168">
        <f>AC169</f>
        <v>233</v>
      </c>
      <c r="AE166" s="1123">
        <f>Z169</f>
        <v>234</v>
      </c>
      <c r="AF166" s="168">
        <f>AE169</f>
        <v>228</v>
      </c>
      <c r="AG166" s="168">
        <f>AF169</f>
        <v>224</v>
      </c>
      <c r="AH166" s="168">
        <f>AG169</f>
        <v>226</v>
      </c>
      <c r="AI166" s="168">
        <f>AH169</f>
        <v>226</v>
      </c>
      <c r="AJ166" s="1123">
        <f>AE169</f>
        <v>228</v>
      </c>
      <c r="AK166" s="168">
        <f>AJ169</f>
        <v>220</v>
      </c>
      <c r="AL166" s="168">
        <f>AK169</f>
        <v>219</v>
      </c>
      <c r="AM166" s="168">
        <f>AL169</f>
        <v>218</v>
      </c>
      <c r="AN166" s="168">
        <f>AM169</f>
        <v>218</v>
      </c>
      <c r="AO166" s="1123">
        <f>AJ169</f>
        <v>220</v>
      </c>
      <c r="AP166" s="168">
        <f>AO169</f>
        <v>211</v>
      </c>
      <c r="AQ166" s="168">
        <f>AP169</f>
        <v>212</v>
      </c>
      <c r="AR166" s="168">
        <f>AQ169</f>
        <v>210</v>
      </c>
      <c r="AS166" s="168">
        <f>AR169</f>
        <v>210</v>
      </c>
      <c r="AT166" s="1123">
        <f>AO169</f>
        <v>211</v>
      </c>
      <c r="AU166" s="168">
        <f>AT169</f>
        <v>198</v>
      </c>
      <c r="AV166" s="168">
        <f>AU169</f>
        <v>195</v>
      </c>
      <c r="AW166" s="168">
        <f>AV169</f>
        <v>196</v>
      </c>
      <c r="AX166" s="168">
        <f>AW169</f>
        <v>194</v>
      </c>
      <c r="AY166" s="1123">
        <f>AT169</f>
        <v>198</v>
      </c>
      <c r="AZ166" s="168">
        <f>AY169</f>
        <v>174</v>
      </c>
      <c r="BA166" s="168">
        <f>AZ169</f>
        <v>175</v>
      </c>
      <c r="BB166" s="168">
        <f>BA169</f>
        <v>175</v>
      </c>
      <c r="BC166" s="168">
        <f>BB169</f>
        <v>175</v>
      </c>
      <c r="BD166" s="1123">
        <f>AY169</f>
        <v>174</v>
      </c>
      <c r="BE166" s="168">
        <f>BD169</f>
        <v>165</v>
      </c>
      <c r="BF166" s="168">
        <f>BE169</f>
        <v>165</v>
      </c>
      <c r="BG166" s="168">
        <f>BF169</f>
        <v>164</v>
      </c>
      <c r="BH166" s="168">
        <f>BG169</f>
        <v>163</v>
      </c>
      <c r="BI166" s="1123">
        <f>BD169</f>
        <v>165</v>
      </c>
      <c r="BJ166" s="1124">
        <f>BI169</f>
        <v>156</v>
      </c>
      <c r="BK166" s="247">
        <f>BJ169</f>
        <v>156</v>
      </c>
      <c r="BL166" s="247">
        <f>BK169</f>
        <v>154</v>
      </c>
      <c r="BM166" s="247">
        <f>BL169</f>
        <v>152</v>
      </c>
      <c r="BN166" s="840">
        <f>BI169</f>
        <v>156</v>
      </c>
      <c r="BO166" s="247">
        <f>BN169</f>
        <v>150</v>
      </c>
      <c r="BP166" s="247">
        <f>BO169</f>
        <v>148</v>
      </c>
      <c r="BQ166" s="247">
        <f>BP169</f>
        <v>146</v>
      </c>
      <c r="BR166" s="247">
        <f>BQ169</f>
        <v>144</v>
      </c>
      <c r="BS166" s="840">
        <f>BN169</f>
        <v>150</v>
      </c>
      <c r="BT166" s="840">
        <f>BS169</f>
        <v>142</v>
      </c>
      <c r="BU166" s="840">
        <f>BT169</f>
        <v>136</v>
      </c>
      <c r="BV166" s="840">
        <f>BU169</f>
        <v>130</v>
      </c>
      <c r="BW166" s="168"/>
    </row>
    <row r="167" spans="1:75" s="224" customFormat="1" hidden="1" outlineLevel="1" x14ac:dyDescent="0.5">
      <c r="A167" s="533" t="s">
        <v>1752</v>
      </c>
      <c r="B167" s="494"/>
      <c r="C167" s="427">
        <f>1+0+2+1</f>
        <v>4</v>
      </c>
      <c r="D167" s="427">
        <f>2+0+1+1</f>
        <v>4</v>
      </c>
      <c r="E167" s="427">
        <f>0+0+1+8+2</f>
        <v>11</v>
      </c>
      <c r="F167" s="427">
        <f>2+1+2+0</f>
        <v>5</v>
      </c>
      <c r="G167" s="256">
        <v>4</v>
      </c>
      <c r="H167" s="256">
        <v>0</v>
      </c>
      <c r="I167" s="256">
        <v>3</v>
      </c>
      <c r="J167" s="256">
        <v>0</v>
      </c>
      <c r="K167" s="1125">
        <f>SUM(G167,H167,I167,J167)</f>
        <v>7</v>
      </c>
      <c r="L167" s="256">
        <v>1</v>
      </c>
      <c r="M167" s="256">
        <v>0</v>
      </c>
      <c r="N167" s="256">
        <v>3</v>
      </c>
      <c r="O167" s="256">
        <v>2</v>
      </c>
      <c r="P167" s="1125">
        <f>SUM(L167,M167,N167,O167)</f>
        <v>6</v>
      </c>
      <c r="Q167" s="256">
        <v>0</v>
      </c>
      <c r="R167" s="256">
        <v>0</v>
      </c>
      <c r="S167" s="256">
        <v>4</v>
      </c>
      <c r="T167" s="256">
        <v>1</v>
      </c>
      <c r="U167" s="1125">
        <f>SUM(Q167,R167,S167,T167)</f>
        <v>5</v>
      </c>
      <c r="V167" s="256">
        <v>2</v>
      </c>
      <c r="W167" s="256">
        <v>1</v>
      </c>
      <c r="X167" s="256">
        <v>1</v>
      </c>
      <c r="Y167" s="256">
        <v>2</v>
      </c>
      <c r="Z167" s="1125">
        <f>SUM(V167,W167,X167,Y167)</f>
        <v>6</v>
      </c>
      <c r="AA167" s="256">
        <v>2</v>
      </c>
      <c r="AB167" s="256">
        <v>1</v>
      </c>
      <c r="AC167" s="256">
        <v>1</v>
      </c>
      <c r="AD167" s="256">
        <v>2</v>
      </c>
      <c r="AE167" s="1125">
        <f>SUM(AA167,AB167,AC167,AD167)</f>
        <v>6</v>
      </c>
      <c r="AF167" s="256">
        <v>0</v>
      </c>
      <c r="AG167" s="256">
        <v>4</v>
      </c>
      <c r="AH167" s="256">
        <v>0</v>
      </c>
      <c r="AI167" s="256">
        <v>2</v>
      </c>
      <c r="AJ167" s="1125">
        <f>SUM(AF167,AG167,AH167,AI167)</f>
        <v>6</v>
      </c>
      <c r="AK167" s="256">
        <v>2</v>
      </c>
      <c r="AL167" s="256">
        <v>0</v>
      </c>
      <c r="AM167" s="256">
        <v>0</v>
      </c>
      <c r="AN167" s="256">
        <v>1</v>
      </c>
      <c r="AO167" s="1125">
        <f>SUM(AK167,AL167,AM167,AN167)</f>
        <v>3</v>
      </c>
      <c r="AP167" s="256">
        <v>1</v>
      </c>
      <c r="AQ167" s="256">
        <v>0</v>
      </c>
      <c r="AR167" s="256">
        <v>1</v>
      </c>
      <c r="AS167" s="256">
        <v>0</v>
      </c>
      <c r="AT167" s="1125">
        <f>SUM(AP167,AQ167,AR167,AS167)</f>
        <v>2</v>
      </c>
      <c r="AU167" s="256">
        <v>0</v>
      </c>
      <c r="AV167" s="256">
        <v>3</v>
      </c>
      <c r="AW167" s="256">
        <v>0</v>
      </c>
      <c r="AX167" s="256">
        <v>1</v>
      </c>
      <c r="AY167" s="1125">
        <f>SUM(AU167,AV167,AW167,AX167)</f>
        <v>4</v>
      </c>
      <c r="AZ167" s="256">
        <v>2</v>
      </c>
      <c r="BA167" s="256">
        <v>1</v>
      </c>
      <c r="BB167" s="256">
        <v>0</v>
      </c>
      <c r="BC167" s="256">
        <v>1</v>
      </c>
      <c r="BD167" s="1125">
        <f>SUM(AZ167,BA167,BB167,BC167)</f>
        <v>4</v>
      </c>
      <c r="BE167" s="256">
        <v>2</v>
      </c>
      <c r="BF167" s="256">
        <v>0</v>
      </c>
      <c r="BG167" s="256">
        <v>1</v>
      </c>
      <c r="BH167" s="256">
        <v>0</v>
      </c>
      <c r="BI167" s="1125">
        <f>SUM(BE167,BF167,BG167,BH167)</f>
        <v>3</v>
      </c>
      <c r="BJ167" s="1126">
        <v>0</v>
      </c>
      <c r="BK167" s="256">
        <v>1</v>
      </c>
      <c r="BL167" s="256">
        <v>1</v>
      </c>
      <c r="BM167" s="256">
        <v>1</v>
      </c>
      <c r="BN167" s="425">
        <f>SUM(BJ167,BK167,BL167,BM167)</f>
        <v>3</v>
      </c>
      <c r="BO167" s="256">
        <v>1</v>
      </c>
      <c r="BP167" s="256">
        <v>1</v>
      </c>
      <c r="BQ167" s="256">
        <v>1</v>
      </c>
      <c r="BR167" s="256">
        <v>1</v>
      </c>
      <c r="BS167" s="425">
        <f>SUM(BO167,BP167,BQ167,BR167)</f>
        <v>4</v>
      </c>
      <c r="BT167" s="427">
        <v>4</v>
      </c>
      <c r="BU167" s="427">
        <v>4</v>
      </c>
      <c r="BV167" s="427">
        <v>4</v>
      </c>
      <c r="BW167" s="223"/>
    </row>
    <row r="168" spans="1:75" s="224" customFormat="1" hidden="1" outlineLevel="1" x14ac:dyDescent="0.5">
      <c r="A168" s="533" t="s">
        <v>1753</v>
      </c>
      <c r="B168" s="494"/>
      <c r="C168" s="427">
        <f>-5+0-2-2</f>
        <v>-9</v>
      </c>
      <c r="D168" s="427">
        <f>-1-1+0-1</f>
        <v>-3</v>
      </c>
      <c r="E168" s="427">
        <f>-9+0-1-2</f>
        <v>-12</v>
      </c>
      <c r="F168" s="427">
        <f>-8-1-2+0</f>
        <v>-11</v>
      </c>
      <c r="G168" s="256">
        <v>-3</v>
      </c>
      <c r="H168" s="256">
        <v>-1</v>
      </c>
      <c r="I168" s="256">
        <v>0</v>
      </c>
      <c r="J168" s="256">
        <v>-8</v>
      </c>
      <c r="K168" s="1125">
        <f>SUM(G168,H168,I168,J168)</f>
        <v>-12</v>
      </c>
      <c r="L168" s="256">
        <v>-1</v>
      </c>
      <c r="M168" s="256">
        <v>-1</v>
      </c>
      <c r="N168" s="256">
        <v>-2</v>
      </c>
      <c r="O168" s="256">
        <v>-7</v>
      </c>
      <c r="P168" s="1125">
        <f>SUM(L168,M168,N168,O168)</f>
        <v>-11</v>
      </c>
      <c r="Q168" s="256">
        <v>-2</v>
      </c>
      <c r="R168" s="256">
        <v>0</v>
      </c>
      <c r="S168" s="256">
        <v>-2</v>
      </c>
      <c r="T168" s="256">
        <v>-5</v>
      </c>
      <c r="U168" s="1125">
        <f>SUM(Q168,R168,S168,T168)</f>
        <v>-9</v>
      </c>
      <c r="V168" s="256">
        <v>0</v>
      </c>
      <c r="W168" s="256">
        <v>-1</v>
      </c>
      <c r="X168" s="256">
        <v>-1</v>
      </c>
      <c r="Y168" s="256">
        <v>-9</v>
      </c>
      <c r="Z168" s="1125">
        <f>SUM(V168,W168,X168,Y168)</f>
        <v>-11</v>
      </c>
      <c r="AA168" s="256">
        <v>-3</v>
      </c>
      <c r="AB168" s="256">
        <v>0</v>
      </c>
      <c r="AC168" s="256">
        <v>-2</v>
      </c>
      <c r="AD168" s="256">
        <v>-7</v>
      </c>
      <c r="AE168" s="1125">
        <f>SUM(AA168,AB168,AC168,AD168)</f>
        <v>-12</v>
      </c>
      <c r="AF168" s="256">
        <v>-4</v>
      </c>
      <c r="AG168" s="256">
        <v>-2</v>
      </c>
      <c r="AH168" s="256">
        <v>0</v>
      </c>
      <c r="AI168" s="256">
        <v>-8</v>
      </c>
      <c r="AJ168" s="1125">
        <f>SUM(AF168,AG168,AH168,AI168)</f>
        <v>-14</v>
      </c>
      <c r="AK168" s="256">
        <v>-3</v>
      </c>
      <c r="AL168" s="256">
        <v>-1</v>
      </c>
      <c r="AM168" s="256">
        <v>0</v>
      </c>
      <c r="AN168" s="256">
        <v>-8</v>
      </c>
      <c r="AO168" s="1125">
        <f>SUM(AK168,AL168,AM168,AN168)</f>
        <v>-12</v>
      </c>
      <c r="AP168" s="256">
        <v>0</v>
      </c>
      <c r="AQ168" s="256">
        <v>-2</v>
      </c>
      <c r="AR168" s="256">
        <v>-1</v>
      </c>
      <c r="AS168" s="256">
        <v>-12</v>
      </c>
      <c r="AT168" s="1125">
        <f>SUM(AP168,AQ168,AR168,AS168)</f>
        <v>-15</v>
      </c>
      <c r="AU168" s="256">
        <v>-3</v>
      </c>
      <c r="AV168" s="256">
        <v>-2</v>
      </c>
      <c r="AW168" s="256">
        <v>-2</v>
      </c>
      <c r="AX168" s="256">
        <v>-21</v>
      </c>
      <c r="AY168" s="1125">
        <f>SUM(AU168,AV168,AW168,AX168)</f>
        <v>-28</v>
      </c>
      <c r="AZ168" s="256">
        <v>-1</v>
      </c>
      <c r="BA168" s="256">
        <v>-1</v>
      </c>
      <c r="BB168" s="256">
        <v>0</v>
      </c>
      <c r="BC168" s="256">
        <v>-11</v>
      </c>
      <c r="BD168" s="1125">
        <f>SUM(AZ168,BA168,BB168,BC168)</f>
        <v>-13</v>
      </c>
      <c r="BE168" s="256">
        <v>-2</v>
      </c>
      <c r="BF168" s="256">
        <v>-1</v>
      </c>
      <c r="BG168" s="356">
        <v>-2</v>
      </c>
      <c r="BH168" s="256">
        <v>-7</v>
      </c>
      <c r="BI168" s="1125">
        <f>SUM(BE168,BF168,BG168,BH168)</f>
        <v>-12</v>
      </c>
      <c r="BJ168" s="1126">
        <v>0</v>
      </c>
      <c r="BK168" s="256">
        <v>-3</v>
      </c>
      <c r="BL168" s="256">
        <v>-3</v>
      </c>
      <c r="BM168" s="256">
        <v>-3</v>
      </c>
      <c r="BN168" s="425">
        <f>SUM(BJ168,BK168,BL168,BM168)</f>
        <v>-9</v>
      </c>
      <c r="BO168" s="256">
        <v>-3</v>
      </c>
      <c r="BP168" s="256">
        <v>-3</v>
      </c>
      <c r="BQ168" s="256">
        <v>-3</v>
      </c>
      <c r="BR168" s="256">
        <v>-3</v>
      </c>
      <c r="BS168" s="425">
        <f>SUM(BO168,BP168,BQ168,BR168)</f>
        <v>-12</v>
      </c>
      <c r="BT168" s="427">
        <v>-10</v>
      </c>
      <c r="BU168" s="427">
        <v>-10</v>
      </c>
      <c r="BV168" s="427">
        <v>-10</v>
      </c>
      <c r="BW168" s="223"/>
    </row>
    <row r="169" spans="1:75" s="169" customFormat="1" ht="14.25" hidden="1" outlineLevel="1" x14ac:dyDescent="0.45">
      <c r="A169" s="562" t="s">
        <v>1754</v>
      </c>
      <c r="B169" s="1127"/>
      <c r="C169" s="1165">
        <f t="shared" ref="C169:J169" si="390">SUM(C166:C168)</f>
        <v>259</v>
      </c>
      <c r="D169" s="1165">
        <f t="shared" si="390"/>
        <v>260</v>
      </c>
      <c r="E169" s="1165">
        <f t="shared" si="390"/>
        <v>259</v>
      </c>
      <c r="F169" s="1165">
        <f t="shared" si="390"/>
        <v>253</v>
      </c>
      <c r="G169" s="284">
        <f t="shared" si="390"/>
        <v>254</v>
      </c>
      <c r="H169" s="284">
        <f t="shared" si="390"/>
        <v>253</v>
      </c>
      <c r="I169" s="284">
        <f t="shared" si="390"/>
        <v>256</v>
      </c>
      <c r="J169" s="284">
        <f t="shared" si="390"/>
        <v>248</v>
      </c>
      <c r="K169" s="1165">
        <f>J169</f>
        <v>248</v>
      </c>
      <c r="L169" s="284">
        <f>SUM(L166:L168)</f>
        <v>248</v>
      </c>
      <c r="M169" s="284">
        <f>SUM(M166:M168)</f>
        <v>247</v>
      </c>
      <c r="N169" s="284">
        <f>SUM(N166:N168)</f>
        <v>248</v>
      </c>
      <c r="O169" s="284">
        <f>SUM(O166:O168)</f>
        <v>243</v>
      </c>
      <c r="P169" s="1165">
        <f>O169</f>
        <v>243</v>
      </c>
      <c r="Q169" s="284">
        <f>SUM(Q166:Q168)</f>
        <v>241</v>
      </c>
      <c r="R169" s="284">
        <f>SUM(R166:R168)</f>
        <v>241</v>
      </c>
      <c r="S169" s="284">
        <f>SUM(S166:S168)</f>
        <v>243</v>
      </c>
      <c r="T169" s="284">
        <f>SUM(T166:T168)</f>
        <v>239</v>
      </c>
      <c r="U169" s="1165">
        <f>T169</f>
        <v>239</v>
      </c>
      <c r="V169" s="284">
        <f>SUM(V166:V168)</f>
        <v>241</v>
      </c>
      <c r="W169" s="284">
        <f>SUM(W166:W168)</f>
        <v>241</v>
      </c>
      <c r="X169" s="284">
        <f>SUM(X166:X168)</f>
        <v>241</v>
      </c>
      <c r="Y169" s="284">
        <f>SUM(Y166:Y168)</f>
        <v>234</v>
      </c>
      <c r="Z169" s="1165">
        <f>Y169</f>
        <v>234</v>
      </c>
      <c r="AA169" s="284">
        <f>SUM(AA166:AA168)</f>
        <v>233</v>
      </c>
      <c r="AB169" s="284">
        <f>SUM(AB166:AB168)</f>
        <v>234</v>
      </c>
      <c r="AC169" s="284">
        <f>SUM(AC166:AC168)</f>
        <v>233</v>
      </c>
      <c r="AD169" s="284">
        <f>SUM(AD166:AD168)</f>
        <v>228</v>
      </c>
      <c r="AE169" s="1165">
        <f>AD169</f>
        <v>228</v>
      </c>
      <c r="AF169" s="284">
        <f>SUM(AF166:AF168)</f>
        <v>224</v>
      </c>
      <c r="AG169" s="284">
        <f>SUM(AG166:AG168)</f>
        <v>226</v>
      </c>
      <c r="AH169" s="284">
        <f>SUM(AH166:AH168)</f>
        <v>226</v>
      </c>
      <c r="AI169" s="284">
        <f>SUM(AI166:AI168)</f>
        <v>220</v>
      </c>
      <c r="AJ169" s="1165">
        <f>AI169</f>
        <v>220</v>
      </c>
      <c r="AK169" s="284">
        <f>SUM(AK166:AK168)</f>
        <v>219</v>
      </c>
      <c r="AL169" s="284">
        <f>SUM(AL166:AL168)</f>
        <v>218</v>
      </c>
      <c r="AM169" s="284">
        <f>SUM(AM166:AM168)</f>
        <v>218</v>
      </c>
      <c r="AN169" s="284">
        <f>SUM(AN166:AN168)</f>
        <v>211</v>
      </c>
      <c r="AO169" s="1165">
        <f>AN169</f>
        <v>211</v>
      </c>
      <c r="AP169" s="284">
        <f t="shared" ref="AP169:AQ169" si="391">SUM(AP166:AP168)</f>
        <v>212</v>
      </c>
      <c r="AQ169" s="284">
        <f t="shared" si="391"/>
        <v>210</v>
      </c>
      <c r="AR169" s="284">
        <f>SUM(AR166:AR168)</f>
        <v>210</v>
      </c>
      <c r="AS169" s="284">
        <f>SUM(AS166:AS168)</f>
        <v>198</v>
      </c>
      <c r="AT169" s="1165">
        <f>AS169</f>
        <v>198</v>
      </c>
      <c r="AU169" s="284">
        <f>SUM(AU166:AU168)</f>
        <v>195</v>
      </c>
      <c r="AV169" s="284">
        <f>SUM(AV166:AV168)</f>
        <v>196</v>
      </c>
      <c r="AW169" s="284">
        <f>SUM(AW166:AW168)</f>
        <v>194</v>
      </c>
      <c r="AX169" s="284">
        <f>SUM(AX166:AX168)</f>
        <v>174</v>
      </c>
      <c r="AY169" s="1165">
        <f>AX169</f>
        <v>174</v>
      </c>
      <c r="AZ169" s="284">
        <f>SUM(AZ166:AZ168)</f>
        <v>175</v>
      </c>
      <c r="BA169" s="284">
        <f>SUM(BA166:BA168)</f>
        <v>175</v>
      </c>
      <c r="BB169" s="284">
        <f>SUM(BB166:BB168)</f>
        <v>175</v>
      </c>
      <c r="BC169" s="284">
        <f>SUM(BC166:BC168)</f>
        <v>165</v>
      </c>
      <c r="BD169" s="1165">
        <f>BC169</f>
        <v>165</v>
      </c>
      <c r="BE169" s="284">
        <f>SUM(BE166:BE168)</f>
        <v>165</v>
      </c>
      <c r="BF169" s="284">
        <f>SUM(BF166:BF168)</f>
        <v>164</v>
      </c>
      <c r="BG169" s="168">
        <f>SUM(BG166:BG168)</f>
        <v>163</v>
      </c>
      <c r="BH169" s="284">
        <f>SUM(BH166:BH168)</f>
        <v>156</v>
      </c>
      <c r="BI169" s="1165">
        <f>BH169</f>
        <v>156</v>
      </c>
      <c r="BJ169" s="1166">
        <f>SUM(BJ166:BJ168)</f>
        <v>156</v>
      </c>
      <c r="BK169" s="287">
        <f t="shared" ref="BK169:BV169" si="392">SUM(BK166:BK168)</f>
        <v>154</v>
      </c>
      <c r="BL169" s="287">
        <f t="shared" si="392"/>
        <v>152</v>
      </c>
      <c r="BM169" s="287">
        <f t="shared" si="392"/>
        <v>150</v>
      </c>
      <c r="BN169" s="1128">
        <f t="shared" si="392"/>
        <v>150</v>
      </c>
      <c r="BO169" s="287">
        <f t="shared" si="392"/>
        <v>148</v>
      </c>
      <c r="BP169" s="287">
        <f t="shared" si="392"/>
        <v>146</v>
      </c>
      <c r="BQ169" s="287">
        <f t="shared" si="392"/>
        <v>144</v>
      </c>
      <c r="BR169" s="287">
        <f t="shared" si="392"/>
        <v>142</v>
      </c>
      <c r="BS169" s="1128">
        <f t="shared" si="392"/>
        <v>142</v>
      </c>
      <c r="BT169" s="1128">
        <f t="shared" si="392"/>
        <v>136</v>
      </c>
      <c r="BU169" s="1128">
        <f t="shared" si="392"/>
        <v>130</v>
      </c>
      <c r="BV169" s="1128">
        <f t="shared" si="392"/>
        <v>124</v>
      </c>
      <c r="BW169" s="168"/>
    </row>
    <row r="170" spans="1:75" s="177" customFormat="1" ht="14.25" hidden="1" outlineLevel="1" x14ac:dyDescent="0.45">
      <c r="A170" s="564" t="s">
        <v>1755</v>
      </c>
      <c r="B170" s="491"/>
      <c r="C170" s="417"/>
      <c r="D170" s="417"/>
      <c r="E170" s="417"/>
      <c r="F170" s="417"/>
      <c r="G170" s="378"/>
      <c r="H170" s="176">
        <f t="shared" ref="H170:J170" si="393">H169/G169-1</f>
        <v>-3.937007874015741E-3</v>
      </c>
      <c r="I170" s="176">
        <f t="shared" si="393"/>
        <v>1.1857707509881354E-2</v>
      </c>
      <c r="J170" s="176">
        <f t="shared" si="393"/>
        <v>-3.125E-2</v>
      </c>
      <c r="K170" s="417"/>
      <c r="L170" s="176">
        <f>L169/J169-1</f>
        <v>0</v>
      </c>
      <c r="M170" s="176">
        <f t="shared" ref="M170:O170" si="394">M169/L169-1</f>
        <v>-4.0322580645161255E-3</v>
      </c>
      <c r="N170" s="176">
        <f t="shared" si="394"/>
        <v>4.0485829959513442E-3</v>
      </c>
      <c r="O170" s="176">
        <f t="shared" si="394"/>
        <v>-2.0161290322580627E-2</v>
      </c>
      <c r="P170" s="417"/>
      <c r="Q170" s="176">
        <f>Q169/O169-1</f>
        <v>-8.2304526748970819E-3</v>
      </c>
      <c r="R170" s="176">
        <f t="shared" ref="R170:T170" si="395">R169/Q169-1</f>
        <v>0</v>
      </c>
      <c r="S170" s="176">
        <f t="shared" si="395"/>
        <v>8.2987551867219622E-3</v>
      </c>
      <c r="T170" s="176">
        <f t="shared" si="395"/>
        <v>-1.6460905349794275E-2</v>
      </c>
      <c r="U170" s="417"/>
      <c r="V170" s="176">
        <f>V169/T169-1</f>
        <v>8.3682008368199945E-3</v>
      </c>
      <c r="W170" s="176">
        <f t="shared" ref="W170:Y170" si="396">W169/V169-1</f>
        <v>0</v>
      </c>
      <c r="X170" s="176">
        <f t="shared" si="396"/>
        <v>0</v>
      </c>
      <c r="Y170" s="176">
        <f t="shared" si="396"/>
        <v>-2.9045643153526979E-2</v>
      </c>
      <c r="Z170" s="417"/>
      <c r="AA170" s="176">
        <f>AA169/Y169-1</f>
        <v>-4.2735042735042583E-3</v>
      </c>
      <c r="AB170" s="176">
        <f t="shared" ref="AB170:AD170" si="397">AB169/AA169-1</f>
        <v>4.2918454935623185E-3</v>
      </c>
      <c r="AC170" s="176">
        <f t="shared" si="397"/>
        <v>-4.2735042735042583E-3</v>
      </c>
      <c r="AD170" s="176">
        <f t="shared" si="397"/>
        <v>-2.1459227467811148E-2</v>
      </c>
      <c r="AE170" s="417"/>
      <c r="AF170" s="176">
        <f>AF169/AD169-1</f>
        <v>-1.7543859649122862E-2</v>
      </c>
      <c r="AG170" s="176">
        <f t="shared" ref="AG170:AI170" si="398">AG169/AF169-1</f>
        <v>8.9285714285713969E-3</v>
      </c>
      <c r="AH170" s="176">
        <f t="shared" si="398"/>
        <v>0</v>
      </c>
      <c r="AI170" s="176">
        <f t="shared" si="398"/>
        <v>-2.6548672566371723E-2</v>
      </c>
      <c r="AJ170" s="417"/>
      <c r="AK170" s="176">
        <f>AK169/AI169-1</f>
        <v>-4.5454545454545192E-3</v>
      </c>
      <c r="AL170" s="176">
        <f t="shared" ref="AL170:AN170" si="399">AL169/AK169-1</f>
        <v>-4.5662100456621557E-3</v>
      </c>
      <c r="AM170" s="176">
        <f t="shared" si="399"/>
        <v>0</v>
      </c>
      <c r="AN170" s="176">
        <f t="shared" si="399"/>
        <v>-3.2110091743119296E-2</v>
      </c>
      <c r="AO170" s="417"/>
      <c r="AP170" s="176">
        <f>AP169/AN169-1</f>
        <v>4.7393364928909332E-3</v>
      </c>
      <c r="AQ170" s="176">
        <f t="shared" ref="AQ170:AS170" si="400">AQ169/AP169-1</f>
        <v>-9.4339622641509413E-3</v>
      </c>
      <c r="AR170" s="176">
        <f t="shared" si="400"/>
        <v>0</v>
      </c>
      <c r="AS170" s="176">
        <f t="shared" si="400"/>
        <v>-5.7142857142857162E-2</v>
      </c>
      <c r="AT170" s="417"/>
      <c r="AU170" s="176">
        <f>AU169/AS169-1</f>
        <v>-1.5151515151515138E-2</v>
      </c>
      <c r="AV170" s="176">
        <f t="shared" ref="AV170:AX170" si="401">AV169/AU169-1</f>
        <v>5.12820512820511E-3</v>
      </c>
      <c r="AW170" s="176">
        <f t="shared" si="401"/>
        <v>-1.0204081632653073E-2</v>
      </c>
      <c r="AX170" s="176">
        <f t="shared" si="401"/>
        <v>-0.10309278350515461</v>
      </c>
      <c r="AY170" s="417"/>
      <c r="AZ170" s="176">
        <f>AZ169/AX169-1</f>
        <v>5.7471264367816577E-3</v>
      </c>
      <c r="BA170" s="176">
        <f t="shared" ref="BA170" si="402">BA169/AZ169-1</f>
        <v>0</v>
      </c>
      <c r="BB170" s="176">
        <f>BB169/BA169-1</f>
        <v>0</v>
      </c>
      <c r="BC170" s="176">
        <f>BC169/BB169-1</f>
        <v>-5.7142857142857162E-2</v>
      </c>
      <c r="BD170" s="417"/>
      <c r="BE170" s="176">
        <f>BE169/BC169-1</f>
        <v>0</v>
      </c>
      <c r="BF170" s="176">
        <f>BF169/BE169-1</f>
        <v>-6.0606060606060996E-3</v>
      </c>
      <c r="BG170" s="176">
        <f>BG169/BF169-1</f>
        <v>-6.0975609756097615E-3</v>
      </c>
      <c r="BH170" s="176">
        <f>BH169/BG169-1</f>
        <v>-4.2944785276073594E-2</v>
      </c>
      <c r="BI170" s="417"/>
      <c r="BJ170" s="1167">
        <f>BJ169/BH169-1</f>
        <v>0</v>
      </c>
      <c r="BK170" s="378">
        <f>BK169/BJ169-1</f>
        <v>-1.2820512820512775E-2</v>
      </c>
      <c r="BL170" s="378">
        <f>BL169/BK169-1</f>
        <v>-1.2987012987012991E-2</v>
      </c>
      <c r="BM170" s="378">
        <f>BM169/BL169-1</f>
        <v>-1.3157894736842146E-2</v>
      </c>
      <c r="BN170" s="417"/>
      <c r="BO170" s="378">
        <f>BO169/BM169-1</f>
        <v>-1.3333333333333308E-2</v>
      </c>
      <c r="BP170" s="378">
        <f>BP169/BO169-1</f>
        <v>-1.3513513513513487E-2</v>
      </c>
      <c r="BQ170" s="378">
        <f>BQ169/BP169-1</f>
        <v>-1.3698630136986356E-2</v>
      </c>
      <c r="BR170" s="378">
        <f>BR169/BQ169-1</f>
        <v>-1.388888888888884E-2</v>
      </c>
      <c r="BS170" s="417"/>
      <c r="BT170" s="417"/>
      <c r="BU170" s="417"/>
      <c r="BV170" s="417"/>
      <c r="BW170" s="176"/>
    </row>
    <row r="171" spans="1:75" s="177" customFormat="1" ht="14.25" hidden="1" outlineLevel="1" x14ac:dyDescent="0.45">
      <c r="A171" s="564" t="s">
        <v>1756</v>
      </c>
      <c r="B171" s="491"/>
      <c r="C171" s="417"/>
      <c r="D171" s="1168">
        <f t="shared" ref="D171:E171" si="403">D169/C169-1</f>
        <v>3.8610038610038533E-3</v>
      </c>
      <c r="E171" s="1168">
        <f t="shared" si="403"/>
        <v>-3.8461538461538325E-3</v>
      </c>
      <c r="F171" s="1168">
        <f>F169/E169-1</f>
        <v>-2.316602316602312E-2</v>
      </c>
      <c r="G171" s="378"/>
      <c r="H171" s="378"/>
      <c r="I171" s="378"/>
      <c r="J171" s="378"/>
      <c r="K171" s="1168">
        <f t="shared" ref="K171:BS171" si="404">K169/F169-1</f>
        <v>-1.9762845849802368E-2</v>
      </c>
      <c r="L171" s="176">
        <f t="shared" si="404"/>
        <v>-2.3622047244094446E-2</v>
      </c>
      <c r="M171" s="176">
        <f t="shared" si="404"/>
        <v>-2.371541501976282E-2</v>
      </c>
      <c r="N171" s="176">
        <f t="shared" si="404"/>
        <v>-3.125E-2</v>
      </c>
      <c r="O171" s="176">
        <f t="shared" si="404"/>
        <v>-2.0161290322580627E-2</v>
      </c>
      <c r="P171" s="1168">
        <f t="shared" si="404"/>
        <v>-2.0161290322580627E-2</v>
      </c>
      <c r="Q171" s="176">
        <f t="shared" si="404"/>
        <v>-2.8225806451612878E-2</v>
      </c>
      <c r="R171" s="176">
        <f t="shared" si="404"/>
        <v>-2.4291497975708509E-2</v>
      </c>
      <c r="S171" s="176">
        <f t="shared" si="404"/>
        <v>-2.0161290322580627E-2</v>
      </c>
      <c r="T171" s="176">
        <f t="shared" si="404"/>
        <v>-1.6460905349794275E-2</v>
      </c>
      <c r="U171" s="1168">
        <f t="shared" si="404"/>
        <v>-1.6460905349794275E-2</v>
      </c>
      <c r="V171" s="176">
        <f t="shared" si="404"/>
        <v>0</v>
      </c>
      <c r="W171" s="176">
        <f t="shared" si="404"/>
        <v>0</v>
      </c>
      <c r="X171" s="176">
        <f t="shared" si="404"/>
        <v>-8.2304526748970819E-3</v>
      </c>
      <c r="Y171" s="176">
        <f t="shared" si="404"/>
        <v>-2.0920502092050208E-2</v>
      </c>
      <c r="Z171" s="1168">
        <f t="shared" si="404"/>
        <v>-2.0920502092050208E-2</v>
      </c>
      <c r="AA171" s="176">
        <f t="shared" si="404"/>
        <v>-3.319502074688796E-2</v>
      </c>
      <c r="AB171" s="176">
        <f t="shared" si="404"/>
        <v>-2.9045643153526979E-2</v>
      </c>
      <c r="AC171" s="176">
        <f t="shared" si="404"/>
        <v>-3.319502074688796E-2</v>
      </c>
      <c r="AD171" s="176">
        <f t="shared" si="404"/>
        <v>-2.5641025641025661E-2</v>
      </c>
      <c r="AE171" s="1168">
        <f t="shared" si="404"/>
        <v>-2.5641025641025661E-2</v>
      </c>
      <c r="AF171" s="176">
        <f t="shared" si="404"/>
        <v>-3.8626609442060089E-2</v>
      </c>
      <c r="AG171" s="176">
        <f t="shared" si="404"/>
        <v>-3.4188034188034178E-2</v>
      </c>
      <c r="AH171" s="176">
        <f t="shared" si="404"/>
        <v>-3.0042918454935674E-2</v>
      </c>
      <c r="AI171" s="176">
        <f t="shared" si="404"/>
        <v>-3.5087719298245612E-2</v>
      </c>
      <c r="AJ171" s="1168">
        <f t="shared" si="404"/>
        <v>-3.5087719298245612E-2</v>
      </c>
      <c r="AK171" s="176">
        <f t="shared" si="404"/>
        <v>-2.2321428571428603E-2</v>
      </c>
      <c r="AL171" s="176">
        <f t="shared" si="404"/>
        <v>-3.539823008849563E-2</v>
      </c>
      <c r="AM171" s="176">
        <f t="shared" si="404"/>
        <v>-3.539823008849563E-2</v>
      </c>
      <c r="AN171" s="176">
        <f t="shared" si="404"/>
        <v>-4.0909090909090895E-2</v>
      </c>
      <c r="AO171" s="1168">
        <f t="shared" si="404"/>
        <v>-4.0909090909090895E-2</v>
      </c>
      <c r="AP171" s="176">
        <f t="shared" si="404"/>
        <v>-3.1963470319634757E-2</v>
      </c>
      <c r="AQ171" s="176">
        <f t="shared" si="404"/>
        <v>-3.669724770642202E-2</v>
      </c>
      <c r="AR171" s="176">
        <f t="shared" si="404"/>
        <v>-3.669724770642202E-2</v>
      </c>
      <c r="AS171" s="176">
        <f t="shared" si="404"/>
        <v>-6.1611374407582908E-2</v>
      </c>
      <c r="AT171" s="1168">
        <f t="shared" si="404"/>
        <v>-6.1611374407582908E-2</v>
      </c>
      <c r="AU171" s="176">
        <f t="shared" si="404"/>
        <v>-8.0188679245283057E-2</v>
      </c>
      <c r="AV171" s="176">
        <f t="shared" si="404"/>
        <v>-6.6666666666666652E-2</v>
      </c>
      <c r="AW171" s="176">
        <f t="shared" si="404"/>
        <v>-7.6190476190476142E-2</v>
      </c>
      <c r="AX171" s="176">
        <f t="shared" si="404"/>
        <v>-0.12121212121212122</v>
      </c>
      <c r="AY171" s="1168">
        <f t="shared" si="404"/>
        <v>-0.12121212121212122</v>
      </c>
      <c r="AZ171" s="176">
        <f t="shared" si="404"/>
        <v>-0.10256410256410253</v>
      </c>
      <c r="BA171" s="176">
        <f t="shared" si="404"/>
        <v>-0.1071428571428571</v>
      </c>
      <c r="BB171" s="176">
        <f t="shared" si="404"/>
        <v>-9.7938144329896892E-2</v>
      </c>
      <c r="BC171" s="176">
        <f t="shared" si="404"/>
        <v>-5.1724137931034475E-2</v>
      </c>
      <c r="BD171" s="1168">
        <f t="shared" si="404"/>
        <v>-5.1724137931034475E-2</v>
      </c>
      <c r="BE171" s="176">
        <f t="shared" si="404"/>
        <v>-5.7142857142857162E-2</v>
      </c>
      <c r="BF171" s="176">
        <f t="shared" si="404"/>
        <v>-6.2857142857142834E-2</v>
      </c>
      <c r="BG171" s="176">
        <f t="shared" si="404"/>
        <v>-6.8571428571428616E-2</v>
      </c>
      <c r="BH171" s="176">
        <f t="shared" si="404"/>
        <v>-5.4545454545454564E-2</v>
      </c>
      <c r="BI171" s="1168">
        <f t="shared" si="404"/>
        <v>-5.4545454545454564E-2</v>
      </c>
      <c r="BJ171" s="1167">
        <f>BJ169/BE169-1</f>
        <v>-5.4545454545454564E-2</v>
      </c>
      <c r="BK171" s="378">
        <f t="shared" si="404"/>
        <v>-6.0975609756097615E-2</v>
      </c>
      <c r="BL171" s="378">
        <f t="shared" si="404"/>
        <v>-6.7484662576687171E-2</v>
      </c>
      <c r="BM171" s="378">
        <f t="shared" si="404"/>
        <v>-3.8461538461538436E-2</v>
      </c>
      <c r="BN171" s="417">
        <f t="shared" si="404"/>
        <v>-3.8461538461538436E-2</v>
      </c>
      <c r="BO171" s="378">
        <f t="shared" si="404"/>
        <v>-5.1282051282051322E-2</v>
      </c>
      <c r="BP171" s="378">
        <f t="shared" si="404"/>
        <v>-5.1948051948051965E-2</v>
      </c>
      <c r="BQ171" s="378">
        <f t="shared" si="404"/>
        <v>-5.2631578947368474E-2</v>
      </c>
      <c r="BR171" s="378">
        <f t="shared" si="404"/>
        <v>-5.3333333333333344E-2</v>
      </c>
      <c r="BS171" s="417">
        <f t="shared" si="404"/>
        <v>-5.3333333333333344E-2</v>
      </c>
      <c r="BT171" s="417">
        <f>BT169/BS169-1</f>
        <v>-4.2253521126760618E-2</v>
      </c>
      <c r="BU171" s="417">
        <f>BU169/BT169-1</f>
        <v>-4.4117647058823484E-2</v>
      </c>
      <c r="BV171" s="417">
        <f>BV169/BU169-1</f>
        <v>-4.6153846153846101E-2</v>
      </c>
      <c r="BW171" s="176"/>
    </row>
    <row r="172" spans="1:75" s="169" customFormat="1" ht="14.25" hidden="1" outlineLevel="1" x14ac:dyDescent="0.45">
      <c r="A172" s="558" t="s">
        <v>1757</v>
      </c>
      <c r="B172" s="1121"/>
      <c r="C172" s="1123">
        <f t="shared" ref="C172:J172" si="405">AVERAGE(C169,C166)</f>
        <v>261.5</v>
      </c>
      <c r="D172" s="1123">
        <f t="shared" si="405"/>
        <v>259.5</v>
      </c>
      <c r="E172" s="1123">
        <f t="shared" si="405"/>
        <v>259.5</v>
      </c>
      <c r="F172" s="1123">
        <f t="shared" si="405"/>
        <v>256</v>
      </c>
      <c r="G172" s="168">
        <f t="shared" si="405"/>
        <v>253.5</v>
      </c>
      <c r="H172" s="168">
        <f t="shared" si="405"/>
        <v>253.5</v>
      </c>
      <c r="I172" s="168">
        <f t="shared" si="405"/>
        <v>254.5</v>
      </c>
      <c r="J172" s="168">
        <f t="shared" si="405"/>
        <v>252</v>
      </c>
      <c r="K172" s="1123">
        <f>SUM(G172*G$3,H172*H$3,I172*I$3,J172*J$3)/K$3</f>
        <v>253.375</v>
      </c>
      <c r="L172" s="168">
        <f>AVERAGE(L169,L166)</f>
        <v>248</v>
      </c>
      <c r="M172" s="168">
        <f>AVERAGE(M169,M166)</f>
        <v>247.5</v>
      </c>
      <c r="N172" s="168">
        <f>AVERAGE(N169,N166)</f>
        <v>247.5</v>
      </c>
      <c r="O172" s="168">
        <f>AVERAGE(O169,O166)</f>
        <v>245.5</v>
      </c>
      <c r="P172" s="1123">
        <f>SUM(L172*L$3,M172*M$3,N172*N$3,O172*O$3)/P$3</f>
        <v>247.125</v>
      </c>
      <c r="Q172" s="168">
        <f>AVERAGE(Q169,Q166)</f>
        <v>242</v>
      </c>
      <c r="R172" s="168">
        <f>AVERAGE(R169,R166)</f>
        <v>241</v>
      </c>
      <c r="S172" s="168">
        <f>AVERAGE(S169,S166)</f>
        <v>242</v>
      </c>
      <c r="T172" s="168">
        <f>AVERAGE(T169,T166)</f>
        <v>241</v>
      </c>
      <c r="U172" s="1123">
        <f>SUM(Q172*Q$3,R172*R$3,S172*S$3,T172*T$3)/U$3</f>
        <v>241.5</v>
      </c>
      <c r="V172" s="168">
        <f>AVERAGE(V169,V166)</f>
        <v>240</v>
      </c>
      <c r="W172" s="168">
        <f>AVERAGE(W169,W166)</f>
        <v>241</v>
      </c>
      <c r="X172" s="168">
        <f>AVERAGE(X169,X166)</f>
        <v>241</v>
      </c>
      <c r="Y172" s="168">
        <f>AVERAGE(Y169,Y166)</f>
        <v>237.5</v>
      </c>
      <c r="Z172" s="1123">
        <f>SUM(V172*V$3,W172*W$3,X172*X$3,Y172*Y$3)/Z$3</f>
        <v>239.875</v>
      </c>
      <c r="AA172" s="168">
        <f>AVERAGE(AA169,AA166)</f>
        <v>233.5</v>
      </c>
      <c r="AB172" s="168">
        <f>AVERAGE(AB169,AB166)</f>
        <v>233.5</v>
      </c>
      <c r="AC172" s="168">
        <f>AVERAGE(AC169,AC166)</f>
        <v>233.5</v>
      </c>
      <c r="AD172" s="168">
        <f>AVERAGE(AD169,AD166)</f>
        <v>230.5</v>
      </c>
      <c r="AE172" s="1123">
        <f>SUM(AA172*AA$3,AB172*AB$3,AC172*AC$3,AD172*AD$3)/AE$3</f>
        <v>232.75</v>
      </c>
      <c r="AF172" s="168">
        <f>AVERAGE(AF169,AF166)</f>
        <v>226</v>
      </c>
      <c r="AG172" s="168">
        <f>AVERAGE(AG169,AG166)</f>
        <v>225</v>
      </c>
      <c r="AH172" s="168">
        <f>AVERAGE(AH169,AH166)</f>
        <v>226</v>
      </c>
      <c r="AI172" s="168">
        <f>AVERAGE(AI169,AI166)</f>
        <v>223</v>
      </c>
      <c r="AJ172" s="1123">
        <f>SUM(AF172*AF$3,AG172*AG$3,AH172*AH$3,AI172*AI$3)/AJ$3</f>
        <v>224.96226415094338</v>
      </c>
      <c r="AK172" s="168">
        <f>AVERAGE(AK169,AK166)</f>
        <v>219.5</v>
      </c>
      <c r="AL172" s="168">
        <f>AVERAGE(AL169,AL166)</f>
        <v>218.5</v>
      </c>
      <c r="AM172" s="168">
        <f>AVERAGE(AM169,AM166)</f>
        <v>218</v>
      </c>
      <c r="AN172" s="168">
        <f>AVERAGE(AN169,AN166)</f>
        <v>214.5</v>
      </c>
      <c r="AO172" s="1123">
        <f>SUM(AK172*AK$3,AL172*AL$3,AM172*AM$3,AN172*AN$3)/AO$3</f>
        <v>217.625</v>
      </c>
      <c r="AP172" s="168">
        <f>AVERAGE(AP169,AP166)</f>
        <v>211.5</v>
      </c>
      <c r="AQ172" s="168">
        <f>AVERAGE(AQ169,AQ166)</f>
        <v>211</v>
      </c>
      <c r="AR172" s="168">
        <f>AVERAGE(AR169,AR166)</f>
        <v>210</v>
      </c>
      <c r="AS172" s="168">
        <f>AVERAGE(AS169,AS166)</f>
        <v>204</v>
      </c>
      <c r="AT172" s="1123">
        <f>SUM(AP172*AP$3,AQ172*AQ$3,AR172*AR$3,AS172*AS$3)/AT$3</f>
        <v>209.125</v>
      </c>
      <c r="AU172" s="168">
        <f>AVERAGE(AU169,AU166)</f>
        <v>196.5</v>
      </c>
      <c r="AV172" s="168">
        <f>AVERAGE(AV169,AV166)</f>
        <v>195.5</v>
      </c>
      <c r="AW172" s="168">
        <f>AVERAGE(AW169,AW166)</f>
        <v>195</v>
      </c>
      <c r="AX172" s="168">
        <f>AVERAGE(AX169,AX166)</f>
        <v>184</v>
      </c>
      <c r="AY172" s="1123">
        <f>SUM(AU172*AU$3,AV172*AV$3,AW172*AW$3,AX172*AX$3)/AY$3</f>
        <v>192.75</v>
      </c>
      <c r="AZ172" s="168">
        <f>AVERAGE(AZ169,AZ166)</f>
        <v>174.5</v>
      </c>
      <c r="BA172" s="168">
        <f>AVERAGE(BA169,BA166)</f>
        <v>175</v>
      </c>
      <c r="BB172" s="168">
        <f>AVERAGE(BB169,BB166)</f>
        <v>175</v>
      </c>
      <c r="BC172" s="168">
        <f>AVERAGE(BC169,BC166)</f>
        <v>170</v>
      </c>
      <c r="BD172" s="1123">
        <f>SUM(AZ172*AZ$3,BA172*BA$3,BB172*BB$3,BC172*BC$3)/BD$3</f>
        <v>173.625</v>
      </c>
      <c r="BE172" s="168">
        <f>AVERAGE(BE169,BE166)</f>
        <v>165</v>
      </c>
      <c r="BF172" s="168">
        <f>AVERAGE(BF169,BF166)</f>
        <v>164.5</v>
      </c>
      <c r="BG172" s="168">
        <f>AVERAGE(BG169,BG166)</f>
        <v>163.5</v>
      </c>
      <c r="BH172" s="168">
        <f>AVERAGE(BH169,BH166)</f>
        <v>159.5</v>
      </c>
      <c r="BI172" s="1123">
        <f>SUM(BE172*BE$3,BF172*BF$3,BG172*BG$3,BH172*BH$3)/BI$3</f>
        <v>163.125</v>
      </c>
      <c r="BJ172" s="1124">
        <f>AVERAGE(BJ169,BJ166)</f>
        <v>156</v>
      </c>
      <c r="BK172" s="247">
        <f>AVERAGE(BK169,BK166)</f>
        <v>155</v>
      </c>
      <c r="BL172" s="247">
        <f>AVERAGE(BL169,BL166)</f>
        <v>153</v>
      </c>
      <c r="BM172" s="247">
        <f>AVERAGE(BM169,BM166)</f>
        <v>151</v>
      </c>
      <c r="BN172" s="840">
        <f>SUM(BJ172*BJ$3,BK172*BK$3,BL172*BL$3,BM172*BM$3)/BN$3</f>
        <v>153.69811320754718</v>
      </c>
      <c r="BO172" s="247">
        <f>AVERAGE(BO169,BO166)</f>
        <v>149</v>
      </c>
      <c r="BP172" s="247">
        <f>AVERAGE(BP169,BP166)</f>
        <v>147</v>
      </c>
      <c r="BQ172" s="247">
        <f>AVERAGE(BQ169,BQ166)</f>
        <v>145</v>
      </c>
      <c r="BR172" s="247">
        <f>AVERAGE(BR169,BR166)</f>
        <v>143</v>
      </c>
      <c r="BS172" s="840">
        <f>SUM(BO172*BO$3,BP172*BP$3,BQ172*BQ$3,BR172*BR$3)/BS$3</f>
        <v>146</v>
      </c>
      <c r="BT172" s="840">
        <f>AVERAGE(BT169,BT166)</f>
        <v>139</v>
      </c>
      <c r="BU172" s="840">
        <f>AVERAGE(BU169,BU166)</f>
        <v>133</v>
      </c>
      <c r="BV172" s="840">
        <f>AVERAGE(BV169,BV166)</f>
        <v>127</v>
      </c>
      <c r="BW172" s="168"/>
    </row>
    <row r="173" spans="1:75" s="169" customFormat="1" ht="14.25" hidden="1" outlineLevel="1" x14ac:dyDescent="0.45">
      <c r="A173" s="163"/>
      <c r="B173" s="1121"/>
      <c r="C173" s="840"/>
      <c r="D173" s="840"/>
      <c r="E173" s="840"/>
      <c r="F173" s="840"/>
      <c r="G173" s="247"/>
      <c r="H173" s="247"/>
      <c r="I173" s="247"/>
      <c r="J173" s="247"/>
      <c r="K173" s="840"/>
      <c r="L173" s="247"/>
      <c r="M173" s="247"/>
      <c r="N173" s="247"/>
      <c r="O173" s="247"/>
      <c r="P173" s="840"/>
      <c r="Q173" s="247"/>
      <c r="R173" s="247"/>
      <c r="S173" s="247"/>
      <c r="T173" s="247"/>
      <c r="U173" s="840"/>
      <c r="V173" s="247"/>
      <c r="W173" s="247"/>
      <c r="X173" s="247"/>
      <c r="Y173" s="247"/>
      <c r="Z173" s="840"/>
      <c r="AA173" s="247"/>
      <c r="AB173" s="247"/>
      <c r="AC173" s="247"/>
      <c r="AD173" s="247"/>
      <c r="AE173" s="840"/>
      <c r="AF173" s="247"/>
      <c r="AG173" s="247"/>
      <c r="AH173" s="247"/>
      <c r="AI173" s="247"/>
      <c r="AJ173" s="840"/>
      <c r="AK173" s="247"/>
      <c r="AL173" s="247"/>
      <c r="AM173" s="247"/>
      <c r="AN173" s="247"/>
      <c r="AO173" s="840"/>
      <c r="AP173" s="247"/>
      <c r="AQ173" s="247"/>
      <c r="AR173" s="247"/>
      <c r="AS173" s="247"/>
      <c r="AT173" s="840"/>
      <c r="AU173" s="247"/>
      <c r="AV173" s="247"/>
      <c r="AW173" s="247"/>
      <c r="AX173" s="247"/>
      <c r="AY173" s="840"/>
      <c r="AZ173" s="247"/>
      <c r="BA173" s="247"/>
      <c r="BB173" s="247"/>
      <c r="BC173" s="247"/>
      <c r="BD173" s="840"/>
      <c r="BE173" s="247"/>
      <c r="BF173" s="247"/>
      <c r="BG173" s="247"/>
      <c r="BH173" s="247"/>
      <c r="BI173" s="840"/>
      <c r="BJ173" s="977"/>
      <c r="BK173" s="247"/>
      <c r="BL173" s="247"/>
      <c r="BM173" s="247"/>
      <c r="BN173" s="840"/>
      <c r="BO173" s="247"/>
      <c r="BP173" s="247"/>
      <c r="BQ173" s="247"/>
      <c r="BR173" s="247"/>
      <c r="BS173" s="840"/>
      <c r="BT173" s="840"/>
      <c r="BU173" s="840"/>
      <c r="BV173" s="840"/>
      <c r="BW173" s="168"/>
    </row>
    <row r="174" spans="1:75" s="224" customFormat="1" hidden="1" outlineLevel="1" x14ac:dyDescent="0.5">
      <c r="A174" s="590" t="s">
        <v>1758</v>
      </c>
      <c r="B174" s="494"/>
      <c r="C174" s="425"/>
      <c r="D174" s="1125">
        <f>C169+SUM(D168)</f>
        <v>256</v>
      </c>
      <c r="E174" s="1125">
        <f>D169+SUM(E168)</f>
        <v>248</v>
      </c>
      <c r="F174" s="1125">
        <f>E169+SUM(F168)</f>
        <v>248</v>
      </c>
      <c r="G174" s="487"/>
      <c r="H174" s="487"/>
      <c r="I174" s="487"/>
      <c r="J174" s="487"/>
      <c r="K174" s="1125">
        <f>F169+SUM(K168)</f>
        <v>241</v>
      </c>
      <c r="L174" s="223">
        <f>G169+SUM(L168,J168,I168,H168)</f>
        <v>244</v>
      </c>
      <c r="M174" s="223">
        <f>H169+SUM(M168,L168,J168,I168)</f>
        <v>243</v>
      </c>
      <c r="N174" s="223">
        <f>I169+SUM(N168,M168,L168,J168)</f>
        <v>244</v>
      </c>
      <c r="O174" s="223">
        <f>J169+SUM(O168,N168,M168,L168)</f>
        <v>237</v>
      </c>
      <c r="P174" s="1125">
        <f>K169+SUM(P168)</f>
        <v>237</v>
      </c>
      <c r="Q174" s="223">
        <f>L169+SUM(Q168,O168,N168,M168)</f>
        <v>236</v>
      </c>
      <c r="R174" s="223">
        <f>M169+SUM(R168,Q168,O168,N168)</f>
        <v>236</v>
      </c>
      <c r="S174" s="223">
        <f>N169+SUM(S168,R168,Q168,O168)</f>
        <v>237</v>
      </c>
      <c r="T174" s="223">
        <f>O169+SUM(T168,S168,R168,Q168)</f>
        <v>234</v>
      </c>
      <c r="U174" s="1125">
        <f>P169+SUM(U168)</f>
        <v>234</v>
      </c>
      <c r="V174" s="223">
        <f>Q169+SUM(V168,T168,S168,R168)</f>
        <v>234</v>
      </c>
      <c r="W174" s="223">
        <f>R169+SUM(W168,V168,T168,S168)</f>
        <v>233</v>
      </c>
      <c r="X174" s="223">
        <f>S169+SUM(X168,W168,V168,T168)</f>
        <v>236</v>
      </c>
      <c r="Y174" s="223">
        <f>T169+SUM(Y168,X168,W168,V168)</f>
        <v>228</v>
      </c>
      <c r="Z174" s="1125">
        <f>U169+SUM(Z168)</f>
        <v>228</v>
      </c>
      <c r="AA174" s="223">
        <f>V169+SUM(AA168,Y168,X168,W168)</f>
        <v>227</v>
      </c>
      <c r="AB174" s="223">
        <f>W169+SUM(AB168,AA168,Y168,X168)</f>
        <v>228</v>
      </c>
      <c r="AC174" s="223">
        <f>X169+SUM(AC168,AB168,AA168,Y168)</f>
        <v>227</v>
      </c>
      <c r="AD174" s="223">
        <f>Y169+SUM(AD168,AC168,AB168,AA168)</f>
        <v>222</v>
      </c>
      <c r="AE174" s="1125">
        <f>Z169+SUM(AE168)</f>
        <v>222</v>
      </c>
      <c r="AF174" s="223">
        <f>AA169+SUM(AF168,AD168,AC168,AB168)</f>
        <v>220</v>
      </c>
      <c r="AG174" s="223">
        <f>AB169+SUM(AG168,AF168,AD168,AC168)</f>
        <v>219</v>
      </c>
      <c r="AH174" s="223">
        <f>AC169+SUM(AH168,AG168,AF168,AD168)</f>
        <v>220</v>
      </c>
      <c r="AI174" s="223">
        <f>AD169+SUM(AI168,AH168,AG168,AF168)</f>
        <v>214</v>
      </c>
      <c r="AJ174" s="1125">
        <f>AE169+SUM(AJ168)</f>
        <v>214</v>
      </c>
      <c r="AK174" s="223">
        <f>AF169+SUM(AK168,AI168,AH168,AG168)</f>
        <v>211</v>
      </c>
      <c r="AL174" s="223">
        <f>AG169+SUM(AL168,AK168,AI168,AH168)</f>
        <v>214</v>
      </c>
      <c r="AM174" s="223">
        <f>AH169+SUM(AM168,AL168,AK168,AI168)</f>
        <v>214</v>
      </c>
      <c r="AN174" s="223">
        <f>AI169+SUM(AN168,AM168,AL168,AK168)</f>
        <v>208</v>
      </c>
      <c r="AO174" s="1125">
        <f>AJ169+SUM(AO168)</f>
        <v>208</v>
      </c>
      <c r="AP174" s="223">
        <f>AK169+SUM(AP168,AN168,AM168,AL168)</f>
        <v>210</v>
      </c>
      <c r="AQ174" s="223">
        <f>AL169+SUM(AQ168,AP168,AN168,AM168)</f>
        <v>208</v>
      </c>
      <c r="AR174" s="223">
        <f>AM169+SUM(AR168,AQ168,AP168,AN168)</f>
        <v>207</v>
      </c>
      <c r="AS174" s="223">
        <f>AN169+SUM(AS168,AR168,AQ168,AP168)</f>
        <v>196</v>
      </c>
      <c r="AT174" s="1125">
        <f>AO169+SUM(AT168)</f>
        <v>196</v>
      </c>
      <c r="AU174" s="223">
        <f>AP169+SUM(AU168,AS168,AR168,AQ168)</f>
        <v>194</v>
      </c>
      <c r="AV174" s="223">
        <f>AQ169+SUM(AV168,AU168,AS168,AR168)</f>
        <v>192</v>
      </c>
      <c r="AW174" s="223">
        <f>AR169+SUM(AW168,AV168,AU168,AS168)</f>
        <v>191</v>
      </c>
      <c r="AX174" s="223">
        <f>AS169+SUM(AX168,AW168,AV168,AU168)</f>
        <v>170</v>
      </c>
      <c r="AY174" s="1125">
        <f>AT169+SUM(AY168)</f>
        <v>170</v>
      </c>
      <c r="AZ174" s="223">
        <f>AU169+SUM(AZ168,AX168,AW168,AV168)</f>
        <v>169</v>
      </c>
      <c r="BA174" s="223">
        <f>AV169+SUM(BA168,AZ168,AX168,AW168)</f>
        <v>171</v>
      </c>
      <c r="BB174" s="223">
        <f>AW169+SUM(BB168,BA168,AZ168,AX168)</f>
        <v>171</v>
      </c>
      <c r="BC174" s="223">
        <f>AX169+SUM(BC168,BB168,BA168,AZ168)</f>
        <v>161</v>
      </c>
      <c r="BD174" s="1125">
        <f>AY169+SUM(BD168)</f>
        <v>161</v>
      </c>
      <c r="BE174" s="223">
        <f>AZ169+SUM(BE168,BC168,BB168,BA168)</f>
        <v>161</v>
      </c>
      <c r="BF174" s="223">
        <f>BA169+SUM(BF168,BE168,BC168,BB168)</f>
        <v>161</v>
      </c>
      <c r="BG174" s="223">
        <f>BB169+SUM(BG168,BF168,BE168,BC168)</f>
        <v>159</v>
      </c>
      <c r="BH174" s="223">
        <f>BC169+SUM(BH168,BG168,BF168,BE168)</f>
        <v>153</v>
      </c>
      <c r="BI174" s="1125">
        <f>BD169+SUM(BI168)</f>
        <v>153</v>
      </c>
      <c r="BJ174" s="1169">
        <f>BE169+SUM(BJ168,BH168,BG168,BF168)</f>
        <v>155</v>
      </c>
      <c r="BK174" s="487">
        <f>BF169+SUM(BK168,BJ168,BH168,BG168)</f>
        <v>152</v>
      </c>
      <c r="BL174" s="487">
        <f>BG169+SUM(BL168,BK168,BJ168,BH168)</f>
        <v>150</v>
      </c>
      <c r="BM174" s="487">
        <f>BH169+SUM(BM168,BL168,BK168,BJ168)</f>
        <v>147</v>
      </c>
      <c r="BN174" s="425">
        <f>BI169+SUM(BN168)</f>
        <v>147</v>
      </c>
      <c r="BO174" s="487">
        <f>BJ169+SUM(BO168,BM168,BL168,BK168)</f>
        <v>144</v>
      </c>
      <c r="BP174" s="487">
        <f>BK169+SUM(BP168,BO168,BM168,BL168)</f>
        <v>142</v>
      </c>
      <c r="BQ174" s="487">
        <f>BL169+SUM(BQ168,BP168,BO168,BM168)</f>
        <v>140</v>
      </c>
      <c r="BR174" s="487">
        <f>BM169+SUM(BR168,BQ168,BP168,BO168)</f>
        <v>138</v>
      </c>
      <c r="BS174" s="425">
        <f>BN169+SUM(BS168)</f>
        <v>138</v>
      </c>
      <c r="BT174" s="425">
        <f>BS169+SUM(BT168)</f>
        <v>132</v>
      </c>
      <c r="BU174" s="425">
        <f>BT169+SUM(BU168)</f>
        <v>126</v>
      </c>
      <c r="BV174" s="425">
        <f>BU169+SUM(BV168)</f>
        <v>120</v>
      </c>
      <c r="BW174" s="223"/>
    </row>
    <row r="175" spans="1:75" s="224" customFormat="1" hidden="1" outlineLevel="1" x14ac:dyDescent="0.5">
      <c r="A175" s="590" t="s">
        <v>1759</v>
      </c>
      <c r="B175" s="494"/>
      <c r="C175" s="425"/>
      <c r="D175" s="1125">
        <f>SUM(D167)</f>
        <v>4</v>
      </c>
      <c r="E175" s="1125">
        <f>SUM(E167)</f>
        <v>11</v>
      </c>
      <c r="F175" s="1125">
        <f>SUM(F167)</f>
        <v>5</v>
      </c>
      <c r="G175" s="487"/>
      <c r="H175" s="487"/>
      <c r="I175" s="487"/>
      <c r="J175" s="487"/>
      <c r="K175" s="1125">
        <f>SUM(K167)</f>
        <v>7</v>
      </c>
      <c r="L175" s="223">
        <f>SUM(L167,J167,I167,H167)</f>
        <v>4</v>
      </c>
      <c r="M175" s="223">
        <f>SUM(M167,L167,J167,I167)</f>
        <v>4</v>
      </c>
      <c r="N175" s="223">
        <f>SUM(N167,M167,L167,J167)</f>
        <v>4</v>
      </c>
      <c r="O175" s="223">
        <f>SUM(O167,N167,M167,L167)</f>
        <v>6</v>
      </c>
      <c r="P175" s="1125">
        <f>SUM(P167)</f>
        <v>6</v>
      </c>
      <c r="Q175" s="223">
        <f>SUM(Q167,O167,N167,M167)</f>
        <v>5</v>
      </c>
      <c r="R175" s="223">
        <f>SUM(R167,Q167,O167,N167)</f>
        <v>5</v>
      </c>
      <c r="S175" s="223">
        <f>SUM(S167,R167,Q167,O167)</f>
        <v>6</v>
      </c>
      <c r="T175" s="223">
        <f>SUM(T167,S167,R167,Q167)</f>
        <v>5</v>
      </c>
      <c r="U175" s="1125">
        <f>SUM(U167)</f>
        <v>5</v>
      </c>
      <c r="V175" s="223">
        <f>SUM(V167,T167,S167,R167)</f>
        <v>7</v>
      </c>
      <c r="W175" s="223">
        <f>SUM(W167,V167,T167,S167)</f>
        <v>8</v>
      </c>
      <c r="X175" s="223">
        <f>SUM(X167,W167,V167,T167)</f>
        <v>5</v>
      </c>
      <c r="Y175" s="223">
        <f>SUM(Y167,X167,W167,V167)</f>
        <v>6</v>
      </c>
      <c r="Z175" s="1125">
        <f>SUM(Z167)</f>
        <v>6</v>
      </c>
      <c r="AA175" s="223">
        <f>SUM(AA167,Y167,X167,W167)</f>
        <v>6</v>
      </c>
      <c r="AB175" s="223">
        <f>SUM(AB167,AA167,Y167,X167)</f>
        <v>6</v>
      </c>
      <c r="AC175" s="223">
        <f>SUM(AC167,AB167,AA167,Y167)</f>
        <v>6</v>
      </c>
      <c r="AD175" s="223">
        <f>SUM(AD167,AC167,AB167,AA167)</f>
        <v>6</v>
      </c>
      <c r="AE175" s="1125">
        <f>SUM(AE167)</f>
        <v>6</v>
      </c>
      <c r="AF175" s="223">
        <f>SUM(AF167,AD167,AC167,AB167)</f>
        <v>4</v>
      </c>
      <c r="AG175" s="223">
        <f>SUM(AG167,AF167,AD167,AC167)</f>
        <v>7</v>
      </c>
      <c r="AH175" s="223">
        <f>SUM(AH167,AG167,AF167,AD167)</f>
        <v>6</v>
      </c>
      <c r="AI175" s="223">
        <f>SUM(AI167,AH167,AG167,AF167)</f>
        <v>6</v>
      </c>
      <c r="AJ175" s="1125">
        <f>SUM(AJ167)</f>
        <v>6</v>
      </c>
      <c r="AK175" s="223">
        <f>SUM(AK167,AI167,AH167,AG167)</f>
        <v>8</v>
      </c>
      <c r="AL175" s="223">
        <f>SUM(AL167,AK167,AI167,AH167)</f>
        <v>4</v>
      </c>
      <c r="AM175" s="223">
        <f>SUM(AM167,AL167,AK167,AI167)</f>
        <v>4</v>
      </c>
      <c r="AN175" s="223">
        <f>SUM(AN167,AM167,AL167,AK167)</f>
        <v>3</v>
      </c>
      <c r="AO175" s="1125">
        <f>SUM(AO167)</f>
        <v>3</v>
      </c>
      <c r="AP175" s="223">
        <f>SUM(AP167,AN167,AM167,AL167)</f>
        <v>2</v>
      </c>
      <c r="AQ175" s="223">
        <f>SUM(AQ167,AP167,AN167,AM167)</f>
        <v>2</v>
      </c>
      <c r="AR175" s="223">
        <f>SUM(AR167,AQ167,AP167,AN167)</f>
        <v>3</v>
      </c>
      <c r="AS175" s="223">
        <f>SUM(AS167,AR167,AQ167,AP167)</f>
        <v>2</v>
      </c>
      <c r="AT175" s="1125">
        <f>SUM(AT167)</f>
        <v>2</v>
      </c>
      <c r="AU175" s="223">
        <f>SUM(AU167,AS167,AR167,AQ167)</f>
        <v>1</v>
      </c>
      <c r="AV175" s="223">
        <f>SUM(AV167,AU167,AS167,AR167)</f>
        <v>4</v>
      </c>
      <c r="AW175" s="223">
        <f>SUM(AW167,AV167,AU167,AS167)</f>
        <v>3</v>
      </c>
      <c r="AX175" s="223">
        <f>SUM(AX167,AW167,AV167,AU167)</f>
        <v>4</v>
      </c>
      <c r="AY175" s="1125">
        <f>SUM(AY167)</f>
        <v>4</v>
      </c>
      <c r="AZ175" s="223">
        <f>SUM(AZ167,AX167,AW167,AV167)</f>
        <v>6</v>
      </c>
      <c r="BA175" s="223">
        <f>SUM(BA167,AZ167,AX167,AW167)</f>
        <v>4</v>
      </c>
      <c r="BB175" s="223">
        <f>SUM(BB167,BA167,AZ167,AX167)</f>
        <v>4</v>
      </c>
      <c r="BC175" s="223">
        <f>SUM(BC167,BB167,BA167,AZ167)</f>
        <v>4</v>
      </c>
      <c r="BD175" s="1125">
        <f>SUM(BD167)</f>
        <v>4</v>
      </c>
      <c r="BE175" s="223">
        <f>SUM(BE167,BC167,BB167,BA167)</f>
        <v>4</v>
      </c>
      <c r="BF175" s="223">
        <f>SUM(BF167,BE167,BC167,BB167)</f>
        <v>3</v>
      </c>
      <c r="BG175" s="223">
        <f>SUM(BG167,BF167,BE167,BC167)</f>
        <v>4</v>
      </c>
      <c r="BH175" s="223">
        <f>SUM(BH167,BG167,BF167,BE167)</f>
        <v>3</v>
      </c>
      <c r="BI175" s="1125">
        <f>SUM(BI167)</f>
        <v>3</v>
      </c>
      <c r="BJ175" s="1169">
        <f>SUM(BJ167,BH167,BG167,BF167)</f>
        <v>1</v>
      </c>
      <c r="BK175" s="487">
        <f>SUM(BK167,BJ167,BH167,BG167)</f>
        <v>2</v>
      </c>
      <c r="BL175" s="487">
        <f>SUM(BL167,BK167,BJ167,BH167)</f>
        <v>2</v>
      </c>
      <c r="BM175" s="487">
        <f>SUM(BM167,BL167,BK167,BJ167)</f>
        <v>3</v>
      </c>
      <c r="BN175" s="425">
        <f>SUM(BN167)</f>
        <v>3</v>
      </c>
      <c r="BO175" s="487">
        <f>SUM(BO167,BM167,BL167,BK167)</f>
        <v>4</v>
      </c>
      <c r="BP175" s="487">
        <f>SUM(BP167,BO167,BM167,BL167)</f>
        <v>4</v>
      </c>
      <c r="BQ175" s="487">
        <f>SUM(BQ167,BP167,BO167,BM167)</f>
        <v>4</v>
      </c>
      <c r="BR175" s="487">
        <f>SUM(BR167,BQ167,BP167,BO167)</f>
        <v>4</v>
      </c>
      <c r="BS175" s="425">
        <f>SUM(BS167)</f>
        <v>4</v>
      </c>
      <c r="BT175" s="425">
        <f>SUM(BT167)</f>
        <v>4</v>
      </c>
      <c r="BU175" s="425">
        <f>SUM(BU167)</f>
        <v>4</v>
      </c>
      <c r="BV175" s="425">
        <f>SUM(BV167)</f>
        <v>4</v>
      </c>
      <c r="BW175" s="223"/>
    </row>
    <row r="176" spans="1:75" s="169" customFormat="1" ht="14.25" hidden="1" outlineLevel="1" x14ac:dyDescent="0.45">
      <c r="A176" s="163"/>
      <c r="B176" s="1121"/>
      <c r="C176" s="840"/>
      <c r="D176" s="840"/>
      <c r="E176" s="840"/>
      <c r="F176" s="840"/>
      <c r="G176" s="247"/>
      <c r="H176" s="247"/>
      <c r="I176" s="247"/>
      <c r="J176" s="247"/>
      <c r="K176" s="840"/>
      <c r="L176" s="247"/>
      <c r="M176" s="247"/>
      <c r="N176" s="247"/>
      <c r="O176" s="247"/>
      <c r="P176" s="840"/>
      <c r="Q176" s="247"/>
      <c r="R176" s="247"/>
      <c r="S176" s="247"/>
      <c r="T176" s="247"/>
      <c r="U176" s="840"/>
      <c r="V176" s="247"/>
      <c r="W176" s="247"/>
      <c r="X176" s="247"/>
      <c r="Y176" s="247"/>
      <c r="Z176" s="840"/>
      <c r="AA176" s="247"/>
      <c r="AB176" s="247"/>
      <c r="AC176" s="247"/>
      <c r="AD176" s="247"/>
      <c r="AE176" s="840"/>
      <c r="AF176" s="247"/>
      <c r="AG176" s="247"/>
      <c r="AH176" s="247"/>
      <c r="AI176" s="247"/>
      <c r="AJ176" s="840"/>
      <c r="AK176" s="247"/>
      <c r="AL176" s="247"/>
      <c r="AM176" s="247"/>
      <c r="AN176" s="247"/>
      <c r="AO176" s="840"/>
      <c r="AP176" s="247"/>
      <c r="AQ176" s="247"/>
      <c r="AR176" s="247"/>
      <c r="AS176" s="247"/>
      <c r="AT176" s="840"/>
      <c r="AU176" s="247"/>
      <c r="AV176" s="247"/>
      <c r="AW176" s="247"/>
      <c r="AX176" s="247"/>
      <c r="AY176" s="840"/>
      <c r="AZ176" s="247"/>
      <c r="BA176" s="247"/>
      <c r="BB176" s="247"/>
      <c r="BC176" s="247"/>
      <c r="BD176" s="840"/>
      <c r="BE176" s="247"/>
      <c r="BF176" s="247"/>
      <c r="BG176" s="247"/>
      <c r="BH176" s="247"/>
      <c r="BI176" s="840"/>
      <c r="BJ176" s="977"/>
      <c r="BK176" s="247"/>
      <c r="BL176" s="247"/>
      <c r="BM176" s="247"/>
      <c r="BN176" s="840"/>
      <c r="BO176" s="247"/>
      <c r="BP176" s="247"/>
      <c r="BQ176" s="247"/>
      <c r="BR176" s="247"/>
      <c r="BS176" s="840"/>
      <c r="BT176" s="840"/>
      <c r="BU176" s="840"/>
      <c r="BV176" s="840"/>
      <c r="BW176" s="168"/>
    </row>
    <row r="177" spans="1:75" s="224" customFormat="1" hidden="1" outlineLevel="1" x14ac:dyDescent="0.5">
      <c r="A177" s="218" t="s">
        <v>1760</v>
      </c>
      <c r="B177" s="494"/>
      <c r="C177" s="220"/>
      <c r="D177" s="220">
        <f>D191/D174*1000</f>
        <v>6300</v>
      </c>
      <c r="E177" s="220">
        <f>E191/E174*1000</f>
        <v>6404.8387096774195</v>
      </c>
      <c r="F177" s="220">
        <f>F191/F174*1000</f>
        <v>6504.2208636836622</v>
      </c>
      <c r="G177" s="221"/>
      <c r="H177" s="221"/>
      <c r="I177" s="221"/>
      <c r="J177" s="221"/>
      <c r="K177" s="220">
        <f>K191/K174*1000</f>
        <v>6601.1922714064276</v>
      </c>
      <c r="L177" s="221">
        <f>L191/L174*1000</f>
        <v>6599.9951136417767</v>
      </c>
      <c r="M177" s="221">
        <f>M191/M174*1000</f>
        <v>6599.9950935333072</v>
      </c>
      <c r="N177" s="221">
        <f>N191/N174*1000</f>
        <v>6599.9951538587175</v>
      </c>
      <c r="O177" s="221">
        <f>O191/O174*1000</f>
        <v>6599.9951538587165</v>
      </c>
      <c r="P177" s="220">
        <f>O177</f>
        <v>6599.9951538587165</v>
      </c>
      <c r="Q177" s="221">
        <f>Q191/Q174*1000</f>
        <v>6600.0001853217054</v>
      </c>
      <c r="R177" s="221">
        <f>R191/R174*1000</f>
        <v>6600.0001853217054</v>
      </c>
      <c r="S177" s="221">
        <f>S191/S174*1000</f>
        <v>6600.0001415710776</v>
      </c>
      <c r="T177" s="221">
        <f>T191/T174*1000</f>
        <v>6599.9999953910301</v>
      </c>
      <c r="U177" s="220">
        <f t="shared" ref="U177" si="406">T177</f>
        <v>6599.9999953910301</v>
      </c>
      <c r="V177" s="221">
        <f>V191/V174*1000</f>
        <v>6599.9999953910301</v>
      </c>
      <c r="W177" s="221">
        <f>W191/W174*1000</f>
        <v>6599.9999953910301</v>
      </c>
      <c r="X177" s="221">
        <f>X191/X174*1000</f>
        <v>6599.9999970396721</v>
      </c>
      <c r="Y177" s="221">
        <f>Y191/Y174*1000</f>
        <v>6600.0000001572844</v>
      </c>
      <c r="Z177" s="220">
        <f t="shared" ref="Z177" si="407">Y177</f>
        <v>6600.0000001572844</v>
      </c>
      <c r="AA177" s="221">
        <f>AA191/AA174*1000</f>
        <v>6600.0000001558983</v>
      </c>
      <c r="AB177" s="221">
        <f>AB191/AB174*1000</f>
        <v>6600.0000001349999</v>
      </c>
      <c r="AC177" s="221">
        <f>AC191/AC174*1000</f>
        <v>6600.0000001141025</v>
      </c>
      <c r="AD177" s="221">
        <f>AD191/AD174*1000</f>
        <v>6599.9999999930615</v>
      </c>
      <c r="AE177" s="220">
        <f t="shared" ref="AE177" si="408">AD177</f>
        <v>6599.9999999930615</v>
      </c>
      <c r="AF177" s="221">
        <f>AF191/AF174*1000</f>
        <v>6699.9999999951424</v>
      </c>
      <c r="AG177" s="221">
        <f>AG191/AG174*1000</f>
        <v>6699.5433789905992</v>
      </c>
      <c r="AH177" s="221">
        <f>AH191/AH174*1000</f>
        <v>6804.999999996413</v>
      </c>
      <c r="AI177" s="221">
        <f>AI191/AI174*1000</f>
        <v>6800.7476635515823</v>
      </c>
      <c r="AJ177" s="220">
        <f t="shared" ref="AJ177" si="409">AI177</f>
        <v>6800.7476635515823</v>
      </c>
      <c r="AK177" s="221">
        <f>AK191/AK174*1000</f>
        <v>6752.4011161803619</v>
      </c>
      <c r="AL177" s="221">
        <f>AL191/AL174*1000</f>
        <v>6752.1338108133023</v>
      </c>
      <c r="AM177" s="221">
        <f>AM191/AM174*1000</f>
        <v>6854.0029696918064</v>
      </c>
      <c r="AN177" s="221">
        <f>AN191/AN174*1000</f>
        <v>6906.7221490623879</v>
      </c>
      <c r="AO177" s="220">
        <f t="shared" ref="AO177" si="410">AN177</f>
        <v>6906.7221490623879</v>
      </c>
      <c r="AP177" s="221">
        <f>AP191/AP174*1000</f>
        <v>6849.5312928140893</v>
      </c>
      <c r="AQ177" s="221">
        <f>AQ191/AQ174*1000</f>
        <v>6748.0844783219172</v>
      </c>
      <c r="AR177" s="221">
        <f>AR191/AR174*1000</f>
        <v>6748.0844783219163</v>
      </c>
      <c r="AS177" s="221">
        <f>AS191/AS174*1000</f>
        <v>6799.7546710289707</v>
      </c>
      <c r="AT177" s="220">
        <f t="shared" ref="AT177" si="411">AS177</f>
        <v>6799.7546710289707</v>
      </c>
      <c r="AU177" s="221">
        <f>AU191/AU174*1000</f>
        <v>6800.2676057818462</v>
      </c>
      <c r="AV177" s="221">
        <f>AV191/AV174*1000</f>
        <v>6800.2676057818453</v>
      </c>
      <c r="AW177" s="221">
        <f>AW191/AW174*1000</f>
        <v>6799.9971978452168</v>
      </c>
      <c r="AX177" s="221">
        <f>AX191/AX174*1000</f>
        <v>6799.9971978452159</v>
      </c>
      <c r="AY177" s="220">
        <f t="shared" ref="AY177" si="412">AX177</f>
        <v>6799.9971978452159</v>
      </c>
      <c r="AZ177" s="221">
        <f>AZ191/AZ174*1000</f>
        <v>6799.9971978452159</v>
      </c>
      <c r="BA177" s="221">
        <f>BA191/BA174*1000</f>
        <v>6720.4682459290625</v>
      </c>
      <c r="BB177" s="221">
        <f>BB191/BB174*1000</f>
        <v>6720.4682459290625</v>
      </c>
      <c r="BC177" s="221">
        <f>BC191/BC174*1000</f>
        <v>6720.9618664807431</v>
      </c>
      <c r="BD177" s="220">
        <f>BC177</f>
        <v>6720.9618664807431</v>
      </c>
      <c r="BE177" s="221">
        <f>BE191/BE174*1000</f>
        <v>6830.6393414179083</v>
      </c>
      <c r="BF177" s="221">
        <f>BF191/BF174*1000</f>
        <v>6805.7945687069487</v>
      </c>
      <c r="BG177" s="221">
        <f>BG191/BG174*1000</f>
        <v>6805.7945687069496</v>
      </c>
      <c r="BH177" s="221">
        <f>BH191/BH174*1000</f>
        <v>6795.728674049833</v>
      </c>
      <c r="BI177" s="220">
        <f>BH177</f>
        <v>6795.728674049833</v>
      </c>
      <c r="BJ177" s="1118">
        <f>BJ191/BJ174*1000</f>
        <v>6901.2155539521682</v>
      </c>
      <c r="BK177" s="221">
        <f>BK191/BK174*1000</f>
        <v>6901.2155539521682</v>
      </c>
      <c r="BL177" s="221">
        <f>BL191/BL174*1000</f>
        <v>6899.9513778419141</v>
      </c>
      <c r="BM177" s="221">
        <f>BM191/BM174*1000</f>
        <v>6899.9513778419141</v>
      </c>
      <c r="BN177" s="220">
        <f>BM177</f>
        <v>6899.9513778419141</v>
      </c>
      <c r="BO177" s="221">
        <f>BO191/BO174*1000</f>
        <v>6899.9513778419141</v>
      </c>
      <c r="BP177" s="221">
        <f>BP191/BP174*1000</f>
        <v>6924.2603352580154</v>
      </c>
      <c r="BQ177" s="221">
        <f>BQ191/BQ174*1000</f>
        <v>6948.7293833401936</v>
      </c>
      <c r="BR177" s="221">
        <f>BR191/BR174*1000</f>
        <v>6973.3757433649953</v>
      </c>
      <c r="BS177" s="220">
        <f>BR177</f>
        <v>6973.3757433649953</v>
      </c>
      <c r="BT177" s="220">
        <f>BT191/BT174*1000</f>
        <v>7077.3603818971742</v>
      </c>
      <c r="BU177" s="220">
        <f>BU191/BU174*1000</f>
        <v>7189.6994355780807</v>
      </c>
      <c r="BV177" s="220">
        <f>BV191/BV174*1000</f>
        <v>7309.5277595043817</v>
      </c>
      <c r="BW177" s="223"/>
    </row>
    <row r="178" spans="1:75" s="177" customFormat="1" ht="14.25" hidden="1" outlineLevel="1" x14ac:dyDescent="0.45">
      <c r="A178" s="189" t="s">
        <v>1761</v>
      </c>
      <c r="B178" s="491"/>
      <c r="C178" s="172"/>
      <c r="D178" s="172">
        <f>IFERROR(D180/D177,"n/a")</f>
        <v>2.0317460317460299</v>
      </c>
      <c r="E178" s="172">
        <f>IFERROR(E180/E177,"n/a")</f>
        <v>1.3498317346214599</v>
      </c>
      <c r="F178" s="172">
        <f>IFERROR(F180/F177,"n/a")</f>
        <v>1.7451198843302937</v>
      </c>
      <c r="G178" s="175"/>
      <c r="H178" s="175"/>
      <c r="I178" s="175"/>
      <c r="J178" s="175"/>
      <c r="K178" s="172">
        <f t="shared" ref="K178:BJ178" si="413">IFERROR(K180/K177,"n/a")</f>
        <v>0.99360108432717309</v>
      </c>
      <c r="L178" s="175">
        <f t="shared" si="413"/>
        <v>1.0001813876743904</v>
      </c>
      <c r="M178" s="175" t="str">
        <f t="shared" si="413"/>
        <v>n/a</v>
      </c>
      <c r="N178" s="175">
        <f t="shared" si="413"/>
        <v>1.0000002386613049</v>
      </c>
      <c r="O178" s="175">
        <f t="shared" si="413"/>
        <v>0.9999981643390754</v>
      </c>
      <c r="P178" s="172">
        <f t="shared" si="413"/>
        <v>1.0000297377069784</v>
      </c>
      <c r="Q178" s="175" t="str">
        <f t="shared" si="413"/>
        <v>n/a</v>
      </c>
      <c r="R178" s="175" t="str">
        <f t="shared" si="413"/>
        <v>n/a</v>
      </c>
      <c r="S178" s="175">
        <f t="shared" si="413"/>
        <v>0.99999999258936167</v>
      </c>
      <c r="T178" s="175">
        <f t="shared" si="413"/>
        <v>1.0000001079491665</v>
      </c>
      <c r="U178" s="172">
        <f t="shared" si="413"/>
        <v>1.000000033380116</v>
      </c>
      <c r="V178" s="175">
        <f t="shared" si="413"/>
        <v>1.000000000698315</v>
      </c>
      <c r="W178" s="175">
        <f t="shared" si="413"/>
        <v>1</v>
      </c>
      <c r="X178" s="175">
        <f t="shared" si="413"/>
        <v>0.99999999975020581</v>
      </c>
      <c r="Y178" s="175">
        <f t="shared" si="413"/>
        <v>0.99999999795777783</v>
      </c>
      <c r="Z178" s="172">
        <f t="shared" si="413"/>
        <v>0.99999999907059112</v>
      </c>
      <c r="AA178" s="175">
        <f t="shared" si="413"/>
        <v>1.0000000000121152</v>
      </c>
      <c r="AB178" s="175">
        <f t="shared" si="413"/>
        <v>0.99999999997956612</v>
      </c>
      <c r="AC178" s="175">
        <f t="shared" si="413"/>
        <v>4.5303030302655918</v>
      </c>
      <c r="AD178" s="175">
        <f t="shared" si="413"/>
        <v>0.96212121218273239</v>
      </c>
      <c r="AE178" s="172">
        <f t="shared" si="413"/>
        <v>1.5757575757981312</v>
      </c>
      <c r="AF178" s="175" t="str">
        <f t="shared" si="413"/>
        <v>n/a</v>
      </c>
      <c r="AG178" s="175">
        <f t="shared" si="413"/>
        <v>1.0075313522359119</v>
      </c>
      <c r="AH178" s="175" t="str">
        <f t="shared" si="413"/>
        <v>n/a</v>
      </c>
      <c r="AI178" s="175">
        <f t="shared" si="413"/>
        <v>2.6203001319239458</v>
      </c>
      <c r="AJ178" s="172">
        <f t="shared" si="413"/>
        <v>1.5351253298143201</v>
      </c>
      <c r="AK178" s="175">
        <f t="shared" si="413"/>
        <v>0.13353505330576981</v>
      </c>
      <c r="AL178" s="175" t="str">
        <f t="shared" si="413"/>
        <v>n/a</v>
      </c>
      <c r="AM178" s="175" t="str">
        <f t="shared" si="413"/>
        <v>n/a</v>
      </c>
      <c r="AN178" s="175">
        <f t="shared" si="413"/>
        <v>2.533535898996147</v>
      </c>
      <c r="AO178" s="172">
        <f t="shared" si="413"/>
        <v>0.9315462327110714</v>
      </c>
      <c r="AP178" s="175">
        <f t="shared" si="413"/>
        <v>1.0073681986442957</v>
      </c>
      <c r="AQ178" s="175" t="str">
        <f t="shared" si="413"/>
        <v>n/a</v>
      </c>
      <c r="AR178" s="175">
        <f t="shared" si="413"/>
        <v>1.0000000000000002</v>
      </c>
      <c r="AS178" s="175" t="str">
        <f t="shared" si="413"/>
        <v>n/a</v>
      </c>
      <c r="AT178" s="172">
        <f t="shared" si="413"/>
        <v>1.0035718300596046</v>
      </c>
      <c r="AU178" s="175" t="str">
        <f t="shared" si="413"/>
        <v>n/a</v>
      </c>
      <c r="AV178" s="175">
        <f t="shared" si="413"/>
        <v>0.99998688258573509</v>
      </c>
      <c r="AW178" s="175" t="str">
        <f t="shared" si="413"/>
        <v>n/a</v>
      </c>
      <c r="AX178" s="175">
        <f t="shared" si="413"/>
        <v>0.99999175836488785</v>
      </c>
      <c r="AY178" s="172">
        <f t="shared" si="413"/>
        <v>1.000017925556369</v>
      </c>
      <c r="AZ178" s="175">
        <f t="shared" si="413"/>
        <v>2.2867654421754864</v>
      </c>
      <c r="BA178" s="175">
        <f t="shared" si="413"/>
        <v>0.43151630026558413</v>
      </c>
      <c r="BB178" s="175" t="str">
        <f t="shared" si="413"/>
        <v>n/a</v>
      </c>
      <c r="BC178" s="175">
        <f t="shared" si="413"/>
        <v>0.88159266827119043</v>
      </c>
      <c r="BD178" s="172">
        <f t="shared" si="413"/>
        <v>1.4850976798320334</v>
      </c>
      <c r="BE178" s="175">
        <f t="shared" si="413"/>
        <v>2.1917365444408108</v>
      </c>
      <c r="BF178" s="175" t="str">
        <f t="shared" si="413"/>
        <v>n/a</v>
      </c>
      <c r="BG178" s="175">
        <f t="shared" si="413"/>
        <v>0.986158055412652</v>
      </c>
      <c r="BH178" s="175" t="str">
        <f t="shared" si="413"/>
        <v>n/a</v>
      </c>
      <c r="BI178" s="172">
        <f t="shared" si="413"/>
        <v>1.7978701342379275</v>
      </c>
      <c r="BJ178" s="1111" t="str">
        <f t="shared" si="413"/>
        <v>n/a</v>
      </c>
      <c r="BK178" s="190">
        <v>1.5</v>
      </c>
      <c r="BL178" s="190">
        <v>1.5</v>
      </c>
      <c r="BM178" s="190">
        <v>1.5</v>
      </c>
      <c r="BN178" s="172">
        <f>IFERROR(BN180/BN177,"n/a")</f>
        <v>1.5000916076100415</v>
      </c>
      <c r="BO178" s="190">
        <v>1.5</v>
      </c>
      <c r="BP178" s="190">
        <v>1.5</v>
      </c>
      <c r="BQ178" s="190">
        <v>1.5</v>
      </c>
      <c r="BR178" s="190">
        <v>1.5</v>
      </c>
      <c r="BS178" s="172">
        <f>IFERROR(BS180/BS177,"n/a")</f>
        <v>1.4920849238371976</v>
      </c>
      <c r="BT178" s="191">
        <v>1.5</v>
      </c>
      <c r="BU178" s="191">
        <v>1.5</v>
      </c>
      <c r="BV178" s="191">
        <v>1.5</v>
      </c>
      <c r="BW178" s="176"/>
    </row>
    <row r="179" spans="1:75" s="177" customFormat="1" ht="14.25" hidden="1" outlineLevel="1" x14ac:dyDescent="0.45">
      <c r="A179" s="189" t="s">
        <v>1762</v>
      </c>
      <c r="B179" s="491"/>
      <c r="C179" s="172"/>
      <c r="D179" s="191">
        <v>1</v>
      </c>
      <c r="E179" s="191">
        <v>1</v>
      </c>
      <c r="F179" s="191">
        <v>1</v>
      </c>
      <c r="G179" s="175"/>
      <c r="H179" s="175"/>
      <c r="I179" s="175"/>
      <c r="J179" s="175"/>
      <c r="K179" s="172">
        <f>K186/K168*1000/F177</f>
        <v>1.0110442670602329</v>
      </c>
      <c r="L179" s="190">
        <v>1</v>
      </c>
      <c r="M179" s="190">
        <v>1</v>
      </c>
      <c r="N179" s="190">
        <v>1</v>
      </c>
      <c r="O179" s="190">
        <v>1</v>
      </c>
      <c r="P179" s="172">
        <f>IFERROR(SUM(L186*L179,M186*M179,N186*N179,O186*O179)/P186,"n/a")</f>
        <v>1</v>
      </c>
      <c r="Q179" s="190">
        <v>1</v>
      </c>
      <c r="R179" s="190">
        <v>1</v>
      </c>
      <c r="S179" s="190">
        <v>1</v>
      </c>
      <c r="T179" s="190">
        <v>1</v>
      </c>
      <c r="U179" s="172">
        <f>IFERROR(SUM(Q186*Q179,R186*R179,S186*S179,T186*T179)/U186,"n/a")</f>
        <v>1</v>
      </c>
      <c r="V179" s="190">
        <v>1</v>
      </c>
      <c r="W179" s="190">
        <v>1</v>
      </c>
      <c r="X179" s="190">
        <v>1</v>
      </c>
      <c r="Y179" s="190">
        <v>1</v>
      </c>
      <c r="Z179" s="172">
        <f>SUM(V186*V179,W186*W179,X186*X179,Y186*Y179)/Z186</f>
        <v>1</v>
      </c>
      <c r="AA179" s="190">
        <v>1</v>
      </c>
      <c r="AB179" s="190">
        <v>1</v>
      </c>
      <c r="AC179" s="190">
        <v>1</v>
      </c>
      <c r="AD179" s="190">
        <v>1</v>
      </c>
      <c r="AE179" s="172">
        <f>SUM(AA186*AA179,AB186*AB179,AC186*AC179,AD186*AD179)/AE186</f>
        <v>1</v>
      </c>
      <c r="AF179" s="190">
        <v>1</v>
      </c>
      <c r="AG179" s="190">
        <v>1</v>
      </c>
      <c r="AH179" s="190">
        <v>1</v>
      </c>
      <c r="AI179" s="190">
        <v>1</v>
      </c>
      <c r="AJ179" s="172">
        <f>SUM(AF186*AF179,AG186*AG179,AH186*AH179,AI186*AI179)/AJ186</f>
        <v>1</v>
      </c>
      <c r="AK179" s="190">
        <v>1.5</v>
      </c>
      <c r="AL179" s="190">
        <v>1</v>
      </c>
      <c r="AM179" s="190">
        <v>1</v>
      </c>
      <c r="AN179" s="190">
        <v>1.2</v>
      </c>
      <c r="AO179" s="172">
        <f>SUM(AK186*AK179,AL186*AL179,AM186*AM179,AN186*AN179)/AO186</f>
        <v>1.3496405533295723</v>
      </c>
      <c r="AP179" s="190">
        <v>1</v>
      </c>
      <c r="AQ179" s="190">
        <v>1</v>
      </c>
      <c r="AR179" s="190">
        <v>1</v>
      </c>
      <c r="AS179" s="190">
        <v>1</v>
      </c>
      <c r="AT179" s="172">
        <f>SUM(AP186*AP179,AQ186*AQ179,AR186*AR179,AS186*AS179)/AT186</f>
        <v>1</v>
      </c>
      <c r="AU179" s="190">
        <v>1</v>
      </c>
      <c r="AV179" s="190">
        <v>1</v>
      </c>
      <c r="AW179" s="190">
        <v>1</v>
      </c>
      <c r="AX179" s="190">
        <v>1</v>
      </c>
      <c r="AY179" s="172">
        <f>SUM(AU186*AU179,AV186*AV179,AW186*AW179,AX186*AX179)/AY186</f>
        <v>1</v>
      </c>
      <c r="AZ179" s="190">
        <v>1</v>
      </c>
      <c r="BA179" s="190">
        <v>3</v>
      </c>
      <c r="BB179" s="190">
        <v>1</v>
      </c>
      <c r="BC179" s="190">
        <v>1</v>
      </c>
      <c r="BD179" s="172">
        <f>SUM(AZ186*AZ179,BA186*BA179,BB186*BB179,BC186*BC179)/BD186</f>
        <v>1.4034603402296701</v>
      </c>
      <c r="BE179" s="190">
        <v>1</v>
      </c>
      <c r="BF179" s="190">
        <v>1</v>
      </c>
      <c r="BG179" s="190">
        <v>1</v>
      </c>
      <c r="BH179" s="190">
        <v>1</v>
      </c>
      <c r="BI179" s="172">
        <f>SUM(BE186*BE179,BF186*BF179,BG186*BG179,BH186*BH179)/BI186</f>
        <v>1</v>
      </c>
      <c r="BJ179" s="1131">
        <v>1</v>
      </c>
      <c r="BK179" s="190">
        <v>1</v>
      </c>
      <c r="BL179" s="190">
        <v>1</v>
      </c>
      <c r="BM179" s="190">
        <v>1</v>
      </c>
      <c r="BN179" s="172">
        <f>SUM(BJ186*BJ179,BK186*BK179,BL186*BL179,BM186*BM179)/BN186</f>
        <v>1</v>
      </c>
      <c r="BO179" s="190">
        <v>1</v>
      </c>
      <c r="BP179" s="190">
        <v>1</v>
      </c>
      <c r="BQ179" s="190">
        <v>1</v>
      </c>
      <c r="BR179" s="190">
        <v>1</v>
      </c>
      <c r="BS179" s="172">
        <f>SUM(BO186*BO179,BP186*BP179,BQ186*BQ179,BR186*BR179)/BS186</f>
        <v>1</v>
      </c>
      <c r="BT179" s="191">
        <v>1</v>
      </c>
      <c r="BU179" s="191">
        <v>1</v>
      </c>
      <c r="BV179" s="191">
        <v>1</v>
      </c>
      <c r="BW179" s="176"/>
    </row>
    <row r="180" spans="1:75" s="224" customFormat="1" hidden="1" outlineLevel="1" x14ac:dyDescent="0.5">
      <c r="A180" s="218" t="s">
        <v>1763</v>
      </c>
      <c r="B180" s="494"/>
      <c r="C180" s="220"/>
      <c r="D180" s="220">
        <f>IFERROR(D185/D167*1000,"n/a")</f>
        <v>12799.999999999989</v>
      </c>
      <c r="E180" s="220">
        <f>IFERROR(E185/E167*1000,"n/a")</f>
        <v>8645.4545454545441</v>
      </c>
      <c r="F180" s="220">
        <f>IFERROR(F185/F167*1000,"n/a")</f>
        <v>11350.645161290317</v>
      </c>
      <c r="G180" s="221"/>
      <c r="H180" s="221"/>
      <c r="I180" s="221"/>
      <c r="J180" s="221"/>
      <c r="K180" s="220">
        <f t="shared" ref="K180:BJ180" si="414">IFERROR(K185/K167*1000,"n/a")</f>
        <v>6558.9517987215813</v>
      </c>
      <c r="L180" s="221">
        <f t="shared" si="414"/>
        <v>6601.1922714064276</v>
      </c>
      <c r="M180" s="221" t="str">
        <f t="shared" si="414"/>
        <v>n/a</v>
      </c>
      <c r="N180" s="221">
        <f t="shared" si="414"/>
        <v>6599.9967290221739</v>
      </c>
      <c r="O180" s="221">
        <f t="shared" si="414"/>
        <v>6599.9830385055102</v>
      </c>
      <c r="P180" s="220">
        <f t="shared" si="414"/>
        <v>6600.1914225806613</v>
      </c>
      <c r="Q180" s="221" t="str">
        <f t="shared" si="414"/>
        <v>n/a</v>
      </c>
      <c r="R180" s="221" t="str">
        <f t="shared" si="414"/>
        <v>n/a</v>
      </c>
      <c r="S180" s="221">
        <f t="shared" si="414"/>
        <v>6600.0000926608636</v>
      </c>
      <c r="T180" s="221">
        <f t="shared" si="414"/>
        <v>6600.0007078555282</v>
      </c>
      <c r="U180" s="220">
        <f t="shared" si="414"/>
        <v>6600.0002156997962</v>
      </c>
      <c r="V180" s="221">
        <f t="shared" si="414"/>
        <v>6599.9999999999091</v>
      </c>
      <c r="W180" s="221">
        <f t="shared" si="414"/>
        <v>6599.9999953910301</v>
      </c>
      <c r="X180" s="221">
        <f t="shared" si="414"/>
        <v>6599.9999953910301</v>
      </c>
      <c r="Y180" s="221">
        <f t="shared" si="414"/>
        <v>6599.9999866786184</v>
      </c>
      <c r="Z180" s="220">
        <f t="shared" si="414"/>
        <v>6599.9999940231855</v>
      </c>
      <c r="AA180" s="221">
        <f t="shared" si="414"/>
        <v>6600.0000002358593</v>
      </c>
      <c r="AB180" s="221">
        <f t="shared" si="414"/>
        <v>6600.0000000001364</v>
      </c>
      <c r="AC180" s="221">
        <f t="shared" si="414"/>
        <v>29900.000000269822</v>
      </c>
      <c r="AD180" s="221">
        <f t="shared" si="414"/>
        <v>6350.0000003993582</v>
      </c>
      <c r="AE180" s="220">
        <f t="shared" si="414"/>
        <v>10400.000000256732</v>
      </c>
      <c r="AF180" s="221" t="str">
        <f t="shared" si="414"/>
        <v>n/a</v>
      </c>
      <c r="AG180" s="221">
        <f t="shared" si="414"/>
        <v>6749.9999999975489</v>
      </c>
      <c r="AH180" s="221" t="str">
        <f t="shared" si="414"/>
        <v>n/a</v>
      </c>
      <c r="AI180" s="221">
        <f t="shared" si="414"/>
        <v>17819.999999985677</v>
      </c>
      <c r="AJ180" s="220">
        <f t="shared" si="414"/>
        <v>10439.99999999359</v>
      </c>
      <c r="AK180" s="221">
        <f t="shared" si="414"/>
        <v>901.68224299108419</v>
      </c>
      <c r="AL180" s="221" t="str">
        <f t="shared" si="414"/>
        <v>n/a</v>
      </c>
      <c r="AM180" s="221" t="str">
        <f t="shared" si="414"/>
        <v>n/a</v>
      </c>
      <c r="AN180" s="221">
        <f t="shared" si="414"/>
        <v>17498.428509041376</v>
      </c>
      <c r="AO180" s="220">
        <f t="shared" si="414"/>
        <v>6433.9309983411822</v>
      </c>
      <c r="AP180" s="221">
        <f t="shared" si="414"/>
        <v>6899.9999999998636</v>
      </c>
      <c r="AQ180" s="221" t="str">
        <f t="shared" si="414"/>
        <v>n/a</v>
      </c>
      <c r="AR180" s="221">
        <f t="shared" si="414"/>
        <v>6748.0844783219172</v>
      </c>
      <c r="AS180" s="221" t="str">
        <f t="shared" si="414"/>
        <v>n/a</v>
      </c>
      <c r="AT180" s="220">
        <f t="shared" si="414"/>
        <v>6824.042239160889</v>
      </c>
      <c r="AU180" s="221" t="str">
        <f t="shared" si="414"/>
        <v>n/a</v>
      </c>
      <c r="AV180" s="221">
        <f t="shared" si="414"/>
        <v>6800.1784038545484</v>
      </c>
      <c r="AW180" s="221" t="str">
        <f t="shared" si="414"/>
        <v>n/a</v>
      </c>
      <c r="AX180" s="221">
        <f t="shared" si="414"/>
        <v>6799.9411547495474</v>
      </c>
      <c r="AY180" s="220">
        <f t="shared" si="414"/>
        <v>6800.1190915782954</v>
      </c>
      <c r="AZ180" s="221">
        <f t="shared" si="414"/>
        <v>15549.998598922584</v>
      </c>
      <c r="BA180" s="221">
        <f t="shared" si="414"/>
        <v>2899.9915935356489</v>
      </c>
      <c r="BB180" s="221" t="str">
        <f t="shared" si="414"/>
        <v>n/a</v>
      </c>
      <c r="BC180" s="221">
        <f t="shared" si="414"/>
        <v>5925.1507052196785</v>
      </c>
      <c r="BD180" s="220">
        <f t="shared" si="414"/>
        <v>9981.2848741501239</v>
      </c>
      <c r="BE180" s="221">
        <f t="shared" si="414"/>
        <v>14970.961866480742</v>
      </c>
      <c r="BF180" s="221" t="str">
        <f t="shared" si="414"/>
        <v>n/a</v>
      </c>
      <c r="BG180" s="221">
        <f t="shared" si="414"/>
        <v>6711.5891374140338</v>
      </c>
      <c r="BH180" s="221" t="str">
        <f t="shared" si="414"/>
        <v>n/a</v>
      </c>
      <c r="BI180" s="220">
        <f t="shared" si="414"/>
        <v>12217.837623458507</v>
      </c>
      <c r="BJ180" s="1118" t="str">
        <f t="shared" si="414"/>
        <v>n/a</v>
      </c>
      <c r="BK180" s="221">
        <f>IF(BK167=0,"n/a",BK177*BK178)</f>
        <v>10351.823330928251</v>
      </c>
      <c r="BL180" s="221">
        <f>IF(BL167=0,"n/a",BL177*BL178)</f>
        <v>10349.927066762872</v>
      </c>
      <c r="BM180" s="221">
        <f>IF(BM167=0,"n/a",BM177*BM178)</f>
        <v>10349.927066762872</v>
      </c>
      <c r="BN180" s="220">
        <f>IFERROR(BN185/BN167*1000,"n/a")</f>
        <v>10350.559154817998</v>
      </c>
      <c r="BO180" s="221">
        <f>IF(BO167=0,"n/a",BO177*BO178)</f>
        <v>10349.927066762872</v>
      </c>
      <c r="BP180" s="221">
        <f>IF(BP167=0,"n/a",BP177*BP178)</f>
        <v>10386.390502887023</v>
      </c>
      <c r="BQ180" s="221">
        <f>IF(BQ167=0,"n/a",BQ177*BQ178)</f>
        <v>10423.094075010291</v>
      </c>
      <c r="BR180" s="221">
        <f>IF(BR167=0,"n/a",BR177*BR178)</f>
        <v>10460.063615047493</v>
      </c>
      <c r="BS180" s="220">
        <f>IFERROR(BS185/BS167*1000,"n/a")</f>
        <v>10404.86881492692</v>
      </c>
      <c r="BT180" s="220">
        <f>IF(BT167=0,"n/a",BT177*BT178)</f>
        <v>10616.040572845761</v>
      </c>
      <c r="BU180" s="220">
        <f>IF(BU167=0,"n/a",BU177*BU178)</f>
        <v>10784.549153367121</v>
      </c>
      <c r="BV180" s="220">
        <f>IF(BV167=0,"n/a",BV177*BV178)</f>
        <v>10964.291639256573</v>
      </c>
      <c r="BW180" s="223"/>
    </row>
    <row r="181" spans="1:75" s="224" customFormat="1" hidden="1" outlineLevel="1" x14ac:dyDescent="0.5">
      <c r="A181" s="218" t="s">
        <v>1764</v>
      </c>
      <c r="B181" s="494"/>
      <c r="C181" s="220"/>
      <c r="D181" s="220">
        <f>IFERROR(D185/D167*1000,"n/a")</f>
        <v>12799.999999999989</v>
      </c>
      <c r="E181" s="220">
        <f>IFERROR(E185/E167*1000,"n/a")</f>
        <v>8645.4545454545441</v>
      </c>
      <c r="F181" s="220">
        <f>IFERROR(F185/F167*1000,"n/a")</f>
        <v>11350.645161290317</v>
      </c>
      <c r="G181" s="221"/>
      <c r="H181" s="221"/>
      <c r="I181" s="221"/>
      <c r="J181" s="221"/>
      <c r="K181" s="220">
        <f>IFERROR(K185/K167*1000,"n/a")</f>
        <v>6558.9517987215813</v>
      </c>
      <c r="L181" s="221">
        <f>IFERROR(SUM(L185,J185,I185,H185)/SUM(L167,J167,I167,H167)*1000,"n/a")</f>
        <v>6600.2980678515951</v>
      </c>
      <c r="M181" s="221">
        <f>IFERROR(SUM(M185,L185,J185,I185)/SUM(M167,L167,J167,I167)*1000,"n/a")</f>
        <v>6600.2980678515951</v>
      </c>
      <c r="N181" s="221">
        <f>IFERROR(SUM(N185,M185,L185,J185)/SUM(N167,M167,L167,J167)*1000,"n/a")</f>
        <v>6600.2956146182378</v>
      </c>
      <c r="O181" s="221">
        <f>IFERROR(SUM(O185,N185,M185,L185)/SUM(O167,N167,M167,L167)*1000,"n/a")</f>
        <v>6600.1914225806604</v>
      </c>
      <c r="P181" s="220">
        <f t="shared" ref="P181" si="415">O181</f>
        <v>6600.1914225806604</v>
      </c>
      <c r="Q181" s="221">
        <f>IFERROR(SUM(Q185,O185,N185,M185)/SUM(Q167,O167,N167,M167)*1000,"n/a")</f>
        <v>6599.9912528155082</v>
      </c>
      <c r="R181" s="221">
        <f>IFERROR(SUM(R185,Q185,O185,N185)/SUM(R167,Q167,O167,N167)*1000,"n/a")</f>
        <v>6599.9912528155082</v>
      </c>
      <c r="S181" s="221">
        <f>IFERROR(SUM(S185,R185,Q185,O185)/SUM(S167,R167,Q167,O167)*1000,"n/a")</f>
        <v>6599.9944079424122</v>
      </c>
      <c r="T181" s="221">
        <f>IFERROR(SUM(T185,S185,R185,Q185)/SUM(T167,S167,R167,Q167)*1000,"n/a")</f>
        <v>6600.0002156997962</v>
      </c>
      <c r="U181" s="220">
        <f t="shared" ref="U181" si="416">T181</f>
        <v>6600.0002156997962</v>
      </c>
      <c r="V181" s="221">
        <f>IFERROR(SUM(V185,T185,S185,R185)/SUM(V167,T167,S167,R167)*1000,"n/a")</f>
        <v>6600.0001540712574</v>
      </c>
      <c r="W181" s="221">
        <f>IFERROR(SUM(W185,V185,T185,S185)/SUM(W167,V167,T167,S167)*1000,"n/a")</f>
        <v>6600.0001342362293</v>
      </c>
      <c r="X181" s="221">
        <f>IFERROR(SUM(X185,W185,V185,T185)/SUM(X167,W167,V167,T167)*1000,"n/a")</f>
        <v>6600.0001397274818</v>
      </c>
      <c r="Y181" s="221">
        <f>IFERROR(SUM(Y185,X185,W185,V185)/SUM(Y167,X167,W167,V167)*1000,"n/a")</f>
        <v>6599.9999940231855</v>
      </c>
      <c r="Z181" s="220">
        <f t="shared" ref="Z181" si="417">Y181</f>
        <v>6599.9999940231855</v>
      </c>
      <c r="AA181" s="221">
        <f>IFERROR(SUM(AA185,Y185,X185,W185)/SUM(AA167,Y167,X167,W167)*1000,"n/a")</f>
        <v>6599.9999941018359</v>
      </c>
      <c r="AB181" s="221">
        <f>IFERROR(SUM(AB185,AA185,Y185,X185)/SUM(AB167,AA167,Y167,X167)*1000,"n/a")</f>
        <v>6599.9999948700206</v>
      </c>
      <c r="AC181" s="221">
        <f>IFERROR(SUM(AC185,AB185,AA185,Y185)/SUM(AC167,AB167,AA167,Y167)*1000,"n/a")</f>
        <v>10483.333329016485</v>
      </c>
      <c r="AD181" s="221">
        <f>IFERROR(SUM(AD185,AC185,AB185,AA185)/SUM(AD167,AC167,AB167,AA167)*1000,"n/a")</f>
        <v>10400.000000256732</v>
      </c>
      <c r="AE181" s="220">
        <f t="shared" ref="AE181" si="418">AD181</f>
        <v>10400.000000256732</v>
      </c>
      <c r="AF181" s="221">
        <f>IFERROR(SUM(AF185,AD185,AC185,AB185)/SUM(AF167,AD167,AC167,AB167)*1000,"n/a")</f>
        <v>12300.000000267168</v>
      </c>
      <c r="AG181" s="221">
        <f>IFERROR(SUM(AG185,AF185,AD185,AC185)/SUM(AG167,AF167,AD167,AC167)*1000,"n/a")</f>
        <v>9942.8571430083903</v>
      </c>
      <c r="AH181" s="221">
        <f>IFERROR(SUM(AH185,AG185,AF185,AD185)/SUM(AH167,AG167,AF167,AD167)*1000,"n/a")</f>
        <v>6616.6666667981526</v>
      </c>
      <c r="AI181" s="221">
        <f>IFERROR(SUM(AI185,AH185,AG185,AF185)/SUM(AI167,AH167,AG167,AF167)*1000,"n/a")</f>
        <v>10439.99999999359</v>
      </c>
      <c r="AJ181" s="220">
        <f t="shared" ref="AJ181" si="419">AI181</f>
        <v>10439.99999999359</v>
      </c>
      <c r="AK181" s="221">
        <f>IFERROR(SUM(AK185,AI185,AH185,AG185)/SUM(AK167,AI167,AH167,AG167)*1000,"n/a")</f>
        <v>8055.4205607429649</v>
      </c>
      <c r="AL181" s="221">
        <f>IFERROR(SUM(AL185,AK185,AI185,AH185)/SUM(AL167,AK167,AI167,AH167)*1000,"n/a")</f>
        <v>9360.8411214883818</v>
      </c>
      <c r="AM181" s="221">
        <f>IFERROR(SUM(AM185,AL185,AK185,AI185)/SUM(AM167,AL167,AK167,AI167)*1000,"n/a")</f>
        <v>9360.8411214883818</v>
      </c>
      <c r="AN181" s="221">
        <f>IFERROR(SUM(AN185,AM185,AL185,AK185)/SUM(AN167,AM167,AL167,AK167)*1000,"n/a")</f>
        <v>6433.9309983411813</v>
      </c>
      <c r="AO181" s="220">
        <f t="shared" ref="AO181" si="420">AN181</f>
        <v>6433.9309983411813</v>
      </c>
      <c r="AP181" s="221">
        <f>IFERROR(SUM(AP185,AN185,AM185,AL185)/SUM(AP167,AN167,AM167,AL167)*1000,"n/a")</f>
        <v>12199.214254520619</v>
      </c>
      <c r="AQ181" s="221">
        <f>IFERROR(SUM(AQ185,AP185,AN185,AM185)/SUM(AQ167,AP167,AN167,AM167)*1000,"n/a")</f>
        <v>12199.214254520619</v>
      </c>
      <c r="AR181" s="221">
        <f>IFERROR(SUM(AR185,AQ185,AP185,AN185)/SUM(AR167,AQ167,AP167,AN167)*1000,"n/a")</f>
        <v>10382.170995787719</v>
      </c>
      <c r="AS181" s="221">
        <f>IFERROR(SUM(AS185,AR185,AQ185,AP185)/SUM(AS167,AR167,AQ167,AP167)*1000,"n/a")</f>
        <v>6824.0422391608909</v>
      </c>
      <c r="AT181" s="220">
        <f t="shared" ref="AT181" si="421">AS181</f>
        <v>6824.0422391608909</v>
      </c>
      <c r="AU181" s="221">
        <f>IFERROR(SUM(AU185,AS185,AR185,AQ185)/SUM(AU167,AS167,AR167,AQ167)*1000,"n/a")</f>
        <v>6748.0844783219172</v>
      </c>
      <c r="AV181" s="221">
        <f>IFERROR(SUM(AV185,AU185,AS185,AR185)/SUM(AV167,AU167,AS167,AR167)*1000,"n/a")</f>
        <v>6787.1549224713908</v>
      </c>
      <c r="AW181" s="221">
        <f>IFERROR(SUM(AW185,AV185,AU185,AS185)/SUM(AW167,AV167,AU167,AS167)*1000,"n/a")</f>
        <v>6800.1784038545484</v>
      </c>
      <c r="AX181" s="221">
        <f>IFERROR(SUM(AX185,AW185,AV185,AU185)/SUM(AX167,AW167,AV167,AU167)*1000,"n/a")</f>
        <v>6800.1190915782981</v>
      </c>
      <c r="AY181" s="220">
        <f t="shared" ref="AY181" si="422">AX181</f>
        <v>6800.1190915782981</v>
      </c>
      <c r="AZ181" s="221">
        <f>IFERROR(SUM(AZ185,AX185,AW185,AV185)/SUM(AZ167,AX167,AW167,AV167)*1000,"n/a")</f>
        <v>9716.7455940263935</v>
      </c>
      <c r="BA181" s="221">
        <f>IFERROR(SUM(BA185,AZ185,AX185,AW185)/SUM(BA167,AZ167,AX167,AW167)*1000,"n/a")</f>
        <v>10199.98248653259</v>
      </c>
      <c r="BB181" s="221">
        <f>IFERROR(SUM(BB185,BA185,AZ185,AX185)/SUM(BB167,BA167,AZ167,AX167)*1000,"n/a")</f>
        <v>10199.98248653259</v>
      </c>
      <c r="BC181" s="221">
        <f>IFERROR(SUM(BC185,BB185,BA185,AZ185)/SUM(BC167,BB167,BA167,AZ167)*1000,"n/a")</f>
        <v>9981.2848741501239</v>
      </c>
      <c r="BD181" s="220">
        <f t="shared" ref="BD181" si="423">BC181</f>
        <v>9981.2848741501239</v>
      </c>
      <c r="BE181" s="221">
        <f>IFERROR(SUM(BE185,BC185,BB185,BA185)/SUM(BE167,BC167,BB167,BA167)*1000,"n/a")</f>
        <v>9691.7665079292019</v>
      </c>
      <c r="BF181" s="221">
        <f>IFERROR(SUM(BF185,BE185,BC185,BB185)/SUM(BF167,BE167,BC167,BB167)*1000,"n/a")</f>
        <v>11955.691479393721</v>
      </c>
      <c r="BG181" s="221">
        <f>IFERROR(SUM(BG185,BF185,BE185,BC185)/SUM(BG167,BF167,BE167,BC167)*1000,"n/a")</f>
        <v>10644.6658938988</v>
      </c>
      <c r="BH181" s="221">
        <f>IFERROR(SUM(BH185,BG185,BF185,BE185)/SUM(BH167,BG167,BF167,BE167)*1000,"n/a")</f>
        <v>12217.837623458507</v>
      </c>
      <c r="BI181" s="220">
        <f t="shared" ref="BI181" si="424">BH181</f>
        <v>12217.837623458507</v>
      </c>
      <c r="BJ181" s="1118">
        <f>IFERROR(SUM(BJ185,BH185,BG185,BF185)/SUM(BJ167,BH167,BG167,BF167)*1000,"n/a")</f>
        <v>6711.5891374140338</v>
      </c>
      <c r="BK181" s="221">
        <f>IFERROR(SUM(BK185,BJ185,BH185,BG185)/SUM(BK167,BJ167,BH167,BG167)*1000,"n/a")</f>
        <v>8531.7062341711426</v>
      </c>
      <c r="BL181" s="221">
        <f>IFERROR(SUM(BL185,BK185,BJ185,BH185)/SUM(BL167,BK167,BJ167,BH167)*1000,"n/a")</f>
        <v>10350.875198845561</v>
      </c>
      <c r="BM181" s="221">
        <f>IFERROR(SUM(BM185,BL185,BK185,BJ185)/SUM(BM167,BL167,BK167,BJ167)*1000,"n/a")</f>
        <v>10350.559154817998</v>
      </c>
      <c r="BN181" s="220">
        <f>BM181</f>
        <v>10350.559154817998</v>
      </c>
      <c r="BO181" s="221">
        <f>IFERROR(SUM(BO185,BM185,BL185,BK185)/SUM(BO167,BM167,BL167,BK167)*1000,"n/a")</f>
        <v>10350.401132804216</v>
      </c>
      <c r="BP181" s="221">
        <f>IFERROR(SUM(BP185,BO185,BM185,BL185)/SUM(BP167,BO167,BM167,BL167)*1000,"n/a")</f>
        <v>10359.04292579391</v>
      </c>
      <c r="BQ181" s="221">
        <f>IFERROR(SUM(BQ185,BP185,BO185,BM185)/SUM(BQ167,BP167,BO167,BM167)*1000,"n/a")</f>
        <v>10377.334677855766</v>
      </c>
      <c r="BR181" s="221">
        <f>IFERROR(SUM(BR185,BQ185,BP185,BO185)/SUM(BR167,BQ167,BP167,BO167)*1000,"n/a")</f>
        <v>10404.868814926922</v>
      </c>
      <c r="BS181" s="220">
        <f>BR181</f>
        <v>10404.868814926922</v>
      </c>
      <c r="BT181" s="220">
        <f>IFERROR(BT185/BT167*1000,"n/a")</f>
        <v>10616.040572845761</v>
      </c>
      <c r="BU181" s="220">
        <f>IFERROR(BU185/BU167*1000,"n/a")</f>
        <v>10784.549153367121</v>
      </c>
      <c r="BV181" s="220">
        <f>IFERROR(BV185/BV167*1000,"n/a")</f>
        <v>10964.291639256573</v>
      </c>
      <c r="BW181" s="223"/>
    </row>
    <row r="182" spans="1:75" s="169" customFormat="1" ht="14.25" hidden="1" outlineLevel="1" x14ac:dyDescent="0.45">
      <c r="A182" s="360" t="s">
        <v>1765</v>
      </c>
      <c r="B182" s="1127"/>
      <c r="C182" s="362">
        <f t="shared" ref="C182:BD182" si="425">C442</f>
        <v>6300</v>
      </c>
      <c r="D182" s="362">
        <f t="shared" si="425"/>
        <v>6400</v>
      </c>
      <c r="E182" s="362">
        <f t="shared" si="425"/>
        <v>6500</v>
      </c>
      <c r="F182" s="362">
        <f t="shared" si="425"/>
        <v>6600</v>
      </c>
      <c r="G182" s="346">
        <f t="shared" si="425"/>
        <v>6600</v>
      </c>
      <c r="H182" s="346">
        <f t="shared" si="425"/>
        <v>6600</v>
      </c>
      <c r="I182" s="346">
        <f t="shared" si="425"/>
        <v>6600</v>
      </c>
      <c r="J182" s="553">
        <f t="shared" si="425"/>
        <v>6600</v>
      </c>
      <c r="K182" s="362">
        <f t="shared" si="425"/>
        <v>6600</v>
      </c>
      <c r="L182" s="346">
        <f t="shared" si="425"/>
        <v>6600</v>
      </c>
      <c r="M182" s="346">
        <f t="shared" si="425"/>
        <v>6600</v>
      </c>
      <c r="N182" s="346">
        <f t="shared" si="425"/>
        <v>6600</v>
      </c>
      <c r="O182" s="553">
        <f t="shared" si="425"/>
        <v>6600</v>
      </c>
      <c r="P182" s="362">
        <f t="shared" si="425"/>
        <v>6600</v>
      </c>
      <c r="Q182" s="346">
        <f t="shared" si="425"/>
        <v>6600</v>
      </c>
      <c r="R182" s="346">
        <f t="shared" si="425"/>
        <v>6600</v>
      </c>
      <c r="S182" s="346">
        <f t="shared" si="425"/>
        <v>6600</v>
      </c>
      <c r="T182" s="553">
        <f t="shared" si="425"/>
        <v>6600</v>
      </c>
      <c r="U182" s="362">
        <f t="shared" si="425"/>
        <v>6600</v>
      </c>
      <c r="V182" s="346">
        <f t="shared" si="425"/>
        <v>6600</v>
      </c>
      <c r="W182" s="346">
        <f t="shared" si="425"/>
        <v>6600</v>
      </c>
      <c r="X182" s="346">
        <f t="shared" si="425"/>
        <v>6600</v>
      </c>
      <c r="Y182" s="553">
        <f t="shared" si="425"/>
        <v>6600</v>
      </c>
      <c r="Z182" s="362">
        <f t="shared" si="425"/>
        <v>6600</v>
      </c>
      <c r="AA182" s="346">
        <f t="shared" si="425"/>
        <v>6600</v>
      </c>
      <c r="AB182" s="346">
        <f t="shared" si="425"/>
        <v>6600</v>
      </c>
      <c r="AC182" s="346">
        <f t="shared" si="425"/>
        <v>6700</v>
      </c>
      <c r="AD182" s="553">
        <f t="shared" si="425"/>
        <v>6700</v>
      </c>
      <c r="AE182" s="362">
        <f t="shared" si="425"/>
        <v>6700</v>
      </c>
      <c r="AF182" s="346">
        <f t="shared" si="425"/>
        <v>6800</v>
      </c>
      <c r="AG182" s="346">
        <f t="shared" si="425"/>
        <v>6800</v>
      </c>
      <c r="AH182" s="346">
        <f t="shared" si="425"/>
        <v>6800</v>
      </c>
      <c r="AI182" s="553">
        <f t="shared" si="425"/>
        <v>6900</v>
      </c>
      <c r="AJ182" s="362">
        <f t="shared" si="425"/>
        <v>6900</v>
      </c>
      <c r="AK182" s="346">
        <f t="shared" si="425"/>
        <v>6800</v>
      </c>
      <c r="AL182" s="346">
        <f t="shared" si="425"/>
        <v>6800</v>
      </c>
      <c r="AM182" s="346">
        <f t="shared" si="425"/>
        <v>6900</v>
      </c>
      <c r="AN182" s="553">
        <f t="shared" si="425"/>
        <v>6900</v>
      </c>
      <c r="AO182" s="362">
        <f t="shared" si="425"/>
        <v>6900</v>
      </c>
      <c r="AP182" s="346">
        <f t="shared" si="425"/>
        <v>6900</v>
      </c>
      <c r="AQ182" s="346">
        <f t="shared" si="425"/>
        <v>6800</v>
      </c>
      <c r="AR182" s="346">
        <f t="shared" si="425"/>
        <v>6800</v>
      </c>
      <c r="AS182" s="553">
        <f t="shared" si="425"/>
        <v>6800</v>
      </c>
      <c r="AT182" s="362">
        <f t="shared" si="425"/>
        <v>6800</v>
      </c>
      <c r="AU182" s="346">
        <f t="shared" si="425"/>
        <v>6800</v>
      </c>
      <c r="AV182" s="346">
        <f t="shared" si="425"/>
        <v>6800</v>
      </c>
      <c r="AW182" s="346">
        <f t="shared" si="425"/>
        <v>6800</v>
      </c>
      <c r="AX182" s="553">
        <f t="shared" si="425"/>
        <v>6800</v>
      </c>
      <c r="AY182" s="362">
        <f t="shared" si="425"/>
        <v>6800</v>
      </c>
      <c r="AZ182" s="346">
        <f t="shared" si="425"/>
        <v>6900</v>
      </c>
      <c r="BA182" s="346">
        <f t="shared" si="425"/>
        <v>6800</v>
      </c>
      <c r="BB182" s="346">
        <f t="shared" si="425"/>
        <v>6800</v>
      </c>
      <c r="BC182" s="346">
        <f t="shared" si="425"/>
        <v>6800</v>
      </c>
      <c r="BD182" s="362">
        <f t="shared" si="425"/>
        <v>6800</v>
      </c>
      <c r="BE182" s="346">
        <f>BE442</f>
        <v>6900</v>
      </c>
      <c r="BF182" s="346">
        <f t="shared" ref="BF182:BI182" si="426">BF442</f>
        <v>6900</v>
      </c>
      <c r="BG182" s="346">
        <f t="shared" si="426"/>
        <v>6900</v>
      </c>
      <c r="BH182" s="346">
        <f>BH442</f>
        <v>6900</v>
      </c>
      <c r="BI182" s="362">
        <f t="shared" si="426"/>
        <v>6900</v>
      </c>
      <c r="BJ182" s="1132">
        <f>BJ442</f>
        <v>6900</v>
      </c>
      <c r="BK182" s="346">
        <f>BK188/BK169*1000</f>
        <v>6922.3907575913754</v>
      </c>
      <c r="BL182" s="346">
        <f>BL188/BL169*1000</f>
        <v>6945.3582702235399</v>
      </c>
      <c r="BM182" s="346">
        <f>BM188/BM169*1000</f>
        <v>6968.9635333814358</v>
      </c>
      <c r="BN182" s="362">
        <f t="shared" ref="BN182:BV182" si="427">BN188/BN169*1000</f>
        <v>6968.9635333814358</v>
      </c>
      <c r="BO182" s="346">
        <f t="shared" si="427"/>
        <v>6993.2067766246792</v>
      </c>
      <c r="BP182" s="346">
        <f t="shared" si="427"/>
        <v>7018.3639678754362</v>
      </c>
      <c r="BQ182" s="346">
        <f t="shared" si="427"/>
        <v>7043.9684192989589</v>
      </c>
      <c r="BR182" s="346">
        <f t="shared" si="427"/>
        <v>7070.0375200287108</v>
      </c>
      <c r="BS182" s="362">
        <f t="shared" si="427"/>
        <v>7070.0375200287108</v>
      </c>
      <c r="BT182" s="362">
        <f t="shared" si="427"/>
        <v>7181.4392110427216</v>
      </c>
      <c r="BU182" s="362">
        <f t="shared" si="427"/>
        <v>7300.3101961254361</v>
      </c>
      <c r="BV182" s="362">
        <f t="shared" si="427"/>
        <v>7427.4233685286472</v>
      </c>
      <c r="BW182" s="168"/>
    </row>
    <row r="183" spans="1:75" s="123" customFormat="1" hidden="1" outlineLevel="1" x14ac:dyDescent="0.5">
      <c r="A183" s="184"/>
      <c r="B183" s="489"/>
      <c r="C183" s="401"/>
      <c r="D183" s="401"/>
      <c r="E183" s="401"/>
      <c r="F183" s="401"/>
      <c r="G183" s="118"/>
      <c r="H183" s="118"/>
      <c r="I183" s="118"/>
      <c r="J183" s="118"/>
      <c r="K183" s="401"/>
      <c r="L183" s="118"/>
      <c r="M183" s="118"/>
      <c r="N183" s="118"/>
      <c r="O183" s="118"/>
      <c r="P183" s="401"/>
      <c r="Q183" s="118"/>
      <c r="R183" s="118"/>
      <c r="S183" s="118"/>
      <c r="T183" s="118"/>
      <c r="U183" s="401"/>
      <c r="V183" s="118"/>
      <c r="W183" s="118"/>
      <c r="X183" s="118"/>
      <c r="Y183" s="118"/>
      <c r="Z183" s="401"/>
      <c r="AA183" s="118"/>
      <c r="AB183" s="118"/>
      <c r="AC183" s="118"/>
      <c r="AD183" s="118"/>
      <c r="AE183" s="401"/>
      <c r="AF183" s="118"/>
      <c r="AG183" s="118"/>
      <c r="AH183" s="118"/>
      <c r="AI183" s="118"/>
      <c r="AJ183" s="401"/>
      <c r="AK183" s="118"/>
      <c r="AL183" s="118"/>
      <c r="AM183" s="118"/>
      <c r="AN183" s="118"/>
      <c r="AO183" s="401"/>
      <c r="AP183" s="118"/>
      <c r="AQ183" s="118"/>
      <c r="AR183" s="118"/>
      <c r="AS183" s="118"/>
      <c r="AT183" s="401"/>
      <c r="AU183" s="118"/>
      <c r="AV183" s="118"/>
      <c r="AW183" s="118"/>
      <c r="AX183" s="118"/>
      <c r="AY183" s="401"/>
      <c r="AZ183" s="118"/>
      <c r="BA183" s="118"/>
      <c r="BB183" s="118"/>
      <c r="BC183" s="118"/>
      <c r="BD183" s="401"/>
      <c r="BE183" s="118"/>
      <c r="BF183" s="118"/>
      <c r="BG183" s="118"/>
      <c r="BH183" s="118"/>
      <c r="BI183" s="401"/>
      <c r="BJ183" s="971"/>
      <c r="BK183" s="118"/>
      <c r="BL183" s="118"/>
      <c r="BM183" s="118"/>
      <c r="BN183" s="401"/>
      <c r="BO183" s="118"/>
      <c r="BP183" s="118"/>
      <c r="BQ183" s="118"/>
      <c r="BR183" s="118"/>
      <c r="BS183" s="401"/>
      <c r="BT183" s="401"/>
      <c r="BU183" s="401"/>
      <c r="BV183" s="401"/>
      <c r="BW183" s="122"/>
    </row>
    <row r="184" spans="1:75" s="169" customFormat="1" ht="14.25" hidden="1" outlineLevel="1" x14ac:dyDescent="0.45">
      <c r="A184" s="163" t="s">
        <v>1766</v>
      </c>
      <c r="B184" s="1121"/>
      <c r="C184" s="840"/>
      <c r="D184" s="840">
        <f t="shared" ref="D184:J184" si="428">C188</f>
        <v>1631.7</v>
      </c>
      <c r="E184" s="840">
        <f t="shared" si="428"/>
        <v>1664</v>
      </c>
      <c r="F184" s="840">
        <f t="shared" si="428"/>
        <v>1683.5</v>
      </c>
      <c r="G184" s="247">
        <f t="shared" si="428"/>
        <v>1669.8</v>
      </c>
      <c r="H184" s="247">
        <f t="shared" si="428"/>
        <v>1676.4</v>
      </c>
      <c r="I184" s="247">
        <f t="shared" si="428"/>
        <v>1669.8</v>
      </c>
      <c r="J184" s="247">
        <f t="shared" si="428"/>
        <v>1689.6</v>
      </c>
      <c r="K184" s="840">
        <f>F188</f>
        <v>1669.8</v>
      </c>
      <c r="L184" s="247">
        <f t="shared" ref="L184:O184" si="429">K188</f>
        <v>1636.8</v>
      </c>
      <c r="M184" s="247">
        <f t="shared" si="429"/>
        <v>1636.8</v>
      </c>
      <c r="N184" s="247">
        <f t="shared" si="429"/>
        <v>1630.2</v>
      </c>
      <c r="O184" s="247">
        <f t="shared" si="429"/>
        <v>1636.8</v>
      </c>
      <c r="P184" s="840">
        <f t="shared" ref="P184" si="430">K188</f>
        <v>1636.8</v>
      </c>
      <c r="Q184" s="247">
        <f t="shared" ref="Q184:T184" si="431">P188</f>
        <v>1603.8</v>
      </c>
      <c r="R184" s="247">
        <f t="shared" si="431"/>
        <v>1590.6</v>
      </c>
      <c r="S184" s="247">
        <f t="shared" si="431"/>
        <v>1590.6</v>
      </c>
      <c r="T184" s="247">
        <f t="shared" si="431"/>
        <v>1603.8</v>
      </c>
      <c r="U184" s="840">
        <f t="shared" ref="U184" si="432">P188</f>
        <v>1603.8</v>
      </c>
      <c r="V184" s="247">
        <f t="shared" ref="V184:Y184" si="433">U188</f>
        <v>1577.4</v>
      </c>
      <c r="W184" s="247">
        <f t="shared" si="433"/>
        <v>1590.6</v>
      </c>
      <c r="X184" s="247">
        <f t="shared" si="433"/>
        <v>1590.6</v>
      </c>
      <c r="Y184" s="247">
        <f t="shared" si="433"/>
        <v>1590.6</v>
      </c>
      <c r="Z184" s="840">
        <f t="shared" ref="Z184" si="434">U188</f>
        <v>1577.4</v>
      </c>
      <c r="AA184" s="247">
        <f t="shared" ref="AA184:AD184" si="435">Z188</f>
        <v>1544.4</v>
      </c>
      <c r="AB184" s="247">
        <f t="shared" si="435"/>
        <v>1537.8</v>
      </c>
      <c r="AC184" s="247">
        <f t="shared" si="435"/>
        <v>1544.4</v>
      </c>
      <c r="AD184" s="247">
        <f t="shared" si="435"/>
        <v>1561.1</v>
      </c>
      <c r="AE184" s="840">
        <f t="shared" ref="AE184" si="436">Z188</f>
        <v>1544.4</v>
      </c>
      <c r="AF184" s="247">
        <f t="shared" ref="AF184:AI184" si="437">AE188</f>
        <v>1527.6</v>
      </c>
      <c r="AG184" s="247">
        <f t="shared" si="437"/>
        <v>1523.2</v>
      </c>
      <c r="AH184" s="247">
        <f t="shared" si="437"/>
        <v>1536.8</v>
      </c>
      <c r="AI184" s="247">
        <f t="shared" si="437"/>
        <v>1536.8</v>
      </c>
      <c r="AJ184" s="840">
        <f t="shared" ref="AJ184" si="438">AE188</f>
        <v>1527.6</v>
      </c>
      <c r="AK184" s="247">
        <f t="shared" ref="AK184:AN184" si="439">AJ188</f>
        <v>1518</v>
      </c>
      <c r="AL184" s="247">
        <f t="shared" si="439"/>
        <v>1489.2</v>
      </c>
      <c r="AM184" s="247">
        <f t="shared" si="439"/>
        <v>1482.4</v>
      </c>
      <c r="AN184" s="247">
        <f t="shared" si="439"/>
        <v>1504.2</v>
      </c>
      <c r="AO184" s="840">
        <f t="shared" ref="AO184" si="440">AJ188</f>
        <v>1518</v>
      </c>
      <c r="AP184" s="247">
        <f t="shared" ref="AP184:AS184" si="441">AO188</f>
        <v>1455.9</v>
      </c>
      <c r="AQ184" s="247">
        <f t="shared" si="441"/>
        <v>1462.8</v>
      </c>
      <c r="AR184" s="247">
        <f t="shared" si="441"/>
        <v>1428</v>
      </c>
      <c r="AS184" s="247">
        <f t="shared" si="441"/>
        <v>1428</v>
      </c>
      <c r="AT184" s="840">
        <f t="shared" ref="AT184" si="442">AO188</f>
        <v>1455.9</v>
      </c>
      <c r="AU184" s="247">
        <f t="shared" ref="AU184:AX184" si="443">AT188</f>
        <v>1346.4</v>
      </c>
      <c r="AV184" s="247">
        <f t="shared" si="443"/>
        <v>1326</v>
      </c>
      <c r="AW184" s="247">
        <f t="shared" si="443"/>
        <v>1332.8</v>
      </c>
      <c r="AX184" s="247">
        <f t="shared" si="443"/>
        <v>1319.2</v>
      </c>
      <c r="AY184" s="840">
        <f t="shared" ref="AY184" si="444">AT188</f>
        <v>1346.4</v>
      </c>
      <c r="AZ184" s="247">
        <f>AY188</f>
        <v>1183.2</v>
      </c>
      <c r="BA184" s="247">
        <f>AZ188</f>
        <v>1207.5</v>
      </c>
      <c r="BB184" s="247">
        <f>BA188</f>
        <v>1190</v>
      </c>
      <c r="BC184" s="247">
        <f t="shared" ref="BC184" si="445">BB188</f>
        <v>1190</v>
      </c>
      <c r="BD184" s="840">
        <f t="shared" ref="BD184" si="446">AY188</f>
        <v>1183.2</v>
      </c>
      <c r="BE184" s="247">
        <f>BD188</f>
        <v>1122</v>
      </c>
      <c r="BF184" s="247">
        <f>BE188</f>
        <v>1138.5</v>
      </c>
      <c r="BG184" s="247">
        <f>BF188</f>
        <v>1131.5999999999999</v>
      </c>
      <c r="BH184" s="247">
        <f>BG188</f>
        <v>1124.7</v>
      </c>
      <c r="BI184" s="840">
        <f>BD188</f>
        <v>1122</v>
      </c>
      <c r="BJ184" s="977">
        <f>BI188</f>
        <v>1076.4000000000001</v>
      </c>
      <c r="BK184" s="247">
        <f>BJ188</f>
        <v>1076.4000000000001</v>
      </c>
      <c r="BL184" s="247">
        <f>BK188</f>
        <v>1066.0481766690718</v>
      </c>
      <c r="BM184" s="247">
        <f>BL188</f>
        <v>1055.6944570739781</v>
      </c>
      <c r="BN184" s="840">
        <f>BI188</f>
        <v>1076.4000000000001</v>
      </c>
      <c r="BO184" s="247">
        <f>BN188</f>
        <v>1045.3445300072153</v>
      </c>
      <c r="BP184" s="247">
        <f>BO188</f>
        <v>1034.9946029404525</v>
      </c>
      <c r="BQ184" s="247">
        <f>BP188</f>
        <v>1024.6811393098137</v>
      </c>
      <c r="BR184" s="247">
        <f>BQ188</f>
        <v>1014.33145237905</v>
      </c>
      <c r="BS184" s="840">
        <f>BN188</f>
        <v>1045.3445300072153</v>
      </c>
      <c r="BT184" s="840">
        <f>BS188</f>
        <v>1003.9453278440769</v>
      </c>
      <c r="BU184" s="840">
        <f>BT188</f>
        <v>976.67573270181003</v>
      </c>
      <c r="BV184" s="840">
        <f>BU188</f>
        <v>949.04032549630676</v>
      </c>
      <c r="BW184" s="168"/>
    </row>
    <row r="185" spans="1:75" s="224" customFormat="1" hidden="1" outlineLevel="1" x14ac:dyDescent="0.5">
      <c r="A185" s="272" t="s">
        <v>1767</v>
      </c>
      <c r="B185" s="494"/>
      <c r="C185" s="425"/>
      <c r="D185" s="425">
        <f t="shared" ref="D185:J185" si="447">IF(D167=0,0,D187-D186)</f>
        <v>51.199999999999953</v>
      </c>
      <c r="E185" s="425">
        <f t="shared" si="447"/>
        <v>95.1</v>
      </c>
      <c r="F185" s="425">
        <f t="shared" si="447"/>
        <v>56.753225806451582</v>
      </c>
      <c r="G185" s="487">
        <f t="shared" si="447"/>
        <v>26.112662591051123</v>
      </c>
      <c r="H185" s="487">
        <f t="shared" si="447"/>
        <v>0</v>
      </c>
      <c r="I185" s="487">
        <f t="shared" si="447"/>
        <v>19.799999999999955</v>
      </c>
      <c r="J185" s="487">
        <f t="shared" si="447"/>
        <v>0</v>
      </c>
      <c r="K185" s="425">
        <f t="shared" ref="K185" si="448">K187-K186</f>
        <v>45.912662591051074</v>
      </c>
      <c r="L185" s="487">
        <f>IF(L167=0,0,L187-L186)</f>
        <v>6.6011922714064273</v>
      </c>
      <c r="M185" s="487">
        <f>IF(M167=0,0,M187-M186)</f>
        <v>0</v>
      </c>
      <c r="N185" s="487">
        <f>IF(N167=0,0,N187-N186)</f>
        <v>19.799990187066523</v>
      </c>
      <c r="O185" s="487">
        <f>IF(O167=0,0,O187-O186)</f>
        <v>13.19996607701102</v>
      </c>
      <c r="P185" s="425">
        <f t="shared" ref="P185" si="449">P187-P186</f>
        <v>39.601148535483972</v>
      </c>
      <c r="Q185" s="487">
        <f>IF(Q167=0,0,Q187-Q186)</f>
        <v>0</v>
      </c>
      <c r="R185" s="487">
        <f>IF(R167=0,0,R187-R186)</f>
        <v>0</v>
      </c>
      <c r="S185" s="487">
        <f>IF(S167=0,0,S187-S186)</f>
        <v>26.400000370643454</v>
      </c>
      <c r="T185" s="487">
        <f>IF(T167=0,0,T187-T186)</f>
        <v>6.6000007078555285</v>
      </c>
      <c r="U185" s="425">
        <f t="shared" ref="U185" si="450">U187-U186</f>
        <v>33.000001078498983</v>
      </c>
      <c r="V185" s="487">
        <f>IF(V167=0,0,V187-V186)</f>
        <v>13.199999999999818</v>
      </c>
      <c r="W185" s="487">
        <f>IF(W167=0,0,W187-W186)</f>
        <v>6.5999999953910304</v>
      </c>
      <c r="X185" s="487">
        <f>IF(X167=0,0,X187-X186)</f>
        <v>6.5999999953910304</v>
      </c>
      <c r="Y185" s="487">
        <f>IF(Y167=0,0,Y187-Y186)</f>
        <v>13.199999973357237</v>
      </c>
      <c r="Z185" s="425">
        <f t="shared" ref="Z185" si="451">Z187-Z186</f>
        <v>39.599999964139116</v>
      </c>
      <c r="AA185" s="487">
        <f>IF(AA167=0,0,AA187-AA186)</f>
        <v>13.200000000471718</v>
      </c>
      <c r="AB185" s="487">
        <f>IF(AB167=0,0,AB187-AB186)</f>
        <v>6.6000000000001364</v>
      </c>
      <c r="AC185" s="487">
        <f>IF(AC167=0,0,AC187-AC186)</f>
        <v>29.90000000026982</v>
      </c>
      <c r="AD185" s="487">
        <f>IF(AD167=0,0,AD187-AD186)</f>
        <v>12.700000000798717</v>
      </c>
      <c r="AE185" s="425">
        <f t="shared" ref="AE185" si="452">AE187-AE186</f>
        <v>62.400000001540391</v>
      </c>
      <c r="AF185" s="487">
        <f>IF(AF167=0,0,AF187-AF186)</f>
        <v>0</v>
      </c>
      <c r="AG185" s="487">
        <f>IF(AG167=0,0,AG187-AG186)</f>
        <v>26.999999999990195</v>
      </c>
      <c r="AH185" s="487">
        <f>IF(AH167=0,0,AH187-AH186)</f>
        <v>0</v>
      </c>
      <c r="AI185" s="487">
        <f>IF(AI167=0,0,AI187-AI186)</f>
        <v>35.639999999971351</v>
      </c>
      <c r="AJ185" s="425">
        <f t="shared" ref="AJ185" si="453">AJ187-AJ186</f>
        <v>62.639999999961546</v>
      </c>
      <c r="AK185" s="487">
        <f>IF(AK167=0,0,AK187-AK186)</f>
        <v>1.8033644859821685</v>
      </c>
      <c r="AL185" s="487">
        <f>IF(AL167=0,0,AL187-AL186)</f>
        <v>0</v>
      </c>
      <c r="AM185" s="487">
        <f>IF(AM167=0,0,AM187-AM186)</f>
        <v>0</v>
      </c>
      <c r="AN185" s="487">
        <f>IF(AN167=0,0,AN187-AN186)</f>
        <v>17.498428509041375</v>
      </c>
      <c r="AO185" s="425">
        <f t="shared" ref="AO185" si="454">AO187-AO186</f>
        <v>19.301792995023547</v>
      </c>
      <c r="AP185" s="487">
        <f>IF(AP167=0,0,AP187-AP186)</f>
        <v>6.8999999999998636</v>
      </c>
      <c r="AQ185" s="487">
        <f>IF(AQ167=0,0,AQ187-AQ186)</f>
        <v>0</v>
      </c>
      <c r="AR185" s="487">
        <f>IF(AR167=0,0,AR187-AR186)</f>
        <v>6.7480844783219176</v>
      </c>
      <c r="AS185" s="487">
        <f>IF(AS167=0,0,AS187-AS186)</f>
        <v>0</v>
      </c>
      <c r="AT185" s="425">
        <f t="shared" ref="AT185" si="455">AT187-AT186</f>
        <v>13.648084478321778</v>
      </c>
      <c r="AU185" s="487">
        <f>IF(AU167=0,0,AU187-AU186)</f>
        <v>0</v>
      </c>
      <c r="AV185" s="487">
        <f>IF(AV167=0,0,AV187-AV186)</f>
        <v>20.400535211563646</v>
      </c>
      <c r="AW185" s="487">
        <f>IF(AW167=0,0,AW187-AW186)</f>
        <v>0</v>
      </c>
      <c r="AX185" s="487">
        <f>IF(AX167=0,0,AX187-AX186)</f>
        <v>6.799941154749547</v>
      </c>
      <c r="AY185" s="425">
        <f t="shared" ref="AY185" si="456">AY187-AY186</f>
        <v>27.200476366313183</v>
      </c>
      <c r="AZ185" s="487">
        <f>IF(AZ167=0,0,AZ187-AZ186)</f>
        <v>31.09999719784517</v>
      </c>
      <c r="BA185" s="487">
        <f>IF(BA167=0,0,BA187-BA186)</f>
        <v>2.8999915935356491</v>
      </c>
      <c r="BB185" s="487">
        <f>IF(BB167=0,0,BB187-BB186)</f>
        <v>0</v>
      </c>
      <c r="BC185" s="487">
        <f>IF(BC167=0,0,BC187-BC186)</f>
        <v>5.9251507052196786</v>
      </c>
      <c r="BD185" s="425">
        <f t="shared" ref="BD185" si="457">BD187-BD186</f>
        <v>39.925139496600494</v>
      </c>
      <c r="BE185" s="487">
        <f>IF(BE167=0,0,BE187-BE186)</f>
        <v>29.941923732961484</v>
      </c>
      <c r="BF185" s="487">
        <f>IF(BF167=0,0,BF187-BF186)</f>
        <v>0</v>
      </c>
      <c r="BG185" s="487">
        <f>IF(BG167=0,0,BG187-BG186)</f>
        <v>6.711589137414034</v>
      </c>
      <c r="BH185" s="487">
        <f>IF(BH167=0,0,BH187-BH186)</f>
        <v>0</v>
      </c>
      <c r="BI185" s="425">
        <f t="shared" ref="BI185" si="458">BI187-BI186</f>
        <v>36.653512870375522</v>
      </c>
      <c r="BJ185" s="981">
        <f>IF(BJ167=0,0,BJ187-BJ186)</f>
        <v>0</v>
      </c>
      <c r="BK185" s="487">
        <f>IF(BK167=0,0,BK180*BK167/1000)</f>
        <v>10.351823330928251</v>
      </c>
      <c r="BL185" s="487">
        <f>IF(BL167=0,0,BL180*BL167/1000)</f>
        <v>10.349927066762872</v>
      </c>
      <c r="BM185" s="487">
        <f>IF(BM167=0,0,BM180*BM167/1000)</f>
        <v>10.349927066762872</v>
      </c>
      <c r="BN185" s="425">
        <f>SUM(BJ185,BK185,BL185,BM185)</f>
        <v>31.051677464453995</v>
      </c>
      <c r="BO185" s="487">
        <f>IF(BO167=0,0,BO180*BO167/1000)</f>
        <v>10.349927066762872</v>
      </c>
      <c r="BP185" s="487">
        <f>IF(BP167=0,0,BP180*BP167/1000)</f>
        <v>10.386390502887023</v>
      </c>
      <c r="BQ185" s="487">
        <f>IF(BQ167=0,0,BQ180*BQ167/1000)</f>
        <v>10.42309407501029</v>
      </c>
      <c r="BR185" s="487">
        <f>IF(BR167=0,0,BR180*BR167/1000)</f>
        <v>10.460063615047494</v>
      </c>
      <c r="BS185" s="425">
        <f>SUM(BO185,BP185,BQ185,BR185)</f>
        <v>41.619475259707677</v>
      </c>
      <c r="BT185" s="425">
        <f>IF(BT167=0,0,BT180*BT167/1000)</f>
        <v>42.46416229138304</v>
      </c>
      <c r="BU185" s="425">
        <f>IF(BU167=0,0,BU180*BU167/1000)</f>
        <v>43.138196613468487</v>
      </c>
      <c r="BV185" s="425">
        <f>IF(BV167=0,0,BV180*BV167/1000)</f>
        <v>43.857166557026289</v>
      </c>
      <c r="BW185" s="223"/>
    </row>
    <row r="186" spans="1:75" s="224" customFormat="1" hidden="1" outlineLevel="1" x14ac:dyDescent="0.5">
      <c r="A186" s="272" t="s">
        <v>1768</v>
      </c>
      <c r="B186" s="494"/>
      <c r="C186" s="425"/>
      <c r="D186" s="425">
        <f>IF(D167=0,D187-D185,C182*D179*D168/1000)</f>
        <v>-18.899999999999999</v>
      </c>
      <c r="E186" s="425">
        <f>IF(E167=0,E187-E185,D177*E179*E168/1000)</f>
        <v>-75.599999999999994</v>
      </c>
      <c r="F186" s="425">
        <f>IF(F167=0,F187-F185,E177*F179*F168/1000)</f>
        <v>-70.453225806451627</v>
      </c>
      <c r="G186" s="487">
        <f>IF(G167=0,G187-G185,F177*G168/1000)</f>
        <v>-19.512662591050987</v>
      </c>
      <c r="H186" s="487">
        <f>IF(H167=0,H187-H185,F177*H168/1000)</f>
        <v>-6.6000000000001364</v>
      </c>
      <c r="I186" s="487">
        <f>IF(I167=0,I187-I185,F177*I168/1000)</f>
        <v>0</v>
      </c>
      <c r="J186" s="487">
        <f>IF(J167=0,J187-J185,F177*J168/1000)</f>
        <v>-52.799999999999955</v>
      </c>
      <c r="K186" s="425">
        <f>SUM(G186,H186,I186,J186)</f>
        <v>-78.912662591051074</v>
      </c>
      <c r="L186" s="487">
        <f>IF(L167=0,L187-L185,K177*L179*L168/1000)</f>
        <v>-6.6011922714064273</v>
      </c>
      <c r="M186" s="487">
        <f>IF(M167=0,M187-M185,L177*M179*M168/1000)</f>
        <v>-6.5999999999999091</v>
      </c>
      <c r="N186" s="487">
        <f>IF(N167=0,N187-N185,M177*N179*N168/1000)</f>
        <v>-13.199990187066614</v>
      </c>
      <c r="O186" s="487">
        <f>IF(O167=0,O187-O185,N177*O179*O168/1000)</f>
        <v>-46.19996607701102</v>
      </c>
      <c r="P186" s="425">
        <f>SUM(L186,M186,N186,O186)</f>
        <v>-72.601148535483972</v>
      </c>
      <c r="Q186" s="487">
        <f>IF(Q167=0,Q187-Q185,P177*Q179*Q168/1000)</f>
        <v>-13.200000000000045</v>
      </c>
      <c r="R186" s="487">
        <f>IF(R167=0,R187-R185,Q177*R179*R168/1000)</f>
        <v>0</v>
      </c>
      <c r="S186" s="487">
        <f>IF(S167=0,S187-S185,R177*S179*S168/1000)</f>
        <v>-13.20000037064341</v>
      </c>
      <c r="T186" s="487">
        <f>IF(T167=0,T187-T185,S177*T179*T168/1000)</f>
        <v>-33.000000707855392</v>
      </c>
      <c r="U186" s="425">
        <f t="shared" ref="U186" si="459">SUM(Q186,R186,S186,T186)</f>
        <v>-59.400001078498846</v>
      </c>
      <c r="V186" s="487">
        <f>IF(V167=0,V187-V185,U177*V179*V168/1000)</f>
        <v>0</v>
      </c>
      <c r="W186" s="487">
        <f>IF(W167=0,W187-W185,V177*W179*W168/1000)</f>
        <v>-6.5999999953910304</v>
      </c>
      <c r="X186" s="487">
        <f>IF(X167=0,X187-X185,W177*X179*X168/1000)</f>
        <v>-6.5999999953910304</v>
      </c>
      <c r="Y186" s="487">
        <f>IF(Y167=0,Y187-Y185,X177*Y179*Y168/1000)</f>
        <v>-59.399999973357055</v>
      </c>
      <c r="Z186" s="425">
        <f t="shared" ref="Z186" si="460">SUM(V186,W186,X186,Y186)</f>
        <v>-72.599999964139116</v>
      </c>
      <c r="AA186" s="487">
        <f>IF(AA167=0,AA187-AA185,Z177*AA179*AA168/1000)</f>
        <v>-19.800000000471854</v>
      </c>
      <c r="AB186" s="487">
        <f>IF(AB167=0,AB187-AB185,AA177*AB179*AB168/1000)</f>
        <v>0</v>
      </c>
      <c r="AC186" s="487">
        <f>IF(AC167=0,AC187-AC185,AB177*AC179*AC168/1000)</f>
        <v>-13.20000000027</v>
      </c>
      <c r="AD186" s="487">
        <f>IF(AD167=0,AD187-AD185,AC177*AD179*AD168/1000)</f>
        <v>-46.200000000798717</v>
      </c>
      <c r="AE186" s="425">
        <f t="shared" ref="AE186" si="461">SUM(AA186,AB186,AC186,AD186)</f>
        <v>-79.200000001540573</v>
      </c>
      <c r="AF186" s="487">
        <f>IF(AF167=0,AF187-AF185,AE177*AF179*AF168/1000)</f>
        <v>-4.3999999999998636</v>
      </c>
      <c r="AG186" s="487">
        <f>IF(AG167=0,AG187-AG185,AF177*AG179*AG168/1000)</f>
        <v>-13.399999999990285</v>
      </c>
      <c r="AH186" s="487">
        <f>IF(AH167=0,AH187-AH185,AG177*AH179*AH168/1000)</f>
        <v>0</v>
      </c>
      <c r="AI186" s="487">
        <f>IF(AI167=0,AI187-AI185,AH177*AI179*AI168/1000)</f>
        <v>-54.439999999971306</v>
      </c>
      <c r="AJ186" s="425">
        <f t="shared" ref="AJ186" si="462">SUM(AF186,AG186,AH186,AI186)</f>
        <v>-72.239999999961455</v>
      </c>
      <c r="AK186" s="487">
        <f>IF(AK167=0,AK187-AK185,AJ177*AK179*AK168/1000)</f>
        <v>-30.603364485982123</v>
      </c>
      <c r="AL186" s="487">
        <f>IF(AL167=0,AL187-AL185,AK177*AL179*AL168/1000)</f>
        <v>-6.7999999999999545</v>
      </c>
      <c r="AM186" s="487">
        <f>IF(AM167=0,AM187-AM185,AL177*AM179*AM168/1000)</f>
        <v>21.799999999999955</v>
      </c>
      <c r="AN186" s="487">
        <f>IF(AN167=0,AN187-AN185,AM177*AN179*AN168/1000)</f>
        <v>-65.798428509041329</v>
      </c>
      <c r="AO186" s="425">
        <f t="shared" ref="AO186" si="463">SUM(AK186,AL186,AM186,AN186)</f>
        <v>-81.401792995023456</v>
      </c>
      <c r="AP186" s="487">
        <f>IF(AP167=0,AP187-AP185,AO177*AP179*AP168/1000)</f>
        <v>0</v>
      </c>
      <c r="AQ186" s="487">
        <f>IF(AQ167=0,AQ187-AQ185,AP177*AQ179*AQ168/1000)</f>
        <v>-34.799999999999955</v>
      </c>
      <c r="AR186" s="487">
        <f>IF(AR167=0,AR187-AR185,AQ177*AR179*AR168/1000)</f>
        <v>-6.7480844783219176</v>
      </c>
      <c r="AS186" s="487">
        <f>IF(AS167=0,AS187-AS185,AR177*AS179*AS168/1000)</f>
        <v>-81.599999999999909</v>
      </c>
      <c r="AT186" s="425">
        <f t="shared" ref="AT186" si="464">SUM(AP186,AQ186,AR186,AS186)</f>
        <v>-123.14808447832178</v>
      </c>
      <c r="AU186" s="487">
        <f>IF(AU167=0,AU187-AU185,AT177*AU179*AU168/1000)</f>
        <v>-20.400000000000091</v>
      </c>
      <c r="AV186" s="487">
        <f>IF(AV167=0,AV187-AV185,AU177*AV179*AV168/1000)</f>
        <v>-13.600535211563692</v>
      </c>
      <c r="AW186" s="487">
        <f>IF(AW167=0,AW187-AW185,AV177*AW179*AW168/1000)</f>
        <v>-13.599999999999909</v>
      </c>
      <c r="AX186" s="487">
        <f>IF(AX167=0,AX187-AX185,AW177*AX179*AX168/1000)</f>
        <v>-142.79994115474955</v>
      </c>
      <c r="AY186" s="425">
        <f t="shared" ref="AY186" si="465">SUM(AU186,AV186,AW186,AX186)</f>
        <v>-190.40047636631323</v>
      </c>
      <c r="AZ186" s="487">
        <f>IF(AZ167=0,AZ187-AZ185,AY177*AZ179*AZ168/1000)</f>
        <v>-6.7999971978452161</v>
      </c>
      <c r="BA186" s="487">
        <f>IF(BA167=0,BA187-BA185,AZ177*BA179*BA168/1000)</f>
        <v>-20.399991593535649</v>
      </c>
      <c r="BB186" s="487">
        <f>IF(BB167=0,BB187-BB185,BA177*BB179*BB168/1000)</f>
        <v>0</v>
      </c>
      <c r="BC186" s="487">
        <f>IF(BC167=0,BC187-BC185,BB177*BC179*BC168/1000)</f>
        <v>-73.925150705219679</v>
      </c>
      <c r="BD186" s="425">
        <f t="shared" ref="BD186" si="466">SUM(AZ186,BA186,BB186,BC186)</f>
        <v>-101.12513949660054</v>
      </c>
      <c r="BE186" s="487">
        <f>IF(BE167=0,BE187-BE185,BD177*BE179*BE168/1000)</f>
        <v>-13.441923732961486</v>
      </c>
      <c r="BF186" s="487">
        <f>IF(BF167=0,BF187-BF185,BE177*BF179*BF168/1000)</f>
        <v>-6.9000000000000909</v>
      </c>
      <c r="BG186" s="487">
        <f>IF(BG167=0,BG187-BG185,BF177*BG179*BG168/1000)</f>
        <v>-13.611589137413898</v>
      </c>
      <c r="BH186" s="487">
        <f>IF(BH167=0,BH187-BH185,BG177*BH179*BH168/1000)</f>
        <v>-48.299999999999955</v>
      </c>
      <c r="BI186" s="425">
        <f t="shared" ref="BI186" si="467">SUM(BE186,BF186,BG186,BH186)</f>
        <v>-82.253512870375431</v>
      </c>
      <c r="BJ186" s="981">
        <f>IF(BJ167=0,BJ187-BJ185,BI177*BJ179*BJ168/1000)</f>
        <v>0</v>
      </c>
      <c r="BK186" s="487">
        <f>BJ177*BK179*BK168/1000</f>
        <v>-20.703646661856503</v>
      </c>
      <c r="BL186" s="487">
        <f>BK177*BL179*BL168/1000</f>
        <v>-20.703646661856503</v>
      </c>
      <c r="BM186" s="487">
        <f>BL177*BM179*BM168/1000</f>
        <v>-20.699854133525744</v>
      </c>
      <c r="BN186" s="425">
        <f>SUM(BJ186,BK186,BL186,BM186)</f>
        <v>-62.107147457238753</v>
      </c>
      <c r="BO186" s="487">
        <f>BN177*BO179*BO168/1000</f>
        <v>-20.699854133525744</v>
      </c>
      <c r="BP186" s="487">
        <f>BO177*BP179*BP168/1000</f>
        <v>-20.699854133525744</v>
      </c>
      <c r="BQ186" s="487">
        <f>BP177*BQ179*BQ168/1000</f>
        <v>-20.772781005774046</v>
      </c>
      <c r="BR186" s="487">
        <f>BQ177*BR179*BR168/1000</f>
        <v>-20.846188150020581</v>
      </c>
      <c r="BS186" s="425">
        <f>SUM(BO186,BP186,BQ186,BR186)</f>
        <v>-83.01867742284611</v>
      </c>
      <c r="BT186" s="425">
        <f>BS177*BT179*BT168/1000</f>
        <v>-69.733757433649956</v>
      </c>
      <c r="BU186" s="425">
        <f>BT177*BU179*BU168/1000</f>
        <v>-70.773603818971736</v>
      </c>
      <c r="BV186" s="425">
        <f>BU177*BV179*BV168/1000</f>
        <v>-71.896994355780805</v>
      </c>
      <c r="BW186" s="223"/>
    </row>
    <row r="187" spans="1:75" s="224" customFormat="1" hidden="1" outlineLevel="1" x14ac:dyDescent="0.5">
      <c r="A187" s="1170" t="s">
        <v>1769</v>
      </c>
      <c r="B187" s="1171"/>
      <c r="C187" s="1172"/>
      <c r="D187" s="1172">
        <f t="shared" ref="D187:AY187" si="468">D188-D184</f>
        <v>32.299999999999955</v>
      </c>
      <c r="E187" s="1172">
        <f t="shared" si="468"/>
        <v>19.5</v>
      </c>
      <c r="F187" s="1172">
        <f t="shared" si="468"/>
        <v>-13.700000000000045</v>
      </c>
      <c r="G187" s="1173">
        <f t="shared" si="468"/>
        <v>6.6000000000001364</v>
      </c>
      <c r="H187" s="1173">
        <f t="shared" si="468"/>
        <v>-6.6000000000001364</v>
      </c>
      <c r="I187" s="1173">
        <f t="shared" si="468"/>
        <v>19.799999999999955</v>
      </c>
      <c r="J187" s="1173">
        <f t="shared" si="468"/>
        <v>-52.799999999999955</v>
      </c>
      <c r="K187" s="1172">
        <f t="shared" si="468"/>
        <v>-33</v>
      </c>
      <c r="L187" s="1173">
        <f t="shared" si="468"/>
        <v>0</v>
      </c>
      <c r="M187" s="1173">
        <f t="shared" si="468"/>
        <v>-6.5999999999999091</v>
      </c>
      <c r="N187" s="1173">
        <f t="shared" si="468"/>
        <v>6.5999999999999091</v>
      </c>
      <c r="O187" s="1173">
        <f t="shared" si="468"/>
        <v>-33</v>
      </c>
      <c r="P187" s="1172">
        <f t="shared" si="468"/>
        <v>-33</v>
      </c>
      <c r="Q187" s="1173">
        <f t="shared" si="468"/>
        <v>-13.200000000000045</v>
      </c>
      <c r="R187" s="1173">
        <f t="shared" si="468"/>
        <v>0</v>
      </c>
      <c r="S187" s="1173">
        <f t="shared" si="468"/>
        <v>13.200000000000045</v>
      </c>
      <c r="T187" s="1173">
        <f t="shared" si="468"/>
        <v>-26.399999999999864</v>
      </c>
      <c r="U187" s="1172">
        <f t="shared" si="468"/>
        <v>-26.399999999999864</v>
      </c>
      <c r="V187" s="1173">
        <f t="shared" si="468"/>
        <v>13.199999999999818</v>
      </c>
      <c r="W187" s="1173">
        <f t="shared" si="468"/>
        <v>0</v>
      </c>
      <c r="X187" s="1173">
        <f t="shared" si="468"/>
        <v>0</v>
      </c>
      <c r="Y187" s="1173">
        <f t="shared" si="468"/>
        <v>-46.199999999999818</v>
      </c>
      <c r="Z187" s="1172">
        <f t="shared" si="468"/>
        <v>-33</v>
      </c>
      <c r="AA187" s="1173">
        <f t="shared" si="468"/>
        <v>-6.6000000000001364</v>
      </c>
      <c r="AB187" s="1173">
        <f t="shared" si="468"/>
        <v>6.6000000000001364</v>
      </c>
      <c r="AC187" s="1173">
        <f t="shared" si="468"/>
        <v>16.699999999999818</v>
      </c>
      <c r="AD187" s="1173">
        <f t="shared" si="468"/>
        <v>-33.5</v>
      </c>
      <c r="AE187" s="1172">
        <f t="shared" si="468"/>
        <v>-16.800000000000182</v>
      </c>
      <c r="AF187" s="1173">
        <f t="shared" si="468"/>
        <v>-4.3999999999998636</v>
      </c>
      <c r="AG187" s="1173">
        <f t="shared" si="468"/>
        <v>13.599999999999909</v>
      </c>
      <c r="AH187" s="1173">
        <f t="shared" si="468"/>
        <v>0</v>
      </c>
      <c r="AI187" s="1173">
        <f t="shared" si="468"/>
        <v>-18.799999999999955</v>
      </c>
      <c r="AJ187" s="1172">
        <f t="shared" si="468"/>
        <v>-9.5999999999999091</v>
      </c>
      <c r="AK187" s="1173">
        <f t="shared" si="468"/>
        <v>-28.799999999999955</v>
      </c>
      <c r="AL187" s="1173">
        <f t="shared" si="468"/>
        <v>-6.7999999999999545</v>
      </c>
      <c r="AM187" s="1173">
        <f t="shared" si="468"/>
        <v>21.799999999999955</v>
      </c>
      <c r="AN187" s="1173">
        <f t="shared" si="468"/>
        <v>-48.299999999999955</v>
      </c>
      <c r="AO187" s="1172">
        <f t="shared" si="468"/>
        <v>-62.099999999999909</v>
      </c>
      <c r="AP187" s="1173">
        <f t="shared" si="468"/>
        <v>6.8999999999998636</v>
      </c>
      <c r="AQ187" s="1173">
        <f t="shared" si="468"/>
        <v>-34.799999999999955</v>
      </c>
      <c r="AR187" s="1173">
        <f t="shared" si="468"/>
        <v>0</v>
      </c>
      <c r="AS187" s="1173">
        <f t="shared" si="468"/>
        <v>-81.599999999999909</v>
      </c>
      <c r="AT187" s="1172">
        <f t="shared" si="468"/>
        <v>-109.5</v>
      </c>
      <c r="AU187" s="1173">
        <f t="shared" si="468"/>
        <v>-20.400000000000091</v>
      </c>
      <c r="AV187" s="1173">
        <f t="shared" si="468"/>
        <v>6.7999999999999545</v>
      </c>
      <c r="AW187" s="1173">
        <f t="shared" si="468"/>
        <v>-13.599999999999909</v>
      </c>
      <c r="AX187" s="1173">
        <f t="shared" si="468"/>
        <v>-136</v>
      </c>
      <c r="AY187" s="1172">
        <f t="shared" si="468"/>
        <v>-163.20000000000005</v>
      </c>
      <c r="AZ187" s="1173">
        <f>AZ188-AZ184</f>
        <v>24.299999999999955</v>
      </c>
      <c r="BA187" s="1173">
        <f t="shared" ref="BA187:BI187" si="469">BA188-BA184</f>
        <v>-17.5</v>
      </c>
      <c r="BB187" s="1173">
        <f t="shared" si="469"/>
        <v>0</v>
      </c>
      <c r="BC187" s="1173">
        <f t="shared" si="469"/>
        <v>-68</v>
      </c>
      <c r="BD187" s="1172">
        <f t="shared" si="469"/>
        <v>-61.200000000000045</v>
      </c>
      <c r="BE187" s="1173">
        <f>BE188-BE184</f>
        <v>16.5</v>
      </c>
      <c r="BF187" s="1173">
        <f t="shared" si="469"/>
        <v>-6.9000000000000909</v>
      </c>
      <c r="BG187" s="1173">
        <f t="shared" si="469"/>
        <v>-6.8999999999998636</v>
      </c>
      <c r="BH187" s="1173">
        <f t="shared" si="469"/>
        <v>-48.299999999999955</v>
      </c>
      <c r="BI187" s="1172">
        <f t="shared" si="469"/>
        <v>-45.599999999999909</v>
      </c>
      <c r="BJ187" s="1174">
        <f>BJ188-BJ184</f>
        <v>0</v>
      </c>
      <c r="BK187" s="1173">
        <f t="shared" ref="BK187:BV187" si="470">SUM(BK185:BK186)</f>
        <v>-10.351823330928251</v>
      </c>
      <c r="BL187" s="1173">
        <f t="shared" si="470"/>
        <v>-10.353719595093631</v>
      </c>
      <c r="BM187" s="1173">
        <f t="shared" si="470"/>
        <v>-10.349927066762872</v>
      </c>
      <c r="BN187" s="1172">
        <f t="shared" si="470"/>
        <v>-31.055469992784758</v>
      </c>
      <c r="BO187" s="1173">
        <f t="shared" si="470"/>
        <v>-10.349927066762872</v>
      </c>
      <c r="BP187" s="1173">
        <f t="shared" si="470"/>
        <v>-10.31346363063872</v>
      </c>
      <c r="BQ187" s="1173">
        <f t="shared" si="470"/>
        <v>-10.349686930763756</v>
      </c>
      <c r="BR187" s="1173">
        <f t="shared" si="470"/>
        <v>-10.386124534973087</v>
      </c>
      <c r="BS187" s="1172">
        <f t="shared" si="470"/>
        <v>-41.399202163138433</v>
      </c>
      <c r="BT187" s="1172">
        <f t="shared" si="470"/>
        <v>-27.269595142266915</v>
      </c>
      <c r="BU187" s="1172">
        <f t="shared" si="470"/>
        <v>-27.635407205503249</v>
      </c>
      <c r="BV187" s="1172">
        <f t="shared" si="470"/>
        <v>-28.039827798754516</v>
      </c>
      <c r="BW187" s="223"/>
    </row>
    <row r="188" spans="1:75" s="169" customFormat="1" ht="14.25" hidden="1" outlineLevel="1" x14ac:dyDescent="0.45">
      <c r="A188" s="360" t="s">
        <v>1770</v>
      </c>
      <c r="B188" s="1127"/>
      <c r="C188" s="1128">
        <f t="shared" ref="C188:AT188" si="471">C169*C182/1000</f>
        <v>1631.7</v>
      </c>
      <c r="D188" s="1128">
        <f t="shared" si="471"/>
        <v>1664</v>
      </c>
      <c r="E188" s="1128">
        <f t="shared" si="471"/>
        <v>1683.5</v>
      </c>
      <c r="F188" s="1128">
        <f t="shared" si="471"/>
        <v>1669.8</v>
      </c>
      <c r="G188" s="287">
        <f t="shared" si="471"/>
        <v>1676.4</v>
      </c>
      <c r="H188" s="287">
        <f t="shared" si="471"/>
        <v>1669.8</v>
      </c>
      <c r="I188" s="287">
        <f t="shared" si="471"/>
        <v>1689.6</v>
      </c>
      <c r="J188" s="287">
        <f t="shared" si="471"/>
        <v>1636.8</v>
      </c>
      <c r="K188" s="1128">
        <f t="shared" si="471"/>
        <v>1636.8</v>
      </c>
      <c r="L188" s="287">
        <f t="shared" si="471"/>
        <v>1636.8</v>
      </c>
      <c r="M188" s="287">
        <f t="shared" si="471"/>
        <v>1630.2</v>
      </c>
      <c r="N188" s="287">
        <f t="shared" si="471"/>
        <v>1636.8</v>
      </c>
      <c r="O188" s="287">
        <f t="shared" si="471"/>
        <v>1603.8</v>
      </c>
      <c r="P188" s="1128">
        <f t="shared" si="471"/>
        <v>1603.8</v>
      </c>
      <c r="Q188" s="287">
        <f t="shared" si="471"/>
        <v>1590.6</v>
      </c>
      <c r="R188" s="287">
        <f t="shared" si="471"/>
        <v>1590.6</v>
      </c>
      <c r="S188" s="287">
        <f t="shared" si="471"/>
        <v>1603.8</v>
      </c>
      <c r="T188" s="287">
        <f t="shared" si="471"/>
        <v>1577.4</v>
      </c>
      <c r="U188" s="1128">
        <f t="shared" si="471"/>
        <v>1577.4</v>
      </c>
      <c r="V188" s="287">
        <f t="shared" si="471"/>
        <v>1590.6</v>
      </c>
      <c r="W188" s="287">
        <f t="shared" si="471"/>
        <v>1590.6</v>
      </c>
      <c r="X188" s="287">
        <f t="shared" si="471"/>
        <v>1590.6</v>
      </c>
      <c r="Y188" s="287">
        <f t="shared" si="471"/>
        <v>1544.4</v>
      </c>
      <c r="Z188" s="1128">
        <f t="shared" si="471"/>
        <v>1544.4</v>
      </c>
      <c r="AA188" s="287">
        <f t="shared" si="471"/>
        <v>1537.8</v>
      </c>
      <c r="AB188" s="287">
        <f t="shared" si="471"/>
        <v>1544.4</v>
      </c>
      <c r="AC188" s="287">
        <f t="shared" si="471"/>
        <v>1561.1</v>
      </c>
      <c r="AD188" s="287">
        <f t="shared" si="471"/>
        <v>1527.6</v>
      </c>
      <c r="AE188" s="1128">
        <f t="shared" si="471"/>
        <v>1527.6</v>
      </c>
      <c r="AF188" s="287">
        <f t="shared" si="471"/>
        <v>1523.2</v>
      </c>
      <c r="AG188" s="287">
        <f t="shared" si="471"/>
        <v>1536.8</v>
      </c>
      <c r="AH188" s="287">
        <f t="shared" si="471"/>
        <v>1536.8</v>
      </c>
      <c r="AI188" s="287">
        <f t="shared" si="471"/>
        <v>1518</v>
      </c>
      <c r="AJ188" s="1128">
        <f t="shared" si="471"/>
        <v>1518</v>
      </c>
      <c r="AK188" s="287">
        <f t="shared" si="471"/>
        <v>1489.2</v>
      </c>
      <c r="AL188" s="287">
        <f t="shared" si="471"/>
        <v>1482.4</v>
      </c>
      <c r="AM188" s="287">
        <f t="shared" si="471"/>
        <v>1504.2</v>
      </c>
      <c r="AN188" s="287">
        <f t="shared" si="471"/>
        <v>1455.9</v>
      </c>
      <c r="AO188" s="1128">
        <f t="shared" si="471"/>
        <v>1455.9</v>
      </c>
      <c r="AP188" s="287">
        <f t="shared" si="471"/>
        <v>1462.8</v>
      </c>
      <c r="AQ188" s="287">
        <f t="shared" si="471"/>
        <v>1428</v>
      </c>
      <c r="AR188" s="287">
        <f t="shared" si="471"/>
        <v>1428</v>
      </c>
      <c r="AS188" s="287">
        <f t="shared" si="471"/>
        <v>1346.4</v>
      </c>
      <c r="AT188" s="1128">
        <f t="shared" si="471"/>
        <v>1346.4</v>
      </c>
      <c r="AU188" s="287">
        <f>AU169*AU182/1000</f>
        <v>1326</v>
      </c>
      <c r="AV188" s="287">
        <f t="shared" ref="AV188:BJ188" si="472">AV169*AV182/1000</f>
        <v>1332.8</v>
      </c>
      <c r="AW188" s="287">
        <f t="shared" si="472"/>
        <v>1319.2</v>
      </c>
      <c r="AX188" s="287">
        <f t="shared" si="472"/>
        <v>1183.2</v>
      </c>
      <c r="AY188" s="1128">
        <f t="shared" si="472"/>
        <v>1183.2</v>
      </c>
      <c r="AZ188" s="287">
        <f t="shared" si="472"/>
        <v>1207.5</v>
      </c>
      <c r="BA188" s="287">
        <f t="shared" si="472"/>
        <v>1190</v>
      </c>
      <c r="BB188" s="287">
        <f t="shared" si="472"/>
        <v>1190</v>
      </c>
      <c r="BC188" s="287">
        <f t="shared" si="472"/>
        <v>1122</v>
      </c>
      <c r="BD188" s="1128">
        <f t="shared" si="472"/>
        <v>1122</v>
      </c>
      <c r="BE188" s="287">
        <f t="shared" si="472"/>
        <v>1138.5</v>
      </c>
      <c r="BF188" s="287">
        <f t="shared" si="472"/>
        <v>1131.5999999999999</v>
      </c>
      <c r="BG188" s="287">
        <f t="shared" si="472"/>
        <v>1124.7</v>
      </c>
      <c r="BH188" s="287">
        <f t="shared" si="472"/>
        <v>1076.4000000000001</v>
      </c>
      <c r="BI188" s="1128">
        <f t="shared" si="472"/>
        <v>1076.4000000000001</v>
      </c>
      <c r="BJ188" s="1129">
        <f t="shared" si="472"/>
        <v>1076.4000000000001</v>
      </c>
      <c r="BK188" s="287">
        <f t="shared" ref="BK188:BV188" si="473">BK184+BK187</f>
        <v>1066.0481766690718</v>
      </c>
      <c r="BL188" s="287">
        <f t="shared" si="473"/>
        <v>1055.6944570739781</v>
      </c>
      <c r="BM188" s="287">
        <f t="shared" si="473"/>
        <v>1045.3445300072153</v>
      </c>
      <c r="BN188" s="1128">
        <f t="shared" si="473"/>
        <v>1045.3445300072153</v>
      </c>
      <c r="BO188" s="287">
        <f t="shared" si="473"/>
        <v>1034.9946029404525</v>
      </c>
      <c r="BP188" s="287">
        <f t="shared" si="473"/>
        <v>1024.6811393098137</v>
      </c>
      <c r="BQ188" s="287">
        <f t="shared" si="473"/>
        <v>1014.33145237905</v>
      </c>
      <c r="BR188" s="287">
        <f t="shared" si="473"/>
        <v>1003.9453278440769</v>
      </c>
      <c r="BS188" s="1128">
        <f t="shared" si="473"/>
        <v>1003.9453278440769</v>
      </c>
      <c r="BT188" s="1128">
        <f t="shared" si="473"/>
        <v>976.67573270181003</v>
      </c>
      <c r="BU188" s="1128">
        <f t="shared" si="473"/>
        <v>949.04032549630676</v>
      </c>
      <c r="BV188" s="1128">
        <f t="shared" si="473"/>
        <v>921.00049769755219</v>
      </c>
      <c r="BW188" s="168"/>
    </row>
    <row r="189" spans="1:75" s="169" customFormat="1" ht="14.25" hidden="1" outlineLevel="1" x14ac:dyDescent="0.45">
      <c r="A189" s="163" t="s">
        <v>1771</v>
      </c>
      <c r="B189" s="1121"/>
      <c r="C189" s="840"/>
      <c r="D189" s="840">
        <f t="shared" ref="D189:J189" si="474">AVERAGE(D188,D184)</f>
        <v>1647.85</v>
      </c>
      <c r="E189" s="840">
        <f t="shared" si="474"/>
        <v>1673.75</v>
      </c>
      <c r="F189" s="840">
        <f t="shared" si="474"/>
        <v>1676.65</v>
      </c>
      <c r="G189" s="247">
        <f t="shared" si="474"/>
        <v>1673.1</v>
      </c>
      <c r="H189" s="247">
        <f t="shared" si="474"/>
        <v>1673.1</v>
      </c>
      <c r="I189" s="247">
        <f t="shared" si="474"/>
        <v>1679.6999999999998</v>
      </c>
      <c r="J189" s="247">
        <f t="shared" si="474"/>
        <v>1663.1999999999998</v>
      </c>
      <c r="K189" s="840">
        <f t="shared" ref="K189" si="475">SUM(G189*G$3,H189*H$3,I189*I$3,J189*J$3)/K$3</f>
        <v>1672.2749999999999</v>
      </c>
      <c r="L189" s="247">
        <f>AVERAGE(L188,L184)</f>
        <v>1636.8</v>
      </c>
      <c r="M189" s="247">
        <f>AVERAGE(M188,M184)</f>
        <v>1633.5</v>
      </c>
      <c r="N189" s="247">
        <f>AVERAGE(N188,N184)</f>
        <v>1633.5</v>
      </c>
      <c r="O189" s="247">
        <f>AVERAGE(O188,O184)</f>
        <v>1620.3</v>
      </c>
      <c r="P189" s="840">
        <f t="shared" ref="P189" si="476">SUM(L189*L$3,M189*M$3,N189*N$3,O189*O$3)/P$3</f>
        <v>1631.0249999999999</v>
      </c>
      <c r="Q189" s="247">
        <f>AVERAGE(Q188,Q184)</f>
        <v>1597.1999999999998</v>
      </c>
      <c r="R189" s="247">
        <f>AVERAGE(R188,R184)</f>
        <v>1590.6</v>
      </c>
      <c r="S189" s="247">
        <f>AVERAGE(S188,S184)</f>
        <v>1597.1999999999998</v>
      </c>
      <c r="T189" s="247">
        <f>AVERAGE(T188,T184)</f>
        <v>1590.6</v>
      </c>
      <c r="U189" s="840">
        <f t="shared" ref="U189" si="477">SUM(Q189*Q$3,R189*R$3,S189*S$3,T189*T$3)/U$3</f>
        <v>1593.8999999999999</v>
      </c>
      <c r="V189" s="247">
        <f>AVERAGE(V188,V184)</f>
        <v>1584</v>
      </c>
      <c r="W189" s="247">
        <f>AVERAGE(W188,W184)</f>
        <v>1590.6</v>
      </c>
      <c r="X189" s="247">
        <f>AVERAGE(X188,X184)</f>
        <v>1590.6</v>
      </c>
      <c r="Y189" s="247">
        <f>AVERAGE(Y188,Y184)</f>
        <v>1567.5</v>
      </c>
      <c r="Z189" s="840">
        <f t="shared" ref="Z189" si="478">SUM(V189*V$3,W189*W$3,X189*X$3,Y189*Y$3)/Z$3</f>
        <v>1583.175</v>
      </c>
      <c r="AA189" s="247">
        <f>AVERAGE(AA188,AA184)</f>
        <v>1541.1</v>
      </c>
      <c r="AB189" s="247">
        <f>AVERAGE(AB188,AB184)</f>
        <v>1541.1</v>
      </c>
      <c r="AC189" s="247">
        <f>AVERAGE(AC188,AC184)</f>
        <v>1552.75</v>
      </c>
      <c r="AD189" s="247">
        <f>AVERAGE(AD188,AD184)</f>
        <v>1544.35</v>
      </c>
      <c r="AE189" s="840">
        <f t="shared" ref="AE189" si="479">SUM(AA189*AA$3,AB189*AB$3,AC189*AC$3,AD189*AD$3)/AE$3</f>
        <v>1544.825</v>
      </c>
      <c r="AF189" s="247">
        <f>AVERAGE(AF188,AF184)</f>
        <v>1525.4</v>
      </c>
      <c r="AG189" s="247">
        <f>AVERAGE(AG188,AG184)</f>
        <v>1530</v>
      </c>
      <c r="AH189" s="247">
        <f>AVERAGE(AH188,AH184)</f>
        <v>1536.8</v>
      </c>
      <c r="AI189" s="247">
        <f>AVERAGE(AI188,AI184)</f>
        <v>1527.4</v>
      </c>
      <c r="AJ189" s="840">
        <f t="shared" ref="AJ189" si="480">SUM(AF189*AF$3,AG189*AG$3,AH189*AH$3,AI189*AI$3)/AJ$3</f>
        <v>1529.8528301886793</v>
      </c>
      <c r="AK189" s="247">
        <f>AVERAGE(AK188,AK184)</f>
        <v>1503.6</v>
      </c>
      <c r="AL189" s="247">
        <f>AVERAGE(AL188,AL184)</f>
        <v>1485.8000000000002</v>
      </c>
      <c r="AM189" s="247">
        <f>AVERAGE(AM188,AM184)</f>
        <v>1493.3000000000002</v>
      </c>
      <c r="AN189" s="247">
        <f>AVERAGE(AN188,AN184)</f>
        <v>1480.0500000000002</v>
      </c>
      <c r="AO189" s="840">
        <f t="shared" ref="AO189" si="481">SUM(AK189*AK$3,AL189*AL$3,AM189*AM$3,AN189*AN$3)/AO$3</f>
        <v>1490.6875000000002</v>
      </c>
      <c r="AP189" s="247">
        <f>AVERAGE(AP188,AP184)</f>
        <v>1459.35</v>
      </c>
      <c r="AQ189" s="247">
        <f>AVERAGE(AQ188,AQ184)</f>
        <v>1445.4</v>
      </c>
      <c r="AR189" s="247">
        <f>AVERAGE(AR188,AR184)</f>
        <v>1428</v>
      </c>
      <c r="AS189" s="247">
        <f>AVERAGE(AS188,AS184)</f>
        <v>1387.2</v>
      </c>
      <c r="AT189" s="840">
        <f t="shared" ref="AT189" si="482">SUM(AP189*AP$3,AQ189*AQ$3,AR189*AR$3,AS189*AS$3)/AT$3</f>
        <v>1429.9875</v>
      </c>
      <c r="AU189" s="247">
        <f>AVERAGE(AU188,AU184)</f>
        <v>1336.2</v>
      </c>
      <c r="AV189" s="247">
        <f>AVERAGE(AV188,AV184)</f>
        <v>1329.4</v>
      </c>
      <c r="AW189" s="247">
        <f>AVERAGE(AW188,AW184)</f>
        <v>1326</v>
      </c>
      <c r="AX189" s="247">
        <f>AVERAGE(AX188,AX184)</f>
        <v>1251.2</v>
      </c>
      <c r="AY189" s="840">
        <f t="shared" ref="AY189" si="483">SUM(AU189*AU$3,AV189*AV$3,AW189*AW$3,AX189*AX$3)/AY$3</f>
        <v>1310.7</v>
      </c>
      <c r="AZ189" s="247">
        <f>AVERAGE(AZ188,AZ184)</f>
        <v>1195.3499999999999</v>
      </c>
      <c r="BA189" s="247">
        <f>AVERAGE(BA188,BA184)</f>
        <v>1198.75</v>
      </c>
      <c r="BB189" s="247">
        <f>AVERAGE(BB188,BB184)</f>
        <v>1190</v>
      </c>
      <c r="BC189" s="247">
        <f>AVERAGE(BC188,BC184)</f>
        <v>1156</v>
      </c>
      <c r="BD189" s="840">
        <f t="shared" ref="BD189" si="484">SUM(AZ189*AZ$3,BA189*BA$3,BB189*BB$3,BC189*BC$3)/BD$3</f>
        <v>1185.0249999999999</v>
      </c>
      <c r="BE189" s="247">
        <f>AVERAGE(BE188,BE184)</f>
        <v>1130.25</v>
      </c>
      <c r="BF189" s="247">
        <f>AVERAGE(BF188,BF184)</f>
        <v>1135.05</v>
      </c>
      <c r="BG189" s="247">
        <f>AVERAGE(BG188,BG184)</f>
        <v>1128.1500000000001</v>
      </c>
      <c r="BH189" s="247">
        <f>AVERAGE(BH188,BH184)</f>
        <v>1100.5500000000002</v>
      </c>
      <c r="BI189" s="840">
        <f t="shared" ref="BI189" si="485">SUM(BE189*BE$3,BF189*BF$3,BG189*BG$3,BH189*BH$3)/BI$3</f>
        <v>1123.5</v>
      </c>
      <c r="BJ189" s="977">
        <f>AVERAGE(BJ188,BJ184)</f>
        <v>1076.4000000000001</v>
      </c>
      <c r="BK189" s="247">
        <f>AVERAGE(BK188,BK184)</f>
        <v>1071.224088334536</v>
      </c>
      <c r="BL189" s="247">
        <f>AVERAGE(BL188,BL184)</f>
        <v>1060.8713168715249</v>
      </c>
      <c r="BM189" s="247">
        <f>AVERAGE(BM188,BM184)</f>
        <v>1050.5194935405966</v>
      </c>
      <c r="BN189" s="840">
        <f>SUM(BJ189*BJ$3,BK189*BK$3,BL189*BL$3,BM189*BM$3)/BN$3</f>
        <v>1064.4851542876822</v>
      </c>
      <c r="BO189" s="247">
        <f>AVERAGE(BO188,BO184)</f>
        <v>1040.169566473834</v>
      </c>
      <c r="BP189" s="247">
        <f>AVERAGE(BP188,BP184)</f>
        <v>1029.837871125133</v>
      </c>
      <c r="BQ189" s="247">
        <f>AVERAGE(BQ188,BQ184)</f>
        <v>1019.5062958444319</v>
      </c>
      <c r="BR189" s="247">
        <f>AVERAGE(BR188,BR184)</f>
        <v>1009.1383901115635</v>
      </c>
      <c r="BS189" s="840">
        <f>SUM(BO189*BO$3,BP189*BP$3,BQ189*BQ$3,BR189*BR$3)/BS$3</f>
        <v>1024.6630308887406</v>
      </c>
      <c r="BT189" s="840">
        <f>AVERAGE(BT188,BT184)</f>
        <v>990.31053027294342</v>
      </c>
      <c r="BU189" s="840">
        <f>AVERAGE(BU188,BU184)</f>
        <v>962.8580290990584</v>
      </c>
      <c r="BV189" s="840">
        <f>AVERAGE(BV188,BV184)</f>
        <v>935.02041159692953</v>
      </c>
      <c r="BW189" s="168"/>
    </row>
    <row r="190" spans="1:75" s="123" customFormat="1" hidden="1" outlineLevel="1" x14ac:dyDescent="0.5">
      <c r="A190" s="184"/>
      <c r="B190" s="489"/>
      <c r="C190" s="401"/>
      <c r="D190" s="401"/>
      <c r="E190" s="401"/>
      <c r="F190" s="401"/>
      <c r="G190" s="118"/>
      <c r="H190" s="118"/>
      <c r="I190" s="118"/>
      <c r="J190" s="118"/>
      <c r="K190" s="401"/>
      <c r="L190" s="118"/>
      <c r="M190" s="118"/>
      <c r="N190" s="118"/>
      <c r="O190" s="118"/>
      <c r="P190" s="401"/>
      <c r="Q190" s="118"/>
      <c r="R190" s="118"/>
      <c r="S190" s="118"/>
      <c r="T190" s="118"/>
      <c r="U190" s="401"/>
      <c r="V190" s="118"/>
      <c r="W190" s="118"/>
      <c r="X190" s="118"/>
      <c r="Y190" s="118"/>
      <c r="Z190" s="401"/>
      <c r="AA190" s="118"/>
      <c r="AB190" s="118"/>
      <c r="AC190" s="118"/>
      <c r="AD190" s="118"/>
      <c r="AE190" s="401"/>
      <c r="AF190" s="118"/>
      <c r="AG190" s="118"/>
      <c r="AH190" s="118"/>
      <c r="AI190" s="118"/>
      <c r="AJ190" s="401"/>
      <c r="AK190" s="118"/>
      <c r="AL190" s="118"/>
      <c r="AM190" s="118"/>
      <c r="AN190" s="118"/>
      <c r="AO190" s="401"/>
      <c r="AP190" s="118"/>
      <c r="AQ190" s="118"/>
      <c r="AR190" s="118"/>
      <c r="AS190" s="118"/>
      <c r="AT190" s="401"/>
      <c r="AU190" s="118"/>
      <c r="AV190" s="118"/>
      <c r="AW190" s="118"/>
      <c r="AX190" s="118"/>
      <c r="AY190" s="401"/>
      <c r="AZ190" s="118"/>
      <c r="BA190" s="118"/>
      <c r="BB190" s="118"/>
      <c r="BC190" s="118"/>
      <c r="BD190" s="401"/>
      <c r="BE190" s="118"/>
      <c r="BF190" s="118"/>
      <c r="BG190" s="118"/>
      <c r="BH190" s="118"/>
      <c r="BI190" s="401"/>
      <c r="BJ190" s="971"/>
      <c r="BK190" s="118"/>
      <c r="BL190" s="118"/>
      <c r="BM190" s="118"/>
      <c r="BN190" s="401"/>
      <c r="BO190" s="118"/>
      <c r="BP190" s="118"/>
      <c r="BQ190" s="118"/>
      <c r="BR190" s="118"/>
      <c r="BS190" s="401"/>
      <c r="BT190" s="401"/>
      <c r="BU190" s="401"/>
      <c r="BV190" s="401"/>
      <c r="BW190" s="122"/>
    </row>
    <row r="191" spans="1:75" s="224" customFormat="1" hidden="1" outlineLevel="1" x14ac:dyDescent="0.5">
      <c r="A191" s="218" t="s">
        <v>1772</v>
      </c>
      <c r="B191" s="494"/>
      <c r="C191" s="425"/>
      <c r="D191" s="425">
        <f>D188-D194</f>
        <v>1612.8</v>
      </c>
      <c r="E191" s="425">
        <f>E188-E194</f>
        <v>1588.4</v>
      </c>
      <c r="F191" s="425">
        <f>F188-F194</f>
        <v>1613.0467741935483</v>
      </c>
      <c r="G191" s="487"/>
      <c r="H191" s="487"/>
      <c r="I191" s="487"/>
      <c r="J191" s="487"/>
      <c r="K191" s="425">
        <f t="shared" ref="K191:BJ192" si="486">K188-K194</f>
        <v>1590.887337408949</v>
      </c>
      <c r="L191" s="487">
        <f t="shared" si="486"/>
        <v>1610.3988077285935</v>
      </c>
      <c r="M191" s="487">
        <f t="shared" si="486"/>
        <v>1603.7988077285936</v>
      </c>
      <c r="N191" s="487">
        <f t="shared" si="486"/>
        <v>1610.398817541527</v>
      </c>
      <c r="O191" s="487">
        <f t="shared" si="486"/>
        <v>1564.1988514645159</v>
      </c>
      <c r="P191" s="425">
        <f t="shared" si="486"/>
        <v>1564.1988514645159</v>
      </c>
      <c r="Q191" s="487">
        <f t="shared" si="486"/>
        <v>1557.6000437359223</v>
      </c>
      <c r="R191" s="487">
        <f t="shared" si="486"/>
        <v>1557.6000437359223</v>
      </c>
      <c r="S191" s="487">
        <f t="shared" si="486"/>
        <v>1564.2000335523455</v>
      </c>
      <c r="T191" s="487">
        <f t="shared" si="486"/>
        <v>1544.399998921501</v>
      </c>
      <c r="U191" s="425">
        <f t="shared" si="486"/>
        <v>1544.399998921501</v>
      </c>
      <c r="V191" s="487">
        <f t="shared" si="486"/>
        <v>1544.399998921501</v>
      </c>
      <c r="W191" s="487">
        <f t="shared" si="486"/>
        <v>1537.79999892611</v>
      </c>
      <c r="X191" s="487">
        <f t="shared" si="486"/>
        <v>1557.5999993013625</v>
      </c>
      <c r="Y191" s="487">
        <f t="shared" si="486"/>
        <v>1504.8000000358609</v>
      </c>
      <c r="Z191" s="425">
        <f t="shared" si="486"/>
        <v>1504.8000000358609</v>
      </c>
      <c r="AA191" s="487">
        <f t="shared" si="486"/>
        <v>1498.2000000353889</v>
      </c>
      <c r="AB191" s="487">
        <f t="shared" si="486"/>
        <v>1504.80000003078</v>
      </c>
      <c r="AC191" s="487">
        <f t="shared" si="486"/>
        <v>1498.2000000259011</v>
      </c>
      <c r="AD191" s="487">
        <f t="shared" si="486"/>
        <v>1465.1999999984596</v>
      </c>
      <c r="AE191" s="425">
        <f t="shared" si="486"/>
        <v>1465.1999999984596</v>
      </c>
      <c r="AF191" s="487">
        <f t="shared" si="486"/>
        <v>1473.9999999989313</v>
      </c>
      <c r="AG191" s="487">
        <f t="shared" si="486"/>
        <v>1467.1999999989412</v>
      </c>
      <c r="AH191" s="487">
        <f t="shared" si="486"/>
        <v>1497.0999999992109</v>
      </c>
      <c r="AI191" s="487">
        <f t="shared" si="486"/>
        <v>1455.3600000000386</v>
      </c>
      <c r="AJ191" s="425">
        <f t="shared" si="486"/>
        <v>1455.3600000000386</v>
      </c>
      <c r="AK191" s="487">
        <f t="shared" si="486"/>
        <v>1424.7566355140564</v>
      </c>
      <c r="AL191" s="487">
        <f t="shared" si="486"/>
        <v>1444.9566355140466</v>
      </c>
      <c r="AM191" s="487">
        <f t="shared" si="486"/>
        <v>1466.7566355140466</v>
      </c>
      <c r="AN191" s="487">
        <f t="shared" si="486"/>
        <v>1436.5982070049765</v>
      </c>
      <c r="AO191" s="425">
        <f t="shared" si="486"/>
        <v>1436.5982070049765</v>
      </c>
      <c r="AP191" s="487">
        <f t="shared" si="486"/>
        <v>1438.4015714909588</v>
      </c>
      <c r="AQ191" s="487">
        <f t="shared" si="486"/>
        <v>1403.6015714909588</v>
      </c>
      <c r="AR191" s="487">
        <f t="shared" si="486"/>
        <v>1396.8534870126368</v>
      </c>
      <c r="AS191" s="487">
        <f t="shared" si="486"/>
        <v>1332.7519155216783</v>
      </c>
      <c r="AT191" s="425">
        <f t="shared" si="486"/>
        <v>1332.7519155216783</v>
      </c>
      <c r="AU191" s="487">
        <f t="shared" si="486"/>
        <v>1319.251915521678</v>
      </c>
      <c r="AV191" s="487">
        <f t="shared" si="486"/>
        <v>1305.6513803101143</v>
      </c>
      <c r="AW191" s="487">
        <f t="shared" si="486"/>
        <v>1298.7994647884364</v>
      </c>
      <c r="AX191" s="487">
        <f t="shared" si="486"/>
        <v>1155.9995236336867</v>
      </c>
      <c r="AY191" s="425">
        <f t="shared" si="486"/>
        <v>1155.9995236336867</v>
      </c>
      <c r="AZ191" s="487">
        <f t="shared" si="486"/>
        <v>1149.1995264358416</v>
      </c>
      <c r="BA191" s="487">
        <f t="shared" si="486"/>
        <v>1149.2000700538697</v>
      </c>
      <c r="BB191" s="487">
        <f t="shared" si="486"/>
        <v>1149.2000700538697</v>
      </c>
      <c r="BC191" s="487">
        <f t="shared" si="486"/>
        <v>1082.0748605033996</v>
      </c>
      <c r="BD191" s="425">
        <f t="shared" si="486"/>
        <v>1082.0748605033996</v>
      </c>
      <c r="BE191" s="487">
        <f t="shared" si="486"/>
        <v>1099.7329339682833</v>
      </c>
      <c r="BF191" s="487">
        <f t="shared" si="486"/>
        <v>1095.7329255618188</v>
      </c>
      <c r="BG191" s="487">
        <f t="shared" si="486"/>
        <v>1082.1213364244049</v>
      </c>
      <c r="BH191" s="487">
        <f t="shared" si="486"/>
        <v>1039.7464871296245</v>
      </c>
      <c r="BI191" s="425">
        <f t="shared" si="486"/>
        <v>1039.7464871296245</v>
      </c>
      <c r="BJ191" s="981">
        <f t="shared" si="486"/>
        <v>1069.6884108625861</v>
      </c>
      <c r="BK191" s="487">
        <f>BJ191+BF185+BK186</f>
        <v>1048.9847642007296</v>
      </c>
      <c r="BL191" s="487">
        <f>BK191+BG185+BL186</f>
        <v>1034.9927066762871</v>
      </c>
      <c r="BM191" s="487">
        <f>BL191+BH185+BM186</f>
        <v>1014.2928525427614</v>
      </c>
      <c r="BN191" s="425">
        <f>BN188-BN194</f>
        <v>1014.2928525427614</v>
      </c>
      <c r="BO191" s="487">
        <f>BN191+BJ185+BO186</f>
        <v>993.59299840923563</v>
      </c>
      <c r="BP191" s="487">
        <f>BO191+BK185+BP186</f>
        <v>983.24496760663817</v>
      </c>
      <c r="BQ191" s="487">
        <f>BP191+BL185+BQ186</f>
        <v>972.82211366762704</v>
      </c>
      <c r="BR191" s="487">
        <f>BQ191+BM185+BR186</f>
        <v>962.32585258436939</v>
      </c>
      <c r="BS191" s="425">
        <f>BS188-BS194</f>
        <v>962.32585258436927</v>
      </c>
      <c r="BT191" s="425">
        <f>BS191+BS185+BT186</f>
        <v>934.21157041042693</v>
      </c>
      <c r="BU191" s="425">
        <f>BT191+BT185+BU186</f>
        <v>905.90212888283816</v>
      </c>
      <c r="BV191" s="425">
        <f>BU191+BU185+BV186</f>
        <v>877.14333114052579</v>
      </c>
      <c r="BW191" s="223"/>
    </row>
    <row r="192" spans="1:75" s="224" customFormat="1" hidden="1" outlineLevel="1" x14ac:dyDescent="0.5">
      <c r="A192" s="218" t="s">
        <v>1773</v>
      </c>
      <c r="B192" s="494"/>
      <c r="C192" s="425"/>
      <c r="D192" s="425">
        <f>D189-D195</f>
        <v>1596.6499999999999</v>
      </c>
      <c r="E192" s="425">
        <f t="shared" ref="E192:F192" si="487">E189-E195</f>
        <v>1608.909090909091</v>
      </c>
      <c r="F192" s="425">
        <f t="shared" si="487"/>
        <v>1585.8448387096776</v>
      </c>
      <c r="G192" s="487"/>
      <c r="H192" s="487"/>
      <c r="I192" s="487"/>
      <c r="J192" s="487"/>
      <c r="K192" s="425">
        <f t="shared" si="486"/>
        <v>1641.9398479309125</v>
      </c>
      <c r="L192" s="487">
        <f t="shared" si="486"/>
        <v>1600.4983606268161</v>
      </c>
      <c r="M192" s="487">
        <f t="shared" si="486"/>
        <v>1607.0988077285936</v>
      </c>
      <c r="N192" s="487">
        <f t="shared" si="486"/>
        <v>1607.0988175415271</v>
      </c>
      <c r="O192" s="487">
        <f t="shared" si="486"/>
        <v>1587.2990428870967</v>
      </c>
      <c r="P192" s="425">
        <f t="shared" ref="P192" si="488">SUM(L192*L$3,M192*M$3,N192*N$3,O192*O$3)/P$3</f>
        <v>1600.4987571960082</v>
      </c>
      <c r="Q192" s="487">
        <f t="shared" si="486"/>
        <v>1560.9000481095145</v>
      </c>
      <c r="R192" s="487">
        <f t="shared" si="486"/>
        <v>1557.6000437359223</v>
      </c>
      <c r="S192" s="487">
        <f t="shared" si="486"/>
        <v>1560.9000307563165</v>
      </c>
      <c r="T192" s="487">
        <f t="shared" si="486"/>
        <v>1554.299998813651</v>
      </c>
      <c r="U192" s="425">
        <f t="shared" ref="U192" si="489">SUM(Q192*Q$3,R192*R$3,S192*S$3,T192*T$3)/U$3</f>
        <v>1558.4250303538513</v>
      </c>
      <c r="V192" s="487">
        <f t="shared" si="486"/>
        <v>1544.3999990755724</v>
      </c>
      <c r="W192" s="487">
        <f t="shared" si="486"/>
        <v>1541.0999989932282</v>
      </c>
      <c r="X192" s="487">
        <f t="shared" si="486"/>
        <v>1547.6999990917714</v>
      </c>
      <c r="Y192" s="487">
        <f t="shared" si="486"/>
        <v>1531.2000000328726</v>
      </c>
      <c r="Z192" s="425">
        <f t="shared" ref="Z192" si="490">SUM(V192*V$3,W192*W$3,X192*X$3,Y192*Y$3)/Z$3</f>
        <v>1541.0999992983611</v>
      </c>
      <c r="AA192" s="487">
        <f t="shared" si="486"/>
        <v>1501.5000000353889</v>
      </c>
      <c r="AB192" s="487">
        <f t="shared" si="486"/>
        <v>1501.5000000307798</v>
      </c>
      <c r="AC192" s="487">
        <f t="shared" si="486"/>
        <v>1489.8500000259012</v>
      </c>
      <c r="AD192" s="487">
        <f t="shared" si="486"/>
        <v>1481.9499999984596</v>
      </c>
      <c r="AE192" s="425">
        <f t="shared" ref="AE192" si="491">SUM(AA192*AA$3,AB192*AB$3,AC192*AC$3,AD192*AD$3)/AE$3</f>
        <v>1493.7000000226324</v>
      </c>
      <c r="AF192" s="487">
        <f t="shared" si="486"/>
        <v>1463.8999999986643</v>
      </c>
      <c r="AG192" s="487">
        <f t="shared" si="486"/>
        <v>1475.314285713454</v>
      </c>
      <c r="AH192" s="487">
        <f t="shared" si="486"/>
        <v>1493.791666665812</v>
      </c>
      <c r="AI192" s="487">
        <f t="shared" si="486"/>
        <v>1464.7600000000386</v>
      </c>
      <c r="AJ192" s="425">
        <f t="shared" ref="AJ192" si="492">SUM(AF192*AF$3,AG192*AG$3,AH192*AH$3,AI192*AI$3)/AJ$3</f>
        <v>1474.2588185078046</v>
      </c>
      <c r="AK192" s="487">
        <f t="shared" si="486"/>
        <v>1447.2120560747992</v>
      </c>
      <c r="AL192" s="487">
        <f t="shared" si="486"/>
        <v>1429.6349532710699</v>
      </c>
      <c r="AM192" s="487">
        <f t="shared" si="486"/>
        <v>1455.8566355140467</v>
      </c>
      <c r="AN192" s="487">
        <f t="shared" si="486"/>
        <v>1457.5312415058061</v>
      </c>
      <c r="AO192" s="425">
        <f t="shared" ref="AO192" si="493">SUM(AK192*AK$3,AL192*AL$3,AM192*AM$3,AN192*AN$3)/AO$3</f>
        <v>1447.5587215914306</v>
      </c>
      <c r="AP192" s="487">
        <f t="shared" si="486"/>
        <v>1428.8519643636985</v>
      </c>
      <c r="AQ192" s="487">
        <f t="shared" si="486"/>
        <v>1421.0015714909589</v>
      </c>
      <c r="AR192" s="487">
        <f t="shared" si="486"/>
        <v>1402.0445725105308</v>
      </c>
      <c r="AS192" s="487">
        <f t="shared" si="486"/>
        <v>1370.1398944020978</v>
      </c>
      <c r="AT192" s="425">
        <f t="shared" ref="AT192" si="494">SUM(AP192*AP$3,AQ192*AQ$3,AR192*AR$3,AS192*AS$3)/AT$3</f>
        <v>1405.5095006918216</v>
      </c>
      <c r="AU192" s="487">
        <f t="shared" si="486"/>
        <v>1326.0778732825172</v>
      </c>
      <c r="AV192" s="487">
        <f t="shared" si="486"/>
        <v>1312.4321126938216</v>
      </c>
      <c r="AW192" s="487">
        <f t="shared" si="486"/>
        <v>1302.1993755865092</v>
      </c>
      <c r="AX192" s="487">
        <f t="shared" si="486"/>
        <v>1227.3995831794759</v>
      </c>
      <c r="AY192" s="425">
        <f t="shared" ref="AY192" si="495">SUM(AU192*AU$3,AV192*AV$3,AW192*AW$3,AX192*AX$3)/AY$3</f>
        <v>1292.0272361855812</v>
      </c>
      <c r="AZ192" s="487">
        <f>AZ189-AZ195</f>
        <v>1146.7662720298679</v>
      </c>
      <c r="BA192" s="487">
        <f>BA189-BA195</f>
        <v>1147.750087567337</v>
      </c>
      <c r="BB192" s="487">
        <f>BB189-BB195</f>
        <v>1149.2000700538697</v>
      </c>
      <c r="BC192" s="487">
        <f t="shared" si="486"/>
        <v>1116.0748605033996</v>
      </c>
      <c r="BD192" s="425">
        <f t="shared" ref="BD192" si="496">SUM(AZ192*AZ$3,BA192*BA$3,BB192*BB$3,BC192*BC$3)/BD$3</f>
        <v>1139.9478225386185</v>
      </c>
      <c r="BE192" s="487">
        <f>BE189-BE195</f>
        <v>1091.4829339682833</v>
      </c>
      <c r="BF192" s="487">
        <f>BF189-BF195</f>
        <v>1093.2050798221219</v>
      </c>
      <c r="BG192" s="487">
        <f>BG189-BG195</f>
        <v>1090.8936693713542</v>
      </c>
      <c r="BH192" s="487">
        <f t="shared" si="486"/>
        <v>1057.7875683178954</v>
      </c>
      <c r="BI192" s="425">
        <f t="shared" ref="BI192" si="497">SUM(BE192*BE$3,BF192*BF$3,BG192*BG$3,BH192*BH$3)/BI$3</f>
        <v>1083.3423128699137</v>
      </c>
      <c r="BJ192" s="981">
        <f>BJ189-BJ195</f>
        <v>1062.9768217251719</v>
      </c>
      <c r="BK192" s="487">
        <f>BK189-BK195</f>
        <v>1058.4265289832792</v>
      </c>
      <c r="BL192" s="487">
        <f>BL189-BL195</f>
        <v>1040.1695664738338</v>
      </c>
      <c r="BM192" s="487">
        <f>BM189-BM195</f>
        <v>1024.6430956535517</v>
      </c>
      <c r="BN192" s="425">
        <f>SUM(BJ192*BJ$3,BK192*BK$3,BL192*BL$3,BM192*BM$3)/BN$3</f>
        <v>1046.1405898588571</v>
      </c>
      <c r="BO192" s="487">
        <f>BO189-BO195</f>
        <v>1003.9431625090193</v>
      </c>
      <c r="BP192" s="487">
        <f>BP189-BP195</f>
        <v>988.40169942195735</v>
      </c>
      <c r="BQ192" s="487">
        <f>BQ189-BQ195</f>
        <v>977.99695713300878</v>
      </c>
      <c r="BR192" s="487">
        <f>BR189-BR195</f>
        <v>967.51891485185581</v>
      </c>
      <c r="BS192" s="425">
        <f>SUM(BO192*BO$3,BP192*BP$3,BQ192*BQ$3,BR192*BR$3)/BS$3</f>
        <v>984.46518347896028</v>
      </c>
      <c r="BT192" s="425">
        <f>BT189-BT195</f>
        <v>947.84636798156043</v>
      </c>
      <c r="BU192" s="425">
        <f>BU189-BU195</f>
        <v>919.7198324855899</v>
      </c>
      <c r="BV192" s="425">
        <f>BV189-BV195</f>
        <v>891.16324503990325</v>
      </c>
      <c r="BW192" s="223"/>
    </row>
    <row r="193" spans="1:75" s="224" customFormat="1" hidden="1" outlineLevel="1" x14ac:dyDescent="0.5">
      <c r="A193" s="218"/>
      <c r="B193" s="494"/>
      <c r="C193" s="425"/>
      <c r="D193" s="425"/>
      <c r="E193" s="425"/>
      <c r="F193" s="425"/>
      <c r="G193" s="487"/>
      <c r="H193" s="487"/>
      <c r="I193" s="487"/>
      <c r="J193" s="487"/>
      <c r="K193" s="425"/>
      <c r="L193" s="487"/>
      <c r="M193" s="487"/>
      <c r="N193" s="487"/>
      <c r="O193" s="487"/>
      <c r="P193" s="425"/>
      <c r="Q193" s="487"/>
      <c r="R193" s="487"/>
      <c r="S193" s="487"/>
      <c r="T193" s="487"/>
      <c r="U193" s="425"/>
      <c r="V193" s="487"/>
      <c r="W193" s="487"/>
      <c r="X193" s="487"/>
      <c r="Y193" s="487"/>
      <c r="Z193" s="425"/>
      <c r="AA193" s="487"/>
      <c r="AB193" s="487"/>
      <c r="AC193" s="487"/>
      <c r="AD193" s="487"/>
      <c r="AE193" s="425"/>
      <c r="AF193" s="487"/>
      <c r="AG193" s="487"/>
      <c r="AH193" s="487"/>
      <c r="AI193" s="487"/>
      <c r="AJ193" s="425"/>
      <c r="AK193" s="487"/>
      <c r="AL193" s="487"/>
      <c r="AM193" s="487"/>
      <c r="AN193" s="487"/>
      <c r="AO193" s="425"/>
      <c r="AP193" s="487"/>
      <c r="AQ193" s="487"/>
      <c r="AR193" s="487"/>
      <c r="AS193" s="487"/>
      <c r="AT193" s="425"/>
      <c r="AU193" s="487"/>
      <c r="AV193" s="487"/>
      <c r="AW193" s="487"/>
      <c r="AX193" s="487"/>
      <c r="AY193" s="425"/>
      <c r="AZ193" s="487"/>
      <c r="BA193" s="487"/>
      <c r="BB193" s="487"/>
      <c r="BC193" s="487"/>
      <c r="BD193" s="425"/>
      <c r="BE193" s="487"/>
      <c r="BF193" s="487"/>
      <c r="BG193" s="487"/>
      <c r="BH193" s="487"/>
      <c r="BI193" s="425"/>
      <c r="BJ193" s="981"/>
      <c r="BK193" s="487"/>
      <c r="BL193" s="487"/>
      <c r="BM193" s="487"/>
      <c r="BN193" s="425"/>
      <c r="BO193" s="487"/>
      <c r="BP193" s="487"/>
      <c r="BQ193" s="487"/>
      <c r="BR193" s="487"/>
      <c r="BS193" s="425"/>
      <c r="BT193" s="425"/>
      <c r="BU193" s="425"/>
      <c r="BV193" s="425"/>
      <c r="BW193" s="223"/>
    </row>
    <row r="194" spans="1:75" s="224" customFormat="1" hidden="1" outlineLevel="1" x14ac:dyDescent="0.5">
      <c r="A194" s="218" t="s">
        <v>1774</v>
      </c>
      <c r="B194" s="494"/>
      <c r="C194" s="425"/>
      <c r="D194" s="425">
        <f t="shared" ref="D194:F194" si="498">IFERROR(D181*D175/1000,0)</f>
        <v>51.199999999999953</v>
      </c>
      <c r="E194" s="425">
        <f t="shared" si="498"/>
        <v>95.09999999999998</v>
      </c>
      <c r="F194" s="425">
        <f t="shared" si="498"/>
        <v>56.753225806451582</v>
      </c>
      <c r="G194" s="487"/>
      <c r="H194" s="487"/>
      <c r="I194" s="487"/>
      <c r="J194" s="487"/>
      <c r="K194" s="425">
        <f t="shared" ref="K194:BV194" si="499">IFERROR(K181*K175/1000,0)</f>
        <v>45.912662591051067</v>
      </c>
      <c r="L194" s="487">
        <f t="shared" si="499"/>
        <v>26.40119227140638</v>
      </c>
      <c r="M194" s="487">
        <f t="shared" si="499"/>
        <v>26.40119227140638</v>
      </c>
      <c r="N194" s="487">
        <f t="shared" si="499"/>
        <v>26.401182458472952</v>
      </c>
      <c r="O194" s="487">
        <f t="shared" si="499"/>
        <v>39.601148535483958</v>
      </c>
      <c r="P194" s="425">
        <f t="shared" si="499"/>
        <v>39.601148535483958</v>
      </c>
      <c r="Q194" s="487">
        <f t="shared" si="499"/>
        <v>32.999956264077539</v>
      </c>
      <c r="R194" s="487">
        <f t="shared" si="499"/>
        <v>32.999956264077539</v>
      </c>
      <c r="S194" s="487">
        <f t="shared" si="499"/>
        <v>39.599966447654474</v>
      </c>
      <c r="T194" s="487">
        <f t="shared" si="499"/>
        <v>33.000001078498983</v>
      </c>
      <c r="U194" s="425">
        <f t="shared" si="499"/>
        <v>33.000001078498983</v>
      </c>
      <c r="V194" s="487">
        <f t="shared" si="499"/>
        <v>46.200001078498808</v>
      </c>
      <c r="W194" s="487">
        <f t="shared" si="499"/>
        <v>52.800001073889831</v>
      </c>
      <c r="X194" s="487">
        <f t="shared" si="499"/>
        <v>33.000000698637407</v>
      </c>
      <c r="Y194" s="487">
        <f t="shared" si="499"/>
        <v>39.599999964139108</v>
      </c>
      <c r="Z194" s="425">
        <f t="shared" si="499"/>
        <v>39.599999964139108</v>
      </c>
      <c r="AA194" s="487">
        <f t="shared" si="499"/>
        <v>39.599999964611015</v>
      </c>
      <c r="AB194" s="487">
        <f t="shared" si="499"/>
        <v>39.599999969220121</v>
      </c>
      <c r="AC194" s="487">
        <f t="shared" si="499"/>
        <v>62.899999974098911</v>
      </c>
      <c r="AD194" s="487">
        <f t="shared" si="499"/>
        <v>62.400000001540391</v>
      </c>
      <c r="AE194" s="425">
        <f t="shared" si="499"/>
        <v>62.400000001540391</v>
      </c>
      <c r="AF194" s="487">
        <f t="shared" si="499"/>
        <v>49.200000001068673</v>
      </c>
      <c r="AG194" s="487">
        <f t="shared" si="499"/>
        <v>69.600000001058746</v>
      </c>
      <c r="AH194" s="487">
        <f t="shared" si="499"/>
        <v>39.700000000788918</v>
      </c>
      <c r="AI194" s="487">
        <f t="shared" si="499"/>
        <v>62.639999999961539</v>
      </c>
      <c r="AJ194" s="425">
        <f t="shared" si="499"/>
        <v>62.639999999961539</v>
      </c>
      <c r="AK194" s="487">
        <f t="shared" si="499"/>
        <v>64.443364485943718</v>
      </c>
      <c r="AL194" s="487">
        <f t="shared" si="499"/>
        <v>37.443364485953524</v>
      </c>
      <c r="AM194" s="487">
        <f t="shared" si="499"/>
        <v>37.443364485953524</v>
      </c>
      <c r="AN194" s="487">
        <f t="shared" si="499"/>
        <v>19.301792995023543</v>
      </c>
      <c r="AO194" s="425">
        <f t="shared" si="499"/>
        <v>19.301792995023543</v>
      </c>
      <c r="AP194" s="487">
        <f t="shared" si="499"/>
        <v>24.398428509041238</v>
      </c>
      <c r="AQ194" s="487">
        <f t="shared" si="499"/>
        <v>24.398428509041238</v>
      </c>
      <c r="AR194" s="487">
        <f t="shared" si="499"/>
        <v>31.14651298736316</v>
      </c>
      <c r="AS194" s="487">
        <f t="shared" si="499"/>
        <v>13.648084478321781</v>
      </c>
      <c r="AT194" s="425">
        <f t="shared" si="499"/>
        <v>13.648084478321781</v>
      </c>
      <c r="AU194" s="487">
        <f t="shared" si="499"/>
        <v>6.7480844783219176</v>
      </c>
      <c r="AV194" s="487">
        <f t="shared" si="499"/>
        <v>27.148619689885564</v>
      </c>
      <c r="AW194" s="487">
        <f t="shared" si="499"/>
        <v>20.400535211563646</v>
      </c>
      <c r="AX194" s="487">
        <f t="shared" si="499"/>
        <v>27.200476366313193</v>
      </c>
      <c r="AY194" s="425">
        <f t="shared" si="499"/>
        <v>27.200476366313193</v>
      </c>
      <c r="AZ194" s="487">
        <f t="shared" si="499"/>
        <v>58.300473564158359</v>
      </c>
      <c r="BA194" s="487">
        <f t="shared" si="499"/>
        <v>40.799929946130362</v>
      </c>
      <c r="BB194" s="487">
        <f t="shared" si="499"/>
        <v>40.799929946130362</v>
      </c>
      <c r="BC194" s="487">
        <f t="shared" si="499"/>
        <v>39.925139496600494</v>
      </c>
      <c r="BD194" s="425">
        <f t="shared" si="499"/>
        <v>39.925139496600494</v>
      </c>
      <c r="BE194" s="487">
        <f t="shared" si="499"/>
        <v>38.767066031716809</v>
      </c>
      <c r="BF194" s="487">
        <f t="shared" si="499"/>
        <v>35.86707443818117</v>
      </c>
      <c r="BG194" s="487">
        <f t="shared" si="499"/>
        <v>42.578663575595201</v>
      </c>
      <c r="BH194" s="487">
        <f t="shared" si="499"/>
        <v>36.653512870375515</v>
      </c>
      <c r="BI194" s="425">
        <f t="shared" si="499"/>
        <v>36.653512870375515</v>
      </c>
      <c r="BJ194" s="981">
        <f t="shared" si="499"/>
        <v>6.711589137414034</v>
      </c>
      <c r="BK194" s="487">
        <f t="shared" si="499"/>
        <v>17.063412468342285</v>
      </c>
      <c r="BL194" s="487">
        <f t="shared" si="499"/>
        <v>20.701750397691121</v>
      </c>
      <c r="BM194" s="487">
        <f t="shared" si="499"/>
        <v>31.051677464453995</v>
      </c>
      <c r="BN194" s="425">
        <f t="shared" si="499"/>
        <v>31.051677464453995</v>
      </c>
      <c r="BO194" s="487">
        <f t="shared" si="499"/>
        <v>41.401604531216861</v>
      </c>
      <c r="BP194" s="487">
        <f t="shared" si="499"/>
        <v>41.436171703175638</v>
      </c>
      <c r="BQ194" s="487">
        <f t="shared" si="499"/>
        <v>41.509338711423062</v>
      </c>
      <c r="BR194" s="487">
        <f t="shared" si="499"/>
        <v>41.619475259707684</v>
      </c>
      <c r="BS194" s="425">
        <f t="shared" si="499"/>
        <v>41.619475259707684</v>
      </c>
      <c r="BT194" s="425">
        <f t="shared" si="499"/>
        <v>42.46416229138304</v>
      </c>
      <c r="BU194" s="425">
        <f t="shared" si="499"/>
        <v>43.138196613468487</v>
      </c>
      <c r="BV194" s="425">
        <f t="shared" si="499"/>
        <v>43.857166557026289</v>
      </c>
      <c r="BW194" s="223"/>
    </row>
    <row r="195" spans="1:75" s="224" customFormat="1" hidden="1" outlineLevel="1" x14ac:dyDescent="0.5">
      <c r="A195" s="218" t="s">
        <v>1775</v>
      </c>
      <c r="B195" s="494"/>
      <c r="C195" s="425"/>
      <c r="D195" s="425">
        <f>IFERROR(D194-(D167-C167)/2*D181/1000,D194-(D167-C167)/2*D182/1000)</f>
        <v>51.199999999999953</v>
      </c>
      <c r="E195" s="425">
        <f>IFERROR(E194-(E167-D167)/2*E181/1000,E194-(E167-D167)/2*E182/1000)</f>
        <v>64.840909090909079</v>
      </c>
      <c r="F195" s="425">
        <f>IFERROR(F194-(F167-E167)/2*F181/1000,F194-(F167-E167)/2*F182/1000)</f>
        <v>90.80516129032253</v>
      </c>
      <c r="G195" s="487"/>
      <c r="H195" s="487"/>
      <c r="I195" s="487"/>
      <c r="J195" s="487"/>
      <c r="K195" s="425">
        <f>K194-(G167*G$3/2/K$3+H167*(H$3/2+G$3)/K$3+I167*(I$3/2+H$3+G$3)/K$3+J167*(J$3/2+I$3+H$3+G$3)/K$3)*K181/1000</f>
        <v>30.335152069087311</v>
      </c>
      <c r="L195" s="487">
        <f>IFERROR(L194-(L167-G167)/2*L181/1000,L194-(L167-G167)/2*L182/1000)</f>
        <v>36.301639373183775</v>
      </c>
      <c r="M195" s="487">
        <f>IFERROR(M194-(M167-H167)/2*M181/1000,M194-(M167-H167)/2*M182/1000)</f>
        <v>26.40119227140638</v>
      </c>
      <c r="N195" s="487">
        <f>IFERROR(N194-(N167-I167)/2*N181/1000,N194-(N167-I167)/2*N182/1000)</f>
        <v>26.401182458472952</v>
      </c>
      <c r="O195" s="487">
        <f>IFERROR(O194-(O167-J167)/2*O181/1000,O194-(O167-J167)/2*O182/1000)</f>
        <v>33.000957112903293</v>
      </c>
      <c r="P195" s="425">
        <f t="shared" ref="P195" si="500">SUM(L195*L$3,M195*M$3,N195*N$3,O195*O$3)/P$3</f>
        <v>30.526242803991597</v>
      </c>
      <c r="Q195" s="487">
        <f>IFERROR(Q194-(Q167-L167)/2*Q181/1000,Q194-(Q167-L167)/2*Q182/1000)</f>
        <v>36.299951890485296</v>
      </c>
      <c r="R195" s="487">
        <f>IFERROR(R194-(R167-M167)/2*R181/1000,R194-(R167-M167)/2*R182/1000)</f>
        <v>32.999956264077539</v>
      </c>
      <c r="S195" s="487">
        <f>IFERROR(S194-(S167-N167)/2*S181/1000,S194-(S167-N167)/2*S182/1000)</f>
        <v>36.299969243683265</v>
      </c>
      <c r="T195" s="487">
        <f>IFERROR(T194-(T167-O167)/2*T181/1000,T194-(T167-O167)/2*T182/1000)</f>
        <v>36.300001186348879</v>
      </c>
      <c r="U195" s="425">
        <f t="shared" ref="U195" si="501">SUM(Q195*Q$3,R195*R$3,S195*S$3,T195*T$3)/U$3</f>
        <v>35.474969646148743</v>
      </c>
      <c r="V195" s="487">
        <f>IFERROR(V194-(V167-Q167)/2*V181/1000,V194-(V167-Q167)/2*V182/1000)</f>
        <v>39.600000924427547</v>
      </c>
      <c r="W195" s="487">
        <f>IFERROR(W194-(W167-R167)/2*W181/1000,W194-(W167-R167)/2*W182/1000)</f>
        <v>49.500001006771718</v>
      </c>
      <c r="X195" s="487">
        <f>IFERROR(X194-(X167-S167)/2*X181/1000,X194-(X167-S167)/2*X182/1000)</f>
        <v>42.900000908228634</v>
      </c>
      <c r="Y195" s="487">
        <f>IFERROR(Y194-(Y167-T167)/2*Y181/1000,Y194-(Y167-T167)/2*Y182/1000)</f>
        <v>36.299999967127519</v>
      </c>
      <c r="Z195" s="425">
        <f t="shared" ref="Z195" si="502">SUM(V195*V$3,W195*W$3,X195*X$3,Y195*Y$3)/Z$3</f>
        <v>42.075000701638857</v>
      </c>
      <c r="AA195" s="487">
        <f>IFERROR(AA194-(AA167-V167)/2*AA181/1000,AA194-(AA167-V167)/2*AA182/1000)</f>
        <v>39.599999964611015</v>
      </c>
      <c r="AB195" s="487">
        <f>IFERROR(AB194-(AB167-W167)/2*AB181/1000,AB194-(AB167-W167)/2*AB182/1000)</f>
        <v>39.599999969220121</v>
      </c>
      <c r="AC195" s="487">
        <f>IFERROR(AC194-(AC167-X167)/2*AC181/1000,AC194-(AC167-X167)/2*AC182/1000)</f>
        <v>62.899999974098911</v>
      </c>
      <c r="AD195" s="487">
        <f>IFERROR(AD194-(AD167-Y167)/2*AD181/1000,AD194-(AD167-Y167)/2*AD182/1000)</f>
        <v>62.400000001540391</v>
      </c>
      <c r="AE195" s="425">
        <f t="shared" ref="AE195" si="503">SUM(AA195*AA$3,AB195*AB$3,AC195*AC$3,AD195*AD$3)/AE$3</f>
        <v>51.124999977367601</v>
      </c>
      <c r="AF195" s="487">
        <f>IFERROR(AF194-(AF167-AA167)/2*AF181/1000,AF194-(AF167-AA167)/2*AF182/1000)</f>
        <v>61.500000001335842</v>
      </c>
      <c r="AG195" s="487">
        <f>IFERROR(AG194-(AG167-AB167)/2*AG181/1000,AG194-(AG167-AB167)/2*AG182/1000)</f>
        <v>54.685714286546158</v>
      </c>
      <c r="AH195" s="487">
        <f>IFERROR(AH194-(AH167-AC167)/2*AH181/1000,AH194-(AH167-AC167)/2*AH182/1000)</f>
        <v>43.008333334187995</v>
      </c>
      <c r="AI195" s="487">
        <f>IFERROR(AI194-(AI167-AD167)/2*AI181/1000,AI194-(AI167-AD167)/2*AI182/1000)</f>
        <v>62.639999999961539</v>
      </c>
      <c r="AJ195" s="425">
        <f t="shared" ref="AJ195" si="504">SUM(AF195*AF$3,AG195*AG$3,AH195*AH$3,AI195*AI$3)/AJ$3</f>
        <v>55.594011680874935</v>
      </c>
      <c r="AK195" s="487">
        <f>IFERROR(AK194-(AK167-AF167)/2*AK181/1000,AK194-(AK167-AF167)/2*AK182/1000)</f>
        <v>56.387943925200751</v>
      </c>
      <c r="AL195" s="487">
        <f>IFERROR(AL194-(AL167-AG167)/2*AL181/1000,AL194-(AL167-AG167)/2*AL182/1000)</f>
        <v>56.165046728930285</v>
      </c>
      <c r="AM195" s="487">
        <f>IFERROR(AM194-(AM167-AH167)/2*AM181/1000,AM194-(AM167-AH167)/2*AM182/1000)</f>
        <v>37.443364485953524</v>
      </c>
      <c r="AN195" s="487">
        <f>IFERROR(AN194-(AN167-AI167)/2*AN181/1000,AN194-(AN167-AI167)/2*AN182/1000)</f>
        <v>22.518758494194135</v>
      </c>
      <c r="AO195" s="425">
        <f t="shared" ref="AO195" si="505">SUM(AK195*AK$3,AL195*AL$3,AM195*AM$3,AN195*AN$3)/AO$3</f>
        <v>43.128778408569673</v>
      </c>
      <c r="AP195" s="487">
        <f>IFERROR(AP194-(AP167-AK167)/2*AP181/1000,AP194-(AP167-AK167)/2*AP182/1000)</f>
        <v>30.498035636301548</v>
      </c>
      <c r="AQ195" s="487">
        <f>IFERROR(AQ194-(AQ167-AL167)/2*AQ181/1000,AQ194-(AQ167-AL167)/2*AQ182/1000)</f>
        <v>24.398428509041238</v>
      </c>
      <c r="AR195" s="487">
        <f>IFERROR(AR194-(AR167-AM167)/2*AR181/1000,AR194-(AR167-AM167)/2*AR182/1000)</f>
        <v>25.955427489469301</v>
      </c>
      <c r="AS195" s="487">
        <f>IFERROR(AS194-(AS167-AN167)/2*AS181/1000,AS194-(AS167-AN167)/2*AS182/1000)</f>
        <v>17.060105597902226</v>
      </c>
      <c r="AT195" s="425">
        <f t="shared" ref="AT195" si="506">SUM(AP195*AP$3,AQ195*AQ$3,AR195*AR$3,AS195*AS$3)/AT$3</f>
        <v>24.477999308178578</v>
      </c>
      <c r="AU195" s="487">
        <f>IFERROR(AU194-(AU167-AP167)/2*AU181/1000,AU194-(AU167-AP167)/2*AU182/1000)</f>
        <v>10.122126717482876</v>
      </c>
      <c r="AV195" s="487">
        <f>IFERROR(AV194-(AV167-AQ167)/2*AV181/1000,AV194-(AV167-AQ167)/2*AV182/1000)</f>
        <v>16.967887306178476</v>
      </c>
      <c r="AW195" s="487">
        <f>IFERROR(AW194-(AW167-AR167)/2*AW181/1000,AW194-(AW167-AR167)/2*AW182/1000)</f>
        <v>23.800624413490922</v>
      </c>
      <c r="AX195" s="487">
        <f>IFERROR(AX194-(AX167-AS167)/2*AX181/1000,AX194-(AX167-AS167)/2*AX182/1000)</f>
        <v>23.800416820524045</v>
      </c>
      <c r="AY195" s="425">
        <f t="shared" ref="AY195" si="507">SUM(AU195*AU$3,AV195*AV$3,AW195*AW$3,AX195*AX$3)/AY$3</f>
        <v>18.672763814419078</v>
      </c>
      <c r="AZ195" s="487">
        <f>IFERROR(AZ194-(AZ167-AU167)/2*AZ181/1000,AZ194-(AZ167-AU167)/2*AZ182/1000)</f>
        <v>48.583727970131967</v>
      </c>
      <c r="BA195" s="487">
        <f>IFERROR(BA194-(BA167-AV167)/2*BA181/1000,BA194-(BA167-AV167)/2*BA182/1000)</f>
        <v>50.999912432662953</v>
      </c>
      <c r="BB195" s="487">
        <f>IFERROR(BB194-(BB167-AW167)/2*BB181/1000,BB194-(BB167-AW167)/2*BB182/1000)</f>
        <v>40.799929946130362</v>
      </c>
      <c r="BC195" s="487">
        <f>IFERROR(BC194-(BC167-AX167)/2*BC181/1000,BC194-(BC167-AX167)/2*BC182/1000)</f>
        <v>39.925139496600494</v>
      </c>
      <c r="BD195" s="425">
        <f>SUM(AZ195*AZ$3,BA195*BA$3,BB195*BB$3,BC195*BC$3)/BD$3</f>
        <v>45.077177461381446</v>
      </c>
      <c r="BE195" s="487">
        <f>IFERROR(BE194-(BE167-AZ167)/2*BE181/1000,BE194-(BE167-AZ167)/2*BE182/1000)</f>
        <v>38.767066031716809</v>
      </c>
      <c r="BF195" s="487">
        <f>IFERROR(BF194-(BF167-BA167)/2*BF181/1000,BF194-(BF167-BA167)/2*BF182/1000)</f>
        <v>41.844920177878031</v>
      </c>
      <c r="BG195" s="487">
        <f>IFERROR(BG194-(BG167-BB167)/2*BG181/1000,BG194-(BG167-BB167)/2*BG182/1000)</f>
        <v>37.256330628645799</v>
      </c>
      <c r="BH195" s="487">
        <f>IFERROR(BH194-(BH167-BC167)/2*BH181/1000,BH194-(BH167-BC167)/2*BH182/1000)</f>
        <v>42.762431682104769</v>
      </c>
      <c r="BI195" s="425">
        <f>SUM(BE195*BE$3,BF195*BF$3,BG195*BG$3,BH195*BH$3)/BI$3</f>
        <v>40.157687130086352</v>
      </c>
      <c r="BJ195" s="981">
        <f>IFERROR(BJ194-(BJ167-BE167)/2*BJ181/1000,BJ194-(BJ167-BE167)/2*BJ182/1000)</f>
        <v>13.423178274828068</v>
      </c>
      <c r="BK195" s="487">
        <f>IFERROR(BK194-(BK167-BF167)/2*BK181/1000,BK194-(BK167-BF167)/2*BK182/1000)</f>
        <v>12.797559351256714</v>
      </c>
      <c r="BL195" s="487">
        <f>IFERROR(BL194-(BL167-BG167)/2*BL181/1000,BL194-(BL167-BG167)/2*BL182/1000)</f>
        <v>20.701750397691121</v>
      </c>
      <c r="BM195" s="487">
        <f>IFERROR(BM194-(BM167-BH167)/2*BM181/1000,BM194-(BM167-BH167)/2*BM182/1000)</f>
        <v>25.876397887044995</v>
      </c>
      <c r="BN195" s="425">
        <f>SUM(BJ195*BJ$3,BK195*BK$3,BL195*BL$3,BM195*BM$3)/BN$3</f>
        <v>18.344564428824842</v>
      </c>
      <c r="BO195" s="487">
        <f>IFERROR(BO194-(BO167-BJ167)/2*BO181/1000,BO194-(BO167-BJ167)/2*BO182/1000)</f>
        <v>36.22640396481475</v>
      </c>
      <c r="BP195" s="487">
        <f>IFERROR(BP194-(BP167-BK167)/2*BP181/1000,BP194-(BP167-BK167)/2*BP182/1000)</f>
        <v>41.436171703175638</v>
      </c>
      <c r="BQ195" s="487">
        <f>IFERROR(BQ194-(BQ167-BL167)/2*BQ181/1000,BQ194-(BQ167-BL167)/2*BQ182/1000)</f>
        <v>41.509338711423062</v>
      </c>
      <c r="BR195" s="487">
        <f>IFERROR(BR194-(BR167-BM167)/2*BR181/1000,BR194-(BR167-BM167)/2*BR182/1000)</f>
        <v>41.619475259707684</v>
      </c>
      <c r="BS195" s="425">
        <f>SUM(BO195*BO$3,BP195*BP$3,BQ195*BQ$3,BR195*BR$3)/BS$3</f>
        <v>40.197847409780287</v>
      </c>
      <c r="BT195" s="425">
        <f>IFERROR(BT194-(BT167-BS167)/2*BT181/1000,BT194-(BT167-BS167)/2*BT182/1000)</f>
        <v>42.46416229138304</v>
      </c>
      <c r="BU195" s="425">
        <f>IFERROR(BU194-(BU167-BT167)/2*BU181/1000,BU194-(BU167-BT167)/2*BU182/1000)</f>
        <v>43.138196613468487</v>
      </c>
      <c r="BV195" s="425">
        <f>IFERROR(BV194-(BV167-BU167)/2*BV181/1000,BV194-(BV167-BU167)/2*BV182/1000)</f>
        <v>43.857166557026289</v>
      </c>
      <c r="BW195" s="223"/>
    </row>
    <row r="196" spans="1:75" s="123" customFormat="1" hidden="1" outlineLevel="1" x14ac:dyDescent="0.5">
      <c r="A196" s="184"/>
      <c r="B196" s="489"/>
      <c r="C196" s="401"/>
      <c r="D196" s="401"/>
      <c r="E196" s="401"/>
      <c r="F196" s="401"/>
      <c r="G196" s="118"/>
      <c r="H196" s="118"/>
      <c r="I196" s="118"/>
      <c r="J196" s="118"/>
      <c r="K196" s="401"/>
      <c r="L196" s="118"/>
      <c r="M196" s="118"/>
      <c r="N196" s="118"/>
      <c r="O196" s="118"/>
      <c r="P196" s="401"/>
      <c r="Q196" s="118"/>
      <c r="R196" s="118"/>
      <c r="S196" s="118"/>
      <c r="T196" s="118"/>
      <c r="U196" s="401"/>
      <c r="V196" s="118"/>
      <c r="W196" s="118"/>
      <c r="X196" s="118"/>
      <c r="Y196" s="118"/>
      <c r="Z196" s="401"/>
      <c r="AA196" s="118"/>
      <c r="AB196" s="118"/>
      <c r="AC196" s="118"/>
      <c r="AD196" s="118"/>
      <c r="AE196" s="401"/>
      <c r="AF196" s="118"/>
      <c r="AG196" s="118"/>
      <c r="AH196" s="118"/>
      <c r="AI196" s="118"/>
      <c r="AJ196" s="401"/>
      <c r="AK196" s="118"/>
      <c r="AL196" s="118"/>
      <c r="AM196" s="118"/>
      <c r="AN196" s="118"/>
      <c r="AO196" s="401"/>
      <c r="AP196" s="118"/>
      <c r="AQ196" s="118"/>
      <c r="AR196" s="118"/>
      <c r="AS196" s="118"/>
      <c r="AT196" s="401"/>
      <c r="AU196" s="118"/>
      <c r="AV196" s="118"/>
      <c r="AW196" s="118"/>
      <c r="AX196" s="118"/>
      <c r="AY196" s="401"/>
      <c r="AZ196" s="118"/>
      <c r="BA196" s="118"/>
      <c r="BB196" s="118"/>
      <c r="BC196" s="118"/>
      <c r="BD196" s="401"/>
      <c r="BE196" s="118"/>
      <c r="BF196" s="118"/>
      <c r="BG196" s="118"/>
      <c r="BH196" s="118"/>
      <c r="BI196" s="401"/>
      <c r="BJ196" s="971"/>
      <c r="BK196" s="118"/>
      <c r="BL196" s="118"/>
      <c r="BM196" s="118"/>
      <c r="BN196" s="401"/>
      <c r="BO196" s="118"/>
      <c r="BP196" s="118"/>
      <c r="BQ196" s="118"/>
      <c r="BR196" s="118"/>
      <c r="BS196" s="401"/>
      <c r="BT196" s="401"/>
      <c r="BU196" s="401"/>
      <c r="BV196" s="401"/>
      <c r="BW196" s="122"/>
    </row>
    <row r="197" spans="1:75" s="1144" customFormat="1" ht="14.25" hidden="1" outlineLevel="1" x14ac:dyDescent="0.45">
      <c r="A197" s="1136" t="s">
        <v>1776</v>
      </c>
      <c r="B197" s="1137"/>
      <c r="C197" s="1138">
        <f t="shared" ref="C197:BJ197" si="508">C276</f>
        <v>-3.2000000000000001E-2</v>
      </c>
      <c r="D197" s="1138">
        <f t="shared" si="508"/>
        <v>0.05</v>
      </c>
      <c r="E197" s="1138">
        <f t="shared" si="508"/>
        <v>-3.0000000000000001E-3</v>
      </c>
      <c r="F197" s="1138">
        <f t="shared" si="508"/>
        <v>-1.0999999999999999E-2</v>
      </c>
      <c r="G197" s="1139">
        <f t="shared" si="508"/>
        <v>1.9E-2</v>
      </c>
      <c r="H197" s="1139">
        <f t="shared" si="508"/>
        <v>-4.0000000000000001E-3</v>
      </c>
      <c r="I197" s="1139">
        <f t="shared" si="508"/>
        <v>1.4E-2</v>
      </c>
      <c r="J197" s="1139">
        <f t="shared" si="508"/>
        <v>2.3E-2</v>
      </c>
      <c r="K197" s="1138">
        <f t="shared" si="508"/>
        <v>1.4999999999999999E-2</v>
      </c>
      <c r="L197" s="1139">
        <f t="shared" si="508"/>
        <v>0.06</v>
      </c>
      <c r="M197" s="1139">
        <f t="shared" si="508"/>
        <v>3.4000000000000002E-2</v>
      </c>
      <c r="N197" s="1139">
        <f t="shared" si="508"/>
        <v>4.2999999999999997E-2</v>
      </c>
      <c r="O197" s="1139">
        <f t="shared" si="508"/>
        <v>2.8000000000000001E-2</v>
      </c>
      <c r="P197" s="1138">
        <f t="shared" si="508"/>
        <v>3.7999999999999999E-2</v>
      </c>
      <c r="Q197" s="1139">
        <f t="shared" si="508"/>
        <v>2.7E-2</v>
      </c>
      <c r="R197" s="1139">
        <f t="shared" si="508"/>
        <v>-3.0000000000000001E-3</v>
      </c>
      <c r="S197" s="1139">
        <f t="shared" si="508"/>
        <v>1.2E-2</v>
      </c>
      <c r="T197" s="1139">
        <f t="shared" si="508"/>
        <v>8.9999999999999993E-3</v>
      </c>
      <c r="U197" s="1138">
        <f t="shared" si="508"/>
        <v>1.0999999999999999E-2</v>
      </c>
      <c r="V197" s="1139">
        <f t="shared" si="508"/>
        <v>3.5000000000000003E-2</v>
      </c>
      <c r="W197" s="1139">
        <f t="shared" si="508"/>
        <v>0</v>
      </c>
      <c r="X197" s="1139">
        <f t="shared" si="508"/>
        <v>1E-3</v>
      </c>
      <c r="Y197" s="1139">
        <f t="shared" si="508"/>
        <v>1.4E-2</v>
      </c>
      <c r="Z197" s="1138">
        <f t="shared" si="508"/>
        <v>1.2999999999999999E-2</v>
      </c>
      <c r="AA197" s="1139">
        <f t="shared" si="508"/>
        <v>3.2000000000000001E-2</v>
      </c>
      <c r="AB197" s="1139">
        <f t="shared" si="508"/>
        <v>1.9E-2</v>
      </c>
      <c r="AC197" s="1139">
        <f t="shared" si="508"/>
        <v>2.3E-2</v>
      </c>
      <c r="AD197" s="1139">
        <f t="shared" si="508"/>
        <v>4.2999999999999997E-2</v>
      </c>
      <c r="AE197" s="1138">
        <f t="shared" si="508"/>
        <v>3.2000000000000001E-2</v>
      </c>
      <c r="AF197" s="1139">
        <f t="shared" si="508"/>
        <v>5.6000000000000001E-2</v>
      </c>
      <c r="AG197" s="1139">
        <f t="shared" si="508"/>
        <v>1.6E-2</v>
      </c>
      <c r="AH197" s="1139">
        <f t="shared" si="508"/>
        <v>2.1000000000000001E-2</v>
      </c>
      <c r="AI197" s="1139">
        <f t="shared" si="508"/>
        <v>1E-3</v>
      </c>
      <c r="AJ197" s="1138">
        <f t="shared" si="508"/>
        <v>1.7000000000000001E-2</v>
      </c>
      <c r="AK197" s="1139">
        <f t="shared" si="508"/>
        <v>-1.6E-2</v>
      </c>
      <c r="AL197" s="1139">
        <f t="shared" si="508"/>
        <v>-1.0999999999999999E-2</v>
      </c>
      <c r="AM197" s="1139">
        <f t="shared" si="508"/>
        <v>-2.1000000000000001E-2</v>
      </c>
      <c r="AN197" s="1139">
        <f t="shared" si="508"/>
        <v>3.3000000000000002E-2</v>
      </c>
      <c r="AO197" s="1138">
        <f t="shared" si="508"/>
        <v>4.0000000000000001E-3</v>
      </c>
      <c r="AP197" s="1139">
        <f t="shared" si="508"/>
        <v>5.3999999999999999E-2</v>
      </c>
      <c r="AQ197" s="1139">
        <f t="shared" si="508"/>
        <v>0.29399999999999998</v>
      </c>
      <c r="AR197" s="1139">
        <f t="shared" si="508"/>
        <v>0.30399999999999999</v>
      </c>
      <c r="AS197" s="1139">
        <f t="shared" si="508"/>
        <v>0.26200000000000001</v>
      </c>
      <c r="AT197" s="1138">
        <f t="shared" si="508"/>
        <v>0.23799999999999999</v>
      </c>
      <c r="AU197" s="1139">
        <f t="shared" si="508"/>
        <v>0.35299999999999998</v>
      </c>
      <c r="AV197" s="1139">
        <f t="shared" si="508"/>
        <v>6.4000000000000001E-2</v>
      </c>
      <c r="AW197" s="1139">
        <f t="shared" si="508"/>
        <v>7.5999999999999998E-2</v>
      </c>
      <c r="AX197" s="1139">
        <f t="shared" si="508"/>
        <v>4.4999999999999998E-2</v>
      </c>
      <c r="AY197" s="1138">
        <f t="shared" si="508"/>
        <v>0.105</v>
      </c>
      <c r="AZ197" s="1139">
        <f t="shared" si="508"/>
        <v>-2.1999999999999999E-2</v>
      </c>
      <c r="BA197" s="1139">
        <f t="shared" si="508"/>
        <v>5.0000000000000001E-3</v>
      </c>
      <c r="BB197" s="1139">
        <f t="shared" si="508"/>
        <v>-1.4999999999999999E-2</v>
      </c>
      <c r="BC197" s="1139">
        <f t="shared" si="508"/>
        <v>-2.5000000000000001E-2</v>
      </c>
      <c r="BD197" s="1138">
        <f t="shared" si="508"/>
        <v>-1.7000000000000001E-2</v>
      </c>
      <c r="BE197" s="1139">
        <f t="shared" si="508"/>
        <v>-4.3999999999999997E-2</v>
      </c>
      <c r="BF197" s="1139">
        <f t="shared" si="508"/>
        <v>-7.0000000000000001E-3</v>
      </c>
      <c r="BG197" s="1139">
        <f t="shared" si="508"/>
        <v>-1.9E-2</v>
      </c>
      <c r="BH197" s="1139">
        <f t="shared" si="508"/>
        <v>1.6E-2</v>
      </c>
      <c r="BI197" s="1138">
        <f t="shared" si="508"/>
        <v>-7.0000000000000001E-3</v>
      </c>
      <c r="BJ197" s="1140">
        <f t="shared" si="508"/>
        <v>8.9999999999999993E-3</v>
      </c>
      <c r="BK197" s="1141">
        <v>5.0000000000000001E-3</v>
      </c>
      <c r="BL197" s="1141">
        <v>5.0000000000000001E-3</v>
      </c>
      <c r="BM197" s="1141">
        <v>5.0000000000000001E-3</v>
      </c>
      <c r="BN197" s="1138">
        <f>SUM(BJ197*BE$214,BK197*BF$214,BL197*BG$214,BM197*BH$214)/BI$214</f>
        <v>5.7600395223980092E-3</v>
      </c>
      <c r="BO197" s="1141">
        <v>0.05</v>
      </c>
      <c r="BP197" s="1141">
        <v>0.05</v>
      </c>
      <c r="BQ197" s="1141">
        <v>0.05</v>
      </c>
      <c r="BR197" s="1141">
        <v>0.05</v>
      </c>
      <c r="BS197" s="1138">
        <f>SUM(BO197*BJ$214,BP197*BK$214,BQ197*BL$214,BR197*BM$214)/BN$214</f>
        <v>0.05</v>
      </c>
      <c r="BT197" s="1142">
        <v>0.08</v>
      </c>
      <c r="BU197" s="1142">
        <v>0.08</v>
      </c>
      <c r="BV197" s="1142">
        <v>0.08</v>
      </c>
      <c r="BW197" s="1143"/>
    </row>
    <row r="198" spans="1:75" s="177" customFormat="1" ht="14.25" hidden="1" outlineLevel="1" x14ac:dyDescent="0.45">
      <c r="A198" s="189" t="s">
        <v>1777</v>
      </c>
      <c r="B198" s="491"/>
      <c r="C198" s="417"/>
      <c r="D198" s="417"/>
      <c r="E198" s="417"/>
      <c r="F198" s="417"/>
      <c r="G198" s="378"/>
      <c r="H198" s="378"/>
      <c r="I198" s="378"/>
      <c r="J198" s="378"/>
      <c r="K198" s="417"/>
      <c r="L198" s="378"/>
      <c r="M198" s="378"/>
      <c r="N198" s="378"/>
      <c r="O198" s="378"/>
      <c r="P198" s="417"/>
      <c r="Q198" s="378"/>
      <c r="R198" s="378"/>
      <c r="S198" s="378"/>
      <c r="T198" s="378"/>
      <c r="U198" s="417"/>
      <c r="V198" s="378"/>
      <c r="W198" s="378"/>
      <c r="X198" s="378"/>
      <c r="Y198" s="378"/>
      <c r="Z198" s="417"/>
      <c r="AA198" s="378"/>
      <c r="AB198" s="378"/>
      <c r="AC198" s="378"/>
      <c r="AD198" s="378"/>
      <c r="AE198" s="417"/>
      <c r="AF198" s="378"/>
      <c r="AG198" s="378"/>
      <c r="AH198" s="378"/>
      <c r="AI198" s="378"/>
      <c r="AJ198" s="417"/>
      <c r="AK198" s="378">
        <f t="shared" ref="AK198:BV198" si="509">AK200-AK199</f>
        <v>-2.6303013763482569E-2</v>
      </c>
      <c r="AL198" s="378">
        <f t="shared" si="509"/>
        <v>-2.6216789931040617E-2</v>
      </c>
      <c r="AM198" s="378">
        <f t="shared" si="509"/>
        <v>-1.352088090107233E-2</v>
      </c>
      <c r="AN198" s="378">
        <f t="shared" si="509"/>
        <v>-7.3487716002409387E-2</v>
      </c>
      <c r="AO198" s="417">
        <f t="shared" si="509"/>
        <v>-4.307648892809833E-2</v>
      </c>
      <c r="AP198" s="378">
        <f t="shared" si="509"/>
        <v>-3.873084245712103E-2</v>
      </c>
      <c r="AQ198" s="378">
        <f t="shared" si="509"/>
        <v>-3.0120061786188493E-2</v>
      </c>
      <c r="AR198" s="378">
        <f t="shared" si="509"/>
        <v>-4.4738326367747362E-2</v>
      </c>
      <c r="AS198" s="378">
        <f t="shared" si="509"/>
        <v>-4.4307575254278107E-2</v>
      </c>
      <c r="AT198" s="417">
        <f t="shared" si="509"/>
        <v>-4.1685418595362622E-2</v>
      </c>
      <c r="AU198" s="378">
        <f t="shared" si="509"/>
        <v>-2.7041602321440324E-2</v>
      </c>
      <c r="AV198" s="378">
        <f t="shared" si="509"/>
        <v>-2.3383578368364716E-2</v>
      </c>
      <c r="AW198" s="378">
        <f t="shared" si="509"/>
        <v>-3.2647449215111229E-2</v>
      </c>
      <c r="AX198" s="378">
        <f t="shared" si="509"/>
        <v>-2.8851967935884654E-2</v>
      </c>
      <c r="AY198" s="417">
        <f t="shared" si="509"/>
        <v>-2.8671385701281502E-2</v>
      </c>
      <c r="AZ198" s="378">
        <f t="shared" si="509"/>
        <v>-4.9120796304663886E-2</v>
      </c>
      <c r="BA198" s="378">
        <f t="shared" si="509"/>
        <v>-5.3654974896568425E-2</v>
      </c>
      <c r="BB198" s="378">
        <f t="shared" si="509"/>
        <v>-4.3326439343810821E-2</v>
      </c>
      <c r="BC198" s="378">
        <f t="shared" si="509"/>
        <v>-4.583142251022871E-2</v>
      </c>
      <c r="BD198" s="417">
        <f t="shared" si="509"/>
        <v>-4.714859176602465E-2</v>
      </c>
      <c r="BE198" s="378">
        <f t="shared" si="509"/>
        <v>-2.0743407919882481E-2</v>
      </c>
      <c r="BF198" s="378">
        <f t="shared" si="509"/>
        <v>-3.0040934298102461E-2</v>
      </c>
      <c r="BG198" s="378">
        <f t="shared" si="509"/>
        <v>-2.8708735490910998E-2</v>
      </c>
      <c r="BH198" s="378">
        <f t="shared" si="509"/>
        <v>-3.1794417496254633E-2</v>
      </c>
      <c r="BI198" s="417">
        <f t="shared" si="509"/>
        <v>-2.8989356831499873E-2</v>
      </c>
      <c r="BJ198" s="1130">
        <f t="shared" si="509"/>
        <v>-2.2775749612041235E-2</v>
      </c>
      <c r="BK198" s="378">
        <f t="shared" si="509"/>
        <v>-1.6529707349632841E-2</v>
      </c>
      <c r="BL198" s="378">
        <f t="shared" si="509"/>
        <v>-2.2945021606920198E-2</v>
      </c>
      <c r="BM198" s="378">
        <f t="shared" si="509"/>
        <v>4.6264640332891634E-2</v>
      </c>
      <c r="BN198" s="417">
        <f t="shared" si="509"/>
        <v>7.0971297385819636E-3</v>
      </c>
      <c r="BO198" s="378">
        <f t="shared" si="509"/>
        <v>-1.4175723742927738E-2</v>
      </c>
      <c r="BP198" s="378">
        <f t="shared" si="509"/>
        <v>-2.4743117942576397E-2</v>
      </c>
      <c r="BQ198" s="378">
        <f t="shared" si="509"/>
        <v>-2.5035353709734604E-2</v>
      </c>
      <c r="BR198" s="378">
        <f t="shared" si="509"/>
        <v>-9.8548164947558317E-2</v>
      </c>
      <c r="BS198" s="417">
        <f t="shared" si="509"/>
        <v>-5.4762377851325407E-2</v>
      </c>
      <c r="BT198" s="417">
        <f t="shared" si="509"/>
        <v>-2.8920642165323706E-2</v>
      </c>
      <c r="BU198" s="417">
        <f t="shared" si="509"/>
        <v>-2.2472141358715326E-2</v>
      </c>
      <c r="BV198" s="417">
        <f t="shared" si="509"/>
        <v>-2.3622744773602367E-2</v>
      </c>
      <c r="BW198" s="176"/>
    </row>
    <row r="199" spans="1:75" s="177" customFormat="1" ht="14.25" hidden="1" outlineLevel="1" x14ac:dyDescent="0.45">
      <c r="A199" s="189" t="s">
        <v>1778</v>
      </c>
      <c r="B199" s="491"/>
      <c r="C199" s="417"/>
      <c r="D199" s="417"/>
      <c r="E199" s="417"/>
      <c r="F199" s="417"/>
      <c r="G199" s="378"/>
      <c r="H199" s="378"/>
      <c r="I199" s="378"/>
      <c r="J199" s="378"/>
      <c r="K199" s="417"/>
      <c r="L199" s="378"/>
      <c r="M199" s="378"/>
      <c r="N199" s="378"/>
      <c r="O199" s="378"/>
      <c r="P199" s="417"/>
      <c r="Q199" s="378"/>
      <c r="R199" s="378"/>
      <c r="S199" s="378"/>
      <c r="T199" s="378"/>
      <c r="U199" s="417"/>
      <c r="V199" s="378"/>
      <c r="W199" s="378"/>
      <c r="X199" s="378"/>
      <c r="Y199" s="378"/>
      <c r="Z199" s="417"/>
      <c r="AA199" s="378"/>
      <c r="AB199" s="378"/>
      <c r="AC199" s="378"/>
      <c r="AD199" s="378"/>
      <c r="AE199" s="417"/>
      <c r="AF199" s="378"/>
      <c r="AG199" s="378"/>
      <c r="AH199" s="378"/>
      <c r="AI199" s="378"/>
      <c r="AJ199" s="417"/>
      <c r="AK199" s="378">
        <f t="shared" ref="AK199:BS199" si="510">AK213/AF214</f>
        <v>1.2035868766791429E-2</v>
      </c>
      <c r="AL199" s="378">
        <f t="shared" si="510"/>
        <v>1.7726888405253837E-2</v>
      </c>
      <c r="AM199" s="378">
        <f t="shared" si="510"/>
        <v>4.2155629057356508E-2</v>
      </c>
      <c r="AN199" s="378">
        <f t="shared" si="510"/>
        <v>6.6590979607721087E-3</v>
      </c>
      <c r="AO199" s="417">
        <f t="shared" si="510"/>
        <v>1.6581992537992966E-2</v>
      </c>
      <c r="AP199" s="378">
        <f t="shared" si="510"/>
        <v>7.3482652613119075E-3</v>
      </c>
      <c r="AQ199" s="378">
        <f t="shared" si="510"/>
        <v>6.5799988727311002E-3</v>
      </c>
      <c r="AR199" s="378">
        <f t="shared" si="510"/>
        <v>4.6499924585632155E-3</v>
      </c>
      <c r="AS199" s="378">
        <f t="shared" si="510"/>
        <v>8.1414816606673272E-3</v>
      </c>
      <c r="AT199" s="417">
        <f t="shared" si="510"/>
        <v>7.0072960654120036E-3</v>
      </c>
      <c r="AU199" s="378">
        <f t="shared" si="510"/>
        <v>6.7276767210952609E-3</v>
      </c>
      <c r="AV199" s="378">
        <f t="shared" si="510"/>
        <v>1.0063658818159599E-2</v>
      </c>
      <c r="AW199" s="378">
        <f t="shared" si="510"/>
        <v>5.2989074882846439E-3</v>
      </c>
      <c r="AX199" s="378">
        <f t="shared" si="510"/>
        <v>6.6565395887490794E-3</v>
      </c>
      <c r="AY199" s="417">
        <f t="shared" si="510"/>
        <v>7.0509381499823838E-3</v>
      </c>
      <c r="AZ199" s="378">
        <f t="shared" si="510"/>
        <v>2.0719263212538964E-2</v>
      </c>
      <c r="BA199" s="378">
        <f t="shared" si="510"/>
        <v>2.1863563493385783E-2</v>
      </c>
      <c r="BB199" s="378">
        <f t="shared" si="510"/>
        <v>1.9624128807427092E-2</v>
      </c>
      <c r="BC199" s="378">
        <f t="shared" si="510"/>
        <v>1.9371322732519888E-2</v>
      </c>
      <c r="BD199" s="417">
        <f t="shared" si="510"/>
        <v>2.0161553081950372E-2</v>
      </c>
      <c r="BE199" s="378">
        <f t="shared" si="510"/>
        <v>1.3998026903309589E-2</v>
      </c>
      <c r="BF199" s="378">
        <f t="shared" si="510"/>
        <v>2.0557351512143721E-2</v>
      </c>
      <c r="BG199" s="378">
        <f t="shared" si="510"/>
        <v>1.1760374021198965E-2</v>
      </c>
      <c r="BH199" s="378">
        <f t="shared" si="510"/>
        <v>1.5227623603124997E-2</v>
      </c>
      <c r="BI199" s="417">
        <f t="shared" si="510"/>
        <v>1.5310866704806667E-2</v>
      </c>
      <c r="BJ199" s="1130">
        <f t="shared" si="510"/>
        <v>8.8388393159520087E-3</v>
      </c>
      <c r="BK199" s="378">
        <f t="shared" si="510"/>
        <v>5.9758551447584747E-3</v>
      </c>
      <c r="BL199" s="378">
        <f t="shared" si="510"/>
        <v>9.7725686728284532E-3</v>
      </c>
      <c r="BM199" s="378">
        <f t="shared" si="510"/>
        <v>1.3274349982558662E-2</v>
      </c>
      <c r="BN199" s="417">
        <f t="shared" si="510"/>
        <v>1.0313813744240941E-2</v>
      </c>
      <c r="BO199" s="378">
        <f t="shared" si="510"/>
        <v>1.8688402924360501E-2</v>
      </c>
      <c r="BP199" s="378">
        <f t="shared" si="510"/>
        <v>2.1490614711426988E-2</v>
      </c>
      <c r="BQ199" s="378">
        <f t="shared" si="510"/>
        <v>2.1751399306404132E-2</v>
      </c>
      <c r="BR199" s="378">
        <f t="shared" si="510"/>
        <v>2.0464161217887852E-2</v>
      </c>
      <c r="BS199" s="417">
        <f t="shared" si="510"/>
        <v>2.0579567306573752E-2</v>
      </c>
      <c r="BT199" s="417">
        <f>BT213/BS214</f>
        <v>2.3544535243227662E-2</v>
      </c>
      <c r="BU199" s="417">
        <f>BU213/BT214</f>
        <v>2.4800946483342693E-2</v>
      </c>
      <c r="BV199" s="417">
        <f>BV213/BU214</f>
        <v>2.5993954243166698E-2</v>
      </c>
      <c r="BW199" s="176"/>
    </row>
    <row r="200" spans="1:75" s="1144" customFormat="1" ht="14.25" hidden="1" outlineLevel="1" x14ac:dyDescent="0.45">
      <c r="A200" s="1175" t="s">
        <v>1779</v>
      </c>
      <c r="B200" s="1176"/>
      <c r="C200" s="1177"/>
      <c r="D200" s="1177">
        <f>D201-D197</f>
        <v>-3.1096726940367525E-4</v>
      </c>
      <c r="E200" s="1177">
        <f>E201-E197</f>
        <v>-8.5904604576547729E-3</v>
      </c>
      <c r="F200" s="1177">
        <f>F201-F197</f>
        <v>-2.7928953918093906E-3</v>
      </c>
      <c r="G200" s="1178"/>
      <c r="H200" s="1178"/>
      <c r="I200" s="1178"/>
      <c r="J200" s="1178"/>
      <c r="K200" s="1177">
        <f t="shared" ref="K200" si="511">K201-K197</f>
        <v>-1.7760247943069726E-2</v>
      </c>
      <c r="L200" s="1178"/>
      <c r="M200" s="1178"/>
      <c r="N200" s="1178"/>
      <c r="O200" s="1178"/>
      <c r="P200" s="1177">
        <f t="shared" ref="P200" si="512">P201-P197</f>
        <v>-2.0976517430434792E-2</v>
      </c>
      <c r="Q200" s="1178"/>
      <c r="R200" s="1178"/>
      <c r="S200" s="1178"/>
      <c r="T200" s="1178"/>
      <c r="U200" s="1177">
        <f t="shared" ref="U200" si="513">U201-U197</f>
        <v>-1.2047603631826543E-2</v>
      </c>
      <c r="V200" s="1178"/>
      <c r="W200" s="1178"/>
      <c r="X200" s="1178"/>
      <c r="Y200" s="1178"/>
      <c r="Z200" s="1177">
        <f t="shared" ref="Z200" si="514">Z201-Z197</f>
        <v>-4.359780356256825E-3</v>
      </c>
      <c r="AA200" s="1178"/>
      <c r="AB200" s="1178"/>
      <c r="AC200" s="1178"/>
      <c r="AD200" s="1178"/>
      <c r="AE200" s="1177">
        <f t="shared" ref="AE200" si="515">AE201-AE197</f>
        <v>-1.1804309345296388E-2</v>
      </c>
      <c r="AF200" s="1178"/>
      <c r="AG200" s="1178"/>
      <c r="AH200" s="1178"/>
      <c r="AI200" s="1178"/>
      <c r="AJ200" s="1177">
        <f t="shared" ref="AJ200:BV200" si="516">AJ201-AJ197</f>
        <v>1.5951760211417101E-2</v>
      </c>
      <c r="AK200" s="1178">
        <f t="shared" si="516"/>
        <v>-1.4267144996691142E-2</v>
      </c>
      <c r="AL200" s="1178">
        <f t="shared" si="516"/>
        <v>-8.4899015257867798E-3</v>
      </c>
      <c r="AM200" s="1178">
        <f t="shared" si="516"/>
        <v>2.8634748156284178E-2</v>
      </c>
      <c r="AN200" s="1178">
        <f t="shared" si="516"/>
        <v>-6.6828618041637283E-2</v>
      </c>
      <c r="AO200" s="1177">
        <f t="shared" si="516"/>
        <v>-2.6494496390105367E-2</v>
      </c>
      <c r="AP200" s="1178">
        <f t="shared" si="516"/>
        <v>-3.1382577195809121E-2</v>
      </c>
      <c r="AQ200" s="1178">
        <f t="shared" si="516"/>
        <v>-2.3540062913457394E-2</v>
      </c>
      <c r="AR200" s="1178">
        <f t="shared" si="516"/>
        <v>-4.0088333909184148E-2</v>
      </c>
      <c r="AS200" s="1178">
        <f t="shared" si="516"/>
        <v>-3.6166093593610782E-2</v>
      </c>
      <c r="AT200" s="1177">
        <f t="shared" si="516"/>
        <v>-3.4678122529950617E-2</v>
      </c>
      <c r="AU200" s="1178">
        <f t="shared" si="516"/>
        <v>-2.0313925600345062E-2</v>
      </c>
      <c r="AV200" s="1178">
        <f t="shared" si="516"/>
        <v>-1.3319919550205117E-2</v>
      </c>
      <c r="AW200" s="1178">
        <f t="shared" si="516"/>
        <v>-2.7348541726826589E-2</v>
      </c>
      <c r="AX200" s="1178">
        <f t="shared" si="516"/>
        <v>-2.2195428347135573E-2</v>
      </c>
      <c r="AY200" s="1177">
        <f t="shared" si="516"/>
        <v>-2.1620447551299118E-2</v>
      </c>
      <c r="AZ200" s="1178">
        <f t="shared" si="516"/>
        <v>-2.8401533092124918E-2</v>
      </c>
      <c r="BA200" s="1178">
        <f t="shared" si="516"/>
        <v>-3.1791411403182639E-2</v>
      </c>
      <c r="BB200" s="1178">
        <f t="shared" si="516"/>
        <v>-2.3702310536383733E-2</v>
      </c>
      <c r="BC200" s="1178">
        <f t="shared" si="516"/>
        <v>-2.6460099777708822E-2</v>
      </c>
      <c r="BD200" s="1177">
        <f t="shared" si="516"/>
        <v>-2.6987038684074274E-2</v>
      </c>
      <c r="BE200" s="1178">
        <f t="shared" si="516"/>
        <v>-6.7453810165728906E-3</v>
      </c>
      <c r="BF200" s="1178">
        <f t="shared" si="516"/>
        <v>-9.4835827859587399E-3</v>
      </c>
      <c r="BG200" s="1178">
        <f t="shared" si="516"/>
        <v>-1.6948361469712032E-2</v>
      </c>
      <c r="BH200" s="1178">
        <f t="shared" si="516"/>
        <v>-1.6566793893129636E-2</v>
      </c>
      <c r="BI200" s="1177">
        <f t="shared" si="516"/>
        <v>-1.3678490126693206E-2</v>
      </c>
      <c r="BJ200" s="1179">
        <f t="shared" si="516"/>
        <v>-1.3936910296089225E-2</v>
      </c>
      <c r="BK200" s="1178">
        <f t="shared" si="516"/>
        <v>-1.0553852204874366E-2</v>
      </c>
      <c r="BL200" s="1178">
        <f t="shared" si="516"/>
        <v>-1.3172452934091746E-2</v>
      </c>
      <c r="BM200" s="1178">
        <f t="shared" si="516"/>
        <v>5.9538990315450298E-2</v>
      </c>
      <c r="BN200" s="1177">
        <f t="shared" si="516"/>
        <v>1.7410943482822905E-2</v>
      </c>
      <c r="BO200" s="1178">
        <f t="shared" si="516"/>
        <v>4.5126791814327633E-3</v>
      </c>
      <c r="BP200" s="1178">
        <f t="shared" si="516"/>
        <v>-3.252503231149409E-3</v>
      </c>
      <c r="BQ200" s="1178">
        <f t="shared" si="516"/>
        <v>-3.2839544033304718E-3</v>
      </c>
      <c r="BR200" s="1178">
        <f t="shared" si="516"/>
        <v>-7.8084003729670462E-2</v>
      </c>
      <c r="BS200" s="1177">
        <f t="shared" si="516"/>
        <v>-3.4182810544751654E-2</v>
      </c>
      <c r="BT200" s="1177">
        <f t="shared" si="516"/>
        <v>-5.3761069220960439E-3</v>
      </c>
      <c r="BU200" s="1177">
        <f t="shared" si="516"/>
        <v>2.3288051246273672E-3</v>
      </c>
      <c r="BV200" s="1177">
        <f t="shared" si="516"/>
        <v>2.371209469564331E-3</v>
      </c>
      <c r="BW200" s="1143"/>
    </row>
    <row r="201" spans="1:75" s="1144" customFormat="1" ht="14.25" hidden="1" outlineLevel="1" x14ac:dyDescent="0.45">
      <c r="A201" s="1150" t="s">
        <v>1780</v>
      </c>
      <c r="B201" s="1146"/>
      <c r="C201" s="1147"/>
      <c r="D201" s="1147">
        <f t="shared" ref="D201:E201" si="517">D214/C214-1</f>
        <v>4.9689032730596328E-2</v>
      </c>
      <c r="E201" s="1147">
        <f t="shared" si="517"/>
        <v>-1.1590460457654772E-2</v>
      </c>
      <c r="F201" s="1147">
        <f>F214/E214-1</f>
        <v>-1.379289539180939E-2</v>
      </c>
      <c r="G201" s="1148"/>
      <c r="H201" s="1148"/>
      <c r="I201" s="1148"/>
      <c r="J201" s="1148"/>
      <c r="K201" s="1147">
        <f t="shared" ref="K201" si="518">K214/F214-1</f>
        <v>-2.7602479430697269E-3</v>
      </c>
      <c r="L201" s="1148"/>
      <c r="M201" s="1148"/>
      <c r="N201" s="1148"/>
      <c r="O201" s="1148"/>
      <c r="P201" s="1147">
        <f t="shared" ref="P201" si="519">P214/K214-1</f>
        <v>1.7023482569565207E-2</v>
      </c>
      <c r="Q201" s="1148"/>
      <c r="R201" s="1148"/>
      <c r="S201" s="1148"/>
      <c r="T201" s="1148"/>
      <c r="U201" s="1147">
        <f t="shared" ref="U201" si="520">U214/P214-1</f>
        <v>-1.0476036318265436E-3</v>
      </c>
      <c r="V201" s="1148"/>
      <c r="W201" s="1148"/>
      <c r="X201" s="1148"/>
      <c r="Y201" s="1148"/>
      <c r="Z201" s="1147">
        <f t="shared" ref="Z201" si="521">Z214/U214-1</f>
        <v>8.6402196437431744E-3</v>
      </c>
      <c r="AA201" s="1148"/>
      <c r="AB201" s="1148"/>
      <c r="AC201" s="1148"/>
      <c r="AD201" s="1148"/>
      <c r="AE201" s="1147">
        <f t="shared" ref="AE201" si="522">AE214/Z214-1</f>
        <v>2.0195690654703613E-2</v>
      </c>
      <c r="AF201" s="1148"/>
      <c r="AG201" s="1148"/>
      <c r="AH201" s="1148"/>
      <c r="AI201" s="1148"/>
      <c r="AJ201" s="1147">
        <f t="shared" ref="AJ201:BS201" si="523">AJ214/AE214-1</f>
        <v>3.2951760211417103E-2</v>
      </c>
      <c r="AK201" s="1148">
        <f t="shared" si="523"/>
        <v>-3.0267144996691142E-2</v>
      </c>
      <c r="AL201" s="1148">
        <f t="shared" si="523"/>
        <v>-1.9489901525786779E-2</v>
      </c>
      <c r="AM201" s="1148">
        <f t="shared" si="523"/>
        <v>7.6347481562841768E-3</v>
      </c>
      <c r="AN201" s="1148">
        <f t="shared" si="523"/>
        <v>-3.3828618041637282E-2</v>
      </c>
      <c r="AO201" s="1147">
        <f t="shared" si="523"/>
        <v>-2.2494496390105367E-2</v>
      </c>
      <c r="AP201" s="1148">
        <f t="shared" si="523"/>
        <v>2.2617422804190879E-2</v>
      </c>
      <c r="AQ201" s="1148">
        <f t="shared" si="523"/>
        <v>0.27045993708654259</v>
      </c>
      <c r="AR201" s="1148">
        <f t="shared" si="523"/>
        <v>0.26391166609081584</v>
      </c>
      <c r="AS201" s="1148">
        <f t="shared" si="523"/>
        <v>0.22583390640638923</v>
      </c>
      <c r="AT201" s="1147">
        <f t="shared" si="523"/>
        <v>0.20332187747004937</v>
      </c>
      <c r="AU201" s="1148">
        <f t="shared" si="523"/>
        <v>0.33268607439965492</v>
      </c>
      <c r="AV201" s="1148">
        <f t="shared" si="523"/>
        <v>5.0680080449794884E-2</v>
      </c>
      <c r="AW201" s="1148">
        <f t="shared" si="523"/>
        <v>4.8651458273173409E-2</v>
      </c>
      <c r="AX201" s="1148">
        <f t="shared" si="523"/>
        <v>2.2804571652864425E-2</v>
      </c>
      <c r="AY201" s="1147">
        <f t="shared" si="523"/>
        <v>8.3379552448700878E-2</v>
      </c>
      <c r="AZ201" s="1148">
        <f t="shared" si="523"/>
        <v>-5.0401533092124917E-2</v>
      </c>
      <c r="BA201" s="1148">
        <f t="shared" si="523"/>
        <v>-2.6791411403182641E-2</v>
      </c>
      <c r="BB201" s="1148">
        <f t="shared" si="523"/>
        <v>-3.8702310536383733E-2</v>
      </c>
      <c r="BC201" s="1148">
        <f t="shared" si="523"/>
        <v>-5.1460099777708823E-2</v>
      </c>
      <c r="BD201" s="1147">
        <f t="shared" si="523"/>
        <v>-4.3987038684074276E-2</v>
      </c>
      <c r="BE201" s="1148">
        <f t="shared" si="523"/>
        <v>-5.0745381016572888E-2</v>
      </c>
      <c r="BF201" s="1148">
        <f t="shared" si="523"/>
        <v>-1.6483582785958739E-2</v>
      </c>
      <c r="BG201" s="1148">
        <f t="shared" si="523"/>
        <v>-3.5948361469712031E-2</v>
      </c>
      <c r="BH201" s="1148">
        <f t="shared" si="523"/>
        <v>-5.6679389312963568E-4</v>
      </c>
      <c r="BI201" s="1147">
        <f t="shared" si="523"/>
        <v>-2.0678490126693205E-2</v>
      </c>
      <c r="BJ201" s="1149">
        <f t="shared" si="523"/>
        <v>-4.9369102960892253E-3</v>
      </c>
      <c r="BK201" s="1148">
        <f t="shared" si="523"/>
        <v>-5.5538522048743655E-3</v>
      </c>
      <c r="BL201" s="1148">
        <f t="shared" si="523"/>
        <v>-8.1724529340917451E-3</v>
      </c>
      <c r="BM201" s="1148">
        <f t="shared" si="523"/>
        <v>6.4538990315450295E-2</v>
      </c>
      <c r="BN201" s="1147">
        <f t="shared" si="523"/>
        <v>2.3170983005220913E-2</v>
      </c>
      <c r="BO201" s="1148">
        <f t="shared" si="523"/>
        <v>5.4512679181432766E-2</v>
      </c>
      <c r="BP201" s="1148">
        <f t="shared" si="523"/>
        <v>4.6747496768850594E-2</v>
      </c>
      <c r="BQ201" s="1148">
        <f t="shared" si="523"/>
        <v>4.6716045596669531E-2</v>
      </c>
      <c r="BR201" s="1148">
        <f t="shared" si="523"/>
        <v>-2.8084003729670459E-2</v>
      </c>
      <c r="BS201" s="1147">
        <f t="shared" si="523"/>
        <v>1.5817189455248348E-2</v>
      </c>
      <c r="BT201" s="1147">
        <f>BT214/BS214-1</f>
        <v>7.4623893077903958E-2</v>
      </c>
      <c r="BU201" s="1147">
        <f>BU214/BT214-1</f>
        <v>8.2328805124627369E-2</v>
      </c>
      <c r="BV201" s="1147">
        <f>BV214/BU214-1</f>
        <v>8.2371209469564333E-2</v>
      </c>
      <c r="BW201" s="1143"/>
    </row>
    <row r="202" spans="1:75" s="123" customFormat="1" hidden="1" outlineLevel="1" x14ac:dyDescent="0.5">
      <c r="A202" s="184"/>
      <c r="B202" s="489"/>
      <c r="C202" s="401"/>
      <c r="D202" s="401"/>
      <c r="E202" s="401"/>
      <c r="F202" s="401"/>
      <c r="G202" s="118"/>
      <c r="H202" s="118"/>
      <c r="I202" s="118"/>
      <c r="J202" s="118"/>
      <c r="K202" s="401"/>
      <c r="L202" s="118"/>
      <c r="M202" s="118"/>
      <c r="N202" s="118"/>
      <c r="O202" s="118"/>
      <c r="P202" s="401"/>
      <c r="Q202" s="118"/>
      <c r="R202" s="118"/>
      <c r="S202" s="118"/>
      <c r="T202" s="118"/>
      <c r="U202" s="401"/>
      <c r="V202" s="118"/>
      <c r="W202" s="118"/>
      <c r="X202" s="118"/>
      <c r="Y202" s="118"/>
      <c r="Z202" s="401"/>
      <c r="AA202" s="118"/>
      <c r="AB202" s="118"/>
      <c r="AC202" s="118"/>
      <c r="AD202" s="118"/>
      <c r="AE202" s="401"/>
      <c r="AF202" s="118"/>
      <c r="AG202" s="118"/>
      <c r="AH202" s="118"/>
      <c r="AI202" s="118"/>
      <c r="AJ202" s="401"/>
      <c r="AK202" s="118"/>
      <c r="AL202" s="118"/>
      <c r="AM202" s="118"/>
      <c r="AN202" s="118"/>
      <c r="AO202" s="401"/>
      <c r="AP202" s="118"/>
      <c r="AQ202" s="118"/>
      <c r="AR202" s="118"/>
      <c r="AS202" s="118"/>
      <c r="AT202" s="401"/>
      <c r="AU202" s="118"/>
      <c r="AV202" s="118"/>
      <c r="AW202" s="118"/>
      <c r="AX202" s="118"/>
      <c r="AY202" s="401"/>
      <c r="AZ202" s="118"/>
      <c r="BA202" s="118"/>
      <c r="BB202" s="118"/>
      <c r="BC202" s="118"/>
      <c r="BD202" s="401"/>
      <c r="BE202" s="118"/>
      <c r="BF202" s="118"/>
      <c r="BG202" s="118"/>
      <c r="BH202" s="118"/>
      <c r="BI202" s="401"/>
      <c r="BJ202" s="971"/>
      <c r="BK202" s="118"/>
      <c r="BL202" s="118"/>
      <c r="BM202" s="118"/>
      <c r="BN202" s="401"/>
      <c r="BO202" s="118"/>
      <c r="BP202" s="118"/>
      <c r="BQ202" s="118"/>
      <c r="BR202" s="118"/>
      <c r="BS202" s="401"/>
      <c r="BT202" s="401"/>
      <c r="BU202" s="401"/>
      <c r="BV202" s="401"/>
      <c r="BW202" s="122"/>
    </row>
    <row r="203" spans="1:75" s="217" customFormat="1" hidden="1" outlineLevel="1" x14ac:dyDescent="0.5">
      <c r="A203" s="640" t="s">
        <v>1781</v>
      </c>
      <c r="B203" s="493"/>
      <c r="C203" s="423"/>
      <c r="D203" s="423"/>
      <c r="E203" s="423"/>
      <c r="F203" s="423"/>
      <c r="G203" s="422"/>
      <c r="H203" s="422"/>
      <c r="I203" s="422"/>
      <c r="J203" s="422"/>
      <c r="K203" s="423"/>
      <c r="L203" s="422"/>
      <c r="M203" s="422"/>
      <c r="N203" s="422"/>
      <c r="O203" s="422"/>
      <c r="P203" s="423"/>
      <c r="Q203" s="422"/>
      <c r="R203" s="422"/>
      <c r="S203" s="422"/>
      <c r="T203" s="422"/>
      <c r="U203" s="423"/>
      <c r="V203" s="422"/>
      <c r="W203" s="422"/>
      <c r="X203" s="422"/>
      <c r="Y203" s="422"/>
      <c r="Z203" s="423"/>
      <c r="AA203" s="422"/>
      <c r="AB203" s="422"/>
      <c r="AC203" s="422"/>
      <c r="AD203" s="422"/>
      <c r="AE203" s="423"/>
      <c r="AF203" s="422"/>
      <c r="AG203" s="422"/>
      <c r="AH203" s="422"/>
      <c r="AI203" s="422"/>
      <c r="AJ203" s="423"/>
      <c r="AK203" s="443">
        <v>0.6</v>
      </c>
      <c r="AL203" s="443">
        <v>0.3</v>
      </c>
      <c r="AM203" s="443">
        <v>0.1</v>
      </c>
      <c r="AN203" s="443">
        <v>0.1</v>
      </c>
      <c r="AO203" s="423">
        <f t="shared" ref="AO203" si="524">AVERAGE(AK203,AL203,AM203,AN203)</f>
        <v>0.27499999999999997</v>
      </c>
      <c r="AP203" s="443">
        <v>0.6</v>
      </c>
      <c r="AQ203" s="443">
        <v>0.6</v>
      </c>
      <c r="AR203" s="443">
        <v>0.6</v>
      </c>
      <c r="AS203" s="443">
        <v>0.5</v>
      </c>
      <c r="AT203" s="423">
        <f t="shared" ref="AT203" si="525">AVERAGE(AP203,AQ203,AR203,AS203)</f>
        <v>0.57499999999999996</v>
      </c>
      <c r="AU203" s="443">
        <v>0.2</v>
      </c>
      <c r="AV203" s="443">
        <v>0.1</v>
      </c>
      <c r="AW203" s="443">
        <v>0.3</v>
      </c>
      <c r="AX203" s="443">
        <v>0.3</v>
      </c>
      <c r="AY203" s="423">
        <f t="shared" ref="AY203" si="526">AVERAGE(AU203,AV203,AW203,AX203)</f>
        <v>0.22500000000000003</v>
      </c>
      <c r="AZ203" s="443">
        <v>0.2</v>
      </c>
      <c r="BA203" s="443">
        <v>0.3</v>
      </c>
      <c r="BB203" s="443">
        <v>0.2</v>
      </c>
      <c r="BC203" s="443">
        <v>0.2</v>
      </c>
      <c r="BD203" s="423">
        <f>AVERAGE(AZ203,BA203,BB203,BC203)</f>
        <v>0.22499999999999998</v>
      </c>
      <c r="BE203" s="443">
        <v>0.2</v>
      </c>
      <c r="BF203" s="443">
        <v>0.2</v>
      </c>
      <c r="BG203" s="443">
        <v>0.35</v>
      </c>
      <c r="BH203" s="443">
        <v>0.2</v>
      </c>
      <c r="BI203" s="423">
        <f>AVERAGE(BE203,BF203,BG203,BH203)</f>
        <v>0.23749999999999999</v>
      </c>
      <c r="BJ203" s="1151">
        <v>0.35</v>
      </c>
      <c r="BK203" s="443">
        <v>0.25</v>
      </c>
      <c r="BL203" s="443">
        <v>0.25</v>
      </c>
      <c r="BM203" s="443">
        <v>0.25</v>
      </c>
      <c r="BN203" s="423">
        <f>AVERAGE(BJ203,BK203,BL203,BM203)</f>
        <v>0.27500000000000002</v>
      </c>
      <c r="BO203" s="443">
        <v>0.25</v>
      </c>
      <c r="BP203" s="443">
        <v>0.25</v>
      </c>
      <c r="BQ203" s="443">
        <v>0.25</v>
      </c>
      <c r="BR203" s="443">
        <v>0.25</v>
      </c>
      <c r="BS203" s="423">
        <f>AVERAGE(BO203,BP203,BQ203,BR203)</f>
        <v>0.25</v>
      </c>
      <c r="BT203" s="735">
        <v>0.25</v>
      </c>
      <c r="BU203" s="735">
        <v>0.25</v>
      </c>
      <c r="BV203" s="735">
        <v>0.25</v>
      </c>
      <c r="BW203" s="216"/>
    </row>
    <row r="204" spans="1:75" s="217" customFormat="1" hidden="1" outlineLevel="1" x14ac:dyDescent="0.5">
      <c r="A204" s="640" t="s">
        <v>1782</v>
      </c>
      <c r="B204" s="493"/>
      <c r="C204" s="423"/>
      <c r="D204" s="423"/>
      <c r="E204" s="423"/>
      <c r="F204" s="423"/>
      <c r="G204" s="422"/>
      <c r="H204" s="422"/>
      <c r="I204" s="422"/>
      <c r="J204" s="422"/>
      <c r="K204" s="423"/>
      <c r="L204" s="422"/>
      <c r="M204" s="422"/>
      <c r="N204" s="422"/>
      <c r="O204" s="422"/>
      <c r="P204" s="423"/>
      <c r="Q204" s="422"/>
      <c r="R204" s="422"/>
      <c r="S204" s="422"/>
      <c r="T204" s="422"/>
      <c r="U204" s="423"/>
      <c r="V204" s="422"/>
      <c r="W204" s="422"/>
      <c r="X204" s="422"/>
      <c r="Y204" s="422"/>
      <c r="Z204" s="423"/>
      <c r="AA204" s="422"/>
      <c r="AB204" s="422"/>
      <c r="AC204" s="422"/>
      <c r="AD204" s="422"/>
      <c r="AE204" s="423"/>
      <c r="AF204" s="422"/>
      <c r="AG204" s="422"/>
      <c r="AH204" s="422"/>
      <c r="AI204" s="422"/>
      <c r="AJ204" s="423"/>
      <c r="AK204" s="422">
        <f>(AK191-(2-AK203)*SUM(AK186,AI186,AH186,AG186))/(AK191-SUM(AK186,AI186,AH186,AG186))-1</f>
        <v>2.5851723867107212E-2</v>
      </c>
      <c r="AL204" s="422">
        <f>(AL191-(2-AL203)*SUM(AL186,AK186,AI186,AH186))/(AL191-SUM(AL186,AK186,AI186,AH186))-1</f>
        <v>4.1833911465491536E-2</v>
      </c>
      <c r="AM204" s="422">
        <f>(AM191-(2-AM203)*SUM(AM186,AL186,AK186,AI186))/(AM191-SUM(AM186,AL186,AK186,AI186))-1</f>
        <v>4.1019669467307507E-2</v>
      </c>
      <c r="AN204" s="422">
        <f>(AN191-(2-AN203)*SUM(AN186,AM186,AL186,AK186))/(AN191-SUM(AN186,AM186,AL186,AK186))-1</f>
        <v>4.8261932605745184E-2</v>
      </c>
      <c r="AO204" s="423">
        <f t="shared" ref="AO204" si="527">(AO205*AJ$3/AO$3)/AJ210-1</f>
        <v>3.0958293339305998E-2</v>
      </c>
      <c r="AP204" s="422">
        <f>(AP191-(2-AP203)*SUM(AP186,AN186,AM186,AL186))/(AP191-SUM(AP186,AN186,AM186,AL186))-1</f>
        <v>1.3644487915401848E-2</v>
      </c>
      <c r="AQ204" s="422">
        <f>(AQ191-(2-AQ203)*SUM(AQ186,AP186,AN186,AM186))/(AQ191-SUM(AQ186,AP186,AN186,AM186))-1</f>
        <v>2.1262393013772529E-2</v>
      </c>
      <c r="AR204" s="422">
        <f>(AR191-(2-AR203)*SUM(AR186,AQ186,AP186,AN186))/(AR191-SUM(AR186,AQ186,AP186,AN186))-1</f>
        <v>2.8545808532738581E-2</v>
      </c>
      <c r="AS204" s="422">
        <f>(AS191-(2-AS203)*SUM(AS186,AR186,AQ186,AP186))/(AS191-SUM(AS186,AR186,AQ186,AP186))-1</f>
        <v>4.2292768898386512E-2</v>
      </c>
      <c r="AT204" s="423">
        <f t="shared" ref="AT204" si="528">(AT205*AO$3/AT$3)/AO210-1</f>
        <v>2.4890755133830433E-2</v>
      </c>
      <c r="AU204" s="422">
        <f>(AU191-(2-AU203)*SUM(AU186,AS186,AR186,AQ186))/(AU191-SUM(AU186,AS186,AR186,AQ186))-1</f>
        <v>7.8505925336790794E-2</v>
      </c>
      <c r="AV204" s="422">
        <f>(AV191-(2-AV203)*SUM(AV186,AU186,AS186,AR186))/(AV191-SUM(AV186,AU186,AS186,AR186))-1</f>
        <v>7.7110474594465739E-2</v>
      </c>
      <c r="AW204" s="422">
        <f>(AW191-(2-AW203)*SUM(AW186,AV186,AU186,AS186))/(AW191-SUM(AW186,AV186,AU186,AS186))-1</f>
        <v>6.3333595691942746E-2</v>
      </c>
      <c r="AX204" s="422">
        <f>(AX191-(2-AX203)*SUM(AX186,AW186,AV186,AU186))/(AX191-SUM(AX186,AW186,AV186,AU186))-1</f>
        <v>9.8990146655094424E-2</v>
      </c>
      <c r="AY204" s="423">
        <f t="shared" ref="AY204" si="529">(AY205*AT$3/AY$3)/AT210-1</f>
        <v>7.8060616003311711E-2</v>
      </c>
      <c r="AZ204" s="422">
        <f>(AZ191-(2-AZ203)*SUM(AZ186,AX186,AW186,AV186))/(AZ191-SUM(AZ186,AX186,AW186,AV186))-1</f>
        <v>0.10666695237656598</v>
      </c>
      <c r="BA204" s="422">
        <f>(BA191-(2-BA203)*SUM(BA186,AZ186,AX186,AW186))/(BA191-SUM(BA186,AZ186,AX186,AW186))-1</f>
        <v>9.642853463557266E-2</v>
      </c>
      <c r="BB204" s="422">
        <f>(BB191-(2-BB203)*SUM(BB186,BA186,AZ186,AX186))/(BB191-SUM(BB186,BA186,AZ186,AX186))-1</f>
        <v>0.10309274102251709</v>
      </c>
      <c r="BC204" s="422">
        <f>(BC191-(2-BC203)*SUM(BC186,BB186,BA186,AZ186))/(BC191-SUM(BC186,BB186,BA186,AZ186))-1</f>
        <v>6.8373995602840187E-2</v>
      </c>
      <c r="BD204" s="423">
        <f>(BD205*AY$3/BD$3)/AY210-1</f>
        <v>9.4640989269530129E-2</v>
      </c>
      <c r="BE204" s="422">
        <f>(BE191-(2-BE203)*SUM(BE186,BC186,BB186,BA186))/(BE191-SUM(BE186,BC186,BB186,BA186))-1</f>
        <v>7.1398470248756674E-2</v>
      </c>
      <c r="BF204" s="422">
        <f>(BF191-(2-BF203)*SUM(BF186,BE186,BC186,BB186))/(BF191-SUM(BF186,BE186,BC186,BB186))-1</f>
        <v>6.3372823151718549E-2</v>
      </c>
      <c r="BG204" s="422">
        <f>(BG191-(2-BG203)*SUM(BG186,BF186,BE186,BC186))/(BG191-SUM(BG186,BF186,BE186,BC186))-1</f>
        <v>5.8925320440451179E-2</v>
      </c>
      <c r="BH204" s="422">
        <f>(BH191-(2-BH203)*SUM(BH186,BG186,BF186,BE186))/(BH191-SUM(BH186,BG186,BF186,BE186))-1</f>
        <v>5.8647781012745481E-2</v>
      </c>
      <c r="BI204" s="423">
        <f>(BI205*BD$3/BI$3)/BD210-1</f>
        <v>6.192632448405222E-2</v>
      </c>
      <c r="BJ204" s="1034">
        <f>(BJ191-(2-BJ203)*SUM(BJ186,BH186,BG186,BF186))/(BJ191-SUM(BJ186,BH186,BG186,BF186))-1</f>
        <v>3.9286370609854293E-2</v>
      </c>
      <c r="BK204" s="422">
        <f>(BK191-(2-BK203)*SUM(BK186,BJ186,BH186,BG186))/(BK191-SUM(BK186,BJ186,BH186,BG186))-1</f>
        <v>5.4755591065264175E-2</v>
      </c>
      <c r="BL204" s="422">
        <f>(BL191-(2-BL203)*SUM(BL186,BK186,BJ186,BH186))/(BL191-SUM(BL186,BK186,BJ186,BH186))-1</f>
        <v>5.982081443299081E-2</v>
      </c>
      <c r="BM204" s="422">
        <f>(BM191-(2-BM203)*SUM(BM186,BL186,BK186,BJ186))/(BM191-SUM(BM186,BL186,BK186,BJ186))-1</f>
        <v>4.327421088157668E-2</v>
      </c>
      <c r="BN204" s="423">
        <f>(BN205*BI$3/BN$3)/BI210-1</f>
        <v>6.1119579245207056E-2</v>
      </c>
      <c r="BO204" s="422">
        <f>(BO191-(2-BO203)*SUM(BO186,BM186,BL186,BK186))/(BO191-SUM(BO186,BM186,BL186,BK186))-1</f>
        <v>5.7697186169707759E-2</v>
      </c>
      <c r="BP204" s="422">
        <f>(BP191-(2-BP203)*SUM(BP186,BO186,BM186,BL186))/(BP191-SUM(BP186,BO186,BM186,BL186))-1</f>
        <v>5.8254784498452894E-2</v>
      </c>
      <c r="BQ204" s="422">
        <f>(BQ191-(2-BQ203)*SUM(BQ186,BP186,BO186,BM186))/(BQ191-SUM(BQ186,BP186,BO186,BM186))-1</f>
        <v>5.887523339568701E-2</v>
      </c>
      <c r="BR204" s="422">
        <f>(BR191-(2-BR203)*SUM(BR186,BQ186,BP186,BO186))/(BR191-SUM(BR186,BQ186,BP186,BO186))-1</f>
        <v>5.9563145240454585E-2</v>
      </c>
      <c r="BS204" s="423">
        <f>(BS205*BN$3/BS$3)/BN210-1</f>
        <v>4.4598166674153061E-2</v>
      </c>
      <c r="BT204" s="423">
        <f>(BT191-(2-BT203)*BT186)/(BT191-BT186)-1</f>
        <v>5.2094787061313097E-2</v>
      </c>
      <c r="BU204" s="423">
        <f>(BU191-(2-BU203)*BU186)/(BU191-BU186)-1</f>
        <v>5.4347826086956541E-2</v>
      </c>
      <c r="BV204" s="423">
        <f>(BV191-(2-BV203)*BV186)/(BV191-BV186)-1</f>
        <v>5.6818181818181657E-2</v>
      </c>
      <c r="BW204" s="216"/>
    </row>
    <row r="205" spans="1:75" s="224" customFormat="1" hidden="1" outlineLevel="1" x14ac:dyDescent="0.5">
      <c r="A205" s="218" t="s">
        <v>1783</v>
      </c>
      <c r="B205" s="494"/>
      <c r="C205" s="425"/>
      <c r="D205" s="425"/>
      <c r="E205" s="425"/>
      <c r="F205" s="425"/>
      <c r="G205" s="487"/>
      <c r="H205" s="487"/>
      <c r="I205" s="487"/>
      <c r="J205" s="487"/>
      <c r="K205" s="425"/>
      <c r="L205" s="487"/>
      <c r="M205" s="487"/>
      <c r="N205" s="487"/>
      <c r="O205" s="487"/>
      <c r="P205" s="425"/>
      <c r="Q205" s="487"/>
      <c r="R205" s="487"/>
      <c r="S205" s="487"/>
      <c r="T205" s="487"/>
      <c r="U205" s="425"/>
      <c r="V205" s="487"/>
      <c r="W205" s="487"/>
      <c r="X205" s="487"/>
      <c r="Y205" s="487"/>
      <c r="Z205" s="425"/>
      <c r="AA205" s="487"/>
      <c r="AB205" s="487"/>
      <c r="AC205" s="487"/>
      <c r="AD205" s="487"/>
      <c r="AE205" s="425"/>
      <c r="AF205" s="487"/>
      <c r="AG205" s="487"/>
      <c r="AH205" s="487"/>
      <c r="AI205" s="487"/>
      <c r="AJ205" s="425"/>
      <c r="AK205" s="487">
        <f t="shared" ref="AK205:AN205" si="530">(AF210*AK$3/AF$3)*(1+AK204)</f>
        <v>135.15969706807368</v>
      </c>
      <c r="AL205" s="487">
        <f t="shared" si="530"/>
        <v>132.90396024314492</v>
      </c>
      <c r="AM205" s="487">
        <f t="shared" si="530"/>
        <v>138.14509845945133</v>
      </c>
      <c r="AN205" s="487">
        <f t="shared" si="530"/>
        <v>290.62272340770824</v>
      </c>
      <c r="AO205" s="425">
        <f>AO207/(1+AO197)</f>
        <v>698.28745437043744</v>
      </c>
      <c r="AP205" s="487">
        <f t="shared" ref="AP205:AS205" si="531">(AK210*AP$3/AK$3)*(1+AP204)</f>
        <v>131.38682417383905</v>
      </c>
      <c r="AQ205" s="487">
        <f t="shared" si="531"/>
        <v>131.54063077171739</v>
      </c>
      <c r="AR205" s="487">
        <f t="shared" si="531"/>
        <v>141.53817975813166</v>
      </c>
      <c r="AS205" s="487">
        <f t="shared" si="531"/>
        <v>310.2878213749612</v>
      </c>
      <c r="AT205" s="425">
        <f>AT207/(1+AT197)</f>
        <v>709.78284791145165</v>
      </c>
      <c r="AU205" s="487">
        <f t="shared" ref="AU205:AX205" si="532">(AP210*AU$3/AP$3)*(1+AU204)</f>
        <v>147.2904977774167</v>
      </c>
      <c r="AV205" s="487">
        <f t="shared" si="532"/>
        <v>181.18244155221822</v>
      </c>
      <c r="AW205" s="487">
        <f t="shared" si="532"/>
        <v>193.39938245174361</v>
      </c>
      <c r="AX205" s="487">
        <f t="shared" si="532"/>
        <v>427.89552126588063</v>
      </c>
      <c r="AY205" s="425">
        <f>AY207/(1+AY197)</f>
        <v>936.54206033482819</v>
      </c>
      <c r="AZ205" s="487">
        <f>(AU210*AZ$3/AU$3)*(1+AZ204)</f>
        <v>219.98090796279192</v>
      </c>
      <c r="BA205" s="487">
        <f>(AV210*BA$3/AV$3)*(1+BA204)</f>
        <v>210.68764203048761</v>
      </c>
      <c r="BB205" s="487">
        <f>(AW210*BB$3/AW$3)*(1+BB204)</f>
        <v>226.57574814301188</v>
      </c>
      <c r="BC205" s="487">
        <f>(AX210*BC$3/AX$3)*(1+BC204)</f>
        <v>471.70692906240873</v>
      </c>
      <c r="BD205" s="425">
        <f>BD207/(1+BD197)</f>
        <v>1123.9976120007525</v>
      </c>
      <c r="BE205" s="487">
        <f>(AZ210*BE$3/AZ$3)*(1+BE204)</f>
        <v>226.06610797351519</v>
      </c>
      <c r="BF205" s="487">
        <f>(BA210*BF$3/BA$3)*(1+BF204)</f>
        <v>220.53487460819343</v>
      </c>
      <c r="BG205" s="487">
        <f>(BB210*BG$3/BB$3)*(1+BG204)</f>
        <v>232.98136756110833</v>
      </c>
      <c r="BH205" s="487">
        <f>(BC210*BH$3/BC$3)*(1+BH204)</f>
        <v>479.87148551096766</v>
      </c>
      <c r="BI205" s="425">
        <f>BI207/(1+BI197)</f>
        <v>1152.9955632359911</v>
      </c>
      <c r="BJ205" s="981">
        <f>(BE210*BJ$3/BE$3)*(1+BJ204)</f>
        <v>220.15216291774556</v>
      </c>
      <c r="BK205" s="487">
        <f>(BF210*BK$3/BF$3)*(1+BK204)</f>
        <v>227.21594100536623</v>
      </c>
      <c r="BL205" s="487">
        <f>(BG210*BL$3/BG$3)*(1+BL204)</f>
        <v>237.12028731055472</v>
      </c>
      <c r="BM205" s="487">
        <f>(BH210*BM$3/BH$3)*(1+BM204)</f>
        <v>534.63629561851246</v>
      </c>
      <c r="BN205" s="425">
        <f>BN207/(1+BN197)</f>
        <v>1212.9693655162682</v>
      </c>
      <c r="BO205" s="487">
        <f>(BJ210*BO$3/BJ$3)*(1+BO204)</f>
        <v>234.09951684864825</v>
      </c>
      <c r="BP205" s="487">
        <f>(BK210*BP$3/BK$3)*(1+BP204)</f>
        <v>240.21113462606903</v>
      </c>
      <c r="BQ205" s="487">
        <f>(BL210*BQ$3/BL$3)*(1+BQ204)</f>
        <v>249.87417022696019</v>
      </c>
      <c r="BR205" s="487">
        <f>(BM210*BR$3/BM$3)*(1+BR204)</f>
        <v>522.13725219511809</v>
      </c>
      <c r="BS205" s="425">
        <f>BS207/(1+BS197)</f>
        <v>1241.2846784978433</v>
      </c>
      <c r="BT205" s="425">
        <f>(BS210*BT$3/BS$3)*(1+BT204)</f>
        <v>1344.6945025359532</v>
      </c>
      <c r="BU205" s="425">
        <f>(BT210*BU$3/BT$3)*(1+BU204)</f>
        <v>1498.3691761521673</v>
      </c>
      <c r="BV205" s="425">
        <f>(BU210*BV$3/BU$3)*(1+BV204)</f>
        <v>1671.8740523564818</v>
      </c>
      <c r="BW205" s="223"/>
    </row>
    <row r="206" spans="1:75" s="123" customFormat="1" hidden="1" outlineLevel="1" x14ac:dyDescent="0.5">
      <c r="A206" s="184"/>
      <c r="B206" s="489"/>
      <c r="C206" s="401"/>
      <c r="D206" s="401"/>
      <c r="E206" s="401"/>
      <c r="F206" s="401"/>
      <c r="G206" s="118"/>
      <c r="H206" s="118"/>
      <c r="I206" s="118"/>
      <c r="J206" s="118"/>
      <c r="K206" s="401"/>
      <c r="L206" s="118"/>
      <c r="M206" s="118"/>
      <c r="N206" s="118"/>
      <c r="O206" s="118"/>
      <c r="P206" s="401"/>
      <c r="Q206" s="118"/>
      <c r="R206" s="118"/>
      <c r="S206" s="118"/>
      <c r="T206" s="118"/>
      <c r="U206" s="401"/>
      <c r="V206" s="118"/>
      <c r="W206" s="118"/>
      <c r="X206" s="118"/>
      <c r="Y206" s="118"/>
      <c r="Z206" s="401"/>
      <c r="AA206" s="118"/>
      <c r="AB206" s="118"/>
      <c r="AC206" s="118"/>
      <c r="AD206" s="118"/>
      <c r="AE206" s="401"/>
      <c r="AF206" s="118"/>
      <c r="AG206" s="118"/>
      <c r="AH206" s="118"/>
      <c r="AI206" s="118"/>
      <c r="AJ206" s="401"/>
      <c r="AK206" s="118"/>
      <c r="AL206" s="118"/>
      <c r="AM206" s="118"/>
      <c r="AN206" s="118"/>
      <c r="AO206" s="401"/>
      <c r="AP206" s="118"/>
      <c r="AQ206" s="118"/>
      <c r="AR206" s="118"/>
      <c r="AS206" s="118"/>
      <c r="AT206" s="401"/>
      <c r="AU206" s="118"/>
      <c r="AV206" s="118"/>
      <c r="AW206" s="118"/>
      <c r="AX206" s="118"/>
      <c r="AY206" s="401"/>
      <c r="AZ206" s="118"/>
      <c r="BA206" s="118"/>
      <c r="BB206" s="118"/>
      <c r="BC206" s="118"/>
      <c r="BD206" s="401"/>
      <c r="BE206" s="118"/>
      <c r="BF206" s="118"/>
      <c r="BG206" s="118"/>
      <c r="BH206" s="118"/>
      <c r="BI206" s="401"/>
      <c r="BJ206" s="971"/>
      <c r="BK206" s="118"/>
      <c r="BL206" s="118"/>
      <c r="BM206" s="118"/>
      <c r="BN206" s="401"/>
      <c r="BO206" s="118"/>
      <c r="BP206" s="118"/>
      <c r="BQ206" s="118"/>
      <c r="BR206" s="118"/>
      <c r="BS206" s="401"/>
      <c r="BT206" s="401"/>
      <c r="BU206" s="401"/>
      <c r="BV206" s="401"/>
      <c r="BW206" s="122"/>
    </row>
    <row r="207" spans="1:75" s="370" customFormat="1" hidden="1" outlineLevel="1" x14ac:dyDescent="0.5">
      <c r="A207" s="364" t="s">
        <v>1784</v>
      </c>
      <c r="B207" s="1152"/>
      <c r="C207" s="1153"/>
      <c r="D207" s="1153"/>
      <c r="E207" s="1153"/>
      <c r="F207" s="1153"/>
      <c r="G207" s="1154"/>
      <c r="H207" s="1154"/>
      <c r="I207" s="1154"/>
      <c r="J207" s="1154"/>
      <c r="K207" s="1153"/>
      <c r="L207" s="1154"/>
      <c r="M207" s="1154"/>
      <c r="N207" s="1154"/>
      <c r="O207" s="1154"/>
      <c r="P207" s="1153"/>
      <c r="Q207" s="1154"/>
      <c r="R207" s="1154"/>
      <c r="S207" s="1154"/>
      <c r="T207" s="1154"/>
      <c r="U207" s="1153"/>
      <c r="V207" s="1154"/>
      <c r="W207" s="1154"/>
      <c r="X207" s="1154"/>
      <c r="Y207" s="1154"/>
      <c r="Z207" s="1153"/>
      <c r="AA207" s="1154"/>
      <c r="AB207" s="1154"/>
      <c r="AC207" s="1154"/>
      <c r="AD207" s="1154"/>
      <c r="AE207" s="1153"/>
      <c r="AF207" s="1154"/>
      <c r="AG207" s="1154"/>
      <c r="AH207" s="1154"/>
      <c r="AI207" s="1154"/>
      <c r="AJ207" s="1153"/>
      <c r="AK207" s="1154">
        <f>AK205*(1+AK197)</f>
        <v>132.9971419149845</v>
      </c>
      <c r="AL207" s="1154">
        <f>AL205*(1+AL197)</f>
        <v>131.44201668047032</v>
      </c>
      <c r="AM207" s="1154">
        <f>AM205*(1+AM197)</f>
        <v>135.24405139180286</v>
      </c>
      <c r="AN207" s="1154">
        <f>AN205*(1+AN197)</f>
        <v>300.21327328016258</v>
      </c>
      <c r="AO207" s="1153">
        <f>AO212/AO192*1000</f>
        <v>701.08060418791922</v>
      </c>
      <c r="AP207" s="1154">
        <f>AP205*(1+AP197)</f>
        <v>138.48171267922635</v>
      </c>
      <c r="AQ207" s="1154">
        <f>AQ205*(1+AQ197)</f>
        <v>170.2135762186023</v>
      </c>
      <c r="AR207" s="1154">
        <f>AR205*(1+AR197)</f>
        <v>184.5657864046037</v>
      </c>
      <c r="AS207" s="1154">
        <f>AS205*(1+AS197)</f>
        <v>391.58323057520101</v>
      </c>
      <c r="AT207" s="1153">
        <f>AT212/AT192*1000</f>
        <v>878.7111657143771</v>
      </c>
      <c r="AU207" s="1154">
        <f>AU205*(1+AU197)</f>
        <v>199.2840434928448</v>
      </c>
      <c r="AV207" s="1154">
        <f>AV205*(1+AV197)</f>
        <v>192.77811781156021</v>
      </c>
      <c r="AW207" s="1154">
        <f>AW205*(1+AW197)</f>
        <v>208.09773551807612</v>
      </c>
      <c r="AX207" s="1154">
        <f>AX205*(1+AX197)</f>
        <v>447.15081972284526</v>
      </c>
      <c r="AY207" s="1153">
        <f>AY212/AY192*1000</f>
        <v>1034.8789766699851</v>
      </c>
      <c r="AZ207" s="1154">
        <f>AZ205*(1+AZ197)</f>
        <v>215.14132798761048</v>
      </c>
      <c r="BA207" s="1154">
        <f>BA205*(1+BA197)</f>
        <v>211.74108024064003</v>
      </c>
      <c r="BB207" s="1154">
        <f>BB205*(1+BB197)</f>
        <v>223.17711192086671</v>
      </c>
      <c r="BC207" s="1154">
        <f>BC205*(1+BC197)</f>
        <v>459.91425583584851</v>
      </c>
      <c r="BD207" s="1153">
        <f>BD212/BD192*1000</f>
        <v>1104.8896525967398</v>
      </c>
      <c r="BE207" s="1154">
        <f>BE205*(1+BE197)</f>
        <v>216.11919922268052</v>
      </c>
      <c r="BF207" s="1154">
        <f>BF205*(1+BF197)</f>
        <v>218.99113048593608</v>
      </c>
      <c r="BG207" s="1154">
        <f>BG205*(1+BG197)</f>
        <v>228.55472157744725</v>
      </c>
      <c r="BH207" s="1154">
        <f>BH205*(1+BH197)</f>
        <v>487.54942927914317</v>
      </c>
      <c r="BI207" s="1153">
        <f>BI212/BI192*1000</f>
        <v>1144.9245942933392</v>
      </c>
      <c r="BJ207" s="1155">
        <f>BJ205*(1+BJ197)</f>
        <v>222.13353238400524</v>
      </c>
      <c r="BK207" s="1154">
        <f>BK205*(1+BK197)</f>
        <v>228.35202071039305</v>
      </c>
      <c r="BL207" s="1154">
        <f>BL205*(1+BL197)</f>
        <v>238.30588874710747</v>
      </c>
      <c r="BM207" s="1154">
        <f>BM205*(1+BM197)</f>
        <v>537.30947709660495</v>
      </c>
      <c r="BN207" s="1153">
        <f>BN212/BN192*1000</f>
        <v>1219.9561170011</v>
      </c>
      <c r="BO207" s="1154">
        <f>BO205*(1+BO197)</f>
        <v>245.80449269108067</v>
      </c>
      <c r="BP207" s="1154">
        <f>BP205*(1+BP197)</f>
        <v>252.22169135737249</v>
      </c>
      <c r="BQ207" s="1154">
        <f>BQ205*(1+BQ197)</f>
        <v>262.36787873830821</v>
      </c>
      <c r="BR207" s="1154">
        <f>BR205*(1+BR197)</f>
        <v>548.24411480487402</v>
      </c>
      <c r="BS207" s="1153">
        <f>BS212/BS192*1000</f>
        <v>1303.3489124227356</v>
      </c>
      <c r="BT207" s="1153">
        <f>BT205*(1+BT197)</f>
        <v>1452.2700627388297</v>
      </c>
      <c r="BU207" s="1153">
        <f>BU205*(1+BU197)</f>
        <v>1618.2387102443408</v>
      </c>
      <c r="BV207" s="1153">
        <f>BV205*(1+BV197)</f>
        <v>1805.6239765450005</v>
      </c>
      <c r="BW207" s="369"/>
    </row>
    <row r="208" spans="1:75" s="662" customFormat="1" ht="14.25" hidden="1" outlineLevel="1" x14ac:dyDescent="0.45">
      <c r="A208" s="189" t="s">
        <v>1785</v>
      </c>
      <c r="B208" s="491"/>
      <c r="C208" s="172"/>
      <c r="D208" s="172"/>
      <c r="E208" s="172"/>
      <c r="F208" s="172"/>
      <c r="G208" s="175"/>
      <c r="H208" s="175"/>
      <c r="I208" s="175"/>
      <c r="J208" s="175"/>
      <c r="K208" s="172"/>
      <c r="L208" s="175"/>
      <c r="M208" s="175"/>
      <c r="N208" s="175"/>
      <c r="O208" s="175"/>
      <c r="P208" s="172"/>
      <c r="Q208" s="175"/>
      <c r="R208" s="175"/>
      <c r="S208" s="175"/>
      <c r="T208" s="175"/>
      <c r="U208" s="172"/>
      <c r="V208" s="175"/>
      <c r="W208" s="175"/>
      <c r="X208" s="175"/>
      <c r="Y208" s="175"/>
      <c r="Z208" s="172"/>
      <c r="AA208" s="175"/>
      <c r="AB208" s="175"/>
      <c r="AC208" s="175"/>
      <c r="AD208" s="175"/>
      <c r="AE208" s="172"/>
      <c r="AF208" s="175"/>
      <c r="AG208" s="175"/>
      <c r="AH208" s="175"/>
      <c r="AI208" s="175"/>
      <c r="AJ208" s="172"/>
      <c r="AK208" s="175">
        <f t="shared" ref="AK208:BJ208" si="533">IFERROR(AK209/AK207,"n/a")</f>
        <v>0.32254865525324578</v>
      </c>
      <c r="AL208" s="175">
        <f t="shared" si="533"/>
        <v>0.46866555505796748</v>
      </c>
      <c r="AM208" s="175">
        <f t="shared" si="533"/>
        <v>1.6976823501630554</v>
      </c>
      <c r="AN208" s="175">
        <f t="shared" si="533"/>
        <v>0.44919849634045084</v>
      </c>
      <c r="AO208" s="172">
        <f t="shared" si="533"/>
        <v>0.57918449750581813</v>
      </c>
      <c r="AP208" s="175">
        <f t="shared" si="533"/>
        <v>0.33909313760321558</v>
      </c>
      <c r="AQ208" s="175">
        <f t="shared" si="533"/>
        <v>0.30321641077183353</v>
      </c>
      <c r="AR208" s="175">
        <f t="shared" si="533"/>
        <v>0.19946646790061859</v>
      </c>
      <c r="AS208" s="175">
        <f t="shared" si="533"/>
        <v>0.53696878673495141</v>
      </c>
      <c r="AT208" s="172">
        <f t="shared" si="533"/>
        <v>0.33632793321629167</v>
      </c>
      <c r="AU208" s="175">
        <f t="shared" si="533"/>
        <v>0.66471040195603215</v>
      </c>
      <c r="AV208" s="175">
        <f t="shared" si="533"/>
        <v>0.74802188926348301</v>
      </c>
      <c r="AW208" s="175">
        <f t="shared" si="533"/>
        <v>0.27787174411436771</v>
      </c>
      <c r="AX208" s="175">
        <f t="shared" si="533"/>
        <v>0.33782590378571892</v>
      </c>
      <c r="AY208" s="172">
        <f t="shared" si="533"/>
        <v>0.45327846210583178</v>
      </c>
      <c r="AZ208" s="175">
        <f t="shared" si="533"/>
        <v>0.52650093008286381</v>
      </c>
      <c r="BA208" s="175">
        <f t="shared" si="533"/>
        <v>0.51720272069675222</v>
      </c>
      <c r="BB208" s="175">
        <f t="shared" si="533"/>
        <v>0.58698396196113289</v>
      </c>
      <c r="BC208" s="175">
        <f t="shared" si="533"/>
        <v>0.58278940233397247</v>
      </c>
      <c r="BD208" s="172">
        <f t="shared" si="533"/>
        <v>0.54481034333693257</v>
      </c>
      <c r="BE208" s="175">
        <f t="shared" si="533"/>
        <v>0.42139566299556763</v>
      </c>
      <c r="BF208" s="175">
        <f t="shared" si="533"/>
        <v>0.55772258697826549</v>
      </c>
      <c r="BG208" s="175">
        <f t="shared" si="533"/>
        <v>0.36160437471895318</v>
      </c>
      <c r="BH208" s="175">
        <f t="shared" si="533"/>
        <v>0.38272107215113083</v>
      </c>
      <c r="BI208" s="172">
        <f t="shared" si="533"/>
        <v>0.42846461476779468</v>
      </c>
      <c r="BJ208" s="1111">
        <f t="shared" si="533"/>
        <v>0.70972155957387384</v>
      </c>
      <c r="BK208" s="190">
        <v>0.5</v>
      </c>
      <c r="BL208" s="190">
        <v>0.5</v>
      </c>
      <c r="BM208" s="190">
        <v>0.5</v>
      </c>
      <c r="BN208" s="172">
        <f>IFERROR(BN209/BN207,"n/a")</f>
        <v>0.58070254086384243</v>
      </c>
      <c r="BO208" s="190">
        <v>0.5</v>
      </c>
      <c r="BP208" s="190">
        <v>0.5</v>
      </c>
      <c r="BQ208" s="190">
        <v>0.5</v>
      </c>
      <c r="BR208" s="190">
        <v>0.5</v>
      </c>
      <c r="BS208" s="172">
        <f>IFERROR(BS209/BS207,"n/a")</f>
        <v>0.506415533613785</v>
      </c>
      <c r="BT208" s="191">
        <v>0.5</v>
      </c>
      <c r="BU208" s="191">
        <v>0.5</v>
      </c>
      <c r="BV208" s="191">
        <v>0.5</v>
      </c>
      <c r="BW208" s="378"/>
    </row>
    <row r="209" spans="1:75" s="370" customFormat="1" hidden="1" outlineLevel="1" x14ac:dyDescent="0.5">
      <c r="A209" s="364" t="s">
        <v>1786</v>
      </c>
      <c r="B209" s="1152"/>
      <c r="C209" s="366"/>
      <c r="D209" s="366"/>
      <c r="E209" s="366"/>
      <c r="F209" s="366"/>
      <c r="G209" s="367"/>
      <c r="H209" s="367"/>
      <c r="I209" s="367"/>
      <c r="J209" s="367"/>
      <c r="K209" s="366"/>
      <c r="L209" s="367"/>
      <c r="M209" s="367"/>
      <c r="N209" s="367"/>
      <c r="O209" s="367"/>
      <c r="P209" s="366"/>
      <c r="Q209" s="367"/>
      <c r="R209" s="367"/>
      <c r="S209" s="367"/>
      <c r="T209" s="367"/>
      <c r="U209" s="366"/>
      <c r="V209" s="367"/>
      <c r="W209" s="367"/>
      <c r="X209" s="367"/>
      <c r="Y209" s="367"/>
      <c r="Z209" s="366"/>
      <c r="AA209" s="367"/>
      <c r="AB209" s="367"/>
      <c r="AC209" s="367"/>
      <c r="AD209" s="367"/>
      <c r="AE209" s="366"/>
      <c r="AF209" s="367"/>
      <c r="AG209" s="367"/>
      <c r="AH209" s="367"/>
      <c r="AI209" s="367"/>
      <c r="AJ209" s="366"/>
      <c r="AK209" s="367">
        <f t="shared" ref="AK209:BJ209" si="534">IFERROR(AK213/AK195*1000,"n/a")</f>
        <v>42.898049277203341</v>
      </c>
      <c r="AL209" s="367">
        <f t="shared" si="534"/>
        <v>61.602345705491238</v>
      </c>
      <c r="AM209" s="367">
        <f t="shared" si="534"/>
        <v>229.60143901240892</v>
      </c>
      <c r="AN209" s="367">
        <f t="shared" si="534"/>
        <v>134.85535093889388</v>
      </c>
      <c r="AO209" s="366">
        <f t="shared" si="534"/>
        <v>406.05501744765536</v>
      </c>
      <c r="AP209" s="367">
        <f t="shared" si="534"/>
        <v>46.958198453065862</v>
      </c>
      <c r="AQ209" s="367">
        <f t="shared" si="534"/>
        <v>51.611549645642512</v>
      </c>
      <c r="AR209" s="367">
        <f t="shared" si="534"/>
        <v>36.814685509426312</v>
      </c>
      <c r="AS209" s="367">
        <f t="shared" si="534"/>
        <v>210.26797222771842</v>
      </c>
      <c r="AT209" s="366">
        <f t="shared" si="534"/>
        <v>295.53511025879482</v>
      </c>
      <c r="AU209" s="367">
        <f t="shared" si="534"/>
        <v>132.46617665355225</v>
      </c>
      <c r="AV209" s="367">
        <f t="shared" si="534"/>
        <v>144.20225189406156</v>
      </c>
      <c r="AW209" s="367">
        <f t="shared" si="534"/>
        <v>57.824480714658215</v>
      </c>
      <c r="AX209" s="367">
        <f t="shared" si="534"/>
        <v>151.05912980139527</v>
      </c>
      <c r="AY209" s="366">
        <f t="shared" si="534"/>
        <v>469.08835101062783</v>
      </c>
      <c r="AZ209" s="367">
        <f t="shared" si="534"/>
        <v>113.27210928473939</v>
      </c>
      <c r="BA209" s="367">
        <f t="shared" si="534"/>
        <v>109.51306278372834</v>
      </c>
      <c r="BB209" s="367">
        <f t="shared" si="534"/>
        <v>131.00138537435353</v>
      </c>
      <c r="BC209" s="367">
        <f t="shared" si="534"/>
        <v>268.03315428344786</v>
      </c>
      <c r="BD209" s="366">
        <f t="shared" si="534"/>
        <v>601.95531098065396</v>
      </c>
      <c r="BE209" s="367">
        <f t="shared" si="534"/>
        <v>91.071693242512623</v>
      </c>
      <c r="BF209" s="367">
        <f t="shared" si="534"/>
        <v>122.13629981991117</v>
      </c>
      <c r="BG209" s="367">
        <f t="shared" si="534"/>
        <v>82.646387185077245</v>
      </c>
      <c r="BH209" s="367">
        <f t="shared" si="534"/>
        <v>186.5954403003856</v>
      </c>
      <c r="BI209" s="366">
        <f t="shared" si="534"/>
        <v>490.5596752320692</v>
      </c>
      <c r="BJ209" s="1156">
        <f t="shared" si="534"/>
        <v>157.65295703722981</v>
      </c>
      <c r="BK209" s="367">
        <f>BK207*BK208</f>
        <v>114.17601035519652</v>
      </c>
      <c r="BL209" s="367">
        <f>BL207*BL208</f>
        <v>119.15294437355374</v>
      </c>
      <c r="BM209" s="367">
        <f>BM207*BM208</f>
        <v>268.65473854830248</v>
      </c>
      <c r="BN209" s="366">
        <f>IFERROR(BN213/BN195*1000,"n/a")</f>
        <v>708.4316168849258</v>
      </c>
      <c r="BO209" s="367">
        <f>BO207*BO208</f>
        <v>122.90224634554033</v>
      </c>
      <c r="BP209" s="367">
        <f>BP207*BP208</f>
        <v>126.11084567868625</v>
      </c>
      <c r="BQ209" s="367">
        <f>BQ207*BQ208</f>
        <v>131.1839393691541</v>
      </c>
      <c r="BR209" s="367">
        <f>BR207*BR208</f>
        <v>274.12205740243701</v>
      </c>
      <c r="BS209" s="366">
        <f>IFERROR(BS213/BS195*1000,"n/a")</f>
        <v>660.03613496950595</v>
      </c>
      <c r="BT209" s="366">
        <f>BT207*BT208</f>
        <v>726.13503136941483</v>
      </c>
      <c r="BU209" s="366">
        <f>BU207*BU208</f>
        <v>809.11935512217042</v>
      </c>
      <c r="BV209" s="366">
        <f>BV207*BV208</f>
        <v>902.81198827250023</v>
      </c>
      <c r="BW209" s="369"/>
    </row>
    <row r="210" spans="1:75" s="573" customFormat="1" ht="14.25" hidden="1" outlineLevel="1" x14ac:dyDescent="0.45">
      <c r="A210" s="1157" t="s">
        <v>1787</v>
      </c>
      <c r="B210" s="1158"/>
      <c r="C210" s="1159"/>
      <c r="D210" s="1159">
        <f t="shared" ref="D210:F210" si="535">D214/D189*1000</f>
        <v>610.54464908820592</v>
      </c>
      <c r="E210" s="1159">
        <f t="shared" si="535"/>
        <v>594.12994772218076</v>
      </c>
      <c r="F210" s="1159">
        <f t="shared" si="535"/>
        <v>584.92171890376642</v>
      </c>
      <c r="G210" s="1160"/>
      <c r="H210" s="1160"/>
      <c r="I210" s="1160"/>
      <c r="J210" s="1160"/>
      <c r="K210" s="1159">
        <f>K214/K189*1000</f>
        <v>584.83323616032055</v>
      </c>
      <c r="L210" s="1160"/>
      <c r="M210" s="1160"/>
      <c r="N210" s="1160"/>
      <c r="O210" s="1160"/>
      <c r="P210" s="1159">
        <f>P214/P189*1000</f>
        <v>609.83185420211214</v>
      </c>
      <c r="Q210" s="1160"/>
      <c r="R210" s="1160"/>
      <c r="S210" s="1160"/>
      <c r="T210" s="1160"/>
      <c r="U210" s="1159">
        <f>U214/U189*1000</f>
        <v>623.38226990400915</v>
      </c>
      <c r="V210" s="1160"/>
      <c r="W210" s="1160"/>
      <c r="X210" s="1160"/>
      <c r="Y210" s="1160"/>
      <c r="Z210" s="1159">
        <f>Z214/Z189*1000</f>
        <v>633.02793437238461</v>
      </c>
      <c r="AA210" s="1160"/>
      <c r="AB210" s="1160"/>
      <c r="AC210" s="1160"/>
      <c r="AD210" s="1160"/>
      <c r="AE210" s="1159">
        <f t="shared" ref="AE210:BV210" si="536">AE214/AE189*1000</f>
        <v>661.84454549868099</v>
      </c>
      <c r="AF210" s="1160">
        <f t="shared" si="536"/>
        <v>131.7536383899305</v>
      </c>
      <c r="AG210" s="1160">
        <f t="shared" si="536"/>
        <v>127.56732026143791</v>
      </c>
      <c r="AH210" s="1160">
        <f t="shared" si="536"/>
        <v>132.7017178552837</v>
      </c>
      <c r="AI210" s="1160">
        <f t="shared" si="536"/>
        <v>298.56880974204529</v>
      </c>
      <c r="AJ210" s="1159">
        <f t="shared" si="536"/>
        <v>690.34418158362746</v>
      </c>
      <c r="AK210" s="1160">
        <f t="shared" si="536"/>
        <v>129.61824953445068</v>
      </c>
      <c r="AL210" s="1160">
        <f t="shared" si="536"/>
        <v>128.80199219275809</v>
      </c>
      <c r="AM210" s="1160">
        <f t="shared" si="536"/>
        <v>137.60999129444852</v>
      </c>
      <c r="AN210" s="1160">
        <f t="shared" si="536"/>
        <v>297.69737508867939</v>
      </c>
      <c r="AO210" s="1159">
        <f t="shared" si="536"/>
        <v>692.54488281413762</v>
      </c>
      <c r="AP210" s="1160">
        <f t="shared" si="536"/>
        <v>136.56902045431184</v>
      </c>
      <c r="AQ210" s="1160">
        <f t="shared" si="536"/>
        <v>168.21156773211567</v>
      </c>
      <c r="AR210" s="1160">
        <f t="shared" si="536"/>
        <v>181.88025210084035</v>
      </c>
      <c r="AS210" s="1160">
        <f t="shared" si="536"/>
        <v>389.35337370242206</v>
      </c>
      <c r="AT210" s="1159">
        <f t="shared" si="536"/>
        <v>868.72857280220978</v>
      </c>
      <c r="AU210" s="1160">
        <f t="shared" si="536"/>
        <v>198.77787756323906</v>
      </c>
      <c r="AV210" s="1160">
        <f t="shared" si="536"/>
        <v>192.15811644350836</v>
      </c>
      <c r="AW210" s="1160">
        <f t="shared" si="536"/>
        <v>205.40045248868776</v>
      </c>
      <c r="AX210" s="1160">
        <f t="shared" si="536"/>
        <v>441.51854219948854</v>
      </c>
      <c r="AY210" s="1159">
        <f t="shared" si="536"/>
        <v>1026.8184939345388</v>
      </c>
      <c r="AZ210" s="1160">
        <f t="shared" si="536"/>
        <v>211.00096206132096</v>
      </c>
      <c r="BA210" s="1160">
        <f t="shared" si="536"/>
        <v>207.39186652763294</v>
      </c>
      <c r="BB210" s="1160">
        <f t="shared" si="536"/>
        <v>220.01680672268907</v>
      </c>
      <c r="BC210" s="1160">
        <f t="shared" si="536"/>
        <v>453.28719723183394</v>
      </c>
      <c r="BD210" s="1159">
        <f t="shared" si="536"/>
        <v>1085.7585283010908</v>
      </c>
      <c r="BE210" s="1160">
        <f t="shared" si="536"/>
        <v>211.83012607830125</v>
      </c>
      <c r="BF210" s="1160">
        <f t="shared" si="536"/>
        <v>215.42046605876394</v>
      </c>
      <c r="BG210" s="1160">
        <f t="shared" si="536"/>
        <v>223.73620529184944</v>
      </c>
      <c r="BH210" s="1160">
        <f t="shared" si="536"/>
        <v>475.85570850938171</v>
      </c>
      <c r="BI210" s="1159">
        <f t="shared" si="536"/>
        <v>1121.5353805073432</v>
      </c>
      <c r="BJ210" s="1161">
        <f>BJ214/BJ189*1000</f>
        <v>221.32943143812707</v>
      </c>
      <c r="BK210" s="1160">
        <f t="shared" si="536"/>
        <v>226.98799773432083</v>
      </c>
      <c r="BL210" s="1160">
        <f t="shared" si="536"/>
        <v>235.980748577567</v>
      </c>
      <c r="BM210" s="1160">
        <f t="shared" si="536"/>
        <v>530.69197313626819</v>
      </c>
      <c r="BN210" s="1159">
        <f t="shared" si="536"/>
        <v>1211.1408750867274</v>
      </c>
      <c r="BO210" s="1160">
        <f t="shared" si="536"/>
        <v>241.52412671249317</v>
      </c>
      <c r="BP210" s="1160">
        <f t="shared" si="536"/>
        <v>247.14754250181949</v>
      </c>
      <c r="BQ210" s="1160">
        <f t="shared" si="536"/>
        <v>257.02670664847551</v>
      </c>
      <c r="BR210" s="1160">
        <f t="shared" si="536"/>
        <v>536.93861270724835</v>
      </c>
      <c r="BS210" s="1159">
        <f t="shared" si="536"/>
        <v>1278.111553324889</v>
      </c>
      <c r="BT210" s="1159">
        <f t="shared" si="536"/>
        <v>1421.1336516082411</v>
      </c>
      <c r="BU210" s="1159">
        <f t="shared" si="536"/>
        <v>1581.9883506168865</v>
      </c>
      <c r="BV210" s="1159">
        <f t="shared" si="536"/>
        <v>1763.2775472604005</v>
      </c>
      <c r="BW210" s="572"/>
    </row>
    <row r="211" spans="1:75" s="123" customFormat="1" hidden="1" outlineLevel="1" x14ac:dyDescent="0.5">
      <c r="A211" s="184"/>
      <c r="B211" s="489"/>
      <c r="C211" s="401"/>
      <c r="D211" s="401"/>
      <c r="E211" s="401"/>
      <c r="F211" s="401"/>
      <c r="G211" s="118"/>
      <c r="H211" s="118"/>
      <c r="I211" s="118"/>
      <c r="J211" s="118"/>
      <c r="K211" s="401"/>
      <c r="L211" s="118"/>
      <c r="M211" s="118"/>
      <c r="N211" s="118"/>
      <c r="O211" s="118"/>
      <c r="P211" s="401"/>
      <c r="Q211" s="118"/>
      <c r="R211" s="118"/>
      <c r="S211" s="118"/>
      <c r="T211" s="118"/>
      <c r="U211" s="401"/>
      <c r="V211" s="118"/>
      <c r="W211" s="118"/>
      <c r="X211" s="118"/>
      <c r="Y211" s="118"/>
      <c r="Z211" s="401"/>
      <c r="AA211" s="118"/>
      <c r="AB211" s="118"/>
      <c r="AC211" s="118"/>
      <c r="AD211" s="118"/>
      <c r="AE211" s="401"/>
      <c r="AF211" s="118"/>
      <c r="AG211" s="118"/>
      <c r="AH211" s="118"/>
      <c r="AI211" s="118"/>
      <c r="AJ211" s="401"/>
      <c r="AK211" s="118"/>
      <c r="AL211" s="118"/>
      <c r="AM211" s="118"/>
      <c r="AN211" s="118"/>
      <c r="AO211" s="401"/>
      <c r="AP211" s="118"/>
      <c r="AQ211" s="118"/>
      <c r="AR211" s="118"/>
      <c r="AS211" s="118"/>
      <c r="AT211" s="401"/>
      <c r="AU211" s="118"/>
      <c r="AV211" s="118"/>
      <c r="AW211" s="118"/>
      <c r="AX211" s="118"/>
      <c r="AY211" s="401"/>
      <c r="AZ211" s="118"/>
      <c r="BA211" s="118"/>
      <c r="BB211" s="118"/>
      <c r="BC211" s="118"/>
      <c r="BD211" s="401"/>
      <c r="BE211" s="118"/>
      <c r="BF211" s="118"/>
      <c r="BG211" s="118"/>
      <c r="BH211" s="118"/>
      <c r="BI211" s="401"/>
      <c r="BJ211" s="971"/>
      <c r="BK211" s="118"/>
      <c r="BL211" s="118"/>
      <c r="BM211" s="118"/>
      <c r="BN211" s="401"/>
      <c r="BO211" s="118"/>
      <c r="BP211" s="118"/>
      <c r="BQ211" s="118"/>
      <c r="BR211" s="118"/>
      <c r="BS211" s="401"/>
      <c r="BT211" s="401"/>
      <c r="BU211" s="401"/>
      <c r="BV211" s="401"/>
      <c r="BW211" s="122"/>
    </row>
    <row r="212" spans="1:75" s="123" customFormat="1" hidden="1" outlineLevel="1" x14ac:dyDescent="0.5">
      <c r="A212" s="184" t="s">
        <v>1788</v>
      </c>
      <c r="B212" s="489"/>
      <c r="C212" s="401"/>
      <c r="D212" s="401"/>
      <c r="E212" s="401"/>
      <c r="F212" s="401"/>
      <c r="G212" s="118"/>
      <c r="H212" s="118"/>
      <c r="I212" s="118"/>
      <c r="J212" s="118"/>
      <c r="K212" s="401"/>
      <c r="L212" s="118"/>
      <c r="M212" s="118"/>
      <c r="N212" s="118"/>
      <c r="O212" s="118"/>
      <c r="P212" s="401"/>
      <c r="Q212" s="118"/>
      <c r="R212" s="118"/>
      <c r="S212" s="118"/>
      <c r="T212" s="118"/>
      <c r="U212" s="401"/>
      <c r="V212" s="118"/>
      <c r="W212" s="118"/>
      <c r="X212" s="118"/>
      <c r="Y212" s="118"/>
      <c r="Z212" s="401"/>
      <c r="AA212" s="118"/>
      <c r="AB212" s="118"/>
      <c r="AC212" s="118"/>
      <c r="AD212" s="118"/>
      <c r="AE212" s="401"/>
      <c r="AF212" s="118"/>
      <c r="AG212" s="118"/>
      <c r="AH212" s="118"/>
      <c r="AI212" s="118"/>
      <c r="AJ212" s="401"/>
      <c r="AK212" s="118">
        <f>AK207*AK192/1000</f>
        <v>192.47506720285656</v>
      </c>
      <c r="AL212" s="118">
        <f>AL207*AL192/1000</f>
        <v>187.91410137483936</v>
      </c>
      <c r="AM212" s="118">
        <f>AM207*AM192/1000</f>
        <v>196.89594963255894</v>
      </c>
      <c r="AN212" s="118">
        <f>AN207*AN192/1000</f>
        <v>437.57022492055722</v>
      </c>
      <c r="AO212" s="401">
        <f t="shared" ref="AO212" si="537">SUM(AK212,AL212,AM212,AN212)</f>
        <v>1014.8553431308121</v>
      </c>
      <c r="AP212" s="118">
        <f>AP207*AP192/1000</f>
        <v>197.86986719016187</v>
      </c>
      <c r="AQ212" s="118">
        <f>AQ207*AQ192/1000</f>
        <v>241.87375929572997</v>
      </c>
      <c r="AR212" s="118">
        <f>AR207*AR192/1000</f>
        <v>258.76945909971249</v>
      </c>
      <c r="AS212" s="118">
        <f>AS207*AS192/1000</f>
        <v>536.52380618993823</v>
      </c>
      <c r="AT212" s="401">
        <f t="shared" ref="AT212" si="538">SUM(AP212,AQ212,AR212,AS212)</f>
        <v>1235.0368917755427</v>
      </c>
      <c r="AU212" s="118">
        <f>AU207*AU192/1000</f>
        <v>264.2661605741323</v>
      </c>
      <c r="AV212" s="118">
        <f>AV207*AV192/1000</f>
        <v>253.00819244056441</v>
      </c>
      <c r="AW212" s="118">
        <f>AW207*AW192/1000</f>
        <v>270.98474125260526</v>
      </c>
      <c r="AX212" s="118">
        <f>AX207*AX192/1000</f>
        <v>548.83272974618126</v>
      </c>
      <c r="AY212" s="401">
        <f t="shared" ref="AY212" si="539">SUM(AU212,AV212,AW212,AX212)</f>
        <v>1337.0918240134833</v>
      </c>
      <c r="AZ212" s="118">
        <f>AZ207*AZ192/1000</f>
        <v>246.71681865590716</v>
      </c>
      <c r="BA212" s="118">
        <f>BA207*BA192/1000</f>
        <v>243.02584338779712</v>
      </c>
      <c r="BB212" s="118">
        <f>BB207*BB192/1000</f>
        <v>256.47515265388034</v>
      </c>
      <c r="BC212" s="118">
        <f>BC207*BC192/1000</f>
        <v>513.2987389255195</v>
      </c>
      <c r="BD212" s="401">
        <f>SUM(AZ212,BA212,BB212,BC212)</f>
        <v>1259.5165536231041</v>
      </c>
      <c r="BE212" s="118">
        <f>BE207*BE192/1000</f>
        <v>235.89041765444725</v>
      </c>
      <c r="BF212" s="118">
        <f>BF207*BF192/1000</f>
        <v>239.40221628321444</v>
      </c>
      <c r="BG212" s="118">
        <f>BG207*BG192/1000</f>
        <v>249.32889887376967</v>
      </c>
      <c r="BH212" s="118">
        <f>BH207*BH192/1000</f>
        <v>515.72372523196259</v>
      </c>
      <c r="BI212" s="401">
        <f>SUM(BE212,BF212,BG212,BH212)</f>
        <v>1240.3452580433939</v>
      </c>
      <c r="BJ212" s="971">
        <f>BJ207*BJ192/1000</f>
        <v>236.12279625213546</v>
      </c>
      <c r="BK212" s="118">
        <f>BK207*BK192/1000</f>
        <v>241.69383666681921</v>
      </c>
      <c r="BL212" s="118">
        <f>BL207*BL192/1000</f>
        <v>247.87853298624046</v>
      </c>
      <c r="BM212" s="118">
        <f>BM207*BM192/1000</f>
        <v>550.55044593625644</v>
      </c>
      <c r="BN212" s="401">
        <f>SUM(BJ212,BK212,BL212,BM212)</f>
        <v>1276.2456118414516</v>
      </c>
      <c r="BO212" s="118">
        <f>BO207*BO192/1000</f>
        <v>246.77373975120867</v>
      </c>
      <c r="BP212" s="118">
        <f>BP207*BP192/1000</f>
        <v>249.29634836870738</v>
      </c>
      <c r="BQ212" s="118">
        <f>BQ207*BQ192/1000</f>
        <v>256.59498705550766</v>
      </c>
      <c r="BR212" s="118">
        <f>BR207*BR192/1000</f>
        <v>530.43655102992795</v>
      </c>
      <c r="BS212" s="401">
        <f>SUM(BO212,BP212,BQ212,BR212)</f>
        <v>1283.1016262053517</v>
      </c>
      <c r="BT212" s="401">
        <f>BT207*BT192/1000</f>
        <v>1376.5289042953525</v>
      </c>
      <c r="BU212" s="401">
        <f>BU207*BU192/1000</f>
        <v>1488.3262355076222</v>
      </c>
      <c r="BV212" s="401">
        <f>BV207*BV192/1000</f>
        <v>1609.1057222596969</v>
      </c>
      <c r="BW212" s="122"/>
    </row>
    <row r="213" spans="1:75" s="123" customFormat="1" hidden="1" outlineLevel="1" x14ac:dyDescent="0.5">
      <c r="A213" s="184" t="s">
        <v>1789</v>
      </c>
      <c r="B213" s="489"/>
      <c r="C213" s="401"/>
      <c r="D213" s="401"/>
      <c r="E213" s="401"/>
      <c r="F213" s="401"/>
      <c r="G213" s="118"/>
      <c r="H213" s="118"/>
      <c r="I213" s="118"/>
      <c r="J213" s="118"/>
      <c r="K213" s="401"/>
      <c r="L213" s="118"/>
      <c r="M213" s="118"/>
      <c r="N213" s="118"/>
      <c r="O213" s="118"/>
      <c r="P213" s="401"/>
      <c r="Q213" s="118"/>
      <c r="R213" s="118"/>
      <c r="S213" s="118"/>
      <c r="T213" s="118"/>
      <c r="U213" s="401"/>
      <c r="V213" s="118"/>
      <c r="W213" s="118"/>
      <c r="X213" s="118"/>
      <c r="Y213" s="118"/>
      <c r="Z213" s="401"/>
      <c r="AA213" s="118"/>
      <c r="AB213" s="118"/>
      <c r="AC213" s="118"/>
      <c r="AD213" s="118"/>
      <c r="AE213" s="401"/>
      <c r="AF213" s="118"/>
      <c r="AG213" s="118"/>
      <c r="AH213" s="118"/>
      <c r="AI213" s="118"/>
      <c r="AJ213" s="401"/>
      <c r="AK213" s="118">
        <f t="shared" ref="AK213:BG213" si="540">AK214-AK212</f>
        <v>2.4189327971434409</v>
      </c>
      <c r="AL213" s="118">
        <f t="shared" si="540"/>
        <v>3.4598986251606334</v>
      </c>
      <c r="AM213" s="118">
        <f t="shared" si="540"/>
        <v>8.5970503674410566</v>
      </c>
      <c r="AN213" s="118">
        <f t="shared" si="540"/>
        <v>3.0367750794427479</v>
      </c>
      <c r="AO213" s="401">
        <f t="shared" si="540"/>
        <v>17.512656869187822</v>
      </c>
      <c r="AP213" s="118">
        <f t="shared" si="540"/>
        <v>1.432132809838123</v>
      </c>
      <c r="AQ213" s="118">
        <f t="shared" si="540"/>
        <v>1.2592407042700415</v>
      </c>
      <c r="AR213" s="118">
        <f t="shared" si="540"/>
        <v>0.9555409002875308</v>
      </c>
      <c r="AS213" s="118">
        <f t="shared" si="540"/>
        <v>3.5871938100616489</v>
      </c>
      <c r="AT213" s="401">
        <f t="shared" si="540"/>
        <v>7.234108224457259</v>
      </c>
      <c r="AU213" s="118">
        <f t="shared" si="540"/>
        <v>1.3408394258677276</v>
      </c>
      <c r="AV213" s="118">
        <f t="shared" si="540"/>
        <v>2.446807559435598</v>
      </c>
      <c r="AW213" s="118">
        <f t="shared" si="540"/>
        <v>1.3762587473947292</v>
      </c>
      <c r="AX213" s="118">
        <f t="shared" si="540"/>
        <v>3.5952702538188532</v>
      </c>
      <c r="AY213" s="401">
        <f t="shared" si="540"/>
        <v>8.759175986516766</v>
      </c>
      <c r="AZ213" s="118">
        <f t="shared" si="540"/>
        <v>5.5031813440928374</v>
      </c>
      <c r="BA213" s="118">
        <f t="shared" si="540"/>
        <v>5.5851566122028657</v>
      </c>
      <c r="BB213" s="118">
        <f t="shared" si="540"/>
        <v>5.34484734611965</v>
      </c>
      <c r="BC213" s="118">
        <f t="shared" si="540"/>
        <v>10.701261074480499</v>
      </c>
      <c r="BD213" s="401">
        <f t="shared" si="540"/>
        <v>27.134446376895994</v>
      </c>
      <c r="BE213" s="118">
        <f t="shared" si="540"/>
        <v>3.5305823455527445</v>
      </c>
      <c r="BF213" s="118">
        <f t="shared" si="540"/>
        <v>5.1107837167855621</v>
      </c>
      <c r="BG213" s="118">
        <f t="shared" si="540"/>
        <v>3.079101126230313</v>
      </c>
      <c r="BH213" s="118">
        <f>BH214-BH212</f>
        <v>7.9792747680374987</v>
      </c>
      <c r="BI213" s="401">
        <f>BI214-BI212</f>
        <v>19.699741956606204</v>
      </c>
      <c r="BJ213" s="971">
        <f>BJ214-BJ212</f>
        <v>2.1162037478645459</v>
      </c>
      <c r="BK213" s="118">
        <f>BK209*BK195/1000</f>
        <v>1.4611742690103289</v>
      </c>
      <c r="BL213" s="118">
        <f>BL209*BL195/1000</f>
        <v>2.466674513571284</v>
      </c>
      <c r="BM213" s="118">
        <f>BM209*BM195/1000</f>
        <v>6.9518169089159203</v>
      </c>
      <c r="BN213" s="401">
        <f>SUM(BJ213,BK213,BL213,BM213)</f>
        <v>12.995869439362078</v>
      </c>
      <c r="BO213" s="118">
        <f>BO209*BO195/1000</f>
        <v>4.4523064242967214</v>
      </c>
      <c r="BP213" s="118">
        <f>BP209*BP195/1000</f>
        <v>5.2255506551747288</v>
      </c>
      <c r="BQ213" s="118">
        <f>BQ209*BQ195/1000</f>
        <v>5.4453585727730038</v>
      </c>
      <c r="BR213" s="118">
        <f>BR209*BR195/1000</f>
        <v>11.408816186200896</v>
      </c>
      <c r="BS213" s="401">
        <f>SUM(BO213,BP213,BQ213,BR213)</f>
        <v>26.532031838445349</v>
      </c>
      <c r="BT213" s="401">
        <f>BT209*BT195/1000</f>
        <v>30.834715817529347</v>
      </c>
      <c r="BU213" s="401">
        <f>BU209*BU195/1000</f>
        <v>34.90394982502302</v>
      </c>
      <c r="BV213" s="401">
        <f>BV209*BV195/1000</f>
        <v>39.594775739347114</v>
      </c>
      <c r="BW213" s="122"/>
    </row>
    <row r="214" spans="1:75" s="198" customFormat="1" ht="14.25" hidden="1" outlineLevel="1" x14ac:dyDescent="0.45">
      <c r="A214" s="192" t="s">
        <v>1650</v>
      </c>
      <c r="B214" s="495"/>
      <c r="C214" s="518">
        <f>C286</f>
        <v>958.46100000000001</v>
      </c>
      <c r="D214" s="518">
        <f>D286</f>
        <v>1006.086</v>
      </c>
      <c r="E214" s="518">
        <f>E286</f>
        <v>994.42499999999995</v>
      </c>
      <c r="F214" s="518">
        <f>F286</f>
        <v>980.70899999999995</v>
      </c>
      <c r="G214" s="327"/>
      <c r="H214" s="327"/>
      <c r="I214" s="327"/>
      <c r="J214" s="327"/>
      <c r="K214" s="518">
        <f>K286</f>
        <v>978.00199999999995</v>
      </c>
      <c r="L214" s="327"/>
      <c r="M214" s="327"/>
      <c r="N214" s="327"/>
      <c r="O214" s="327"/>
      <c r="P214" s="518">
        <f>P286</f>
        <v>994.65099999999995</v>
      </c>
      <c r="Q214" s="327"/>
      <c r="R214" s="327"/>
      <c r="S214" s="327"/>
      <c r="T214" s="327"/>
      <c r="U214" s="518">
        <f>U286</f>
        <v>993.60900000000004</v>
      </c>
      <c r="V214" s="327"/>
      <c r="W214" s="327"/>
      <c r="X214" s="327"/>
      <c r="Y214" s="327"/>
      <c r="Z214" s="518">
        <f>Z286</f>
        <v>1002.194</v>
      </c>
      <c r="AA214" s="327"/>
      <c r="AB214" s="327"/>
      <c r="AC214" s="327"/>
      <c r="AD214" s="327"/>
      <c r="AE214" s="518">
        <f t="shared" ref="AE214:BI214" si="541">AE286</f>
        <v>1022.434</v>
      </c>
      <c r="AF214" s="327">
        <f t="shared" si="541"/>
        <v>200.977</v>
      </c>
      <c r="AG214" s="327">
        <f t="shared" si="541"/>
        <v>195.178</v>
      </c>
      <c r="AH214" s="327">
        <f t="shared" si="541"/>
        <v>203.93600000000001</v>
      </c>
      <c r="AI214" s="327">
        <f t="shared" si="541"/>
        <v>456.03399999999999</v>
      </c>
      <c r="AJ214" s="518">
        <f t="shared" si="541"/>
        <v>1056.125</v>
      </c>
      <c r="AK214" s="327">
        <f t="shared" si="541"/>
        <v>194.89400000000001</v>
      </c>
      <c r="AL214" s="327">
        <f t="shared" si="541"/>
        <v>191.374</v>
      </c>
      <c r="AM214" s="327">
        <f t="shared" si="541"/>
        <v>205.49299999999999</v>
      </c>
      <c r="AN214" s="327">
        <f t="shared" si="541"/>
        <v>440.60699999999997</v>
      </c>
      <c r="AO214" s="518">
        <f t="shared" si="541"/>
        <v>1032.3679999999999</v>
      </c>
      <c r="AP214" s="327">
        <f t="shared" si="541"/>
        <v>199.30199999999999</v>
      </c>
      <c r="AQ214" s="327">
        <f t="shared" si="541"/>
        <v>243.13300000000001</v>
      </c>
      <c r="AR214" s="327">
        <f t="shared" si="541"/>
        <v>259.72500000000002</v>
      </c>
      <c r="AS214" s="327">
        <f t="shared" si="541"/>
        <v>540.11099999999988</v>
      </c>
      <c r="AT214" s="518">
        <f t="shared" si="541"/>
        <v>1242.271</v>
      </c>
      <c r="AU214" s="327">
        <f t="shared" si="541"/>
        <v>265.60700000000003</v>
      </c>
      <c r="AV214" s="327">
        <f t="shared" si="541"/>
        <v>255.45500000000001</v>
      </c>
      <c r="AW214" s="327">
        <f t="shared" si="541"/>
        <v>272.36099999999999</v>
      </c>
      <c r="AX214" s="327">
        <f t="shared" si="541"/>
        <v>552.42800000000011</v>
      </c>
      <c r="AY214" s="518">
        <f t="shared" si="541"/>
        <v>1345.8510000000001</v>
      </c>
      <c r="AZ214" s="327">
        <f t="shared" si="541"/>
        <v>252.22</v>
      </c>
      <c r="BA214" s="327">
        <f t="shared" si="541"/>
        <v>248.61099999999999</v>
      </c>
      <c r="BB214" s="327">
        <f t="shared" si="541"/>
        <v>261.82</v>
      </c>
      <c r="BC214" s="327">
        <f t="shared" si="541"/>
        <v>524</v>
      </c>
      <c r="BD214" s="518">
        <f t="shared" si="541"/>
        <v>1286.6510000000001</v>
      </c>
      <c r="BE214" s="327">
        <f t="shared" si="541"/>
        <v>239.42099999999999</v>
      </c>
      <c r="BF214" s="327">
        <f t="shared" si="541"/>
        <v>244.51300000000001</v>
      </c>
      <c r="BG214" s="327">
        <f t="shared" si="541"/>
        <v>252.40799999999999</v>
      </c>
      <c r="BH214" s="327">
        <f t="shared" si="541"/>
        <v>523.70300000000009</v>
      </c>
      <c r="BI214" s="518">
        <f t="shared" si="541"/>
        <v>1260.0450000000001</v>
      </c>
      <c r="BJ214" s="1026">
        <f>BJ286</f>
        <v>238.239</v>
      </c>
      <c r="BK214" s="327">
        <f t="shared" ref="BK214:BV214" si="542">SUM(BK212:BK213)</f>
        <v>243.15501093582955</v>
      </c>
      <c r="BL214" s="327">
        <f t="shared" si="542"/>
        <v>250.34520749981175</v>
      </c>
      <c r="BM214" s="327">
        <f t="shared" si="542"/>
        <v>557.50226284517237</v>
      </c>
      <c r="BN214" s="518">
        <f t="shared" si="542"/>
        <v>1289.2414812808136</v>
      </c>
      <c r="BO214" s="327">
        <f t="shared" si="542"/>
        <v>251.22604617550539</v>
      </c>
      <c r="BP214" s="327">
        <f t="shared" si="542"/>
        <v>254.5218990238821</v>
      </c>
      <c r="BQ214" s="327">
        <f t="shared" si="542"/>
        <v>262.04034562828065</v>
      </c>
      <c r="BR214" s="327">
        <f t="shared" si="542"/>
        <v>541.84536721612881</v>
      </c>
      <c r="BS214" s="518">
        <f t="shared" si="542"/>
        <v>1309.6336580437971</v>
      </c>
      <c r="BT214" s="518">
        <f t="shared" si="542"/>
        <v>1407.3636201128818</v>
      </c>
      <c r="BU214" s="518">
        <f t="shared" si="542"/>
        <v>1523.2301853326453</v>
      </c>
      <c r="BV214" s="518">
        <f t="shared" si="542"/>
        <v>1648.700497999044</v>
      </c>
      <c r="BW214" s="197"/>
    </row>
    <row r="215" spans="1:75" s="177" customFormat="1" ht="14.25" hidden="1" outlineLevel="1" x14ac:dyDescent="0.45">
      <c r="A215" s="170" t="s">
        <v>1652</v>
      </c>
      <c r="B215" s="491"/>
      <c r="C215" s="417"/>
      <c r="D215" s="417">
        <f t="shared" ref="D215:E215" si="543">D214/C214-1</f>
        <v>4.9689032730596328E-2</v>
      </c>
      <c r="E215" s="417">
        <f t="shared" si="543"/>
        <v>-1.1590460457654772E-2</v>
      </c>
      <c r="F215" s="417">
        <f>F214/E214-1</f>
        <v>-1.379289539180939E-2</v>
      </c>
      <c r="G215" s="378"/>
      <c r="H215" s="378"/>
      <c r="I215" s="378"/>
      <c r="J215" s="378"/>
      <c r="K215" s="417">
        <f>K214/F214-1</f>
        <v>-2.7602479430697269E-3</v>
      </c>
      <c r="L215" s="378"/>
      <c r="M215" s="378"/>
      <c r="N215" s="378"/>
      <c r="O215" s="378"/>
      <c r="P215" s="417">
        <f>P214/K214-1</f>
        <v>1.7023482569565207E-2</v>
      </c>
      <c r="Q215" s="378"/>
      <c r="R215" s="378"/>
      <c r="S215" s="378"/>
      <c r="T215" s="378"/>
      <c r="U215" s="417">
        <f>U214/P214-1</f>
        <v>-1.0476036318265436E-3</v>
      </c>
      <c r="V215" s="378"/>
      <c r="W215" s="378"/>
      <c r="X215" s="378"/>
      <c r="Y215" s="378"/>
      <c r="Z215" s="417">
        <f>Z214/U214-1</f>
        <v>8.6402196437431744E-3</v>
      </c>
      <c r="AA215" s="378"/>
      <c r="AB215" s="378"/>
      <c r="AC215" s="378"/>
      <c r="AD215" s="378"/>
      <c r="AE215" s="417">
        <f>AE214/Z214-1</f>
        <v>2.0195690654703613E-2</v>
      </c>
      <c r="AF215" s="378"/>
      <c r="AG215" s="378"/>
      <c r="AH215" s="378"/>
      <c r="AI215" s="378"/>
      <c r="AJ215" s="417">
        <f t="shared" ref="AJ215:BS215" si="544">AJ214/AE214-1</f>
        <v>3.2951760211417103E-2</v>
      </c>
      <c r="AK215" s="378">
        <f t="shared" si="544"/>
        <v>-3.0267144996691142E-2</v>
      </c>
      <c r="AL215" s="378">
        <f t="shared" si="544"/>
        <v>-1.9489901525786779E-2</v>
      </c>
      <c r="AM215" s="378">
        <f t="shared" si="544"/>
        <v>7.6347481562841768E-3</v>
      </c>
      <c r="AN215" s="378">
        <f t="shared" si="544"/>
        <v>-3.3828618041637282E-2</v>
      </c>
      <c r="AO215" s="417">
        <f t="shared" si="544"/>
        <v>-2.2494496390105367E-2</v>
      </c>
      <c r="AP215" s="378">
        <f t="shared" si="544"/>
        <v>2.2617422804190879E-2</v>
      </c>
      <c r="AQ215" s="378">
        <f t="shared" si="544"/>
        <v>0.27045993708654259</v>
      </c>
      <c r="AR215" s="378">
        <f t="shared" si="544"/>
        <v>0.26391166609081584</v>
      </c>
      <c r="AS215" s="378">
        <f t="shared" si="544"/>
        <v>0.22583390640638923</v>
      </c>
      <c r="AT215" s="417">
        <f t="shared" si="544"/>
        <v>0.20332187747004937</v>
      </c>
      <c r="AU215" s="378">
        <f t="shared" si="544"/>
        <v>0.33268607439965492</v>
      </c>
      <c r="AV215" s="378">
        <f t="shared" si="544"/>
        <v>5.0680080449794884E-2</v>
      </c>
      <c r="AW215" s="378">
        <f t="shared" si="544"/>
        <v>4.8651458273173409E-2</v>
      </c>
      <c r="AX215" s="378">
        <f t="shared" si="544"/>
        <v>2.2804571652864425E-2</v>
      </c>
      <c r="AY215" s="417">
        <f t="shared" si="544"/>
        <v>8.3379552448700878E-2</v>
      </c>
      <c r="AZ215" s="378">
        <f t="shared" si="544"/>
        <v>-5.0401533092124917E-2</v>
      </c>
      <c r="BA215" s="378">
        <f t="shared" si="544"/>
        <v>-2.6791411403182641E-2</v>
      </c>
      <c r="BB215" s="378">
        <f t="shared" si="544"/>
        <v>-3.8702310536383733E-2</v>
      </c>
      <c r="BC215" s="378">
        <f t="shared" si="544"/>
        <v>-5.1460099777708823E-2</v>
      </c>
      <c r="BD215" s="417">
        <f t="shared" si="544"/>
        <v>-4.3987038684074276E-2</v>
      </c>
      <c r="BE215" s="378">
        <f t="shared" si="544"/>
        <v>-5.0745381016572888E-2</v>
      </c>
      <c r="BF215" s="378">
        <f t="shared" si="544"/>
        <v>-1.6483582785958739E-2</v>
      </c>
      <c r="BG215" s="378">
        <f t="shared" si="544"/>
        <v>-3.5948361469712031E-2</v>
      </c>
      <c r="BH215" s="378">
        <f t="shared" si="544"/>
        <v>-5.6679389312963568E-4</v>
      </c>
      <c r="BI215" s="417">
        <f t="shared" si="544"/>
        <v>-2.0678490126693205E-2</v>
      </c>
      <c r="BJ215" s="1130">
        <f>BJ214/BE214-1</f>
        <v>-4.9369102960892253E-3</v>
      </c>
      <c r="BK215" s="378">
        <f t="shared" si="544"/>
        <v>-5.5538522048743655E-3</v>
      </c>
      <c r="BL215" s="378">
        <f t="shared" si="544"/>
        <v>-8.1724529340917451E-3</v>
      </c>
      <c r="BM215" s="378">
        <f t="shared" si="544"/>
        <v>6.4538990315450295E-2</v>
      </c>
      <c r="BN215" s="417">
        <f t="shared" si="544"/>
        <v>2.3170983005220913E-2</v>
      </c>
      <c r="BO215" s="378">
        <f t="shared" si="544"/>
        <v>5.4512679181432766E-2</v>
      </c>
      <c r="BP215" s="378">
        <f t="shared" si="544"/>
        <v>4.6747496768850594E-2</v>
      </c>
      <c r="BQ215" s="378">
        <f t="shared" si="544"/>
        <v>4.6716045596669531E-2</v>
      </c>
      <c r="BR215" s="378">
        <f t="shared" si="544"/>
        <v>-2.8084003729670459E-2</v>
      </c>
      <c r="BS215" s="417">
        <f t="shared" si="544"/>
        <v>1.5817189455248348E-2</v>
      </c>
      <c r="BT215" s="417">
        <f>BT214/BS214-1</f>
        <v>7.4623893077903958E-2</v>
      </c>
      <c r="BU215" s="417">
        <f>BU214/BT214-1</f>
        <v>8.2328805124627369E-2</v>
      </c>
      <c r="BV215" s="417">
        <f>BV214/BU214-1</f>
        <v>8.2371209469564333E-2</v>
      </c>
      <c r="BW215" s="176"/>
    </row>
    <row r="216" spans="1:75" s="198" customFormat="1" ht="14.25" hidden="1" outlineLevel="1" x14ac:dyDescent="0.45">
      <c r="A216" s="206"/>
      <c r="B216" s="485"/>
      <c r="C216" s="397"/>
      <c r="D216" s="397"/>
      <c r="E216" s="397"/>
      <c r="F216" s="397"/>
      <c r="G216" s="295"/>
      <c r="H216" s="295"/>
      <c r="I216" s="295"/>
      <c r="J216" s="295"/>
      <c r="K216" s="397"/>
      <c r="L216" s="295"/>
      <c r="M216" s="295"/>
      <c r="N216" s="295"/>
      <c r="O216" s="295"/>
      <c r="P216" s="397"/>
      <c r="Q216" s="295"/>
      <c r="R216" s="295"/>
      <c r="S216" s="295"/>
      <c r="T216" s="295"/>
      <c r="U216" s="397"/>
      <c r="V216" s="295"/>
      <c r="W216" s="295"/>
      <c r="X216" s="295"/>
      <c r="Y216" s="295"/>
      <c r="Z216" s="397"/>
      <c r="AA216" s="295"/>
      <c r="AB216" s="295"/>
      <c r="AC216" s="295"/>
      <c r="AD216" s="295"/>
      <c r="AE216" s="397"/>
      <c r="AF216" s="295"/>
      <c r="AG216" s="295"/>
      <c r="AH216" s="295"/>
      <c r="AI216" s="295"/>
      <c r="AJ216" s="397"/>
      <c r="AK216" s="295"/>
      <c r="AL216" s="295"/>
      <c r="AM216" s="295"/>
      <c r="AN216" s="295"/>
      <c r="AO216" s="397"/>
      <c r="AP216" s="295"/>
      <c r="AQ216" s="295"/>
      <c r="AR216" s="295"/>
      <c r="AS216" s="295"/>
      <c r="AT216" s="397"/>
      <c r="AU216" s="295"/>
      <c r="AV216" s="295"/>
      <c r="AW216" s="295"/>
      <c r="AX216" s="295"/>
      <c r="AY216" s="397"/>
      <c r="AZ216" s="295"/>
      <c r="BA216" s="295"/>
      <c r="BB216" s="295"/>
      <c r="BC216" s="295"/>
      <c r="BD216" s="397"/>
      <c r="BE216" s="295"/>
      <c r="BF216" s="295"/>
      <c r="BG216" s="295"/>
      <c r="BH216" s="295"/>
      <c r="BI216" s="397"/>
      <c r="BJ216" s="1030"/>
      <c r="BK216" s="295"/>
      <c r="BL216" s="295"/>
      <c r="BM216" s="295"/>
      <c r="BN216" s="397"/>
      <c r="BO216" s="295"/>
      <c r="BP216" s="295"/>
      <c r="BQ216" s="295"/>
      <c r="BR216" s="295"/>
      <c r="BS216" s="397"/>
      <c r="BT216" s="397"/>
      <c r="BU216" s="397"/>
      <c r="BV216" s="397"/>
      <c r="BW216" s="197"/>
    </row>
    <row r="217" spans="1:75" s="370" customFormat="1" hidden="1" outlineLevel="1" x14ac:dyDescent="0.5">
      <c r="A217" s="364" t="s">
        <v>1790</v>
      </c>
      <c r="B217" s="1152"/>
      <c r="C217" s="1153"/>
      <c r="D217" s="1153"/>
      <c r="E217" s="1153"/>
      <c r="F217" s="1153"/>
      <c r="G217" s="1154"/>
      <c r="H217" s="1154"/>
      <c r="I217" s="1154"/>
      <c r="J217" s="1154"/>
      <c r="K217" s="1153"/>
      <c r="L217" s="1154"/>
      <c r="M217" s="1154"/>
      <c r="N217" s="1154"/>
      <c r="O217" s="1154"/>
      <c r="P217" s="1153"/>
      <c r="Q217" s="1154"/>
      <c r="R217" s="1154"/>
      <c r="S217" s="1154"/>
      <c r="T217" s="1154"/>
      <c r="U217" s="1153"/>
      <c r="V217" s="1154"/>
      <c r="W217" s="1154"/>
      <c r="X217" s="1154"/>
      <c r="Y217" s="1154"/>
      <c r="Z217" s="1153"/>
      <c r="AA217" s="1154"/>
      <c r="AB217" s="1154"/>
      <c r="AC217" s="1154"/>
      <c r="AD217" s="1154"/>
      <c r="AE217" s="1153"/>
      <c r="AF217" s="1154"/>
      <c r="AG217" s="1154"/>
      <c r="AH217" s="1154"/>
      <c r="AI217" s="1154"/>
      <c r="AJ217" s="1153"/>
      <c r="AK217" s="1154">
        <f t="shared" ref="AK217:BV217" si="545">AK212/AK192*AK177</f>
        <v>898.05004951553929</v>
      </c>
      <c r="AL217" s="1154">
        <f t="shared" si="545"/>
        <v>887.51408498968965</v>
      </c>
      <c r="AM217" s="1154">
        <f t="shared" si="545"/>
        <v>926.96312987256817</v>
      </c>
      <c r="AN217" s="1154">
        <f t="shared" si="545"/>
        <v>2073.4896640066186</v>
      </c>
      <c r="AO217" s="1153">
        <f t="shared" si="545"/>
        <v>4842.1689372227429</v>
      </c>
      <c r="AP217" s="1154">
        <f t="shared" si="545"/>
        <v>948.53482447885051</v>
      </c>
      <c r="AQ217" s="1154">
        <f t="shared" si="545"/>
        <v>1148.6155916804146</v>
      </c>
      <c r="AR217" s="1154">
        <f t="shared" si="545"/>
        <v>1245.4655184661842</v>
      </c>
      <c r="AS217" s="1154">
        <f t="shared" si="545"/>
        <v>2662.6699012003373</v>
      </c>
      <c r="AT217" s="1153">
        <f t="shared" si="545"/>
        <v>5975.0203535516475</v>
      </c>
      <c r="AU217" s="1154">
        <f t="shared" si="545"/>
        <v>1355.1848253136131</v>
      </c>
      <c r="AV217" s="1154">
        <f t="shared" si="545"/>
        <v>1310.9427896575489</v>
      </c>
      <c r="AW217" s="1154">
        <f t="shared" si="545"/>
        <v>1415.0640184008525</v>
      </c>
      <c r="AX217" s="1154">
        <f t="shared" si="545"/>
        <v>3040.6243211295391</v>
      </c>
      <c r="AY217" s="1153">
        <f t="shared" si="545"/>
        <v>7037.1741414648232</v>
      </c>
      <c r="AZ217" s="1154">
        <f t="shared" si="545"/>
        <v>1462.9604274564499</v>
      </c>
      <c r="BA217" s="1154">
        <f t="shared" si="545"/>
        <v>1422.9992061159389</v>
      </c>
      <c r="BB217" s="1154">
        <f t="shared" si="545"/>
        <v>1499.8546938823411</v>
      </c>
      <c r="BC217" s="1154">
        <f t="shared" si="545"/>
        <v>3091.0661753236068</v>
      </c>
      <c r="BD217" s="1153">
        <f t="shared" si="545"/>
        <v>7425.9212217718441</v>
      </c>
      <c r="BE217" s="1154">
        <f t="shared" si="545"/>
        <v>1476.2323046461761</v>
      </c>
      <c r="BF217" s="1154">
        <f t="shared" si="545"/>
        <v>1490.4086464561785</v>
      </c>
      <c r="BG217" s="1154">
        <f t="shared" si="545"/>
        <v>1555.4964827641197</v>
      </c>
      <c r="BH217" s="1154">
        <f t="shared" si="545"/>
        <v>3313.2536365689048</v>
      </c>
      <c r="BI217" s="1153">
        <f t="shared" si="545"/>
        <v>7780.5968950641172</v>
      </c>
      <c r="BJ217" s="1155">
        <f>BJ212/BJ192*BJ177</f>
        <v>1532.9913887428347</v>
      </c>
      <c r="BK217" s="1154">
        <f t="shared" si="545"/>
        <v>1575.906517102972</v>
      </c>
      <c r="BL217" s="1154">
        <f t="shared" si="545"/>
        <v>1644.2990454084461</v>
      </c>
      <c r="BM217" s="1154">
        <f t="shared" si="545"/>
        <v>3707.4092668202375</v>
      </c>
      <c r="BN217" s="1153">
        <f t="shared" si="545"/>
        <v>8417.6378904084104</v>
      </c>
      <c r="BO217" s="1154">
        <f t="shared" si="545"/>
        <v>1696.0390480235549</v>
      </c>
      <c r="BP217" s="1154">
        <f t="shared" si="545"/>
        <v>1746.4486531575437</v>
      </c>
      <c r="BQ217" s="1154">
        <f t="shared" si="545"/>
        <v>1823.1233882335189</v>
      </c>
      <c r="BR217" s="1154">
        <f t="shared" si="545"/>
        <v>3823.1122116229221</v>
      </c>
      <c r="BS217" s="1153">
        <f t="shared" si="545"/>
        <v>9088.7416910298507</v>
      </c>
      <c r="BT217" s="1153">
        <f t="shared" si="545"/>
        <v>10278.238605843117</v>
      </c>
      <c r="BU217" s="1153">
        <f t="shared" si="545"/>
        <v>11634.649941674337</v>
      </c>
      <c r="BV217" s="1153">
        <f t="shared" si="545"/>
        <v>13198.25857978237</v>
      </c>
      <c r="BW217" s="369"/>
    </row>
    <row r="218" spans="1:75" s="370" customFormat="1" hidden="1" outlineLevel="1" x14ac:dyDescent="0.5">
      <c r="A218" s="364" t="s">
        <v>1791</v>
      </c>
      <c r="B218" s="1152"/>
      <c r="C218" s="1153"/>
      <c r="D218" s="1153"/>
      <c r="E218" s="1153"/>
      <c r="F218" s="1153"/>
      <c r="G218" s="1154"/>
      <c r="H218" s="1154"/>
      <c r="I218" s="1154"/>
      <c r="J218" s="1154"/>
      <c r="K218" s="1153"/>
      <c r="L218" s="1154"/>
      <c r="M218" s="1154"/>
      <c r="N218" s="1154"/>
      <c r="O218" s="1154"/>
      <c r="P218" s="1153"/>
      <c r="Q218" s="1154"/>
      <c r="R218" s="1154"/>
      <c r="S218" s="1154"/>
      <c r="T218" s="1154"/>
      <c r="U218" s="1153"/>
      <c r="V218" s="1154"/>
      <c r="W218" s="1154"/>
      <c r="X218" s="1154"/>
      <c r="Y218" s="1154"/>
      <c r="Z218" s="1153"/>
      <c r="AA218" s="1154"/>
      <c r="AB218" s="1154"/>
      <c r="AC218" s="1154"/>
      <c r="AD218" s="1154"/>
      <c r="AE218" s="1153"/>
      <c r="AF218" s="1154"/>
      <c r="AG218" s="1154"/>
      <c r="AH218" s="1154"/>
      <c r="AI218" s="1154"/>
      <c r="AJ218" s="1153"/>
      <c r="AK218" s="1154">
        <f t="shared" ref="AK218:BV218" si="546">IFERROR(AK213/AK195*AK181,"n/a")</f>
        <v>345.56182816334871</v>
      </c>
      <c r="AL218" s="1154">
        <f t="shared" si="546"/>
        <v>576.6497708601056</v>
      </c>
      <c r="AM218" s="1154">
        <f t="shared" si="546"/>
        <v>2149.2625918602644</v>
      </c>
      <c r="AN218" s="1154">
        <f t="shared" si="546"/>
        <v>867.65002269792797</v>
      </c>
      <c r="AO218" s="1153">
        <f t="shared" si="546"/>
        <v>2612.5299637884391</v>
      </c>
      <c r="AP218" s="1154">
        <f t="shared" si="546"/>
        <v>572.85312393524919</v>
      </c>
      <c r="AQ218" s="1154">
        <f t="shared" si="546"/>
        <v>629.62035213502077</v>
      </c>
      <c r="AR218" s="1154">
        <f t="shared" si="546"/>
        <v>382.21636011501232</v>
      </c>
      <c r="AS218" s="1154">
        <f t="shared" si="546"/>
        <v>1434.8775240246596</v>
      </c>
      <c r="AT218" s="1153">
        <f t="shared" si="546"/>
        <v>2016.7440755610869</v>
      </c>
      <c r="AU218" s="1154">
        <f t="shared" si="546"/>
        <v>893.89295057848517</v>
      </c>
      <c r="AV218" s="1154">
        <f t="shared" si="546"/>
        <v>978.72302377423932</v>
      </c>
      <c r="AW218" s="1154">
        <f t="shared" si="546"/>
        <v>393.21678496992257</v>
      </c>
      <c r="AX218" s="1154">
        <f t="shared" si="546"/>
        <v>1027.2200725196722</v>
      </c>
      <c r="AY218" s="1153">
        <f t="shared" si="546"/>
        <v>3189.8566513443525</v>
      </c>
      <c r="AZ218" s="1154">
        <f t="shared" si="546"/>
        <v>1100.6362688185675</v>
      </c>
      <c r="BA218" s="1154">
        <f t="shared" si="546"/>
        <v>1117.0313224405731</v>
      </c>
      <c r="BB218" s="1154">
        <f t="shared" si="546"/>
        <v>1336.2118365299125</v>
      </c>
      <c r="BC218" s="1154">
        <f t="shared" si="546"/>
        <v>2675.3152686201247</v>
      </c>
      <c r="BD218" s="1153">
        <f t="shared" si="546"/>
        <v>6008.2874404055347</v>
      </c>
      <c r="BE218" s="1154">
        <f t="shared" si="546"/>
        <v>882.64558638818608</v>
      </c>
      <c r="BF218" s="1154">
        <f t="shared" si="546"/>
        <v>1460.223919081589</v>
      </c>
      <c r="BG218" s="1154">
        <f t="shared" si="546"/>
        <v>879.74317892294664</v>
      </c>
      <c r="BH218" s="1154">
        <f t="shared" si="546"/>
        <v>2279.7927908678571</v>
      </c>
      <c r="BI218" s="1153">
        <f t="shared" si="546"/>
        <v>5993.5784566019611</v>
      </c>
      <c r="BJ218" s="1155">
        <f>IFERROR(BJ213/BJ195*BJ181,"n/a")</f>
        <v>1058.1018739322731</v>
      </c>
      <c r="BK218" s="1154">
        <f t="shared" si="546"/>
        <v>974.11617934021922</v>
      </c>
      <c r="BL218" s="1154">
        <f t="shared" si="546"/>
        <v>1233.337256785642</v>
      </c>
      <c r="BM218" s="1154">
        <f t="shared" si="546"/>
        <v>2780.7267635663684</v>
      </c>
      <c r="BN218" s="1153">
        <f t="shared" si="546"/>
        <v>7332.6633577107859</v>
      </c>
      <c r="BO218" s="1154">
        <f t="shared" si="546"/>
        <v>1272.0875497990635</v>
      </c>
      <c r="BP218" s="1154">
        <f t="shared" si="546"/>
        <v>1306.3876637936823</v>
      </c>
      <c r="BQ218" s="1154">
        <f t="shared" si="546"/>
        <v>1361.339643193251</v>
      </c>
      <c r="BR218" s="1154">
        <f t="shared" si="546"/>
        <v>2852.2040465502246</v>
      </c>
      <c r="BS218" s="1153">
        <f t="shared" si="546"/>
        <v>6867.5893974691098</v>
      </c>
      <c r="BT218" s="1153">
        <f t="shared" si="546"/>
        <v>7708.678954382337</v>
      </c>
      <c r="BU218" s="1153">
        <f t="shared" si="546"/>
        <v>8725.9874562557543</v>
      </c>
      <c r="BV218" s="1153">
        <f t="shared" si="546"/>
        <v>9898.6939348367778</v>
      </c>
      <c r="BW218" s="369"/>
    </row>
    <row r="219" spans="1:75" s="573" customFormat="1" ht="14.25" hidden="1" outlineLevel="1" x14ac:dyDescent="0.45">
      <c r="A219" s="1157" t="s">
        <v>1792</v>
      </c>
      <c r="B219" s="1158"/>
      <c r="C219" s="1159"/>
      <c r="D219" s="1159">
        <f t="shared" ref="D219:F219" si="547">D214/D189*D182</f>
        <v>3907.4857541645179</v>
      </c>
      <c r="E219" s="1159">
        <f t="shared" si="547"/>
        <v>3861.844660194175</v>
      </c>
      <c r="F219" s="1159">
        <f t="shared" si="547"/>
        <v>3860.4833447648584</v>
      </c>
      <c r="G219" s="1160"/>
      <c r="H219" s="1160"/>
      <c r="I219" s="1160"/>
      <c r="J219" s="1160"/>
      <c r="K219" s="1159">
        <f>K214/K189*K182</f>
        <v>3859.8993586581159</v>
      </c>
      <c r="L219" s="1160"/>
      <c r="M219" s="1160"/>
      <c r="N219" s="1160"/>
      <c r="O219" s="1160"/>
      <c r="P219" s="1159">
        <f>P214/P189*P182</f>
        <v>4024.8902377339405</v>
      </c>
      <c r="Q219" s="1160"/>
      <c r="R219" s="1160"/>
      <c r="S219" s="1160"/>
      <c r="T219" s="1160"/>
      <c r="U219" s="1159">
        <f>U214/U189*U182</f>
        <v>4114.3229813664602</v>
      </c>
      <c r="V219" s="1160"/>
      <c r="W219" s="1160"/>
      <c r="X219" s="1160"/>
      <c r="Y219" s="1160"/>
      <c r="Z219" s="1159">
        <f>Z214/Z189*Z182</f>
        <v>4177.9843668577387</v>
      </c>
      <c r="AA219" s="1160"/>
      <c r="AB219" s="1160"/>
      <c r="AC219" s="1160"/>
      <c r="AD219" s="1160"/>
      <c r="AE219" s="1159">
        <f t="shared" ref="AE219:BV219" si="548">AE214/AE189*AE182</f>
        <v>4434.3584548411627</v>
      </c>
      <c r="AF219" s="1160">
        <f t="shared" si="548"/>
        <v>895.92474105152746</v>
      </c>
      <c r="AG219" s="1160">
        <f t="shared" si="548"/>
        <v>867.45777777777778</v>
      </c>
      <c r="AH219" s="1160">
        <f t="shared" si="548"/>
        <v>902.37168141592917</v>
      </c>
      <c r="AI219" s="1160">
        <f t="shared" si="548"/>
        <v>2060.1247872201125</v>
      </c>
      <c r="AJ219" s="1159">
        <f t="shared" si="548"/>
        <v>4763.3748529270297</v>
      </c>
      <c r="AK219" s="1160">
        <f t="shared" si="548"/>
        <v>881.40409683426458</v>
      </c>
      <c r="AL219" s="1160">
        <f t="shared" si="548"/>
        <v>875.85354691075497</v>
      </c>
      <c r="AM219" s="1160">
        <f t="shared" si="548"/>
        <v>949.50893993169473</v>
      </c>
      <c r="AN219" s="1160">
        <f t="shared" si="548"/>
        <v>2054.1118881118878</v>
      </c>
      <c r="AO219" s="1159">
        <f t="shared" si="548"/>
        <v>4778.5596914175494</v>
      </c>
      <c r="AP219" s="1160">
        <f t="shared" si="548"/>
        <v>942.32624113475174</v>
      </c>
      <c r="AQ219" s="1160">
        <f t="shared" si="548"/>
        <v>1143.8386605783867</v>
      </c>
      <c r="AR219" s="1160">
        <f t="shared" si="548"/>
        <v>1236.7857142857144</v>
      </c>
      <c r="AS219" s="1160">
        <f t="shared" si="548"/>
        <v>2647.6029411764703</v>
      </c>
      <c r="AT219" s="1159">
        <f t="shared" si="548"/>
        <v>5907.3542950550273</v>
      </c>
      <c r="AU219" s="1160">
        <f t="shared" si="548"/>
        <v>1351.6895674300256</v>
      </c>
      <c r="AV219" s="1160">
        <f t="shared" si="548"/>
        <v>1306.6751918158568</v>
      </c>
      <c r="AW219" s="1160">
        <f t="shared" si="548"/>
        <v>1396.7230769230769</v>
      </c>
      <c r="AX219" s="1160">
        <f t="shared" si="548"/>
        <v>3002.326086956522</v>
      </c>
      <c r="AY219" s="1159">
        <f t="shared" si="548"/>
        <v>6982.3657587548641</v>
      </c>
      <c r="AZ219" s="1160">
        <f t="shared" si="548"/>
        <v>1455.9066382231147</v>
      </c>
      <c r="BA219" s="1160">
        <f t="shared" si="548"/>
        <v>1410.264692387904</v>
      </c>
      <c r="BB219" s="1160">
        <f t="shared" si="548"/>
        <v>1496.1142857142856</v>
      </c>
      <c r="BC219" s="1160">
        <f t="shared" si="548"/>
        <v>3082.3529411764707</v>
      </c>
      <c r="BD219" s="1159">
        <f t="shared" si="548"/>
        <v>7383.1579924474181</v>
      </c>
      <c r="BE219" s="1160">
        <f t="shared" si="548"/>
        <v>1461.6278699402787</v>
      </c>
      <c r="BF219" s="1160">
        <f t="shared" si="548"/>
        <v>1486.4012158054711</v>
      </c>
      <c r="BG219" s="1160">
        <f t="shared" si="548"/>
        <v>1543.7798165137613</v>
      </c>
      <c r="BH219" s="1160">
        <f t="shared" si="548"/>
        <v>3283.4043887147336</v>
      </c>
      <c r="BI219" s="1159">
        <f t="shared" si="548"/>
        <v>7738.5941255006674</v>
      </c>
      <c r="BJ219" s="1161">
        <f>BJ214/BJ189*BJ182</f>
        <v>1527.1730769230769</v>
      </c>
      <c r="BK219" s="1160">
        <f t="shared" si="548"/>
        <v>1571.2996176002346</v>
      </c>
      <c r="BL219" s="1160">
        <f t="shared" si="548"/>
        <v>1638.9708437467468</v>
      </c>
      <c r="BM219" s="1160">
        <f t="shared" si="548"/>
        <v>3698.3730082448933</v>
      </c>
      <c r="BN219" s="1159">
        <f t="shared" si="548"/>
        <v>8440.3965922670832</v>
      </c>
      <c r="BO219" s="1160">
        <f t="shared" si="548"/>
        <v>1689.028159644165</v>
      </c>
      <c r="BP219" s="1160">
        <f t="shared" si="548"/>
        <v>1734.5714070437327</v>
      </c>
      <c r="BQ219" s="1160">
        <f t="shared" si="548"/>
        <v>1810.4880045482792</v>
      </c>
      <c r="BR219" s="1160">
        <f t="shared" si="548"/>
        <v>3796.1761377924104</v>
      </c>
      <c r="BS219" s="1159">
        <f t="shared" si="548"/>
        <v>9036.2966367891422</v>
      </c>
      <c r="BT219" s="1159">
        <f t="shared" si="548"/>
        <v>10205.784929791749</v>
      </c>
      <c r="BU219" s="1159">
        <f t="shared" si="548"/>
        <v>11549.005686160117</v>
      </c>
      <c r="BV219" s="1159">
        <f t="shared" si="548"/>
        <v>13096.608859723776</v>
      </c>
      <c r="BW219" s="572"/>
    </row>
    <row r="220" spans="1:75" s="123" customFormat="1" collapsed="1" x14ac:dyDescent="0.5">
      <c r="A220" s="184"/>
      <c r="B220" s="489"/>
      <c r="C220" s="401"/>
      <c r="D220" s="401"/>
      <c r="E220" s="401"/>
      <c r="F220" s="401"/>
      <c r="G220" s="118"/>
      <c r="H220" s="118"/>
      <c r="I220" s="118"/>
      <c r="J220" s="118"/>
      <c r="K220" s="401"/>
      <c r="L220" s="118"/>
      <c r="M220" s="118"/>
      <c r="N220" s="118"/>
      <c r="O220" s="118"/>
      <c r="P220" s="401"/>
      <c r="Q220" s="118"/>
      <c r="R220" s="118"/>
      <c r="S220" s="118"/>
      <c r="T220" s="118"/>
      <c r="U220" s="401"/>
      <c r="V220" s="118"/>
      <c r="W220" s="118"/>
      <c r="X220" s="118"/>
      <c r="Y220" s="118"/>
      <c r="Z220" s="401"/>
      <c r="AA220" s="118"/>
      <c r="AB220" s="118"/>
      <c r="AC220" s="118"/>
      <c r="AD220" s="118"/>
      <c r="AE220" s="401"/>
      <c r="AF220" s="118"/>
      <c r="AG220" s="118"/>
      <c r="AH220" s="118"/>
      <c r="AI220" s="118"/>
      <c r="AJ220" s="401"/>
      <c r="AK220" s="118"/>
      <c r="AL220" s="118"/>
      <c r="AM220" s="118"/>
      <c r="AN220" s="118"/>
      <c r="AO220" s="401"/>
      <c r="AP220" s="118"/>
      <c r="AQ220" s="118"/>
      <c r="AR220" s="118"/>
      <c r="AS220" s="118"/>
      <c r="AT220" s="401"/>
      <c r="AU220" s="118"/>
      <c r="AV220" s="118"/>
      <c r="AW220" s="118"/>
      <c r="AX220" s="118"/>
      <c r="AY220" s="401"/>
      <c r="AZ220" s="118"/>
      <c r="BA220" s="118"/>
      <c r="BB220" s="118"/>
      <c r="BC220" s="118"/>
      <c r="BD220" s="401"/>
      <c r="BE220" s="118"/>
      <c r="BF220" s="118"/>
      <c r="BG220" s="118"/>
      <c r="BH220" s="118"/>
      <c r="BI220" s="401"/>
      <c r="BJ220" s="971"/>
      <c r="BK220" s="118"/>
      <c r="BL220" s="118"/>
      <c r="BM220" s="118"/>
      <c r="BN220" s="401"/>
      <c r="BO220" s="118"/>
      <c r="BP220" s="118"/>
      <c r="BQ220" s="118"/>
      <c r="BR220" s="118"/>
      <c r="BS220" s="401"/>
      <c r="BT220" s="401"/>
      <c r="BU220" s="401"/>
      <c r="BV220" s="401"/>
      <c r="BW220" s="122"/>
    </row>
    <row r="221" spans="1:75" s="198" customFormat="1" ht="14.25" x14ac:dyDescent="0.45">
      <c r="A221" s="239" t="s">
        <v>1793</v>
      </c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239"/>
      <c r="AN221" s="239"/>
      <c r="AO221" s="239"/>
      <c r="AP221" s="239"/>
      <c r="AQ221" s="239"/>
      <c r="AR221" s="239"/>
      <c r="AS221" s="239"/>
      <c r="AT221" s="239"/>
      <c r="AU221" s="239"/>
      <c r="AV221" s="239"/>
      <c r="AW221" s="239"/>
      <c r="AX221" s="239"/>
      <c r="AY221" s="239"/>
      <c r="AZ221" s="239"/>
      <c r="BA221" s="239"/>
      <c r="BB221" s="239"/>
      <c r="BC221" s="239"/>
      <c r="BD221" s="239"/>
      <c r="BE221" s="239"/>
      <c r="BF221" s="239"/>
      <c r="BG221" s="239"/>
      <c r="BH221" s="239"/>
      <c r="BI221" s="239"/>
      <c r="BJ221" s="241"/>
      <c r="BK221" s="239"/>
      <c r="BL221" s="239"/>
      <c r="BM221" s="239"/>
      <c r="BN221" s="239"/>
      <c r="BO221" s="239"/>
      <c r="BP221" s="239"/>
      <c r="BQ221" s="239"/>
      <c r="BR221" s="239"/>
      <c r="BS221" s="239"/>
      <c r="BT221" s="239"/>
      <c r="BU221" s="239"/>
      <c r="BV221" s="239"/>
      <c r="BW221" s="197"/>
    </row>
    <row r="222" spans="1:75" s="169" customFormat="1" ht="14.25" hidden="1" outlineLevel="2" x14ac:dyDescent="0.45">
      <c r="A222" s="558" t="s">
        <v>1794</v>
      </c>
      <c r="B222" s="1121"/>
      <c r="C222" s="1122">
        <v>95</v>
      </c>
      <c r="D222" s="1123">
        <f t="shared" ref="D222:J222" si="549">C225</f>
        <v>87</v>
      </c>
      <c r="E222" s="1123">
        <f t="shared" si="549"/>
        <v>85</v>
      </c>
      <c r="F222" s="1123">
        <f t="shared" si="549"/>
        <v>83</v>
      </c>
      <c r="G222" s="168">
        <f t="shared" si="549"/>
        <v>84</v>
      </c>
      <c r="H222" s="168">
        <f t="shared" si="549"/>
        <v>85</v>
      </c>
      <c r="I222" s="168">
        <f t="shared" si="549"/>
        <v>86</v>
      </c>
      <c r="J222" s="168">
        <f t="shared" si="549"/>
        <v>84</v>
      </c>
      <c r="K222" s="1123">
        <f>F225</f>
        <v>84</v>
      </c>
      <c r="L222" s="168">
        <f>K225</f>
        <v>81</v>
      </c>
      <c r="M222" s="168">
        <f>L225</f>
        <v>84</v>
      </c>
      <c r="N222" s="168">
        <f>M225</f>
        <v>84</v>
      </c>
      <c r="O222" s="168">
        <f>N225</f>
        <v>85</v>
      </c>
      <c r="P222" s="1123">
        <f>K225</f>
        <v>81</v>
      </c>
      <c r="Q222" s="168">
        <f>P225</f>
        <v>85</v>
      </c>
      <c r="R222" s="168">
        <f>Q225</f>
        <v>87</v>
      </c>
      <c r="S222" s="168">
        <f>R225</f>
        <v>89</v>
      </c>
      <c r="T222" s="168">
        <f>S225</f>
        <v>90</v>
      </c>
      <c r="U222" s="1123">
        <f>P225</f>
        <v>85</v>
      </c>
      <c r="V222" s="168">
        <f>U225</f>
        <v>89</v>
      </c>
      <c r="W222" s="168">
        <f>V225</f>
        <v>90</v>
      </c>
      <c r="X222" s="168">
        <f>W225</f>
        <v>89</v>
      </c>
      <c r="Y222" s="168">
        <f>X225</f>
        <v>89</v>
      </c>
      <c r="Z222" s="1123">
        <f>U225</f>
        <v>89</v>
      </c>
      <c r="AA222" s="168">
        <f>Z225</f>
        <v>89</v>
      </c>
      <c r="AB222" s="168">
        <f>AA225</f>
        <v>89</v>
      </c>
      <c r="AC222" s="168">
        <f>AB225</f>
        <v>88</v>
      </c>
      <c r="AD222" s="168">
        <f>AC225</f>
        <v>88</v>
      </c>
      <c r="AE222" s="1123">
        <f>Z225</f>
        <v>89</v>
      </c>
      <c r="AF222" s="168">
        <f>AE225</f>
        <v>86</v>
      </c>
      <c r="AG222" s="168">
        <f>AF225</f>
        <v>84</v>
      </c>
      <c r="AH222" s="168">
        <f>AG225</f>
        <v>84</v>
      </c>
      <c r="AI222" s="168">
        <f>AH225</f>
        <v>82</v>
      </c>
      <c r="AJ222" s="1123">
        <f>AE225</f>
        <v>86</v>
      </c>
      <c r="AK222" s="168">
        <f>AJ225</f>
        <v>78</v>
      </c>
      <c r="AL222" s="168">
        <f>AK225</f>
        <v>78</v>
      </c>
      <c r="AM222" s="168">
        <f>AL225</f>
        <v>78</v>
      </c>
      <c r="AN222" s="168">
        <f>AM225</f>
        <v>79</v>
      </c>
      <c r="AO222" s="1123">
        <f>AJ225</f>
        <v>78</v>
      </c>
      <c r="AP222" s="168">
        <f>AO225</f>
        <v>74</v>
      </c>
      <c r="AQ222" s="168">
        <f>AP225</f>
        <v>74</v>
      </c>
      <c r="AR222" s="168">
        <f>AQ225</f>
        <v>72</v>
      </c>
      <c r="AS222" s="168">
        <f>AR225</f>
        <v>71</v>
      </c>
      <c r="AT222" s="1123">
        <f>AO225</f>
        <v>74</v>
      </c>
      <c r="AU222" s="168">
        <f>AT225</f>
        <v>57</v>
      </c>
      <c r="AV222" s="168">
        <f>AU225</f>
        <v>57</v>
      </c>
      <c r="AW222" s="168">
        <f>AV225</f>
        <v>57</v>
      </c>
      <c r="AX222" s="168">
        <f>AW225</f>
        <v>57</v>
      </c>
      <c r="AY222" s="1123">
        <f>AT225</f>
        <v>57</v>
      </c>
      <c r="AZ222" s="168">
        <f>AY225</f>
        <v>52</v>
      </c>
      <c r="BA222" s="168">
        <f>AZ225</f>
        <v>52</v>
      </c>
      <c r="BB222" s="168">
        <f t="shared" ref="BB222" si="550">BA225</f>
        <v>52</v>
      </c>
      <c r="BC222" s="168">
        <f>BB225</f>
        <v>52</v>
      </c>
      <c r="BD222" s="1123">
        <f>AY225</f>
        <v>52</v>
      </c>
      <c r="BE222" s="168">
        <f>BD225</f>
        <v>46</v>
      </c>
      <c r="BF222" s="168">
        <f>BE225</f>
        <v>46</v>
      </c>
      <c r="BG222" s="168">
        <f>BF225</f>
        <v>46</v>
      </c>
      <c r="BH222" s="168">
        <f>BG225</f>
        <v>46</v>
      </c>
      <c r="BI222" s="1123">
        <f>BD225</f>
        <v>46</v>
      </c>
      <c r="BJ222" s="1124">
        <f>BI225</f>
        <v>46</v>
      </c>
      <c r="BK222" s="247">
        <f>BJ225</f>
        <v>45</v>
      </c>
      <c r="BL222" s="247">
        <f>BK225</f>
        <v>45</v>
      </c>
      <c r="BM222" s="247">
        <f>BL225</f>
        <v>45</v>
      </c>
      <c r="BN222" s="840">
        <f>BI225</f>
        <v>46</v>
      </c>
      <c r="BO222" s="247">
        <f>BN225</f>
        <v>45</v>
      </c>
      <c r="BP222" s="247">
        <f>BO225</f>
        <v>45</v>
      </c>
      <c r="BQ222" s="247">
        <f>BP225</f>
        <v>45</v>
      </c>
      <c r="BR222" s="247">
        <f>BQ225</f>
        <v>45</v>
      </c>
      <c r="BS222" s="840">
        <f>BN225</f>
        <v>45</v>
      </c>
      <c r="BT222" s="840">
        <f>BS225</f>
        <v>45</v>
      </c>
      <c r="BU222" s="840">
        <f>BT225</f>
        <v>45</v>
      </c>
      <c r="BV222" s="840">
        <f>BU225</f>
        <v>45</v>
      </c>
      <c r="BW222" s="168"/>
    </row>
    <row r="223" spans="1:75" s="224" customFormat="1" hidden="1" outlineLevel="2" x14ac:dyDescent="0.5">
      <c r="A223" s="218" t="s">
        <v>1795</v>
      </c>
      <c r="B223" s="494"/>
      <c r="C223" s="427">
        <f>0+0+0+2</f>
        <v>2</v>
      </c>
      <c r="D223" s="427">
        <f>0+0+0+0</f>
        <v>0</v>
      </c>
      <c r="E223" s="427">
        <f>0+1+1+0</f>
        <v>2</v>
      </c>
      <c r="F223" s="427">
        <f>2+0+1+0</f>
        <v>3</v>
      </c>
      <c r="G223" s="256">
        <v>2</v>
      </c>
      <c r="H223" s="256">
        <v>1</v>
      </c>
      <c r="I223" s="256">
        <v>0</v>
      </c>
      <c r="J223" s="256">
        <v>2</v>
      </c>
      <c r="K223" s="425">
        <f>SUM(G223,H223,I223,J223)</f>
        <v>5</v>
      </c>
      <c r="L223" s="256">
        <v>4</v>
      </c>
      <c r="M223" s="256">
        <v>1</v>
      </c>
      <c r="N223" s="256">
        <v>2</v>
      </c>
      <c r="O223" s="256">
        <v>3</v>
      </c>
      <c r="P223" s="425">
        <f>SUM(L223,M223,N223,O223)</f>
        <v>10</v>
      </c>
      <c r="Q223" s="256">
        <v>2</v>
      </c>
      <c r="R223" s="256">
        <v>3</v>
      </c>
      <c r="S223" s="256">
        <v>1</v>
      </c>
      <c r="T223" s="256">
        <v>0</v>
      </c>
      <c r="U223" s="425">
        <f>SUM(Q223,R223,S223,T223)</f>
        <v>6</v>
      </c>
      <c r="V223" s="256">
        <v>2</v>
      </c>
      <c r="W223" s="256">
        <v>0</v>
      </c>
      <c r="X223" s="256">
        <v>0</v>
      </c>
      <c r="Y223" s="256">
        <v>1</v>
      </c>
      <c r="Z223" s="425">
        <f>SUM(V223,W223,X223,Y223)</f>
        <v>3</v>
      </c>
      <c r="AA223" s="256">
        <v>0</v>
      </c>
      <c r="AB223" s="256">
        <v>0</v>
      </c>
      <c r="AC223" s="256">
        <v>0</v>
      </c>
      <c r="AD223" s="256">
        <v>0</v>
      </c>
      <c r="AE223" s="425">
        <f>SUM(AA223,AB223,AC223,AD223)</f>
        <v>0</v>
      </c>
      <c r="AF223" s="256">
        <v>0</v>
      </c>
      <c r="AG223" s="256">
        <v>0</v>
      </c>
      <c r="AH223" s="256">
        <v>0</v>
      </c>
      <c r="AI223" s="256">
        <v>0</v>
      </c>
      <c r="AJ223" s="425">
        <f>SUM(AF223,AG223,AH223,AI223)</f>
        <v>0</v>
      </c>
      <c r="AK223" s="256">
        <v>0</v>
      </c>
      <c r="AL223" s="256">
        <v>0</v>
      </c>
      <c r="AM223" s="256">
        <v>1</v>
      </c>
      <c r="AN223" s="256">
        <v>1</v>
      </c>
      <c r="AO223" s="425">
        <f>SUM(AK223,AL223,AM223,AN223)</f>
        <v>2</v>
      </c>
      <c r="AP223" s="256">
        <v>0</v>
      </c>
      <c r="AQ223" s="256">
        <v>0</v>
      </c>
      <c r="AR223" s="256">
        <v>0</v>
      </c>
      <c r="AS223" s="256">
        <v>0</v>
      </c>
      <c r="AT223" s="425">
        <f>SUM(AP223,AQ223,AR223,AS223)</f>
        <v>0</v>
      </c>
      <c r="AU223" s="256">
        <v>0</v>
      </c>
      <c r="AV223" s="256">
        <v>0</v>
      </c>
      <c r="AW223" s="256">
        <v>0</v>
      </c>
      <c r="AX223" s="256">
        <v>0</v>
      </c>
      <c r="AY223" s="425">
        <f>SUM(AU223,AV223,AW223,AX223)</f>
        <v>0</v>
      </c>
      <c r="AZ223" s="256">
        <v>0</v>
      </c>
      <c r="BA223" s="256">
        <v>0</v>
      </c>
      <c r="BB223" s="256">
        <v>0</v>
      </c>
      <c r="BC223" s="256">
        <v>0</v>
      </c>
      <c r="BD223" s="425">
        <f>SUM(AZ223,BA223,BB223,BC223)</f>
        <v>0</v>
      </c>
      <c r="BE223" s="256">
        <v>0</v>
      </c>
      <c r="BF223" s="256">
        <v>0</v>
      </c>
      <c r="BG223" s="256">
        <v>0</v>
      </c>
      <c r="BH223" s="256">
        <v>0</v>
      </c>
      <c r="BI223" s="425">
        <f>SUM(BE223,BF223,BG223,BH223)</f>
        <v>0</v>
      </c>
      <c r="BJ223" s="1126">
        <v>0</v>
      </c>
      <c r="BK223" s="256">
        <v>0</v>
      </c>
      <c r="BL223" s="256">
        <v>0</v>
      </c>
      <c r="BM223" s="256">
        <v>0</v>
      </c>
      <c r="BN223" s="425">
        <f>SUM(BJ223,BK223,BL223,BM223)</f>
        <v>0</v>
      </c>
      <c r="BO223" s="256">
        <v>0</v>
      </c>
      <c r="BP223" s="256">
        <v>0</v>
      </c>
      <c r="BQ223" s="256">
        <v>0</v>
      </c>
      <c r="BR223" s="256">
        <v>0</v>
      </c>
      <c r="BS223" s="425">
        <f>SUM(BO223,BP223,BQ223,BR223)</f>
        <v>0</v>
      </c>
      <c r="BT223" s="427">
        <v>0</v>
      </c>
      <c r="BU223" s="427">
        <v>0</v>
      </c>
      <c r="BV223" s="427">
        <v>0</v>
      </c>
      <c r="BW223" s="223"/>
    </row>
    <row r="224" spans="1:75" s="224" customFormat="1" hidden="1" outlineLevel="2" x14ac:dyDescent="0.5">
      <c r="A224" s="218" t="s">
        <v>1796</v>
      </c>
      <c r="B224" s="494"/>
      <c r="C224" s="427">
        <f>-6+0-2-2</f>
        <v>-10</v>
      </c>
      <c r="D224" s="427">
        <f>0+0+0-2</f>
        <v>-2</v>
      </c>
      <c r="E224" s="427">
        <f>-1+0-3+0</f>
        <v>-4</v>
      </c>
      <c r="F224" s="427">
        <f>-1+0+0-1</f>
        <v>-2</v>
      </c>
      <c r="G224" s="256">
        <v>-1</v>
      </c>
      <c r="H224" s="256">
        <v>0</v>
      </c>
      <c r="I224" s="256">
        <v>-2</v>
      </c>
      <c r="J224" s="256">
        <v>-5</v>
      </c>
      <c r="K224" s="425">
        <f>SUM(G224,H224,I224,J224)</f>
        <v>-8</v>
      </c>
      <c r="L224" s="256">
        <v>-1</v>
      </c>
      <c r="M224" s="256">
        <v>-1</v>
      </c>
      <c r="N224" s="256">
        <v>-1</v>
      </c>
      <c r="O224" s="256">
        <v>-3</v>
      </c>
      <c r="P224" s="425">
        <f>SUM(L224,M224,N224,O224)</f>
        <v>-6</v>
      </c>
      <c r="Q224" s="256">
        <v>0</v>
      </c>
      <c r="R224" s="256">
        <v>-1</v>
      </c>
      <c r="S224" s="256">
        <v>0</v>
      </c>
      <c r="T224" s="256">
        <v>-1</v>
      </c>
      <c r="U224" s="425">
        <f>SUM(Q224,R224,S224,T224)</f>
        <v>-2</v>
      </c>
      <c r="V224" s="256">
        <v>-1</v>
      </c>
      <c r="W224" s="256">
        <v>-1</v>
      </c>
      <c r="X224" s="256">
        <v>0</v>
      </c>
      <c r="Y224" s="256">
        <v>-1</v>
      </c>
      <c r="Z224" s="425">
        <f>SUM(V224,W224,X224,Y224)</f>
        <v>-3</v>
      </c>
      <c r="AA224" s="256">
        <v>0</v>
      </c>
      <c r="AB224" s="256">
        <v>-1</v>
      </c>
      <c r="AC224" s="256">
        <v>0</v>
      </c>
      <c r="AD224" s="256">
        <v>-2</v>
      </c>
      <c r="AE224" s="425">
        <f>SUM(AA224,AB224,AC224,AD224)</f>
        <v>-3</v>
      </c>
      <c r="AF224" s="256">
        <v>-2</v>
      </c>
      <c r="AG224" s="256">
        <v>0</v>
      </c>
      <c r="AH224" s="256">
        <v>-2</v>
      </c>
      <c r="AI224" s="256">
        <v>-4</v>
      </c>
      <c r="AJ224" s="425">
        <f>SUM(AF224,AG224,AH224,AI224)</f>
        <v>-8</v>
      </c>
      <c r="AK224" s="256">
        <v>0</v>
      </c>
      <c r="AL224" s="256">
        <v>0</v>
      </c>
      <c r="AM224" s="256">
        <v>0</v>
      </c>
      <c r="AN224" s="256">
        <v>-6</v>
      </c>
      <c r="AO224" s="425">
        <f>SUM(AK224,AL224,AM224,AN224)</f>
        <v>-6</v>
      </c>
      <c r="AP224" s="256">
        <v>0</v>
      </c>
      <c r="AQ224" s="256">
        <v>-2</v>
      </c>
      <c r="AR224" s="256">
        <v>-1</v>
      </c>
      <c r="AS224" s="256">
        <v>-14</v>
      </c>
      <c r="AT224" s="425">
        <f>SUM(AP224,AQ224,AR224,AS224)</f>
        <v>-17</v>
      </c>
      <c r="AU224" s="256">
        <v>0</v>
      </c>
      <c r="AV224" s="256">
        <v>0</v>
      </c>
      <c r="AW224" s="256">
        <v>0</v>
      </c>
      <c r="AX224" s="256">
        <v>-5</v>
      </c>
      <c r="AY224" s="425">
        <f>SUM(AU224,AV224,AW224,AX224)</f>
        <v>-5</v>
      </c>
      <c r="AZ224" s="256">
        <v>0</v>
      </c>
      <c r="BA224" s="256">
        <v>0</v>
      </c>
      <c r="BB224" s="256">
        <v>0</v>
      </c>
      <c r="BC224" s="256">
        <v>-6</v>
      </c>
      <c r="BD224" s="425">
        <f>SUM(AZ224,BA224,BB224,BC224)</f>
        <v>-6</v>
      </c>
      <c r="BE224" s="256">
        <v>0</v>
      </c>
      <c r="BF224" s="256">
        <v>0</v>
      </c>
      <c r="BG224" s="356">
        <v>0</v>
      </c>
      <c r="BH224" s="256">
        <v>0</v>
      </c>
      <c r="BI224" s="425">
        <f>SUM(BE224,BF224,BG224,BH224)</f>
        <v>0</v>
      </c>
      <c r="BJ224" s="1126">
        <v>-1</v>
      </c>
      <c r="BK224" s="256">
        <v>0</v>
      </c>
      <c r="BL224" s="256">
        <v>0</v>
      </c>
      <c r="BM224" s="256">
        <v>0</v>
      </c>
      <c r="BN224" s="425">
        <f>SUM(BJ224,BK224,BL224,BM224)</f>
        <v>-1</v>
      </c>
      <c r="BO224" s="256">
        <v>0</v>
      </c>
      <c r="BP224" s="256">
        <v>0</v>
      </c>
      <c r="BQ224" s="256">
        <v>0</v>
      </c>
      <c r="BR224" s="256">
        <v>0</v>
      </c>
      <c r="BS224" s="425">
        <f>SUM(BO224,BP224,BQ224,BR224)</f>
        <v>0</v>
      </c>
      <c r="BT224" s="427">
        <v>0</v>
      </c>
      <c r="BU224" s="427">
        <v>0</v>
      </c>
      <c r="BV224" s="427">
        <v>0</v>
      </c>
      <c r="BW224" s="223"/>
    </row>
    <row r="225" spans="1:75" s="169" customFormat="1" ht="14.25" hidden="1" outlineLevel="2" x14ac:dyDescent="0.45">
      <c r="A225" s="360" t="s">
        <v>1797</v>
      </c>
      <c r="B225" s="1127"/>
      <c r="C225" s="1128">
        <f t="shared" ref="C225:J225" si="551">SUM(C222:C224)</f>
        <v>87</v>
      </c>
      <c r="D225" s="1128">
        <f t="shared" si="551"/>
        <v>85</v>
      </c>
      <c r="E225" s="1128">
        <f t="shared" si="551"/>
        <v>83</v>
      </c>
      <c r="F225" s="1128">
        <f t="shared" si="551"/>
        <v>84</v>
      </c>
      <c r="G225" s="287">
        <f t="shared" si="551"/>
        <v>85</v>
      </c>
      <c r="H225" s="287">
        <f t="shared" si="551"/>
        <v>86</v>
      </c>
      <c r="I225" s="287">
        <f t="shared" si="551"/>
        <v>84</v>
      </c>
      <c r="J225" s="287">
        <f t="shared" si="551"/>
        <v>81</v>
      </c>
      <c r="K225" s="1128">
        <f>J225</f>
        <v>81</v>
      </c>
      <c r="L225" s="287">
        <f>SUM(L222:L224)</f>
        <v>84</v>
      </c>
      <c r="M225" s="287">
        <f>SUM(M222:M224)</f>
        <v>84</v>
      </c>
      <c r="N225" s="287">
        <f>SUM(N222:N224)</f>
        <v>85</v>
      </c>
      <c r="O225" s="287">
        <f>SUM(O222:O224)</f>
        <v>85</v>
      </c>
      <c r="P225" s="1128">
        <f>O225</f>
        <v>85</v>
      </c>
      <c r="Q225" s="287">
        <f>SUM(Q222:Q224)</f>
        <v>87</v>
      </c>
      <c r="R225" s="287">
        <f>SUM(R222:R224)</f>
        <v>89</v>
      </c>
      <c r="S225" s="287">
        <f>SUM(S222:S224)</f>
        <v>90</v>
      </c>
      <c r="T225" s="287">
        <f>SUM(T222:T224)</f>
        <v>89</v>
      </c>
      <c r="U225" s="1128">
        <f>T225</f>
        <v>89</v>
      </c>
      <c r="V225" s="287">
        <f>SUM(V222:V224)</f>
        <v>90</v>
      </c>
      <c r="W225" s="287">
        <f>SUM(W222:W224)</f>
        <v>89</v>
      </c>
      <c r="X225" s="287">
        <f>SUM(X222:X224)</f>
        <v>89</v>
      </c>
      <c r="Y225" s="287">
        <f>SUM(Y222:Y224)</f>
        <v>89</v>
      </c>
      <c r="Z225" s="1128">
        <f>Y225</f>
        <v>89</v>
      </c>
      <c r="AA225" s="287">
        <f>SUM(AA222:AA224)</f>
        <v>89</v>
      </c>
      <c r="AB225" s="287">
        <f>SUM(AB222:AB224)</f>
        <v>88</v>
      </c>
      <c r="AC225" s="287">
        <f>SUM(AC222:AC224)</f>
        <v>88</v>
      </c>
      <c r="AD225" s="287">
        <f>SUM(AD222:AD224)</f>
        <v>86</v>
      </c>
      <c r="AE225" s="1128">
        <f>AD225</f>
        <v>86</v>
      </c>
      <c r="AF225" s="287">
        <f>SUM(AF222:AF224)</f>
        <v>84</v>
      </c>
      <c r="AG225" s="287">
        <f>SUM(AG222:AG224)</f>
        <v>84</v>
      </c>
      <c r="AH225" s="287">
        <f>SUM(AH222:AH224)</f>
        <v>82</v>
      </c>
      <c r="AI225" s="287">
        <f>SUM(AI222:AI224)</f>
        <v>78</v>
      </c>
      <c r="AJ225" s="1128">
        <f>AI225</f>
        <v>78</v>
      </c>
      <c r="AK225" s="287">
        <f>SUM(AK222:AK224)</f>
        <v>78</v>
      </c>
      <c r="AL225" s="287">
        <f>SUM(AL222:AL224)</f>
        <v>78</v>
      </c>
      <c r="AM225" s="287">
        <f>SUM(AM222:AM224)</f>
        <v>79</v>
      </c>
      <c r="AN225" s="287">
        <f>SUM(AN222:AN224)</f>
        <v>74</v>
      </c>
      <c r="AO225" s="1128">
        <f>AN225</f>
        <v>74</v>
      </c>
      <c r="AP225" s="287">
        <f t="shared" ref="AP225:AQ225" si="552">SUM(AP222:AP224)</f>
        <v>74</v>
      </c>
      <c r="AQ225" s="287">
        <f t="shared" si="552"/>
        <v>72</v>
      </c>
      <c r="AR225" s="287">
        <f>SUM(AR222:AR224)</f>
        <v>71</v>
      </c>
      <c r="AS225" s="287">
        <f>SUM(AS222:AS224)</f>
        <v>57</v>
      </c>
      <c r="AT225" s="1128">
        <f>AS225</f>
        <v>57</v>
      </c>
      <c r="AU225" s="287">
        <f>SUM(AU222:AU224)</f>
        <v>57</v>
      </c>
      <c r="AV225" s="287">
        <f>SUM(AV222:AV224)</f>
        <v>57</v>
      </c>
      <c r="AW225" s="287">
        <f>SUM(AW222:AW224)</f>
        <v>57</v>
      </c>
      <c r="AX225" s="287">
        <f>SUM(AX222:AX224)</f>
        <v>52</v>
      </c>
      <c r="AY225" s="1128">
        <f>AX225</f>
        <v>52</v>
      </c>
      <c r="AZ225" s="287">
        <f>SUM(AZ222:AZ224)</f>
        <v>52</v>
      </c>
      <c r="BA225" s="287">
        <f>SUM(BA222:BA224)</f>
        <v>52</v>
      </c>
      <c r="BB225" s="287">
        <f t="shared" ref="BB225" si="553">SUM(BB222:BB224)</f>
        <v>52</v>
      </c>
      <c r="BC225" s="287">
        <f>SUM(BC222:BC224)</f>
        <v>46</v>
      </c>
      <c r="BD225" s="1128">
        <f>BC225</f>
        <v>46</v>
      </c>
      <c r="BE225" s="287">
        <f>SUM(BE222:BE224)</f>
        <v>46</v>
      </c>
      <c r="BF225" s="287">
        <f>SUM(BF222:BF224)</f>
        <v>46</v>
      </c>
      <c r="BG225" s="247">
        <f>SUM(BG222:BG224)</f>
        <v>46</v>
      </c>
      <c r="BH225" s="287">
        <f>SUM(BH222:BH224)</f>
        <v>46</v>
      </c>
      <c r="BI225" s="1128">
        <f>BH225</f>
        <v>46</v>
      </c>
      <c r="BJ225" s="1129">
        <f>SUM(BJ222:BJ224)</f>
        <v>45</v>
      </c>
      <c r="BK225" s="287">
        <f t="shared" ref="BK225:BV225" si="554">SUM(BK222:BK224)</f>
        <v>45</v>
      </c>
      <c r="BL225" s="287">
        <f t="shared" si="554"/>
        <v>45</v>
      </c>
      <c r="BM225" s="287">
        <f t="shared" si="554"/>
        <v>45</v>
      </c>
      <c r="BN225" s="1128">
        <f t="shared" si="554"/>
        <v>45</v>
      </c>
      <c r="BO225" s="287">
        <f t="shared" si="554"/>
        <v>45</v>
      </c>
      <c r="BP225" s="287">
        <f t="shared" si="554"/>
        <v>45</v>
      </c>
      <c r="BQ225" s="287">
        <f t="shared" si="554"/>
        <v>45</v>
      </c>
      <c r="BR225" s="287">
        <f t="shared" si="554"/>
        <v>45</v>
      </c>
      <c r="BS225" s="1128">
        <f t="shared" si="554"/>
        <v>45</v>
      </c>
      <c r="BT225" s="1128">
        <f t="shared" si="554"/>
        <v>45</v>
      </c>
      <c r="BU225" s="1128">
        <f t="shared" si="554"/>
        <v>45</v>
      </c>
      <c r="BV225" s="1128">
        <f t="shared" si="554"/>
        <v>45</v>
      </c>
      <c r="BW225" s="168"/>
    </row>
    <row r="226" spans="1:75" s="177" customFormat="1" ht="14.25" hidden="1" outlineLevel="2" x14ac:dyDescent="0.45">
      <c r="A226" s="170" t="s">
        <v>1798</v>
      </c>
      <c r="B226" s="491"/>
      <c r="C226" s="417"/>
      <c r="D226" s="417"/>
      <c r="E226" s="417"/>
      <c r="F226" s="417"/>
      <c r="G226" s="378"/>
      <c r="H226" s="378">
        <f t="shared" ref="H226:J226" si="555">H225/G225-1</f>
        <v>1.1764705882352899E-2</v>
      </c>
      <c r="I226" s="378">
        <f t="shared" si="555"/>
        <v>-2.3255813953488413E-2</v>
      </c>
      <c r="J226" s="378">
        <f t="shared" si="555"/>
        <v>-3.5714285714285698E-2</v>
      </c>
      <c r="K226" s="417"/>
      <c r="L226" s="378">
        <f>L225/J225-1</f>
        <v>3.7037037037036979E-2</v>
      </c>
      <c r="M226" s="378">
        <f t="shared" ref="M226:O226" si="556">M225/L225-1</f>
        <v>0</v>
      </c>
      <c r="N226" s="378">
        <f t="shared" si="556"/>
        <v>1.1904761904761862E-2</v>
      </c>
      <c r="O226" s="378">
        <f t="shared" si="556"/>
        <v>0</v>
      </c>
      <c r="P226" s="417"/>
      <c r="Q226" s="378">
        <f>Q225/O225-1</f>
        <v>2.3529411764705799E-2</v>
      </c>
      <c r="R226" s="378">
        <f t="shared" ref="R226:T226" si="557">R225/Q225-1</f>
        <v>2.2988505747126409E-2</v>
      </c>
      <c r="S226" s="378">
        <f t="shared" si="557"/>
        <v>1.1235955056179803E-2</v>
      </c>
      <c r="T226" s="378">
        <f t="shared" si="557"/>
        <v>-1.1111111111111072E-2</v>
      </c>
      <c r="U226" s="417"/>
      <c r="V226" s="378">
        <f>V225/T225-1</f>
        <v>1.1235955056179803E-2</v>
      </c>
      <c r="W226" s="378">
        <f t="shared" ref="W226:Y226" si="558">W225/V225-1</f>
        <v>-1.1111111111111072E-2</v>
      </c>
      <c r="X226" s="378">
        <f t="shared" si="558"/>
        <v>0</v>
      </c>
      <c r="Y226" s="378">
        <f t="shared" si="558"/>
        <v>0</v>
      </c>
      <c r="Z226" s="417"/>
      <c r="AA226" s="378">
        <f>AA225/Y225-1</f>
        <v>0</v>
      </c>
      <c r="AB226" s="378">
        <f t="shared" ref="AB226:AD226" si="559">AB225/AA225-1</f>
        <v>-1.1235955056179803E-2</v>
      </c>
      <c r="AC226" s="378">
        <f t="shared" si="559"/>
        <v>0</v>
      </c>
      <c r="AD226" s="378">
        <f t="shared" si="559"/>
        <v>-2.2727272727272707E-2</v>
      </c>
      <c r="AE226" s="417"/>
      <c r="AF226" s="378">
        <f>AF225/AD225-1</f>
        <v>-2.3255813953488413E-2</v>
      </c>
      <c r="AG226" s="378">
        <f t="shared" ref="AG226:AI226" si="560">AG225/AF225-1</f>
        <v>0</v>
      </c>
      <c r="AH226" s="378">
        <f t="shared" si="560"/>
        <v>-2.3809523809523836E-2</v>
      </c>
      <c r="AI226" s="378">
        <f t="shared" si="560"/>
        <v>-4.8780487804878092E-2</v>
      </c>
      <c r="AJ226" s="417"/>
      <c r="AK226" s="378">
        <f>AK225/AI225-1</f>
        <v>0</v>
      </c>
      <c r="AL226" s="378">
        <f t="shared" ref="AL226:AN226" si="561">AL225/AK225-1</f>
        <v>0</v>
      </c>
      <c r="AM226" s="378">
        <f t="shared" si="561"/>
        <v>1.2820512820512775E-2</v>
      </c>
      <c r="AN226" s="378">
        <f t="shared" si="561"/>
        <v>-6.3291139240506333E-2</v>
      </c>
      <c r="AO226" s="417"/>
      <c r="AP226" s="378">
        <f>AP225/AN225-1</f>
        <v>0</v>
      </c>
      <c r="AQ226" s="378">
        <f t="shared" ref="AQ226:AS226" si="562">AQ225/AP225-1</f>
        <v>-2.7027027027026973E-2</v>
      </c>
      <c r="AR226" s="378">
        <f t="shared" si="562"/>
        <v>-1.388888888888884E-2</v>
      </c>
      <c r="AS226" s="378">
        <f t="shared" si="562"/>
        <v>-0.19718309859154926</v>
      </c>
      <c r="AT226" s="417"/>
      <c r="AU226" s="378">
        <f>AU225/AS225-1</f>
        <v>0</v>
      </c>
      <c r="AV226" s="378">
        <f t="shared" ref="AV226:AX226" si="563">AV225/AU225-1</f>
        <v>0</v>
      </c>
      <c r="AW226" s="378">
        <f t="shared" si="563"/>
        <v>0</v>
      </c>
      <c r="AX226" s="378">
        <f t="shared" si="563"/>
        <v>-8.7719298245614086E-2</v>
      </c>
      <c r="AY226" s="417"/>
      <c r="AZ226" s="378">
        <f>AZ225/AX225-1</f>
        <v>0</v>
      </c>
      <c r="BA226" s="378">
        <f t="shared" ref="BA226:BB226" si="564">BA225/AZ225-1</f>
        <v>0</v>
      </c>
      <c r="BB226" s="378">
        <f t="shared" si="564"/>
        <v>0</v>
      </c>
      <c r="BC226" s="378">
        <f>BC225/BB225-1</f>
        <v>-0.11538461538461542</v>
      </c>
      <c r="BD226" s="417"/>
      <c r="BE226" s="378">
        <f>BE225/BC225-1</f>
        <v>0</v>
      </c>
      <c r="BF226" s="378">
        <f>BF225/BE225-1</f>
        <v>0</v>
      </c>
      <c r="BG226" s="378">
        <f>BG225/BF225-1</f>
        <v>0</v>
      </c>
      <c r="BH226" s="378">
        <f>BH225/BG225-1</f>
        <v>0</v>
      </c>
      <c r="BI226" s="417"/>
      <c r="BJ226" s="1130">
        <f>BJ225/BH225-1</f>
        <v>-2.1739130434782594E-2</v>
      </c>
      <c r="BK226" s="378">
        <f>BK225/BJ225-1</f>
        <v>0</v>
      </c>
      <c r="BL226" s="378">
        <f>BL225/BK225-1</f>
        <v>0</v>
      </c>
      <c r="BM226" s="378">
        <f>BM225/BL225-1</f>
        <v>0</v>
      </c>
      <c r="BN226" s="417"/>
      <c r="BO226" s="378">
        <f>BO225/BM225-1</f>
        <v>0</v>
      </c>
      <c r="BP226" s="378">
        <f>BP225/BO225-1</f>
        <v>0</v>
      </c>
      <c r="BQ226" s="378">
        <f>BQ225/BP225-1</f>
        <v>0</v>
      </c>
      <c r="BR226" s="378">
        <f>BR225/BQ225-1</f>
        <v>0</v>
      </c>
      <c r="BS226" s="417"/>
      <c r="BT226" s="417"/>
      <c r="BU226" s="417"/>
      <c r="BV226" s="417"/>
      <c r="BW226" s="176"/>
    </row>
    <row r="227" spans="1:75" s="177" customFormat="1" ht="14.25" hidden="1" outlineLevel="2" x14ac:dyDescent="0.45">
      <c r="A227" s="170" t="s">
        <v>1799</v>
      </c>
      <c r="B227" s="491"/>
      <c r="C227" s="417"/>
      <c r="D227" s="417">
        <f t="shared" ref="D227:E227" si="565">D225/C225-1</f>
        <v>-2.2988505747126409E-2</v>
      </c>
      <c r="E227" s="417">
        <f t="shared" si="565"/>
        <v>-2.352941176470591E-2</v>
      </c>
      <c r="F227" s="417">
        <f>F225/E225-1</f>
        <v>1.2048192771084265E-2</v>
      </c>
      <c r="G227" s="378"/>
      <c r="H227" s="378"/>
      <c r="I227" s="378"/>
      <c r="J227" s="378"/>
      <c r="K227" s="417">
        <f t="shared" ref="K227:BS227" si="566">K225/F225-1</f>
        <v>-3.5714285714285698E-2</v>
      </c>
      <c r="L227" s="378">
        <f t="shared" si="566"/>
        <v>-1.1764705882352899E-2</v>
      </c>
      <c r="M227" s="378">
        <f t="shared" si="566"/>
        <v>-2.3255813953488413E-2</v>
      </c>
      <c r="N227" s="378">
        <f t="shared" si="566"/>
        <v>1.1904761904761862E-2</v>
      </c>
      <c r="O227" s="378">
        <f t="shared" si="566"/>
        <v>4.9382716049382713E-2</v>
      </c>
      <c r="P227" s="417">
        <f t="shared" si="566"/>
        <v>4.9382716049382713E-2</v>
      </c>
      <c r="Q227" s="378">
        <f t="shared" si="566"/>
        <v>3.5714285714285809E-2</v>
      </c>
      <c r="R227" s="378">
        <f t="shared" si="566"/>
        <v>5.9523809523809534E-2</v>
      </c>
      <c r="S227" s="378">
        <f t="shared" si="566"/>
        <v>5.8823529411764719E-2</v>
      </c>
      <c r="T227" s="378">
        <f t="shared" si="566"/>
        <v>4.705882352941182E-2</v>
      </c>
      <c r="U227" s="417">
        <f t="shared" si="566"/>
        <v>4.705882352941182E-2</v>
      </c>
      <c r="V227" s="378">
        <f t="shared" si="566"/>
        <v>3.4482758620689724E-2</v>
      </c>
      <c r="W227" s="378">
        <f t="shared" si="566"/>
        <v>0</v>
      </c>
      <c r="X227" s="378">
        <f t="shared" si="566"/>
        <v>-1.1111111111111072E-2</v>
      </c>
      <c r="Y227" s="378">
        <f t="shared" si="566"/>
        <v>0</v>
      </c>
      <c r="Z227" s="417">
        <f t="shared" si="566"/>
        <v>0</v>
      </c>
      <c r="AA227" s="378">
        <f t="shared" si="566"/>
        <v>-1.1111111111111072E-2</v>
      </c>
      <c r="AB227" s="378">
        <f t="shared" si="566"/>
        <v>-1.1235955056179803E-2</v>
      </c>
      <c r="AC227" s="378">
        <f t="shared" si="566"/>
        <v>-1.1235955056179803E-2</v>
      </c>
      <c r="AD227" s="378">
        <f t="shared" si="566"/>
        <v>-3.3707865168539297E-2</v>
      </c>
      <c r="AE227" s="417">
        <f t="shared" si="566"/>
        <v>-3.3707865168539297E-2</v>
      </c>
      <c r="AF227" s="378">
        <f t="shared" si="566"/>
        <v>-5.6179775280898903E-2</v>
      </c>
      <c r="AG227" s="378">
        <f t="shared" si="566"/>
        <v>-4.5454545454545414E-2</v>
      </c>
      <c r="AH227" s="378">
        <f t="shared" si="566"/>
        <v>-6.8181818181818232E-2</v>
      </c>
      <c r="AI227" s="378">
        <f t="shared" si="566"/>
        <v>-9.3023255813953543E-2</v>
      </c>
      <c r="AJ227" s="417">
        <f t="shared" si="566"/>
        <v>-9.3023255813953543E-2</v>
      </c>
      <c r="AK227" s="378">
        <f t="shared" si="566"/>
        <v>-7.1428571428571397E-2</v>
      </c>
      <c r="AL227" s="378">
        <f t="shared" si="566"/>
        <v>-7.1428571428571397E-2</v>
      </c>
      <c r="AM227" s="378">
        <f t="shared" si="566"/>
        <v>-3.6585365853658569E-2</v>
      </c>
      <c r="AN227" s="378">
        <f t="shared" si="566"/>
        <v>-5.1282051282051322E-2</v>
      </c>
      <c r="AO227" s="417">
        <f t="shared" si="566"/>
        <v>-5.1282051282051322E-2</v>
      </c>
      <c r="AP227" s="378">
        <f t="shared" si="566"/>
        <v>-5.1282051282051322E-2</v>
      </c>
      <c r="AQ227" s="378">
        <f t="shared" si="566"/>
        <v>-7.6923076923076872E-2</v>
      </c>
      <c r="AR227" s="378">
        <f t="shared" si="566"/>
        <v>-0.10126582278481011</v>
      </c>
      <c r="AS227" s="378">
        <f t="shared" si="566"/>
        <v>-0.22972972972972971</v>
      </c>
      <c r="AT227" s="417">
        <f t="shared" si="566"/>
        <v>-0.22972972972972971</v>
      </c>
      <c r="AU227" s="378">
        <f t="shared" si="566"/>
        <v>-0.22972972972972971</v>
      </c>
      <c r="AV227" s="378">
        <f t="shared" si="566"/>
        <v>-0.20833333333333337</v>
      </c>
      <c r="AW227" s="378">
        <f t="shared" si="566"/>
        <v>-0.19718309859154926</v>
      </c>
      <c r="AX227" s="378">
        <f t="shared" si="566"/>
        <v>-8.7719298245614086E-2</v>
      </c>
      <c r="AY227" s="417">
        <f t="shared" si="566"/>
        <v>-8.7719298245614086E-2</v>
      </c>
      <c r="AZ227" s="378">
        <f t="shared" si="566"/>
        <v>-8.7719298245614086E-2</v>
      </c>
      <c r="BA227" s="378">
        <f t="shared" si="566"/>
        <v>-8.7719298245614086E-2</v>
      </c>
      <c r="BB227" s="378">
        <f t="shared" si="566"/>
        <v>-8.7719298245614086E-2</v>
      </c>
      <c r="BC227" s="378">
        <f t="shared" si="566"/>
        <v>-0.11538461538461542</v>
      </c>
      <c r="BD227" s="417">
        <f t="shared" si="566"/>
        <v>-0.11538461538461542</v>
      </c>
      <c r="BE227" s="378">
        <f t="shared" si="566"/>
        <v>-0.11538461538461542</v>
      </c>
      <c r="BF227" s="378">
        <f t="shared" si="566"/>
        <v>-0.11538461538461542</v>
      </c>
      <c r="BG227" s="378">
        <f t="shared" si="566"/>
        <v>-0.11538461538461542</v>
      </c>
      <c r="BH227" s="378">
        <f t="shared" si="566"/>
        <v>0</v>
      </c>
      <c r="BI227" s="417">
        <f t="shared" si="566"/>
        <v>0</v>
      </c>
      <c r="BJ227" s="1130">
        <f>BJ225/BE225-1</f>
        <v>-2.1739130434782594E-2</v>
      </c>
      <c r="BK227" s="378">
        <f t="shared" si="566"/>
        <v>-2.1739130434782594E-2</v>
      </c>
      <c r="BL227" s="378">
        <f t="shared" si="566"/>
        <v>-2.1739130434782594E-2</v>
      </c>
      <c r="BM227" s="378">
        <f t="shared" si="566"/>
        <v>-2.1739130434782594E-2</v>
      </c>
      <c r="BN227" s="417">
        <f t="shared" si="566"/>
        <v>-2.1739130434782594E-2</v>
      </c>
      <c r="BO227" s="378">
        <f t="shared" si="566"/>
        <v>0</v>
      </c>
      <c r="BP227" s="378">
        <f t="shared" si="566"/>
        <v>0</v>
      </c>
      <c r="BQ227" s="378">
        <f t="shared" si="566"/>
        <v>0</v>
      </c>
      <c r="BR227" s="378">
        <f t="shared" si="566"/>
        <v>0</v>
      </c>
      <c r="BS227" s="417">
        <f t="shared" si="566"/>
        <v>0</v>
      </c>
      <c r="BT227" s="417">
        <f>BT225/BS225-1</f>
        <v>0</v>
      </c>
      <c r="BU227" s="417">
        <f>BU225/BT225-1</f>
        <v>0</v>
      </c>
      <c r="BV227" s="417">
        <f>BV225/BU225-1</f>
        <v>0</v>
      </c>
      <c r="BW227" s="176"/>
    </row>
    <row r="228" spans="1:75" s="169" customFormat="1" ht="14.25" hidden="1" outlineLevel="2" x14ac:dyDescent="0.45">
      <c r="A228" s="163" t="s">
        <v>1800</v>
      </c>
      <c r="B228" s="1121"/>
      <c r="C228" s="840">
        <f t="shared" ref="C228:J228" si="567">AVERAGE(C225,C222)</f>
        <v>91</v>
      </c>
      <c r="D228" s="840">
        <f t="shared" si="567"/>
        <v>86</v>
      </c>
      <c r="E228" s="840">
        <f t="shared" si="567"/>
        <v>84</v>
      </c>
      <c r="F228" s="840">
        <f t="shared" si="567"/>
        <v>83.5</v>
      </c>
      <c r="G228" s="247">
        <f t="shared" si="567"/>
        <v>84.5</v>
      </c>
      <c r="H228" s="247">
        <f t="shared" si="567"/>
        <v>85.5</v>
      </c>
      <c r="I228" s="247">
        <f t="shared" si="567"/>
        <v>85</v>
      </c>
      <c r="J228" s="247">
        <f t="shared" si="567"/>
        <v>82.5</v>
      </c>
      <c r="K228" s="840">
        <f>SUM(G228*G$3,H228*H$3,I228*I$3,J228*J$3)/K$3</f>
        <v>84.375</v>
      </c>
      <c r="L228" s="247">
        <f>AVERAGE(L225,L222)</f>
        <v>82.5</v>
      </c>
      <c r="M228" s="247">
        <f>AVERAGE(M225,M222)</f>
        <v>84</v>
      </c>
      <c r="N228" s="247">
        <f>AVERAGE(N225,N222)</f>
        <v>84.5</v>
      </c>
      <c r="O228" s="247">
        <f>AVERAGE(O225,O222)</f>
        <v>85</v>
      </c>
      <c r="P228" s="840">
        <f>SUM(L228*L$3,M228*M$3,N228*N$3,O228*O$3)/P$3</f>
        <v>84</v>
      </c>
      <c r="Q228" s="247">
        <f>AVERAGE(Q225,Q222)</f>
        <v>86</v>
      </c>
      <c r="R228" s="247">
        <f>AVERAGE(R225,R222)</f>
        <v>88</v>
      </c>
      <c r="S228" s="247">
        <f>AVERAGE(S225,S222)</f>
        <v>89.5</v>
      </c>
      <c r="T228" s="247">
        <f>AVERAGE(T225,T222)</f>
        <v>89.5</v>
      </c>
      <c r="U228" s="840">
        <f>SUM(Q228*Q$3,R228*R$3,S228*S$3,T228*T$3)/U$3</f>
        <v>88.25</v>
      </c>
      <c r="V228" s="247">
        <f>AVERAGE(V225,V222)</f>
        <v>89.5</v>
      </c>
      <c r="W228" s="247">
        <f>AVERAGE(W225,W222)</f>
        <v>89.5</v>
      </c>
      <c r="X228" s="247">
        <f>AVERAGE(X225,X222)</f>
        <v>89</v>
      </c>
      <c r="Y228" s="247">
        <f>AVERAGE(Y225,Y222)</f>
        <v>89</v>
      </c>
      <c r="Z228" s="840">
        <f>SUM(V228*V$3,W228*W$3,X228*X$3,Y228*Y$3)/Z$3</f>
        <v>89.25</v>
      </c>
      <c r="AA228" s="247">
        <f>AVERAGE(AA225,AA222)</f>
        <v>89</v>
      </c>
      <c r="AB228" s="247">
        <f>AVERAGE(AB225,AB222)</f>
        <v>88.5</v>
      </c>
      <c r="AC228" s="247">
        <f>AVERAGE(AC225,AC222)</f>
        <v>88</v>
      </c>
      <c r="AD228" s="247">
        <f>AVERAGE(AD225,AD222)</f>
        <v>87</v>
      </c>
      <c r="AE228" s="840">
        <f>SUM(AA228*AA$3,AB228*AB$3,AC228*AC$3,AD228*AD$3)/AE$3</f>
        <v>88.125</v>
      </c>
      <c r="AF228" s="247">
        <f>AVERAGE(AF225,AF222)</f>
        <v>85</v>
      </c>
      <c r="AG228" s="247">
        <f>AVERAGE(AG225,AG222)</f>
        <v>84</v>
      </c>
      <c r="AH228" s="247">
        <f>AVERAGE(AH225,AH222)</f>
        <v>83</v>
      </c>
      <c r="AI228" s="247">
        <f>AVERAGE(AI225,AI222)</f>
        <v>80</v>
      </c>
      <c r="AJ228" s="840">
        <f>SUM(AF228*AF$3,AG228*AG$3,AH228*AH$3,AI228*AI$3)/AJ$3</f>
        <v>82.943396226415089</v>
      </c>
      <c r="AK228" s="247">
        <f>AVERAGE(AK225,AK222)</f>
        <v>78</v>
      </c>
      <c r="AL228" s="247">
        <f>AVERAGE(AL225,AL222)</f>
        <v>78</v>
      </c>
      <c r="AM228" s="247">
        <f>AVERAGE(AM225,AM222)</f>
        <v>78.5</v>
      </c>
      <c r="AN228" s="247">
        <f>AVERAGE(AN225,AN222)</f>
        <v>76.5</v>
      </c>
      <c r="AO228" s="840">
        <f>SUM(AK228*AK$3,AL228*AL$3,AM228*AM$3,AN228*AN$3)/AO$3</f>
        <v>77.75</v>
      </c>
      <c r="AP228" s="247">
        <f>AVERAGE(AP225,AP222)</f>
        <v>74</v>
      </c>
      <c r="AQ228" s="247">
        <f>AVERAGE(AQ225,AQ222)</f>
        <v>73</v>
      </c>
      <c r="AR228" s="247">
        <f>AVERAGE(AR225,AR222)</f>
        <v>71.5</v>
      </c>
      <c r="AS228" s="247">
        <f>AVERAGE(AS225,AS222)</f>
        <v>64</v>
      </c>
      <c r="AT228" s="840">
        <f>SUM(AP228*AP$3,AQ228*AQ$3,AR228*AR$3,AS228*AS$3)/AT$3</f>
        <v>70.625</v>
      </c>
      <c r="AU228" s="247">
        <f>AVERAGE(AU225,AU222)</f>
        <v>57</v>
      </c>
      <c r="AV228" s="247">
        <f>AVERAGE(AV225,AV222)</f>
        <v>57</v>
      </c>
      <c r="AW228" s="247">
        <f>AVERAGE(AW225,AW222)</f>
        <v>57</v>
      </c>
      <c r="AX228" s="247">
        <f>AVERAGE(AX225,AX222)</f>
        <v>54.5</v>
      </c>
      <c r="AY228" s="840">
        <f>SUM(AU228*AU$3,AV228*AV$3,AW228*AW$3,AX228*AX$3)/AY$3</f>
        <v>56.375</v>
      </c>
      <c r="AZ228" s="247">
        <f>AVERAGE(AZ225,AZ222)</f>
        <v>52</v>
      </c>
      <c r="BA228" s="247">
        <f>AVERAGE(BA225,BA222)</f>
        <v>52</v>
      </c>
      <c r="BB228" s="247">
        <f t="shared" ref="BB228" si="568">AVERAGE(BB225,BB222)</f>
        <v>52</v>
      </c>
      <c r="BC228" s="247">
        <f>AVERAGE(BC225,BC222)</f>
        <v>49</v>
      </c>
      <c r="BD228" s="840">
        <f>SUM(AZ228*AZ$3,BA228*BA$3,BB228*BB$3,BC228*BC$3)/BD$3</f>
        <v>51.25</v>
      </c>
      <c r="BE228" s="247">
        <f>AVERAGE(BE225,BE222)</f>
        <v>46</v>
      </c>
      <c r="BF228" s="247">
        <f>AVERAGE(BF225,BF222)</f>
        <v>46</v>
      </c>
      <c r="BG228" s="247">
        <f>AVERAGE(BG225,BG222)</f>
        <v>46</v>
      </c>
      <c r="BH228" s="247">
        <f>AVERAGE(BH225,BH222)</f>
        <v>46</v>
      </c>
      <c r="BI228" s="840">
        <f>SUM(BE228*BE$3,BF228*BF$3,BG228*BG$3,BH228*BH$3)/BI$3</f>
        <v>46</v>
      </c>
      <c r="BJ228" s="977">
        <f>AVERAGE(BJ225,BJ222)</f>
        <v>45.5</v>
      </c>
      <c r="BK228" s="247">
        <f>AVERAGE(BK225,BK222)</f>
        <v>45</v>
      </c>
      <c r="BL228" s="247">
        <f>AVERAGE(BL225,BL222)</f>
        <v>45</v>
      </c>
      <c r="BM228" s="247">
        <f>AVERAGE(BM225,BM222)</f>
        <v>45</v>
      </c>
      <c r="BN228" s="840">
        <f>SUM(BJ228*BJ$3,BK228*BK$3,BL228*BL$3,BM228*BM$3)/BN$3</f>
        <v>45.122641509433961</v>
      </c>
      <c r="BO228" s="247">
        <f>AVERAGE(BO225,BO222)</f>
        <v>45</v>
      </c>
      <c r="BP228" s="247">
        <f>AVERAGE(BP225,BP222)</f>
        <v>45</v>
      </c>
      <c r="BQ228" s="247">
        <f>AVERAGE(BQ225,BQ222)</f>
        <v>45</v>
      </c>
      <c r="BR228" s="247">
        <f>AVERAGE(BR225,BR222)</f>
        <v>45</v>
      </c>
      <c r="BS228" s="840">
        <f>SUM(BO228*BO$3,BP228*BP$3,BQ228*BQ$3,BR228*BR$3)/BS$3</f>
        <v>45</v>
      </c>
      <c r="BT228" s="840">
        <f>AVERAGE(BT225,BT222)</f>
        <v>45</v>
      </c>
      <c r="BU228" s="840">
        <f>AVERAGE(BU225,BU222)</f>
        <v>45</v>
      </c>
      <c r="BV228" s="840">
        <f>AVERAGE(BV225,BV222)</f>
        <v>45</v>
      </c>
      <c r="BW228" s="168"/>
    </row>
    <row r="229" spans="1:75" s="169" customFormat="1" ht="14.25" hidden="1" outlineLevel="2" x14ac:dyDescent="0.45">
      <c r="A229" s="163"/>
      <c r="B229" s="1121"/>
      <c r="C229" s="840"/>
      <c r="D229" s="840"/>
      <c r="E229" s="840"/>
      <c r="F229" s="840"/>
      <c r="G229" s="247"/>
      <c r="H229" s="247"/>
      <c r="I229" s="247"/>
      <c r="J229" s="247"/>
      <c r="K229" s="840"/>
      <c r="L229" s="247"/>
      <c r="M229" s="247"/>
      <c r="N229" s="247"/>
      <c r="O229" s="247"/>
      <c r="P229" s="840"/>
      <c r="Q229" s="247"/>
      <c r="R229" s="247"/>
      <c r="S229" s="247"/>
      <c r="T229" s="247"/>
      <c r="U229" s="840"/>
      <c r="V229" s="247"/>
      <c r="W229" s="247"/>
      <c r="X229" s="247"/>
      <c r="Y229" s="247"/>
      <c r="Z229" s="840"/>
      <c r="AA229" s="247"/>
      <c r="AB229" s="247"/>
      <c r="AC229" s="247"/>
      <c r="AD229" s="247"/>
      <c r="AE229" s="840"/>
      <c r="AF229" s="247"/>
      <c r="AG229" s="247"/>
      <c r="AH229" s="247"/>
      <c r="AI229" s="247"/>
      <c r="AJ229" s="840"/>
      <c r="AK229" s="247"/>
      <c r="AL229" s="247"/>
      <c r="AM229" s="247"/>
      <c r="AN229" s="247"/>
      <c r="AO229" s="840"/>
      <c r="AP229" s="247"/>
      <c r="AQ229" s="247"/>
      <c r="AR229" s="247"/>
      <c r="AS229" s="247"/>
      <c r="AT229" s="840"/>
      <c r="AU229" s="247"/>
      <c r="AV229" s="247"/>
      <c r="AW229" s="247"/>
      <c r="AX229" s="247"/>
      <c r="AY229" s="840"/>
      <c r="AZ229" s="247"/>
      <c r="BA229" s="247"/>
      <c r="BB229" s="247"/>
      <c r="BC229" s="247"/>
      <c r="BD229" s="840"/>
      <c r="BE229" s="247"/>
      <c r="BF229" s="247"/>
      <c r="BG229" s="247"/>
      <c r="BH229" s="247"/>
      <c r="BI229" s="840"/>
      <c r="BJ229" s="977"/>
      <c r="BK229" s="247"/>
      <c r="BL229" s="247"/>
      <c r="BM229" s="247"/>
      <c r="BN229" s="840"/>
      <c r="BO229" s="247"/>
      <c r="BP229" s="247"/>
      <c r="BQ229" s="247"/>
      <c r="BR229" s="247"/>
      <c r="BS229" s="840"/>
      <c r="BT229" s="840"/>
      <c r="BU229" s="840"/>
      <c r="BV229" s="840"/>
      <c r="BW229" s="168"/>
    </row>
    <row r="230" spans="1:75" s="169" customFormat="1" ht="14.25" hidden="1" outlineLevel="2" x14ac:dyDescent="0.45">
      <c r="A230" s="163" t="s">
        <v>1801</v>
      </c>
      <c r="B230" s="1121"/>
      <c r="C230" s="840">
        <f t="shared" ref="C230:BJ230" si="569">C443</f>
        <v>8100</v>
      </c>
      <c r="D230" s="840">
        <f t="shared" si="569"/>
        <v>8100</v>
      </c>
      <c r="E230" s="840">
        <f t="shared" si="569"/>
        <v>8200</v>
      </c>
      <c r="F230" s="840">
        <f t="shared" si="569"/>
        <v>8100</v>
      </c>
      <c r="G230" s="247">
        <f t="shared" si="569"/>
        <v>8100</v>
      </c>
      <c r="H230" s="247">
        <f t="shared" si="569"/>
        <v>8000</v>
      </c>
      <c r="I230" s="247">
        <f t="shared" si="569"/>
        <v>8000</v>
      </c>
      <c r="J230" s="247">
        <f t="shared" si="569"/>
        <v>7900</v>
      </c>
      <c r="K230" s="840">
        <f t="shared" si="569"/>
        <v>7900</v>
      </c>
      <c r="L230" s="247">
        <f t="shared" si="569"/>
        <v>7700</v>
      </c>
      <c r="M230" s="247">
        <f t="shared" si="569"/>
        <v>7700</v>
      </c>
      <c r="N230" s="247">
        <f t="shared" si="569"/>
        <v>7700</v>
      </c>
      <c r="O230" s="247">
        <f t="shared" si="569"/>
        <v>7600</v>
      </c>
      <c r="P230" s="840">
        <f t="shared" si="569"/>
        <v>7600</v>
      </c>
      <c r="Q230" s="247">
        <f t="shared" si="569"/>
        <v>7500</v>
      </c>
      <c r="R230" s="247">
        <f t="shared" si="569"/>
        <v>7500</v>
      </c>
      <c r="S230" s="247">
        <f t="shared" si="569"/>
        <v>7500</v>
      </c>
      <c r="T230" s="247">
        <f t="shared" si="569"/>
        <v>7500</v>
      </c>
      <c r="U230" s="840">
        <f t="shared" si="569"/>
        <v>7500</v>
      </c>
      <c r="V230" s="247">
        <f t="shared" si="569"/>
        <v>7500</v>
      </c>
      <c r="W230" s="247">
        <f t="shared" si="569"/>
        <v>7500</v>
      </c>
      <c r="X230" s="247">
        <f t="shared" si="569"/>
        <v>7500</v>
      </c>
      <c r="Y230" s="247">
        <f t="shared" si="569"/>
        <v>7400</v>
      </c>
      <c r="Z230" s="840">
        <f t="shared" si="569"/>
        <v>7400</v>
      </c>
      <c r="AA230" s="247">
        <f t="shared" si="569"/>
        <v>7400</v>
      </c>
      <c r="AB230" s="247">
        <f t="shared" si="569"/>
        <v>7400</v>
      </c>
      <c r="AC230" s="247">
        <f t="shared" si="569"/>
        <v>7400</v>
      </c>
      <c r="AD230" s="247">
        <f t="shared" si="569"/>
        <v>7400</v>
      </c>
      <c r="AE230" s="840">
        <f t="shared" si="569"/>
        <v>7400</v>
      </c>
      <c r="AF230" s="247">
        <f t="shared" si="569"/>
        <v>7400</v>
      </c>
      <c r="AG230" s="247">
        <f t="shared" si="569"/>
        <v>7400</v>
      </c>
      <c r="AH230" s="247">
        <f t="shared" si="569"/>
        <v>7500</v>
      </c>
      <c r="AI230" s="247">
        <f t="shared" si="569"/>
        <v>7500</v>
      </c>
      <c r="AJ230" s="840">
        <f t="shared" si="569"/>
        <v>7500</v>
      </c>
      <c r="AK230" s="247">
        <f t="shared" si="569"/>
        <v>7500</v>
      </c>
      <c r="AL230" s="247">
        <f t="shared" si="569"/>
        <v>7500</v>
      </c>
      <c r="AM230" s="247">
        <f t="shared" si="569"/>
        <v>7500</v>
      </c>
      <c r="AN230" s="247">
        <f t="shared" si="569"/>
        <v>7700</v>
      </c>
      <c r="AO230" s="840">
        <f t="shared" si="569"/>
        <v>7700</v>
      </c>
      <c r="AP230" s="247">
        <f t="shared" si="569"/>
        <v>7700</v>
      </c>
      <c r="AQ230" s="247">
        <f t="shared" si="569"/>
        <v>7800</v>
      </c>
      <c r="AR230" s="247">
        <f t="shared" si="569"/>
        <v>7800</v>
      </c>
      <c r="AS230" s="247">
        <f t="shared" si="569"/>
        <v>7800</v>
      </c>
      <c r="AT230" s="840">
        <f t="shared" si="569"/>
        <v>7800</v>
      </c>
      <c r="AU230" s="247">
        <f t="shared" si="569"/>
        <v>7800</v>
      </c>
      <c r="AV230" s="247">
        <f t="shared" si="569"/>
        <v>7800</v>
      </c>
      <c r="AW230" s="247">
        <f t="shared" si="569"/>
        <v>7800</v>
      </c>
      <c r="AX230" s="247">
        <f t="shared" si="569"/>
        <v>7700</v>
      </c>
      <c r="AY230" s="840">
        <f t="shared" si="569"/>
        <v>7700</v>
      </c>
      <c r="AZ230" s="247">
        <f t="shared" si="569"/>
        <v>7700</v>
      </c>
      <c r="BA230" s="247">
        <f t="shared" si="569"/>
        <v>7700</v>
      </c>
      <c r="BB230" s="247">
        <f t="shared" si="569"/>
        <v>7700</v>
      </c>
      <c r="BC230" s="247">
        <f t="shared" si="569"/>
        <v>7700</v>
      </c>
      <c r="BD230" s="840">
        <f t="shared" si="569"/>
        <v>7700</v>
      </c>
      <c r="BE230" s="247">
        <f t="shared" si="569"/>
        <v>7700</v>
      </c>
      <c r="BF230" s="247">
        <f t="shared" si="569"/>
        <v>7700</v>
      </c>
      <c r="BG230" s="247">
        <f t="shared" si="569"/>
        <v>7800</v>
      </c>
      <c r="BH230" s="247">
        <f t="shared" si="569"/>
        <v>7800</v>
      </c>
      <c r="BI230" s="840">
        <f t="shared" si="569"/>
        <v>7800</v>
      </c>
      <c r="BJ230" s="977">
        <f t="shared" si="569"/>
        <v>7900</v>
      </c>
      <c r="BK230" s="247">
        <f>BJ230*(1+BK231)</f>
        <v>7900</v>
      </c>
      <c r="BL230" s="247">
        <f>BK230*(1+BL231)</f>
        <v>7900</v>
      </c>
      <c r="BM230" s="247">
        <f>BL230*(1+BM231)</f>
        <v>7900</v>
      </c>
      <c r="BN230" s="840">
        <f>BN236/BN225*1000</f>
        <v>7900</v>
      </c>
      <c r="BO230" s="247">
        <f>BM230*(1+BO231)</f>
        <v>7900</v>
      </c>
      <c r="BP230" s="247">
        <f>BO230*(1+BP231)</f>
        <v>7900</v>
      </c>
      <c r="BQ230" s="247">
        <f>BP230*(1+BQ231)</f>
        <v>7900</v>
      </c>
      <c r="BR230" s="247">
        <f>BQ230*(1+BR231)</f>
        <v>7900</v>
      </c>
      <c r="BS230" s="840">
        <f>BS236/BS225*1000</f>
        <v>7900</v>
      </c>
      <c r="BT230" s="840">
        <f>BS230*(1+BT232)</f>
        <v>7900</v>
      </c>
      <c r="BU230" s="840">
        <f>BT230*(1+BU232)</f>
        <v>7900</v>
      </c>
      <c r="BV230" s="840">
        <f>BU230*(1+BV232)</f>
        <v>7900</v>
      </c>
      <c r="BW230" s="168"/>
    </row>
    <row r="231" spans="1:75" s="224" customFormat="1" hidden="1" outlineLevel="2" x14ac:dyDescent="0.5">
      <c r="A231" s="765" t="s">
        <v>1802</v>
      </c>
      <c r="B231" s="1180"/>
      <c r="C231" s="417"/>
      <c r="D231" s="417"/>
      <c r="E231" s="417"/>
      <c r="F231" s="417"/>
      <c r="G231" s="378"/>
      <c r="H231" s="378">
        <f>H230/G230-1</f>
        <v>-1.2345679012345734E-2</v>
      </c>
      <c r="I231" s="378">
        <f>I230/H230-1</f>
        <v>0</v>
      </c>
      <c r="J231" s="378">
        <f>J230/I230-1</f>
        <v>-1.2499999999999956E-2</v>
      </c>
      <c r="K231" s="417"/>
      <c r="L231" s="378">
        <f>L230/J230-1</f>
        <v>-2.5316455696202556E-2</v>
      </c>
      <c r="M231" s="378">
        <f>M230/L230-1</f>
        <v>0</v>
      </c>
      <c r="N231" s="378">
        <f>N230/M230-1</f>
        <v>0</v>
      </c>
      <c r="O231" s="378">
        <f>O230/N230-1</f>
        <v>-1.2987012987012991E-2</v>
      </c>
      <c r="P231" s="417"/>
      <c r="Q231" s="378">
        <f>Q230/O230-1</f>
        <v>-1.3157894736842146E-2</v>
      </c>
      <c r="R231" s="378">
        <f>R230/Q230-1</f>
        <v>0</v>
      </c>
      <c r="S231" s="378">
        <f>S230/R230-1</f>
        <v>0</v>
      </c>
      <c r="T231" s="378">
        <f>T230/S230-1</f>
        <v>0</v>
      </c>
      <c r="U231" s="417"/>
      <c r="V231" s="378">
        <f>V230/T230-1</f>
        <v>0</v>
      </c>
      <c r="W231" s="378">
        <f>W230/V230-1</f>
        <v>0</v>
      </c>
      <c r="X231" s="378">
        <f>X230/W230-1</f>
        <v>0</v>
      </c>
      <c r="Y231" s="378">
        <f>Y230/X230-1</f>
        <v>-1.3333333333333308E-2</v>
      </c>
      <c r="Z231" s="417"/>
      <c r="AA231" s="378">
        <f>AA230/Y230-1</f>
        <v>0</v>
      </c>
      <c r="AB231" s="378">
        <f>AB230/AA230-1</f>
        <v>0</v>
      </c>
      <c r="AC231" s="378">
        <f>AC230/AB230-1</f>
        <v>0</v>
      </c>
      <c r="AD231" s="378">
        <f>AD230/AC230-1</f>
        <v>0</v>
      </c>
      <c r="AE231" s="417"/>
      <c r="AF231" s="378">
        <f>AF230/AD230-1</f>
        <v>0</v>
      </c>
      <c r="AG231" s="378">
        <f>AG230/AF230-1</f>
        <v>0</v>
      </c>
      <c r="AH231" s="378">
        <f>AH230/AG230-1</f>
        <v>1.3513513513513598E-2</v>
      </c>
      <c r="AI231" s="378">
        <f>AI230/AH230-1</f>
        <v>0</v>
      </c>
      <c r="AJ231" s="417"/>
      <c r="AK231" s="378">
        <f>AK230/AI230-1</f>
        <v>0</v>
      </c>
      <c r="AL231" s="378">
        <f>AL230/AK230-1</f>
        <v>0</v>
      </c>
      <c r="AM231" s="378">
        <f>AM230/AL230-1</f>
        <v>0</v>
      </c>
      <c r="AN231" s="378">
        <f>AN230/AM230-1</f>
        <v>2.6666666666666616E-2</v>
      </c>
      <c r="AO231" s="417"/>
      <c r="AP231" s="378">
        <f>AP230/AN230-1</f>
        <v>0</v>
      </c>
      <c r="AQ231" s="378">
        <f>AQ230/AP230-1</f>
        <v>1.298701298701288E-2</v>
      </c>
      <c r="AR231" s="378">
        <f>AR230/AQ230-1</f>
        <v>0</v>
      </c>
      <c r="AS231" s="378">
        <f>AS230/AR230-1</f>
        <v>0</v>
      </c>
      <c r="AT231" s="417"/>
      <c r="AU231" s="378">
        <f>AU230/AS230-1</f>
        <v>0</v>
      </c>
      <c r="AV231" s="378">
        <f>AV230/AU230-1</f>
        <v>0</v>
      </c>
      <c r="AW231" s="378">
        <f>AW230/AV230-1</f>
        <v>0</v>
      </c>
      <c r="AX231" s="378">
        <f>AX230/AW230-1</f>
        <v>-1.2820512820512775E-2</v>
      </c>
      <c r="AY231" s="417"/>
      <c r="AZ231" s="378">
        <f>AZ230/AX230-1</f>
        <v>0</v>
      </c>
      <c r="BA231" s="378">
        <f>BA230/AZ230-1</f>
        <v>0</v>
      </c>
      <c r="BB231" s="378">
        <f>BB230/BA230-1</f>
        <v>0</v>
      </c>
      <c r="BC231" s="378">
        <f>BC230/BB230-1</f>
        <v>0</v>
      </c>
      <c r="BD231" s="417"/>
      <c r="BE231" s="378">
        <f>BE230/BC230-1</f>
        <v>0</v>
      </c>
      <c r="BF231" s="378">
        <f>BF230/BE230-1</f>
        <v>0</v>
      </c>
      <c r="BG231" s="378">
        <f>BG230/BF230-1</f>
        <v>1.298701298701288E-2</v>
      </c>
      <c r="BH231" s="378">
        <f>BH230/BG230-1</f>
        <v>0</v>
      </c>
      <c r="BI231" s="417"/>
      <c r="BJ231" s="1130">
        <f>BJ230/BH230-1</f>
        <v>1.2820512820512775E-2</v>
      </c>
      <c r="BK231" s="766">
        <v>0</v>
      </c>
      <c r="BL231" s="766">
        <v>0</v>
      </c>
      <c r="BM231" s="766">
        <v>0</v>
      </c>
      <c r="BN231" s="417"/>
      <c r="BO231" s="766">
        <v>0</v>
      </c>
      <c r="BP231" s="766">
        <v>0</v>
      </c>
      <c r="BQ231" s="766">
        <v>0</v>
      </c>
      <c r="BR231" s="766">
        <v>0</v>
      </c>
      <c r="BS231" s="417"/>
      <c r="BT231" s="417"/>
      <c r="BU231" s="417"/>
      <c r="BV231" s="417"/>
      <c r="BW231" s="223"/>
    </row>
    <row r="232" spans="1:75" s="224" customFormat="1" hidden="1" outlineLevel="2" x14ac:dyDescent="0.5">
      <c r="A232" s="765" t="s">
        <v>1803</v>
      </c>
      <c r="B232" s="1180"/>
      <c r="C232" s="417"/>
      <c r="D232" s="417">
        <f>D230/C230-1</f>
        <v>0</v>
      </c>
      <c r="E232" s="417">
        <f>E230/D230-1</f>
        <v>1.2345679012345734E-2</v>
      </c>
      <c r="F232" s="417">
        <f>F230/E230-1</f>
        <v>-1.2195121951219523E-2</v>
      </c>
      <c r="G232" s="378"/>
      <c r="H232" s="378"/>
      <c r="I232" s="378"/>
      <c r="J232" s="378"/>
      <c r="K232" s="417">
        <f t="shared" ref="K232:BS232" si="570">K230/F230-1</f>
        <v>-2.4691358024691357E-2</v>
      </c>
      <c r="L232" s="378">
        <f t="shared" si="570"/>
        <v>-4.9382716049382713E-2</v>
      </c>
      <c r="M232" s="378">
        <f t="shared" si="570"/>
        <v>-3.7499999999999978E-2</v>
      </c>
      <c r="N232" s="378">
        <f t="shared" si="570"/>
        <v>-3.7499999999999978E-2</v>
      </c>
      <c r="O232" s="378">
        <f t="shared" si="570"/>
        <v>-3.7974683544303778E-2</v>
      </c>
      <c r="P232" s="417">
        <f t="shared" si="570"/>
        <v>-3.7974683544303778E-2</v>
      </c>
      <c r="Q232" s="378">
        <f t="shared" si="570"/>
        <v>-2.5974025974025983E-2</v>
      </c>
      <c r="R232" s="378">
        <f t="shared" si="570"/>
        <v>-2.5974025974025983E-2</v>
      </c>
      <c r="S232" s="378">
        <f t="shared" si="570"/>
        <v>-2.5974025974025983E-2</v>
      </c>
      <c r="T232" s="378">
        <f t="shared" si="570"/>
        <v>-1.3157894736842146E-2</v>
      </c>
      <c r="U232" s="417">
        <f t="shared" si="570"/>
        <v>-1.3157894736842146E-2</v>
      </c>
      <c r="V232" s="378">
        <f t="shared" si="570"/>
        <v>0</v>
      </c>
      <c r="W232" s="378">
        <f t="shared" si="570"/>
        <v>0</v>
      </c>
      <c r="X232" s="378">
        <f t="shared" si="570"/>
        <v>0</v>
      </c>
      <c r="Y232" s="378">
        <f t="shared" si="570"/>
        <v>-1.3333333333333308E-2</v>
      </c>
      <c r="Z232" s="417">
        <f t="shared" si="570"/>
        <v>-1.3333333333333308E-2</v>
      </c>
      <c r="AA232" s="378">
        <f t="shared" si="570"/>
        <v>-1.3333333333333308E-2</v>
      </c>
      <c r="AB232" s="378">
        <f t="shared" si="570"/>
        <v>-1.3333333333333308E-2</v>
      </c>
      <c r="AC232" s="378">
        <f t="shared" si="570"/>
        <v>-1.3333333333333308E-2</v>
      </c>
      <c r="AD232" s="378">
        <f t="shared" si="570"/>
        <v>0</v>
      </c>
      <c r="AE232" s="417">
        <f t="shared" si="570"/>
        <v>0</v>
      </c>
      <c r="AF232" s="378">
        <f t="shared" si="570"/>
        <v>0</v>
      </c>
      <c r="AG232" s="378">
        <f t="shared" si="570"/>
        <v>0</v>
      </c>
      <c r="AH232" s="378">
        <f t="shared" si="570"/>
        <v>1.3513513513513598E-2</v>
      </c>
      <c r="AI232" s="378">
        <f t="shared" si="570"/>
        <v>1.3513513513513598E-2</v>
      </c>
      <c r="AJ232" s="417">
        <f t="shared" si="570"/>
        <v>1.3513513513513598E-2</v>
      </c>
      <c r="AK232" s="378">
        <f t="shared" si="570"/>
        <v>1.3513513513513598E-2</v>
      </c>
      <c r="AL232" s="378">
        <f t="shared" si="570"/>
        <v>1.3513513513513598E-2</v>
      </c>
      <c r="AM232" s="378">
        <f t="shared" si="570"/>
        <v>0</v>
      </c>
      <c r="AN232" s="378">
        <f t="shared" si="570"/>
        <v>2.6666666666666616E-2</v>
      </c>
      <c r="AO232" s="417">
        <f t="shared" si="570"/>
        <v>2.6666666666666616E-2</v>
      </c>
      <c r="AP232" s="378">
        <f t="shared" si="570"/>
        <v>2.6666666666666616E-2</v>
      </c>
      <c r="AQ232" s="378">
        <f t="shared" si="570"/>
        <v>4.0000000000000036E-2</v>
      </c>
      <c r="AR232" s="378">
        <f t="shared" si="570"/>
        <v>4.0000000000000036E-2</v>
      </c>
      <c r="AS232" s="378">
        <f t="shared" si="570"/>
        <v>1.298701298701288E-2</v>
      </c>
      <c r="AT232" s="417">
        <f t="shared" si="570"/>
        <v>1.298701298701288E-2</v>
      </c>
      <c r="AU232" s="378">
        <f t="shared" si="570"/>
        <v>1.298701298701288E-2</v>
      </c>
      <c r="AV232" s="378">
        <f t="shared" si="570"/>
        <v>0</v>
      </c>
      <c r="AW232" s="378">
        <f t="shared" si="570"/>
        <v>0</v>
      </c>
      <c r="AX232" s="378">
        <f t="shared" si="570"/>
        <v>-1.2820512820512775E-2</v>
      </c>
      <c r="AY232" s="417">
        <f t="shared" si="570"/>
        <v>-1.2820512820512775E-2</v>
      </c>
      <c r="AZ232" s="378">
        <f t="shared" si="570"/>
        <v>-1.2820512820512775E-2</v>
      </c>
      <c r="BA232" s="378">
        <f t="shared" si="570"/>
        <v>-1.2820512820512775E-2</v>
      </c>
      <c r="BB232" s="378">
        <f t="shared" si="570"/>
        <v>-1.2820512820512775E-2</v>
      </c>
      <c r="BC232" s="378">
        <f t="shared" si="570"/>
        <v>0</v>
      </c>
      <c r="BD232" s="417">
        <f t="shared" si="570"/>
        <v>0</v>
      </c>
      <c r="BE232" s="378">
        <f t="shared" si="570"/>
        <v>0</v>
      </c>
      <c r="BF232" s="378">
        <f t="shared" si="570"/>
        <v>0</v>
      </c>
      <c r="BG232" s="378">
        <f t="shared" si="570"/>
        <v>1.298701298701288E-2</v>
      </c>
      <c r="BH232" s="378">
        <f t="shared" si="570"/>
        <v>1.298701298701288E-2</v>
      </c>
      <c r="BI232" s="417">
        <f t="shared" si="570"/>
        <v>1.298701298701288E-2</v>
      </c>
      <c r="BJ232" s="1130">
        <f t="shared" si="570"/>
        <v>2.5974025974025983E-2</v>
      </c>
      <c r="BK232" s="378">
        <f t="shared" si="570"/>
        <v>2.5974025974025983E-2</v>
      </c>
      <c r="BL232" s="378">
        <f t="shared" si="570"/>
        <v>1.2820512820512775E-2</v>
      </c>
      <c r="BM232" s="378">
        <f t="shared" si="570"/>
        <v>1.2820512820512775E-2</v>
      </c>
      <c r="BN232" s="417">
        <f t="shared" si="570"/>
        <v>1.2820512820512775E-2</v>
      </c>
      <c r="BO232" s="378">
        <f t="shared" si="570"/>
        <v>0</v>
      </c>
      <c r="BP232" s="378">
        <f t="shared" si="570"/>
        <v>0</v>
      </c>
      <c r="BQ232" s="378">
        <f t="shared" si="570"/>
        <v>0</v>
      </c>
      <c r="BR232" s="378">
        <f t="shared" si="570"/>
        <v>0</v>
      </c>
      <c r="BS232" s="417">
        <f t="shared" si="570"/>
        <v>0</v>
      </c>
      <c r="BT232" s="767">
        <v>0</v>
      </c>
      <c r="BU232" s="767">
        <v>0</v>
      </c>
      <c r="BV232" s="767">
        <v>0</v>
      </c>
      <c r="BW232" s="223"/>
    </row>
    <row r="233" spans="1:75" s="224" customFormat="1" hidden="1" outlineLevel="2" x14ac:dyDescent="0.5">
      <c r="A233" s="588"/>
      <c r="B233" s="494"/>
      <c r="C233" s="425"/>
      <c r="D233" s="425"/>
      <c r="E233" s="425"/>
      <c r="F233" s="425"/>
      <c r="G233" s="487"/>
      <c r="H233" s="487"/>
      <c r="I233" s="487"/>
      <c r="J233" s="487"/>
      <c r="K233" s="425"/>
      <c r="L233" s="487"/>
      <c r="M233" s="487"/>
      <c r="N233" s="487"/>
      <c r="O233" s="487"/>
      <c r="P233" s="425"/>
      <c r="Q233" s="487"/>
      <c r="R233" s="487"/>
      <c r="S233" s="487"/>
      <c r="T233" s="487"/>
      <c r="U233" s="425"/>
      <c r="V233" s="487"/>
      <c r="W233" s="487"/>
      <c r="X233" s="487"/>
      <c r="Y233" s="487"/>
      <c r="Z233" s="425"/>
      <c r="AA233" s="487"/>
      <c r="AB233" s="487"/>
      <c r="AC233" s="487"/>
      <c r="AD233" s="487"/>
      <c r="AE233" s="425"/>
      <c r="AF233" s="487"/>
      <c r="AG233" s="487"/>
      <c r="AH233" s="487"/>
      <c r="AI233" s="487"/>
      <c r="AJ233" s="425"/>
      <c r="AK233" s="487"/>
      <c r="AL233" s="487"/>
      <c r="AM233" s="487"/>
      <c r="AN233" s="487"/>
      <c r="AO233" s="425"/>
      <c r="AP233" s="487"/>
      <c r="AQ233" s="487"/>
      <c r="AR233" s="487"/>
      <c r="AS233" s="487"/>
      <c r="AT233" s="425"/>
      <c r="AU233" s="487"/>
      <c r="AV233" s="487"/>
      <c r="AW233" s="487"/>
      <c r="AX233" s="487"/>
      <c r="AY233" s="425"/>
      <c r="AZ233" s="487"/>
      <c r="BA233" s="487"/>
      <c r="BB233" s="487"/>
      <c r="BC233" s="487"/>
      <c r="BD233" s="425"/>
      <c r="BE233" s="487"/>
      <c r="BF233" s="487"/>
      <c r="BG233" s="487"/>
      <c r="BH233" s="487"/>
      <c r="BI233" s="425"/>
      <c r="BJ233" s="981"/>
      <c r="BK233" s="487"/>
      <c r="BL233" s="487"/>
      <c r="BM233" s="487"/>
      <c r="BN233" s="425"/>
      <c r="BO233" s="487"/>
      <c r="BP233" s="487"/>
      <c r="BQ233" s="487"/>
      <c r="BR233" s="487"/>
      <c r="BS233" s="425"/>
      <c r="BT233" s="425"/>
      <c r="BU233" s="425"/>
      <c r="BV233" s="425"/>
      <c r="BW233" s="223"/>
    </row>
    <row r="234" spans="1:75" s="169" customFormat="1" ht="14.25" hidden="1" outlineLevel="2" x14ac:dyDescent="0.45">
      <c r="A234" s="163" t="s">
        <v>1804</v>
      </c>
      <c r="B234" s="1121"/>
      <c r="C234" s="840"/>
      <c r="D234" s="840">
        <f t="shared" ref="D234:AX234" si="571">C236</f>
        <v>704.7</v>
      </c>
      <c r="E234" s="840">
        <f t="shared" si="571"/>
        <v>688.5</v>
      </c>
      <c r="F234" s="840">
        <f t="shared" si="571"/>
        <v>680.6</v>
      </c>
      <c r="G234" s="247">
        <f t="shared" si="571"/>
        <v>680.4</v>
      </c>
      <c r="H234" s="247">
        <f t="shared" si="571"/>
        <v>688.5</v>
      </c>
      <c r="I234" s="247">
        <f t="shared" si="571"/>
        <v>688</v>
      </c>
      <c r="J234" s="247">
        <f t="shared" si="571"/>
        <v>672</v>
      </c>
      <c r="K234" s="840">
        <f t="shared" ref="K234" si="572">F236</f>
        <v>680.4</v>
      </c>
      <c r="L234" s="247">
        <f t="shared" si="571"/>
        <v>639.9</v>
      </c>
      <c r="M234" s="247">
        <f t="shared" si="571"/>
        <v>646.79999999999995</v>
      </c>
      <c r="N234" s="247">
        <f t="shared" si="571"/>
        <v>646.79999999999995</v>
      </c>
      <c r="O234" s="247">
        <f t="shared" si="571"/>
        <v>654.5</v>
      </c>
      <c r="P234" s="840">
        <f t="shared" ref="P234" si="573">K236</f>
        <v>639.9</v>
      </c>
      <c r="Q234" s="247">
        <f t="shared" si="571"/>
        <v>646</v>
      </c>
      <c r="R234" s="247">
        <f t="shared" si="571"/>
        <v>652.5</v>
      </c>
      <c r="S234" s="247">
        <f t="shared" si="571"/>
        <v>667.5</v>
      </c>
      <c r="T234" s="247">
        <f t="shared" si="571"/>
        <v>675</v>
      </c>
      <c r="U234" s="840">
        <f t="shared" ref="U234" si="574">P236</f>
        <v>646</v>
      </c>
      <c r="V234" s="247">
        <f t="shared" si="571"/>
        <v>667.5</v>
      </c>
      <c r="W234" s="247">
        <f t="shared" si="571"/>
        <v>675</v>
      </c>
      <c r="X234" s="247">
        <f t="shared" si="571"/>
        <v>667.5</v>
      </c>
      <c r="Y234" s="247">
        <f t="shared" si="571"/>
        <v>667.5</v>
      </c>
      <c r="Z234" s="840">
        <f t="shared" ref="Z234" si="575">U236</f>
        <v>667.5</v>
      </c>
      <c r="AA234" s="247">
        <f t="shared" si="571"/>
        <v>658.6</v>
      </c>
      <c r="AB234" s="247">
        <f t="shared" si="571"/>
        <v>658.6</v>
      </c>
      <c r="AC234" s="247">
        <f t="shared" si="571"/>
        <v>651.20000000000005</v>
      </c>
      <c r="AD234" s="247">
        <f t="shared" si="571"/>
        <v>651.20000000000005</v>
      </c>
      <c r="AE234" s="840">
        <f t="shared" ref="AE234" si="576">Z236</f>
        <v>658.6</v>
      </c>
      <c r="AF234" s="247">
        <f t="shared" si="571"/>
        <v>636.4</v>
      </c>
      <c r="AG234" s="247">
        <f t="shared" si="571"/>
        <v>621.6</v>
      </c>
      <c r="AH234" s="247">
        <f t="shared" si="571"/>
        <v>621.6</v>
      </c>
      <c r="AI234" s="247">
        <f t="shared" si="571"/>
        <v>615</v>
      </c>
      <c r="AJ234" s="840">
        <f t="shared" ref="AJ234" si="577">AE236</f>
        <v>636.4</v>
      </c>
      <c r="AK234" s="247">
        <f t="shared" si="571"/>
        <v>585</v>
      </c>
      <c r="AL234" s="247">
        <f t="shared" si="571"/>
        <v>585</v>
      </c>
      <c r="AM234" s="247">
        <f t="shared" si="571"/>
        <v>585</v>
      </c>
      <c r="AN234" s="247">
        <f t="shared" si="571"/>
        <v>592.5</v>
      </c>
      <c r="AO234" s="840">
        <f t="shared" ref="AO234" si="578">AJ236</f>
        <v>585</v>
      </c>
      <c r="AP234" s="247">
        <f t="shared" si="571"/>
        <v>569.79999999999995</v>
      </c>
      <c r="AQ234" s="247">
        <f t="shared" si="571"/>
        <v>569.79999999999995</v>
      </c>
      <c r="AR234" s="247">
        <f t="shared" si="571"/>
        <v>561.6</v>
      </c>
      <c r="AS234" s="247">
        <f t="shared" si="571"/>
        <v>553.79999999999995</v>
      </c>
      <c r="AT234" s="840">
        <f t="shared" ref="AT234" si="579">AO236</f>
        <v>569.79999999999995</v>
      </c>
      <c r="AU234" s="247">
        <f t="shared" si="571"/>
        <v>444.6</v>
      </c>
      <c r="AV234" s="247">
        <f t="shared" si="571"/>
        <v>444.6</v>
      </c>
      <c r="AW234" s="247">
        <f t="shared" si="571"/>
        <v>444.6</v>
      </c>
      <c r="AX234" s="247">
        <f t="shared" si="571"/>
        <v>444.6</v>
      </c>
      <c r="AY234" s="840">
        <f t="shared" ref="AY234" si="580">AT236</f>
        <v>444.6</v>
      </c>
      <c r="AZ234" s="247">
        <f t="shared" ref="AZ234:BC234" si="581">AY236</f>
        <v>400.4</v>
      </c>
      <c r="BA234" s="247">
        <f t="shared" si="581"/>
        <v>400.4</v>
      </c>
      <c r="BB234" s="247">
        <f t="shared" si="581"/>
        <v>400.4</v>
      </c>
      <c r="BC234" s="247">
        <f t="shared" si="581"/>
        <v>400.4</v>
      </c>
      <c r="BD234" s="840">
        <f t="shared" ref="BD234" si="582">AY236</f>
        <v>400.4</v>
      </c>
      <c r="BE234" s="247">
        <f t="shared" ref="BE234" si="583">BD236</f>
        <v>354.2</v>
      </c>
      <c r="BF234" s="247">
        <f>BE236</f>
        <v>354.2</v>
      </c>
      <c r="BG234" s="247">
        <f>BF236</f>
        <v>354.2</v>
      </c>
      <c r="BH234" s="247">
        <f t="shared" ref="BH234" si="584">BG236</f>
        <v>358.8</v>
      </c>
      <c r="BI234" s="840">
        <f t="shared" ref="BI234" si="585">BD236</f>
        <v>354.2</v>
      </c>
      <c r="BJ234" s="977">
        <f>BI236</f>
        <v>358.8</v>
      </c>
      <c r="BK234" s="247">
        <f>BJ236</f>
        <v>355.5</v>
      </c>
      <c r="BL234" s="247">
        <f>BK236</f>
        <v>355.5</v>
      </c>
      <c r="BM234" s="247">
        <f>BL236</f>
        <v>355.5</v>
      </c>
      <c r="BN234" s="840">
        <f>BI236</f>
        <v>358.8</v>
      </c>
      <c r="BO234" s="247">
        <f>BN236</f>
        <v>355.5</v>
      </c>
      <c r="BP234" s="247">
        <f>BO236</f>
        <v>355.5</v>
      </c>
      <c r="BQ234" s="247">
        <f>BP236</f>
        <v>355.5</v>
      </c>
      <c r="BR234" s="247">
        <f>BQ236</f>
        <v>355.5</v>
      </c>
      <c r="BS234" s="840">
        <f>BN236</f>
        <v>355.5</v>
      </c>
      <c r="BT234" s="840">
        <f>BS236</f>
        <v>355.5</v>
      </c>
      <c r="BU234" s="840">
        <f>BT236</f>
        <v>355.5</v>
      </c>
      <c r="BV234" s="840">
        <f>BU236</f>
        <v>355.5</v>
      </c>
      <c r="BW234" s="168"/>
    </row>
    <row r="235" spans="1:75" s="224" customFormat="1" hidden="1" outlineLevel="2" x14ac:dyDescent="0.5">
      <c r="A235" s="218" t="s">
        <v>1805</v>
      </c>
      <c r="B235" s="494"/>
      <c r="C235" s="425"/>
      <c r="D235" s="425">
        <f t="shared" ref="D235:BO235" si="586">D236-D234</f>
        <v>-16.200000000000045</v>
      </c>
      <c r="E235" s="425">
        <f t="shared" si="586"/>
        <v>-7.8999999999999773</v>
      </c>
      <c r="F235" s="425">
        <f t="shared" si="586"/>
        <v>-0.20000000000004547</v>
      </c>
      <c r="G235" s="487">
        <f t="shared" si="586"/>
        <v>8.1000000000000227</v>
      </c>
      <c r="H235" s="487">
        <f t="shared" si="586"/>
        <v>-0.5</v>
      </c>
      <c r="I235" s="487">
        <f t="shared" si="586"/>
        <v>-16</v>
      </c>
      <c r="J235" s="487">
        <f t="shared" si="586"/>
        <v>-32.100000000000023</v>
      </c>
      <c r="K235" s="425">
        <f t="shared" si="586"/>
        <v>-40.5</v>
      </c>
      <c r="L235" s="487">
        <f t="shared" si="586"/>
        <v>6.8999999999999773</v>
      </c>
      <c r="M235" s="487">
        <f t="shared" si="586"/>
        <v>0</v>
      </c>
      <c r="N235" s="487">
        <f t="shared" si="586"/>
        <v>7.7000000000000455</v>
      </c>
      <c r="O235" s="487">
        <f t="shared" si="586"/>
        <v>-8.5</v>
      </c>
      <c r="P235" s="425">
        <f t="shared" si="586"/>
        <v>6.1000000000000227</v>
      </c>
      <c r="Q235" s="487">
        <f t="shared" si="586"/>
        <v>6.5</v>
      </c>
      <c r="R235" s="487">
        <f t="shared" si="586"/>
        <v>15</v>
      </c>
      <c r="S235" s="487">
        <f t="shared" si="586"/>
        <v>7.5</v>
      </c>
      <c r="T235" s="487">
        <f t="shared" si="586"/>
        <v>-7.5</v>
      </c>
      <c r="U235" s="425">
        <f t="shared" si="586"/>
        <v>21.5</v>
      </c>
      <c r="V235" s="487">
        <f t="shared" si="586"/>
        <v>7.5</v>
      </c>
      <c r="W235" s="487">
        <f t="shared" si="586"/>
        <v>-7.5</v>
      </c>
      <c r="X235" s="487">
        <f t="shared" si="586"/>
        <v>0</v>
      </c>
      <c r="Y235" s="487">
        <f t="shared" si="586"/>
        <v>-8.8999999999999773</v>
      </c>
      <c r="Z235" s="425">
        <f t="shared" si="586"/>
        <v>-8.8999999999999773</v>
      </c>
      <c r="AA235" s="487">
        <f t="shared" si="586"/>
        <v>0</v>
      </c>
      <c r="AB235" s="487">
        <f t="shared" si="586"/>
        <v>-7.3999999999999773</v>
      </c>
      <c r="AC235" s="487">
        <f t="shared" si="586"/>
        <v>0</v>
      </c>
      <c r="AD235" s="487">
        <f t="shared" si="586"/>
        <v>-14.800000000000068</v>
      </c>
      <c r="AE235" s="425">
        <f t="shared" si="586"/>
        <v>-22.200000000000045</v>
      </c>
      <c r="AF235" s="487">
        <f t="shared" si="586"/>
        <v>-14.799999999999955</v>
      </c>
      <c r="AG235" s="487">
        <f t="shared" si="586"/>
        <v>0</v>
      </c>
      <c r="AH235" s="487">
        <f t="shared" si="586"/>
        <v>-6.6000000000000227</v>
      </c>
      <c r="AI235" s="487">
        <f t="shared" si="586"/>
        <v>-30</v>
      </c>
      <c r="AJ235" s="425">
        <f t="shared" si="586"/>
        <v>-51.399999999999977</v>
      </c>
      <c r="AK235" s="487">
        <f t="shared" si="586"/>
        <v>0</v>
      </c>
      <c r="AL235" s="487">
        <f t="shared" si="586"/>
        <v>0</v>
      </c>
      <c r="AM235" s="487">
        <f t="shared" si="586"/>
        <v>7.5</v>
      </c>
      <c r="AN235" s="487">
        <f t="shared" si="586"/>
        <v>-22.700000000000045</v>
      </c>
      <c r="AO235" s="425">
        <f t="shared" si="586"/>
        <v>-15.200000000000045</v>
      </c>
      <c r="AP235" s="487">
        <f t="shared" si="586"/>
        <v>0</v>
      </c>
      <c r="AQ235" s="487">
        <f t="shared" si="586"/>
        <v>-8.1999999999999318</v>
      </c>
      <c r="AR235" s="487">
        <f t="shared" si="586"/>
        <v>-7.8000000000000682</v>
      </c>
      <c r="AS235" s="487">
        <f t="shared" si="586"/>
        <v>-109.19999999999993</v>
      </c>
      <c r="AT235" s="425">
        <f t="shared" si="586"/>
        <v>-125.19999999999993</v>
      </c>
      <c r="AU235" s="487">
        <f t="shared" si="586"/>
        <v>0</v>
      </c>
      <c r="AV235" s="487">
        <f t="shared" si="586"/>
        <v>0</v>
      </c>
      <c r="AW235" s="487">
        <f t="shared" si="586"/>
        <v>0</v>
      </c>
      <c r="AX235" s="487">
        <f t="shared" si="586"/>
        <v>-44.200000000000045</v>
      </c>
      <c r="AY235" s="425">
        <f t="shared" si="586"/>
        <v>-44.200000000000045</v>
      </c>
      <c r="AZ235" s="487">
        <f t="shared" si="586"/>
        <v>0</v>
      </c>
      <c r="BA235" s="487">
        <f t="shared" si="586"/>
        <v>0</v>
      </c>
      <c r="BB235" s="487">
        <f t="shared" si="586"/>
        <v>0</v>
      </c>
      <c r="BC235" s="487">
        <f t="shared" si="586"/>
        <v>-46.199999999999989</v>
      </c>
      <c r="BD235" s="425">
        <f t="shared" si="586"/>
        <v>-46.199999999999989</v>
      </c>
      <c r="BE235" s="487">
        <f t="shared" si="586"/>
        <v>0</v>
      </c>
      <c r="BF235" s="487">
        <f t="shared" si="586"/>
        <v>0</v>
      </c>
      <c r="BG235" s="487">
        <f t="shared" si="586"/>
        <v>4.6000000000000227</v>
      </c>
      <c r="BH235" s="487">
        <f t="shared" si="586"/>
        <v>0</v>
      </c>
      <c r="BI235" s="425">
        <f t="shared" si="586"/>
        <v>4.6000000000000227</v>
      </c>
      <c r="BJ235" s="981">
        <f>BJ236-BJ234</f>
        <v>-3.3000000000000114</v>
      </c>
      <c r="BK235" s="487">
        <f t="shared" si="586"/>
        <v>0</v>
      </c>
      <c r="BL235" s="487">
        <f t="shared" si="586"/>
        <v>0</v>
      </c>
      <c r="BM235" s="487">
        <f t="shared" si="586"/>
        <v>0</v>
      </c>
      <c r="BN235" s="425">
        <f t="shared" si="586"/>
        <v>-3.3000000000000114</v>
      </c>
      <c r="BO235" s="487">
        <f t="shared" si="586"/>
        <v>0</v>
      </c>
      <c r="BP235" s="487">
        <f t="shared" ref="BP235:CF235" si="587">BP236-BP234</f>
        <v>0</v>
      </c>
      <c r="BQ235" s="487">
        <f t="shared" si="587"/>
        <v>0</v>
      </c>
      <c r="BR235" s="487">
        <f t="shared" si="587"/>
        <v>0</v>
      </c>
      <c r="BS235" s="425">
        <f t="shared" si="587"/>
        <v>0</v>
      </c>
      <c r="BT235" s="425">
        <f t="shared" si="587"/>
        <v>0</v>
      </c>
      <c r="BU235" s="425">
        <f t="shared" si="587"/>
        <v>0</v>
      </c>
      <c r="BV235" s="425">
        <f t="shared" si="587"/>
        <v>0</v>
      </c>
      <c r="BW235" s="223"/>
    </row>
    <row r="236" spans="1:75" s="169" customFormat="1" ht="14.25" hidden="1" outlineLevel="2" x14ac:dyDescent="0.45">
      <c r="A236" s="360" t="s">
        <v>1806</v>
      </c>
      <c r="B236" s="1127"/>
      <c r="C236" s="1128">
        <f t="shared" ref="C236:BE236" si="588">C230*C225/1000</f>
        <v>704.7</v>
      </c>
      <c r="D236" s="1128">
        <f t="shared" si="588"/>
        <v>688.5</v>
      </c>
      <c r="E236" s="1128">
        <f t="shared" si="588"/>
        <v>680.6</v>
      </c>
      <c r="F236" s="1128">
        <f t="shared" si="588"/>
        <v>680.4</v>
      </c>
      <c r="G236" s="287">
        <f t="shared" si="588"/>
        <v>688.5</v>
      </c>
      <c r="H236" s="287">
        <f t="shared" si="588"/>
        <v>688</v>
      </c>
      <c r="I236" s="287">
        <f t="shared" si="588"/>
        <v>672</v>
      </c>
      <c r="J236" s="287">
        <f t="shared" si="588"/>
        <v>639.9</v>
      </c>
      <c r="K236" s="1128">
        <f t="shared" si="588"/>
        <v>639.9</v>
      </c>
      <c r="L236" s="287">
        <f t="shared" si="588"/>
        <v>646.79999999999995</v>
      </c>
      <c r="M236" s="287">
        <f t="shared" si="588"/>
        <v>646.79999999999995</v>
      </c>
      <c r="N236" s="287">
        <f t="shared" si="588"/>
        <v>654.5</v>
      </c>
      <c r="O236" s="287">
        <f t="shared" si="588"/>
        <v>646</v>
      </c>
      <c r="P236" s="1128">
        <f t="shared" si="588"/>
        <v>646</v>
      </c>
      <c r="Q236" s="287">
        <f t="shared" si="588"/>
        <v>652.5</v>
      </c>
      <c r="R236" s="287">
        <f t="shared" si="588"/>
        <v>667.5</v>
      </c>
      <c r="S236" s="287">
        <f t="shared" si="588"/>
        <v>675</v>
      </c>
      <c r="T236" s="287">
        <f t="shared" si="588"/>
        <v>667.5</v>
      </c>
      <c r="U236" s="1128">
        <f t="shared" si="588"/>
        <v>667.5</v>
      </c>
      <c r="V236" s="287">
        <f t="shared" si="588"/>
        <v>675</v>
      </c>
      <c r="W236" s="287">
        <f t="shared" si="588"/>
        <v>667.5</v>
      </c>
      <c r="X236" s="287">
        <f t="shared" si="588"/>
        <v>667.5</v>
      </c>
      <c r="Y236" s="287">
        <f t="shared" si="588"/>
        <v>658.6</v>
      </c>
      <c r="Z236" s="1128">
        <f t="shared" si="588"/>
        <v>658.6</v>
      </c>
      <c r="AA236" s="287">
        <f t="shared" si="588"/>
        <v>658.6</v>
      </c>
      <c r="AB236" s="287">
        <f t="shared" si="588"/>
        <v>651.20000000000005</v>
      </c>
      <c r="AC236" s="287">
        <f t="shared" si="588"/>
        <v>651.20000000000005</v>
      </c>
      <c r="AD236" s="287">
        <f t="shared" si="588"/>
        <v>636.4</v>
      </c>
      <c r="AE236" s="1128">
        <f t="shared" si="588"/>
        <v>636.4</v>
      </c>
      <c r="AF236" s="287">
        <f t="shared" si="588"/>
        <v>621.6</v>
      </c>
      <c r="AG236" s="287">
        <f t="shared" si="588"/>
        <v>621.6</v>
      </c>
      <c r="AH236" s="287">
        <f t="shared" si="588"/>
        <v>615</v>
      </c>
      <c r="AI236" s="287">
        <f t="shared" si="588"/>
        <v>585</v>
      </c>
      <c r="AJ236" s="1128">
        <f t="shared" si="588"/>
        <v>585</v>
      </c>
      <c r="AK236" s="287">
        <f t="shared" si="588"/>
        <v>585</v>
      </c>
      <c r="AL236" s="287">
        <f t="shared" si="588"/>
        <v>585</v>
      </c>
      <c r="AM236" s="287">
        <f t="shared" si="588"/>
        <v>592.5</v>
      </c>
      <c r="AN236" s="287">
        <f t="shared" si="588"/>
        <v>569.79999999999995</v>
      </c>
      <c r="AO236" s="1128">
        <f t="shared" si="588"/>
        <v>569.79999999999995</v>
      </c>
      <c r="AP236" s="287">
        <f t="shared" si="588"/>
        <v>569.79999999999995</v>
      </c>
      <c r="AQ236" s="287">
        <f t="shared" si="588"/>
        <v>561.6</v>
      </c>
      <c r="AR236" s="287">
        <f t="shared" si="588"/>
        <v>553.79999999999995</v>
      </c>
      <c r="AS236" s="287">
        <f t="shared" si="588"/>
        <v>444.6</v>
      </c>
      <c r="AT236" s="1128">
        <f t="shared" si="588"/>
        <v>444.6</v>
      </c>
      <c r="AU236" s="287">
        <f t="shared" si="588"/>
        <v>444.6</v>
      </c>
      <c r="AV236" s="287">
        <f t="shared" si="588"/>
        <v>444.6</v>
      </c>
      <c r="AW236" s="287">
        <f t="shared" si="588"/>
        <v>444.6</v>
      </c>
      <c r="AX236" s="287">
        <f t="shared" si="588"/>
        <v>400.4</v>
      </c>
      <c r="AY236" s="1128">
        <f t="shared" si="588"/>
        <v>400.4</v>
      </c>
      <c r="AZ236" s="287">
        <f t="shared" si="588"/>
        <v>400.4</v>
      </c>
      <c r="BA236" s="287">
        <f t="shared" si="588"/>
        <v>400.4</v>
      </c>
      <c r="BB236" s="287">
        <f t="shared" si="588"/>
        <v>400.4</v>
      </c>
      <c r="BC236" s="287">
        <f t="shared" si="588"/>
        <v>354.2</v>
      </c>
      <c r="BD236" s="1128">
        <f t="shared" si="588"/>
        <v>354.2</v>
      </c>
      <c r="BE236" s="287">
        <f t="shared" si="588"/>
        <v>354.2</v>
      </c>
      <c r="BF236" s="287">
        <f>BF230*BF225/1000</f>
        <v>354.2</v>
      </c>
      <c r="BG236" s="287">
        <f>BG230*BG225/1000</f>
        <v>358.8</v>
      </c>
      <c r="BH236" s="287">
        <f t="shared" ref="BH236:BI236" si="589">BH230*BH225/1000</f>
        <v>358.8</v>
      </c>
      <c r="BI236" s="1128">
        <f t="shared" si="589"/>
        <v>358.8</v>
      </c>
      <c r="BJ236" s="1129">
        <f>BJ230*BJ225/1000</f>
        <v>355.5</v>
      </c>
      <c r="BK236" s="287">
        <f>BK230*BK225/1000</f>
        <v>355.5</v>
      </c>
      <c r="BL236" s="287">
        <f>BL230*BL225/1000</f>
        <v>355.5</v>
      </c>
      <c r="BM236" s="287">
        <f>BM230*BM225/1000</f>
        <v>355.5</v>
      </c>
      <c r="BN236" s="1128">
        <f>BM236</f>
        <v>355.5</v>
      </c>
      <c r="BO236" s="287">
        <f>BO230*BO225/1000</f>
        <v>355.5</v>
      </c>
      <c r="BP236" s="287">
        <f>BP230*BP225/1000</f>
        <v>355.5</v>
      </c>
      <c r="BQ236" s="287">
        <f>BQ230*BQ225/1000</f>
        <v>355.5</v>
      </c>
      <c r="BR236" s="287">
        <f>BR230*BR225/1000</f>
        <v>355.5</v>
      </c>
      <c r="BS236" s="1128">
        <f>BR236</f>
        <v>355.5</v>
      </c>
      <c r="BT236" s="1128">
        <f>BT230*BT225/1000</f>
        <v>355.5</v>
      </c>
      <c r="BU236" s="1128">
        <f>BU230*BU225/1000</f>
        <v>355.5</v>
      </c>
      <c r="BV236" s="1128">
        <f>BV230*BV225/1000</f>
        <v>355.5</v>
      </c>
      <c r="BW236" s="168"/>
    </row>
    <row r="237" spans="1:75" s="169" customFormat="1" ht="14.25" hidden="1" outlineLevel="2" x14ac:dyDescent="0.45">
      <c r="A237" s="163" t="s">
        <v>1807</v>
      </c>
      <c r="B237" s="1121"/>
      <c r="C237" s="840"/>
      <c r="D237" s="840">
        <f t="shared" ref="D237:J237" si="590">AVERAGE(D236,D234)</f>
        <v>696.6</v>
      </c>
      <c r="E237" s="840">
        <f t="shared" si="590"/>
        <v>684.55</v>
      </c>
      <c r="F237" s="840">
        <f t="shared" si="590"/>
        <v>680.5</v>
      </c>
      <c r="G237" s="247">
        <f t="shared" si="590"/>
        <v>684.45</v>
      </c>
      <c r="H237" s="247">
        <f t="shared" si="590"/>
        <v>688.25</v>
      </c>
      <c r="I237" s="247">
        <f t="shared" si="590"/>
        <v>680</v>
      </c>
      <c r="J237" s="247">
        <f t="shared" si="590"/>
        <v>655.95</v>
      </c>
      <c r="K237" s="840">
        <f t="shared" ref="K237" si="591">SUM(G237*G$3,H237*H$3,I237*I$3,J237*J$3)/K$3</f>
        <v>677.16250000000002</v>
      </c>
      <c r="L237" s="247">
        <f t="shared" ref="L237:O237" si="592">AVERAGE(L236,L234)</f>
        <v>643.34999999999991</v>
      </c>
      <c r="M237" s="247">
        <f t="shared" si="592"/>
        <v>646.79999999999995</v>
      </c>
      <c r="N237" s="247">
        <f t="shared" si="592"/>
        <v>650.65</v>
      </c>
      <c r="O237" s="247">
        <f t="shared" si="592"/>
        <v>650.25</v>
      </c>
      <c r="P237" s="840">
        <f t="shared" ref="P237" si="593">SUM(L237*L$3,M237*M$3,N237*N$3,O237*O$3)/P$3</f>
        <v>647.76249999999993</v>
      </c>
      <c r="Q237" s="247">
        <f t="shared" ref="Q237:T237" si="594">AVERAGE(Q236,Q234)</f>
        <v>649.25</v>
      </c>
      <c r="R237" s="247">
        <f t="shared" si="594"/>
        <v>660</v>
      </c>
      <c r="S237" s="247">
        <f t="shared" si="594"/>
        <v>671.25</v>
      </c>
      <c r="T237" s="247">
        <f t="shared" si="594"/>
        <v>671.25</v>
      </c>
      <c r="U237" s="840">
        <f t="shared" ref="U237" si="595">SUM(Q237*Q$3,R237*R$3,S237*S$3,T237*T$3)/U$3</f>
        <v>662.9375</v>
      </c>
      <c r="V237" s="247">
        <f t="shared" ref="V237:Y237" si="596">AVERAGE(V236,V234)</f>
        <v>671.25</v>
      </c>
      <c r="W237" s="247">
        <f t="shared" si="596"/>
        <v>671.25</v>
      </c>
      <c r="X237" s="247">
        <f t="shared" si="596"/>
        <v>667.5</v>
      </c>
      <c r="Y237" s="247">
        <f t="shared" si="596"/>
        <v>663.05</v>
      </c>
      <c r="Z237" s="840">
        <f t="shared" ref="Z237" si="597">SUM(V237*V$3,W237*W$3,X237*X$3,Y237*Y$3)/Z$3</f>
        <v>668.26249999999993</v>
      </c>
      <c r="AA237" s="247">
        <f t="shared" ref="AA237:AD237" si="598">AVERAGE(AA236,AA234)</f>
        <v>658.6</v>
      </c>
      <c r="AB237" s="247">
        <f t="shared" si="598"/>
        <v>654.90000000000009</v>
      </c>
      <c r="AC237" s="247">
        <f t="shared" si="598"/>
        <v>651.20000000000005</v>
      </c>
      <c r="AD237" s="247">
        <f t="shared" si="598"/>
        <v>643.79999999999995</v>
      </c>
      <c r="AE237" s="840">
        <f t="shared" ref="AE237" si="599">SUM(AA237*AA$3,AB237*AB$3,AC237*AC$3,AD237*AD$3)/AE$3</f>
        <v>652.125</v>
      </c>
      <c r="AF237" s="247">
        <f t="shared" ref="AF237:AI237" si="600">AVERAGE(AF236,AF234)</f>
        <v>629</v>
      </c>
      <c r="AG237" s="247">
        <f t="shared" si="600"/>
        <v>621.6</v>
      </c>
      <c r="AH237" s="247">
        <f t="shared" si="600"/>
        <v>618.29999999999995</v>
      </c>
      <c r="AI237" s="247">
        <f t="shared" si="600"/>
        <v>600</v>
      </c>
      <c r="AJ237" s="840">
        <f t="shared" ref="AJ237" si="601">SUM(AF237*AF$3,AG237*AG$3,AH237*AH$3,AI237*AI$3)/AJ$3</f>
        <v>616.9</v>
      </c>
      <c r="AK237" s="247">
        <f t="shared" ref="AK237:AN237" si="602">AVERAGE(AK236,AK234)</f>
        <v>585</v>
      </c>
      <c r="AL237" s="247">
        <f t="shared" si="602"/>
        <v>585</v>
      </c>
      <c r="AM237" s="247">
        <f t="shared" si="602"/>
        <v>588.75</v>
      </c>
      <c r="AN237" s="247">
        <f t="shared" si="602"/>
        <v>581.15</v>
      </c>
      <c r="AO237" s="840">
        <f t="shared" ref="AO237" si="603">SUM(AK237*AK$3,AL237*AL$3,AM237*AM$3,AN237*AN$3)/AO$3</f>
        <v>584.97500000000002</v>
      </c>
      <c r="AP237" s="247">
        <f t="shared" ref="AP237:AS237" si="604">AVERAGE(AP236,AP234)</f>
        <v>569.79999999999995</v>
      </c>
      <c r="AQ237" s="247">
        <f t="shared" si="604"/>
        <v>565.70000000000005</v>
      </c>
      <c r="AR237" s="247">
        <f t="shared" si="604"/>
        <v>557.70000000000005</v>
      </c>
      <c r="AS237" s="247">
        <f t="shared" si="604"/>
        <v>499.2</v>
      </c>
      <c r="AT237" s="840">
        <f t="shared" ref="AT237" si="605">SUM(AP237*AP$3,AQ237*AQ$3,AR237*AR$3,AS237*AS$3)/AT$3</f>
        <v>548.1</v>
      </c>
      <c r="AU237" s="247">
        <f t="shared" ref="AU237:AX237" si="606">AVERAGE(AU236,AU234)</f>
        <v>444.6</v>
      </c>
      <c r="AV237" s="247">
        <f t="shared" si="606"/>
        <v>444.6</v>
      </c>
      <c r="AW237" s="247">
        <f t="shared" si="606"/>
        <v>444.6</v>
      </c>
      <c r="AX237" s="247">
        <f t="shared" si="606"/>
        <v>422.5</v>
      </c>
      <c r="AY237" s="840">
        <f t="shared" ref="AY237" si="607">SUM(AU237*AU$3,AV237*AV$3,AW237*AW$3,AX237*AX$3)/AY$3</f>
        <v>439.07499999999999</v>
      </c>
      <c r="AZ237" s="247">
        <f t="shared" ref="AZ237:BC237" si="608">AVERAGE(AZ236,AZ234)</f>
        <v>400.4</v>
      </c>
      <c r="BA237" s="247">
        <f t="shared" si="608"/>
        <v>400.4</v>
      </c>
      <c r="BB237" s="247">
        <f t="shared" si="608"/>
        <v>400.4</v>
      </c>
      <c r="BC237" s="247">
        <f t="shared" si="608"/>
        <v>377.29999999999995</v>
      </c>
      <c r="BD237" s="840">
        <f t="shared" ref="BD237" si="609">SUM(AZ237*AZ$3,BA237*BA$3,BB237*BB$3,BC237*BC$3)/BD$3</f>
        <v>394.625</v>
      </c>
      <c r="BE237" s="247">
        <f t="shared" ref="BE237" si="610">AVERAGE(BE236,BE234)</f>
        <v>354.2</v>
      </c>
      <c r="BF237" s="247">
        <f>AVERAGE(BF236,BF234)</f>
        <v>354.2</v>
      </c>
      <c r="BG237" s="247">
        <f>AVERAGE(BG236,BG234)</f>
        <v>356.5</v>
      </c>
      <c r="BH237" s="247">
        <f t="shared" ref="BH237" si="611">AVERAGE(BH236,BH234)</f>
        <v>358.8</v>
      </c>
      <c r="BI237" s="840">
        <f t="shared" ref="BI237" si="612">SUM(BE237*BE$3,BF237*BF$3,BG237*BG$3,BH237*BH$3)/BI$3</f>
        <v>355.92500000000001</v>
      </c>
      <c r="BJ237" s="977">
        <f>AVERAGE(BJ236,BJ234)</f>
        <v>357.15</v>
      </c>
      <c r="BK237" s="247">
        <f>AVERAGE(BK236,BK234)</f>
        <v>355.5</v>
      </c>
      <c r="BL237" s="247">
        <f>AVERAGE(BL236,BL234)</f>
        <v>355.5</v>
      </c>
      <c r="BM237" s="247">
        <f>AVERAGE(BM236,BM234)</f>
        <v>355.5</v>
      </c>
      <c r="BN237" s="840">
        <f>SUM(BJ237*BJ$3,BK237*BK$3,BL237*BL$3,BM237*BM$3)/BN$3</f>
        <v>355.90471698113208</v>
      </c>
      <c r="BO237" s="247">
        <f>AVERAGE(BO236,BO234)</f>
        <v>355.5</v>
      </c>
      <c r="BP237" s="247">
        <f>AVERAGE(BP236,BP234)</f>
        <v>355.5</v>
      </c>
      <c r="BQ237" s="247">
        <f>AVERAGE(BQ236,BQ234)</f>
        <v>355.5</v>
      </c>
      <c r="BR237" s="247">
        <f>AVERAGE(BR236,BR234)</f>
        <v>355.5</v>
      </c>
      <c r="BS237" s="840">
        <f>SUM(BO237*BO$3,BP237*BP$3,BQ237*BQ$3,BR237*BR$3)/BS$3</f>
        <v>355.5</v>
      </c>
      <c r="BT237" s="840">
        <f>AVERAGE(BT236,BT234)</f>
        <v>355.5</v>
      </c>
      <c r="BU237" s="840">
        <f>AVERAGE(BU236,BU234)</f>
        <v>355.5</v>
      </c>
      <c r="BV237" s="840">
        <f>AVERAGE(BV236,BV234)</f>
        <v>355.5</v>
      </c>
      <c r="BW237" s="168"/>
    </row>
    <row r="238" spans="1:75" s="169" customFormat="1" ht="14.25" hidden="1" outlineLevel="2" x14ac:dyDescent="0.45">
      <c r="A238" s="163"/>
      <c r="B238" s="1121"/>
      <c r="C238" s="840"/>
      <c r="D238" s="840"/>
      <c r="E238" s="840"/>
      <c r="F238" s="840"/>
      <c r="G238" s="247"/>
      <c r="H238" s="247"/>
      <c r="I238" s="247"/>
      <c r="J238" s="247"/>
      <c r="K238" s="840"/>
      <c r="L238" s="247"/>
      <c r="M238" s="247"/>
      <c r="N238" s="247"/>
      <c r="O238" s="247"/>
      <c r="P238" s="840"/>
      <c r="Q238" s="247"/>
      <c r="R238" s="247"/>
      <c r="S238" s="247"/>
      <c r="T238" s="247"/>
      <c r="U238" s="840"/>
      <c r="V238" s="247"/>
      <c r="W238" s="247"/>
      <c r="X238" s="247"/>
      <c r="Y238" s="247"/>
      <c r="Z238" s="840"/>
      <c r="AA238" s="247"/>
      <c r="AB238" s="247"/>
      <c r="AC238" s="247"/>
      <c r="AD238" s="247"/>
      <c r="AE238" s="840"/>
      <c r="AF238" s="247"/>
      <c r="AG238" s="247"/>
      <c r="AH238" s="247"/>
      <c r="AI238" s="247"/>
      <c r="AJ238" s="840"/>
      <c r="AK238" s="247"/>
      <c r="AL238" s="247"/>
      <c r="AM238" s="247"/>
      <c r="AN238" s="247"/>
      <c r="AO238" s="840"/>
      <c r="AP238" s="247"/>
      <c r="AQ238" s="247"/>
      <c r="AR238" s="247"/>
      <c r="AS238" s="247"/>
      <c r="AT238" s="840"/>
      <c r="AU238" s="247"/>
      <c r="AV238" s="247"/>
      <c r="AW238" s="247"/>
      <c r="AX238" s="247"/>
      <c r="AY238" s="840"/>
      <c r="AZ238" s="247"/>
      <c r="BA238" s="247"/>
      <c r="BB238" s="247"/>
      <c r="BC238" s="247"/>
      <c r="BD238" s="840"/>
      <c r="BE238" s="247"/>
      <c r="BF238" s="247"/>
      <c r="BG238" s="247"/>
      <c r="BH238" s="247"/>
      <c r="BI238" s="840"/>
      <c r="BJ238" s="977"/>
      <c r="BK238" s="247"/>
      <c r="BL238" s="247"/>
      <c r="BM238" s="247"/>
      <c r="BN238" s="840"/>
      <c r="BO238" s="247"/>
      <c r="BP238" s="247"/>
      <c r="BQ238" s="247"/>
      <c r="BR238" s="247"/>
      <c r="BS238" s="840"/>
      <c r="BT238" s="840"/>
      <c r="BU238" s="840"/>
      <c r="BV238" s="840"/>
      <c r="BW238" s="168"/>
    </row>
    <row r="239" spans="1:75" s="198" customFormat="1" ht="14.25" hidden="1" outlineLevel="1" collapsed="1" x14ac:dyDescent="0.45">
      <c r="A239" s="206" t="s">
        <v>1653</v>
      </c>
      <c r="B239" s="485"/>
      <c r="C239" s="397">
        <f>C289</f>
        <v>596.23900000000003</v>
      </c>
      <c r="D239" s="397">
        <f>D289</f>
        <v>685.28199999999993</v>
      </c>
      <c r="E239" s="397">
        <f>E289</f>
        <v>733.83500000000004</v>
      </c>
      <c r="F239" s="397">
        <f>F289</f>
        <v>777.59699999999998</v>
      </c>
      <c r="G239" s="295"/>
      <c r="H239" s="295"/>
      <c r="I239" s="295"/>
      <c r="J239" s="295"/>
      <c r="K239" s="397">
        <f>K289</f>
        <v>844.077</v>
      </c>
      <c r="L239" s="295"/>
      <c r="M239" s="295"/>
      <c r="N239" s="295"/>
      <c r="O239" s="295"/>
      <c r="P239" s="397">
        <f>P289</f>
        <v>885.21100000000001</v>
      </c>
      <c r="Q239" s="295"/>
      <c r="R239" s="295"/>
      <c r="S239" s="295"/>
      <c r="T239" s="295"/>
      <c r="U239" s="397">
        <f>U289</f>
        <v>893.67499999999995</v>
      </c>
      <c r="V239" s="295"/>
      <c r="W239" s="295"/>
      <c r="X239" s="295"/>
      <c r="Y239" s="295"/>
      <c r="Z239" s="397">
        <f>Z289</f>
        <v>873.19899999999996</v>
      </c>
      <c r="AA239" s="295"/>
      <c r="AB239" s="295"/>
      <c r="AC239" s="295"/>
      <c r="AD239" s="295"/>
      <c r="AE239" s="397">
        <f t="shared" ref="AE239:BJ239" si="613">AE289</f>
        <v>860.46799999999996</v>
      </c>
      <c r="AF239" s="295">
        <f t="shared" si="613"/>
        <v>180.39599999999999</v>
      </c>
      <c r="AG239" s="295">
        <f t="shared" si="613"/>
        <v>213.80699999999999</v>
      </c>
      <c r="AH239" s="295">
        <f t="shared" si="613"/>
        <v>227.33099999999999</v>
      </c>
      <c r="AI239" s="295">
        <f t="shared" si="613"/>
        <v>274.22799999999995</v>
      </c>
      <c r="AJ239" s="397">
        <f t="shared" si="613"/>
        <v>895.76199999999994</v>
      </c>
      <c r="AK239" s="295">
        <f t="shared" si="613"/>
        <v>177.04599999999999</v>
      </c>
      <c r="AL239" s="295">
        <f t="shared" si="613"/>
        <v>227.85300000000001</v>
      </c>
      <c r="AM239" s="295">
        <f t="shared" si="613"/>
        <v>228.05099999999999</v>
      </c>
      <c r="AN239" s="295">
        <f t="shared" si="613"/>
        <v>275.61099999999999</v>
      </c>
      <c r="AO239" s="397">
        <f t="shared" si="613"/>
        <v>908.56100000000004</v>
      </c>
      <c r="AP239" s="295">
        <f t="shared" si="613"/>
        <v>188.55199999999999</v>
      </c>
      <c r="AQ239" s="295">
        <f t="shared" si="613"/>
        <v>235.98699999999999</v>
      </c>
      <c r="AR239" s="295">
        <f t="shared" si="613"/>
        <v>277.59800000000001</v>
      </c>
      <c r="AS239" s="295">
        <f t="shared" si="613"/>
        <v>340.39400000000001</v>
      </c>
      <c r="AT239" s="397">
        <f t="shared" si="613"/>
        <v>1042.5309999999999</v>
      </c>
      <c r="AU239" s="295">
        <f t="shared" si="613"/>
        <v>236.06700000000001</v>
      </c>
      <c r="AV239" s="295">
        <f t="shared" si="613"/>
        <v>273.93700000000001</v>
      </c>
      <c r="AW239" s="295">
        <f t="shared" si="613"/>
        <v>316.41699999999997</v>
      </c>
      <c r="AX239" s="295">
        <f t="shared" si="613"/>
        <v>313.47199999999998</v>
      </c>
      <c r="AY239" s="397">
        <f t="shared" si="613"/>
        <v>1139.893</v>
      </c>
      <c r="AZ239" s="295">
        <f t="shared" si="613"/>
        <v>226.96899999999999</v>
      </c>
      <c r="BA239" s="295">
        <f t="shared" si="613"/>
        <v>284.16199999999998</v>
      </c>
      <c r="BB239" s="295">
        <f t="shared" si="613"/>
        <v>299.11200000000002</v>
      </c>
      <c r="BC239" s="197">
        <f t="shared" si="613"/>
        <v>322.69399999999996</v>
      </c>
      <c r="BD239" s="672">
        <f t="shared" si="613"/>
        <v>1132.9369999999999</v>
      </c>
      <c r="BE239" s="295">
        <f t="shared" si="613"/>
        <v>216.221</v>
      </c>
      <c r="BF239" s="295">
        <f t="shared" si="613"/>
        <v>255.98699999999999</v>
      </c>
      <c r="BG239" s="295">
        <f t="shared" si="613"/>
        <v>276.71499999999997</v>
      </c>
      <c r="BH239" s="197">
        <f t="shared" si="613"/>
        <v>311.54700000000003</v>
      </c>
      <c r="BI239" s="672">
        <f t="shared" si="613"/>
        <v>1060.47</v>
      </c>
      <c r="BJ239" s="1030">
        <f t="shared" si="613"/>
        <v>221.80199999999999</v>
      </c>
      <c r="BK239" s="295">
        <f>BF239*(1+BK242)</f>
        <v>252.14719499999998</v>
      </c>
      <c r="BL239" s="295">
        <f>BG239*(1+BL242)</f>
        <v>272.56427499999995</v>
      </c>
      <c r="BM239" s="295">
        <f>BH239*(1+BM242)</f>
        <v>306.87379500000003</v>
      </c>
      <c r="BN239" s="397">
        <f>BN289</f>
        <v>1053.3872649999998</v>
      </c>
      <c r="BO239" s="295">
        <f>BJ239*(1+BO242)</f>
        <v>231.78308999999999</v>
      </c>
      <c r="BP239" s="295">
        <f>BK239*(1+BP242)</f>
        <v>271.05823462499995</v>
      </c>
      <c r="BQ239" s="295">
        <f>BL239*(1+BQ242)</f>
        <v>284.82966737499993</v>
      </c>
      <c r="BR239" s="295">
        <f>BM239*(1+BR242)</f>
        <v>320.68311577500003</v>
      </c>
      <c r="BS239" s="397">
        <f>BS289</f>
        <v>1108.3541077749999</v>
      </c>
      <c r="BT239" s="397">
        <f>BS239*(1+BT242)</f>
        <v>1152.6882720859999</v>
      </c>
      <c r="BU239" s="397">
        <f>BT239*(1+BU242)</f>
        <v>1198.7958029694398</v>
      </c>
      <c r="BV239" s="397">
        <f>BU239*(1+BV242)</f>
        <v>1246.7476350882175</v>
      </c>
      <c r="BW239" s="197"/>
    </row>
    <row r="240" spans="1:75" s="177" customFormat="1" ht="14.25" hidden="1" outlineLevel="1" x14ac:dyDescent="0.45">
      <c r="A240" s="523" t="s">
        <v>1654</v>
      </c>
      <c r="B240" s="491"/>
      <c r="C240" s="417"/>
      <c r="D240" s="417"/>
      <c r="E240" s="417"/>
      <c r="F240" s="417"/>
      <c r="G240" s="378"/>
      <c r="H240" s="378"/>
      <c r="I240" s="378"/>
      <c r="J240" s="378"/>
      <c r="K240" s="417"/>
      <c r="L240" s="378"/>
      <c r="M240" s="378"/>
      <c r="N240" s="378"/>
      <c r="O240" s="378"/>
      <c r="P240" s="417"/>
      <c r="Q240" s="378"/>
      <c r="R240" s="378"/>
      <c r="S240" s="378"/>
      <c r="T240" s="378"/>
      <c r="U240" s="417"/>
      <c r="V240" s="378"/>
      <c r="W240" s="378"/>
      <c r="X240" s="378"/>
      <c r="Y240" s="378"/>
      <c r="Z240" s="417"/>
      <c r="AA240" s="378"/>
      <c r="AB240" s="378"/>
      <c r="AC240" s="378"/>
      <c r="AD240" s="378"/>
      <c r="AE240" s="417"/>
      <c r="AF240" s="378"/>
      <c r="AG240" s="176">
        <f t="shared" ref="AG240:BJ240" si="614">AG279</f>
        <v>5.7000000000000002E-2</v>
      </c>
      <c r="AH240" s="176">
        <f t="shared" si="614"/>
        <v>0</v>
      </c>
      <c r="AI240" s="176">
        <f t="shared" si="614"/>
        <v>1.6E-2</v>
      </c>
      <c r="AJ240" s="1168">
        <f t="shared" si="614"/>
        <v>2.8000000000000001E-2</v>
      </c>
      <c r="AK240" s="176">
        <f t="shared" si="614"/>
        <v>1.2E-2</v>
      </c>
      <c r="AL240" s="176">
        <f t="shared" si="614"/>
        <v>3.6999999999999998E-2</v>
      </c>
      <c r="AM240" s="176">
        <f t="shared" si="614"/>
        <v>0.04</v>
      </c>
      <c r="AN240" s="176">
        <f t="shared" si="614"/>
        <v>7.9000000000000001E-2</v>
      </c>
      <c r="AO240" s="1168">
        <f t="shared" si="614"/>
        <v>4.4999999999999998E-2</v>
      </c>
      <c r="AP240" s="176">
        <f t="shared" si="614"/>
        <v>8.5000000000000006E-2</v>
      </c>
      <c r="AQ240" s="176">
        <f t="shared" si="614"/>
        <v>4.8000000000000001E-2</v>
      </c>
      <c r="AR240" s="176">
        <f t="shared" si="614"/>
        <v>0.23799999999999999</v>
      </c>
      <c r="AS240" s="176">
        <f t="shared" si="614"/>
        <v>0.25700000000000001</v>
      </c>
      <c r="AT240" s="1168">
        <f t="shared" si="614"/>
        <v>0.16600000000000001</v>
      </c>
      <c r="AU240" s="176">
        <f t="shared" si="614"/>
        <v>0.27600000000000002</v>
      </c>
      <c r="AV240" s="176">
        <f t="shared" si="614"/>
        <v>0.18</v>
      </c>
      <c r="AW240" s="176">
        <f t="shared" si="614"/>
        <v>0.16900000000000001</v>
      </c>
      <c r="AX240" s="176">
        <f t="shared" si="614"/>
        <v>-6.0999999999999999E-2</v>
      </c>
      <c r="AY240" s="1168">
        <f t="shared" si="614"/>
        <v>0.11600000000000001</v>
      </c>
      <c r="AZ240" s="176">
        <f t="shared" si="614"/>
        <v>-3.1E-2</v>
      </c>
      <c r="BA240" s="176">
        <f t="shared" si="614"/>
        <v>5.2999999999999999E-2</v>
      </c>
      <c r="BB240" s="176">
        <f t="shared" si="614"/>
        <v>-4.8000000000000001E-2</v>
      </c>
      <c r="BC240" s="176">
        <f t="shared" si="614"/>
        <v>0.04</v>
      </c>
      <c r="BD240" s="1168">
        <f t="shared" si="614"/>
        <v>4.0000000000000001E-3</v>
      </c>
      <c r="BE240" s="176">
        <f t="shared" si="614"/>
        <v>-3.3000000000000002E-2</v>
      </c>
      <c r="BF240" s="176">
        <f t="shared" si="614"/>
        <v>-0.09</v>
      </c>
      <c r="BG240" s="176">
        <f t="shared" si="614"/>
        <v>-6.9000000000000006E-2</v>
      </c>
      <c r="BH240" s="176">
        <f t="shared" si="614"/>
        <v>-2.5000000000000001E-2</v>
      </c>
      <c r="BI240" s="1168">
        <f t="shared" si="614"/>
        <v>-5.5E-2</v>
      </c>
      <c r="BJ240" s="1167">
        <f t="shared" si="614"/>
        <v>2.8000000000000001E-2</v>
      </c>
      <c r="BK240" s="766">
        <v>-0.01</v>
      </c>
      <c r="BL240" s="766">
        <v>-0.01</v>
      </c>
      <c r="BM240" s="766">
        <v>-0.01</v>
      </c>
      <c r="BN240" s="417">
        <f>SUM(BJ240*BE$239,BK240*BF$239,BL240*BG$239,BM240*BH$239)/BI$239</f>
        <v>-2.2521165143757015E-3</v>
      </c>
      <c r="BO240" s="766">
        <v>0.05</v>
      </c>
      <c r="BP240" s="766">
        <v>0.08</v>
      </c>
      <c r="BQ240" s="766">
        <v>0.05</v>
      </c>
      <c r="BR240" s="766">
        <v>0.05</v>
      </c>
      <c r="BS240" s="417">
        <f>SUM(BO240*BJ$239,BP240*BK$239,BQ240*BL$239,BR240*BM$239)/BN$239</f>
        <v>5.7181039776477656E-2</v>
      </c>
      <c r="BT240" s="767">
        <v>0.05</v>
      </c>
      <c r="BU240" s="767">
        <v>0.05</v>
      </c>
      <c r="BV240" s="767">
        <v>0.05</v>
      </c>
      <c r="BW240" s="176"/>
    </row>
    <row r="241" spans="1:75" s="177" customFormat="1" ht="14.25" hidden="1" outlineLevel="1" x14ac:dyDescent="0.45">
      <c r="A241" s="523" t="s">
        <v>1808</v>
      </c>
      <c r="B241" s="491"/>
      <c r="C241" s="417"/>
      <c r="D241" s="417"/>
      <c r="E241" s="417"/>
      <c r="F241" s="417"/>
      <c r="G241" s="378"/>
      <c r="H241" s="378"/>
      <c r="I241" s="378"/>
      <c r="J241" s="378"/>
      <c r="K241" s="417"/>
      <c r="L241" s="378"/>
      <c r="M241" s="378"/>
      <c r="N241" s="378"/>
      <c r="O241" s="378"/>
      <c r="P241" s="417"/>
      <c r="Q241" s="378"/>
      <c r="R241" s="378"/>
      <c r="S241" s="378"/>
      <c r="T241" s="378"/>
      <c r="U241" s="417"/>
      <c r="V241" s="378"/>
      <c r="W241" s="378"/>
      <c r="X241" s="378"/>
      <c r="Y241" s="378"/>
      <c r="Z241" s="417"/>
      <c r="AA241" s="378"/>
      <c r="AB241" s="378"/>
      <c r="AC241" s="378"/>
      <c r="AD241" s="378"/>
      <c r="AE241" s="417"/>
      <c r="AF241" s="378"/>
      <c r="AG241" s="378"/>
      <c r="AH241" s="378"/>
      <c r="AI241" s="378"/>
      <c r="AJ241" s="1168">
        <f t="shared" ref="AJ241:BA241" si="615">AJ242-AJ240</f>
        <v>1.3017213888256076E-2</v>
      </c>
      <c r="AK241" s="176">
        <f t="shared" si="615"/>
        <v>-3.0570256546708297E-2</v>
      </c>
      <c r="AL241" s="176">
        <f t="shared" si="615"/>
        <v>2.8694762098528205E-2</v>
      </c>
      <c r="AM241" s="176">
        <f t="shared" si="615"/>
        <v>-3.6832812066986041E-2</v>
      </c>
      <c r="AN241" s="176">
        <f t="shared" si="615"/>
        <v>-7.3956751316422584E-2</v>
      </c>
      <c r="AO241" s="1168">
        <f t="shared" si="615"/>
        <v>-3.0711606431172392E-2</v>
      </c>
      <c r="AP241" s="176">
        <f t="shared" si="615"/>
        <v>-2.0011240016718765E-2</v>
      </c>
      <c r="AQ241" s="176">
        <f t="shared" si="615"/>
        <v>-1.2301545294554031E-2</v>
      </c>
      <c r="AR241" s="176">
        <f t="shared" si="615"/>
        <v>-2.0737194750297006E-2</v>
      </c>
      <c r="AS241" s="176">
        <f t="shared" si="615"/>
        <v>-2.1947698023663809E-2</v>
      </c>
      <c r="AT241" s="1168">
        <f t="shared" si="615"/>
        <v>-1.8547049675255861E-2</v>
      </c>
      <c r="AU241" s="176">
        <f t="shared" si="615"/>
        <v>-2.4000551571980111E-2</v>
      </c>
      <c r="AV241" s="176">
        <f t="shared" si="615"/>
        <v>-1.9186056859064105E-2</v>
      </c>
      <c r="AW241" s="176">
        <f t="shared" si="615"/>
        <v>-2.9161096261500513E-2</v>
      </c>
      <c r="AX241" s="176">
        <f t="shared" si="615"/>
        <v>-1.809070077615943E-2</v>
      </c>
      <c r="AY241" s="1168">
        <f t="shared" si="615"/>
        <v>-2.2609971310205604E-2</v>
      </c>
      <c r="AZ241" s="176">
        <f t="shared" si="615"/>
        <v>-7.539906043623229E-3</v>
      </c>
      <c r="BA241" s="176">
        <f t="shared" si="615"/>
        <v>-1.567389947323667E-2</v>
      </c>
      <c r="BB241" s="176">
        <f>BB242-BB240</f>
        <v>-6.6904875528178004E-3</v>
      </c>
      <c r="BC241" s="176">
        <f t="shared" ref="BC241:BJ241" si="616">BC242-BC240</f>
        <v>-1.0581104532462381E-2</v>
      </c>
      <c r="BD241" s="1168">
        <f t="shared" si="616"/>
        <v>-1.0102327148249986E-2</v>
      </c>
      <c r="BE241" s="176">
        <f t="shared" si="616"/>
        <v>-1.4354484533130069E-2</v>
      </c>
      <c r="BF241" s="176">
        <f t="shared" si="616"/>
        <v>-9.1511884066130811E-3</v>
      </c>
      <c r="BG241" s="176">
        <f t="shared" si="616"/>
        <v>-5.8783064537700214E-3</v>
      </c>
      <c r="BH241" s="176">
        <f t="shared" si="616"/>
        <v>-9.5435613925264548E-3</v>
      </c>
      <c r="BI241" s="1168">
        <f t="shared" si="616"/>
        <v>-8.9638391190330277E-3</v>
      </c>
      <c r="BJ241" s="1167">
        <f t="shared" si="616"/>
        <v>-2.1884460806304885E-3</v>
      </c>
      <c r="BK241" s="766">
        <v>-5.0000000000000001E-3</v>
      </c>
      <c r="BL241" s="766">
        <v>-5.0000000000000001E-3</v>
      </c>
      <c r="BM241" s="766">
        <v>-5.0000000000000001E-3</v>
      </c>
      <c r="BN241" s="417">
        <f>BN242-BN240</f>
        <v>-4.4267475741889602E-3</v>
      </c>
      <c r="BO241" s="766">
        <v>-5.0000000000000001E-3</v>
      </c>
      <c r="BP241" s="766">
        <v>-5.0000000000000001E-3</v>
      </c>
      <c r="BQ241" s="766">
        <v>-5.0000000000000001E-3</v>
      </c>
      <c r="BR241" s="766">
        <v>-5.0000000000000001E-3</v>
      </c>
      <c r="BS241" s="417">
        <f>BS242-BS240</f>
        <v>-4.9999999999999559E-3</v>
      </c>
      <c r="BT241" s="767">
        <v>-0.01</v>
      </c>
      <c r="BU241" s="767">
        <v>-0.01</v>
      </c>
      <c r="BV241" s="767">
        <v>-0.01</v>
      </c>
      <c r="BW241" s="176"/>
    </row>
    <row r="242" spans="1:75" s="177" customFormat="1" ht="14.25" hidden="1" outlineLevel="1" x14ac:dyDescent="0.45">
      <c r="A242" s="1181" t="s">
        <v>1655</v>
      </c>
      <c r="B242" s="1182"/>
      <c r="C242" s="1183"/>
      <c r="D242" s="1183">
        <f>D239/C239-1</f>
        <v>0.14934111992003185</v>
      </c>
      <c r="E242" s="1183">
        <f>E239/D239-1</f>
        <v>7.0851124062794701E-2</v>
      </c>
      <c r="F242" s="1183">
        <f>F239/E239-1</f>
        <v>5.9634659017353986E-2</v>
      </c>
      <c r="G242" s="1184"/>
      <c r="H242" s="1184"/>
      <c r="I242" s="1184"/>
      <c r="J242" s="1184"/>
      <c r="K242" s="1183">
        <f>K239/F239-1</f>
        <v>8.5494156999062598E-2</v>
      </c>
      <c r="L242" s="1184"/>
      <c r="M242" s="1184"/>
      <c r="N242" s="1184"/>
      <c r="O242" s="1184"/>
      <c r="P242" s="1183">
        <f>P239/K239-1</f>
        <v>4.8732520848216554E-2</v>
      </c>
      <c r="Q242" s="1184"/>
      <c r="R242" s="1184"/>
      <c r="S242" s="1184"/>
      <c r="T242" s="1184"/>
      <c r="U242" s="1183">
        <f>U239/P239-1</f>
        <v>9.5615621586264687E-3</v>
      </c>
      <c r="V242" s="1184"/>
      <c r="W242" s="1184"/>
      <c r="X242" s="1184"/>
      <c r="Y242" s="1184"/>
      <c r="Z242" s="1183">
        <f>Z239/U239-1</f>
        <v>-2.2912132486642256E-2</v>
      </c>
      <c r="AA242" s="1184"/>
      <c r="AB242" s="1184"/>
      <c r="AC242" s="1184"/>
      <c r="AD242" s="1184"/>
      <c r="AE242" s="1183">
        <f>AE239/Z239-1</f>
        <v>-1.457972352235859E-2</v>
      </c>
      <c r="AF242" s="1184"/>
      <c r="AG242" s="1184"/>
      <c r="AH242" s="1184"/>
      <c r="AI242" s="1184"/>
      <c r="AJ242" s="1183">
        <f t="shared" ref="AJ242:BJ242" si="617">AJ239/AE239-1</f>
        <v>4.1017213888256077E-2</v>
      </c>
      <c r="AK242" s="1184">
        <f t="shared" si="617"/>
        <v>-1.8570256546708297E-2</v>
      </c>
      <c r="AL242" s="1184">
        <f t="shared" si="617"/>
        <v>6.5694762098528203E-2</v>
      </c>
      <c r="AM242" s="1184">
        <f t="shared" si="617"/>
        <v>3.1671879330139596E-3</v>
      </c>
      <c r="AN242" s="1184">
        <f t="shared" si="617"/>
        <v>5.0432486835774171E-3</v>
      </c>
      <c r="AO242" s="1183">
        <f t="shared" si="617"/>
        <v>1.4288393568827606E-2</v>
      </c>
      <c r="AP242" s="1184">
        <f t="shared" si="617"/>
        <v>6.4988759983281241E-2</v>
      </c>
      <c r="AQ242" s="1184">
        <f t="shared" si="617"/>
        <v>3.569845470544597E-2</v>
      </c>
      <c r="AR242" s="1184">
        <f t="shared" si="617"/>
        <v>0.21726280524970298</v>
      </c>
      <c r="AS242" s="1184">
        <f t="shared" si="617"/>
        <v>0.2350523019763362</v>
      </c>
      <c r="AT242" s="1183">
        <f t="shared" si="617"/>
        <v>0.14745295032474415</v>
      </c>
      <c r="AU242" s="1184">
        <f t="shared" si="617"/>
        <v>0.25199944842801991</v>
      </c>
      <c r="AV242" s="1184">
        <f t="shared" si="617"/>
        <v>0.16081394314093589</v>
      </c>
      <c r="AW242" s="1184">
        <f t="shared" si="617"/>
        <v>0.1398389037384995</v>
      </c>
      <c r="AX242" s="1184">
        <f t="shared" si="617"/>
        <v>-7.9090700776159428E-2</v>
      </c>
      <c r="AY242" s="1183">
        <f t="shared" si="617"/>
        <v>9.3390028689794402E-2</v>
      </c>
      <c r="AZ242" s="1184">
        <f t="shared" si="617"/>
        <v>-3.8539906043623229E-2</v>
      </c>
      <c r="BA242" s="1184">
        <f t="shared" si="617"/>
        <v>3.7326100526763328E-2</v>
      </c>
      <c r="BB242" s="1184">
        <f t="shared" si="617"/>
        <v>-5.4690487552817801E-2</v>
      </c>
      <c r="BC242" s="1185">
        <f t="shared" si="617"/>
        <v>2.941889546753762E-2</v>
      </c>
      <c r="BD242" s="1186">
        <f t="shared" si="617"/>
        <v>-6.1023271482499863E-3</v>
      </c>
      <c r="BE242" s="1184">
        <f t="shared" si="617"/>
        <v>-4.735448453313007E-2</v>
      </c>
      <c r="BF242" s="1184">
        <f t="shared" si="617"/>
        <v>-9.9151188406613078E-2</v>
      </c>
      <c r="BG242" s="1184">
        <f t="shared" si="617"/>
        <v>-7.4878306453770027E-2</v>
      </c>
      <c r="BH242" s="1185">
        <f t="shared" si="617"/>
        <v>-3.4543561392526456E-2</v>
      </c>
      <c r="BI242" s="1186">
        <f t="shared" si="617"/>
        <v>-6.3963839119033028E-2</v>
      </c>
      <c r="BJ242" s="1187">
        <f t="shared" si="617"/>
        <v>2.5811553919369512E-2</v>
      </c>
      <c r="BK242" s="1184">
        <f>SUM(BK240:BK241)</f>
        <v>-1.4999999999999999E-2</v>
      </c>
      <c r="BL242" s="1184">
        <f>SUM(BL240:BL241)</f>
        <v>-1.4999999999999999E-2</v>
      </c>
      <c r="BM242" s="1184">
        <f>SUM(BM240:BM241)</f>
        <v>-1.4999999999999999E-2</v>
      </c>
      <c r="BN242" s="1183">
        <f>BN239/BI239-1</f>
        <v>-6.6788640885646622E-3</v>
      </c>
      <c r="BO242" s="1184">
        <f>SUM(BO240:BO241)</f>
        <v>4.5000000000000005E-2</v>
      </c>
      <c r="BP242" s="1184">
        <f>SUM(BP240:BP241)</f>
        <v>7.4999999999999997E-2</v>
      </c>
      <c r="BQ242" s="1184">
        <f>SUM(BQ240:BQ241)</f>
        <v>4.5000000000000005E-2</v>
      </c>
      <c r="BR242" s="1184">
        <f>SUM(BR240:BR241)</f>
        <v>4.5000000000000005E-2</v>
      </c>
      <c r="BS242" s="1183">
        <f>BS239/BN239-1</f>
        <v>5.21810397764777E-2</v>
      </c>
      <c r="BT242" s="1183">
        <f>SUM(BT240:BT241)</f>
        <v>0.04</v>
      </c>
      <c r="BU242" s="1183">
        <f>SUM(BU240:BU241)</f>
        <v>0.04</v>
      </c>
      <c r="BV242" s="1183">
        <f>SUM(BV240:BV241)</f>
        <v>0.04</v>
      </c>
      <c r="BW242" s="176"/>
    </row>
    <row r="243" spans="1:75" s="123" customFormat="1" collapsed="1" x14ac:dyDescent="0.5">
      <c r="A243" s="184"/>
      <c r="B243" s="489"/>
      <c r="C243" s="401"/>
      <c r="D243" s="401"/>
      <c r="E243" s="401"/>
      <c r="F243" s="401"/>
      <c r="G243" s="118"/>
      <c r="H243" s="118"/>
      <c r="I243" s="118"/>
      <c r="J243" s="118"/>
      <c r="K243" s="401"/>
      <c r="L243" s="118"/>
      <c r="M243" s="118"/>
      <c r="N243" s="118"/>
      <c r="O243" s="118"/>
      <c r="P243" s="401"/>
      <c r="Q243" s="118"/>
      <c r="R243" s="118"/>
      <c r="S243" s="118"/>
      <c r="T243" s="118"/>
      <c r="U243" s="401"/>
      <c r="V243" s="118"/>
      <c r="W243" s="118"/>
      <c r="X243" s="118"/>
      <c r="Y243" s="118"/>
      <c r="Z243" s="401"/>
      <c r="AA243" s="118"/>
      <c r="AB243" s="118"/>
      <c r="AC243" s="118"/>
      <c r="AD243" s="118"/>
      <c r="AE243" s="401"/>
      <c r="AF243" s="118"/>
      <c r="AG243" s="118"/>
      <c r="AH243" s="118"/>
      <c r="AI243" s="118"/>
      <c r="AJ243" s="401"/>
      <c r="AK243" s="118"/>
      <c r="AL243" s="118"/>
      <c r="AM243" s="118"/>
      <c r="AN243" s="118"/>
      <c r="AO243" s="401"/>
      <c r="AP243" s="118"/>
      <c r="AQ243" s="118"/>
      <c r="AR243" s="118"/>
      <c r="AS243" s="118"/>
      <c r="AT243" s="401"/>
      <c r="AU243" s="118"/>
      <c r="AV243" s="118"/>
      <c r="AW243" s="118"/>
      <c r="AX243" s="118"/>
      <c r="AY243" s="401"/>
      <c r="AZ243" s="118"/>
      <c r="BA243" s="118"/>
      <c r="BB243" s="118"/>
      <c r="BC243" s="118"/>
      <c r="BD243" s="401"/>
      <c r="BE243" s="118"/>
      <c r="BF243" s="118"/>
      <c r="BG243" s="118"/>
      <c r="BH243" s="118"/>
      <c r="BI243" s="401"/>
      <c r="BJ243" s="971"/>
      <c r="BK243" s="118"/>
      <c r="BL243" s="118"/>
      <c r="BM243" s="118"/>
      <c r="BN243" s="401"/>
      <c r="BO243" s="118"/>
      <c r="BP243" s="118"/>
      <c r="BQ243" s="118"/>
      <c r="BR243" s="118"/>
      <c r="BS243" s="401"/>
      <c r="BT243" s="401"/>
      <c r="BU243" s="401"/>
      <c r="BV243" s="401"/>
      <c r="BW243" s="122"/>
    </row>
    <row r="244" spans="1:75" s="198" customFormat="1" ht="14.25" x14ac:dyDescent="0.45">
      <c r="A244" s="239" t="s">
        <v>1809</v>
      </c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  <c r="AA244" s="239"/>
      <c r="AB244" s="239"/>
      <c r="AC244" s="239"/>
      <c r="AD244" s="239"/>
      <c r="AE244" s="239"/>
      <c r="AF244" s="239"/>
      <c r="AG244" s="239"/>
      <c r="AH244" s="239"/>
      <c r="AI244" s="239"/>
      <c r="AJ244" s="239"/>
      <c r="AK244" s="239"/>
      <c r="AL244" s="239"/>
      <c r="AM244" s="239"/>
      <c r="AN244" s="239"/>
      <c r="AO244" s="239"/>
      <c r="AP244" s="239"/>
      <c r="AQ244" s="239"/>
      <c r="AR244" s="239"/>
      <c r="AS244" s="239"/>
      <c r="AT244" s="239"/>
      <c r="AU244" s="239"/>
      <c r="AV244" s="239"/>
      <c r="AW244" s="239"/>
      <c r="AX244" s="239"/>
      <c r="AY244" s="239"/>
      <c r="AZ244" s="239"/>
      <c r="BA244" s="239"/>
      <c r="BB244" s="239"/>
      <c r="BC244" s="239"/>
      <c r="BD244" s="239"/>
      <c r="BE244" s="239"/>
      <c r="BF244" s="239"/>
      <c r="BG244" s="239"/>
      <c r="BH244" s="239"/>
      <c r="BI244" s="239"/>
      <c r="BJ244" s="241"/>
      <c r="BK244" s="239"/>
      <c r="BL244" s="239"/>
      <c r="BM244" s="239"/>
      <c r="BN244" s="239"/>
      <c r="BO244" s="239"/>
      <c r="BP244" s="239"/>
      <c r="BQ244" s="239"/>
      <c r="BR244" s="239"/>
      <c r="BS244" s="239"/>
      <c r="BT244" s="239"/>
      <c r="BU244" s="239"/>
      <c r="BV244" s="239"/>
      <c r="BW244" s="197"/>
    </row>
    <row r="245" spans="1:75" s="169" customFormat="1" ht="14.25" hidden="1" outlineLevel="2" x14ac:dyDescent="0.45">
      <c r="A245" s="558" t="s">
        <v>1810</v>
      </c>
      <c r="B245" s="1121"/>
      <c r="C245" s="840"/>
      <c r="D245" s="840"/>
      <c r="E245" s="1123">
        <f t="shared" ref="E245:J245" si="618">D248</f>
        <v>0</v>
      </c>
      <c r="F245" s="1123">
        <f t="shared" si="618"/>
        <v>3</v>
      </c>
      <c r="G245" s="168">
        <f t="shared" si="618"/>
        <v>4</v>
      </c>
      <c r="H245" s="168">
        <f t="shared" si="618"/>
        <v>4</v>
      </c>
      <c r="I245" s="168">
        <f t="shared" si="618"/>
        <v>4</v>
      </c>
      <c r="J245" s="168">
        <f t="shared" si="618"/>
        <v>4</v>
      </c>
      <c r="K245" s="1123">
        <f>F248</f>
        <v>4</v>
      </c>
      <c r="L245" s="168">
        <f>K248</f>
        <v>4</v>
      </c>
      <c r="M245" s="168">
        <f>L248</f>
        <v>4</v>
      </c>
      <c r="N245" s="168">
        <f>M248</f>
        <v>4</v>
      </c>
      <c r="O245" s="168">
        <f>N248</f>
        <v>4</v>
      </c>
      <c r="P245" s="1123">
        <f>K248</f>
        <v>4</v>
      </c>
      <c r="Q245" s="168">
        <f>P248</f>
        <v>5</v>
      </c>
      <c r="R245" s="168">
        <f>Q248</f>
        <v>5</v>
      </c>
      <c r="S245" s="168">
        <f>R248</f>
        <v>5</v>
      </c>
      <c r="T245" s="168">
        <f>S248</f>
        <v>6</v>
      </c>
      <c r="U245" s="1123">
        <f>P248</f>
        <v>5</v>
      </c>
      <c r="V245" s="168">
        <f>U248</f>
        <v>6</v>
      </c>
      <c r="W245" s="168">
        <f>V248</f>
        <v>6</v>
      </c>
      <c r="X245" s="168">
        <f>W248</f>
        <v>6</v>
      </c>
      <c r="Y245" s="168">
        <f>X248</f>
        <v>6</v>
      </c>
      <c r="Z245" s="1123">
        <f>U248</f>
        <v>6</v>
      </c>
      <c r="AA245" s="168">
        <f>Z248</f>
        <v>7</v>
      </c>
      <c r="AB245" s="168">
        <f>AA248</f>
        <v>8</v>
      </c>
      <c r="AC245" s="168">
        <f>AB248</f>
        <v>8</v>
      </c>
      <c r="AD245" s="168">
        <f>AC248</f>
        <v>8</v>
      </c>
      <c r="AE245" s="1123">
        <f>Z248</f>
        <v>7</v>
      </c>
      <c r="AF245" s="168">
        <f>AE248</f>
        <v>8</v>
      </c>
      <c r="AG245" s="168">
        <f>AF248</f>
        <v>8</v>
      </c>
      <c r="AH245" s="168">
        <f>AG248</f>
        <v>8</v>
      </c>
      <c r="AI245" s="168">
        <f>AH248</f>
        <v>8</v>
      </c>
      <c r="AJ245" s="1123">
        <f>AE248</f>
        <v>8</v>
      </c>
      <c r="AK245" s="168">
        <f>AJ248</f>
        <v>10</v>
      </c>
      <c r="AL245" s="168">
        <f>AK248</f>
        <v>10</v>
      </c>
      <c r="AM245" s="168">
        <f>AL248</f>
        <v>10</v>
      </c>
      <c r="AN245" s="168">
        <f>AM248</f>
        <v>10</v>
      </c>
      <c r="AO245" s="1123">
        <f>AJ248</f>
        <v>10</v>
      </c>
      <c r="AP245" s="168">
        <f>AO248</f>
        <v>10</v>
      </c>
      <c r="AQ245" s="168">
        <f>AP248</f>
        <v>10</v>
      </c>
      <c r="AR245" s="168">
        <f>AQ248</f>
        <v>10</v>
      </c>
      <c r="AS245" s="168">
        <f>AR248</f>
        <v>10</v>
      </c>
      <c r="AT245" s="1123">
        <f>AO248</f>
        <v>10</v>
      </c>
      <c r="AU245" s="168">
        <f>AT248</f>
        <v>10</v>
      </c>
      <c r="AV245" s="168">
        <f>AU248</f>
        <v>10</v>
      </c>
      <c r="AW245" s="168">
        <f>AV248</f>
        <v>10</v>
      </c>
      <c r="AX245" s="168">
        <f>AW248</f>
        <v>10</v>
      </c>
      <c r="AY245" s="1123">
        <f>AT248</f>
        <v>10</v>
      </c>
      <c r="AZ245" s="168">
        <f>AY248</f>
        <v>9</v>
      </c>
      <c r="BA245" s="168">
        <f>AZ248</f>
        <v>9</v>
      </c>
      <c r="BB245" s="168">
        <f>BA248</f>
        <v>9</v>
      </c>
      <c r="BC245" s="168">
        <f>BB248</f>
        <v>9</v>
      </c>
      <c r="BD245" s="1123">
        <f>AY248</f>
        <v>9</v>
      </c>
      <c r="BE245" s="168">
        <f>BD248</f>
        <v>9</v>
      </c>
      <c r="BF245" s="168">
        <f>BE248</f>
        <v>9</v>
      </c>
      <c r="BG245" s="168">
        <f>BF248</f>
        <v>9</v>
      </c>
      <c r="BH245" s="168">
        <f>BG248</f>
        <v>10</v>
      </c>
      <c r="BI245" s="1123">
        <f>BD248</f>
        <v>9</v>
      </c>
      <c r="BJ245" s="1124">
        <f>BI248</f>
        <v>11</v>
      </c>
      <c r="BK245" s="247">
        <f>BJ248</f>
        <v>11</v>
      </c>
      <c r="BL245" s="247">
        <f>BK248</f>
        <v>11</v>
      </c>
      <c r="BM245" s="247">
        <f>BL248</f>
        <v>11</v>
      </c>
      <c r="BN245" s="840">
        <f>BI248</f>
        <v>11</v>
      </c>
      <c r="BO245" s="247">
        <f>BN248</f>
        <v>11</v>
      </c>
      <c r="BP245" s="247">
        <f>BO248</f>
        <v>11</v>
      </c>
      <c r="BQ245" s="247">
        <f>BP248</f>
        <v>11</v>
      </c>
      <c r="BR245" s="247">
        <f>BQ248</f>
        <v>11</v>
      </c>
      <c r="BS245" s="840">
        <f>BN248</f>
        <v>11</v>
      </c>
      <c r="BT245" s="840">
        <f>BS248</f>
        <v>11</v>
      </c>
      <c r="BU245" s="840">
        <f>BT248</f>
        <v>11</v>
      </c>
      <c r="BV245" s="840">
        <f>BU248</f>
        <v>11</v>
      </c>
      <c r="BW245" s="168"/>
    </row>
    <row r="246" spans="1:75" s="224" customFormat="1" hidden="1" outlineLevel="2" x14ac:dyDescent="0.5">
      <c r="A246" s="218" t="s">
        <v>1811</v>
      </c>
      <c r="B246" s="494"/>
      <c r="C246" s="425"/>
      <c r="D246" s="425"/>
      <c r="E246" s="427">
        <v>3</v>
      </c>
      <c r="F246" s="427">
        <f>0+0+1+0</f>
        <v>1</v>
      </c>
      <c r="G246" s="256">
        <v>0</v>
      </c>
      <c r="H246" s="256">
        <v>0</v>
      </c>
      <c r="I246" s="256">
        <v>0</v>
      </c>
      <c r="J246" s="256">
        <v>0</v>
      </c>
      <c r="K246" s="425">
        <f>SUM(G246,H246,I246,J246)</f>
        <v>0</v>
      </c>
      <c r="L246" s="256">
        <v>0</v>
      </c>
      <c r="M246" s="256">
        <v>0</v>
      </c>
      <c r="N246" s="256">
        <v>0</v>
      </c>
      <c r="O246" s="256">
        <v>1</v>
      </c>
      <c r="P246" s="425">
        <f>SUM(L246,M246,N246,O246)</f>
        <v>1</v>
      </c>
      <c r="Q246" s="256">
        <v>0</v>
      </c>
      <c r="R246" s="256">
        <v>0</v>
      </c>
      <c r="S246" s="256">
        <v>1</v>
      </c>
      <c r="T246" s="256">
        <v>0</v>
      </c>
      <c r="U246" s="425">
        <f>SUM(Q246,R246,S246,T246)</f>
        <v>1</v>
      </c>
      <c r="V246" s="256">
        <v>0</v>
      </c>
      <c r="W246" s="256">
        <v>0</v>
      </c>
      <c r="X246" s="256">
        <v>0</v>
      </c>
      <c r="Y246" s="256">
        <v>1</v>
      </c>
      <c r="Z246" s="425">
        <f>SUM(V246,W246,X246,Y246)</f>
        <v>1</v>
      </c>
      <c r="AA246" s="256">
        <v>1</v>
      </c>
      <c r="AB246" s="256">
        <v>0</v>
      </c>
      <c r="AC246" s="256">
        <v>0</v>
      </c>
      <c r="AD246" s="256">
        <v>0</v>
      </c>
      <c r="AE246" s="425">
        <f>SUM(AA246,AB246,AC246,AD246)</f>
        <v>1</v>
      </c>
      <c r="AF246" s="256">
        <v>0</v>
      </c>
      <c r="AG246" s="256">
        <v>0</v>
      </c>
      <c r="AH246" s="256">
        <v>0</v>
      </c>
      <c r="AI246" s="256">
        <v>2</v>
      </c>
      <c r="AJ246" s="425">
        <f>SUM(AF246,AG246,AH246,AI246)</f>
        <v>2</v>
      </c>
      <c r="AK246" s="256">
        <v>0</v>
      </c>
      <c r="AL246" s="256">
        <v>0</v>
      </c>
      <c r="AM246" s="256">
        <v>0</v>
      </c>
      <c r="AN246" s="256">
        <v>0</v>
      </c>
      <c r="AO246" s="425">
        <f>SUM(AK246,AL246,AM246,AN246)</f>
        <v>0</v>
      </c>
      <c r="AP246" s="256">
        <v>0</v>
      </c>
      <c r="AQ246" s="256">
        <v>0</v>
      </c>
      <c r="AR246" s="256">
        <v>0</v>
      </c>
      <c r="AS246" s="256">
        <v>0</v>
      </c>
      <c r="AT246" s="425">
        <f>SUM(AP246,AQ246,AR246,AS246)</f>
        <v>0</v>
      </c>
      <c r="AU246" s="256">
        <v>0</v>
      </c>
      <c r="AV246" s="256">
        <v>0</v>
      </c>
      <c r="AW246" s="256">
        <v>0</v>
      </c>
      <c r="AX246" s="256">
        <v>0</v>
      </c>
      <c r="AY246" s="425">
        <f>SUM(AU246,AV246,AW246,AX246)</f>
        <v>0</v>
      </c>
      <c r="AZ246" s="256">
        <v>0</v>
      </c>
      <c r="BA246" s="256">
        <v>0</v>
      </c>
      <c r="BB246" s="256">
        <v>0</v>
      </c>
      <c r="BC246" s="256">
        <v>0</v>
      </c>
      <c r="BD246" s="425">
        <f>SUM(AZ246,BA246,BB246,BC246)</f>
        <v>0</v>
      </c>
      <c r="BE246" s="256">
        <v>0</v>
      </c>
      <c r="BF246" s="256">
        <v>0</v>
      </c>
      <c r="BG246" s="256">
        <v>1</v>
      </c>
      <c r="BH246" s="256">
        <v>1</v>
      </c>
      <c r="BI246" s="425">
        <f>SUM(BE246,BF246,BG246,BH246)</f>
        <v>2</v>
      </c>
      <c r="BJ246" s="1126">
        <v>0</v>
      </c>
      <c r="BK246" s="256">
        <v>0</v>
      </c>
      <c r="BL246" s="256">
        <v>0</v>
      </c>
      <c r="BM246" s="256">
        <v>0</v>
      </c>
      <c r="BN246" s="425">
        <f>SUM(BJ246,BK246,BL246,BM246)</f>
        <v>0</v>
      </c>
      <c r="BO246" s="256">
        <v>0</v>
      </c>
      <c r="BP246" s="256">
        <v>0</v>
      </c>
      <c r="BQ246" s="256">
        <v>0</v>
      </c>
      <c r="BR246" s="256">
        <v>0</v>
      </c>
      <c r="BS246" s="425">
        <f>SUM(BO246,BP246,BQ246,BR246)</f>
        <v>0</v>
      </c>
      <c r="BT246" s="427">
        <v>0</v>
      </c>
      <c r="BU246" s="427">
        <v>0</v>
      </c>
      <c r="BV246" s="427">
        <v>0</v>
      </c>
      <c r="BW246" s="223"/>
    </row>
    <row r="247" spans="1:75" s="224" customFormat="1" hidden="1" outlineLevel="2" x14ac:dyDescent="0.5">
      <c r="A247" s="218" t="s">
        <v>1812</v>
      </c>
      <c r="B247" s="494"/>
      <c r="C247" s="425"/>
      <c r="D247" s="425"/>
      <c r="E247" s="427">
        <v>0</v>
      </c>
      <c r="F247" s="427">
        <v>0</v>
      </c>
      <c r="G247" s="256">
        <v>0</v>
      </c>
      <c r="H247" s="256">
        <v>0</v>
      </c>
      <c r="I247" s="256">
        <v>0</v>
      </c>
      <c r="J247" s="256">
        <v>0</v>
      </c>
      <c r="K247" s="425">
        <f>SUM(G247,H247,I247,J247)</f>
        <v>0</v>
      </c>
      <c r="L247" s="256">
        <v>0</v>
      </c>
      <c r="M247" s="256">
        <v>0</v>
      </c>
      <c r="N247" s="256">
        <v>0</v>
      </c>
      <c r="O247" s="256">
        <v>0</v>
      </c>
      <c r="P247" s="425">
        <f>SUM(L247,M247,N247,O247)</f>
        <v>0</v>
      </c>
      <c r="Q247" s="256">
        <v>0</v>
      </c>
      <c r="R247" s="256">
        <v>0</v>
      </c>
      <c r="S247" s="256">
        <v>0</v>
      </c>
      <c r="T247" s="256">
        <v>0</v>
      </c>
      <c r="U247" s="425">
        <f>SUM(Q247,R247,S247,T247)</f>
        <v>0</v>
      </c>
      <c r="V247" s="256">
        <v>0</v>
      </c>
      <c r="W247" s="256">
        <v>0</v>
      </c>
      <c r="X247" s="256">
        <v>0</v>
      </c>
      <c r="Y247" s="256">
        <v>0</v>
      </c>
      <c r="Z247" s="425">
        <f>SUM(V247,W247,X247,Y247)</f>
        <v>0</v>
      </c>
      <c r="AA247" s="256">
        <v>0</v>
      </c>
      <c r="AB247" s="256">
        <v>0</v>
      </c>
      <c r="AC247" s="256">
        <v>0</v>
      </c>
      <c r="AD247" s="256">
        <v>0</v>
      </c>
      <c r="AE247" s="425">
        <f>SUM(AA247,AB247,AC247,AD247)</f>
        <v>0</v>
      </c>
      <c r="AF247" s="256">
        <v>0</v>
      </c>
      <c r="AG247" s="256">
        <v>0</v>
      </c>
      <c r="AH247" s="256">
        <v>0</v>
      </c>
      <c r="AI247" s="256">
        <v>0</v>
      </c>
      <c r="AJ247" s="425">
        <f>SUM(AF247,AG247,AH247,AI247)</f>
        <v>0</v>
      </c>
      <c r="AK247" s="256">
        <v>0</v>
      </c>
      <c r="AL247" s="256">
        <v>0</v>
      </c>
      <c r="AM247" s="256">
        <v>0</v>
      </c>
      <c r="AN247" s="256">
        <v>0</v>
      </c>
      <c r="AO247" s="425">
        <f>SUM(AK247,AL247,AM247,AN247)</f>
        <v>0</v>
      </c>
      <c r="AP247" s="256">
        <v>0</v>
      </c>
      <c r="AQ247" s="256">
        <v>0</v>
      </c>
      <c r="AR247" s="256">
        <v>0</v>
      </c>
      <c r="AS247" s="256">
        <v>0</v>
      </c>
      <c r="AT247" s="425">
        <f>SUM(AP247,AQ247,AR247,AS247)</f>
        <v>0</v>
      </c>
      <c r="AU247" s="256">
        <v>0</v>
      </c>
      <c r="AV247" s="256">
        <v>0</v>
      </c>
      <c r="AW247" s="256">
        <v>0</v>
      </c>
      <c r="AX247" s="256">
        <v>-1</v>
      </c>
      <c r="AY247" s="425">
        <f>SUM(AU247,AV247,AW247,AX247)</f>
        <v>-1</v>
      </c>
      <c r="AZ247" s="256">
        <v>0</v>
      </c>
      <c r="BA247" s="256">
        <v>0</v>
      </c>
      <c r="BB247" s="256">
        <v>0</v>
      </c>
      <c r="BC247" s="256">
        <v>0</v>
      </c>
      <c r="BD247" s="425">
        <f>SUM(AZ247,BA247,BB247,BC247)</f>
        <v>0</v>
      </c>
      <c r="BE247" s="256">
        <v>0</v>
      </c>
      <c r="BF247" s="256">
        <v>0</v>
      </c>
      <c r="BG247" s="356">
        <v>0</v>
      </c>
      <c r="BH247" s="256">
        <v>0</v>
      </c>
      <c r="BI247" s="425">
        <f>SUM(BE247,BF247,BG247,BH247)</f>
        <v>0</v>
      </c>
      <c r="BJ247" s="1126">
        <v>0</v>
      </c>
      <c r="BK247" s="256">
        <v>0</v>
      </c>
      <c r="BL247" s="256">
        <v>0</v>
      </c>
      <c r="BM247" s="256">
        <v>0</v>
      </c>
      <c r="BN247" s="425">
        <f>SUM(BJ247,BK247,BL247,BM247)</f>
        <v>0</v>
      </c>
      <c r="BO247" s="256">
        <v>0</v>
      </c>
      <c r="BP247" s="256">
        <v>0</v>
      </c>
      <c r="BQ247" s="256">
        <v>0</v>
      </c>
      <c r="BR247" s="256">
        <v>0</v>
      </c>
      <c r="BS247" s="425">
        <f>SUM(BO247,BP247,BQ247,BR247)</f>
        <v>0</v>
      </c>
      <c r="BT247" s="427">
        <v>0</v>
      </c>
      <c r="BU247" s="427">
        <v>0</v>
      </c>
      <c r="BV247" s="427">
        <v>0</v>
      </c>
      <c r="BW247" s="223"/>
    </row>
    <row r="248" spans="1:75" s="169" customFormat="1" ht="14.25" hidden="1" outlineLevel="2" x14ac:dyDescent="0.45">
      <c r="A248" s="360" t="s">
        <v>1813</v>
      </c>
      <c r="B248" s="1127"/>
      <c r="C248" s="1128"/>
      <c r="D248" s="1128"/>
      <c r="E248" s="1128">
        <f t="shared" ref="E248:J248" si="619">SUM(E245:E247)</f>
        <v>3</v>
      </c>
      <c r="F248" s="1128">
        <f t="shared" si="619"/>
        <v>4</v>
      </c>
      <c r="G248" s="287">
        <f t="shared" si="619"/>
        <v>4</v>
      </c>
      <c r="H248" s="287">
        <f t="shared" si="619"/>
        <v>4</v>
      </c>
      <c r="I248" s="287">
        <f t="shared" si="619"/>
        <v>4</v>
      </c>
      <c r="J248" s="287">
        <f t="shared" si="619"/>
        <v>4</v>
      </c>
      <c r="K248" s="1128">
        <f>J248</f>
        <v>4</v>
      </c>
      <c r="L248" s="287">
        <f>SUM(L245:L247)</f>
        <v>4</v>
      </c>
      <c r="M248" s="287">
        <f>SUM(M245:M247)</f>
        <v>4</v>
      </c>
      <c r="N248" s="287">
        <f>SUM(N245:N247)</f>
        <v>4</v>
      </c>
      <c r="O248" s="287">
        <f>SUM(O245:O247)</f>
        <v>5</v>
      </c>
      <c r="P248" s="1128">
        <f>O248</f>
        <v>5</v>
      </c>
      <c r="Q248" s="287">
        <f>SUM(Q245:Q247)</f>
        <v>5</v>
      </c>
      <c r="R248" s="287">
        <f>SUM(R245:R247)</f>
        <v>5</v>
      </c>
      <c r="S248" s="287">
        <f>SUM(S245:S247)</f>
        <v>6</v>
      </c>
      <c r="T248" s="287">
        <f>SUM(T245:T247)</f>
        <v>6</v>
      </c>
      <c r="U248" s="1128">
        <f>T248</f>
        <v>6</v>
      </c>
      <c r="V248" s="287">
        <f>SUM(V245:V247)</f>
        <v>6</v>
      </c>
      <c r="W248" s="287">
        <f>SUM(W245:W247)</f>
        <v>6</v>
      </c>
      <c r="X248" s="287">
        <f>SUM(X245:X247)</f>
        <v>6</v>
      </c>
      <c r="Y248" s="287">
        <f>SUM(Y245:Y247)</f>
        <v>7</v>
      </c>
      <c r="Z248" s="1128">
        <f>Y248</f>
        <v>7</v>
      </c>
      <c r="AA248" s="287">
        <f>SUM(AA245:AA247)</f>
        <v>8</v>
      </c>
      <c r="AB248" s="287">
        <f>SUM(AB245:AB247)</f>
        <v>8</v>
      </c>
      <c r="AC248" s="287">
        <f>SUM(AC245:AC247)</f>
        <v>8</v>
      </c>
      <c r="AD248" s="287">
        <f>SUM(AD245:AD247)</f>
        <v>8</v>
      </c>
      <c r="AE248" s="1128">
        <f>AD248</f>
        <v>8</v>
      </c>
      <c r="AF248" s="287">
        <f>SUM(AF245:AF247)</f>
        <v>8</v>
      </c>
      <c r="AG248" s="287">
        <f>SUM(AG245:AG247)</f>
        <v>8</v>
      </c>
      <c r="AH248" s="287">
        <f>SUM(AH245:AH247)</f>
        <v>8</v>
      </c>
      <c r="AI248" s="287">
        <f>SUM(AI245:AI247)</f>
        <v>10</v>
      </c>
      <c r="AJ248" s="1128">
        <f>AI248</f>
        <v>10</v>
      </c>
      <c r="AK248" s="287">
        <f>SUM(AK245:AK247)</f>
        <v>10</v>
      </c>
      <c r="AL248" s="287">
        <f>SUM(AL245:AL247)</f>
        <v>10</v>
      </c>
      <c r="AM248" s="287">
        <f>SUM(AM245:AM247)</f>
        <v>10</v>
      </c>
      <c r="AN248" s="287">
        <f>SUM(AN245:AN247)</f>
        <v>10</v>
      </c>
      <c r="AO248" s="1128">
        <f>AN248</f>
        <v>10</v>
      </c>
      <c r="AP248" s="287">
        <f>SUM(AP245:AP247)</f>
        <v>10</v>
      </c>
      <c r="AQ248" s="287">
        <f>SUM(AQ245:AQ247)</f>
        <v>10</v>
      </c>
      <c r="AR248" s="287">
        <f>SUM(AR245:AR247)</f>
        <v>10</v>
      </c>
      <c r="AS248" s="287">
        <f>SUM(AS245:AS247)</f>
        <v>10</v>
      </c>
      <c r="AT248" s="1128">
        <f>AS248</f>
        <v>10</v>
      </c>
      <c r="AU248" s="287">
        <f>SUM(AU245:AU247)</f>
        <v>10</v>
      </c>
      <c r="AV248" s="287">
        <f>SUM(AV245:AV247)</f>
        <v>10</v>
      </c>
      <c r="AW248" s="287">
        <f>SUM(AW245:AW247)</f>
        <v>10</v>
      </c>
      <c r="AX248" s="287">
        <f>SUM(AX245:AX247)</f>
        <v>9</v>
      </c>
      <c r="AY248" s="1128">
        <f>AX248</f>
        <v>9</v>
      </c>
      <c r="AZ248" s="287">
        <f>SUM(AZ245:AZ247)</f>
        <v>9</v>
      </c>
      <c r="BA248" s="287">
        <f>SUM(BA245:BA247)</f>
        <v>9</v>
      </c>
      <c r="BB248" s="287">
        <f t="shared" ref="BB248" si="620">SUM(BB245:BB247)</f>
        <v>9</v>
      </c>
      <c r="BC248" s="287">
        <f>SUM(BC245:BC247)</f>
        <v>9</v>
      </c>
      <c r="BD248" s="1128">
        <f>BC248</f>
        <v>9</v>
      </c>
      <c r="BE248" s="287">
        <f>SUM(BE245:BE247)</f>
        <v>9</v>
      </c>
      <c r="BF248" s="287">
        <f>SUM(BF245:BF247)</f>
        <v>9</v>
      </c>
      <c r="BG248" s="247">
        <f>SUM(BG245:BG247)</f>
        <v>10</v>
      </c>
      <c r="BH248" s="287">
        <f>SUM(BH245:BH247)</f>
        <v>11</v>
      </c>
      <c r="BI248" s="1128">
        <f>BH248</f>
        <v>11</v>
      </c>
      <c r="BJ248" s="1129">
        <f>SUM(BJ245:BJ247)</f>
        <v>11</v>
      </c>
      <c r="BK248" s="287">
        <f t="shared" ref="BK248:BV248" si="621">SUM(BK245:BK247)</f>
        <v>11</v>
      </c>
      <c r="BL248" s="287">
        <f t="shared" si="621"/>
        <v>11</v>
      </c>
      <c r="BM248" s="287">
        <f t="shared" si="621"/>
        <v>11</v>
      </c>
      <c r="BN248" s="1128">
        <f t="shared" si="621"/>
        <v>11</v>
      </c>
      <c r="BO248" s="287">
        <f t="shared" si="621"/>
        <v>11</v>
      </c>
      <c r="BP248" s="287">
        <f t="shared" si="621"/>
        <v>11</v>
      </c>
      <c r="BQ248" s="287">
        <f t="shared" si="621"/>
        <v>11</v>
      </c>
      <c r="BR248" s="287">
        <f t="shared" si="621"/>
        <v>11</v>
      </c>
      <c r="BS248" s="1128">
        <f t="shared" si="621"/>
        <v>11</v>
      </c>
      <c r="BT248" s="1128">
        <f t="shared" si="621"/>
        <v>11</v>
      </c>
      <c r="BU248" s="1128">
        <f t="shared" si="621"/>
        <v>11</v>
      </c>
      <c r="BV248" s="1128">
        <f t="shared" si="621"/>
        <v>11</v>
      </c>
      <c r="BW248" s="168"/>
    </row>
    <row r="249" spans="1:75" s="177" customFormat="1" ht="14.25" hidden="1" outlineLevel="2" x14ac:dyDescent="0.45">
      <c r="A249" s="170" t="s">
        <v>1814</v>
      </c>
      <c r="B249" s="491"/>
      <c r="C249" s="417"/>
      <c r="D249" s="417"/>
      <c r="E249" s="417"/>
      <c r="F249" s="417"/>
      <c r="G249" s="378">
        <f>G248/F248-1</f>
        <v>0</v>
      </c>
      <c r="H249" s="378">
        <f t="shared" ref="H249:J249" si="622">H248/G248-1</f>
        <v>0</v>
      </c>
      <c r="I249" s="378">
        <f t="shared" si="622"/>
        <v>0</v>
      </c>
      <c r="J249" s="378">
        <f t="shared" si="622"/>
        <v>0</v>
      </c>
      <c r="K249" s="417"/>
      <c r="L249" s="378">
        <f>L248/J248-1</f>
        <v>0</v>
      </c>
      <c r="M249" s="378">
        <f t="shared" ref="M249:O249" si="623">M248/L248-1</f>
        <v>0</v>
      </c>
      <c r="N249" s="378">
        <f t="shared" si="623"/>
        <v>0</v>
      </c>
      <c r="O249" s="378">
        <f t="shared" si="623"/>
        <v>0.25</v>
      </c>
      <c r="P249" s="417"/>
      <c r="Q249" s="378">
        <f>Q248/O248-1</f>
        <v>0</v>
      </c>
      <c r="R249" s="378">
        <f t="shared" ref="R249:T249" si="624">R248/Q248-1</f>
        <v>0</v>
      </c>
      <c r="S249" s="378">
        <f t="shared" si="624"/>
        <v>0.19999999999999996</v>
      </c>
      <c r="T249" s="378">
        <f t="shared" si="624"/>
        <v>0</v>
      </c>
      <c r="U249" s="417"/>
      <c r="V249" s="378">
        <f>V248/T248-1</f>
        <v>0</v>
      </c>
      <c r="W249" s="378">
        <f t="shared" ref="W249:Y249" si="625">W248/V248-1</f>
        <v>0</v>
      </c>
      <c r="X249" s="378">
        <f t="shared" si="625"/>
        <v>0</v>
      </c>
      <c r="Y249" s="378">
        <f t="shared" si="625"/>
        <v>0.16666666666666674</v>
      </c>
      <c r="Z249" s="417"/>
      <c r="AA249" s="378">
        <f>AA248/Y248-1</f>
        <v>0.14285714285714279</v>
      </c>
      <c r="AB249" s="378">
        <f t="shared" ref="AB249:AD249" si="626">AB248/AA248-1</f>
        <v>0</v>
      </c>
      <c r="AC249" s="378">
        <f t="shared" si="626"/>
        <v>0</v>
      </c>
      <c r="AD249" s="378">
        <f t="shared" si="626"/>
        <v>0</v>
      </c>
      <c r="AE249" s="417"/>
      <c r="AF249" s="378">
        <f>AF248/AD248-1</f>
        <v>0</v>
      </c>
      <c r="AG249" s="378">
        <f t="shared" ref="AG249:AI249" si="627">AG248/AF248-1</f>
        <v>0</v>
      </c>
      <c r="AH249" s="378">
        <f t="shared" si="627"/>
        <v>0</v>
      </c>
      <c r="AI249" s="378">
        <f t="shared" si="627"/>
        <v>0.25</v>
      </c>
      <c r="AJ249" s="417"/>
      <c r="AK249" s="378">
        <f>AK248/AI248-1</f>
        <v>0</v>
      </c>
      <c r="AL249" s="378">
        <f t="shared" ref="AL249:AN249" si="628">AL248/AK248-1</f>
        <v>0</v>
      </c>
      <c r="AM249" s="378">
        <f t="shared" si="628"/>
        <v>0</v>
      </c>
      <c r="AN249" s="378">
        <f t="shared" si="628"/>
        <v>0</v>
      </c>
      <c r="AO249" s="417"/>
      <c r="AP249" s="378">
        <f>AP248/AN248-1</f>
        <v>0</v>
      </c>
      <c r="AQ249" s="378">
        <f t="shared" ref="AQ249:AS249" si="629">AQ248/AP248-1</f>
        <v>0</v>
      </c>
      <c r="AR249" s="378">
        <f t="shared" si="629"/>
        <v>0</v>
      </c>
      <c r="AS249" s="378">
        <f t="shared" si="629"/>
        <v>0</v>
      </c>
      <c r="AT249" s="417"/>
      <c r="AU249" s="378">
        <f>AU248/AS248-1</f>
        <v>0</v>
      </c>
      <c r="AV249" s="378">
        <f t="shared" ref="AV249:AX249" si="630">AV248/AU248-1</f>
        <v>0</v>
      </c>
      <c r="AW249" s="378">
        <f t="shared" si="630"/>
        <v>0</v>
      </c>
      <c r="AX249" s="378">
        <f t="shared" si="630"/>
        <v>-9.9999999999999978E-2</v>
      </c>
      <c r="AY249" s="417"/>
      <c r="AZ249" s="378">
        <f>AZ248/AX248-1</f>
        <v>0</v>
      </c>
      <c r="BA249" s="378">
        <f t="shared" ref="BA249:BB249" si="631">BA248/AZ248-1</f>
        <v>0</v>
      </c>
      <c r="BB249" s="378">
        <f t="shared" si="631"/>
        <v>0</v>
      </c>
      <c r="BC249" s="378">
        <f>BC248/BB248-1</f>
        <v>0</v>
      </c>
      <c r="BD249" s="417"/>
      <c r="BE249" s="378">
        <f>BE248/BC248-1</f>
        <v>0</v>
      </c>
      <c r="BF249" s="378">
        <f>BF248/BE248-1</f>
        <v>0</v>
      </c>
      <c r="BG249" s="378">
        <f>BG248/BF248-1</f>
        <v>0.11111111111111116</v>
      </c>
      <c r="BH249" s="378">
        <f>BH248/BG248-1</f>
        <v>0.10000000000000009</v>
      </c>
      <c r="BI249" s="417"/>
      <c r="BJ249" s="1130">
        <f>BJ248/BH248-1</f>
        <v>0</v>
      </c>
      <c r="BK249" s="378">
        <f>BK248/BJ248-1</f>
        <v>0</v>
      </c>
      <c r="BL249" s="378">
        <f>BL248/BK248-1</f>
        <v>0</v>
      </c>
      <c r="BM249" s="378">
        <f>BM248/BL248-1</f>
        <v>0</v>
      </c>
      <c r="BN249" s="417"/>
      <c r="BO249" s="378">
        <f>BO248/BM248-1</f>
        <v>0</v>
      </c>
      <c r="BP249" s="378">
        <f>BP248/BO248-1</f>
        <v>0</v>
      </c>
      <c r="BQ249" s="378">
        <f>BQ248/BP248-1</f>
        <v>0</v>
      </c>
      <c r="BR249" s="378">
        <f>BR248/BQ248-1</f>
        <v>0</v>
      </c>
      <c r="BS249" s="417"/>
      <c r="BT249" s="417"/>
      <c r="BU249" s="417"/>
      <c r="BV249" s="417"/>
      <c r="BW249" s="176"/>
    </row>
    <row r="250" spans="1:75" s="177" customFormat="1" ht="14.25" hidden="1" outlineLevel="2" x14ac:dyDescent="0.45">
      <c r="A250" s="170" t="s">
        <v>1815</v>
      </c>
      <c r="B250" s="491"/>
      <c r="C250" s="417"/>
      <c r="D250" s="417"/>
      <c r="E250" s="417"/>
      <c r="F250" s="417">
        <f>F248/E248-1</f>
        <v>0.33333333333333326</v>
      </c>
      <c r="G250" s="378"/>
      <c r="H250" s="378"/>
      <c r="I250" s="378"/>
      <c r="J250" s="378"/>
      <c r="K250" s="417">
        <f t="shared" ref="K250:BN250" si="632">K248/F248-1</f>
        <v>0</v>
      </c>
      <c r="L250" s="378">
        <f t="shared" si="632"/>
        <v>0</v>
      </c>
      <c r="M250" s="378">
        <f t="shared" si="632"/>
        <v>0</v>
      </c>
      <c r="N250" s="378">
        <f t="shared" si="632"/>
        <v>0</v>
      </c>
      <c r="O250" s="378">
        <f t="shared" si="632"/>
        <v>0.25</v>
      </c>
      <c r="P250" s="417">
        <f t="shared" si="632"/>
        <v>0.25</v>
      </c>
      <c r="Q250" s="378">
        <f t="shared" si="632"/>
        <v>0.25</v>
      </c>
      <c r="R250" s="378">
        <f t="shared" si="632"/>
        <v>0.25</v>
      </c>
      <c r="S250" s="378">
        <f t="shared" si="632"/>
        <v>0.5</v>
      </c>
      <c r="T250" s="378">
        <f t="shared" si="632"/>
        <v>0.19999999999999996</v>
      </c>
      <c r="U250" s="417">
        <f t="shared" si="632"/>
        <v>0.19999999999999996</v>
      </c>
      <c r="V250" s="378">
        <f t="shared" si="632"/>
        <v>0.19999999999999996</v>
      </c>
      <c r="W250" s="378">
        <f t="shared" si="632"/>
        <v>0.19999999999999996</v>
      </c>
      <c r="X250" s="378">
        <f t="shared" si="632"/>
        <v>0</v>
      </c>
      <c r="Y250" s="378">
        <f t="shared" si="632"/>
        <v>0.16666666666666674</v>
      </c>
      <c r="Z250" s="417">
        <f t="shared" si="632"/>
        <v>0.16666666666666674</v>
      </c>
      <c r="AA250" s="378">
        <f t="shared" si="632"/>
        <v>0.33333333333333326</v>
      </c>
      <c r="AB250" s="378">
        <f t="shared" si="632"/>
        <v>0.33333333333333326</v>
      </c>
      <c r="AC250" s="378">
        <f t="shared" si="632"/>
        <v>0.33333333333333326</v>
      </c>
      <c r="AD250" s="378">
        <f t="shared" si="632"/>
        <v>0.14285714285714279</v>
      </c>
      <c r="AE250" s="417">
        <f t="shared" si="632"/>
        <v>0.14285714285714279</v>
      </c>
      <c r="AF250" s="378">
        <f t="shared" si="632"/>
        <v>0</v>
      </c>
      <c r="AG250" s="378">
        <f t="shared" si="632"/>
        <v>0</v>
      </c>
      <c r="AH250" s="378">
        <f t="shared" si="632"/>
        <v>0</v>
      </c>
      <c r="AI250" s="378">
        <f t="shared" si="632"/>
        <v>0.25</v>
      </c>
      <c r="AJ250" s="417">
        <f t="shared" si="632"/>
        <v>0.25</v>
      </c>
      <c r="AK250" s="378">
        <f t="shared" si="632"/>
        <v>0.25</v>
      </c>
      <c r="AL250" s="378">
        <f t="shared" si="632"/>
        <v>0.25</v>
      </c>
      <c r="AM250" s="378">
        <f t="shared" si="632"/>
        <v>0.25</v>
      </c>
      <c r="AN250" s="378">
        <f t="shared" si="632"/>
        <v>0</v>
      </c>
      <c r="AO250" s="417">
        <f t="shared" si="632"/>
        <v>0</v>
      </c>
      <c r="AP250" s="378">
        <f t="shared" si="632"/>
        <v>0</v>
      </c>
      <c r="AQ250" s="378">
        <f t="shared" si="632"/>
        <v>0</v>
      </c>
      <c r="AR250" s="378">
        <f t="shared" si="632"/>
        <v>0</v>
      </c>
      <c r="AS250" s="378">
        <f t="shared" si="632"/>
        <v>0</v>
      </c>
      <c r="AT250" s="417">
        <f t="shared" si="632"/>
        <v>0</v>
      </c>
      <c r="AU250" s="378">
        <f t="shared" si="632"/>
        <v>0</v>
      </c>
      <c r="AV250" s="378">
        <f t="shared" si="632"/>
        <v>0</v>
      </c>
      <c r="AW250" s="378">
        <f t="shared" si="632"/>
        <v>0</v>
      </c>
      <c r="AX250" s="378">
        <f t="shared" si="632"/>
        <v>-9.9999999999999978E-2</v>
      </c>
      <c r="AY250" s="417">
        <f t="shared" si="632"/>
        <v>-9.9999999999999978E-2</v>
      </c>
      <c r="AZ250" s="378">
        <f t="shared" si="632"/>
        <v>-9.9999999999999978E-2</v>
      </c>
      <c r="BA250" s="378">
        <f t="shared" si="632"/>
        <v>-9.9999999999999978E-2</v>
      </c>
      <c r="BB250" s="378">
        <f t="shared" si="632"/>
        <v>-9.9999999999999978E-2</v>
      </c>
      <c r="BC250" s="378">
        <f t="shared" si="632"/>
        <v>0</v>
      </c>
      <c r="BD250" s="417">
        <f t="shared" si="632"/>
        <v>0</v>
      </c>
      <c r="BE250" s="378">
        <f t="shared" si="632"/>
        <v>0</v>
      </c>
      <c r="BF250" s="378">
        <f t="shared" si="632"/>
        <v>0</v>
      </c>
      <c r="BG250" s="378">
        <f t="shared" si="632"/>
        <v>0.11111111111111116</v>
      </c>
      <c r="BH250" s="378">
        <f t="shared" si="632"/>
        <v>0.22222222222222232</v>
      </c>
      <c r="BI250" s="417">
        <f t="shared" si="632"/>
        <v>0.22222222222222232</v>
      </c>
      <c r="BJ250" s="1130">
        <f>BJ248/BE248-1</f>
        <v>0.22222222222222232</v>
      </c>
      <c r="BK250" s="378">
        <f t="shared" si="632"/>
        <v>0.22222222222222232</v>
      </c>
      <c r="BL250" s="378">
        <f t="shared" si="632"/>
        <v>0.10000000000000009</v>
      </c>
      <c r="BM250" s="378">
        <f t="shared" si="632"/>
        <v>0</v>
      </c>
      <c r="BN250" s="417">
        <f t="shared" si="632"/>
        <v>0</v>
      </c>
      <c r="BO250" s="378">
        <f>BO248/BJ248-1</f>
        <v>0</v>
      </c>
      <c r="BP250" s="378">
        <f>BP248/BK248-1</f>
        <v>0</v>
      </c>
      <c r="BQ250" s="378">
        <f>BQ248/BL248-1</f>
        <v>0</v>
      </c>
      <c r="BR250" s="378">
        <f>BR248/BM248-1</f>
        <v>0</v>
      </c>
      <c r="BS250" s="417">
        <f>BS248/BN248-1</f>
        <v>0</v>
      </c>
      <c r="BT250" s="417">
        <f>BT248/BS248-1</f>
        <v>0</v>
      </c>
      <c r="BU250" s="417">
        <f>BU248/BT248-1</f>
        <v>0</v>
      </c>
      <c r="BV250" s="417">
        <f>BV248/BU248-1</f>
        <v>0</v>
      </c>
      <c r="BW250" s="176"/>
    </row>
    <row r="251" spans="1:75" s="169" customFormat="1" ht="14.25" hidden="1" outlineLevel="2" x14ac:dyDescent="0.45">
      <c r="A251" s="163" t="s">
        <v>1816</v>
      </c>
      <c r="B251" s="1121"/>
      <c r="C251" s="840"/>
      <c r="D251" s="840"/>
      <c r="E251" s="840">
        <f t="shared" ref="E251:J251" si="633">AVERAGE(E248,E245)</f>
        <v>1.5</v>
      </c>
      <c r="F251" s="840">
        <f t="shared" si="633"/>
        <v>3.5</v>
      </c>
      <c r="G251" s="247">
        <f t="shared" si="633"/>
        <v>4</v>
      </c>
      <c r="H251" s="247">
        <f t="shared" si="633"/>
        <v>4</v>
      </c>
      <c r="I251" s="247">
        <f t="shared" si="633"/>
        <v>4</v>
      </c>
      <c r="J251" s="247">
        <f t="shared" si="633"/>
        <v>4</v>
      </c>
      <c r="K251" s="840">
        <f>SUM(G251*G$3,H251*H$3,I251*I$3,J251*J$3)/K$3</f>
        <v>4</v>
      </c>
      <c r="L251" s="247">
        <f>AVERAGE(L248,L245)</f>
        <v>4</v>
      </c>
      <c r="M251" s="247">
        <f>AVERAGE(M248,M245)</f>
        <v>4</v>
      </c>
      <c r="N251" s="247">
        <f>AVERAGE(N248,N245)</f>
        <v>4</v>
      </c>
      <c r="O251" s="247">
        <f>AVERAGE(O248,O245)</f>
        <v>4.5</v>
      </c>
      <c r="P251" s="840">
        <f>SUM(L251*L$3,M251*M$3,N251*N$3,O251*O$3)/P$3</f>
        <v>4.125</v>
      </c>
      <c r="Q251" s="247">
        <f>AVERAGE(Q248,Q245)</f>
        <v>5</v>
      </c>
      <c r="R251" s="247">
        <f>AVERAGE(R248,R245)</f>
        <v>5</v>
      </c>
      <c r="S251" s="247">
        <f>AVERAGE(S248,S245)</f>
        <v>5.5</v>
      </c>
      <c r="T251" s="247">
        <f>AVERAGE(T248,T245)</f>
        <v>6</v>
      </c>
      <c r="U251" s="840">
        <f>SUM(Q251*Q$3,R251*R$3,S251*S$3,T251*T$3)/U$3</f>
        <v>5.375</v>
      </c>
      <c r="V251" s="247">
        <f>AVERAGE(V248,V245)</f>
        <v>6</v>
      </c>
      <c r="W251" s="247">
        <f>AVERAGE(W248,W245)</f>
        <v>6</v>
      </c>
      <c r="X251" s="247">
        <f>AVERAGE(X248,X245)</f>
        <v>6</v>
      </c>
      <c r="Y251" s="247">
        <f>AVERAGE(Y248,Y245)</f>
        <v>6.5</v>
      </c>
      <c r="Z251" s="840">
        <f>SUM(V251*V$3,W251*W$3,X251*X$3,Y251*Y$3)/Z$3</f>
        <v>6.125</v>
      </c>
      <c r="AA251" s="247">
        <f>AVERAGE(AA248,AA245)</f>
        <v>7.5</v>
      </c>
      <c r="AB251" s="247">
        <f>AVERAGE(AB248,AB245)</f>
        <v>8</v>
      </c>
      <c r="AC251" s="247">
        <f>AVERAGE(AC248,AC245)</f>
        <v>8</v>
      </c>
      <c r="AD251" s="247">
        <f>AVERAGE(AD248,AD245)</f>
        <v>8</v>
      </c>
      <c r="AE251" s="840">
        <f>SUM(AA251*AA$3,AB251*AB$3,AC251*AC$3,AD251*AD$3)/AE$3</f>
        <v>7.875</v>
      </c>
      <c r="AF251" s="247">
        <f>AVERAGE(AF248,AF245)</f>
        <v>8</v>
      </c>
      <c r="AG251" s="247">
        <f>AVERAGE(AG248,AG245)</f>
        <v>8</v>
      </c>
      <c r="AH251" s="247">
        <f>AVERAGE(AH248,AH245)</f>
        <v>8</v>
      </c>
      <c r="AI251" s="247">
        <f>AVERAGE(AI248,AI245)</f>
        <v>9</v>
      </c>
      <c r="AJ251" s="840">
        <f>SUM(AF251*AF$3,AG251*AG$3,AH251*AH$3,AI251*AI$3)/AJ$3</f>
        <v>8.2641509433962259</v>
      </c>
      <c r="AK251" s="247">
        <f>AVERAGE(AK248,AK245)</f>
        <v>10</v>
      </c>
      <c r="AL251" s="247">
        <f>AVERAGE(AL248,AL245)</f>
        <v>10</v>
      </c>
      <c r="AM251" s="247">
        <f>AVERAGE(AM248,AM245)</f>
        <v>10</v>
      </c>
      <c r="AN251" s="247">
        <f>AVERAGE(AN248,AN245)</f>
        <v>10</v>
      </c>
      <c r="AO251" s="840">
        <f>SUM(AK251*AK$3,AL251*AL$3,AM251*AM$3,AN251*AN$3)/AO$3</f>
        <v>10</v>
      </c>
      <c r="AP251" s="247">
        <f>AVERAGE(AP248,AP245)</f>
        <v>10</v>
      </c>
      <c r="AQ251" s="247">
        <f>AVERAGE(AQ248,AQ245)</f>
        <v>10</v>
      </c>
      <c r="AR251" s="247">
        <f>AVERAGE(AR248,AR245)</f>
        <v>10</v>
      </c>
      <c r="AS251" s="247">
        <f>AVERAGE(AS248,AS245)</f>
        <v>10</v>
      </c>
      <c r="AT251" s="840">
        <f>SUM(AP251*AP$3,AQ251*AQ$3,AR251*AR$3,AS251*AS$3)/AT$3</f>
        <v>10</v>
      </c>
      <c r="AU251" s="247">
        <f>AVERAGE(AU248,AU245)</f>
        <v>10</v>
      </c>
      <c r="AV251" s="247">
        <f>AVERAGE(AV248,AV245)</f>
        <v>10</v>
      </c>
      <c r="AW251" s="247">
        <f>AVERAGE(AW248,AW245)</f>
        <v>10</v>
      </c>
      <c r="AX251" s="247">
        <f>AVERAGE(AX248,AX245)</f>
        <v>9.5</v>
      </c>
      <c r="AY251" s="840">
        <f>SUM(AU251*AU$3,AV251*AV$3,AW251*AW$3,AX251*AX$3)/AY$3</f>
        <v>9.875</v>
      </c>
      <c r="AZ251" s="247">
        <f>AVERAGE(AZ248,AZ245)</f>
        <v>9</v>
      </c>
      <c r="BA251" s="247">
        <f>AVERAGE(BA248,BA245)</f>
        <v>9</v>
      </c>
      <c r="BB251" s="247">
        <f>AVERAGE(BB248,BB245)</f>
        <v>9</v>
      </c>
      <c r="BC251" s="247">
        <f>AVERAGE(BC248,BC245)</f>
        <v>9</v>
      </c>
      <c r="BD251" s="840">
        <f>SUM(AZ251*AZ$3,BA251*BA$3,BB251*BB$3,BC251*BC$3)/BD$3</f>
        <v>9</v>
      </c>
      <c r="BE251" s="247">
        <f>AVERAGE(BE248,BE245)</f>
        <v>9</v>
      </c>
      <c r="BF251" s="247">
        <f>AVERAGE(BF248,BF245)</f>
        <v>9</v>
      </c>
      <c r="BG251" s="247">
        <f>AVERAGE(BG248,BG245)</f>
        <v>9.5</v>
      </c>
      <c r="BH251" s="247">
        <f>AVERAGE(BH248,BH245)</f>
        <v>10.5</v>
      </c>
      <c r="BI251" s="840">
        <f>SUM(BE251*BE$3,BF251*BF$3,BG251*BG$3,BH251*BH$3)/BI$3</f>
        <v>9.5</v>
      </c>
      <c r="BJ251" s="977">
        <f>AVERAGE(BJ248,BJ245)</f>
        <v>11</v>
      </c>
      <c r="BK251" s="247">
        <f>AVERAGE(BK248,BK245)</f>
        <v>11</v>
      </c>
      <c r="BL251" s="247">
        <f>AVERAGE(BL248,BL245)</f>
        <v>11</v>
      </c>
      <c r="BM251" s="247">
        <f>AVERAGE(BM248,BM245)</f>
        <v>11</v>
      </c>
      <c r="BN251" s="840">
        <f>SUM(BJ251*BJ$3,BK251*BK$3,BL251*BL$3,BM251*BM$3)/BN$3</f>
        <v>11</v>
      </c>
      <c r="BO251" s="247">
        <f>AVERAGE(BO248,BO245)</f>
        <v>11</v>
      </c>
      <c r="BP251" s="247">
        <f>AVERAGE(BP248,BP245)</f>
        <v>11</v>
      </c>
      <c r="BQ251" s="247">
        <f>AVERAGE(BQ248,BQ245)</f>
        <v>11</v>
      </c>
      <c r="BR251" s="247">
        <f>AVERAGE(BR248,BR245)</f>
        <v>11</v>
      </c>
      <c r="BS251" s="840">
        <f>SUM(BO251*BO$3,BP251*BP$3,BQ251*BQ$3,BR251*BR$3)/BS$3</f>
        <v>11</v>
      </c>
      <c r="BT251" s="840">
        <f>AVERAGE(BT248,BT245)</f>
        <v>11</v>
      </c>
      <c r="BU251" s="840">
        <f>AVERAGE(BU248,BU245)</f>
        <v>11</v>
      </c>
      <c r="BV251" s="840">
        <f>AVERAGE(BV248,BV245)</f>
        <v>11</v>
      </c>
      <c r="BW251" s="168"/>
    </row>
    <row r="252" spans="1:75" s="169" customFormat="1" ht="14.25" hidden="1" outlineLevel="2" x14ac:dyDescent="0.45">
      <c r="A252" s="163"/>
      <c r="B252" s="1121"/>
      <c r="C252" s="840"/>
      <c r="D252" s="840"/>
      <c r="E252" s="840"/>
      <c r="F252" s="840"/>
      <c r="G252" s="247"/>
      <c r="H252" s="247"/>
      <c r="I252" s="247"/>
      <c r="J252" s="247"/>
      <c r="K252" s="840"/>
      <c r="L252" s="247"/>
      <c r="M252" s="247"/>
      <c r="N252" s="247"/>
      <c r="O252" s="247"/>
      <c r="P252" s="840"/>
      <c r="Q252" s="247"/>
      <c r="R252" s="247"/>
      <c r="S252" s="247"/>
      <c r="T252" s="247"/>
      <c r="U252" s="840"/>
      <c r="V252" s="247"/>
      <c r="W252" s="247"/>
      <c r="X252" s="247"/>
      <c r="Y252" s="247"/>
      <c r="Z252" s="840"/>
      <c r="AA252" s="247"/>
      <c r="AB252" s="247"/>
      <c r="AC252" s="247"/>
      <c r="AD252" s="247"/>
      <c r="AE252" s="840"/>
      <c r="AF252" s="247"/>
      <c r="AG252" s="247"/>
      <c r="AH252" s="247"/>
      <c r="AI252" s="247"/>
      <c r="AJ252" s="840"/>
      <c r="AK252" s="247"/>
      <c r="AL252" s="247"/>
      <c r="AM252" s="247"/>
      <c r="AN252" s="247"/>
      <c r="AO252" s="840"/>
      <c r="AP252" s="247"/>
      <c r="AQ252" s="247"/>
      <c r="AR252" s="247"/>
      <c r="AS252" s="247"/>
      <c r="AT252" s="840"/>
      <c r="AU252" s="247"/>
      <c r="AV252" s="247"/>
      <c r="AW252" s="247"/>
      <c r="AX252" s="247"/>
      <c r="AY252" s="840"/>
      <c r="AZ252" s="247"/>
      <c r="BA252" s="247"/>
      <c r="BB252" s="247"/>
      <c r="BC252" s="247"/>
      <c r="BD252" s="840"/>
      <c r="BE252" s="247"/>
      <c r="BF252" s="247"/>
      <c r="BG252" s="247"/>
      <c r="BH252" s="247"/>
      <c r="BI252" s="840"/>
      <c r="BJ252" s="977"/>
      <c r="BK252" s="247"/>
      <c r="BL252" s="247"/>
      <c r="BM252" s="247"/>
      <c r="BN252" s="840"/>
      <c r="BO252" s="247"/>
      <c r="BP252" s="247"/>
      <c r="BQ252" s="247"/>
      <c r="BR252" s="247"/>
      <c r="BS252" s="840"/>
      <c r="BT252" s="840"/>
      <c r="BU252" s="840"/>
      <c r="BV252" s="840"/>
      <c r="BW252" s="168"/>
    </row>
    <row r="253" spans="1:75" s="169" customFormat="1" ht="14.25" hidden="1" outlineLevel="2" x14ac:dyDescent="0.45">
      <c r="A253" s="163" t="s">
        <v>1817</v>
      </c>
      <c r="B253" s="1121"/>
      <c r="C253" s="840"/>
      <c r="D253" s="840"/>
      <c r="E253" s="840">
        <f t="shared" ref="E253:BJ253" si="634">E444</f>
        <v>17200</v>
      </c>
      <c r="F253" s="840">
        <f t="shared" si="634"/>
        <v>13200</v>
      </c>
      <c r="G253" s="247">
        <f t="shared" si="634"/>
        <v>13200</v>
      </c>
      <c r="H253" s="247">
        <f t="shared" si="634"/>
        <v>13200</v>
      </c>
      <c r="I253" s="247">
        <f t="shared" si="634"/>
        <v>13200</v>
      </c>
      <c r="J253" s="247">
        <f t="shared" si="634"/>
        <v>13200</v>
      </c>
      <c r="K253" s="840">
        <f t="shared" si="634"/>
        <v>13200</v>
      </c>
      <c r="L253" s="247">
        <f t="shared" si="634"/>
        <v>13200</v>
      </c>
      <c r="M253" s="247">
        <f t="shared" si="634"/>
        <v>13200</v>
      </c>
      <c r="N253" s="247">
        <f t="shared" si="634"/>
        <v>13200</v>
      </c>
      <c r="O253" s="247">
        <f t="shared" si="634"/>
        <v>10000</v>
      </c>
      <c r="P253" s="840">
        <f t="shared" si="634"/>
        <v>10000</v>
      </c>
      <c r="Q253" s="247">
        <f t="shared" si="634"/>
        <v>10000</v>
      </c>
      <c r="R253" s="247">
        <f t="shared" si="634"/>
        <v>10000</v>
      </c>
      <c r="S253" s="247">
        <f t="shared" si="634"/>
        <v>9000</v>
      </c>
      <c r="T253" s="247">
        <f t="shared" si="634"/>
        <v>9000</v>
      </c>
      <c r="U253" s="840">
        <f t="shared" si="634"/>
        <v>9000</v>
      </c>
      <c r="V253" s="247">
        <f t="shared" si="634"/>
        <v>9000</v>
      </c>
      <c r="W253" s="247">
        <f t="shared" si="634"/>
        <v>9000</v>
      </c>
      <c r="X253" s="247">
        <f t="shared" si="634"/>
        <v>9300</v>
      </c>
      <c r="Y253" s="247">
        <f t="shared" si="634"/>
        <v>9100</v>
      </c>
      <c r="Z253" s="840">
        <f t="shared" si="634"/>
        <v>9100</v>
      </c>
      <c r="AA253" s="247">
        <f t="shared" si="634"/>
        <v>8800</v>
      </c>
      <c r="AB253" s="247">
        <f t="shared" si="634"/>
        <v>8800</v>
      </c>
      <c r="AC253" s="247">
        <f t="shared" si="634"/>
        <v>8800</v>
      </c>
      <c r="AD253" s="247">
        <f t="shared" si="634"/>
        <v>8800</v>
      </c>
      <c r="AE253" s="840">
        <f t="shared" si="634"/>
        <v>8800</v>
      </c>
      <c r="AF253" s="247">
        <f t="shared" si="634"/>
        <v>8800</v>
      </c>
      <c r="AG253" s="247">
        <f t="shared" si="634"/>
        <v>8800</v>
      </c>
      <c r="AH253" s="247">
        <f t="shared" si="634"/>
        <v>8800</v>
      </c>
      <c r="AI253" s="247">
        <f t="shared" si="634"/>
        <v>8500</v>
      </c>
      <c r="AJ253" s="840">
        <f t="shared" si="634"/>
        <v>8500</v>
      </c>
      <c r="AK253" s="247">
        <f t="shared" si="634"/>
        <v>8500</v>
      </c>
      <c r="AL253" s="247">
        <f t="shared" si="634"/>
        <v>8500</v>
      </c>
      <c r="AM253" s="247">
        <f t="shared" si="634"/>
        <v>8500</v>
      </c>
      <c r="AN253" s="247">
        <f t="shared" si="634"/>
        <v>8500</v>
      </c>
      <c r="AO253" s="840">
        <f t="shared" si="634"/>
        <v>8500</v>
      </c>
      <c r="AP253" s="247">
        <f t="shared" si="634"/>
        <v>8500</v>
      </c>
      <c r="AQ253" s="247">
        <f t="shared" si="634"/>
        <v>8500</v>
      </c>
      <c r="AR253" s="247">
        <f t="shared" si="634"/>
        <v>8500</v>
      </c>
      <c r="AS253" s="247">
        <f t="shared" si="634"/>
        <v>8500</v>
      </c>
      <c r="AT253" s="840">
        <f t="shared" si="634"/>
        <v>8500</v>
      </c>
      <c r="AU253" s="247">
        <f t="shared" si="634"/>
        <v>8500</v>
      </c>
      <c r="AV253" s="247">
        <f t="shared" si="634"/>
        <v>8500</v>
      </c>
      <c r="AW253" s="247">
        <f t="shared" si="634"/>
        <v>8700</v>
      </c>
      <c r="AX253" s="247">
        <f t="shared" si="634"/>
        <v>9400</v>
      </c>
      <c r="AY253" s="840">
        <f t="shared" si="634"/>
        <v>9400</v>
      </c>
      <c r="AZ253" s="247">
        <f t="shared" si="634"/>
        <v>9400</v>
      </c>
      <c r="BA253" s="247">
        <f t="shared" si="634"/>
        <v>9400</v>
      </c>
      <c r="BB253" s="247">
        <f t="shared" si="634"/>
        <v>9400</v>
      </c>
      <c r="BC253" s="247">
        <f t="shared" si="634"/>
        <v>8000</v>
      </c>
      <c r="BD253" s="840">
        <f t="shared" si="634"/>
        <v>8000</v>
      </c>
      <c r="BE253" s="247">
        <f t="shared" si="634"/>
        <v>8000</v>
      </c>
      <c r="BF253" s="247">
        <f t="shared" si="634"/>
        <v>8000</v>
      </c>
      <c r="BG253" s="247">
        <f t="shared" si="634"/>
        <v>8200</v>
      </c>
      <c r="BH253" s="247">
        <f t="shared" si="634"/>
        <v>8100</v>
      </c>
      <c r="BI253" s="840">
        <f t="shared" si="634"/>
        <v>8100</v>
      </c>
      <c r="BJ253" s="977">
        <f t="shared" si="634"/>
        <v>8100</v>
      </c>
      <c r="BK253" s="247">
        <f>BJ253*(1+BK254)</f>
        <v>8100</v>
      </c>
      <c r="BL253" s="247">
        <f>BK253*(1+BL254)</f>
        <v>8100</v>
      </c>
      <c r="BM253" s="247">
        <f>BL253*(1+BM254)</f>
        <v>8100</v>
      </c>
      <c r="BN253" s="840">
        <f>BN259*1000/BN248</f>
        <v>8100</v>
      </c>
      <c r="BO253" s="247">
        <f>BM253*(1+BO254)</f>
        <v>8100</v>
      </c>
      <c r="BP253" s="247">
        <f>BO253*(1+BP254)</f>
        <v>8100</v>
      </c>
      <c r="BQ253" s="247">
        <f>BP253*(1+BQ254)</f>
        <v>8100</v>
      </c>
      <c r="BR253" s="247">
        <f>BQ253*(1+BR254)</f>
        <v>8100</v>
      </c>
      <c r="BS253" s="840">
        <f>BS259*1000/BS248</f>
        <v>8100</v>
      </c>
      <c r="BT253" s="840">
        <f>BS253*(1+BT255)</f>
        <v>8100</v>
      </c>
      <c r="BU253" s="840">
        <f>BT253*(1+BU255)</f>
        <v>8100</v>
      </c>
      <c r="BV253" s="840">
        <f>BU253*(1+BV255)</f>
        <v>8100</v>
      </c>
      <c r="BW253" s="168"/>
    </row>
    <row r="254" spans="1:75" s="224" customFormat="1" hidden="1" outlineLevel="2" x14ac:dyDescent="0.5">
      <c r="A254" s="765" t="s">
        <v>1818</v>
      </c>
      <c r="B254" s="1180"/>
      <c r="C254" s="417"/>
      <c r="D254" s="417"/>
      <c r="E254" s="417"/>
      <c r="F254" s="417"/>
      <c r="G254" s="378">
        <f>G253/F253-1</f>
        <v>0</v>
      </c>
      <c r="H254" s="378">
        <f>H253/G253-1</f>
        <v>0</v>
      </c>
      <c r="I254" s="378">
        <f>I253/H253-1</f>
        <v>0</v>
      </c>
      <c r="J254" s="378">
        <f>J253/I253-1</f>
        <v>0</v>
      </c>
      <c r="K254" s="417"/>
      <c r="L254" s="378">
        <f>L253/J253-1</f>
        <v>0</v>
      </c>
      <c r="M254" s="378">
        <f>M253/L253-1</f>
        <v>0</v>
      </c>
      <c r="N254" s="378">
        <f>N253/M253-1</f>
        <v>0</v>
      </c>
      <c r="O254" s="378">
        <f>O253/N253-1</f>
        <v>-0.24242424242424243</v>
      </c>
      <c r="P254" s="417"/>
      <c r="Q254" s="378">
        <f>Q253/O253-1</f>
        <v>0</v>
      </c>
      <c r="R254" s="378">
        <f>R253/Q253-1</f>
        <v>0</v>
      </c>
      <c r="S254" s="378">
        <f>S253/R253-1</f>
        <v>-9.9999999999999978E-2</v>
      </c>
      <c r="T254" s="378">
        <f>T253/S253-1</f>
        <v>0</v>
      </c>
      <c r="U254" s="417"/>
      <c r="V254" s="378">
        <f>V253/T253-1</f>
        <v>0</v>
      </c>
      <c r="W254" s="378">
        <f>W253/V253-1</f>
        <v>0</v>
      </c>
      <c r="X254" s="378">
        <f>X253/W253-1</f>
        <v>3.3333333333333437E-2</v>
      </c>
      <c r="Y254" s="378">
        <f>Y253/X253-1</f>
        <v>-2.1505376344086002E-2</v>
      </c>
      <c r="Z254" s="417"/>
      <c r="AA254" s="378">
        <f>AA253/Y253-1</f>
        <v>-3.2967032967032961E-2</v>
      </c>
      <c r="AB254" s="378">
        <f>AB253/AA253-1</f>
        <v>0</v>
      </c>
      <c r="AC254" s="378">
        <f>AC253/AB253-1</f>
        <v>0</v>
      </c>
      <c r="AD254" s="378">
        <f>AD253/AC253-1</f>
        <v>0</v>
      </c>
      <c r="AE254" s="417"/>
      <c r="AF254" s="378">
        <f>AF253/AD253-1</f>
        <v>0</v>
      </c>
      <c r="AG254" s="378">
        <f>AG253/AF253-1</f>
        <v>0</v>
      </c>
      <c r="AH254" s="378">
        <f>AH253/AG253-1</f>
        <v>0</v>
      </c>
      <c r="AI254" s="378">
        <f>AI253/AH253-1</f>
        <v>-3.4090909090909061E-2</v>
      </c>
      <c r="AJ254" s="417"/>
      <c r="AK254" s="378">
        <f>AK253/AI253-1</f>
        <v>0</v>
      </c>
      <c r="AL254" s="378">
        <f>AL253/AK253-1</f>
        <v>0</v>
      </c>
      <c r="AM254" s="378">
        <f>AM253/AL253-1</f>
        <v>0</v>
      </c>
      <c r="AN254" s="378">
        <f>AN253/AM253-1</f>
        <v>0</v>
      </c>
      <c r="AO254" s="417"/>
      <c r="AP254" s="378">
        <f>AP253/AN253-1</f>
        <v>0</v>
      </c>
      <c r="AQ254" s="378">
        <f>AQ253/AP253-1</f>
        <v>0</v>
      </c>
      <c r="AR254" s="378">
        <f>AR253/AQ253-1</f>
        <v>0</v>
      </c>
      <c r="AS254" s="378">
        <f>AS253/AR253-1</f>
        <v>0</v>
      </c>
      <c r="AT254" s="417"/>
      <c r="AU254" s="378">
        <f>AU253/AS253-1</f>
        <v>0</v>
      </c>
      <c r="AV254" s="378">
        <f>AV253/AU253-1</f>
        <v>0</v>
      </c>
      <c r="AW254" s="378">
        <f>AW253/AV253-1</f>
        <v>2.3529411764705799E-2</v>
      </c>
      <c r="AX254" s="378">
        <f>AX253/AW253-1</f>
        <v>8.0459770114942541E-2</v>
      </c>
      <c r="AY254" s="417"/>
      <c r="AZ254" s="378">
        <f>AZ253/AX253-1</f>
        <v>0</v>
      </c>
      <c r="BA254" s="378">
        <f>BA253/AZ253-1</f>
        <v>0</v>
      </c>
      <c r="BB254" s="378">
        <f>BB253/BA253-1</f>
        <v>0</v>
      </c>
      <c r="BC254" s="378">
        <f>BC253/BB253-1</f>
        <v>-0.14893617021276595</v>
      </c>
      <c r="BD254" s="417"/>
      <c r="BE254" s="378">
        <f>BE253/BC253-1</f>
        <v>0</v>
      </c>
      <c r="BF254" s="378">
        <f>BF253/BE253-1</f>
        <v>0</v>
      </c>
      <c r="BG254" s="378">
        <f>BG253/BF253-1</f>
        <v>2.4999999999999911E-2</v>
      </c>
      <c r="BH254" s="378">
        <f>BH253/BG253-1</f>
        <v>-1.2195121951219523E-2</v>
      </c>
      <c r="BI254" s="417"/>
      <c r="BJ254" s="1130">
        <f>BJ253/BH253-1</f>
        <v>0</v>
      </c>
      <c r="BK254" s="766">
        <v>0</v>
      </c>
      <c r="BL254" s="766">
        <v>0</v>
      </c>
      <c r="BM254" s="766">
        <v>0</v>
      </c>
      <c r="BN254" s="417"/>
      <c r="BO254" s="766">
        <v>0</v>
      </c>
      <c r="BP254" s="766">
        <v>0</v>
      </c>
      <c r="BQ254" s="766">
        <v>0</v>
      </c>
      <c r="BR254" s="766">
        <v>0</v>
      </c>
      <c r="BS254" s="417"/>
      <c r="BT254" s="417"/>
      <c r="BU254" s="417"/>
      <c r="BV254" s="417"/>
      <c r="BW254" s="223"/>
    </row>
    <row r="255" spans="1:75" s="224" customFormat="1" hidden="1" outlineLevel="2" x14ac:dyDescent="0.5">
      <c r="A255" s="765" t="s">
        <v>1819</v>
      </c>
      <c r="B255" s="1180"/>
      <c r="C255" s="417"/>
      <c r="D255" s="417"/>
      <c r="E255" s="417"/>
      <c r="F255" s="417">
        <f>F253/E253-1</f>
        <v>-0.23255813953488369</v>
      </c>
      <c r="G255" s="378"/>
      <c r="H255" s="378"/>
      <c r="I255" s="378"/>
      <c r="J255" s="378"/>
      <c r="K255" s="417">
        <f t="shared" ref="K255:BS255" si="635">K253/F253-1</f>
        <v>0</v>
      </c>
      <c r="L255" s="378">
        <f t="shared" si="635"/>
        <v>0</v>
      </c>
      <c r="M255" s="378">
        <f t="shared" si="635"/>
        <v>0</v>
      </c>
      <c r="N255" s="378">
        <f t="shared" si="635"/>
        <v>0</v>
      </c>
      <c r="O255" s="378">
        <f t="shared" si="635"/>
        <v>-0.24242424242424243</v>
      </c>
      <c r="P255" s="417">
        <f t="shared" si="635"/>
        <v>-0.24242424242424243</v>
      </c>
      <c r="Q255" s="378">
        <f t="shared" si="635"/>
        <v>-0.24242424242424243</v>
      </c>
      <c r="R255" s="378">
        <f t="shared" si="635"/>
        <v>-0.24242424242424243</v>
      </c>
      <c r="S255" s="378">
        <f t="shared" si="635"/>
        <v>-0.31818181818181823</v>
      </c>
      <c r="T255" s="378">
        <f t="shared" si="635"/>
        <v>-9.9999999999999978E-2</v>
      </c>
      <c r="U255" s="417">
        <f t="shared" si="635"/>
        <v>-9.9999999999999978E-2</v>
      </c>
      <c r="V255" s="378">
        <f t="shared" si="635"/>
        <v>-9.9999999999999978E-2</v>
      </c>
      <c r="W255" s="378">
        <f t="shared" si="635"/>
        <v>-9.9999999999999978E-2</v>
      </c>
      <c r="X255" s="378">
        <f t="shared" si="635"/>
        <v>3.3333333333333437E-2</v>
      </c>
      <c r="Y255" s="378">
        <f t="shared" si="635"/>
        <v>1.1111111111111072E-2</v>
      </c>
      <c r="Z255" s="417">
        <f t="shared" si="635"/>
        <v>1.1111111111111072E-2</v>
      </c>
      <c r="AA255" s="378">
        <f t="shared" si="635"/>
        <v>-2.2222222222222254E-2</v>
      </c>
      <c r="AB255" s="378">
        <f t="shared" si="635"/>
        <v>-2.2222222222222254E-2</v>
      </c>
      <c r="AC255" s="378">
        <f t="shared" si="635"/>
        <v>-5.3763440860215006E-2</v>
      </c>
      <c r="AD255" s="378">
        <f t="shared" si="635"/>
        <v>-3.2967032967032961E-2</v>
      </c>
      <c r="AE255" s="417">
        <f t="shared" si="635"/>
        <v>-3.2967032967032961E-2</v>
      </c>
      <c r="AF255" s="378">
        <f t="shared" si="635"/>
        <v>0</v>
      </c>
      <c r="AG255" s="378">
        <f t="shared" si="635"/>
        <v>0</v>
      </c>
      <c r="AH255" s="378">
        <f t="shared" si="635"/>
        <v>0</v>
      </c>
      <c r="AI255" s="378">
        <f t="shared" si="635"/>
        <v>-3.4090909090909061E-2</v>
      </c>
      <c r="AJ255" s="417">
        <f t="shared" si="635"/>
        <v>-3.4090909090909061E-2</v>
      </c>
      <c r="AK255" s="378">
        <f t="shared" si="635"/>
        <v>-3.4090909090909061E-2</v>
      </c>
      <c r="AL255" s="378">
        <f t="shared" si="635"/>
        <v>-3.4090909090909061E-2</v>
      </c>
      <c r="AM255" s="378">
        <f t="shared" si="635"/>
        <v>-3.4090909090909061E-2</v>
      </c>
      <c r="AN255" s="378">
        <f t="shared" si="635"/>
        <v>0</v>
      </c>
      <c r="AO255" s="417">
        <f t="shared" si="635"/>
        <v>0</v>
      </c>
      <c r="AP255" s="378">
        <f t="shared" si="635"/>
        <v>0</v>
      </c>
      <c r="AQ255" s="378">
        <f t="shared" si="635"/>
        <v>0</v>
      </c>
      <c r="AR255" s="378">
        <f t="shared" si="635"/>
        <v>0</v>
      </c>
      <c r="AS255" s="378">
        <f t="shared" si="635"/>
        <v>0</v>
      </c>
      <c r="AT255" s="417">
        <f t="shared" si="635"/>
        <v>0</v>
      </c>
      <c r="AU255" s="378">
        <f t="shared" si="635"/>
        <v>0</v>
      </c>
      <c r="AV255" s="378">
        <f t="shared" si="635"/>
        <v>0</v>
      </c>
      <c r="AW255" s="378">
        <f t="shared" si="635"/>
        <v>2.3529411764705799E-2</v>
      </c>
      <c r="AX255" s="378">
        <f t="shared" si="635"/>
        <v>0.10588235294117654</v>
      </c>
      <c r="AY255" s="417">
        <f t="shared" si="635"/>
        <v>0.10588235294117654</v>
      </c>
      <c r="AZ255" s="378">
        <f t="shared" si="635"/>
        <v>0.10588235294117654</v>
      </c>
      <c r="BA255" s="378">
        <f t="shared" si="635"/>
        <v>0.10588235294117654</v>
      </c>
      <c r="BB255" s="378">
        <f t="shared" si="635"/>
        <v>8.0459770114942541E-2</v>
      </c>
      <c r="BC255" s="378">
        <f t="shared" si="635"/>
        <v>-0.14893617021276595</v>
      </c>
      <c r="BD255" s="417">
        <f t="shared" si="635"/>
        <v>-0.14893617021276595</v>
      </c>
      <c r="BE255" s="378">
        <f t="shared" si="635"/>
        <v>-0.14893617021276595</v>
      </c>
      <c r="BF255" s="378">
        <f t="shared" si="635"/>
        <v>-0.14893617021276595</v>
      </c>
      <c r="BG255" s="378">
        <f t="shared" si="635"/>
        <v>-0.12765957446808507</v>
      </c>
      <c r="BH255" s="378">
        <f t="shared" si="635"/>
        <v>1.2499999999999956E-2</v>
      </c>
      <c r="BI255" s="417">
        <f t="shared" si="635"/>
        <v>1.2499999999999956E-2</v>
      </c>
      <c r="BJ255" s="1130">
        <f t="shared" si="635"/>
        <v>1.2499999999999956E-2</v>
      </c>
      <c r="BK255" s="378">
        <f t="shared" si="635"/>
        <v>1.2499999999999956E-2</v>
      </c>
      <c r="BL255" s="378">
        <f t="shared" si="635"/>
        <v>-1.2195121951219523E-2</v>
      </c>
      <c r="BM255" s="378">
        <f t="shared" si="635"/>
        <v>0</v>
      </c>
      <c r="BN255" s="417">
        <f t="shared" si="635"/>
        <v>0</v>
      </c>
      <c r="BO255" s="378">
        <f t="shared" si="635"/>
        <v>0</v>
      </c>
      <c r="BP255" s="378">
        <f t="shared" si="635"/>
        <v>0</v>
      </c>
      <c r="BQ255" s="378">
        <f t="shared" si="635"/>
        <v>0</v>
      </c>
      <c r="BR255" s="378">
        <f t="shared" si="635"/>
        <v>0</v>
      </c>
      <c r="BS255" s="417">
        <f t="shared" si="635"/>
        <v>0</v>
      </c>
      <c r="BT255" s="767">
        <v>0</v>
      </c>
      <c r="BU255" s="767">
        <v>0</v>
      </c>
      <c r="BV255" s="767">
        <v>0</v>
      </c>
      <c r="BW255" s="223"/>
    </row>
    <row r="256" spans="1:75" s="169" customFormat="1" ht="14.25" hidden="1" outlineLevel="2" x14ac:dyDescent="0.45">
      <c r="A256" s="163"/>
      <c r="B256" s="1121"/>
      <c r="C256" s="840"/>
      <c r="D256" s="840"/>
      <c r="E256" s="840"/>
      <c r="F256" s="840"/>
      <c r="G256" s="247"/>
      <c r="H256" s="247"/>
      <c r="I256" s="247"/>
      <c r="J256" s="247"/>
      <c r="K256" s="840"/>
      <c r="L256" s="247"/>
      <c r="M256" s="247"/>
      <c r="N256" s="247"/>
      <c r="O256" s="247"/>
      <c r="P256" s="840"/>
      <c r="Q256" s="247"/>
      <c r="R256" s="247"/>
      <c r="S256" s="247"/>
      <c r="T256" s="247"/>
      <c r="U256" s="840"/>
      <c r="V256" s="247"/>
      <c r="W256" s="247"/>
      <c r="X256" s="247"/>
      <c r="Y256" s="247"/>
      <c r="Z256" s="840"/>
      <c r="AA256" s="247"/>
      <c r="AB256" s="247"/>
      <c r="AC256" s="247"/>
      <c r="AD256" s="247"/>
      <c r="AE256" s="840"/>
      <c r="AF256" s="247"/>
      <c r="AG256" s="247"/>
      <c r="AH256" s="247"/>
      <c r="AI256" s="247"/>
      <c r="AJ256" s="840"/>
      <c r="AK256" s="247"/>
      <c r="AL256" s="247"/>
      <c r="AM256" s="247"/>
      <c r="AN256" s="247"/>
      <c r="AO256" s="840"/>
      <c r="AP256" s="247"/>
      <c r="AQ256" s="247"/>
      <c r="AR256" s="247"/>
      <c r="AS256" s="247"/>
      <c r="AT256" s="840"/>
      <c r="AU256" s="247"/>
      <c r="AV256" s="247"/>
      <c r="AW256" s="247"/>
      <c r="AX256" s="247"/>
      <c r="AY256" s="840"/>
      <c r="AZ256" s="247"/>
      <c r="BA256" s="247"/>
      <c r="BB256" s="247"/>
      <c r="BC256" s="247"/>
      <c r="BD256" s="840"/>
      <c r="BE256" s="247"/>
      <c r="BF256" s="247"/>
      <c r="BG256" s="247"/>
      <c r="BH256" s="247"/>
      <c r="BI256" s="840"/>
      <c r="BJ256" s="977"/>
      <c r="BK256" s="247"/>
      <c r="BL256" s="247"/>
      <c r="BM256" s="247"/>
      <c r="BN256" s="840"/>
      <c r="BO256" s="247"/>
      <c r="BP256" s="247"/>
      <c r="BQ256" s="247"/>
      <c r="BR256" s="247"/>
      <c r="BS256" s="840"/>
      <c r="BT256" s="840"/>
      <c r="BU256" s="840"/>
      <c r="BV256" s="840"/>
      <c r="BW256" s="168"/>
    </row>
    <row r="257" spans="1:75" s="169" customFormat="1" ht="14.25" hidden="1" outlineLevel="2" x14ac:dyDescent="0.45">
      <c r="A257" s="163" t="s">
        <v>1820</v>
      </c>
      <c r="B257" s="1121"/>
      <c r="C257" s="840"/>
      <c r="D257" s="840"/>
      <c r="E257" s="840"/>
      <c r="F257" s="840">
        <f t="shared" ref="F257:AX257" si="636">E259</f>
        <v>51.6</v>
      </c>
      <c r="G257" s="247">
        <f t="shared" si="636"/>
        <v>52.8</v>
      </c>
      <c r="H257" s="247">
        <f t="shared" si="636"/>
        <v>52.8</v>
      </c>
      <c r="I257" s="247">
        <f t="shared" si="636"/>
        <v>52.8</v>
      </c>
      <c r="J257" s="247">
        <f t="shared" si="636"/>
        <v>52.8</v>
      </c>
      <c r="K257" s="840">
        <f t="shared" ref="K257" si="637">F259</f>
        <v>52.8</v>
      </c>
      <c r="L257" s="247">
        <f t="shared" si="636"/>
        <v>52.8</v>
      </c>
      <c r="M257" s="247">
        <f t="shared" si="636"/>
        <v>52.8</v>
      </c>
      <c r="N257" s="247">
        <f t="shared" si="636"/>
        <v>52.8</v>
      </c>
      <c r="O257" s="247">
        <f t="shared" si="636"/>
        <v>52.8</v>
      </c>
      <c r="P257" s="840">
        <f t="shared" ref="P257" si="638">K259</f>
        <v>52.8</v>
      </c>
      <c r="Q257" s="247">
        <f t="shared" si="636"/>
        <v>50</v>
      </c>
      <c r="R257" s="247">
        <f t="shared" si="636"/>
        <v>50</v>
      </c>
      <c r="S257" s="247">
        <f t="shared" si="636"/>
        <v>50</v>
      </c>
      <c r="T257" s="247">
        <f t="shared" si="636"/>
        <v>54</v>
      </c>
      <c r="U257" s="840">
        <f t="shared" ref="U257" si="639">P259</f>
        <v>50</v>
      </c>
      <c r="V257" s="247">
        <f t="shared" si="636"/>
        <v>54</v>
      </c>
      <c r="W257" s="247">
        <f t="shared" si="636"/>
        <v>54</v>
      </c>
      <c r="X257" s="247">
        <f t="shared" si="636"/>
        <v>54</v>
      </c>
      <c r="Y257" s="247">
        <f t="shared" si="636"/>
        <v>55.8</v>
      </c>
      <c r="Z257" s="840">
        <f t="shared" ref="Z257" si="640">U259</f>
        <v>54</v>
      </c>
      <c r="AA257" s="247">
        <f t="shared" si="636"/>
        <v>63.7</v>
      </c>
      <c r="AB257" s="247">
        <f t="shared" si="636"/>
        <v>70.400000000000006</v>
      </c>
      <c r="AC257" s="247">
        <f t="shared" si="636"/>
        <v>70.400000000000006</v>
      </c>
      <c r="AD257" s="247">
        <f t="shared" si="636"/>
        <v>70.400000000000006</v>
      </c>
      <c r="AE257" s="840">
        <f t="shared" ref="AE257" si="641">Z259</f>
        <v>63.7</v>
      </c>
      <c r="AF257" s="247">
        <f t="shared" si="636"/>
        <v>70.400000000000006</v>
      </c>
      <c r="AG257" s="247">
        <f t="shared" si="636"/>
        <v>70.400000000000006</v>
      </c>
      <c r="AH257" s="247">
        <f t="shared" si="636"/>
        <v>70.400000000000006</v>
      </c>
      <c r="AI257" s="247">
        <f t="shared" si="636"/>
        <v>70.400000000000006</v>
      </c>
      <c r="AJ257" s="840">
        <f t="shared" ref="AJ257" si="642">AE259</f>
        <v>70.400000000000006</v>
      </c>
      <c r="AK257" s="247">
        <f t="shared" si="636"/>
        <v>85</v>
      </c>
      <c r="AL257" s="247">
        <f t="shared" si="636"/>
        <v>85</v>
      </c>
      <c r="AM257" s="247">
        <f t="shared" si="636"/>
        <v>85</v>
      </c>
      <c r="AN257" s="247">
        <f t="shared" si="636"/>
        <v>85</v>
      </c>
      <c r="AO257" s="840">
        <f t="shared" ref="AO257" si="643">AJ259</f>
        <v>85</v>
      </c>
      <c r="AP257" s="247">
        <f t="shared" si="636"/>
        <v>85</v>
      </c>
      <c r="AQ257" s="247">
        <f t="shared" si="636"/>
        <v>85</v>
      </c>
      <c r="AR257" s="247">
        <f t="shared" si="636"/>
        <v>85</v>
      </c>
      <c r="AS257" s="247">
        <f t="shared" si="636"/>
        <v>85</v>
      </c>
      <c r="AT257" s="840">
        <f t="shared" ref="AT257" si="644">AO259</f>
        <v>85</v>
      </c>
      <c r="AU257" s="247">
        <f t="shared" si="636"/>
        <v>85</v>
      </c>
      <c r="AV257" s="247">
        <f t="shared" si="636"/>
        <v>85</v>
      </c>
      <c r="AW257" s="247">
        <f t="shared" si="636"/>
        <v>85</v>
      </c>
      <c r="AX257" s="247">
        <f t="shared" si="636"/>
        <v>87</v>
      </c>
      <c r="AY257" s="840">
        <f t="shared" ref="AY257" si="645">AT259</f>
        <v>85</v>
      </c>
      <c r="AZ257" s="247">
        <f t="shared" ref="AZ257:BC257" si="646">AY259</f>
        <v>84.6</v>
      </c>
      <c r="BA257" s="247">
        <f t="shared" si="646"/>
        <v>84.6</v>
      </c>
      <c r="BB257" s="247">
        <f t="shared" si="646"/>
        <v>84.6</v>
      </c>
      <c r="BC257" s="168">
        <f t="shared" si="646"/>
        <v>84.6</v>
      </c>
      <c r="BD257" s="1123">
        <f t="shared" ref="BD257" si="647">AY259</f>
        <v>84.6</v>
      </c>
      <c r="BE257" s="247">
        <f t="shared" ref="BE257" si="648">BD259</f>
        <v>72</v>
      </c>
      <c r="BF257" s="247">
        <f>BE259</f>
        <v>72</v>
      </c>
      <c r="BG257" s="247">
        <f>BF259</f>
        <v>72</v>
      </c>
      <c r="BH257" s="168">
        <f t="shared" ref="BH257" si="649">BG259</f>
        <v>82</v>
      </c>
      <c r="BI257" s="1123">
        <f t="shared" ref="BI257" si="650">BD259</f>
        <v>72</v>
      </c>
      <c r="BJ257" s="977">
        <f>BI259</f>
        <v>89.1</v>
      </c>
      <c r="BK257" s="247">
        <f>BJ259</f>
        <v>89.1</v>
      </c>
      <c r="BL257" s="247">
        <f>BK259</f>
        <v>89.1</v>
      </c>
      <c r="BM257" s="247">
        <f>BL259</f>
        <v>89.1</v>
      </c>
      <c r="BN257" s="840">
        <f>BI259</f>
        <v>89.1</v>
      </c>
      <c r="BO257" s="247">
        <f>BN259</f>
        <v>89.1</v>
      </c>
      <c r="BP257" s="247">
        <f>BO259</f>
        <v>89.1</v>
      </c>
      <c r="BQ257" s="247">
        <f>BP259</f>
        <v>89.1</v>
      </c>
      <c r="BR257" s="247">
        <f>BQ259</f>
        <v>89.1</v>
      </c>
      <c r="BS257" s="840">
        <f>BN259</f>
        <v>89.1</v>
      </c>
      <c r="BT257" s="840">
        <f>BS259</f>
        <v>89.1</v>
      </c>
      <c r="BU257" s="840">
        <f>BT259</f>
        <v>89.1</v>
      </c>
      <c r="BV257" s="840">
        <f>BU259</f>
        <v>89.1</v>
      </c>
      <c r="BW257" s="168"/>
    </row>
    <row r="258" spans="1:75" s="224" customFormat="1" hidden="1" outlineLevel="2" x14ac:dyDescent="0.5">
      <c r="A258" s="218" t="s">
        <v>1821</v>
      </c>
      <c r="B258" s="494"/>
      <c r="C258" s="425"/>
      <c r="D258" s="425"/>
      <c r="E258" s="425"/>
      <c r="F258" s="425">
        <f t="shared" ref="F258:BQ258" si="651">F259-F257</f>
        <v>1.1999999999999957</v>
      </c>
      <c r="G258" s="487">
        <f t="shared" si="651"/>
        <v>0</v>
      </c>
      <c r="H258" s="487">
        <f t="shared" si="651"/>
        <v>0</v>
      </c>
      <c r="I258" s="487">
        <f t="shared" si="651"/>
        <v>0</v>
      </c>
      <c r="J258" s="487">
        <f t="shared" si="651"/>
        <v>0</v>
      </c>
      <c r="K258" s="425">
        <f t="shared" si="651"/>
        <v>0</v>
      </c>
      <c r="L258" s="487">
        <f t="shared" si="651"/>
        <v>0</v>
      </c>
      <c r="M258" s="487">
        <f t="shared" si="651"/>
        <v>0</v>
      </c>
      <c r="N258" s="487">
        <f t="shared" si="651"/>
        <v>0</v>
      </c>
      <c r="O258" s="487">
        <f t="shared" si="651"/>
        <v>-2.7999999999999972</v>
      </c>
      <c r="P258" s="425">
        <f t="shared" si="651"/>
        <v>-2.7999999999999972</v>
      </c>
      <c r="Q258" s="487">
        <f t="shared" si="651"/>
        <v>0</v>
      </c>
      <c r="R258" s="487">
        <f t="shared" si="651"/>
        <v>0</v>
      </c>
      <c r="S258" s="487">
        <f t="shared" si="651"/>
        <v>4</v>
      </c>
      <c r="T258" s="487">
        <f t="shared" si="651"/>
        <v>0</v>
      </c>
      <c r="U258" s="425">
        <f t="shared" si="651"/>
        <v>4</v>
      </c>
      <c r="V258" s="487">
        <f t="shared" si="651"/>
        <v>0</v>
      </c>
      <c r="W258" s="487">
        <f t="shared" si="651"/>
        <v>0</v>
      </c>
      <c r="X258" s="487">
        <f t="shared" si="651"/>
        <v>1.7999999999999972</v>
      </c>
      <c r="Y258" s="487">
        <f t="shared" si="651"/>
        <v>7.9000000000000057</v>
      </c>
      <c r="Z258" s="425">
        <f t="shared" si="651"/>
        <v>9.7000000000000028</v>
      </c>
      <c r="AA258" s="487">
        <f t="shared" si="651"/>
        <v>6.7000000000000028</v>
      </c>
      <c r="AB258" s="487">
        <f t="shared" si="651"/>
        <v>0</v>
      </c>
      <c r="AC258" s="487">
        <f t="shared" si="651"/>
        <v>0</v>
      </c>
      <c r="AD258" s="487">
        <f t="shared" si="651"/>
        <v>0</v>
      </c>
      <c r="AE258" s="425">
        <f t="shared" si="651"/>
        <v>6.7000000000000028</v>
      </c>
      <c r="AF258" s="487">
        <f t="shared" si="651"/>
        <v>0</v>
      </c>
      <c r="AG258" s="487">
        <f t="shared" si="651"/>
        <v>0</v>
      </c>
      <c r="AH258" s="487">
        <f t="shared" si="651"/>
        <v>0</v>
      </c>
      <c r="AI258" s="487">
        <f t="shared" si="651"/>
        <v>14.599999999999994</v>
      </c>
      <c r="AJ258" s="425">
        <f t="shared" si="651"/>
        <v>14.599999999999994</v>
      </c>
      <c r="AK258" s="487">
        <f t="shared" si="651"/>
        <v>0</v>
      </c>
      <c r="AL258" s="487">
        <f t="shared" si="651"/>
        <v>0</v>
      </c>
      <c r="AM258" s="487">
        <f t="shared" si="651"/>
        <v>0</v>
      </c>
      <c r="AN258" s="487">
        <f t="shared" si="651"/>
        <v>0</v>
      </c>
      <c r="AO258" s="425">
        <f t="shared" si="651"/>
        <v>0</v>
      </c>
      <c r="AP258" s="487">
        <f t="shared" si="651"/>
        <v>0</v>
      </c>
      <c r="AQ258" s="487">
        <f t="shared" si="651"/>
        <v>0</v>
      </c>
      <c r="AR258" s="487">
        <f t="shared" si="651"/>
        <v>0</v>
      </c>
      <c r="AS258" s="487">
        <f t="shared" si="651"/>
        <v>0</v>
      </c>
      <c r="AT258" s="425">
        <f t="shared" si="651"/>
        <v>0</v>
      </c>
      <c r="AU258" s="487">
        <f t="shared" si="651"/>
        <v>0</v>
      </c>
      <c r="AV258" s="487">
        <f t="shared" si="651"/>
        <v>0</v>
      </c>
      <c r="AW258" s="487">
        <f t="shared" si="651"/>
        <v>2</v>
      </c>
      <c r="AX258" s="487">
        <f t="shared" si="651"/>
        <v>-2.4000000000000057</v>
      </c>
      <c r="AY258" s="425">
        <f t="shared" si="651"/>
        <v>-0.40000000000000568</v>
      </c>
      <c r="AZ258" s="487">
        <f t="shared" si="651"/>
        <v>0</v>
      </c>
      <c r="BA258" s="487">
        <f t="shared" si="651"/>
        <v>0</v>
      </c>
      <c r="BB258" s="487">
        <f t="shared" si="651"/>
        <v>0</v>
      </c>
      <c r="BC258" s="223">
        <f t="shared" si="651"/>
        <v>-12.599999999999994</v>
      </c>
      <c r="BD258" s="1125">
        <f t="shared" si="651"/>
        <v>-12.599999999999994</v>
      </c>
      <c r="BE258" s="487">
        <f t="shared" si="651"/>
        <v>0</v>
      </c>
      <c r="BF258" s="487">
        <f t="shared" si="651"/>
        <v>0</v>
      </c>
      <c r="BG258" s="487">
        <f t="shared" si="651"/>
        <v>10</v>
      </c>
      <c r="BH258" s="223">
        <f t="shared" si="651"/>
        <v>7.0999999999999943</v>
      </c>
      <c r="BI258" s="1125">
        <f t="shared" si="651"/>
        <v>17.099999999999994</v>
      </c>
      <c r="BJ258" s="981">
        <f>BJ259-BJ257</f>
        <v>0</v>
      </c>
      <c r="BK258" s="487">
        <f t="shared" si="651"/>
        <v>0</v>
      </c>
      <c r="BL258" s="487">
        <f t="shared" si="651"/>
        <v>0</v>
      </c>
      <c r="BM258" s="487">
        <f t="shared" si="651"/>
        <v>0</v>
      </c>
      <c r="BN258" s="425">
        <f t="shared" si="651"/>
        <v>0</v>
      </c>
      <c r="BO258" s="487">
        <f t="shared" si="651"/>
        <v>0</v>
      </c>
      <c r="BP258" s="487">
        <f t="shared" si="651"/>
        <v>0</v>
      </c>
      <c r="BQ258" s="487">
        <f t="shared" si="651"/>
        <v>0</v>
      </c>
      <c r="BR258" s="487">
        <f t="shared" ref="BR258:CH258" si="652">BR259-BR257</f>
        <v>0</v>
      </c>
      <c r="BS258" s="425">
        <f t="shared" si="652"/>
        <v>0</v>
      </c>
      <c r="BT258" s="425">
        <f t="shared" si="652"/>
        <v>0</v>
      </c>
      <c r="BU258" s="425">
        <f t="shared" si="652"/>
        <v>0</v>
      </c>
      <c r="BV258" s="425">
        <f t="shared" si="652"/>
        <v>0</v>
      </c>
      <c r="BW258" s="223"/>
    </row>
    <row r="259" spans="1:75" s="169" customFormat="1" ht="14.25" hidden="1" outlineLevel="2" x14ac:dyDescent="0.45">
      <c r="A259" s="360" t="s">
        <v>1822</v>
      </c>
      <c r="B259" s="1127"/>
      <c r="C259" s="1128"/>
      <c r="D259" s="1128"/>
      <c r="E259" s="1128">
        <f t="shared" ref="E259:BE259" si="653">E253*E248/1000</f>
        <v>51.6</v>
      </c>
      <c r="F259" s="1128">
        <f t="shared" si="653"/>
        <v>52.8</v>
      </c>
      <c r="G259" s="287">
        <f t="shared" si="653"/>
        <v>52.8</v>
      </c>
      <c r="H259" s="287">
        <f t="shared" si="653"/>
        <v>52.8</v>
      </c>
      <c r="I259" s="287">
        <f t="shared" si="653"/>
        <v>52.8</v>
      </c>
      <c r="J259" s="287">
        <f t="shared" si="653"/>
        <v>52.8</v>
      </c>
      <c r="K259" s="1128">
        <f t="shared" si="653"/>
        <v>52.8</v>
      </c>
      <c r="L259" s="287">
        <f t="shared" si="653"/>
        <v>52.8</v>
      </c>
      <c r="M259" s="287">
        <f t="shared" si="653"/>
        <v>52.8</v>
      </c>
      <c r="N259" s="287">
        <f t="shared" si="653"/>
        <v>52.8</v>
      </c>
      <c r="O259" s="287">
        <f t="shared" si="653"/>
        <v>50</v>
      </c>
      <c r="P259" s="1128">
        <f t="shared" si="653"/>
        <v>50</v>
      </c>
      <c r="Q259" s="287">
        <f t="shared" si="653"/>
        <v>50</v>
      </c>
      <c r="R259" s="287">
        <f t="shared" si="653"/>
        <v>50</v>
      </c>
      <c r="S259" s="287">
        <f t="shared" si="653"/>
        <v>54</v>
      </c>
      <c r="T259" s="287">
        <f t="shared" si="653"/>
        <v>54</v>
      </c>
      <c r="U259" s="1128">
        <f t="shared" si="653"/>
        <v>54</v>
      </c>
      <c r="V259" s="287">
        <f t="shared" si="653"/>
        <v>54</v>
      </c>
      <c r="W259" s="287">
        <f t="shared" si="653"/>
        <v>54</v>
      </c>
      <c r="X259" s="287">
        <f t="shared" si="653"/>
        <v>55.8</v>
      </c>
      <c r="Y259" s="287">
        <f t="shared" si="653"/>
        <v>63.7</v>
      </c>
      <c r="Z259" s="1128">
        <f t="shared" si="653"/>
        <v>63.7</v>
      </c>
      <c r="AA259" s="287">
        <f t="shared" si="653"/>
        <v>70.400000000000006</v>
      </c>
      <c r="AB259" s="287">
        <f t="shared" si="653"/>
        <v>70.400000000000006</v>
      </c>
      <c r="AC259" s="287">
        <f t="shared" si="653"/>
        <v>70.400000000000006</v>
      </c>
      <c r="AD259" s="287">
        <f t="shared" si="653"/>
        <v>70.400000000000006</v>
      </c>
      <c r="AE259" s="1128">
        <f t="shared" si="653"/>
        <v>70.400000000000006</v>
      </c>
      <c r="AF259" s="287">
        <f t="shared" si="653"/>
        <v>70.400000000000006</v>
      </c>
      <c r="AG259" s="287">
        <f t="shared" si="653"/>
        <v>70.400000000000006</v>
      </c>
      <c r="AH259" s="287">
        <f t="shared" si="653"/>
        <v>70.400000000000006</v>
      </c>
      <c r="AI259" s="287">
        <f t="shared" si="653"/>
        <v>85</v>
      </c>
      <c r="AJ259" s="1128">
        <f t="shared" si="653"/>
        <v>85</v>
      </c>
      <c r="AK259" s="287">
        <f t="shared" si="653"/>
        <v>85</v>
      </c>
      <c r="AL259" s="287">
        <f t="shared" si="653"/>
        <v>85</v>
      </c>
      <c r="AM259" s="287">
        <f t="shared" si="653"/>
        <v>85</v>
      </c>
      <c r="AN259" s="287">
        <f t="shared" si="653"/>
        <v>85</v>
      </c>
      <c r="AO259" s="1128">
        <f t="shared" si="653"/>
        <v>85</v>
      </c>
      <c r="AP259" s="287">
        <f t="shared" si="653"/>
        <v>85</v>
      </c>
      <c r="AQ259" s="287">
        <f t="shared" si="653"/>
        <v>85</v>
      </c>
      <c r="AR259" s="287">
        <f t="shared" si="653"/>
        <v>85</v>
      </c>
      <c r="AS259" s="287">
        <f t="shared" si="653"/>
        <v>85</v>
      </c>
      <c r="AT259" s="1128">
        <f t="shared" si="653"/>
        <v>85</v>
      </c>
      <c r="AU259" s="287">
        <f t="shared" si="653"/>
        <v>85</v>
      </c>
      <c r="AV259" s="287">
        <f t="shared" si="653"/>
        <v>85</v>
      </c>
      <c r="AW259" s="287">
        <f t="shared" si="653"/>
        <v>87</v>
      </c>
      <c r="AX259" s="287">
        <f t="shared" si="653"/>
        <v>84.6</v>
      </c>
      <c r="AY259" s="1128">
        <f t="shared" si="653"/>
        <v>84.6</v>
      </c>
      <c r="AZ259" s="287">
        <f t="shared" si="653"/>
        <v>84.6</v>
      </c>
      <c r="BA259" s="287">
        <f t="shared" si="653"/>
        <v>84.6</v>
      </c>
      <c r="BB259" s="287">
        <f t="shared" si="653"/>
        <v>84.6</v>
      </c>
      <c r="BC259" s="284">
        <f t="shared" si="653"/>
        <v>72</v>
      </c>
      <c r="BD259" s="1165">
        <f t="shared" si="653"/>
        <v>72</v>
      </c>
      <c r="BE259" s="287">
        <f t="shared" si="653"/>
        <v>72</v>
      </c>
      <c r="BF259" s="287">
        <f>BF253*BF248/1000</f>
        <v>72</v>
      </c>
      <c r="BG259" s="287">
        <f>BG253*BG248/1000</f>
        <v>82</v>
      </c>
      <c r="BH259" s="284">
        <f t="shared" ref="BH259:BI259" si="654">BH253*BH248/1000</f>
        <v>89.1</v>
      </c>
      <c r="BI259" s="1165">
        <f t="shared" si="654"/>
        <v>89.1</v>
      </c>
      <c r="BJ259" s="1129">
        <f>BJ253*BJ248/1000</f>
        <v>89.1</v>
      </c>
      <c r="BK259" s="287">
        <f>BK253*BK248/1000</f>
        <v>89.1</v>
      </c>
      <c r="BL259" s="287">
        <f>BL253*BL248/1000</f>
        <v>89.1</v>
      </c>
      <c r="BM259" s="287">
        <f>BM253*BM248/1000</f>
        <v>89.1</v>
      </c>
      <c r="BN259" s="1128">
        <f>BM259</f>
        <v>89.1</v>
      </c>
      <c r="BO259" s="287">
        <f>BO253*BO248/1000</f>
        <v>89.1</v>
      </c>
      <c r="BP259" s="287">
        <f>BP253*BP248/1000</f>
        <v>89.1</v>
      </c>
      <c r="BQ259" s="287">
        <f>BQ253*BQ248/1000</f>
        <v>89.1</v>
      </c>
      <c r="BR259" s="287">
        <f>BR253*BR248/1000</f>
        <v>89.1</v>
      </c>
      <c r="BS259" s="1128">
        <f>BR259</f>
        <v>89.1</v>
      </c>
      <c r="BT259" s="1128">
        <f>BT253*BT248/1000</f>
        <v>89.1</v>
      </c>
      <c r="BU259" s="1128">
        <f>BU253*BU248/1000</f>
        <v>89.1</v>
      </c>
      <c r="BV259" s="1128">
        <f>BV253*BV248/1000</f>
        <v>89.1</v>
      </c>
      <c r="BW259" s="168"/>
    </row>
    <row r="260" spans="1:75" s="169" customFormat="1" ht="14.25" hidden="1" outlineLevel="2" x14ac:dyDescent="0.45">
      <c r="A260" s="163" t="s">
        <v>1823</v>
      </c>
      <c r="B260" s="1121"/>
      <c r="C260" s="840"/>
      <c r="D260" s="840"/>
      <c r="E260" s="840"/>
      <c r="F260" s="840">
        <f t="shared" ref="F260:J260" si="655">AVERAGE(F259,F257)</f>
        <v>52.2</v>
      </c>
      <c r="G260" s="247">
        <f t="shared" si="655"/>
        <v>52.8</v>
      </c>
      <c r="H260" s="247">
        <f t="shared" si="655"/>
        <v>52.8</v>
      </c>
      <c r="I260" s="247">
        <f t="shared" si="655"/>
        <v>52.8</v>
      </c>
      <c r="J260" s="247">
        <f t="shared" si="655"/>
        <v>52.8</v>
      </c>
      <c r="K260" s="840">
        <f t="shared" ref="K260" si="656">SUM(G260*G$3,H260*H$3,I260*I$3,J260*J$3)/K$3</f>
        <v>52.800000000000004</v>
      </c>
      <c r="L260" s="247">
        <f t="shared" ref="L260:O260" si="657">AVERAGE(L259,L257)</f>
        <v>52.8</v>
      </c>
      <c r="M260" s="247">
        <f t="shared" si="657"/>
        <v>52.8</v>
      </c>
      <c r="N260" s="247">
        <f t="shared" si="657"/>
        <v>52.8</v>
      </c>
      <c r="O260" s="247">
        <f t="shared" si="657"/>
        <v>51.4</v>
      </c>
      <c r="P260" s="840">
        <f t="shared" ref="P260" si="658">SUM(L260*L$3,M260*M$3,N260*N$3,O260*O$3)/P$3</f>
        <v>52.45000000000001</v>
      </c>
      <c r="Q260" s="247">
        <f t="shared" ref="Q260:T260" si="659">AVERAGE(Q259,Q257)</f>
        <v>50</v>
      </c>
      <c r="R260" s="247">
        <f t="shared" si="659"/>
        <v>50</v>
      </c>
      <c r="S260" s="247">
        <f t="shared" si="659"/>
        <v>52</v>
      </c>
      <c r="T260" s="247">
        <f t="shared" si="659"/>
        <v>54</v>
      </c>
      <c r="U260" s="840">
        <f t="shared" ref="U260" si="660">SUM(Q260*Q$3,R260*R$3,S260*S$3,T260*T$3)/U$3</f>
        <v>51.5</v>
      </c>
      <c r="V260" s="247">
        <f t="shared" ref="V260:Y260" si="661">AVERAGE(V259,V257)</f>
        <v>54</v>
      </c>
      <c r="W260" s="247">
        <f t="shared" si="661"/>
        <v>54</v>
      </c>
      <c r="X260" s="247">
        <f t="shared" si="661"/>
        <v>54.9</v>
      </c>
      <c r="Y260" s="247">
        <f t="shared" si="661"/>
        <v>59.75</v>
      </c>
      <c r="Z260" s="840">
        <f t="shared" ref="Z260" si="662">SUM(V260*V$3,W260*W$3,X260*X$3,Y260*Y$3)/Z$3</f>
        <v>55.662500000000001</v>
      </c>
      <c r="AA260" s="247">
        <f t="shared" ref="AA260:AD260" si="663">AVERAGE(AA259,AA257)</f>
        <v>67.050000000000011</v>
      </c>
      <c r="AB260" s="247">
        <f t="shared" si="663"/>
        <v>70.400000000000006</v>
      </c>
      <c r="AC260" s="247">
        <f t="shared" si="663"/>
        <v>70.400000000000006</v>
      </c>
      <c r="AD260" s="247">
        <f t="shared" si="663"/>
        <v>70.400000000000006</v>
      </c>
      <c r="AE260" s="840">
        <f t="shared" ref="AE260" si="664">SUM(AA260*AA$3,AB260*AB$3,AC260*AC$3,AD260*AD$3)/AE$3</f>
        <v>69.562500000000014</v>
      </c>
      <c r="AF260" s="247">
        <f t="shared" ref="AF260:AI260" si="665">AVERAGE(AF259,AF257)</f>
        <v>70.400000000000006</v>
      </c>
      <c r="AG260" s="247">
        <f t="shared" si="665"/>
        <v>70.400000000000006</v>
      </c>
      <c r="AH260" s="247">
        <f t="shared" si="665"/>
        <v>70.400000000000006</v>
      </c>
      <c r="AI260" s="247">
        <f t="shared" si="665"/>
        <v>77.7</v>
      </c>
      <c r="AJ260" s="840">
        <f t="shared" ref="AJ260" si="666">SUM(AF260*AF$3,AG260*AG$3,AH260*AH$3,AI260*AI$3)/AJ$3</f>
        <v>72.32830188679246</v>
      </c>
      <c r="AK260" s="247">
        <f t="shared" ref="AK260:AN260" si="667">AVERAGE(AK259,AK257)</f>
        <v>85</v>
      </c>
      <c r="AL260" s="247">
        <f t="shared" si="667"/>
        <v>85</v>
      </c>
      <c r="AM260" s="247">
        <f t="shared" si="667"/>
        <v>85</v>
      </c>
      <c r="AN260" s="247">
        <f t="shared" si="667"/>
        <v>85</v>
      </c>
      <c r="AO260" s="840">
        <f t="shared" ref="AO260" si="668">SUM(AK260*AK$3,AL260*AL$3,AM260*AM$3,AN260*AN$3)/AO$3</f>
        <v>85</v>
      </c>
      <c r="AP260" s="247">
        <f t="shared" ref="AP260:AS260" si="669">AVERAGE(AP259,AP257)</f>
        <v>85</v>
      </c>
      <c r="AQ260" s="247">
        <f t="shared" si="669"/>
        <v>85</v>
      </c>
      <c r="AR260" s="247">
        <f t="shared" si="669"/>
        <v>85</v>
      </c>
      <c r="AS260" s="247">
        <f t="shared" si="669"/>
        <v>85</v>
      </c>
      <c r="AT260" s="840">
        <f t="shared" ref="AT260" si="670">SUM(AP260*AP$3,AQ260*AQ$3,AR260*AR$3,AS260*AS$3)/AT$3</f>
        <v>85</v>
      </c>
      <c r="AU260" s="247">
        <f t="shared" ref="AU260:AX260" si="671">AVERAGE(AU259,AU257)</f>
        <v>85</v>
      </c>
      <c r="AV260" s="247">
        <f t="shared" si="671"/>
        <v>85</v>
      </c>
      <c r="AW260" s="247">
        <f t="shared" si="671"/>
        <v>86</v>
      </c>
      <c r="AX260" s="247">
        <f t="shared" si="671"/>
        <v>85.8</v>
      </c>
      <c r="AY260" s="840">
        <f t="shared" ref="AY260" si="672">SUM(AU260*AU$3,AV260*AV$3,AW260*AW$3,AX260*AX$3)/AY$3</f>
        <v>85.45</v>
      </c>
      <c r="AZ260" s="247">
        <f t="shared" ref="AZ260:BC260" si="673">AVERAGE(AZ259,AZ257)</f>
        <v>84.6</v>
      </c>
      <c r="BA260" s="247">
        <f t="shared" si="673"/>
        <v>84.6</v>
      </c>
      <c r="BB260" s="247">
        <f t="shared" si="673"/>
        <v>84.6</v>
      </c>
      <c r="BC260" s="168">
        <f t="shared" si="673"/>
        <v>78.3</v>
      </c>
      <c r="BD260" s="1123">
        <f t="shared" ref="BD260" si="674">SUM(AZ260*AZ$3,BA260*BA$3,BB260*BB$3,BC260*BC$3)/BD$3</f>
        <v>83.024999999999991</v>
      </c>
      <c r="BE260" s="247">
        <f t="shared" ref="BE260" si="675">AVERAGE(BE259,BE257)</f>
        <v>72</v>
      </c>
      <c r="BF260" s="247">
        <f>AVERAGE(BF259,BF257)</f>
        <v>72</v>
      </c>
      <c r="BG260" s="247">
        <f>AVERAGE(BG259,BG257)</f>
        <v>77</v>
      </c>
      <c r="BH260" s="168">
        <f t="shared" ref="BH260" si="676">AVERAGE(BH259,BH257)</f>
        <v>85.55</v>
      </c>
      <c r="BI260" s="1123">
        <f t="shared" ref="BI260" si="677">SUM(BE260*BE$3,BF260*BF$3,BG260*BG$3,BH260*BH$3)/BI$3</f>
        <v>76.637500000000003</v>
      </c>
      <c r="BJ260" s="977">
        <f>AVERAGE(BJ259,BJ257)</f>
        <v>89.1</v>
      </c>
      <c r="BK260" s="247">
        <f>AVERAGE(BK259,BK257)</f>
        <v>89.1</v>
      </c>
      <c r="BL260" s="247">
        <f>AVERAGE(BL259,BL257)</f>
        <v>89.1</v>
      </c>
      <c r="BM260" s="247">
        <f>AVERAGE(BM259,BM257)</f>
        <v>89.1</v>
      </c>
      <c r="BN260" s="840">
        <f>SUM(BJ260*BJ$3,BK260*BK$3,BL260*BL$3,BM260*BM$3)/BN$3</f>
        <v>89.1</v>
      </c>
      <c r="BO260" s="247">
        <f>AVERAGE(BO259,BO257)</f>
        <v>89.1</v>
      </c>
      <c r="BP260" s="247">
        <f>AVERAGE(BP259,BP257)</f>
        <v>89.1</v>
      </c>
      <c r="BQ260" s="247">
        <f>AVERAGE(BQ259,BQ257)</f>
        <v>89.1</v>
      </c>
      <c r="BR260" s="247">
        <f>AVERAGE(BR259,BR257)</f>
        <v>89.1</v>
      </c>
      <c r="BS260" s="840">
        <f>SUM(BO260*BO$3,BP260*BP$3,BQ260*BQ$3,BR260*BR$3)/BS$3</f>
        <v>89.1</v>
      </c>
      <c r="BT260" s="840">
        <f>AVERAGE(BT259,BT257)</f>
        <v>89.1</v>
      </c>
      <c r="BU260" s="840">
        <f>AVERAGE(BU259,BU257)</f>
        <v>89.1</v>
      </c>
      <c r="BV260" s="840">
        <f>AVERAGE(BV259,BV257)</f>
        <v>89.1</v>
      </c>
      <c r="BW260" s="168"/>
    </row>
    <row r="261" spans="1:75" s="169" customFormat="1" ht="14.25" hidden="1" outlineLevel="2" x14ac:dyDescent="0.45">
      <c r="A261" s="163"/>
      <c r="B261" s="1121"/>
      <c r="C261" s="840"/>
      <c r="D261" s="840"/>
      <c r="E261" s="840"/>
      <c r="F261" s="840"/>
      <c r="G261" s="247"/>
      <c r="H261" s="247"/>
      <c r="I261" s="247"/>
      <c r="J261" s="247"/>
      <c r="K261" s="840"/>
      <c r="L261" s="247"/>
      <c r="M261" s="247"/>
      <c r="N261" s="247"/>
      <c r="O261" s="247"/>
      <c r="P261" s="840"/>
      <c r="Q261" s="247"/>
      <c r="R261" s="247"/>
      <c r="S261" s="247"/>
      <c r="T261" s="247"/>
      <c r="U261" s="840"/>
      <c r="V261" s="247"/>
      <c r="W261" s="247"/>
      <c r="X261" s="247"/>
      <c r="Y261" s="247"/>
      <c r="Z261" s="840"/>
      <c r="AA261" s="247"/>
      <c r="AB261" s="247"/>
      <c r="AC261" s="247"/>
      <c r="AD261" s="247"/>
      <c r="AE261" s="840"/>
      <c r="AF261" s="247"/>
      <c r="AG261" s="247"/>
      <c r="AH261" s="247"/>
      <c r="AI261" s="247"/>
      <c r="AJ261" s="840"/>
      <c r="AK261" s="247"/>
      <c r="AL261" s="247"/>
      <c r="AM261" s="247"/>
      <c r="AN261" s="247"/>
      <c r="AO261" s="840"/>
      <c r="AP261" s="247"/>
      <c r="AQ261" s="247"/>
      <c r="AR261" s="247"/>
      <c r="AS261" s="247"/>
      <c r="AT261" s="840"/>
      <c r="AU261" s="247"/>
      <c r="AV261" s="247"/>
      <c r="AW261" s="247"/>
      <c r="AX261" s="247"/>
      <c r="AY261" s="840"/>
      <c r="AZ261" s="247"/>
      <c r="BA261" s="247"/>
      <c r="BB261" s="247"/>
      <c r="BC261" s="247"/>
      <c r="BD261" s="840"/>
      <c r="BE261" s="247"/>
      <c r="BF261" s="247"/>
      <c r="BG261" s="247"/>
      <c r="BH261" s="247"/>
      <c r="BI261" s="840"/>
      <c r="BJ261" s="977"/>
      <c r="BK261" s="247"/>
      <c r="BL261" s="247"/>
      <c r="BM261" s="247"/>
      <c r="BN261" s="840"/>
      <c r="BO261" s="247"/>
      <c r="BP261" s="247"/>
      <c r="BQ261" s="247"/>
      <c r="BR261" s="247"/>
      <c r="BS261" s="840"/>
      <c r="BT261" s="840"/>
      <c r="BU261" s="840"/>
      <c r="BV261" s="840"/>
      <c r="BW261" s="168"/>
    </row>
    <row r="262" spans="1:75" s="198" customFormat="1" ht="14.25" hidden="1" outlineLevel="1" collapsed="1" x14ac:dyDescent="0.45">
      <c r="A262" s="206" t="s">
        <v>1656</v>
      </c>
      <c r="B262" s="485"/>
      <c r="C262" s="397">
        <f t="shared" ref="C262:BA262" si="678">C290</f>
        <v>32.109000000000002</v>
      </c>
      <c r="D262" s="397">
        <f t="shared" si="678"/>
        <v>41.825000000000003</v>
      </c>
      <c r="E262" s="397">
        <f t="shared" si="678"/>
        <v>55.808</v>
      </c>
      <c r="F262" s="397">
        <f t="shared" si="678"/>
        <v>101.468</v>
      </c>
      <c r="G262" s="295"/>
      <c r="H262" s="295"/>
      <c r="I262" s="295"/>
      <c r="J262" s="295"/>
      <c r="K262" s="397">
        <f t="shared" si="678"/>
        <v>123.527</v>
      </c>
      <c r="L262" s="295"/>
      <c r="M262" s="295"/>
      <c r="N262" s="295"/>
      <c r="O262" s="295"/>
      <c r="P262" s="397">
        <f t="shared" si="678"/>
        <v>127.452</v>
      </c>
      <c r="Q262" s="295"/>
      <c r="R262" s="295"/>
      <c r="S262" s="295"/>
      <c r="T262" s="295"/>
      <c r="U262" s="397">
        <f t="shared" si="678"/>
        <v>193.619</v>
      </c>
      <c r="V262" s="295"/>
      <c r="W262" s="295"/>
      <c r="X262" s="295"/>
      <c r="Y262" s="295"/>
      <c r="Z262" s="397">
        <f t="shared" si="678"/>
        <v>212.63300000000001</v>
      </c>
      <c r="AA262" s="295"/>
      <c r="AB262" s="295"/>
      <c r="AC262" s="295"/>
      <c r="AD262" s="295"/>
      <c r="AE262" s="397">
        <f t="shared" si="678"/>
        <v>228.816</v>
      </c>
      <c r="AF262" s="295">
        <f t="shared" si="678"/>
        <v>57.905999999999999</v>
      </c>
      <c r="AG262" s="295">
        <f t="shared" si="678"/>
        <v>58.515999999999998</v>
      </c>
      <c r="AH262" s="295">
        <f t="shared" si="678"/>
        <v>53.148000000000003</v>
      </c>
      <c r="AI262" s="295">
        <f t="shared" si="678"/>
        <v>79.864000000000004</v>
      </c>
      <c r="AJ262" s="397">
        <f t="shared" si="678"/>
        <v>249.434</v>
      </c>
      <c r="AK262" s="295">
        <f t="shared" si="678"/>
        <v>67.582999999999998</v>
      </c>
      <c r="AL262" s="295">
        <f t="shared" si="678"/>
        <v>69.165999999999997</v>
      </c>
      <c r="AM262" s="295">
        <f t="shared" si="678"/>
        <v>61.601999999999997</v>
      </c>
      <c r="AN262" s="295">
        <f t="shared" si="678"/>
        <v>77.793999999999983</v>
      </c>
      <c r="AO262" s="397">
        <f t="shared" si="678"/>
        <v>276.14499999999998</v>
      </c>
      <c r="AP262" s="295">
        <f t="shared" si="678"/>
        <v>52.304000000000002</v>
      </c>
      <c r="AQ262" s="295">
        <f t="shared" si="678"/>
        <v>67.828999999999994</v>
      </c>
      <c r="AR262" s="295">
        <f t="shared" si="678"/>
        <v>68.224999999999994</v>
      </c>
      <c r="AS262" s="295">
        <f t="shared" si="678"/>
        <v>101.53399999999999</v>
      </c>
      <c r="AT262" s="397">
        <f t="shared" si="678"/>
        <v>289.892</v>
      </c>
      <c r="AU262" s="295">
        <f t="shared" si="678"/>
        <v>90.983000000000004</v>
      </c>
      <c r="AV262" s="295">
        <f t="shared" si="678"/>
        <v>106.988</v>
      </c>
      <c r="AW262" s="295">
        <f t="shared" si="678"/>
        <v>90.361000000000004</v>
      </c>
      <c r="AX262" s="295">
        <f t="shared" si="678"/>
        <v>116.625</v>
      </c>
      <c r="AY262" s="397">
        <f t="shared" si="678"/>
        <v>404.95699999999999</v>
      </c>
      <c r="AZ262" s="295">
        <f t="shared" si="678"/>
        <v>101.099</v>
      </c>
      <c r="BA262" s="295">
        <f t="shared" si="678"/>
        <v>117.739</v>
      </c>
      <c r="BB262" s="295">
        <f>BB290</f>
        <v>96.795000000000002</v>
      </c>
      <c r="BC262" s="197">
        <f t="shared" ref="BC262:BE262" si="679">BC290</f>
        <v>105.54399999999998</v>
      </c>
      <c r="BD262" s="672">
        <f t="shared" si="679"/>
        <v>421.17700000000002</v>
      </c>
      <c r="BE262" s="295">
        <f t="shared" si="679"/>
        <v>79.701999999999998</v>
      </c>
      <c r="BF262" s="295">
        <f>BF290</f>
        <v>91.7</v>
      </c>
      <c r="BG262" s="295">
        <f>BG290</f>
        <v>80.691999999999993</v>
      </c>
      <c r="BH262" s="197">
        <f>BH290</f>
        <v>117.065</v>
      </c>
      <c r="BI262" s="672">
        <f>BI290</f>
        <v>369.15899999999999</v>
      </c>
      <c r="BJ262" s="1030">
        <f>BJ290</f>
        <v>92.662999999999997</v>
      </c>
      <c r="BK262" s="295">
        <f>BF262*(1+BK263)</f>
        <v>96.285000000000011</v>
      </c>
      <c r="BL262" s="295">
        <f>BG262*(1+BL263)</f>
        <v>84.726599999999991</v>
      </c>
      <c r="BM262" s="295">
        <f>BH262*(1+BM263)</f>
        <v>122.91825</v>
      </c>
      <c r="BN262" s="397">
        <f>BN290</f>
        <v>396.59285</v>
      </c>
      <c r="BO262" s="295">
        <f>BJ262*(1+BO263)</f>
        <v>97.296149999999997</v>
      </c>
      <c r="BP262" s="295">
        <f>BK262*(1+BP263)</f>
        <v>101.09925000000001</v>
      </c>
      <c r="BQ262" s="295">
        <f>BL262*(1+BQ263)</f>
        <v>88.96293</v>
      </c>
      <c r="BR262" s="295">
        <f>BM262*(1+BR263)</f>
        <v>129.06416250000001</v>
      </c>
      <c r="BS262" s="397">
        <f>BS290</f>
        <v>416.42249250000003</v>
      </c>
      <c r="BT262" s="397">
        <f>BS262*(1+BT263)</f>
        <v>437.24361712500007</v>
      </c>
      <c r="BU262" s="397">
        <f>BT262*(1+BU263)</f>
        <v>459.10579798125008</v>
      </c>
      <c r="BV262" s="397">
        <f>BU262*(1+BV263)</f>
        <v>482.06108788031258</v>
      </c>
      <c r="BW262" s="197"/>
    </row>
    <row r="263" spans="1:75" s="177" customFormat="1" ht="14.25" hidden="1" outlineLevel="1" x14ac:dyDescent="0.45">
      <c r="A263" s="170" t="s">
        <v>1657</v>
      </c>
      <c r="B263" s="491"/>
      <c r="C263" s="417"/>
      <c r="D263" s="417">
        <f>D262/C262-1</f>
        <v>0.30259428820579903</v>
      </c>
      <c r="E263" s="417">
        <f t="shared" ref="E263:F263" si="680">E262/D262-1</f>
        <v>0.3343215780035862</v>
      </c>
      <c r="F263" s="417">
        <f t="shared" si="680"/>
        <v>0.81816227064220182</v>
      </c>
      <c r="G263" s="378"/>
      <c r="H263" s="378"/>
      <c r="I263" s="378"/>
      <c r="J263" s="378"/>
      <c r="K263" s="417">
        <f>K262/F262-1</f>
        <v>0.2173985887176253</v>
      </c>
      <c r="L263" s="378"/>
      <c r="M263" s="378"/>
      <c r="N263" s="378"/>
      <c r="O263" s="378"/>
      <c r="P263" s="417">
        <f>P262/K262-1</f>
        <v>3.1774429881726185E-2</v>
      </c>
      <c r="Q263" s="378"/>
      <c r="R263" s="378"/>
      <c r="S263" s="378"/>
      <c r="T263" s="378"/>
      <c r="U263" s="417">
        <f>U262/P262-1</f>
        <v>0.51915230831999493</v>
      </c>
      <c r="V263" s="378"/>
      <c r="W263" s="378"/>
      <c r="X263" s="378"/>
      <c r="Y263" s="378"/>
      <c r="Z263" s="417">
        <f>Z262/U262-1</f>
        <v>9.8203172209339051E-2</v>
      </c>
      <c r="AA263" s="378"/>
      <c r="AB263" s="378"/>
      <c r="AC263" s="378"/>
      <c r="AD263" s="378"/>
      <c r="AE263" s="417">
        <f>AE262/Z262-1</f>
        <v>7.6107659676531769E-2</v>
      </c>
      <c r="AF263" s="378"/>
      <c r="AG263" s="378"/>
      <c r="AH263" s="378"/>
      <c r="AI263" s="378"/>
      <c r="AJ263" s="417">
        <f t="shared" ref="AJ263:BJ263" si="681">AJ262/AE262-1</f>
        <v>9.0107335151387913E-2</v>
      </c>
      <c r="AK263" s="378">
        <f t="shared" si="681"/>
        <v>0.1671156702241563</v>
      </c>
      <c r="AL263" s="378">
        <f t="shared" si="681"/>
        <v>0.1820015038621916</v>
      </c>
      <c r="AM263" s="378">
        <f t="shared" si="681"/>
        <v>0.15906525174983055</v>
      </c>
      <c r="AN263" s="378">
        <f t="shared" si="681"/>
        <v>-2.5919062406090654E-2</v>
      </c>
      <c r="AO263" s="417">
        <f t="shared" si="681"/>
        <v>0.10708644370855613</v>
      </c>
      <c r="AP263" s="378">
        <f t="shared" si="681"/>
        <v>-0.22607756388440881</v>
      </c>
      <c r="AQ263" s="378">
        <f t="shared" si="681"/>
        <v>-1.9330306798137853E-2</v>
      </c>
      <c r="AR263" s="378">
        <f t="shared" si="681"/>
        <v>0.10751274309275671</v>
      </c>
      <c r="AS263" s="378">
        <f t="shared" si="681"/>
        <v>0.30516492274468487</v>
      </c>
      <c r="AT263" s="417">
        <f t="shared" si="681"/>
        <v>4.9781817523402605E-2</v>
      </c>
      <c r="AU263" s="378">
        <f t="shared" si="681"/>
        <v>0.73950367084735391</v>
      </c>
      <c r="AV263" s="378">
        <f t="shared" si="681"/>
        <v>0.5773194356396234</v>
      </c>
      <c r="AW263" s="378">
        <f t="shared" si="681"/>
        <v>0.32445584463173338</v>
      </c>
      <c r="AX263" s="378">
        <f t="shared" si="681"/>
        <v>0.14863001556128985</v>
      </c>
      <c r="AY263" s="417">
        <f t="shared" si="681"/>
        <v>0.39692368192292293</v>
      </c>
      <c r="AZ263" s="378">
        <f t="shared" si="681"/>
        <v>0.11118560610223893</v>
      </c>
      <c r="BA263" s="378">
        <f t="shared" si="681"/>
        <v>0.10048790518562845</v>
      </c>
      <c r="BB263" s="378">
        <f t="shared" si="681"/>
        <v>7.1203284602870731E-2</v>
      </c>
      <c r="BC263" s="176">
        <f t="shared" si="681"/>
        <v>-9.5013933547695717E-2</v>
      </c>
      <c r="BD263" s="1168">
        <f t="shared" si="681"/>
        <v>4.0053635324244441E-2</v>
      </c>
      <c r="BE263" s="378">
        <f t="shared" si="681"/>
        <v>-0.21164403208735993</v>
      </c>
      <c r="BF263" s="378">
        <f t="shared" si="681"/>
        <v>-0.22115866450369037</v>
      </c>
      <c r="BG263" s="378">
        <f t="shared" si="681"/>
        <v>-0.16636189885841224</v>
      </c>
      <c r="BH263" s="176">
        <f t="shared" si="681"/>
        <v>0.10915826574698717</v>
      </c>
      <c r="BI263" s="1168">
        <f t="shared" si="681"/>
        <v>-0.12350626933569508</v>
      </c>
      <c r="BJ263" s="1130">
        <f t="shared" si="681"/>
        <v>0.16261825299239674</v>
      </c>
      <c r="BK263" s="766">
        <v>0.05</v>
      </c>
      <c r="BL263" s="766">
        <v>0.05</v>
      </c>
      <c r="BM263" s="766">
        <v>0.05</v>
      </c>
      <c r="BN263" s="417">
        <f>BN262/BI262-1</f>
        <v>7.431445528891345E-2</v>
      </c>
      <c r="BO263" s="766">
        <v>0.05</v>
      </c>
      <c r="BP263" s="766">
        <v>0.05</v>
      </c>
      <c r="BQ263" s="766">
        <v>0.05</v>
      </c>
      <c r="BR263" s="766">
        <v>0.05</v>
      </c>
      <c r="BS263" s="417">
        <f>BS262/BN262-1</f>
        <v>5.0000000000000044E-2</v>
      </c>
      <c r="BT263" s="767">
        <v>0.05</v>
      </c>
      <c r="BU263" s="767">
        <v>0.05</v>
      </c>
      <c r="BV263" s="767">
        <v>0.05</v>
      </c>
      <c r="BW263" s="176"/>
    </row>
    <row r="264" spans="1:75" s="123" customFormat="1" collapsed="1" x14ac:dyDescent="0.5">
      <c r="A264" s="184"/>
      <c r="B264" s="489"/>
      <c r="C264" s="401"/>
      <c r="D264" s="401"/>
      <c r="E264" s="401"/>
      <c r="F264" s="401"/>
      <c r="G264" s="118"/>
      <c r="H264" s="118"/>
      <c r="I264" s="118"/>
      <c r="J264" s="118"/>
      <c r="K264" s="401"/>
      <c r="L264" s="118"/>
      <c r="M264" s="118"/>
      <c r="N264" s="118"/>
      <c r="O264" s="118"/>
      <c r="P264" s="401"/>
      <c r="Q264" s="118"/>
      <c r="R264" s="118"/>
      <c r="S264" s="118"/>
      <c r="T264" s="118"/>
      <c r="U264" s="401"/>
      <c r="V264" s="118"/>
      <c r="W264" s="118"/>
      <c r="X264" s="118"/>
      <c r="Y264" s="118"/>
      <c r="Z264" s="401"/>
      <c r="AA264" s="118"/>
      <c r="AB264" s="118"/>
      <c r="AC264" s="118"/>
      <c r="AD264" s="118"/>
      <c r="AE264" s="401"/>
      <c r="AF264" s="118"/>
      <c r="AG264" s="118"/>
      <c r="AH264" s="118"/>
      <c r="AI264" s="118"/>
      <c r="AJ264" s="401"/>
      <c r="AK264" s="118"/>
      <c r="AL264" s="118"/>
      <c r="AM264" s="118"/>
      <c r="AN264" s="118"/>
      <c r="AO264" s="401"/>
      <c r="AP264" s="118"/>
      <c r="AQ264" s="118"/>
      <c r="AR264" s="118"/>
      <c r="AS264" s="118"/>
      <c r="AT264" s="401"/>
      <c r="AU264" s="118"/>
      <c r="AV264" s="118"/>
      <c r="AW264" s="118"/>
      <c r="AX264" s="118"/>
      <c r="AY264" s="401"/>
      <c r="AZ264" s="118"/>
      <c r="BA264" s="118"/>
      <c r="BB264" s="118"/>
      <c r="BC264" s="118"/>
      <c r="BD264" s="401"/>
      <c r="BE264" s="118"/>
      <c r="BF264" s="118"/>
      <c r="BG264" s="118"/>
      <c r="BH264" s="118"/>
      <c r="BI264" s="401"/>
      <c r="BJ264" s="971"/>
      <c r="BK264" s="118"/>
      <c r="BL264" s="118"/>
      <c r="BM264" s="118"/>
      <c r="BN264" s="401"/>
      <c r="BO264" s="118"/>
      <c r="BP264" s="118"/>
      <c r="BQ264" s="118"/>
      <c r="BR264" s="118"/>
      <c r="BS264" s="401"/>
      <c r="BT264" s="401"/>
      <c r="BU264" s="401"/>
      <c r="BV264" s="401"/>
      <c r="BW264" s="122"/>
    </row>
    <row r="265" spans="1:75" s="198" customFormat="1" ht="14.25" x14ac:dyDescent="0.45">
      <c r="A265" s="239" t="s">
        <v>1824</v>
      </c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  <c r="AA265" s="239"/>
      <c r="AB265" s="239"/>
      <c r="AC265" s="239"/>
      <c r="AD265" s="239"/>
      <c r="AE265" s="239"/>
      <c r="AF265" s="239"/>
      <c r="AG265" s="239"/>
      <c r="AH265" s="239"/>
      <c r="AI265" s="239"/>
      <c r="AJ265" s="239"/>
      <c r="AK265" s="239"/>
      <c r="AL265" s="239"/>
      <c r="AM265" s="239"/>
      <c r="AN265" s="239"/>
      <c r="AO265" s="239"/>
      <c r="AP265" s="239"/>
      <c r="AQ265" s="239"/>
      <c r="AR265" s="239"/>
      <c r="AS265" s="239"/>
      <c r="AT265" s="239"/>
      <c r="AU265" s="239"/>
      <c r="AV265" s="239"/>
      <c r="AW265" s="239"/>
      <c r="AX265" s="239"/>
      <c r="AY265" s="239"/>
      <c r="AZ265" s="239"/>
      <c r="BA265" s="239"/>
      <c r="BB265" s="239"/>
      <c r="BC265" s="239"/>
      <c r="BD265" s="239"/>
      <c r="BE265" s="239"/>
      <c r="BF265" s="239"/>
      <c r="BG265" s="239"/>
      <c r="BH265" s="239"/>
      <c r="BI265" s="239"/>
      <c r="BJ265" s="241"/>
      <c r="BK265" s="239"/>
      <c r="BL265" s="239"/>
      <c r="BM265" s="239"/>
      <c r="BN265" s="239"/>
      <c r="BO265" s="239"/>
      <c r="BP265" s="239"/>
      <c r="BQ265" s="239"/>
      <c r="BR265" s="239"/>
      <c r="BS265" s="239"/>
      <c r="BT265" s="239"/>
      <c r="BU265" s="239"/>
      <c r="BV265" s="239"/>
      <c r="BW265" s="197"/>
    </row>
    <row r="266" spans="1:75" s="224" customFormat="1" x14ac:dyDescent="0.5">
      <c r="A266" s="218" t="s">
        <v>1825</v>
      </c>
      <c r="B266" s="494"/>
      <c r="C266" s="425">
        <f t="shared" ref="C266:BN266" si="682">C57</f>
        <v>199</v>
      </c>
      <c r="D266" s="425">
        <f t="shared" si="682"/>
        <v>193</v>
      </c>
      <c r="E266" s="425">
        <f t="shared" si="682"/>
        <v>194</v>
      </c>
      <c r="F266" s="425">
        <f t="shared" si="682"/>
        <v>192</v>
      </c>
      <c r="G266" s="487">
        <f t="shared" si="682"/>
        <v>195</v>
      </c>
      <c r="H266" s="487">
        <f t="shared" si="682"/>
        <v>196</v>
      </c>
      <c r="I266" s="487">
        <f t="shared" si="682"/>
        <v>196</v>
      </c>
      <c r="J266" s="487">
        <f t="shared" si="682"/>
        <v>194</v>
      </c>
      <c r="K266" s="425">
        <f t="shared" si="682"/>
        <v>194</v>
      </c>
      <c r="L266" s="487">
        <f t="shared" si="682"/>
        <v>195</v>
      </c>
      <c r="M266" s="487">
        <f t="shared" si="682"/>
        <v>195</v>
      </c>
      <c r="N266" s="487">
        <f t="shared" si="682"/>
        <v>198</v>
      </c>
      <c r="O266" s="487">
        <f t="shared" si="682"/>
        <v>199</v>
      </c>
      <c r="P266" s="425">
        <f t="shared" si="682"/>
        <v>199</v>
      </c>
      <c r="Q266" s="487">
        <f t="shared" si="682"/>
        <v>198</v>
      </c>
      <c r="R266" s="487">
        <f t="shared" si="682"/>
        <v>199</v>
      </c>
      <c r="S266" s="487">
        <f t="shared" si="682"/>
        <v>200</v>
      </c>
      <c r="T266" s="487">
        <f t="shared" si="682"/>
        <v>197</v>
      </c>
      <c r="U266" s="425">
        <f t="shared" si="682"/>
        <v>197</v>
      </c>
      <c r="V266" s="487">
        <f t="shared" si="682"/>
        <v>200</v>
      </c>
      <c r="W266" s="487">
        <f t="shared" si="682"/>
        <v>201</v>
      </c>
      <c r="X266" s="487">
        <f t="shared" si="682"/>
        <v>202</v>
      </c>
      <c r="Y266" s="487">
        <f t="shared" si="682"/>
        <v>201</v>
      </c>
      <c r="Z266" s="425">
        <f t="shared" si="682"/>
        <v>201</v>
      </c>
      <c r="AA266" s="487">
        <f t="shared" si="682"/>
        <v>199</v>
      </c>
      <c r="AB266" s="487">
        <f t="shared" si="682"/>
        <v>204</v>
      </c>
      <c r="AC266" s="487">
        <f t="shared" si="682"/>
        <v>202</v>
      </c>
      <c r="AD266" s="487">
        <f t="shared" si="682"/>
        <v>203</v>
      </c>
      <c r="AE266" s="425">
        <f t="shared" si="682"/>
        <v>203</v>
      </c>
      <c r="AF266" s="487">
        <f t="shared" si="682"/>
        <v>203</v>
      </c>
      <c r="AG266" s="487">
        <f t="shared" si="682"/>
        <v>205</v>
      </c>
      <c r="AH266" s="487">
        <f t="shared" si="682"/>
        <v>205</v>
      </c>
      <c r="AI266" s="487">
        <f t="shared" si="682"/>
        <v>205</v>
      </c>
      <c r="AJ266" s="425">
        <f t="shared" si="682"/>
        <v>205</v>
      </c>
      <c r="AK266" s="487">
        <f t="shared" si="682"/>
        <v>205</v>
      </c>
      <c r="AL266" s="487">
        <f t="shared" si="682"/>
        <v>205</v>
      </c>
      <c r="AM266" s="487">
        <f t="shared" si="682"/>
        <v>205</v>
      </c>
      <c r="AN266" s="487">
        <f t="shared" si="682"/>
        <v>201</v>
      </c>
      <c r="AO266" s="425">
        <f t="shared" si="682"/>
        <v>201</v>
      </c>
      <c r="AP266" s="487">
        <f t="shared" si="682"/>
        <v>201</v>
      </c>
      <c r="AQ266" s="487">
        <f t="shared" si="682"/>
        <v>201</v>
      </c>
      <c r="AR266" s="487">
        <f t="shared" si="682"/>
        <v>201</v>
      </c>
      <c r="AS266" s="487">
        <f t="shared" si="682"/>
        <v>195</v>
      </c>
      <c r="AT266" s="425">
        <f t="shared" si="682"/>
        <v>195</v>
      </c>
      <c r="AU266" s="487">
        <f t="shared" si="682"/>
        <v>195</v>
      </c>
      <c r="AV266" s="487">
        <f t="shared" si="682"/>
        <v>195</v>
      </c>
      <c r="AW266" s="487">
        <f t="shared" si="682"/>
        <v>195</v>
      </c>
      <c r="AX266" s="487">
        <f t="shared" si="682"/>
        <v>188</v>
      </c>
      <c r="AY266" s="425">
        <f t="shared" si="682"/>
        <v>188</v>
      </c>
      <c r="AZ266" s="487">
        <f t="shared" si="682"/>
        <v>188</v>
      </c>
      <c r="BA266" s="487">
        <f t="shared" si="682"/>
        <v>189</v>
      </c>
      <c r="BB266" s="487">
        <f t="shared" si="682"/>
        <v>189</v>
      </c>
      <c r="BC266" s="487">
        <f t="shared" si="682"/>
        <v>188</v>
      </c>
      <c r="BD266" s="425">
        <f t="shared" si="682"/>
        <v>188</v>
      </c>
      <c r="BE266" s="487">
        <f t="shared" si="682"/>
        <v>188</v>
      </c>
      <c r="BF266" s="487">
        <f t="shared" si="682"/>
        <v>190</v>
      </c>
      <c r="BG266" s="487">
        <f t="shared" si="682"/>
        <v>191</v>
      </c>
      <c r="BH266" s="487">
        <f t="shared" si="682"/>
        <v>184</v>
      </c>
      <c r="BI266" s="425">
        <f t="shared" si="682"/>
        <v>184</v>
      </c>
      <c r="BJ266" s="981">
        <f>BJ57</f>
        <v>184</v>
      </c>
      <c r="BK266" s="487">
        <f t="shared" si="682"/>
        <v>182</v>
      </c>
      <c r="BL266" s="487">
        <f t="shared" si="682"/>
        <v>180</v>
      </c>
      <c r="BM266" s="487">
        <f t="shared" si="682"/>
        <v>178</v>
      </c>
      <c r="BN266" s="425">
        <f t="shared" si="682"/>
        <v>178</v>
      </c>
      <c r="BO266" s="487">
        <f t="shared" ref="BO266:CF266" si="683">BO57</f>
        <v>176</v>
      </c>
      <c r="BP266" s="487">
        <f t="shared" si="683"/>
        <v>174</v>
      </c>
      <c r="BQ266" s="487">
        <f t="shared" si="683"/>
        <v>172</v>
      </c>
      <c r="BR266" s="487">
        <f t="shared" si="683"/>
        <v>170</v>
      </c>
      <c r="BS266" s="425">
        <f t="shared" si="683"/>
        <v>170</v>
      </c>
      <c r="BT266" s="425">
        <f t="shared" si="683"/>
        <v>170</v>
      </c>
      <c r="BU266" s="425">
        <f t="shared" si="683"/>
        <v>170</v>
      </c>
      <c r="BV266" s="425">
        <f t="shared" si="683"/>
        <v>170</v>
      </c>
      <c r="BW266" s="223"/>
    </row>
    <row r="267" spans="1:75" s="224" customFormat="1" x14ac:dyDescent="0.5">
      <c r="A267" s="218" t="s">
        <v>1826</v>
      </c>
      <c r="B267" s="494"/>
      <c r="C267" s="425">
        <f t="shared" ref="C267:BN267" si="684">C113</f>
        <v>36</v>
      </c>
      <c r="D267" s="425">
        <f t="shared" si="684"/>
        <v>36</v>
      </c>
      <c r="E267" s="425">
        <f t="shared" si="684"/>
        <v>37</v>
      </c>
      <c r="F267" s="425">
        <f t="shared" si="684"/>
        <v>48</v>
      </c>
      <c r="G267" s="487">
        <f t="shared" si="684"/>
        <v>49</v>
      </c>
      <c r="H267" s="487">
        <f t="shared" si="684"/>
        <v>51</v>
      </c>
      <c r="I267" s="487">
        <f t="shared" si="684"/>
        <v>55</v>
      </c>
      <c r="J267" s="487">
        <f t="shared" si="684"/>
        <v>58</v>
      </c>
      <c r="K267" s="425">
        <f t="shared" si="684"/>
        <v>58</v>
      </c>
      <c r="L267" s="487">
        <f t="shared" si="684"/>
        <v>58</v>
      </c>
      <c r="M267" s="487">
        <f t="shared" si="684"/>
        <v>59</v>
      </c>
      <c r="N267" s="487">
        <f t="shared" si="684"/>
        <v>68</v>
      </c>
      <c r="O267" s="487">
        <f t="shared" si="684"/>
        <v>69</v>
      </c>
      <c r="P267" s="425">
        <f t="shared" si="684"/>
        <v>69</v>
      </c>
      <c r="Q267" s="487">
        <f t="shared" si="684"/>
        <v>72</v>
      </c>
      <c r="R267" s="487">
        <f t="shared" si="684"/>
        <v>78</v>
      </c>
      <c r="S267" s="487">
        <f t="shared" si="684"/>
        <v>84</v>
      </c>
      <c r="T267" s="487">
        <f t="shared" si="684"/>
        <v>87</v>
      </c>
      <c r="U267" s="425">
        <f t="shared" si="684"/>
        <v>87</v>
      </c>
      <c r="V267" s="487">
        <f t="shared" si="684"/>
        <v>87</v>
      </c>
      <c r="W267" s="487">
        <f t="shared" si="684"/>
        <v>89</v>
      </c>
      <c r="X267" s="487">
        <f t="shared" si="684"/>
        <v>97</v>
      </c>
      <c r="Y267" s="487">
        <f t="shared" si="684"/>
        <v>98</v>
      </c>
      <c r="Z267" s="425">
        <f t="shared" si="684"/>
        <v>98</v>
      </c>
      <c r="AA267" s="487">
        <f t="shared" si="684"/>
        <v>99</v>
      </c>
      <c r="AB267" s="487">
        <f t="shared" si="684"/>
        <v>101</v>
      </c>
      <c r="AC267" s="487">
        <f t="shared" si="684"/>
        <v>105</v>
      </c>
      <c r="AD267" s="487">
        <f t="shared" si="684"/>
        <v>106</v>
      </c>
      <c r="AE267" s="425">
        <f t="shared" si="684"/>
        <v>106</v>
      </c>
      <c r="AF267" s="487">
        <f t="shared" si="684"/>
        <v>108</v>
      </c>
      <c r="AG267" s="487">
        <f t="shared" si="684"/>
        <v>109</v>
      </c>
      <c r="AH267" s="487">
        <f t="shared" si="684"/>
        <v>112</v>
      </c>
      <c r="AI267" s="487">
        <f t="shared" si="684"/>
        <v>112</v>
      </c>
      <c r="AJ267" s="425">
        <f t="shared" si="684"/>
        <v>112</v>
      </c>
      <c r="AK267" s="487">
        <f t="shared" si="684"/>
        <v>113</v>
      </c>
      <c r="AL267" s="487">
        <f t="shared" si="684"/>
        <v>112</v>
      </c>
      <c r="AM267" s="487">
        <f t="shared" si="684"/>
        <v>114</v>
      </c>
      <c r="AN267" s="487">
        <f t="shared" si="684"/>
        <v>118</v>
      </c>
      <c r="AO267" s="425">
        <f t="shared" si="684"/>
        <v>118</v>
      </c>
      <c r="AP267" s="487">
        <f t="shared" si="684"/>
        <v>119</v>
      </c>
      <c r="AQ267" s="487">
        <f t="shared" si="684"/>
        <v>121</v>
      </c>
      <c r="AR267" s="487">
        <f t="shared" si="684"/>
        <v>122</v>
      </c>
      <c r="AS267" s="487">
        <f t="shared" si="684"/>
        <v>121</v>
      </c>
      <c r="AT267" s="425">
        <f t="shared" si="684"/>
        <v>121</v>
      </c>
      <c r="AU267" s="487">
        <f t="shared" si="684"/>
        <v>121</v>
      </c>
      <c r="AV267" s="487">
        <f t="shared" si="684"/>
        <v>123</v>
      </c>
      <c r="AW267" s="487">
        <f t="shared" si="684"/>
        <v>121</v>
      </c>
      <c r="AX267" s="487">
        <f t="shared" si="684"/>
        <v>121</v>
      </c>
      <c r="AY267" s="425">
        <f t="shared" si="684"/>
        <v>121</v>
      </c>
      <c r="AZ267" s="487">
        <f t="shared" si="684"/>
        <v>121</v>
      </c>
      <c r="BA267" s="487">
        <f t="shared" si="684"/>
        <v>121</v>
      </c>
      <c r="BB267" s="487">
        <f t="shared" si="684"/>
        <v>122</v>
      </c>
      <c r="BC267" s="487">
        <f t="shared" si="684"/>
        <v>122</v>
      </c>
      <c r="BD267" s="425">
        <f t="shared" si="684"/>
        <v>122</v>
      </c>
      <c r="BE267" s="487">
        <f t="shared" si="684"/>
        <v>123</v>
      </c>
      <c r="BF267" s="487">
        <f t="shared" si="684"/>
        <v>123</v>
      </c>
      <c r="BG267" s="487">
        <f t="shared" si="684"/>
        <v>123</v>
      </c>
      <c r="BH267" s="487">
        <f t="shared" si="684"/>
        <v>121</v>
      </c>
      <c r="BI267" s="425">
        <f t="shared" si="684"/>
        <v>121</v>
      </c>
      <c r="BJ267" s="981">
        <f>BJ113</f>
        <v>121</v>
      </c>
      <c r="BK267" s="487">
        <f t="shared" si="684"/>
        <v>121</v>
      </c>
      <c r="BL267" s="487">
        <f t="shared" si="684"/>
        <v>121</v>
      </c>
      <c r="BM267" s="487">
        <f t="shared" si="684"/>
        <v>121</v>
      </c>
      <c r="BN267" s="425">
        <f t="shared" si="684"/>
        <v>121</v>
      </c>
      <c r="BO267" s="487">
        <f t="shared" ref="BO267:CF267" si="685">BO113</f>
        <v>121</v>
      </c>
      <c r="BP267" s="487">
        <f t="shared" si="685"/>
        <v>121</v>
      </c>
      <c r="BQ267" s="487">
        <f t="shared" si="685"/>
        <v>121</v>
      </c>
      <c r="BR267" s="487">
        <f t="shared" si="685"/>
        <v>121</v>
      </c>
      <c r="BS267" s="425">
        <f t="shared" si="685"/>
        <v>121</v>
      </c>
      <c r="BT267" s="425">
        <f t="shared" si="685"/>
        <v>117</v>
      </c>
      <c r="BU267" s="425">
        <f t="shared" si="685"/>
        <v>113</v>
      </c>
      <c r="BV267" s="425">
        <f t="shared" si="685"/>
        <v>109</v>
      </c>
      <c r="BW267" s="223"/>
    </row>
    <row r="268" spans="1:75" s="224" customFormat="1" x14ac:dyDescent="0.5">
      <c r="A268" s="218" t="s">
        <v>1827</v>
      </c>
      <c r="B268" s="494"/>
      <c r="C268" s="425">
        <f t="shared" ref="C268:BN268" si="686">C169</f>
        <v>259</v>
      </c>
      <c r="D268" s="425">
        <f t="shared" si="686"/>
        <v>260</v>
      </c>
      <c r="E268" s="425">
        <f t="shared" si="686"/>
        <v>259</v>
      </c>
      <c r="F268" s="425">
        <f t="shared" si="686"/>
        <v>253</v>
      </c>
      <c r="G268" s="487">
        <f t="shared" si="686"/>
        <v>254</v>
      </c>
      <c r="H268" s="487">
        <f t="shared" si="686"/>
        <v>253</v>
      </c>
      <c r="I268" s="487">
        <f t="shared" si="686"/>
        <v>256</v>
      </c>
      <c r="J268" s="487">
        <f t="shared" si="686"/>
        <v>248</v>
      </c>
      <c r="K268" s="425">
        <f t="shared" si="686"/>
        <v>248</v>
      </c>
      <c r="L268" s="487">
        <f t="shared" si="686"/>
        <v>248</v>
      </c>
      <c r="M268" s="487">
        <f t="shared" si="686"/>
        <v>247</v>
      </c>
      <c r="N268" s="487">
        <f t="shared" si="686"/>
        <v>248</v>
      </c>
      <c r="O268" s="487">
        <f t="shared" si="686"/>
        <v>243</v>
      </c>
      <c r="P268" s="425">
        <f t="shared" si="686"/>
        <v>243</v>
      </c>
      <c r="Q268" s="487">
        <f t="shared" si="686"/>
        <v>241</v>
      </c>
      <c r="R268" s="487">
        <f t="shared" si="686"/>
        <v>241</v>
      </c>
      <c r="S268" s="487">
        <f t="shared" si="686"/>
        <v>243</v>
      </c>
      <c r="T268" s="487">
        <f t="shared" si="686"/>
        <v>239</v>
      </c>
      <c r="U268" s="425">
        <f t="shared" si="686"/>
        <v>239</v>
      </c>
      <c r="V268" s="487">
        <f t="shared" si="686"/>
        <v>241</v>
      </c>
      <c r="W268" s="487">
        <f t="shared" si="686"/>
        <v>241</v>
      </c>
      <c r="X268" s="487">
        <f t="shared" si="686"/>
        <v>241</v>
      </c>
      <c r="Y268" s="487">
        <f t="shared" si="686"/>
        <v>234</v>
      </c>
      <c r="Z268" s="425">
        <f t="shared" si="686"/>
        <v>234</v>
      </c>
      <c r="AA268" s="487">
        <f t="shared" si="686"/>
        <v>233</v>
      </c>
      <c r="AB268" s="487">
        <f t="shared" si="686"/>
        <v>234</v>
      </c>
      <c r="AC268" s="487">
        <f t="shared" si="686"/>
        <v>233</v>
      </c>
      <c r="AD268" s="487">
        <f t="shared" si="686"/>
        <v>228</v>
      </c>
      <c r="AE268" s="425">
        <f t="shared" si="686"/>
        <v>228</v>
      </c>
      <c r="AF268" s="487">
        <f t="shared" si="686"/>
        <v>224</v>
      </c>
      <c r="AG268" s="487">
        <f t="shared" si="686"/>
        <v>226</v>
      </c>
      <c r="AH268" s="487">
        <f t="shared" si="686"/>
        <v>226</v>
      </c>
      <c r="AI268" s="487">
        <f t="shared" si="686"/>
        <v>220</v>
      </c>
      <c r="AJ268" s="425">
        <f t="shared" si="686"/>
        <v>220</v>
      </c>
      <c r="AK268" s="487">
        <f t="shared" si="686"/>
        <v>219</v>
      </c>
      <c r="AL268" s="487">
        <f t="shared" si="686"/>
        <v>218</v>
      </c>
      <c r="AM268" s="487">
        <f t="shared" si="686"/>
        <v>218</v>
      </c>
      <c r="AN268" s="487">
        <f t="shared" si="686"/>
        <v>211</v>
      </c>
      <c r="AO268" s="425">
        <f t="shared" si="686"/>
        <v>211</v>
      </c>
      <c r="AP268" s="487">
        <f t="shared" si="686"/>
        <v>212</v>
      </c>
      <c r="AQ268" s="487">
        <f t="shared" si="686"/>
        <v>210</v>
      </c>
      <c r="AR268" s="487">
        <f t="shared" si="686"/>
        <v>210</v>
      </c>
      <c r="AS268" s="487">
        <f t="shared" si="686"/>
        <v>198</v>
      </c>
      <c r="AT268" s="425">
        <f t="shared" si="686"/>
        <v>198</v>
      </c>
      <c r="AU268" s="487">
        <f t="shared" si="686"/>
        <v>195</v>
      </c>
      <c r="AV268" s="487">
        <f t="shared" si="686"/>
        <v>196</v>
      </c>
      <c r="AW268" s="487">
        <f t="shared" si="686"/>
        <v>194</v>
      </c>
      <c r="AX268" s="487">
        <f t="shared" si="686"/>
        <v>174</v>
      </c>
      <c r="AY268" s="425">
        <f t="shared" si="686"/>
        <v>174</v>
      </c>
      <c r="AZ268" s="487">
        <f t="shared" si="686"/>
        <v>175</v>
      </c>
      <c r="BA268" s="487">
        <f t="shared" si="686"/>
        <v>175</v>
      </c>
      <c r="BB268" s="487">
        <f t="shared" si="686"/>
        <v>175</v>
      </c>
      <c r="BC268" s="487">
        <f t="shared" si="686"/>
        <v>165</v>
      </c>
      <c r="BD268" s="425">
        <f t="shared" si="686"/>
        <v>165</v>
      </c>
      <c r="BE268" s="487">
        <f t="shared" si="686"/>
        <v>165</v>
      </c>
      <c r="BF268" s="487">
        <f t="shared" si="686"/>
        <v>164</v>
      </c>
      <c r="BG268" s="487">
        <f t="shared" si="686"/>
        <v>163</v>
      </c>
      <c r="BH268" s="487">
        <f t="shared" si="686"/>
        <v>156</v>
      </c>
      <c r="BI268" s="425">
        <f t="shared" si="686"/>
        <v>156</v>
      </c>
      <c r="BJ268" s="981">
        <f>BJ169</f>
        <v>156</v>
      </c>
      <c r="BK268" s="487">
        <f t="shared" si="686"/>
        <v>154</v>
      </c>
      <c r="BL268" s="487">
        <f t="shared" si="686"/>
        <v>152</v>
      </c>
      <c r="BM268" s="487">
        <f t="shared" si="686"/>
        <v>150</v>
      </c>
      <c r="BN268" s="425">
        <f t="shared" si="686"/>
        <v>150</v>
      </c>
      <c r="BO268" s="487">
        <f t="shared" ref="BO268:CF268" si="687">BO169</f>
        <v>148</v>
      </c>
      <c r="BP268" s="487">
        <f t="shared" si="687"/>
        <v>146</v>
      </c>
      <c r="BQ268" s="487">
        <f t="shared" si="687"/>
        <v>144</v>
      </c>
      <c r="BR268" s="487">
        <f t="shared" si="687"/>
        <v>142</v>
      </c>
      <c r="BS268" s="425">
        <f t="shared" si="687"/>
        <v>142</v>
      </c>
      <c r="BT268" s="425">
        <f t="shared" si="687"/>
        <v>136</v>
      </c>
      <c r="BU268" s="425">
        <f t="shared" si="687"/>
        <v>130</v>
      </c>
      <c r="BV268" s="425">
        <f t="shared" si="687"/>
        <v>124</v>
      </c>
      <c r="BW268" s="223"/>
    </row>
    <row r="269" spans="1:75" s="224" customFormat="1" x14ac:dyDescent="0.5">
      <c r="A269" s="218" t="s">
        <v>1828</v>
      </c>
      <c r="B269" s="494"/>
      <c r="C269" s="425">
        <f t="shared" ref="C269:BN269" si="688">C225</f>
        <v>87</v>
      </c>
      <c r="D269" s="425">
        <f t="shared" si="688"/>
        <v>85</v>
      </c>
      <c r="E269" s="425">
        <f t="shared" si="688"/>
        <v>83</v>
      </c>
      <c r="F269" s="425">
        <f t="shared" si="688"/>
        <v>84</v>
      </c>
      <c r="G269" s="487">
        <f t="shared" si="688"/>
        <v>85</v>
      </c>
      <c r="H269" s="487">
        <f t="shared" si="688"/>
        <v>86</v>
      </c>
      <c r="I269" s="487">
        <f t="shared" si="688"/>
        <v>84</v>
      </c>
      <c r="J269" s="487">
        <f t="shared" si="688"/>
        <v>81</v>
      </c>
      <c r="K269" s="425">
        <f t="shared" si="688"/>
        <v>81</v>
      </c>
      <c r="L269" s="487">
        <f t="shared" si="688"/>
        <v>84</v>
      </c>
      <c r="M269" s="487">
        <f t="shared" si="688"/>
        <v>84</v>
      </c>
      <c r="N269" s="487">
        <f t="shared" si="688"/>
        <v>85</v>
      </c>
      <c r="O269" s="487">
        <f t="shared" si="688"/>
        <v>85</v>
      </c>
      <c r="P269" s="425">
        <f t="shared" si="688"/>
        <v>85</v>
      </c>
      <c r="Q269" s="487">
        <f t="shared" si="688"/>
        <v>87</v>
      </c>
      <c r="R269" s="487">
        <f t="shared" si="688"/>
        <v>89</v>
      </c>
      <c r="S269" s="487">
        <f t="shared" si="688"/>
        <v>90</v>
      </c>
      <c r="T269" s="487">
        <f t="shared" si="688"/>
        <v>89</v>
      </c>
      <c r="U269" s="425">
        <f t="shared" si="688"/>
        <v>89</v>
      </c>
      <c r="V269" s="487">
        <f t="shared" si="688"/>
        <v>90</v>
      </c>
      <c r="W269" s="487">
        <f t="shared" si="688"/>
        <v>89</v>
      </c>
      <c r="X269" s="487">
        <f t="shared" si="688"/>
        <v>89</v>
      </c>
      <c r="Y269" s="487">
        <f t="shared" si="688"/>
        <v>89</v>
      </c>
      <c r="Z269" s="425">
        <f t="shared" si="688"/>
        <v>89</v>
      </c>
      <c r="AA269" s="487">
        <f t="shared" si="688"/>
        <v>89</v>
      </c>
      <c r="AB269" s="487">
        <f t="shared" si="688"/>
        <v>88</v>
      </c>
      <c r="AC269" s="487">
        <f t="shared" si="688"/>
        <v>88</v>
      </c>
      <c r="AD269" s="487">
        <f t="shared" si="688"/>
        <v>86</v>
      </c>
      <c r="AE269" s="425">
        <f t="shared" si="688"/>
        <v>86</v>
      </c>
      <c r="AF269" s="487">
        <f t="shared" si="688"/>
        <v>84</v>
      </c>
      <c r="AG269" s="487">
        <f t="shared" si="688"/>
        <v>84</v>
      </c>
      <c r="AH269" s="487">
        <f t="shared" si="688"/>
        <v>82</v>
      </c>
      <c r="AI269" s="487">
        <f t="shared" si="688"/>
        <v>78</v>
      </c>
      <c r="AJ269" s="425">
        <f t="shared" si="688"/>
        <v>78</v>
      </c>
      <c r="AK269" s="487">
        <f t="shared" si="688"/>
        <v>78</v>
      </c>
      <c r="AL269" s="487">
        <f t="shared" si="688"/>
        <v>78</v>
      </c>
      <c r="AM269" s="487">
        <f t="shared" si="688"/>
        <v>79</v>
      </c>
      <c r="AN269" s="487">
        <f t="shared" si="688"/>
        <v>74</v>
      </c>
      <c r="AO269" s="425">
        <f t="shared" si="688"/>
        <v>74</v>
      </c>
      <c r="AP269" s="487">
        <f t="shared" si="688"/>
        <v>74</v>
      </c>
      <c r="AQ269" s="487">
        <f t="shared" si="688"/>
        <v>72</v>
      </c>
      <c r="AR269" s="487">
        <f t="shared" si="688"/>
        <v>71</v>
      </c>
      <c r="AS269" s="487">
        <f t="shared" si="688"/>
        <v>57</v>
      </c>
      <c r="AT269" s="425">
        <f t="shared" si="688"/>
        <v>57</v>
      </c>
      <c r="AU269" s="487">
        <f t="shared" si="688"/>
        <v>57</v>
      </c>
      <c r="AV269" s="487">
        <f t="shared" si="688"/>
        <v>57</v>
      </c>
      <c r="AW269" s="487">
        <f t="shared" si="688"/>
        <v>57</v>
      </c>
      <c r="AX269" s="487">
        <f t="shared" si="688"/>
        <v>52</v>
      </c>
      <c r="AY269" s="425">
        <f t="shared" si="688"/>
        <v>52</v>
      </c>
      <c r="AZ269" s="487">
        <f t="shared" si="688"/>
        <v>52</v>
      </c>
      <c r="BA269" s="487">
        <f t="shared" si="688"/>
        <v>52</v>
      </c>
      <c r="BB269" s="487">
        <f t="shared" si="688"/>
        <v>52</v>
      </c>
      <c r="BC269" s="487">
        <f t="shared" si="688"/>
        <v>46</v>
      </c>
      <c r="BD269" s="425">
        <f t="shared" si="688"/>
        <v>46</v>
      </c>
      <c r="BE269" s="487">
        <f t="shared" si="688"/>
        <v>46</v>
      </c>
      <c r="BF269" s="487">
        <f t="shared" si="688"/>
        <v>46</v>
      </c>
      <c r="BG269" s="487">
        <f t="shared" si="688"/>
        <v>46</v>
      </c>
      <c r="BH269" s="487">
        <f t="shared" si="688"/>
        <v>46</v>
      </c>
      <c r="BI269" s="425">
        <f t="shared" si="688"/>
        <v>46</v>
      </c>
      <c r="BJ269" s="981">
        <f>BJ225</f>
        <v>45</v>
      </c>
      <c r="BK269" s="487">
        <f t="shared" si="688"/>
        <v>45</v>
      </c>
      <c r="BL269" s="487">
        <f t="shared" si="688"/>
        <v>45</v>
      </c>
      <c r="BM269" s="487">
        <f t="shared" si="688"/>
        <v>45</v>
      </c>
      <c r="BN269" s="425">
        <f t="shared" si="688"/>
        <v>45</v>
      </c>
      <c r="BO269" s="487">
        <f t="shared" ref="BO269:CF269" si="689">BO225</f>
        <v>45</v>
      </c>
      <c r="BP269" s="487">
        <f t="shared" si="689"/>
        <v>45</v>
      </c>
      <c r="BQ269" s="487">
        <f t="shared" si="689"/>
        <v>45</v>
      </c>
      <c r="BR269" s="487">
        <f t="shared" si="689"/>
        <v>45</v>
      </c>
      <c r="BS269" s="425">
        <f t="shared" si="689"/>
        <v>45</v>
      </c>
      <c r="BT269" s="425">
        <f t="shared" si="689"/>
        <v>45</v>
      </c>
      <c r="BU269" s="425">
        <f t="shared" si="689"/>
        <v>45</v>
      </c>
      <c r="BV269" s="425">
        <f t="shared" si="689"/>
        <v>45</v>
      </c>
      <c r="BW269" s="223"/>
    </row>
    <row r="270" spans="1:75" s="224" customFormat="1" x14ac:dyDescent="0.5">
      <c r="A270" s="218" t="s">
        <v>1829</v>
      </c>
      <c r="B270" s="494"/>
      <c r="C270" s="425">
        <f t="shared" ref="C270:BN270" si="690">C248</f>
        <v>0</v>
      </c>
      <c r="D270" s="425">
        <f t="shared" si="690"/>
        <v>0</v>
      </c>
      <c r="E270" s="425">
        <f t="shared" si="690"/>
        <v>3</v>
      </c>
      <c r="F270" s="425">
        <f t="shared" si="690"/>
        <v>4</v>
      </c>
      <c r="G270" s="487">
        <f t="shared" si="690"/>
        <v>4</v>
      </c>
      <c r="H270" s="487">
        <f t="shared" si="690"/>
        <v>4</v>
      </c>
      <c r="I270" s="487">
        <f t="shared" si="690"/>
        <v>4</v>
      </c>
      <c r="J270" s="487">
        <f t="shared" si="690"/>
        <v>4</v>
      </c>
      <c r="K270" s="425">
        <f t="shared" si="690"/>
        <v>4</v>
      </c>
      <c r="L270" s="487">
        <f t="shared" si="690"/>
        <v>4</v>
      </c>
      <c r="M270" s="487">
        <f t="shared" si="690"/>
        <v>4</v>
      </c>
      <c r="N270" s="487">
        <f t="shared" si="690"/>
        <v>4</v>
      </c>
      <c r="O270" s="487">
        <f t="shared" si="690"/>
        <v>5</v>
      </c>
      <c r="P270" s="425">
        <f t="shared" si="690"/>
        <v>5</v>
      </c>
      <c r="Q270" s="487">
        <f t="shared" si="690"/>
        <v>5</v>
      </c>
      <c r="R270" s="487">
        <f t="shared" si="690"/>
        <v>5</v>
      </c>
      <c r="S270" s="487">
        <f t="shared" si="690"/>
        <v>6</v>
      </c>
      <c r="T270" s="487">
        <f t="shared" si="690"/>
        <v>6</v>
      </c>
      <c r="U270" s="425">
        <f t="shared" si="690"/>
        <v>6</v>
      </c>
      <c r="V270" s="487">
        <f t="shared" si="690"/>
        <v>6</v>
      </c>
      <c r="W270" s="487">
        <f t="shared" si="690"/>
        <v>6</v>
      </c>
      <c r="X270" s="487">
        <f t="shared" si="690"/>
        <v>6</v>
      </c>
      <c r="Y270" s="487">
        <f t="shared" si="690"/>
        <v>7</v>
      </c>
      <c r="Z270" s="425">
        <f t="shared" si="690"/>
        <v>7</v>
      </c>
      <c r="AA270" s="487">
        <f t="shared" si="690"/>
        <v>8</v>
      </c>
      <c r="AB270" s="487">
        <f t="shared" si="690"/>
        <v>8</v>
      </c>
      <c r="AC270" s="487">
        <f t="shared" si="690"/>
        <v>8</v>
      </c>
      <c r="AD270" s="487">
        <f t="shared" si="690"/>
        <v>8</v>
      </c>
      <c r="AE270" s="425">
        <f t="shared" si="690"/>
        <v>8</v>
      </c>
      <c r="AF270" s="487">
        <f t="shared" si="690"/>
        <v>8</v>
      </c>
      <c r="AG270" s="487">
        <f t="shared" si="690"/>
        <v>8</v>
      </c>
      <c r="AH270" s="487">
        <f t="shared" si="690"/>
        <v>8</v>
      </c>
      <c r="AI270" s="487">
        <f t="shared" si="690"/>
        <v>10</v>
      </c>
      <c r="AJ270" s="425">
        <f t="shared" si="690"/>
        <v>10</v>
      </c>
      <c r="AK270" s="487">
        <f t="shared" si="690"/>
        <v>10</v>
      </c>
      <c r="AL270" s="487">
        <f t="shared" si="690"/>
        <v>10</v>
      </c>
      <c r="AM270" s="487">
        <f t="shared" si="690"/>
        <v>10</v>
      </c>
      <c r="AN270" s="487">
        <f t="shared" si="690"/>
        <v>10</v>
      </c>
      <c r="AO270" s="425">
        <f t="shared" si="690"/>
        <v>10</v>
      </c>
      <c r="AP270" s="487">
        <f t="shared" si="690"/>
        <v>10</v>
      </c>
      <c r="AQ270" s="487">
        <f t="shared" si="690"/>
        <v>10</v>
      </c>
      <c r="AR270" s="487">
        <f t="shared" si="690"/>
        <v>10</v>
      </c>
      <c r="AS270" s="487">
        <f t="shared" si="690"/>
        <v>10</v>
      </c>
      <c r="AT270" s="425">
        <f t="shared" si="690"/>
        <v>10</v>
      </c>
      <c r="AU270" s="487">
        <f t="shared" si="690"/>
        <v>10</v>
      </c>
      <c r="AV270" s="487">
        <f t="shared" si="690"/>
        <v>10</v>
      </c>
      <c r="AW270" s="487">
        <f t="shared" si="690"/>
        <v>10</v>
      </c>
      <c r="AX270" s="487">
        <f t="shared" si="690"/>
        <v>9</v>
      </c>
      <c r="AY270" s="425">
        <f t="shared" si="690"/>
        <v>9</v>
      </c>
      <c r="AZ270" s="487">
        <f t="shared" si="690"/>
        <v>9</v>
      </c>
      <c r="BA270" s="487">
        <f t="shared" si="690"/>
        <v>9</v>
      </c>
      <c r="BB270" s="487">
        <f t="shared" si="690"/>
        <v>9</v>
      </c>
      <c r="BC270" s="487">
        <f t="shared" si="690"/>
        <v>9</v>
      </c>
      <c r="BD270" s="425">
        <f t="shared" si="690"/>
        <v>9</v>
      </c>
      <c r="BE270" s="487">
        <f t="shared" si="690"/>
        <v>9</v>
      </c>
      <c r="BF270" s="487">
        <f t="shared" si="690"/>
        <v>9</v>
      </c>
      <c r="BG270" s="487">
        <f t="shared" si="690"/>
        <v>10</v>
      </c>
      <c r="BH270" s="487">
        <f t="shared" si="690"/>
        <v>11</v>
      </c>
      <c r="BI270" s="425">
        <f t="shared" si="690"/>
        <v>11</v>
      </c>
      <c r="BJ270" s="981">
        <f>BJ248</f>
        <v>11</v>
      </c>
      <c r="BK270" s="487">
        <f t="shared" si="690"/>
        <v>11</v>
      </c>
      <c r="BL270" s="487">
        <f t="shared" si="690"/>
        <v>11</v>
      </c>
      <c r="BM270" s="487">
        <f t="shared" si="690"/>
        <v>11</v>
      </c>
      <c r="BN270" s="425">
        <f t="shared" si="690"/>
        <v>11</v>
      </c>
      <c r="BO270" s="487">
        <f t="shared" ref="BO270:CF270" si="691">BO248</f>
        <v>11</v>
      </c>
      <c r="BP270" s="487">
        <f t="shared" si="691"/>
        <v>11</v>
      </c>
      <c r="BQ270" s="487">
        <f t="shared" si="691"/>
        <v>11</v>
      </c>
      <c r="BR270" s="487">
        <f t="shared" si="691"/>
        <v>11</v>
      </c>
      <c r="BS270" s="425">
        <f t="shared" si="691"/>
        <v>11</v>
      </c>
      <c r="BT270" s="425">
        <f t="shared" si="691"/>
        <v>11</v>
      </c>
      <c r="BU270" s="425">
        <f t="shared" si="691"/>
        <v>11</v>
      </c>
      <c r="BV270" s="425">
        <f t="shared" si="691"/>
        <v>11</v>
      </c>
      <c r="BW270" s="223"/>
    </row>
    <row r="271" spans="1:75" s="224" customFormat="1" hidden="1" outlineLevel="1" x14ac:dyDescent="0.5">
      <c r="A271" s="218" t="s">
        <v>1830</v>
      </c>
      <c r="B271" s="494"/>
      <c r="C271" s="425">
        <f t="shared" ref="C271:D271" si="692">C611</f>
        <v>29</v>
      </c>
      <c r="D271" s="425">
        <f t="shared" si="692"/>
        <v>18</v>
      </c>
      <c r="E271" s="425"/>
      <c r="F271" s="425"/>
      <c r="G271" s="487"/>
      <c r="H271" s="487"/>
      <c r="I271" s="487"/>
      <c r="J271" s="487"/>
      <c r="K271" s="425"/>
      <c r="L271" s="487"/>
      <c r="M271" s="487"/>
      <c r="N271" s="487"/>
      <c r="O271" s="487"/>
      <c r="P271" s="425"/>
      <c r="Q271" s="487"/>
      <c r="R271" s="487"/>
      <c r="S271" s="487"/>
      <c r="T271" s="487"/>
      <c r="U271" s="425"/>
      <c r="V271" s="487"/>
      <c r="W271" s="487"/>
      <c r="X271" s="487"/>
      <c r="Y271" s="487"/>
      <c r="Z271" s="425"/>
      <c r="AA271" s="487"/>
      <c r="AB271" s="487"/>
      <c r="AC271" s="487"/>
      <c r="AD271" s="487"/>
      <c r="AE271" s="425"/>
      <c r="AF271" s="487"/>
      <c r="AG271" s="487"/>
      <c r="AH271" s="487"/>
      <c r="AI271" s="487"/>
      <c r="AJ271" s="425"/>
      <c r="AK271" s="487"/>
      <c r="AL271" s="487"/>
      <c r="AM271" s="487"/>
      <c r="AN271" s="487"/>
      <c r="AO271" s="425"/>
      <c r="AP271" s="487"/>
      <c r="AQ271" s="487"/>
      <c r="AR271" s="487"/>
      <c r="AS271" s="487"/>
      <c r="AT271" s="425"/>
      <c r="AU271" s="487"/>
      <c r="AV271" s="487"/>
      <c r="AW271" s="487"/>
      <c r="AX271" s="487"/>
      <c r="AY271" s="425"/>
      <c r="AZ271" s="487"/>
      <c r="BA271" s="487"/>
      <c r="BB271" s="487"/>
      <c r="BC271" s="487"/>
      <c r="BD271" s="425"/>
      <c r="BE271" s="487"/>
      <c r="BF271" s="487"/>
      <c r="BG271" s="487"/>
      <c r="BH271" s="487"/>
      <c r="BI271" s="425"/>
      <c r="BJ271" s="981"/>
      <c r="BK271" s="487"/>
      <c r="BL271" s="487"/>
      <c r="BM271" s="487"/>
      <c r="BN271" s="425"/>
      <c r="BO271" s="487"/>
      <c r="BP271" s="487"/>
      <c r="BQ271" s="487"/>
      <c r="BR271" s="487"/>
      <c r="BS271" s="425"/>
      <c r="BT271" s="425"/>
      <c r="BU271" s="425"/>
      <c r="BV271" s="425"/>
      <c r="BW271" s="223"/>
    </row>
    <row r="272" spans="1:75" s="169" customFormat="1" ht="14.25" collapsed="1" x14ac:dyDescent="0.45">
      <c r="A272" s="360" t="s">
        <v>1641</v>
      </c>
      <c r="B272" s="1127"/>
      <c r="C272" s="1128">
        <f t="shared" ref="C272:AH272" si="693">SUM(C266:C271)</f>
        <v>610</v>
      </c>
      <c r="D272" s="1128">
        <f t="shared" si="693"/>
        <v>592</v>
      </c>
      <c r="E272" s="1128">
        <f t="shared" si="693"/>
        <v>576</v>
      </c>
      <c r="F272" s="1128">
        <f t="shared" si="693"/>
        <v>581</v>
      </c>
      <c r="G272" s="287">
        <f t="shared" si="693"/>
        <v>587</v>
      </c>
      <c r="H272" s="287">
        <f t="shared" si="693"/>
        <v>590</v>
      </c>
      <c r="I272" s="287">
        <f t="shared" si="693"/>
        <v>595</v>
      </c>
      <c r="J272" s="287">
        <f t="shared" si="693"/>
        <v>585</v>
      </c>
      <c r="K272" s="1128">
        <f t="shared" si="693"/>
        <v>585</v>
      </c>
      <c r="L272" s="287">
        <f t="shared" si="693"/>
        <v>589</v>
      </c>
      <c r="M272" s="287">
        <f t="shared" si="693"/>
        <v>589</v>
      </c>
      <c r="N272" s="287">
        <f t="shared" si="693"/>
        <v>603</v>
      </c>
      <c r="O272" s="287">
        <f t="shared" si="693"/>
        <v>601</v>
      </c>
      <c r="P272" s="1128">
        <f t="shared" si="693"/>
        <v>601</v>
      </c>
      <c r="Q272" s="287">
        <f t="shared" si="693"/>
        <v>603</v>
      </c>
      <c r="R272" s="287">
        <f t="shared" si="693"/>
        <v>612</v>
      </c>
      <c r="S272" s="287">
        <f t="shared" si="693"/>
        <v>623</v>
      </c>
      <c r="T272" s="287">
        <f t="shared" si="693"/>
        <v>618</v>
      </c>
      <c r="U272" s="1128">
        <f t="shared" si="693"/>
        <v>618</v>
      </c>
      <c r="V272" s="287">
        <f t="shared" si="693"/>
        <v>624</v>
      </c>
      <c r="W272" s="287">
        <f t="shared" si="693"/>
        <v>626</v>
      </c>
      <c r="X272" s="287">
        <f t="shared" si="693"/>
        <v>635</v>
      </c>
      <c r="Y272" s="287">
        <f t="shared" si="693"/>
        <v>629</v>
      </c>
      <c r="Z272" s="1128">
        <f t="shared" si="693"/>
        <v>629</v>
      </c>
      <c r="AA272" s="287">
        <f t="shared" si="693"/>
        <v>628</v>
      </c>
      <c r="AB272" s="287">
        <f t="shared" si="693"/>
        <v>635</v>
      </c>
      <c r="AC272" s="287">
        <f t="shared" si="693"/>
        <v>636</v>
      </c>
      <c r="AD272" s="287">
        <f t="shared" si="693"/>
        <v>631</v>
      </c>
      <c r="AE272" s="1128">
        <f t="shared" si="693"/>
        <v>631</v>
      </c>
      <c r="AF272" s="287">
        <f t="shared" si="693"/>
        <v>627</v>
      </c>
      <c r="AG272" s="287">
        <f t="shared" si="693"/>
        <v>632</v>
      </c>
      <c r="AH272" s="287">
        <f t="shared" si="693"/>
        <v>633</v>
      </c>
      <c r="AI272" s="287">
        <f t="shared" ref="AI272:BV272" si="694">SUM(AI266:AI271)</f>
        <v>625</v>
      </c>
      <c r="AJ272" s="1128">
        <f t="shared" si="694"/>
        <v>625</v>
      </c>
      <c r="AK272" s="287">
        <f t="shared" si="694"/>
        <v>625</v>
      </c>
      <c r="AL272" s="287">
        <f t="shared" si="694"/>
        <v>623</v>
      </c>
      <c r="AM272" s="287">
        <f t="shared" si="694"/>
        <v>626</v>
      </c>
      <c r="AN272" s="287">
        <f t="shared" si="694"/>
        <v>614</v>
      </c>
      <c r="AO272" s="1128">
        <f t="shared" si="694"/>
        <v>614</v>
      </c>
      <c r="AP272" s="287">
        <f t="shared" si="694"/>
        <v>616</v>
      </c>
      <c r="AQ272" s="287">
        <f t="shared" si="694"/>
        <v>614</v>
      </c>
      <c r="AR272" s="287">
        <f t="shared" si="694"/>
        <v>614</v>
      </c>
      <c r="AS272" s="287">
        <f t="shared" si="694"/>
        <v>581</v>
      </c>
      <c r="AT272" s="1128">
        <f t="shared" si="694"/>
        <v>581</v>
      </c>
      <c r="AU272" s="287">
        <f t="shared" si="694"/>
        <v>578</v>
      </c>
      <c r="AV272" s="287">
        <f t="shared" si="694"/>
        <v>581</v>
      </c>
      <c r="AW272" s="287">
        <f t="shared" si="694"/>
        <v>577</v>
      </c>
      <c r="AX272" s="287">
        <f t="shared" si="694"/>
        <v>544</v>
      </c>
      <c r="AY272" s="1128">
        <f t="shared" si="694"/>
        <v>544</v>
      </c>
      <c r="AZ272" s="287">
        <f t="shared" si="694"/>
        <v>545</v>
      </c>
      <c r="BA272" s="287">
        <f t="shared" si="694"/>
        <v>546</v>
      </c>
      <c r="BB272" s="287">
        <f t="shared" si="694"/>
        <v>547</v>
      </c>
      <c r="BC272" s="287">
        <f t="shared" si="694"/>
        <v>530</v>
      </c>
      <c r="BD272" s="1128">
        <f t="shared" si="694"/>
        <v>530</v>
      </c>
      <c r="BE272" s="287">
        <f t="shared" si="694"/>
        <v>531</v>
      </c>
      <c r="BF272" s="287">
        <f t="shared" si="694"/>
        <v>532</v>
      </c>
      <c r="BG272" s="287">
        <f t="shared" si="694"/>
        <v>533</v>
      </c>
      <c r="BH272" s="287">
        <f t="shared" si="694"/>
        <v>518</v>
      </c>
      <c r="BI272" s="1128">
        <f t="shared" si="694"/>
        <v>518</v>
      </c>
      <c r="BJ272" s="1129">
        <f>SUM(BJ266:BJ271)</f>
        <v>517</v>
      </c>
      <c r="BK272" s="287">
        <f t="shared" si="694"/>
        <v>513</v>
      </c>
      <c r="BL272" s="287">
        <f t="shared" si="694"/>
        <v>509</v>
      </c>
      <c r="BM272" s="287">
        <f t="shared" si="694"/>
        <v>505</v>
      </c>
      <c r="BN272" s="1128">
        <f t="shared" si="694"/>
        <v>505</v>
      </c>
      <c r="BO272" s="287">
        <f t="shared" si="694"/>
        <v>501</v>
      </c>
      <c r="BP272" s="287">
        <f t="shared" si="694"/>
        <v>497</v>
      </c>
      <c r="BQ272" s="287">
        <f t="shared" si="694"/>
        <v>493</v>
      </c>
      <c r="BR272" s="287">
        <f t="shared" si="694"/>
        <v>489</v>
      </c>
      <c r="BS272" s="1128">
        <f t="shared" si="694"/>
        <v>489</v>
      </c>
      <c r="BT272" s="1128">
        <f t="shared" si="694"/>
        <v>479</v>
      </c>
      <c r="BU272" s="1128">
        <f t="shared" si="694"/>
        <v>469</v>
      </c>
      <c r="BV272" s="1128">
        <f t="shared" si="694"/>
        <v>459</v>
      </c>
      <c r="BW272" s="168"/>
    </row>
    <row r="273" spans="1:75" s="123" customFormat="1" x14ac:dyDescent="0.5">
      <c r="A273" s="752"/>
      <c r="B273" s="489"/>
      <c r="C273" s="401"/>
      <c r="D273" s="401"/>
      <c r="E273" s="401"/>
      <c r="F273" s="401"/>
      <c r="G273" s="118"/>
      <c r="H273" s="118"/>
      <c r="I273" s="118"/>
      <c r="J273" s="118"/>
      <c r="K273" s="401"/>
      <c r="L273" s="118"/>
      <c r="M273" s="118"/>
      <c r="N273" s="118"/>
      <c r="O273" s="118"/>
      <c r="P273" s="401"/>
      <c r="Q273" s="118"/>
      <c r="R273" s="118"/>
      <c r="S273" s="118"/>
      <c r="T273" s="118"/>
      <c r="U273" s="401"/>
      <c r="V273" s="118"/>
      <c r="W273" s="118"/>
      <c r="X273" s="118"/>
      <c r="Y273" s="118"/>
      <c r="Z273" s="401"/>
      <c r="AA273" s="118"/>
      <c r="AB273" s="118"/>
      <c r="AC273" s="118"/>
      <c r="AD273" s="118"/>
      <c r="AE273" s="401"/>
      <c r="AF273" s="118"/>
      <c r="AG273" s="118"/>
      <c r="AH273" s="118"/>
      <c r="AI273" s="118"/>
      <c r="AJ273" s="401"/>
      <c r="AK273" s="118"/>
      <c r="AL273" s="118"/>
      <c r="AM273" s="118"/>
      <c r="AN273" s="118"/>
      <c r="AO273" s="401"/>
      <c r="AP273" s="118"/>
      <c r="AQ273" s="118"/>
      <c r="AR273" s="118"/>
      <c r="AS273" s="118"/>
      <c r="AT273" s="401"/>
      <c r="AU273" s="118"/>
      <c r="AV273" s="118"/>
      <c r="AW273" s="118"/>
      <c r="AX273" s="118"/>
      <c r="AY273" s="401"/>
      <c r="AZ273" s="118"/>
      <c r="BA273" s="118"/>
      <c r="BB273" s="118"/>
      <c r="BC273" s="118"/>
      <c r="BD273" s="401"/>
      <c r="BE273" s="118"/>
      <c r="BF273" s="118"/>
      <c r="BG273" s="118"/>
      <c r="BH273" s="118"/>
      <c r="BI273" s="401"/>
      <c r="BJ273" s="971"/>
      <c r="BK273" s="118"/>
      <c r="BL273" s="118"/>
      <c r="BM273" s="118"/>
      <c r="BN273" s="401"/>
      <c r="BO273" s="118"/>
      <c r="BP273" s="118"/>
      <c r="BQ273" s="118"/>
      <c r="BR273" s="118"/>
      <c r="BS273" s="401"/>
      <c r="BT273" s="401"/>
      <c r="BU273" s="401"/>
      <c r="BV273" s="401"/>
      <c r="BW273" s="122"/>
    </row>
    <row r="274" spans="1:75" s="177" customFormat="1" ht="14.25" x14ac:dyDescent="0.45">
      <c r="A274" s="170" t="s">
        <v>1645</v>
      </c>
      <c r="B274" s="171"/>
      <c r="C274" s="191">
        <v>-0.111</v>
      </c>
      <c r="D274" s="191">
        <v>0.17699999999999999</v>
      </c>
      <c r="E274" s="191">
        <v>7.5999999999999998E-2</v>
      </c>
      <c r="F274" s="191">
        <v>8.5000000000000006E-2</v>
      </c>
      <c r="G274" s="190">
        <v>7.5999999999999998E-2</v>
      </c>
      <c r="H274" s="190">
        <v>9.9000000000000005E-2</v>
      </c>
      <c r="I274" s="190">
        <v>8.4000000000000005E-2</v>
      </c>
      <c r="J274" s="190">
        <v>0.14599999999999999</v>
      </c>
      <c r="K274" s="191">
        <v>0.104</v>
      </c>
      <c r="L274" s="190">
        <v>9.7000000000000003E-2</v>
      </c>
      <c r="M274" s="190">
        <v>4.3999999999999997E-2</v>
      </c>
      <c r="N274" s="190">
        <v>7.0000000000000007E-2</v>
      </c>
      <c r="O274" s="190">
        <v>2.9000000000000001E-2</v>
      </c>
      <c r="P274" s="191">
        <v>5.8000000000000003E-2</v>
      </c>
      <c r="Q274" s="190">
        <v>2.4E-2</v>
      </c>
      <c r="R274" s="190">
        <v>6.4000000000000001E-2</v>
      </c>
      <c r="S274" s="190">
        <v>0.02</v>
      </c>
      <c r="T274" s="190">
        <v>-0.02</v>
      </c>
      <c r="U274" s="191">
        <v>1.9E-2</v>
      </c>
      <c r="V274" s="190">
        <v>2E-3</v>
      </c>
      <c r="W274" s="190">
        <v>-4.8000000000000001E-2</v>
      </c>
      <c r="X274" s="190">
        <v>-4.5999999999999999E-2</v>
      </c>
      <c r="Y274" s="190">
        <v>-4.1000000000000002E-2</v>
      </c>
      <c r="Z274" s="191">
        <v>-3.5000000000000003E-2</v>
      </c>
      <c r="AA274" s="190">
        <v>-1.4E-2</v>
      </c>
      <c r="AB274" s="190">
        <v>1.2E-2</v>
      </c>
      <c r="AC274" s="190">
        <v>-3.0000000000000001E-3</v>
      </c>
      <c r="AD274" s="190">
        <v>4.1000000000000002E-2</v>
      </c>
      <c r="AE274" s="191">
        <v>0.01</v>
      </c>
      <c r="AF274" s="190">
        <v>2.7E-2</v>
      </c>
      <c r="AG274" s="190">
        <v>0.02</v>
      </c>
      <c r="AH274" s="190">
        <v>1.4E-2</v>
      </c>
      <c r="AI274" s="190">
        <v>-4.0000000000000001E-3</v>
      </c>
      <c r="AJ274" s="191">
        <v>1.2E-2</v>
      </c>
      <c r="AK274" s="190">
        <v>1.4999999999999999E-2</v>
      </c>
      <c r="AL274" s="190">
        <v>4.2000000000000003E-2</v>
      </c>
      <c r="AM274" s="190">
        <v>3.4000000000000002E-2</v>
      </c>
      <c r="AN274" s="190">
        <v>6.7000000000000004E-2</v>
      </c>
      <c r="AO274" s="191">
        <v>4.1000000000000002E-2</v>
      </c>
      <c r="AP274" s="190">
        <v>-1.0999999999999999E-2</v>
      </c>
      <c r="AQ274" s="190">
        <v>8.1000000000000003E-2</v>
      </c>
      <c r="AR274" s="190">
        <v>0.24099999999999999</v>
      </c>
      <c r="AS274" s="190">
        <v>0.25700000000000001</v>
      </c>
      <c r="AT274" s="191">
        <v>0.152</v>
      </c>
      <c r="AU274" s="190">
        <v>0.41299999999999998</v>
      </c>
      <c r="AV274" s="190">
        <v>0.29599999999999999</v>
      </c>
      <c r="AW274" s="190">
        <v>0.159</v>
      </c>
      <c r="AX274" s="190">
        <v>0.16200000000000001</v>
      </c>
      <c r="AY274" s="191">
        <v>0.23899999999999999</v>
      </c>
      <c r="AZ274" s="190">
        <v>0.14599999999999999</v>
      </c>
      <c r="BA274" s="190">
        <v>0.215</v>
      </c>
      <c r="BB274" s="190">
        <v>0.19600000000000001</v>
      </c>
      <c r="BC274" s="190">
        <v>5.8000000000000003E-2</v>
      </c>
      <c r="BD274" s="191">
        <v>0.14899999999999999</v>
      </c>
      <c r="BE274" s="190">
        <v>-4.0000000000000001E-3</v>
      </c>
      <c r="BF274" s="190">
        <v>-0.106</v>
      </c>
      <c r="BG274" s="190">
        <v>-0.16600000000000001</v>
      </c>
      <c r="BH274" s="190">
        <v>-9.6000000000000002E-2</v>
      </c>
      <c r="BI274" s="191">
        <v>-9.7000000000000003E-2</v>
      </c>
      <c r="BJ274" s="1131">
        <v>-0.108</v>
      </c>
      <c r="BK274" s="175">
        <f t="shared" ref="BK274:BV274" si="695">BK85</f>
        <v>5.0000000000000001E-3</v>
      </c>
      <c r="BL274" s="175">
        <f t="shared" si="695"/>
        <v>5.0000000000000001E-3</v>
      </c>
      <c r="BM274" s="175">
        <f t="shared" si="695"/>
        <v>5.0000000000000001E-3</v>
      </c>
      <c r="BN274" s="172">
        <f t="shared" si="695"/>
        <v>-2.205775525729009E-2</v>
      </c>
      <c r="BO274" s="175">
        <f t="shared" si="695"/>
        <v>0.05</v>
      </c>
      <c r="BP274" s="175">
        <f t="shared" si="695"/>
        <v>0.05</v>
      </c>
      <c r="BQ274" s="175">
        <f t="shared" si="695"/>
        <v>0.05</v>
      </c>
      <c r="BR274" s="175">
        <f t="shared" si="695"/>
        <v>0.05</v>
      </c>
      <c r="BS274" s="172">
        <f t="shared" si="695"/>
        <v>0.05</v>
      </c>
      <c r="BT274" s="172">
        <f t="shared" si="695"/>
        <v>0.09</v>
      </c>
      <c r="BU274" s="172">
        <f t="shared" si="695"/>
        <v>0.09</v>
      </c>
      <c r="BV274" s="172">
        <f t="shared" si="695"/>
        <v>0.09</v>
      </c>
      <c r="BW274" s="176"/>
    </row>
    <row r="275" spans="1:75" s="177" customFormat="1" ht="14.25" x14ac:dyDescent="0.45">
      <c r="A275" s="170" t="s">
        <v>1648</v>
      </c>
      <c r="B275" s="171"/>
      <c r="C275" s="191">
        <v>-0.12</v>
      </c>
      <c r="D275" s="191">
        <v>0.16400000000000001</v>
      </c>
      <c r="E275" s="191">
        <v>0.30299999999999999</v>
      </c>
      <c r="F275" s="191">
        <v>0.17399999999999999</v>
      </c>
      <c r="G275" s="190">
        <v>0.11799999999999999</v>
      </c>
      <c r="H275" s="190">
        <v>0.16500000000000001</v>
      </c>
      <c r="I275" s="190">
        <v>0.222</v>
      </c>
      <c r="J275" s="190">
        <v>0.183</v>
      </c>
      <c r="K275" s="191">
        <v>0.17399999999999999</v>
      </c>
      <c r="L275" s="190">
        <v>0.188</v>
      </c>
      <c r="M275" s="190">
        <v>0.16700000000000001</v>
      </c>
      <c r="N275" s="190">
        <v>0.17399999999999999</v>
      </c>
      <c r="O275" s="190">
        <v>0.19600000000000001</v>
      </c>
      <c r="P275" s="191">
        <v>0.182</v>
      </c>
      <c r="Q275" s="190">
        <v>0.153</v>
      </c>
      <c r="R275" s="190">
        <v>0.157</v>
      </c>
      <c r="S275" s="190">
        <v>0.157</v>
      </c>
      <c r="T275" s="190">
        <v>0.128</v>
      </c>
      <c r="U275" s="191">
        <v>0.14799999999999999</v>
      </c>
      <c r="V275" s="190">
        <v>0.19</v>
      </c>
      <c r="W275" s="190">
        <v>0.158</v>
      </c>
      <c r="X275" s="190">
        <v>0.12</v>
      </c>
      <c r="Y275" s="190">
        <v>6.5000000000000002E-2</v>
      </c>
      <c r="Z275" s="191">
        <v>0.128</v>
      </c>
      <c r="AA275" s="190">
        <v>0.06</v>
      </c>
      <c r="AB275" s="190">
        <v>0.10100000000000001</v>
      </c>
      <c r="AC275" s="190">
        <v>0.115</v>
      </c>
      <c r="AD275" s="190">
        <v>0.123</v>
      </c>
      <c r="AE275" s="191">
        <v>0.10199999999999999</v>
      </c>
      <c r="AF275" s="190">
        <v>0.09</v>
      </c>
      <c r="AG275" s="190">
        <v>9.5000000000000001E-2</v>
      </c>
      <c r="AH275" s="190">
        <v>8.3000000000000004E-2</v>
      </c>
      <c r="AI275" s="190">
        <v>0.111</v>
      </c>
      <c r="AJ275" s="191">
        <v>9.5000000000000001E-2</v>
      </c>
      <c r="AK275" s="190">
        <v>0.11799999999999999</v>
      </c>
      <c r="AL275" s="190">
        <v>0.17499999999999999</v>
      </c>
      <c r="AM275" s="190">
        <v>0.14099999999999999</v>
      </c>
      <c r="AN275" s="190">
        <v>0.13900000000000001</v>
      </c>
      <c r="AO275" s="191">
        <v>0.14399999999999999</v>
      </c>
      <c r="AP275" s="190">
        <v>3.3000000000000002E-2</v>
      </c>
      <c r="AQ275" s="190">
        <v>7.0000000000000007E-2</v>
      </c>
      <c r="AR275" s="190">
        <v>0.218</v>
      </c>
      <c r="AS275" s="190">
        <v>0.252</v>
      </c>
      <c r="AT275" s="191">
        <v>0.152</v>
      </c>
      <c r="AU275" s="190">
        <v>0.50900000000000001</v>
      </c>
      <c r="AV275" s="190">
        <v>0.51100000000000001</v>
      </c>
      <c r="AW275" s="190">
        <v>0.22500000000000001</v>
      </c>
      <c r="AX275" s="190">
        <v>0.183</v>
      </c>
      <c r="AY275" s="191">
        <v>0.33100000000000002</v>
      </c>
      <c r="AZ275" s="190">
        <v>0.128</v>
      </c>
      <c r="BA275" s="190">
        <v>6.0999999999999999E-2</v>
      </c>
      <c r="BB275" s="190">
        <v>4.2000000000000003E-2</v>
      </c>
      <c r="BC275" s="190">
        <v>-0.107</v>
      </c>
      <c r="BD275" s="191">
        <v>2.5000000000000001E-2</v>
      </c>
      <c r="BE275" s="190">
        <v>-0.158</v>
      </c>
      <c r="BF275" s="190">
        <v>-0.20799999999999999</v>
      </c>
      <c r="BG275" s="190">
        <v>-0.224</v>
      </c>
      <c r="BH275" s="190">
        <v>-0.153</v>
      </c>
      <c r="BI275" s="191">
        <v>-0.188</v>
      </c>
      <c r="BJ275" s="1131">
        <v>-4.1000000000000002E-2</v>
      </c>
      <c r="BK275" s="175">
        <f>BK141</f>
        <v>-0.02</v>
      </c>
      <c r="BL275" s="175">
        <f>BL141</f>
        <v>-0.02</v>
      </c>
      <c r="BM275" s="175">
        <f>BM141</f>
        <v>-0.02</v>
      </c>
      <c r="BN275" s="172">
        <f t="shared" ref="BN275:BV275" si="696">BN141</f>
        <v>-2.5121952047944509E-2</v>
      </c>
      <c r="BO275" s="175">
        <f t="shared" si="696"/>
        <v>0.05</v>
      </c>
      <c r="BP275" s="175">
        <f t="shared" si="696"/>
        <v>0.05</v>
      </c>
      <c r="BQ275" s="175">
        <f t="shared" si="696"/>
        <v>0.05</v>
      </c>
      <c r="BR275" s="175">
        <f t="shared" si="696"/>
        <v>0.05</v>
      </c>
      <c r="BS275" s="172">
        <f t="shared" si="696"/>
        <v>0.05</v>
      </c>
      <c r="BT275" s="172">
        <f t="shared" si="696"/>
        <v>0.08</v>
      </c>
      <c r="BU275" s="172">
        <f t="shared" si="696"/>
        <v>0.08</v>
      </c>
      <c r="BV275" s="172">
        <f t="shared" si="696"/>
        <v>0.08</v>
      </c>
      <c r="BW275" s="176"/>
    </row>
    <row r="276" spans="1:75" s="177" customFormat="1" ht="14.25" x14ac:dyDescent="0.45">
      <c r="A276" s="170" t="s">
        <v>1651</v>
      </c>
      <c r="B276" s="171"/>
      <c r="C276" s="191">
        <v>-3.2000000000000001E-2</v>
      </c>
      <c r="D276" s="191">
        <v>0.05</v>
      </c>
      <c r="E276" s="191">
        <v>-3.0000000000000001E-3</v>
      </c>
      <c r="F276" s="191">
        <v>-1.0999999999999999E-2</v>
      </c>
      <c r="G276" s="190">
        <v>1.9E-2</v>
      </c>
      <c r="H276" s="190">
        <v>-4.0000000000000001E-3</v>
      </c>
      <c r="I276" s="190">
        <v>1.4E-2</v>
      </c>
      <c r="J276" s="190">
        <v>2.3E-2</v>
      </c>
      <c r="K276" s="191">
        <v>1.4999999999999999E-2</v>
      </c>
      <c r="L276" s="190">
        <v>0.06</v>
      </c>
      <c r="M276" s="190">
        <v>3.4000000000000002E-2</v>
      </c>
      <c r="N276" s="190">
        <v>4.2999999999999997E-2</v>
      </c>
      <c r="O276" s="190">
        <v>2.8000000000000001E-2</v>
      </c>
      <c r="P276" s="191">
        <v>3.7999999999999999E-2</v>
      </c>
      <c r="Q276" s="190">
        <v>2.7E-2</v>
      </c>
      <c r="R276" s="190">
        <v>-3.0000000000000001E-3</v>
      </c>
      <c r="S276" s="190">
        <v>1.2E-2</v>
      </c>
      <c r="T276" s="190">
        <v>8.9999999999999993E-3</v>
      </c>
      <c r="U276" s="191">
        <v>1.0999999999999999E-2</v>
      </c>
      <c r="V276" s="190">
        <v>3.5000000000000003E-2</v>
      </c>
      <c r="W276" s="190">
        <v>0</v>
      </c>
      <c r="X276" s="190">
        <v>1E-3</v>
      </c>
      <c r="Y276" s="190">
        <v>1.4E-2</v>
      </c>
      <c r="Z276" s="191">
        <v>1.2999999999999999E-2</v>
      </c>
      <c r="AA276" s="190">
        <v>3.2000000000000001E-2</v>
      </c>
      <c r="AB276" s="190">
        <v>1.9E-2</v>
      </c>
      <c r="AC276" s="190">
        <v>2.3E-2</v>
      </c>
      <c r="AD276" s="190">
        <v>4.2999999999999997E-2</v>
      </c>
      <c r="AE276" s="191">
        <v>3.2000000000000001E-2</v>
      </c>
      <c r="AF276" s="190">
        <v>5.6000000000000001E-2</v>
      </c>
      <c r="AG276" s="190">
        <v>1.6E-2</v>
      </c>
      <c r="AH276" s="190">
        <v>2.1000000000000001E-2</v>
      </c>
      <c r="AI276" s="190">
        <v>1E-3</v>
      </c>
      <c r="AJ276" s="191">
        <v>1.7000000000000001E-2</v>
      </c>
      <c r="AK276" s="190">
        <v>-1.6E-2</v>
      </c>
      <c r="AL276" s="190">
        <v>-1.0999999999999999E-2</v>
      </c>
      <c r="AM276" s="190">
        <v>-2.1000000000000001E-2</v>
      </c>
      <c r="AN276" s="190">
        <v>3.3000000000000002E-2</v>
      </c>
      <c r="AO276" s="191">
        <v>4.0000000000000001E-3</v>
      </c>
      <c r="AP276" s="190">
        <v>5.3999999999999999E-2</v>
      </c>
      <c r="AQ276" s="190">
        <v>0.29399999999999998</v>
      </c>
      <c r="AR276" s="190">
        <v>0.30399999999999999</v>
      </c>
      <c r="AS276" s="190">
        <v>0.26200000000000001</v>
      </c>
      <c r="AT276" s="191">
        <v>0.23799999999999999</v>
      </c>
      <c r="AU276" s="190">
        <v>0.35299999999999998</v>
      </c>
      <c r="AV276" s="190">
        <v>6.4000000000000001E-2</v>
      </c>
      <c r="AW276" s="190">
        <v>7.5999999999999998E-2</v>
      </c>
      <c r="AX276" s="190">
        <v>4.4999999999999998E-2</v>
      </c>
      <c r="AY276" s="191">
        <v>0.105</v>
      </c>
      <c r="AZ276" s="190">
        <v>-2.1999999999999999E-2</v>
      </c>
      <c r="BA276" s="190">
        <v>5.0000000000000001E-3</v>
      </c>
      <c r="BB276" s="190">
        <v>-1.4999999999999999E-2</v>
      </c>
      <c r="BC276" s="190">
        <v>-2.5000000000000001E-2</v>
      </c>
      <c r="BD276" s="191">
        <v>-1.7000000000000001E-2</v>
      </c>
      <c r="BE276" s="190">
        <v>-4.3999999999999997E-2</v>
      </c>
      <c r="BF276" s="190">
        <v>-7.0000000000000001E-3</v>
      </c>
      <c r="BG276" s="190">
        <v>-1.9E-2</v>
      </c>
      <c r="BH276" s="190">
        <v>1.6E-2</v>
      </c>
      <c r="BI276" s="191">
        <v>-7.0000000000000001E-3</v>
      </c>
      <c r="BJ276" s="1131">
        <v>8.9999999999999993E-3</v>
      </c>
      <c r="BK276" s="175">
        <f>BK197</f>
        <v>5.0000000000000001E-3</v>
      </c>
      <c r="BL276" s="175">
        <f>BL197</f>
        <v>5.0000000000000001E-3</v>
      </c>
      <c r="BM276" s="175">
        <f>BM197</f>
        <v>5.0000000000000001E-3</v>
      </c>
      <c r="BN276" s="172">
        <f t="shared" ref="BN276:BV276" si="697">BN197</f>
        <v>5.7600395223980092E-3</v>
      </c>
      <c r="BO276" s="175">
        <f t="shared" si="697"/>
        <v>0.05</v>
      </c>
      <c r="BP276" s="175">
        <f t="shared" si="697"/>
        <v>0.05</v>
      </c>
      <c r="BQ276" s="175">
        <f t="shared" si="697"/>
        <v>0.05</v>
      </c>
      <c r="BR276" s="175">
        <f t="shared" si="697"/>
        <v>0.05</v>
      </c>
      <c r="BS276" s="172">
        <f t="shared" si="697"/>
        <v>0.05</v>
      </c>
      <c r="BT276" s="172">
        <f t="shared" si="697"/>
        <v>0.08</v>
      </c>
      <c r="BU276" s="172">
        <f t="shared" si="697"/>
        <v>0.08</v>
      </c>
      <c r="BV276" s="172">
        <f t="shared" si="697"/>
        <v>0.08</v>
      </c>
      <c r="BW276" s="176"/>
    </row>
    <row r="277" spans="1:75" s="177" customFormat="1" ht="14.25" hidden="1" outlineLevel="1" x14ac:dyDescent="0.45">
      <c r="A277" s="189" t="s">
        <v>1831</v>
      </c>
      <c r="B277" s="171"/>
      <c r="C277" s="191">
        <v>-0.217</v>
      </c>
      <c r="D277" s="191">
        <v>0.20799999999999999</v>
      </c>
      <c r="E277" s="191">
        <v>7.3999999999999996E-2</v>
      </c>
      <c r="F277" s="191">
        <v>5.6000000000000001E-2</v>
      </c>
      <c r="G277" s="190">
        <v>6.9000000000000006E-2</v>
      </c>
      <c r="H277" s="190">
        <v>8.2000000000000003E-2</v>
      </c>
      <c r="I277" s="190">
        <v>3.9E-2</v>
      </c>
      <c r="J277" s="190">
        <v>0.112</v>
      </c>
      <c r="K277" s="191">
        <v>7.8E-2</v>
      </c>
      <c r="L277" s="190">
        <v>8.1000000000000003E-2</v>
      </c>
      <c r="M277" s="190">
        <v>5.6000000000000001E-2</v>
      </c>
      <c r="N277" s="190">
        <v>8.5999999999999993E-2</v>
      </c>
      <c r="O277" s="190">
        <v>2.7E-2</v>
      </c>
      <c r="P277" s="191">
        <v>5.8999999999999997E-2</v>
      </c>
      <c r="Q277" s="190">
        <v>8.0000000000000002E-3</v>
      </c>
      <c r="R277" s="190">
        <v>3.3000000000000002E-2</v>
      </c>
      <c r="S277" s="190">
        <v>4.7E-2</v>
      </c>
      <c r="T277" s="190">
        <v>1E-3</v>
      </c>
      <c r="U277" s="191">
        <v>2.1999999999999999E-2</v>
      </c>
      <c r="V277" s="190">
        <v>1.7000000000000001E-2</v>
      </c>
      <c r="W277" s="190">
        <v>1E-3</v>
      </c>
      <c r="X277" s="190">
        <v>-0.01</v>
      </c>
      <c r="Y277" s="190">
        <v>-4.9000000000000002E-2</v>
      </c>
      <c r="Z277" s="191">
        <v>-1.4E-2</v>
      </c>
      <c r="AA277" s="190">
        <v>-5.7000000000000002E-2</v>
      </c>
      <c r="AB277" s="190">
        <v>-3.9E-2</v>
      </c>
      <c r="AC277" s="190">
        <v>1E-3</v>
      </c>
      <c r="AD277" s="190">
        <v>8.9999999999999993E-3</v>
      </c>
      <c r="AE277" s="191">
        <v>-1.7999999999999999E-2</v>
      </c>
      <c r="AF277" s="190">
        <v>4.2999999999999997E-2</v>
      </c>
      <c r="AG277" s="175"/>
      <c r="AH277" s="175"/>
      <c r="AI277" s="175"/>
      <c r="AJ277" s="172"/>
      <c r="AK277" s="175"/>
      <c r="AL277" s="175"/>
      <c r="AM277" s="175"/>
      <c r="AN277" s="175"/>
      <c r="AO277" s="172"/>
      <c r="AP277" s="175"/>
      <c r="AQ277" s="175"/>
      <c r="AR277" s="175"/>
      <c r="AS277" s="175"/>
      <c r="AT277" s="172"/>
      <c r="AU277" s="175"/>
      <c r="AV277" s="175"/>
      <c r="AW277" s="175"/>
      <c r="AX277" s="175"/>
      <c r="AY277" s="172"/>
      <c r="AZ277" s="175"/>
      <c r="BA277" s="175"/>
      <c r="BB277" s="175"/>
      <c r="BC277" s="175"/>
      <c r="BD277" s="172"/>
      <c r="BE277" s="175"/>
      <c r="BF277" s="175"/>
      <c r="BG277" s="175"/>
      <c r="BH277" s="175"/>
      <c r="BI277" s="172"/>
      <c r="BJ277" s="1111"/>
      <c r="BK277" s="175"/>
      <c r="BL277" s="175"/>
      <c r="BM277" s="175"/>
      <c r="BN277" s="172"/>
      <c r="BO277" s="175"/>
      <c r="BP277" s="175"/>
      <c r="BQ277" s="175"/>
      <c r="BR277" s="175"/>
      <c r="BS277" s="172"/>
      <c r="BT277" s="172"/>
      <c r="BU277" s="172"/>
      <c r="BV277" s="172"/>
      <c r="BW277" s="176"/>
    </row>
    <row r="278" spans="1:75" s="177" customFormat="1" ht="14.25" hidden="1" outlineLevel="1" x14ac:dyDescent="0.45">
      <c r="A278" s="1188" t="s">
        <v>1832</v>
      </c>
      <c r="B278" s="625"/>
      <c r="C278" s="1189">
        <v>-4.7E-2</v>
      </c>
      <c r="D278" s="1189">
        <v>0.21099999999999999</v>
      </c>
      <c r="E278" s="1189">
        <v>7.3999999999999996E-2</v>
      </c>
      <c r="F278" s="1189">
        <v>1.7000000000000001E-2</v>
      </c>
      <c r="G278" s="1190">
        <v>0.161</v>
      </c>
      <c r="H278" s="1190">
        <v>0.16300000000000001</v>
      </c>
      <c r="I278" s="1190">
        <v>0.16700000000000001</v>
      </c>
      <c r="J278" s="1190">
        <v>9.6000000000000002E-2</v>
      </c>
      <c r="K278" s="1189">
        <v>0.14099999999999999</v>
      </c>
      <c r="L278" s="1190">
        <v>0.12</v>
      </c>
      <c r="M278" s="1190">
        <v>-0.01</v>
      </c>
      <c r="N278" s="1190">
        <v>0.11700000000000001</v>
      </c>
      <c r="O278" s="1190">
        <v>0.03</v>
      </c>
      <c r="P278" s="1189">
        <v>5.7000000000000002E-2</v>
      </c>
      <c r="Q278" s="1190">
        <v>0.03</v>
      </c>
      <c r="R278" s="1190">
        <v>3.9E-2</v>
      </c>
      <c r="S278" s="1190">
        <v>-8.9999999999999993E-3</v>
      </c>
      <c r="T278" s="1190">
        <v>-0.122</v>
      </c>
      <c r="U278" s="1189">
        <v>-2.7E-2</v>
      </c>
      <c r="V278" s="1190">
        <v>1.9E-2</v>
      </c>
      <c r="W278" s="1190">
        <v>-5.1999999999999998E-2</v>
      </c>
      <c r="X278" s="1190">
        <v>-0.109</v>
      </c>
      <c r="Y278" s="1190">
        <v>-8.1000000000000003E-2</v>
      </c>
      <c r="Z278" s="1189">
        <v>-6.2E-2</v>
      </c>
      <c r="AA278" s="1190">
        <v>-0.14299999999999999</v>
      </c>
      <c r="AB278" s="1190">
        <v>2E-3</v>
      </c>
      <c r="AC278" s="1190">
        <v>0.03</v>
      </c>
      <c r="AD278" s="1190">
        <v>2.5999999999999999E-2</v>
      </c>
      <c r="AE278" s="1189">
        <v>-1.4E-2</v>
      </c>
      <c r="AF278" s="1190">
        <v>8.2000000000000003E-2</v>
      </c>
      <c r="AG278" s="627"/>
      <c r="AH278" s="627"/>
      <c r="AI278" s="627"/>
      <c r="AJ278" s="626"/>
      <c r="AK278" s="627"/>
      <c r="AL278" s="627"/>
      <c r="AM278" s="627"/>
      <c r="AN278" s="627"/>
      <c r="AO278" s="626"/>
      <c r="AP278" s="627"/>
      <c r="AQ278" s="627"/>
      <c r="AR278" s="627"/>
      <c r="AS278" s="627"/>
      <c r="AT278" s="626"/>
      <c r="AU278" s="627"/>
      <c r="AV278" s="627"/>
      <c r="AW278" s="627"/>
      <c r="AX278" s="627"/>
      <c r="AY278" s="626"/>
      <c r="AZ278" s="627"/>
      <c r="BA278" s="627"/>
      <c r="BB278" s="627"/>
      <c r="BC278" s="627"/>
      <c r="BD278" s="626"/>
      <c r="BE278" s="627"/>
      <c r="BF278" s="627"/>
      <c r="BG278" s="627"/>
      <c r="BH278" s="627"/>
      <c r="BI278" s="626"/>
      <c r="BJ278" s="1191"/>
      <c r="BK278" s="627"/>
      <c r="BL278" s="627"/>
      <c r="BM278" s="627"/>
      <c r="BN278" s="626"/>
      <c r="BO278" s="627"/>
      <c r="BP278" s="627"/>
      <c r="BQ278" s="627"/>
      <c r="BR278" s="627"/>
      <c r="BS278" s="626"/>
      <c r="BT278" s="626"/>
      <c r="BU278" s="626"/>
      <c r="BV278" s="626"/>
      <c r="BW278" s="176"/>
    </row>
    <row r="279" spans="1:75" s="177" customFormat="1" ht="14.25" collapsed="1" x14ac:dyDescent="0.45">
      <c r="A279" s="1192" t="s">
        <v>1654</v>
      </c>
      <c r="B279" s="625"/>
      <c r="C279" s="626"/>
      <c r="D279" s="626"/>
      <c r="E279" s="626"/>
      <c r="F279" s="626"/>
      <c r="G279" s="627"/>
      <c r="H279" s="627"/>
      <c r="I279" s="627"/>
      <c r="J279" s="627"/>
      <c r="K279" s="626"/>
      <c r="L279" s="627"/>
      <c r="M279" s="627"/>
      <c r="N279" s="627"/>
      <c r="O279" s="627"/>
      <c r="P279" s="626"/>
      <c r="Q279" s="627"/>
      <c r="R279" s="627"/>
      <c r="S279" s="627"/>
      <c r="T279" s="627"/>
      <c r="U279" s="626"/>
      <c r="V279" s="627"/>
      <c r="W279" s="627"/>
      <c r="X279" s="627"/>
      <c r="Y279" s="627"/>
      <c r="Z279" s="626"/>
      <c r="AA279" s="627"/>
      <c r="AB279" s="627"/>
      <c r="AC279" s="627"/>
      <c r="AD279" s="627"/>
      <c r="AE279" s="626"/>
      <c r="AF279" s="627"/>
      <c r="AG279" s="1190">
        <v>5.7000000000000002E-2</v>
      </c>
      <c r="AH279" s="1190">
        <v>0</v>
      </c>
      <c r="AI279" s="1190">
        <v>1.6E-2</v>
      </c>
      <c r="AJ279" s="1189">
        <v>2.8000000000000001E-2</v>
      </c>
      <c r="AK279" s="1190">
        <v>1.2E-2</v>
      </c>
      <c r="AL279" s="1190">
        <v>3.6999999999999998E-2</v>
      </c>
      <c r="AM279" s="1190">
        <v>0.04</v>
      </c>
      <c r="AN279" s="1190">
        <v>7.9000000000000001E-2</v>
      </c>
      <c r="AO279" s="1189">
        <v>4.4999999999999998E-2</v>
      </c>
      <c r="AP279" s="1190">
        <v>8.5000000000000006E-2</v>
      </c>
      <c r="AQ279" s="1190">
        <v>4.8000000000000001E-2</v>
      </c>
      <c r="AR279" s="1190">
        <v>0.23799999999999999</v>
      </c>
      <c r="AS279" s="1190">
        <v>0.25700000000000001</v>
      </c>
      <c r="AT279" s="1189">
        <v>0.16600000000000001</v>
      </c>
      <c r="AU279" s="1190">
        <v>0.27600000000000002</v>
      </c>
      <c r="AV279" s="1190">
        <v>0.18</v>
      </c>
      <c r="AW279" s="1190">
        <v>0.16900000000000001</v>
      </c>
      <c r="AX279" s="1190">
        <v>-6.0999999999999999E-2</v>
      </c>
      <c r="AY279" s="1189">
        <v>0.11600000000000001</v>
      </c>
      <c r="AZ279" s="1190">
        <v>-3.1E-2</v>
      </c>
      <c r="BA279" s="1190">
        <v>5.2999999999999999E-2</v>
      </c>
      <c r="BB279" s="1190">
        <v>-4.8000000000000001E-2</v>
      </c>
      <c r="BC279" s="1190">
        <v>0.04</v>
      </c>
      <c r="BD279" s="1189">
        <v>4.0000000000000001E-3</v>
      </c>
      <c r="BE279" s="1190">
        <v>-3.3000000000000002E-2</v>
      </c>
      <c r="BF279" s="1190">
        <v>-0.09</v>
      </c>
      <c r="BG279" s="190">
        <v>-6.9000000000000006E-2</v>
      </c>
      <c r="BH279" s="1190">
        <v>-2.5000000000000001E-2</v>
      </c>
      <c r="BI279" s="1189">
        <v>-5.5E-2</v>
      </c>
      <c r="BJ279" s="1193">
        <v>2.8000000000000001E-2</v>
      </c>
      <c r="BK279" s="627">
        <f t="shared" ref="BK279:BV279" si="698">BK240</f>
        <v>-0.01</v>
      </c>
      <c r="BL279" s="627">
        <f t="shared" si="698"/>
        <v>-0.01</v>
      </c>
      <c r="BM279" s="627">
        <f t="shared" si="698"/>
        <v>-0.01</v>
      </c>
      <c r="BN279" s="626">
        <f t="shared" si="698"/>
        <v>-2.2521165143757015E-3</v>
      </c>
      <c r="BO279" s="627">
        <f t="shared" si="698"/>
        <v>0.05</v>
      </c>
      <c r="BP279" s="627">
        <f t="shared" si="698"/>
        <v>0.08</v>
      </c>
      <c r="BQ279" s="627">
        <f t="shared" si="698"/>
        <v>0.05</v>
      </c>
      <c r="BR279" s="627">
        <f t="shared" si="698"/>
        <v>0.05</v>
      </c>
      <c r="BS279" s="626">
        <f t="shared" si="698"/>
        <v>5.7181039776477656E-2</v>
      </c>
      <c r="BT279" s="626">
        <f t="shared" si="698"/>
        <v>0.05</v>
      </c>
      <c r="BU279" s="626">
        <f t="shared" si="698"/>
        <v>0.05</v>
      </c>
      <c r="BV279" s="626">
        <f t="shared" si="698"/>
        <v>0.05</v>
      </c>
      <c r="BW279" s="176"/>
    </row>
    <row r="280" spans="1:75" s="1144" customFormat="1" ht="14.25" x14ac:dyDescent="0.45">
      <c r="A280" s="1150" t="s">
        <v>1833</v>
      </c>
      <c r="B280" s="1194"/>
      <c r="C280" s="1195">
        <v>-9.2999999999999999E-2</v>
      </c>
      <c r="D280" s="1195">
        <v>0.13900000000000001</v>
      </c>
      <c r="E280" s="1195">
        <v>7.2999999999999995E-2</v>
      </c>
      <c r="F280" s="1195">
        <v>6.0999999999999999E-2</v>
      </c>
      <c r="G280" s="1196">
        <v>7.1999999999999995E-2</v>
      </c>
      <c r="H280" s="1196">
        <v>8.4000000000000005E-2</v>
      </c>
      <c r="I280" s="1196">
        <v>8.2000000000000003E-2</v>
      </c>
      <c r="J280" s="1196">
        <v>0.104</v>
      </c>
      <c r="K280" s="1195">
        <v>8.7999999999999995E-2</v>
      </c>
      <c r="L280" s="1196">
        <v>0.1</v>
      </c>
      <c r="M280" s="1196">
        <v>5.7000000000000002E-2</v>
      </c>
      <c r="N280" s="1196">
        <v>8.6999999999999994E-2</v>
      </c>
      <c r="O280" s="1196">
        <v>5.0999999999999997E-2</v>
      </c>
      <c r="P280" s="1195">
        <v>7.0999999999999994E-2</v>
      </c>
      <c r="Q280" s="1196">
        <v>4.5999999999999999E-2</v>
      </c>
      <c r="R280" s="1196">
        <v>6.3E-2</v>
      </c>
      <c r="S280" s="1196">
        <v>4.4999999999999998E-2</v>
      </c>
      <c r="T280" s="1196">
        <v>8.0000000000000002E-3</v>
      </c>
      <c r="U280" s="1195">
        <v>3.6999999999999998E-2</v>
      </c>
      <c r="V280" s="1196">
        <v>4.4999999999999998E-2</v>
      </c>
      <c r="W280" s="1196">
        <v>6.0000000000000001E-3</v>
      </c>
      <c r="X280" s="1196">
        <v>-4.0000000000000001E-3</v>
      </c>
      <c r="Y280" s="1196">
        <v>-8.9999999999999993E-3</v>
      </c>
      <c r="Z280" s="1195">
        <v>7.0000000000000001E-3</v>
      </c>
      <c r="AA280" s="1196">
        <v>1E-3</v>
      </c>
      <c r="AB280" s="1196">
        <v>2.8000000000000001E-2</v>
      </c>
      <c r="AC280" s="1196">
        <v>3.3000000000000002E-2</v>
      </c>
      <c r="AD280" s="1196">
        <v>5.3999999999999999E-2</v>
      </c>
      <c r="AE280" s="1195">
        <v>3.2000000000000001E-2</v>
      </c>
      <c r="AF280" s="1196">
        <v>5.5E-2</v>
      </c>
      <c r="AG280" s="1196">
        <v>4.5999999999999999E-2</v>
      </c>
      <c r="AH280" s="1196">
        <v>3.1E-2</v>
      </c>
      <c r="AI280" s="1196">
        <v>2.4E-2</v>
      </c>
      <c r="AJ280" s="1195">
        <v>3.6999999999999998E-2</v>
      </c>
      <c r="AK280" s="1196">
        <v>3.5000000000000003E-2</v>
      </c>
      <c r="AL280" s="1196">
        <v>6.5000000000000002E-2</v>
      </c>
      <c r="AM280" s="1196">
        <v>5.5E-2</v>
      </c>
      <c r="AN280" s="1196">
        <v>7.5999999999999998E-2</v>
      </c>
      <c r="AO280" s="1195">
        <v>0.06</v>
      </c>
      <c r="AP280" s="1196">
        <v>2.5999999999999999E-2</v>
      </c>
      <c r="AQ280" s="1196">
        <v>0.105</v>
      </c>
      <c r="AR280" s="1196">
        <v>0.24399999999999999</v>
      </c>
      <c r="AS280" s="1196">
        <v>0.25700000000000001</v>
      </c>
      <c r="AT280" s="1195">
        <v>0.17</v>
      </c>
      <c r="AU280" s="1196">
        <v>0.40400000000000003</v>
      </c>
      <c r="AV280" s="1196">
        <v>0.29799999999999999</v>
      </c>
      <c r="AW280" s="1196">
        <v>0.16900000000000001</v>
      </c>
      <c r="AX280" s="1196">
        <v>0.108</v>
      </c>
      <c r="AY280" s="1195">
        <v>0.22</v>
      </c>
      <c r="AZ280" s="1196">
        <v>9.5000000000000001E-2</v>
      </c>
      <c r="BA280" s="1196">
        <v>0.113</v>
      </c>
      <c r="BB280" s="1196">
        <v>8.1000000000000003E-2</v>
      </c>
      <c r="BC280" s="1196">
        <v>-6.0000000000000001E-3</v>
      </c>
      <c r="BD280" s="1195">
        <v>6.5000000000000002E-2</v>
      </c>
      <c r="BE280" s="1196">
        <v>-0.06</v>
      </c>
      <c r="BF280" s="1196">
        <v>-0.11899999999999999</v>
      </c>
      <c r="BG280" s="1196">
        <v>-0.14599999999999999</v>
      </c>
      <c r="BH280" s="1196">
        <v>-6.8000000000000005E-2</v>
      </c>
      <c r="BI280" s="1195">
        <v>-9.9000000000000005E-2</v>
      </c>
      <c r="BJ280" s="1197">
        <v>-4.9000000000000002E-2</v>
      </c>
      <c r="BK280" s="1198">
        <f>(BF284*BK274+BF285*BK275+BF286*BK276+BF289*BK279)/SUM(BF284,BF285,BF286,BF289)</f>
        <v>-4.0023880323945705E-3</v>
      </c>
      <c r="BL280" s="1198">
        <f>(BG284*BL274+BG285*BL275+BG286*BL276+BG289*BL279)/SUM(BG284,BG285,BG286,BG289)</f>
        <v>-3.9171458094325986E-3</v>
      </c>
      <c r="BM280" s="1198">
        <f>(BH284*BM274+BH285*BM275+BH286*BM276+BH289*BM279)/SUM(BH284,BH285,BH286,BH289)</f>
        <v>-2.3880437879763459E-3</v>
      </c>
      <c r="BN280" s="1199">
        <f t="shared" ref="BN280" si="699">(BI284*BN274+BI285*BN275+BI286*BN276+BI289*BN279)/SUM(BI284,BI285,BI286,BI289)</f>
        <v>-1.5233735641285575E-2</v>
      </c>
      <c r="BO280" s="1198">
        <f>(BJ284*BO274+BJ285*BO275+BJ286*BO276+BJ289*BO279)/SUM(BJ284,BJ285,BJ286,BJ289)</f>
        <v>5.000000000000001E-2</v>
      </c>
      <c r="BP280" s="1198">
        <f>(BK284*BP274+BK285*BP275+BK286*BP276+BK289*BP279)/SUM(BK284,BK285,BK286,BK289)</f>
        <v>5.4316149336900564E-2</v>
      </c>
      <c r="BQ280" s="1198">
        <f>(BL284*BQ274+BL285*BQ275+BL286*BQ276+BL289*BQ279)/SUM(BL284,BL285,BL286,BL289)</f>
        <v>0.05</v>
      </c>
      <c r="BR280" s="1198">
        <f>(BM284*BR274+BM285*BR275+BM286*BR276+BM289*BR279)/SUM(BM284,BM285,BM286,BM289)</f>
        <v>0.05</v>
      </c>
      <c r="BS280" s="1199">
        <f>(BN284*BS274+BN285*BS275+BN286*BS276+BN289*BS279)/SUM(BN284,BN285,BN286,BN289)</f>
        <v>5.1032335011658096E-2</v>
      </c>
      <c r="BT280" s="1199">
        <f>(BS284*BT274+BS285*BT275+BS286*BT276+BS289*BT279)/SUM(BS284,BS285,BS286,BS289)</f>
        <v>7.9835173460049036E-2</v>
      </c>
      <c r="BU280" s="1199">
        <f>(BT284*BU274+BT285*BU275+BT286*BU276+BT289*BU279)/SUM(BT284,BT285,BT286,BT289)</f>
        <v>7.9939075463471038E-2</v>
      </c>
      <c r="BV280" s="1199">
        <f>(BU284*BV274+BU285*BV275+BU286*BV276+BU289*BV279)/SUM(BU284,BU285,BU286,BU289)</f>
        <v>8.0139729127937098E-2</v>
      </c>
      <c r="BW280" s="1143"/>
    </row>
    <row r="281" spans="1:75" s="1144" customFormat="1" ht="14.25" hidden="1" outlineLevel="1" x14ac:dyDescent="0.45">
      <c r="A281" s="1200" t="s">
        <v>1834</v>
      </c>
      <c r="B281" s="1201"/>
      <c r="C281" s="1202">
        <v>-5.0999999999999997E-2</v>
      </c>
      <c r="D281" s="1202">
        <v>9.8000000000000004E-2</v>
      </c>
      <c r="E281" s="1202">
        <v>3.5000000000000003E-2</v>
      </c>
      <c r="F281" s="1202">
        <v>2.3E-2</v>
      </c>
      <c r="G281" s="1203"/>
      <c r="H281" s="1203"/>
      <c r="I281" s="1203"/>
      <c r="J281" s="1203"/>
      <c r="K281" s="1204"/>
      <c r="L281" s="1203"/>
      <c r="M281" s="1203"/>
      <c r="N281" s="1203"/>
      <c r="O281" s="1203"/>
      <c r="P281" s="1204"/>
      <c r="Q281" s="1203"/>
      <c r="R281" s="1203"/>
      <c r="S281" s="1203"/>
      <c r="T281" s="1203"/>
      <c r="U281" s="1204"/>
      <c r="V281" s="1203"/>
      <c r="W281" s="1203"/>
      <c r="X281" s="1203"/>
      <c r="Y281" s="1203"/>
      <c r="Z281" s="1204"/>
      <c r="AA281" s="1203"/>
      <c r="AB281" s="1203"/>
      <c r="AC281" s="1203"/>
      <c r="AD281" s="1203"/>
      <c r="AE281" s="1204"/>
      <c r="AF281" s="1203"/>
      <c r="AG281" s="1203"/>
      <c r="AH281" s="1203"/>
      <c r="AI281" s="1203"/>
      <c r="AJ281" s="1204"/>
      <c r="AK281" s="1203"/>
      <c r="AL281" s="1203"/>
      <c r="AM281" s="1203"/>
      <c r="AN281" s="1203"/>
      <c r="AO281" s="1204"/>
      <c r="AP281" s="1203"/>
      <c r="AQ281" s="1203"/>
      <c r="AR281" s="1203"/>
      <c r="AS281" s="1203"/>
      <c r="AT281" s="1204"/>
      <c r="AU281" s="1203"/>
      <c r="AV281" s="1203"/>
      <c r="AW281" s="1203"/>
      <c r="AX281" s="1203"/>
      <c r="AY281" s="1204"/>
      <c r="AZ281" s="1203"/>
      <c r="BA281" s="1203"/>
      <c r="BB281" s="1203"/>
      <c r="BC281" s="1203"/>
      <c r="BD281" s="1204"/>
      <c r="BE281" s="1203"/>
      <c r="BF281" s="1203"/>
      <c r="BG281" s="1203"/>
      <c r="BH281" s="1203"/>
      <c r="BI281" s="1204"/>
      <c r="BJ281" s="1205"/>
      <c r="BK281" s="1203"/>
      <c r="BL281" s="1203"/>
      <c r="BM281" s="1203"/>
      <c r="BN281" s="1204"/>
      <c r="BO281" s="1203"/>
      <c r="BP281" s="1203"/>
      <c r="BQ281" s="1203"/>
      <c r="BR281" s="1203"/>
      <c r="BS281" s="1204"/>
      <c r="BT281" s="1204"/>
      <c r="BU281" s="1204"/>
      <c r="BV281" s="1204"/>
      <c r="BW281" s="1143"/>
    </row>
    <row r="282" spans="1:75" s="1144" customFormat="1" ht="14.25" collapsed="1" x14ac:dyDescent="0.45">
      <c r="A282" s="1200" t="s">
        <v>1835</v>
      </c>
      <c r="B282" s="1201"/>
      <c r="C282" s="1204"/>
      <c r="D282" s="1204"/>
      <c r="E282" s="1204"/>
      <c r="F282" s="1204"/>
      <c r="G282" s="1203"/>
      <c r="H282" s="1203"/>
      <c r="I282" s="1203"/>
      <c r="J282" s="1203"/>
      <c r="K282" s="1204"/>
      <c r="L282" s="1203"/>
      <c r="M282" s="1203"/>
      <c r="N282" s="1203"/>
      <c r="O282" s="1203"/>
      <c r="P282" s="1204"/>
      <c r="Q282" s="1203"/>
      <c r="R282" s="1203"/>
      <c r="S282" s="1203"/>
      <c r="T282" s="1203"/>
      <c r="U282" s="1204"/>
      <c r="V282" s="1203"/>
      <c r="W282" s="1203"/>
      <c r="X282" s="1203"/>
      <c r="Y282" s="1203"/>
      <c r="Z282" s="1204"/>
      <c r="AA282" s="1203"/>
      <c r="AB282" s="1203"/>
      <c r="AC282" s="1203"/>
      <c r="AD282" s="1203"/>
      <c r="AE282" s="1204"/>
      <c r="AF282" s="1203"/>
      <c r="AG282" s="1203"/>
      <c r="AH282" s="1206">
        <v>4.5999999999999999E-2</v>
      </c>
      <c r="AI282" s="1203"/>
      <c r="AJ282" s="1204"/>
      <c r="AK282" s="1203"/>
      <c r="AL282" s="1203"/>
      <c r="AM282" s="1203"/>
      <c r="AN282" s="1203"/>
      <c r="AO282" s="1204"/>
      <c r="AP282" s="1203"/>
      <c r="AQ282" s="1206">
        <v>0.19</v>
      </c>
      <c r="AR282" s="1206">
        <v>0.31</v>
      </c>
      <c r="AS282" s="1206">
        <v>0.3</v>
      </c>
      <c r="AT282" s="1204"/>
      <c r="AU282" s="1206">
        <v>0.4</v>
      </c>
      <c r="AV282" s="1203"/>
      <c r="AW282" s="1203">
        <f>AW280</f>
        <v>0.16900000000000001</v>
      </c>
      <c r="AX282" s="1203">
        <f>AX280</f>
        <v>0.108</v>
      </c>
      <c r="AY282" s="1204"/>
      <c r="AZ282" s="1203">
        <f>AZ280</f>
        <v>9.5000000000000001E-2</v>
      </c>
      <c r="BA282" s="1203"/>
      <c r="BB282" s="1203"/>
      <c r="BC282" s="1206">
        <v>-0.05</v>
      </c>
      <c r="BD282" s="1204"/>
      <c r="BE282" s="1206">
        <v>-0.1</v>
      </c>
      <c r="BF282" s="1206">
        <v>-0.114</v>
      </c>
      <c r="BG282" s="1206">
        <v>-0.11799999999999999</v>
      </c>
      <c r="BH282" s="1203"/>
      <c r="BI282" s="1204"/>
      <c r="BJ282" s="1205"/>
      <c r="BK282" s="1203"/>
      <c r="BL282" s="1203"/>
      <c r="BM282" s="1203"/>
      <c r="BN282" s="1204"/>
      <c r="BO282" s="1203"/>
      <c r="BP282" s="1203"/>
      <c r="BQ282" s="1203"/>
      <c r="BR282" s="1203"/>
      <c r="BS282" s="1204"/>
      <c r="BT282" s="1204"/>
      <c r="BU282" s="1204"/>
      <c r="BV282" s="1204"/>
      <c r="BW282" s="1143"/>
    </row>
    <row r="283" spans="1:75" s="162" customFormat="1" ht="14.25" x14ac:dyDescent="0.45">
      <c r="A283" s="178"/>
      <c r="B283" s="179"/>
      <c r="C283" s="180"/>
      <c r="D283" s="180"/>
      <c r="E283" s="180"/>
      <c r="F283" s="180"/>
      <c r="G283" s="183"/>
      <c r="H283" s="183"/>
      <c r="I283" s="183"/>
      <c r="J283" s="183"/>
      <c r="K283" s="180"/>
      <c r="L283" s="183"/>
      <c r="M283" s="183"/>
      <c r="N283" s="183"/>
      <c r="O283" s="183"/>
      <c r="P283" s="180"/>
      <c r="Q283" s="183"/>
      <c r="R283" s="183"/>
      <c r="S283" s="183"/>
      <c r="T283" s="183"/>
      <c r="U283" s="180"/>
      <c r="V283" s="183"/>
      <c r="W283" s="183"/>
      <c r="X283" s="183"/>
      <c r="Y283" s="183"/>
      <c r="Z283" s="180"/>
      <c r="AA283" s="183"/>
      <c r="AB283" s="183"/>
      <c r="AC283" s="183"/>
      <c r="AD283" s="183"/>
      <c r="AE283" s="180"/>
      <c r="AF283" s="183"/>
      <c r="AG283" s="183"/>
      <c r="AH283" s="183"/>
      <c r="AI283" s="183"/>
      <c r="AJ283" s="180"/>
      <c r="AK283" s="183"/>
      <c r="AL283" s="183"/>
      <c r="AM283" s="183"/>
      <c r="AN283" s="183"/>
      <c r="AO283" s="180"/>
      <c r="AP283" s="183"/>
      <c r="AQ283" s="183"/>
      <c r="AR283" s="183"/>
      <c r="AS283" s="183"/>
      <c r="AT283" s="180"/>
      <c r="AU283" s="183"/>
      <c r="AV283" s="183"/>
      <c r="AW283" s="183"/>
      <c r="AX283" s="183"/>
      <c r="AY283" s="180"/>
      <c r="AZ283" s="183"/>
      <c r="BA283" s="183"/>
      <c r="BB283" s="183"/>
      <c r="BC283" s="183"/>
      <c r="BD283" s="180"/>
      <c r="BE283" s="183"/>
      <c r="BF283" s="183"/>
      <c r="BG283" s="183"/>
      <c r="BH283" s="183"/>
      <c r="BI283" s="180"/>
      <c r="BJ283" s="1112"/>
      <c r="BK283" s="183"/>
      <c r="BL283" s="183"/>
      <c r="BM283" s="183"/>
      <c r="BN283" s="180"/>
      <c r="BO283" s="183"/>
      <c r="BP283" s="183"/>
      <c r="BQ283" s="183"/>
      <c r="BR283" s="183"/>
      <c r="BS283" s="180"/>
      <c r="BT283" s="180"/>
      <c r="BU283" s="180"/>
      <c r="BV283" s="180"/>
      <c r="BW283" s="161"/>
    </row>
    <row r="284" spans="1:75" s="123" customFormat="1" x14ac:dyDescent="0.5">
      <c r="A284" s="184" t="s">
        <v>1836</v>
      </c>
      <c r="B284" s="489"/>
      <c r="C284" s="403">
        <v>1304.319</v>
      </c>
      <c r="D284" s="403">
        <v>1511.029</v>
      </c>
      <c r="E284" s="403">
        <v>1600.847</v>
      </c>
      <c r="F284" s="403">
        <v>1752.9970000000001</v>
      </c>
      <c r="G284" s="118"/>
      <c r="H284" s="118"/>
      <c r="I284" s="118"/>
      <c r="J284" s="118"/>
      <c r="K284" s="403">
        <v>1910.9780000000001</v>
      </c>
      <c r="L284" s="118"/>
      <c r="M284" s="118"/>
      <c r="N284" s="118"/>
      <c r="O284" s="118"/>
      <c r="P284" s="403">
        <v>2022.3309999999999</v>
      </c>
      <c r="Q284" s="118"/>
      <c r="R284" s="118"/>
      <c r="S284" s="118"/>
      <c r="T284" s="118"/>
      <c r="U284" s="403">
        <v>2074.0509999999999</v>
      </c>
      <c r="V284" s="118"/>
      <c r="W284" s="118"/>
      <c r="X284" s="118"/>
      <c r="Y284" s="118"/>
      <c r="Z284" s="403">
        <v>2024.2180000000001</v>
      </c>
      <c r="AA284" s="118"/>
      <c r="AB284" s="118"/>
      <c r="AC284" s="118"/>
      <c r="AD284" s="118"/>
      <c r="AE284" s="403">
        <v>2066.3020000000001</v>
      </c>
      <c r="AF284" s="302">
        <v>490.37200000000001</v>
      </c>
      <c r="AG284" s="302">
        <v>506.46</v>
      </c>
      <c r="AH284" s="302">
        <v>533.46900000000005</v>
      </c>
      <c r="AI284" s="118">
        <f>AJ284-SUM(AF284,AG284,AH284)</f>
        <v>647.04300000000012</v>
      </c>
      <c r="AJ284" s="403">
        <v>2177.3440000000001</v>
      </c>
      <c r="AK284" s="302">
        <v>492.12599999999998</v>
      </c>
      <c r="AL284" s="302">
        <v>524.84699999999998</v>
      </c>
      <c r="AM284" s="302">
        <v>556.98500000000001</v>
      </c>
      <c r="AN284" s="118">
        <f>AO284-SUM(AK284,AL284,AM284)</f>
        <v>640.43899999999985</v>
      </c>
      <c r="AO284" s="403">
        <v>2214.3969999999999</v>
      </c>
      <c r="AP284" s="302">
        <v>479.61500000000001</v>
      </c>
      <c r="AQ284" s="302">
        <v>563.27599999999995</v>
      </c>
      <c r="AR284" s="302">
        <v>684.029</v>
      </c>
      <c r="AS284" s="118">
        <f>AT284-SUM(AP284,AQ284,AR284)</f>
        <v>799.32099999999991</v>
      </c>
      <c r="AT284" s="403">
        <v>2526.241</v>
      </c>
      <c r="AU284" s="302">
        <v>679.05499999999995</v>
      </c>
      <c r="AV284" s="302">
        <v>732.32299999999998</v>
      </c>
      <c r="AW284" s="302">
        <v>788.73199999999997</v>
      </c>
      <c r="AX284" s="118">
        <f>AY284-SUM(AU284,AV284,AW284)</f>
        <v>920.57700000000023</v>
      </c>
      <c r="AY284" s="403">
        <v>3120.6869999999999</v>
      </c>
      <c r="AZ284" s="302">
        <v>774.64599999999996</v>
      </c>
      <c r="BA284" s="302">
        <v>879.10699999999997</v>
      </c>
      <c r="BB284" s="302">
        <v>935.04499999999996</v>
      </c>
      <c r="BC284" s="118">
        <f>BD284-SUM(AZ284,BA284,BB284)</f>
        <v>966.72300000000041</v>
      </c>
      <c r="BD284" s="403">
        <v>3555.5210000000002</v>
      </c>
      <c r="BE284" s="302">
        <v>767.71400000000006</v>
      </c>
      <c r="BF284" s="302">
        <v>786.30799999999999</v>
      </c>
      <c r="BG284" s="302">
        <v>777.47500000000002</v>
      </c>
      <c r="BH284" s="118">
        <f>BI284-SUM(BE284,BF284,BG284)</f>
        <v>874.67000000000007</v>
      </c>
      <c r="BI284" s="403">
        <v>3206.1669999999999</v>
      </c>
      <c r="BJ284" s="1207">
        <v>677.33500000000004</v>
      </c>
      <c r="BK284" s="118">
        <f>BK102</f>
        <v>786.25023189375747</v>
      </c>
      <c r="BL284" s="118">
        <f>BL102</f>
        <v>768.73439580854324</v>
      </c>
      <c r="BM284" s="118">
        <f>BM102</f>
        <v>922.12463233580422</v>
      </c>
      <c r="BN284" s="401">
        <f>SUM(BM284,BL284,BK284,BJ284)</f>
        <v>3154.4442600381053</v>
      </c>
      <c r="BO284" s="118">
        <f>BO102</f>
        <v>705.9887402890821</v>
      </c>
      <c r="BP284" s="118">
        <f>BP102</f>
        <v>813.91288234028889</v>
      </c>
      <c r="BQ284" s="118">
        <f>BQ102</f>
        <v>795.56402042683942</v>
      </c>
      <c r="BR284" s="118">
        <f>BR102</f>
        <v>885.96539665399064</v>
      </c>
      <c r="BS284" s="401">
        <f>SUM(BR284,BQ284,BP284,BO284)</f>
        <v>3201.4310397102013</v>
      </c>
      <c r="BT284" s="401">
        <f>BT102</f>
        <v>3409.3735980352308</v>
      </c>
      <c r="BU284" s="401">
        <f>BU102</f>
        <v>3716.2172218584019</v>
      </c>
      <c r="BV284" s="401">
        <f>BV102</f>
        <v>4050.6767718256583</v>
      </c>
      <c r="BW284" s="122"/>
    </row>
    <row r="285" spans="1:75" s="123" customFormat="1" x14ac:dyDescent="0.5">
      <c r="A285" s="184" t="s">
        <v>1837</v>
      </c>
      <c r="B285" s="489"/>
      <c r="C285" s="403">
        <v>211.57599999999999</v>
      </c>
      <c r="D285" s="403">
        <v>259.93599999999998</v>
      </c>
      <c r="E285" s="403">
        <v>335.98</v>
      </c>
      <c r="F285" s="403">
        <v>430.09899999999999</v>
      </c>
      <c r="G285" s="118"/>
      <c r="H285" s="118"/>
      <c r="I285" s="118"/>
      <c r="J285" s="118"/>
      <c r="K285" s="403">
        <v>531.30499999999995</v>
      </c>
      <c r="L285" s="118"/>
      <c r="M285" s="118"/>
      <c r="N285" s="118"/>
      <c r="O285" s="118"/>
      <c r="P285" s="403">
        <v>669.07399999999996</v>
      </c>
      <c r="Q285" s="118"/>
      <c r="R285" s="118"/>
      <c r="S285" s="118"/>
      <c r="T285" s="118"/>
      <c r="U285" s="403">
        <v>821.13599999999997</v>
      </c>
      <c r="V285" s="118"/>
      <c r="W285" s="118"/>
      <c r="X285" s="118"/>
      <c r="Y285" s="118"/>
      <c r="Z285" s="403">
        <v>971.56799999999998</v>
      </c>
      <c r="AA285" s="118"/>
      <c r="AB285" s="118"/>
      <c r="AC285" s="118"/>
      <c r="AD285" s="118"/>
      <c r="AE285" s="403">
        <v>1114.3389999999999</v>
      </c>
      <c r="AF285" s="302">
        <v>273.34899999999999</v>
      </c>
      <c r="AG285" s="302">
        <v>301.21300000000002</v>
      </c>
      <c r="AH285" s="302">
        <v>339.09899999999999</v>
      </c>
      <c r="AI285" s="118">
        <f>AJ285-SUM(AF285,AG285,AH285)</f>
        <v>379.26700000000005</v>
      </c>
      <c r="AJ285" s="403">
        <v>1292.9280000000001</v>
      </c>
      <c r="AK285" s="302">
        <v>309.483</v>
      </c>
      <c r="AL285" s="302">
        <v>357.57400000000001</v>
      </c>
      <c r="AM285" s="302">
        <v>390.34100000000001</v>
      </c>
      <c r="AN285" s="118">
        <f>AO285-SUM(AK285,AL285,AM285)</f>
        <v>409.1389999999999</v>
      </c>
      <c r="AO285" s="403">
        <v>1466.537</v>
      </c>
      <c r="AP285" s="302">
        <v>315.43</v>
      </c>
      <c r="AQ285" s="302">
        <v>380.55200000000002</v>
      </c>
      <c r="AR285" s="302">
        <v>474.959</v>
      </c>
      <c r="AS285" s="118">
        <f>AT285-SUM(AP285,AQ285,AR285)</f>
        <v>511.31299999999987</v>
      </c>
      <c r="AT285" s="403">
        <v>1682.2539999999999</v>
      </c>
      <c r="AU285" s="302">
        <v>477.31700000000001</v>
      </c>
      <c r="AV285" s="302">
        <v>579.63599999999997</v>
      </c>
      <c r="AW285" s="302">
        <v>579.66800000000001</v>
      </c>
      <c r="AX285" s="118">
        <f>AY285-SUM(AU285,AV285,AW285)</f>
        <v>597.92699999999968</v>
      </c>
      <c r="AY285" s="403">
        <v>2234.5479999999998</v>
      </c>
      <c r="AZ285" s="302">
        <v>536.29300000000001</v>
      </c>
      <c r="BA285" s="302">
        <v>607.91800000000001</v>
      </c>
      <c r="BB285" s="302">
        <v>599.80200000000002</v>
      </c>
      <c r="BC285" s="118">
        <f>BD285-SUM(AZ285,BA285,BB285)</f>
        <v>534.11799999999994</v>
      </c>
      <c r="BD285" s="403">
        <v>2278.1309999999999</v>
      </c>
      <c r="BE285" s="302">
        <v>452.39299999999997</v>
      </c>
      <c r="BF285" s="302">
        <v>484.10599999999999</v>
      </c>
      <c r="BG285" s="302">
        <v>466.36</v>
      </c>
      <c r="BH285" s="118">
        <f>BI285-SUM(BE285,BF285,BG285)</f>
        <v>451.952</v>
      </c>
      <c r="BI285" s="403">
        <v>1854.8109999999999</v>
      </c>
      <c r="BJ285" s="1207">
        <v>430.30900000000003</v>
      </c>
      <c r="BK285" s="118">
        <f>BK158</f>
        <v>471.03192836197513</v>
      </c>
      <c r="BL285" s="118">
        <f>BL158</f>
        <v>454.79041040559986</v>
      </c>
      <c r="BM285" s="118">
        <f>BM158</f>
        <v>474.27730047965065</v>
      </c>
      <c r="BN285" s="401">
        <f>SUM(BM285,BL285,BK285,BJ285)</f>
        <v>1830.4086392472257</v>
      </c>
      <c r="BO285" s="118">
        <f>BO158</f>
        <v>451.8920300839402</v>
      </c>
      <c r="BP285" s="118">
        <f>BP158</f>
        <v>492.81026139860433</v>
      </c>
      <c r="BQ285" s="118">
        <f>BQ158</f>
        <v>475.81405799722415</v>
      </c>
      <c r="BR285" s="118">
        <f>BR158</f>
        <v>460.75518597416783</v>
      </c>
      <c r="BS285" s="401">
        <f>SUM(BR285,BQ285,BP285,BO285)</f>
        <v>1881.2715354539366</v>
      </c>
      <c r="BT285" s="401">
        <f>BT158</f>
        <v>2022.6284500750889</v>
      </c>
      <c r="BU285" s="401">
        <f>BU158</f>
        <v>2137.621730757422</v>
      </c>
      <c r="BV285" s="401">
        <f>BV158</f>
        <v>2257.3245997828362</v>
      </c>
      <c r="BW285" s="122"/>
    </row>
    <row r="286" spans="1:75" s="123" customFormat="1" x14ac:dyDescent="0.5">
      <c r="A286" s="184" t="s">
        <v>1838</v>
      </c>
      <c r="B286" s="489"/>
      <c r="C286" s="403">
        <v>958.46100000000001</v>
      </c>
      <c r="D286" s="403">
        <v>1006.086</v>
      </c>
      <c r="E286" s="403">
        <v>994.42499999999995</v>
      </c>
      <c r="F286" s="403">
        <v>980.70899999999995</v>
      </c>
      <c r="G286" s="118"/>
      <c r="H286" s="118"/>
      <c r="I286" s="118"/>
      <c r="J286" s="118"/>
      <c r="K286" s="403">
        <v>978.00199999999995</v>
      </c>
      <c r="L286" s="118"/>
      <c r="M286" s="118"/>
      <c r="N286" s="118"/>
      <c r="O286" s="118"/>
      <c r="P286" s="403">
        <v>994.65099999999995</v>
      </c>
      <c r="Q286" s="118"/>
      <c r="R286" s="118"/>
      <c r="S286" s="118"/>
      <c r="T286" s="118"/>
      <c r="U286" s="403">
        <v>993.60900000000004</v>
      </c>
      <c r="V286" s="118"/>
      <c r="W286" s="118"/>
      <c r="X286" s="118"/>
      <c r="Y286" s="118"/>
      <c r="Z286" s="403">
        <v>1002.194</v>
      </c>
      <c r="AA286" s="118"/>
      <c r="AB286" s="118"/>
      <c r="AC286" s="118"/>
      <c r="AD286" s="118"/>
      <c r="AE286" s="403">
        <v>1022.434</v>
      </c>
      <c r="AF286" s="302">
        <v>200.977</v>
      </c>
      <c r="AG286" s="302">
        <v>195.178</v>
      </c>
      <c r="AH286" s="302">
        <v>203.93600000000001</v>
      </c>
      <c r="AI286" s="118">
        <f>AJ286-SUM(AF286,AG286,AH286)</f>
        <v>456.03399999999999</v>
      </c>
      <c r="AJ286" s="403">
        <v>1056.125</v>
      </c>
      <c r="AK286" s="302">
        <v>194.89400000000001</v>
      </c>
      <c r="AL286" s="302">
        <v>191.374</v>
      </c>
      <c r="AM286" s="302">
        <v>205.49299999999999</v>
      </c>
      <c r="AN286" s="118">
        <f>AO286-SUM(AK286,AL286,AM286)</f>
        <v>440.60699999999997</v>
      </c>
      <c r="AO286" s="403">
        <v>1032.3679999999999</v>
      </c>
      <c r="AP286" s="302">
        <v>199.30199999999999</v>
      </c>
      <c r="AQ286" s="302">
        <v>243.13300000000001</v>
      </c>
      <c r="AR286" s="302">
        <v>259.72500000000002</v>
      </c>
      <c r="AS286" s="118">
        <f>AT286-SUM(AP286,AQ286,AR286)</f>
        <v>540.11099999999988</v>
      </c>
      <c r="AT286" s="403">
        <v>1242.271</v>
      </c>
      <c r="AU286" s="302">
        <v>265.60700000000003</v>
      </c>
      <c r="AV286" s="302">
        <v>255.45500000000001</v>
      </c>
      <c r="AW286" s="302">
        <v>272.36099999999999</v>
      </c>
      <c r="AX286" s="118">
        <f>AY286-SUM(AU286,AV286,AW286)</f>
        <v>552.42800000000011</v>
      </c>
      <c r="AY286" s="403">
        <v>1345.8510000000001</v>
      </c>
      <c r="AZ286" s="302">
        <v>252.22</v>
      </c>
      <c r="BA286" s="302">
        <v>248.61099999999999</v>
      </c>
      <c r="BB286" s="302">
        <v>261.82</v>
      </c>
      <c r="BC286" s="118">
        <f>BD286-SUM(AZ286,BA286,BB286)</f>
        <v>524</v>
      </c>
      <c r="BD286" s="403">
        <v>1286.6510000000001</v>
      </c>
      <c r="BE286" s="302">
        <v>239.42099999999999</v>
      </c>
      <c r="BF286" s="302">
        <v>244.51300000000001</v>
      </c>
      <c r="BG286" s="302">
        <v>252.40799999999999</v>
      </c>
      <c r="BH286" s="118">
        <f>BI286-SUM(BE286,BF286,BG286)</f>
        <v>523.70300000000009</v>
      </c>
      <c r="BI286" s="403">
        <v>1260.0450000000001</v>
      </c>
      <c r="BJ286" s="1207">
        <v>238.239</v>
      </c>
      <c r="BK286" s="118">
        <f>BK214</f>
        <v>243.15501093582955</v>
      </c>
      <c r="BL286" s="118">
        <f>BL214</f>
        <v>250.34520749981175</v>
      </c>
      <c r="BM286" s="118">
        <f>BM214</f>
        <v>557.50226284517237</v>
      </c>
      <c r="BN286" s="401">
        <f>SUM(BM286,BL286,BK286,BJ286)</f>
        <v>1289.2414812808138</v>
      </c>
      <c r="BO286" s="118">
        <f>BO214</f>
        <v>251.22604617550539</v>
      </c>
      <c r="BP286" s="118">
        <f>BP214</f>
        <v>254.5218990238821</v>
      </c>
      <c r="BQ286" s="118">
        <f>BQ214</f>
        <v>262.04034562828065</v>
      </c>
      <c r="BR286" s="118">
        <f>BR214</f>
        <v>541.84536721612881</v>
      </c>
      <c r="BS286" s="401">
        <f>SUM(BR286,BQ286,BP286,BO286)</f>
        <v>1309.6336580437969</v>
      </c>
      <c r="BT286" s="401">
        <f>BT214</f>
        <v>1407.3636201128818</v>
      </c>
      <c r="BU286" s="401">
        <f>BU214</f>
        <v>1523.2301853326453</v>
      </c>
      <c r="BV286" s="401">
        <f>BV214</f>
        <v>1648.700497999044</v>
      </c>
      <c r="BW286" s="122"/>
    </row>
    <row r="287" spans="1:75" s="123" customFormat="1" hidden="1" outlineLevel="1" x14ac:dyDescent="0.5">
      <c r="A287" s="496" t="s">
        <v>1839</v>
      </c>
      <c r="B287" s="489"/>
      <c r="C287" s="403">
        <v>432.99900000000002</v>
      </c>
      <c r="D287" s="403">
        <v>487.64699999999999</v>
      </c>
      <c r="E287" s="403">
        <v>521.56500000000005</v>
      </c>
      <c r="F287" s="403">
        <v>557.51599999999996</v>
      </c>
      <c r="G287" s="118"/>
      <c r="H287" s="118"/>
      <c r="I287" s="118"/>
      <c r="J287" s="118"/>
      <c r="K287" s="403">
        <v>597.62800000000004</v>
      </c>
      <c r="L287" s="118"/>
      <c r="M287" s="118"/>
      <c r="N287" s="118"/>
      <c r="O287" s="118"/>
      <c r="P287" s="403">
        <v>624.59400000000005</v>
      </c>
      <c r="Q287" s="118"/>
      <c r="R287" s="118"/>
      <c r="S287" s="118"/>
      <c r="T287" s="118"/>
      <c r="U287" s="403">
        <v>640.07299999999998</v>
      </c>
      <c r="V287" s="118"/>
      <c r="W287" s="118"/>
      <c r="X287" s="118"/>
      <c r="Y287" s="118"/>
      <c r="Z287" s="403">
        <v>635.38099999999997</v>
      </c>
      <c r="AA287" s="118"/>
      <c r="AB287" s="118"/>
      <c r="AC287" s="118"/>
      <c r="AD287" s="118"/>
      <c r="AE287" s="403">
        <v>625.91</v>
      </c>
      <c r="AF287" s="118"/>
      <c r="AG287" s="118"/>
      <c r="AH287" s="118"/>
      <c r="AI287" s="118"/>
      <c r="AJ287" s="401"/>
      <c r="AK287" s="118"/>
      <c r="AL287" s="118"/>
      <c r="AM287" s="118"/>
      <c r="AN287" s="118"/>
      <c r="AO287" s="401"/>
      <c r="AP287" s="118"/>
      <c r="AQ287" s="118"/>
      <c r="AR287" s="118"/>
      <c r="AS287" s="118"/>
      <c r="AT287" s="401"/>
      <c r="AU287" s="118"/>
      <c r="AV287" s="118"/>
      <c r="AW287" s="118"/>
      <c r="AX287" s="118"/>
      <c r="AY287" s="401"/>
      <c r="AZ287" s="118"/>
      <c r="BA287" s="118"/>
      <c r="BB287" s="118"/>
      <c r="BC287" s="118"/>
      <c r="BD287" s="401"/>
      <c r="BE287" s="118"/>
      <c r="BF287" s="118"/>
      <c r="BG287" s="118"/>
      <c r="BH287" s="118"/>
      <c r="BI287" s="401"/>
      <c r="BJ287" s="971"/>
      <c r="BK287" s="118"/>
      <c r="BL287" s="118"/>
      <c r="BM287" s="118"/>
      <c r="BN287" s="401"/>
      <c r="BO287" s="118"/>
      <c r="BP287" s="118"/>
      <c r="BQ287" s="118"/>
      <c r="BR287" s="118"/>
      <c r="BS287" s="401"/>
      <c r="BT287" s="401"/>
      <c r="BU287" s="401"/>
      <c r="BV287" s="401"/>
      <c r="BW287" s="122"/>
    </row>
    <row r="288" spans="1:75" s="123" customFormat="1" hidden="1" outlineLevel="1" x14ac:dyDescent="0.5">
      <c r="A288" s="497" t="s">
        <v>1840</v>
      </c>
      <c r="B288" s="486"/>
      <c r="C288" s="408">
        <v>163.24</v>
      </c>
      <c r="D288" s="408">
        <v>197.63499999999999</v>
      </c>
      <c r="E288" s="408">
        <v>212.27</v>
      </c>
      <c r="F288" s="408">
        <v>220.08099999999999</v>
      </c>
      <c r="G288" s="723"/>
      <c r="H288" s="723"/>
      <c r="I288" s="723"/>
      <c r="J288" s="723"/>
      <c r="K288" s="408">
        <v>246.44900000000001</v>
      </c>
      <c r="L288" s="723"/>
      <c r="M288" s="723"/>
      <c r="N288" s="723"/>
      <c r="O288" s="723"/>
      <c r="P288" s="408">
        <v>260.61700000000002</v>
      </c>
      <c r="Q288" s="723"/>
      <c r="R288" s="723"/>
      <c r="S288" s="723"/>
      <c r="T288" s="723"/>
      <c r="U288" s="408">
        <v>253.602</v>
      </c>
      <c r="V288" s="723"/>
      <c r="W288" s="723"/>
      <c r="X288" s="723"/>
      <c r="Y288" s="723"/>
      <c r="Z288" s="408">
        <v>237.81800000000001</v>
      </c>
      <c r="AA288" s="723"/>
      <c r="AB288" s="723"/>
      <c r="AC288" s="723"/>
      <c r="AD288" s="723"/>
      <c r="AE288" s="408">
        <v>234.55799999999999</v>
      </c>
      <c r="AF288" s="723"/>
      <c r="AG288" s="723"/>
      <c r="AH288" s="723"/>
      <c r="AI288" s="723"/>
      <c r="AJ288" s="406"/>
      <c r="AK288" s="723"/>
      <c r="AL288" s="723"/>
      <c r="AM288" s="723"/>
      <c r="AN288" s="723"/>
      <c r="AO288" s="406"/>
      <c r="AP288" s="723"/>
      <c r="AQ288" s="723"/>
      <c r="AR288" s="723"/>
      <c r="AS288" s="723"/>
      <c r="AT288" s="406"/>
      <c r="AU288" s="723"/>
      <c r="AV288" s="723"/>
      <c r="AW288" s="723"/>
      <c r="AX288" s="723"/>
      <c r="AY288" s="406"/>
      <c r="AZ288" s="723"/>
      <c r="BA288" s="723"/>
      <c r="BB288" s="723"/>
      <c r="BC288" s="723"/>
      <c r="BD288" s="406"/>
      <c r="BE288" s="723"/>
      <c r="BF288" s="723"/>
      <c r="BG288" s="723"/>
      <c r="BH288" s="723"/>
      <c r="BI288" s="406"/>
      <c r="BJ288" s="1049"/>
      <c r="BK288" s="723"/>
      <c r="BL288" s="723"/>
      <c r="BM288" s="723"/>
      <c r="BN288" s="406"/>
      <c r="BO288" s="723"/>
      <c r="BP288" s="723"/>
      <c r="BQ288" s="723"/>
      <c r="BR288" s="723"/>
      <c r="BS288" s="406"/>
      <c r="BT288" s="406"/>
      <c r="BU288" s="406"/>
      <c r="BV288" s="406"/>
      <c r="BW288" s="122"/>
    </row>
    <row r="289" spans="1:75" s="123" customFormat="1" collapsed="1" x14ac:dyDescent="0.5">
      <c r="A289" s="184" t="s">
        <v>1841</v>
      </c>
      <c r="B289" s="489"/>
      <c r="C289" s="401">
        <f>SUM(C287:C288)</f>
        <v>596.23900000000003</v>
      </c>
      <c r="D289" s="401">
        <f>SUM(D287:D288)</f>
        <v>685.28199999999993</v>
      </c>
      <c r="E289" s="401">
        <f>SUM(E287:E288)</f>
        <v>733.83500000000004</v>
      </c>
      <c r="F289" s="401">
        <f>SUM(F287:F288)</f>
        <v>777.59699999999998</v>
      </c>
      <c r="G289" s="118"/>
      <c r="H289" s="118"/>
      <c r="I289" s="118"/>
      <c r="J289" s="118"/>
      <c r="K289" s="401">
        <f>SUM(K287:K288)</f>
        <v>844.077</v>
      </c>
      <c r="L289" s="118"/>
      <c r="M289" s="118"/>
      <c r="N289" s="118"/>
      <c r="O289" s="118"/>
      <c r="P289" s="401">
        <f>SUM(P287:P288)</f>
        <v>885.21100000000001</v>
      </c>
      <c r="Q289" s="118"/>
      <c r="R289" s="118"/>
      <c r="S289" s="118"/>
      <c r="T289" s="118"/>
      <c r="U289" s="401">
        <f>SUM(U287:U288)</f>
        <v>893.67499999999995</v>
      </c>
      <c r="V289" s="118"/>
      <c r="W289" s="118"/>
      <c r="X289" s="118"/>
      <c r="Y289" s="118"/>
      <c r="Z289" s="401">
        <f>SUM(Z287:Z288)</f>
        <v>873.19899999999996</v>
      </c>
      <c r="AA289" s="118"/>
      <c r="AB289" s="118"/>
      <c r="AC289" s="118"/>
      <c r="AD289" s="118"/>
      <c r="AE289" s="401">
        <f>SUM(AE287:AE288)</f>
        <v>860.46799999999996</v>
      </c>
      <c r="AF289" s="302">
        <v>180.39599999999999</v>
      </c>
      <c r="AG289" s="302">
        <v>213.80699999999999</v>
      </c>
      <c r="AH289" s="302">
        <v>227.33099999999999</v>
      </c>
      <c r="AI289" s="118">
        <f>AJ289-SUM(AF289,AG289,AH289)</f>
        <v>274.22799999999995</v>
      </c>
      <c r="AJ289" s="403">
        <v>895.76199999999994</v>
      </c>
      <c r="AK289" s="302">
        <v>177.04599999999999</v>
      </c>
      <c r="AL289" s="302">
        <v>227.85300000000001</v>
      </c>
      <c r="AM289" s="302">
        <v>228.05099999999999</v>
      </c>
      <c r="AN289" s="118">
        <f>AO289-SUM(AK289,AL289,AM289)</f>
        <v>275.61099999999999</v>
      </c>
      <c r="AO289" s="403">
        <v>908.56100000000004</v>
      </c>
      <c r="AP289" s="302">
        <v>188.55199999999999</v>
      </c>
      <c r="AQ289" s="302">
        <v>235.98699999999999</v>
      </c>
      <c r="AR289" s="302">
        <v>277.59800000000001</v>
      </c>
      <c r="AS289" s="118">
        <f>AT289-SUM(AP289,AQ289,AR289)</f>
        <v>340.39400000000001</v>
      </c>
      <c r="AT289" s="403">
        <v>1042.5309999999999</v>
      </c>
      <c r="AU289" s="302">
        <v>236.06700000000001</v>
      </c>
      <c r="AV289" s="302">
        <v>273.93700000000001</v>
      </c>
      <c r="AW289" s="302">
        <v>316.41699999999997</v>
      </c>
      <c r="AX289" s="118">
        <f>AY289-SUM(AU289,AV289,AW289)</f>
        <v>313.47199999999998</v>
      </c>
      <c r="AY289" s="403">
        <v>1139.893</v>
      </c>
      <c r="AZ289" s="302">
        <v>226.96899999999999</v>
      </c>
      <c r="BA289" s="302">
        <v>284.16199999999998</v>
      </c>
      <c r="BB289" s="302">
        <v>299.11200000000002</v>
      </c>
      <c r="BC289" s="118">
        <f>BD289-SUM(AZ289,BA289,BB289)</f>
        <v>322.69399999999996</v>
      </c>
      <c r="BD289" s="403">
        <v>1132.9369999999999</v>
      </c>
      <c r="BE289" s="302">
        <v>216.221</v>
      </c>
      <c r="BF289" s="302">
        <v>255.98699999999999</v>
      </c>
      <c r="BG289" s="302">
        <v>276.71499999999997</v>
      </c>
      <c r="BH289" s="118">
        <f>BI289-SUM(BE289,BF289,BG289)</f>
        <v>311.54700000000003</v>
      </c>
      <c r="BI289" s="403">
        <v>1060.47</v>
      </c>
      <c r="BJ289" s="1207">
        <v>221.80199999999999</v>
      </c>
      <c r="BK289" s="118">
        <f>BK239</f>
        <v>252.14719499999998</v>
      </c>
      <c r="BL289" s="118">
        <f>BL239</f>
        <v>272.56427499999995</v>
      </c>
      <c r="BM289" s="118">
        <f>BM239</f>
        <v>306.87379500000003</v>
      </c>
      <c r="BN289" s="401">
        <f>SUM(BJ289,BK289,BL289,BM289)</f>
        <v>1053.3872649999998</v>
      </c>
      <c r="BO289" s="118">
        <f>BO239</f>
        <v>231.78308999999999</v>
      </c>
      <c r="BP289" s="118">
        <f>BP239</f>
        <v>271.05823462499995</v>
      </c>
      <c r="BQ289" s="118">
        <f>BQ239</f>
        <v>284.82966737499993</v>
      </c>
      <c r="BR289" s="118">
        <f>BR239</f>
        <v>320.68311577500003</v>
      </c>
      <c r="BS289" s="401">
        <f>SUM(BO289,BP289,BQ289,BR289)</f>
        <v>1108.3541077749999</v>
      </c>
      <c r="BT289" s="401">
        <f>BT239</f>
        <v>1152.6882720859999</v>
      </c>
      <c r="BU289" s="401">
        <f>BU239</f>
        <v>1198.7958029694398</v>
      </c>
      <c r="BV289" s="401">
        <f>BV239</f>
        <v>1246.7476350882175</v>
      </c>
      <c r="BW289" s="122"/>
    </row>
    <row r="290" spans="1:75" s="123" customFormat="1" x14ac:dyDescent="0.5">
      <c r="A290" s="445" t="s">
        <v>1842</v>
      </c>
      <c r="B290" s="486"/>
      <c r="C290" s="408">
        <v>32.109000000000002</v>
      </c>
      <c r="D290" s="408">
        <v>41.825000000000003</v>
      </c>
      <c r="E290" s="408">
        <v>55.808</v>
      </c>
      <c r="F290" s="408">
        <v>101.468</v>
      </c>
      <c r="G290" s="723"/>
      <c r="H290" s="723"/>
      <c r="I290" s="723"/>
      <c r="J290" s="723"/>
      <c r="K290" s="408">
        <v>123.527</v>
      </c>
      <c r="L290" s="723"/>
      <c r="M290" s="723"/>
      <c r="N290" s="723"/>
      <c r="O290" s="723"/>
      <c r="P290" s="408">
        <v>127.452</v>
      </c>
      <c r="Q290" s="723"/>
      <c r="R290" s="723"/>
      <c r="S290" s="723"/>
      <c r="T290" s="723"/>
      <c r="U290" s="408">
        <v>193.619</v>
      </c>
      <c r="V290" s="723"/>
      <c r="W290" s="723"/>
      <c r="X290" s="723"/>
      <c r="Y290" s="723"/>
      <c r="Z290" s="408">
        <v>212.63300000000001</v>
      </c>
      <c r="AA290" s="723"/>
      <c r="AB290" s="723"/>
      <c r="AC290" s="723"/>
      <c r="AD290" s="723"/>
      <c r="AE290" s="408">
        <v>228.816</v>
      </c>
      <c r="AF290" s="357">
        <v>57.905999999999999</v>
      </c>
      <c r="AG290" s="357">
        <v>58.515999999999998</v>
      </c>
      <c r="AH290" s="357">
        <v>53.148000000000003</v>
      </c>
      <c r="AI290" s="723">
        <f>AJ290-SUM(AF290,AG290,AH290)</f>
        <v>79.864000000000004</v>
      </c>
      <c r="AJ290" s="408">
        <v>249.434</v>
      </c>
      <c r="AK290" s="357">
        <v>67.582999999999998</v>
      </c>
      <c r="AL290" s="357">
        <v>69.165999999999997</v>
      </c>
      <c r="AM290" s="357">
        <v>61.601999999999997</v>
      </c>
      <c r="AN290" s="723">
        <f>AO290-SUM(AK290,AL290,AM290)</f>
        <v>77.793999999999983</v>
      </c>
      <c r="AO290" s="408">
        <v>276.14499999999998</v>
      </c>
      <c r="AP290" s="357">
        <v>52.304000000000002</v>
      </c>
      <c r="AQ290" s="357">
        <v>67.828999999999994</v>
      </c>
      <c r="AR290" s="357">
        <v>68.224999999999994</v>
      </c>
      <c r="AS290" s="723">
        <f>AT290-SUM(AP290,AQ290,AR290)</f>
        <v>101.53399999999999</v>
      </c>
      <c r="AT290" s="408">
        <v>289.892</v>
      </c>
      <c r="AU290" s="357">
        <v>90.983000000000004</v>
      </c>
      <c r="AV290" s="357">
        <v>106.988</v>
      </c>
      <c r="AW290" s="357">
        <v>90.361000000000004</v>
      </c>
      <c r="AX290" s="723">
        <f>AY290-SUM(AU290,AV290,AW290)</f>
        <v>116.625</v>
      </c>
      <c r="AY290" s="408">
        <v>404.95699999999999</v>
      </c>
      <c r="AZ290" s="357">
        <v>101.099</v>
      </c>
      <c r="BA290" s="357">
        <v>117.739</v>
      </c>
      <c r="BB290" s="357">
        <v>96.795000000000002</v>
      </c>
      <c r="BC290" s="723">
        <f>BD290-SUM(AZ290,BA290,BB290)</f>
        <v>105.54399999999998</v>
      </c>
      <c r="BD290" s="408">
        <v>421.17700000000002</v>
      </c>
      <c r="BE290" s="357">
        <v>79.701999999999998</v>
      </c>
      <c r="BF290" s="357">
        <v>91.7</v>
      </c>
      <c r="BG290" s="357">
        <v>80.691999999999993</v>
      </c>
      <c r="BH290" s="723">
        <f>BI290-SUM(BE290,BF290,BG290)</f>
        <v>117.065</v>
      </c>
      <c r="BI290" s="408">
        <v>369.15899999999999</v>
      </c>
      <c r="BJ290" s="1208">
        <v>92.662999999999997</v>
      </c>
      <c r="BK290" s="723">
        <f>BK262</f>
        <v>96.285000000000011</v>
      </c>
      <c r="BL290" s="723">
        <f>BL262</f>
        <v>84.726599999999991</v>
      </c>
      <c r="BM290" s="723">
        <f>BM262</f>
        <v>122.91825</v>
      </c>
      <c r="BN290" s="406">
        <f>SUM(BM290,BL290,BK290,BJ290)</f>
        <v>396.59285</v>
      </c>
      <c r="BO290" s="723">
        <f>BO262</f>
        <v>97.296149999999997</v>
      </c>
      <c r="BP290" s="723">
        <f>BP262</f>
        <v>101.09925000000001</v>
      </c>
      <c r="BQ290" s="723">
        <f>BQ262</f>
        <v>88.96293</v>
      </c>
      <c r="BR290" s="723">
        <f>BR262</f>
        <v>129.06416250000001</v>
      </c>
      <c r="BS290" s="406">
        <f>SUM(BR290,BQ290,BP290,BO290)</f>
        <v>416.42249250000003</v>
      </c>
      <c r="BT290" s="406">
        <f>BT262</f>
        <v>437.24361712500007</v>
      </c>
      <c r="BU290" s="406">
        <f>BU262</f>
        <v>459.10579798125008</v>
      </c>
      <c r="BV290" s="406">
        <f>BV262</f>
        <v>482.06108788031258</v>
      </c>
      <c r="BW290" s="122"/>
    </row>
    <row r="291" spans="1:75" s="198" customFormat="1" ht="14.25" x14ac:dyDescent="0.45">
      <c r="A291" s="192" t="s">
        <v>187</v>
      </c>
      <c r="B291" s="495"/>
      <c r="C291" s="518">
        <f>SUM(C284:C286)+C289+C290</f>
        <v>3102.7039999999997</v>
      </c>
      <c r="D291" s="518">
        <f>SUM(D284:D286)+D289+D290</f>
        <v>3504.1579999999994</v>
      </c>
      <c r="E291" s="518">
        <f>SUM(E284:E286)+E289+E290</f>
        <v>3720.895</v>
      </c>
      <c r="F291" s="518">
        <f>SUM(F284:F286)+F289+F290</f>
        <v>4042.87</v>
      </c>
      <c r="G291" s="327">
        <f>G749</f>
        <v>887.80799999999999</v>
      </c>
      <c r="H291" s="327">
        <f>H749</f>
        <v>982.20899999999995</v>
      </c>
      <c r="I291" s="327">
        <f>I749</f>
        <v>1051.548</v>
      </c>
      <c r="J291" s="327">
        <f>J749</f>
        <v>1466.3240000000001</v>
      </c>
      <c r="K291" s="518">
        <f>SUM(K284:K286)+K289+K290</f>
        <v>4387.8890000000001</v>
      </c>
      <c r="L291" s="327">
        <f>L749</f>
        <v>974.33</v>
      </c>
      <c r="M291" s="327">
        <f>M749</f>
        <v>1039.1020000000001</v>
      </c>
      <c r="N291" s="327">
        <f>N749</f>
        <v>1143.162</v>
      </c>
      <c r="O291" s="327">
        <f>O749</f>
        <v>1542.125</v>
      </c>
      <c r="P291" s="518">
        <f>SUM(P284:P286)+P289+P290</f>
        <v>4698.7190000000001</v>
      </c>
      <c r="Q291" s="327">
        <f>Q749</f>
        <v>1030.6759999999999</v>
      </c>
      <c r="R291" s="327">
        <f>R749</f>
        <v>1127.028</v>
      </c>
      <c r="S291" s="327">
        <f>S749</f>
        <v>1232.0820000000001</v>
      </c>
      <c r="T291" s="327">
        <f>T749</f>
        <v>1586.3040000000001</v>
      </c>
      <c r="U291" s="518">
        <f>SUM(U284:U286)+U289+U290</f>
        <v>4976.0899999999992</v>
      </c>
      <c r="V291" s="327">
        <f>V749</f>
        <v>1097.817</v>
      </c>
      <c r="W291" s="327">
        <f>W749</f>
        <v>1159.029</v>
      </c>
      <c r="X291" s="327">
        <f>X749</f>
        <v>1245.385</v>
      </c>
      <c r="Y291" s="327">
        <f>Y749</f>
        <v>1581.5809999999999</v>
      </c>
      <c r="Z291" s="518">
        <f>SUM(Z284:Z286)+Z289+Z290</f>
        <v>5083.8119999999999</v>
      </c>
      <c r="AA291" s="327">
        <f>AA749</f>
        <v>1111.5070000000001</v>
      </c>
      <c r="AB291" s="327">
        <f>AB749</f>
        <v>1201.606</v>
      </c>
      <c r="AC291" s="327">
        <f>AC749</f>
        <v>1299.336</v>
      </c>
      <c r="AD291" s="327">
        <f>AD749</f>
        <v>1679.91</v>
      </c>
      <c r="AE291" s="518">
        <f t="shared" ref="AE291:AR291" si="700">SUM(AE284:AE286)+AE289+AE290</f>
        <v>5292.3589999999995</v>
      </c>
      <c r="AF291" s="327">
        <f t="shared" si="700"/>
        <v>1203</v>
      </c>
      <c r="AG291" s="327">
        <f t="shared" si="700"/>
        <v>1275.174</v>
      </c>
      <c r="AH291" s="327">
        <f t="shared" si="700"/>
        <v>1356.9829999999997</v>
      </c>
      <c r="AI291" s="327">
        <f t="shared" si="700"/>
        <v>1836.4360000000001</v>
      </c>
      <c r="AJ291" s="518">
        <f t="shared" si="700"/>
        <v>5671.5929999999998</v>
      </c>
      <c r="AK291" s="327">
        <f t="shared" si="700"/>
        <v>1241.1320000000001</v>
      </c>
      <c r="AL291" s="327">
        <f t="shared" si="700"/>
        <v>1370.8140000000001</v>
      </c>
      <c r="AM291" s="327">
        <f t="shared" si="700"/>
        <v>1442.472</v>
      </c>
      <c r="AN291" s="327">
        <f t="shared" si="700"/>
        <v>1843.5899999999997</v>
      </c>
      <c r="AO291" s="518">
        <f t="shared" si="700"/>
        <v>5898.0079999999998</v>
      </c>
      <c r="AP291" s="327">
        <f t="shared" si="700"/>
        <v>1235.2030000000002</v>
      </c>
      <c r="AQ291" s="327">
        <f t="shared" si="700"/>
        <v>1490.777</v>
      </c>
      <c r="AR291" s="327">
        <f t="shared" si="700"/>
        <v>1764.5360000000001</v>
      </c>
      <c r="AS291" s="327">
        <f t="shared" ref="AS291:BB291" si="701">SUM(AS284:AS286)+AS289+AS290</f>
        <v>2292.6729999999998</v>
      </c>
      <c r="AT291" s="518">
        <f t="shared" si="701"/>
        <v>6783.1889999999994</v>
      </c>
      <c r="AU291" s="327">
        <f t="shared" si="701"/>
        <v>1749.0289999999998</v>
      </c>
      <c r="AV291" s="327">
        <f t="shared" si="701"/>
        <v>1948.3389999999997</v>
      </c>
      <c r="AW291" s="327">
        <f t="shared" si="701"/>
        <v>2047.539</v>
      </c>
      <c r="AX291" s="327">
        <f t="shared" si="701"/>
        <v>2501.0289999999995</v>
      </c>
      <c r="AY291" s="518">
        <f t="shared" si="701"/>
        <v>8245.9359999999997</v>
      </c>
      <c r="AZ291" s="327">
        <f t="shared" si="701"/>
        <v>1891.2269999999999</v>
      </c>
      <c r="BA291" s="327">
        <f t="shared" si="701"/>
        <v>2137.5369999999998</v>
      </c>
      <c r="BB291" s="327">
        <f t="shared" si="701"/>
        <v>2192.5740000000001</v>
      </c>
      <c r="BC291" s="327">
        <f t="shared" ref="BC291:BI291" si="702">SUM(BC284:BC286)+BC289+BC290</f>
        <v>2453.0790000000002</v>
      </c>
      <c r="BD291" s="518">
        <f t="shared" si="702"/>
        <v>8674.4169999999995</v>
      </c>
      <c r="BE291" s="327">
        <f t="shared" si="702"/>
        <v>1755.451</v>
      </c>
      <c r="BF291" s="327">
        <f t="shared" si="702"/>
        <v>1862.614</v>
      </c>
      <c r="BG291" s="295">
        <f t="shared" si="702"/>
        <v>1853.6499999999999</v>
      </c>
      <c r="BH291" s="327">
        <f t="shared" si="702"/>
        <v>2278.9370000000004</v>
      </c>
      <c r="BI291" s="518">
        <f t="shared" si="702"/>
        <v>7750.652</v>
      </c>
      <c r="BJ291" s="1026">
        <f>SUM(BJ284:BJ286)+BJ289+BJ290</f>
        <v>1660.348</v>
      </c>
      <c r="BK291" s="327">
        <f t="shared" ref="BK291:BV291" si="703">SUM(BK284:BK286)+BK289+BK290</f>
        <v>1848.8693661915622</v>
      </c>
      <c r="BL291" s="327">
        <f t="shared" si="703"/>
        <v>1831.1608887139548</v>
      </c>
      <c r="BM291" s="327">
        <f t="shared" si="703"/>
        <v>2383.6962406606276</v>
      </c>
      <c r="BN291" s="518">
        <f t="shared" si="703"/>
        <v>7724.0744955661439</v>
      </c>
      <c r="BO291" s="327">
        <f t="shared" si="703"/>
        <v>1738.1860565485274</v>
      </c>
      <c r="BP291" s="327">
        <f t="shared" si="703"/>
        <v>1933.4025273877753</v>
      </c>
      <c r="BQ291" s="327">
        <f t="shared" si="703"/>
        <v>1907.2110214273439</v>
      </c>
      <c r="BR291" s="327">
        <f t="shared" si="703"/>
        <v>2338.313228119287</v>
      </c>
      <c r="BS291" s="518">
        <f t="shared" si="703"/>
        <v>7917.1128334829336</v>
      </c>
      <c r="BT291" s="518">
        <f t="shared" si="703"/>
        <v>8429.2975574342017</v>
      </c>
      <c r="BU291" s="518">
        <f t="shared" si="703"/>
        <v>9034.9707388991592</v>
      </c>
      <c r="BV291" s="518">
        <f t="shared" si="703"/>
        <v>9685.510592576069</v>
      </c>
      <c r="BW291" s="197"/>
    </row>
    <row r="292" spans="1:75" s="198" customFormat="1" ht="14.25" hidden="1" outlineLevel="1" x14ac:dyDescent="0.45">
      <c r="A292" s="206"/>
      <c r="B292" s="485"/>
      <c r="C292" s="397"/>
      <c r="D292" s="397"/>
      <c r="E292" s="397"/>
      <c r="F292" s="397"/>
      <c r="G292" s="295"/>
      <c r="H292" s="295"/>
      <c r="I292" s="295"/>
      <c r="J292" s="295"/>
      <c r="K292" s="397"/>
      <c r="L292" s="295"/>
      <c r="M292" s="295"/>
      <c r="N292" s="295"/>
      <c r="O292" s="295"/>
      <c r="P292" s="397"/>
      <c r="Q292" s="295"/>
      <c r="R292" s="295"/>
      <c r="S292" s="295"/>
      <c r="T292" s="295"/>
      <c r="U292" s="397"/>
      <c r="V292" s="295"/>
      <c r="W292" s="295"/>
      <c r="X292" s="295"/>
      <c r="Y292" s="295"/>
      <c r="Z292" s="397"/>
      <c r="AA292" s="295"/>
      <c r="AB292" s="295"/>
      <c r="AC292" s="295"/>
      <c r="AD292" s="295"/>
      <c r="AE292" s="397"/>
      <c r="AF292" s="295"/>
      <c r="AG292" s="295"/>
      <c r="AH292" s="295"/>
      <c r="AI292" s="295"/>
      <c r="AJ292" s="397"/>
      <c r="AK292" s="295"/>
      <c r="AL292" s="295"/>
      <c r="AM292" s="295"/>
      <c r="AN292" s="295"/>
      <c r="AO292" s="397"/>
      <c r="AP292" s="295"/>
      <c r="AQ292" s="295"/>
      <c r="AR292" s="295"/>
      <c r="AS292" s="295"/>
      <c r="AT292" s="397"/>
      <c r="AU292" s="295"/>
      <c r="AV292" s="295"/>
      <c r="AW292" s="295"/>
      <c r="AX292" s="295"/>
      <c r="AY292" s="397"/>
      <c r="AZ292" s="295"/>
      <c r="BA292" s="295"/>
      <c r="BB292" s="295"/>
      <c r="BC292" s="295"/>
      <c r="BD292" s="397"/>
      <c r="BE292" s="295"/>
      <c r="BF292" s="295"/>
      <c r="BG292" s="295"/>
      <c r="BH292" s="295"/>
      <c r="BI292" s="397"/>
      <c r="BJ292" s="1030"/>
      <c r="BK292" s="295"/>
      <c r="BL292" s="295"/>
      <c r="BM292" s="295"/>
      <c r="BN292" s="397"/>
      <c r="BO292" s="295"/>
      <c r="BP292" s="295"/>
      <c r="BQ292" s="295"/>
      <c r="BR292" s="295"/>
      <c r="BS292" s="397"/>
      <c r="BT292" s="397"/>
      <c r="BU292" s="397"/>
      <c r="BV292" s="397"/>
      <c r="BW292" s="197"/>
    </row>
    <row r="293" spans="1:75" s="217" customFormat="1" hidden="1" outlineLevel="1" x14ac:dyDescent="0.5">
      <c r="A293" s="526" t="s">
        <v>1843</v>
      </c>
      <c r="B293" s="493"/>
      <c r="C293" s="423">
        <f t="shared" ref="C293:F299" si="704">C284/C$291</f>
        <v>0.42038138346422993</v>
      </c>
      <c r="D293" s="423">
        <f t="shared" si="704"/>
        <v>0.43121029359977497</v>
      </c>
      <c r="E293" s="423">
        <f t="shared" si="704"/>
        <v>0.4302317050064568</v>
      </c>
      <c r="F293" s="423">
        <f t="shared" si="704"/>
        <v>0.43360211928654646</v>
      </c>
      <c r="G293" s="422"/>
      <c r="H293" s="422"/>
      <c r="I293" s="422"/>
      <c r="J293" s="422"/>
      <c r="K293" s="423">
        <f>K284/K$291</f>
        <v>0.43551192840110586</v>
      </c>
      <c r="L293" s="422"/>
      <c r="M293" s="422"/>
      <c r="N293" s="422"/>
      <c r="O293" s="422"/>
      <c r="P293" s="423">
        <f>P284/P$291</f>
        <v>0.43040049851885159</v>
      </c>
      <c r="Q293" s="422"/>
      <c r="R293" s="422"/>
      <c r="S293" s="422"/>
      <c r="T293" s="422"/>
      <c r="U293" s="423">
        <f>U284/U$291</f>
        <v>0.41680335363709264</v>
      </c>
      <c r="V293" s="422"/>
      <c r="W293" s="422"/>
      <c r="X293" s="422"/>
      <c r="Y293" s="422"/>
      <c r="Z293" s="423">
        <f>Z284/Z$291</f>
        <v>0.39816932648178183</v>
      </c>
      <c r="AA293" s="422"/>
      <c r="AB293" s="422"/>
      <c r="AC293" s="422"/>
      <c r="AD293" s="422"/>
      <c r="AE293" s="423">
        <f t="shared" ref="AE293:BV299" si="705">AE284/AE$291</f>
        <v>0.39043118579068431</v>
      </c>
      <c r="AF293" s="422">
        <f t="shared" si="705"/>
        <v>0.40762427265170409</v>
      </c>
      <c r="AG293" s="422">
        <f t="shared" si="705"/>
        <v>0.39716932748001449</v>
      </c>
      <c r="AH293" s="422">
        <f t="shared" si="705"/>
        <v>0.39312872747853156</v>
      </c>
      <c r="AI293" s="422">
        <f t="shared" si="705"/>
        <v>0.35233626437294852</v>
      </c>
      <c r="AJ293" s="423">
        <f t="shared" si="705"/>
        <v>0.38390342889555018</v>
      </c>
      <c r="AK293" s="422">
        <f t="shared" si="705"/>
        <v>0.39651382769922938</v>
      </c>
      <c r="AL293" s="422">
        <f t="shared" si="705"/>
        <v>0.38287251224454955</v>
      </c>
      <c r="AM293" s="422">
        <f t="shared" si="705"/>
        <v>0.38613227847750253</v>
      </c>
      <c r="AN293" s="422">
        <f t="shared" si="705"/>
        <v>0.34738689187943089</v>
      </c>
      <c r="AO293" s="423">
        <f t="shared" si="705"/>
        <v>0.37544828694705062</v>
      </c>
      <c r="AP293" s="422">
        <f t="shared" si="705"/>
        <v>0.38828840279694909</v>
      </c>
      <c r="AQ293" s="422">
        <f t="shared" si="705"/>
        <v>0.3778405489218038</v>
      </c>
      <c r="AR293" s="422">
        <f t="shared" si="705"/>
        <v>0.38765375146780795</v>
      </c>
      <c r="AS293" s="422">
        <f t="shared" si="705"/>
        <v>0.3486415201819012</v>
      </c>
      <c r="AT293" s="423">
        <f t="shared" si="705"/>
        <v>0.37242674500150302</v>
      </c>
      <c r="AU293" s="422">
        <f t="shared" si="705"/>
        <v>0.38824685010940357</v>
      </c>
      <c r="AV293" s="422">
        <f t="shared" si="705"/>
        <v>0.37587042090724465</v>
      </c>
      <c r="AW293" s="422">
        <f t="shared" si="705"/>
        <v>0.38520975668839519</v>
      </c>
      <c r="AX293" s="422">
        <f t="shared" si="705"/>
        <v>0.36807929856071259</v>
      </c>
      <c r="AY293" s="423">
        <f t="shared" si="705"/>
        <v>0.37845151842071051</v>
      </c>
      <c r="AZ293" s="422">
        <f t="shared" si="705"/>
        <v>0.40959969374379701</v>
      </c>
      <c r="BA293" s="422">
        <f t="shared" si="705"/>
        <v>0.4112710095778459</v>
      </c>
      <c r="BB293" s="422">
        <f t="shared" si="705"/>
        <v>0.42645995072458215</v>
      </c>
      <c r="BC293" s="422">
        <f t="shared" si="705"/>
        <v>0.39408555533678302</v>
      </c>
      <c r="BD293" s="423">
        <f t="shared" si="705"/>
        <v>0.40988587475100635</v>
      </c>
      <c r="BE293" s="422">
        <f t="shared" si="705"/>
        <v>0.43733148917286785</v>
      </c>
      <c r="BF293" s="422">
        <f t="shared" si="705"/>
        <v>0.42215295278570869</v>
      </c>
      <c r="BG293" s="422">
        <f t="shared" si="705"/>
        <v>0.41942923421357864</v>
      </c>
      <c r="BH293" s="422">
        <f t="shared" si="705"/>
        <v>0.38380613417571435</v>
      </c>
      <c r="BI293" s="423">
        <f t="shared" si="705"/>
        <v>0.41366416657592159</v>
      </c>
      <c r="BJ293" s="1034">
        <f>BJ284/BJ$291</f>
        <v>0.40794761098275789</v>
      </c>
      <c r="BK293" s="422">
        <f t="shared" si="705"/>
        <v>0.42526002446204936</v>
      </c>
      <c r="BL293" s="422">
        <f t="shared" si="705"/>
        <v>0.41980712920776403</v>
      </c>
      <c r="BM293" s="422">
        <f t="shared" si="705"/>
        <v>0.38684653547980707</v>
      </c>
      <c r="BN293" s="423">
        <f t="shared" si="705"/>
        <v>0.4083912269164226</v>
      </c>
      <c r="BO293" s="422">
        <f t="shared" si="705"/>
        <v>0.40616407986320308</v>
      </c>
      <c r="BP293" s="422">
        <f t="shared" si="705"/>
        <v>0.42097435521612175</v>
      </c>
      <c r="BQ293" s="422">
        <f t="shared" si="705"/>
        <v>0.41713476457966597</v>
      </c>
      <c r="BR293" s="422">
        <f t="shared" si="705"/>
        <v>0.37889081154733728</v>
      </c>
      <c r="BS293" s="423">
        <f t="shared" si="705"/>
        <v>0.40436849986156037</v>
      </c>
      <c r="BT293" s="423">
        <f t="shared" si="705"/>
        <v>0.40446710711123735</v>
      </c>
      <c r="BU293" s="423">
        <f t="shared" si="705"/>
        <v>0.41131480435886769</v>
      </c>
      <c r="BV293" s="423">
        <f t="shared" si="705"/>
        <v>0.41822026140062213</v>
      </c>
      <c r="BW293" s="216"/>
    </row>
    <row r="294" spans="1:75" s="217" customFormat="1" hidden="1" outlineLevel="1" x14ac:dyDescent="0.5">
      <c r="A294" s="526" t="s">
        <v>1844</v>
      </c>
      <c r="B294" s="493"/>
      <c r="C294" s="423">
        <f t="shared" si="704"/>
        <v>6.819084256828882E-2</v>
      </c>
      <c r="D294" s="423">
        <f t="shared" si="704"/>
        <v>7.4179303558800716E-2</v>
      </c>
      <c r="E294" s="423">
        <f t="shared" si="704"/>
        <v>9.029547998532611E-2</v>
      </c>
      <c r="F294" s="423">
        <f t="shared" si="704"/>
        <v>0.10638457333527915</v>
      </c>
      <c r="G294" s="422"/>
      <c r="H294" s="422"/>
      <c r="I294" s="422"/>
      <c r="J294" s="422"/>
      <c r="K294" s="423">
        <f>K285/K$291</f>
        <v>0.1210844212330804</v>
      </c>
      <c r="L294" s="422"/>
      <c r="M294" s="422"/>
      <c r="N294" s="422"/>
      <c r="O294" s="422"/>
      <c r="P294" s="423">
        <f>P285/P$291</f>
        <v>0.14239498041913123</v>
      </c>
      <c r="Q294" s="422"/>
      <c r="R294" s="422"/>
      <c r="S294" s="422"/>
      <c r="T294" s="422"/>
      <c r="U294" s="423">
        <f>U285/U$291</f>
        <v>0.16501630798478326</v>
      </c>
      <c r="V294" s="422"/>
      <c r="W294" s="422"/>
      <c r="X294" s="422"/>
      <c r="Y294" s="422"/>
      <c r="Z294" s="423">
        <f>Z285/Z$291</f>
        <v>0.19111013546527683</v>
      </c>
      <c r="AA294" s="422"/>
      <c r="AB294" s="422"/>
      <c r="AC294" s="422"/>
      <c r="AD294" s="422"/>
      <c r="AE294" s="423">
        <f t="shared" si="705"/>
        <v>0.21055619998567748</v>
      </c>
      <c r="AF294" s="422">
        <f t="shared" si="705"/>
        <v>0.22722277639235244</v>
      </c>
      <c r="AG294" s="422">
        <f t="shared" si="705"/>
        <v>0.23621325403435142</v>
      </c>
      <c r="AH294" s="422">
        <f t="shared" si="705"/>
        <v>0.24989185568279046</v>
      </c>
      <c r="AI294" s="422">
        <f t="shared" si="705"/>
        <v>0.20652339640477535</v>
      </c>
      <c r="AJ294" s="423">
        <f t="shared" si="705"/>
        <v>0.22796558215654758</v>
      </c>
      <c r="AK294" s="422">
        <f t="shared" si="705"/>
        <v>0.24935542714231845</v>
      </c>
      <c r="AL294" s="422">
        <f t="shared" si="705"/>
        <v>0.26084793414715635</v>
      </c>
      <c r="AM294" s="422">
        <f t="shared" si="705"/>
        <v>0.27060559927679706</v>
      </c>
      <c r="AN294" s="422">
        <f t="shared" si="705"/>
        <v>0.22192515689497119</v>
      </c>
      <c r="AO294" s="423">
        <f t="shared" si="705"/>
        <v>0.24864954404944858</v>
      </c>
      <c r="AP294" s="422">
        <f t="shared" si="705"/>
        <v>0.25536693158938245</v>
      </c>
      <c r="AQ294" s="422">
        <f t="shared" si="705"/>
        <v>0.25527090906285782</v>
      </c>
      <c r="AR294" s="422">
        <f t="shared" si="705"/>
        <v>0.26916934536898085</v>
      </c>
      <c r="AS294" s="422">
        <f t="shared" si="705"/>
        <v>0.22302046563116498</v>
      </c>
      <c r="AT294" s="423">
        <f t="shared" si="705"/>
        <v>0.2480034096057179</v>
      </c>
      <c r="AU294" s="422">
        <f t="shared" si="705"/>
        <v>0.27290399415904487</v>
      </c>
      <c r="AV294" s="422">
        <f t="shared" si="705"/>
        <v>0.29750264199402671</v>
      </c>
      <c r="AW294" s="422">
        <f t="shared" si="705"/>
        <v>0.2831047418388612</v>
      </c>
      <c r="AX294" s="422">
        <f t="shared" si="705"/>
        <v>0.23907239780106498</v>
      </c>
      <c r="AY294" s="423">
        <f t="shared" si="705"/>
        <v>0.27098779325961297</v>
      </c>
      <c r="AZ294" s="422">
        <f t="shared" si="705"/>
        <v>0.28356881537753004</v>
      </c>
      <c r="BA294" s="422">
        <f t="shared" si="705"/>
        <v>0.2844011589039161</v>
      </c>
      <c r="BB294" s="422">
        <f t="shared" si="705"/>
        <v>0.27356066431509268</v>
      </c>
      <c r="BC294" s="422">
        <f t="shared" si="705"/>
        <v>0.21773371342708486</v>
      </c>
      <c r="BD294" s="423">
        <f t="shared" si="705"/>
        <v>0.26262641051266039</v>
      </c>
      <c r="BE294" s="422">
        <f t="shared" si="705"/>
        <v>0.25770756346944457</v>
      </c>
      <c r="BF294" s="422">
        <f t="shared" si="705"/>
        <v>0.25990677617584751</v>
      </c>
      <c r="BG294" s="422">
        <f t="shared" si="705"/>
        <v>0.25159010600706716</v>
      </c>
      <c r="BH294" s="422">
        <f t="shared" si="705"/>
        <v>0.19831702236612944</v>
      </c>
      <c r="BI294" s="423">
        <f t="shared" si="705"/>
        <v>0.23931031866738436</v>
      </c>
      <c r="BJ294" s="1034">
        <f>BJ285/BJ$291</f>
        <v>0.25916795756070415</v>
      </c>
      <c r="BK294" s="422">
        <f t="shared" si="705"/>
        <v>0.25476755522876204</v>
      </c>
      <c r="BL294" s="422">
        <f t="shared" si="705"/>
        <v>0.24836179781286413</v>
      </c>
      <c r="BM294" s="422">
        <f t="shared" si="705"/>
        <v>0.19896717223844237</v>
      </c>
      <c r="BN294" s="423">
        <f t="shared" si="705"/>
        <v>0.23697449322866274</v>
      </c>
      <c r="BO294" s="422">
        <f t="shared" si="705"/>
        <v>0.25997909049003126</v>
      </c>
      <c r="BP294" s="422">
        <f t="shared" si="705"/>
        <v>0.25489273672588059</v>
      </c>
      <c r="BQ294" s="422">
        <f t="shared" si="705"/>
        <v>0.24948160043723328</v>
      </c>
      <c r="BR294" s="422">
        <f t="shared" si="705"/>
        <v>0.19704596477211683</v>
      </c>
      <c r="BS294" s="423">
        <f t="shared" si="705"/>
        <v>0.23762090739665748</v>
      </c>
      <c r="BT294" s="423">
        <f t="shared" si="705"/>
        <v>0.23995219486483021</v>
      </c>
      <c r="BU294" s="423">
        <f t="shared" si="705"/>
        <v>0.23659420628271727</v>
      </c>
      <c r="BV294" s="423">
        <f t="shared" si="705"/>
        <v>0.23306201342787983</v>
      </c>
      <c r="BW294" s="216"/>
    </row>
    <row r="295" spans="1:75" s="217" customFormat="1" hidden="1" outlineLevel="1" x14ac:dyDescent="0.5">
      <c r="A295" s="526" t="s">
        <v>1845</v>
      </c>
      <c r="B295" s="493"/>
      <c r="C295" s="423">
        <f t="shared" si="704"/>
        <v>0.30891151717985349</v>
      </c>
      <c r="D295" s="423">
        <f t="shared" si="704"/>
        <v>0.28711205373730297</v>
      </c>
      <c r="E295" s="423">
        <f t="shared" si="704"/>
        <v>0.2672542493136732</v>
      </c>
      <c r="F295" s="423">
        <f t="shared" si="704"/>
        <v>0.24257742643221275</v>
      </c>
      <c r="G295" s="422"/>
      <c r="H295" s="422"/>
      <c r="I295" s="422"/>
      <c r="J295" s="422"/>
      <c r="K295" s="423">
        <f>K286/K$291</f>
        <v>0.22288667739771903</v>
      </c>
      <c r="L295" s="422"/>
      <c r="M295" s="422"/>
      <c r="N295" s="422"/>
      <c r="O295" s="422"/>
      <c r="P295" s="423">
        <f>P286/P$291</f>
        <v>0.21168556791755369</v>
      </c>
      <c r="Q295" s="422"/>
      <c r="R295" s="422"/>
      <c r="S295" s="422"/>
      <c r="T295" s="422"/>
      <c r="U295" s="423">
        <f>U286/U$291</f>
        <v>0.19967665375827209</v>
      </c>
      <c r="V295" s="422"/>
      <c r="W295" s="422"/>
      <c r="X295" s="422"/>
      <c r="Y295" s="422"/>
      <c r="Z295" s="423">
        <f>Z286/Z$291</f>
        <v>0.19713435508630137</v>
      </c>
      <c r="AA295" s="422"/>
      <c r="AB295" s="422"/>
      <c r="AC295" s="422"/>
      <c r="AD295" s="422"/>
      <c r="AE295" s="423">
        <f t="shared" si="705"/>
        <v>0.19319059799231308</v>
      </c>
      <c r="AF295" s="422">
        <f t="shared" si="705"/>
        <v>0.16706317539484622</v>
      </c>
      <c r="AG295" s="422">
        <f t="shared" si="705"/>
        <v>0.15305989613966409</v>
      </c>
      <c r="AH295" s="422">
        <f t="shared" si="705"/>
        <v>0.15028633372709904</v>
      </c>
      <c r="AI295" s="422">
        <f t="shared" si="705"/>
        <v>0.2483255610323474</v>
      </c>
      <c r="AJ295" s="423">
        <f t="shared" si="705"/>
        <v>0.18621311508071894</v>
      </c>
      <c r="AK295" s="422">
        <f t="shared" si="705"/>
        <v>0.15702922815623158</v>
      </c>
      <c r="AL295" s="422">
        <f t="shared" si="705"/>
        <v>0.13960610265141732</v>
      </c>
      <c r="AM295" s="422">
        <f t="shared" si="705"/>
        <v>0.14245891774675695</v>
      </c>
      <c r="AN295" s="422">
        <f t="shared" si="705"/>
        <v>0.23899402795632438</v>
      </c>
      <c r="AO295" s="423">
        <f t="shared" si="705"/>
        <v>0.17503672426351405</v>
      </c>
      <c r="AP295" s="422">
        <f t="shared" si="705"/>
        <v>0.16135161588823857</v>
      </c>
      <c r="AQ295" s="422">
        <f t="shared" si="705"/>
        <v>0.1630914617008446</v>
      </c>
      <c r="AR295" s="422">
        <f t="shared" si="705"/>
        <v>0.14719166965139846</v>
      </c>
      <c r="AS295" s="422">
        <f t="shared" si="705"/>
        <v>0.23558134980435497</v>
      </c>
      <c r="AT295" s="423">
        <f t="shared" si="705"/>
        <v>0.18313967073599161</v>
      </c>
      <c r="AU295" s="422">
        <f t="shared" si="705"/>
        <v>0.15185968900458485</v>
      </c>
      <c r="AV295" s="422">
        <f t="shared" si="705"/>
        <v>0.13111424654539075</v>
      </c>
      <c r="AW295" s="422">
        <f t="shared" si="705"/>
        <v>0.13301871173149815</v>
      </c>
      <c r="AX295" s="422">
        <f t="shared" si="705"/>
        <v>0.2208802856744165</v>
      </c>
      <c r="AY295" s="423">
        <f t="shared" si="705"/>
        <v>0.16321385467944455</v>
      </c>
      <c r="AZ295" s="422">
        <f t="shared" si="705"/>
        <v>0.13336315524260178</v>
      </c>
      <c r="BA295" s="422">
        <f t="shared" si="705"/>
        <v>0.11630722649479285</v>
      </c>
      <c r="BB295" s="422">
        <f t="shared" si="705"/>
        <v>0.11941216123150233</v>
      </c>
      <c r="BC295" s="422">
        <f t="shared" si="705"/>
        <v>0.21360910105218786</v>
      </c>
      <c r="BD295" s="423">
        <f t="shared" si="705"/>
        <v>0.14832708641975595</v>
      </c>
      <c r="BE295" s="422">
        <f t="shared" si="705"/>
        <v>0.13638717343862061</v>
      </c>
      <c r="BF295" s="422">
        <f t="shared" si="705"/>
        <v>0.13127411261807331</v>
      </c>
      <c r="BG295" s="422">
        <f t="shared" si="705"/>
        <v>0.13616810077414832</v>
      </c>
      <c r="BH295" s="422">
        <f t="shared" si="705"/>
        <v>0.22980143812663537</v>
      </c>
      <c r="BI295" s="423">
        <f t="shared" si="705"/>
        <v>0.16257277452271113</v>
      </c>
      <c r="BJ295" s="1034">
        <f>BJ286/BJ$291</f>
        <v>0.14348738939065786</v>
      </c>
      <c r="BK295" s="422">
        <f t="shared" si="705"/>
        <v>0.13151551720319657</v>
      </c>
      <c r="BL295" s="422">
        <f t="shared" si="705"/>
        <v>0.13671393324462716</v>
      </c>
      <c r="BM295" s="422">
        <f t="shared" si="705"/>
        <v>0.23388142051634223</v>
      </c>
      <c r="BN295" s="423">
        <f t="shared" si="705"/>
        <v>0.16691209827415285</v>
      </c>
      <c r="BO295" s="422">
        <f t="shared" si="705"/>
        <v>0.1445334607472106</v>
      </c>
      <c r="BP295" s="422">
        <f t="shared" si="705"/>
        <v>0.13164454655377286</v>
      </c>
      <c r="BQ295" s="422">
        <f t="shared" si="705"/>
        <v>0.13739452146840647</v>
      </c>
      <c r="BR295" s="422">
        <f t="shared" si="705"/>
        <v>0.23172488642675848</v>
      </c>
      <c r="BS295" s="423">
        <f t="shared" si="705"/>
        <v>0.1654180868188608</v>
      </c>
      <c r="BT295" s="423">
        <f t="shared" si="705"/>
        <v>0.1669609609251082</v>
      </c>
      <c r="BU295" s="423">
        <f t="shared" si="705"/>
        <v>0.1685927081948955</v>
      </c>
      <c r="BV295" s="423">
        <f t="shared" si="705"/>
        <v>0.17022339527074296</v>
      </c>
      <c r="BW295" s="216"/>
    </row>
    <row r="296" spans="1:75" s="217" customFormat="1" hidden="1" outlineLevel="2" x14ac:dyDescent="0.5">
      <c r="A296" s="640" t="s">
        <v>1846</v>
      </c>
      <c r="B296" s="493"/>
      <c r="C296" s="423">
        <f t="shared" si="704"/>
        <v>0.1395553684785916</v>
      </c>
      <c r="D296" s="423">
        <f t="shared" si="704"/>
        <v>0.13916238936714614</v>
      </c>
      <c r="E296" s="423">
        <f t="shared" si="704"/>
        <v>0.14017192100287701</v>
      </c>
      <c r="F296" s="423">
        <f t="shared" si="704"/>
        <v>0.13790104554437813</v>
      </c>
      <c r="G296" s="422"/>
      <c r="H296" s="422"/>
      <c r="I296" s="422"/>
      <c r="J296" s="422"/>
      <c r="K296" s="423">
        <f t="shared" ref="K296:K297" si="706">K287/K$291</f>
        <v>0.13619943439772519</v>
      </c>
      <c r="L296" s="422"/>
      <c r="M296" s="422"/>
      <c r="N296" s="422"/>
      <c r="O296" s="422"/>
      <c r="P296" s="423">
        <f t="shared" ref="P296:P297" si="707">P287/P$291</f>
        <v>0.13292857053167045</v>
      </c>
      <c r="Q296" s="422"/>
      <c r="R296" s="422"/>
      <c r="S296" s="422"/>
      <c r="T296" s="422"/>
      <c r="U296" s="423">
        <f t="shared" ref="U296:U297" si="708">U287/U$291</f>
        <v>0.12862970726011791</v>
      </c>
      <c r="V296" s="422"/>
      <c r="W296" s="422"/>
      <c r="X296" s="422"/>
      <c r="Y296" s="422"/>
      <c r="Z296" s="423">
        <f t="shared" ref="Z296:Z297" si="709">Z287/Z$291</f>
        <v>0.12498121488363456</v>
      </c>
      <c r="AA296" s="422"/>
      <c r="AB296" s="422"/>
      <c r="AC296" s="422"/>
      <c r="AD296" s="422"/>
      <c r="AE296" s="423">
        <f t="shared" si="705"/>
        <v>0.11826673133852031</v>
      </c>
      <c r="AF296" s="422"/>
      <c r="AG296" s="422"/>
      <c r="AH296" s="422"/>
      <c r="AI296" s="422"/>
      <c r="AJ296" s="423"/>
      <c r="AK296" s="422"/>
      <c r="AL296" s="422"/>
      <c r="AM296" s="422"/>
      <c r="AN296" s="422"/>
      <c r="AO296" s="423"/>
      <c r="AP296" s="422"/>
      <c r="AQ296" s="422"/>
      <c r="AR296" s="422"/>
      <c r="AS296" s="422"/>
      <c r="AT296" s="423"/>
      <c r="AU296" s="422"/>
      <c r="AV296" s="422"/>
      <c r="AW296" s="422"/>
      <c r="AX296" s="422"/>
      <c r="AY296" s="423"/>
      <c r="AZ296" s="422"/>
      <c r="BA296" s="422"/>
      <c r="BB296" s="422"/>
      <c r="BC296" s="422"/>
      <c r="BD296" s="423"/>
      <c r="BE296" s="422"/>
      <c r="BF296" s="422"/>
      <c r="BG296" s="422"/>
      <c r="BH296" s="422"/>
      <c r="BI296" s="423"/>
      <c r="BJ296" s="1034"/>
      <c r="BK296" s="422"/>
      <c r="BL296" s="422"/>
      <c r="BM296" s="422"/>
      <c r="BN296" s="423"/>
      <c r="BO296" s="422"/>
      <c r="BP296" s="422"/>
      <c r="BQ296" s="422"/>
      <c r="BR296" s="422"/>
      <c r="BS296" s="423"/>
      <c r="BT296" s="423"/>
      <c r="BU296" s="423"/>
      <c r="BV296" s="423"/>
      <c r="BW296" s="216"/>
    </row>
    <row r="297" spans="1:75" s="217" customFormat="1" hidden="1" outlineLevel="2" x14ac:dyDescent="0.5">
      <c r="A297" s="652" t="s">
        <v>1847</v>
      </c>
      <c r="B297" s="1209"/>
      <c r="C297" s="1210">
        <f t="shared" si="704"/>
        <v>5.2612173123830062E-2</v>
      </c>
      <c r="D297" s="1210">
        <f t="shared" si="704"/>
        <v>5.6400139491427047E-2</v>
      </c>
      <c r="E297" s="1210">
        <f t="shared" si="704"/>
        <v>5.7048102674222202E-2</v>
      </c>
      <c r="F297" s="1210">
        <f t="shared" si="704"/>
        <v>5.4436823345791481E-2</v>
      </c>
      <c r="G297" s="1211"/>
      <c r="H297" s="1211"/>
      <c r="I297" s="1211"/>
      <c r="J297" s="1211"/>
      <c r="K297" s="1210">
        <f t="shared" si="706"/>
        <v>5.6165732542459483E-2</v>
      </c>
      <c r="L297" s="1211"/>
      <c r="M297" s="1211"/>
      <c r="N297" s="1211"/>
      <c r="O297" s="1211"/>
      <c r="P297" s="1210">
        <f t="shared" si="707"/>
        <v>5.5465542842634344E-2</v>
      </c>
      <c r="Q297" s="1211"/>
      <c r="R297" s="1211"/>
      <c r="S297" s="1211"/>
      <c r="T297" s="1211"/>
      <c r="U297" s="1210">
        <f t="shared" si="708"/>
        <v>5.0964110375817169E-2</v>
      </c>
      <c r="V297" s="1211"/>
      <c r="W297" s="1211"/>
      <c r="X297" s="1211"/>
      <c r="Y297" s="1211"/>
      <c r="Z297" s="1210">
        <f t="shared" si="709"/>
        <v>4.6779463914086522E-2</v>
      </c>
      <c r="AA297" s="1211"/>
      <c r="AB297" s="1211"/>
      <c r="AC297" s="1211"/>
      <c r="AD297" s="1211"/>
      <c r="AE297" s="1210">
        <f t="shared" si="705"/>
        <v>4.4320122652299287E-2</v>
      </c>
      <c r="AF297" s="1211"/>
      <c r="AG297" s="1211"/>
      <c r="AH297" s="1211"/>
      <c r="AI297" s="1211"/>
      <c r="AJ297" s="1210"/>
      <c r="AK297" s="1211"/>
      <c r="AL297" s="1211"/>
      <c r="AM297" s="1211"/>
      <c r="AN297" s="1211"/>
      <c r="AO297" s="1210"/>
      <c r="AP297" s="1211"/>
      <c r="AQ297" s="1211"/>
      <c r="AR297" s="1211"/>
      <c r="AS297" s="1211"/>
      <c r="AT297" s="1210"/>
      <c r="AU297" s="1211"/>
      <c r="AV297" s="1211"/>
      <c r="AW297" s="1211"/>
      <c r="AX297" s="1211"/>
      <c r="AY297" s="1210"/>
      <c r="AZ297" s="1211"/>
      <c r="BA297" s="1211"/>
      <c r="BB297" s="1211"/>
      <c r="BC297" s="1211"/>
      <c r="BD297" s="1210"/>
      <c r="BE297" s="1211"/>
      <c r="BF297" s="1211"/>
      <c r="BG297" s="1211"/>
      <c r="BH297" s="1211"/>
      <c r="BI297" s="1210"/>
      <c r="BJ297" s="1212"/>
      <c r="BK297" s="1211"/>
      <c r="BL297" s="1211"/>
      <c r="BM297" s="1211"/>
      <c r="BN297" s="1210"/>
      <c r="BO297" s="1211"/>
      <c r="BP297" s="1211"/>
      <c r="BQ297" s="1211"/>
      <c r="BR297" s="1211"/>
      <c r="BS297" s="1210"/>
      <c r="BT297" s="1210"/>
      <c r="BU297" s="1210"/>
      <c r="BV297" s="1210"/>
      <c r="BW297" s="216"/>
    </row>
    <row r="298" spans="1:75" s="217" customFormat="1" hidden="1" outlineLevel="1" collapsed="1" x14ac:dyDescent="0.5">
      <c r="A298" s="526" t="s">
        <v>1848</v>
      </c>
      <c r="B298" s="493"/>
      <c r="C298" s="423">
        <f t="shared" si="704"/>
        <v>0.19216754160242167</v>
      </c>
      <c r="D298" s="423">
        <f t="shared" si="704"/>
        <v>0.19556252885857317</v>
      </c>
      <c r="E298" s="423">
        <f t="shared" si="704"/>
        <v>0.1972200236770992</v>
      </c>
      <c r="F298" s="423">
        <f t="shared" si="704"/>
        <v>0.1923378688901696</v>
      </c>
      <c r="G298" s="422"/>
      <c r="H298" s="422"/>
      <c r="I298" s="422"/>
      <c r="J298" s="422"/>
      <c r="K298" s="423">
        <f>K289/K$291</f>
        <v>0.19236516694018468</v>
      </c>
      <c r="L298" s="422"/>
      <c r="M298" s="422"/>
      <c r="N298" s="422"/>
      <c r="O298" s="422"/>
      <c r="P298" s="423">
        <f>P289/P$291</f>
        <v>0.18839411337430478</v>
      </c>
      <c r="Q298" s="422"/>
      <c r="R298" s="422"/>
      <c r="S298" s="422"/>
      <c r="T298" s="422"/>
      <c r="U298" s="423">
        <f>U289/U$291</f>
        <v>0.17959381763593507</v>
      </c>
      <c r="V298" s="422"/>
      <c r="W298" s="422"/>
      <c r="X298" s="422"/>
      <c r="Y298" s="422"/>
      <c r="Z298" s="423">
        <f>Z289/Z$291</f>
        <v>0.17176067879772108</v>
      </c>
      <c r="AA298" s="422"/>
      <c r="AB298" s="422"/>
      <c r="AC298" s="422"/>
      <c r="AD298" s="422"/>
      <c r="AE298" s="423">
        <f t="shared" si="705"/>
        <v>0.1625868539908196</v>
      </c>
      <c r="AF298" s="422">
        <f t="shared" si="705"/>
        <v>0.14995511221945135</v>
      </c>
      <c r="AG298" s="422">
        <f t="shared" si="705"/>
        <v>0.16766888283481313</v>
      </c>
      <c r="AH298" s="422">
        <f t="shared" si="705"/>
        <v>0.1675267855234738</v>
      </c>
      <c r="AI298" s="422">
        <f t="shared" si="705"/>
        <v>0.14932619486875662</v>
      </c>
      <c r="AJ298" s="423">
        <f t="shared" si="705"/>
        <v>0.15793834289590244</v>
      </c>
      <c r="AK298" s="422">
        <f t="shared" si="705"/>
        <v>0.14264880770135649</v>
      </c>
      <c r="AL298" s="422">
        <f t="shared" si="705"/>
        <v>0.1662172986269472</v>
      </c>
      <c r="AM298" s="422">
        <f t="shared" si="705"/>
        <v>0.15809734954993926</v>
      </c>
      <c r="AN298" s="422">
        <f t="shared" si="705"/>
        <v>0.14949690549417172</v>
      </c>
      <c r="AO298" s="423">
        <f t="shared" si="705"/>
        <v>0.15404539973496137</v>
      </c>
      <c r="AP298" s="422">
        <f t="shared" si="705"/>
        <v>0.15264859298431105</v>
      </c>
      <c r="AQ298" s="422">
        <f t="shared" si="705"/>
        <v>0.1582979882302987</v>
      </c>
      <c r="AR298" s="422">
        <f t="shared" si="705"/>
        <v>0.15732067807060893</v>
      </c>
      <c r="AS298" s="422">
        <f t="shared" si="705"/>
        <v>0.14847036624935175</v>
      </c>
      <c r="AT298" s="423">
        <f t="shared" si="705"/>
        <v>0.15369334394191286</v>
      </c>
      <c r="AU298" s="422">
        <f t="shared" si="705"/>
        <v>0.13497031781634269</v>
      </c>
      <c r="AV298" s="422">
        <f t="shared" si="705"/>
        <v>0.14060027541408351</v>
      </c>
      <c r="AW298" s="422">
        <f t="shared" si="705"/>
        <v>0.15453527380919238</v>
      </c>
      <c r="AX298" s="422">
        <f t="shared" si="705"/>
        <v>0.12533721120386851</v>
      </c>
      <c r="AY298" s="423">
        <f t="shared" si="705"/>
        <v>0.13823694484167717</v>
      </c>
      <c r="AZ298" s="422">
        <f t="shared" si="705"/>
        <v>0.12001150575790215</v>
      </c>
      <c r="BA298" s="422">
        <f t="shared" si="705"/>
        <v>0.13293898538364482</v>
      </c>
      <c r="BB298" s="422">
        <f t="shared" si="705"/>
        <v>0.13642048113313393</v>
      </c>
      <c r="BC298" s="422">
        <f t="shared" si="705"/>
        <v>0.13154651766208914</v>
      </c>
      <c r="BD298" s="423">
        <f t="shared" si="705"/>
        <v>0.13060670244467149</v>
      </c>
      <c r="BE298" s="422">
        <f t="shared" si="705"/>
        <v>0.12317119646176396</v>
      </c>
      <c r="BF298" s="422">
        <f t="shared" si="705"/>
        <v>0.13743427247942944</v>
      </c>
      <c r="BG298" s="422">
        <f t="shared" si="705"/>
        <v>0.14928114800528686</v>
      </c>
      <c r="BH298" s="422">
        <f t="shared" si="705"/>
        <v>0.13670715776697642</v>
      </c>
      <c r="BI298" s="423">
        <f t="shared" si="705"/>
        <v>0.13682332789551124</v>
      </c>
      <c r="BJ298" s="1034">
        <f>BJ289/BJ$291</f>
        <v>0.13358765752721719</v>
      </c>
      <c r="BK298" s="422">
        <f t="shared" si="705"/>
        <v>0.13637912965121565</v>
      </c>
      <c r="BL298" s="422">
        <f t="shared" si="705"/>
        <v>0.14884780287734573</v>
      </c>
      <c r="BM298" s="422">
        <f t="shared" si="705"/>
        <v>0.12873863278609346</v>
      </c>
      <c r="BN298" s="423">
        <f t="shared" si="705"/>
        <v>0.13637714985849456</v>
      </c>
      <c r="BO298" s="422">
        <f t="shared" si="705"/>
        <v>0.13334768687550391</v>
      </c>
      <c r="BP298" s="422">
        <f t="shared" si="705"/>
        <v>0.1401975174777636</v>
      </c>
      <c r="BQ298" s="422">
        <f t="shared" si="705"/>
        <v>0.14934355148694312</v>
      </c>
      <c r="BR298" s="422">
        <f t="shared" si="705"/>
        <v>0.13714292504470263</v>
      </c>
      <c r="BS298" s="423">
        <f t="shared" si="705"/>
        <v>0.13999473432885351</v>
      </c>
      <c r="BT298" s="423">
        <f t="shared" si="705"/>
        <v>0.13674784455430558</v>
      </c>
      <c r="BU298" s="423">
        <f t="shared" si="705"/>
        <v>0.13268397182606745</v>
      </c>
      <c r="BV298" s="423">
        <f t="shared" si="705"/>
        <v>0.12872296438804662</v>
      </c>
      <c r="BW298" s="216"/>
    </row>
    <row r="299" spans="1:75" s="217" customFormat="1" hidden="1" outlineLevel="1" x14ac:dyDescent="0.5">
      <c r="A299" s="526" t="s">
        <v>1849</v>
      </c>
      <c r="B299" s="493"/>
      <c r="C299" s="423">
        <f t="shared" si="704"/>
        <v>1.0348715185206196E-2</v>
      </c>
      <c r="D299" s="423">
        <f t="shared" si="704"/>
        <v>1.1935820245548292E-2</v>
      </c>
      <c r="E299" s="423">
        <f t="shared" si="704"/>
        <v>1.4998542017444728E-2</v>
      </c>
      <c r="F299" s="423">
        <f t="shared" si="704"/>
        <v>2.5098012055792051E-2</v>
      </c>
      <c r="G299" s="422"/>
      <c r="H299" s="422"/>
      <c r="I299" s="422"/>
      <c r="J299" s="422"/>
      <c r="K299" s="423">
        <f>K290/K$291</f>
        <v>2.8151806027910002E-2</v>
      </c>
      <c r="L299" s="422"/>
      <c r="M299" s="422"/>
      <c r="N299" s="422"/>
      <c r="O299" s="422"/>
      <c r="P299" s="423">
        <f>P290/P$291</f>
        <v>2.7124839770158633E-2</v>
      </c>
      <c r="Q299" s="422"/>
      <c r="R299" s="422"/>
      <c r="S299" s="422"/>
      <c r="T299" s="422"/>
      <c r="U299" s="423">
        <f>U290/U$291</f>
        <v>3.8909866983917095E-2</v>
      </c>
      <c r="V299" s="422"/>
      <c r="W299" s="422"/>
      <c r="X299" s="422"/>
      <c r="Y299" s="422"/>
      <c r="Z299" s="423">
        <f>Z290/Z$291</f>
        <v>4.1825504168918913E-2</v>
      </c>
      <c r="AA299" s="422"/>
      <c r="AB299" s="422"/>
      <c r="AC299" s="422"/>
      <c r="AD299" s="422"/>
      <c r="AE299" s="423">
        <f t="shared" si="705"/>
        <v>4.3235162240505609E-2</v>
      </c>
      <c r="AF299" s="422">
        <f t="shared" si="705"/>
        <v>4.8134663341645886E-2</v>
      </c>
      <c r="AG299" s="422">
        <f t="shared" si="705"/>
        <v>4.588863951115691E-2</v>
      </c>
      <c r="AH299" s="422">
        <f t="shared" si="705"/>
        <v>3.9166297588105387E-2</v>
      </c>
      <c r="AI299" s="422">
        <f t="shared" si="705"/>
        <v>4.3488583321172093E-2</v>
      </c>
      <c r="AJ299" s="423">
        <f t="shared" si="705"/>
        <v>4.3979530971280906E-2</v>
      </c>
      <c r="AK299" s="422">
        <f t="shared" si="705"/>
        <v>5.4452709300864044E-2</v>
      </c>
      <c r="AL299" s="422">
        <f t="shared" si="705"/>
        <v>5.0456152329929511E-2</v>
      </c>
      <c r="AM299" s="422">
        <f t="shared" si="705"/>
        <v>4.270585494900421E-2</v>
      </c>
      <c r="AN299" s="422">
        <f t="shared" si="705"/>
        <v>4.219701777510184E-2</v>
      </c>
      <c r="AO299" s="423">
        <f t="shared" si="705"/>
        <v>4.6820045005025422E-2</v>
      </c>
      <c r="AP299" s="422">
        <f t="shared" si="705"/>
        <v>4.2344456741118662E-2</v>
      </c>
      <c r="AQ299" s="422">
        <f t="shared" si="705"/>
        <v>4.5499092084195017E-2</v>
      </c>
      <c r="AR299" s="422">
        <f t="shared" si="705"/>
        <v>3.8664555441203799E-2</v>
      </c>
      <c r="AS299" s="422">
        <f t="shared" si="705"/>
        <v>4.4286298133227021E-2</v>
      </c>
      <c r="AT299" s="423">
        <f t="shared" si="705"/>
        <v>4.2736830714874677E-2</v>
      </c>
      <c r="AU299" s="422">
        <f t="shared" si="705"/>
        <v>5.2019148910624133E-2</v>
      </c>
      <c r="AV299" s="422">
        <f t="shared" si="705"/>
        <v>5.4912415139254524E-2</v>
      </c>
      <c r="AW299" s="422">
        <f t="shared" si="705"/>
        <v>4.413151593205307E-2</v>
      </c>
      <c r="AX299" s="422">
        <f t="shared" si="705"/>
        <v>4.6630806759937617E-2</v>
      </c>
      <c r="AY299" s="423">
        <f t="shared" si="705"/>
        <v>4.9109888798554831E-2</v>
      </c>
      <c r="AZ299" s="422">
        <f t="shared" si="705"/>
        <v>5.3456829878169049E-2</v>
      </c>
      <c r="BA299" s="422">
        <f t="shared" si="705"/>
        <v>5.5081619639800392E-2</v>
      </c>
      <c r="BB299" s="422">
        <f t="shared" si="705"/>
        <v>4.4146742595688904E-2</v>
      </c>
      <c r="BC299" s="422">
        <f t="shared" si="705"/>
        <v>4.3025112521855174E-2</v>
      </c>
      <c r="BD299" s="423">
        <f t="shared" si="705"/>
        <v>4.8553925871905865E-2</v>
      </c>
      <c r="BE299" s="422">
        <f t="shared" si="705"/>
        <v>4.5402577457302994E-2</v>
      </c>
      <c r="BF299" s="422">
        <f t="shared" si="705"/>
        <v>4.9231885940941064E-2</v>
      </c>
      <c r="BG299" s="422">
        <f t="shared" si="705"/>
        <v>4.3531410999919078E-2</v>
      </c>
      <c r="BH299" s="422">
        <f t="shared" si="705"/>
        <v>5.1368247564544341E-2</v>
      </c>
      <c r="BI299" s="423">
        <f t="shared" si="705"/>
        <v>4.7629412338471649E-2</v>
      </c>
      <c r="BJ299" s="1034">
        <f>BJ290/BJ$291</f>
        <v>5.5809384538662979E-2</v>
      </c>
      <c r="BK299" s="422">
        <f t="shared" si="705"/>
        <v>5.2077773454776294E-2</v>
      </c>
      <c r="BL299" s="422">
        <f t="shared" si="705"/>
        <v>4.6269336857398938E-2</v>
      </c>
      <c r="BM299" s="422">
        <f t="shared" si="705"/>
        <v>5.1566238979314713E-2</v>
      </c>
      <c r="BN299" s="423">
        <f t="shared" si="705"/>
        <v>5.134503172226737E-2</v>
      </c>
      <c r="BO299" s="422">
        <f t="shared" si="705"/>
        <v>5.5975682024051288E-2</v>
      </c>
      <c r="BP299" s="422">
        <f t="shared" si="705"/>
        <v>5.229084402646119E-2</v>
      </c>
      <c r="BQ299" s="422">
        <f t="shared" si="705"/>
        <v>4.6645562027751254E-2</v>
      </c>
      <c r="BR299" s="422">
        <f t="shared" si="705"/>
        <v>5.5195412209084894E-2</v>
      </c>
      <c r="BS299" s="423">
        <f t="shared" si="705"/>
        <v>5.2597771594068018E-2</v>
      </c>
      <c r="BT299" s="423">
        <f t="shared" si="705"/>
        <v>5.1871892544518607E-2</v>
      </c>
      <c r="BU299" s="423">
        <f t="shared" si="705"/>
        <v>5.0814309337452103E-2</v>
      </c>
      <c r="BV299" s="423">
        <f t="shared" si="705"/>
        <v>4.9771365512708415E-2</v>
      </c>
      <c r="BW299" s="216"/>
    </row>
    <row r="300" spans="1:75" s="162" customFormat="1" ht="14.25" hidden="1" outlineLevel="1" x14ac:dyDescent="0.45">
      <c r="A300" s="527" t="s">
        <v>675</v>
      </c>
      <c r="B300" s="1213"/>
      <c r="C300" s="1214">
        <f t="shared" ref="C300:BN300" si="710">SUM(C293:C295,C298:C299)</f>
        <v>1.0000000000000002</v>
      </c>
      <c r="D300" s="1214">
        <f t="shared" si="710"/>
        <v>1.0000000000000002</v>
      </c>
      <c r="E300" s="1214">
        <f t="shared" si="710"/>
        <v>1</v>
      </c>
      <c r="F300" s="1214">
        <f t="shared" si="710"/>
        <v>1</v>
      </c>
      <c r="G300" s="480"/>
      <c r="H300" s="480"/>
      <c r="I300" s="480"/>
      <c r="J300" s="480"/>
      <c r="K300" s="1214">
        <f t="shared" si="710"/>
        <v>1</v>
      </c>
      <c r="L300" s="480"/>
      <c r="M300" s="480"/>
      <c r="N300" s="480"/>
      <c r="O300" s="480"/>
      <c r="P300" s="1214">
        <f t="shared" si="710"/>
        <v>0.99999999999999989</v>
      </c>
      <c r="Q300" s="480"/>
      <c r="R300" s="480"/>
      <c r="S300" s="480"/>
      <c r="T300" s="480"/>
      <c r="U300" s="1214">
        <f t="shared" si="710"/>
        <v>1.0000000000000002</v>
      </c>
      <c r="V300" s="480"/>
      <c r="W300" s="480"/>
      <c r="X300" s="480"/>
      <c r="Y300" s="480"/>
      <c r="Z300" s="1214">
        <f t="shared" si="710"/>
        <v>1</v>
      </c>
      <c r="AA300" s="480"/>
      <c r="AB300" s="480"/>
      <c r="AC300" s="480"/>
      <c r="AD300" s="480"/>
      <c r="AE300" s="1214">
        <f t="shared" si="710"/>
        <v>1</v>
      </c>
      <c r="AF300" s="480">
        <f t="shared" si="710"/>
        <v>0.99999999999999989</v>
      </c>
      <c r="AG300" s="480">
        <f t="shared" si="710"/>
        <v>1</v>
      </c>
      <c r="AH300" s="480">
        <f t="shared" si="710"/>
        <v>1.0000000000000002</v>
      </c>
      <c r="AI300" s="480">
        <f t="shared" si="710"/>
        <v>1</v>
      </c>
      <c r="AJ300" s="1214">
        <f t="shared" si="710"/>
        <v>1</v>
      </c>
      <c r="AK300" s="480">
        <f t="shared" si="710"/>
        <v>1</v>
      </c>
      <c r="AL300" s="480">
        <f t="shared" si="710"/>
        <v>0.99999999999999989</v>
      </c>
      <c r="AM300" s="480">
        <f t="shared" si="710"/>
        <v>1</v>
      </c>
      <c r="AN300" s="480">
        <f t="shared" si="710"/>
        <v>1</v>
      </c>
      <c r="AO300" s="1214">
        <f t="shared" si="710"/>
        <v>1</v>
      </c>
      <c r="AP300" s="480">
        <f t="shared" si="710"/>
        <v>0.99999999999999978</v>
      </c>
      <c r="AQ300" s="480">
        <f t="shared" si="710"/>
        <v>1</v>
      </c>
      <c r="AR300" s="480">
        <f t="shared" si="710"/>
        <v>0.99999999999999989</v>
      </c>
      <c r="AS300" s="480">
        <f t="shared" si="710"/>
        <v>0.99999999999999989</v>
      </c>
      <c r="AT300" s="1214">
        <f t="shared" si="710"/>
        <v>1.0000000000000002</v>
      </c>
      <c r="AU300" s="480">
        <f t="shared" si="710"/>
        <v>1.0000000000000002</v>
      </c>
      <c r="AV300" s="480">
        <f t="shared" si="710"/>
        <v>1</v>
      </c>
      <c r="AW300" s="480">
        <f t="shared" si="710"/>
        <v>1</v>
      </c>
      <c r="AX300" s="480">
        <f t="shared" si="710"/>
        <v>1.0000000000000002</v>
      </c>
      <c r="AY300" s="1214">
        <f t="shared" si="710"/>
        <v>1</v>
      </c>
      <c r="AZ300" s="480">
        <f t="shared" si="710"/>
        <v>1</v>
      </c>
      <c r="BA300" s="480">
        <f t="shared" si="710"/>
        <v>1</v>
      </c>
      <c r="BB300" s="480">
        <f t="shared" si="710"/>
        <v>1</v>
      </c>
      <c r="BC300" s="480">
        <f t="shared" si="710"/>
        <v>1.0000000000000002</v>
      </c>
      <c r="BD300" s="1214">
        <f t="shared" si="710"/>
        <v>1</v>
      </c>
      <c r="BE300" s="480">
        <f t="shared" si="710"/>
        <v>1</v>
      </c>
      <c r="BF300" s="480">
        <f t="shared" si="710"/>
        <v>1</v>
      </c>
      <c r="BG300" s="480">
        <f t="shared" si="710"/>
        <v>1</v>
      </c>
      <c r="BH300" s="480">
        <f t="shared" si="710"/>
        <v>0.99999999999999989</v>
      </c>
      <c r="BI300" s="1214">
        <f t="shared" si="710"/>
        <v>0.99999999999999989</v>
      </c>
      <c r="BJ300" s="1215">
        <f>SUM(BJ293:BJ295,BJ298:BJ299)</f>
        <v>1</v>
      </c>
      <c r="BK300" s="480">
        <f t="shared" si="710"/>
        <v>0.99999999999999989</v>
      </c>
      <c r="BL300" s="480">
        <f t="shared" si="710"/>
        <v>1</v>
      </c>
      <c r="BM300" s="480">
        <f t="shared" si="710"/>
        <v>0.99999999999999978</v>
      </c>
      <c r="BN300" s="1214">
        <f t="shared" si="710"/>
        <v>1.0000000000000002</v>
      </c>
      <c r="BO300" s="480">
        <f t="shared" ref="BO300:CF300" si="711">SUM(BO293:BO295,BO298:BO299)</f>
        <v>1.0000000000000002</v>
      </c>
      <c r="BP300" s="480">
        <f t="shared" si="711"/>
        <v>1</v>
      </c>
      <c r="BQ300" s="480">
        <f t="shared" si="711"/>
        <v>1</v>
      </c>
      <c r="BR300" s="480">
        <f t="shared" si="711"/>
        <v>1</v>
      </c>
      <c r="BS300" s="1214">
        <f t="shared" si="711"/>
        <v>1.0000000000000002</v>
      </c>
      <c r="BT300" s="1214">
        <f t="shared" si="711"/>
        <v>0.99999999999999989</v>
      </c>
      <c r="BU300" s="1214">
        <f t="shared" si="711"/>
        <v>1</v>
      </c>
      <c r="BV300" s="1214">
        <f t="shared" si="711"/>
        <v>1</v>
      </c>
      <c r="BW300" s="161"/>
    </row>
    <row r="301" spans="1:75" s="123" customFormat="1" collapsed="1" x14ac:dyDescent="0.5">
      <c r="A301" s="184"/>
      <c r="B301" s="489"/>
      <c r="C301" s="401"/>
      <c r="D301" s="401"/>
      <c r="E301" s="401"/>
      <c r="F301" s="401"/>
      <c r="G301" s="118"/>
      <c r="H301" s="118"/>
      <c r="I301" s="118"/>
      <c r="J301" s="118"/>
      <c r="K301" s="401"/>
      <c r="L301" s="118"/>
      <c r="M301" s="118"/>
      <c r="N301" s="118"/>
      <c r="O301" s="118"/>
      <c r="P301" s="401"/>
      <c r="Q301" s="118"/>
      <c r="R301" s="118"/>
      <c r="S301" s="118"/>
      <c r="T301" s="118"/>
      <c r="U301" s="401"/>
      <c r="V301" s="118"/>
      <c r="W301" s="118"/>
      <c r="X301" s="118"/>
      <c r="Y301" s="118"/>
      <c r="Z301" s="401"/>
      <c r="AA301" s="118"/>
      <c r="AB301" s="118"/>
      <c r="AC301" s="118"/>
      <c r="AD301" s="118"/>
      <c r="AE301" s="401"/>
      <c r="AF301" s="118"/>
      <c r="AG301" s="118"/>
      <c r="AH301" s="118"/>
      <c r="AI301" s="118"/>
      <c r="AJ301" s="401"/>
      <c r="AK301" s="118"/>
      <c r="AL301" s="118"/>
      <c r="AM301" s="118"/>
      <c r="AN301" s="118"/>
      <c r="AO301" s="401"/>
      <c r="AP301" s="118"/>
      <c r="AQ301" s="118"/>
      <c r="AR301" s="118"/>
      <c r="AS301" s="118"/>
      <c r="AT301" s="401"/>
      <c r="AU301" s="118"/>
      <c r="AV301" s="118"/>
      <c r="AW301" s="118"/>
      <c r="AX301" s="118"/>
      <c r="AY301" s="401"/>
      <c r="AZ301" s="118"/>
      <c r="BA301" s="118"/>
      <c r="BB301" s="118"/>
      <c r="BC301" s="118"/>
      <c r="BD301" s="401"/>
      <c r="BE301" s="118"/>
      <c r="BF301" s="118"/>
      <c r="BG301" s="118"/>
      <c r="BH301" s="118"/>
      <c r="BI301" s="401"/>
      <c r="BJ301" s="971"/>
      <c r="BK301" s="118"/>
      <c r="BL301" s="118"/>
      <c r="BM301" s="118"/>
      <c r="BN301" s="401"/>
      <c r="BO301" s="118"/>
      <c r="BP301" s="118"/>
      <c r="BQ301" s="118"/>
      <c r="BR301" s="118"/>
      <c r="BS301" s="401"/>
      <c r="BT301" s="401"/>
      <c r="BU301" s="401"/>
      <c r="BV301" s="401"/>
      <c r="BW301" s="122"/>
    </row>
    <row r="302" spans="1:75" s="123" customFormat="1" x14ac:dyDescent="0.5">
      <c r="A302" s="482" t="s">
        <v>698</v>
      </c>
      <c r="B302" s="482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239"/>
      <c r="AP302" s="239"/>
      <c r="AQ302" s="239"/>
      <c r="AR302" s="239"/>
      <c r="AS302" s="239"/>
      <c r="AT302" s="239"/>
      <c r="AU302" s="239"/>
      <c r="AV302" s="239"/>
      <c r="AW302" s="239"/>
      <c r="AX302" s="239"/>
      <c r="AY302" s="239"/>
      <c r="AZ302" s="239"/>
      <c r="BA302" s="239"/>
      <c r="BB302" s="239"/>
      <c r="BC302" s="239"/>
      <c r="BD302" s="239"/>
      <c r="BE302" s="239"/>
      <c r="BF302" s="239"/>
      <c r="BG302" s="239"/>
      <c r="BH302" s="239"/>
      <c r="BI302" s="239"/>
      <c r="BJ302" s="241"/>
      <c r="BK302" s="239"/>
      <c r="BL302" s="239"/>
      <c r="BM302" s="239"/>
      <c r="BN302" s="239"/>
      <c r="BO302" s="239"/>
      <c r="BP302" s="239"/>
      <c r="BQ302" s="239"/>
      <c r="BR302" s="239"/>
      <c r="BS302" s="239"/>
      <c r="BT302" s="239"/>
      <c r="BU302" s="239"/>
      <c r="BV302" s="239"/>
      <c r="BW302" s="122"/>
    </row>
    <row r="303" spans="1:75" s="123" customFormat="1" hidden="1" outlineLevel="1" collapsed="1" x14ac:dyDescent="0.5">
      <c r="A303" s="206" t="s">
        <v>699</v>
      </c>
      <c r="B303" s="485"/>
      <c r="C303" s="397">
        <f t="shared" ref="C303:BN303" si="712">C749</f>
        <v>3102.7040000000002</v>
      </c>
      <c r="D303" s="397">
        <f t="shared" si="712"/>
        <v>3504.1579999999999</v>
      </c>
      <c r="E303" s="397">
        <f t="shared" si="712"/>
        <v>3720.895</v>
      </c>
      <c r="F303" s="397">
        <f t="shared" si="712"/>
        <v>4042.87</v>
      </c>
      <c r="G303" s="295">
        <f t="shared" si="712"/>
        <v>887.80799999999999</v>
      </c>
      <c r="H303" s="295">
        <f t="shared" si="712"/>
        <v>982.20899999999995</v>
      </c>
      <c r="I303" s="295">
        <f t="shared" si="712"/>
        <v>1051.548</v>
      </c>
      <c r="J303" s="295">
        <f t="shared" si="712"/>
        <v>1466.3240000000001</v>
      </c>
      <c r="K303" s="397">
        <f t="shared" si="712"/>
        <v>4387.8890000000001</v>
      </c>
      <c r="L303" s="295">
        <f t="shared" si="712"/>
        <v>974.33</v>
      </c>
      <c r="M303" s="295">
        <f t="shared" si="712"/>
        <v>1039.1020000000001</v>
      </c>
      <c r="N303" s="295">
        <f t="shared" si="712"/>
        <v>1143.162</v>
      </c>
      <c r="O303" s="295">
        <f t="shared" si="712"/>
        <v>1542.125</v>
      </c>
      <c r="P303" s="397">
        <f t="shared" si="712"/>
        <v>4698.7190000000001</v>
      </c>
      <c r="Q303" s="295">
        <f t="shared" si="712"/>
        <v>1030.6759999999999</v>
      </c>
      <c r="R303" s="295">
        <f t="shared" si="712"/>
        <v>1127.028</v>
      </c>
      <c r="S303" s="295">
        <f t="shared" si="712"/>
        <v>1232.0820000000001</v>
      </c>
      <c r="T303" s="295">
        <f t="shared" si="712"/>
        <v>1586.3040000000001</v>
      </c>
      <c r="U303" s="397">
        <f t="shared" si="712"/>
        <v>4976.09</v>
      </c>
      <c r="V303" s="295">
        <f t="shared" si="712"/>
        <v>1097.817</v>
      </c>
      <c r="W303" s="295">
        <f t="shared" si="712"/>
        <v>1159.029</v>
      </c>
      <c r="X303" s="295">
        <f t="shared" si="712"/>
        <v>1245.385</v>
      </c>
      <c r="Y303" s="295">
        <f t="shared" si="712"/>
        <v>1581.5809999999999</v>
      </c>
      <c r="Z303" s="397">
        <f t="shared" si="712"/>
        <v>5083.8119999999999</v>
      </c>
      <c r="AA303" s="295">
        <f t="shared" si="712"/>
        <v>1111.5070000000001</v>
      </c>
      <c r="AB303" s="295">
        <f t="shared" si="712"/>
        <v>1201.606</v>
      </c>
      <c r="AC303" s="295">
        <f t="shared" si="712"/>
        <v>1299.336</v>
      </c>
      <c r="AD303" s="295">
        <f t="shared" si="712"/>
        <v>1679.91</v>
      </c>
      <c r="AE303" s="397">
        <f t="shared" si="712"/>
        <v>5292.3590000000004</v>
      </c>
      <c r="AF303" s="295">
        <f t="shared" si="712"/>
        <v>1203</v>
      </c>
      <c r="AG303" s="295">
        <f t="shared" si="712"/>
        <v>1275.174</v>
      </c>
      <c r="AH303" s="295">
        <f t="shared" si="712"/>
        <v>1356.9829999999999</v>
      </c>
      <c r="AI303" s="295">
        <f t="shared" si="712"/>
        <v>1836.4359999999997</v>
      </c>
      <c r="AJ303" s="397">
        <f t="shared" si="712"/>
        <v>5671.5929999999998</v>
      </c>
      <c r="AK303" s="295">
        <f t="shared" si="712"/>
        <v>1241.1320000000001</v>
      </c>
      <c r="AL303" s="295">
        <f t="shared" si="712"/>
        <v>1370.8140000000001</v>
      </c>
      <c r="AM303" s="295">
        <f t="shared" si="712"/>
        <v>1442.472</v>
      </c>
      <c r="AN303" s="295">
        <f t="shared" si="712"/>
        <v>1843.5900000000001</v>
      </c>
      <c r="AO303" s="397">
        <f t="shared" si="712"/>
        <v>5898.0079999999998</v>
      </c>
      <c r="AP303" s="295">
        <f t="shared" si="712"/>
        <v>1235.203</v>
      </c>
      <c r="AQ303" s="295">
        <f t="shared" si="712"/>
        <v>1490.777</v>
      </c>
      <c r="AR303" s="295">
        <f t="shared" si="712"/>
        <v>1764.5360000000001</v>
      </c>
      <c r="AS303" s="295">
        <f t="shared" si="712"/>
        <v>2292.6730000000007</v>
      </c>
      <c r="AT303" s="397">
        <f t="shared" si="712"/>
        <v>6783.1890000000003</v>
      </c>
      <c r="AU303" s="295">
        <f t="shared" si="712"/>
        <v>1749.029</v>
      </c>
      <c r="AV303" s="295">
        <f t="shared" si="712"/>
        <v>1948.3389999999999</v>
      </c>
      <c r="AW303" s="295">
        <f t="shared" si="712"/>
        <v>2047.539</v>
      </c>
      <c r="AX303" s="295">
        <f t="shared" si="712"/>
        <v>2501.0289999999995</v>
      </c>
      <c r="AY303" s="397">
        <f t="shared" si="712"/>
        <v>8245.9359999999997</v>
      </c>
      <c r="AZ303" s="295">
        <f t="shared" si="712"/>
        <v>1891.2270000000001</v>
      </c>
      <c r="BA303" s="295">
        <f t="shared" si="712"/>
        <v>2137.5369999999998</v>
      </c>
      <c r="BB303" s="295">
        <f t="shared" si="712"/>
        <v>2192.5740000000001</v>
      </c>
      <c r="BC303" s="295">
        <f t="shared" si="712"/>
        <v>2453.0789999999997</v>
      </c>
      <c r="BD303" s="397">
        <f t="shared" si="712"/>
        <v>8674.4169999999995</v>
      </c>
      <c r="BE303" s="295">
        <f t="shared" si="712"/>
        <v>1755.451</v>
      </c>
      <c r="BF303" s="295">
        <f t="shared" si="712"/>
        <v>1862.614</v>
      </c>
      <c r="BG303" s="295">
        <f t="shared" si="712"/>
        <v>1853.65</v>
      </c>
      <c r="BH303" s="295">
        <f t="shared" si="712"/>
        <v>2278.9369999999999</v>
      </c>
      <c r="BI303" s="397">
        <f t="shared" si="712"/>
        <v>7750.652</v>
      </c>
      <c r="BJ303" s="1030">
        <f>BJ749</f>
        <v>1660.348</v>
      </c>
      <c r="BK303" s="295">
        <f t="shared" si="712"/>
        <v>1848.8693661915622</v>
      </c>
      <c r="BL303" s="295">
        <f t="shared" si="712"/>
        <v>1831.1608887139548</v>
      </c>
      <c r="BM303" s="295">
        <f t="shared" si="712"/>
        <v>2383.6962406606276</v>
      </c>
      <c r="BN303" s="397">
        <f t="shared" si="712"/>
        <v>7724.0744955661448</v>
      </c>
      <c r="BO303" s="295">
        <f t="shared" ref="BO303:CF303" si="713">BO749</f>
        <v>1738.1860565485274</v>
      </c>
      <c r="BP303" s="295">
        <f t="shared" si="713"/>
        <v>1933.4025273877753</v>
      </c>
      <c r="BQ303" s="295">
        <f t="shared" si="713"/>
        <v>1907.2110214273439</v>
      </c>
      <c r="BR303" s="295">
        <f t="shared" si="713"/>
        <v>2338.313228119287</v>
      </c>
      <c r="BS303" s="397">
        <f t="shared" si="713"/>
        <v>7917.1128334829336</v>
      </c>
      <c r="BT303" s="397">
        <f t="shared" si="713"/>
        <v>8429.2975574342017</v>
      </c>
      <c r="BU303" s="397">
        <f t="shared" si="713"/>
        <v>9034.9707388991592</v>
      </c>
      <c r="BV303" s="397">
        <f t="shared" si="713"/>
        <v>9685.510592576069</v>
      </c>
      <c r="BW303" s="118"/>
    </row>
    <row r="304" spans="1:75" s="123" customFormat="1" hidden="1" outlineLevel="1" x14ac:dyDescent="0.5">
      <c r="A304" s="184" t="s">
        <v>1850</v>
      </c>
      <c r="B304" s="489"/>
      <c r="C304" s="401">
        <f t="shared" ref="C304:AJ304" si="714">C654</f>
        <v>0</v>
      </c>
      <c r="D304" s="401">
        <f t="shared" si="714"/>
        <v>0</v>
      </c>
      <c r="E304" s="401">
        <f t="shared" si="714"/>
        <v>0</v>
      </c>
      <c r="F304" s="401">
        <f t="shared" si="714"/>
        <v>0</v>
      </c>
      <c r="G304" s="118">
        <f t="shared" si="714"/>
        <v>0</v>
      </c>
      <c r="H304" s="118">
        <f t="shared" si="714"/>
        <v>0</v>
      </c>
      <c r="I304" s="118">
        <f t="shared" si="714"/>
        <v>0</v>
      </c>
      <c r="J304" s="118">
        <f t="shared" si="714"/>
        <v>0</v>
      </c>
      <c r="K304" s="401">
        <f t="shared" si="714"/>
        <v>0</v>
      </c>
      <c r="L304" s="118">
        <f t="shared" si="714"/>
        <v>0</v>
      </c>
      <c r="M304" s="118">
        <f t="shared" si="714"/>
        <v>0</v>
      </c>
      <c r="N304" s="118">
        <f t="shared" si="714"/>
        <v>0</v>
      </c>
      <c r="O304" s="118">
        <f t="shared" si="714"/>
        <v>0</v>
      </c>
      <c r="P304" s="401">
        <f t="shared" si="714"/>
        <v>0</v>
      </c>
      <c r="Q304" s="118">
        <f t="shared" si="714"/>
        <v>0</v>
      </c>
      <c r="R304" s="118">
        <f t="shared" si="714"/>
        <v>0</v>
      </c>
      <c r="S304" s="118">
        <f t="shared" si="714"/>
        <v>0</v>
      </c>
      <c r="T304" s="118">
        <f t="shared" si="714"/>
        <v>0</v>
      </c>
      <c r="U304" s="401">
        <f t="shared" si="714"/>
        <v>0</v>
      </c>
      <c r="V304" s="118">
        <f t="shared" si="714"/>
        <v>0</v>
      </c>
      <c r="W304" s="118">
        <f t="shared" si="714"/>
        <v>0</v>
      </c>
      <c r="X304" s="118">
        <f t="shared" si="714"/>
        <v>0</v>
      </c>
      <c r="Y304" s="118">
        <f t="shared" si="714"/>
        <v>0</v>
      </c>
      <c r="Z304" s="401">
        <f t="shared" si="714"/>
        <v>0</v>
      </c>
      <c r="AA304" s="118">
        <f t="shared" si="714"/>
        <v>0</v>
      </c>
      <c r="AB304" s="118">
        <f t="shared" si="714"/>
        <v>0</v>
      </c>
      <c r="AC304" s="118">
        <f t="shared" si="714"/>
        <v>0</v>
      </c>
      <c r="AD304" s="118">
        <f t="shared" si="714"/>
        <v>-0.40799999999999997</v>
      </c>
      <c r="AE304" s="401">
        <f t="shared" si="714"/>
        <v>-0.40799999999999997</v>
      </c>
      <c r="AF304" s="118">
        <f t="shared" si="714"/>
        <v>-0.69399999999999995</v>
      </c>
      <c r="AG304" s="118">
        <f t="shared" si="714"/>
        <v>-0.70699999999999996</v>
      </c>
      <c r="AH304" s="118">
        <f t="shared" si="714"/>
        <v>-1.1100000000000001</v>
      </c>
      <c r="AI304" s="118">
        <f t="shared" si="714"/>
        <v>-0.84199999999999997</v>
      </c>
      <c r="AJ304" s="401">
        <f t="shared" si="714"/>
        <v>-3.3530000000000002</v>
      </c>
      <c r="AK304" s="118"/>
      <c r="AL304" s="118"/>
      <c r="AM304" s="118"/>
      <c r="AN304" s="118"/>
      <c r="AO304" s="401"/>
      <c r="AP304" s="118"/>
      <c r="AQ304" s="118"/>
      <c r="AR304" s="118"/>
      <c r="AS304" s="118"/>
      <c r="AT304" s="401"/>
      <c r="AU304" s="118"/>
      <c r="AV304" s="118"/>
      <c r="AW304" s="118"/>
      <c r="AX304" s="118"/>
      <c r="AY304" s="401"/>
      <c r="AZ304" s="118"/>
      <c r="BA304" s="118"/>
      <c r="BB304" s="118"/>
      <c r="BC304" s="118"/>
      <c r="BD304" s="401"/>
      <c r="BE304" s="118"/>
      <c r="BF304" s="118"/>
      <c r="BG304" s="118"/>
      <c r="BH304" s="118"/>
      <c r="BI304" s="401"/>
      <c r="BJ304" s="971"/>
      <c r="BK304" s="118"/>
      <c r="BL304" s="118"/>
      <c r="BM304" s="118"/>
      <c r="BN304" s="401">
        <f>SUM(BJ304,BK304,BL304,BM304)</f>
        <v>0</v>
      </c>
      <c r="BO304" s="118"/>
      <c r="BP304" s="118"/>
      <c r="BQ304" s="118"/>
      <c r="BR304" s="118"/>
      <c r="BS304" s="401">
        <f>SUM(BO304,BP304,BQ304,BR304)</f>
        <v>0</v>
      </c>
      <c r="BT304" s="401"/>
      <c r="BU304" s="401"/>
      <c r="BV304" s="401"/>
      <c r="BW304" s="118"/>
    </row>
    <row r="305" spans="1:75" s="123" customFormat="1" collapsed="1" x14ac:dyDescent="0.5">
      <c r="A305" s="192" t="s">
        <v>701</v>
      </c>
      <c r="B305" s="495"/>
      <c r="C305" s="518">
        <f t="shared" ref="C305:BN305" si="715">C303+C304</f>
        <v>3102.7040000000002</v>
      </c>
      <c r="D305" s="518">
        <f t="shared" si="715"/>
        <v>3504.1579999999999</v>
      </c>
      <c r="E305" s="518">
        <f t="shared" si="715"/>
        <v>3720.895</v>
      </c>
      <c r="F305" s="518">
        <f t="shared" si="715"/>
        <v>4042.87</v>
      </c>
      <c r="G305" s="327">
        <f t="shared" si="715"/>
        <v>887.80799999999999</v>
      </c>
      <c r="H305" s="327">
        <f t="shared" si="715"/>
        <v>982.20899999999995</v>
      </c>
      <c r="I305" s="327">
        <f t="shared" si="715"/>
        <v>1051.548</v>
      </c>
      <c r="J305" s="327">
        <f t="shared" si="715"/>
        <v>1466.3240000000001</v>
      </c>
      <c r="K305" s="518">
        <f t="shared" si="715"/>
        <v>4387.8890000000001</v>
      </c>
      <c r="L305" s="327">
        <f t="shared" si="715"/>
        <v>974.33</v>
      </c>
      <c r="M305" s="327">
        <f t="shared" si="715"/>
        <v>1039.1020000000001</v>
      </c>
      <c r="N305" s="327">
        <f t="shared" si="715"/>
        <v>1143.162</v>
      </c>
      <c r="O305" s="327">
        <f t="shared" si="715"/>
        <v>1542.125</v>
      </c>
      <c r="P305" s="518">
        <f t="shared" si="715"/>
        <v>4698.7190000000001</v>
      </c>
      <c r="Q305" s="327">
        <f t="shared" si="715"/>
        <v>1030.6759999999999</v>
      </c>
      <c r="R305" s="327">
        <f t="shared" si="715"/>
        <v>1127.028</v>
      </c>
      <c r="S305" s="327">
        <f t="shared" si="715"/>
        <v>1232.0820000000001</v>
      </c>
      <c r="T305" s="327">
        <f t="shared" si="715"/>
        <v>1586.3040000000001</v>
      </c>
      <c r="U305" s="518">
        <f t="shared" si="715"/>
        <v>4976.09</v>
      </c>
      <c r="V305" s="327">
        <f t="shared" si="715"/>
        <v>1097.817</v>
      </c>
      <c r="W305" s="327">
        <f t="shared" si="715"/>
        <v>1159.029</v>
      </c>
      <c r="X305" s="327">
        <f t="shared" si="715"/>
        <v>1245.385</v>
      </c>
      <c r="Y305" s="327">
        <f t="shared" si="715"/>
        <v>1581.5809999999999</v>
      </c>
      <c r="Z305" s="518">
        <f t="shared" si="715"/>
        <v>5083.8119999999999</v>
      </c>
      <c r="AA305" s="327">
        <f t="shared" si="715"/>
        <v>1111.5070000000001</v>
      </c>
      <c r="AB305" s="327">
        <f t="shared" si="715"/>
        <v>1201.606</v>
      </c>
      <c r="AC305" s="327">
        <f t="shared" si="715"/>
        <v>1299.336</v>
      </c>
      <c r="AD305" s="327">
        <f t="shared" si="715"/>
        <v>1679.5020000000002</v>
      </c>
      <c r="AE305" s="518">
        <f t="shared" si="715"/>
        <v>5291.951</v>
      </c>
      <c r="AF305" s="327">
        <f t="shared" si="715"/>
        <v>1202.306</v>
      </c>
      <c r="AG305" s="327">
        <f t="shared" si="715"/>
        <v>1274.4669999999999</v>
      </c>
      <c r="AH305" s="327">
        <f t="shared" si="715"/>
        <v>1355.873</v>
      </c>
      <c r="AI305" s="327">
        <f t="shared" si="715"/>
        <v>1835.5939999999996</v>
      </c>
      <c r="AJ305" s="518">
        <f t="shared" si="715"/>
        <v>5668.24</v>
      </c>
      <c r="AK305" s="327">
        <f t="shared" si="715"/>
        <v>1241.1320000000001</v>
      </c>
      <c r="AL305" s="327">
        <f t="shared" si="715"/>
        <v>1370.8140000000001</v>
      </c>
      <c r="AM305" s="327">
        <f t="shared" si="715"/>
        <v>1442.472</v>
      </c>
      <c r="AN305" s="327">
        <f t="shared" si="715"/>
        <v>1843.5900000000001</v>
      </c>
      <c r="AO305" s="518">
        <f t="shared" si="715"/>
        <v>5898.0079999999998</v>
      </c>
      <c r="AP305" s="327">
        <f t="shared" si="715"/>
        <v>1235.203</v>
      </c>
      <c r="AQ305" s="327">
        <f t="shared" si="715"/>
        <v>1490.777</v>
      </c>
      <c r="AR305" s="327">
        <f t="shared" si="715"/>
        <v>1764.5360000000001</v>
      </c>
      <c r="AS305" s="327">
        <f t="shared" si="715"/>
        <v>2292.6730000000007</v>
      </c>
      <c r="AT305" s="518">
        <f t="shared" si="715"/>
        <v>6783.1890000000003</v>
      </c>
      <c r="AU305" s="327">
        <f t="shared" si="715"/>
        <v>1749.029</v>
      </c>
      <c r="AV305" s="327">
        <f t="shared" si="715"/>
        <v>1948.3389999999999</v>
      </c>
      <c r="AW305" s="327">
        <f t="shared" si="715"/>
        <v>2047.539</v>
      </c>
      <c r="AX305" s="327">
        <f t="shared" si="715"/>
        <v>2501.0289999999995</v>
      </c>
      <c r="AY305" s="518">
        <f t="shared" si="715"/>
        <v>8245.9359999999997</v>
      </c>
      <c r="AZ305" s="327">
        <f t="shared" si="715"/>
        <v>1891.2270000000001</v>
      </c>
      <c r="BA305" s="327">
        <f t="shared" si="715"/>
        <v>2137.5369999999998</v>
      </c>
      <c r="BB305" s="327">
        <f t="shared" si="715"/>
        <v>2192.5740000000001</v>
      </c>
      <c r="BC305" s="327">
        <f t="shared" si="715"/>
        <v>2453.0789999999997</v>
      </c>
      <c r="BD305" s="518">
        <f t="shared" si="715"/>
        <v>8674.4169999999995</v>
      </c>
      <c r="BE305" s="327">
        <f t="shared" si="715"/>
        <v>1755.451</v>
      </c>
      <c r="BF305" s="327">
        <f t="shared" si="715"/>
        <v>1862.614</v>
      </c>
      <c r="BG305" s="327">
        <f t="shared" si="715"/>
        <v>1853.65</v>
      </c>
      <c r="BH305" s="327">
        <f t="shared" si="715"/>
        <v>2278.9369999999999</v>
      </c>
      <c r="BI305" s="518">
        <f t="shared" si="715"/>
        <v>7750.652</v>
      </c>
      <c r="BJ305" s="1026">
        <f>BJ303+BJ304</f>
        <v>1660.348</v>
      </c>
      <c r="BK305" s="327">
        <f t="shared" si="715"/>
        <v>1848.8693661915622</v>
      </c>
      <c r="BL305" s="327">
        <f t="shared" si="715"/>
        <v>1831.1608887139548</v>
      </c>
      <c r="BM305" s="327">
        <f t="shared" si="715"/>
        <v>2383.6962406606276</v>
      </c>
      <c r="BN305" s="518">
        <f t="shared" si="715"/>
        <v>7724.0744955661448</v>
      </c>
      <c r="BO305" s="327">
        <f t="shared" ref="BO305:CF305" si="716">BO303+BO304</f>
        <v>1738.1860565485274</v>
      </c>
      <c r="BP305" s="327">
        <f t="shared" si="716"/>
        <v>1933.4025273877753</v>
      </c>
      <c r="BQ305" s="327">
        <f t="shared" si="716"/>
        <v>1907.2110214273439</v>
      </c>
      <c r="BR305" s="327">
        <f t="shared" si="716"/>
        <v>2338.313228119287</v>
      </c>
      <c r="BS305" s="518">
        <f t="shared" si="716"/>
        <v>7917.1128334829336</v>
      </c>
      <c r="BT305" s="518">
        <f t="shared" si="716"/>
        <v>8429.2975574342017</v>
      </c>
      <c r="BU305" s="518">
        <f t="shared" si="716"/>
        <v>9034.9707388991592</v>
      </c>
      <c r="BV305" s="518">
        <f t="shared" si="716"/>
        <v>9685.510592576069</v>
      </c>
      <c r="BW305" s="118"/>
    </row>
    <row r="306" spans="1:75" s="205" customFormat="1" ht="14.25" x14ac:dyDescent="0.45">
      <c r="A306" s="199" t="s">
        <v>188</v>
      </c>
      <c r="B306" s="490"/>
      <c r="C306" s="414"/>
      <c r="D306" s="414"/>
      <c r="E306" s="414"/>
      <c r="F306" s="414"/>
      <c r="G306" s="413"/>
      <c r="H306" s="413"/>
      <c r="I306" s="413"/>
      <c r="J306" s="413"/>
      <c r="K306" s="414"/>
      <c r="L306" s="413"/>
      <c r="M306" s="413"/>
      <c r="N306" s="413"/>
      <c r="O306" s="413"/>
      <c r="P306" s="414"/>
      <c r="Q306" s="413"/>
      <c r="R306" s="413"/>
      <c r="S306" s="413"/>
      <c r="T306" s="413"/>
      <c r="U306" s="414"/>
      <c r="V306" s="413"/>
      <c r="W306" s="413"/>
      <c r="X306" s="413"/>
      <c r="Y306" s="413"/>
      <c r="Z306" s="414"/>
      <c r="AA306" s="413"/>
      <c r="AB306" s="413"/>
      <c r="AC306" s="413"/>
      <c r="AD306" s="413"/>
      <c r="AE306" s="414"/>
      <c r="AF306" s="413"/>
      <c r="AG306" s="413"/>
      <c r="AH306" s="413"/>
      <c r="AI306" s="413"/>
      <c r="AJ306" s="414"/>
      <c r="AK306" s="413"/>
      <c r="AL306" s="413"/>
      <c r="AM306" s="413"/>
      <c r="AN306" s="413"/>
      <c r="AO306" s="414"/>
      <c r="AP306" s="413"/>
      <c r="AQ306" s="413"/>
      <c r="AR306" s="413"/>
      <c r="AS306" s="413"/>
      <c r="AT306" s="414"/>
      <c r="AU306" s="413"/>
      <c r="AV306" s="413"/>
      <c r="AW306" s="413"/>
      <c r="AX306" s="413"/>
      <c r="AY306" s="414"/>
      <c r="AZ306" s="413"/>
      <c r="BA306" s="413"/>
      <c r="BB306" s="413"/>
      <c r="BC306" s="413"/>
      <c r="BD306" s="414"/>
      <c r="BE306" s="413"/>
      <c r="BF306" s="413"/>
      <c r="BG306" s="413"/>
      <c r="BH306" s="413"/>
      <c r="BI306" s="414"/>
      <c r="BJ306" s="1216"/>
      <c r="BK306" s="202" t="str">
        <f t="shared" ref="BK306:BV306" ca="1" si="717">BK752</f>
        <v>N/A</v>
      </c>
      <c r="BL306" s="202" t="str">
        <f t="shared" ca="1" si="717"/>
        <v>N/A</v>
      </c>
      <c r="BM306" s="202" t="str">
        <f t="shared" ca="1" si="717"/>
        <v>N/A</v>
      </c>
      <c r="BN306" s="201" t="str">
        <f t="shared" ca="1" si="717"/>
        <v>N/A</v>
      </c>
      <c r="BO306" s="202" t="str">
        <f t="shared" ca="1" si="717"/>
        <v>N/A</v>
      </c>
      <c r="BP306" s="202" t="str">
        <f t="shared" ca="1" si="717"/>
        <v>N/A</v>
      </c>
      <c r="BQ306" s="202" t="str">
        <f t="shared" ca="1" si="717"/>
        <v>N/A</v>
      </c>
      <c r="BR306" s="202" t="str">
        <f t="shared" ca="1" si="717"/>
        <v>N/A</v>
      </c>
      <c r="BS306" s="201" t="str">
        <f t="shared" ca="1" si="717"/>
        <v>N/A</v>
      </c>
      <c r="BT306" s="201" t="str">
        <f t="shared" ca="1" si="717"/>
        <v>N/A</v>
      </c>
      <c r="BU306" s="201" t="str">
        <f t="shared" ca="1" si="717"/>
        <v>N/A</v>
      </c>
      <c r="BV306" s="201" t="str">
        <f t="shared" ca="1" si="717"/>
        <v>N/A</v>
      </c>
      <c r="BW306" s="413"/>
    </row>
    <row r="307" spans="1:75" s="205" customFormat="1" ht="14.25" x14ac:dyDescent="0.45">
      <c r="A307" s="199" t="s">
        <v>702</v>
      </c>
      <c r="B307" s="490"/>
      <c r="C307" s="414"/>
      <c r="D307" s="414">
        <f t="shared" ref="D307:F307" si="718">D305-C305</f>
        <v>401.45399999999972</v>
      </c>
      <c r="E307" s="414">
        <f t="shared" si="718"/>
        <v>216.73700000000008</v>
      </c>
      <c r="F307" s="414">
        <f t="shared" si="718"/>
        <v>321.97499999999991</v>
      </c>
      <c r="G307" s="413"/>
      <c r="H307" s="413"/>
      <c r="I307" s="413"/>
      <c r="J307" s="413"/>
      <c r="K307" s="414">
        <f t="shared" ref="K307:BS307" si="719">K305-F305</f>
        <v>345.01900000000023</v>
      </c>
      <c r="L307" s="413">
        <f t="shared" si="719"/>
        <v>86.522000000000048</v>
      </c>
      <c r="M307" s="413">
        <f t="shared" si="719"/>
        <v>56.893000000000143</v>
      </c>
      <c r="N307" s="413">
        <f t="shared" si="719"/>
        <v>91.614000000000033</v>
      </c>
      <c r="O307" s="413">
        <f t="shared" si="719"/>
        <v>75.800999999999931</v>
      </c>
      <c r="P307" s="414">
        <f t="shared" si="719"/>
        <v>310.82999999999993</v>
      </c>
      <c r="Q307" s="413">
        <f t="shared" si="719"/>
        <v>56.34599999999989</v>
      </c>
      <c r="R307" s="413">
        <f t="shared" si="719"/>
        <v>87.925999999999931</v>
      </c>
      <c r="S307" s="413">
        <f t="shared" si="719"/>
        <v>88.920000000000073</v>
      </c>
      <c r="T307" s="413">
        <f t="shared" si="719"/>
        <v>44.179000000000087</v>
      </c>
      <c r="U307" s="414">
        <f t="shared" si="719"/>
        <v>277.37100000000009</v>
      </c>
      <c r="V307" s="413">
        <f t="shared" si="719"/>
        <v>67.141000000000076</v>
      </c>
      <c r="W307" s="413">
        <f t="shared" si="719"/>
        <v>32.000999999999976</v>
      </c>
      <c r="X307" s="413">
        <f t="shared" si="719"/>
        <v>13.302999999999884</v>
      </c>
      <c r="Y307" s="413">
        <f t="shared" si="719"/>
        <v>-4.7230000000001837</v>
      </c>
      <c r="Z307" s="414">
        <f t="shared" si="719"/>
        <v>107.72199999999975</v>
      </c>
      <c r="AA307" s="413">
        <f t="shared" si="719"/>
        <v>13.690000000000055</v>
      </c>
      <c r="AB307" s="413">
        <f t="shared" si="719"/>
        <v>42.576999999999998</v>
      </c>
      <c r="AC307" s="413">
        <f t="shared" si="719"/>
        <v>53.951000000000022</v>
      </c>
      <c r="AD307" s="413">
        <f t="shared" si="719"/>
        <v>97.921000000000276</v>
      </c>
      <c r="AE307" s="414">
        <f t="shared" si="719"/>
        <v>208.13900000000012</v>
      </c>
      <c r="AF307" s="413">
        <f t="shared" si="719"/>
        <v>90.798999999999978</v>
      </c>
      <c r="AG307" s="413">
        <f t="shared" si="719"/>
        <v>72.860999999999876</v>
      </c>
      <c r="AH307" s="413">
        <f t="shared" si="719"/>
        <v>56.537000000000035</v>
      </c>
      <c r="AI307" s="413">
        <f t="shared" si="719"/>
        <v>156.09199999999942</v>
      </c>
      <c r="AJ307" s="414">
        <f t="shared" si="719"/>
        <v>376.28899999999976</v>
      </c>
      <c r="AK307" s="413">
        <f t="shared" si="719"/>
        <v>38.826000000000022</v>
      </c>
      <c r="AL307" s="413">
        <f t="shared" si="719"/>
        <v>96.347000000000207</v>
      </c>
      <c r="AM307" s="413">
        <f t="shared" si="719"/>
        <v>86.598999999999933</v>
      </c>
      <c r="AN307" s="413">
        <f t="shared" si="719"/>
        <v>7.9960000000005493</v>
      </c>
      <c r="AO307" s="414">
        <f t="shared" si="719"/>
        <v>229.76800000000003</v>
      </c>
      <c r="AP307" s="413">
        <f t="shared" si="719"/>
        <v>-5.9290000000000873</v>
      </c>
      <c r="AQ307" s="413">
        <f t="shared" si="719"/>
        <v>119.96299999999997</v>
      </c>
      <c r="AR307" s="413">
        <f t="shared" si="719"/>
        <v>322.06400000000008</v>
      </c>
      <c r="AS307" s="413">
        <f t="shared" si="719"/>
        <v>449.08300000000054</v>
      </c>
      <c r="AT307" s="414">
        <f t="shared" si="719"/>
        <v>885.18100000000049</v>
      </c>
      <c r="AU307" s="413">
        <f t="shared" si="719"/>
        <v>513.82600000000002</v>
      </c>
      <c r="AV307" s="413">
        <f t="shared" si="719"/>
        <v>457.5619999999999</v>
      </c>
      <c r="AW307" s="413">
        <f t="shared" si="719"/>
        <v>283.00299999999993</v>
      </c>
      <c r="AX307" s="413">
        <f t="shared" si="719"/>
        <v>208.35599999999886</v>
      </c>
      <c r="AY307" s="414">
        <f t="shared" si="719"/>
        <v>1462.7469999999994</v>
      </c>
      <c r="AZ307" s="413">
        <f t="shared" si="719"/>
        <v>142.19800000000009</v>
      </c>
      <c r="BA307" s="413">
        <f t="shared" si="719"/>
        <v>189.19799999999987</v>
      </c>
      <c r="BB307" s="413">
        <f t="shared" si="719"/>
        <v>145.03500000000008</v>
      </c>
      <c r="BC307" s="413">
        <f t="shared" si="719"/>
        <v>-47.949999999999818</v>
      </c>
      <c r="BD307" s="414">
        <f t="shared" si="719"/>
        <v>428.48099999999977</v>
      </c>
      <c r="BE307" s="413">
        <f t="shared" si="719"/>
        <v>-135.77600000000007</v>
      </c>
      <c r="BF307" s="413">
        <f t="shared" si="719"/>
        <v>-274.92299999999977</v>
      </c>
      <c r="BG307" s="413">
        <f t="shared" si="719"/>
        <v>-338.92399999999998</v>
      </c>
      <c r="BH307" s="413">
        <f t="shared" si="719"/>
        <v>-174.14199999999983</v>
      </c>
      <c r="BI307" s="414">
        <f t="shared" si="719"/>
        <v>-923.76499999999942</v>
      </c>
      <c r="BJ307" s="1216">
        <f>BJ305-BE305</f>
        <v>-95.103000000000065</v>
      </c>
      <c r="BK307" s="413">
        <f t="shared" si="719"/>
        <v>-13.744633808437811</v>
      </c>
      <c r="BL307" s="413">
        <f t="shared" si="719"/>
        <v>-22.489111286045272</v>
      </c>
      <c r="BM307" s="413">
        <f t="shared" si="719"/>
        <v>104.75924066062771</v>
      </c>
      <c r="BN307" s="414">
        <f t="shared" si="719"/>
        <v>-26.577504433855211</v>
      </c>
      <c r="BO307" s="413">
        <f t="shared" si="719"/>
        <v>77.838056548527447</v>
      </c>
      <c r="BP307" s="413">
        <f t="shared" si="719"/>
        <v>84.533161196213086</v>
      </c>
      <c r="BQ307" s="413">
        <f t="shared" si="719"/>
        <v>76.050132713389075</v>
      </c>
      <c r="BR307" s="413">
        <f t="shared" si="719"/>
        <v>-45.383012541340577</v>
      </c>
      <c r="BS307" s="414">
        <f t="shared" si="719"/>
        <v>193.03833791678881</v>
      </c>
      <c r="BT307" s="414">
        <f>BT305-BS305</f>
        <v>512.1847239512681</v>
      </c>
      <c r="BU307" s="414">
        <f>BU305-BT305</f>
        <v>605.67318146495745</v>
      </c>
      <c r="BV307" s="414">
        <f>BV305-BU305</f>
        <v>650.53985367690984</v>
      </c>
      <c r="BW307" s="413"/>
    </row>
    <row r="308" spans="1:75" s="177" customFormat="1" ht="14.25" x14ac:dyDescent="0.45">
      <c r="A308" s="170" t="s">
        <v>703</v>
      </c>
      <c r="B308" s="491"/>
      <c r="C308" s="417"/>
      <c r="D308" s="417">
        <f t="shared" ref="D308:F308" si="720">D305/C305-1</f>
        <v>0.12938843022086521</v>
      </c>
      <c r="E308" s="417">
        <f t="shared" si="720"/>
        <v>6.1851377706142241E-2</v>
      </c>
      <c r="F308" s="417">
        <f t="shared" si="720"/>
        <v>8.6531600596093217E-2</v>
      </c>
      <c r="G308" s="378"/>
      <c r="H308" s="378"/>
      <c r="I308" s="378"/>
      <c r="J308" s="378"/>
      <c r="K308" s="417">
        <f t="shared" ref="K308:BS308" si="721">K305/F305-1</f>
        <v>8.5340117292913353E-2</v>
      </c>
      <c r="L308" s="378">
        <f t="shared" si="721"/>
        <v>9.7455756199538612E-2</v>
      </c>
      <c r="M308" s="378">
        <f t="shared" si="721"/>
        <v>5.7923517296217142E-2</v>
      </c>
      <c r="N308" s="378">
        <f t="shared" si="721"/>
        <v>8.7122984400141545E-2</v>
      </c>
      <c r="O308" s="378">
        <f t="shared" si="721"/>
        <v>5.1694577733161218E-2</v>
      </c>
      <c r="P308" s="417">
        <f t="shared" si="721"/>
        <v>7.0838163864218151E-2</v>
      </c>
      <c r="Q308" s="378">
        <f t="shared" si="721"/>
        <v>5.783050917040411E-2</v>
      </c>
      <c r="R308" s="378">
        <f t="shared" si="721"/>
        <v>8.461729454856215E-2</v>
      </c>
      <c r="S308" s="378">
        <f t="shared" si="721"/>
        <v>7.778425105103226E-2</v>
      </c>
      <c r="T308" s="378">
        <f t="shared" si="721"/>
        <v>2.8648131636540564E-2</v>
      </c>
      <c r="U308" s="417">
        <f t="shared" si="721"/>
        <v>5.9031195523716162E-2</v>
      </c>
      <c r="V308" s="378">
        <f t="shared" si="721"/>
        <v>6.5142683054616679E-2</v>
      </c>
      <c r="W308" s="378">
        <f t="shared" si="721"/>
        <v>2.8394148148936926E-2</v>
      </c>
      <c r="X308" s="378">
        <f t="shared" si="721"/>
        <v>1.0797170967516756E-2</v>
      </c>
      <c r="Y308" s="378">
        <f t="shared" si="721"/>
        <v>-2.9773612119746717E-3</v>
      </c>
      <c r="Z308" s="417">
        <f t="shared" si="721"/>
        <v>2.1647920355138295E-2</v>
      </c>
      <c r="AA308" s="378">
        <f t="shared" si="721"/>
        <v>1.2470202228604732E-2</v>
      </c>
      <c r="AB308" s="378">
        <f t="shared" si="721"/>
        <v>3.6735060123603391E-2</v>
      </c>
      <c r="AC308" s="378">
        <f t="shared" si="721"/>
        <v>4.3320740172717587E-2</v>
      </c>
      <c r="AD308" s="378">
        <f t="shared" si="721"/>
        <v>6.1913363906116903E-2</v>
      </c>
      <c r="AE308" s="417">
        <f t="shared" si="721"/>
        <v>4.0941521834403138E-2</v>
      </c>
      <c r="AF308" s="378">
        <f t="shared" si="721"/>
        <v>8.168999385518938E-2</v>
      </c>
      <c r="AG308" s="378">
        <f t="shared" si="721"/>
        <v>6.0636348353786396E-2</v>
      </c>
      <c r="AH308" s="378">
        <f t="shared" si="721"/>
        <v>4.3512224705541946E-2</v>
      </c>
      <c r="AI308" s="378">
        <f t="shared" si="721"/>
        <v>9.2939454671682187E-2</v>
      </c>
      <c r="AJ308" s="417">
        <f t="shared" si="721"/>
        <v>7.110591160046642E-2</v>
      </c>
      <c r="AK308" s="378">
        <f t="shared" si="721"/>
        <v>3.229294372647229E-2</v>
      </c>
      <c r="AL308" s="378">
        <f t="shared" si="721"/>
        <v>7.5597877387174606E-2</v>
      </c>
      <c r="AM308" s="378">
        <f t="shared" si="721"/>
        <v>6.3869551204279507E-2</v>
      </c>
      <c r="AN308" s="378">
        <f t="shared" si="721"/>
        <v>4.3560830989861632E-3</v>
      </c>
      <c r="AO308" s="417">
        <f t="shared" si="721"/>
        <v>4.0536039405529856E-2</v>
      </c>
      <c r="AP308" s="378">
        <f t="shared" si="721"/>
        <v>-4.7770905914923389E-3</v>
      </c>
      <c r="AQ308" s="378">
        <f t="shared" si="721"/>
        <v>8.7512237254653069E-2</v>
      </c>
      <c r="AR308" s="378">
        <f t="shared" si="721"/>
        <v>0.22327227148949857</v>
      </c>
      <c r="AS308" s="378">
        <f t="shared" si="721"/>
        <v>0.24359157947265953</v>
      </c>
      <c r="AT308" s="417">
        <f t="shared" si="721"/>
        <v>0.15008134949969554</v>
      </c>
      <c r="AU308" s="378">
        <f t="shared" si="721"/>
        <v>0.41598506480311337</v>
      </c>
      <c r="AV308" s="378">
        <f t="shared" si="721"/>
        <v>0.30692853458297242</v>
      </c>
      <c r="AW308" s="378">
        <f t="shared" si="721"/>
        <v>0.16038380628108451</v>
      </c>
      <c r="AX308" s="378">
        <f t="shared" si="721"/>
        <v>9.0879074338119148E-2</v>
      </c>
      <c r="AY308" s="417">
        <f t="shared" si="721"/>
        <v>0.21564296675206895</v>
      </c>
      <c r="AZ308" s="378">
        <f t="shared" si="721"/>
        <v>8.1301110501884155E-2</v>
      </c>
      <c r="BA308" s="378">
        <f t="shared" si="721"/>
        <v>9.7107330911099021E-2</v>
      </c>
      <c r="BB308" s="378">
        <f t="shared" si="721"/>
        <v>7.0833815619629314E-2</v>
      </c>
      <c r="BC308" s="378">
        <f t="shared" si="721"/>
        <v>-1.9172108760034279E-2</v>
      </c>
      <c r="BD308" s="417">
        <f t="shared" si="721"/>
        <v>5.1962688044146832E-2</v>
      </c>
      <c r="BE308" s="378">
        <f t="shared" si="721"/>
        <v>-7.1792545262943097E-2</v>
      </c>
      <c r="BF308" s="378">
        <f t="shared" si="721"/>
        <v>-0.12861672102050159</v>
      </c>
      <c r="BG308" s="378">
        <f t="shared" si="721"/>
        <v>-0.15457813510513208</v>
      </c>
      <c r="BH308" s="378">
        <f t="shared" si="721"/>
        <v>-7.098915281570628E-2</v>
      </c>
      <c r="BI308" s="417">
        <f t="shared" si="721"/>
        <v>-0.1064930357855749</v>
      </c>
      <c r="BJ308" s="1130">
        <f>BJ305/BE305-1</f>
        <v>-5.4175821484051756E-2</v>
      </c>
      <c r="BK308" s="378">
        <f t="shared" si="721"/>
        <v>-7.3792174913523967E-3</v>
      </c>
      <c r="BL308" s="378">
        <f t="shared" si="721"/>
        <v>-1.2132339592719865E-2</v>
      </c>
      <c r="BM308" s="378">
        <f t="shared" si="721"/>
        <v>4.5968467167204485E-2</v>
      </c>
      <c r="BN308" s="417">
        <f t="shared" si="721"/>
        <v>-3.4290669267379448E-3</v>
      </c>
      <c r="BO308" s="378">
        <f t="shared" si="721"/>
        <v>4.6880567536761841E-2</v>
      </c>
      <c r="BP308" s="378">
        <f t="shared" si="721"/>
        <v>4.5721543523835173E-2</v>
      </c>
      <c r="BQ308" s="378">
        <f t="shared" si="721"/>
        <v>4.1531103674238068E-2</v>
      </c>
      <c r="BR308" s="378">
        <f t="shared" si="721"/>
        <v>-1.9038924409581215E-2</v>
      </c>
      <c r="BS308" s="417">
        <f t="shared" si="721"/>
        <v>2.49917757820175E-2</v>
      </c>
      <c r="BT308" s="417">
        <f>BT305/BS305-1</f>
        <v>6.4693371778806075E-2</v>
      </c>
      <c r="BU308" s="417">
        <f>BU305/BT305-1</f>
        <v>7.1853339775718839E-2</v>
      </c>
      <c r="BV308" s="417">
        <f>BV305/BU305-1</f>
        <v>7.2002430608444135E-2</v>
      </c>
      <c r="BW308" s="378"/>
    </row>
    <row r="309" spans="1:75" s="123" customFormat="1" x14ac:dyDescent="0.5">
      <c r="A309" s="206"/>
      <c r="B309" s="485"/>
      <c r="C309" s="397"/>
      <c r="D309" s="397"/>
      <c r="E309" s="397"/>
      <c r="F309" s="397"/>
      <c r="G309" s="295"/>
      <c r="H309" s="295"/>
      <c r="I309" s="295"/>
      <c r="J309" s="295"/>
      <c r="K309" s="397"/>
      <c r="L309" s="295"/>
      <c r="M309" s="295"/>
      <c r="N309" s="295"/>
      <c r="O309" s="295"/>
      <c r="P309" s="397"/>
      <c r="Q309" s="295"/>
      <c r="R309" s="295"/>
      <c r="S309" s="295"/>
      <c r="T309" s="295"/>
      <c r="U309" s="397"/>
      <c r="V309" s="295"/>
      <c r="W309" s="295"/>
      <c r="X309" s="295"/>
      <c r="Y309" s="295"/>
      <c r="Z309" s="397"/>
      <c r="AA309" s="295"/>
      <c r="AB309" s="295"/>
      <c r="AC309" s="295"/>
      <c r="AD309" s="295"/>
      <c r="AE309" s="397"/>
      <c r="AF309" s="295"/>
      <c r="AG309" s="295"/>
      <c r="AH309" s="295"/>
      <c r="AI309" s="295"/>
      <c r="AJ309" s="397"/>
      <c r="AK309" s="295"/>
      <c r="AL309" s="295"/>
      <c r="AM309" s="295"/>
      <c r="AN309" s="295"/>
      <c r="AO309" s="397"/>
      <c r="AP309" s="295"/>
      <c r="AQ309" s="295"/>
      <c r="AR309" s="295"/>
      <c r="AS309" s="295"/>
      <c r="AT309" s="397"/>
      <c r="AU309" s="295"/>
      <c r="AV309" s="295"/>
      <c r="AW309" s="295"/>
      <c r="AX309" s="295"/>
      <c r="AY309" s="397"/>
      <c r="AZ309" s="295"/>
      <c r="BA309" s="295"/>
      <c r="BB309" s="295"/>
      <c r="BC309" s="295"/>
      <c r="BD309" s="397"/>
      <c r="BE309" s="295"/>
      <c r="BF309" s="295"/>
      <c r="BG309" s="295"/>
      <c r="BH309" s="295"/>
      <c r="BI309" s="397"/>
      <c r="BJ309" s="1030"/>
      <c r="BK309" s="295"/>
      <c r="BL309" s="295"/>
      <c r="BM309" s="295"/>
      <c r="BN309" s="397"/>
      <c r="BO309" s="295"/>
      <c r="BP309" s="295"/>
      <c r="BQ309" s="295"/>
      <c r="BR309" s="295"/>
      <c r="BS309" s="397"/>
      <c r="BT309" s="397"/>
      <c r="BU309" s="397"/>
      <c r="BV309" s="397"/>
      <c r="BW309" s="118"/>
    </row>
    <row r="310" spans="1:75" s="123" customFormat="1" x14ac:dyDescent="0.5">
      <c r="A310" s="464" t="s">
        <v>1851</v>
      </c>
      <c r="B310" s="489"/>
      <c r="C310" s="403">
        <v>519.22400000000005</v>
      </c>
      <c r="D310" s="403">
        <v>506.71199999999999</v>
      </c>
      <c r="E310" s="403">
        <v>500.66</v>
      </c>
      <c r="F310" s="403">
        <v>517.29999999999995</v>
      </c>
      <c r="G310" s="302">
        <v>133.005</v>
      </c>
      <c r="H310" s="302">
        <v>138.06800000000001</v>
      </c>
      <c r="I310" s="302">
        <v>141.892</v>
      </c>
      <c r="J310" s="122">
        <f>K310-SUM(G310,H310,I310)</f>
        <v>148.62100000000004</v>
      </c>
      <c r="K310" s="403">
        <v>561.58600000000001</v>
      </c>
      <c r="L310" s="302">
        <v>146.43899999999999</v>
      </c>
      <c r="M310" s="302">
        <v>148.142</v>
      </c>
      <c r="N310" s="302">
        <v>153.97499999999999</v>
      </c>
      <c r="O310" s="122">
        <f>P310-SUM(L310,M310,N310)</f>
        <v>154.80099999999993</v>
      </c>
      <c r="P310" s="403">
        <v>603.35699999999997</v>
      </c>
      <c r="Q310" s="302">
        <v>151.45099999999999</v>
      </c>
      <c r="R310" s="302">
        <v>155.99299999999999</v>
      </c>
      <c r="S310" s="302">
        <v>159.41499999999999</v>
      </c>
      <c r="T310" s="122">
        <f>U310-SUM(Q310,R310,S310)</f>
        <v>164.95800000000008</v>
      </c>
      <c r="U310" s="403">
        <v>631.81700000000001</v>
      </c>
      <c r="V310" s="302">
        <v>162.01900000000001</v>
      </c>
      <c r="W310" s="302">
        <v>164.702</v>
      </c>
      <c r="X310" s="302">
        <v>168.02</v>
      </c>
      <c r="Y310" s="122">
        <f>Z310-SUM(V310,W310,X310)</f>
        <v>169.43600000000004</v>
      </c>
      <c r="Z310" s="403">
        <v>664.17700000000002</v>
      </c>
      <c r="AA310" s="302">
        <v>167.49299999999999</v>
      </c>
      <c r="AB310" s="302">
        <v>168.35900000000001</v>
      </c>
      <c r="AC310" s="302">
        <v>171.161</v>
      </c>
      <c r="AD310" s="122">
        <f>AE310-SUM(AA310,AB310,AC310)</f>
        <v>176.94499999999999</v>
      </c>
      <c r="AE310" s="403">
        <v>683.95799999999997</v>
      </c>
      <c r="AF310" s="302">
        <v>173.48500000000001</v>
      </c>
      <c r="AG310" s="302">
        <v>170.798</v>
      </c>
      <c r="AH310" s="302">
        <v>177.261</v>
      </c>
      <c r="AI310" s="122">
        <f>AJ310-SUM(AF310,AG310,AH310)</f>
        <v>180.99300000000005</v>
      </c>
      <c r="AJ310" s="403">
        <v>702.53700000000003</v>
      </c>
      <c r="AK310" s="302">
        <v>173.85300000000001</v>
      </c>
      <c r="AL310" s="302">
        <v>176.81399999999999</v>
      </c>
      <c r="AM310" s="302">
        <v>179.23699999999999</v>
      </c>
      <c r="AN310" s="122">
        <f>AO310-SUM(AK310,AL310,AM310)</f>
        <v>180.61900000000003</v>
      </c>
      <c r="AO310" s="403">
        <v>710.52300000000002</v>
      </c>
      <c r="AP310" s="302">
        <v>174.87299999999999</v>
      </c>
      <c r="AQ310" s="302">
        <v>166.22200000000001</v>
      </c>
      <c r="AR310" s="302">
        <v>174.18899999999999</v>
      </c>
      <c r="AS310" s="122">
        <f>AT310-SUM(AP310,AQ310,AR310)</f>
        <v>181.01599999999996</v>
      </c>
      <c r="AT310" s="403">
        <v>696.3</v>
      </c>
      <c r="AU310" s="302">
        <v>175.7</v>
      </c>
      <c r="AV310" s="302">
        <v>176</v>
      </c>
      <c r="AW310" s="302">
        <v>183.1</v>
      </c>
      <c r="AX310" s="118">
        <f>AY310-SUM(AU310,AV310,AW310)</f>
        <v>193.20000000000005</v>
      </c>
      <c r="AY310" s="403">
        <v>728</v>
      </c>
      <c r="AZ310" s="302">
        <v>186.40600000000001</v>
      </c>
      <c r="BA310" s="302">
        <v>192.964</v>
      </c>
      <c r="BB310" s="302">
        <v>202.34</v>
      </c>
      <c r="BC310" s="118">
        <f>BD310-SUM(AZ310,BA310,BB310)</f>
        <v>203.71499999999992</v>
      </c>
      <c r="BD310" s="403">
        <v>785.42499999999995</v>
      </c>
      <c r="BE310" s="302">
        <v>202.61199999999999</v>
      </c>
      <c r="BF310" s="302">
        <v>203.25899999999999</v>
      </c>
      <c r="BG310" s="302">
        <v>200.399</v>
      </c>
      <c r="BH310" s="118">
        <f>BI310-SUM(BE310,BF310,BG310)</f>
        <v>208.01999999999998</v>
      </c>
      <c r="BI310" s="403">
        <v>814.29</v>
      </c>
      <c r="BJ310" s="1207">
        <v>196.155</v>
      </c>
      <c r="BK310" s="118">
        <f>BJ310*(1+BK311)</f>
        <v>197.13577499999997</v>
      </c>
      <c r="BL310" s="118">
        <f>BK310*(1+BL311)</f>
        <v>198.12145387499996</v>
      </c>
      <c r="BM310" s="118">
        <f>BL310*(1+BM311)</f>
        <v>199.11206114437493</v>
      </c>
      <c r="BN310" s="401">
        <f>SUM(BJ310,BK310,BL310,BM310)</f>
        <v>790.5242900193748</v>
      </c>
      <c r="BO310" s="118">
        <f>BM310*(1+BO311)</f>
        <v>200.10762145009679</v>
      </c>
      <c r="BP310" s="118">
        <f>BO310*(1+BP311)</f>
        <v>201.10815955734725</v>
      </c>
      <c r="BQ310" s="118">
        <f>BP310*(1+BQ311)</f>
        <v>202.11370035513397</v>
      </c>
      <c r="BR310" s="118">
        <f>BQ310*(1+BR311)</f>
        <v>203.12426885690962</v>
      </c>
      <c r="BS310" s="401">
        <f>SUM(BO310,BP310,BQ310,BR310)</f>
        <v>806.45375021948757</v>
      </c>
      <c r="BT310" s="401">
        <f>BS310*(1+BT312)</f>
        <v>830.64736272607217</v>
      </c>
      <c r="BU310" s="401">
        <f>BT310*(1+BU312)</f>
        <v>855.5667836078544</v>
      </c>
      <c r="BV310" s="401">
        <f>BU310*(1+BV312)</f>
        <v>881.23378711609007</v>
      </c>
      <c r="BW310" s="122"/>
    </row>
    <row r="311" spans="1:75" s="177" customFormat="1" ht="14.25" x14ac:dyDescent="0.45">
      <c r="A311" s="189" t="s">
        <v>1852</v>
      </c>
      <c r="B311" s="491"/>
      <c r="C311" s="417"/>
      <c r="D311" s="417"/>
      <c r="E311" s="417"/>
      <c r="F311" s="417"/>
      <c r="G311" s="378"/>
      <c r="H311" s="378">
        <f>H310/G310-1</f>
        <v>3.8066238111349238E-2</v>
      </c>
      <c r="I311" s="378">
        <f>I310/H310-1</f>
        <v>2.7696497378103313E-2</v>
      </c>
      <c r="J311" s="378">
        <f>J310/I310-1</f>
        <v>4.7423392439320367E-2</v>
      </c>
      <c r="K311" s="417"/>
      <c r="L311" s="378">
        <f>L310/J310-1</f>
        <v>-1.46816398759263E-2</v>
      </c>
      <c r="M311" s="378">
        <f>M310/L310-1</f>
        <v>1.1629415661128517E-2</v>
      </c>
      <c r="N311" s="378">
        <f>N310/M310-1</f>
        <v>3.9374384036937604E-2</v>
      </c>
      <c r="O311" s="378">
        <f>O310/N310-1</f>
        <v>5.3645072251984338E-3</v>
      </c>
      <c r="P311" s="417"/>
      <c r="Q311" s="378">
        <f>Q310/O310-1</f>
        <v>-2.1640687075664466E-2</v>
      </c>
      <c r="R311" s="378">
        <f>R310/Q310-1</f>
        <v>2.998989772269578E-2</v>
      </c>
      <c r="S311" s="378">
        <f>S310/R310-1</f>
        <v>2.1936881783156892E-2</v>
      </c>
      <c r="T311" s="378">
        <f>T310/S310-1</f>
        <v>3.4770881033780343E-2</v>
      </c>
      <c r="U311" s="417"/>
      <c r="V311" s="378">
        <f>V310/T310-1</f>
        <v>-1.7816656361013594E-2</v>
      </c>
      <c r="W311" s="378">
        <f>W310/V310-1</f>
        <v>1.6559786197914983E-2</v>
      </c>
      <c r="X311" s="378">
        <f>X310/W310-1</f>
        <v>2.0145474857621748E-2</v>
      </c>
      <c r="Y311" s="378">
        <f>Y310/X310-1</f>
        <v>8.4275681466494667E-3</v>
      </c>
      <c r="Z311" s="417"/>
      <c r="AA311" s="378">
        <f>AA310/Y310-1</f>
        <v>-1.1467456738827875E-2</v>
      </c>
      <c r="AB311" s="378">
        <f>AB310/AA310-1</f>
        <v>5.1703653287002993E-3</v>
      </c>
      <c r="AC311" s="378">
        <f>AC310/AB310-1</f>
        <v>1.6643006907857583E-2</v>
      </c>
      <c r="AD311" s="378">
        <f>AD310/AC310-1</f>
        <v>3.3792744842574995E-2</v>
      </c>
      <c r="AE311" s="417"/>
      <c r="AF311" s="378">
        <f>AF310/AD310-1</f>
        <v>-1.955409873124403E-2</v>
      </c>
      <c r="AG311" s="378">
        <f>AG310/AF310-1</f>
        <v>-1.5488370752514746E-2</v>
      </c>
      <c r="AH311" s="378">
        <f>AH310/AG310-1</f>
        <v>3.7840021545919811E-2</v>
      </c>
      <c r="AI311" s="378">
        <f>AI310/AH310-1</f>
        <v>2.1053700475570203E-2</v>
      </c>
      <c r="AJ311" s="417"/>
      <c r="AK311" s="378">
        <f>AK310/AI310-1</f>
        <v>-3.9449039465614955E-2</v>
      </c>
      <c r="AL311" s="378">
        <f>AL310/AK310-1</f>
        <v>1.703163017031617E-2</v>
      </c>
      <c r="AM311" s="378">
        <f>AM310/AL310-1</f>
        <v>1.370366599929862E-2</v>
      </c>
      <c r="AN311" s="378">
        <f>AN310/AM310-1</f>
        <v>7.7104615676453214E-3</v>
      </c>
      <c r="AO311" s="417"/>
      <c r="AP311" s="378">
        <f>AP310/AN310-1</f>
        <v>-3.1812821463965801E-2</v>
      </c>
      <c r="AQ311" s="378">
        <f>AQ310/AP310-1</f>
        <v>-4.9470186935661742E-2</v>
      </c>
      <c r="AR311" s="378">
        <f>AR310/AQ310-1</f>
        <v>4.7929876911600111E-2</v>
      </c>
      <c r="AS311" s="378">
        <f>AS310/AR310-1</f>
        <v>3.9193060411392144E-2</v>
      </c>
      <c r="AT311" s="417"/>
      <c r="AU311" s="378">
        <f>AU310/AS310-1</f>
        <v>-2.9367569717593911E-2</v>
      </c>
      <c r="AV311" s="378">
        <f>AV310/AU310-1</f>
        <v>1.7074558907228532E-3</v>
      </c>
      <c r="AW311" s="378">
        <f>AW310/AV310-1</f>
        <v>4.0340909090909038E-2</v>
      </c>
      <c r="AX311" s="378">
        <f>AX310/AW310-1</f>
        <v>5.5161114145276136E-2</v>
      </c>
      <c r="AY311" s="417"/>
      <c r="AZ311" s="378">
        <f>AZ310/AX310-1</f>
        <v>-3.516563146997953E-2</v>
      </c>
      <c r="BA311" s="378">
        <f>BA310/AZ310-1</f>
        <v>3.5181270989131264E-2</v>
      </c>
      <c r="BB311" s="378">
        <f>BB310/BA310-1</f>
        <v>4.8589374183785505E-2</v>
      </c>
      <c r="BC311" s="378">
        <f>BC310/BB310-1</f>
        <v>6.7954927350000194E-3</v>
      </c>
      <c r="BD311" s="417"/>
      <c r="BE311" s="378">
        <f>BE310/BC310-1</f>
        <v>-5.4144270181376575E-3</v>
      </c>
      <c r="BF311" s="378">
        <f>BF310/BE310-1</f>
        <v>3.1932955599864865E-3</v>
      </c>
      <c r="BG311" s="378">
        <f>BG310/BF310-1</f>
        <v>-1.4070717655798703E-2</v>
      </c>
      <c r="BH311" s="378">
        <f>BH310/BG310-1</f>
        <v>3.8029131881895495E-2</v>
      </c>
      <c r="BI311" s="417"/>
      <c r="BJ311" s="1130">
        <f>BJ310/BH310-1</f>
        <v>-5.7037784828381843E-2</v>
      </c>
      <c r="BK311" s="766">
        <v>5.0000000000000001E-3</v>
      </c>
      <c r="BL311" s="766">
        <v>5.0000000000000001E-3</v>
      </c>
      <c r="BM311" s="766">
        <v>5.0000000000000001E-3</v>
      </c>
      <c r="BN311" s="417"/>
      <c r="BO311" s="766">
        <v>5.0000000000000001E-3</v>
      </c>
      <c r="BP311" s="766">
        <v>5.0000000000000001E-3</v>
      </c>
      <c r="BQ311" s="766">
        <v>5.0000000000000001E-3</v>
      </c>
      <c r="BR311" s="766">
        <v>5.0000000000000001E-3</v>
      </c>
      <c r="BS311" s="417"/>
      <c r="BT311" s="417"/>
      <c r="BU311" s="417"/>
      <c r="BV311" s="417"/>
      <c r="BW311" s="176"/>
    </row>
    <row r="312" spans="1:75" s="177" customFormat="1" ht="14.25" x14ac:dyDescent="0.45">
      <c r="A312" s="189" t="s">
        <v>1853</v>
      </c>
      <c r="B312" s="491"/>
      <c r="C312" s="417"/>
      <c r="D312" s="417">
        <f>D310/C310-1</f>
        <v>-2.4097499345176798E-2</v>
      </c>
      <c r="E312" s="417">
        <f>E310/D310-1</f>
        <v>-1.1943668198108548E-2</v>
      </c>
      <c r="F312" s="417">
        <f>F310/E310-1</f>
        <v>3.323612831062972E-2</v>
      </c>
      <c r="G312" s="378"/>
      <c r="H312" s="378"/>
      <c r="I312" s="378"/>
      <c r="J312" s="378"/>
      <c r="K312" s="417">
        <f t="shared" ref="K312:BD312" si="722">K310/F310-1</f>
        <v>8.5609897544945079E-2</v>
      </c>
      <c r="L312" s="378">
        <f t="shared" si="722"/>
        <v>0.10100372166459914</v>
      </c>
      <c r="M312" s="378">
        <f t="shared" si="722"/>
        <v>7.2964046701625263E-2</v>
      </c>
      <c r="N312" s="378">
        <f t="shared" si="722"/>
        <v>8.5156316071378191E-2</v>
      </c>
      <c r="O312" s="378">
        <f t="shared" si="722"/>
        <v>4.1582279758579865E-2</v>
      </c>
      <c r="P312" s="417">
        <f t="shared" si="722"/>
        <v>7.4380415466197336E-2</v>
      </c>
      <c r="Q312" s="378">
        <f t="shared" si="722"/>
        <v>3.4225855134219607E-2</v>
      </c>
      <c r="R312" s="378">
        <f t="shared" si="722"/>
        <v>5.2996449352648023E-2</v>
      </c>
      <c r="S312" s="378">
        <f t="shared" si="722"/>
        <v>3.5330410780970878E-2</v>
      </c>
      <c r="T312" s="378">
        <f t="shared" si="722"/>
        <v>6.5613271232098924E-2</v>
      </c>
      <c r="U312" s="417">
        <f t="shared" si="722"/>
        <v>4.7169420426049546E-2</v>
      </c>
      <c r="V312" s="378">
        <f t="shared" si="722"/>
        <v>6.9778344150913663E-2</v>
      </c>
      <c r="W312" s="378">
        <f t="shared" si="722"/>
        <v>5.5829428243574952E-2</v>
      </c>
      <c r="X312" s="378">
        <f t="shared" si="722"/>
        <v>5.3978609290217472E-2</v>
      </c>
      <c r="Y312" s="378">
        <f t="shared" si="722"/>
        <v>2.7146303907660929E-2</v>
      </c>
      <c r="Z312" s="417">
        <f t="shared" si="722"/>
        <v>5.1217361989310151E-2</v>
      </c>
      <c r="AA312" s="378">
        <f t="shared" si="722"/>
        <v>3.3786160882365524E-2</v>
      </c>
      <c r="AB312" s="378">
        <f t="shared" si="722"/>
        <v>2.2203737659530542E-2</v>
      </c>
      <c r="AC312" s="378">
        <f t="shared" si="722"/>
        <v>1.8694203071062843E-2</v>
      </c>
      <c r="AD312" s="378">
        <f t="shared" si="722"/>
        <v>4.4317618451804597E-2</v>
      </c>
      <c r="AE312" s="417">
        <f t="shared" si="722"/>
        <v>2.9782723581214032E-2</v>
      </c>
      <c r="AF312" s="378">
        <f t="shared" si="722"/>
        <v>3.5774629387496981E-2</v>
      </c>
      <c r="AG312" s="378">
        <f t="shared" si="722"/>
        <v>1.4486900017224968E-2</v>
      </c>
      <c r="AH312" s="378">
        <f t="shared" si="722"/>
        <v>3.5638959809769721E-2</v>
      </c>
      <c r="AI312" s="378">
        <f t="shared" si="722"/>
        <v>2.2877165220831719E-2</v>
      </c>
      <c r="AJ312" s="417">
        <f t="shared" si="722"/>
        <v>2.7163948663514459E-2</v>
      </c>
      <c r="AK312" s="378">
        <f t="shared" si="722"/>
        <v>2.1212208548289091E-3</v>
      </c>
      <c r="AL312" s="378">
        <f t="shared" si="722"/>
        <v>3.5222894881673072E-2</v>
      </c>
      <c r="AM312" s="378">
        <f t="shared" si="722"/>
        <v>1.1147404110323222E-2</v>
      </c>
      <c r="AN312" s="378">
        <f t="shared" si="722"/>
        <v>-2.0663782577228229E-3</v>
      </c>
      <c r="AO312" s="417">
        <f t="shared" si="722"/>
        <v>1.1367372821645017E-2</v>
      </c>
      <c r="AP312" s="378">
        <f t="shared" si="722"/>
        <v>5.867025590585051E-3</v>
      </c>
      <c r="AQ312" s="378">
        <f t="shared" si="722"/>
        <v>-5.9904758672955638E-2</v>
      </c>
      <c r="AR312" s="378">
        <f t="shared" si="722"/>
        <v>-2.8163827781094275E-2</v>
      </c>
      <c r="AS312" s="378">
        <f t="shared" si="722"/>
        <v>2.1979968884775491E-3</v>
      </c>
      <c r="AT312" s="417">
        <f t="shared" si="722"/>
        <v>-2.0017648971250801E-2</v>
      </c>
      <c r="AU312" s="378">
        <f t="shared" si="722"/>
        <v>4.729146294739639E-3</v>
      </c>
      <c r="AV312" s="378">
        <f t="shared" si="722"/>
        <v>5.8824944953134839E-2</v>
      </c>
      <c r="AW312" s="378">
        <f t="shared" si="722"/>
        <v>5.1157076508849597E-2</v>
      </c>
      <c r="AX312" s="378">
        <f t="shared" si="722"/>
        <v>6.7308967163124178E-2</v>
      </c>
      <c r="AY312" s="417">
        <f t="shared" si="722"/>
        <v>4.5526353583225765E-2</v>
      </c>
      <c r="AZ312" s="378">
        <f>AZ310/AU310-1</f>
        <v>6.0933409220261803E-2</v>
      </c>
      <c r="BA312" s="378">
        <f t="shared" si="722"/>
        <v>9.6386363636363548E-2</v>
      </c>
      <c r="BB312" s="378">
        <f t="shared" si="722"/>
        <v>0.10507919169852542</v>
      </c>
      <c r="BC312" s="378">
        <f t="shared" si="722"/>
        <v>5.4425465838508602E-2</v>
      </c>
      <c r="BD312" s="417">
        <f t="shared" si="722"/>
        <v>7.8880494505494392E-2</v>
      </c>
      <c r="BE312" s="378">
        <f>BE310/AZ310-1</f>
        <v>8.6939261611750585E-2</v>
      </c>
      <c r="BF312" s="378">
        <f t="shared" ref="BF312:BS312" si="723">BF310/BA310-1</f>
        <v>5.3351920565493982E-2</v>
      </c>
      <c r="BG312" s="378">
        <f t="shared" si="723"/>
        <v>-9.5927646535534095E-3</v>
      </c>
      <c r="BH312" s="378">
        <f t="shared" si="723"/>
        <v>2.1132464472425116E-2</v>
      </c>
      <c r="BI312" s="417">
        <f t="shared" si="723"/>
        <v>3.675080370500039E-2</v>
      </c>
      <c r="BJ312" s="1130">
        <f>BJ310/BE310-1</f>
        <v>-3.1868793556156572E-2</v>
      </c>
      <c r="BK312" s="378">
        <f t="shared" si="723"/>
        <v>-3.0125234306968007E-2</v>
      </c>
      <c r="BL312" s="378">
        <f t="shared" si="723"/>
        <v>-1.1365057335615658E-2</v>
      </c>
      <c r="BM312" s="378">
        <f t="shared" si="723"/>
        <v>-4.2822511564393095E-2</v>
      </c>
      <c r="BN312" s="417">
        <f t="shared" si="723"/>
        <v>-2.9185806015823768E-2</v>
      </c>
      <c r="BO312" s="378">
        <f t="shared" si="723"/>
        <v>2.0150500624999568E-2</v>
      </c>
      <c r="BP312" s="378">
        <f t="shared" si="723"/>
        <v>2.0150500624999568E-2</v>
      </c>
      <c r="BQ312" s="378">
        <f t="shared" si="723"/>
        <v>2.0150500624999568E-2</v>
      </c>
      <c r="BR312" s="378">
        <f t="shared" si="723"/>
        <v>2.0150500624999568E-2</v>
      </c>
      <c r="BS312" s="417">
        <f t="shared" si="723"/>
        <v>2.0150500624999568E-2</v>
      </c>
      <c r="BT312" s="767">
        <v>0.03</v>
      </c>
      <c r="BU312" s="767">
        <v>0.03</v>
      </c>
      <c r="BV312" s="767">
        <v>0.03</v>
      </c>
      <c r="BW312" s="176"/>
    </row>
    <row r="313" spans="1:75" s="177" customFormat="1" ht="7.5" customHeight="1" x14ac:dyDescent="0.45">
      <c r="A313" s="189"/>
      <c r="B313" s="491"/>
      <c r="C313" s="417"/>
      <c r="D313" s="417"/>
      <c r="E313" s="417"/>
      <c r="F313" s="417"/>
      <c r="G313" s="378"/>
      <c r="H313" s="378"/>
      <c r="I313" s="378"/>
      <c r="J313" s="378"/>
      <c r="K313" s="417"/>
      <c r="L313" s="378"/>
      <c r="M313" s="378"/>
      <c r="N313" s="378"/>
      <c r="O313" s="378"/>
      <c r="P313" s="417"/>
      <c r="Q313" s="378"/>
      <c r="R313" s="378"/>
      <c r="S313" s="378"/>
      <c r="T313" s="378"/>
      <c r="U313" s="417"/>
      <c r="V313" s="378"/>
      <c r="W313" s="378"/>
      <c r="X313" s="378"/>
      <c r="Y313" s="378"/>
      <c r="Z313" s="417"/>
      <c r="AA313" s="378"/>
      <c r="AB313" s="378"/>
      <c r="AC313" s="378"/>
      <c r="AD313" s="378"/>
      <c r="AE313" s="417"/>
      <c r="AF313" s="378"/>
      <c r="AG313" s="378"/>
      <c r="AH313" s="378"/>
      <c r="AI313" s="378"/>
      <c r="AJ313" s="417"/>
      <c r="AK313" s="378"/>
      <c r="AL313" s="378"/>
      <c r="AM313" s="378"/>
      <c r="AN313" s="378"/>
      <c r="AO313" s="417"/>
      <c r="AP313" s="378"/>
      <c r="AQ313" s="378"/>
      <c r="AR313" s="378"/>
      <c r="AS313" s="378"/>
      <c r="AT313" s="417"/>
      <c r="AU313" s="378"/>
      <c r="AV313" s="378"/>
      <c r="AW313" s="378"/>
      <c r="AX313" s="378"/>
      <c r="AY313" s="417"/>
      <c r="AZ313" s="378"/>
      <c r="BA313" s="378"/>
      <c r="BB313" s="378"/>
      <c r="BC313" s="378"/>
      <c r="BD313" s="417"/>
      <c r="BE313" s="378"/>
      <c r="BF313" s="378"/>
      <c r="BG313" s="378"/>
      <c r="BH313" s="378"/>
      <c r="BI313" s="417"/>
      <c r="BJ313" s="1130"/>
      <c r="BK313" s="378"/>
      <c r="BL313" s="378"/>
      <c r="BM313" s="378"/>
      <c r="BN313" s="417"/>
      <c r="BO313" s="378"/>
      <c r="BP313" s="378"/>
      <c r="BQ313" s="378"/>
      <c r="BR313" s="378"/>
      <c r="BS313" s="417"/>
      <c r="BT313" s="417"/>
      <c r="BU313" s="417"/>
      <c r="BV313" s="417"/>
      <c r="BW313" s="176"/>
    </row>
    <row r="314" spans="1:75" s="123" customFormat="1" hidden="1" outlineLevel="1" x14ac:dyDescent="0.5">
      <c r="A314" s="184" t="s">
        <v>1854</v>
      </c>
      <c r="B314" s="489"/>
      <c r="C314" s="401">
        <f t="shared" ref="C314:BN314" si="724">C315-C310</f>
        <v>1480.2429999999999</v>
      </c>
      <c r="D314" s="401">
        <f t="shared" si="724"/>
        <v>1623.587</v>
      </c>
      <c r="E314" s="401">
        <f t="shared" si="724"/>
        <v>1760.3790000000001</v>
      </c>
      <c r="F314" s="401">
        <f t="shared" si="724"/>
        <v>1933.0939999999998</v>
      </c>
      <c r="G314" s="118">
        <f t="shared" si="724"/>
        <v>420.61800000000005</v>
      </c>
      <c r="H314" s="118">
        <f t="shared" si="724"/>
        <v>475.21699999999998</v>
      </c>
      <c r="I314" s="118">
        <f t="shared" si="724"/>
        <v>504.26799999999997</v>
      </c>
      <c r="J314" s="118">
        <f t="shared" si="724"/>
        <v>721.98399999999992</v>
      </c>
      <c r="K314" s="401">
        <f t="shared" si="724"/>
        <v>2122.0869999999995</v>
      </c>
      <c r="L314" s="118">
        <f t="shared" si="724"/>
        <v>459.48300000000006</v>
      </c>
      <c r="M314" s="118">
        <f t="shared" si="724"/>
        <v>508.86200000000002</v>
      </c>
      <c r="N314" s="118">
        <f t="shared" si="724"/>
        <v>557.78</v>
      </c>
      <c r="O314" s="118">
        <f t="shared" si="724"/>
        <v>768.73300000000006</v>
      </c>
      <c r="P314" s="401">
        <f t="shared" si="724"/>
        <v>2294.8580000000002</v>
      </c>
      <c r="Q314" s="118">
        <f t="shared" si="724"/>
        <v>500.38400000000001</v>
      </c>
      <c r="R314" s="118">
        <f t="shared" si="724"/>
        <v>564.41000000000008</v>
      </c>
      <c r="S314" s="118">
        <f t="shared" si="724"/>
        <v>621.47900000000004</v>
      </c>
      <c r="T314" s="118">
        <f t="shared" si="724"/>
        <v>813.78599999999994</v>
      </c>
      <c r="U314" s="401">
        <f t="shared" si="724"/>
        <v>2500.0590000000002</v>
      </c>
      <c r="V314" s="118">
        <f t="shared" si="724"/>
        <v>543.28099999999995</v>
      </c>
      <c r="W314" s="118">
        <f t="shared" si="724"/>
        <v>583.78800000000001</v>
      </c>
      <c r="X314" s="118">
        <f t="shared" si="724"/>
        <v>619.14200000000005</v>
      </c>
      <c r="Y314" s="118">
        <f t="shared" si="724"/>
        <v>790.11399999999992</v>
      </c>
      <c r="Z314" s="401">
        <f t="shared" si="724"/>
        <v>2536.3249999999998</v>
      </c>
      <c r="AA314" s="118">
        <f t="shared" si="724"/>
        <v>548.25399999999991</v>
      </c>
      <c r="AB314" s="118">
        <f t="shared" si="724"/>
        <v>610.53599999999994</v>
      </c>
      <c r="AC314" s="118">
        <f t="shared" si="724"/>
        <v>661.10799999999995</v>
      </c>
      <c r="AD314" s="118">
        <f t="shared" si="724"/>
        <v>856.79200000000014</v>
      </c>
      <c r="AE314" s="401">
        <f t="shared" si="724"/>
        <v>2676.69</v>
      </c>
      <c r="AF314" s="118">
        <f t="shared" si="724"/>
        <v>597.351</v>
      </c>
      <c r="AG314" s="118">
        <f t="shared" si="724"/>
        <v>640.43399999999997</v>
      </c>
      <c r="AH314" s="118">
        <f t="shared" si="724"/>
        <v>684.73800000000006</v>
      </c>
      <c r="AI314" s="118">
        <f t="shared" si="724"/>
        <v>945.51999999999987</v>
      </c>
      <c r="AJ314" s="401">
        <f t="shared" si="724"/>
        <v>2868.0429999999997</v>
      </c>
      <c r="AK314" s="118">
        <f t="shared" si="724"/>
        <v>622.94800000000009</v>
      </c>
      <c r="AL314" s="118">
        <f t="shared" si="724"/>
        <v>710.13900000000001</v>
      </c>
      <c r="AM314" s="118">
        <f t="shared" si="724"/>
        <v>745.06299999999999</v>
      </c>
      <c r="AN314" s="118">
        <f t="shared" si="724"/>
        <v>970.24300000000005</v>
      </c>
      <c r="AO314" s="401">
        <f t="shared" si="724"/>
        <v>3048.393</v>
      </c>
      <c r="AP314" s="118">
        <f t="shared" si="724"/>
        <v>646.06999999999994</v>
      </c>
      <c r="AQ314" s="118">
        <f t="shared" si="724"/>
        <v>773.35300000000007</v>
      </c>
      <c r="AR314" s="118">
        <f t="shared" si="724"/>
        <v>884.76400000000001</v>
      </c>
      <c r="AS314" s="118">
        <f t="shared" si="724"/>
        <v>1146.433</v>
      </c>
      <c r="AT314" s="401">
        <f t="shared" si="724"/>
        <v>3450.62</v>
      </c>
      <c r="AU314" s="118">
        <f t="shared" si="724"/>
        <v>820.47600000000011</v>
      </c>
      <c r="AV314" s="118">
        <f t="shared" si="724"/>
        <v>913.95100000000002</v>
      </c>
      <c r="AW314" s="118">
        <f t="shared" si="724"/>
        <v>968.95400000000006</v>
      </c>
      <c r="AX314" s="118">
        <f t="shared" si="724"/>
        <v>1182.5919999999999</v>
      </c>
      <c r="AY314" s="401">
        <f t="shared" si="724"/>
        <v>3885.973</v>
      </c>
      <c r="AZ314" s="118">
        <f>AZ315-AZ310</f>
        <v>876.27300000000014</v>
      </c>
      <c r="BA314" s="118">
        <f t="shared" si="724"/>
        <v>1015.7640000000001</v>
      </c>
      <c r="BB314" s="118">
        <f t="shared" si="724"/>
        <v>1079.7080000000001</v>
      </c>
      <c r="BC314" s="118">
        <f t="shared" si="724"/>
        <v>1239.5140000000004</v>
      </c>
      <c r="BD314" s="401">
        <f t="shared" si="724"/>
        <v>4211.259</v>
      </c>
      <c r="BE314" s="118">
        <f t="shared" si="724"/>
        <v>877.78000000000009</v>
      </c>
      <c r="BF314" s="118">
        <f t="shared" si="724"/>
        <v>901.78800000000001</v>
      </c>
      <c r="BG314" s="118">
        <f t="shared" si="724"/>
        <v>830.89099999999996</v>
      </c>
      <c r="BH314" s="118">
        <f t="shared" si="724"/>
        <v>1022.3020000000001</v>
      </c>
      <c r="BI314" s="401">
        <f t="shared" si="724"/>
        <v>3632.7610000000004</v>
      </c>
      <c r="BJ314" s="971">
        <f>BJ315-BJ310</f>
        <v>661.678</v>
      </c>
      <c r="BK314" s="118">
        <f t="shared" si="724"/>
        <v>876.64481655499276</v>
      </c>
      <c r="BL314" s="118">
        <f t="shared" si="724"/>
        <v>793.34293489275603</v>
      </c>
      <c r="BM314" s="118">
        <f t="shared" si="724"/>
        <v>1057.3771747186647</v>
      </c>
      <c r="BN314" s="401">
        <f t="shared" si="724"/>
        <v>3389.0429261664135</v>
      </c>
      <c r="BO314" s="118">
        <f t="shared" ref="BO314:CF314" si="725">BO315-BO310</f>
        <v>736.15249158030269</v>
      </c>
      <c r="BP314" s="118">
        <f t="shared" si="725"/>
        <v>912.859565635281</v>
      </c>
      <c r="BQ314" s="118">
        <f t="shared" si="725"/>
        <v>816.75528746387454</v>
      </c>
      <c r="BR314" s="118">
        <f t="shared" si="725"/>
        <v>1032.5692241605409</v>
      </c>
      <c r="BS314" s="401">
        <f t="shared" si="725"/>
        <v>3498.3365688399995</v>
      </c>
      <c r="BT314" s="401">
        <f t="shared" si="725"/>
        <v>3720.4411083166415</v>
      </c>
      <c r="BU314" s="401">
        <f t="shared" si="725"/>
        <v>3983.2497420186191</v>
      </c>
      <c r="BV314" s="401">
        <f t="shared" si="725"/>
        <v>4265.2106498681305</v>
      </c>
      <c r="BW314" s="122"/>
    </row>
    <row r="315" spans="1:75" s="198" customFormat="1" ht="14.25" hidden="1" outlineLevel="1" x14ac:dyDescent="0.45">
      <c r="A315" s="1217" t="s">
        <v>1855</v>
      </c>
      <c r="B315" s="1218"/>
      <c r="C315" s="680">
        <f t="shared" ref="C315:BN315" si="726">C754</f>
        <v>1999.4670000000001</v>
      </c>
      <c r="D315" s="680">
        <f t="shared" si="726"/>
        <v>2130.299</v>
      </c>
      <c r="E315" s="680">
        <f t="shared" si="726"/>
        <v>2261.0390000000002</v>
      </c>
      <c r="F315" s="680">
        <f t="shared" si="726"/>
        <v>2450.3939999999998</v>
      </c>
      <c r="G315" s="683">
        <f t="shared" si="726"/>
        <v>553.62300000000005</v>
      </c>
      <c r="H315" s="683">
        <f t="shared" si="726"/>
        <v>613.28499999999997</v>
      </c>
      <c r="I315" s="683">
        <f t="shared" si="726"/>
        <v>646.16</v>
      </c>
      <c r="J315" s="683">
        <f t="shared" si="726"/>
        <v>870.60500000000002</v>
      </c>
      <c r="K315" s="680">
        <f t="shared" si="726"/>
        <v>2683.6729999999998</v>
      </c>
      <c r="L315" s="683">
        <f t="shared" si="726"/>
        <v>605.92200000000003</v>
      </c>
      <c r="M315" s="683">
        <f t="shared" si="726"/>
        <v>657.00400000000002</v>
      </c>
      <c r="N315" s="683">
        <f t="shared" si="726"/>
        <v>711.755</v>
      </c>
      <c r="O315" s="683">
        <f t="shared" si="726"/>
        <v>923.53399999999999</v>
      </c>
      <c r="P315" s="680">
        <f t="shared" si="726"/>
        <v>2898.2150000000001</v>
      </c>
      <c r="Q315" s="683">
        <f t="shared" si="726"/>
        <v>651.83500000000004</v>
      </c>
      <c r="R315" s="683">
        <f t="shared" si="726"/>
        <v>720.40300000000002</v>
      </c>
      <c r="S315" s="683">
        <f t="shared" si="726"/>
        <v>780.89400000000001</v>
      </c>
      <c r="T315" s="683">
        <f t="shared" si="726"/>
        <v>978.74400000000003</v>
      </c>
      <c r="U315" s="680">
        <f t="shared" si="726"/>
        <v>3131.8760000000002</v>
      </c>
      <c r="V315" s="683">
        <f t="shared" si="726"/>
        <v>705.3</v>
      </c>
      <c r="W315" s="683">
        <f t="shared" si="726"/>
        <v>748.49</v>
      </c>
      <c r="X315" s="683">
        <f t="shared" si="726"/>
        <v>787.16200000000003</v>
      </c>
      <c r="Y315" s="683">
        <f t="shared" si="726"/>
        <v>959.55</v>
      </c>
      <c r="Z315" s="680">
        <f t="shared" si="726"/>
        <v>3200.502</v>
      </c>
      <c r="AA315" s="683">
        <f t="shared" si="726"/>
        <v>715.74699999999996</v>
      </c>
      <c r="AB315" s="683">
        <f t="shared" si="726"/>
        <v>778.89499999999998</v>
      </c>
      <c r="AC315" s="683">
        <f t="shared" si="726"/>
        <v>832.26900000000001</v>
      </c>
      <c r="AD315" s="683">
        <f t="shared" si="726"/>
        <v>1033.7370000000001</v>
      </c>
      <c r="AE315" s="680">
        <f t="shared" si="726"/>
        <v>3360.6480000000001</v>
      </c>
      <c r="AF315" s="683">
        <f t="shared" si="726"/>
        <v>770.83600000000001</v>
      </c>
      <c r="AG315" s="683">
        <f t="shared" si="726"/>
        <v>811.23199999999997</v>
      </c>
      <c r="AH315" s="683">
        <f t="shared" si="726"/>
        <v>861.99900000000002</v>
      </c>
      <c r="AI315" s="683">
        <f t="shared" si="726"/>
        <v>1126.5129999999999</v>
      </c>
      <c r="AJ315" s="680">
        <f t="shared" si="726"/>
        <v>3570.58</v>
      </c>
      <c r="AK315" s="683">
        <f t="shared" si="726"/>
        <v>796.80100000000004</v>
      </c>
      <c r="AL315" s="683">
        <f t="shared" si="726"/>
        <v>886.95299999999997</v>
      </c>
      <c r="AM315" s="683">
        <f t="shared" si="726"/>
        <v>924.3</v>
      </c>
      <c r="AN315" s="683">
        <f t="shared" si="726"/>
        <v>1150.8620000000001</v>
      </c>
      <c r="AO315" s="680">
        <f t="shared" si="726"/>
        <v>3758.9160000000002</v>
      </c>
      <c r="AP315" s="683">
        <f t="shared" si="726"/>
        <v>820.94299999999998</v>
      </c>
      <c r="AQ315" s="683">
        <f t="shared" si="726"/>
        <v>939.57500000000005</v>
      </c>
      <c r="AR315" s="683">
        <f t="shared" si="726"/>
        <v>1058.953</v>
      </c>
      <c r="AS315" s="683">
        <f t="shared" si="726"/>
        <v>1327.4490000000001</v>
      </c>
      <c r="AT315" s="680">
        <f t="shared" si="726"/>
        <v>4146.92</v>
      </c>
      <c r="AU315" s="683">
        <f t="shared" si="726"/>
        <v>996.17600000000004</v>
      </c>
      <c r="AV315" s="683">
        <f t="shared" si="726"/>
        <v>1089.951</v>
      </c>
      <c r="AW315" s="683">
        <f t="shared" si="726"/>
        <v>1152.0540000000001</v>
      </c>
      <c r="AX315" s="683">
        <f t="shared" si="726"/>
        <v>1375.7919999999999</v>
      </c>
      <c r="AY315" s="680">
        <f t="shared" si="726"/>
        <v>4613.973</v>
      </c>
      <c r="AZ315" s="683">
        <f t="shared" si="726"/>
        <v>1062.6790000000001</v>
      </c>
      <c r="BA315" s="683">
        <f t="shared" si="726"/>
        <v>1208.7280000000001</v>
      </c>
      <c r="BB315" s="683">
        <f t="shared" si="726"/>
        <v>1282.048</v>
      </c>
      <c r="BC315" s="683">
        <f t="shared" si="726"/>
        <v>1443.2290000000003</v>
      </c>
      <c r="BD315" s="680">
        <f t="shared" si="726"/>
        <v>4996.6840000000002</v>
      </c>
      <c r="BE315" s="683">
        <f t="shared" si="726"/>
        <v>1080.3920000000001</v>
      </c>
      <c r="BF315" s="683">
        <f t="shared" si="726"/>
        <v>1105.047</v>
      </c>
      <c r="BG315" s="683">
        <f t="shared" si="726"/>
        <v>1031.29</v>
      </c>
      <c r="BH315" s="683">
        <f t="shared" si="726"/>
        <v>1230.3220000000001</v>
      </c>
      <c r="BI315" s="680">
        <f t="shared" si="726"/>
        <v>4447.0510000000004</v>
      </c>
      <c r="BJ315" s="1219">
        <f>BJ754</f>
        <v>857.83299999999997</v>
      </c>
      <c r="BK315" s="683">
        <f t="shared" si="726"/>
        <v>1073.7805915549927</v>
      </c>
      <c r="BL315" s="683">
        <f t="shared" si="726"/>
        <v>991.46438876775596</v>
      </c>
      <c r="BM315" s="683">
        <f>BM754</f>
        <v>1256.4892358630395</v>
      </c>
      <c r="BN315" s="680">
        <f t="shared" si="726"/>
        <v>4179.5672161857883</v>
      </c>
      <c r="BO315" s="683">
        <f t="shared" ref="BO315:CF315" si="727">BO754</f>
        <v>936.26011303039945</v>
      </c>
      <c r="BP315" s="683">
        <f t="shared" si="727"/>
        <v>1113.9677251926282</v>
      </c>
      <c r="BQ315" s="683">
        <f t="shared" si="727"/>
        <v>1018.8689878190085</v>
      </c>
      <c r="BR315" s="683">
        <f t="shared" si="727"/>
        <v>1235.6934930174505</v>
      </c>
      <c r="BS315" s="680">
        <f t="shared" si="727"/>
        <v>4304.790319059487</v>
      </c>
      <c r="BT315" s="680">
        <f t="shared" si="727"/>
        <v>4551.0884710427135</v>
      </c>
      <c r="BU315" s="680">
        <f t="shared" si="727"/>
        <v>4838.8165256264738</v>
      </c>
      <c r="BV315" s="680">
        <f t="shared" si="727"/>
        <v>5146.4444369842204</v>
      </c>
      <c r="BW315" s="197"/>
    </row>
    <row r="316" spans="1:75" s="123" customFormat="1" hidden="1" outlineLevel="1" collapsed="1" x14ac:dyDescent="0.5">
      <c r="A316" s="206" t="s">
        <v>704</v>
      </c>
      <c r="B316" s="485"/>
      <c r="C316" s="397">
        <f t="shared" ref="C316:BI316" si="728">C303-C315</f>
        <v>1103.2370000000001</v>
      </c>
      <c r="D316" s="397">
        <f t="shared" si="728"/>
        <v>1373.8589999999999</v>
      </c>
      <c r="E316" s="397">
        <f t="shared" si="728"/>
        <v>1459.8559999999998</v>
      </c>
      <c r="F316" s="397">
        <f t="shared" si="728"/>
        <v>1592.4760000000001</v>
      </c>
      <c r="G316" s="295">
        <f t="shared" si="728"/>
        <v>334.18499999999995</v>
      </c>
      <c r="H316" s="295">
        <f t="shared" si="728"/>
        <v>368.92399999999998</v>
      </c>
      <c r="I316" s="295">
        <f t="shared" si="728"/>
        <v>405.38800000000003</v>
      </c>
      <c r="J316" s="295">
        <f t="shared" si="728"/>
        <v>595.71900000000005</v>
      </c>
      <c r="K316" s="397">
        <f t="shared" si="728"/>
        <v>1704.2160000000003</v>
      </c>
      <c r="L316" s="295">
        <f t="shared" si="728"/>
        <v>368.40800000000002</v>
      </c>
      <c r="M316" s="295">
        <f t="shared" si="728"/>
        <v>382.09800000000007</v>
      </c>
      <c r="N316" s="295">
        <f t="shared" si="728"/>
        <v>431.40700000000004</v>
      </c>
      <c r="O316" s="295">
        <f t="shared" si="728"/>
        <v>618.59100000000001</v>
      </c>
      <c r="P316" s="397">
        <f t="shared" si="728"/>
        <v>1800.5039999999999</v>
      </c>
      <c r="Q316" s="295">
        <f t="shared" si="728"/>
        <v>378.84099999999989</v>
      </c>
      <c r="R316" s="295">
        <f t="shared" si="728"/>
        <v>406.625</v>
      </c>
      <c r="S316" s="295">
        <f t="shared" si="728"/>
        <v>451.1880000000001</v>
      </c>
      <c r="T316" s="295">
        <f t="shared" si="728"/>
        <v>607.56000000000006</v>
      </c>
      <c r="U316" s="397">
        <f t="shared" si="728"/>
        <v>1844.2139999999999</v>
      </c>
      <c r="V316" s="295">
        <f t="shared" si="728"/>
        <v>392.51700000000005</v>
      </c>
      <c r="W316" s="295">
        <f t="shared" si="728"/>
        <v>410.53899999999999</v>
      </c>
      <c r="X316" s="295">
        <f t="shared" si="728"/>
        <v>458.22299999999996</v>
      </c>
      <c r="Y316" s="295">
        <f t="shared" si="728"/>
        <v>622.03099999999995</v>
      </c>
      <c r="Z316" s="397">
        <f t="shared" si="728"/>
        <v>1883.31</v>
      </c>
      <c r="AA316" s="295">
        <f t="shared" si="728"/>
        <v>395.7600000000001</v>
      </c>
      <c r="AB316" s="295">
        <f t="shared" si="728"/>
        <v>422.71100000000001</v>
      </c>
      <c r="AC316" s="295">
        <f t="shared" si="728"/>
        <v>467.06700000000001</v>
      </c>
      <c r="AD316" s="295">
        <f t="shared" si="728"/>
        <v>646.173</v>
      </c>
      <c r="AE316" s="397">
        <f t="shared" si="728"/>
        <v>1931.7110000000002</v>
      </c>
      <c r="AF316" s="295">
        <f t="shared" si="728"/>
        <v>432.16399999999999</v>
      </c>
      <c r="AG316" s="295">
        <f t="shared" si="728"/>
        <v>463.94200000000001</v>
      </c>
      <c r="AH316" s="295">
        <f t="shared" si="728"/>
        <v>494.98399999999992</v>
      </c>
      <c r="AI316" s="295">
        <f t="shared" si="728"/>
        <v>709.92299999999977</v>
      </c>
      <c r="AJ316" s="397">
        <f t="shared" si="728"/>
        <v>2101.0129999999999</v>
      </c>
      <c r="AK316" s="295">
        <f t="shared" si="728"/>
        <v>444.33100000000002</v>
      </c>
      <c r="AL316" s="295">
        <f t="shared" si="728"/>
        <v>483.8610000000001</v>
      </c>
      <c r="AM316" s="295">
        <f t="shared" si="728"/>
        <v>518.17200000000003</v>
      </c>
      <c r="AN316" s="295">
        <f t="shared" si="728"/>
        <v>692.72800000000007</v>
      </c>
      <c r="AO316" s="397">
        <f t="shared" si="728"/>
        <v>2139.0919999999996</v>
      </c>
      <c r="AP316" s="295">
        <f t="shared" si="728"/>
        <v>414.26</v>
      </c>
      <c r="AQ316" s="295">
        <f t="shared" si="728"/>
        <v>551.202</v>
      </c>
      <c r="AR316" s="295">
        <f t="shared" si="728"/>
        <v>705.58300000000008</v>
      </c>
      <c r="AS316" s="295">
        <f t="shared" si="728"/>
        <v>965.22400000000061</v>
      </c>
      <c r="AT316" s="397">
        <f t="shared" si="728"/>
        <v>2636.2690000000002</v>
      </c>
      <c r="AU316" s="295">
        <f t="shared" si="728"/>
        <v>752.85299999999995</v>
      </c>
      <c r="AV316" s="295">
        <f t="shared" si="728"/>
        <v>858.38799999999992</v>
      </c>
      <c r="AW316" s="295">
        <f t="shared" si="728"/>
        <v>895.4849999999999</v>
      </c>
      <c r="AX316" s="295">
        <f t="shared" si="728"/>
        <v>1125.2369999999996</v>
      </c>
      <c r="AY316" s="397">
        <f t="shared" si="728"/>
        <v>3631.9629999999997</v>
      </c>
      <c r="AZ316" s="295">
        <f t="shared" si="728"/>
        <v>828.548</v>
      </c>
      <c r="BA316" s="295">
        <f t="shared" si="728"/>
        <v>928.80899999999974</v>
      </c>
      <c r="BB316" s="295">
        <f t="shared" si="728"/>
        <v>910.52600000000007</v>
      </c>
      <c r="BC316" s="295">
        <f t="shared" si="728"/>
        <v>1009.8499999999995</v>
      </c>
      <c r="BD316" s="397">
        <f t="shared" si="728"/>
        <v>3677.7329999999993</v>
      </c>
      <c r="BE316" s="295">
        <f t="shared" si="728"/>
        <v>675.05899999999997</v>
      </c>
      <c r="BF316" s="295">
        <f t="shared" si="728"/>
        <v>757.56700000000001</v>
      </c>
      <c r="BG316" s="295">
        <f t="shared" si="728"/>
        <v>822.36000000000013</v>
      </c>
      <c r="BH316" s="295">
        <f t="shared" si="728"/>
        <v>1048.6149999999998</v>
      </c>
      <c r="BI316" s="397">
        <f t="shared" si="728"/>
        <v>3303.6009999999997</v>
      </c>
      <c r="BJ316" s="1030">
        <f>BJ303-BJ315</f>
        <v>802.51499999999999</v>
      </c>
      <c r="BK316" s="295">
        <f>BK323-SUM(BK317:BK322)</f>
        <v>775.0887746365695</v>
      </c>
      <c r="BL316" s="295">
        <f>BL323-SUM(BL317:BL322)</f>
        <v>839.69649994619886</v>
      </c>
      <c r="BM316" s="295">
        <f>BM323-SUM(BM317:BM322)</f>
        <v>1127.2070047975881</v>
      </c>
      <c r="BN316" s="397">
        <f>BN303-BN315</f>
        <v>3544.5072793803565</v>
      </c>
      <c r="BO316" s="295">
        <f>BO323-SUM(BO317:BO322)</f>
        <v>801.92594351812795</v>
      </c>
      <c r="BP316" s="295">
        <f>BP323-SUM(BP317:BP322)</f>
        <v>819.4348021951472</v>
      </c>
      <c r="BQ316" s="295">
        <f>BQ323-SUM(BQ317:BQ322)</f>
        <v>888.34203360833544</v>
      </c>
      <c r="BR316" s="295">
        <f>BR323-SUM(BR317:BR322)</f>
        <v>1102.6197351018366</v>
      </c>
      <c r="BS316" s="397">
        <f>BS303-BS315</f>
        <v>3612.3225144234466</v>
      </c>
      <c r="BT316" s="397">
        <f>BT323-SUM(BT317:BT322)</f>
        <v>3878.2090863914882</v>
      </c>
      <c r="BU316" s="397">
        <f>BU323-SUM(BU317:BU322)</f>
        <v>4196.1542132726854</v>
      </c>
      <c r="BV316" s="397">
        <f>BV323-SUM(BV317:BV322)</f>
        <v>4539.0661555918487</v>
      </c>
      <c r="BW316" s="118"/>
    </row>
    <row r="317" spans="1:75" s="123" customFormat="1" hidden="1" outlineLevel="1" collapsed="1" x14ac:dyDescent="0.5">
      <c r="A317" s="184" t="s">
        <v>1856</v>
      </c>
      <c r="B317" s="489"/>
      <c r="C317" s="401"/>
      <c r="D317" s="401"/>
      <c r="E317" s="401"/>
      <c r="F317" s="401"/>
      <c r="G317" s="118"/>
      <c r="H317" s="118"/>
      <c r="I317" s="118"/>
      <c r="J317" s="118"/>
      <c r="K317" s="401"/>
      <c r="L317" s="118"/>
      <c r="M317" s="118"/>
      <c r="N317" s="118"/>
      <c r="O317" s="118"/>
      <c r="P317" s="401"/>
      <c r="Q317" s="118"/>
      <c r="R317" s="118"/>
      <c r="S317" s="118"/>
      <c r="T317" s="118"/>
      <c r="U317" s="401"/>
      <c r="V317" s="118"/>
      <c r="W317" s="118"/>
      <c r="X317" s="118"/>
      <c r="Y317" s="118"/>
      <c r="Z317" s="401"/>
      <c r="AA317" s="118"/>
      <c r="AB317" s="118"/>
      <c r="AC317" s="118"/>
      <c r="AD317" s="118"/>
      <c r="AE317" s="401"/>
      <c r="AF317" s="118"/>
      <c r="AG317" s="118"/>
      <c r="AH317" s="118"/>
      <c r="AI317" s="118"/>
      <c r="AJ317" s="401"/>
      <c r="AK317" s="118"/>
      <c r="AL317" s="118"/>
      <c r="AM317" s="118"/>
      <c r="AN317" s="118"/>
      <c r="AO317" s="401"/>
      <c r="AP317" s="118"/>
      <c r="AQ317" s="118"/>
      <c r="AR317" s="118"/>
      <c r="AS317" s="118"/>
      <c r="AT317" s="401"/>
      <c r="AU317" s="118"/>
      <c r="AV317" s="118"/>
      <c r="AW317" s="118"/>
      <c r="AX317" s="118"/>
      <c r="AY317" s="401"/>
      <c r="AZ317" s="118"/>
      <c r="BA317" s="118"/>
      <c r="BB317" s="118"/>
      <c r="BC317" s="118"/>
      <c r="BD317" s="401"/>
      <c r="BE317" s="118"/>
      <c r="BF317" s="118"/>
      <c r="BG317" s="118"/>
      <c r="BH317" s="118"/>
      <c r="BI317" s="401"/>
      <c r="BJ317" s="971"/>
      <c r="BK317" s="302">
        <v>0</v>
      </c>
      <c r="BL317" s="302">
        <v>0</v>
      </c>
      <c r="BM317" s="302">
        <v>0</v>
      </c>
      <c r="BN317" s="401">
        <f t="shared" ref="BN317:BN322" si="729">SUM(BJ317,BK317,BL317,BM317)</f>
        <v>0</v>
      </c>
      <c r="BO317" s="302">
        <v>0</v>
      </c>
      <c r="BP317" s="302">
        <v>0</v>
      </c>
      <c r="BQ317" s="302">
        <v>0</v>
      </c>
      <c r="BR317" s="302">
        <v>0</v>
      </c>
      <c r="BS317" s="401">
        <f t="shared" ref="BS317:BS322" si="730">SUM(BO317,BP317,BQ317,BR317)</f>
        <v>0</v>
      </c>
      <c r="BT317" s="403">
        <v>0</v>
      </c>
      <c r="BU317" s="403">
        <v>0</v>
      </c>
      <c r="BV317" s="403">
        <v>0</v>
      </c>
      <c r="BW317" s="118"/>
    </row>
    <row r="318" spans="1:75" s="123" customFormat="1" hidden="1" outlineLevel="1" collapsed="1" x14ac:dyDescent="0.5">
      <c r="A318" s="184" t="s">
        <v>1857</v>
      </c>
      <c r="B318" s="489"/>
      <c r="C318" s="401"/>
      <c r="D318" s="401"/>
      <c r="E318" s="401"/>
      <c r="F318" s="401"/>
      <c r="G318" s="118"/>
      <c r="H318" s="118"/>
      <c r="I318" s="118"/>
      <c r="J318" s="118"/>
      <c r="K318" s="401"/>
      <c r="L318" s="118"/>
      <c r="M318" s="118"/>
      <c r="N318" s="118"/>
      <c r="O318" s="118"/>
      <c r="P318" s="401"/>
      <c r="Q318" s="118"/>
      <c r="R318" s="118"/>
      <c r="S318" s="118"/>
      <c r="T318" s="118"/>
      <c r="U318" s="401"/>
      <c r="V318" s="118"/>
      <c r="W318" s="118"/>
      <c r="X318" s="118"/>
      <c r="Y318" s="118"/>
      <c r="Z318" s="401"/>
      <c r="AA318" s="118">
        <f t="shared" ref="AA318:BI322" si="731">AA662</f>
        <v>0</v>
      </c>
      <c r="AB318" s="118">
        <f t="shared" si="731"/>
        <v>0</v>
      </c>
      <c r="AC318" s="118">
        <f t="shared" si="731"/>
        <v>0</v>
      </c>
      <c r="AD318" s="118">
        <f t="shared" si="731"/>
        <v>0.34999999999999964</v>
      </c>
      <c r="AE318" s="401">
        <f t="shared" si="731"/>
        <v>0.34999999999999964</v>
      </c>
      <c r="AF318" s="118">
        <f t="shared" si="731"/>
        <v>0.58199999999999996</v>
      </c>
      <c r="AG318" s="118">
        <f t="shared" si="731"/>
        <v>0.26900000000000002</v>
      </c>
      <c r="AH318" s="118">
        <f t="shared" si="731"/>
        <v>-0.124</v>
      </c>
      <c r="AI318" s="118">
        <f t="shared" si="731"/>
        <v>0.32400000000000001</v>
      </c>
      <c r="AJ318" s="401">
        <f t="shared" si="731"/>
        <v>1.0509999999999999</v>
      </c>
      <c r="AK318" s="118">
        <f t="shared" si="731"/>
        <v>0.53500000000000003</v>
      </c>
      <c r="AL318" s="118">
        <f t="shared" si="731"/>
        <v>0.879</v>
      </c>
      <c r="AM318" s="118">
        <f t="shared" si="731"/>
        <v>0.72599999999999998</v>
      </c>
      <c r="AN318" s="118">
        <f t="shared" si="731"/>
        <v>0.89500000000000002</v>
      </c>
      <c r="AO318" s="401">
        <f t="shared" si="731"/>
        <v>3.0350000000000001</v>
      </c>
      <c r="AP318" s="118">
        <f t="shared" si="731"/>
        <v>0</v>
      </c>
      <c r="AQ318" s="118">
        <f t="shared" si="731"/>
        <v>0</v>
      </c>
      <c r="AR318" s="118">
        <f t="shared" si="731"/>
        <v>0</v>
      </c>
      <c r="AS318" s="118">
        <f t="shared" si="731"/>
        <v>0</v>
      </c>
      <c r="AT318" s="401">
        <f t="shared" si="731"/>
        <v>0</v>
      </c>
      <c r="AU318" s="118">
        <f t="shared" si="731"/>
        <v>0</v>
      </c>
      <c r="AV318" s="118">
        <f t="shared" si="731"/>
        <v>0</v>
      </c>
      <c r="AW318" s="118">
        <f t="shared" si="731"/>
        <v>0</v>
      </c>
      <c r="AX318" s="118">
        <f t="shared" si="731"/>
        <v>0</v>
      </c>
      <c r="AY318" s="401">
        <f t="shared" si="731"/>
        <v>0</v>
      </c>
      <c r="AZ318" s="118">
        <f t="shared" si="731"/>
        <v>0</v>
      </c>
      <c r="BA318" s="118">
        <f t="shared" si="731"/>
        <v>0</v>
      </c>
      <c r="BB318" s="118">
        <f t="shared" si="731"/>
        <v>0</v>
      </c>
      <c r="BC318" s="118">
        <f t="shared" si="731"/>
        <v>0</v>
      </c>
      <c r="BD318" s="401">
        <f t="shared" si="731"/>
        <v>0</v>
      </c>
      <c r="BE318" s="118">
        <f t="shared" si="731"/>
        <v>0</v>
      </c>
      <c r="BF318" s="118">
        <f t="shared" si="731"/>
        <v>0</v>
      </c>
      <c r="BG318" s="118">
        <f t="shared" si="731"/>
        <v>0</v>
      </c>
      <c r="BH318" s="118">
        <f t="shared" si="731"/>
        <v>0</v>
      </c>
      <c r="BI318" s="401">
        <f t="shared" si="731"/>
        <v>0</v>
      </c>
      <c r="BJ318" s="971">
        <f>BJ662</f>
        <v>0</v>
      </c>
      <c r="BK318" s="302">
        <v>0</v>
      </c>
      <c r="BL318" s="302">
        <v>0</v>
      </c>
      <c r="BM318" s="302">
        <v>0</v>
      </c>
      <c r="BN318" s="401">
        <f t="shared" si="729"/>
        <v>0</v>
      </c>
      <c r="BO318" s="302">
        <v>0</v>
      </c>
      <c r="BP318" s="302">
        <v>0</v>
      </c>
      <c r="BQ318" s="302">
        <v>0</v>
      </c>
      <c r="BR318" s="302">
        <v>0</v>
      </c>
      <c r="BS318" s="401">
        <f t="shared" si="730"/>
        <v>0</v>
      </c>
      <c r="BT318" s="403">
        <v>0</v>
      </c>
      <c r="BU318" s="403">
        <v>0</v>
      </c>
      <c r="BV318" s="403">
        <v>0</v>
      </c>
      <c r="BW318" s="118"/>
    </row>
    <row r="319" spans="1:75" s="123" customFormat="1" hidden="1" outlineLevel="1" x14ac:dyDescent="0.5">
      <c r="A319" s="184" t="s">
        <v>1858</v>
      </c>
      <c r="B319" s="489"/>
      <c r="C319" s="401"/>
      <c r="D319" s="401"/>
      <c r="E319" s="401"/>
      <c r="F319" s="401"/>
      <c r="G319" s="118"/>
      <c r="H319" s="118"/>
      <c r="I319" s="118"/>
      <c r="J319" s="118"/>
      <c r="K319" s="401"/>
      <c r="L319" s="118"/>
      <c r="M319" s="118"/>
      <c r="N319" s="118"/>
      <c r="O319" s="118"/>
      <c r="P319" s="401"/>
      <c r="Q319" s="118"/>
      <c r="R319" s="118"/>
      <c r="S319" s="118"/>
      <c r="T319" s="118"/>
      <c r="U319" s="401"/>
      <c r="V319" s="118"/>
      <c r="W319" s="118"/>
      <c r="X319" s="118"/>
      <c r="Y319" s="118"/>
      <c r="Z319" s="401"/>
      <c r="AA319" s="118">
        <f t="shared" si="731"/>
        <v>0</v>
      </c>
      <c r="AB319" s="118">
        <f t="shared" si="731"/>
        <v>0</v>
      </c>
      <c r="AC319" s="118">
        <f t="shared" si="731"/>
        <v>0</v>
      </c>
      <c r="AD319" s="118">
        <f t="shared" si="731"/>
        <v>0</v>
      </c>
      <c r="AE319" s="401">
        <f t="shared" si="731"/>
        <v>0</v>
      </c>
      <c r="AF319" s="118">
        <f t="shared" si="731"/>
        <v>0</v>
      </c>
      <c r="AG319" s="118">
        <f t="shared" si="731"/>
        <v>0</v>
      </c>
      <c r="AH319" s="118">
        <f t="shared" si="731"/>
        <v>0</v>
      </c>
      <c r="AI319" s="118">
        <f t="shared" si="731"/>
        <v>0</v>
      </c>
      <c r="AJ319" s="401">
        <f t="shared" si="731"/>
        <v>0</v>
      </c>
      <c r="AK319" s="118">
        <f t="shared" si="731"/>
        <v>0</v>
      </c>
      <c r="AL319" s="118">
        <f t="shared" si="731"/>
        <v>0</v>
      </c>
      <c r="AM319" s="118">
        <f t="shared" si="731"/>
        <v>0</v>
      </c>
      <c r="AN319" s="118">
        <f t="shared" si="731"/>
        <v>0</v>
      </c>
      <c r="AO319" s="401">
        <f t="shared" si="731"/>
        <v>0</v>
      </c>
      <c r="AP319" s="118">
        <f t="shared" si="731"/>
        <v>0</v>
      </c>
      <c r="AQ319" s="118">
        <f t="shared" si="731"/>
        <v>0</v>
      </c>
      <c r="AR319" s="118">
        <f t="shared" si="731"/>
        <v>0</v>
      </c>
      <c r="AS319" s="118">
        <f t="shared" si="731"/>
        <v>0</v>
      </c>
      <c r="AT319" s="401">
        <f t="shared" si="731"/>
        <v>0</v>
      </c>
      <c r="AU319" s="118">
        <f t="shared" si="731"/>
        <v>0</v>
      </c>
      <c r="AV319" s="118">
        <f t="shared" si="731"/>
        <v>0</v>
      </c>
      <c r="AW319" s="118">
        <f t="shared" si="731"/>
        <v>0</v>
      </c>
      <c r="AX319" s="118">
        <f t="shared" si="731"/>
        <v>0</v>
      </c>
      <c r="AY319" s="401">
        <f t="shared" si="731"/>
        <v>0</v>
      </c>
      <c r="AZ319" s="118">
        <f t="shared" si="731"/>
        <v>0</v>
      </c>
      <c r="BA319" s="118">
        <f t="shared" si="731"/>
        <v>0</v>
      </c>
      <c r="BB319" s="118">
        <f t="shared" si="731"/>
        <v>0</v>
      </c>
      <c r="BC319" s="118">
        <f t="shared" si="731"/>
        <v>0</v>
      </c>
      <c r="BD319" s="401">
        <f t="shared" si="731"/>
        <v>0</v>
      </c>
      <c r="BE319" s="118">
        <f t="shared" si="731"/>
        <v>2.141</v>
      </c>
      <c r="BF319" s="118">
        <f t="shared" si="731"/>
        <v>0</v>
      </c>
      <c r="BG319" s="118">
        <f t="shared" si="731"/>
        <v>0</v>
      </c>
      <c r="BH319" s="118">
        <f t="shared" si="731"/>
        <v>0</v>
      </c>
      <c r="BI319" s="401">
        <f t="shared" si="731"/>
        <v>2.141</v>
      </c>
      <c r="BJ319" s="971">
        <f>BJ663</f>
        <v>0</v>
      </c>
      <c r="BK319" s="302">
        <v>0</v>
      </c>
      <c r="BL319" s="302">
        <v>0</v>
      </c>
      <c r="BM319" s="302">
        <v>0</v>
      </c>
      <c r="BN319" s="401">
        <f t="shared" si="729"/>
        <v>0</v>
      </c>
      <c r="BO319" s="302">
        <v>0</v>
      </c>
      <c r="BP319" s="302">
        <v>0</v>
      </c>
      <c r="BQ319" s="302">
        <v>0</v>
      </c>
      <c r="BR319" s="302">
        <v>0</v>
      </c>
      <c r="BS319" s="401">
        <f t="shared" si="730"/>
        <v>0</v>
      </c>
      <c r="BT319" s="403">
        <v>0</v>
      </c>
      <c r="BU319" s="403">
        <v>0</v>
      </c>
      <c r="BV319" s="403">
        <v>0</v>
      </c>
      <c r="BW319" s="118"/>
    </row>
    <row r="320" spans="1:75" s="123" customFormat="1" hidden="1" outlineLevel="1" collapsed="1" x14ac:dyDescent="0.5">
      <c r="A320" s="184" t="s">
        <v>1859</v>
      </c>
      <c r="B320" s="489"/>
      <c r="C320" s="401"/>
      <c r="D320" s="401"/>
      <c r="E320" s="401"/>
      <c r="F320" s="401"/>
      <c r="G320" s="118"/>
      <c r="H320" s="118"/>
      <c r="I320" s="118"/>
      <c r="J320" s="118"/>
      <c r="K320" s="401"/>
      <c r="L320" s="118"/>
      <c r="M320" s="118"/>
      <c r="N320" s="118"/>
      <c r="O320" s="118"/>
      <c r="P320" s="401"/>
      <c r="Q320" s="118"/>
      <c r="R320" s="118"/>
      <c r="S320" s="118"/>
      <c r="T320" s="118"/>
      <c r="U320" s="401"/>
      <c r="V320" s="118"/>
      <c r="W320" s="118"/>
      <c r="X320" s="118"/>
      <c r="Y320" s="118"/>
      <c r="Z320" s="401"/>
      <c r="AA320" s="118">
        <f t="shared" si="731"/>
        <v>0</v>
      </c>
      <c r="AB320" s="118">
        <f t="shared" si="731"/>
        <v>0</v>
      </c>
      <c r="AC320" s="118">
        <f t="shared" si="731"/>
        <v>0</v>
      </c>
      <c r="AD320" s="118">
        <f t="shared" si="731"/>
        <v>0</v>
      </c>
      <c r="AE320" s="401">
        <f t="shared" si="731"/>
        <v>0</v>
      </c>
      <c r="AF320" s="118">
        <f t="shared" si="731"/>
        <v>0</v>
      </c>
      <c r="AG320" s="118">
        <f t="shared" si="731"/>
        <v>0</v>
      </c>
      <c r="AH320" s="118">
        <f t="shared" si="731"/>
        <v>0</v>
      </c>
      <c r="AI320" s="118">
        <f t="shared" si="731"/>
        <v>0</v>
      </c>
      <c r="AJ320" s="401">
        <f t="shared" si="731"/>
        <v>0</v>
      </c>
      <c r="AK320" s="118">
        <f t="shared" si="731"/>
        <v>0.03</v>
      </c>
      <c r="AL320" s="118">
        <f t="shared" si="731"/>
        <v>0</v>
      </c>
      <c r="AM320" s="118">
        <f t="shared" si="731"/>
        <v>0</v>
      </c>
      <c r="AN320" s="118">
        <f t="shared" si="731"/>
        <v>0</v>
      </c>
      <c r="AO320" s="401">
        <f t="shared" si="731"/>
        <v>0.03</v>
      </c>
      <c r="AP320" s="118">
        <f t="shared" si="731"/>
        <v>0</v>
      </c>
      <c r="AQ320" s="118">
        <f t="shared" si="731"/>
        <v>0</v>
      </c>
      <c r="AR320" s="118">
        <f t="shared" si="731"/>
        <v>0</v>
      </c>
      <c r="AS320" s="118">
        <f t="shared" si="731"/>
        <v>0</v>
      </c>
      <c r="AT320" s="401">
        <f t="shared" si="731"/>
        <v>0</v>
      </c>
      <c r="AU320" s="118">
        <f t="shared" si="731"/>
        <v>0</v>
      </c>
      <c r="AV320" s="118">
        <f t="shared" si="731"/>
        <v>0</v>
      </c>
      <c r="AW320" s="118">
        <f t="shared" si="731"/>
        <v>0</v>
      </c>
      <c r="AX320" s="118">
        <f t="shared" si="731"/>
        <v>0</v>
      </c>
      <c r="AY320" s="401">
        <f t="shared" si="731"/>
        <v>0</v>
      </c>
      <c r="AZ320" s="118">
        <f t="shared" si="731"/>
        <v>0</v>
      </c>
      <c r="BA320" s="118">
        <f t="shared" si="731"/>
        <v>0</v>
      </c>
      <c r="BB320" s="118">
        <f t="shared" si="731"/>
        <v>0</v>
      </c>
      <c r="BC320" s="118">
        <f t="shared" si="731"/>
        <v>0</v>
      </c>
      <c r="BD320" s="401">
        <f t="shared" si="731"/>
        <v>0</v>
      </c>
      <c r="BE320" s="118">
        <f t="shared" si="731"/>
        <v>0</v>
      </c>
      <c r="BF320" s="118">
        <f t="shared" si="731"/>
        <v>0</v>
      </c>
      <c r="BG320" s="118">
        <f t="shared" si="731"/>
        <v>0</v>
      </c>
      <c r="BH320" s="118">
        <f t="shared" si="731"/>
        <v>0</v>
      </c>
      <c r="BI320" s="401">
        <f t="shared" si="731"/>
        <v>0</v>
      </c>
      <c r="BJ320" s="971">
        <f>BJ664</f>
        <v>0</v>
      </c>
      <c r="BK320" s="302">
        <v>0</v>
      </c>
      <c r="BL320" s="302">
        <v>0</v>
      </c>
      <c r="BM320" s="302">
        <v>0</v>
      </c>
      <c r="BN320" s="401">
        <f t="shared" si="729"/>
        <v>0</v>
      </c>
      <c r="BO320" s="302">
        <v>0</v>
      </c>
      <c r="BP320" s="302">
        <v>0</v>
      </c>
      <c r="BQ320" s="302">
        <v>0</v>
      </c>
      <c r="BR320" s="302">
        <v>0</v>
      </c>
      <c r="BS320" s="401">
        <f t="shared" si="730"/>
        <v>0</v>
      </c>
      <c r="BT320" s="403">
        <v>0</v>
      </c>
      <c r="BU320" s="403">
        <v>0</v>
      </c>
      <c r="BV320" s="403">
        <v>0</v>
      </c>
      <c r="BW320" s="118"/>
    </row>
    <row r="321" spans="1:75" s="123" customFormat="1" hidden="1" outlineLevel="1" collapsed="1" x14ac:dyDescent="0.5">
      <c r="A321" s="184" t="s">
        <v>1860</v>
      </c>
      <c r="B321" s="489"/>
      <c r="C321" s="401"/>
      <c r="D321" s="401"/>
      <c r="E321" s="401"/>
      <c r="F321" s="401"/>
      <c r="G321" s="118"/>
      <c r="H321" s="118"/>
      <c r="I321" s="118"/>
      <c r="J321" s="118"/>
      <c r="K321" s="401"/>
      <c r="L321" s="118"/>
      <c r="M321" s="118"/>
      <c r="N321" s="118"/>
      <c r="O321" s="118"/>
      <c r="P321" s="401"/>
      <c r="Q321" s="118"/>
      <c r="R321" s="118"/>
      <c r="S321" s="118"/>
      <c r="T321" s="118"/>
      <c r="U321" s="401"/>
      <c r="V321" s="118"/>
      <c r="W321" s="118"/>
      <c r="X321" s="118"/>
      <c r="Y321" s="118"/>
      <c r="Z321" s="401"/>
      <c r="AA321" s="118">
        <f t="shared" si="731"/>
        <v>0</v>
      </c>
      <c r="AB321" s="118">
        <f t="shared" si="731"/>
        <v>0</v>
      </c>
      <c r="AC321" s="118">
        <f t="shared" si="731"/>
        <v>0</v>
      </c>
      <c r="AD321" s="118">
        <f t="shared" si="731"/>
        <v>0</v>
      </c>
      <c r="AE321" s="401">
        <f t="shared" si="731"/>
        <v>0</v>
      </c>
      <c r="AF321" s="118">
        <f t="shared" si="731"/>
        <v>0</v>
      </c>
      <c r="AG321" s="118">
        <f t="shared" si="731"/>
        <v>0.71899999999999997</v>
      </c>
      <c r="AH321" s="118">
        <f t="shared" si="731"/>
        <v>0.19</v>
      </c>
      <c r="AI321" s="118">
        <f t="shared" si="731"/>
        <v>0.76700000000000002</v>
      </c>
      <c r="AJ321" s="401">
        <f t="shared" si="731"/>
        <v>1.6759999999999999</v>
      </c>
      <c r="AK321" s="118">
        <f t="shared" si="731"/>
        <v>0</v>
      </c>
      <c r="AL321" s="118">
        <f t="shared" si="731"/>
        <v>0</v>
      </c>
      <c r="AM321" s="118">
        <f t="shared" si="731"/>
        <v>0</v>
      </c>
      <c r="AN321" s="118">
        <f t="shared" si="731"/>
        <v>0</v>
      </c>
      <c r="AO321" s="401">
        <f t="shared" si="731"/>
        <v>0</v>
      </c>
      <c r="AP321" s="118">
        <f t="shared" si="731"/>
        <v>0</v>
      </c>
      <c r="AQ321" s="118">
        <f t="shared" si="731"/>
        <v>0</v>
      </c>
      <c r="AR321" s="118">
        <f t="shared" si="731"/>
        <v>0</v>
      </c>
      <c r="AS321" s="118">
        <f t="shared" si="731"/>
        <v>0</v>
      </c>
      <c r="AT321" s="401">
        <f t="shared" si="731"/>
        <v>0</v>
      </c>
      <c r="AU321" s="118">
        <f t="shared" si="731"/>
        <v>0</v>
      </c>
      <c r="AV321" s="118">
        <f t="shared" si="731"/>
        <v>0</v>
      </c>
      <c r="AW321" s="118">
        <f t="shared" si="731"/>
        <v>0</v>
      </c>
      <c r="AX321" s="118">
        <f t="shared" si="731"/>
        <v>0</v>
      </c>
      <c r="AY321" s="401">
        <f t="shared" si="731"/>
        <v>0</v>
      </c>
      <c r="AZ321" s="118">
        <f t="shared" si="731"/>
        <v>0</v>
      </c>
      <c r="BA321" s="118">
        <f t="shared" si="731"/>
        <v>0</v>
      </c>
      <c r="BB321" s="118">
        <f t="shared" si="731"/>
        <v>0</v>
      </c>
      <c r="BC321" s="118">
        <f t="shared" si="731"/>
        <v>0</v>
      </c>
      <c r="BD321" s="401">
        <f t="shared" si="731"/>
        <v>0</v>
      </c>
      <c r="BE321" s="118">
        <f t="shared" si="731"/>
        <v>0</v>
      </c>
      <c r="BF321" s="118">
        <f t="shared" si="731"/>
        <v>0</v>
      </c>
      <c r="BG321" s="118">
        <f t="shared" si="731"/>
        <v>0</v>
      </c>
      <c r="BH321" s="118">
        <f t="shared" si="731"/>
        <v>0</v>
      </c>
      <c r="BI321" s="401">
        <f t="shared" si="731"/>
        <v>0</v>
      </c>
      <c r="BJ321" s="971">
        <f>BJ665</f>
        <v>0</v>
      </c>
      <c r="BK321" s="302">
        <v>0</v>
      </c>
      <c r="BL321" s="302">
        <v>0</v>
      </c>
      <c r="BM321" s="302">
        <v>0</v>
      </c>
      <c r="BN321" s="401">
        <f t="shared" si="729"/>
        <v>0</v>
      </c>
      <c r="BO321" s="302">
        <v>0</v>
      </c>
      <c r="BP321" s="302">
        <v>0</v>
      </c>
      <c r="BQ321" s="302">
        <v>0</v>
      </c>
      <c r="BR321" s="302">
        <v>0</v>
      </c>
      <c r="BS321" s="401">
        <f t="shared" si="730"/>
        <v>0</v>
      </c>
      <c r="BT321" s="403">
        <v>0</v>
      </c>
      <c r="BU321" s="403">
        <v>0</v>
      </c>
      <c r="BV321" s="403">
        <v>0</v>
      </c>
      <c r="BW321" s="118"/>
    </row>
    <row r="322" spans="1:75" s="123" customFormat="1" hidden="1" outlineLevel="1" collapsed="1" x14ac:dyDescent="0.5">
      <c r="A322" s="445" t="s">
        <v>1861</v>
      </c>
      <c r="B322" s="486"/>
      <c r="C322" s="406"/>
      <c r="D322" s="406"/>
      <c r="E322" s="406"/>
      <c r="F322" s="406"/>
      <c r="G322" s="723"/>
      <c r="H322" s="723"/>
      <c r="I322" s="723"/>
      <c r="J322" s="723"/>
      <c r="K322" s="406"/>
      <c r="L322" s="723"/>
      <c r="M322" s="723"/>
      <c r="N322" s="723"/>
      <c r="O322" s="723"/>
      <c r="P322" s="406"/>
      <c r="Q322" s="723"/>
      <c r="R322" s="723"/>
      <c r="S322" s="723"/>
      <c r="T322" s="723"/>
      <c r="U322" s="406"/>
      <c r="V322" s="723"/>
      <c r="W322" s="723"/>
      <c r="X322" s="723"/>
      <c r="Y322" s="723"/>
      <c r="Z322" s="406"/>
      <c r="AA322" s="723">
        <f t="shared" si="731"/>
        <v>0</v>
      </c>
      <c r="AB322" s="723">
        <f t="shared" si="731"/>
        <v>0</v>
      </c>
      <c r="AC322" s="723">
        <f t="shared" si="731"/>
        <v>0</v>
      </c>
      <c r="AD322" s="723">
        <f t="shared" si="731"/>
        <v>0</v>
      </c>
      <c r="AE322" s="406">
        <f t="shared" si="731"/>
        <v>0</v>
      </c>
      <c r="AF322" s="723">
        <f t="shared" si="731"/>
        <v>0</v>
      </c>
      <c r="AG322" s="723">
        <f t="shared" si="731"/>
        <v>0</v>
      </c>
      <c r="AH322" s="723">
        <f t="shared" si="731"/>
        <v>0</v>
      </c>
      <c r="AI322" s="723">
        <f t="shared" si="731"/>
        <v>0</v>
      </c>
      <c r="AJ322" s="406">
        <f t="shared" si="731"/>
        <v>0</v>
      </c>
      <c r="AK322" s="723">
        <f t="shared" si="731"/>
        <v>0</v>
      </c>
      <c r="AL322" s="723">
        <f t="shared" si="731"/>
        <v>0</v>
      </c>
      <c r="AM322" s="723">
        <f t="shared" si="731"/>
        <v>0</v>
      </c>
      <c r="AN322" s="723">
        <f t="shared" si="731"/>
        <v>0</v>
      </c>
      <c r="AO322" s="406">
        <f t="shared" si="731"/>
        <v>0</v>
      </c>
      <c r="AP322" s="723">
        <f t="shared" si="731"/>
        <v>11.378</v>
      </c>
      <c r="AQ322" s="723">
        <f t="shared" si="731"/>
        <v>0</v>
      </c>
      <c r="AR322" s="723">
        <f t="shared" si="731"/>
        <v>0</v>
      </c>
      <c r="AS322" s="723">
        <f t="shared" si="731"/>
        <v>0</v>
      </c>
      <c r="AT322" s="406">
        <f t="shared" si="731"/>
        <v>11.378</v>
      </c>
      <c r="AU322" s="723">
        <f t="shared" si="731"/>
        <v>0</v>
      </c>
      <c r="AV322" s="723">
        <f t="shared" si="731"/>
        <v>0</v>
      </c>
      <c r="AW322" s="723">
        <f t="shared" si="731"/>
        <v>0</v>
      </c>
      <c r="AX322" s="723">
        <f t="shared" si="731"/>
        <v>0</v>
      </c>
      <c r="AY322" s="406">
        <f t="shared" si="731"/>
        <v>0</v>
      </c>
      <c r="AZ322" s="723">
        <f t="shared" si="731"/>
        <v>0</v>
      </c>
      <c r="BA322" s="723">
        <f t="shared" si="731"/>
        <v>0</v>
      </c>
      <c r="BB322" s="723">
        <f t="shared" si="731"/>
        <v>0</v>
      </c>
      <c r="BC322" s="723">
        <f t="shared" si="731"/>
        <v>0</v>
      </c>
      <c r="BD322" s="406">
        <f t="shared" si="731"/>
        <v>0</v>
      </c>
      <c r="BE322" s="723">
        <f t="shared" si="731"/>
        <v>0</v>
      </c>
      <c r="BF322" s="723">
        <f t="shared" si="731"/>
        <v>0</v>
      </c>
      <c r="BG322" s="723">
        <f t="shared" si="731"/>
        <v>0</v>
      </c>
      <c r="BH322" s="723">
        <f t="shared" si="731"/>
        <v>0</v>
      </c>
      <c r="BI322" s="406">
        <f t="shared" si="731"/>
        <v>0</v>
      </c>
      <c r="BJ322" s="1049">
        <f>BJ666</f>
        <v>0</v>
      </c>
      <c r="BK322" s="357">
        <v>0</v>
      </c>
      <c r="BL322" s="357">
        <v>0</v>
      </c>
      <c r="BM322" s="357">
        <v>0</v>
      </c>
      <c r="BN322" s="406">
        <f t="shared" si="729"/>
        <v>0</v>
      </c>
      <c r="BO322" s="357">
        <v>0</v>
      </c>
      <c r="BP322" s="357">
        <v>0</v>
      </c>
      <c r="BQ322" s="357">
        <v>0</v>
      </c>
      <c r="BR322" s="357">
        <v>0</v>
      </c>
      <c r="BS322" s="406">
        <f t="shared" si="730"/>
        <v>0</v>
      </c>
      <c r="BT322" s="408">
        <v>0</v>
      </c>
      <c r="BU322" s="408">
        <v>0</v>
      </c>
      <c r="BV322" s="408">
        <v>0</v>
      </c>
      <c r="BW322" s="118"/>
    </row>
    <row r="323" spans="1:75" s="123" customFormat="1" collapsed="1" x14ac:dyDescent="0.5">
      <c r="A323" s="206" t="s">
        <v>192</v>
      </c>
      <c r="B323" s="485"/>
      <c r="C323" s="397">
        <f t="shared" ref="C323:BI323" si="732">SUM(C316:C322)</f>
        <v>1103.2370000000001</v>
      </c>
      <c r="D323" s="397">
        <f t="shared" si="732"/>
        <v>1373.8589999999999</v>
      </c>
      <c r="E323" s="397">
        <f t="shared" si="732"/>
        <v>1459.8559999999998</v>
      </c>
      <c r="F323" s="397">
        <f t="shared" si="732"/>
        <v>1592.4760000000001</v>
      </c>
      <c r="G323" s="295">
        <f t="shared" si="732"/>
        <v>334.18499999999995</v>
      </c>
      <c r="H323" s="295">
        <f t="shared" si="732"/>
        <v>368.92399999999998</v>
      </c>
      <c r="I323" s="295">
        <f t="shared" si="732"/>
        <v>405.38800000000003</v>
      </c>
      <c r="J323" s="295">
        <f t="shared" si="732"/>
        <v>595.71900000000005</v>
      </c>
      <c r="K323" s="397">
        <f t="shared" si="732"/>
        <v>1704.2160000000003</v>
      </c>
      <c r="L323" s="295">
        <f t="shared" si="732"/>
        <v>368.40800000000002</v>
      </c>
      <c r="M323" s="295">
        <f t="shared" si="732"/>
        <v>382.09800000000007</v>
      </c>
      <c r="N323" s="295">
        <f t="shared" si="732"/>
        <v>431.40700000000004</v>
      </c>
      <c r="O323" s="295">
        <f t="shared" si="732"/>
        <v>618.59100000000001</v>
      </c>
      <c r="P323" s="397">
        <f t="shared" si="732"/>
        <v>1800.5039999999999</v>
      </c>
      <c r="Q323" s="295">
        <f t="shared" si="732"/>
        <v>378.84099999999989</v>
      </c>
      <c r="R323" s="295">
        <f t="shared" si="732"/>
        <v>406.625</v>
      </c>
      <c r="S323" s="295">
        <f t="shared" si="732"/>
        <v>451.1880000000001</v>
      </c>
      <c r="T323" s="295">
        <f t="shared" si="732"/>
        <v>607.56000000000006</v>
      </c>
      <c r="U323" s="397">
        <f t="shared" si="732"/>
        <v>1844.2139999999999</v>
      </c>
      <c r="V323" s="295">
        <f t="shared" si="732"/>
        <v>392.51700000000005</v>
      </c>
      <c r="W323" s="295">
        <f t="shared" si="732"/>
        <v>410.53899999999999</v>
      </c>
      <c r="X323" s="295">
        <f t="shared" si="732"/>
        <v>458.22299999999996</v>
      </c>
      <c r="Y323" s="295">
        <f t="shared" si="732"/>
        <v>622.03099999999995</v>
      </c>
      <c r="Z323" s="397">
        <f t="shared" si="732"/>
        <v>1883.31</v>
      </c>
      <c r="AA323" s="295">
        <f t="shared" si="732"/>
        <v>395.7600000000001</v>
      </c>
      <c r="AB323" s="295">
        <f t="shared" si="732"/>
        <v>422.71100000000001</v>
      </c>
      <c r="AC323" s="295">
        <f t="shared" si="732"/>
        <v>467.06700000000001</v>
      </c>
      <c r="AD323" s="295">
        <f t="shared" si="732"/>
        <v>646.52300000000002</v>
      </c>
      <c r="AE323" s="397">
        <f t="shared" si="732"/>
        <v>1932.0610000000001</v>
      </c>
      <c r="AF323" s="295">
        <f t="shared" si="732"/>
        <v>432.74599999999998</v>
      </c>
      <c r="AG323" s="295">
        <f t="shared" si="732"/>
        <v>464.93</v>
      </c>
      <c r="AH323" s="295">
        <f t="shared" si="732"/>
        <v>495.0499999999999</v>
      </c>
      <c r="AI323" s="295">
        <f t="shared" si="732"/>
        <v>711.01399999999978</v>
      </c>
      <c r="AJ323" s="397">
        <f t="shared" si="732"/>
        <v>2103.7399999999998</v>
      </c>
      <c r="AK323" s="295">
        <f t="shared" si="732"/>
        <v>444.89600000000002</v>
      </c>
      <c r="AL323" s="295">
        <f t="shared" si="732"/>
        <v>484.74000000000012</v>
      </c>
      <c r="AM323" s="295">
        <f t="shared" si="732"/>
        <v>518.89800000000002</v>
      </c>
      <c r="AN323" s="295">
        <f t="shared" si="732"/>
        <v>693.62300000000005</v>
      </c>
      <c r="AO323" s="397">
        <f t="shared" si="732"/>
        <v>2142.1569999999997</v>
      </c>
      <c r="AP323" s="295">
        <f t="shared" si="732"/>
        <v>425.63799999999998</v>
      </c>
      <c r="AQ323" s="295">
        <f t="shared" si="732"/>
        <v>551.202</v>
      </c>
      <c r="AR323" s="295">
        <f t="shared" si="732"/>
        <v>705.58300000000008</v>
      </c>
      <c r="AS323" s="295">
        <f t="shared" si="732"/>
        <v>965.22400000000061</v>
      </c>
      <c r="AT323" s="397">
        <f t="shared" si="732"/>
        <v>2647.6470000000004</v>
      </c>
      <c r="AU323" s="295">
        <f t="shared" si="732"/>
        <v>752.85299999999995</v>
      </c>
      <c r="AV323" s="295">
        <f t="shared" si="732"/>
        <v>858.38799999999992</v>
      </c>
      <c r="AW323" s="295">
        <f t="shared" si="732"/>
        <v>895.4849999999999</v>
      </c>
      <c r="AX323" s="295">
        <f t="shared" si="732"/>
        <v>1125.2369999999996</v>
      </c>
      <c r="AY323" s="397">
        <f t="shared" si="732"/>
        <v>3631.9629999999997</v>
      </c>
      <c r="AZ323" s="295">
        <f t="shared" si="732"/>
        <v>828.548</v>
      </c>
      <c r="BA323" s="295">
        <f t="shared" si="732"/>
        <v>928.80899999999974</v>
      </c>
      <c r="BB323" s="295">
        <f t="shared" si="732"/>
        <v>910.52600000000007</v>
      </c>
      <c r="BC323" s="295">
        <f t="shared" si="732"/>
        <v>1009.8499999999995</v>
      </c>
      <c r="BD323" s="397">
        <f t="shared" si="732"/>
        <v>3677.7329999999993</v>
      </c>
      <c r="BE323" s="295">
        <f t="shared" si="732"/>
        <v>677.19999999999993</v>
      </c>
      <c r="BF323" s="295">
        <f t="shared" si="732"/>
        <v>757.56700000000001</v>
      </c>
      <c r="BG323" s="295">
        <f t="shared" si="732"/>
        <v>822.36000000000013</v>
      </c>
      <c r="BH323" s="295">
        <f t="shared" si="732"/>
        <v>1048.6149999999998</v>
      </c>
      <c r="BI323" s="397">
        <f t="shared" si="732"/>
        <v>3305.7419999999997</v>
      </c>
      <c r="BJ323" s="1030">
        <f>SUM(BJ316:BJ322)</f>
        <v>802.51499999999999</v>
      </c>
      <c r="BK323" s="295">
        <f>BK327*BK305</f>
        <v>775.0887746365695</v>
      </c>
      <c r="BL323" s="295">
        <f>BL327*BL305</f>
        <v>839.69649994619886</v>
      </c>
      <c r="BM323" s="295">
        <f>BM327*BM305</f>
        <v>1127.2070047975881</v>
      </c>
      <c r="BN323" s="397">
        <f>SUM(BN316:BN322)</f>
        <v>3544.5072793803565</v>
      </c>
      <c r="BO323" s="295">
        <f>BO327*BO305</f>
        <v>801.92594351812795</v>
      </c>
      <c r="BP323" s="295">
        <f>BP327*BP305</f>
        <v>819.4348021951472</v>
      </c>
      <c r="BQ323" s="295">
        <f>BQ327*BQ305</f>
        <v>888.34203360833544</v>
      </c>
      <c r="BR323" s="295">
        <f>BR327*BR305</f>
        <v>1102.6197351018366</v>
      </c>
      <c r="BS323" s="397">
        <f>SUM(BS316:BS322)</f>
        <v>3612.3225144234466</v>
      </c>
      <c r="BT323" s="397">
        <f>BT327*BT305</f>
        <v>3878.2090863914882</v>
      </c>
      <c r="BU323" s="397">
        <f>BU327*BU305</f>
        <v>4196.1542132726854</v>
      </c>
      <c r="BV323" s="397">
        <f>BV327*BV305</f>
        <v>4539.0661555918487</v>
      </c>
      <c r="BW323" s="118"/>
    </row>
    <row r="324" spans="1:75" s="123" customFormat="1" collapsed="1" x14ac:dyDescent="0.5">
      <c r="A324" s="199" t="s">
        <v>193</v>
      </c>
      <c r="B324" s="490"/>
      <c r="C324" s="414"/>
      <c r="D324" s="414"/>
      <c r="E324" s="414"/>
      <c r="F324" s="414"/>
      <c r="G324" s="413"/>
      <c r="H324" s="413"/>
      <c r="I324" s="413"/>
      <c r="J324" s="413"/>
      <c r="K324" s="414"/>
      <c r="L324" s="413"/>
      <c r="M324" s="413"/>
      <c r="N324" s="413"/>
      <c r="O324" s="413"/>
      <c r="P324" s="414"/>
      <c r="Q324" s="413"/>
      <c r="R324" s="413"/>
      <c r="S324" s="413"/>
      <c r="T324" s="413"/>
      <c r="U324" s="414"/>
      <c r="V324" s="413"/>
      <c r="W324" s="413"/>
      <c r="X324" s="413"/>
      <c r="Y324" s="413"/>
      <c r="Z324" s="414"/>
      <c r="AA324" s="413"/>
      <c r="AB324" s="413"/>
      <c r="AC324" s="413"/>
      <c r="AD324" s="413"/>
      <c r="AE324" s="414"/>
      <c r="AF324" s="413"/>
      <c r="AG324" s="413"/>
      <c r="AH324" s="413"/>
      <c r="AI324" s="413"/>
      <c r="AJ324" s="414"/>
      <c r="AK324" s="413"/>
      <c r="AL324" s="413"/>
      <c r="AM324" s="413"/>
      <c r="AN324" s="413"/>
      <c r="AO324" s="414"/>
      <c r="AP324" s="413"/>
      <c r="AQ324" s="413"/>
      <c r="AR324" s="413"/>
      <c r="AS324" s="413"/>
      <c r="AT324" s="414"/>
      <c r="AU324" s="413"/>
      <c r="AV324" s="413"/>
      <c r="AW324" s="413"/>
      <c r="AX324" s="413"/>
      <c r="AY324" s="414"/>
      <c r="AZ324" s="413"/>
      <c r="BA324" s="413"/>
      <c r="BB324" s="413"/>
      <c r="BC324" s="413"/>
      <c r="BD324" s="414"/>
      <c r="BE324" s="413"/>
      <c r="BF324" s="413"/>
      <c r="BG324" s="413"/>
      <c r="BH324" s="413"/>
      <c r="BI324" s="414"/>
      <c r="BJ324" s="1216"/>
      <c r="BK324" s="202" t="str">
        <f ca="1">IFERROR(BK626*BK752,"N/A")</f>
        <v>N/A</v>
      </c>
      <c r="BL324" s="202" t="str">
        <f ca="1">IFERROR(BL626*BL752,"N/A")</f>
        <v>N/A</v>
      </c>
      <c r="BM324" s="202" t="str">
        <f ca="1">IFERROR(BM626*BM752,"N/A")</f>
        <v>N/A</v>
      </c>
      <c r="BN324" s="201" t="str">
        <f t="shared" ref="BN324:BV324" ca="1" si="733">IFERROR(BN626*BN752,"N/A")</f>
        <v>N/A</v>
      </c>
      <c r="BO324" s="202" t="str">
        <f t="shared" ca="1" si="733"/>
        <v>N/A</v>
      </c>
      <c r="BP324" s="202" t="str">
        <f t="shared" ca="1" si="733"/>
        <v>N/A</v>
      </c>
      <c r="BQ324" s="202" t="str">
        <f t="shared" ca="1" si="733"/>
        <v>N/A</v>
      </c>
      <c r="BR324" s="202" t="str">
        <f t="shared" ca="1" si="733"/>
        <v>N/A</v>
      </c>
      <c r="BS324" s="201" t="str">
        <f t="shared" ca="1" si="733"/>
        <v>N/A</v>
      </c>
      <c r="BT324" s="201" t="str">
        <f t="shared" ca="1" si="733"/>
        <v>N/A</v>
      </c>
      <c r="BU324" s="201" t="str">
        <f t="shared" ca="1" si="733"/>
        <v>N/A</v>
      </c>
      <c r="BV324" s="201" t="str">
        <f t="shared" ca="1" si="733"/>
        <v>N/A</v>
      </c>
      <c r="BW324" s="118"/>
    </row>
    <row r="325" spans="1:75" s="123" customFormat="1" collapsed="1" x14ac:dyDescent="0.5">
      <c r="A325" s="199" t="s">
        <v>712</v>
      </c>
      <c r="B325" s="490"/>
      <c r="C325" s="414"/>
      <c r="D325" s="414">
        <f>D323-C323</f>
        <v>270.62199999999984</v>
      </c>
      <c r="E325" s="414">
        <f>E323-D323</f>
        <v>85.996999999999844</v>
      </c>
      <c r="F325" s="414">
        <f>F323-E323</f>
        <v>132.62000000000035</v>
      </c>
      <c r="G325" s="413"/>
      <c r="H325" s="413"/>
      <c r="I325" s="413"/>
      <c r="J325" s="413"/>
      <c r="K325" s="414">
        <f t="shared" ref="K325:BS325" si="734">K323-F323</f>
        <v>111.74000000000024</v>
      </c>
      <c r="L325" s="413">
        <f t="shared" si="734"/>
        <v>34.22300000000007</v>
      </c>
      <c r="M325" s="413">
        <f t="shared" si="734"/>
        <v>13.174000000000092</v>
      </c>
      <c r="N325" s="413">
        <f t="shared" si="734"/>
        <v>26.019000000000005</v>
      </c>
      <c r="O325" s="413">
        <f t="shared" si="734"/>
        <v>22.871999999999957</v>
      </c>
      <c r="P325" s="414">
        <f t="shared" si="734"/>
        <v>96.287999999999556</v>
      </c>
      <c r="Q325" s="413">
        <f t="shared" si="734"/>
        <v>10.432999999999879</v>
      </c>
      <c r="R325" s="413">
        <f t="shared" si="734"/>
        <v>24.52699999999993</v>
      </c>
      <c r="S325" s="413">
        <f t="shared" si="734"/>
        <v>19.781000000000063</v>
      </c>
      <c r="T325" s="413">
        <f t="shared" si="734"/>
        <v>-11.030999999999949</v>
      </c>
      <c r="U325" s="414">
        <f t="shared" si="734"/>
        <v>43.710000000000036</v>
      </c>
      <c r="V325" s="413">
        <f t="shared" si="734"/>
        <v>13.676000000000158</v>
      </c>
      <c r="W325" s="413">
        <f t="shared" si="734"/>
        <v>3.9139999999999873</v>
      </c>
      <c r="X325" s="413">
        <f t="shared" si="734"/>
        <v>7.0349999999998545</v>
      </c>
      <c r="Y325" s="413">
        <f t="shared" si="734"/>
        <v>14.47099999999989</v>
      </c>
      <c r="Z325" s="414">
        <f t="shared" si="734"/>
        <v>39.096000000000004</v>
      </c>
      <c r="AA325" s="413">
        <f t="shared" si="734"/>
        <v>3.2430000000000518</v>
      </c>
      <c r="AB325" s="413">
        <f t="shared" si="734"/>
        <v>12.172000000000025</v>
      </c>
      <c r="AC325" s="413">
        <f t="shared" si="734"/>
        <v>8.8440000000000509</v>
      </c>
      <c r="AD325" s="413">
        <f t="shared" si="734"/>
        <v>24.492000000000075</v>
      </c>
      <c r="AE325" s="414">
        <f t="shared" si="734"/>
        <v>48.751000000000204</v>
      </c>
      <c r="AF325" s="413">
        <f t="shared" si="734"/>
        <v>36.985999999999876</v>
      </c>
      <c r="AG325" s="413">
        <f t="shared" si="734"/>
        <v>42.218999999999994</v>
      </c>
      <c r="AH325" s="413">
        <f t="shared" si="734"/>
        <v>27.98299999999989</v>
      </c>
      <c r="AI325" s="413">
        <f t="shared" si="734"/>
        <v>64.490999999999758</v>
      </c>
      <c r="AJ325" s="414">
        <f t="shared" si="734"/>
        <v>171.67899999999963</v>
      </c>
      <c r="AK325" s="413">
        <f t="shared" si="734"/>
        <v>12.150000000000034</v>
      </c>
      <c r="AL325" s="413">
        <f t="shared" si="734"/>
        <v>19.810000000000116</v>
      </c>
      <c r="AM325" s="413">
        <f t="shared" si="734"/>
        <v>23.848000000000127</v>
      </c>
      <c r="AN325" s="413">
        <f t="shared" si="734"/>
        <v>-17.390999999999735</v>
      </c>
      <c r="AO325" s="414">
        <f t="shared" si="734"/>
        <v>38.416999999999916</v>
      </c>
      <c r="AP325" s="413">
        <f t="shared" si="734"/>
        <v>-19.258000000000038</v>
      </c>
      <c r="AQ325" s="413">
        <f t="shared" si="734"/>
        <v>66.461999999999875</v>
      </c>
      <c r="AR325" s="413">
        <f t="shared" si="734"/>
        <v>186.68500000000006</v>
      </c>
      <c r="AS325" s="413">
        <f t="shared" si="734"/>
        <v>271.60100000000057</v>
      </c>
      <c r="AT325" s="414">
        <f t="shared" si="734"/>
        <v>505.49000000000069</v>
      </c>
      <c r="AU325" s="413">
        <f t="shared" si="734"/>
        <v>327.21499999999997</v>
      </c>
      <c r="AV325" s="413">
        <f t="shared" si="734"/>
        <v>307.18599999999992</v>
      </c>
      <c r="AW325" s="413">
        <f t="shared" si="734"/>
        <v>189.90199999999982</v>
      </c>
      <c r="AX325" s="413">
        <f t="shared" si="734"/>
        <v>160.01299999999901</v>
      </c>
      <c r="AY325" s="414">
        <f t="shared" si="734"/>
        <v>984.31599999999935</v>
      </c>
      <c r="AZ325" s="413">
        <f t="shared" si="734"/>
        <v>75.69500000000005</v>
      </c>
      <c r="BA325" s="413">
        <f t="shared" si="734"/>
        <v>70.420999999999822</v>
      </c>
      <c r="BB325" s="413">
        <f t="shared" si="734"/>
        <v>15.041000000000167</v>
      </c>
      <c r="BC325" s="413">
        <f t="shared" si="734"/>
        <v>-115.38700000000017</v>
      </c>
      <c r="BD325" s="414">
        <f t="shared" si="734"/>
        <v>45.769999999999527</v>
      </c>
      <c r="BE325" s="413">
        <f t="shared" si="734"/>
        <v>-151.34800000000007</v>
      </c>
      <c r="BF325" s="413">
        <f t="shared" si="734"/>
        <v>-171.24199999999973</v>
      </c>
      <c r="BG325" s="413">
        <f t="shared" si="734"/>
        <v>-88.16599999999994</v>
      </c>
      <c r="BH325" s="413">
        <f t="shared" si="734"/>
        <v>38.765000000000327</v>
      </c>
      <c r="BI325" s="414">
        <f t="shared" si="734"/>
        <v>-371.99099999999953</v>
      </c>
      <c r="BJ325" s="1216">
        <f>BJ323-BE323</f>
        <v>125.31500000000005</v>
      </c>
      <c r="BK325" s="413">
        <f t="shared" si="734"/>
        <v>17.521774636569489</v>
      </c>
      <c r="BL325" s="413">
        <f t="shared" si="734"/>
        <v>17.336499946198728</v>
      </c>
      <c r="BM325" s="413">
        <f t="shared" si="734"/>
        <v>78.592004797588288</v>
      </c>
      <c r="BN325" s="414">
        <f t="shared" si="734"/>
        <v>238.76527938035679</v>
      </c>
      <c r="BO325" s="413">
        <f t="shared" si="734"/>
        <v>-0.58905648187203496</v>
      </c>
      <c r="BP325" s="413">
        <f t="shared" si="734"/>
        <v>44.346027558577703</v>
      </c>
      <c r="BQ325" s="413">
        <f t="shared" si="734"/>
        <v>48.645533662136586</v>
      </c>
      <c r="BR325" s="413">
        <f t="shared" si="734"/>
        <v>-24.587269695751502</v>
      </c>
      <c r="BS325" s="414">
        <f t="shared" si="734"/>
        <v>67.81523504309007</v>
      </c>
      <c r="BT325" s="414">
        <f>BT323-BS323</f>
        <v>265.88657196804161</v>
      </c>
      <c r="BU325" s="414">
        <f>BU323-BT323</f>
        <v>317.94512688119721</v>
      </c>
      <c r="BV325" s="414">
        <f>BV323-BU323</f>
        <v>342.91194231916324</v>
      </c>
      <c r="BW325" s="118"/>
    </row>
    <row r="326" spans="1:75" s="123" customFormat="1" collapsed="1" x14ac:dyDescent="0.5">
      <c r="A326" s="170" t="s">
        <v>713</v>
      </c>
      <c r="B326" s="491"/>
      <c r="C326" s="417"/>
      <c r="D326" s="417">
        <f>IF(C323&gt;0,D323/C323-1,-(D323/C323-1))</f>
        <v>0.245298154431006</v>
      </c>
      <c r="E326" s="417">
        <f>IF(D323&gt;0,E323/D323-1,-(E323/D323-1))</f>
        <v>6.2595215375085722E-2</v>
      </c>
      <c r="F326" s="417">
        <f>IF(E323&gt;0,F323/E323-1,-(F323/E323-1))</f>
        <v>9.0844576451376335E-2</v>
      </c>
      <c r="G326" s="378"/>
      <c r="H326" s="378"/>
      <c r="I326" s="378"/>
      <c r="J326" s="378"/>
      <c r="K326" s="417">
        <f t="shared" ref="K326:BS326" si="735">IF(F323&gt;0,K323/F323-1,-(K323/F323-1))</f>
        <v>7.0167462492370491E-2</v>
      </c>
      <c r="L326" s="378">
        <f t="shared" si="735"/>
        <v>0.1024073492227362</v>
      </c>
      <c r="M326" s="378">
        <f t="shared" si="735"/>
        <v>3.5709251770012607E-2</v>
      </c>
      <c r="N326" s="378">
        <f t="shared" si="735"/>
        <v>6.4182955588226509E-2</v>
      </c>
      <c r="O326" s="378">
        <f t="shared" si="735"/>
        <v>3.8393940767375234E-2</v>
      </c>
      <c r="P326" s="417">
        <f t="shared" si="735"/>
        <v>5.6499880296863481E-2</v>
      </c>
      <c r="Q326" s="378">
        <f t="shared" si="735"/>
        <v>2.8319146164035303E-2</v>
      </c>
      <c r="R326" s="378">
        <f t="shared" si="735"/>
        <v>6.4190338604232178E-2</v>
      </c>
      <c r="S326" s="378">
        <f t="shared" si="735"/>
        <v>4.5852292614630974E-2</v>
      </c>
      <c r="T326" s="378">
        <f t="shared" si="735"/>
        <v>-1.7832461190026905E-2</v>
      </c>
      <c r="U326" s="417">
        <f t="shared" si="735"/>
        <v>2.4276535903280383E-2</v>
      </c>
      <c r="V326" s="378">
        <f t="shared" si="735"/>
        <v>3.6099577395266591E-2</v>
      </c>
      <c r="W326" s="378">
        <f t="shared" si="735"/>
        <v>9.6255763910235714E-3</v>
      </c>
      <c r="X326" s="378">
        <f t="shared" si="735"/>
        <v>1.5592170004521178E-2</v>
      </c>
      <c r="Y326" s="378">
        <f t="shared" si="735"/>
        <v>2.3818223714530129E-2</v>
      </c>
      <c r="Z326" s="417">
        <f t="shared" si="735"/>
        <v>2.1199275138351625E-2</v>
      </c>
      <c r="AA326" s="378">
        <f t="shared" si="735"/>
        <v>8.2620625348712728E-3</v>
      </c>
      <c r="AB326" s="378">
        <f t="shared" si="735"/>
        <v>2.9648827516995935E-2</v>
      </c>
      <c r="AC326" s="378">
        <f t="shared" si="735"/>
        <v>1.9300646191919846E-2</v>
      </c>
      <c r="AD326" s="378">
        <f t="shared" si="735"/>
        <v>3.9374243405875475E-2</v>
      </c>
      <c r="AE326" s="417">
        <f t="shared" si="735"/>
        <v>2.5885807434782526E-2</v>
      </c>
      <c r="AF326" s="378">
        <f t="shared" si="735"/>
        <v>9.34556296745499E-2</v>
      </c>
      <c r="AG326" s="378">
        <f t="shared" si="735"/>
        <v>9.987674794363044E-2</v>
      </c>
      <c r="AH326" s="378">
        <f t="shared" si="735"/>
        <v>5.9912175341010787E-2</v>
      </c>
      <c r="AI326" s="378">
        <f t="shared" si="735"/>
        <v>9.9750511582727519E-2</v>
      </c>
      <c r="AJ326" s="417">
        <f t="shared" si="735"/>
        <v>8.8857960488824883E-2</v>
      </c>
      <c r="AK326" s="378">
        <f t="shared" si="735"/>
        <v>2.807651601632366E-2</v>
      </c>
      <c r="AL326" s="378">
        <f t="shared" si="735"/>
        <v>4.2608564730174603E-2</v>
      </c>
      <c r="AM326" s="378">
        <f t="shared" si="735"/>
        <v>4.8172911827088383E-2</v>
      </c>
      <c r="AN326" s="378">
        <f t="shared" si="735"/>
        <v>-2.4459433991454116E-2</v>
      </c>
      <c r="AO326" s="417">
        <f t="shared" si="735"/>
        <v>1.8261287041174246E-2</v>
      </c>
      <c r="AP326" s="378">
        <f t="shared" si="735"/>
        <v>-4.328652089477103E-2</v>
      </c>
      <c r="AQ326" s="378">
        <f t="shared" si="735"/>
        <v>0.13710855303874214</v>
      </c>
      <c r="AR326" s="378">
        <f t="shared" si="735"/>
        <v>0.35977205539431645</v>
      </c>
      <c r="AS326" s="378">
        <f t="shared" si="735"/>
        <v>0.39156861868767412</v>
      </c>
      <c r="AT326" s="417">
        <f t="shared" si="735"/>
        <v>0.23597243339307106</v>
      </c>
      <c r="AU326" s="378">
        <f t="shared" si="735"/>
        <v>0.76876359723520915</v>
      </c>
      <c r="AV326" s="378">
        <f t="shared" si="735"/>
        <v>0.5573020417197323</v>
      </c>
      <c r="AW326" s="378">
        <f t="shared" si="735"/>
        <v>0.26914197195794087</v>
      </c>
      <c r="AX326" s="378">
        <f t="shared" si="735"/>
        <v>0.1657780991769775</v>
      </c>
      <c r="AY326" s="417">
        <f t="shared" si="735"/>
        <v>0.37177010379404773</v>
      </c>
      <c r="AZ326" s="378">
        <f t="shared" si="735"/>
        <v>0.10054419654301716</v>
      </c>
      <c r="BA326" s="378">
        <f t="shared" si="735"/>
        <v>8.203865850873937E-2</v>
      </c>
      <c r="BB326" s="378">
        <f t="shared" si="735"/>
        <v>1.6796484586564908E-2</v>
      </c>
      <c r="BC326" s="378">
        <f t="shared" si="735"/>
        <v>-0.10254461948905003</v>
      </c>
      <c r="BD326" s="417">
        <f t="shared" si="735"/>
        <v>1.2602000626107612E-2</v>
      </c>
      <c r="BE326" s="378">
        <f t="shared" si="735"/>
        <v>-0.18266654436435792</v>
      </c>
      <c r="BF326" s="378">
        <f t="shared" si="735"/>
        <v>-0.18436729187593981</v>
      </c>
      <c r="BG326" s="378">
        <f t="shared" si="735"/>
        <v>-9.6829744565229303E-2</v>
      </c>
      <c r="BH326" s="378">
        <f t="shared" si="735"/>
        <v>3.8386889141952096E-2</v>
      </c>
      <c r="BI326" s="417">
        <f t="shared" si="735"/>
        <v>-0.10114682060932634</v>
      </c>
      <c r="BJ326" s="1130">
        <f>IF(BE323&gt;0,BJ323/BE323-1,-(BJ323/BE323-1))</f>
        <v>0.18504873006497347</v>
      </c>
      <c r="BK326" s="378">
        <f t="shared" si="735"/>
        <v>2.312900989162614E-2</v>
      </c>
      <c r="BL326" s="378">
        <f t="shared" si="735"/>
        <v>2.1081399808111634E-2</v>
      </c>
      <c r="BM326" s="378">
        <f t="shared" si="735"/>
        <v>7.4948388872549287E-2</v>
      </c>
      <c r="BN326" s="417">
        <f t="shared" si="735"/>
        <v>7.2227439219502587E-2</v>
      </c>
      <c r="BO326" s="378">
        <f t="shared" si="735"/>
        <v>-7.3401304881781648E-4</v>
      </c>
      <c r="BP326" s="378">
        <f t="shared" si="735"/>
        <v>5.7214126961612877E-2</v>
      </c>
      <c r="BQ326" s="378">
        <f t="shared" si="735"/>
        <v>5.7932281086384707E-2</v>
      </c>
      <c r="BR326" s="378">
        <f t="shared" si="735"/>
        <v>-2.1812559353431848E-2</v>
      </c>
      <c r="BS326" s="417">
        <f t="shared" si="735"/>
        <v>1.9132485758343698E-2</v>
      </c>
      <c r="BT326" s="417">
        <f>IF(BS323&gt;0,BT323/BS323-1,-(BT323/BS323-1))</f>
        <v>7.360543553528176E-2</v>
      </c>
      <c r="BU326" s="417">
        <f>IF(BT323&gt;0,BU323/BT323-1,-(BU323/BT323-1))</f>
        <v>8.198246143996113E-2</v>
      </c>
      <c r="BV326" s="417">
        <f>IF(BU323&gt;0,BV323/BU323-1,-(BV323/BU323-1))</f>
        <v>8.1720529058372682E-2</v>
      </c>
      <c r="BW326" s="118"/>
    </row>
    <row r="327" spans="1:75" s="123" customFormat="1" collapsed="1" x14ac:dyDescent="0.5">
      <c r="A327" s="211" t="s">
        <v>194</v>
      </c>
      <c r="B327" s="493"/>
      <c r="C327" s="423">
        <f t="shared" ref="C327:BI327" si="736">C323/C305</f>
        <v>0.35557275202533017</v>
      </c>
      <c r="D327" s="423">
        <f t="shared" si="736"/>
        <v>0.39206536919853496</v>
      </c>
      <c r="E327" s="423">
        <f t="shared" si="736"/>
        <v>0.3923400149695167</v>
      </c>
      <c r="F327" s="423">
        <f t="shared" si="736"/>
        <v>0.39389740456655797</v>
      </c>
      <c r="G327" s="422">
        <f t="shared" si="736"/>
        <v>0.37641584666955014</v>
      </c>
      <c r="H327" s="422">
        <f t="shared" si="736"/>
        <v>0.37560641370624787</v>
      </c>
      <c r="I327" s="422">
        <f t="shared" si="736"/>
        <v>0.38551544960382222</v>
      </c>
      <c r="J327" s="422">
        <f t="shared" si="736"/>
        <v>0.40626696419072456</v>
      </c>
      <c r="K327" s="423">
        <f t="shared" si="736"/>
        <v>0.38839086403507478</v>
      </c>
      <c r="L327" s="422">
        <f t="shared" si="736"/>
        <v>0.37811419129042523</v>
      </c>
      <c r="M327" s="422">
        <f t="shared" si="736"/>
        <v>0.36771943466570178</v>
      </c>
      <c r="N327" s="422">
        <f t="shared" si="736"/>
        <v>0.3773804587626251</v>
      </c>
      <c r="O327" s="422">
        <f t="shared" si="736"/>
        <v>0.40112896166004702</v>
      </c>
      <c r="P327" s="423">
        <f t="shared" si="736"/>
        <v>0.38319039721251685</v>
      </c>
      <c r="Q327" s="422">
        <f t="shared" si="736"/>
        <v>0.36756555891473164</v>
      </c>
      <c r="R327" s="422">
        <f t="shared" si="736"/>
        <v>0.36079405303151296</v>
      </c>
      <c r="S327" s="422">
        <f t="shared" si="736"/>
        <v>0.36619965229586998</v>
      </c>
      <c r="T327" s="422">
        <f t="shared" si="736"/>
        <v>0.3830035100459937</v>
      </c>
      <c r="U327" s="423">
        <f t="shared" si="736"/>
        <v>0.37061508131886678</v>
      </c>
      <c r="V327" s="422">
        <f t="shared" si="736"/>
        <v>0.35754319709022547</v>
      </c>
      <c r="W327" s="422">
        <f t="shared" si="736"/>
        <v>0.35420942875458683</v>
      </c>
      <c r="X327" s="422">
        <f t="shared" si="736"/>
        <v>0.36793682274959144</v>
      </c>
      <c r="Y327" s="422">
        <f t="shared" si="736"/>
        <v>0.3932969604465405</v>
      </c>
      <c r="Z327" s="423">
        <f t="shared" si="736"/>
        <v>0.37045232986585658</v>
      </c>
      <c r="AA327" s="422">
        <f t="shared" si="736"/>
        <v>0.35605713684214324</v>
      </c>
      <c r="AB327" s="422">
        <f t="shared" si="736"/>
        <v>0.35178835658277341</v>
      </c>
      <c r="AC327" s="422">
        <f t="shared" si="736"/>
        <v>0.35946591181957555</v>
      </c>
      <c r="AD327" s="422">
        <f t="shared" si="736"/>
        <v>0.38494922899764333</v>
      </c>
      <c r="AE327" s="423">
        <f t="shared" si="736"/>
        <v>0.36509427241484288</v>
      </c>
      <c r="AF327" s="422">
        <f t="shared" si="736"/>
        <v>0.35993000118106372</v>
      </c>
      <c r="AG327" s="422">
        <f t="shared" si="736"/>
        <v>0.36480348255388334</v>
      </c>
      <c r="AH327" s="422">
        <f t="shared" si="736"/>
        <v>0.36511531684752174</v>
      </c>
      <c r="AI327" s="422">
        <f t="shared" si="736"/>
        <v>0.38734818265912829</v>
      </c>
      <c r="AJ327" s="423">
        <f t="shared" si="736"/>
        <v>0.37114518792429396</v>
      </c>
      <c r="AK327" s="422">
        <f t="shared" si="736"/>
        <v>0.35845985761385574</v>
      </c>
      <c r="AL327" s="422">
        <f t="shared" si="736"/>
        <v>0.3536147135935292</v>
      </c>
      <c r="AM327" s="422">
        <f t="shared" si="736"/>
        <v>0.35972829975209225</v>
      </c>
      <c r="AN327" s="422">
        <f t="shared" si="736"/>
        <v>0.37623495462657097</v>
      </c>
      <c r="AO327" s="423">
        <f t="shared" si="736"/>
        <v>0.3632000838249117</v>
      </c>
      <c r="AP327" s="422">
        <f t="shared" si="736"/>
        <v>0.34458951281692157</v>
      </c>
      <c r="AQ327" s="422">
        <f t="shared" si="736"/>
        <v>0.36974141672429878</v>
      </c>
      <c r="AR327" s="422">
        <f t="shared" si="736"/>
        <v>0.39986886070899097</v>
      </c>
      <c r="AS327" s="422">
        <f t="shared" si="736"/>
        <v>0.42100378030360208</v>
      </c>
      <c r="AT327" s="423">
        <f t="shared" si="736"/>
        <v>0.39032481624793297</v>
      </c>
      <c r="AU327" s="422">
        <f t="shared" si="736"/>
        <v>0.43044054729795789</v>
      </c>
      <c r="AV327" s="422">
        <f t="shared" si="736"/>
        <v>0.44057425324853627</v>
      </c>
      <c r="AW327" s="422">
        <f t="shared" si="736"/>
        <v>0.43734698093662683</v>
      </c>
      <c r="AX327" s="422">
        <f t="shared" si="736"/>
        <v>0.44990961720155975</v>
      </c>
      <c r="AY327" s="423">
        <f t="shared" si="736"/>
        <v>0.44045491015210403</v>
      </c>
      <c r="AZ327" s="422">
        <f t="shared" si="736"/>
        <v>0.43810076738540638</v>
      </c>
      <c r="BA327" s="422">
        <f t="shared" si="736"/>
        <v>0.43452300474798788</v>
      </c>
      <c r="BB327" s="422">
        <f t="shared" si="736"/>
        <v>0.41527720387088418</v>
      </c>
      <c r="BC327" s="422">
        <f t="shared" si="736"/>
        <v>0.41166631812509891</v>
      </c>
      <c r="BD327" s="423">
        <f t="shared" si="736"/>
        <v>0.42397466019906577</v>
      </c>
      <c r="BE327" s="422">
        <f t="shared" si="736"/>
        <v>0.38576981072100558</v>
      </c>
      <c r="BF327" s="422">
        <f t="shared" si="736"/>
        <v>0.40672248785846127</v>
      </c>
      <c r="BG327" s="422">
        <f t="shared" si="736"/>
        <v>0.44364362204299629</v>
      </c>
      <c r="BH327" s="422">
        <f t="shared" si="736"/>
        <v>0.4601333867500505</v>
      </c>
      <c r="BI327" s="423">
        <f t="shared" si="736"/>
        <v>0.42651147284125257</v>
      </c>
      <c r="BJ327" s="1034">
        <f>BJ323/BJ305</f>
        <v>0.48334144408280671</v>
      </c>
      <c r="BK327" s="422">
        <f>BF327+(BK330/10000)</f>
        <v>0.41922311484513081</v>
      </c>
      <c r="BL327" s="422">
        <f>BG327+(BL330/10000)</f>
        <v>0.45855965203359456</v>
      </c>
      <c r="BM327" s="422">
        <f>BH327+(BM330/10000)</f>
        <v>0.47288198285079697</v>
      </c>
      <c r="BN327" s="423">
        <f>BN323/BN305</f>
        <v>0.4588908718339022</v>
      </c>
      <c r="BO327" s="422">
        <f>BJ327+(BO330/10000)</f>
        <v>0.46135794295260441</v>
      </c>
      <c r="BP327" s="422">
        <f>BK327+(BP330/10000)</f>
        <v>0.42383041843970665</v>
      </c>
      <c r="BQ327" s="422">
        <f>BL327+(BQ330/10000)</f>
        <v>0.46578067325948347</v>
      </c>
      <c r="BR327" s="422">
        <f>BM327+(BR330/10000)</f>
        <v>0.47154492470997023</v>
      </c>
      <c r="BS327" s="423">
        <f>BS323/BS305</f>
        <v>0.45626765594981378</v>
      </c>
      <c r="BT327" s="423">
        <f>BS327+(BT330/10000)</f>
        <v>0.46008686488604378</v>
      </c>
      <c r="BU327" s="423">
        <f>BT327+(BU330/10000)</f>
        <v>0.46443473194733931</v>
      </c>
      <c r="BV327" s="423">
        <f>BU327+(BV330/10000)</f>
        <v>0.4686450045360579</v>
      </c>
      <c r="BW327" s="118"/>
    </row>
    <row r="328" spans="1:75" s="224" customFormat="1" x14ac:dyDescent="0.5">
      <c r="A328" s="272" t="s">
        <v>1862</v>
      </c>
      <c r="B328" s="494"/>
      <c r="C328" s="425"/>
      <c r="D328" s="425">
        <f>-(D310-C310/C305*D305)/D305*10000</f>
        <v>227.42575618165222</v>
      </c>
      <c r="E328" s="425">
        <f>-(E310-D310/D305*E305)/E305*10000</f>
        <v>100.49419642380316</v>
      </c>
      <c r="F328" s="425">
        <f>-(F310-E310/E305*F305)/F305*10000</f>
        <v>65.999923703804555</v>
      </c>
      <c r="G328" s="487"/>
      <c r="H328" s="487"/>
      <c r="I328" s="487"/>
      <c r="J328" s="487"/>
      <c r="K328" s="425">
        <f t="shared" ref="K328:BD328" si="737">-(K310-F310/F305*K305)/K305*10000</f>
        <v>-0.31805117307212688</v>
      </c>
      <c r="L328" s="487">
        <f t="shared" si="737"/>
        <v>-4.8432989508722288</v>
      </c>
      <c r="M328" s="487">
        <f t="shared" si="737"/>
        <v>-19.984715782915092</v>
      </c>
      <c r="N328" s="487">
        <f t="shared" si="737"/>
        <v>2.4410757399641643</v>
      </c>
      <c r="O328" s="487">
        <f t="shared" si="737"/>
        <v>9.7456421319949254</v>
      </c>
      <c r="P328" s="425">
        <f t="shared" si="737"/>
        <v>-4.2336622133590689</v>
      </c>
      <c r="Q328" s="487">
        <f t="shared" si="737"/>
        <v>33.537619313972648</v>
      </c>
      <c r="R328" s="487">
        <f t="shared" si="737"/>
        <v>41.563965127868173</v>
      </c>
      <c r="S328" s="487">
        <f t="shared" si="737"/>
        <v>53.055154247709943</v>
      </c>
      <c r="T328" s="487">
        <f t="shared" si="737"/>
        <v>-36.072786644502351</v>
      </c>
      <c r="U328" s="425">
        <f t="shared" si="737"/>
        <v>14.382547416953281</v>
      </c>
      <c r="V328" s="487">
        <f t="shared" si="737"/>
        <v>-6.3951961820165604</v>
      </c>
      <c r="W328" s="487">
        <f t="shared" si="737"/>
        <v>-36.924974679692333</v>
      </c>
      <c r="X328" s="487">
        <f t="shared" si="737"/>
        <v>-55.274224358036484</v>
      </c>
      <c r="Y328" s="487">
        <f t="shared" si="737"/>
        <v>-31.418811624601386</v>
      </c>
      <c r="Z328" s="425">
        <f t="shared" si="737"/>
        <v>-36.748951190519342</v>
      </c>
      <c r="AA328" s="487">
        <f t="shared" si="737"/>
        <v>-31.071242062566377</v>
      </c>
      <c r="AB328" s="487">
        <f t="shared" si="737"/>
        <v>19.917825580745518</v>
      </c>
      <c r="AC328" s="487">
        <f t="shared" si="737"/>
        <v>31.845117535572303</v>
      </c>
      <c r="AD328" s="487">
        <f t="shared" si="737"/>
        <v>17.751409208187134</v>
      </c>
      <c r="AE328" s="425">
        <f t="shared" si="737"/>
        <v>14.005075155473715</v>
      </c>
      <c r="AF328" s="487">
        <f t="shared" si="737"/>
        <v>63.964599201760642</v>
      </c>
      <c r="AG328" s="487">
        <f t="shared" si="737"/>
        <v>60.964112625082684</v>
      </c>
      <c r="AH328" s="487">
        <f t="shared" si="737"/>
        <v>9.9389536691509299</v>
      </c>
      <c r="AI328" s="487">
        <f t="shared" si="737"/>
        <v>67.537657057501406</v>
      </c>
      <c r="AJ328" s="425">
        <f t="shared" si="737"/>
        <v>53.022555654721486</v>
      </c>
      <c r="AK328" s="487">
        <f t="shared" si="737"/>
        <v>42.17392946428776</v>
      </c>
      <c r="AL328" s="487">
        <f t="shared" si="737"/>
        <v>50.305630537583347</v>
      </c>
      <c r="AM328" s="487">
        <f t="shared" si="737"/>
        <v>64.788644188738189</v>
      </c>
      <c r="AN328" s="487">
        <f t="shared" si="737"/>
        <v>6.3052009846811723</v>
      </c>
      <c r="AO328" s="425">
        <f t="shared" si="737"/>
        <v>34.744048356398764</v>
      </c>
      <c r="AP328" s="487">
        <f t="shared" si="737"/>
        <v>-14.981436497504362</v>
      </c>
      <c r="AQ328" s="487">
        <f t="shared" si="737"/>
        <v>174.84431754678408</v>
      </c>
      <c r="AR328" s="487">
        <f t="shared" si="737"/>
        <v>255.40228210114878</v>
      </c>
      <c r="AS328" s="487">
        <f t="shared" si="737"/>
        <v>190.1722028949282</v>
      </c>
      <c r="AT328" s="425">
        <f t="shared" si="737"/>
        <v>178.17467667578239</v>
      </c>
      <c r="AU328" s="487">
        <f t="shared" si="737"/>
        <v>411.18561348791167</v>
      </c>
      <c r="AV328" s="487">
        <f t="shared" si="737"/>
        <v>211.6688875778334</v>
      </c>
      <c r="AW328" s="487">
        <f t="shared" si="737"/>
        <v>92.921770145994074</v>
      </c>
      <c r="AX328" s="487">
        <f t="shared" si="737"/>
        <v>17.059244496520918</v>
      </c>
      <c r="AY328" s="425">
        <f t="shared" si="737"/>
        <v>143.64918397312996</v>
      </c>
      <c r="AZ328" s="487">
        <f>-(AZ310-AU310/AU305*AZ305)/AZ305*10000</f>
        <v>18.922134229159493</v>
      </c>
      <c r="BA328" s="487">
        <f t="shared" si="737"/>
        <v>0.59362827569041787</v>
      </c>
      <c r="BB328" s="487">
        <f t="shared" si="737"/>
        <v>-28.598023875344271</v>
      </c>
      <c r="BC328" s="487">
        <f t="shared" si="737"/>
        <v>-57.96409904629455</v>
      </c>
      <c r="BD328" s="425">
        <f t="shared" si="737"/>
        <v>-22.590755210247611</v>
      </c>
      <c r="BE328" s="487">
        <f>-(BE310-AZ310/AZ305*BE305)/BE305*10000</f>
        <v>-168.55247564463005</v>
      </c>
      <c r="BF328" s="487">
        <f t="shared" ref="BF328:BS328" si="738">-(BF310-BA310/BA305*BF305)/BF305*10000</f>
        <v>-188.51676705425854</v>
      </c>
      <c r="BG328" s="487">
        <f t="shared" si="738"/>
        <v>-158.26256228075658</v>
      </c>
      <c r="BH328" s="487">
        <f t="shared" si="738"/>
        <v>-82.347845797631322</v>
      </c>
      <c r="BI328" s="425">
        <f t="shared" si="738"/>
        <v>-145.15848812704431</v>
      </c>
      <c r="BJ328" s="981">
        <f>-(BJ310-BE310/BE305*BJ305)/BJ305*10000</f>
        <v>-27.221230383791283</v>
      </c>
      <c r="BK328" s="487">
        <f t="shared" si="738"/>
        <v>25.006269866695369</v>
      </c>
      <c r="BL328" s="487">
        <f t="shared" si="738"/>
        <v>-0.83970009401754198</v>
      </c>
      <c r="BM328" s="487">
        <f t="shared" si="738"/>
        <v>77.485961007464724</v>
      </c>
      <c r="BN328" s="425">
        <f t="shared" si="738"/>
        <v>27.153356800081518</v>
      </c>
      <c r="BO328" s="487">
        <f t="shared" si="738"/>
        <v>30.164988697976998</v>
      </c>
      <c r="BP328" s="487">
        <f t="shared" si="738"/>
        <v>26.073035945758569</v>
      </c>
      <c r="BQ328" s="487">
        <f>-(BQ310-BL310/BL305*BQ305)/BQ305*10000</f>
        <v>22.210212258888994</v>
      </c>
      <c r="BR328" s="487">
        <f t="shared" si="738"/>
        <v>-33.370581408267569</v>
      </c>
      <c r="BS328" s="425">
        <f t="shared" si="738"/>
        <v>4.8340167517939614</v>
      </c>
      <c r="BT328" s="425">
        <f>-(BT310-BS310/BS305*BT305)/BT305*10000</f>
        <v>33.192089362299811</v>
      </c>
      <c r="BU328" s="425">
        <f>-(BU310-BT310/BT305*BU305)/BU305*10000</f>
        <v>38.478670612955291</v>
      </c>
      <c r="BV328" s="425">
        <f>-(BV310-BU310/BU305*BV305)/BV305*10000</f>
        <v>37.102725887185969</v>
      </c>
      <c r="BW328" s="487"/>
    </row>
    <row r="329" spans="1:75" s="224" customFormat="1" x14ac:dyDescent="0.5">
      <c r="A329" s="273" t="s">
        <v>1863</v>
      </c>
      <c r="B329" s="1220"/>
      <c r="C329" s="838"/>
      <c r="D329" s="838">
        <f t="shared" ref="D329:F329" si="739">D330-D328</f>
        <v>137.50041555039564</v>
      </c>
      <c r="E329" s="838">
        <f t="shared" si="739"/>
        <v>-97.747738713985754</v>
      </c>
      <c r="F329" s="838">
        <f t="shared" si="739"/>
        <v>-50.426027733391855</v>
      </c>
      <c r="G329" s="1221"/>
      <c r="H329" s="1221"/>
      <c r="I329" s="1221"/>
      <c r="J329" s="1221"/>
      <c r="K329" s="838">
        <f t="shared" ref="K329:BI329" si="740">K330-K328</f>
        <v>-54.747354141759821</v>
      </c>
      <c r="L329" s="1221">
        <f t="shared" si="740"/>
        <v>21.826745159623147</v>
      </c>
      <c r="M329" s="1221">
        <f t="shared" si="740"/>
        <v>-58.885074622545744</v>
      </c>
      <c r="N329" s="1221">
        <f t="shared" si="740"/>
        <v>-83.790984151935362</v>
      </c>
      <c r="O329" s="1221">
        <f t="shared" si="740"/>
        <v>-61.12566743877025</v>
      </c>
      <c r="P329" s="838">
        <f t="shared" si="740"/>
        <v>-47.771006012220184</v>
      </c>
      <c r="Q329" s="1221">
        <f t="shared" si="740"/>
        <v>-139.02394307090853</v>
      </c>
      <c r="R329" s="1221">
        <f t="shared" si="740"/>
        <v>-110.81778146975638</v>
      </c>
      <c r="S329" s="1221">
        <f t="shared" si="740"/>
        <v>-164.86321891526117</v>
      </c>
      <c r="T329" s="1221">
        <f t="shared" si="740"/>
        <v>-145.1817294960309</v>
      </c>
      <c r="U329" s="838">
        <f t="shared" si="740"/>
        <v>-140.13570635345403</v>
      </c>
      <c r="V329" s="1221">
        <f t="shared" si="740"/>
        <v>-93.828422063045096</v>
      </c>
      <c r="W329" s="1221">
        <f t="shared" si="740"/>
        <v>-28.92126808956899</v>
      </c>
      <c r="X329" s="1221">
        <f t="shared" si="740"/>
        <v>72.645928895251075</v>
      </c>
      <c r="Y329" s="1221">
        <f t="shared" si="740"/>
        <v>134.35331563006937</v>
      </c>
      <c r="Z329" s="838">
        <f t="shared" si="740"/>
        <v>35.121436660417331</v>
      </c>
      <c r="AA329" s="1221">
        <f t="shared" si="740"/>
        <v>16.210639581744051</v>
      </c>
      <c r="AB329" s="1221">
        <f t="shared" si="740"/>
        <v>-44.128547298879724</v>
      </c>
      <c r="AC329" s="1221">
        <f t="shared" si="740"/>
        <v>-116.55422683573126</v>
      </c>
      <c r="AD329" s="1221">
        <f t="shared" si="740"/>
        <v>-101.22872369715881</v>
      </c>
      <c r="AE329" s="838">
        <f t="shared" si="740"/>
        <v>-67.585649665610703</v>
      </c>
      <c r="AF329" s="1221">
        <f t="shared" si="740"/>
        <v>-25.235955812555858</v>
      </c>
      <c r="AG329" s="1221">
        <f t="shared" si="740"/>
        <v>69.187147086016608</v>
      </c>
      <c r="AH329" s="1221">
        <f t="shared" si="740"/>
        <v>46.55509661031104</v>
      </c>
      <c r="AI329" s="1221">
        <f t="shared" si="740"/>
        <v>-43.548120442651808</v>
      </c>
      <c r="AJ329" s="838">
        <f t="shared" si="740"/>
        <v>7.4865994397893374</v>
      </c>
      <c r="AK329" s="1221">
        <f t="shared" si="740"/>
        <v>-56.875365136367577</v>
      </c>
      <c r="AL329" s="1221">
        <f t="shared" si="740"/>
        <v>-162.19332014112479</v>
      </c>
      <c r="AM329" s="1221">
        <f t="shared" si="740"/>
        <v>-118.65881514303311</v>
      </c>
      <c r="AN329" s="1221">
        <f t="shared" si="740"/>
        <v>-117.43748131025438</v>
      </c>
      <c r="AO329" s="838">
        <f t="shared" si="740"/>
        <v>-114.19508935022137</v>
      </c>
      <c r="AP329" s="1221">
        <f t="shared" si="740"/>
        <v>-123.72201147183729</v>
      </c>
      <c r="AQ329" s="1221">
        <f t="shared" si="740"/>
        <v>-13.577286239088266</v>
      </c>
      <c r="AR329" s="1221">
        <f t="shared" si="740"/>
        <v>146.0033274678384</v>
      </c>
      <c r="AS329" s="1221">
        <f t="shared" si="740"/>
        <v>257.51605387538291</v>
      </c>
      <c r="AT329" s="838">
        <f t="shared" si="740"/>
        <v>93.072647554430318</v>
      </c>
      <c r="AU329" s="1221">
        <f t="shared" si="740"/>
        <v>447.32473132245144</v>
      </c>
      <c r="AV329" s="1221">
        <f t="shared" si="740"/>
        <v>496.65947766454155</v>
      </c>
      <c r="AW329" s="1221">
        <f t="shared" si="740"/>
        <v>281.8594321303645</v>
      </c>
      <c r="AX329" s="1221">
        <f t="shared" si="740"/>
        <v>271.99912448305577</v>
      </c>
      <c r="AY329" s="838">
        <f t="shared" si="740"/>
        <v>357.65175506858066</v>
      </c>
      <c r="AZ329" s="1221">
        <f t="shared" si="740"/>
        <v>57.680066645325383</v>
      </c>
      <c r="BA329" s="1221">
        <f t="shared" si="740"/>
        <v>-61.106113281174316</v>
      </c>
      <c r="BB329" s="1221">
        <f t="shared" si="740"/>
        <v>-192.09974678208221</v>
      </c>
      <c r="BC329" s="1221">
        <f t="shared" si="740"/>
        <v>-324.4688917183139</v>
      </c>
      <c r="BD329" s="838">
        <f t="shared" si="740"/>
        <v>-142.21174432013501</v>
      </c>
      <c r="BE329" s="1221">
        <f t="shared" si="740"/>
        <v>-354.75709099937797</v>
      </c>
      <c r="BF329" s="1221">
        <f t="shared" si="740"/>
        <v>-89.488401841007601</v>
      </c>
      <c r="BG329" s="1221">
        <f t="shared" si="740"/>
        <v>441.92674400187764</v>
      </c>
      <c r="BH329" s="1221">
        <f t="shared" si="740"/>
        <v>567.01853204714723</v>
      </c>
      <c r="BI329" s="838">
        <f t="shared" si="740"/>
        <v>170.52661454891233</v>
      </c>
      <c r="BJ329" s="1022">
        <f>BJ330-BJ328</f>
        <v>1002.9375640018027</v>
      </c>
      <c r="BK329" s="356">
        <v>100</v>
      </c>
      <c r="BL329" s="356">
        <v>150</v>
      </c>
      <c r="BM329" s="356">
        <v>50</v>
      </c>
      <c r="BN329" s="838">
        <f>BN330-BN328</f>
        <v>296.64063312641485</v>
      </c>
      <c r="BO329" s="356">
        <v>-250</v>
      </c>
      <c r="BP329" s="356">
        <v>20</v>
      </c>
      <c r="BQ329" s="356">
        <v>50</v>
      </c>
      <c r="BR329" s="356">
        <v>20</v>
      </c>
      <c r="BS329" s="838">
        <f>BS330-BS328</f>
        <v>-31.066175592678217</v>
      </c>
      <c r="BT329" s="1222">
        <v>5</v>
      </c>
      <c r="BU329" s="1222">
        <v>5</v>
      </c>
      <c r="BV329" s="1222">
        <v>5</v>
      </c>
      <c r="BW329" s="487"/>
    </row>
    <row r="330" spans="1:75" s="123" customFormat="1" x14ac:dyDescent="0.5">
      <c r="A330" s="218" t="s">
        <v>196</v>
      </c>
      <c r="B330" s="494"/>
      <c r="C330" s="425"/>
      <c r="D330" s="425">
        <f>(D327-C327)*10000</f>
        <v>364.92617173204786</v>
      </c>
      <c r="E330" s="425">
        <f>(E327-D327)*10000</f>
        <v>2.746457709817407</v>
      </c>
      <c r="F330" s="425">
        <f>(F327-E327)*10000</f>
        <v>15.5738959704127</v>
      </c>
      <c r="G330" s="487"/>
      <c r="H330" s="487"/>
      <c r="I330" s="487"/>
      <c r="J330" s="487"/>
      <c r="K330" s="425">
        <f t="shared" ref="K330:BI330" si="741">(K327-F327)*10000</f>
        <v>-55.065405314831949</v>
      </c>
      <c r="L330" s="487">
        <f t="shared" si="741"/>
        <v>16.983446208750919</v>
      </c>
      <c r="M330" s="487">
        <f t="shared" si="741"/>
        <v>-78.869790405460833</v>
      </c>
      <c r="N330" s="487">
        <f t="shared" si="741"/>
        <v>-81.349908411971199</v>
      </c>
      <c r="O330" s="487">
        <f t="shared" si="741"/>
        <v>-51.380025306775323</v>
      </c>
      <c r="P330" s="425">
        <f t="shared" si="741"/>
        <v>-52.004668225579252</v>
      </c>
      <c r="Q330" s="487">
        <f t="shared" si="741"/>
        <v>-105.48632375693589</v>
      </c>
      <c r="R330" s="487">
        <f t="shared" si="741"/>
        <v>-69.253816341888211</v>
      </c>
      <c r="S330" s="487">
        <f t="shared" si="741"/>
        <v>-111.80806466755122</v>
      </c>
      <c r="T330" s="487">
        <f t="shared" si="741"/>
        <v>-181.25451614053324</v>
      </c>
      <c r="U330" s="425">
        <f t="shared" si="741"/>
        <v>-125.75315893650074</v>
      </c>
      <c r="V330" s="487">
        <f t="shared" si="741"/>
        <v>-100.22361824506166</v>
      </c>
      <c r="W330" s="487">
        <f t="shared" si="741"/>
        <v>-65.846242769261323</v>
      </c>
      <c r="X330" s="487">
        <f t="shared" si="741"/>
        <v>17.371704537214594</v>
      </c>
      <c r="Y330" s="487">
        <f t="shared" si="741"/>
        <v>102.934504005468</v>
      </c>
      <c r="Z330" s="425">
        <f t="shared" si="741"/>
        <v>-1.6275145301020144</v>
      </c>
      <c r="AA330" s="487">
        <f t="shared" si="741"/>
        <v>-14.860602480822326</v>
      </c>
      <c r="AB330" s="487">
        <f t="shared" si="741"/>
        <v>-24.210721718134209</v>
      </c>
      <c r="AC330" s="487">
        <f t="shared" si="741"/>
        <v>-84.709109300158957</v>
      </c>
      <c r="AD330" s="487">
        <f t="shared" si="741"/>
        <v>-83.477314488971672</v>
      </c>
      <c r="AE330" s="425">
        <f t="shared" si="741"/>
        <v>-53.580574510136984</v>
      </c>
      <c r="AF330" s="487">
        <f t="shared" si="741"/>
        <v>38.728643389204784</v>
      </c>
      <c r="AG330" s="487">
        <f t="shared" si="741"/>
        <v>130.1512597110993</v>
      </c>
      <c r="AH330" s="487">
        <f t="shared" si="741"/>
        <v>56.494050279461973</v>
      </c>
      <c r="AI330" s="487">
        <f t="shared" si="741"/>
        <v>23.989536614849595</v>
      </c>
      <c r="AJ330" s="425">
        <f t="shared" si="741"/>
        <v>60.509155094510824</v>
      </c>
      <c r="AK330" s="487">
        <f t="shared" si="741"/>
        <v>-14.701435672079821</v>
      </c>
      <c r="AL330" s="487">
        <f t="shared" si="741"/>
        <v>-111.88768960354145</v>
      </c>
      <c r="AM330" s="487">
        <f t="shared" si="741"/>
        <v>-53.870170954294913</v>
      </c>
      <c r="AN330" s="487">
        <f t="shared" si="741"/>
        <v>-111.13228032557321</v>
      </c>
      <c r="AO330" s="425">
        <f t="shared" si="741"/>
        <v>-79.451040993822602</v>
      </c>
      <c r="AP330" s="487">
        <f t="shared" si="741"/>
        <v>-138.70344796934165</v>
      </c>
      <c r="AQ330" s="487">
        <f t="shared" si="741"/>
        <v>161.26703130769582</v>
      </c>
      <c r="AR330" s="487">
        <f t="shared" si="741"/>
        <v>401.40560956898719</v>
      </c>
      <c r="AS330" s="487">
        <f t="shared" si="741"/>
        <v>447.68825677031111</v>
      </c>
      <c r="AT330" s="425">
        <f t="shared" si="741"/>
        <v>271.24732423021271</v>
      </c>
      <c r="AU330" s="487">
        <f t="shared" si="741"/>
        <v>858.51034481036311</v>
      </c>
      <c r="AV330" s="487">
        <f t="shared" si="741"/>
        <v>708.32836524237496</v>
      </c>
      <c r="AW330" s="487">
        <f t="shared" si="741"/>
        <v>374.78120227635856</v>
      </c>
      <c r="AX330" s="487">
        <f t="shared" si="741"/>
        <v>289.0583689795767</v>
      </c>
      <c r="AY330" s="425">
        <f t="shared" si="741"/>
        <v>501.30093904171059</v>
      </c>
      <c r="AZ330" s="487">
        <f t="shared" si="741"/>
        <v>76.602200874484879</v>
      </c>
      <c r="BA330" s="487">
        <f t="shared" si="741"/>
        <v>-60.512485005483896</v>
      </c>
      <c r="BB330" s="487">
        <f t="shared" si="741"/>
        <v>-220.69777065742647</v>
      </c>
      <c r="BC330" s="487">
        <f t="shared" si="741"/>
        <v>-382.43299076460846</v>
      </c>
      <c r="BD330" s="425">
        <f t="shared" si="741"/>
        <v>-164.80249953038262</v>
      </c>
      <c r="BE330" s="487">
        <f t="shared" si="741"/>
        <v>-523.30956664400799</v>
      </c>
      <c r="BF330" s="487">
        <f t="shared" si="741"/>
        <v>-278.00516889526614</v>
      </c>
      <c r="BG330" s="487">
        <f t="shared" si="741"/>
        <v>283.66418172112105</v>
      </c>
      <c r="BH330" s="487">
        <f t="shared" si="741"/>
        <v>484.67068624951594</v>
      </c>
      <c r="BI330" s="425">
        <f t="shared" si="741"/>
        <v>25.36812642186803</v>
      </c>
      <c r="BJ330" s="981">
        <f>(BJ327-BE327)*10000</f>
        <v>975.71633361801139</v>
      </c>
      <c r="BK330" s="487">
        <f>BK328+BK329</f>
        <v>125.00626986669536</v>
      </c>
      <c r="BL330" s="487">
        <f>BL328+BL329</f>
        <v>149.16029990598247</v>
      </c>
      <c r="BM330" s="487">
        <f>BM328+BM329</f>
        <v>127.48596100746472</v>
      </c>
      <c r="BN330" s="425">
        <f>(BN327-BI327)*10000</f>
        <v>323.79398992649635</v>
      </c>
      <c r="BO330" s="487">
        <f>BO328+BO329</f>
        <v>-219.83501130202299</v>
      </c>
      <c r="BP330" s="487">
        <f>BP328+BP329</f>
        <v>46.073035945758569</v>
      </c>
      <c r="BQ330" s="487">
        <f>BQ328+BQ329</f>
        <v>72.210212258888987</v>
      </c>
      <c r="BR330" s="487">
        <f>BR328+BR329</f>
        <v>-13.370581408267569</v>
      </c>
      <c r="BS330" s="425">
        <f>(BS327-BN327)*10000</f>
        <v>-26.232158840884257</v>
      </c>
      <c r="BT330" s="425">
        <f>BT328+BT329</f>
        <v>38.192089362299811</v>
      </c>
      <c r="BU330" s="425">
        <f>BU328+BU329</f>
        <v>43.478670612955291</v>
      </c>
      <c r="BV330" s="425">
        <f>BV328+BV329</f>
        <v>42.102725887185969</v>
      </c>
      <c r="BW330" s="118"/>
    </row>
    <row r="331" spans="1:75" s="123" customFormat="1" collapsed="1" x14ac:dyDescent="0.5">
      <c r="A331" s="752"/>
      <c r="B331" s="489"/>
      <c r="C331" s="401"/>
      <c r="D331" s="401"/>
      <c r="E331" s="401"/>
      <c r="F331" s="401"/>
      <c r="G331" s="118"/>
      <c r="H331" s="118"/>
      <c r="I331" s="118"/>
      <c r="J331" s="118"/>
      <c r="K331" s="401"/>
      <c r="L331" s="118"/>
      <c r="M331" s="118"/>
      <c r="N331" s="118"/>
      <c r="O331" s="118"/>
      <c r="P331" s="401"/>
      <c r="Q331" s="118"/>
      <c r="R331" s="118"/>
      <c r="S331" s="118"/>
      <c r="T331" s="118"/>
      <c r="U331" s="401"/>
      <c r="V331" s="118"/>
      <c r="W331" s="118"/>
      <c r="X331" s="118"/>
      <c r="Y331" s="118"/>
      <c r="Z331" s="401"/>
      <c r="AA331" s="118"/>
      <c r="AB331" s="118"/>
      <c r="AC331" s="118"/>
      <c r="AD331" s="118"/>
      <c r="AE331" s="401"/>
      <c r="AF331" s="118"/>
      <c r="AG331" s="118"/>
      <c r="AH331" s="118"/>
      <c r="AI331" s="118"/>
      <c r="AJ331" s="401"/>
      <c r="AK331" s="118"/>
      <c r="AL331" s="118"/>
      <c r="AM331" s="118"/>
      <c r="AN331" s="118"/>
      <c r="AO331" s="401"/>
      <c r="AP331" s="118"/>
      <c r="AQ331" s="118"/>
      <c r="AR331" s="118"/>
      <c r="AS331" s="118"/>
      <c r="AT331" s="401"/>
      <c r="AU331" s="118"/>
      <c r="AV331" s="118"/>
      <c r="AW331" s="118"/>
      <c r="AX331" s="118"/>
      <c r="AY331" s="401"/>
      <c r="AZ331" s="118"/>
      <c r="BA331" s="118"/>
      <c r="BB331" s="118"/>
      <c r="BC331" s="118"/>
      <c r="BD331" s="401"/>
      <c r="BE331" s="118"/>
      <c r="BF331" s="118"/>
      <c r="BG331" s="118"/>
      <c r="BH331" s="118"/>
      <c r="BI331" s="401"/>
      <c r="BJ331" s="971"/>
      <c r="BK331" s="118"/>
      <c r="BL331" s="118"/>
      <c r="BM331" s="118"/>
      <c r="BN331" s="401"/>
      <c r="BO331" s="118"/>
      <c r="BP331" s="118"/>
      <c r="BQ331" s="118"/>
      <c r="BR331" s="118"/>
      <c r="BS331" s="401"/>
      <c r="BT331" s="401"/>
      <c r="BU331" s="401"/>
      <c r="BV331" s="401"/>
      <c r="BW331" s="122"/>
    </row>
    <row r="332" spans="1:75" s="123" customFormat="1" outlineLevel="2" x14ac:dyDescent="0.5">
      <c r="A332" s="184" t="s">
        <v>714</v>
      </c>
      <c r="B332" s="489"/>
      <c r="C332" s="403">
        <v>264.96300000000002</v>
      </c>
      <c r="D332" s="403">
        <v>293.62299999999999</v>
      </c>
      <c r="E332" s="403">
        <v>301.31599999999997</v>
      </c>
      <c r="F332" s="403">
        <v>318.33800000000002</v>
      </c>
      <c r="G332" s="118"/>
      <c r="H332" s="118"/>
      <c r="I332" s="118"/>
      <c r="J332" s="118"/>
      <c r="K332" s="403">
        <v>325.70800000000003</v>
      </c>
      <c r="L332" s="118"/>
      <c r="M332" s="118"/>
      <c r="N332" s="118"/>
      <c r="O332" s="118"/>
      <c r="P332" s="403">
        <v>330.07</v>
      </c>
      <c r="Q332" s="118"/>
      <c r="R332" s="118"/>
      <c r="S332" s="118"/>
      <c r="T332" s="118"/>
      <c r="U332" s="403">
        <v>333.27600000000001</v>
      </c>
      <c r="V332" s="118"/>
      <c r="W332" s="118"/>
      <c r="X332" s="118"/>
      <c r="Y332" s="118"/>
      <c r="Z332" s="403">
        <v>347.47399999999999</v>
      </c>
      <c r="AA332" s="118"/>
      <c r="AB332" s="118"/>
      <c r="AC332" s="118"/>
      <c r="AD332" s="118"/>
      <c r="AE332" s="403">
        <v>382.20600000000002</v>
      </c>
      <c r="AF332" s="118"/>
      <c r="AG332" s="118"/>
      <c r="AH332" s="118"/>
      <c r="AI332" s="118"/>
      <c r="AJ332" s="403">
        <v>390.11500000000001</v>
      </c>
      <c r="AK332" s="118"/>
      <c r="AL332" s="118"/>
      <c r="AM332" s="118"/>
      <c r="AN332" s="118"/>
      <c r="AO332" s="403">
        <v>388.19400000000002</v>
      </c>
      <c r="AP332" s="118"/>
      <c r="AQ332" s="118"/>
      <c r="AR332" s="118"/>
      <c r="AS332" s="118"/>
      <c r="AT332" s="403">
        <v>325.99400000000003</v>
      </c>
      <c r="AU332" s="118"/>
      <c r="AV332" s="118"/>
      <c r="AW332" s="118"/>
      <c r="AX332" s="118"/>
      <c r="AY332" s="403">
        <v>618.54200000000003</v>
      </c>
      <c r="AZ332" s="118"/>
      <c r="BA332" s="118"/>
      <c r="BB332" s="118"/>
      <c r="BC332" s="118"/>
      <c r="BD332" s="403">
        <v>581.1</v>
      </c>
      <c r="BE332" s="118"/>
      <c r="BF332" s="118"/>
      <c r="BG332" s="118"/>
      <c r="BH332" s="118"/>
      <c r="BI332" s="403">
        <v>502.2</v>
      </c>
      <c r="BJ332" s="971"/>
      <c r="BK332" s="118"/>
      <c r="BL332" s="118"/>
      <c r="BM332" s="118"/>
      <c r="BN332" s="401"/>
      <c r="BO332" s="118"/>
      <c r="BP332" s="118"/>
      <c r="BQ332" s="118"/>
      <c r="BR332" s="118"/>
      <c r="BS332" s="401"/>
      <c r="BT332" s="401"/>
      <c r="BU332" s="401"/>
      <c r="BV332" s="401"/>
      <c r="BW332" s="122"/>
    </row>
    <row r="333" spans="1:75" s="123" customFormat="1" outlineLevel="2" x14ac:dyDescent="0.5">
      <c r="A333" s="445" t="s">
        <v>715</v>
      </c>
      <c r="B333" s="486"/>
      <c r="C333" s="406">
        <f>C334-C332</f>
        <v>716.83199999999988</v>
      </c>
      <c r="D333" s="406">
        <f>D334-D332</f>
        <v>756.82199999999989</v>
      </c>
      <c r="E333" s="406">
        <f>E334-E332</f>
        <v>776.80799999999999</v>
      </c>
      <c r="F333" s="406">
        <f>F334-F332</f>
        <v>864.97500000000014</v>
      </c>
      <c r="G333" s="723"/>
      <c r="H333" s="723"/>
      <c r="I333" s="723"/>
      <c r="J333" s="723"/>
      <c r="K333" s="406">
        <f>K334-K332</f>
        <v>926.40999999999985</v>
      </c>
      <c r="L333" s="723"/>
      <c r="M333" s="723"/>
      <c r="N333" s="723"/>
      <c r="O333" s="723"/>
      <c r="P333" s="406">
        <f>P334-P332</f>
        <v>968.1690000000001</v>
      </c>
      <c r="Q333" s="723"/>
      <c r="R333" s="723"/>
      <c r="S333" s="723"/>
      <c r="T333" s="723"/>
      <c r="U333" s="406">
        <f>U334-U332</f>
        <v>1022.3039999999999</v>
      </c>
      <c r="V333" s="723"/>
      <c r="W333" s="723"/>
      <c r="X333" s="723"/>
      <c r="Y333" s="723"/>
      <c r="Z333" s="406">
        <f>Z334-Z332</f>
        <v>1063.2370000000001</v>
      </c>
      <c r="AA333" s="723"/>
      <c r="AB333" s="723"/>
      <c r="AC333" s="723"/>
      <c r="AD333" s="723"/>
      <c r="AE333" s="406">
        <f>AE334-AE332</f>
        <v>1095.694</v>
      </c>
      <c r="AF333" s="723"/>
      <c r="AG333" s="723"/>
      <c r="AH333" s="723"/>
      <c r="AI333" s="723"/>
      <c r="AJ333" s="406">
        <f>AJ334-AJ332</f>
        <v>1274.9449999999999</v>
      </c>
      <c r="AK333" s="723"/>
      <c r="AL333" s="723"/>
      <c r="AM333" s="723"/>
      <c r="AN333" s="723"/>
      <c r="AO333" s="406">
        <f>AO334-AO332</f>
        <v>1285.0240000000001</v>
      </c>
      <c r="AP333" s="723"/>
      <c r="AQ333" s="723"/>
      <c r="AR333" s="723"/>
      <c r="AS333" s="723"/>
      <c r="AT333" s="406">
        <f>AT334-AT332</f>
        <v>1399.578</v>
      </c>
      <c r="AU333" s="723"/>
      <c r="AV333" s="723"/>
      <c r="AW333" s="723"/>
      <c r="AX333" s="723"/>
      <c r="AY333" s="406">
        <f>AY334-AY332</f>
        <v>1560.3050000000003</v>
      </c>
      <c r="AZ333" s="723"/>
      <c r="BA333" s="723"/>
      <c r="BB333" s="723"/>
      <c r="BC333" s="723"/>
      <c r="BD333" s="406">
        <f>BD334-BD332</f>
        <v>1598.2110000000002</v>
      </c>
      <c r="BE333" s="723"/>
      <c r="BF333" s="723"/>
      <c r="BG333" s="723"/>
      <c r="BH333" s="723"/>
      <c r="BI333" s="406">
        <f>BI334-BI332</f>
        <v>1557.2079999999999</v>
      </c>
      <c r="BJ333" s="1049"/>
      <c r="BK333" s="723"/>
      <c r="BL333" s="723"/>
      <c r="BM333" s="723"/>
      <c r="BN333" s="406"/>
      <c r="BO333" s="723"/>
      <c r="BP333" s="723"/>
      <c r="BQ333" s="723"/>
      <c r="BR333" s="723"/>
      <c r="BS333" s="406"/>
      <c r="BT333" s="406"/>
      <c r="BU333" s="406"/>
      <c r="BV333" s="406"/>
      <c r="BW333" s="122"/>
    </row>
    <row r="334" spans="1:75" s="123" customFormat="1" outlineLevel="1" x14ac:dyDescent="0.5">
      <c r="A334" s="206" t="s">
        <v>716</v>
      </c>
      <c r="B334" s="485"/>
      <c r="C334" s="397">
        <f t="shared" ref="C334:BB334" si="742">C758</f>
        <v>981.79499999999996</v>
      </c>
      <c r="D334" s="397">
        <f t="shared" si="742"/>
        <v>1050.4449999999999</v>
      </c>
      <c r="E334" s="397">
        <f t="shared" si="742"/>
        <v>1078.124</v>
      </c>
      <c r="F334" s="397">
        <f t="shared" si="742"/>
        <v>1183.3130000000001</v>
      </c>
      <c r="G334" s="295">
        <f t="shared" si="742"/>
        <v>270.40199999999999</v>
      </c>
      <c r="H334" s="295">
        <f t="shared" si="742"/>
        <v>290.83800000000002</v>
      </c>
      <c r="I334" s="295">
        <f t="shared" si="742"/>
        <v>312.89400000000001</v>
      </c>
      <c r="J334" s="295">
        <f t="shared" si="742"/>
        <v>377.98399999999998</v>
      </c>
      <c r="K334" s="397">
        <f t="shared" si="742"/>
        <v>1252.1179999999999</v>
      </c>
      <c r="L334" s="295">
        <f t="shared" si="742"/>
        <v>294.08199999999999</v>
      </c>
      <c r="M334" s="295">
        <f t="shared" si="742"/>
        <v>296.762</v>
      </c>
      <c r="N334" s="295">
        <f t="shared" si="742"/>
        <v>326.68700000000001</v>
      </c>
      <c r="O334" s="295">
        <f t="shared" si="742"/>
        <v>380.70800000000003</v>
      </c>
      <c r="P334" s="397">
        <f t="shared" si="742"/>
        <v>1298.239</v>
      </c>
      <c r="Q334" s="295">
        <f t="shared" si="742"/>
        <v>306.91300000000001</v>
      </c>
      <c r="R334" s="295">
        <f t="shared" si="742"/>
        <v>323.28199999999998</v>
      </c>
      <c r="S334" s="295">
        <f t="shared" si="742"/>
        <v>340.505</v>
      </c>
      <c r="T334" s="295">
        <f t="shared" si="742"/>
        <v>384.88</v>
      </c>
      <c r="U334" s="397">
        <f t="shared" si="742"/>
        <v>1355.58</v>
      </c>
      <c r="V334" s="295">
        <f t="shared" si="742"/>
        <v>328.99200000000002</v>
      </c>
      <c r="W334" s="295">
        <f t="shared" si="742"/>
        <v>327.26299999999998</v>
      </c>
      <c r="X334" s="295">
        <f t="shared" si="742"/>
        <v>348.24400000000003</v>
      </c>
      <c r="Y334" s="295">
        <f t="shared" si="742"/>
        <v>406.21199999999999</v>
      </c>
      <c r="Z334" s="397">
        <f t="shared" si="742"/>
        <v>1410.711</v>
      </c>
      <c r="AA334" s="295">
        <f t="shared" si="742"/>
        <v>333.286</v>
      </c>
      <c r="AB334" s="295">
        <f t="shared" si="742"/>
        <v>341.12700000000001</v>
      </c>
      <c r="AC334" s="295">
        <f t="shared" si="742"/>
        <v>356.25400000000002</v>
      </c>
      <c r="AD334" s="295">
        <f t="shared" si="742"/>
        <v>447.233</v>
      </c>
      <c r="AE334" s="397">
        <f t="shared" si="742"/>
        <v>1477.9</v>
      </c>
      <c r="AF334" s="295">
        <f t="shared" si="742"/>
        <v>365.61399999999998</v>
      </c>
      <c r="AG334" s="295">
        <f t="shared" si="742"/>
        <v>389.77600000000001</v>
      </c>
      <c r="AH334" s="295">
        <f t="shared" si="742"/>
        <v>400.6</v>
      </c>
      <c r="AI334" s="295">
        <f t="shared" si="742"/>
        <v>509.06999999999994</v>
      </c>
      <c r="AJ334" s="397">
        <f t="shared" si="742"/>
        <v>1665.06</v>
      </c>
      <c r="AK334" s="295">
        <f t="shared" si="742"/>
        <v>370.19900000000001</v>
      </c>
      <c r="AL334" s="295">
        <f t="shared" si="742"/>
        <v>397.69600000000003</v>
      </c>
      <c r="AM334" s="295">
        <f t="shared" si="742"/>
        <v>416.28100000000001</v>
      </c>
      <c r="AN334" s="295">
        <f t="shared" si="742"/>
        <v>489.04200000000014</v>
      </c>
      <c r="AO334" s="397">
        <f t="shared" si="742"/>
        <v>1673.2180000000001</v>
      </c>
      <c r="AP334" s="295">
        <f t="shared" si="742"/>
        <v>365.61500000000001</v>
      </c>
      <c r="AQ334" s="295">
        <f t="shared" si="742"/>
        <v>365.84100000000001</v>
      </c>
      <c r="AR334" s="295">
        <f t="shared" si="742"/>
        <v>430.97899999999998</v>
      </c>
      <c r="AS334" s="295">
        <f t="shared" si="742"/>
        <v>563.13699999999994</v>
      </c>
      <c r="AT334" s="397">
        <f t="shared" si="742"/>
        <v>1725.5719999999999</v>
      </c>
      <c r="AU334" s="295">
        <f t="shared" si="742"/>
        <v>477.67599999999999</v>
      </c>
      <c r="AV334" s="295">
        <f t="shared" si="742"/>
        <v>535.28800000000001</v>
      </c>
      <c r="AW334" s="295">
        <f t="shared" si="742"/>
        <v>565.21799999999996</v>
      </c>
      <c r="AX334" s="295">
        <f t="shared" si="742"/>
        <v>600.66500000000042</v>
      </c>
      <c r="AY334" s="397">
        <f t="shared" si="742"/>
        <v>2178.8470000000002</v>
      </c>
      <c r="AZ334" s="295">
        <f t="shared" si="742"/>
        <v>505.06700000000001</v>
      </c>
      <c r="BA334" s="295">
        <f t="shared" si="742"/>
        <v>563.28800000000001</v>
      </c>
      <c r="BB334" s="295">
        <f t="shared" si="742"/>
        <v>570.89300000000003</v>
      </c>
      <c r="BC334" s="295">
        <f>BC758</f>
        <v>540.0630000000001</v>
      </c>
      <c r="BD334" s="397">
        <f t="shared" ref="BD334:BJ334" si="743">BD758</f>
        <v>2179.3110000000001</v>
      </c>
      <c r="BE334" s="295">
        <f t="shared" si="743"/>
        <v>475.58199999999999</v>
      </c>
      <c r="BF334" s="295">
        <f t="shared" si="743"/>
        <v>486.01900000000001</v>
      </c>
      <c r="BG334" s="295">
        <f t="shared" si="743"/>
        <v>507.28300000000002</v>
      </c>
      <c r="BH334" s="295">
        <f t="shared" si="743"/>
        <v>590.52399999999989</v>
      </c>
      <c r="BI334" s="397">
        <f t="shared" si="743"/>
        <v>2059.4079999999999</v>
      </c>
      <c r="BJ334" s="1030">
        <f t="shared" si="743"/>
        <v>478.68700000000001</v>
      </c>
      <c r="BK334" s="295">
        <f>BK346+SUM(BK335:BK345)</f>
        <v>519.40994741790178</v>
      </c>
      <c r="BL334" s="295">
        <f>BL346+SUM(BL335:BL345)</f>
        <v>528.59588370509562</v>
      </c>
      <c r="BM334" s="295">
        <f>BM346+SUM(BM335:BM345)</f>
        <v>641.50644551205244</v>
      </c>
      <c r="BN334" s="397">
        <f t="shared" ref="BN334:BN345" si="744">SUM(BJ334,BK334,BL334,BM334)</f>
        <v>2168.19927663505</v>
      </c>
      <c r="BO334" s="295">
        <f>BO346+SUM(BO335:BO345)</f>
        <v>532.41546725034345</v>
      </c>
      <c r="BP334" s="295">
        <f>BP346+SUM(BP335:BP345)</f>
        <v>552.82518457242111</v>
      </c>
      <c r="BQ334" s="295">
        <f>BQ346+SUM(BQ335:BQ345)</f>
        <v>548.64184313160001</v>
      </c>
      <c r="BR334" s="295">
        <f>BR346+SUM(BR335:BR345)</f>
        <v>640.98441892828578</v>
      </c>
      <c r="BS334" s="397">
        <f t="shared" ref="BS334:BS345" si="745">SUM(BO334,BP334,BQ334,BR334)</f>
        <v>2274.8669138826504</v>
      </c>
      <c r="BT334" s="397">
        <f>BT346+SUM(BT335:BT345)</f>
        <v>2447.3236175620686</v>
      </c>
      <c r="BU334" s="397">
        <f>BU346+SUM(BU335:BU345)</f>
        <v>2650.276905212595</v>
      </c>
      <c r="BV334" s="397">
        <f>BV346+SUM(BV335:BV345)</f>
        <v>2870.159815951055</v>
      </c>
      <c r="BW334" s="118"/>
    </row>
    <row r="335" spans="1:75" s="123" customFormat="1" outlineLevel="1" collapsed="1" x14ac:dyDescent="0.5">
      <c r="A335" s="184" t="s">
        <v>717</v>
      </c>
      <c r="B335" s="489"/>
      <c r="C335" s="401"/>
      <c r="D335" s="401"/>
      <c r="E335" s="401"/>
      <c r="F335" s="401"/>
      <c r="G335" s="118"/>
      <c r="H335" s="118"/>
      <c r="I335" s="118"/>
      <c r="J335" s="118"/>
      <c r="K335" s="401"/>
      <c r="L335" s="118"/>
      <c r="M335" s="118"/>
      <c r="N335" s="118"/>
      <c r="O335" s="118"/>
      <c r="P335" s="401"/>
      <c r="Q335" s="118"/>
      <c r="R335" s="118"/>
      <c r="S335" s="118"/>
      <c r="T335" s="118"/>
      <c r="U335" s="401"/>
      <c r="V335" s="118"/>
      <c r="W335" s="118"/>
      <c r="X335" s="118"/>
      <c r="Y335" s="118"/>
      <c r="Z335" s="401"/>
      <c r="AA335" s="118"/>
      <c r="AB335" s="118"/>
      <c r="AC335" s="118"/>
      <c r="AD335" s="118"/>
      <c r="AE335" s="401"/>
      <c r="AF335" s="118"/>
      <c r="AG335" s="118"/>
      <c r="AH335" s="118"/>
      <c r="AI335" s="118"/>
      <c r="AJ335" s="401"/>
      <c r="AK335" s="118"/>
      <c r="AL335" s="118"/>
      <c r="AM335" s="118"/>
      <c r="AN335" s="118"/>
      <c r="AO335" s="401"/>
      <c r="AP335" s="118"/>
      <c r="AQ335" s="118"/>
      <c r="AR335" s="118"/>
      <c r="AS335" s="118"/>
      <c r="AT335" s="401"/>
      <c r="AU335" s="118"/>
      <c r="AV335" s="118"/>
      <c r="AW335" s="118"/>
      <c r="AX335" s="118"/>
      <c r="AY335" s="401"/>
      <c r="AZ335" s="118"/>
      <c r="BA335" s="118"/>
      <c r="BB335" s="118"/>
      <c r="BC335" s="118"/>
      <c r="BD335" s="401"/>
      <c r="BE335" s="118"/>
      <c r="BF335" s="118"/>
      <c r="BG335" s="118"/>
      <c r="BH335" s="118"/>
      <c r="BI335" s="401"/>
      <c r="BJ335" s="971"/>
      <c r="BK335" s="302">
        <v>0</v>
      </c>
      <c r="BL335" s="302">
        <v>0</v>
      </c>
      <c r="BM335" s="302">
        <v>0</v>
      </c>
      <c r="BN335" s="401">
        <f t="shared" si="744"/>
        <v>0</v>
      </c>
      <c r="BO335" s="302">
        <v>0</v>
      </c>
      <c r="BP335" s="302">
        <v>0</v>
      </c>
      <c r="BQ335" s="302">
        <v>0</v>
      </c>
      <c r="BR335" s="302">
        <v>0</v>
      </c>
      <c r="BS335" s="401">
        <f t="shared" si="745"/>
        <v>0</v>
      </c>
      <c r="BT335" s="403">
        <v>0</v>
      </c>
      <c r="BU335" s="403">
        <v>0</v>
      </c>
      <c r="BV335" s="403">
        <v>0</v>
      </c>
      <c r="BW335" s="118"/>
    </row>
    <row r="336" spans="1:75" s="123" customFormat="1" outlineLevel="1" collapsed="1" x14ac:dyDescent="0.5">
      <c r="A336" s="184" t="s">
        <v>1864</v>
      </c>
      <c r="B336" s="489"/>
      <c r="C336" s="401">
        <f t="shared" ref="C336:E336" si="746">C355</f>
        <v>40.704000000000001</v>
      </c>
      <c r="D336" s="401">
        <f t="shared" si="746"/>
        <v>21.440999999999999</v>
      </c>
      <c r="E336" s="401">
        <f t="shared" si="746"/>
        <v>3</v>
      </c>
      <c r="F336" s="401"/>
      <c r="G336" s="118"/>
      <c r="H336" s="118"/>
      <c r="I336" s="118"/>
      <c r="J336" s="118"/>
      <c r="K336" s="401"/>
      <c r="L336" s="118">
        <f t="shared" ref="L336:BJ340" si="747">-L670</f>
        <v>0</v>
      </c>
      <c r="M336" s="118">
        <f t="shared" si="747"/>
        <v>0</v>
      </c>
      <c r="N336" s="118">
        <f t="shared" si="747"/>
        <v>0</v>
      </c>
      <c r="O336" s="118">
        <f t="shared" si="747"/>
        <v>-7.4139999999999997</v>
      </c>
      <c r="P336" s="401">
        <f t="shared" si="747"/>
        <v>-7.4139999999999997</v>
      </c>
      <c r="Q336" s="118">
        <f t="shared" si="747"/>
        <v>0</v>
      </c>
      <c r="R336" s="118">
        <f t="shared" si="747"/>
        <v>0</v>
      </c>
      <c r="S336" s="118">
        <f t="shared" si="747"/>
        <v>0</v>
      </c>
      <c r="T336" s="118">
        <f t="shared" si="747"/>
        <v>0</v>
      </c>
      <c r="U336" s="401">
        <f t="shared" si="747"/>
        <v>0</v>
      </c>
      <c r="V336" s="118">
        <f t="shared" si="747"/>
        <v>0</v>
      </c>
      <c r="W336" s="118">
        <f t="shared" si="747"/>
        <v>0</v>
      </c>
      <c r="X336" s="118">
        <f t="shared" si="747"/>
        <v>0</v>
      </c>
      <c r="Y336" s="118">
        <f t="shared" si="747"/>
        <v>0</v>
      </c>
      <c r="Z336" s="401">
        <f t="shared" si="747"/>
        <v>0</v>
      </c>
      <c r="AA336" s="118">
        <f t="shared" si="747"/>
        <v>0</v>
      </c>
      <c r="AB336" s="118">
        <f t="shared" si="747"/>
        <v>0</v>
      </c>
      <c r="AC336" s="118">
        <f t="shared" si="747"/>
        <v>0</v>
      </c>
      <c r="AD336" s="118">
        <f t="shared" si="747"/>
        <v>0</v>
      </c>
      <c r="AE336" s="401">
        <f t="shared" si="747"/>
        <v>0</v>
      </c>
      <c r="AF336" s="118">
        <f t="shared" si="747"/>
        <v>0</v>
      </c>
      <c r="AG336" s="118">
        <f t="shared" si="747"/>
        <v>0</v>
      </c>
      <c r="AH336" s="118">
        <f t="shared" si="747"/>
        <v>0</v>
      </c>
      <c r="AI336" s="118">
        <f t="shared" si="747"/>
        <v>0</v>
      </c>
      <c r="AJ336" s="401">
        <f t="shared" si="747"/>
        <v>0</v>
      </c>
      <c r="AK336" s="118">
        <f t="shared" si="747"/>
        <v>0</v>
      </c>
      <c r="AL336" s="118">
        <f t="shared" si="747"/>
        <v>0</v>
      </c>
      <c r="AM336" s="118">
        <f t="shared" si="747"/>
        <v>0</v>
      </c>
      <c r="AN336" s="118">
        <f t="shared" si="747"/>
        <v>0</v>
      </c>
      <c r="AO336" s="401">
        <f t="shared" si="747"/>
        <v>0</v>
      </c>
      <c r="AP336" s="118">
        <f t="shared" si="747"/>
        <v>0</v>
      </c>
      <c r="AQ336" s="118">
        <f t="shared" si="747"/>
        <v>0</v>
      </c>
      <c r="AR336" s="118">
        <f t="shared" si="747"/>
        <v>0</v>
      </c>
      <c r="AS336" s="118">
        <f t="shared" si="747"/>
        <v>0</v>
      </c>
      <c r="AT336" s="401">
        <f t="shared" si="747"/>
        <v>0</v>
      </c>
      <c r="AU336" s="118">
        <f t="shared" si="747"/>
        <v>0</v>
      </c>
      <c r="AV336" s="118">
        <f t="shared" si="747"/>
        <v>0</v>
      </c>
      <c r="AW336" s="118">
        <f t="shared" si="747"/>
        <v>0</v>
      </c>
      <c r="AX336" s="118">
        <f t="shared" si="747"/>
        <v>0</v>
      </c>
      <c r="AY336" s="401">
        <f t="shared" si="747"/>
        <v>0</v>
      </c>
      <c r="AZ336" s="118">
        <f t="shared" si="747"/>
        <v>0</v>
      </c>
      <c r="BA336" s="118">
        <f t="shared" si="747"/>
        <v>0</v>
      </c>
      <c r="BB336" s="118">
        <f t="shared" si="747"/>
        <v>0</v>
      </c>
      <c r="BC336" s="118">
        <f t="shared" si="747"/>
        <v>0</v>
      </c>
      <c r="BD336" s="401">
        <f t="shared" si="747"/>
        <v>0</v>
      </c>
      <c r="BE336" s="118">
        <f t="shared" si="747"/>
        <v>0</v>
      </c>
      <c r="BF336" s="118">
        <f t="shared" si="747"/>
        <v>0</v>
      </c>
      <c r="BG336" s="118">
        <f t="shared" si="747"/>
        <v>0</v>
      </c>
      <c r="BH336" s="118">
        <f t="shared" si="747"/>
        <v>0</v>
      </c>
      <c r="BI336" s="401">
        <f t="shared" si="747"/>
        <v>0</v>
      </c>
      <c r="BJ336" s="971">
        <f t="shared" si="747"/>
        <v>0</v>
      </c>
      <c r="BK336" s="302">
        <v>0</v>
      </c>
      <c r="BL336" s="302">
        <v>0</v>
      </c>
      <c r="BM336" s="302">
        <v>0</v>
      </c>
      <c r="BN336" s="401">
        <f t="shared" si="744"/>
        <v>0</v>
      </c>
      <c r="BO336" s="302">
        <v>0</v>
      </c>
      <c r="BP336" s="302">
        <v>0</v>
      </c>
      <c r="BQ336" s="302">
        <v>0</v>
      </c>
      <c r="BR336" s="302">
        <v>0</v>
      </c>
      <c r="BS336" s="401">
        <f t="shared" si="745"/>
        <v>0</v>
      </c>
      <c r="BT336" s="403">
        <v>0</v>
      </c>
      <c r="BU336" s="403">
        <v>0</v>
      </c>
      <c r="BV336" s="403">
        <v>0</v>
      </c>
      <c r="BW336" s="118"/>
    </row>
    <row r="337" spans="1:75" s="123" customFormat="1" outlineLevel="1" collapsed="1" x14ac:dyDescent="0.5">
      <c r="A337" s="184" t="s">
        <v>1865</v>
      </c>
      <c r="B337" s="489"/>
      <c r="C337" s="401"/>
      <c r="D337" s="401"/>
      <c r="E337" s="401"/>
      <c r="F337" s="401"/>
      <c r="G337" s="118"/>
      <c r="H337" s="118"/>
      <c r="I337" s="118"/>
      <c r="J337" s="118"/>
      <c r="K337" s="401"/>
      <c r="L337" s="118">
        <f t="shared" si="747"/>
        <v>0</v>
      </c>
      <c r="M337" s="118">
        <f t="shared" si="747"/>
        <v>0</v>
      </c>
      <c r="N337" s="118">
        <f t="shared" si="747"/>
        <v>0</v>
      </c>
      <c r="O337" s="118">
        <f t="shared" si="747"/>
        <v>0</v>
      </c>
      <c r="P337" s="401">
        <f t="shared" si="747"/>
        <v>0</v>
      </c>
      <c r="Q337" s="118">
        <f t="shared" si="747"/>
        <v>0</v>
      </c>
      <c r="R337" s="118">
        <f t="shared" si="747"/>
        <v>0</v>
      </c>
      <c r="S337" s="118">
        <f t="shared" si="747"/>
        <v>0</v>
      </c>
      <c r="T337" s="118">
        <f t="shared" si="747"/>
        <v>0</v>
      </c>
      <c r="U337" s="401">
        <f t="shared" si="747"/>
        <v>0</v>
      </c>
      <c r="V337" s="118">
        <f t="shared" si="747"/>
        <v>0</v>
      </c>
      <c r="W337" s="118">
        <f t="shared" si="747"/>
        <v>0</v>
      </c>
      <c r="X337" s="118">
        <f t="shared" si="747"/>
        <v>0</v>
      </c>
      <c r="Y337" s="118">
        <f t="shared" si="747"/>
        <v>0</v>
      </c>
      <c r="Z337" s="401">
        <f t="shared" si="747"/>
        <v>0</v>
      </c>
      <c r="AA337" s="118">
        <f t="shared" si="747"/>
        <v>0</v>
      </c>
      <c r="AB337" s="118">
        <f t="shared" si="747"/>
        <v>0</v>
      </c>
      <c r="AC337" s="118">
        <f t="shared" si="747"/>
        <v>0</v>
      </c>
      <c r="AD337" s="118">
        <f t="shared" si="747"/>
        <v>5.859</v>
      </c>
      <c r="AE337" s="401">
        <f t="shared" si="747"/>
        <v>5.859</v>
      </c>
      <c r="AF337" s="118">
        <f t="shared" si="747"/>
        <v>6.3440000000000003</v>
      </c>
      <c r="AG337" s="118">
        <f t="shared" si="747"/>
        <v>4.72</v>
      </c>
      <c r="AH337" s="118">
        <f t="shared" si="747"/>
        <v>6.1280000000000001</v>
      </c>
      <c r="AI337" s="118">
        <f t="shared" si="747"/>
        <v>6.9180000000000001</v>
      </c>
      <c r="AJ337" s="401">
        <f t="shared" si="747"/>
        <v>24.11</v>
      </c>
      <c r="AK337" s="118">
        <f t="shared" si="747"/>
        <v>5.8769999999999998</v>
      </c>
      <c r="AL337" s="118">
        <f t="shared" si="747"/>
        <v>6.351</v>
      </c>
      <c r="AM337" s="118">
        <f t="shared" si="747"/>
        <v>6.6360000000000001</v>
      </c>
      <c r="AN337" s="118">
        <f t="shared" si="747"/>
        <v>8.2059999999999995</v>
      </c>
      <c r="AO337" s="401">
        <f t="shared" si="747"/>
        <v>27.07</v>
      </c>
      <c r="AP337" s="118">
        <f t="shared" si="747"/>
        <v>3.3580000000000001</v>
      </c>
      <c r="AQ337" s="118">
        <f t="shared" si="747"/>
        <v>3.3410000000000002</v>
      </c>
      <c r="AR337" s="118">
        <f t="shared" si="747"/>
        <v>2.2189999999999999</v>
      </c>
      <c r="AS337" s="118">
        <f t="shared" si="747"/>
        <v>3.1739999999999999</v>
      </c>
      <c r="AT337" s="401">
        <f t="shared" si="747"/>
        <v>12.092000000000001</v>
      </c>
      <c r="AU337" s="118">
        <f t="shared" si="747"/>
        <v>2.839</v>
      </c>
      <c r="AV337" s="118">
        <f t="shared" si="747"/>
        <v>2.7570000000000001</v>
      </c>
      <c r="AW337" s="118">
        <f t="shared" si="747"/>
        <v>2.7519999999999998</v>
      </c>
      <c r="AX337" s="118">
        <f t="shared" si="747"/>
        <v>0.81200000000000006</v>
      </c>
      <c r="AY337" s="401">
        <f t="shared" si="747"/>
        <v>9.16</v>
      </c>
      <c r="AZ337" s="118">
        <f t="shared" si="747"/>
        <v>0</v>
      </c>
      <c r="BA337" s="118">
        <f t="shared" si="747"/>
        <v>0</v>
      </c>
      <c r="BB337" s="118">
        <f t="shared" si="747"/>
        <v>0</v>
      </c>
      <c r="BC337" s="118">
        <f t="shared" si="747"/>
        <v>0</v>
      </c>
      <c r="BD337" s="401">
        <f t="shared" si="747"/>
        <v>0</v>
      </c>
      <c r="BE337" s="118">
        <f t="shared" si="747"/>
        <v>0</v>
      </c>
      <c r="BF337" s="118">
        <f t="shared" si="747"/>
        <v>0</v>
      </c>
      <c r="BG337" s="118">
        <f t="shared" si="747"/>
        <v>0</v>
      </c>
      <c r="BH337" s="118">
        <f t="shared" si="747"/>
        <v>0</v>
      </c>
      <c r="BI337" s="401">
        <f t="shared" si="747"/>
        <v>0</v>
      </c>
      <c r="BJ337" s="971">
        <f t="shared" si="747"/>
        <v>0</v>
      </c>
      <c r="BK337" s="302">
        <v>0</v>
      </c>
      <c r="BL337" s="302">
        <v>0</v>
      </c>
      <c r="BM337" s="302">
        <v>0</v>
      </c>
      <c r="BN337" s="401">
        <f t="shared" si="744"/>
        <v>0</v>
      </c>
      <c r="BO337" s="302">
        <v>0</v>
      </c>
      <c r="BP337" s="302">
        <v>0</v>
      </c>
      <c r="BQ337" s="302">
        <v>0</v>
      </c>
      <c r="BR337" s="302">
        <v>0</v>
      </c>
      <c r="BS337" s="401">
        <f t="shared" si="745"/>
        <v>0</v>
      </c>
      <c r="BT337" s="403">
        <v>0</v>
      </c>
      <c r="BU337" s="403">
        <v>0</v>
      </c>
      <c r="BV337" s="403">
        <v>0</v>
      </c>
      <c r="BW337" s="118"/>
    </row>
    <row r="338" spans="1:75" s="123" customFormat="1" outlineLevel="1" x14ac:dyDescent="0.5">
      <c r="A338" s="184" t="s">
        <v>1866</v>
      </c>
      <c r="B338" s="489"/>
      <c r="C338" s="401"/>
      <c r="D338" s="401"/>
      <c r="E338" s="401"/>
      <c r="F338" s="401"/>
      <c r="G338" s="118"/>
      <c r="H338" s="118"/>
      <c r="I338" s="118"/>
      <c r="J338" s="118"/>
      <c r="K338" s="401"/>
      <c r="L338" s="118">
        <f t="shared" si="747"/>
        <v>0</v>
      </c>
      <c r="M338" s="118">
        <f t="shared" si="747"/>
        <v>0</v>
      </c>
      <c r="N338" s="118">
        <f t="shared" si="747"/>
        <v>0</v>
      </c>
      <c r="O338" s="118">
        <f t="shared" si="747"/>
        <v>0</v>
      </c>
      <c r="P338" s="401">
        <f t="shared" si="747"/>
        <v>0</v>
      </c>
      <c r="Q338" s="118">
        <f t="shared" si="747"/>
        <v>0</v>
      </c>
      <c r="R338" s="118">
        <f t="shared" si="747"/>
        <v>0</v>
      </c>
      <c r="S338" s="118">
        <f t="shared" si="747"/>
        <v>0</v>
      </c>
      <c r="T338" s="118">
        <f t="shared" si="747"/>
        <v>0</v>
      </c>
      <c r="U338" s="401">
        <f t="shared" si="747"/>
        <v>0</v>
      </c>
      <c r="V338" s="118">
        <f t="shared" si="747"/>
        <v>0</v>
      </c>
      <c r="W338" s="118">
        <f t="shared" si="747"/>
        <v>0</v>
      </c>
      <c r="X338" s="118">
        <f t="shared" si="747"/>
        <v>0</v>
      </c>
      <c r="Y338" s="118">
        <f t="shared" si="747"/>
        <v>0</v>
      </c>
      <c r="Z338" s="401">
        <f t="shared" si="747"/>
        <v>0</v>
      </c>
      <c r="AA338" s="118">
        <f t="shared" si="747"/>
        <v>0</v>
      </c>
      <c r="AB338" s="118">
        <f t="shared" si="747"/>
        <v>0</v>
      </c>
      <c r="AC338" s="118">
        <f t="shared" si="747"/>
        <v>0</v>
      </c>
      <c r="AD338" s="118">
        <f t="shared" si="747"/>
        <v>0</v>
      </c>
      <c r="AE338" s="401">
        <f t="shared" si="747"/>
        <v>0</v>
      </c>
      <c r="AF338" s="118">
        <f t="shared" si="747"/>
        <v>0</v>
      </c>
      <c r="AG338" s="118">
        <f t="shared" si="747"/>
        <v>0</v>
      </c>
      <c r="AH338" s="118">
        <f t="shared" si="747"/>
        <v>0</v>
      </c>
      <c r="AI338" s="118">
        <f t="shared" si="747"/>
        <v>0</v>
      </c>
      <c r="AJ338" s="401">
        <f t="shared" si="747"/>
        <v>0</v>
      </c>
      <c r="AK338" s="118">
        <f t="shared" si="747"/>
        <v>0</v>
      </c>
      <c r="AL338" s="118">
        <f t="shared" si="747"/>
        <v>0</v>
      </c>
      <c r="AM338" s="118">
        <f t="shared" si="747"/>
        <v>0</v>
      </c>
      <c r="AN338" s="118">
        <f t="shared" si="747"/>
        <v>0</v>
      </c>
      <c r="AO338" s="401">
        <f t="shared" si="747"/>
        <v>0</v>
      </c>
      <c r="AP338" s="118">
        <f t="shared" si="747"/>
        <v>0</v>
      </c>
      <c r="AQ338" s="118">
        <f t="shared" si="747"/>
        <v>0</v>
      </c>
      <c r="AR338" s="118">
        <f t="shared" si="747"/>
        <v>0</v>
      </c>
      <c r="AS338" s="118">
        <f t="shared" si="747"/>
        <v>0</v>
      </c>
      <c r="AT338" s="401">
        <f t="shared" si="747"/>
        <v>0</v>
      </c>
      <c r="AU338" s="118">
        <f t="shared" si="747"/>
        <v>0</v>
      </c>
      <c r="AV338" s="118">
        <f t="shared" si="747"/>
        <v>0</v>
      </c>
      <c r="AW338" s="118">
        <f t="shared" si="747"/>
        <v>0</v>
      </c>
      <c r="AX338" s="118">
        <f t="shared" si="747"/>
        <v>0</v>
      </c>
      <c r="AY338" s="401">
        <f t="shared" si="747"/>
        <v>0</v>
      </c>
      <c r="AZ338" s="118">
        <f t="shared" si="747"/>
        <v>0</v>
      </c>
      <c r="BA338" s="118">
        <f t="shared" si="747"/>
        <v>0</v>
      </c>
      <c r="BB338" s="118">
        <f t="shared" si="747"/>
        <v>0</v>
      </c>
      <c r="BC338" s="118">
        <f t="shared" si="747"/>
        <v>0</v>
      </c>
      <c r="BD338" s="401">
        <f t="shared" si="747"/>
        <v>0</v>
      </c>
      <c r="BE338" s="118">
        <f t="shared" si="747"/>
        <v>15.79</v>
      </c>
      <c r="BF338" s="118">
        <f t="shared" si="747"/>
        <v>0</v>
      </c>
      <c r="BG338" s="118">
        <f t="shared" si="747"/>
        <v>0</v>
      </c>
      <c r="BH338" s="118">
        <f t="shared" si="747"/>
        <v>0</v>
      </c>
      <c r="BI338" s="401">
        <f t="shared" si="747"/>
        <v>15.79</v>
      </c>
      <c r="BJ338" s="971">
        <f t="shared" si="747"/>
        <v>0</v>
      </c>
      <c r="BK338" s="302">
        <v>0</v>
      </c>
      <c r="BL338" s="302">
        <v>0</v>
      </c>
      <c r="BM338" s="302">
        <v>0</v>
      </c>
      <c r="BN338" s="401">
        <f t="shared" si="744"/>
        <v>0</v>
      </c>
      <c r="BO338" s="302">
        <v>0</v>
      </c>
      <c r="BP338" s="302">
        <v>0</v>
      </c>
      <c r="BQ338" s="302">
        <v>0</v>
      </c>
      <c r="BR338" s="302">
        <v>0</v>
      </c>
      <c r="BS338" s="401">
        <f t="shared" si="745"/>
        <v>0</v>
      </c>
      <c r="BT338" s="403">
        <v>0</v>
      </c>
      <c r="BU338" s="403">
        <v>0</v>
      </c>
      <c r="BV338" s="403">
        <v>0</v>
      </c>
      <c r="BW338" s="118"/>
    </row>
    <row r="339" spans="1:75" s="123" customFormat="1" outlineLevel="1" x14ac:dyDescent="0.5">
      <c r="A339" s="184" t="s">
        <v>1867</v>
      </c>
      <c r="B339" s="489"/>
      <c r="C339" s="401"/>
      <c r="D339" s="401"/>
      <c r="E339" s="401"/>
      <c r="F339" s="401"/>
      <c r="G339" s="118"/>
      <c r="H339" s="118"/>
      <c r="I339" s="118"/>
      <c r="J339" s="118"/>
      <c r="K339" s="401"/>
      <c r="L339" s="118">
        <f t="shared" si="747"/>
        <v>0</v>
      </c>
      <c r="M339" s="118">
        <f t="shared" si="747"/>
        <v>0</v>
      </c>
      <c r="N339" s="118">
        <f t="shared" si="747"/>
        <v>0</v>
      </c>
      <c r="O339" s="118">
        <f t="shared" si="747"/>
        <v>0</v>
      </c>
      <c r="P339" s="401">
        <f t="shared" si="747"/>
        <v>0</v>
      </c>
      <c r="Q339" s="118">
        <f t="shared" si="747"/>
        <v>0</v>
      </c>
      <c r="R339" s="118">
        <f t="shared" si="747"/>
        <v>0</v>
      </c>
      <c r="S339" s="118">
        <f t="shared" si="747"/>
        <v>0</v>
      </c>
      <c r="T339" s="118">
        <f t="shared" si="747"/>
        <v>0</v>
      </c>
      <c r="U339" s="401">
        <f t="shared" si="747"/>
        <v>0</v>
      </c>
      <c r="V339" s="118">
        <f t="shared" si="747"/>
        <v>0</v>
      </c>
      <c r="W339" s="118">
        <f t="shared" si="747"/>
        <v>0</v>
      </c>
      <c r="X339" s="118">
        <f t="shared" si="747"/>
        <v>0</v>
      </c>
      <c r="Y339" s="118">
        <f t="shared" si="747"/>
        <v>0</v>
      </c>
      <c r="Z339" s="401">
        <f t="shared" si="747"/>
        <v>0</v>
      </c>
      <c r="AA339" s="118">
        <f t="shared" si="747"/>
        <v>0</v>
      </c>
      <c r="AB339" s="118">
        <f t="shared" si="747"/>
        <v>0</v>
      </c>
      <c r="AC339" s="118">
        <f t="shared" si="747"/>
        <v>0</v>
      </c>
      <c r="AD339" s="118">
        <f t="shared" si="747"/>
        <v>0</v>
      </c>
      <c r="AE339" s="401">
        <f t="shared" si="747"/>
        <v>0</v>
      </c>
      <c r="AF339" s="118">
        <f t="shared" si="747"/>
        <v>0</v>
      </c>
      <c r="AG339" s="118">
        <f t="shared" si="747"/>
        <v>0</v>
      </c>
      <c r="AH339" s="118">
        <f t="shared" si="747"/>
        <v>0</v>
      </c>
      <c r="AI339" s="118">
        <f t="shared" si="747"/>
        <v>0</v>
      </c>
      <c r="AJ339" s="401">
        <f t="shared" si="747"/>
        <v>0</v>
      </c>
      <c r="AK339" s="118">
        <f t="shared" si="747"/>
        <v>0</v>
      </c>
      <c r="AL339" s="118">
        <f t="shared" si="747"/>
        <v>0</v>
      </c>
      <c r="AM339" s="118">
        <f t="shared" si="747"/>
        <v>0</v>
      </c>
      <c r="AN339" s="118">
        <f t="shared" si="747"/>
        <v>0</v>
      </c>
      <c r="AO339" s="401">
        <f t="shared" si="747"/>
        <v>0</v>
      </c>
      <c r="AP339" s="118">
        <f t="shared" si="747"/>
        <v>0</v>
      </c>
      <c r="AQ339" s="118">
        <f t="shared" si="747"/>
        <v>0</v>
      </c>
      <c r="AR339" s="118">
        <f t="shared" si="747"/>
        <v>0</v>
      </c>
      <c r="AS339" s="118">
        <f t="shared" si="747"/>
        <v>0</v>
      </c>
      <c r="AT339" s="401">
        <f t="shared" si="747"/>
        <v>0</v>
      </c>
      <c r="AU339" s="118">
        <f t="shared" si="747"/>
        <v>0</v>
      </c>
      <c r="AV339" s="118">
        <f t="shared" si="747"/>
        <v>0</v>
      </c>
      <c r="AW339" s="118">
        <f t="shared" si="747"/>
        <v>0</v>
      </c>
      <c r="AX339" s="118">
        <f t="shared" si="747"/>
        <v>0</v>
      </c>
      <c r="AY339" s="401">
        <f t="shared" si="747"/>
        <v>0</v>
      </c>
      <c r="AZ339" s="118">
        <f t="shared" si="747"/>
        <v>0</v>
      </c>
      <c r="BA339" s="118">
        <f t="shared" si="747"/>
        <v>0</v>
      </c>
      <c r="BB339" s="118">
        <f t="shared" si="747"/>
        <v>0</v>
      </c>
      <c r="BC339" s="118">
        <f t="shared" si="747"/>
        <v>0</v>
      </c>
      <c r="BD339" s="401">
        <f t="shared" si="747"/>
        <v>0</v>
      </c>
      <c r="BE339" s="118">
        <f t="shared" si="747"/>
        <v>8.3160000000000007</v>
      </c>
      <c r="BF339" s="118">
        <f t="shared" si="747"/>
        <v>0</v>
      </c>
      <c r="BG339" s="118">
        <f t="shared" si="747"/>
        <v>0</v>
      </c>
      <c r="BH339" s="118">
        <f t="shared" si="747"/>
        <v>0</v>
      </c>
      <c r="BI339" s="401">
        <f t="shared" si="747"/>
        <v>8.3160000000000007</v>
      </c>
      <c r="BJ339" s="971">
        <f t="shared" si="747"/>
        <v>0</v>
      </c>
      <c r="BK339" s="302">
        <v>0</v>
      </c>
      <c r="BL339" s="302">
        <v>0</v>
      </c>
      <c r="BM339" s="302">
        <v>0</v>
      </c>
      <c r="BN339" s="401">
        <f t="shared" si="744"/>
        <v>0</v>
      </c>
      <c r="BO339" s="302">
        <v>0</v>
      </c>
      <c r="BP339" s="302">
        <v>0</v>
      </c>
      <c r="BQ339" s="302">
        <v>0</v>
      </c>
      <c r="BR339" s="302">
        <v>0</v>
      </c>
      <c r="BS339" s="401">
        <f t="shared" si="745"/>
        <v>0</v>
      </c>
      <c r="BT339" s="403">
        <v>0</v>
      </c>
      <c r="BU339" s="403">
        <v>0</v>
      </c>
      <c r="BV339" s="403">
        <v>0</v>
      </c>
      <c r="BW339" s="118"/>
    </row>
    <row r="340" spans="1:75" s="123" customFormat="1" outlineLevel="1" collapsed="1" x14ac:dyDescent="0.5">
      <c r="A340" s="184" t="s">
        <v>1868</v>
      </c>
      <c r="B340" s="489"/>
      <c r="C340" s="401"/>
      <c r="D340" s="401"/>
      <c r="E340" s="401"/>
      <c r="F340" s="401"/>
      <c r="G340" s="118"/>
      <c r="H340" s="118"/>
      <c r="I340" s="118"/>
      <c r="J340" s="118"/>
      <c r="K340" s="401"/>
      <c r="L340" s="118">
        <f t="shared" si="747"/>
        <v>0</v>
      </c>
      <c r="M340" s="118">
        <f t="shared" si="747"/>
        <v>0</v>
      </c>
      <c r="N340" s="118">
        <f t="shared" si="747"/>
        <v>0</v>
      </c>
      <c r="O340" s="118">
        <f t="shared" si="747"/>
        <v>0</v>
      </c>
      <c r="P340" s="401">
        <f t="shared" si="747"/>
        <v>0</v>
      </c>
      <c r="Q340" s="118">
        <f t="shared" si="747"/>
        <v>0</v>
      </c>
      <c r="R340" s="118">
        <f t="shared" si="747"/>
        <v>0</v>
      </c>
      <c r="S340" s="118">
        <f t="shared" si="747"/>
        <v>0</v>
      </c>
      <c r="T340" s="118">
        <f t="shared" si="747"/>
        <v>0</v>
      </c>
      <c r="U340" s="401">
        <f t="shared" si="747"/>
        <v>0</v>
      </c>
      <c r="V340" s="118">
        <f t="shared" si="747"/>
        <v>13.221</v>
      </c>
      <c r="W340" s="118">
        <f t="shared" si="747"/>
        <v>0</v>
      </c>
      <c r="X340" s="118">
        <f t="shared" si="747"/>
        <v>1.1850000000000001</v>
      </c>
      <c r="Y340" s="118">
        <f t="shared" si="747"/>
        <v>0</v>
      </c>
      <c r="Z340" s="401">
        <f t="shared" si="747"/>
        <v>14.406000000000001</v>
      </c>
      <c r="AA340" s="118">
        <f t="shared" si="747"/>
        <v>5.7050000000000001</v>
      </c>
      <c r="AB340" s="118">
        <f t="shared" si="747"/>
        <v>0</v>
      </c>
      <c r="AC340" s="118">
        <f t="shared" si="747"/>
        <v>0</v>
      </c>
      <c r="AD340" s="118">
        <f t="shared" si="747"/>
        <v>2.907</v>
      </c>
      <c r="AE340" s="401">
        <f t="shared" si="747"/>
        <v>8.6120000000000001</v>
      </c>
      <c r="AF340" s="118">
        <f t="shared" si="747"/>
        <v>0</v>
      </c>
      <c r="AG340" s="118">
        <f t="shared" si="747"/>
        <v>0</v>
      </c>
      <c r="AH340" s="118">
        <f t="shared" si="747"/>
        <v>0</v>
      </c>
      <c r="AI340" s="118">
        <f t="shared" si="747"/>
        <v>0</v>
      </c>
      <c r="AJ340" s="401">
        <f t="shared" si="747"/>
        <v>0</v>
      </c>
      <c r="AK340" s="118">
        <f t="shared" si="747"/>
        <v>0</v>
      </c>
      <c r="AL340" s="118">
        <f t="shared" si="747"/>
        <v>0</v>
      </c>
      <c r="AM340" s="118">
        <f t="shared" si="747"/>
        <v>0</v>
      </c>
      <c r="AN340" s="118">
        <f t="shared" si="747"/>
        <v>0</v>
      </c>
      <c r="AO340" s="401">
        <f t="shared" si="747"/>
        <v>0</v>
      </c>
      <c r="AP340" s="118">
        <f t="shared" si="747"/>
        <v>0</v>
      </c>
      <c r="AQ340" s="118">
        <f t="shared" si="747"/>
        <v>0</v>
      </c>
      <c r="AR340" s="118">
        <f t="shared" si="747"/>
        <v>0</v>
      </c>
      <c r="AS340" s="118">
        <f t="shared" si="747"/>
        <v>0</v>
      </c>
      <c r="AT340" s="401">
        <f t="shared" si="747"/>
        <v>0</v>
      </c>
      <c r="AU340" s="118">
        <f t="shared" si="747"/>
        <v>0</v>
      </c>
      <c r="AV340" s="118">
        <f t="shared" si="747"/>
        <v>0</v>
      </c>
      <c r="AW340" s="118">
        <f t="shared" si="747"/>
        <v>0</v>
      </c>
      <c r="AX340" s="118">
        <f t="shared" si="747"/>
        <v>0</v>
      </c>
      <c r="AY340" s="401">
        <f t="shared" si="747"/>
        <v>0</v>
      </c>
      <c r="AZ340" s="118">
        <f t="shared" si="747"/>
        <v>0</v>
      </c>
      <c r="BA340" s="118">
        <f t="shared" si="747"/>
        <v>0</v>
      </c>
      <c r="BB340" s="118">
        <f t="shared" si="747"/>
        <v>0</v>
      </c>
      <c r="BC340" s="118">
        <f t="shared" si="747"/>
        <v>0</v>
      </c>
      <c r="BD340" s="401">
        <f t="shared" si="747"/>
        <v>0</v>
      </c>
      <c r="BE340" s="118">
        <f t="shared" si="747"/>
        <v>0</v>
      </c>
      <c r="BF340" s="118">
        <f t="shared" si="747"/>
        <v>0</v>
      </c>
      <c r="BG340" s="118">
        <f t="shared" si="747"/>
        <v>0</v>
      </c>
      <c r="BH340" s="118">
        <f t="shared" si="747"/>
        <v>0</v>
      </c>
      <c r="BI340" s="401">
        <f t="shared" si="747"/>
        <v>0</v>
      </c>
      <c r="BJ340" s="971">
        <f t="shared" si="747"/>
        <v>0</v>
      </c>
      <c r="BK340" s="302">
        <v>0</v>
      </c>
      <c r="BL340" s="302">
        <v>0</v>
      </c>
      <c r="BM340" s="302">
        <v>0</v>
      </c>
      <c r="BN340" s="401">
        <f t="shared" si="744"/>
        <v>0</v>
      </c>
      <c r="BO340" s="302">
        <v>0</v>
      </c>
      <c r="BP340" s="302">
        <v>0</v>
      </c>
      <c r="BQ340" s="302">
        <v>0</v>
      </c>
      <c r="BR340" s="302">
        <v>0</v>
      </c>
      <c r="BS340" s="401">
        <f t="shared" si="745"/>
        <v>0</v>
      </c>
      <c r="BT340" s="403">
        <v>0</v>
      </c>
      <c r="BU340" s="403">
        <v>0</v>
      </c>
      <c r="BV340" s="403">
        <v>0</v>
      </c>
      <c r="BW340" s="118"/>
    </row>
    <row r="341" spans="1:75" s="123" customFormat="1" outlineLevel="1" collapsed="1" x14ac:dyDescent="0.5">
      <c r="A341" s="184" t="s">
        <v>1869</v>
      </c>
      <c r="B341" s="489"/>
      <c r="C341" s="401"/>
      <c r="D341" s="401"/>
      <c r="E341" s="401"/>
      <c r="F341" s="401"/>
      <c r="G341" s="118"/>
      <c r="H341" s="118"/>
      <c r="I341" s="118"/>
      <c r="J341" s="118"/>
      <c r="K341" s="401"/>
      <c r="L341" s="118">
        <f t="shared" ref="L341:BJ341" si="748">-L675</f>
        <v>0</v>
      </c>
      <c r="M341" s="118">
        <f t="shared" si="748"/>
        <v>0</v>
      </c>
      <c r="N341" s="118">
        <f t="shared" si="748"/>
        <v>0</v>
      </c>
      <c r="O341" s="118">
        <f t="shared" si="748"/>
        <v>0</v>
      </c>
      <c r="P341" s="401">
        <f t="shared" si="748"/>
        <v>0</v>
      </c>
      <c r="Q341" s="118">
        <f t="shared" si="748"/>
        <v>0</v>
      </c>
      <c r="R341" s="118">
        <f t="shared" si="748"/>
        <v>0</v>
      </c>
      <c r="S341" s="118">
        <f t="shared" si="748"/>
        <v>0</v>
      </c>
      <c r="T341" s="118">
        <f t="shared" si="748"/>
        <v>0</v>
      </c>
      <c r="U341" s="401">
        <f t="shared" si="748"/>
        <v>0</v>
      </c>
      <c r="V341" s="118">
        <f t="shared" si="748"/>
        <v>0</v>
      </c>
      <c r="W341" s="118">
        <f t="shared" si="748"/>
        <v>0</v>
      </c>
      <c r="X341" s="118">
        <f t="shared" si="748"/>
        <v>0</v>
      </c>
      <c r="Y341" s="118">
        <f t="shared" si="748"/>
        <v>0</v>
      </c>
      <c r="Z341" s="401">
        <f t="shared" si="748"/>
        <v>0</v>
      </c>
      <c r="AA341" s="118">
        <f t="shared" si="748"/>
        <v>0</v>
      </c>
      <c r="AB341" s="118">
        <f t="shared" si="748"/>
        <v>0</v>
      </c>
      <c r="AC341" s="118">
        <f t="shared" si="748"/>
        <v>0</v>
      </c>
      <c r="AD341" s="118">
        <f t="shared" si="748"/>
        <v>0</v>
      </c>
      <c r="AE341" s="401">
        <f t="shared" si="748"/>
        <v>0</v>
      </c>
      <c r="AF341" s="118">
        <f t="shared" si="748"/>
        <v>1.702</v>
      </c>
      <c r="AG341" s="118">
        <f t="shared" si="748"/>
        <v>1.8740000000000001</v>
      </c>
      <c r="AH341" s="118">
        <f t="shared" si="748"/>
        <v>1.869</v>
      </c>
      <c r="AI341" s="118">
        <f t="shared" si="748"/>
        <v>2.5430000000000001</v>
      </c>
      <c r="AJ341" s="401">
        <f t="shared" si="748"/>
        <v>7.9880000000000004</v>
      </c>
      <c r="AK341" s="118">
        <f t="shared" si="748"/>
        <v>6.4960000000000004</v>
      </c>
      <c r="AL341" s="118">
        <f t="shared" si="748"/>
        <v>0.623</v>
      </c>
      <c r="AM341" s="118">
        <f t="shared" si="748"/>
        <v>0.623</v>
      </c>
      <c r="AN341" s="118">
        <f t="shared" si="748"/>
        <v>0.624</v>
      </c>
      <c r="AO341" s="401">
        <f t="shared" si="748"/>
        <v>8.3659999999999997</v>
      </c>
      <c r="AP341" s="118">
        <f t="shared" si="748"/>
        <v>0</v>
      </c>
      <c r="AQ341" s="118">
        <f t="shared" si="748"/>
        <v>0</v>
      </c>
      <c r="AR341" s="118">
        <f t="shared" si="748"/>
        <v>0</v>
      </c>
      <c r="AS341" s="118">
        <f t="shared" si="748"/>
        <v>0</v>
      </c>
      <c r="AT341" s="401">
        <f t="shared" si="748"/>
        <v>0</v>
      </c>
      <c r="AU341" s="118">
        <f t="shared" si="748"/>
        <v>0</v>
      </c>
      <c r="AV341" s="118">
        <f t="shared" si="748"/>
        <v>0</v>
      </c>
      <c r="AW341" s="118">
        <f t="shared" si="748"/>
        <v>0</v>
      </c>
      <c r="AX341" s="118">
        <f t="shared" si="748"/>
        <v>0</v>
      </c>
      <c r="AY341" s="401">
        <f t="shared" si="748"/>
        <v>0</v>
      </c>
      <c r="AZ341" s="118">
        <f t="shared" si="748"/>
        <v>0</v>
      </c>
      <c r="BA341" s="118">
        <f t="shared" si="748"/>
        <v>0</v>
      </c>
      <c r="BB341" s="118">
        <f t="shared" si="748"/>
        <v>0</v>
      </c>
      <c r="BC341" s="118">
        <f t="shared" si="748"/>
        <v>0</v>
      </c>
      <c r="BD341" s="401">
        <f t="shared" si="748"/>
        <v>0</v>
      </c>
      <c r="BE341" s="118">
        <f t="shared" si="748"/>
        <v>0</v>
      </c>
      <c r="BF341" s="118">
        <f t="shared" si="748"/>
        <v>0</v>
      </c>
      <c r="BG341" s="118">
        <f t="shared" si="748"/>
        <v>0</v>
      </c>
      <c r="BH341" s="118">
        <f t="shared" si="748"/>
        <v>0</v>
      </c>
      <c r="BI341" s="401">
        <f t="shared" si="748"/>
        <v>0</v>
      </c>
      <c r="BJ341" s="971">
        <f t="shared" si="748"/>
        <v>0</v>
      </c>
      <c r="BK341" s="302">
        <v>0</v>
      </c>
      <c r="BL341" s="302">
        <v>0</v>
      </c>
      <c r="BM341" s="302">
        <v>0</v>
      </c>
      <c r="BN341" s="401">
        <f t="shared" si="744"/>
        <v>0</v>
      </c>
      <c r="BO341" s="302">
        <v>0</v>
      </c>
      <c r="BP341" s="302">
        <v>0</v>
      </c>
      <c r="BQ341" s="302">
        <v>0</v>
      </c>
      <c r="BR341" s="302">
        <v>0</v>
      </c>
      <c r="BS341" s="401">
        <f t="shared" si="745"/>
        <v>0</v>
      </c>
      <c r="BT341" s="403">
        <v>0</v>
      </c>
      <c r="BU341" s="403">
        <v>0</v>
      </c>
      <c r="BV341" s="403">
        <v>0</v>
      </c>
      <c r="BW341" s="118"/>
    </row>
    <row r="342" spans="1:75" s="123" customFormat="1" outlineLevel="1" x14ac:dyDescent="0.5">
      <c r="A342" s="184" t="s">
        <v>1870</v>
      </c>
      <c r="B342" s="489"/>
      <c r="C342" s="401"/>
      <c r="D342" s="401"/>
      <c r="E342" s="401"/>
      <c r="F342" s="401">
        <f t="shared" ref="F342:G342" si="749">F361</f>
        <v>6.99</v>
      </c>
      <c r="G342" s="118">
        <f t="shared" si="749"/>
        <v>2.9359999999999999</v>
      </c>
      <c r="H342" s="118"/>
      <c r="I342" s="118"/>
      <c r="J342" s="118"/>
      <c r="K342" s="401">
        <f>K361</f>
        <v>2.9359999999999999</v>
      </c>
      <c r="L342" s="118"/>
      <c r="M342" s="118"/>
      <c r="N342" s="118"/>
      <c r="O342" s="118"/>
      <c r="P342" s="401"/>
      <c r="Q342" s="118"/>
      <c r="R342" s="118"/>
      <c r="S342" s="118"/>
      <c r="T342" s="118"/>
      <c r="U342" s="401"/>
      <c r="V342" s="118"/>
      <c r="W342" s="118"/>
      <c r="X342" s="118"/>
      <c r="Y342" s="118"/>
      <c r="Z342" s="401"/>
      <c r="AA342" s="118"/>
      <c r="AB342" s="118"/>
      <c r="AC342" s="118"/>
      <c r="AD342" s="118"/>
      <c r="AE342" s="401"/>
      <c r="AF342" s="118"/>
      <c r="AG342" s="118"/>
      <c r="AH342" s="118"/>
      <c r="AI342" s="118"/>
      <c r="AJ342" s="401"/>
      <c r="AK342" s="118"/>
      <c r="AL342" s="118"/>
      <c r="AM342" s="118"/>
      <c r="AN342" s="118"/>
      <c r="AO342" s="401"/>
      <c r="AP342" s="118"/>
      <c r="AQ342" s="118"/>
      <c r="AR342" s="118"/>
      <c r="AS342" s="118"/>
      <c r="AT342" s="401"/>
      <c r="AU342" s="118"/>
      <c r="AV342" s="118"/>
      <c r="AW342" s="118"/>
      <c r="AX342" s="118"/>
      <c r="AY342" s="401"/>
      <c r="AZ342" s="118"/>
      <c r="BA342" s="118"/>
      <c r="BB342" s="118"/>
      <c r="BC342" s="118"/>
      <c r="BD342" s="401"/>
      <c r="BE342" s="118"/>
      <c r="BF342" s="118"/>
      <c r="BG342" s="118"/>
      <c r="BH342" s="118"/>
      <c r="BI342" s="401"/>
      <c r="BJ342" s="971"/>
      <c r="BK342" s="302">
        <v>0</v>
      </c>
      <c r="BL342" s="302">
        <v>0</v>
      </c>
      <c r="BM342" s="302">
        <v>0</v>
      </c>
      <c r="BN342" s="401">
        <f t="shared" si="744"/>
        <v>0</v>
      </c>
      <c r="BO342" s="302">
        <v>0</v>
      </c>
      <c r="BP342" s="302">
        <v>0</v>
      </c>
      <c r="BQ342" s="302">
        <v>0</v>
      </c>
      <c r="BR342" s="302">
        <v>0</v>
      </c>
      <c r="BS342" s="401">
        <f t="shared" si="745"/>
        <v>0</v>
      </c>
      <c r="BT342" s="403">
        <v>0</v>
      </c>
      <c r="BU342" s="403">
        <v>0</v>
      </c>
      <c r="BV342" s="403">
        <v>0</v>
      </c>
      <c r="BW342" s="118"/>
    </row>
    <row r="343" spans="1:75" s="123" customFormat="1" outlineLevel="1" collapsed="1" x14ac:dyDescent="0.5">
      <c r="A343" s="184" t="s">
        <v>1871</v>
      </c>
      <c r="B343" s="489"/>
      <c r="C343" s="401"/>
      <c r="D343" s="401"/>
      <c r="E343" s="401"/>
      <c r="F343" s="401"/>
      <c r="G343" s="118"/>
      <c r="H343" s="118"/>
      <c r="I343" s="118"/>
      <c r="J343" s="118"/>
      <c r="K343" s="401"/>
      <c r="L343" s="118">
        <f t="shared" ref="L343:BI345" si="750">-L676</f>
        <v>0</v>
      </c>
      <c r="M343" s="118">
        <f t="shared" si="750"/>
        <v>0</v>
      </c>
      <c r="N343" s="118">
        <f t="shared" si="750"/>
        <v>0</v>
      </c>
      <c r="O343" s="118">
        <f t="shared" si="750"/>
        <v>0</v>
      </c>
      <c r="P343" s="401">
        <f t="shared" si="750"/>
        <v>0</v>
      </c>
      <c r="Q343" s="118">
        <f t="shared" si="750"/>
        <v>0</v>
      </c>
      <c r="R343" s="118">
        <f t="shared" si="750"/>
        <v>0</v>
      </c>
      <c r="S343" s="118">
        <f t="shared" si="750"/>
        <v>0</v>
      </c>
      <c r="T343" s="118">
        <f t="shared" si="750"/>
        <v>0</v>
      </c>
      <c r="U343" s="401">
        <f t="shared" si="750"/>
        <v>0</v>
      </c>
      <c r="V343" s="118">
        <f t="shared" si="750"/>
        <v>0</v>
      </c>
      <c r="W343" s="118">
        <f t="shared" si="750"/>
        <v>0</v>
      </c>
      <c r="X343" s="118">
        <f t="shared" si="750"/>
        <v>0</v>
      </c>
      <c r="Y343" s="118">
        <f t="shared" si="750"/>
        <v>0</v>
      </c>
      <c r="Z343" s="401">
        <f t="shared" si="750"/>
        <v>0</v>
      </c>
      <c r="AA343" s="118">
        <f t="shared" si="750"/>
        <v>0</v>
      </c>
      <c r="AB343" s="118">
        <f t="shared" si="750"/>
        <v>0</v>
      </c>
      <c r="AC343" s="118">
        <f t="shared" si="750"/>
        <v>0</v>
      </c>
      <c r="AD343" s="118">
        <f t="shared" si="750"/>
        <v>0</v>
      </c>
      <c r="AE343" s="401">
        <f t="shared" si="750"/>
        <v>0</v>
      </c>
      <c r="AF343" s="118">
        <f t="shared" si="750"/>
        <v>0</v>
      </c>
      <c r="AG343" s="118">
        <f t="shared" si="750"/>
        <v>4.5780000000000003</v>
      </c>
      <c r="AH343" s="118">
        <f t="shared" si="750"/>
        <v>0.93700000000000006</v>
      </c>
      <c r="AI343" s="118">
        <f t="shared" si="750"/>
        <v>5.9950000000000001</v>
      </c>
      <c r="AJ343" s="401">
        <f t="shared" si="750"/>
        <v>11.51</v>
      </c>
      <c r="AK343" s="118">
        <f t="shared" si="750"/>
        <v>0</v>
      </c>
      <c r="AL343" s="118">
        <f t="shared" si="750"/>
        <v>0</v>
      </c>
      <c r="AM343" s="118">
        <f t="shared" si="750"/>
        <v>0</v>
      </c>
      <c r="AN343" s="118">
        <f t="shared" si="750"/>
        <v>0</v>
      </c>
      <c r="AO343" s="401">
        <f t="shared" si="750"/>
        <v>0</v>
      </c>
      <c r="AP343" s="118">
        <f t="shared" si="750"/>
        <v>0</v>
      </c>
      <c r="AQ343" s="118">
        <f t="shared" si="750"/>
        <v>0</v>
      </c>
      <c r="AR343" s="118">
        <f t="shared" si="750"/>
        <v>0</v>
      </c>
      <c r="AS343" s="118">
        <f t="shared" si="750"/>
        <v>0</v>
      </c>
      <c r="AT343" s="401">
        <f t="shared" si="750"/>
        <v>0</v>
      </c>
      <c r="AU343" s="118">
        <f t="shared" si="750"/>
        <v>0</v>
      </c>
      <c r="AV343" s="118">
        <f t="shared" si="750"/>
        <v>0</v>
      </c>
      <c r="AW343" s="118">
        <f t="shared" si="750"/>
        <v>0</v>
      </c>
      <c r="AX343" s="118">
        <f t="shared" si="750"/>
        <v>0</v>
      </c>
      <c r="AY343" s="401">
        <f t="shared" si="750"/>
        <v>0</v>
      </c>
      <c r="AZ343" s="118">
        <f t="shared" si="750"/>
        <v>0</v>
      </c>
      <c r="BA343" s="118">
        <f t="shared" si="750"/>
        <v>0</v>
      </c>
      <c r="BB343" s="118">
        <f t="shared" si="750"/>
        <v>0</v>
      </c>
      <c r="BC343" s="118">
        <f t="shared" si="750"/>
        <v>17.687000000000001</v>
      </c>
      <c r="BD343" s="401">
        <f t="shared" si="750"/>
        <v>17.687000000000001</v>
      </c>
      <c r="BE343" s="118">
        <f t="shared" si="750"/>
        <v>0</v>
      </c>
      <c r="BF343" s="118">
        <f t="shared" si="750"/>
        <v>0</v>
      </c>
      <c r="BG343" s="118">
        <f t="shared" si="750"/>
        <v>0</v>
      </c>
      <c r="BH343" s="118">
        <f t="shared" si="750"/>
        <v>0</v>
      </c>
      <c r="BI343" s="401">
        <f t="shared" si="750"/>
        <v>0</v>
      </c>
      <c r="BJ343" s="971">
        <f>-BJ676</f>
        <v>0</v>
      </c>
      <c r="BK343" s="302">
        <v>0</v>
      </c>
      <c r="BL343" s="302">
        <v>0</v>
      </c>
      <c r="BM343" s="302">
        <v>0</v>
      </c>
      <c r="BN343" s="401">
        <f t="shared" si="744"/>
        <v>0</v>
      </c>
      <c r="BO343" s="302">
        <v>0</v>
      </c>
      <c r="BP343" s="302">
        <v>0</v>
      </c>
      <c r="BQ343" s="302">
        <v>0</v>
      </c>
      <c r="BR343" s="302">
        <v>0</v>
      </c>
      <c r="BS343" s="401">
        <f t="shared" si="745"/>
        <v>0</v>
      </c>
      <c r="BT343" s="403">
        <v>0</v>
      </c>
      <c r="BU343" s="403">
        <v>0</v>
      </c>
      <c r="BV343" s="403">
        <v>0</v>
      </c>
      <c r="BW343" s="118"/>
    </row>
    <row r="344" spans="1:75" s="123" customFormat="1" outlineLevel="1" collapsed="1" x14ac:dyDescent="0.5">
      <c r="A344" s="184" t="s">
        <v>1872</v>
      </c>
      <c r="B344" s="489"/>
      <c r="C344" s="401"/>
      <c r="D344" s="401"/>
      <c r="E344" s="401"/>
      <c r="F344" s="401"/>
      <c r="G344" s="118"/>
      <c r="H344" s="118"/>
      <c r="I344" s="118"/>
      <c r="J344" s="118"/>
      <c r="K344" s="401"/>
      <c r="L344" s="118">
        <f t="shared" si="750"/>
        <v>0</v>
      </c>
      <c r="M344" s="118">
        <f t="shared" si="750"/>
        <v>0</v>
      </c>
      <c r="N344" s="118">
        <f t="shared" si="750"/>
        <v>0</v>
      </c>
      <c r="O344" s="118">
        <f t="shared" si="750"/>
        <v>0</v>
      </c>
      <c r="P344" s="401">
        <f t="shared" si="750"/>
        <v>0</v>
      </c>
      <c r="Q344" s="118">
        <f t="shared" si="750"/>
        <v>0</v>
      </c>
      <c r="R344" s="118">
        <f t="shared" si="750"/>
        <v>0</v>
      </c>
      <c r="S344" s="118">
        <f t="shared" si="750"/>
        <v>0</v>
      </c>
      <c r="T344" s="118">
        <f t="shared" si="750"/>
        <v>0</v>
      </c>
      <c r="U344" s="401">
        <f t="shared" si="750"/>
        <v>0</v>
      </c>
      <c r="V344" s="118">
        <f t="shared" si="750"/>
        <v>0</v>
      </c>
      <c r="W344" s="118">
        <f t="shared" si="750"/>
        <v>0</v>
      </c>
      <c r="X344" s="118">
        <f t="shared" si="750"/>
        <v>0</v>
      </c>
      <c r="Y344" s="118">
        <f t="shared" si="750"/>
        <v>0</v>
      </c>
      <c r="Z344" s="401">
        <f t="shared" si="750"/>
        <v>0</v>
      </c>
      <c r="AA344" s="118">
        <f t="shared" si="750"/>
        <v>0</v>
      </c>
      <c r="AB344" s="118">
        <f t="shared" si="750"/>
        <v>0</v>
      </c>
      <c r="AC344" s="118">
        <f t="shared" si="750"/>
        <v>0</v>
      </c>
      <c r="AD344" s="118">
        <f t="shared" si="750"/>
        <v>0</v>
      </c>
      <c r="AE344" s="401">
        <f t="shared" si="750"/>
        <v>0</v>
      </c>
      <c r="AF344" s="118">
        <f t="shared" si="750"/>
        <v>0</v>
      </c>
      <c r="AG344" s="118">
        <f t="shared" si="750"/>
        <v>0</v>
      </c>
      <c r="AH344" s="118">
        <f t="shared" si="750"/>
        <v>0</v>
      </c>
      <c r="AI344" s="118">
        <f t="shared" si="750"/>
        <v>0.26900000000000002</v>
      </c>
      <c r="AJ344" s="401">
        <f t="shared" si="750"/>
        <v>0.26900000000000002</v>
      </c>
      <c r="AK344" s="118">
        <f t="shared" si="750"/>
        <v>0</v>
      </c>
      <c r="AL344" s="118">
        <f t="shared" si="750"/>
        <v>0</v>
      </c>
      <c r="AM344" s="118">
        <f t="shared" si="750"/>
        <v>0</v>
      </c>
      <c r="AN344" s="118">
        <f t="shared" si="750"/>
        <v>0</v>
      </c>
      <c r="AO344" s="401">
        <f t="shared" si="750"/>
        <v>0</v>
      </c>
      <c r="AP344" s="118">
        <f t="shared" si="750"/>
        <v>0</v>
      </c>
      <c r="AQ344" s="118">
        <f t="shared" si="750"/>
        <v>0</v>
      </c>
      <c r="AR344" s="118">
        <f t="shared" si="750"/>
        <v>0</v>
      </c>
      <c r="AS344" s="118">
        <f t="shared" si="750"/>
        <v>0</v>
      </c>
      <c r="AT344" s="401">
        <f t="shared" si="750"/>
        <v>0</v>
      </c>
      <c r="AU344" s="118">
        <f t="shared" si="750"/>
        <v>0</v>
      </c>
      <c r="AV344" s="118">
        <f t="shared" si="750"/>
        <v>0</v>
      </c>
      <c r="AW344" s="118">
        <f t="shared" si="750"/>
        <v>0</v>
      </c>
      <c r="AX344" s="118">
        <f t="shared" si="750"/>
        <v>0</v>
      </c>
      <c r="AY344" s="401">
        <f t="shared" si="750"/>
        <v>0</v>
      </c>
      <c r="AZ344" s="118">
        <f t="shared" si="750"/>
        <v>0</v>
      </c>
      <c r="BA344" s="118">
        <f t="shared" si="750"/>
        <v>0</v>
      </c>
      <c r="BB344" s="118">
        <f t="shared" si="750"/>
        <v>0</v>
      </c>
      <c r="BC344" s="118">
        <f t="shared" si="750"/>
        <v>0</v>
      </c>
      <c r="BD344" s="401">
        <f t="shared" si="750"/>
        <v>0</v>
      </c>
      <c r="BE344" s="118">
        <f t="shared" si="750"/>
        <v>0</v>
      </c>
      <c r="BF344" s="118">
        <f t="shared" si="750"/>
        <v>0</v>
      </c>
      <c r="BG344" s="118">
        <f t="shared" si="750"/>
        <v>0</v>
      </c>
      <c r="BH344" s="118">
        <f t="shared" si="750"/>
        <v>0</v>
      </c>
      <c r="BI344" s="401">
        <f t="shared" si="750"/>
        <v>0</v>
      </c>
      <c r="BJ344" s="971">
        <f>-BJ677</f>
        <v>0</v>
      </c>
      <c r="BK344" s="302">
        <v>0</v>
      </c>
      <c r="BL344" s="302">
        <v>0</v>
      </c>
      <c r="BM344" s="302">
        <v>0</v>
      </c>
      <c r="BN344" s="401">
        <f t="shared" si="744"/>
        <v>0</v>
      </c>
      <c r="BO344" s="302">
        <v>0</v>
      </c>
      <c r="BP344" s="302">
        <v>0</v>
      </c>
      <c r="BQ344" s="302">
        <v>0</v>
      </c>
      <c r="BR344" s="302">
        <v>0</v>
      </c>
      <c r="BS344" s="401">
        <f t="shared" si="745"/>
        <v>0</v>
      </c>
      <c r="BT344" s="403">
        <v>0</v>
      </c>
      <c r="BU344" s="403">
        <v>0</v>
      </c>
      <c r="BV344" s="403">
        <v>0</v>
      </c>
      <c r="BW344" s="118"/>
    </row>
    <row r="345" spans="1:75" s="123" customFormat="1" outlineLevel="1" collapsed="1" x14ac:dyDescent="0.5">
      <c r="A345" s="445" t="s">
        <v>1873</v>
      </c>
      <c r="B345" s="486"/>
      <c r="C345" s="406"/>
      <c r="D345" s="406"/>
      <c r="E345" s="406"/>
      <c r="F345" s="406"/>
      <c r="G345" s="723"/>
      <c r="H345" s="723"/>
      <c r="I345" s="723"/>
      <c r="J345" s="723"/>
      <c r="K345" s="406"/>
      <c r="L345" s="723">
        <f t="shared" si="750"/>
        <v>0</v>
      </c>
      <c r="M345" s="723">
        <f t="shared" si="750"/>
        <v>0</v>
      </c>
      <c r="N345" s="723">
        <f t="shared" si="750"/>
        <v>0</v>
      </c>
      <c r="O345" s="723">
        <f t="shared" si="750"/>
        <v>0</v>
      </c>
      <c r="P345" s="406">
        <f t="shared" si="750"/>
        <v>0</v>
      </c>
      <c r="Q345" s="723">
        <f t="shared" si="750"/>
        <v>0</v>
      </c>
      <c r="R345" s="723">
        <f t="shared" si="750"/>
        <v>0</v>
      </c>
      <c r="S345" s="723">
        <f t="shared" si="750"/>
        <v>0</v>
      </c>
      <c r="T345" s="723">
        <f t="shared" si="750"/>
        <v>0</v>
      </c>
      <c r="U345" s="406">
        <f t="shared" si="750"/>
        <v>0</v>
      </c>
      <c r="V345" s="723">
        <f t="shared" si="750"/>
        <v>0</v>
      </c>
      <c r="W345" s="723">
        <f t="shared" si="750"/>
        <v>0</v>
      </c>
      <c r="X345" s="723">
        <f t="shared" si="750"/>
        <v>0</v>
      </c>
      <c r="Y345" s="723">
        <f t="shared" si="750"/>
        <v>0</v>
      </c>
      <c r="Z345" s="406">
        <f t="shared" si="750"/>
        <v>0</v>
      </c>
      <c r="AA345" s="723">
        <f t="shared" si="750"/>
        <v>0</v>
      </c>
      <c r="AB345" s="723">
        <f t="shared" si="750"/>
        <v>0</v>
      </c>
      <c r="AC345" s="723">
        <f t="shared" si="750"/>
        <v>0</v>
      </c>
      <c r="AD345" s="723">
        <f t="shared" si="750"/>
        <v>0</v>
      </c>
      <c r="AE345" s="406">
        <f t="shared" si="750"/>
        <v>0</v>
      </c>
      <c r="AF345" s="723">
        <f t="shared" si="750"/>
        <v>0</v>
      </c>
      <c r="AG345" s="723">
        <f t="shared" si="750"/>
        <v>0</v>
      </c>
      <c r="AH345" s="723">
        <f t="shared" si="750"/>
        <v>0</v>
      </c>
      <c r="AI345" s="723">
        <f t="shared" si="750"/>
        <v>0</v>
      </c>
      <c r="AJ345" s="406">
        <f t="shared" si="750"/>
        <v>0</v>
      </c>
      <c r="AK345" s="723">
        <f t="shared" si="750"/>
        <v>0</v>
      </c>
      <c r="AL345" s="723">
        <f t="shared" si="750"/>
        <v>0</v>
      </c>
      <c r="AM345" s="723">
        <f t="shared" si="750"/>
        <v>0</v>
      </c>
      <c r="AN345" s="723">
        <f t="shared" si="750"/>
        <v>0</v>
      </c>
      <c r="AO345" s="406">
        <f t="shared" si="750"/>
        <v>0</v>
      </c>
      <c r="AP345" s="723">
        <f t="shared" si="750"/>
        <v>15.62</v>
      </c>
      <c r="AQ345" s="723">
        <f t="shared" si="750"/>
        <v>6.3550000000000004</v>
      </c>
      <c r="AR345" s="723">
        <f t="shared" si="750"/>
        <v>0</v>
      </c>
      <c r="AS345" s="723">
        <f t="shared" si="750"/>
        <v>5.0940000000000003</v>
      </c>
      <c r="AT345" s="406">
        <f t="shared" si="750"/>
        <v>27.068999999999999</v>
      </c>
      <c r="AU345" s="723">
        <f t="shared" si="750"/>
        <v>0</v>
      </c>
      <c r="AV345" s="723">
        <f t="shared" si="750"/>
        <v>0</v>
      </c>
      <c r="AW345" s="723">
        <f t="shared" si="750"/>
        <v>0</v>
      </c>
      <c r="AX345" s="723">
        <f t="shared" si="750"/>
        <v>0</v>
      </c>
      <c r="AY345" s="406">
        <f t="shared" si="750"/>
        <v>0</v>
      </c>
      <c r="AZ345" s="723">
        <f t="shared" si="750"/>
        <v>0</v>
      </c>
      <c r="BA345" s="723">
        <f t="shared" si="750"/>
        <v>0</v>
      </c>
      <c r="BB345" s="723">
        <f>-BB678</f>
        <v>0</v>
      </c>
      <c r="BC345" s="723">
        <f t="shared" si="750"/>
        <v>0</v>
      </c>
      <c r="BD345" s="406">
        <f t="shared" si="750"/>
        <v>0</v>
      </c>
      <c r="BE345" s="723">
        <f t="shared" si="750"/>
        <v>0</v>
      </c>
      <c r="BF345" s="723">
        <f t="shared" si="750"/>
        <v>0</v>
      </c>
      <c r="BG345" s="723">
        <f t="shared" si="750"/>
        <v>0</v>
      </c>
      <c r="BH345" s="723">
        <f t="shared" si="750"/>
        <v>0</v>
      </c>
      <c r="BI345" s="406">
        <f t="shared" si="750"/>
        <v>0</v>
      </c>
      <c r="BJ345" s="1049">
        <f>-BJ678</f>
        <v>0</v>
      </c>
      <c r="BK345" s="357">
        <v>0</v>
      </c>
      <c r="BL345" s="357">
        <v>0</v>
      </c>
      <c r="BM345" s="357">
        <v>0</v>
      </c>
      <c r="BN345" s="406">
        <f t="shared" si="744"/>
        <v>0</v>
      </c>
      <c r="BO345" s="357">
        <v>0</v>
      </c>
      <c r="BP345" s="357">
        <v>0</v>
      </c>
      <c r="BQ345" s="357">
        <v>0</v>
      </c>
      <c r="BR345" s="357">
        <v>0</v>
      </c>
      <c r="BS345" s="406">
        <f t="shared" si="745"/>
        <v>0</v>
      </c>
      <c r="BT345" s="408">
        <v>0</v>
      </c>
      <c r="BU345" s="408">
        <v>0</v>
      </c>
      <c r="BV345" s="408">
        <v>0</v>
      </c>
      <c r="BW345" s="118"/>
    </row>
    <row r="346" spans="1:75" s="123" customFormat="1" x14ac:dyDescent="0.5">
      <c r="A346" s="206" t="s">
        <v>740</v>
      </c>
      <c r="B346" s="485"/>
      <c r="C346" s="397">
        <f t="shared" ref="C346:AH346" si="751">C334-SUM(C335:C345)</f>
        <v>941.09100000000001</v>
      </c>
      <c r="D346" s="397">
        <f t="shared" si="751"/>
        <v>1029.0039999999999</v>
      </c>
      <c r="E346" s="397">
        <f t="shared" si="751"/>
        <v>1075.124</v>
      </c>
      <c r="F346" s="397">
        <f t="shared" si="751"/>
        <v>1176.3230000000001</v>
      </c>
      <c r="G346" s="295">
        <f t="shared" si="751"/>
        <v>267.46600000000001</v>
      </c>
      <c r="H346" s="295">
        <f t="shared" si="751"/>
        <v>290.83800000000002</v>
      </c>
      <c r="I346" s="295">
        <f t="shared" si="751"/>
        <v>312.89400000000001</v>
      </c>
      <c r="J346" s="295">
        <f t="shared" si="751"/>
        <v>377.98399999999998</v>
      </c>
      <c r="K346" s="397">
        <f t="shared" si="751"/>
        <v>1249.182</v>
      </c>
      <c r="L346" s="295">
        <f t="shared" si="751"/>
        <v>294.08199999999999</v>
      </c>
      <c r="M346" s="295">
        <f t="shared" si="751"/>
        <v>296.762</v>
      </c>
      <c r="N346" s="295">
        <f t="shared" si="751"/>
        <v>326.68700000000001</v>
      </c>
      <c r="O346" s="295">
        <f t="shared" si="751"/>
        <v>388.12200000000001</v>
      </c>
      <c r="P346" s="397">
        <f t="shared" si="751"/>
        <v>1305.653</v>
      </c>
      <c r="Q346" s="295">
        <f t="shared" si="751"/>
        <v>306.91300000000001</v>
      </c>
      <c r="R346" s="295">
        <f t="shared" si="751"/>
        <v>323.28199999999998</v>
      </c>
      <c r="S346" s="295">
        <f t="shared" si="751"/>
        <v>340.505</v>
      </c>
      <c r="T346" s="295">
        <f t="shared" si="751"/>
        <v>384.88</v>
      </c>
      <c r="U346" s="397">
        <f t="shared" si="751"/>
        <v>1355.58</v>
      </c>
      <c r="V346" s="295">
        <f t="shared" si="751"/>
        <v>315.77100000000002</v>
      </c>
      <c r="W346" s="295">
        <f t="shared" si="751"/>
        <v>327.26299999999998</v>
      </c>
      <c r="X346" s="295">
        <f t="shared" si="751"/>
        <v>347.05900000000003</v>
      </c>
      <c r="Y346" s="295">
        <f t="shared" si="751"/>
        <v>406.21199999999999</v>
      </c>
      <c r="Z346" s="397">
        <f t="shared" si="751"/>
        <v>1396.3050000000001</v>
      </c>
      <c r="AA346" s="295">
        <f t="shared" si="751"/>
        <v>327.58100000000002</v>
      </c>
      <c r="AB346" s="295">
        <f t="shared" si="751"/>
        <v>341.12700000000001</v>
      </c>
      <c r="AC346" s="295">
        <f t="shared" si="751"/>
        <v>356.25400000000002</v>
      </c>
      <c r="AD346" s="295">
        <f t="shared" si="751"/>
        <v>438.46699999999998</v>
      </c>
      <c r="AE346" s="397">
        <f t="shared" si="751"/>
        <v>1463.4290000000001</v>
      </c>
      <c r="AF346" s="295">
        <f t="shared" si="751"/>
        <v>357.56799999999998</v>
      </c>
      <c r="AG346" s="295">
        <f t="shared" si="751"/>
        <v>378.60399999999998</v>
      </c>
      <c r="AH346" s="295">
        <f t="shared" si="751"/>
        <v>391.666</v>
      </c>
      <c r="AI346" s="295">
        <f t="shared" ref="AI346:BB346" si="752">AI334-SUM(AI335:AI345)</f>
        <v>493.34499999999991</v>
      </c>
      <c r="AJ346" s="397">
        <f t="shared" si="752"/>
        <v>1621.183</v>
      </c>
      <c r="AK346" s="295">
        <f t="shared" si="752"/>
        <v>357.82600000000002</v>
      </c>
      <c r="AL346" s="295">
        <f t="shared" si="752"/>
        <v>390.72200000000004</v>
      </c>
      <c r="AM346" s="295">
        <f t="shared" si="752"/>
        <v>409.02199999999999</v>
      </c>
      <c r="AN346" s="295">
        <f t="shared" si="752"/>
        <v>480.21200000000016</v>
      </c>
      <c r="AO346" s="397">
        <f t="shared" si="752"/>
        <v>1637.7820000000002</v>
      </c>
      <c r="AP346" s="295">
        <f t="shared" si="752"/>
        <v>346.637</v>
      </c>
      <c r="AQ346" s="295">
        <f t="shared" si="752"/>
        <v>356.14499999999998</v>
      </c>
      <c r="AR346" s="295">
        <f t="shared" si="752"/>
        <v>428.76</v>
      </c>
      <c r="AS346" s="295">
        <f t="shared" si="752"/>
        <v>554.86899999999991</v>
      </c>
      <c r="AT346" s="397">
        <f t="shared" si="752"/>
        <v>1686.4109999999998</v>
      </c>
      <c r="AU346" s="295">
        <f t="shared" si="752"/>
        <v>474.83699999999999</v>
      </c>
      <c r="AV346" s="295">
        <f t="shared" si="752"/>
        <v>532.53100000000006</v>
      </c>
      <c r="AW346" s="295">
        <f t="shared" si="752"/>
        <v>562.46600000000001</v>
      </c>
      <c r="AX346" s="295">
        <f t="shared" si="752"/>
        <v>599.85300000000041</v>
      </c>
      <c r="AY346" s="397">
        <f t="shared" si="752"/>
        <v>2169.6870000000004</v>
      </c>
      <c r="AZ346" s="295">
        <f t="shared" si="752"/>
        <v>505.06700000000001</v>
      </c>
      <c r="BA346" s="295">
        <f t="shared" si="752"/>
        <v>563.28800000000001</v>
      </c>
      <c r="BB346" s="295">
        <f t="shared" si="752"/>
        <v>570.89300000000003</v>
      </c>
      <c r="BC346" s="295">
        <f t="shared" ref="BC346:BI346" si="753">BC334-SUM(BC335:BC345)</f>
        <v>522.37600000000009</v>
      </c>
      <c r="BD346" s="397">
        <f t="shared" si="753"/>
        <v>2161.6240000000003</v>
      </c>
      <c r="BE346" s="295">
        <f t="shared" si="753"/>
        <v>451.476</v>
      </c>
      <c r="BF346" s="295">
        <f t="shared" si="753"/>
        <v>486.01900000000001</v>
      </c>
      <c r="BG346" s="295">
        <f t="shared" si="753"/>
        <v>507.28300000000002</v>
      </c>
      <c r="BH346" s="295">
        <f t="shared" si="753"/>
        <v>590.52399999999989</v>
      </c>
      <c r="BI346" s="397">
        <f t="shared" si="753"/>
        <v>2035.3019999999999</v>
      </c>
      <c r="BJ346" s="1030">
        <f>BJ334-SUM(BJ335:BJ345)</f>
        <v>478.68700000000001</v>
      </c>
      <c r="BK346" s="295">
        <f>BK349*BK305</f>
        <v>519.40994741790178</v>
      </c>
      <c r="BL346" s="295">
        <f>BL349*BL305</f>
        <v>528.59588370509562</v>
      </c>
      <c r="BM346" s="295">
        <f>BM349*BM305</f>
        <v>641.50644551205244</v>
      </c>
      <c r="BN346" s="397">
        <f>BN334-SUM(BN335:BN345)</f>
        <v>2168.19927663505</v>
      </c>
      <c r="BO346" s="295">
        <f>BO349*BO305</f>
        <v>532.41546725034345</v>
      </c>
      <c r="BP346" s="295">
        <f>BP349*BP305</f>
        <v>552.82518457242111</v>
      </c>
      <c r="BQ346" s="295">
        <f>BQ349*BQ305</f>
        <v>548.64184313160001</v>
      </c>
      <c r="BR346" s="295">
        <f>BR349*BR305</f>
        <v>640.98441892828578</v>
      </c>
      <c r="BS346" s="397">
        <f>BS334-SUM(BS335:BS345)</f>
        <v>2274.8669138826504</v>
      </c>
      <c r="BT346" s="397">
        <f>BT349*BT305</f>
        <v>2447.3236175620686</v>
      </c>
      <c r="BU346" s="397">
        <f>BU349*BU305</f>
        <v>2650.276905212595</v>
      </c>
      <c r="BV346" s="397">
        <f>BV349*BV305</f>
        <v>2870.159815951055</v>
      </c>
      <c r="BW346" s="118"/>
    </row>
    <row r="347" spans="1:75" s="123" customFormat="1" collapsed="1" x14ac:dyDescent="0.5">
      <c r="A347" s="199" t="s">
        <v>741</v>
      </c>
      <c r="B347" s="490"/>
      <c r="C347" s="414"/>
      <c r="D347" s="414">
        <f>D346-C346</f>
        <v>87.912999999999897</v>
      </c>
      <c r="E347" s="414">
        <f>E346-D346</f>
        <v>46.120000000000118</v>
      </c>
      <c r="F347" s="414">
        <f>F346-E346</f>
        <v>101.19900000000007</v>
      </c>
      <c r="G347" s="413"/>
      <c r="H347" s="413"/>
      <c r="I347" s="413"/>
      <c r="J347" s="413"/>
      <c r="K347" s="414">
        <f t="shared" ref="K347:BS347" si="754">K346-F346</f>
        <v>72.858999999999924</v>
      </c>
      <c r="L347" s="413">
        <f t="shared" si="754"/>
        <v>26.615999999999985</v>
      </c>
      <c r="M347" s="413">
        <f t="shared" si="754"/>
        <v>5.9239999999999782</v>
      </c>
      <c r="N347" s="413">
        <f t="shared" si="754"/>
        <v>13.793000000000006</v>
      </c>
      <c r="O347" s="413">
        <f t="shared" si="754"/>
        <v>10.138000000000034</v>
      </c>
      <c r="P347" s="414">
        <f t="shared" si="754"/>
        <v>56.471000000000004</v>
      </c>
      <c r="Q347" s="413">
        <f t="shared" si="754"/>
        <v>12.831000000000017</v>
      </c>
      <c r="R347" s="413">
        <f t="shared" si="754"/>
        <v>26.519999999999982</v>
      </c>
      <c r="S347" s="413">
        <f t="shared" si="754"/>
        <v>13.817999999999984</v>
      </c>
      <c r="T347" s="413">
        <f t="shared" si="754"/>
        <v>-3.2420000000000186</v>
      </c>
      <c r="U347" s="414">
        <f t="shared" si="754"/>
        <v>49.926999999999907</v>
      </c>
      <c r="V347" s="413">
        <f t="shared" si="754"/>
        <v>8.8580000000000041</v>
      </c>
      <c r="W347" s="413">
        <f t="shared" si="754"/>
        <v>3.9809999999999945</v>
      </c>
      <c r="X347" s="413">
        <f t="shared" si="754"/>
        <v>6.5540000000000305</v>
      </c>
      <c r="Y347" s="413">
        <f t="shared" si="754"/>
        <v>21.331999999999994</v>
      </c>
      <c r="Z347" s="414">
        <f t="shared" si="754"/>
        <v>40.725000000000136</v>
      </c>
      <c r="AA347" s="413">
        <f t="shared" si="754"/>
        <v>11.810000000000002</v>
      </c>
      <c r="AB347" s="413">
        <f t="shared" si="754"/>
        <v>13.864000000000033</v>
      </c>
      <c r="AC347" s="413">
        <f t="shared" si="754"/>
        <v>9.1949999999999932</v>
      </c>
      <c r="AD347" s="413">
        <f t="shared" si="754"/>
        <v>32.254999999999995</v>
      </c>
      <c r="AE347" s="414">
        <f t="shared" si="754"/>
        <v>67.124000000000024</v>
      </c>
      <c r="AF347" s="413">
        <f t="shared" si="754"/>
        <v>29.986999999999966</v>
      </c>
      <c r="AG347" s="413">
        <f t="shared" si="754"/>
        <v>37.476999999999975</v>
      </c>
      <c r="AH347" s="413">
        <f t="shared" si="754"/>
        <v>35.411999999999978</v>
      </c>
      <c r="AI347" s="413">
        <f t="shared" si="754"/>
        <v>54.877999999999929</v>
      </c>
      <c r="AJ347" s="414">
        <f t="shared" si="754"/>
        <v>157.75399999999991</v>
      </c>
      <c r="AK347" s="413">
        <f t="shared" si="754"/>
        <v>0.2580000000000382</v>
      </c>
      <c r="AL347" s="413">
        <f t="shared" si="754"/>
        <v>12.118000000000052</v>
      </c>
      <c r="AM347" s="413">
        <f t="shared" si="754"/>
        <v>17.355999999999995</v>
      </c>
      <c r="AN347" s="413">
        <f t="shared" si="754"/>
        <v>-13.132999999999754</v>
      </c>
      <c r="AO347" s="414">
        <f t="shared" si="754"/>
        <v>16.59900000000016</v>
      </c>
      <c r="AP347" s="413">
        <f t="shared" si="754"/>
        <v>-11.189000000000021</v>
      </c>
      <c r="AQ347" s="413">
        <f t="shared" si="754"/>
        <v>-34.577000000000055</v>
      </c>
      <c r="AR347" s="413">
        <f t="shared" si="754"/>
        <v>19.738</v>
      </c>
      <c r="AS347" s="413">
        <f t="shared" si="754"/>
        <v>74.656999999999755</v>
      </c>
      <c r="AT347" s="414">
        <f t="shared" si="754"/>
        <v>48.628999999999678</v>
      </c>
      <c r="AU347" s="413">
        <f t="shared" si="754"/>
        <v>128.19999999999999</v>
      </c>
      <c r="AV347" s="413">
        <f t="shared" si="754"/>
        <v>176.38600000000008</v>
      </c>
      <c r="AW347" s="413">
        <f t="shared" si="754"/>
        <v>133.70600000000002</v>
      </c>
      <c r="AX347" s="413">
        <f t="shared" si="754"/>
        <v>44.984000000000492</v>
      </c>
      <c r="AY347" s="414">
        <f t="shared" si="754"/>
        <v>483.27600000000052</v>
      </c>
      <c r="AZ347" s="413">
        <f t="shared" si="754"/>
        <v>30.230000000000018</v>
      </c>
      <c r="BA347" s="413">
        <f t="shared" si="754"/>
        <v>30.756999999999948</v>
      </c>
      <c r="BB347" s="413">
        <f t="shared" si="754"/>
        <v>8.4270000000000209</v>
      </c>
      <c r="BC347" s="413">
        <f t="shared" si="754"/>
        <v>-77.477000000000317</v>
      </c>
      <c r="BD347" s="414">
        <f t="shared" si="754"/>
        <v>-8.0630000000001019</v>
      </c>
      <c r="BE347" s="413">
        <f t="shared" si="754"/>
        <v>-53.591000000000008</v>
      </c>
      <c r="BF347" s="413">
        <f t="shared" si="754"/>
        <v>-77.269000000000005</v>
      </c>
      <c r="BG347" s="413">
        <f t="shared" si="754"/>
        <v>-63.610000000000014</v>
      </c>
      <c r="BH347" s="413">
        <f t="shared" si="754"/>
        <v>68.147999999999797</v>
      </c>
      <c r="BI347" s="414">
        <f t="shared" si="754"/>
        <v>-126.32200000000034</v>
      </c>
      <c r="BJ347" s="1216">
        <f>BJ346-BE346</f>
        <v>27.211000000000013</v>
      </c>
      <c r="BK347" s="413">
        <f t="shared" si="754"/>
        <v>33.390947417901771</v>
      </c>
      <c r="BL347" s="413">
        <f t="shared" si="754"/>
        <v>21.312883705095601</v>
      </c>
      <c r="BM347" s="413">
        <f t="shared" si="754"/>
        <v>50.98244551205255</v>
      </c>
      <c r="BN347" s="414">
        <f t="shared" si="754"/>
        <v>132.89727663505005</v>
      </c>
      <c r="BO347" s="413">
        <f t="shared" si="754"/>
        <v>53.728467250343442</v>
      </c>
      <c r="BP347" s="413">
        <f t="shared" si="754"/>
        <v>33.415237154519332</v>
      </c>
      <c r="BQ347" s="413">
        <f t="shared" si="754"/>
        <v>20.045959426504396</v>
      </c>
      <c r="BR347" s="413">
        <f t="shared" si="754"/>
        <v>-0.52202658376666022</v>
      </c>
      <c r="BS347" s="414">
        <f t="shared" si="754"/>
        <v>106.6676372476004</v>
      </c>
      <c r="BT347" s="414">
        <f>BT346-BS346</f>
        <v>172.4567036794183</v>
      </c>
      <c r="BU347" s="414">
        <f>BU346-BT346</f>
        <v>202.95328765052636</v>
      </c>
      <c r="BV347" s="414">
        <f>BV346-BU346</f>
        <v>219.88291073845994</v>
      </c>
      <c r="BW347" s="118"/>
    </row>
    <row r="348" spans="1:75" s="123" customFormat="1" collapsed="1" x14ac:dyDescent="0.5">
      <c r="A348" s="170" t="s">
        <v>742</v>
      </c>
      <c r="B348" s="491"/>
      <c r="C348" s="417"/>
      <c r="D348" s="417">
        <f>D346/C346-1</f>
        <v>9.341604584466312E-2</v>
      </c>
      <c r="E348" s="417">
        <f>E346/D346-1</f>
        <v>4.4820039572246673E-2</v>
      </c>
      <c r="F348" s="417">
        <f>F346/E346-1</f>
        <v>9.4127747124982841E-2</v>
      </c>
      <c r="G348" s="378"/>
      <c r="H348" s="378"/>
      <c r="I348" s="378"/>
      <c r="J348" s="378"/>
      <c r="K348" s="417">
        <f t="shared" ref="K348:BS348" si="755">K346/F346-1</f>
        <v>6.1937920112077993E-2</v>
      </c>
      <c r="L348" s="378">
        <f t="shared" si="755"/>
        <v>9.951171363836897E-2</v>
      </c>
      <c r="M348" s="378">
        <f t="shared" si="755"/>
        <v>2.0368727607809056E-2</v>
      </c>
      <c r="N348" s="378">
        <f t="shared" si="755"/>
        <v>4.4082021387434667E-2</v>
      </c>
      <c r="O348" s="378">
        <f t="shared" si="755"/>
        <v>2.6821241110734917E-2</v>
      </c>
      <c r="P348" s="417">
        <f t="shared" si="755"/>
        <v>4.5206383057072586E-2</v>
      </c>
      <c r="Q348" s="378">
        <f t="shared" si="755"/>
        <v>4.3630688039390408E-2</v>
      </c>
      <c r="R348" s="378">
        <f t="shared" si="755"/>
        <v>8.9364541282239474E-2</v>
      </c>
      <c r="S348" s="378">
        <f t="shared" si="755"/>
        <v>4.2297367204694458E-2</v>
      </c>
      <c r="T348" s="378">
        <f t="shared" si="755"/>
        <v>-8.3530436306110678E-3</v>
      </c>
      <c r="U348" s="417">
        <f t="shared" si="755"/>
        <v>3.8239103345222514E-2</v>
      </c>
      <c r="V348" s="378">
        <f t="shared" si="755"/>
        <v>2.886159921541287E-2</v>
      </c>
      <c r="W348" s="378">
        <f t="shared" si="755"/>
        <v>1.2314326191993352E-2</v>
      </c>
      <c r="X348" s="378">
        <f t="shared" si="755"/>
        <v>1.9247881822587187E-2</v>
      </c>
      <c r="Y348" s="378">
        <f t="shared" si="755"/>
        <v>5.5425067553523055E-2</v>
      </c>
      <c r="Z348" s="417">
        <f t="shared" si="755"/>
        <v>3.0042491037046926E-2</v>
      </c>
      <c r="AA348" s="378">
        <f t="shared" si="755"/>
        <v>3.7400521263827313E-2</v>
      </c>
      <c r="AB348" s="378">
        <f t="shared" si="755"/>
        <v>4.2363481359029453E-2</v>
      </c>
      <c r="AC348" s="378">
        <f t="shared" si="755"/>
        <v>2.6494054325057137E-2</v>
      </c>
      <c r="AD348" s="378">
        <f t="shared" si="755"/>
        <v>7.9404350437702442E-2</v>
      </c>
      <c r="AE348" s="417">
        <f t="shared" si="755"/>
        <v>4.8072591589946256E-2</v>
      </c>
      <c r="AF348" s="378">
        <f t="shared" si="755"/>
        <v>9.1540718173520386E-2</v>
      </c>
      <c r="AG348" s="378">
        <f t="shared" si="755"/>
        <v>0.1098623093451998</v>
      </c>
      <c r="AH348" s="378">
        <f t="shared" si="755"/>
        <v>9.9400989181875676E-2</v>
      </c>
      <c r="AI348" s="378">
        <f t="shared" si="755"/>
        <v>0.12515879188171497</v>
      </c>
      <c r="AJ348" s="417">
        <f t="shared" si="755"/>
        <v>0.10779750845445868</v>
      </c>
      <c r="AK348" s="378">
        <f t="shared" si="755"/>
        <v>7.2154107750144192E-4</v>
      </c>
      <c r="AL348" s="378">
        <f t="shared" si="755"/>
        <v>3.2007057505995862E-2</v>
      </c>
      <c r="AM348" s="378">
        <f t="shared" si="755"/>
        <v>4.4313266916198968E-2</v>
      </c>
      <c r="AN348" s="378">
        <f t="shared" si="755"/>
        <v>-2.6620316411435696E-2</v>
      </c>
      <c r="AO348" s="417">
        <f t="shared" si="755"/>
        <v>1.0238819430008927E-2</v>
      </c>
      <c r="AP348" s="378">
        <f t="shared" si="755"/>
        <v>-3.1269387914796609E-2</v>
      </c>
      <c r="AQ348" s="378">
        <f t="shared" si="755"/>
        <v>-8.8495144885622157E-2</v>
      </c>
      <c r="AR348" s="378">
        <f t="shared" si="755"/>
        <v>4.8256572996073555E-2</v>
      </c>
      <c r="AS348" s="378">
        <f t="shared" si="755"/>
        <v>0.15546675218445127</v>
      </c>
      <c r="AT348" s="417">
        <f t="shared" si="755"/>
        <v>2.9691985868693038E-2</v>
      </c>
      <c r="AU348" s="378">
        <f t="shared" si="755"/>
        <v>0.36983934202061519</v>
      </c>
      <c r="AV348" s="378">
        <f t="shared" si="755"/>
        <v>0.49526456920636286</v>
      </c>
      <c r="AW348" s="378">
        <f t="shared" si="755"/>
        <v>0.31184345554622639</v>
      </c>
      <c r="AX348" s="378">
        <f t="shared" si="755"/>
        <v>8.1071388021317636E-2</v>
      </c>
      <c r="AY348" s="417">
        <f t="shared" si="755"/>
        <v>0.28657071141020807</v>
      </c>
      <c r="AZ348" s="378">
        <f t="shared" si="755"/>
        <v>6.3663952050914352E-2</v>
      </c>
      <c r="BA348" s="378">
        <f t="shared" si="755"/>
        <v>5.7756262076761544E-2</v>
      </c>
      <c r="BB348" s="378">
        <f t="shared" si="755"/>
        <v>1.4982238926441793E-2</v>
      </c>
      <c r="BC348" s="378">
        <f t="shared" si="755"/>
        <v>-0.12915997752782804</v>
      </c>
      <c r="BD348" s="417">
        <f t="shared" si="755"/>
        <v>-3.7162042266926099E-3</v>
      </c>
      <c r="BE348" s="378">
        <f t="shared" si="755"/>
        <v>-0.10610671455470266</v>
      </c>
      <c r="BF348" s="378">
        <f t="shared" si="755"/>
        <v>-0.13717494425586907</v>
      </c>
      <c r="BG348" s="378">
        <f t="shared" si="755"/>
        <v>-0.11142193020408375</v>
      </c>
      <c r="BH348" s="378">
        <f t="shared" si="755"/>
        <v>0.13045775456759068</v>
      </c>
      <c r="BI348" s="417">
        <f t="shared" si="755"/>
        <v>-5.8438470335266612E-2</v>
      </c>
      <c r="BJ348" s="1130">
        <f>BJ346/BE346-1</f>
        <v>6.0271199355004468E-2</v>
      </c>
      <c r="BK348" s="378">
        <f t="shared" si="755"/>
        <v>6.8702967204783638E-2</v>
      </c>
      <c r="BL348" s="378">
        <f t="shared" si="755"/>
        <v>4.2013794479798472E-2</v>
      </c>
      <c r="BM348" s="378">
        <f t="shared" si="755"/>
        <v>8.6334248078067111E-2</v>
      </c>
      <c r="BN348" s="417">
        <f t="shared" si="755"/>
        <v>6.5296096910949952E-2</v>
      </c>
      <c r="BO348" s="378">
        <f t="shared" si="755"/>
        <v>0.1122413335861292</v>
      </c>
      <c r="BP348" s="378">
        <f t="shared" si="755"/>
        <v>6.4333071248699802E-2</v>
      </c>
      <c r="BQ348" s="378">
        <f t="shared" si="755"/>
        <v>3.7923033539338125E-2</v>
      </c>
      <c r="BR348" s="378">
        <f t="shared" si="755"/>
        <v>-8.1375111258619182E-4</v>
      </c>
      <c r="BS348" s="417">
        <f t="shared" si="755"/>
        <v>4.9196417689588046E-2</v>
      </c>
      <c r="BT348" s="417">
        <f>BT346/BS346-1</f>
        <v>7.5809579288784068E-2</v>
      </c>
      <c r="BU348" s="417">
        <f>BU346/BT346-1</f>
        <v>8.2928667951441826E-2</v>
      </c>
      <c r="BV348" s="417">
        <f>BV346/BU346-1</f>
        <v>8.2966013968575059E-2</v>
      </c>
      <c r="BW348" s="118"/>
    </row>
    <row r="349" spans="1:75" s="123" customFormat="1" collapsed="1" x14ac:dyDescent="0.5">
      <c r="A349" s="211" t="s">
        <v>743</v>
      </c>
      <c r="B349" s="493"/>
      <c r="C349" s="423">
        <f t="shared" ref="C349:BI349" si="756">C346/C305</f>
        <v>0.30331317457288864</v>
      </c>
      <c r="D349" s="423">
        <f t="shared" si="756"/>
        <v>0.29365228394381759</v>
      </c>
      <c r="E349" s="423">
        <f t="shared" si="756"/>
        <v>0.28894231092250655</v>
      </c>
      <c r="F349" s="423">
        <f t="shared" si="756"/>
        <v>0.29096236089708549</v>
      </c>
      <c r="G349" s="422">
        <f t="shared" si="756"/>
        <v>0.30126558895617073</v>
      </c>
      <c r="H349" s="422">
        <f t="shared" si="756"/>
        <v>0.29610602224170218</v>
      </c>
      <c r="I349" s="422">
        <f t="shared" si="756"/>
        <v>0.29755560373848838</v>
      </c>
      <c r="J349" s="422">
        <f t="shared" si="756"/>
        <v>0.25777658962139333</v>
      </c>
      <c r="K349" s="423">
        <f t="shared" si="756"/>
        <v>0.28468860538632584</v>
      </c>
      <c r="L349" s="422">
        <f t="shared" si="756"/>
        <v>0.3018299754703232</v>
      </c>
      <c r="M349" s="422">
        <f t="shared" si="756"/>
        <v>0.28559467694220586</v>
      </c>
      <c r="N349" s="422">
        <f t="shared" si="756"/>
        <v>0.2857748945468796</v>
      </c>
      <c r="O349" s="422">
        <f t="shared" si="756"/>
        <v>0.25167998703088273</v>
      </c>
      <c r="P349" s="423">
        <f t="shared" si="756"/>
        <v>0.27787424615091899</v>
      </c>
      <c r="Q349" s="422">
        <f t="shared" si="756"/>
        <v>0.29777835129565455</v>
      </c>
      <c r="R349" s="422">
        <f t="shared" si="756"/>
        <v>0.28684469241225591</v>
      </c>
      <c r="S349" s="422">
        <f t="shared" si="756"/>
        <v>0.27636553411217757</v>
      </c>
      <c r="T349" s="422">
        <f t="shared" si="756"/>
        <v>0.24262688614540465</v>
      </c>
      <c r="U349" s="423">
        <f t="shared" si="756"/>
        <v>0.27241870625330328</v>
      </c>
      <c r="V349" s="422">
        <f t="shared" si="756"/>
        <v>0.28763537092247615</v>
      </c>
      <c r="W349" s="422">
        <f t="shared" si="756"/>
        <v>0.28235963034574629</v>
      </c>
      <c r="X349" s="422">
        <f t="shared" si="756"/>
        <v>0.27867607205803829</v>
      </c>
      <c r="Y349" s="422">
        <f t="shared" si="756"/>
        <v>0.25683920077441497</v>
      </c>
      <c r="Z349" s="423">
        <f t="shared" si="756"/>
        <v>0.27465708802764544</v>
      </c>
      <c r="AA349" s="422">
        <f t="shared" si="756"/>
        <v>0.29471789201507503</v>
      </c>
      <c r="AB349" s="422">
        <f t="shared" si="756"/>
        <v>0.28389255712771078</v>
      </c>
      <c r="AC349" s="422">
        <f t="shared" si="756"/>
        <v>0.27418158197725606</v>
      </c>
      <c r="AD349" s="422">
        <f t="shared" si="756"/>
        <v>0.26106965040827573</v>
      </c>
      <c r="AE349" s="423">
        <f t="shared" si="756"/>
        <v>0.27653865275774475</v>
      </c>
      <c r="AF349" s="422">
        <f t="shared" si="756"/>
        <v>0.29740182615740085</v>
      </c>
      <c r="AG349" s="422">
        <f t="shared" si="756"/>
        <v>0.29706850000823876</v>
      </c>
      <c r="AH349" s="422">
        <f t="shared" si="756"/>
        <v>0.2888662876242834</v>
      </c>
      <c r="AI349" s="422">
        <f t="shared" si="756"/>
        <v>0.26876585998864672</v>
      </c>
      <c r="AJ349" s="423">
        <f t="shared" si="756"/>
        <v>0.28601170733772741</v>
      </c>
      <c r="AK349" s="422">
        <f t="shared" si="756"/>
        <v>0.2883061592159416</v>
      </c>
      <c r="AL349" s="422">
        <f t="shared" si="756"/>
        <v>0.28502918703777463</v>
      </c>
      <c r="AM349" s="422">
        <f t="shared" si="756"/>
        <v>0.28355628393480081</v>
      </c>
      <c r="AN349" s="422">
        <f t="shared" si="756"/>
        <v>0.26047657017015718</v>
      </c>
      <c r="AO349" s="423">
        <f t="shared" si="756"/>
        <v>0.27768392311438034</v>
      </c>
      <c r="AP349" s="422">
        <f t="shared" si="756"/>
        <v>0.2806316046836026</v>
      </c>
      <c r="AQ349" s="422">
        <f t="shared" si="756"/>
        <v>0.23889890976316375</v>
      </c>
      <c r="AR349" s="422">
        <f t="shared" si="756"/>
        <v>0.24298739158623003</v>
      </c>
      <c r="AS349" s="422">
        <f t="shared" si="756"/>
        <v>0.242018377675316</v>
      </c>
      <c r="AT349" s="423">
        <f t="shared" si="756"/>
        <v>0.24861624819830316</v>
      </c>
      <c r="AU349" s="422">
        <f t="shared" si="756"/>
        <v>0.27148606455353225</v>
      </c>
      <c r="AV349" s="422">
        <f t="shared" si="756"/>
        <v>0.27332563788950487</v>
      </c>
      <c r="AW349" s="422">
        <f t="shared" si="756"/>
        <v>0.27470343666225649</v>
      </c>
      <c r="AX349" s="422">
        <f t="shared" si="756"/>
        <v>0.23984248083488857</v>
      </c>
      <c r="AY349" s="423">
        <f t="shared" si="756"/>
        <v>0.26312197911795587</v>
      </c>
      <c r="AZ349" s="422">
        <f t="shared" si="756"/>
        <v>0.26705784128504934</v>
      </c>
      <c r="BA349" s="422">
        <f t="shared" si="756"/>
        <v>0.26352198815739802</v>
      </c>
      <c r="BB349" s="422">
        <f t="shared" si="756"/>
        <v>0.26037570453722431</v>
      </c>
      <c r="BC349" s="422">
        <f t="shared" si="756"/>
        <v>0.21294707589930864</v>
      </c>
      <c r="BD349" s="423">
        <f t="shared" si="756"/>
        <v>0.24919530615141056</v>
      </c>
      <c r="BE349" s="422">
        <f t="shared" si="756"/>
        <v>0.25718519058635075</v>
      </c>
      <c r="BF349" s="422">
        <f t="shared" si="756"/>
        <v>0.26093382740600041</v>
      </c>
      <c r="BG349" s="422">
        <f t="shared" si="756"/>
        <v>0.2736670892563321</v>
      </c>
      <c r="BH349" s="422">
        <f t="shared" si="756"/>
        <v>0.25912256459919686</v>
      </c>
      <c r="BI349" s="423">
        <f t="shared" si="756"/>
        <v>0.26259752082792515</v>
      </c>
      <c r="BJ349" s="1034">
        <f>BJ346/BJ305</f>
        <v>0.28830522276052972</v>
      </c>
      <c r="BK349" s="422">
        <f>BF349-(BK350/10000)</f>
        <v>0.28093382740600042</v>
      </c>
      <c r="BL349" s="422">
        <f>BG349-(BL350/10000)</f>
        <v>0.28866708925633211</v>
      </c>
      <c r="BM349" s="422">
        <f>BH349-(BM350/10000)</f>
        <v>0.26912256459919687</v>
      </c>
      <c r="BN349" s="423">
        <f>BN346/BN305</f>
        <v>0.28070667597518156</v>
      </c>
      <c r="BO349" s="422">
        <f>BJ349-(BO350/10000)</f>
        <v>0.30630522276052974</v>
      </c>
      <c r="BP349" s="422">
        <f>BK349-(BP350/10000)</f>
        <v>0.28593382740600043</v>
      </c>
      <c r="BQ349" s="422">
        <f>BL349-(BQ350/10000)</f>
        <v>0.28766708925633211</v>
      </c>
      <c r="BR349" s="422">
        <f>BM349-(BR350/10000)</f>
        <v>0.27412256459919687</v>
      </c>
      <c r="BS349" s="423">
        <f>BS346/BS305</f>
        <v>0.28733541655006073</v>
      </c>
      <c r="BT349" s="423">
        <f>BS349-(BT350/10000)</f>
        <v>0.29033541655006073</v>
      </c>
      <c r="BU349" s="423">
        <f>BT349-(BU350/10000)</f>
        <v>0.29333541655006073</v>
      </c>
      <c r="BV349" s="423">
        <f>BU349-(BV350/10000)</f>
        <v>0.29633541655006074</v>
      </c>
      <c r="BW349" s="118"/>
    </row>
    <row r="350" spans="1:75" s="123" customFormat="1" collapsed="1" x14ac:dyDescent="0.5">
      <c r="A350" s="218" t="s">
        <v>744</v>
      </c>
      <c r="B350" s="494"/>
      <c r="C350" s="425"/>
      <c r="D350" s="425">
        <f>-(D349-C349)*10000</f>
        <v>96.608906290710507</v>
      </c>
      <c r="E350" s="425">
        <f>-(E349-D349)*10000</f>
        <v>47.099730213110426</v>
      </c>
      <c r="F350" s="425">
        <f>-(F349-E349)*10000</f>
        <v>-20.200499745789415</v>
      </c>
      <c r="G350" s="487"/>
      <c r="H350" s="487"/>
      <c r="I350" s="487"/>
      <c r="J350" s="487"/>
      <c r="K350" s="425">
        <f t="shared" ref="K350:BI350" si="757">-(K349-F349)*10000</f>
        <v>62.737555107596485</v>
      </c>
      <c r="L350" s="487">
        <f t="shared" si="757"/>
        <v>-5.6438651415247065</v>
      </c>
      <c r="M350" s="487">
        <f t="shared" si="757"/>
        <v>105.11345299496323</v>
      </c>
      <c r="N350" s="487">
        <f t="shared" si="757"/>
        <v>117.80709191608784</v>
      </c>
      <c r="O350" s="487">
        <f t="shared" si="757"/>
        <v>60.966025905105916</v>
      </c>
      <c r="P350" s="425">
        <f t="shared" si="757"/>
        <v>68.143592354068531</v>
      </c>
      <c r="Q350" s="487">
        <f t="shared" si="757"/>
        <v>40.516241746686447</v>
      </c>
      <c r="R350" s="487">
        <f t="shared" si="757"/>
        <v>-12.500154700500477</v>
      </c>
      <c r="S350" s="487">
        <f t="shared" si="757"/>
        <v>94.093604347020303</v>
      </c>
      <c r="T350" s="487">
        <f t="shared" si="757"/>
        <v>90.531008854780879</v>
      </c>
      <c r="U350" s="425">
        <f t="shared" si="757"/>
        <v>54.555398976157136</v>
      </c>
      <c r="V350" s="487">
        <f t="shared" si="757"/>
        <v>101.42980373178401</v>
      </c>
      <c r="W350" s="487">
        <f t="shared" si="757"/>
        <v>44.850620665096152</v>
      </c>
      <c r="X350" s="487">
        <f t="shared" si="757"/>
        <v>-23.105379458607246</v>
      </c>
      <c r="Y350" s="487">
        <f t="shared" si="757"/>
        <v>-142.12314629010319</v>
      </c>
      <c r="Z350" s="425">
        <f t="shared" si="757"/>
        <v>-22.383817743421574</v>
      </c>
      <c r="AA350" s="487">
        <f t="shared" si="757"/>
        <v>-70.825210925988813</v>
      </c>
      <c r="AB350" s="487">
        <f t="shared" si="757"/>
        <v>-15.329267819644832</v>
      </c>
      <c r="AC350" s="487">
        <f t="shared" si="757"/>
        <v>44.944900807822322</v>
      </c>
      <c r="AD350" s="487">
        <f t="shared" si="757"/>
        <v>-42.304496338607663</v>
      </c>
      <c r="AE350" s="425">
        <f t="shared" si="757"/>
        <v>-18.815647300993167</v>
      </c>
      <c r="AF350" s="487">
        <f t="shared" si="757"/>
        <v>-26.839341423258169</v>
      </c>
      <c r="AG350" s="487">
        <f t="shared" si="757"/>
        <v>-131.75942880527981</v>
      </c>
      <c r="AH350" s="487">
        <f t="shared" si="757"/>
        <v>-146.8470564702734</v>
      </c>
      <c r="AI350" s="487">
        <f t="shared" si="757"/>
        <v>-76.962095803709829</v>
      </c>
      <c r="AJ350" s="425">
        <f t="shared" si="757"/>
        <v>-94.730545799826544</v>
      </c>
      <c r="AK350" s="487">
        <f t="shared" si="757"/>
        <v>90.956669414592454</v>
      </c>
      <c r="AL350" s="487">
        <f t="shared" si="757"/>
        <v>120.39312970464123</v>
      </c>
      <c r="AM350" s="487">
        <f t="shared" si="757"/>
        <v>53.100036894825898</v>
      </c>
      <c r="AN350" s="487">
        <f t="shared" si="757"/>
        <v>82.892898184895316</v>
      </c>
      <c r="AO350" s="425">
        <f t="shared" si="757"/>
        <v>83.277842233470679</v>
      </c>
      <c r="AP350" s="487">
        <f t="shared" si="757"/>
        <v>76.745545323390061</v>
      </c>
      <c r="AQ350" s="487">
        <f t="shared" si="757"/>
        <v>461.30277274610887</v>
      </c>
      <c r="AR350" s="487">
        <f t="shared" si="757"/>
        <v>405.68892348570779</v>
      </c>
      <c r="AS350" s="487">
        <f t="shared" si="757"/>
        <v>184.5819249484118</v>
      </c>
      <c r="AT350" s="425">
        <f t="shared" si="757"/>
        <v>290.67674916077175</v>
      </c>
      <c r="AU350" s="487">
        <f t="shared" si="757"/>
        <v>91.455401300703514</v>
      </c>
      <c r="AV350" s="487">
        <f t="shared" si="757"/>
        <v>-344.26728126341123</v>
      </c>
      <c r="AW350" s="487">
        <f t="shared" si="757"/>
        <v>-317.16045076026461</v>
      </c>
      <c r="AX350" s="487">
        <f t="shared" si="757"/>
        <v>21.758968404274327</v>
      </c>
      <c r="AY350" s="425">
        <f t="shared" si="757"/>
        <v>-145.05730919652709</v>
      </c>
      <c r="AZ350" s="487">
        <f t="shared" si="757"/>
        <v>44.282232684829111</v>
      </c>
      <c r="BA350" s="487">
        <f t="shared" si="757"/>
        <v>98.036497321068452</v>
      </c>
      <c r="BB350" s="487">
        <f t="shared" si="757"/>
        <v>143.27732125032188</v>
      </c>
      <c r="BC350" s="487">
        <f t="shared" si="757"/>
        <v>268.95404935579933</v>
      </c>
      <c r="BD350" s="425">
        <f t="shared" si="757"/>
        <v>139.26672966545317</v>
      </c>
      <c r="BE350" s="487">
        <f t="shared" si="757"/>
        <v>98.726506986985811</v>
      </c>
      <c r="BF350" s="487">
        <f t="shared" si="757"/>
        <v>25.881607513976167</v>
      </c>
      <c r="BG350" s="487">
        <f t="shared" si="757"/>
        <v>-132.91384719107791</v>
      </c>
      <c r="BH350" s="487">
        <f t="shared" si="757"/>
        <v>-461.75488699888217</v>
      </c>
      <c r="BI350" s="425">
        <f t="shared" si="757"/>
        <v>-134.02214676514589</v>
      </c>
      <c r="BJ350" s="981">
        <f>-(BJ349-BE349)*10000</f>
        <v>-311.20032174178971</v>
      </c>
      <c r="BK350" s="256">
        <v>-200</v>
      </c>
      <c r="BL350" s="256">
        <v>-150</v>
      </c>
      <c r="BM350" s="256">
        <v>-100</v>
      </c>
      <c r="BN350" s="425">
        <f>-(BN349-BI349)*10000</f>
        <v>-181.09155147256416</v>
      </c>
      <c r="BO350" s="256">
        <v>-180</v>
      </c>
      <c r="BP350" s="256">
        <v>-50</v>
      </c>
      <c r="BQ350" s="256">
        <v>10</v>
      </c>
      <c r="BR350" s="256">
        <v>-50</v>
      </c>
      <c r="BS350" s="425">
        <f>-(BS349-BN349)*10000</f>
        <v>-66.287405748791656</v>
      </c>
      <c r="BT350" s="427">
        <v>-30</v>
      </c>
      <c r="BU350" s="427">
        <v>-30</v>
      </c>
      <c r="BV350" s="427">
        <v>-30</v>
      </c>
      <c r="BW350" s="118"/>
    </row>
    <row r="351" spans="1:75" s="123" customFormat="1" collapsed="1" x14ac:dyDescent="0.5">
      <c r="A351" s="752"/>
      <c r="B351" s="489"/>
      <c r="C351" s="401"/>
      <c r="D351" s="401"/>
      <c r="E351" s="401"/>
      <c r="F351" s="401"/>
      <c r="G351" s="118"/>
      <c r="H351" s="118"/>
      <c r="I351" s="118"/>
      <c r="J351" s="118"/>
      <c r="K351" s="401"/>
      <c r="L351" s="118"/>
      <c r="M351" s="118"/>
      <c r="N351" s="118"/>
      <c r="O351" s="118"/>
      <c r="P351" s="401"/>
      <c r="Q351" s="118"/>
      <c r="R351" s="118"/>
      <c r="S351" s="118"/>
      <c r="T351" s="118"/>
      <c r="U351" s="401"/>
      <c r="V351" s="118"/>
      <c r="W351" s="118"/>
      <c r="X351" s="118"/>
      <c r="Y351" s="118"/>
      <c r="Z351" s="401"/>
      <c r="AA351" s="118"/>
      <c r="AB351" s="118"/>
      <c r="AC351" s="118"/>
      <c r="AD351" s="118"/>
      <c r="AE351" s="401"/>
      <c r="AF351" s="118"/>
      <c r="AG351" s="118"/>
      <c r="AH351" s="118"/>
      <c r="AI351" s="118"/>
      <c r="AJ351" s="401"/>
      <c r="AK351" s="118"/>
      <c r="AL351" s="118"/>
      <c r="AM351" s="118"/>
      <c r="AN351" s="118"/>
      <c r="AO351" s="401"/>
      <c r="AP351" s="118"/>
      <c r="AQ351" s="118"/>
      <c r="AR351" s="118"/>
      <c r="AS351" s="118"/>
      <c r="AT351" s="401"/>
      <c r="AU351" s="118"/>
      <c r="AV351" s="118"/>
      <c r="AW351" s="118"/>
      <c r="AX351" s="118"/>
      <c r="AY351" s="401"/>
      <c r="AZ351" s="118"/>
      <c r="BA351" s="118"/>
      <c r="BB351" s="118"/>
      <c r="BC351" s="118"/>
      <c r="BD351" s="401"/>
      <c r="BE351" s="118"/>
      <c r="BF351" s="118"/>
      <c r="BG351" s="118"/>
      <c r="BH351" s="118"/>
      <c r="BI351" s="401"/>
      <c r="BJ351" s="971"/>
      <c r="BK351" s="118"/>
      <c r="BL351" s="118"/>
      <c r="BM351" s="118"/>
      <c r="BN351" s="401"/>
      <c r="BO351" s="118"/>
      <c r="BP351" s="118"/>
      <c r="BQ351" s="118"/>
      <c r="BR351" s="118"/>
      <c r="BS351" s="401"/>
      <c r="BT351" s="401"/>
      <c r="BU351" s="401"/>
      <c r="BV351" s="401"/>
      <c r="BW351" s="122"/>
    </row>
    <row r="352" spans="1:75" s="123" customFormat="1" collapsed="1" x14ac:dyDescent="0.5">
      <c r="A352" s="206" t="s">
        <v>745</v>
      </c>
      <c r="B352" s="485"/>
      <c r="C352" s="397">
        <f t="shared" ref="C352:BN352" si="758">C316-C334</f>
        <v>121.44200000000012</v>
      </c>
      <c r="D352" s="397">
        <f t="shared" si="758"/>
        <v>323.41399999999999</v>
      </c>
      <c r="E352" s="397">
        <f t="shared" si="758"/>
        <v>381.73199999999974</v>
      </c>
      <c r="F352" s="397">
        <f t="shared" si="758"/>
        <v>409.16300000000001</v>
      </c>
      <c r="G352" s="295">
        <f t="shared" si="758"/>
        <v>63.782999999999959</v>
      </c>
      <c r="H352" s="295">
        <f t="shared" si="758"/>
        <v>78.085999999999956</v>
      </c>
      <c r="I352" s="295">
        <f t="shared" si="758"/>
        <v>92.494000000000028</v>
      </c>
      <c r="J352" s="295">
        <f t="shared" si="758"/>
        <v>217.73500000000007</v>
      </c>
      <c r="K352" s="397">
        <f t="shared" si="758"/>
        <v>452.09800000000041</v>
      </c>
      <c r="L352" s="295">
        <f t="shared" si="758"/>
        <v>74.326000000000022</v>
      </c>
      <c r="M352" s="295">
        <f t="shared" si="758"/>
        <v>85.33600000000007</v>
      </c>
      <c r="N352" s="295">
        <f t="shared" si="758"/>
        <v>104.72000000000003</v>
      </c>
      <c r="O352" s="295">
        <f t="shared" si="758"/>
        <v>237.88299999999998</v>
      </c>
      <c r="P352" s="397">
        <f t="shared" si="758"/>
        <v>502.26499999999987</v>
      </c>
      <c r="Q352" s="295">
        <f t="shared" si="758"/>
        <v>71.927999999999884</v>
      </c>
      <c r="R352" s="295">
        <f t="shared" si="758"/>
        <v>83.343000000000018</v>
      </c>
      <c r="S352" s="295">
        <f t="shared" si="758"/>
        <v>110.68300000000011</v>
      </c>
      <c r="T352" s="295">
        <f t="shared" si="758"/>
        <v>222.68000000000006</v>
      </c>
      <c r="U352" s="397">
        <f t="shared" si="758"/>
        <v>488.63400000000001</v>
      </c>
      <c r="V352" s="295">
        <f t="shared" si="758"/>
        <v>63.525000000000034</v>
      </c>
      <c r="W352" s="295">
        <f t="shared" si="758"/>
        <v>83.27600000000001</v>
      </c>
      <c r="X352" s="295">
        <f t="shared" si="758"/>
        <v>109.97899999999993</v>
      </c>
      <c r="Y352" s="295">
        <f t="shared" si="758"/>
        <v>215.81899999999996</v>
      </c>
      <c r="Z352" s="397">
        <f t="shared" si="758"/>
        <v>472.59899999999993</v>
      </c>
      <c r="AA352" s="295">
        <f t="shared" si="758"/>
        <v>62.474000000000103</v>
      </c>
      <c r="AB352" s="295">
        <f t="shared" si="758"/>
        <v>81.584000000000003</v>
      </c>
      <c r="AC352" s="295">
        <f t="shared" si="758"/>
        <v>110.81299999999999</v>
      </c>
      <c r="AD352" s="295">
        <f t="shared" si="758"/>
        <v>198.94</v>
      </c>
      <c r="AE352" s="397">
        <f t="shared" si="758"/>
        <v>453.81100000000015</v>
      </c>
      <c r="AF352" s="295">
        <f t="shared" si="758"/>
        <v>66.550000000000011</v>
      </c>
      <c r="AG352" s="295">
        <f t="shared" si="758"/>
        <v>74.165999999999997</v>
      </c>
      <c r="AH352" s="295">
        <f t="shared" si="758"/>
        <v>94.383999999999901</v>
      </c>
      <c r="AI352" s="295">
        <f t="shared" si="758"/>
        <v>200.85299999999984</v>
      </c>
      <c r="AJ352" s="397">
        <f t="shared" si="758"/>
        <v>435.95299999999997</v>
      </c>
      <c r="AK352" s="295">
        <f t="shared" si="758"/>
        <v>74.132000000000005</v>
      </c>
      <c r="AL352" s="295">
        <f t="shared" si="758"/>
        <v>86.165000000000077</v>
      </c>
      <c r="AM352" s="295">
        <f t="shared" si="758"/>
        <v>101.89100000000002</v>
      </c>
      <c r="AN352" s="295">
        <f t="shared" si="758"/>
        <v>203.68599999999992</v>
      </c>
      <c r="AO352" s="397">
        <f t="shared" si="758"/>
        <v>465.87399999999957</v>
      </c>
      <c r="AP352" s="295">
        <f t="shared" si="758"/>
        <v>48.644999999999982</v>
      </c>
      <c r="AQ352" s="295">
        <f t="shared" si="758"/>
        <v>185.36099999999999</v>
      </c>
      <c r="AR352" s="295">
        <f t="shared" si="758"/>
        <v>274.6040000000001</v>
      </c>
      <c r="AS352" s="295">
        <f t="shared" si="758"/>
        <v>402.08700000000067</v>
      </c>
      <c r="AT352" s="397">
        <f t="shared" si="758"/>
        <v>910.69700000000034</v>
      </c>
      <c r="AU352" s="295">
        <f t="shared" si="758"/>
        <v>275.17699999999996</v>
      </c>
      <c r="AV352" s="295">
        <f t="shared" si="758"/>
        <v>323.09999999999991</v>
      </c>
      <c r="AW352" s="295">
        <f t="shared" si="758"/>
        <v>330.26699999999994</v>
      </c>
      <c r="AX352" s="295">
        <f t="shared" si="758"/>
        <v>524.57199999999921</v>
      </c>
      <c r="AY352" s="397">
        <f t="shared" si="758"/>
        <v>1453.1159999999995</v>
      </c>
      <c r="AZ352" s="295">
        <f t="shared" si="758"/>
        <v>323.48099999999999</v>
      </c>
      <c r="BA352" s="295">
        <f t="shared" si="758"/>
        <v>365.52099999999973</v>
      </c>
      <c r="BB352" s="295">
        <f t="shared" si="758"/>
        <v>339.63300000000004</v>
      </c>
      <c r="BC352" s="295">
        <f t="shared" si="758"/>
        <v>469.78699999999935</v>
      </c>
      <c r="BD352" s="397">
        <f t="shared" si="758"/>
        <v>1498.4219999999991</v>
      </c>
      <c r="BE352" s="295">
        <f t="shared" si="758"/>
        <v>199.47699999999998</v>
      </c>
      <c r="BF352" s="295">
        <f t="shared" si="758"/>
        <v>271.548</v>
      </c>
      <c r="BG352" s="295">
        <f t="shared" si="758"/>
        <v>315.07700000000011</v>
      </c>
      <c r="BH352" s="295">
        <f t="shared" si="758"/>
        <v>458.09099999999989</v>
      </c>
      <c r="BI352" s="397">
        <f t="shared" si="758"/>
        <v>1244.1929999999998</v>
      </c>
      <c r="BJ352" s="1030">
        <f>BJ316-BJ334</f>
        <v>323.82799999999997</v>
      </c>
      <c r="BK352" s="295">
        <f t="shared" si="758"/>
        <v>255.67882721866772</v>
      </c>
      <c r="BL352" s="295">
        <f t="shared" si="758"/>
        <v>311.10061624110324</v>
      </c>
      <c r="BM352" s="295">
        <f t="shared" si="758"/>
        <v>485.70055928553563</v>
      </c>
      <c r="BN352" s="397">
        <f t="shared" si="758"/>
        <v>1376.3080027453066</v>
      </c>
      <c r="BO352" s="295">
        <f t="shared" ref="BO352:CF352" si="759">BO316-BO334</f>
        <v>269.5104762677845</v>
      </c>
      <c r="BP352" s="295">
        <f t="shared" si="759"/>
        <v>266.60961762272609</v>
      </c>
      <c r="BQ352" s="295">
        <f t="shared" si="759"/>
        <v>339.70019047673543</v>
      </c>
      <c r="BR352" s="295">
        <f t="shared" si="759"/>
        <v>461.63531617355079</v>
      </c>
      <c r="BS352" s="397">
        <f t="shared" si="759"/>
        <v>1337.4556005407962</v>
      </c>
      <c r="BT352" s="397">
        <f t="shared" si="759"/>
        <v>1430.8854688294196</v>
      </c>
      <c r="BU352" s="397">
        <f t="shared" si="759"/>
        <v>1545.8773080600904</v>
      </c>
      <c r="BV352" s="397">
        <f t="shared" si="759"/>
        <v>1668.9063396407937</v>
      </c>
      <c r="BW352" s="118"/>
    </row>
    <row r="353" spans="1:75" s="123" customFormat="1" x14ac:dyDescent="0.5">
      <c r="A353" s="206"/>
      <c r="B353" s="485"/>
      <c r="C353" s="1369">
        <f>C352/C305</f>
        <v>3.9140697920265713E-2</v>
      </c>
      <c r="D353" s="1369">
        <f t="shared" ref="D353:BI353" si="760">D352/D305</f>
        <v>9.2294354307083187E-2</v>
      </c>
      <c r="E353" s="1369">
        <f t="shared" si="760"/>
        <v>0.10259144641275815</v>
      </c>
      <c r="F353" s="1369">
        <f t="shared" si="760"/>
        <v>0.10120607390294518</v>
      </c>
      <c r="G353" s="1369">
        <f t="shared" si="760"/>
        <v>7.1843236375432482E-2</v>
      </c>
      <c r="H353" s="1369">
        <f t="shared" si="760"/>
        <v>7.9500391464545697E-2</v>
      </c>
      <c r="I353" s="1369">
        <f t="shared" si="760"/>
        <v>8.7959845865333799E-2</v>
      </c>
      <c r="J353" s="1369">
        <f t="shared" si="760"/>
        <v>0.14849037456933123</v>
      </c>
      <c r="K353" s="1369">
        <f t="shared" si="760"/>
        <v>0.10303314418391177</v>
      </c>
      <c r="L353" s="1369">
        <f t="shared" si="760"/>
        <v>7.6284215820102044E-2</v>
      </c>
      <c r="M353" s="1369">
        <f t="shared" si="760"/>
        <v>8.2124757723495923E-2</v>
      </c>
      <c r="N353" s="1369">
        <f t="shared" si="760"/>
        <v>9.1605564215745477E-2</v>
      </c>
      <c r="O353" s="1369">
        <f t="shared" si="760"/>
        <v>0.15425662640836507</v>
      </c>
      <c r="P353" s="1369">
        <f t="shared" si="760"/>
        <v>0.1068940279254835</v>
      </c>
      <c r="Q353" s="1369">
        <f t="shared" si="760"/>
        <v>6.9787207619077085E-2</v>
      </c>
      <c r="R353" s="1369">
        <f t="shared" si="760"/>
        <v>7.394936061925704E-2</v>
      </c>
      <c r="S353" s="1369">
        <f t="shared" si="760"/>
        <v>8.9834118183692399E-2</v>
      </c>
      <c r="T353" s="1369">
        <f t="shared" si="760"/>
        <v>0.14037662390058908</v>
      </c>
      <c r="U353" s="1369">
        <f t="shared" si="760"/>
        <v>9.8196375065563529E-2</v>
      </c>
      <c r="V353" s="1369">
        <f t="shared" si="760"/>
        <v>5.7864835396063311E-2</v>
      </c>
      <c r="W353" s="1369">
        <f t="shared" si="760"/>
        <v>7.184979840884051E-2</v>
      </c>
      <c r="X353" s="1369">
        <f t="shared" si="760"/>
        <v>8.8309237705609056E-2</v>
      </c>
      <c r="Y353" s="1369">
        <f t="shared" si="760"/>
        <v>0.13645775967212553</v>
      </c>
      <c r="Z353" s="1369">
        <f t="shared" si="760"/>
        <v>9.2961541457473235E-2</v>
      </c>
      <c r="AA353" s="1369">
        <f t="shared" si="760"/>
        <v>5.6206573597827186E-2</v>
      </c>
      <c r="AB353" s="1369">
        <f t="shared" si="760"/>
        <v>6.7895799455062647E-2</v>
      </c>
      <c r="AC353" s="1369">
        <f t="shared" si="760"/>
        <v>8.5284329842319456E-2</v>
      </c>
      <c r="AD353" s="1369">
        <f t="shared" si="760"/>
        <v>0.11845177915834573</v>
      </c>
      <c r="AE353" s="1369">
        <f t="shared" si="760"/>
        <v>8.5754951245769304E-2</v>
      </c>
      <c r="AF353" s="1369">
        <f t="shared" si="760"/>
        <v>5.5351965306669026E-2</v>
      </c>
      <c r="AG353" s="1369">
        <f t="shared" si="760"/>
        <v>5.8193739029727722E-2</v>
      </c>
      <c r="AH353" s="1369">
        <f t="shared" si="760"/>
        <v>6.9611239400740266E-2</v>
      </c>
      <c r="AI353" s="1369">
        <f t="shared" si="760"/>
        <v>0.10942125546280924</v>
      </c>
      <c r="AJ353" s="1369">
        <f t="shared" si="760"/>
        <v>7.6911528093376424E-2</v>
      </c>
      <c r="AK353" s="1369">
        <f t="shared" si="760"/>
        <v>5.9729343857059525E-2</v>
      </c>
      <c r="AL353" s="1369">
        <f t="shared" si="760"/>
        <v>6.2856813542902304E-2</v>
      </c>
      <c r="AM353" s="1369">
        <f t="shared" si="760"/>
        <v>7.0636379770283253E-2</v>
      </c>
      <c r="AN353" s="1369">
        <f t="shared" si="760"/>
        <v>0.11048335041956178</v>
      </c>
      <c r="AO353" s="1369">
        <f t="shared" si="760"/>
        <v>7.8988363528838812E-2</v>
      </c>
      <c r="AP353" s="1369">
        <f t="shared" si="760"/>
        <v>3.9382190619679507E-2</v>
      </c>
      <c r="AQ353" s="1369">
        <f t="shared" si="760"/>
        <v>0.12433851608926083</v>
      </c>
      <c r="AR353" s="1369">
        <f t="shared" si="760"/>
        <v>0.15562391472885795</v>
      </c>
      <c r="AS353" s="1369">
        <f t="shared" si="760"/>
        <v>0.17537913169475131</v>
      </c>
      <c r="AT353" s="1369">
        <f t="shared" si="760"/>
        <v>0.13425794268742922</v>
      </c>
      <c r="AU353" s="1369">
        <f t="shared" si="760"/>
        <v>0.15733129639359894</v>
      </c>
      <c r="AV353" s="1369">
        <f t="shared" si="760"/>
        <v>0.16583356387158493</v>
      </c>
      <c r="AW353" s="1369">
        <f t="shared" si="760"/>
        <v>0.16129949173129302</v>
      </c>
      <c r="AX353" s="1369">
        <f t="shared" si="760"/>
        <v>0.20974246999934798</v>
      </c>
      <c r="AY353" s="1369">
        <f t="shared" si="760"/>
        <v>0.17622208079228358</v>
      </c>
      <c r="AZ353" s="1369">
        <f t="shared" si="760"/>
        <v>0.17104292610035707</v>
      </c>
      <c r="BA353" s="1369">
        <f t="shared" si="760"/>
        <v>0.17100101659058989</v>
      </c>
      <c r="BB353" s="1369">
        <f t="shared" si="760"/>
        <v>0.1549014993336599</v>
      </c>
      <c r="BC353" s="1369">
        <f t="shared" si="760"/>
        <v>0.19150911976336654</v>
      </c>
      <c r="BD353" s="1369">
        <f t="shared" si="760"/>
        <v>0.17274036975626134</v>
      </c>
      <c r="BE353" s="1369">
        <f t="shared" si="760"/>
        <v>0.11363290687122567</v>
      </c>
      <c r="BF353" s="1369">
        <f t="shared" si="760"/>
        <v>0.14578866045246089</v>
      </c>
      <c r="BG353" s="1369">
        <f t="shared" si="760"/>
        <v>0.16997653278666419</v>
      </c>
      <c r="BH353" s="1369">
        <f t="shared" si="760"/>
        <v>0.20101082215085364</v>
      </c>
      <c r="BI353" s="1369">
        <f t="shared" si="760"/>
        <v>0.16052752723254762</v>
      </c>
      <c r="BJ353" s="1030"/>
      <c r="BK353" s="295"/>
      <c r="BL353" s="295"/>
      <c r="BM353" s="295"/>
      <c r="BN353" s="397"/>
      <c r="BO353" s="295"/>
      <c r="BP353" s="295"/>
      <c r="BQ353" s="295"/>
      <c r="BR353" s="295"/>
      <c r="BS353" s="397"/>
      <c r="BT353" s="397"/>
      <c r="BU353" s="397"/>
      <c r="BV353" s="397"/>
      <c r="BW353" s="118"/>
    </row>
    <row r="354" spans="1:75" s="123" customFormat="1" collapsed="1" x14ac:dyDescent="0.5">
      <c r="A354" s="184" t="s">
        <v>746</v>
      </c>
      <c r="B354" s="489"/>
      <c r="C354" s="401"/>
      <c r="D354" s="401"/>
      <c r="E354" s="401"/>
      <c r="F354" s="401"/>
      <c r="G354" s="118"/>
      <c r="H354" s="118"/>
      <c r="I354" s="118"/>
      <c r="J354" s="118"/>
      <c r="K354" s="401"/>
      <c r="L354" s="118"/>
      <c r="M354" s="118"/>
      <c r="N354" s="118"/>
      <c r="O354" s="118"/>
      <c r="P354" s="401"/>
      <c r="Q354" s="118"/>
      <c r="R354" s="118"/>
      <c r="S354" s="118"/>
      <c r="T354" s="118"/>
      <c r="U354" s="401"/>
      <c r="V354" s="118"/>
      <c r="W354" s="118"/>
      <c r="X354" s="118"/>
      <c r="Y354" s="118"/>
      <c r="Z354" s="401"/>
      <c r="AA354" s="118"/>
      <c r="AB354" s="118"/>
      <c r="AC354" s="118"/>
      <c r="AD354" s="118"/>
      <c r="AE354" s="401"/>
      <c r="AF354" s="118"/>
      <c r="AG354" s="118"/>
      <c r="AH354" s="118"/>
      <c r="AI354" s="118"/>
      <c r="AJ354" s="401"/>
      <c r="AK354" s="118"/>
      <c r="AL354" s="118"/>
      <c r="AM354" s="118"/>
      <c r="AN354" s="118"/>
      <c r="AO354" s="401"/>
      <c r="AP354" s="118"/>
      <c r="AQ354" s="118"/>
      <c r="AR354" s="118"/>
      <c r="AS354" s="118"/>
      <c r="AT354" s="401"/>
      <c r="AU354" s="118"/>
      <c r="AV354" s="118"/>
      <c r="AW354" s="118"/>
      <c r="AX354" s="118"/>
      <c r="AY354" s="401"/>
      <c r="AZ354" s="118"/>
      <c r="BA354" s="118"/>
      <c r="BB354" s="118"/>
      <c r="BC354" s="118"/>
      <c r="BD354" s="401"/>
      <c r="BE354" s="118"/>
      <c r="BF354" s="118"/>
      <c r="BG354" s="118"/>
      <c r="BH354" s="118"/>
      <c r="BI354" s="401"/>
      <c r="BJ354" s="971"/>
      <c r="BK354" s="118">
        <f>BK317+BK335</f>
        <v>0</v>
      </c>
      <c r="BL354" s="118">
        <f>BL317+BL335</f>
        <v>0</v>
      </c>
      <c r="BM354" s="118">
        <f>BM317+BM335</f>
        <v>0</v>
      </c>
      <c r="BN354" s="401">
        <f t="shared" ref="BN354:BN365" si="761">SUM(BJ354,BK354,BL354,BM354)</f>
        <v>0</v>
      </c>
      <c r="BO354" s="118">
        <f>BO317+BO335</f>
        <v>0</v>
      </c>
      <c r="BP354" s="118">
        <f>BP317+BP335</f>
        <v>0</v>
      </c>
      <c r="BQ354" s="118">
        <f>BQ317+BQ335</f>
        <v>0</v>
      </c>
      <c r="BR354" s="118">
        <f>BR317+BR335</f>
        <v>0</v>
      </c>
      <c r="BS354" s="401">
        <f t="shared" ref="BS354:BS365" si="762">SUM(BO354,BP354,BQ354,BR354)</f>
        <v>0</v>
      </c>
      <c r="BT354" s="401">
        <f>BT317+BT335</f>
        <v>0</v>
      </c>
      <c r="BU354" s="401">
        <f>BU317+BU335</f>
        <v>0</v>
      </c>
      <c r="BV354" s="401">
        <f>BV317+BV335</f>
        <v>0</v>
      </c>
      <c r="BW354" s="118"/>
    </row>
    <row r="355" spans="1:75" s="123" customFormat="1" collapsed="1" x14ac:dyDescent="0.5">
      <c r="A355" s="184" t="s">
        <v>1874</v>
      </c>
      <c r="B355" s="489"/>
      <c r="C355" s="401">
        <f t="shared" ref="C355:BJ359" si="763">C682</f>
        <v>40.704000000000001</v>
      </c>
      <c r="D355" s="401">
        <f t="shared" si="763"/>
        <v>21.440999999999999</v>
      </c>
      <c r="E355" s="401">
        <f t="shared" si="763"/>
        <v>3</v>
      </c>
      <c r="F355" s="401">
        <f t="shared" si="763"/>
        <v>0</v>
      </c>
      <c r="G355" s="118">
        <f t="shared" si="763"/>
        <v>0</v>
      </c>
      <c r="H355" s="118">
        <f t="shared" si="763"/>
        <v>0</v>
      </c>
      <c r="I355" s="118">
        <f t="shared" si="763"/>
        <v>0</v>
      </c>
      <c r="J355" s="118">
        <f t="shared" si="763"/>
        <v>0</v>
      </c>
      <c r="K355" s="401">
        <f t="shared" si="763"/>
        <v>0</v>
      </c>
      <c r="L355" s="118">
        <f t="shared" si="763"/>
        <v>0</v>
      </c>
      <c r="M355" s="118">
        <f t="shared" si="763"/>
        <v>0</v>
      </c>
      <c r="N355" s="118">
        <f t="shared" si="763"/>
        <v>0</v>
      </c>
      <c r="O355" s="118">
        <f t="shared" si="763"/>
        <v>-7.4139999999999997</v>
      </c>
      <c r="P355" s="401">
        <f t="shared" si="763"/>
        <v>-7.4139999999999997</v>
      </c>
      <c r="Q355" s="118">
        <f t="shared" si="763"/>
        <v>0</v>
      </c>
      <c r="R355" s="118">
        <f t="shared" si="763"/>
        <v>0</v>
      </c>
      <c r="S355" s="118">
        <f t="shared" si="763"/>
        <v>0</v>
      </c>
      <c r="T355" s="118">
        <f t="shared" si="763"/>
        <v>0</v>
      </c>
      <c r="U355" s="401">
        <f t="shared" si="763"/>
        <v>0</v>
      </c>
      <c r="V355" s="118">
        <f t="shared" si="763"/>
        <v>0</v>
      </c>
      <c r="W355" s="118">
        <f t="shared" si="763"/>
        <v>0</v>
      </c>
      <c r="X355" s="118">
        <f t="shared" si="763"/>
        <v>0</v>
      </c>
      <c r="Y355" s="118">
        <f t="shared" si="763"/>
        <v>0</v>
      </c>
      <c r="Z355" s="401">
        <f t="shared" si="763"/>
        <v>0</v>
      </c>
      <c r="AA355" s="118">
        <f t="shared" si="763"/>
        <v>0</v>
      </c>
      <c r="AB355" s="118">
        <f t="shared" si="763"/>
        <v>0</v>
      </c>
      <c r="AC355" s="118">
        <f t="shared" si="763"/>
        <v>0</v>
      </c>
      <c r="AD355" s="118">
        <f t="shared" si="763"/>
        <v>0</v>
      </c>
      <c r="AE355" s="401">
        <f t="shared" si="763"/>
        <v>0</v>
      </c>
      <c r="AF355" s="118">
        <f t="shared" si="763"/>
        <v>0</v>
      </c>
      <c r="AG355" s="118">
        <f t="shared" si="763"/>
        <v>0</v>
      </c>
      <c r="AH355" s="118">
        <f t="shared" si="763"/>
        <v>0</v>
      </c>
      <c r="AI355" s="118">
        <f t="shared" si="763"/>
        <v>0</v>
      </c>
      <c r="AJ355" s="401">
        <f t="shared" si="763"/>
        <v>0</v>
      </c>
      <c r="AK355" s="118">
        <f t="shared" si="763"/>
        <v>0</v>
      </c>
      <c r="AL355" s="118">
        <f t="shared" si="763"/>
        <v>0</v>
      </c>
      <c r="AM355" s="118">
        <f t="shared" si="763"/>
        <v>0</v>
      </c>
      <c r="AN355" s="118">
        <f t="shared" si="763"/>
        <v>0</v>
      </c>
      <c r="AO355" s="401">
        <f t="shared" si="763"/>
        <v>0</v>
      </c>
      <c r="AP355" s="118">
        <f t="shared" si="763"/>
        <v>0</v>
      </c>
      <c r="AQ355" s="118">
        <f t="shared" si="763"/>
        <v>0</v>
      </c>
      <c r="AR355" s="118">
        <f t="shared" si="763"/>
        <v>0</v>
      </c>
      <c r="AS355" s="118">
        <f t="shared" si="763"/>
        <v>0</v>
      </c>
      <c r="AT355" s="401">
        <f t="shared" si="763"/>
        <v>0</v>
      </c>
      <c r="AU355" s="118">
        <f t="shared" si="763"/>
        <v>0</v>
      </c>
      <c r="AV355" s="118">
        <f t="shared" si="763"/>
        <v>0</v>
      </c>
      <c r="AW355" s="118">
        <f t="shared" si="763"/>
        <v>0</v>
      </c>
      <c r="AX355" s="118">
        <f t="shared" si="763"/>
        <v>0</v>
      </c>
      <c r="AY355" s="401">
        <f t="shared" si="763"/>
        <v>0</v>
      </c>
      <c r="AZ355" s="118">
        <f t="shared" si="763"/>
        <v>0</v>
      </c>
      <c r="BA355" s="118">
        <f t="shared" si="763"/>
        <v>0</v>
      </c>
      <c r="BB355" s="118">
        <f t="shared" si="763"/>
        <v>0</v>
      </c>
      <c r="BC355" s="118">
        <f t="shared" si="763"/>
        <v>0</v>
      </c>
      <c r="BD355" s="401">
        <f t="shared" si="763"/>
        <v>0</v>
      </c>
      <c r="BE355" s="118">
        <f t="shared" si="763"/>
        <v>0</v>
      </c>
      <c r="BF355" s="118">
        <f t="shared" si="763"/>
        <v>0</v>
      </c>
      <c r="BG355" s="118">
        <f t="shared" si="763"/>
        <v>0</v>
      </c>
      <c r="BH355" s="118">
        <f t="shared" si="763"/>
        <v>0</v>
      </c>
      <c r="BI355" s="401">
        <f t="shared" si="763"/>
        <v>0</v>
      </c>
      <c r="BJ355" s="971">
        <f t="shared" si="763"/>
        <v>0</v>
      </c>
      <c r="BK355" s="118">
        <f>BK336</f>
        <v>0</v>
      </c>
      <c r="BL355" s="118">
        <f>BL336</f>
        <v>0</v>
      </c>
      <c r="BM355" s="118">
        <f>BM336</f>
        <v>0</v>
      </c>
      <c r="BN355" s="401">
        <f t="shared" si="761"/>
        <v>0</v>
      </c>
      <c r="BO355" s="118">
        <f>BO336</f>
        <v>0</v>
      </c>
      <c r="BP355" s="118">
        <f>BP336</f>
        <v>0</v>
      </c>
      <c r="BQ355" s="118">
        <f>BQ336</f>
        <v>0</v>
      </c>
      <c r="BR355" s="118">
        <f>BR336</f>
        <v>0</v>
      </c>
      <c r="BS355" s="401">
        <f t="shared" si="762"/>
        <v>0</v>
      </c>
      <c r="BT355" s="401">
        <f>BT336</f>
        <v>0</v>
      </c>
      <c r="BU355" s="401">
        <f>BU336</f>
        <v>0</v>
      </c>
      <c r="BV355" s="401">
        <f>BV336</f>
        <v>0</v>
      </c>
      <c r="BW355" s="118"/>
    </row>
    <row r="356" spans="1:75" s="123" customFormat="1" collapsed="1" x14ac:dyDescent="0.5">
      <c r="A356" s="184" t="s">
        <v>1875</v>
      </c>
      <c r="B356" s="489"/>
      <c r="C356" s="401">
        <f t="shared" si="763"/>
        <v>0</v>
      </c>
      <c r="D356" s="401">
        <f t="shared" si="763"/>
        <v>0</v>
      </c>
      <c r="E356" s="401">
        <f t="shared" si="763"/>
        <v>0</v>
      </c>
      <c r="F356" s="401">
        <f t="shared" si="763"/>
        <v>0</v>
      </c>
      <c r="G356" s="118">
        <f t="shared" si="763"/>
        <v>0</v>
      </c>
      <c r="H356" s="118">
        <f t="shared" si="763"/>
        <v>0</v>
      </c>
      <c r="I356" s="118">
        <f t="shared" si="763"/>
        <v>0</v>
      </c>
      <c r="J356" s="118">
        <f t="shared" si="763"/>
        <v>0</v>
      </c>
      <c r="K356" s="401">
        <f t="shared" si="763"/>
        <v>0</v>
      </c>
      <c r="L356" s="118">
        <f t="shared" si="763"/>
        <v>0</v>
      </c>
      <c r="M356" s="118">
        <f t="shared" si="763"/>
        <v>0</v>
      </c>
      <c r="N356" s="118">
        <f t="shared" si="763"/>
        <v>0</v>
      </c>
      <c r="O356" s="118">
        <f t="shared" si="763"/>
        <v>0</v>
      </c>
      <c r="P356" s="401">
        <f t="shared" si="763"/>
        <v>0</v>
      </c>
      <c r="Q356" s="118">
        <f t="shared" si="763"/>
        <v>0</v>
      </c>
      <c r="R356" s="118">
        <f t="shared" si="763"/>
        <v>0</v>
      </c>
      <c r="S356" s="118">
        <f t="shared" si="763"/>
        <v>0</v>
      </c>
      <c r="T356" s="118">
        <f t="shared" si="763"/>
        <v>0</v>
      </c>
      <c r="U356" s="401">
        <f t="shared" si="763"/>
        <v>0</v>
      </c>
      <c r="V356" s="118">
        <f t="shared" si="763"/>
        <v>0</v>
      </c>
      <c r="W356" s="118">
        <f t="shared" si="763"/>
        <v>0</v>
      </c>
      <c r="X356" s="118">
        <f t="shared" si="763"/>
        <v>0</v>
      </c>
      <c r="Y356" s="118">
        <f t="shared" si="763"/>
        <v>0</v>
      </c>
      <c r="Z356" s="401">
        <f t="shared" si="763"/>
        <v>0</v>
      </c>
      <c r="AA356" s="118">
        <f t="shared" si="763"/>
        <v>0</v>
      </c>
      <c r="AB356" s="118">
        <f t="shared" si="763"/>
        <v>0</v>
      </c>
      <c r="AC356" s="118">
        <f t="shared" si="763"/>
        <v>0</v>
      </c>
      <c r="AD356" s="118">
        <f t="shared" si="763"/>
        <v>6.2089999999999996</v>
      </c>
      <c r="AE356" s="401">
        <f t="shared" si="763"/>
        <v>6.2089999999999996</v>
      </c>
      <c r="AF356" s="118">
        <f t="shared" si="763"/>
        <v>6.9260000000000002</v>
      </c>
      <c r="AG356" s="118">
        <f t="shared" si="763"/>
        <v>4.9889999999999999</v>
      </c>
      <c r="AH356" s="118">
        <f t="shared" si="763"/>
        <v>6.0040000000000004</v>
      </c>
      <c r="AI356" s="118">
        <f t="shared" si="763"/>
        <v>7.242</v>
      </c>
      <c r="AJ356" s="401">
        <f t="shared" si="763"/>
        <v>25.160999999999998</v>
      </c>
      <c r="AK356" s="118">
        <f t="shared" si="763"/>
        <v>6.4119999999999999</v>
      </c>
      <c r="AL356" s="118">
        <f t="shared" si="763"/>
        <v>7.23</v>
      </c>
      <c r="AM356" s="118">
        <f t="shared" si="763"/>
        <v>7.3620000000000001</v>
      </c>
      <c r="AN356" s="118">
        <f t="shared" si="763"/>
        <v>9.1009999999999991</v>
      </c>
      <c r="AO356" s="401">
        <f t="shared" si="763"/>
        <v>30.105</v>
      </c>
      <c r="AP356" s="118">
        <f t="shared" si="763"/>
        <v>3.3580000000000001</v>
      </c>
      <c r="AQ356" s="118">
        <f t="shared" si="763"/>
        <v>3.3410000000000002</v>
      </c>
      <c r="AR356" s="118">
        <f t="shared" si="763"/>
        <v>2.2189999999999999</v>
      </c>
      <c r="AS356" s="118">
        <f t="shared" si="763"/>
        <v>3.1739999999999999</v>
      </c>
      <c r="AT356" s="401">
        <f t="shared" si="763"/>
        <v>12.092000000000001</v>
      </c>
      <c r="AU356" s="118">
        <f t="shared" si="763"/>
        <v>2.839</v>
      </c>
      <c r="AV356" s="118">
        <f t="shared" si="763"/>
        <v>2.7570000000000001</v>
      </c>
      <c r="AW356" s="118">
        <f t="shared" si="763"/>
        <v>2.7519999999999998</v>
      </c>
      <c r="AX356" s="118">
        <f t="shared" si="763"/>
        <v>0.81200000000000006</v>
      </c>
      <c r="AY356" s="401">
        <f t="shared" si="763"/>
        <v>9.16</v>
      </c>
      <c r="AZ356" s="118">
        <f t="shared" si="763"/>
        <v>0</v>
      </c>
      <c r="BA356" s="118">
        <f t="shared" si="763"/>
        <v>0</v>
      </c>
      <c r="BB356" s="118">
        <f t="shared" si="763"/>
        <v>0</v>
      </c>
      <c r="BC356" s="118">
        <f t="shared" si="763"/>
        <v>0</v>
      </c>
      <c r="BD356" s="401">
        <f t="shared" si="763"/>
        <v>0</v>
      </c>
      <c r="BE356" s="118">
        <f t="shared" si="763"/>
        <v>0</v>
      </c>
      <c r="BF356" s="118">
        <f t="shared" si="763"/>
        <v>0</v>
      </c>
      <c r="BG356" s="118">
        <f t="shared" si="763"/>
        <v>0</v>
      </c>
      <c r="BH356" s="118">
        <f t="shared" si="763"/>
        <v>0</v>
      </c>
      <c r="BI356" s="401">
        <f t="shared" si="763"/>
        <v>0</v>
      </c>
      <c r="BJ356" s="971">
        <f t="shared" si="763"/>
        <v>0</v>
      </c>
      <c r="BK356" s="118">
        <f>BK318+BK337</f>
        <v>0</v>
      </c>
      <c r="BL356" s="118">
        <f>BL318+BL337</f>
        <v>0</v>
      </c>
      <c r="BM356" s="118">
        <f>BM318+BM337</f>
        <v>0</v>
      </c>
      <c r="BN356" s="401">
        <f t="shared" si="761"/>
        <v>0</v>
      </c>
      <c r="BO356" s="118">
        <f>BO318+BO337</f>
        <v>0</v>
      </c>
      <c r="BP356" s="118">
        <f>BP318+BP337</f>
        <v>0</v>
      </c>
      <c r="BQ356" s="118">
        <f>BQ318+BQ337</f>
        <v>0</v>
      </c>
      <c r="BR356" s="118">
        <f>BR318+BR337</f>
        <v>0</v>
      </c>
      <c r="BS356" s="401">
        <f t="shared" si="762"/>
        <v>0</v>
      </c>
      <c r="BT356" s="401">
        <f>BT318+BT337</f>
        <v>0</v>
      </c>
      <c r="BU356" s="401">
        <f>BU318+BU337</f>
        <v>0</v>
      </c>
      <c r="BV356" s="401">
        <f>BV318+BV337</f>
        <v>0</v>
      </c>
      <c r="BW356" s="118"/>
    </row>
    <row r="357" spans="1:75" s="123" customFormat="1" x14ac:dyDescent="0.5">
      <c r="A357" s="184" t="s">
        <v>1876</v>
      </c>
      <c r="B357" s="489"/>
      <c r="C357" s="401">
        <f t="shared" si="763"/>
        <v>0</v>
      </c>
      <c r="D357" s="401">
        <f t="shared" si="763"/>
        <v>0</v>
      </c>
      <c r="E357" s="401">
        <f t="shared" si="763"/>
        <v>0</v>
      </c>
      <c r="F357" s="401">
        <f t="shared" si="763"/>
        <v>0</v>
      </c>
      <c r="G357" s="118">
        <f t="shared" si="763"/>
        <v>0</v>
      </c>
      <c r="H357" s="118">
        <f t="shared" si="763"/>
        <v>0</v>
      </c>
      <c r="I357" s="118">
        <f t="shared" si="763"/>
        <v>0</v>
      </c>
      <c r="J357" s="118">
        <f t="shared" si="763"/>
        <v>0</v>
      </c>
      <c r="K357" s="401">
        <f t="shared" si="763"/>
        <v>0</v>
      </c>
      <c r="L357" s="118">
        <f t="shared" si="763"/>
        <v>0</v>
      </c>
      <c r="M357" s="118">
        <f t="shared" si="763"/>
        <v>0</v>
      </c>
      <c r="N357" s="118">
        <f t="shared" si="763"/>
        <v>0</v>
      </c>
      <c r="O357" s="118">
        <f t="shared" si="763"/>
        <v>0</v>
      </c>
      <c r="P357" s="401">
        <f t="shared" si="763"/>
        <v>0</v>
      </c>
      <c r="Q357" s="118">
        <f t="shared" si="763"/>
        <v>0</v>
      </c>
      <c r="R357" s="118">
        <f t="shared" si="763"/>
        <v>0</v>
      </c>
      <c r="S357" s="118">
        <f t="shared" si="763"/>
        <v>0</v>
      </c>
      <c r="T357" s="118">
        <f t="shared" si="763"/>
        <v>0</v>
      </c>
      <c r="U357" s="401">
        <f t="shared" si="763"/>
        <v>0</v>
      </c>
      <c r="V357" s="118">
        <f t="shared" si="763"/>
        <v>0</v>
      </c>
      <c r="W357" s="118">
        <f t="shared" si="763"/>
        <v>0</v>
      </c>
      <c r="X357" s="118">
        <f t="shared" si="763"/>
        <v>0</v>
      </c>
      <c r="Y357" s="118">
        <f t="shared" si="763"/>
        <v>0</v>
      </c>
      <c r="Z357" s="401">
        <f t="shared" si="763"/>
        <v>0</v>
      </c>
      <c r="AA357" s="118">
        <f t="shared" si="763"/>
        <v>0</v>
      </c>
      <c r="AB357" s="118">
        <f t="shared" si="763"/>
        <v>0</v>
      </c>
      <c r="AC357" s="118">
        <f t="shared" si="763"/>
        <v>0</v>
      </c>
      <c r="AD357" s="118">
        <f t="shared" si="763"/>
        <v>0</v>
      </c>
      <c r="AE357" s="401">
        <f t="shared" si="763"/>
        <v>0</v>
      </c>
      <c r="AF357" s="118">
        <f t="shared" si="763"/>
        <v>0</v>
      </c>
      <c r="AG357" s="118">
        <f t="shared" si="763"/>
        <v>0</v>
      </c>
      <c r="AH357" s="118">
        <f t="shared" si="763"/>
        <v>0</v>
      </c>
      <c r="AI357" s="118">
        <f t="shared" si="763"/>
        <v>0</v>
      </c>
      <c r="AJ357" s="401">
        <f t="shared" si="763"/>
        <v>0</v>
      </c>
      <c r="AK357" s="118">
        <f t="shared" si="763"/>
        <v>0</v>
      </c>
      <c r="AL357" s="118">
        <f t="shared" si="763"/>
        <v>0</v>
      </c>
      <c r="AM357" s="118">
        <f t="shared" si="763"/>
        <v>0</v>
      </c>
      <c r="AN357" s="118">
        <f t="shared" si="763"/>
        <v>0</v>
      </c>
      <c r="AO357" s="401">
        <f t="shared" si="763"/>
        <v>0</v>
      </c>
      <c r="AP357" s="118">
        <f t="shared" si="763"/>
        <v>0</v>
      </c>
      <c r="AQ357" s="118">
        <f t="shared" si="763"/>
        <v>0</v>
      </c>
      <c r="AR357" s="118">
        <f t="shared" si="763"/>
        <v>0</v>
      </c>
      <c r="AS357" s="118">
        <f t="shared" si="763"/>
        <v>0</v>
      </c>
      <c r="AT357" s="401">
        <f t="shared" si="763"/>
        <v>0</v>
      </c>
      <c r="AU357" s="118">
        <f t="shared" si="763"/>
        <v>0</v>
      </c>
      <c r="AV357" s="118">
        <f t="shared" si="763"/>
        <v>0</v>
      </c>
      <c r="AW357" s="118">
        <f t="shared" si="763"/>
        <v>0</v>
      </c>
      <c r="AX357" s="118">
        <f t="shared" si="763"/>
        <v>0</v>
      </c>
      <c r="AY357" s="401">
        <f t="shared" si="763"/>
        <v>0</v>
      </c>
      <c r="AZ357" s="118">
        <f t="shared" si="763"/>
        <v>0</v>
      </c>
      <c r="BA357" s="118">
        <f t="shared" si="763"/>
        <v>0</v>
      </c>
      <c r="BB357" s="118">
        <f t="shared" si="763"/>
        <v>0</v>
      </c>
      <c r="BC357" s="118">
        <f t="shared" si="763"/>
        <v>0</v>
      </c>
      <c r="BD357" s="401">
        <f t="shared" si="763"/>
        <v>0</v>
      </c>
      <c r="BE357" s="118">
        <f t="shared" si="763"/>
        <v>17.930999999999997</v>
      </c>
      <c r="BF357" s="118">
        <f t="shared" si="763"/>
        <v>0</v>
      </c>
      <c r="BG357" s="118">
        <f t="shared" si="763"/>
        <v>0</v>
      </c>
      <c r="BH357" s="118">
        <f t="shared" si="763"/>
        <v>0</v>
      </c>
      <c r="BI357" s="401">
        <f t="shared" si="763"/>
        <v>17.930999999999997</v>
      </c>
      <c r="BJ357" s="971">
        <f t="shared" si="763"/>
        <v>0</v>
      </c>
      <c r="BK357" s="118">
        <f>BK319+BK338</f>
        <v>0</v>
      </c>
      <c r="BL357" s="118">
        <f>BL319+BL338</f>
        <v>0</v>
      </c>
      <c r="BM357" s="118">
        <f>BM319+BM338</f>
        <v>0</v>
      </c>
      <c r="BN357" s="401">
        <f t="shared" si="761"/>
        <v>0</v>
      </c>
      <c r="BO357" s="118">
        <f>BO319+BO338</f>
        <v>0</v>
      </c>
      <c r="BP357" s="118">
        <f>BP319+BP338</f>
        <v>0</v>
      </c>
      <c r="BQ357" s="118">
        <f>BQ319+BQ338</f>
        <v>0</v>
      </c>
      <c r="BR357" s="118">
        <f>BR319+BR338</f>
        <v>0</v>
      </c>
      <c r="BS357" s="401">
        <f t="shared" si="762"/>
        <v>0</v>
      </c>
      <c r="BT357" s="401">
        <f>BT319+BT338</f>
        <v>0</v>
      </c>
      <c r="BU357" s="401">
        <f>BU319+BU338</f>
        <v>0</v>
      </c>
      <c r="BV357" s="401">
        <f>BV319+BV338</f>
        <v>0</v>
      </c>
      <c r="BW357" s="118"/>
    </row>
    <row r="358" spans="1:75" s="123" customFormat="1" x14ac:dyDescent="0.5">
      <c r="A358" s="184" t="s">
        <v>1877</v>
      </c>
      <c r="B358" s="489"/>
      <c r="C358" s="401">
        <f t="shared" si="763"/>
        <v>0</v>
      </c>
      <c r="D358" s="401">
        <f t="shared" si="763"/>
        <v>0</v>
      </c>
      <c r="E358" s="401">
        <f t="shared" si="763"/>
        <v>0</v>
      </c>
      <c r="F358" s="401">
        <f t="shared" si="763"/>
        <v>0</v>
      </c>
      <c r="G358" s="118">
        <f t="shared" si="763"/>
        <v>0</v>
      </c>
      <c r="H358" s="118">
        <f t="shared" si="763"/>
        <v>0</v>
      </c>
      <c r="I358" s="118">
        <f t="shared" si="763"/>
        <v>0</v>
      </c>
      <c r="J358" s="118">
        <f t="shared" si="763"/>
        <v>0</v>
      </c>
      <c r="K358" s="401">
        <f t="shared" si="763"/>
        <v>0</v>
      </c>
      <c r="L358" s="118">
        <f t="shared" si="763"/>
        <v>0</v>
      </c>
      <c r="M358" s="118">
        <f t="shared" si="763"/>
        <v>0</v>
      </c>
      <c r="N358" s="118">
        <f t="shared" si="763"/>
        <v>0</v>
      </c>
      <c r="O358" s="118">
        <f t="shared" si="763"/>
        <v>0</v>
      </c>
      <c r="P358" s="401">
        <f t="shared" si="763"/>
        <v>0</v>
      </c>
      <c r="Q358" s="118">
        <f t="shared" si="763"/>
        <v>0</v>
      </c>
      <c r="R358" s="118">
        <f t="shared" si="763"/>
        <v>0</v>
      </c>
      <c r="S358" s="118">
        <f t="shared" si="763"/>
        <v>0</v>
      </c>
      <c r="T358" s="118">
        <f t="shared" si="763"/>
        <v>0</v>
      </c>
      <c r="U358" s="401">
        <f t="shared" si="763"/>
        <v>0</v>
      </c>
      <c r="V358" s="118">
        <f t="shared" si="763"/>
        <v>0</v>
      </c>
      <c r="W358" s="118">
        <f t="shared" si="763"/>
        <v>0</v>
      </c>
      <c r="X358" s="118">
        <f t="shared" si="763"/>
        <v>0</v>
      </c>
      <c r="Y358" s="118">
        <f t="shared" si="763"/>
        <v>0</v>
      </c>
      <c r="Z358" s="401">
        <f t="shared" si="763"/>
        <v>0</v>
      </c>
      <c r="AA358" s="118">
        <f t="shared" si="763"/>
        <v>0</v>
      </c>
      <c r="AB358" s="118">
        <f t="shared" si="763"/>
        <v>0</v>
      </c>
      <c r="AC358" s="118">
        <f t="shared" si="763"/>
        <v>0</v>
      </c>
      <c r="AD358" s="118">
        <f t="shared" si="763"/>
        <v>0</v>
      </c>
      <c r="AE358" s="401">
        <f t="shared" si="763"/>
        <v>0</v>
      </c>
      <c r="AF358" s="118">
        <f t="shared" si="763"/>
        <v>0</v>
      </c>
      <c r="AG358" s="118">
        <f t="shared" si="763"/>
        <v>0</v>
      </c>
      <c r="AH358" s="118">
        <f t="shared" si="763"/>
        <v>0</v>
      </c>
      <c r="AI358" s="118">
        <f t="shared" si="763"/>
        <v>0</v>
      </c>
      <c r="AJ358" s="401">
        <f t="shared" si="763"/>
        <v>0</v>
      </c>
      <c r="AK358" s="118">
        <f t="shared" si="763"/>
        <v>0</v>
      </c>
      <c r="AL358" s="118">
        <f t="shared" si="763"/>
        <v>0</v>
      </c>
      <c r="AM358" s="118">
        <f t="shared" si="763"/>
        <v>0</v>
      </c>
      <c r="AN358" s="118">
        <f t="shared" si="763"/>
        <v>0</v>
      </c>
      <c r="AO358" s="401">
        <f t="shared" si="763"/>
        <v>0</v>
      </c>
      <c r="AP358" s="118">
        <f t="shared" si="763"/>
        <v>0</v>
      </c>
      <c r="AQ358" s="118">
        <f t="shared" si="763"/>
        <v>0</v>
      </c>
      <c r="AR358" s="118">
        <f t="shared" si="763"/>
        <v>0</v>
      </c>
      <c r="AS358" s="118">
        <f t="shared" si="763"/>
        <v>0</v>
      </c>
      <c r="AT358" s="401">
        <f t="shared" si="763"/>
        <v>0</v>
      </c>
      <c r="AU358" s="118">
        <f t="shared" si="763"/>
        <v>0</v>
      </c>
      <c r="AV358" s="118">
        <f t="shared" si="763"/>
        <v>0</v>
      </c>
      <c r="AW358" s="118">
        <f t="shared" si="763"/>
        <v>0</v>
      </c>
      <c r="AX358" s="118">
        <f t="shared" si="763"/>
        <v>0</v>
      </c>
      <c r="AY358" s="401">
        <f t="shared" si="763"/>
        <v>0</v>
      </c>
      <c r="AZ358" s="118">
        <f t="shared" si="763"/>
        <v>0</v>
      </c>
      <c r="BA358" s="118">
        <f t="shared" si="763"/>
        <v>0</v>
      </c>
      <c r="BB358" s="118">
        <f t="shared" si="763"/>
        <v>0</v>
      </c>
      <c r="BC358" s="118">
        <f t="shared" si="763"/>
        <v>0</v>
      </c>
      <c r="BD358" s="401">
        <f t="shared" si="763"/>
        <v>0</v>
      </c>
      <c r="BE358" s="118">
        <f t="shared" si="763"/>
        <v>8.3160000000000007</v>
      </c>
      <c r="BF358" s="118">
        <f t="shared" si="763"/>
        <v>0</v>
      </c>
      <c r="BG358" s="118">
        <f t="shared" si="763"/>
        <v>0</v>
      </c>
      <c r="BH358" s="118">
        <f t="shared" si="763"/>
        <v>0</v>
      </c>
      <c r="BI358" s="401">
        <f t="shared" si="763"/>
        <v>8.3160000000000007</v>
      </c>
      <c r="BJ358" s="971">
        <f t="shared" si="763"/>
        <v>0</v>
      </c>
      <c r="BK358" s="118">
        <f>BK339</f>
        <v>0</v>
      </c>
      <c r="BL358" s="118">
        <f>BL339</f>
        <v>0</v>
      </c>
      <c r="BM358" s="118">
        <f>BM339</f>
        <v>0</v>
      </c>
      <c r="BN358" s="401">
        <f t="shared" si="761"/>
        <v>0</v>
      </c>
      <c r="BO358" s="118">
        <f>BO339</f>
        <v>0</v>
      </c>
      <c r="BP358" s="118">
        <f>BP339</f>
        <v>0</v>
      </c>
      <c r="BQ358" s="118">
        <f>BQ339</f>
        <v>0</v>
      </c>
      <c r="BR358" s="118">
        <f>BR339</f>
        <v>0</v>
      </c>
      <c r="BS358" s="401">
        <f t="shared" si="762"/>
        <v>0</v>
      </c>
      <c r="BT358" s="401">
        <f>BT339</f>
        <v>0</v>
      </c>
      <c r="BU358" s="401">
        <f>BU339</f>
        <v>0</v>
      </c>
      <c r="BV358" s="401">
        <f>BV339</f>
        <v>0</v>
      </c>
      <c r="BW358" s="118"/>
    </row>
    <row r="359" spans="1:75" s="123" customFormat="1" collapsed="1" x14ac:dyDescent="0.5">
      <c r="A359" s="184" t="s">
        <v>1878</v>
      </c>
      <c r="B359" s="489"/>
      <c r="C359" s="401">
        <f t="shared" si="763"/>
        <v>0</v>
      </c>
      <c r="D359" s="401">
        <f t="shared" si="763"/>
        <v>0</v>
      </c>
      <c r="E359" s="401">
        <f t="shared" si="763"/>
        <v>0</v>
      </c>
      <c r="F359" s="401">
        <f t="shared" si="763"/>
        <v>0</v>
      </c>
      <c r="G359" s="118">
        <f t="shared" si="763"/>
        <v>0</v>
      </c>
      <c r="H359" s="118">
        <f t="shared" si="763"/>
        <v>0</v>
      </c>
      <c r="I359" s="118">
        <f t="shared" si="763"/>
        <v>0</v>
      </c>
      <c r="J359" s="118">
        <f t="shared" si="763"/>
        <v>0</v>
      </c>
      <c r="K359" s="401">
        <f t="shared" si="763"/>
        <v>0</v>
      </c>
      <c r="L359" s="118">
        <f t="shared" si="763"/>
        <v>0</v>
      </c>
      <c r="M359" s="118">
        <f t="shared" si="763"/>
        <v>0</v>
      </c>
      <c r="N359" s="118">
        <f t="shared" si="763"/>
        <v>0</v>
      </c>
      <c r="O359" s="118">
        <f t="shared" si="763"/>
        <v>0</v>
      </c>
      <c r="P359" s="401">
        <f t="shared" si="763"/>
        <v>0</v>
      </c>
      <c r="Q359" s="118">
        <f t="shared" si="763"/>
        <v>0</v>
      </c>
      <c r="R359" s="118">
        <f t="shared" ref="R359:BP365" si="764">R686</f>
        <v>0</v>
      </c>
      <c r="S359" s="118">
        <f t="shared" si="764"/>
        <v>0</v>
      </c>
      <c r="T359" s="118">
        <f t="shared" si="764"/>
        <v>0</v>
      </c>
      <c r="U359" s="401">
        <f t="shared" si="764"/>
        <v>0</v>
      </c>
      <c r="V359" s="118">
        <f t="shared" si="764"/>
        <v>13.221</v>
      </c>
      <c r="W359" s="118">
        <f t="shared" si="764"/>
        <v>0</v>
      </c>
      <c r="X359" s="118">
        <f t="shared" si="764"/>
        <v>1.1850000000000001</v>
      </c>
      <c r="Y359" s="118">
        <f t="shared" si="764"/>
        <v>0</v>
      </c>
      <c r="Z359" s="401">
        <f t="shared" si="764"/>
        <v>14.406000000000001</v>
      </c>
      <c r="AA359" s="118">
        <f t="shared" si="764"/>
        <v>5.7050000000000001</v>
      </c>
      <c r="AB359" s="118">
        <f t="shared" si="764"/>
        <v>0</v>
      </c>
      <c r="AC359" s="118">
        <f t="shared" si="764"/>
        <v>0</v>
      </c>
      <c r="AD359" s="118">
        <f t="shared" si="764"/>
        <v>2.907</v>
      </c>
      <c r="AE359" s="401">
        <f t="shared" si="764"/>
        <v>8.6120000000000001</v>
      </c>
      <c r="AF359" s="118">
        <f t="shared" si="764"/>
        <v>0</v>
      </c>
      <c r="AG359" s="118">
        <f t="shared" si="764"/>
        <v>0</v>
      </c>
      <c r="AH359" s="118">
        <f t="shared" si="764"/>
        <v>0</v>
      </c>
      <c r="AI359" s="118">
        <f t="shared" si="764"/>
        <v>0</v>
      </c>
      <c r="AJ359" s="401">
        <f t="shared" si="764"/>
        <v>0</v>
      </c>
      <c r="AK359" s="118">
        <f t="shared" si="764"/>
        <v>0</v>
      </c>
      <c r="AL359" s="118">
        <f t="shared" si="764"/>
        <v>0</v>
      </c>
      <c r="AM359" s="118">
        <f t="shared" si="764"/>
        <v>0</v>
      </c>
      <c r="AN359" s="118">
        <f t="shared" si="764"/>
        <v>0</v>
      </c>
      <c r="AO359" s="401">
        <f t="shared" si="764"/>
        <v>0</v>
      </c>
      <c r="AP359" s="118">
        <f t="shared" si="764"/>
        <v>0</v>
      </c>
      <c r="AQ359" s="118">
        <f t="shared" si="764"/>
        <v>0</v>
      </c>
      <c r="AR359" s="118">
        <f t="shared" si="764"/>
        <v>0</v>
      </c>
      <c r="AS359" s="118">
        <f t="shared" si="764"/>
        <v>0</v>
      </c>
      <c r="AT359" s="401">
        <f t="shared" si="764"/>
        <v>0</v>
      </c>
      <c r="AU359" s="118">
        <f t="shared" si="764"/>
        <v>0</v>
      </c>
      <c r="AV359" s="118">
        <f t="shared" si="764"/>
        <v>0</v>
      </c>
      <c r="AW359" s="118">
        <f t="shared" si="764"/>
        <v>0</v>
      </c>
      <c r="AX359" s="118">
        <f t="shared" si="764"/>
        <v>0</v>
      </c>
      <c r="AY359" s="401">
        <f t="shared" si="764"/>
        <v>0</v>
      </c>
      <c r="AZ359" s="118">
        <f t="shared" si="764"/>
        <v>0</v>
      </c>
      <c r="BA359" s="118">
        <f t="shared" si="764"/>
        <v>0</v>
      </c>
      <c r="BB359" s="118">
        <f t="shared" si="764"/>
        <v>0</v>
      </c>
      <c r="BC359" s="118">
        <f t="shared" si="764"/>
        <v>0</v>
      </c>
      <c r="BD359" s="401">
        <f t="shared" si="764"/>
        <v>0</v>
      </c>
      <c r="BE359" s="118">
        <f t="shared" si="764"/>
        <v>0</v>
      </c>
      <c r="BF359" s="118">
        <f t="shared" si="764"/>
        <v>0</v>
      </c>
      <c r="BG359" s="118">
        <f t="shared" si="764"/>
        <v>0</v>
      </c>
      <c r="BH359" s="118">
        <f t="shared" si="764"/>
        <v>0</v>
      </c>
      <c r="BI359" s="401">
        <f t="shared" si="764"/>
        <v>0</v>
      </c>
      <c r="BJ359" s="971">
        <f t="shared" si="764"/>
        <v>0</v>
      </c>
      <c r="BK359" s="118">
        <f>BK340</f>
        <v>0</v>
      </c>
      <c r="BL359" s="118">
        <f>BL340</f>
        <v>0</v>
      </c>
      <c r="BM359" s="118">
        <f>BM340</f>
        <v>0</v>
      </c>
      <c r="BN359" s="401">
        <f t="shared" si="761"/>
        <v>0</v>
      </c>
      <c r="BO359" s="118">
        <f>BO340</f>
        <v>0</v>
      </c>
      <c r="BP359" s="118">
        <f>BP340</f>
        <v>0</v>
      </c>
      <c r="BQ359" s="118">
        <f>BQ340</f>
        <v>0</v>
      </c>
      <c r="BR359" s="118">
        <f>BR340</f>
        <v>0</v>
      </c>
      <c r="BS359" s="401">
        <f t="shared" si="762"/>
        <v>0</v>
      </c>
      <c r="BT359" s="401">
        <f>BT340</f>
        <v>0</v>
      </c>
      <c r="BU359" s="401">
        <f>BU340</f>
        <v>0</v>
      </c>
      <c r="BV359" s="401">
        <f>BV340</f>
        <v>0</v>
      </c>
      <c r="BW359" s="118"/>
    </row>
    <row r="360" spans="1:75" s="123" customFormat="1" collapsed="1" x14ac:dyDescent="0.5">
      <c r="A360" s="184" t="s">
        <v>1879</v>
      </c>
      <c r="B360" s="489"/>
      <c r="C360" s="401">
        <f t="shared" ref="C360:BA364" si="765">C687</f>
        <v>0</v>
      </c>
      <c r="D360" s="401">
        <f t="shared" si="765"/>
        <v>0</v>
      </c>
      <c r="E360" s="401">
        <f t="shared" si="765"/>
        <v>0</v>
      </c>
      <c r="F360" s="401">
        <f t="shared" si="765"/>
        <v>0</v>
      </c>
      <c r="G360" s="118">
        <f t="shared" si="765"/>
        <v>0</v>
      </c>
      <c r="H360" s="118">
        <f t="shared" si="765"/>
        <v>0</v>
      </c>
      <c r="I360" s="118">
        <f t="shared" si="765"/>
        <v>0</v>
      </c>
      <c r="J360" s="118">
        <f t="shared" si="765"/>
        <v>0</v>
      </c>
      <c r="K360" s="401">
        <f t="shared" si="765"/>
        <v>0</v>
      </c>
      <c r="L360" s="118">
        <f t="shared" si="765"/>
        <v>0</v>
      </c>
      <c r="M360" s="118">
        <f t="shared" si="765"/>
        <v>0</v>
      </c>
      <c r="N360" s="118">
        <f t="shared" si="765"/>
        <v>0</v>
      </c>
      <c r="O360" s="118">
        <f t="shared" si="765"/>
        <v>0</v>
      </c>
      <c r="P360" s="401">
        <f t="shared" si="765"/>
        <v>0</v>
      </c>
      <c r="Q360" s="118">
        <f t="shared" si="765"/>
        <v>0</v>
      </c>
      <c r="R360" s="118">
        <f t="shared" si="765"/>
        <v>0</v>
      </c>
      <c r="S360" s="118">
        <f t="shared" si="765"/>
        <v>0</v>
      </c>
      <c r="T360" s="118">
        <f t="shared" si="765"/>
        <v>0</v>
      </c>
      <c r="U360" s="401">
        <f t="shared" si="765"/>
        <v>0</v>
      </c>
      <c r="V360" s="118">
        <f t="shared" si="765"/>
        <v>0</v>
      </c>
      <c r="W360" s="118">
        <f t="shared" si="765"/>
        <v>0</v>
      </c>
      <c r="X360" s="118">
        <f t="shared" si="765"/>
        <v>0</v>
      </c>
      <c r="Y360" s="118">
        <f t="shared" si="765"/>
        <v>0</v>
      </c>
      <c r="Z360" s="401">
        <f t="shared" si="765"/>
        <v>0</v>
      </c>
      <c r="AA360" s="118">
        <f t="shared" si="765"/>
        <v>0</v>
      </c>
      <c r="AB360" s="118">
        <f t="shared" si="765"/>
        <v>0</v>
      </c>
      <c r="AC360" s="118">
        <f t="shared" si="765"/>
        <v>0</v>
      </c>
      <c r="AD360" s="118">
        <f t="shared" si="765"/>
        <v>0</v>
      </c>
      <c r="AE360" s="401">
        <f t="shared" si="765"/>
        <v>0</v>
      </c>
      <c r="AF360" s="118">
        <f t="shared" si="765"/>
        <v>1.702</v>
      </c>
      <c r="AG360" s="118">
        <f t="shared" si="765"/>
        <v>1.8740000000000001</v>
      </c>
      <c r="AH360" s="118">
        <f t="shared" si="765"/>
        <v>1.869</v>
      </c>
      <c r="AI360" s="118">
        <f t="shared" si="765"/>
        <v>2.5430000000000001</v>
      </c>
      <c r="AJ360" s="401">
        <f t="shared" si="765"/>
        <v>7.9880000000000004</v>
      </c>
      <c r="AK360" s="118">
        <f t="shared" si="765"/>
        <v>6.5260000000000007</v>
      </c>
      <c r="AL360" s="118">
        <f t="shared" si="765"/>
        <v>0.623</v>
      </c>
      <c r="AM360" s="118">
        <f t="shared" si="765"/>
        <v>0.623</v>
      </c>
      <c r="AN360" s="118">
        <f t="shared" si="765"/>
        <v>0.624</v>
      </c>
      <c r="AO360" s="401">
        <f t="shared" si="765"/>
        <v>8.395999999999999</v>
      </c>
      <c r="AP360" s="118">
        <f t="shared" si="765"/>
        <v>0</v>
      </c>
      <c r="AQ360" s="118">
        <f t="shared" si="765"/>
        <v>0</v>
      </c>
      <c r="AR360" s="118">
        <f t="shared" si="765"/>
        <v>0</v>
      </c>
      <c r="AS360" s="118">
        <f t="shared" si="765"/>
        <v>0</v>
      </c>
      <c r="AT360" s="401">
        <f t="shared" si="765"/>
        <v>0</v>
      </c>
      <c r="AU360" s="118">
        <f t="shared" si="765"/>
        <v>0</v>
      </c>
      <c r="AV360" s="118">
        <f t="shared" si="765"/>
        <v>0</v>
      </c>
      <c r="AW360" s="118">
        <f t="shared" si="765"/>
        <v>0</v>
      </c>
      <c r="AX360" s="118">
        <f t="shared" si="765"/>
        <v>0</v>
      </c>
      <c r="AY360" s="401">
        <f t="shared" si="765"/>
        <v>0</v>
      </c>
      <c r="AZ360" s="118">
        <f t="shared" si="765"/>
        <v>0</v>
      </c>
      <c r="BA360" s="118">
        <f t="shared" si="765"/>
        <v>0</v>
      </c>
      <c r="BB360" s="118">
        <f t="shared" si="764"/>
        <v>0</v>
      </c>
      <c r="BC360" s="118">
        <f t="shared" si="764"/>
        <v>0</v>
      </c>
      <c r="BD360" s="401">
        <f t="shared" si="764"/>
        <v>0</v>
      </c>
      <c r="BE360" s="118">
        <f t="shared" si="764"/>
        <v>0</v>
      </c>
      <c r="BF360" s="118">
        <f t="shared" si="764"/>
        <v>0</v>
      </c>
      <c r="BG360" s="118">
        <f t="shared" si="764"/>
        <v>0</v>
      </c>
      <c r="BH360" s="118">
        <f t="shared" si="764"/>
        <v>0</v>
      </c>
      <c r="BI360" s="401">
        <f t="shared" si="764"/>
        <v>0</v>
      </c>
      <c r="BJ360" s="971">
        <f t="shared" si="764"/>
        <v>0</v>
      </c>
      <c r="BK360" s="118">
        <f>BK320+BK341</f>
        <v>0</v>
      </c>
      <c r="BL360" s="118">
        <f>BL320+BL341</f>
        <v>0</v>
      </c>
      <c r="BM360" s="118">
        <f>BM320+BM341</f>
        <v>0</v>
      </c>
      <c r="BN360" s="401">
        <f t="shared" si="761"/>
        <v>0</v>
      </c>
      <c r="BO360" s="118">
        <f>BO320+BO341</f>
        <v>0</v>
      </c>
      <c r="BP360" s="118">
        <f>BP320+BP341</f>
        <v>0</v>
      </c>
      <c r="BQ360" s="118">
        <f>BQ320+BQ341</f>
        <v>0</v>
      </c>
      <c r="BR360" s="118">
        <f>BR320+BR341</f>
        <v>0</v>
      </c>
      <c r="BS360" s="401">
        <f t="shared" si="762"/>
        <v>0</v>
      </c>
      <c r="BT360" s="401">
        <f>BT320+BT341</f>
        <v>0</v>
      </c>
      <c r="BU360" s="401">
        <f>BU320+BU341</f>
        <v>0</v>
      </c>
      <c r="BV360" s="401">
        <f>BV320+BV341</f>
        <v>0</v>
      </c>
      <c r="BW360" s="118"/>
    </row>
    <row r="361" spans="1:75" s="123" customFormat="1" collapsed="1" x14ac:dyDescent="0.5">
      <c r="A361" s="184" t="s">
        <v>1880</v>
      </c>
      <c r="B361" s="489"/>
      <c r="C361" s="401">
        <f t="shared" si="765"/>
        <v>0</v>
      </c>
      <c r="D361" s="401">
        <f t="shared" si="765"/>
        <v>0</v>
      </c>
      <c r="E361" s="401">
        <f t="shared" si="765"/>
        <v>0</v>
      </c>
      <c r="F361" s="401">
        <f t="shared" si="765"/>
        <v>6.99</v>
      </c>
      <c r="G361" s="118">
        <f t="shared" si="765"/>
        <v>2.9359999999999999</v>
      </c>
      <c r="H361" s="118">
        <f t="shared" si="765"/>
        <v>0</v>
      </c>
      <c r="I361" s="118">
        <f t="shared" si="765"/>
        <v>0</v>
      </c>
      <c r="J361" s="118">
        <f t="shared" si="765"/>
        <v>0</v>
      </c>
      <c r="K361" s="401">
        <f t="shared" si="765"/>
        <v>2.9359999999999999</v>
      </c>
      <c r="L361" s="118">
        <f t="shared" si="765"/>
        <v>0</v>
      </c>
      <c r="M361" s="118">
        <f t="shared" si="765"/>
        <v>0</v>
      </c>
      <c r="N361" s="118">
        <f t="shared" si="765"/>
        <v>0</v>
      </c>
      <c r="O361" s="118">
        <f t="shared" si="765"/>
        <v>0</v>
      </c>
      <c r="P361" s="401">
        <f t="shared" si="765"/>
        <v>0</v>
      </c>
      <c r="Q361" s="118">
        <f t="shared" si="765"/>
        <v>0</v>
      </c>
      <c r="R361" s="118">
        <f t="shared" si="765"/>
        <v>0</v>
      </c>
      <c r="S361" s="118">
        <f t="shared" si="765"/>
        <v>0</v>
      </c>
      <c r="T361" s="118">
        <f t="shared" si="765"/>
        <v>0</v>
      </c>
      <c r="U361" s="401">
        <f t="shared" si="765"/>
        <v>0</v>
      </c>
      <c r="V361" s="118">
        <f t="shared" si="765"/>
        <v>0</v>
      </c>
      <c r="W361" s="118">
        <f t="shared" si="765"/>
        <v>0</v>
      </c>
      <c r="X361" s="118">
        <f t="shared" si="765"/>
        <v>0</v>
      </c>
      <c r="Y361" s="118">
        <f t="shared" si="765"/>
        <v>0</v>
      </c>
      <c r="Z361" s="401">
        <f t="shared" si="765"/>
        <v>0</v>
      </c>
      <c r="AA361" s="118">
        <f t="shared" si="765"/>
        <v>0</v>
      </c>
      <c r="AB361" s="118">
        <f t="shared" si="765"/>
        <v>0</v>
      </c>
      <c r="AC361" s="118">
        <f t="shared" si="765"/>
        <v>0</v>
      </c>
      <c r="AD361" s="118">
        <f t="shared" si="765"/>
        <v>0</v>
      </c>
      <c r="AE361" s="401">
        <f t="shared" si="765"/>
        <v>0</v>
      </c>
      <c r="AF361" s="118">
        <f t="shared" si="765"/>
        <v>0</v>
      </c>
      <c r="AG361" s="118">
        <f t="shared" si="765"/>
        <v>0</v>
      </c>
      <c r="AH361" s="118">
        <f t="shared" si="765"/>
        <v>0</v>
      </c>
      <c r="AI361" s="118">
        <f t="shared" si="765"/>
        <v>0</v>
      </c>
      <c r="AJ361" s="401">
        <f t="shared" si="765"/>
        <v>0</v>
      </c>
      <c r="AK361" s="118">
        <f t="shared" si="765"/>
        <v>0</v>
      </c>
      <c r="AL361" s="118">
        <f t="shared" si="765"/>
        <v>0</v>
      </c>
      <c r="AM361" s="118">
        <f t="shared" si="765"/>
        <v>0</v>
      </c>
      <c r="AN361" s="118">
        <f t="shared" si="765"/>
        <v>0</v>
      </c>
      <c r="AO361" s="401">
        <f t="shared" si="765"/>
        <v>0</v>
      </c>
      <c r="AP361" s="118">
        <f t="shared" si="765"/>
        <v>0</v>
      </c>
      <c r="AQ361" s="118">
        <f t="shared" si="765"/>
        <v>0</v>
      </c>
      <c r="AR361" s="118">
        <f t="shared" si="765"/>
        <v>0</v>
      </c>
      <c r="AS361" s="118">
        <f t="shared" si="765"/>
        <v>0</v>
      </c>
      <c r="AT361" s="401">
        <f t="shared" si="765"/>
        <v>0</v>
      </c>
      <c r="AU361" s="118">
        <f t="shared" si="765"/>
        <v>0</v>
      </c>
      <c r="AV361" s="118">
        <f t="shared" si="765"/>
        <v>0</v>
      </c>
      <c r="AW361" s="118">
        <f t="shared" si="765"/>
        <v>0</v>
      </c>
      <c r="AX361" s="118">
        <f t="shared" si="765"/>
        <v>0</v>
      </c>
      <c r="AY361" s="401">
        <f t="shared" si="765"/>
        <v>0</v>
      </c>
      <c r="AZ361" s="118">
        <f t="shared" si="765"/>
        <v>0</v>
      </c>
      <c r="BA361" s="118">
        <f t="shared" si="765"/>
        <v>0</v>
      </c>
      <c r="BB361" s="118">
        <f t="shared" si="764"/>
        <v>0</v>
      </c>
      <c r="BC361" s="118">
        <f t="shared" si="764"/>
        <v>0</v>
      </c>
      <c r="BD361" s="401">
        <f t="shared" si="764"/>
        <v>0</v>
      </c>
      <c r="BE361" s="118">
        <f t="shared" si="764"/>
        <v>0</v>
      </c>
      <c r="BF361" s="118">
        <f t="shared" si="764"/>
        <v>0</v>
      </c>
      <c r="BG361" s="118">
        <f t="shared" si="764"/>
        <v>0</v>
      </c>
      <c r="BH361" s="118">
        <f t="shared" si="764"/>
        <v>0</v>
      </c>
      <c r="BI361" s="401">
        <f t="shared" si="764"/>
        <v>0</v>
      </c>
      <c r="BJ361" s="971">
        <f t="shared" si="764"/>
        <v>0</v>
      </c>
      <c r="BK361" s="118">
        <f>BK342</f>
        <v>0</v>
      </c>
      <c r="BL361" s="118">
        <f>BL342</f>
        <v>0</v>
      </c>
      <c r="BM361" s="118">
        <f>BM342</f>
        <v>0</v>
      </c>
      <c r="BN361" s="401">
        <f t="shared" si="761"/>
        <v>0</v>
      </c>
      <c r="BO361" s="118">
        <f>BO342</f>
        <v>0</v>
      </c>
      <c r="BP361" s="118">
        <f>BP342</f>
        <v>0</v>
      </c>
      <c r="BQ361" s="118">
        <f>BQ342</f>
        <v>0</v>
      </c>
      <c r="BR361" s="118">
        <f>BR342</f>
        <v>0</v>
      </c>
      <c r="BS361" s="401">
        <f t="shared" si="762"/>
        <v>0</v>
      </c>
      <c r="BT361" s="401">
        <f>BT342</f>
        <v>0</v>
      </c>
      <c r="BU361" s="401">
        <f>BU342</f>
        <v>0</v>
      </c>
      <c r="BV361" s="401">
        <f>BV342</f>
        <v>0</v>
      </c>
      <c r="BW361" s="118"/>
    </row>
    <row r="362" spans="1:75" s="123" customFormat="1" collapsed="1" x14ac:dyDescent="0.5">
      <c r="A362" s="184" t="s">
        <v>1881</v>
      </c>
      <c r="B362" s="489"/>
      <c r="C362" s="401">
        <f t="shared" si="765"/>
        <v>0</v>
      </c>
      <c r="D362" s="401">
        <f t="shared" si="765"/>
        <v>0</v>
      </c>
      <c r="E362" s="401">
        <f t="shared" si="765"/>
        <v>0</v>
      </c>
      <c r="F362" s="401">
        <f t="shared" si="765"/>
        <v>0</v>
      </c>
      <c r="G362" s="118">
        <f t="shared" si="765"/>
        <v>0</v>
      </c>
      <c r="H362" s="118">
        <f t="shared" si="765"/>
        <v>0</v>
      </c>
      <c r="I362" s="118">
        <f t="shared" si="765"/>
        <v>0</v>
      </c>
      <c r="J362" s="118">
        <f t="shared" si="765"/>
        <v>0</v>
      </c>
      <c r="K362" s="401">
        <f t="shared" si="765"/>
        <v>0</v>
      </c>
      <c r="L362" s="118">
        <f t="shared" si="765"/>
        <v>0</v>
      </c>
      <c r="M362" s="118">
        <f t="shared" si="765"/>
        <v>0</v>
      </c>
      <c r="N362" s="118">
        <f t="shared" si="765"/>
        <v>0</v>
      </c>
      <c r="O362" s="118">
        <f t="shared" si="765"/>
        <v>0</v>
      </c>
      <c r="P362" s="401">
        <f t="shared" si="765"/>
        <v>0</v>
      </c>
      <c r="Q362" s="118">
        <f t="shared" si="765"/>
        <v>0</v>
      </c>
      <c r="R362" s="118">
        <f t="shared" si="765"/>
        <v>0</v>
      </c>
      <c r="S362" s="118">
        <f t="shared" si="765"/>
        <v>0</v>
      </c>
      <c r="T362" s="118">
        <f t="shared" si="765"/>
        <v>0</v>
      </c>
      <c r="U362" s="401">
        <f t="shared" si="765"/>
        <v>0</v>
      </c>
      <c r="V362" s="118">
        <f t="shared" si="765"/>
        <v>0</v>
      </c>
      <c r="W362" s="118">
        <f t="shared" si="765"/>
        <v>0</v>
      </c>
      <c r="X362" s="118">
        <f t="shared" si="765"/>
        <v>0</v>
      </c>
      <c r="Y362" s="118">
        <f t="shared" si="765"/>
        <v>0</v>
      </c>
      <c r="Z362" s="401">
        <f t="shared" si="765"/>
        <v>0</v>
      </c>
      <c r="AA362" s="118">
        <f t="shared" si="765"/>
        <v>0</v>
      </c>
      <c r="AB362" s="118">
        <f t="shared" si="765"/>
        <v>0</v>
      </c>
      <c r="AC362" s="118">
        <f t="shared" si="765"/>
        <v>0</v>
      </c>
      <c r="AD362" s="118">
        <f t="shared" si="765"/>
        <v>0</v>
      </c>
      <c r="AE362" s="401">
        <f t="shared" si="765"/>
        <v>0</v>
      </c>
      <c r="AF362" s="118">
        <f t="shared" si="765"/>
        <v>0</v>
      </c>
      <c r="AG362" s="118">
        <f t="shared" si="765"/>
        <v>5.2970000000000006</v>
      </c>
      <c r="AH362" s="118">
        <f t="shared" si="765"/>
        <v>1.127</v>
      </c>
      <c r="AI362" s="118">
        <f t="shared" si="765"/>
        <v>6.7620000000000005</v>
      </c>
      <c r="AJ362" s="401">
        <f t="shared" si="765"/>
        <v>13.186</v>
      </c>
      <c r="AK362" s="118">
        <f t="shared" si="765"/>
        <v>0</v>
      </c>
      <c r="AL362" s="118">
        <f t="shared" si="765"/>
        <v>0</v>
      </c>
      <c r="AM362" s="118">
        <f t="shared" si="765"/>
        <v>0</v>
      </c>
      <c r="AN362" s="118">
        <f t="shared" si="765"/>
        <v>0</v>
      </c>
      <c r="AO362" s="401">
        <f t="shared" si="765"/>
        <v>0</v>
      </c>
      <c r="AP362" s="118">
        <f t="shared" si="765"/>
        <v>0</v>
      </c>
      <c r="AQ362" s="118">
        <f t="shared" si="765"/>
        <v>0</v>
      </c>
      <c r="AR362" s="118">
        <f t="shared" si="765"/>
        <v>0</v>
      </c>
      <c r="AS362" s="118">
        <f t="shared" si="765"/>
        <v>0</v>
      </c>
      <c r="AT362" s="401">
        <f t="shared" si="765"/>
        <v>0</v>
      </c>
      <c r="AU362" s="118">
        <f t="shared" si="765"/>
        <v>0</v>
      </c>
      <c r="AV362" s="118">
        <f t="shared" si="765"/>
        <v>0</v>
      </c>
      <c r="AW362" s="118">
        <f t="shared" si="765"/>
        <v>0</v>
      </c>
      <c r="AX362" s="118">
        <f t="shared" si="765"/>
        <v>0</v>
      </c>
      <c r="AY362" s="401">
        <f t="shared" si="765"/>
        <v>0</v>
      </c>
      <c r="AZ362" s="118">
        <f t="shared" si="765"/>
        <v>0</v>
      </c>
      <c r="BA362" s="118">
        <f t="shared" si="765"/>
        <v>0</v>
      </c>
      <c r="BB362" s="118">
        <f t="shared" si="764"/>
        <v>0</v>
      </c>
      <c r="BC362" s="118">
        <f t="shared" si="764"/>
        <v>17.687000000000001</v>
      </c>
      <c r="BD362" s="401">
        <f t="shared" si="764"/>
        <v>17.687000000000001</v>
      </c>
      <c r="BE362" s="118">
        <f t="shared" si="764"/>
        <v>0</v>
      </c>
      <c r="BF362" s="118">
        <f t="shared" si="764"/>
        <v>0</v>
      </c>
      <c r="BG362" s="118">
        <f t="shared" si="764"/>
        <v>0</v>
      </c>
      <c r="BH362" s="118">
        <f t="shared" si="764"/>
        <v>0</v>
      </c>
      <c r="BI362" s="401">
        <f t="shared" si="764"/>
        <v>0</v>
      </c>
      <c r="BJ362" s="971">
        <f t="shared" si="764"/>
        <v>0</v>
      </c>
      <c r="BK362" s="118">
        <f>BK321+BK343</f>
        <v>0</v>
      </c>
      <c r="BL362" s="118">
        <f>BL321+BL343</f>
        <v>0</v>
      </c>
      <c r="BM362" s="118">
        <f>BM321+BM343</f>
        <v>0</v>
      </c>
      <c r="BN362" s="401">
        <f t="shared" si="761"/>
        <v>0</v>
      </c>
      <c r="BO362" s="118">
        <f>BO321+BO343</f>
        <v>0</v>
      </c>
      <c r="BP362" s="118">
        <f>BP321+BP343</f>
        <v>0</v>
      </c>
      <c r="BQ362" s="118">
        <f>BQ321+BQ343</f>
        <v>0</v>
      </c>
      <c r="BR362" s="118">
        <f>BR321+BR343</f>
        <v>0</v>
      </c>
      <c r="BS362" s="401">
        <f t="shared" si="762"/>
        <v>0</v>
      </c>
      <c r="BT362" s="401">
        <f>BT321+BT343</f>
        <v>0</v>
      </c>
      <c r="BU362" s="401">
        <f>BU321+BU343</f>
        <v>0</v>
      </c>
      <c r="BV362" s="401">
        <f>BV321+BV343</f>
        <v>0</v>
      </c>
      <c r="BW362" s="118"/>
    </row>
    <row r="363" spans="1:75" s="123" customFormat="1" collapsed="1" x14ac:dyDescent="0.5">
      <c r="A363" s="184" t="s">
        <v>1882</v>
      </c>
      <c r="B363" s="489"/>
      <c r="C363" s="401">
        <f t="shared" si="765"/>
        <v>0</v>
      </c>
      <c r="D363" s="401">
        <f t="shared" si="765"/>
        <v>0</v>
      </c>
      <c r="E363" s="401">
        <f t="shared" si="765"/>
        <v>0</v>
      </c>
      <c r="F363" s="401">
        <f t="shared" si="765"/>
        <v>0</v>
      </c>
      <c r="G363" s="118">
        <f t="shared" si="765"/>
        <v>0</v>
      </c>
      <c r="H363" s="118">
        <f t="shared" si="765"/>
        <v>0</v>
      </c>
      <c r="I363" s="118">
        <f t="shared" si="765"/>
        <v>0</v>
      </c>
      <c r="J363" s="118">
        <f t="shared" si="765"/>
        <v>0</v>
      </c>
      <c r="K363" s="401">
        <f t="shared" si="765"/>
        <v>0</v>
      </c>
      <c r="L363" s="118">
        <f t="shared" si="765"/>
        <v>0</v>
      </c>
      <c r="M363" s="118">
        <f t="shared" si="765"/>
        <v>0</v>
      </c>
      <c r="N363" s="118">
        <f t="shared" si="765"/>
        <v>0</v>
      </c>
      <c r="O363" s="118">
        <f t="shared" si="765"/>
        <v>0</v>
      </c>
      <c r="P363" s="401">
        <f t="shared" si="765"/>
        <v>0</v>
      </c>
      <c r="Q363" s="118">
        <f t="shared" si="765"/>
        <v>0</v>
      </c>
      <c r="R363" s="118">
        <f t="shared" si="765"/>
        <v>0</v>
      </c>
      <c r="S363" s="118">
        <f t="shared" si="765"/>
        <v>0</v>
      </c>
      <c r="T363" s="118">
        <f t="shared" si="765"/>
        <v>0</v>
      </c>
      <c r="U363" s="401">
        <f t="shared" si="765"/>
        <v>0</v>
      </c>
      <c r="V363" s="118">
        <f t="shared" si="765"/>
        <v>0</v>
      </c>
      <c r="W363" s="118">
        <f t="shared" si="765"/>
        <v>0</v>
      </c>
      <c r="X363" s="118">
        <f t="shared" si="765"/>
        <v>0</v>
      </c>
      <c r="Y363" s="118">
        <f t="shared" si="765"/>
        <v>0</v>
      </c>
      <c r="Z363" s="401">
        <f t="shared" si="765"/>
        <v>0</v>
      </c>
      <c r="AA363" s="118">
        <f t="shared" si="765"/>
        <v>0</v>
      </c>
      <c r="AB363" s="118">
        <f t="shared" si="765"/>
        <v>0</v>
      </c>
      <c r="AC363" s="118">
        <f t="shared" si="765"/>
        <v>0</v>
      </c>
      <c r="AD363" s="118">
        <f t="shared" si="765"/>
        <v>0</v>
      </c>
      <c r="AE363" s="401">
        <f t="shared" si="765"/>
        <v>0</v>
      </c>
      <c r="AF363" s="118">
        <f t="shared" si="765"/>
        <v>0</v>
      </c>
      <c r="AG363" s="118">
        <f t="shared" si="765"/>
        <v>0</v>
      </c>
      <c r="AH363" s="118">
        <f t="shared" si="765"/>
        <v>0</v>
      </c>
      <c r="AI363" s="118">
        <f t="shared" si="765"/>
        <v>0</v>
      </c>
      <c r="AJ363" s="401">
        <f t="shared" si="765"/>
        <v>0</v>
      </c>
      <c r="AK363" s="118">
        <f t="shared" si="765"/>
        <v>0</v>
      </c>
      <c r="AL363" s="118">
        <f t="shared" si="765"/>
        <v>0</v>
      </c>
      <c r="AM363" s="118">
        <f t="shared" si="765"/>
        <v>0</v>
      </c>
      <c r="AN363" s="118">
        <f t="shared" si="765"/>
        <v>0</v>
      </c>
      <c r="AO363" s="401">
        <f t="shared" si="765"/>
        <v>0</v>
      </c>
      <c r="AP363" s="118">
        <f t="shared" si="765"/>
        <v>11.378</v>
      </c>
      <c r="AQ363" s="118">
        <f t="shared" si="765"/>
        <v>0</v>
      </c>
      <c r="AR363" s="118">
        <f t="shared" si="765"/>
        <v>0</v>
      </c>
      <c r="AS363" s="118">
        <f t="shared" si="765"/>
        <v>0</v>
      </c>
      <c r="AT363" s="401">
        <f t="shared" si="765"/>
        <v>11.378</v>
      </c>
      <c r="AU363" s="118">
        <f t="shared" si="765"/>
        <v>0</v>
      </c>
      <c r="AV363" s="118">
        <f t="shared" si="765"/>
        <v>0</v>
      </c>
      <c r="AW363" s="118">
        <f t="shared" si="765"/>
        <v>0</v>
      </c>
      <c r="AX363" s="118">
        <f t="shared" si="765"/>
        <v>0</v>
      </c>
      <c r="AY363" s="401">
        <f t="shared" si="765"/>
        <v>0</v>
      </c>
      <c r="AZ363" s="118">
        <f t="shared" si="765"/>
        <v>0</v>
      </c>
      <c r="BA363" s="118">
        <f t="shared" si="765"/>
        <v>0</v>
      </c>
      <c r="BB363" s="118">
        <f t="shared" si="764"/>
        <v>0</v>
      </c>
      <c r="BC363" s="118">
        <f t="shared" si="764"/>
        <v>0</v>
      </c>
      <c r="BD363" s="401">
        <f t="shared" si="764"/>
        <v>0</v>
      </c>
      <c r="BE363" s="118">
        <f t="shared" si="764"/>
        <v>0</v>
      </c>
      <c r="BF363" s="118">
        <f t="shared" si="764"/>
        <v>0</v>
      </c>
      <c r="BG363" s="118">
        <f t="shared" si="764"/>
        <v>0</v>
      </c>
      <c r="BH363" s="118">
        <f t="shared" si="764"/>
        <v>0</v>
      </c>
      <c r="BI363" s="401">
        <f t="shared" si="764"/>
        <v>0</v>
      </c>
      <c r="BJ363" s="971">
        <f t="shared" si="764"/>
        <v>0</v>
      </c>
      <c r="BK363" s="118">
        <f>BK322</f>
        <v>0</v>
      </c>
      <c r="BL363" s="118">
        <f>BL322</f>
        <v>0</v>
      </c>
      <c r="BM363" s="118">
        <f>BM322</f>
        <v>0</v>
      </c>
      <c r="BN363" s="401">
        <f t="shared" si="761"/>
        <v>0</v>
      </c>
      <c r="BO363" s="118">
        <f>BO322</f>
        <v>0</v>
      </c>
      <c r="BP363" s="118">
        <f>BP322</f>
        <v>0</v>
      </c>
      <c r="BQ363" s="118">
        <f>BQ322</f>
        <v>0</v>
      </c>
      <c r="BR363" s="118">
        <f>BR322</f>
        <v>0</v>
      </c>
      <c r="BS363" s="401">
        <f t="shared" si="762"/>
        <v>0</v>
      </c>
      <c r="BT363" s="401">
        <f>BT322</f>
        <v>0</v>
      </c>
      <c r="BU363" s="401">
        <f>BU322</f>
        <v>0</v>
      </c>
      <c r="BV363" s="401">
        <f>BV322</f>
        <v>0</v>
      </c>
      <c r="BW363" s="118"/>
    </row>
    <row r="364" spans="1:75" s="123" customFormat="1" collapsed="1" x14ac:dyDescent="0.5">
      <c r="A364" s="184" t="s">
        <v>1883</v>
      </c>
      <c r="B364" s="489"/>
      <c r="C364" s="401">
        <f t="shared" si="765"/>
        <v>0</v>
      </c>
      <c r="D364" s="401">
        <f t="shared" si="765"/>
        <v>0</v>
      </c>
      <c r="E364" s="401">
        <f t="shared" si="765"/>
        <v>0</v>
      </c>
      <c r="F364" s="401">
        <f t="shared" si="765"/>
        <v>0</v>
      </c>
      <c r="G364" s="118">
        <f t="shared" si="765"/>
        <v>0</v>
      </c>
      <c r="H364" s="118">
        <f t="shared" si="765"/>
        <v>0</v>
      </c>
      <c r="I364" s="118">
        <f t="shared" si="765"/>
        <v>0</v>
      </c>
      <c r="J364" s="118">
        <f t="shared" si="765"/>
        <v>0</v>
      </c>
      <c r="K364" s="401">
        <f t="shared" si="765"/>
        <v>0</v>
      </c>
      <c r="L364" s="118">
        <f t="shared" si="765"/>
        <v>0</v>
      </c>
      <c r="M364" s="118">
        <f t="shared" si="765"/>
        <v>0</v>
      </c>
      <c r="N364" s="118">
        <f t="shared" si="765"/>
        <v>0</v>
      </c>
      <c r="O364" s="118">
        <f t="shared" si="765"/>
        <v>0</v>
      </c>
      <c r="P364" s="401">
        <f t="shared" si="765"/>
        <v>0</v>
      </c>
      <c r="Q364" s="118">
        <f t="shared" si="765"/>
        <v>0</v>
      </c>
      <c r="R364" s="118">
        <f t="shared" si="765"/>
        <v>0</v>
      </c>
      <c r="S364" s="118">
        <f t="shared" si="765"/>
        <v>0</v>
      </c>
      <c r="T364" s="118">
        <f t="shared" si="765"/>
        <v>0</v>
      </c>
      <c r="U364" s="401">
        <f t="shared" si="765"/>
        <v>0</v>
      </c>
      <c r="V364" s="118">
        <f t="shared" si="765"/>
        <v>0</v>
      </c>
      <c r="W364" s="118">
        <f t="shared" si="765"/>
        <v>0</v>
      </c>
      <c r="X364" s="118">
        <f t="shared" si="765"/>
        <v>0</v>
      </c>
      <c r="Y364" s="118">
        <f t="shared" si="765"/>
        <v>0</v>
      </c>
      <c r="Z364" s="401">
        <f t="shared" si="765"/>
        <v>0</v>
      </c>
      <c r="AA364" s="118">
        <f t="shared" si="765"/>
        <v>0</v>
      </c>
      <c r="AB364" s="118">
        <f t="shared" si="765"/>
        <v>0</v>
      </c>
      <c r="AC364" s="118">
        <f t="shared" si="765"/>
        <v>0</v>
      </c>
      <c r="AD364" s="118">
        <f t="shared" si="765"/>
        <v>0</v>
      </c>
      <c r="AE364" s="401">
        <f t="shared" si="765"/>
        <v>0</v>
      </c>
      <c r="AF364" s="118">
        <f t="shared" si="765"/>
        <v>0</v>
      </c>
      <c r="AG364" s="118">
        <f t="shared" si="765"/>
        <v>0</v>
      </c>
      <c r="AH364" s="118">
        <f t="shared" si="765"/>
        <v>0</v>
      </c>
      <c r="AI364" s="118">
        <f t="shared" si="765"/>
        <v>0.26900000000000002</v>
      </c>
      <c r="AJ364" s="401">
        <f t="shared" si="765"/>
        <v>0.26900000000000002</v>
      </c>
      <c r="AK364" s="118">
        <f t="shared" si="765"/>
        <v>0</v>
      </c>
      <c r="AL364" s="118">
        <f t="shared" si="765"/>
        <v>0</v>
      </c>
      <c r="AM364" s="118">
        <f t="shared" si="765"/>
        <v>0</v>
      </c>
      <c r="AN364" s="118">
        <f t="shared" si="765"/>
        <v>0</v>
      </c>
      <c r="AO364" s="401">
        <f t="shared" si="765"/>
        <v>0</v>
      </c>
      <c r="AP364" s="118">
        <f t="shared" si="765"/>
        <v>0</v>
      </c>
      <c r="AQ364" s="118">
        <f t="shared" si="765"/>
        <v>0</v>
      </c>
      <c r="AR364" s="118">
        <f t="shared" si="765"/>
        <v>0</v>
      </c>
      <c r="AS364" s="118">
        <f t="shared" si="765"/>
        <v>0</v>
      </c>
      <c r="AT364" s="401">
        <f t="shared" si="765"/>
        <v>0</v>
      </c>
      <c r="AU364" s="118">
        <f t="shared" si="765"/>
        <v>0</v>
      </c>
      <c r="AV364" s="118">
        <f t="shared" si="765"/>
        <v>0</v>
      </c>
      <c r="AW364" s="118">
        <f t="shared" si="765"/>
        <v>0</v>
      </c>
      <c r="AX364" s="118">
        <f t="shared" si="765"/>
        <v>0</v>
      </c>
      <c r="AY364" s="401">
        <f t="shared" si="765"/>
        <v>0</v>
      </c>
      <c r="AZ364" s="118">
        <f t="shared" si="765"/>
        <v>0</v>
      </c>
      <c r="BA364" s="118">
        <f t="shared" si="765"/>
        <v>0</v>
      </c>
      <c r="BB364" s="118">
        <f>BB691</f>
        <v>0</v>
      </c>
      <c r="BC364" s="118">
        <f t="shared" si="764"/>
        <v>0</v>
      </c>
      <c r="BD364" s="401">
        <f t="shared" si="764"/>
        <v>0</v>
      </c>
      <c r="BE364" s="118">
        <f t="shared" si="764"/>
        <v>0</v>
      </c>
      <c r="BF364" s="118">
        <f t="shared" si="764"/>
        <v>0</v>
      </c>
      <c r="BG364" s="118">
        <f t="shared" si="764"/>
        <v>0</v>
      </c>
      <c r="BH364" s="118">
        <f t="shared" si="764"/>
        <v>0</v>
      </c>
      <c r="BI364" s="401">
        <f t="shared" si="764"/>
        <v>0</v>
      </c>
      <c r="BJ364" s="971">
        <f t="shared" si="764"/>
        <v>0</v>
      </c>
      <c r="BK364" s="118">
        <f>BK344</f>
        <v>0</v>
      </c>
      <c r="BL364" s="118">
        <f>BL344</f>
        <v>0</v>
      </c>
      <c r="BM364" s="118">
        <f>BM344</f>
        <v>0</v>
      </c>
      <c r="BN364" s="401">
        <f t="shared" si="761"/>
        <v>0</v>
      </c>
      <c r="BO364" s="118">
        <f>BO344</f>
        <v>0</v>
      </c>
      <c r="BP364" s="118">
        <f>BP344</f>
        <v>0</v>
      </c>
      <c r="BQ364" s="118">
        <f>BQ344</f>
        <v>0</v>
      </c>
      <c r="BR364" s="118">
        <f>BR344</f>
        <v>0</v>
      </c>
      <c r="BS364" s="401">
        <f t="shared" si="762"/>
        <v>0</v>
      </c>
      <c r="BT364" s="401">
        <f>BT344</f>
        <v>0</v>
      </c>
      <c r="BU364" s="401">
        <f>BU344</f>
        <v>0</v>
      </c>
      <c r="BV364" s="401">
        <f>BV344</f>
        <v>0</v>
      </c>
      <c r="BW364" s="118"/>
    </row>
    <row r="365" spans="1:75" s="123" customFormat="1" collapsed="1" x14ac:dyDescent="0.5">
      <c r="A365" s="445" t="s">
        <v>1884</v>
      </c>
      <c r="B365" s="486"/>
      <c r="C365" s="406">
        <f t="shared" ref="C365:BA365" si="766">C692</f>
        <v>0</v>
      </c>
      <c r="D365" s="406">
        <f t="shared" si="766"/>
        <v>0</v>
      </c>
      <c r="E365" s="406">
        <f t="shared" si="766"/>
        <v>0</v>
      </c>
      <c r="F365" s="406">
        <f t="shared" si="766"/>
        <v>0</v>
      </c>
      <c r="G365" s="723">
        <f t="shared" si="766"/>
        <v>0</v>
      </c>
      <c r="H365" s="723">
        <f t="shared" si="766"/>
        <v>0</v>
      </c>
      <c r="I365" s="723">
        <f t="shared" si="766"/>
        <v>0</v>
      </c>
      <c r="J365" s="723">
        <f t="shared" si="766"/>
        <v>0</v>
      </c>
      <c r="K365" s="406">
        <f t="shared" si="766"/>
        <v>0</v>
      </c>
      <c r="L365" s="723">
        <f t="shared" si="766"/>
        <v>0</v>
      </c>
      <c r="M365" s="723">
        <f t="shared" si="766"/>
        <v>0</v>
      </c>
      <c r="N365" s="723">
        <f t="shared" si="766"/>
        <v>0</v>
      </c>
      <c r="O365" s="723">
        <f t="shared" si="766"/>
        <v>0</v>
      </c>
      <c r="P365" s="406">
        <f t="shared" si="766"/>
        <v>0</v>
      </c>
      <c r="Q365" s="723">
        <f t="shared" si="766"/>
        <v>0</v>
      </c>
      <c r="R365" s="723">
        <f t="shared" si="766"/>
        <v>0</v>
      </c>
      <c r="S365" s="723">
        <f t="shared" si="766"/>
        <v>0</v>
      </c>
      <c r="T365" s="723">
        <f t="shared" si="766"/>
        <v>0</v>
      </c>
      <c r="U365" s="406">
        <f t="shared" si="766"/>
        <v>0</v>
      </c>
      <c r="V365" s="723">
        <f t="shared" si="766"/>
        <v>0</v>
      </c>
      <c r="W365" s="723">
        <f t="shared" si="766"/>
        <v>0</v>
      </c>
      <c r="X365" s="723">
        <f t="shared" si="766"/>
        <v>0</v>
      </c>
      <c r="Y365" s="723">
        <f t="shared" si="766"/>
        <v>0</v>
      </c>
      <c r="Z365" s="406">
        <f t="shared" si="766"/>
        <v>0</v>
      </c>
      <c r="AA365" s="723">
        <f t="shared" si="766"/>
        <v>0</v>
      </c>
      <c r="AB365" s="723">
        <f t="shared" si="766"/>
        <v>0</v>
      </c>
      <c r="AC365" s="723">
        <f t="shared" si="766"/>
        <v>0</v>
      </c>
      <c r="AD365" s="723">
        <f t="shared" si="766"/>
        <v>0</v>
      </c>
      <c r="AE365" s="406">
        <f t="shared" si="766"/>
        <v>0</v>
      </c>
      <c r="AF365" s="723">
        <f t="shared" si="766"/>
        <v>0</v>
      </c>
      <c r="AG365" s="723">
        <f t="shared" si="766"/>
        <v>0</v>
      </c>
      <c r="AH365" s="723">
        <f t="shared" si="766"/>
        <v>0</v>
      </c>
      <c r="AI365" s="723">
        <f t="shared" si="766"/>
        <v>0</v>
      </c>
      <c r="AJ365" s="406">
        <f t="shared" si="766"/>
        <v>0</v>
      </c>
      <c r="AK365" s="723">
        <f t="shared" si="766"/>
        <v>0</v>
      </c>
      <c r="AL365" s="723">
        <f t="shared" si="766"/>
        <v>0</v>
      </c>
      <c r="AM365" s="723">
        <f t="shared" si="766"/>
        <v>0</v>
      </c>
      <c r="AN365" s="723">
        <f t="shared" si="766"/>
        <v>0</v>
      </c>
      <c r="AO365" s="406">
        <f t="shared" si="766"/>
        <v>0</v>
      </c>
      <c r="AP365" s="723">
        <f t="shared" si="766"/>
        <v>15.62</v>
      </c>
      <c r="AQ365" s="723">
        <f t="shared" si="766"/>
        <v>6.3550000000000004</v>
      </c>
      <c r="AR365" s="723">
        <f t="shared" si="766"/>
        <v>0</v>
      </c>
      <c r="AS365" s="723">
        <f t="shared" si="766"/>
        <v>5.0940000000000003</v>
      </c>
      <c r="AT365" s="406">
        <f t="shared" si="766"/>
        <v>27.068999999999999</v>
      </c>
      <c r="AU365" s="723">
        <f t="shared" si="766"/>
        <v>0</v>
      </c>
      <c r="AV365" s="723">
        <f t="shared" si="766"/>
        <v>0</v>
      </c>
      <c r="AW365" s="723">
        <f t="shared" si="766"/>
        <v>0</v>
      </c>
      <c r="AX365" s="723">
        <f t="shared" si="766"/>
        <v>0</v>
      </c>
      <c r="AY365" s="406">
        <f t="shared" si="766"/>
        <v>0</v>
      </c>
      <c r="AZ365" s="723">
        <f t="shared" si="766"/>
        <v>0</v>
      </c>
      <c r="BA365" s="723">
        <f t="shared" si="766"/>
        <v>0</v>
      </c>
      <c r="BB365" s="723">
        <f>BB692</f>
        <v>0</v>
      </c>
      <c r="BC365" s="723">
        <f t="shared" si="764"/>
        <v>0</v>
      </c>
      <c r="BD365" s="406">
        <f t="shared" si="764"/>
        <v>0</v>
      </c>
      <c r="BE365" s="723">
        <f t="shared" si="764"/>
        <v>0</v>
      </c>
      <c r="BF365" s="723">
        <f t="shared" si="764"/>
        <v>0</v>
      </c>
      <c r="BG365" s="723">
        <f t="shared" si="764"/>
        <v>0</v>
      </c>
      <c r="BH365" s="723">
        <f t="shared" si="764"/>
        <v>0</v>
      </c>
      <c r="BI365" s="406">
        <f t="shared" si="764"/>
        <v>0</v>
      </c>
      <c r="BJ365" s="1049">
        <f t="shared" si="764"/>
        <v>0</v>
      </c>
      <c r="BK365" s="723">
        <f>BK345</f>
        <v>0</v>
      </c>
      <c r="BL365" s="723">
        <f>BL345</f>
        <v>0</v>
      </c>
      <c r="BM365" s="723">
        <f>BM345</f>
        <v>0</v>
      </c>
      <c r="BN365" s="406">
        <f t="shared" si="761"/>
        <v>0</v>
      </c>
      <c r="BO365" s="723">
        <f>BO345</f>
        <v>0</v>
      </c>
      <c r="BP365" s="723">
        <f>BP345</f>
        <v>0</v>
      </c>
      <c r="BQ365" s="723">
        <f>BQ345</f>
        <v>0</v>
      </c>
      <c r="BR365" s="723">
        <f>BR345</f>
        <v>0</v>
      </c>
      <c r="BS365" s="406">
        <f t="shared" si="762"/>
        <v>0</v>
      </c>
      <c r="BT365" s="406">
        <f>BT345</f>
        <v>0</v>
      </c>
      <c r="BU365" s="406">
        <f>BU345</f>
        <v>0</v>
      </c>
      <c r="BV365" s="406">
        <f>BV345</f>
        <v>0</v>
      </c>
      <c r="BW365" s="118"/>
    </row>
    <row r="366" spans="1:75" s="123" customFormat="1" collapsed="1" x14ac:dyDescent="0.5">
      <c r="A366" s="192" t="s">
        <v>771</v>
      </c>
      <c r="B366" s="495"/>
      <c r="C366" s="518">
        <f t="shared" ref="C366:BN366" si="767">SUM(C352:C365)</f>
        <v>162.18514069792039</v>
      </c>
      <c r="D366" s="518">
        <f t="shared" si="767"/>
        <v>344.94729435430702</v>
      </c>
      <c r="E366" s="518">
        <f t="shared" si="767"/>
        <v>384.8345914464125</v>
      </c>
      <c r="F366" s="518">
        <f t="shared" si="767"/>
        <v>416.25420607390299</v>
      </c>
      <c r="G366" s="327">
        <f t="shared" si="767"/>
        <v>66.790843236375395</v>
      </c>
      <c r="H366" s="327">
        <f t="shared" si="767"/>
        <v>78.165500391464505</v>
      </c>
      <c r="I366" s="327">
        <f t="shared" si="767"/>
        <v>92.581959845865356</v>
      </c>
      <c r="J366" s="327">
        <f t="shared" si="767"/>
        <v>217.88349037456939</v>
      </c>
      <c r="K366" s="518">
        <f t="shared" si="767"/>
        <v>455.13703314418433</v>
      </c>
      <c r="L366" s="327">
        <f t="shared" si="767"/>
        <v>74.402284215820117</v>
      </c>
      <c r="M366" s="327">
        <f t="shared" si="767"/>
        <v>85.418124757723561</v>
      </c>
      <c r="N366" s="327">
        <f t="shared" si="767"/>
        <v>104.81160556421577</v>
      </c>
      <c r="O366" s="327">
        <f t="shared" si="767"/>
        <v>230.62325662640836</v>
      </c>
      <c r="P366" s="518">
        <f t="shared" si="767"/>
        <v>494.95789402792536</v>
      </c>
      <c r="Q366" s="327">
        <f t="shared" si="767"/>
        <v>71.997787207618956</v>
      </c>
      <c r="R366" s="327">
        <f t="shared" si="767"/>
        <v>83.41694936061927</v>
      </c>
      <c r="S366" s="327">
        <f t="shared" si="767"/>
        <v>110.77283411818379</v>
      </c>
      <c r="T366" s="327">
        <f t="shared" si="767"/>
        <v>222.82037662390064</v>
      </c>
      <c r="U366" s="518">
        <f t="shared" si="767"/>
        <v>488.7321963750656</v>
      </c>
      <c r="V366" s="327">
        <f t="shared" si="767"/>
        <v>76.803864835396098</v>
      </c>
      <c r="W366" s="327">
        <f t="shared" si="767"/>
        <v>83.347849798408845</v>
      </c>
      <c r="X366" s="327">
        <f t="shared" si="767"/>
        <v>111.25230923770555</v>
      </c>
      <c r="Y366" s="327">
        <f t="shared" si="767"/>
        <v>215.95545775967207</v>
      </c>
      <c r="Z366" s="518">
        <f t="shared" si="767"/>
        <v>487.09796154145744</v>
      </c>
      <c r="AA366" s="327">
        <f t="shared" si="767"/>
        <v>68.235206573597935</v>
      </c>
      <c r="AB366" s="327">
        <f t="shared" si="767"/>
        <v>81.651895799455062</v>
      </c>
      <c r="AC366" s="327">
        <f t="shared" si="767"/>
        <v>110.89828432984231</v>
      </c>
      <c r="AD366" s="327">
        <f t="shared" si="767"/>
        <v>208.17445177915835</v>
      </c>
      <c r="AE366" s="518">
        <f t="shared" si="767"/>
        <v>468.71775495124592</v>
      </c>
      <c r="AF366" s="327">
        <f t="shared" si="767"/>
        <v>75.233351965306682</v>
      </c>
      <c r="AG366" s="327">
        <f t="shared" si="767"/>
        <v>86.384193739029726</v>
      </c>
      <c r="AH366" s="327">
        <f t="shared" si="767"/>
        <v>103.45361123940064</v>
      </c>
      <c r="AI366" s="327">
        <f t="shared" si="767"/>
        <v>217.77842125546266</v>
      </c>
      <c r="AJ366" s="518">
        <f t="shared" si="767"/>
        <v>482.63391152809334</v>
      </c>
      <c r="AK366" s="327">
        <f t="shared" si="767"/>
        <v>87.129729343857065</v>
      </c>
      <c r="AL366" s="327">
        <f t="shared" si="767"/>
        <v>94.080856813542994</v>
      </c>
      <c r="AM366" s="327">
        <f t="shared" si="767"/>
        <v>109.9466363797703</v>
      </c>
      <c r="AN366" s="327">
        <f t="shared" si="767"/>
        <v>213.52148335041949</v>
      </c>
      <c r="AO366" s="518">
        <f t="shared" si="767"/>
        <v>504.45398836352842</v>
      </c>
      <c r="AP366" s="327">
        <f t="shared" si="767"/>
        <v>79.040382190619653</v>
      </c>
      <c r="AQ366" s="327">
        <f t="shared" si="767"/>
        <v>195.18133851608926</v>
      </c>
      <c r="AR366" s="327">
        <f t="shared" si="767"/>
        <v>276.97862391472893</v>
      </c>
      <c r="AS366" s="327">
        <f t="shared" si="767"/>
        <v>410.53037913169538</v>
      </c>
      <c r="AT366" s="518">
        <f t="shared" si="767"/>
        <v>961.37025794268777</v>
      </c>
      <c r="AU366" s="327">
        <f t="shared" si="767"/>
        <v>278.17333129639354</v>
      </c>
      <c r="AV366" s="327">
        <f t="shared" si="767"/>
        <v>326.02283356387147</v>
      </c>
      <c r="AW366" s="327">
        <f t="shared" si="767"/>
        <v>333.18029949173126</v>
      </c>
      <c r="AX366" s="327">
        <f t="shared" si="767"/>
        <v>525.59374246999857</v>
      </c>
      <c r="AY366" s="518">
        <f t="shared" si="767"/>
        <v>1462.4522220807919</v>
      </c>
      <c r="AZ366" s="327">
        <f t="shared" si="767"/>
        <v>323.65204292610036</v>
      </c>
      <c r="BA366" s="327">
        <f t="shared" si="767"/>
        <v>365.69200101659032</v>
      </c>
      <c r="BB366" s="327">
        <f t="shared" si="767"/>
        <v>339.78790149933371</v>
      </c>
      <c r="BC366" s="327">
        <f t="shared" si="767"/>
        <v>487.6655091197627</v>
      </c>
      <c r="BD366" s="518">
        <f t="shared" si="767"/>
        <v>1516.2817403697552</v>
      </c>
      <c r="BE366" s="327">
        <f t="shared" si="767"/>
        <v>225.83763290687122</v>
      </c>
      <c r="BF366" s="327">
        <f t="shared" si="767"/>
        <v>271.69378866045247</v>
      </c>
      <c r="BG366" s="327">
        <f t="shared" si="767"/>
        <v>315.24697653278679</v>
      </c>
      <c r="BH366" s="327">
        <f t="shared" si="767"/>
        <v>458.29201082215076</v>
      </c>
      <c r="BI366" s="518">
        <f t="shared" si="767"/>
        <v>1270.6005275272323</v>
      </c>
      <c r="BJ366" s="1026">
        <f>SUM(BJ352:BJ365)</f>
        <v>323.82799999999997</v>
      </c>
      <c r="BK366" s="327">
        <f t="shared" si="767"/>
        <v>255.67882721866772</v>
      </c>
      <c r="BL366" s="327">
        <f t="shared" si="767"/>
        <v>311.10061624110324</v>
      </c>
      <c r="BM366" s="327">
        <f t="shared" si="767"/>
        <v>485.70055928553563</v>
      </c>
      <c r="BN366" s="518">
        <f t="shared" si="767"/>
        <v>1376.3080027453066</v>
      </c>
      <c r="BO366" s="327">
        <f t="shared" ref="BO366:CF366" si="768">SUM(BO352:BO365)</f>
        <v>269.5104762677845</v>
      </c>
      <c r="BP366" s="327">
        <f t="shared" si="768"/>
        <v>266.60961762272609</v>
      </c>
      <c r="BQ366" s="327">
        <f t="shared" si="768"/>
        <v>339.70019047673543</v>
      </c>
      <c r="BR366" s="327">
        <f t="shared" si="768"/>
        <v>461.63531617355079</v>
      </c>
      <c r="BS366" s="518">
        <f t="shared" si="768"/>
        <v>1337.4556005407962</v>
      </c>
      <c r="BT366" s="518">
        <f t="shared" si="768"/>
        <v>1430.8854688294196</v>
      </c>
      <c r="BU366" s="518">
        <f t="shared" si="768"/>
        <v>1545.8773080600904</v>
      </c>
      <c r="BV366" s="518">
        <f t="shared" si="768"/>
        <v>1668.9063396407937</v>
      </c>
      <c r="BW366" s="118"/>
    </row>
    <row r="367" spans="1:75" s="123" customFormat="1" collapsed="1" x14ac:dyDescent="0.5">
      <c r="A367" s="199" t="s">
        <v>198</v>
      </c>
      <c r="B367" s="490"/>
      <c r="C367" s="414"/>
      <c r="D367" s="414"/>
      <c r="E367" s="414"/>
      <c r="F367" s="414"/>
      <c r="G367" s="413"/>
      <c r="H367" s="413"/>
      <c r="I367" s="413"/>
      <c r="J367" s="413"/>
      <c r="K367" s="414"/>
      <c r="L367" s="413"/>
      <c r="M367" s="413"/>
      <c r="N367" s="413"/>
      <c r="O367" s="413"/>
      <c r="P367" s="414"/>
      <c r="Q367" s="413"/>
      <c r="R367" s="413"/>
      <c r="S367" s="413"/>
      <c r="T367" s="413"/>
      <c r="U367" s="414"/>
      <c r="V367" s="413"/>
      <c r="W367" s="413"/>
      <c r="X367" s="413"/>
      <c r="Y367" s="413"/>
      <c r="Z367" s="414"/>
      <c r="AA367" s="413"/>
      <c r="AB367" s="413"/>
      <c r="AC367" s="413"/>
      <c r="AD367" s="413"/>
      <c r="AE367" s="414"/>
      <c r="AF367" s="413"/>
      <c r="AG367" s="413"/>
      <c r="AH367" s="413"/>
      <c r="AI367" s="413"/>
      <c r="AJ367" s="414"/>
      <c r="AK367" s="413"/>
      <c r="AL367" s="413"/>
      <c r="AM367" s="413"/>
      <c r="AN367" s="413"/>
      <c r="AO367" s="414"/>
      <c r="AP367" s="413"/>
      <c r="AQ367" s="413"/>
      <c r="AR367" s="413"/>
      <c r="AS367" s="413"/>
      <c r="AT367" s="414"/>
      <c r="AU367" s="413"/>
      <c r="AV367" s="413"/>
      <c r="AW367" s="413"/>
      <c r="AX367" s="413"/>
      <c r="AY367" s="414"/>
      <c r="AZ367" s="413"/>
      <c r="BA367" s="413"/>
      <c r="BB367" s="413"/>
      <c r="BC367" s="413"/>
      <c r="BD367" s="414"/>
      <c r="BE367" s="413"/>
      <c r="BF367" s="413"/>
      <c r="BG367" s="413"/>
      <c r="BH367" s="413"/>
      <c r="BI367" s="414"/>
      <c r="BJ367" s="1216"/>
      <c r="BK367" s="202" t="str">
        <f t="shared" ref="BK367:BV367" ca="1" si="769">BK764</f>
        <v>N/A</v>
      </c>
      <c r="BL367" s="202" t="str">
        <f t="shared" ca="1" si="769"/>
        <v>N/A</v>
      </c>
      <c r="BM367" s="202" t="str">
        <f t="shared" ca="1" si="769"/>
        <v>N/A</v>
      </c>
      <c r="BN367" s="201" t="str">
        <f t="shared" ca="1" si="769"/>
        <v>N/A</v>
      </c>
      <c r="BO367" s="202" t="str">
        <f t="shared" ca="1" si="769"/>
        <v>N/A</v>
      </c>
      <c r="BP367" s="202" t="str">
        <f t="shared" ca="1" si="769"/>
        <v>N/A</v>
      </c>
      <c r="BQ367" s="202" t="str">
        <f t="shared" ca="1" si="769"/>
        <v>N/A</v>
      </c>
      <c r="BR367" s="202" t="str">
        <f t="shared" ca="1" si="769"/>
        <v>N/A</v>
      </c>
      <c r="BS367" s="201" t="str">
        <f t="shared" ca="1" si="769"/>
        <v>N/A</v>
      </c>
      <c r="BT367" s="201" t="str">
        <f t="shared" ca="1" si="769"/>
        <v>N/A</v>
      </c>
      <c r="BU367" s="201" t="str">
        <f t="shared" ca="1" si="769"/>
        <v>N/A</v>
      </c>
      <c r="BV367" s="201" t="str">
        <f t="shared" ca="1" si="769"/>
        <v>N/A</v>
      </c>
      <c r="BW367" s="118"/>
    </row>
    <row r="368" spans="1:75" s="123" customFormat="1" collapsed="1" x14ac:dyDescent="0.5">
      <c r="A368" s="199" t="s">
        <v>772</v>
      </c>
      <c r="B368" s="490"/>
      <c r="C368" s="414"/>
      <c r="D368" s="414">
        <f>D366-C366</f>
        <v>182.76215365638663</v>
      </c>
      <c r="E368" s="414">
        <f>E366-D366</f>
        <v>39.887297092105484</v>
      </c>
      <c r="F368" s="414">
        <f>F366-E366</f>
        <v>31.419614627490489</v>
      </c>
      <c r="G368" s="413"/>
      <c r="H368" s="413"/>
      <c r="I368" s="413"/>
      <c r="J368" s="413"/>
      <c r="K368" s="414">
        <f t="shared" ref="K368:BS368" si="770">K366-F366</f>
        <v>38.882827070281337</v>
      </c>
      <c r="L368" s="413">
        <f t="shared" si="770"/>
        <v>7.6114409794447226</v>
      </c>
      <c r="M368" s="413">
        <f t="shared" si="770"/>
        <v>7.2526243662590559</v>
      </c>
      <c r="N368" s="413">
        <f t="shared" si="770"/>
        <v>12.229645718350412</v>
      </c>
      <c r="O368" s="413">
        <f t="shared" si="770"/>
        <v>12.739766251838972</v>
      </c>
      <c r="P368" s="414">
        <f t="shared" si="770"/>
        <v>39.820860883741034</v>
      </c>
      <c r="Q368" s="413">
        <f t="shared" si="770"/>
        <v>-2.4044970082011616</v>
      </c>
      <c r="R368" s="413">
        <f t="shared" si="770"/>
        <v>-2.0011753971042907</v>
      </c>
      <c r="S368" s="413">
        <f t="shared" si="770"/>
        <v>5.9612285539680272</v>
      </c>
      <c r="T368" s="413">
        <f t="shared" si="770"/>
        <v>-7.8028800025077203</v>
      </c>
      <c r="U368" s="414">
        <f t="shared" si="770"/>
        <v>-6.2256976528597647</v>
      </c>
      <c r="V368" s="413">
        <f t="shared" si="770"/>
        <v>4.8060776277771424</v>
      </c>
      <c r="W368" s="413">
        <f t="shared" si="770"/>
        <v>-6.9099562210425347E-2</v>
      </c>
      <c r="X368" s="413">
        <f t="shared" si="770"/>
        <v>0.47947511952175148</v>
      </c>
      <c r="Y368" s="413">
        <f t="shared" si="770"/>
        <v>-6.8649188642285708</v>
      </c>
      <c r="Z368" s="414">
        <f t="shared" si="770"/>
        <v>-1.6342348336081614</v>
      </c>
      <c r="AA368" s="413">
        <f t="shared" si="770"/>
        <v>-8.5686582617981628</v>
      </c>
      <c r="AB368" s="413">
        <f t="shared" si="770"/>
        <v>-1.6959539989537831</v>
      </c>
      <c r="AC368" s="413">
        <f t="shared" si="770"/>
        <v>-0.35402490786323426</v>
      </c>
      <c r="AD368" s="413">
        <f t="shared" si="770"/>
        <v>-7.7810059805137257</v>
      </c>
      <c r="AE368" s="414">
        <f t="shared" si="770"/>
        <v>-18.380206590211515</v>
      </c>
      <c r="AF368" s="413">
        <f t="shared" si="770"/>
        <v>6.9981453917087464</v>
      </c>
      <c r="AG368" s="413">
        <f t="shared" si="770"/>
        <v>4.7322979395746643</v>
      </c>
      <c r="AH368" s="413">
        <f t="shared" si="770"/>
        <v>-7.4446730904416683</v>
      </c>
      <c r="AI368" s="413">
        <f t="shared" si="770"/>
        <v>9.6039694763043144</v>
      </c>
      <c r="AJ368" s="414">
        <f t="shared" si="770"/>
        <v>13.916156576847413</v>
      </c>
      <c r="AK368" s="413">
        <f t="shared" si="770"/>
        <v>11.896377378550383</v>
      </c>
      <c r="AL368" s="413">
        <f t="shared" si="770"/>
        <v>7.6966630745132676</v>
      </c>
      <c r="AM368" s="413">
        <f t="shared" si="770"/>
        <v>6.4930251403696531</v>
      </c>
      <c r="AN368" s="413">
        <f t="shared" si="770"/>
        <v>-4.2569379050431735</v>
      </c>
      <c r="AO368" s="414">
        <f t="shared" si="770"/>
        <v>21.820076835435088</v>
      </c>
      <c r="AP368" s="413">
        <f t="shared" si="770"/>
        <v>-8.0893471532374122</v>
      </c>
      <c r="AQ368" s="413">
        <f t="shared" si="770"/>
        <v>101.10048170254626</v>
      </c>
      <c r="AR368" s="413">
        <f t="shared" si="770"/>
        <v>167.03198753495863</v>
      </c>
      <c r="AS368" s="413">
        <f t="shared" si="770"/>
        <v>197.0088957812759</v>
      </c>
      <c r="AT368" s="414">
        <f t="shared" si="770"/>
        <v>456.91626957915935</v>
      </c>
      <c r="AU368" s="413">
        <f t="shared" si="770"/>
        <v>199.13294910577389</v>
      </c>
      <c r="AV368" s="413">
        <f t="shared" si="770"/>
        <v>130.84149504778222</v>
      </c>
      <c r="AW368" s="413">
        <f t="shared" si="770"/>
        <v>56.201675577002334</v>
      </c>
      <c r="AX368" s="413">
        <f t="shared" si="770"/>
        <v>115.06336333830319</v>
      </c>
      <c r="AY368" s="414">
        <f t="shared" si="770"/>
        <v>501.08196413810413</v>
      </c>
      <c r="AZ368" s="413">
        <f t="shared" si="770"/>
        <v>45.478711629706822</v>
      </c>
      <c r="BA368" s="413">
        <f t="shared" si="770"/>
        <v>39.669167452718852</v>
      </c>
      <c r="BB368" s="413">
        <f t="shared" si="770"/>
        <v>6.607602007602452</v>
      </c>
      <c r="BC368" s="413">
        <f t="shared" si="770"/>
        <v>-37.928233350235871</v>
      </c>
      <c r="BD368" s="414">
        <f t="shared" si="770"/>
        <v>53.8295182889633</v>
      </c>
      <c r="BE368" s="413">
        <f t="shared" si="770"/>
        <v>-97.814410019229143</v>
      </c>
      <c r="BF368" s="413">
        <f t="shared" si="770"/>
        <v>-93.998212356137856</v>
      </c>
      <c r="BG368" s="413">
        <f t="shared" si="770"/>
        <v>-24.540924966546925</v>
      </c>
      <c r="BH368" s="413">
        <f t="shared" si="770"/>
        <v>-29.373498297611945</v>
      </c>
      <c r="BI368" s="414">
        <f t="shared" si="770"/>
        <v>-245.68121284252288</v>
      </c>
      <c r="BJ368" s="1216">
        <f>BJ366-BE366</f>
        <v>97.990367093128754</v>
      </c>
      <c r="BK368" s="413">
        <f t="shared" si="770"/>
        <v>-16.014961441784749</v>
      </c>
      <c r="BL368" s="413">
        <f t="shared" si="770"/>
        <v>-4.1463602916835498</v>
      </c>
      <c r="BM368" s="413">
        <f t="shared" si="770"/>
        <v>27.408548463384875</v>
      </c>
      <c r="BN368" s="414">
        <f t="shared" si="770"/>
        <v>105.70747521807425</v>
      </c>
      <c r="BO368" s="413">
        <f t="shared" si="770"/>
        <v>-54.317523732215477</v>
      </c>
      <c r="BP368" s="413">
        <f t="shared" si="770"/>
        <v>10.930790404058371</v>
      </c>
      <c r="BQ368" s="413">
        <f t="shared" si="770"/>
        <v>28.59957423563219</v>
      </c>
      <c r="BR368" s="413">
        <f t="shared" si="770"/>
        <v>-24.065243111984842</v>
      </c>
      <c r="BS368" s="414">
        <f t="shared" si="770"/>
        <v>-38.852402204510327</v>
      </c>
      <c r="BT368" s="414">
        <f>BT366-BS366</f>
        <v>93.429868288623311</v>
      </c>
      <c r="BU368" s="414">
        <f>BU366-BT366</f>
        <v>114.99183923067085</v>
      </c>
      <c r="BV368" s="414">
        <f>BV366-BU366</f>
        <v>123.0290315807033</v>
      </c>
      <c r="BW368" s="118"/>
    </row>
    <row r="369" spans="1:75" s="123" customFormat="1" collapsed="1" x14ac:dyDescent="0.5">
      <c r="A369" s="170" t="s">
        <v>773</v>
      </c>
      <c r="B369" s="491"/>
      <c r="C369" s="417"/>
      <c r="D369" s="417">
        <f>IF(C366&gt;0,D366/C366-1,-(D366/C366-1))</f>
        <v>1.1268736017980352</v>
      </c>
      <c r="E369" s="417">
        <f>IF(D366&gt;0,E366/D366-1,-(E366/D366-1))</f>
        <v>0.11563301914505209</v>
      </c>
      <c r="F369" s="417">
        <f>IF(E366&gt;0,F366/E366-1,-(F366/E366-1))</f>
        <v>8.1644465767484409E-2</v>
      </c>
      <c r="G369" s="378"/>
      <c r="H369" s="378"/>
      <c r="I369" s="378"/>
      <c r="J369" s="378"/>
      <c r="K369" s="417">
        <f t="shared" ref="K369:BS369" si="771">IF(F366&gt;0,K366/F366-1,-(K366/F366-1))</f>
        <v>9.34112532748268E-2</v>
      </c>
      <c r="L369" s="378">
        <f t="shared" si="771"/>
        <v>0.1139593484769692</v>
      </c>
      <c r="M369" s="378">
        <f t="shared" si="771"/>
        <v>9.2785491424437039E-2</v>
      </c>
      <c r="N369" s="378">
        <f t="shared" si="771"/>
        <v>0.1320953427504763</v>
      </c>
      <c r="O369" s="378">
        <f t="shared" si="771"/>
        <v>5.8470544188261808E-2</v>
      </c>
      <c r="P369" s="417">
        <f t="shared" si="771"/>
        <v>8.7492025442645227E-2</v>
      </c>
      <c r="Q369" s="378">
        <f t="shared" si="771"/>
        <v>-3.2317515968009691E-2</v>
      </c>
      <c r="R369" s="378">
        <f t="shared" si="771"/>
        <v>-2.3427994969221655E-2</v>
      </c>
      <c r="S369" s="378">
        <f t="shared" si="771"/>
        <v>5.6875653434349083E-2</v>
      </c>
      <c r="T369" s="378">
        <f t="shared" si="771"/>
        <v>-3.3833881789067655E-2</v>
      </c>
      <c r="U369" s="417">
        <f t="shared" si="771"/>
        <v>-1.257823691263027E-2</v>
      </c>
      <c r="V369" s="378">
        <f t="shared" si="771"/>
        <v>6.6753129702693981E-2</v>
      </c>
      <c r="W369" s="378">
        <f t="shared" si="771"/>
        <v>-8.2836357287174867E-4</v>
      </c>
      <c r="X369" s="378">
        <f t="shared" si="771"/>
        <v>4.3284540233952118E-3</v>
      </c>
      <c r="Y369" s="378">
        <f t="shared" si="771"/>
        <v>-3.0809205909457238E-2</v>
      </c>
      <c r="Z369" s="417">
        <f t="shared" si="771"/>
        <v>-3.3438247893822215E-3</v>
      </c>
      <c r="AA369" s="378">
        <f t="shared" si="771"/>
        <v>-0.11156545676656082</v>
      </c>
      <c r="AB369" s="378">
        <f t="shared" si="771"/>
        <v>-2.0347903431891079E-2</v>
      </c>
      <c r="AC369" s="378">
        <f t="shared" si="771"/>
        <v>-3.1821803096852008E-3</v>
      </c>
      <c r="AD369" s="378">
        <f t="shared" si="771"/>
        <v>-3.6030605853790809E-2</v>
      </c>
      <c r="AE369" s="417">
        <f t="shared" si="771"/>
        <v>-3.7734106979314785E-2</v>
      </c>
      <c r="AF369" s="378">
        <f t="shared" si="771"/>
        <v>0.10255915887292888</v>
      </c>
      <c r="AG369" s="378">
        <f t="shared" si="771"/>
        <v>5.7956987933233561E-2</v>
      </c>
      <c r="AH369" s="378">
        <f t="shared" si="771"/>
        <v>-6.7130642601278989E-2</v>
      </c>
      <c r="AI369" s="378">
        <f t="shared" si="771"/>
        <v>4.6134236906710813E-2</v>
      </c>
      <c r="AJ369" s="417">
        <f t="shared" si="771"/>
        <v>2.9689843044872211E-2</v>
      </c>
      <c r="AK369" s="378">
        <f t="shared" si="771"/>
        <v>0.15812637703602928</v>
      </c>
      <c r="AL369" s="378">
        <f t="shared" si="771"/>
        <v>8.9098048397201035E-2</v>
      </c>
      <c r="AM369" s="378">
        <f t="shared" si="771"/>
        <v>6.2762672685675813E-2</v>
      </c>
      <c r="AN369" s="378">
        <f t="shared" si="771"/>
        <v>-1.9547106092984379E-2</v>
      </c>
      <c r="AO369" s="417">
        <f t="shared" si="771"/>
        <v>4.521040961740419E-2</v>
      </c>
      <c r="AP369" s="378">
        <f t="shared" si="771"/>
        <v>-9.2842560331076407E-2</v>
      </c>
      <c r="AQ369" s="378">
        <f t="shared" si="771"/>
        <v>1.0746126802704969</v>
      </c>
      <c r="AR369" s="378">
        <f t="shared" si="771"/>
        <v>1.5192096187281976</v>
      </c>
      <c r="AS369" s="378">
        <f t="shared" si="771"/>
        <v>0.92266545122279786</v>
      </c>
      <c r="AT369" s="417">
        <f t="shared" si="771"/>
        <v>0.90576401439785692</v>
      </c>
      <c r="AU369" s="378">
        <f t="shared" si="771"/>
        <v>2.519382416769318</v>
      </c>
      <c r="AV369" s="378">
        <f t="shared" si="771"/>
        <v>0.67035863183711419</v>
      </c>
      <c r="AW369" s="378">
        <f t="shared" si="771"/>
        <v>0.20290979420240274</v>
      </c>
      <c r="AX369" s="378">
        <f t="shared" si="771"/>
        <v>0.28027977754453004</v>
      </c>
      <c r="AY369" s="417">
        <f t="shared" si="771"/>
        <v>0.52121641999868928</v>
      </c>
      <c r="AZ369" s="378">
        <f t="shared" si="771"/>
        <v>0.16349055251903089</v>
      </c>
      <c r="BA369" s="378">
        <f t="shared" si="771"/>
        <v>0.1216760403530055</v>
      </c>
      <c r="BB369" s="378">
        <f t="shared" si="771"/>
        <v>1.9831910883333803E-2</v>
      </c>
      <c r="BC369" s="378">
        <f t="shared" si="771"/>
        <v>-7.2162642523090681E-2</v>
      </c>
      <c r="BD369" s="417">
        <f t="shared" si="771"/>
        <v>3.6807710690455409E-2</v>
      </c>
      <c r="BE369" s="378">
        <f t="shared" si="771"/>
        <v>-0.30222089480696757</v>
      </c>
      <c r="BF369" s="378">
        <f t="shared" si="771"/>
        <v>-0.25704202469518456</v>
      </c>
      <c r="BG369" s="378">
        <f t="shared" si="771"/>
        <v>-7.2224245943597998E-2</v>
      </c>
      <c r="BH369" s="378">
        <f t="shared" si="771"/>
        <v>-6.0232880423778945E-2</v>
      </c>
      <c r="BI369" s="417">
        <f t="shared" si="771"/>
        <v>-0.16202873536062756</v>
      </c>
      <c r="BJ369" s="1130">
        <f>IF(BE366&gt;0,BJ366/BE366-1,-(BJ366/BE366-1))</f>
        <v>0.43389742370146567</v>
      </c>
      <c r="BK369" s="378">
        <f t="shared" si="771"/>
        <v>-5.8944893516867825E-2</v>
      </c>
      <c r="BL369" s="378">
        <f t="shared" si="771"/>
        <v>-1.3152736109595331E-2</v>
      </c>
      <c r="BM369" s="378">
        <f t="shared" si="771"/>
        <v>5.9805861363839696E-2</v>
      </c>
      <c r="BN369" s="417">
        <f t="shared" si="771"/>
        <v>8.3194893224069366E-2</v>
      </c>
      <c r="BO369" s="378">
        <f t="shared" si="771"/>
        <v>-0.16773572307587814</v>
      </c>
      <c r="BP369" s="378">
        <f t="shared" si="771"/>
        <v>4.2752035915394337E-2</v>
      </c>
      <c r="BQ369" s="378">
        <f t="shared" si="771"/>
        <v>9.1930304032144639E-2</v>
      </c>
      <c r="BR369" s="378">
        <f t="shared" si="771"/>
        <v>-4.9547488986598553E-2</v>
      </c>
      <c r="BS369" s="417">
        <f t="shared" si="771"/>
        <v>-2.8229438560999354E-2</v>
      </c>
      <c r="BT369" s="417">
        <f>IF(BS366&gt;0,BT366/BS366-1,-(BT366/BS366-1))</f>
        <v>6.9856426075635802E-2</v>
      </c>
      <c r="BU369" s="417">
        <f>IF(BT366&gt;0,BU366/BT366-1,-(BU366/BT366-1))</f>
        <v>8.0364111409100714E-2</v>
      </c>
      <c r="BV369" s="417">
        <f>IF(BU366&gt;0,BV366/BU366-1,-(BV366/BU366-1))</f>
        <v>7.9585249708524097E-2</v>
      </c>
      <c r="BW369" s="118"/>
    </row>
    <row r="370" spans="1:75" s="123" customFormat="1" collapsed="1" x14ac:dyDescent="0.5">
      <c r="A370" s="211" t="s">
        <v>774</v>
      </c>
      <c r="B370" s="493"/>
      <c r="C370" s="423">
        <f t="shared" ref="C370:BN370" si="772">C366/C305</f>
        <v>5.2272192480468771E-2</v>
      </c>
      <c r="D370" s="423">
        <f t="shared" si="772"/>
        <v>9.843942378006558E-2</v>
      </c>
      <c r="E370" s="423">
        <f t="shared" si="772"/>
        <v>0.1034252757593032</v>
      </c>
      <c r="F370" s="423">
        <f t="shared" si="772"/>
        <v>0.10296007689436044</v>
      </c>
      <c r="G370" s="422">
        <f t="shared" si="772"/>
        <v>7.5231179755505015E-2</v>
      </c>
      <c r="H370" s="422">
        <f t="shared" si="772"/>
        <v>7.958133186670506E-2</v>
      </c>
      <c r="I370" s="422">
        <f t="shared" si="772"/>
        <v>8.8043493826116689E-2</v>
      </c>
      <c r="J370" s="422">
        <f t="shared" si="772"/>
        <v>0.14859164166621386</v>
      </c>
      <c r="K370" s="423">
        <f t="shared" si="772"/>
        <v>0.10372573990458381</v>
      </c>
      <c r="L370" s="422">
        <f t="shared" si="772"/>
        <v>7.6362509843502832E-2</v>
      </c>
      <c r="M370" s="422">
        <f t="shared" si="772"/>
        <v>8.2203792079818497E-2</v>
      </c>
      <c r="N370" s="422">
        <f t="shared" si="772"/>
        <v>9.1685697708824968E-2</v>
      </c>
      <c r="O370" s="422">
        <f t="shared" si="772"/>
        <v>0.14954900324319259</v>
      </c>
      <c r="P370" s="423">
        <f t="shared" si="772"/>
        <v>0.10533890067227374</v>
      </c>
      <c r="Q370" s="422">
        <f t="shared" si="772"/>
        <v>6.9854917750698534E-2</v>
      </c>
      <c r="R370" s="422">
        <f t="shared" si="772"/>
        <v>7.4014975103208855E-2</v>
      </c>
      <c r="S370" s="422">
        <f t="shared" si="772"/>
        <v>8.9907030634473833E-2</v>
      </c>
      <c r="T370" s="422">
        <f t="shared" si="772"/>
        <v>0.14046511678965737</v>
      </c>
      <c r="U370" s="423">
        <f t="shared" si="772"/>
        <v>9.821610870684927E-2</v>
      </c>
      <c r="V370" s="422">
        <f t="shared" si="772"/>
        <v>6.9960535166968721E-2</v>
      </c>
      <c r="W370" s="422">
        <f t="shared" si="772"/>
        <v>7.1911789781281446E-2</v>
      </c>
      <c r="X370" s="422">
        <f t="shared" si="772"/>
        <v>8.9331659878435624E-2</v>
      </c>
      <c r="Y370" s="422">
        <f t="shared" si="772"/>
        <v>0.13654403900886017</v>
      </c>
      <c r="Z370" s="423">
        <f t="shared" si="772"/>
        <v>9.5813527632701095E-2</v>
      </c>
      <c r="AA370" s="422">
        <f t="shared" si="772"/>
        <v>6.1389812725963874E-2</v>
      </c>
      <c r="AB370" s="422">
        <f t="shared" si="772"/>
        <v>6.7952303666472258E-2</v>
      </c>
      <c r="AC370" s="422">
        <f t="shared" si="772"/>
        <v>8.5349966698253815E-2</v>
      </c>
      <c r="AD370" s="422">
        <f t="shared" si="772"/>
        <v>0.12395010650726128</v>
      </c>
      <c r="AE370" s="423">
        <f t="shared" si="772"/>
        <v>8.8571824446455741E-2</v>
      </c>
      <c r="AF370" s="422">
        <f t="shared" si="772"/>
        <v>6.2574213191406075E-2</v>
      </c>
      <c r="AG370" s="422">
        <f t="shared" si="772"/>
        <v>6.7780643782090658E-2</v>
      </c>
      <c r="AH370" s="422">
        <f t="shared" si="772"/>
        <v>7.6300369753952352E-2</v>
      </c>
      <c r="AI370" s="422">
        <f t="shared" si="772"/>
        <v>0.11864193348608827</v>
      </c>
      <c r="AJ370" s="423">
        <f t="shared" si="772"/>
        <v>8.5147049441818515E-2</v>
      </c>
      <c r="AK370" s="422">
        <f t="shared" si="772"/>
        <v>7.0201823290235901E-2</v>
      </c>
      <c r="AL370" s="422">
        <f t="shared" si="772"/>
        <v>6.8631380197125932E-2</v>
      </c>
      <c r="AM370" s="422">
        <f t="shared" si="772"/>
        <v>7.6220984795386179E-2</v>
      </c>
      <c r="AN370" s="422">
        <f t="shared" si="772"/>
        <v>0.11581831283008666</v>
      </c>
      <c r="AO370" s="423">
        <f t="shared" si="772"/>
        <v>8.5529553090387206E-2</v>
      </c>
      <c r="AP370" s="422">
        <f t="shared" si="772"/>
        <v>6.3989791306060348E-2</v>
      </c>
      <c r="AQ370" s="422">
        <f t="shared" si="772"/>
        <v>0.13092591213581189</v>
      </c>
      <c r="AR370" s="422">
        <f t="shared" si="772"/>
        <v>0.15696966449804872</v>
      </c>
      <c r="AS370" s="422">
        <f t="shared" si="772"/>
        <v>0.17906189811268125</v>
      </c>
      <c r="AT370" s="423">
        <f t="shared" si="772"/>
        <v>0.14172836079647608</v>
      </c>
      <c r="AU370" s="422">
        <f t="shared" si="772"/>
        <v>0.15904443625371195</v>
      </c>
      <c r="AV370" s="422">
        <f t="shared" si="772"/>
        <v>0.16733373071312102</v>
      </c>
      <c r="AW370" s="422">
        <f t="shared" si="772"/>
        <v>0.16272232152439162</v>
      </c>
      <c r="AX370" s="422">
        <f t="shared" si="772"/>
        <v>0.21015099883687821</v>
      </c>
      <c r="AY370" s="423">
        <f t="shared" si="772"/>
        <v>0.17735430181374096</v>
      </c>
      <c r="AZ370" s="422">
        <f t="shared" si="772"/>
        <v>0.17113336628871118</v>
      </c>
      <c r="BA370" s="422">
        <f t="shared" si="772"/>
        <v>0.17108101568140827</v>
      </c>
      <c r="BB370" s="422">
        <f t="shared" si="772"/>
        <v>0.15497214757601507</v>
      </c>
      <c r="BC370" s="422">
        <f t="shared" si="772"/>
        <v>0.19879731110158408</v>
      </c>
      <c r="BD370" s="423">
        <f t="shared" si="772"/>
        <v>0.17479926782050659</v>
      </c>
      <c r="BE370" s="422">
        <f t="shared" si="772"/>
        <v>0.12864935159504379</v>
      </c>
      <c r="BF370" s="422">
        <f t="shared" si="772"/>
        <v>0.14586693145249227</v>
      </c>
      <c r="BG370" s="422">
        <f t="shared" si="772"/>
        <v>0.1700682310753307</v>
      </c>
      <c r="BH370" s="422">
        <f t="shared" si="772"/>
        <v>0.20109902591521872</v>
      </c>
      <c r="BI370" s="423">
        <f t="shared" si="772"/>
        <v>0.16393466350021035</v>
      </c>
      <c r="BJ370" s="1034">
        <f>BJ366/BJ305</f>
        <v>0.19503622132227702</v>
      </c>
      <c r="BK370" s="422">
        <f t="shared" si="772"/>
        <v>0.13828928743913035</v>
      </c>
      <c r="BL370" s="422">
        <f t="shared" si="772"/>
        <v>0.16989256277726245</v>
      </c>
      <c r="BM370" s="422">
        <f t="shared" si="772"/>
        <v>0.2037594182516001</v>
      </c>
      <c r="BN370" s="423">
        <f t="shared" si="772"/>
        <v>0.17818419585872061</v>
      </c>
      <c r="BO370" s="422">
        <f t="shared" ref="BO370:CF370" si="773">BO366/BO305</f>
        <v>0.15505272019207467</v>
      </c>
      <c r="BP370" s="422">
        <f t="shared" si="773"/>
        <v>0.13789659103370625</v>
      </c>
      <c r="BQ370" s="422">
        <f t="shared" si="773"/>
        <v>0.17811358400315142</v>
      </c>
      <c r="BR370" s="422">
        <f t="shared" si="773"/>
        <v>0.19742236011077335</v>
      </c>
      <c r="BS370" s="423">
        <f t="shared" si="773"/>
        <v>0.16893223939975305</v>
      </c>
      <c r="BT370" s="423">
        <f t="shared" si="773"/>
        <v>0.16975144833598299</v>
      </c>
      <c r="BU370" s="423">
        <f t="shared" si="773"/>
        <v>0.1710993153972786</v>
      </c>
      <c r="BV370" s="423">
        <f t="shared" si="773"/>
        <v>0.17230958798599716</v>
      </c>
      <c r="BW370" s="118"/>
    </row>
    <row r="371" spans="1:75" s="123" customFormat="1" collapsed="1" x14ac:dyDescent="0.5">
      <c r="A371" s="218" t="s">
        <v>775</v>
      </c>
      <c r="B371" s="494"/>
      <c r="C371" s="425"/>
      <c r="D371" s="425">
        <f>(D370-C370)*10000</f>
        <v>461.67231299596807</v>
      </c>
      <c r="E371" s="425">
        <f>(E370-D370)*10000</f>
        <v>49.858519792376214</v>
      </c>
      <c r="F371" s="425">
        <f>(F370-E370)*10000</f>
        <v>-4.6519886494275635</v>
      </c>
      <c r="G371" s="487"/>
      <c r="H371" s="487"/>
      <c r="I371" s="487"/>
      <c r="J371" s="487"/>
      <c r="K371" s="425">
        <f t="shared" ref="K371:BS371" si="774">(K370-F370)*10000</f>
        <v>7.6566301022336356</v>
      </c>
      <c r="L371" s="487">
        <f t="shared" si="774"/>
        <v>11.313300879978172</v>
      </c>
      <c r="M371" s="487">
        <f t="shared" si="774"/>
        <v>26.224602131134368</v>
      </c>
      <c r="N371" s="487">
        <f t="shared" si="774"/>
        <v>36.42203882708278</v>
      </c>
      <c r="O371" s="487">
        <f t="shared" si="774"/>
        <v>9.5736157697873239</v>
      </c>
      <c r="P371" s="425">
        <f t="shared" si="774"/>
        <v>16.131607676899279</v>
      </c>
      <c r="Q371" s="487">
        <f t="shared" si="774"/>
        <v>-65.07592092804299</v>
      </c>
      <c r="R371" s="487">
        <f t="shared" si="774"/>
        <v>-81.888169766096425</v>
      </c>
      <c r="S371" s="487">
        <f t="shared" si="774"/>
        <v>-17.78667074351134</v>
      </c>
      <c r="T371" s="487">
        <f t="shared" si="774"/>
        <v>-90.838864535352229</v>
      </c>
      <c r="U371" s="425">
        <f t="shared" si="774"/>
        <v>-71.227919654244658</v>
      </c>
      <c r="V371" s="487">
        <f t="shared" si="774"/>
        <v>1.0561741627018728</v>
      </c>
      <c r="W371" s="487">
        <f t="shared" si="774"/>
        <v>-21.031853219274087</v>
      </c>
      <c r="X371" s="487">
        <f t="shared" si="774"/>
        <v>-5.7537075603820984</v>
      </c>
      <c r="Y371" s="487">
        <f t="shared" si="774"/>
        <v>-39.210777807971994</v>
      </c>
      <c r="Z371" s="425">
        <f t="shared" si="774"/>
        <v>-24.025810741481745</v>
      </c>
      <c r="AA371" s="487">
        <f t="shared" si="774"/>
        <v>-85.707224410048468</v>
      </c>
      <c r="AB371" s="487">
        <f t="shared" si="774"/>
        <v>-39.59486114809188</v>
      </c>
      <c r="AC371" s="487">
        <f t="shared" si="774"/>
        <v>-39.816931801818086</v>
      </c>
      <c r="AD371" s="487">
        <f t="shared" si="774"/>
        <v>-125.9393250159889</v>
      </c>
      <c r="AE371" s="425">
        <f t="shared" si="774"/>
        <v>-72.417031862453541</v>
      </c>
      <c r="AF371" s="487">
        <f t="shared" si="774"/>
        <v>11.844004654422008</v>
      </c>
      <c r="AG371" s="487">
        <f t="shared" si="774"/>
        <v>-1.7165988438160029</v>
      </c>
      <c r="AH371" s="487">
        <f t="shared" si="774"/>
        <v>-90.49596944301463</v>
      </c>
      <c r="AI371" s="487">
        <f t="shared" si="774"/>
        <v>-53.081730211730068</v>
      </c>
      <c r="AJ371" s="425">
        <f t="shared" si="774"/>
        <v>-34.247750046372261</v>
      </c>
      <c r="AK371" s="487">
        <f t="shared" si="774"/>
        <v>76.276100988298268</v>
      </c>
      <c r="AL371" s="487">
        <f t="shared" si="774"/>
        <v>8.507364150352748</v>
      </c>
      <c r="AM371" s="487">
        <f t="shared" si="774"/>
        <v>-0.7938495856617267</v>
      </c>
      <c r="AN371" s="487">
        <f t="shared" si="774"/>
        <v>-28.236206560016129</v>
      </c>
      <c r="AO371" s="425">
        <f t="shared" si="774"/>
        <v>3.825036485686911</v>
      </c>
      <c r="AP371" s="487">
        <f t="shared" si="774"/>
        <v>-62.120319841755531</v>
      </c>
      <c r="AQ371" s="487">
        <f t="shared" si="774"/>
        <v>622.94531938685964</v>
      </c>
      <c r="AR371" s="487">
        <f t="shared" si="774"/>
        <v>807.48679702662548</v>
      </c>
      <c r="AS371" s="487">
        <f t="shared" si="774"/>
        <v>632.43585282594597</v>
      </c>
      <c r="AT371" s="425">
        <f t="shared" si="774"/>
        <v>561.98807706088871</v>
      </c>
      <c r="AU371" s="487">
        <f t="shared" si="774"/>
        <v>950.54644947651605</v>
      </c>
      <c r="AV371" s="487">
        <f t="shared" si="774"/>
        <v>364.07818577309126</v>
      </c>
      <c r="AW371" s="487">
        <f t="shared" si="774"/>
        <v>57.526570263428944</v>
      </c>
      <c r="AX371" s="487">
        <f t="shared" si="774"/>
        <v>310.89100724196959</v>
      </c>
      <c r="AY371" s="425">
        <f t="shared" si="774"/>
        <v>356.25941017264876</v>
      </c>
      <c r="AZ371" s="487">
        <f t="shared" si="774"/>
        <v>120.88930034999224</v>
      </c>
      <c r="BA371" s="487">
        <f t="shared" si="774"/>
        <v>37.472849682872457</v>
      </c>
      <c r="BB371" s="487">
        <f t="shared" si="774"/>
        <v>-77.501739483765434</v>
      </c>
      <c r="BC371" s="487">
        <f t="shared" si="774"/>
        <v>-113.53687735294132</v>
      </c>
      <c r="BD371" s="425">
        <f t="shared" si="774"/>
        <v>-25.550339932343679</v>
      </c>
      <c r="BE371" s="487">
        <f t="shared" si="774"/>
        <v>-424.84014693667388</v>
      </c>
      <c r="BF371" s="487">
        <f t="shared" si="774"/>
        <v>-252.14084228915996</v>
      </c>
      <c r="BG371" s="487">
        <f t="shared" si="774"/>
        <v>150.96083499315625</v>
      </c>
      <c r="BH371" s="487">
        <f t="shared" si="774"/>
        <v>23.017148136346421</v>
      </c>
      <c r="BI371" s="425">
        <f t="shared" si="774"/>
        <v>-108.64604320296235</v>
      </c>
      <c r="BJ371" s="981">
        <f>(BJ370-BE370)*10000</f>
        <v>663.86869727233238</v>
      </c>
      <c r="BK371" s="487">
        <f t="shared" si="774"/>
        <v>-75.776440133619175</v>
      </c>
      <c r="BL371" s="487">
        <f t="shared" si="774"/>
        <v>-1.7566829806825446</v>
      </c>
      <c r="BM371" s="487">
        <f t="shared" si="774"/>
        <v>26.603923363813784</v>
      </c>
      <c r="BN371" s="425">
        <f t="shared" si="774"/>
        <v>142.4953235851026</v>
      </c>
      <c r="BO371" s="487">
        <f t="shared" si="774"/>
        <v>-399.83501130202353</v>
      </c>
      <c r="BP371" s="487">
        <f t="shared" si="774"/>
        <v>-3.9269640542410889</v>
      </c>
      <c r="BQ371" s="487">
        <f t="shared" si="774"/>
        <v>82.210212258889698</v>
      </c>
      <c r="BR371" s="487">
        <f t="shared" si="774"/>
        <v>-63.370581408267455</v>
      </c>
      <c r="BS371" s="425">
        <f t="shared" si="774"/>
        <v>-92.519564589675639</v>
      </c>
      <c r="BT371" s="425">
        <f>(BT370-BS370)*10000</f>
        <v>8.1920893622994271</v>
      </c>
      <c r="BU371" s="425">
        <f>(BU370-BT370)*10000</f>
        <v>13.478670612956101</v>
      </c>
      <c r="BV371" s="425">
        <f>(BV370-BU370)*10000</f>
        <v>12.102725887185583</v>
      </c>
      <c r="BW371" s="118"/>
    </row>
    <row r="372" spans="1:75" s="123" customFormat="1" collapsed="1" x14ac:dyDescent="0.5">
      <c r="A372" s="752"/>
      <c r="B372" s="489"/>
      <c r="C372" s="401"/>
      <c r="D372" s="401"/>
      <c r="E372" s="401"/>
      <c r="F372" s="401"/>
      <c r="G372" s="118"/>
      <c r="H372" s="118"/>
      <c r="I372" s="118"/>
      <c r="J372" s="118"/>
      <c r="K372" s="401"/>
      <c r="L372" s="118"/>
      <c r="M372" s="118"/>
      <c r="N372" s="118"/>
      <c r="O372" s="118"/>
      <c r="P372" s="401"/>
      <c r="Q372" s="118"/>
      <c r="R372" s="118"/>
      <c r="S372" s="118"/>
      <c r="T372" s="118"/>
      <c r="U372" s="401"/>
      <c r="V372" s="118"/>
      <c r="W372" s="118"/>
      <c r="X372" s="118"/>
      <c r="Y372" s="118"/>
      <c r="Z372" s="401"/>
      <c r="AA372" s="118"/>
      <c r="AB372" s="118"/>
      <c r="AC372" s="118"/>
      <c r="AD372" s="118"/>
      <c r="AE372" s="401"/>
      <c r="AF372" s="118"/>
      <c r="AG372" s="118"/>
      <c r="AH372" s="118"/>
      <c r="AI372" s="118"/>
      <c r="AJ372" s="401"/>
      <c r="AK372" s="118"/>
      <c r="AL372" s="118"/>
      <c r="AM372" s="118"/>
      <c r="AN372" s="118"/>
      <c r="AO372" s="401"/>
      <c r="AP372" s="118"/>
      <c r="AQ372" s="118"/>
      <c r="AR372" s="118"/>
      <c r="AS372" s="118"/>
      <c r="AT372" s="401"/>
      <c r="AU372" s="118"/>
      <c r="AV372" s="118"/>
      <c r="AW372" s="118"/>
      <c r="AX372" s="118"/>
      <c r="AY372" s="401"/>
      <c r="AZ372" s="118"/>
      <c r="BA372" s="118"/>
      <c r="BB372" s="118"/>
      <c r="BC372" s="118"/>
      <c r="BD372" s="401"/>
      <c r="BE372" s="118"/>
      <c r="BF372" s="118"/>
      <c r="BG372" s="118"/>
      <c r="BH372" s="118"/>
      <c r="BI372" s="401"/>
      <c r="BJ372" s="971"/>
      <c r="BK372" s="118"/>
      <c r="BL372" s="118"/>
      <c r="BM372" s="118"/>
      <c r="BN372" s="401"/>
      <c r="BO372" s="118"/>
      <c r="BP372" s="118"/>
      <c r="BQ372" s="118"/>
      <c r="BR372" s="118"/>
      <c r="BS372" s="401"/>
      <c r="BT372" s="401"/>
      <c r="BU372" s="401"/>
      <c r="BV372" s="401"/>
      <c r="BW372" s="122"/>
    </row>
    <row r="373" spans="1:75" s="198" customFormat="1" ht="14.25" collapsed="1" x14ac:dyDescent="0.45">
      <c r="A373" s="206" t="s">
        <v>776</v>
      </c>
      <c r="B373" s="485"/>
      <c r="C373" s="397">
        <f t="shared" ref="C373:AH373" si="775">ROUND(SUM(C317:C322)+SUM(C335:C345)-SUM(C354:C365),6)</f>
        <v>0</v>
      </c>
      <c r="D373" s="397">
        <f t="shared" si="775"/>
        <v>0</v>
      </c>
      <c r="E373" s="397">
        <f t="shared" si="775"/>
        <v>0</v>
      </c>
      <c r="F373" s="397">
        <f t="shared" si="775"/>
        <v>0</v>
      </c>
      <c r="G373" s="295">
        <f t="shared" si="775"/>
        <v>0</v>
      </c>
      <c r="H373" s="295">
        <f t="shared" si="775"/>
        <v>0</v>
      </c>
      <c r="I373" s="295">
        <f t="shared" si="775"/>
        <v>0</v>
      </c>
      <c r="J373" s="295">
        <f t="shared" si="775"/>
        <v>0</v>
      </c>
      <c r="K373" s="397">
        <f t="shared" si="775"/>
        <v>0</v>
      </c>
      <c r="L373" s="295">
        <f t="shared" si="775"/>
        <v>0</v>
      </c>
      <c r="M373" s="295">
        <f t="shared" si="775"/>
        <v>0</v>
      </c>
      <c r="N373" s="295">
        <f t="shared" si="775"/>
        <v>0</v>
      </c>
      <c r="O373" s="295">
        <f t="shared" si="775"/>
        <v>0</v>
      </c>
      <c r="P373" s="397">
        <f t="shared" si="775"/>
        <v>0</v>
      </c>
      <c r="Q373" s="295">
        <f t="shared" si="775"/>
        <v>0</v>
      </c>
      <c r="R373" s="295">
        <f t="shared" si="775"/>
        <v>0</v>
      </c>
      <c r="S373" s="295">
        <f t="shared" si="775"/>
        <v>0</v>
      </c>
      <c r="T373" s="295">
        <f t="shared" si="775"/>
        <v>0</v>
      </c>
      <c r="U373" s="397">
        <f t="shared" si="775"/>
        <v>0</v>
      </c>
      <c r="V373" s="295">
        <f t="shared" si="775"/>
        <v>0</v>
      </c>
      <c r="W373" s="295">
        <f t="shared" si="775"/>
        <v>0</v>
      </c>
      <c r="X373" s="295">
        <f t="shared" si="775"/>
        <v>0</v>
      </c>
      <c r="Y373" s="295">
        <f t="shared" si="775"/>
        <v>0</v>
      </c>
      <c r="Z373" s="397">
        <f t="shared" si="775"/>
        <v>0</v>
      </c>
      <c r="AA373" s="295">
        <f t="shared" si="775"/>
        <v>0</v>
      </c>
      <c r="AB373" s="295">
        <f t="shared" si="775"/>
        <v>0</v>
      </c>
      <c r="AC373" s="295">
        <f t="shared" si="775"/>
        <v>0</v>
      </c>
      <c r="AD373" s="295">
        <f t="shared" si="775"/>
        <v>0</v>
      </c>
      <c r="AE373" s="397">
        <f t="shared" si="775"/>
        <v>0</v>
      </c>
      <c r="AF373" s="295">
        <f t="shared" si="775"/>
        <v>0</v>
      </c>
      <c r="AG373" s="295">
        <f t="shared" si="775"/>
        <v>0</v>
      </c>
      <c r="AH373" s="295">
        <f t="shared" si="775"/>
        <v>0</v>
      </c>
      <c r="AI373" s="295">
        <f t="shared" ref="AI373:BI373" si="776">ROUND(SUM(AI317:AI322)+SUM(AI335:AI345)-SUM(AI354:AI365),6)</f>
        <v>0</v>
      </c>
      <c r="AJ373" s="397">
        <f t="shared" si="776"/>
        <v>0</v>
      </c>
      <c r="AK373" s="295">
        <f t="shared" si="776"/>
        <v>0</v>
      </c>
      <c r="AL373" s="295">
        <f t="shared" si="776"/>
        <v>0</v>
      </c>
      <c r="AM373" s="295">
        <f t="shared" si="776"/>
        <v>0</v>
      </c>
      <c r="AN373" s="295">
        <f t="shared" si="776"/>
        <v>0</v>
      </c>
      <c r="AO373" s="397">
        <f t="shared" si="776"/>
        <v>0</v>
      </c>
      <c r="AP373" s="295">
        <f t="shared" si="776"/>
        <v>0</v>
      </c>
      <c r="AQ373" s="295">
        <f t="shared" si="776"/>
        <v>0</v>
      </c>
      <c r="AR373" s="295">
        <f t="shared" si="776"/>
        <v>0</v>
      </c>
      <c r="AS373" s="295">
        <f t="shared" si="776"/>
        <v>0</v>
      </c>
      <c r="AT373" s="397">
        <f t="shared" si="776"/>
        <v>0</v>
      </c>
      <c r="AU373" s="295">
        <f t="shared" si="776"/>
        <v>0</v>
      </c>
      <c r="AV373" s="295">
        <f t="shared" si="776"/>
        <v>0</v>
      </c>
      <c r="AW373" s="295">
        <f t="shared" si="776"/>
        <v>0</v>
      </c>
      <c r="AX373" s="295">
        <f t="shared" si="776"/>
        <v>0</v>
      </c>
      <c r="AY373" s="397">
        <f t="shared" si="776"/>
        <v>0</v>
      </c>
      <c r="AZ373" s="295">
        <f t="shared" si="776"/>
        <v>0</v>
      </c>
      <c r="BA373" s="295">
        <f t="shared" si="776"/>
        <v>0</v>
      </c>
      <c r="BB373" s="295">
        <f t="shared" si="776"/>
        <v>0</v>
      </c>
      <c r="BC373" s="295">
        <f t="shared" si="776"/>
        <v>0</v>
      </c>
      <c r="BD373" s="397">
        <f t="shared" si="776"/>
        <v>0</v>
      </c>
      <c r="BE373" s="295">
        <f t="shared" si="776"/>
        <v>0</v>
      </c>
      <c r="BF373" s="295">
        <f t="shared" si="776"/>
        <v>0</v>
      </c>
      <c r="BG373" s="295">
        <f t="shared" si="776"/>
        <v>0</v>
      </c>
      <c r="BH373" s="295">
        <f t="shared" si="776"/>
        <v>0</v>
      </c>
      <c r="BI373" s="397">
        <f t="shared" si="776"/>
        <v>0</v>
      </c>
      <c r="BJ373" s="1030">
        <f>ROUND(SUM(BJ317:BJ322)+SUM(BJ335:BJ345)-SUM(BJ354:BJ365),6)</f>
        <v>0</v>
      </c>
      <c r="BK373" s="295"/>
      <c r="BL373" s="295"/>
      <c r="BM373" s="295"/>
      <c r="BN373" s="397"/>
      <c r="BO373" s="295"/>
      <c r="BP373" s="295"/>
      <c r="BQ373" s="295"/>
      <c r="BR373" s="295"/>
      <c r="BS373" s="397"/>
      <c r="BT373" s="397"/>
      <c r="BU373" s="397"/>
      <c r="BV373" s="397"/>
      <c r="BW373" s="295"/>
    </row>
    <row r="374" spans="1:75" s="123" customFormat="1" collapsed="1" x14ac:dyDescent="0.5">
      <c r="A374" s="752"/>
      <c r="B374" s="489"/>
      <c r="C374" s="401"/>
      <c r="D374" s="401"/>
      <c r="E374" s="401"/>
      <c r="F374" s="401"/>
      <c r="G374" s="118"/>
      <c r="H374" s="118"/>
      <c r="I374" s="118"/>
      <c r="J374" s="118"/>
      <c r="K374" s="401"/>
      <c r="L374" s="118"/>
      <c r="M374" s="118"/>
      <c r="N374" s="118"/>
      <c r="O374" s="118"/>
      <c r="P374" s="401"/>
      <c r="Q374" s="118"/>
      <c r="R374" s="118"/>
      <c r="S374" s="118"/>
      <c r="T374" s="118"/>
      <c r="U374" s="401"/>
      <c r="V374" s="118"/>
      <c r="W374" s="118"/>
      <c r="X374" s="118"/>
      <c r="Y374" s="118"/>
      <c r="Z374" s="401"/>
      <c r="AA374" s="118"/>
      <c r="AB374" s="118"/>
      <c r="AC374" s="118"/>
      <c r="AD374" s="118"/>
      <c r="AE374" s="401"/>
      <c r="AF374" s="118"/>
      <c r="AG374" s="118"/>
      <c r="AH374" s="118"/>
      <c r="AI374" s="118"/>
      <c r="AJ374" s="401"/>
      <c r="AK374" s="118"/>
      <c r="AL374" s="118"/>
      <c r="AM374" s="118"/>
      <c r="AN374" s="118"/>
      <c r="AO374" s="401"/>
      <c r="AP374" s="118"/>
      <c r="AQ374" s="118"/>
      <c r="AR374" s="118"/>
      <c r="AS374" s="118"/>
      <c r="AT374" s="401"/>
      <c r="AU374" s="118"/>
      <c r="AV374" s="118"/>
      <c r="AW374" s="118"/>
      <c r="AX374" s="118"/>
      <c r="AY374" s="401"/>
      <c r="AZ374" s="118"/>
      <c r="BA374" s="118"/>
      <c r="BB374" s="118"/>
      <c r="BC374" s="118"/>
      <c r="BD374" s="401"/>
      <c r="BE374" s="118"/>
      <c r="BF374" s="118"/>
      <c r="BG374" s="118"/>
      <c r="BH374" s="118"/>
      <c r="BI374" s="401"/>
      <c r="BJ374" s="971"/>
      <c r="BK374" s="118"/>
      <c r="BL374" s="118"/>
      <c r="BM374" s="118"/>
      <c r="BN374" s="401"/>
      <c r="BO374" s="118"/>
      <c r="BP374" s="118"/>
      <c r="BQ374" s="118"/>
      <c r="BR374" s="118"/>
      <c r="BS374" s="401"/>
      <c r="BT374" s="401"/>
      <c r="BU374" s="401"/>
      <c r="BV374" s="401"/>
      <c r="BW374" s="122"/>
    </row>
    <row r="375" spans="1:75" s="123" customFormat="1" collapsed="1" x14ac:dyDescent="0.5">
      <c r="A375" s="482" t="s">
        <v>777</v>
      </c>
      <c r="B375" s="482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  <c r="AA375" s="239"/>
      <c r="AB375" s="239"/>
      <c r="AC375" s="239"/>
      <c r="AD375" s="239"/>
      <c r="AE375" s="239"/>
      <c r="AF375" s="239"/>
      <c r="AG375" s="239"/>
      <c r="AH375" s="239"/>
      <c r="AI375" s="239"/>
      <c r="AJ375" s="239"/>
      <c r="AK375" s="239"/>
      <c r="AL375" s="239"/>
      <c r="AM375" s="239"/>
      <c r="AN375" s="239"/>
      <c r="AO375" s="239"/>
      <c r="AP375" s="239"/>
      <c r="AQ375" s="239"/>
      <c r="AR375" s="239"/>
      <c r="AS375" s="239"/>
      <c r="AT375" s="239"/>
      <c r="AU375" s="239"/>
      <c r="AV375" s="239"/>
      <c r="AW375" s="239"/>
      <c r="AX375" s="239"/>
      <c r="AY375" s="239"/>
      <c r="AZ375" s="239"/>
      <c r="BA375" s="239"/>
      <c r="BB375" s="239"/>
      <c r="BC375" s="239"/>
      <c r="BD375" s="239"/>
      <c r="BE375" s="239"/>
      <c r="BF375" s="239"/>
      <c r="BG375" s="239"/>
      <c r="BH375" s="239"/>
      <c r="BI375" s="239"/>
      <c r="BJ375" s="241"/>
      <c r="BK375" s="239"/>
      <c r="BL375" s="239"/>
      <c r="BM375" s="239"/>
      <c r="BN375" s="239"/>
      <c r="BO375" s="239"/>
      <c r="BP375" s="239"/>
      <c r="BQ375" s="239"/>
      <c r="BR375" s="239"/>
      <c r="BS375" s="239"/>
      <c r="BT375" s="239"/>
      <c r="BU375" s="239"/>
      <c r="BV375" s="239"/>
      <c r="BW375" s="122"/>
    </row>
    <row r="376" spans="1:75" s="123" customFormat="1" collapsed="1" x14ac:dyDescent="0.5">
      <c r="A376" s="184" t="s">
        <v>780</v>
      </c>
      <c r="B376" s="489"/>
      <c r="C376" s="186">
        <f t="shared" ref="C376:BN376" si="777">C916</f>
        <v>1.153</v>
      </c>
      <c r="D376" s="186">
        <f t="shared" si="777"/>
        <v>0.35399999999999998</v>
      </c>
      <c r="E376" s="186">
        <f t="shared" si="777"/>
        <v>-9.8000000000000004E-2</v>
      </c>
      <c r="F376" s="186">
        <f t="shared" si="777"/>
        <v>-0.79300000000000004</v>
      </c>
      <c r="G376" s="187">
        <f t="shared" si="777"/>
        <v>-0.189</v>
      </c>
      <c r="H376" s="187">
        <f t="shared" si="777"/>
        <v>-0.125</v>
      </c>
      <c r="I376" s="187">
        <f t="shared" si="777"/>
        <v>-0.10299999999999999</v>
      </c>
      <c r="J376" s="187">
        <f t="shared" si="777"/>
        <v>-0.16700000000000001</v>
      </c>
      <c r="K376" s="186">
        <f t="shared" si="777"/>
        <v>-0.58399999999999996</v>
      </c>
      <c r="L376" s="187">
        <f t="shared" si="777"/>
        <v>-6.9000000000000006E-2</v>
      </c>
      <c r="M376" s="187">
        <f t="shared" si="777"/>
        <v>0.04</v>
      </c>
      <c r="N376" s="187">
        <f t="shared" si="777"/>
        <v>0.11700000000000001</v>
      </c>
      <c r="O376" s="187">
        <f t="shared" si="777"/>
        <v>-2.5999999999999999E-2</v>
      </c>
      <c r="P376" s="186">
        <f t="shared" si="777"/>
        <v>6.2E-2</v>
      </c>
      <c r="Q376" s="187">
        <f t="shared" si="777"/>
        <v>8.0000000000000002E-3</v>
      </c>
      <c r="R376" s="187">
        <f t="shared" si="777"/>
        <v>0.27500000000000002</v>
      </c>
      <c r="S376" s="187">
        <f t="shared" si="777"/>
        <v>0.34200000000000003</v>
      </c>
      <c r="T376" s="187">
        <f t="shared" si="777"/>
        <v>2E-3</v>
      </c>
      <c r="U376" s="186">
        <f t="shared" si="777"/>
        <v>0.627</v>
      </c>
      <c r="V376" s="187">
        <f t="shared" si="777"/>
        <v>-6.8000000000000005E-2</v>
      </c>
      <c r="W376" s="187">
        <f t="shared" si="777"/>
        <v>0.16700000000000001</v>
      </c>
      <c r="X376" s="187">
        <f t="shared" si="777"/>
        <v>0.48799999999999999</v>
      </c>
      <c r="Y376" s="187">
        <f t="shared" si="777"/>
        <v>0.10100000000000001</v>
      </c>
      <c r="Z376" s="186">
        <f t="shared" si="777"/>
        <v>0.68799999999999994</v>
      </c>
      <c r="AA376" s="187">
        <f t="shared" si="777"/>
        <v>-0.10299999999999999</v>
      </c>
      <c r="AB376" s="187">
        <f t="shared" si="777"/>
        <v>0.48299999999999998</v>
      </c>
      <c r="AC376" s="187">
        <f t="shared" si="777"/>
        <v>0.59399999999999997</v>
      </c>
      <c r="AD376" s="187">
        <f t="shared" si="777"/>
        <v>0.39800000000000002</v>
      </c>
      <c r="AE376" s="186">
        <f t="shared" si="777"/>
        <v>1.3720000000000001</v>
      </c>
      <c r="AF376" s="187">
        <f t="shared" si="777"/>
        <v>1.2010000000000001</v>
      </c>
      <c r="AG376" s="187">
        <f t="shared" si="777"/>
        <v>1.5840000000000001</v>
      </c>
      <c r="AH376" s="187">
        <f t="shared" si="777"/>
        <v>2.2879999999999998</v>
      </c>
      <c r="AI376" s="187">
        <f t="shared" si="777"/>
        <v>1.633</v>
      </c>
      <c r="AJ376" s="186">
        <f t="shared" si="777"/>
        <v>6.7060000000000004</v>
      </c>
      <c r="AK376" s="187">
        <f t="shared" si="777"/>
        <v>2.2530000000000001</v>
      </c>
      <c r="AL376" s="187">
        <f t="shared" si="777"/>
        <v>2.669</v>
      </c>
      <c r="AM376" s="187">
        <f t="shared" si="777"/>
        <v>2.5640000000000001</v>
      </c>
      <c r="AN376" s="187">
        <f t="shared" si="777"/>
        <v>1.3669999999999991</v>
      </c>
      <c r="AO376" s="186">
        <f t="shared" si="777"/>
        <v>8.8529999999999998</v>
      </c>
      <c r="AP376" s="187">
        <f t="shared" si="777"/>
        <v>2.1589999999999998</v>
      </c>
      <c r="AQ376" s="187">
        <f t="shared" si="777"/>
        <v>6.4640000000000004</v>
      </c>
      <c r="AR376" s="187">
        <f t="shared" si="777"/>
        <v>5.3440000000000003</v>
      </c>
      <c r="AS376" s="187">
        <f t="shared" si="777"/>
        <v>2.2639999999999993</v>
      </c>
      <c r="AT376" s="186">
        <f t="shared" si="777"/>
        <v>16.231000000000002</v>
      </c>
      <c r="AU376" s="187">
        <f t="shared" si="777"/>
        <v>1.8720000000000001</v>
      </c>
      <c r="AV376" s="187">
        <f t="shared" si="777"/>
        <v>-3.9E-2</v>
      </c>
      <c r="AW376" s="187">
        <f t="shared" si="777"/>
        <v>0.121</v>
      </c>
      <c r="AX376" s="187">
        <f t="shared" si="777"/>
        <v>-8.900000000000019E-2</v>
      </c>
      <c r="AY376" s="186">
        <f t="shared" si="777"/>
        <v>1.865</v>
      </c>
      <c r="AZ376" s="187">
        <f t="shared" si="777"/>
        <v>-0.16300000000000001</v>
      </c>
      <c r="BA376" s="187">
        <f t="shared" si="777"/>
        <v>-0.34399999999999997</v>
      </c>
      <c r="BB376" s="187">
        <f t="shared" si="777"/>
        <v>-0.37</v>
      </c>
      <c r="BC376" s="187">
        <f t="shared" si="777"/>
        <v>-1.3829999999999998</v>
      </c>
      <c r="BD376" s="186">
        <f t="shared" si="777"/>
        <v>-2.2599999999999998</v>
      </c>
      <c r="BE376" s="187">
        <f t="shared" si="777"/>
        <v>-5.4980000000000002</v>
      </c>
      <c r="BF376" s="187">
        <f t="shared" si="777"/>
        <v>-3.335</v>
      </c>
      <c r="BG376" s="187">
        <f t="shared" si="777"/>
        <v>-7.1820000000000004</v>
      </c>
      <c r="BH376" s="187">
        <f t="shared" si="777"/>
        <v>-13.146999999999998</v>
      </c>
      <c r="BI376" s="186">
        <f t="shared" si="777"/>
        <v>-29.161999999999999</v>
      </c>
      <c r="BJ376" s="1223">
        <f>BJ916</f>
        <v>-16.053000000000001</v>
      </c>
      <c r="BK376" s="187">
        <f t="shared" si="777"/>
        <v>-7.078887056603774</v>
      </c>
      <c r="BL376" s="187">
        <f t="shared" ca="1" si="777"/>
        <v>-7.2806454548204318</v>
      </c>
      <c r="BM376" s="187">
        <f t="shared" ca="1" si="777"/>
        <v>-9.1615055151246505</v>
      </c>
      <c r="BN376" s="186">
        <f t="shared" ca="1" si="777"/>
        <v>-39.574038026548855</v>
      </c>
      <c r="BO376" s="187">
        <f t="shared" ref="BO376:CF376" ca="1" si="778">BO916</f>
        <v>-11.671838684190174</v>
      </c>
      <c r="BP376" s="187">
        <f t="shared" ca="1" si="778"/>
        <v>-11.564247794944349</v>
      </c>
      <c r="BQ376" s="187">
        <f t="shared" ca="1" si="778"/>
        <v>-11.657704489073559</v>
      </c>
      <c r="BR376" s="187">
        <f t="shared" ca="1" si="778"/>
        <v>-12.977729511104702</v>
      </c>
      <c r="BS376" s="186">
        <f t="shared" ca="1" si="778"/>
        <v>-47.871520479312778</v>
      </c>
      <c r="BT376" s="186">
        <f t="shared" ca="1" si="778"/>
        <v>-63.33255047244262</v>
      </c>
      <c r="BU376" s="186">
        <f t="shared" ca="1" si="778"/>
        <v>-82.076191430493878</v>
      </c>
      <c r="BV376" s="186">
        <f t="shared" ca="1" si="778"/>
        <v>-104.10119537601003</v>
      </c>
      <c r="BW376" s="118"/>
    </row>
    <row r="377" spans="1:75" s="123" customFormat="1" collapsed="1" x14ac:dyDescent="0.5">
      <c r="A377" s="497" t="s">
        <v>781</v>
      </c>
      <c r="B377" s="486"/>
      <c r="C377" s="874"/>
      <c r="D377" s="874"/>
      <c r="E377" s="874"/>
      <c r="F377" s="874"/>
      <c r="G377" s="875"/>
      <c r="H377" s="875"/>
      <c r="I377" s="875"/>
      <c r="J377" s="875"/>
      <c r="K377" s="874"/>
      <c r="L377" s="875"/>
      <c r="M377" s="875"/>
      <c r="N377" s="875"/>
      <c r="O377" s="875"/>
      <c r="P377" s="874"/>
      <c r="Q377" s="875"/>
      <c r="R377" s="875"/>
      <c r="S377" s="875"/>
      <c r="T377" s="875"/>
      <c r="U377" s="874"/>
      <c r="V377" s="875"/>
      <c r="W377" s="875"/>
      <c r="X377" s="875"/>
      <c r="Y377" s="875"/>
      <c r="Z377" s="874"/>
      <c r="AA377" s="875"/>
      <c r="AB377" s="875"/>
      <c r="AC377" s="875"/>
      <c r="AD377" s="875"/>
      <c r="AE377" s="874"/>
      <c r="AF377" s="875">
        <f>AF712-(AF683-AF697)</f>
        <v>4.0000000000004476E-3</v>
      </c>
      <c r="AG377" s="875">
        <f>AG712-(AG683-AG697)</f>
        <v>2.9999999999996696E-3</v>
      </c>
      <c r="AH377" s="875">
        <f>AH712-(AH683-AH697)</f>
        <v>2.9999999999992255E-3</v>
      </c>
      <c r="AI377" s="875">
        <f>AI712-(AI683-AI697)</f>
        <v>3.0000000000001137E-3</v>
      </c>
      <c r="AJ377" s="874">
        <f>AJ712-(AJ683-AJ697)</f>
        <v>1.3000000000001677E-2</v>
      </c>
      <c r="AK377" s="875"/>
      <c r="AL377" s="875"/>
      <c r="AM377" s="875"/>
      <c r="AN377" s="875"/>
      <c r="AO377" s="874"/>
      <c r="AP377" s="875"/>
      <c r="AQ377" s="875"/>
      <c r="AR377" s="875"/>
      <c r="AS377" s="875"/>
      <c r="AT377" s="874"/>
      <c r="AU377" s="875"/>
      <c r="AV377" s="875"/>
      <c r="AW377" s="875"/>
      <c r="AX377" s="875"/>
      <c r="AY377" s="874"/>
      <c r="AZ377" s="875"/>
      <c r="BA377" s="875"/>
      <c r="BB377" s="875"/>
      <c r="BC377" s="875"/>
      <c r="BD377" s="874"/>
      <c r="BE377" s="875"/>
      <c r="BF377" s="875"/>
      <c r="BG377" s="875"/>
      <c r="BH377" s="875"/>
      <c r="BI377" s="874"/>
      <c r="BJ377" s="1224"/>
      <c r="BK377" s="875">
        <f>BK911</f>
        <v>0</v>
      </c>
      <c r="BL377" s="875">
        <f>BL911</f>
        <v>0</v>
      </c>
      <c r="BM377" s="875">
        <f>BM911</f>
        <v>0</v>
      </c>
      <c r="BN377" s="874">
        <f>SUM(BJ377,BK377,BL377,BM377)</f>
        <v>0</v>
      </c>
      <c r="BO377" s="875">
        <f>BO911</f>
        <v>0</v>
      </c>
      <c r="BP377" s="875">
        <f>BP911</f>
        <v>0</v>
      </c>
      <c r="BQ377" s="875">
        <f>BQ911</f>
        <v>0</v>
      </c>
      <c r="BR377" s="875">
        <f>BR911</f>
        <v>0</v>
      </c>
      <c r="BS377" s="874">
        <f>SUM(BO377,BP377,BQ377,BR377)</f>
        <v>0</v>
      </c>
      <c r="BT377" s="874">
        <f>BT911</f>
        <v>0</v>
      </c>
      <c r="BU377" s="874">
        <f>BU911</f>
        <v>0</v>
      </c>
      <c r="BV377" s="874">
        <f>BV911</f>
        <v>0</v>
      </c>
      <c r="BW377" s="118"/>
    </row>
    <row r="378" spans="1:75" s="123" customFormat="1" collapsed="1" x14ac:dyDescent="0.5">
      <c r="A378" s="504" t="s">
        <v>782</v>
      </c>
      <c r="B378" s="505"/>
      <c r="C378" s="612">
        <f t="shared" ref="C378:BN378" si="779">C376-C377</f>
        <v>1.153</v>
      </c>
      <c r="D378" s="612">
        <f t="shared" si="779"/>
        <v>0.35399999999999998</v>
      </c>
      <c r="E378" s="612">
        <f t="shared" si="779"/>
        <v>-9.8000000000000004E-2</v>
      </c>
      <c r="F378" s="612">
        <f t="shared" si="779"/>
        <v>-0.79300000000000004</v>
      </c>
      <c r="G378" s="613">
        <f t="shared" si="779"/>
        <v>-0.189</v>
      </c>
      <c r="H378" s="613">
        <f t="shared" si="779"/>
        <v>-0.125</v>
      </c>
      <c r="I378" s="613">
        <f t="shared" si="779"/>
        <v>-0.10299999999999999</v>
      </c>
      <c r="J378" s="613">
        <f t="shared" si="779"/>
        <v>-0.16700000000000001</v>
      </c>
      <c r="K378" s="612">
        <f t="shared" si="779"/>
        <v>-0.58399999999999996</v>
      </c>
      <c r="L378" s="613">
        <f t="shared" si="779"/>
        <v>-6.9000000000000006E-2</v>
      </c>
      <c r="M378" s="613">
        <f t="shared" si="779"/>
        <v>0.04</v>
      </c>
      <c r="N378" s="613">
        <f t="shared" si="779"/>
        <v>0.11700000000000001</v>
      </c>
      <c r="O378" s="613">
        <f t="shared" si="779"/>
        <v>-2.5999999999999999E-2</v>
      </c>
      <c r="P378" s="612">
        <f t="shared" si="779"/>
        <v>6.2E-2</v>
      </c>
      <c r="Q378" s="613">
        <f t="shared" si="779"/>
        <v>8.0000000000000002E-3</v>
      </c>
      <c r="R378" s="613">
        <f t="shared" si="779"/>
        <v>0.27500000000000002</v>
      </c>
      <c r="S378" s="613">
        <f t="shared" si="779"/>
        <v>0.34200000000000003</v>
      </c>
      <c r="T378" s="613">
        <f t="shared" si="779"/>
        <v>2E-3</v>
      </c>
      <c r="U378" s="612">
        <f t="shared" si="779"/>
        <v>0.627</v>
      </c>
      <c r="V378" s="613">
        <f t="shared" si="779"/>
        <v>-6.8000000000000005E-2</v>
      </c>
      <c r="W378" s="613">
        <f t="shared" si="779"/>
        <v>0.16700000000000001</v>
      </c>
      <c r="X378" s="613">
        <f t="shared" si="779"/>
        <v>0.48799999999999999</v>
      </c>
      <c r="Y378" s="613">
        <f t="shared" si="779"/>
        <v>0.10100000000000001</v>
      </c>
      <c r="Z378" s="612">
        <f t="shared" si="779"/>
        <v>0.68799999999999994</v>
      </c>
      <c r="AA378" s="613">
        <f t="shared" si="779"/>
        <v>-0.10299999999999999</v>
      </c>
      <c r="AB378" s="613">
        <f t="shared" si="779"/>
        <v>0.48299999999999998</v>
      </c>
      <c r="AC378" s="613">
        <f t="shared" si="779"/>
        <v>0.59399999999999997</v>
      </c>
      <c r="AD378" s="613">
        <f t="shared" si="779"/>
        <v>0.39800000000000002</v>
      </c>
      <c r="AE378" s="612">
        <f t="shared" si="779"/>
        <v>1.3720000000000001</v>
      </c>
      <c r="AF378" s="613">
        <f t="shared" si="779"/>
        <v>1.1969999999999996</v>
      </c>
      <c r="AG378" s="613">
        <f t="shared" si="779"/>
        <v>1.5810000000000004</v>
      </c>
      <c r="AH378" s="613">
        <f t="shared" si="779"/>
        <v>2.2850000000000006</v>
      </c>
      <c r="AI378" s="613">
        <f t="shared" si="779"/>
        <v>1.63</v>
      </c>
      <c r="AJ378" s="612">
        <f t="shared" si="779"/>
        <v>6.6929999999999987</v>
      </c>
      <c r="AK378" s="613">
        <f t="shared" si="779"/>
        <v>2.2530000000000001</v>
      </c>
      <c r="AL378" s="613">
        <f t="shared" si="779"/>
        <v>2.669</v>
      </c>
      <c r="AM378" s="613">
        <f t="shared" si="779"/>
        <v>2.5640000000000001</v>
      </c>
      <c r="AN378" s="613">
        <f t="shared" si="779"/>
        <v>1.3669999999999991</v>
      </c>
      <c r="AO378" s="612">
        <f t="shared" si="779"/>
        <v>8.8529999999999998</v>
      </c>
      <c r="AP378" s="613">
        <f t="shared" si="779"/>
        <v>2.1589999999999998</v>
      </c>
      <c r="AQ378" s="613">
        <f t="shared" si="779"/>
        <v>6.4640000000000004</v>
      </c>
      <c r="AR378" s="613">
        <f t="shared" si="779"/>
        <v>5.3440000000000003</v>
      </c>
      <c r="AS378" s="613">
        <f t="shared" si="779"/>
        <v>2.2639999999999993</v>
      </c>
      <c r="AT378" s="612">
        <f t="shared" si="779"/>
        <v>16.231000000000002</v>
      </c>
      <c r="AU378" s="613">
        <f t="shared" si="779"/>
        <v>1.8720000000000001</v>
      </c>
      <c r="AV378" s="613">
        <f t="shared" si="779"/>
        <v>-3.9E-2</v>
      </c>
      <c r="AW378" s="613">
        <f t="shared" si="779"/>
        <v>0.121</v>
      </c>
      <c r="AX378" s="613">
        <f t="shared" si="779"/>
        <v>-8.900000000000019E-2</v>
      </c>
      <c r="AY378" s="612">
        <f t="shared" si="779"/>
        <v>1.865</v>
      </c>
      <c r="AZ378" s="613">
        <f t="shared" si="779"/>
        <v>-0.16300000000000001</v>
      </c>
      <c r="BA378" s="613">
        <f t="shared" si="779"/>
        <v>-0.34399999999999997</v>
      </c>
      <c r="BB378" s="613">
        <f t="shared" si="779"/>
        <v>-0.37</v>
      </c>
      <c r="BC378" s="613">
        <f t="shared" si="779"/>
        <v>-1.3829999999999998</v>
      </c>
      <c r="BD378" s="612">
        <f t="shared" si="779"/>
        <v>-2.2599999999999998</v>
      </c>
      <c r="BE378" s="613">
        <f t="shared" si="779"/>
        <v>-5.4980000000000002</v>
      </c>
      <c r="BF378" s="613">
        <f t="shared" si="779"/>
        <v>-3.335</v>
      </c>
      <c r="BG378" s="613">
        <f t="shared" si="779"/>
        <v>-7.1820000000000004</v>
      </c>
      <c r="BH378" s="613">
        <f t="shared" si="779"/>
        <v>-13.146999999999998</v>
      </c>
      <c r="BI378" s="612">
        <f t="shared" si="779"/>
        <v>-29.161999999999999</v>
      </c>
      <c r="BJ378" s="1225">
        <f>BJ376-BJ377</f>
        <v>-16.053000000000001</v>
      </c>
      <c r="BK378" s="613">
        <f t="shared" si="779"/>
        <v>-7.078887056603774</v>
      </c>
      <c r="BL378" s="613">
        <f t="shared" ca="1" si="779"/>
        <v>-7.2806454548204318</v>
      </c>
      <c r="BM378" s="613">
        <f t="shared" ca="1" si="779"/>
        <v>-9.1615055151246505</v>
      </c>
      <c r="BN378" s="612">
        <f t="shared" ca="1" si="779"/>
        <v>-39.574038026548855</v>
      </c>
      <c r="BO378" s="613">
        <f t="shared" ref="BO378:CF378" ca="1" si="780">BO376-BO377</f>
        <v>-11.671838684190174</v>
      </c>
      <c r="BP378" s="613">
        <f t="shared" ca="1" si="780"/>
        <v>-11.564247794944349</v>
      </c>
      <c r="BQ378" s="613">
        <f t="shared" ca="1" si="780"/>
        <v>-11.657704489073559</v>
      </c>
      <c r="BR378" s="613">
        <f t="shared" ca="1" si="780"/>
        <v>-12.977729511104702</v>
      </c>
      <c r="BS378" s="612">
        <f t="shared" ca="1" si="780"/>
        <v>-47.871520479312778</v>
      </c>
      <c r="BT378" s="612">
        <f t="shared" ca="1" si="780"/>
        <v>-63.33255047244262</v>
      </c>
      <c r="BU378" s="612">
        <f t="shared" ca="1" si="780"/>
        <v>-82.076191430493878</v>
      </c>
      <c r="BV378" s="612">
        <f t="shared" ca="1" si="780"/>
        <v>-104.10119537601003</v>
      </c>
      <c r="BW378" s="118"/>
    </row>
    <row r="379" spans="1:75" s="123" customFormat="1" collapsed="1" x14ac:dyDescent="0.5">
      <c r="A379" s="192" t="s">
        <v>788</v>
      </c>
      <c r="B379" s="495"/>
      <c r="C379" s="518">
        <f t="shared" ref="C379:BN379" si="781">C352-C376</f>
        <v>120.28900000000012</v>
      </c>
      <c r="D379" s="518">
        <f t="shared" si="781"/>
        <v>323.06</v>
      </c>
      <c r="E379" s="518">
        <f t="shared" si="781"/>
        <v>381.82999999999976</v>
      </c>
      <c r="F379" s="518">
        <f t="shared" si="781"/>
        <v>409.95600000000002</v>
      </c>
      <c r="G379" s="327">
        <f t="shared" si="781"/>
        <v>63.971999999999959</v>
      </c>
      <c r="H379" s="327">
        <f t="shared" si="781"/>
        <v>78.210999999999956</v>
      </c>
      <c r="I379" s="327">
        <f t="shared" si="781"/>
        <v>92.597000000000023</v>
      </c>
      <c r="J379" s="327">
        <f t="shared" si="781"/>
        <v>217.90200000000007</v>
      </c>
      <c r="K379" s="518">
        <f t="shared" si="781"/>
        <v>452.68200000000041</v>
      </c>
      <c r="L379" s="327">
        <f t="shared" si="781"/>
        <v>74.395000000000024</v>
      </c>
      <c r="M379" s="327">
        <f t="shared" si="781"/>
        <v>85.296000000000063</v>
      </c>
      <c r="N379" s="327">
        <f t="shared" si="781"/>
        <v>104.60300000000002</v>
      </c>
      <c r="O379" s="327">
        <f t="shared" si="781"/>
        <v>237.90899999999999</v>
      </c>
      <c r="P379" s="518">
        <f t="shared" si="781"/>
        <v>502.20299999999986</v>
      </c>
      <c r="Q379" s="327">
        <f t="shared" si="781"/>
        <v>71.919999999999888</v>
      </c>
      <c r="R379" s="327">
        <f t="shared" si="781"/>
        <v>83.068000000000012</v>
      </c>
      <c r="S379" s="327">
        <f t="shared" si="781"/>
        <v>110.34100000000011</v>
      </c>
      <c r="T379" s="327">
        <f t="shared" si="781"/>
        <v>222.67800000000005</v>
      </c>
      <c r="U379" s="518">
        <f t="shared" si="781"/>
        <v>488.00700000000001</v>
      </c>
      <c r="V379" s="327">
        <f t="shared" si="781"/>
        <v>63.593000000000032</v>
      </c>
      <c r="W379" s="327">
        <f t="shared" si="781"/>
        <v>83.109000000000009</v>
      </c>
      <c r="X379" s="327">
        <f t="shared" si="781"/>
        <v>109.49099999999993</v>
      </c>
      <c r="Y379" s="327">
        <f t="shared" si="781"/>
        <v>215.71799999999996</v>
      </c>
      <c r="Z379" s="518">
        <f t="shared" si="781"/>
        <v>471.91099999999994</v>
      </c>
      <c r="AA379" s="327">
        <f t="shared" si="781"/>
        <v>62.577000000000105</v>
      </c>
      <c r="AB379" s="327">
        <f t="shared" si="781"/>
        <v>81.100999999999999</v>
      </c>
      <c r="AC379" s="327">
        <f t="shared" si="781"/>
        <v>110.21899999999999</v>
      </c>
      <c r="AD379" s="327">
        <f t="shared" si="781"/>
        <v>198.542</v>
      </c>
      <c r="AE379" s="518">
        <f t="shared" si="781"/>
        <v>452.43900000000014</v>
      </c>
      <c r="AF379" s="327">
        <f t="shared" si="781"/>
        <v>65.349000000000018</v>
      </c>
      <c r="AG379" s="327">
        <f t="shared" si="781"/>
        <v>72.581999999999994</v>
      </c>
      <c r="AH379" s="327">
        <f t="shared" si="781"/>
        <v>92.095999999999904</v>
      </c>
      <c r="AI379" s="327">
        <f t="shared" si="781"/>
        <v>199.21999999999983</v>
      </c>
      <c r="AJ379" s="518">
        <f t="shared" si="781"/>
        <v>429.24699999999996</v>
      </c>
      <c r="AK379" s="327">
        <f t="shared" si="781"/>
        <v>71.879000000000005</v>
      </c>
      <c r="AL379" s="327">
        <f t="shared" si="781"/>
        <v>83.49600000000008</v>
      </c>
      <c r="AM379" s="327">
        <f t="shared" si="781"/>
        <v>99.327000000000027</v>
      </c>
      <c r="AN379" s="327">
        <f t="shared" si="781"/>
        <v>202.31899999999993</v>
      </c>
      <c r="AO379" s="518">
        <f t="shared" si="781"/>
        <v>457.02099999999956</v>
      </c>
      <c r="AP379" s="327">
        <f t="shared" si="781"/>
        <v>46.485999999999983</v>
      </c>
      <c r="AQ379" s="327">
        <f t="shared" si="781"/>
        <v>178.89699999999999</v>
      </c>
      <c r="AR379" s="327">
        <f t="shared" si="781"/>
        <v>269.2600000000001</v>
      </c>
      <c r="AS379" s="327">
        <f t="shared" si="781"/>
        <v>399.82300000000066</v>
      </c>
      <c r="AT379" s="518">
        <f t="shared" si="781"/>
        <v>894.46600000000035</v>
      </c>
      <c r="AU379" s="327">
        <f t="shared" si="781"/>
        <v>273.30499999999995</v>
      </c>
      <c r="AV379" s="327">
        <f t="shared" si="781"/>
        <v>323.1389999999999</v>
      </c>
      <c r="AW379" s="327">
        <f t="shared" si="781"/>
        <v>330.14599999999996</v>
      </c>
      <c r="AX379" s="327">
        <f t="shared" si="781"/>
        <v>524.66099999999926</v>
      </c>
      <c r="AY379" s="518">
        <f t="shared" si="781"/>
        <v>1451.2509999999995</v>
      </c>
      <c r="AZ379" s="327">
        <f t="shared" si="781"/>
        <v>323.64400000000001</v>
      </c>
      <c r="BA379" s="327">
        <f t="shared" si="781"/>
        <v>365.86499999999972</v>
      </c>
      <c r="BB379" s="327">
        <f t="shared" si="781"/>
        <v>340.00300000000004</v>
      </c>
      <c r="BC379" s="327">
        <f t="shared" si="781"/>
        <v>471.16999999999933</v>
      </c>
      <c r="BD379" s="518">
        <f t="shared" si="781"/>
        <v>1500.6819999999991</v>
      </c>
      <c r="BE379" s="327">
        <f t="shared" si="781"/>
        <v>204.97499999999997</v>
      </c>
      <c r="BF379" s="327">
        <f t="shared" si="781"/>
        <v>274.88299999999998</v>
      </c>
      <c r="BG379" s="327">
        <f t="shared" si="781"/>
        <v>322.25900000000013</v>
      </c>
      <c r="BH379" s="327">
        <f t="shared" si="781"/>
        <v>471.23799999999989</v>
      </c>
      <c r="BI379" s="518">
        <f t="shared" si="781"/>
        <v>1273.3549999999998</v>
      </c>
      <c r="BJ379" s="1026">
        <f>BJ352-BJ376</f>
        <v>339.88099999999997</v>
      </c>
      <c r="BK379" s="327">
        <f t="shared" si="781"/>
        <v>262.7577142752715</v>
      </c>
      <c r="BL379" s="327">
        <f t="shared" ca="1" si="781"/>
        <v>318.38126169592368</v>
      </c>
      <c r="BM379" s="327">
        <f t="shared" ca="1" si="781"/>
        <v>494.86206480066028</v>
      </c>
      <c r="BN379" s="518">
        <f t="shared" ca="1" si="781"/>
        <v>1415.8820407718554</v>
      </c>
      <c r="BO379" s="327">
        <f t="shared" ref="BO379:CF379" ca="1" si="782">BO352-BO376</f>
        <v>281.18231495197466</v>
      </c>
      <c r="BP379" s="327">
        <f t="shared" ca="1" si="782"/>
        <v>278.17386541767041</v>
      </c>
      <c r="BQ379" s="327">
        <f t="shared" ca="1" si="782"/>
        <v>351.35789496580901</v>
      </c>
      <c r="BR379" s="327">
        <f t="shared" ca="1" si="782"/>
        <v>474.6130456846555</v>
      </c>
      <c r="BS379" s="518">
        <f t="shared" ca="1" si="782"/>
        <v>1385.327121020109</v>
      </c>
      <c r="BT379" s="518">
        <f t="shared" ca="1" si="782"/>
        <v>1494.2180193018621</v>
      </c>
      <c r="BU379" s="518">
        <f t="shared" ca="1" si="782"/>
        <v>1627.9534994905844</v>
      </c>
      <c r="BV379" s="518">
        <f t="shared" ca="1" si="782"/>
        <v>1773.0075350168038</v>
      </c>
      <c r="BW379" s="118"/>
    </row>
    <row r="380" spans="1:75" s="123" customFormat="1" collapsed="1" x14ac:dyDescent="0.5">
      <c r="A380" s="445" t="s">
        <v>789</v>
      </c>
      <c r="B380" s="486"/>
      <c r="C380" s="406"/>
      <c r="D380" s="406"/>
      <c r="E380" s="406"/>
      <c r="F380" s="406"/>
      <c r="G380" s="723"/>
      <c r="H380" s="723"/>
      <c r="I380" s="723"/>
      <c r="J380" s="723"/>
      <c r="K380" s="406"/>
      <c r="L380" s="723"/>
      <c r="M380" s="723"/>
      <c r="N380" s="723"/>
      <c r="O380" s="723"/>
      <c r="P380" s="406"/>
      <c r="Q380" s="723"/>
      <c r="R380" s="723"/>
      <c r="S380" s="723"/>
      <c r="T380" s="723"/>
      <c r="U380" s="406"/>
      <c r="V380" s="723"/>
      <c r="W380" s="723"/>
      <c r="X380" s="723"/>
      <c r="Y380" s="723"/>
      <c r="Z380" s="406"/>
      <c r="AA380" s="723"/>
      <c r="AB380" s="723"/>
      <c r="AC380" s="723"/>
      <c r="AD380" s="723"/>
      <c r="AE380" s="406"/>
      <c r="AF380" s="723"/>
      <c r="AG380" s="723"/>
      <c r="AH380" s="723"/>
      <c r="AI380" s="723"/>
      <c r="AJ380" s="406"/>
      <c r="AK380" s="723"/>
      <c r="AL380" s="723"/>
      <c r="AM380" s="723"/>
      <c r="AN380" s="723"/>
      <c r="AO380" s="406"/>
      <c r="AP380" s="723"/>
      <c r="AQ380" s="723"/>
      <c r="AR380" s="723"/>
      <c r="AS380" s="723"/>
      <c r="AT380" s="406"/>
      <c r="AU380" s="723"/>
      <c r="AV380" s="723"/>
      <c r="AW380" s="723"/>
      <c r="AX380" s="723"/>
      <c r="AY380" s="406"/>
      <c r="AZ380" s="723"/>
      <c r="BA380" s="723"/>
      <c r="BB380" s="723"/>
      <c r="BC380" s="723"/>
      <c r="BD380" s="406"/>
      <c r="BE380" s="723"/>
      <c r="BF380" s="723"/>
      <c r="BG380" s="723"/>
      <c r="BH380" s="723"/>
      <c r="BI380" s="406"/>
      <c r="BJ380" s="1049"/>
      <c r="BK380" s="357">
        <v>0</v>
      </c>
      <c r="BL380" s="357">
        <v>0</v>
      </c>
      <c r="BM380" s="357">
        <v>0</v>
      </c>
      <c r="BN380" s="406">
        <f>SUM(BJ380,BK380,BL380,BM380)</f>
        <v>0</v>
      </c>
      <c r="BO380" s="357">
        <v>0</v>
      </c>
      <c r="BP380" s="357">
        <v>0</v>
      </c>
      <c r="BQ380" s="357">
        <v>0</v>
      </c>
      <c r="BR380" s="357">
        <v>0</v>
      </c>
      <c r="BS380" s="406">
        <f>SUM(BO380,BP380,BQ380,BR380)</f>
        <v>0</v>
      </c>
      <c r="BT380" s="408">
        <v>0</v>
      </c>
      <c r="BU380" s="408">
        <v>0</v>
      </c>
      <c r="BV380" s="408">
        <v>0</v>
      </c>
      <c r="BW380" s="118"/>
    </row>
    <row r="381" spans="1:75" s="123" customFormat="1" collapsed="1" x14ac:dyDescent="0.5">
      <c r="A381" s="192" t="s">
        <v>790</v>
      </c>
      <c r="B381" s="495"/>
      <c r="C381" s="518">
        <f t="shared" ref="C381:BN381" si="783">C366-C378+C380</f>
        <v>161.0321406979204</v>
      </c>
      <c r="D381" s="518">
        <f t="shared" si="783"/>
        <v>344.59329435430703</v>
      </c>
      <c r="E381" s="518">
        <f t="shared" si="783"/>
        <v>384.93259144641252</v>
      </c>
      <c r="F381" s="518">
        <f t="shared" si="783"/>
        <v>417.047206073903</v>
      </c>
      <c r="G381" s="327">
        <f t="shared" si="783"/>
        <v>66.979843236375388</v>
      </c>
      <c r="H381" s="327">
        <f t="shared" si="783"/>
        <v>78.290500391464505</v>
      </c>
      <c r="I381" s="327">
        <f t="shared" si="783"/>
        <v>92.68495984586535</v>
      </c>
      <c r="J381" s="327">
        <f t="shared" si="783"/>
        <v>218.05049037456939</v>
      </c>
      <c r="K381" s="518">
        <f t="shared" si="783"/>
        <v>455.72103314418433</v>
      </c>
      <c r="L381" s="327">
        <f t="shared" si="783"/>
        <v>74.47128421582012</v>
      </c>
      <c r="M381" s="327">
        <f t="shared" si="783"/>
        <v>85.378124757723555</v>
      </c>
      <c r="N381" s="327">
        <f t="shared" si="783"/>
        <v>104.69460556421576</v>
      </c>
      <c r="O381" s="327">
        <f t="shared" si="783"/>
        <v>230.64925662640837</v>
      </c>
      <c r="P381" s="518">
        <f t="shared" si="783"/>
        <v>494.89589402792535</v>
      </c>
      <c r="Q381" s="327">
        <f t="shared" si="783"/>
        <v>71.98978720761896</v>
      </c>
      <c r="R381" s="327">
        <f t="shared" si="783"/>
        <v>83.141949360619265</v>
      </c>
      <c r="S381" s="327">
        <f t="shared" si="783"/>
        <v>110.4308341181838</v>
      </c>
      <c r="T381" s="327">
        <f t="shared" si="783"/>
        <v>222.81837662390063</v>
      </c>
      <c r="U381" s="518">
        <f t="shared" si="783"/>
        <v>488.10519637506559</v>
      </c>
      <c r="V381" s="327">
        <f t="shared" si="783"/>
        <v>76.871864835396096</v>
      </c>
      <c r="W381" s="327">
        <f t="shared" si="783"/>
        <v>83.180849798408843</v>
      </c>
      <c r="X381" s="327">
        <f t="shared" si="783"/>
        <v>110.76430923770555</v>
      </c>
      <c r="Y381" s="327">
        <f t="shared" si="783"/>
        <v>215.85445775967207</v>
      </c>
      <c r="Z381" s="518">
        <f t="shared" si="783"/>
        <v>486.40996154145745</v>
      </c>
      <c r="AA381" s="327">
        <f t="shared" si="783"/>
        <v>68.33820657359793</v>
      </c>
      <c r="AB381" s="327">
        <f t="shared" si="783"/>
        <v>81.168895799455058</v>
      </c>
      <c r="AC381" s="327">
        <f t="shared" si="783"/>
        <v>110.30428432984232</v>
      </c>
      <c r="AD381" s="327">
        <f t="shared" si="783"/>
        <v>207.77645177915835</v>
      </c>
      <c r="AE381" s="518">
        <f t="shared" si="783"/>
        <v>467.34575495124591</v>
      </c>
      <c r="AF381" s="327">
        <f t="shared" si="783"/>
        <v>74.036351965306679</v>
      </c>
      <c r="AG381" s="327">
        <f t="shared" si="783"/>
        <v>84.803193739029723</v>
      </c>
      <c r="AH381" s="327">
        <f t="shared" si="783"/>
        <v>101.16861123940065</v>
      </c>
      <c r="AI381" s="327">
        <f t="shared" si="783"/>
        <v>216.14842125546267</v>
      </c>
      <c r="AJ381" s="518">
        <f t="shared" si="783"/>
        <v>475.94091152809335</v>
      </c>
      <c r="AK381" s="327">
        <f t="shared" si="783"/>
        <v>84.876729343857065</v>
      </c>
      <c r="AL381" s="327">
        <f t="shared" si="783"/>
        <v>91.411856813542997</v>
      </c>
      <c r="AM381" s="327">
        <f t="shared" si="783"/>
        <v>107.3826363797703</v>
      </c>
      <c r="AN381" s="327">
        <f t="shared" si="783"/>
        <v>212.1544833504195</v>
      </c>
      <c r="AO381" s="518">
        <f t="shared" si="783"/>
        <v>495.60098836352842</v>
      </c>
      <c r="AP381" s="327">
        <f t="shared" si="783"/>
        <v>76.881382190619647</v>
      </c>
      <c r="AQ381" s="327">
        <f t="shared" si="783"/>
        <v>188.71733851608926</v>
      </c>
      <c r="AR381" s="327">
        <f t="shared" si="783"/>
        <v>271.63462391472893</v>
      </c>
      <c r="AS381" s="327">
        <f t="shared" si="783"/>
        <v>408.26637913169537</v>
      </c>
      <c r="AT381" s="518">
        <f t="shared" si="783"/>
        <v>945.13925794268778</v>
      </c>
      <c r="AU381" s="327">
        <f t="shared" si="783"/>
        <v>276.30133129639353</v>
      </c>
      <c r="AV381" s="327">
        <f t="shared" si="783"/>
        <v>326.06183356387146</v>
      </c>
      <c r="AW381" s="327">
        <f t="shared" si="783"/>
        <v>333.05929949173128</v>
      </c>
      <c r="AX381" s="327">
        <f t="shared" si="783"/>
        <v>525.68274246999863</v>
      </c>
      <c r="AY381" s="518">
        <f t="shared" si="783"/>
        <v>1460.5872220807919</v>
      </c>
      <c r="AZ381" s="327">
        <f t="shared" si="783"/>
        <v>323.81504292610038</v>
      </c>
      <c r="BA381" s="327">
        <f t="shared" si="783"/>
        <v>366.03600101659032</v>
      </c>
      <c r="BB381" s="327">
        <f t="shared" si="783"/>
        <v>340.15790149933372</v>
      </c>
      <c r="BC381" s="327">
        <f t="shared" si="783"/>
        <v>489.04850911976268</v>
      </c>
      <c r="BD381" s="518">
        <f t="shared" si="783"/>
        <v>1518.5417403697552</v>
      </c>
      <c r="BE381" s="327">
        <f t="shared" si="783"/>
        <v>231.33563290687121</v>
      </c>
      <c r="BF381" s="327">
        <f t="shared" si="783"/>
        <v>275.02878866045245</v>
      </c>
      <c r="BG381" s="327">
        <f t="shared" si="783"/>
        <v>322.42897653278681</v>
      </c>
      <c r="BH381" s="327">
        <f t="shared" si="783"/>
        <v>471.43901082215075</v>
      </c>
      <c r="BI381" s="518">
        <f t="shared" si="783"/>
        <v>1299.7625275272324</v>
      </c>
      <c r="BJ381" s="1026">
        <f>BJ366-BJ378+BJ380</f>
        <v>339.88099999999997</v>
      </c>
      <c r="BK381" s="327">
        <f t="shared" si="783"/>
        <v>262.7577142752715</v>
      </c>
      <c r="BL381" s="327">
        <f t="shared" ca="1" si="783"/>
        <v>318.38126169592368</v>
      </c>
      <c r="BM381" s="327">
        <f t="shared" ca="1" si="783"/>
        <v>494.86206480066028</v>
      </c>
      <c r="BN381" s="518">
        <f t="shared" ca="1" si="783"/>
        <v>1415.8820407718554</v>
      </c>
      <c r="BO381" s="327">
        <f t="shared" ref="BO381:CF381" ca="1" si="784">BO366-BO378+BO380</f>
        <v>281.18231495197466</v>
      </c>
      <c r="BP381" s="327">
        <f t="shared" ca="1" si="784"/>
        <v>278.17386541767041</v>
      </c>
      <c r="BQ381" s="327">
        <f t="shared" ca="1" si="784"/>
        <v>351.35789496580901</v>
      </c>
      <c r="BR381" s="327">
        <f t="shared" ca="1" si="784"/>
        <v>474.6130456846555</v>
      </c>
      <c r="BS381" s="518">
        <f t="shared" ca="1" si="784"/>
        <v>1385.327121020109</v>
      </c>
      <c r="BT381" s="518">
        <f t="shared" ca="1" si="784"/>
        <v>1494.2180193018621</v>
      </c>
      <c r="BU381" s="518">
        <f t="shared" ca="1" si="784"/>
        <v>1627.9534994905844</v>
      </c>
      <c r="BV381" s="518">
        <f t="shared" ca="1" si="784"/>
        <v>1773.0075350168038</v>
      </c>
      <c r="BW381" s="118"/>
    </row>
    <row r="382" spans="1:75" s="123" customFormat="1" collapsed="1" x14ac:dyDescent="0.5">
      <c r="A382" s="199" t="s">
        <v>791</v>
      </c>
      <c r="B382" s="490"/>
      <c r="C382" s="414"/>
      <c r="D382" s="414">
        <f>D381-C381</f>
        <v>183.56115365638664</v>
      </c>
      <c r="E382" s="414">
        <f>E381-D381</f>
        <v>40.339297092105483</v>
      </c>
      <c r="F382" s="414">
        <f>F381-E381</f>
        <v>32.114614627490482</v>
      </c>
      <c r="G382" s="413"/>
      <c r="H382" s="413"/>
      <c r="I382" s="413"/>
      <c r="J382" s="413"/>
      <c r="K382" s="414">
        <f t="shared" ref="K382:BS382" si="785">K381-F381</f>
        <v>38.673827070281334</v>
      </c>
      <c r="L382" s="413">
        <f t="shared" si="785"/>
        <v>7.4914409794447323</v>
      </c>
      <c r="M382" s="413">
        <f t="shared" si="785"/>
        <v>7.0876243662590497</v>
      </c>
      <c r="N382" s="413">
        <f t="shared" si="785"/>
        <v>12.009645718350413</v>
      </c>
      <c r="O382" s="413">
        <f t="shared" si="785"/>
        <v>12.598766251838981</v>
      </c>
      <c r="P382" s="414">
        <f t="shared" si="785"/>
        <v>39.174860883741019</v>
      </c>
      <c r="Q382" s="413">
        <f t="shared" si="785"/>
        <v>-2.4814970082011598</v>
      </c>
      <c r="R382" s="413">
        <f t="shared" si="785"/>
        <v>-2.2361753971042901</v>
      </c>
      <c r="S382" s="413">
        <f t="shared" si="785"/>
        <v>5.7362285539680329</v>
      </c>
      <c r="T382" s="413">
        <f t="shared" si="785"/>
        <v>-7.8308800025077403</v>
      </c>
      <c r="U382" s="414">
        <f t="shared" si="785"/>
        <v>-6.7906976528597625</v>
      </c>
      <c r="V382" s="413">
        <f t="shared" si="785"/>
        <v>4.8820776277771358</v>
      </c>
      <c r="W382" s="413">
        <f t="shared" si="785"/>
        <v>3.8900437789578746E-2</v>
      </c>
      <c r="X382" s="413">
        <f t="shared" si="785"/>
        <v>0.33347511952175068</v>
      </c>
      <c r="Y382" s="413">
        <f t="shared" si="785"/>
        <v>-6.9639188642285603</v>
      </c>
      <c r="Z382" s="414">
        <f t="shared" si="785"/>
        <v>-1.69523483360814</v>
      </c>
      <c r="AA382" s="413">
        <f t="shared" si="785"/>
        <v>-8.5336582617981662</v>
      </c>
      <c r="AB382" s="413">
        <f t="shared" si="785"/>
        <v>-2.0119539989537856</v>
      </c>
      <c r="AC382" s="413">
        <f t="shared" si="785"/>
        <v>-0.4600249078632288</v>
      </c>
      <c r="AD382" s="413">
        <f t="shared" si="785"/>
        <v>-8.0780059805137228</v>
      </c>
      <c r="AE382" s="414">
        <f t="shared" si="785"/>
        <v>-19.064206590211541</v>
      </c>
      <c r="AF382" s="413">
        <f t="shared" si="785"/>
        <v>5.6981453917087492</v>
      </c>
      <c r="AG382" s="413">
        <f t="shared" si="785"/>
        <v>3.6342979395746653</v>
      </c>
      <c r="AH382" s="413">
        <f t="shared" si="785"/>
        <v>-9.1356730904416708</v>
      </c>
      <c r="AI382" s="413">
        <f t="shared" si="785"/>
        <v>8.3719694763043151</v>
      </c>
      <c r="AJ382" s="414">
        <f t="shared" si="785"/>
        <v>8.5951565768474438</v>
      </c>
      <c r="AK382" s="413">
        <f t="shared" si="785"/>
        <v>10.840377378550386</v>
      </c>
      <c r="AL382" s="413">
        <f t="shared" si="785"/>
        <v>6.6086630745132737</v>
      </c>
      <c r="AM382" s="413">
        <f t="shared" si="785"/>
        <v>6.2140251403696567</v>
      </c>
      <c r="AN382" s="413">
        <f t="shared" si="785"/>
        <v>-3.9939379050431683</v>
      </c>
      <c r="AO382" s="414">
        <f t="shared" si="785"/>
        <v>19.660076835435063</v>
      </c>
      <c r="AP382" s="413">
        <f t="shared" si="785"/>
        <v>-7.9953471532374181</v>
      </c>
      <c r="AQ382" s="413">
        <f t="shared" si="785"/>
        <v>97.30548170254626</v>
      </c>
      <c r="AR382" s="413">
        <f t="shared" si="785"/>
        <v>164.25198753495863</v>
      </c>
      <c r="AS382" s="413">
        <f t="shared" si="785"/>
        <v>196.11189578127588</v>
      </c>
      <c r="AT382" s="414">
        <f t="shared" si="785"/>
        <v>449.53826957915936</v>
      </c>
      <c r="AU382" s="413">
        <f t="shared" si="785"/>
        <v>199.41994910577387</v>
      </c>
      <c r="AV382" s="413">
        <f t="shared" si="785"/>
        <v>137.3444950477822</v>
      </c>
      <c r="AW382" s="413">
        <f t="shared" si="785"/>
        <v>61.424675577002347</v>
      </c>
      <c r="AX382" s="413">
        <f t="shared" si="785"/>
        <v>117.41636333830326</v>
      </c>
      <c r="AY382" s="414">
        <f t="shared" si="785"/>
        <v>515.44796413810411</v>
      </c>
      <c r="AZ382" s="413">
        <f t="shared" si="785"/>
        <v>47.513711629706847</v>
      </c>
      <c r="BA382" s="413">
        <f t="shared" si="785"/>
        <v>39.974167452718859</v>
      </c>
      <c r="BB382" s="413">
        <f t="shared" si="785"/>
        <v>7.0986020076024374</v>
      </c>
      <c r="BC382" s="413">
        <f t="shared" si="785"/>
        <v>-36.634233350235945</v>
      </c>
      <c r="BD382" s="414">
        <f t="shared" si="785"/>
        <v>57.9545182889633</v>
      </c>
      <c r="BE382" s="413">
        <f t="shared" si="785"/>
        <v>-92.479410019229164</v>
      </c>
      <c r="BF382" s="413">
        <f t="shared" si="785"/>
        <v>-91.00721235613787</v>
      </c>
      <c r="BG382" s="413">
        <f t="shared" si="785"/>
        <v>-17.728924966546913</v>
      </c>
      <c r="BH382" s="413">
        <f t="shared" si="785"/>
        <v>-17.609498297611935</v>
      </c>
      <c r="BI382" s="414">
        <f t="shared" si="785"/>
        <v>-218.77921284252284</v>
      </c>
      <c r="BJ382" s="1216">
        <f>BJ381-BE381</f>
        <v>108.54536709312876</v>
      </c>
      <c r="BK382" s="413">
        <f t="shared" si="785"/>
        <v>-12.271074385180953</v>
      </c>
      <c r="BL382" s="413">
        <f t="shared" ca="1" si="785"/>
        <v>-4.0477148368631219</v>
      </c>
      <c r="BM382" s="413">
        <f t="shared" ca="1" si="785"/>
        <v>23.423053978509529</v>
      </c>
      <c r="BN382" s="414">
        <f t="shared" ca="1" si="785"/>
        <v>116.11951324462302</v>
      </c>
      <c r="BO382" s="413">
        <f t="shared" ca="1" si="785"/>
        <v>-58.698685048025311</v>
      </c>
      <c r="BP382" s="413">
        <f t="shared" ca="1" si="785"/>
        <v>15.416151142398917</v>
      </c>
      <c r="BQ382" s="413">
        <f t="shared" ca="1" si="785"/>
        <v>32.976633269885326</v>
      </c>
      <c r="BR382" s="413">
        <f t="shared" ca="1" si="785"/>
        <v>-20.249019116004774</v>
      </c>
      <c r="BS382" s="414">
        <f t="shared" ca="1" si="785"/>
        <v>-30.554919751746411</v>
      </c>
      <c r="BT382" s="414">
        <f ca="1">BT381-BS381</f>
        <v>108.89089828175315</v>
      </c>
      <c r="BU382" s="414">
        <f ca="1">BU381-BT381</f>
        <v>133.73548018872225</v>
      </c>
      <c r="BV382" s="414">
        <f ca="1">BV381-BU381</f>
        <v>145.05403552621942</v>
      </c>
      <c r="BW382" s="118"/>
    </row>
    <row r="383" spans="1:75" s="123" customFormat="1" collapsed="1" x14ac:dyDescent="0.5">
      <c r="A383" s="170" t="s">
        <v>792</v>
      </c>
      <c r="B383" s="491"/>
      <c r="C383" s="417"/>
      <c r="D383" s="417">
        <f>IF(C381&gt;0,D381/C381-1,-(D381/C381-1))</f>
        <v>1.1399038282719491</v>
      </c>
      <c r="E383" s="417">
        <f>IF(D381&gt;0,E381/D381-1,-(E381/D381-1))</f>
        <v>0.11706349993749177</v>
      </c>
      <c r="F383" s="417">
        <f>IF(E381&gt;0,F381/E381-1,-(F381/E381-1))</f>
        <v>8.3429190827457589E-2</v>
      </c>
      <c r="G383" s="378"/>
      <c r="H383" s="378"/>
      <c r="I383" s="378"/>
      <c r="J383" s="378"/>
      <c r="K383" s="417">
        <f t="shared" ref="K383:BS383" si="786">IF(F381&gt;0,K381/F381-1,-(K381/F381-1))</f>
        <v>9.2732492885776896E-2</v>
      </c>
      <c r="L383" s="378">
        <f t="shared" si="786"/>
        <v>0.11184620055032135</v>
      </c>
      <c r="M383" s="378">
        <f t="shared" si="786"/>
        <v>9.0529813078468635E-2</v>
      </c>
      <c r="N383" s="378">
        <f t="shared" si="786"/>
        <v>0.12957491418588729</v>
      </c>
      <c r="O383" s="378">
        <f t="shared" si="786"/>
        <v>5.7779123680009592E-2</v>
      </c>
      <c r="P383" s="417">
        <f t="shared" si="786"/>
        <v>8.5962371790170522E-2</v>
      </c>
      <c r="Q383" s="378">
        <f t="shared" si="786"/>
        <v>-3.3321528349231966E-2</v>
      </c>
      <c r="R383" s="378">
        <f t="shared" si="786"/>
        <v>-2.6191432564838579E-2</v>
      </c>
      <c r="S383" s="378">
        <f t="shared" si="786"/>
        <v>5.4790106166928032E-2</v>
      </c>
      <c r="T383" s="378">
        <f t="shared" si="786"/>
        <v>-3.3951464301451129E-2</v>
      </c>
      <c r="U383" s="417">
        <f t="shared" si="786"/>
        <v>-1.3721466948514616E-2</v>
      </c>
      <c r="V383" s="378">
        <f t="shared" si="786"/>
        <v>6.7816253070691834E-2</v>
      </c>
      <c r="W383" s="378">
        <f t="shared" si="786"/>
        <v>4.6787978979012657E-4</v>
      </c>
      <c r="X383" s="378">
        <f t="shared" si="786"/>
        <v>3.0197645629015391E-3</v>
      </c>
      <c r="Y383" s="378">
        <f t="shared" si="786"/>
        <v>-3.1253790507517643E-2</v>
      </c>
      <c r="Z383" s="417">
        <f t="shared" si="786"/>
        <v>-3.47309319015221E-3</v>
      </c>
      <c r="AA383" s="378">
        <f t="shared" si="786"/>
        <v>-0.11101146407819151</v>
      </c>
      <c r="AB383" s="378">
        <f t="shared" si="786"/>
        <v>-2.4187706711698786E-2</v>
      </c>
      <c r="AC383" s="378">
        <f t="shared" si="786"/>
        <v>-4.1531871685850374E-3</v>
      </c>
      <c r="AD383" s="378">
        <f t="shared" si="786"/>
        <v>-3.7423391966765029E-2</v>
      </c>
      <c r="AE383" s="417">
        <f t="shared" si="786"/>
        <v>-3.9193700987940505E-2</v>
      </c>
      <c r="AF383" s="378">
        <f t="shared" si="786"/>
        <v>8.3381547122868049E-2</v>
      </c>
      <c r="AG383" s="378">
        <f t="shared" si="786"/>
        <v>4.4774514963884293E-2</v>
      </c>
      <c r="AH383" s="378">
        <f t="shared" si="786"/>
        <v>-8.2822468283492157E-2</v>
      </c>
      <c r="AI383" s="378">
        <f t="shared" si="786"/>
        <v>4.0293158366197845E-2</v>
      </c>
      <c r="AJ383" s="417">
        <f t="shared" si="786"/>
        <v>1.8391429655211233E-2</v>
      </c>
      <c r="AK383" s="378">
        <f t="shared" si="786"/>
        <v>0.14641965859730877</v>
      </c>
      <c r="AL383" s="378">
        <f t="shared" si="786"/>
        <v>7.7929412597956382E-2</v>
      </c>
      <c r="AM383" s="378">
        <f t="shared" si="786"/>
        <v>6.1422461613761525E-2</v>
      </c>
      <c r="AN383" s="378">
        <f t="shared" si="786"/>
        <v>-1.8477756542680468E-2</v>
      </c>
      <c r="AO383" s="417">
        <f t="shared" si="786"/>
        <v>4.1307810190792216E-2</v>
      </c>
      <c r="AP383" s="378">
        <f t="shared" si="786"/>
        <v>-9.4199519880723059E-2</v>
      </c>
      <c r="AQ383" s="378">
        <f t="shared" si="786"/>
        <v>1.064473308982496</v>
      </c>
      <c r="AR383" s="378">
        <f t="shared" si="786"/>
        <v>1.5295954082749814</v>
      </c>
      <c r="AS383" s="378">
        <f t="shared" si="786"/>
        <v>0.92438251921056147</v>
      </c>
      <c r="AT383" s="417">
        <f t="shared" si="786"/>
        <v>0.90705684640285344</v>
      </c>
      <c r="AU383" s="378">
        <f t="shared" si="786"/>
        <v>2.5938652951286985</v>
      </c>
      <c r="AV383" s="378">
        <f t="shared" si="786"/>
        <v>0.72777888946368741</v>
      </c>
      <c r="AW383" s="378">
        <f t="shared" si="786"/>
        <v>0.22612977201420636</v>
      </c>
      <c r="AX383" s="378">
        <f t="shared" si="786"/>
        <v>0.28759743476312072</v>
      </c>
      <c r="AY383" s="417">
        <f t="shared" si="786"/>
        <v>0.54536721420301038</v>
      </c>
      <c r="AZ383" s="378">
        <f t="shared" si="786"/>
        <v>0.1719633829007432</v>
      </c>
      <c r="BA383" s="378">
        <f t="shared" si="786"/>
        <v>0.12259689217777892</v>
      </c>
      <c r="BB383" s="378">
        <f t="shared" si="786"/>
        <v>2.1313327742042754E-2</v>
      </c>
      <c r="BC383" s="378">
        <f t="shared" si="786"/>
        <v>-6.9688864386349358E-2</v>
      </c>
      <c r="BD383" s="417">
        <f t="shared" si="786"/>
        <v>3.9678916406238107E-2</v>
      </c>
      <c r="BE383" s="378">
        <f t="shared" si="786"/>
        <v>-0.28559331025376233</v>
      </c>
      <c r="BF383" s="378">
        <f t="shared" si="786"/>
        <v>-0.24862912965769457</v>
      </c>
      <c r="BG383" s="378">
        <f t="shared" si="786"/>
        <v>-5.2119691732580908E-2</v>
      </c>
      <c r="BH383" s="378">
        <f t="shared" si="786"/>
        <v>-3.6007671977790534E-2</v>
      </c>
      <c r="BI383" s="417">
        <f t="shared" si="786"/>
        <v>-0.14407191256346463</v>
      </c>
      <c r="BJ383" s="1130">
        <f>IF(BE381&gt;0,BJ381/BE381-1,-(BJ381/BE381-1))</f>
        <v>0.46921162005693207</v>
      </c>
      <c r="BK383" s="378">
        <f t="shared" si="786"/>
        <v>-4.4617417852684138E-2</v>
      </c>
      <c r="BL383" s="378">
        <f t="shared" ca="1" si="786"/>
        <v>-1.2553818457602284E-2</v>
      </c>
      <c r="BM383" s="378">
        <f t="shared" ca="1" si="786"/>
        <v>4.9684165800495839E-2</v>
      </c>
      <c r="BN383" s="417">
        <f t="shared" ca="1" si="786"/>
        <v>8.9339022156253112E-2</v>
      </c>
      <c r="BO383" s="378">
        <f t="shared" ca="1" si="786"/>
        <v>-0.17270363759087837</v>
      </c>
      <c r="BP383" s="378">
        <f t="shared" ca="1" si="786"/>
        <v>5.8670593877402144E-2</v>
      </c>
      <c r="BQ383" s="378">
        <f t="shared" ca="1" si="786"/>
        <v>0.10357592370301094</v>
      </c>
      <c r="BR383" s="378">
        <f t="shared" ca="1" si="786"/>
        <v>-4.0918511553641679E-2</v>
      </c>
      <c r="BS383" s="417">
        <f t="shared" ca="1" si="786"/>
        <v>-2.1580130880881621E-2</v>
      </c>
      <c r="BT383" s="417">
        <f ca="1">IF(BS381&gt;0,BT381/BS381-1,-(BT381/BS381-1))</f>
        <v>7.860302208013481E-2</v>
      </c>
      <c r="BU383" s="417">
        <f ca="1">IF(BT381&gt;0,BU381/BT381-1,-(BU381/BT381-1))</f>
        <v>8.9501985962668895E-2</v>
      </c>
      <c r="BV383" s="417">
        <f ca="1">IF(BU381&gt;0,BV381/BU381-1,-(BV381/BU381-1))</f>
        <v>8.9102075441104045E-2</v>
      </c>
      <c r="BW383" s="118"/>
    </row>
    <row r="384" spans="1:75" s="123" customFormat="1" collapsed="1" x14ac:dyDescent="0.5">
      <c r="A384" s="211" t="s">
        <v>793</v>
      </c>
      <c r="B384" s="493"/>
      <c r="C384" s="423">
        <f t="shared" ref="C384:BN384" si="787">C381/C305</f>
        <v>5.1900581137588497E-2</v>
      </c>
      <c r="D384" s="423">
        <f t="shared" si="787"/>
        <v>9.8338400938059026E-2</v>
      </c>
      <c r="E384" s="423">
        <f t="shared" si="787"/>
        <v>0.10345161350868877</v>
      </c>
      <c r="F384" s="423">
        <f t="shared" si="787"/>
        <v>0.10315622468046289</v>
      </c>
      <c r="G384" s="422">
        <f t="shared" si="787"/>
        <v>7.5444063622287019E-2</v>
      </c>
      <c r="H384" s="422">
        <f t="shared" si="787"/>
        <v>7.9708596023315315E-2</v>
      </c>
      <c r="I384" s="422">
        <f t="shared" si="787"/>
        <v>8.8141444656701692E-2</v>
      </c>
      <c r="J384" s="422">
        <f t="shared" si="787"/>
        <v>0.14870553191148025</v>
      </c>
      <c r="K384" s="423">
        <f t="shared" si="787"/>
        <v>0.10385883351748057</v>
      </c>
      <c r="L384" s="422">
        <f t="shared" si="787"/>
        <v>7.6433327738877094E-2</v>
      </c>
      <c r="M384" s="422">
        <f t="shared" si="787"/>
        <v>8.216529730259739E-2</v>
      </c>
      <c r="N384" s="422">
        <f t="shared" si="787"/>
        <v>9.1583350010073603E-2</v>
      </c>
      <c r="O384" s="422">
        <f t="shared" si="787"/>
        <v>0.14956586309566888</v>
      </c>
      <c r="P384" s="423">
        <f t="shared" si="787"/>
        <v>0.1053257055865493</v>
      </c>
      <c r="Q384" s="422">
        <f t="shared" si="787"/>
        <v>6.9847155854622561E-2</v>
      </c>
      <c r="R384" s="422">
        <f t="shared" si="787"/>
        <v>7.3770970517697224E-2</v>
      </c>
      <c r="S384" s="422">
        <f t="shared" si="787"/>
        <v>8.9629451707097241E-2</v>
      </c>
      <c r="T384" s="422">
        <f t="shared" si="787"/>
        <v>0.14046385599727457</v>
      </c>
      <c r="U384" s="423">
        <f t="shared" si="787"/>
        <v>9.8090106162683072E-2</v>
      </c>
      <c r="V384" s="422">
        <f t="shared" si="787"/>
        <v>7.0022476273728762E-2</v>
      </c>
      <c r="W384" s="422">
        <f t="shared" si="787"/>
        <v>7.1767703654014567E-2</v>
      </c>
      <c r="X384" s="422">
        <f t="shared" si="787"/>
        <v>8.8939813180426569E-2</v>
      </c>
      <c r="Y384" s="422">
        <f t="shared" si="787"/>
        <v>0.13648017885879515</v>
      </c>
      <c r="Z384" s="423">
        <f t="shared" si="787"/>
        <v>9.5678196113754291E-2</v>
      </c>
      <c r="AA384" s="422">
        <f t="shared" si="787"/>
        <v>6.1482479708717917E-2</v>
      </c>
      <c r="AB384" s="422">
        <f t="shared" si="787"/>
        <v>6.7550341625670196E-2</v>
      </c>
      <c r="AC384" s="422">
        <f t="shared" si="787"/>
        <v>8.4892810119816822E-2</v>
      </c>
      <c r="AD384" s="422">
        <f t="shared" si="787"/>
        <v>0.12371313149919341</v>
      </c>
      <c r="AE384" s="423">
        <f t="shared" si="787"/>
        <v>8.8312562786625554E-2</v>
      </c>
      <c r="AF384" s="422">
        <f t="shared" si="787"/>
        <v>6.1578626377400324E-2</v>
      </c>
      <c r="AG384" s="422">
        <f t="shared" si="787"/>
        <v>6.6540125196674169E-2</v>
      </c>
      <c r="AH384" s="422">
        <f t="shared" si="787"/>
        <v>7.4615108671240327E-2</v>
      </c>
      <c r="AI384" s="422">
        <f t="shared" si="787"/>
        <v>0.1177539375567052</v>
      </c>
      <c r="AJ384" s="423">
        <f t="shared" si="787"/>
        <v>8.3966259637575924E-2</v>
      </c>
      <c r="AK384" s="422">
        <f t="shared" si="787"/>
        <v>6.838654497979027E-2</v>
      </c>
      <c r="AL384" s="422">
        <f t="shared" si="787"/>
        <v>6.6684361856198568E-2</v>
      </c>
      <c r="AM384" s="422">
        <f t="shared" si="787"/>
        <v>7.4443480621994948E-2</v>
      </c>
      <c r="AN384" s="422">
        <f t="shared" si="787"/>
        <v>0.11507682475518932</v>
      </c>
      <c r="AO384" s="423">
        <f t="shared" si="787"/>
        <v>8.4028537832354325E-2</v>
      </c>
      <c r="AP384" s="422">
        <f t="shared" si="787"/>
        <v>6.2241900473541313E-2</v>
      </c>
      <c r="AQ384" s="422">
        <f t="shared" si="787"/>
        <v>0.12658991822122909</v>
      </c>
      <c r="AR384" s="422">
        <f t="shared" si="787"/>
        <v>0.15394110628217783</v>
      </c>
      <c r="AS384" s="422">
        <f t="shared" si="787"/>
        <v>0.17807440447534179</v>
      </c>
      <c r="AT384" s="423">
        <f t="shared" si="787"/>
        <v>0.13933553346997818</v>
      </c>
      <c r="AU384" s="422">
        <f t="shared" si="787"/>
        <v>0.15797412809987343</v>
      </c>
      <c r="AV384" s="422">
        <f t="shared" si="787"/>
        <v>0.16735374776354189</v>
      </c>
      <c r="AW384" s="422">
        <f t="shared" si="787"/>
        <v>0.16266322619092055</v>
      </c>
      <c r="AX384" s="422">
        <f t="shared" si="787"/>
        <v>0.2101865841899469</v>
      </c>
      <c r="AY384" s="423">
        <f t="shared" si="787"/>
        <v>0.17712812979397269</v>
      </c>
      <c r="AZ384" s="422">
        <f t="shared" si="787"/>
        <v>0.17121955372152595</v>
      </c>
      <c r="BA384" s="422">
        <f t="shared" si="787"/>
        <v>0.171241948568184</v>
      </c>
      <c r="BB384" s="422">
        <f t="shared" si="787"/>
        <v>0.15514089900698161</v>
      </c>
      <c r="BC384" s="422">
        <f t="shared" si="787"/>
        <v>0.19936109237401761</v>
      </c>
      <c r="BD384" s="423">
        <f t="shared" si="787"/>
        <v>0.1750598040617318</v>
      </c>
      <c r="BE384" s="422">
        <f t="shared" si="787"/>
        <v>0.1317813102768868</v>
      </c>
      <c r="BF384" s="422">
        <f t="shared" si="787"/>
        <v>0.14765742588665845</v>
      </c>
      <c r="BG384" s="422">
        <f t="shared" si="787"/>
        <v>0.173942748918505</v>
      </c>
      <c r="BH384" s="422">
        <f t="shared" si="787"/>
        <v>0.20686794361676114</v>
      </c>
      <c r="BI384" s="423">
        <f t="shared" si="787"/>
        <v>0.16769718567253855</v>
      </c>
      <c r="BJ384" s="1034">
        <f>BJ381/BJ305</f>
        <v>0.20470467636905032</v>
      </c>
      <c r="BK384" s="422">
        <f t="shared" si="787"/>
        <v>0.14211805283816198</v>
      </c>
      <c r="BL384" s="422">
        <f t="shared" ca="1" si="787"/>
        <v>0.17386853534182159</v>
      </c>
      <c r="BM384" s="422">
        <f t="shared" ca="1" si="787"/>
        <v>0.20760282134921357</v>
      </c>
      <c r="BN384" s="423">
        <f t="shared" ca="1" si="787"/>
        <v>0.18330766250178129</v>
      </c>
      <c r="BO384" s="422">
        <f t="shared" ref="BO384:CF384" ca="1" si="788">BO381/BO305</f>
        <v>0.16176767377268655</v>
      </c>
      <c r="BP384" s="422">
        <f t="shared" ca="1" si="788"/>
        <v>0.1438778844431903</v>
      </c>
      <c r="BQ384" s="422">
        <f t="shared" ca="1" si="788"/>
        <v>0.18422601957430759</v>
      </c>
      <c r="BR384" s="422">
        <f t="shared" ca="1" si="788"/>
        <v>0.20297239906836106</v>
      </c>
      <c r="BS384" s="423">
        <f t="shared" ca="1" si="788"/>
        <v>0.17497882752931151</v>
      </c>
      <c r="BT384" s="423">
        <f t="shared" ca="1" si="788"/>
        <v>0.17726483246329816</v>
      </c>
      <c r="BU384" s="423">
        <f t="shared" ca="1" si="788"/>
        <v>0.18018359400784709</v>
      </c>
      <c r="BV384" s="423">
        <f t="shared" ca="1" si="788"/>
        <v>0.18305772504918963</v>
      </c>
      <c r="BW384" s="118"/>
    </row>
    <row r="385" spans="1:75" s="123" customFormat="1" collapsed="1" x14ac:dyDescent="0.5">
      <c r="A385" s="218" t="s">
        <v>794</v>
      </c>
      <c r="B385" s="494"/>
      <c r="C385" s="425"/>
      <c r="D385" s="425">
        <f>(D384-C384)*10000</f>
        <v>464.37819800470527</v>
      </c>
      <c r="E385" s="425">
        <f>(E384-D384)*10000</f>
        <v>51.132125706297437</v>
      </c>
      <c r="F385" s="425">
        <f>(F384-E384)*10000</f>
        <v>-2.953888282258843</v>
      </c>
      <c r="G385" s="487"/>
      <c r="H385" s="487"/>
      <c r="I385" s="487"/>
      <c r="J385" s="487"/>
      <c r="K385" s="425">
        <f t="shared" ref="K385:BS385" si="789">(K384-F384)*10000</f>
        <v>7.0260883701768471</v>
      </c>
      <c r="L385" s="487">
        <f t="shared" si="789"/>
        <v>9.8926411659007449</v>
      </c>
      <c r="M385" s="487">
        <f t="shared" si="789"/>
        <v>24.567012792820751</v>
      </c>
      <c r="N385" s="487">
        <f t="shared" si="789"/>
        <v>34.419053533719101</v>
      </c>
      <c r="O385" s="487">
        <f t="shared" si="789"/>
        <v>8.6033118418862848</v>
      </c>
      <c r="P385" s="425">
        <f t="shared" si="789"/>
        <v>14.668720690687309</v>
      </c>
      <c r="Q385" s="487">
        <f t="shared" si="789"/>
        <v>-65.861718842545329</v>
      </c>
      <c r="R385" s="487">
        <f t="shared" si="789"/>
        <v>-83.943267849001657</v>
      </c>
      <c r="S385" s="487">
        <f t="shared" si="789"/>
        <v>-19.538983029763617</v>
      </c>
      <c r="T385" s="487">
        <f t="shared" si="789"/>
        <v>-91.020070983943157</v>
      </c>
      <c r="U385" s="425">
        <f t="shared" si="789"/>
        <v>-72.355994238662291</v>
      </c>
      <c r="V385" s="487">
        <f t="shared" si="789"/>
        <v>1.7532041910620078</v>
      </c>
      <c r="W385" s="487">
        <f t="shared" si="789"/>
        <v>-20.032668636826568</v>
      </c>
      <c r="X385" s="487">
        <f t="shared" si="789"/>
        <v>-6.8963852667067176</v>
      </c>
      <c r="Y385" s="487">
        <f t="shared" si="789"/>
        <v>-39.836771384794133</v>
      </c>
      <c r="Z385" s="425">
        <f t="shared" si="789"/>
        <v>-24.11910048928781</v>
      </c>
      <c r="AA385" s="487">
        <f t="shared" si="789"/>
        <v>-85.399965650108442</v>
      </c>
      <c r="AB385" s="487">
        <f t="shared" si="789"/>
        <v>-42.173620283443711</v>
      </c>
      <c r="AC385" s="487">
        <f t="shared" si="789"/>
        <v>-40.470030606097467</v>
      </c>
      <c r="AD385" s="487">
        <f t="shared" si="789"/>
        <v>-127.6704735960174</v>
      </c>
      <c r="AE385" s="425">
        <f t="shared" si="789"/>
        <v>-73.656333271287366</v>
      </c>
      <c r="AF385" s="487">
        <f t="shared" si="789"/>
        <v>0.961466686824064</v>
      </c>
      <c r="AG385" s="487">
        <f t="shared" si="789"/>
        <v>-10.102164289960275</v>
      </c>
      <c r="AH385" s="487">
        <f t="shared" si="789"/>
        <v>-102.77701448576495</v>
      </c>
      <c r="AI385" s="487">
        <f t="shared" si="789"/>
        <v>-59.591939424882142</v>
      </c>
      <c r="AJ385" s="425">
        <f t="shared" si="789"/>
        <v>-43.463031490496299</v>
      </c>
      <c r="AK385" s="487">
        <f t="shared" si="789"/>
        <v>68.079186023899467</v>
      </c>
      <c r="AL385" s="487">
        <f t="shared" si="789"/>
        <v>1.4423665952439935</v>
      </c>
      <c r="AM385" s="487">
        <f t="shared" si="789"/>
        <v>-1.7162804924537867</v>
      </c>
      <c r="AN385" s="487">
        <f t="shared" si="789"/>
        <v>-26.771128015158769</v>
      </c>
      <c r="AO385" s="425">
        <f t="shared" si="789"/>
        <v>0.62278194778400686</v>
      </c>
      <c r="AP385" s="487">
        <f t="shared" si="789"/>
        <v>-61.446445062489573</v>
      </c>
      <c r="AQ385" s="487">
        <f t="shared" si="789"/>
        <v>599.0555636503052</v>
      </c>
      <c r="AR385" s="487">
        <f t="shared" si="789"/>
        <v>794.97625660182882</v>
      </c>
      <c r="AS385" s="487">
        <f t="shared" si="789"/>
        <v>629.97579720152464</v>
      </c>
      <c r="AT385" s="425">
        <f t="shared" si="789"/>
        <v>553.06995637623857</v>
      </c>
      <c r="AU385" s="487">
        <f t="shared" si="789"/>
        <v>957.32227626332133</v>
      </c>
      <c r="AV385" s="487">
        <f t="shared" si="789"/>
        <v>407.63829542312806</v>
      </c>
      <c r="AW385" s="487">
        <f t="shared" si="789"/>
        <v>87.221199087427209</v>
      </c>
      <c r="AX385" s="487">
        <f t="shared" si="789"/>
        <v>321.12179714605116</v>
      </c>
      <c r="AY385" s="425">
        <f t="shared" si="789"/>
        <v>377.92596323994508</v>
      </c>
      <c r="AZ385" s="487">
        <f t="shared" si="789"/>
        <v>132.45425621652512</v>
      </c>
      <c r="BA385" s="487">
        <f t="shared" si="789"/>
        <v>38.882008046421113</v>
      </c>
      <c r="BB385" s="487">
        <f t="shared" si="789"/>
        <v>-75.223271839389426</v>
      </c>
      <c r="BC385" s="487">
        <f t="shared" si="789"/>
        <v>-108.25491815929288</v>
      </c>
      <c r="BD385" s="425">
        <f t="shared" si="789"/>
        <v>-20.683257322408888</v>
      </c>
      <c r="BE385" s="487">
        <f t="shared" si="789"/>
        <v>-394.38243444639141</v>
      </c>
      <c r="BF385" s="487">
        <f t="shared" si="789"/>
        <v>-235.84522681525556</v>
      </c>
      <c r="BG385" s="487">
        <f t="shared" si="789"/>
        <v>188.01849911523394</v>
      </c>
      <c r="BH385" s="487">
        <f t="shared" si="789"/>
        <v>75.06851242743528</v>
      </c>
      <c r="BI385" s="425">
        <f t="shared" si="789"/>
        <v>-73.626183891932484</v>
      </c>
      <c r="BJ385" s="981">
        <f>(BJ384-BE384)*10000</f>
        <v>729.23366092163519</v>
      </c>
      <c r="BK385" s="487">
        <f t="shared" si="789"/>
        <v>-55.393730484964706</v>
      </c>
      <c r="BL385" s="487">
        <f t="shared" ca="1" si="789"/>
        <v>-0.74213576683412885</v>
      </c>
      <c r="BM385" s="487">
        <f t="shared" ca="1" si="789"/>
        <v>7.3487773245242689</v>
      </c>
      <c r="BN385" s="425">
        <f t="shared" ca="1" si="789"/>
        <v>156.10476829242742</v>
      </c>
      <c r="BO385" s="487">
        <f t="shared" ca="1" si="789"/>
        <v>-429.37002596363766</v>
      </c>
      <c r="BP385" s="487">
        <f t="shared" ca="1" si="789"/>
        <v>17.598316050283223</v>
      </c>
      <c r="BQ385" s="487">
        <f t="shared" ca="1" si="789"/>
        <v>103.57484232486003</v>
      </c>
      <c r="BR385" s="487">
        <f t="shared" ca="1" si="789"/>
        <v>-46.304222808525033</v>
      </c>
      <c r="BS385" s="425">
        <f t="shared" ca="1" si="789"/>
        <v>-83.288349724697781</v>
      </c>
      <c r="BT385" s="425">
        <f ca="1">(BT384-BS384)*10000</f>
        <v>22.86004933986646</v>
      </c>
      <c r="BU385" s="425">
        <f ca="1">(BU384-BT384)*10000</f>
        <v>29.187615445489257</v>
      </c>
      <c r="BV385" s="425">
        <f ca="1">(BV384-BU384)*10000</f>
        <v>28.741310413425424</v>
      </c>
      <c r="BW385" s="118"/>
    </row>
    <row r="386" spans="1:75" s="123" customFormat="1" collapsed="1" x14ac:dyDescent="0.5">
      <c r="A386" s="752"/>
      <c r="B386" s="489"/>
      <c r="C386" s="401"/>
      <c r="D386" s="401"/>
      <c r="E386" s="401"/>
      <c r="F386" s="401"/>
      <c r="G386" s="118"/>
      <c r="H386" s="118"/>
      <c r="I386" s="118"/>
      <c r="J386" s="118"/>
      <c r="K386" s="401"/>
      <c r="L386" s="118"/>
      <c r="M386" s="118"/>
      <c r="N386" s="118"/>
      <c r="O386" s="118"/>
      <c r="P386" s="401"/>
      <c r="Q386" s="118"/>
      <c r="R386" s="118"/>
      <c r="S386" s="118"/>
      <c r="T386" s="118"/>
      <c r="U386" s="401"/>
      <c r="V386" s="118"/>
      <c r="W386" s="118"/>
      <c r="X386" s="118"/>
      <c r="Y386" s="118"/>
      <c r="Z386" s="401"/>
      <c r="AA386" s="118"/>
      <c r="AB386" s="118"/>
      <c r="AC386" s="118"/>
      <c r="AD386" s="118"/>
      <c r="AE386" s="401"/>
      <c r="AF386" s="118"/>
      <c r="AG386" s="118"/>
      <c r="AH386" s="118"/>
      <c r="AI386" s="118"/>
      <c r="AJ386" s="401"/>
      <c r="AK386" s="118"/>
      <c r="AL386" s="118"/>
      <c r="AM386" s="118"/>
      <c r="AN386" s="118"/>
      <c r="AO386" s="401"/>
      <c r="AP386" s="118"/>
      <c r="AQ386" s="118"/>
      <c r="AR386" s="118"/>
      <c r="AS386" s="118"/>
      <c r="AT386" s="401"/>
      <c r="AU386" s="118"/>
      <c r="AV386" s="118"/>
      <c r="AW386" s="118"/>
      <c r="AX386" s="118"/>
      <c r="AY386" s="401"/>
      <c r="AZ386" s="118"/>
      <c r="BA386" s="118"/>
      <c r="BB386" s="118"/>
      <c r="BC386" s="118"/>
      <c r="BD386" s="401"/>
      <c r="BE386" s="118"/>
      <c r="BF386" s="118"/>
      <c r="BG386" s="118"/>
      <c r="BH386" s="118"/>
      <c r="BI386" s="401"/>
      <c r="BJ386" s="971"/>
      <c r="BK386" s="118"/>
      <c r="BL386" s="118"/>
      <c r="BM386" s="118"/>
      <c r="BN386" s="401"/>
      <c r="BO386" s="118"/>
      <c r="BP386" s="118"/>
      <c r="BQ386" s="118"/>
      <c r="BR386" s="118"/>
      <c r="BS386" s="401"/>
      <c r="BT386" s="401"/>
      <c r="BU386" s="401"/>
      <c r="BV386" s="401"/>
      <c r="BW386" s="122"/>
    </row>
    <row r="387" spans="1:75" s="198" customFormat="1" ht="14.25" x14ac:dyDescent="0.45">
      <c r="A387" s="239" t="s">
        <v>1885</v>
      </c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  <c r="AA387" s="239"/>
      <c r="AB387" s="239"/>
      <c r="AC387" s="239"/>
      <c r="AD387" s="239"/>
      <c r="AE387" s="239"/>
      <c r="AF387" s="239"/>
      <c r="AG387" s="239"/>
      <c r="AH387" s="239"/>
      <c r="AI387" s="239"/>
      <c r="AJ387" s="239"/>
      <c r="AK387" s="239"/>
      <c r="AL387" s="239"/>
      <c r="AM387" s="239"/>
      <c r="AN387" s="239"/>
      <c r="AO387" s="239"/>
      <c r="AP387" s="239"/>
      <c r="AQ387" s="239"/>
      <c r="AR387" s="239"/>
      <c r="AS387" s="239"/>
      <c r="AT387" s="239"/>
      <c r="AU387" s="239"/>
      <c r="AV387" s="239"/>
      <c r="AW387" s="239"/>
      <c r="AX387" s="239"/>
      <c r="AY387" s="239"/>
      <c r="AZ387" s="239"/>
      <c r="BA387" s="239"/>
      <c r="BB387" s="239"/>
      <c r="BC387" s="239"/>
      <c r="BD387" s="239"/>
      <c r="BE387" s="239"/>
      <c r="BF387" s="239"/>
      <c r="BG387" s="239"/>
      <c r="BH387" s="239"/>
      <c r="BI387" s="239"/>
      <c r="BJ387" s="241"/>
      <c r="BK387" s="239"/>
      <c r="BL387" s="239"/>
      <c r="BM387" s="239"/>
      <c r="BN387" s="239"/>
      <c r="BO387" s="239"/>
      <c r="BP387" s="239"/>
      <c r="BQ387" s="239"/>
      <c r="BR387" s="239"/>
      <c r="BS387" s="239"/>
      <c r="BT387" s="239"/>
      <c r="BU387" s="239"/>
      <c r="BV387" s="239"/>
      <c r="BW387" s="197"/>
    </row>
    <row r="388" spans="1:75" s="123" customFormat="1" hidden="1" outlineLevel="1" x14ac:dyDescent="0.5">
      <c r="A388" s="464" t="s">
        <v>1886</v>
      </c>
      <c r="B388" s="489"/>
      <c r="C388" s="403">
        <v>1224.67</v>
      </c>
      <c r="D388" s="403">
        <v>1452.5719999999999</v>
      </c>
      <c r="E388" s="403">
        <v>1632.8109999999999</v>
      </c>
      <c r="F388" s="403">
        <v>1869.386</v>
      </c>
      <c r="G388" s="302">
        <v>419.084</v>
      </c>
      <c r="H388" s="302">
        <v>477.65699999999998</v>
      </c>
      <c r="I388" s="302">
        <v>511.87400000000002</v>
      </c>
      <c r="J388" s="122">
        <f>K388-I388-H388-G388</f>
        <v>706.40699999999993</v>
      </c>
      <c r="K388" s="403">
        <v>2115.0219999999999</v>
      </c>
      <c r="L388" s="302">
        <v>491.28899999999999</v>
      </c>
      <c r="M388" s="302">
        <v>522.58900000000006</v>
      </c>
      <c r="N388" s="302">
        <v>586.976</v>
      </c>
      <c r="O388" s="122">
        <f>P388-N388-M388-L388</f>
        <v>769.83999999999992</v>
      </c>
      <c r="P388" s="403">
        <v>2370.694</v>
      </c>
      <c r="Q388" s="302">
        <v>532.57299999999998</v>
      </c>
      <c r="R388" s="302">
        <v>569.91300000000001</v>
      </c>
      <c r="S388" s="302">
        <v>628.19100000000003</v>
      </c>
      <c r="T388" s="122">
        <f>U388-S388-R388-Q388</f>
        <v>791.90299999999991</v>
      </c>
      <c r="U388" s="403">
        <v>2522.58</v>
      </c>
      <c r="V388" s="302">
        <v>576.23400000000004</v>
      </c>
      <c r="W388" s="302">
        <v>599.68299999999999</v>
      </c>
      <c r="X388" s="302">
        <v>648.74300000000005</v>
      </c>
      <c r="Y388" s="122">
        <f>Z388-X388-W388-V388</f>
        <v>808.94199999999989</v>
      </c>
      <c r="Z388" s="403">
        <v>2633.6019999999999</v>
      </c>
      <c r="AA388" s="302">
        <v>580.51</v>
      </c>
      <c r="AB388" s="302">
        <v>630.79300000000001</v>
      </c>
      <c r="AC388" s="302">
        <v>690.04499999999996</v>
      </c>
      <c r="AD388" s="122">
        <f>AE388-AC388-AB388-AA388</f>
        <v>877.1089999999997</v>
      </c>
      <c r="AE388" s="403">
        <v>2778.4569999999999</v>
      </c>
      <c r="AF388" s="302">
        <v>646.17999999999995</v>
      </c>
      <c r="AG388" s="302">
        <v>686.94200000000001</v>
      </c>
      <c r="AH388" s="302">
        <v>746.71600000000001</v>
      </c>
      <c r="AI388" s="122">
        <f>AJ388-AH388-AG388-AF388</f>
        <v>1002.226</v>
      </c>
      <c r="AJ388" s="403">
        <v>3082.0639999999999</v>
      </c>
      <c r="AK388" s="118"/>
      <c r="AL388" s="122">
        <f>+AQ388/(1+AQ390)</f>
        <v>776.02090410958908</v>
      </c>
      <c r="AM388" s="118"/>
      <c r="AN388" s="118"/>
      <c r="AO388" s="674">
        <f>+AO397*AO640</f>
        <v>3314.6804960000004</v>
      </c>
      <c r="AP388" s="118">
        <f>AT388-AS388-AR388-AQ388</f>
        <v>775.19547999999941</v>
      </c>
      <c r="AQ388" s="122">
        <f t="shared" ref="AQ388:AW388" si="790">+AQ397*AQ640</f>
        <v>1132.9905200000001</v>
      </c>
      <c r="AR388" s="122">
        <f t="shared" si="790"/>
        <v>1235.1751999999999</v>
      </c>
      <c r="AS388" s="122">
        <f t="shared" si="790"/>
        <v>1604.8711000000003</v>
      </c>
      <c r="AT388" s="401">
        <f t="shared" si="790"/>
        <v>4748.2322999999997</v>
      </c>
      <c r="AU388" s="118">
        <f t="shared" si="790"/>
        <v>1136.8688500000001</v>
      </c>
      <c r="AV388" s="122">
        <f t="shared" si="790"/>
        <v>1266.4203500000001</v>
      </c>
      <c r="AW388" s="122">
        <f t="shared" si="790"/>
        <v>1371.85113</v>
      </c>
      <c r="AX388" s="118">
        <f>AY388-SUM(AU388,AV388,AW388)</f>
        <v>1667.1774299999997</v>
      </c>
      <c r="AY388" s="401">
        <f>+AY397*AY640</f>
        <v>5442.3177599999999</v>
      </c>
      <c r="AZ388" s="118">
        <f>+AZ397*AZ640</f>
        <v>1229.29755</v>
      </c>
      <c r="BA388" s="118">
        <f>+BA397*BA640</f>
        <v>1397.949198</v>
      </c>
      <c r="BB388" s="118">
        <f>+BB397*BB640</f>
        <v>1425.1731000000002</v>
      </c>
      <c r="BC388" s="118">
        <f>BD388-SUM(AZ388,BA388,BB388)</f>
        <v>1672.6953719999992</v>
      </c>
      <c r="BD388" s="401">
        <f>+BD397*BD640</f>
        <v>5725.1152199999997</v>
      </c>
      <c r="BE388" s="118"/>
      <c r="BF388" s="118">
        <f>+BF397*BF640</f>
        <v>1229.3252400000001</v>
      </c>
      <c r="BG388" s="118"/>
      <c r="BH388" s="118"/>
      <c r="BI388" s="401">
        <f>+BI397*BI640</f>
        <v>5115.4303200000004</v>
      </c>
      <c r="BJ388" s="971"/>
      <c r="BK388" s="118"/>
      <c r="BL388" s="118"/>
      <c r="BM388" s="118"/>
      <c r="BN388" s="401"/>
      <c r="BO388" s="118"/>
      <c r="BP388" s="118"/>
      <c r="BQ388" s="118"/>
      <c r="BR388" s="118"/>
      <c r="BS388" s="401"/>
      <c r="BT388" s="401"/>
      <c r="BU388" s="401"/>
      <c r="BV388" s="401"/>
      <c r="BW388" s="122"/>
    </row>
    <row r="389" spans="1:75" s="177" customFormat="1" ht="14.25" hidden="1" outlineLevel="1" x14ac:dyDescent="0.45">
      <c r="A389" s="523" t="s">
        <v>1887</v>
      </c>
      <c r="B389" s="171"/>
      <c r="C389" s="172"/>
      <c r="D389" s="172"/>
      <c r="E389" s="172"/>
      <c r="F389" s="172"/>
      <c r="G389" s="175"/>
      <c r="H389" s="175"/>
      <c r="I389" s="175"/>
      <c r="J389" s="175"/>
      <c r="K389" s="172"/>
      <c r="L389" s="175"/>
      <c r="M389" s="175"/>
      <c r="N389" s="175"/>
      <c r="O389" s="175"/>
      <c r="P389" s="172"/>
      <c r="Q389" s="175"/>
      <c r="R389" s="175"/>
      <c r="S389" s="175"/>
      <c r="T389" s="175"/>
      <c r="U389" s="172"/>
      <c r="V389" s="175"/>
      <c r="W389" s="175"/>
      <c r="X389" s="175"/>
      <c r="Y389" s="175"/>
      <c r="Z389" s="172"/>
      <c r="AA389" s="175"/>
      <c r="AB389" s="175"/>
      <c r="AC389" s="175"/>
      <c r="AD389" s="175"/>
      <c r="AE389" s="172"/>
      <c r="AF389" s="175"/>
      <c r="AG389" s="175"/>
      <c r="AH389" s="175"/>
      <c r="AI389" s="175"/>
      <c r="AJ389" s="172"/>
      <c r="AK389" s="175"/>
      <c r="AL389" s="175"/>
      <c r="AM389" s="175"/>
      <c r="AN389" s="175"/>
      <c r="AO389" s="191">
        <v>0.10199999999999999</v>
      </c>
      <c r="AP389" s="190">
        <v>0.312</v>
      </c>
      <c r="AQ389" s="190">
        <v>0.46</v>
      </c>
      <c r="AR389" s="190">
        <v>0.49299999999999999</v>
      </c>
      <c r="AS389" s="190">
        <v>0.47899999999999998</v>
      </c>
      <c r="AT389" s="191">
        <v>0.44500000000000001</v>
      </c>
      <c r="AU389" s="175"/>
      <c r="AV389" s="175"/>
      <c r="AW389" s="175"/>
      <c r="AX389" s="190">
        <v>7.1999999999999995E-2</v>
      </c>
      <c r="AY389" s="191">
        <v>0.14299999999999999</v>
      </c>
      <c r="AZ389" s="190">
        <v>7.2999999999999995E-2</v>
      </c>
      <c r="BA389" s="190">
        <v>0.113</v>
      </c>
      <c r="BB389" s="190">
        <v>4.3999999999999997E-2</v>
      </c>
      <c r="BC389" s="175"/>
      <c r="BD389" s="191">
        <v>4.4999999999999998E-2</v>
      </c>
      <c r="BE389" s="175"/>
      <c r="BF389" s="175"/>
      <c r="BG389" s="175"/>
      <c r="BH389" s="175"/>
      <c r="BI389" s="172"/>
      <c r="BJ389" s="1111"/>
      <c r="BK389" s="175"/>
      <c r="BL389" s="175"/>
      <c r="BM389" s="175"/>
      <c r="BN389" s="172"/>
      <c r="BO389" s="175"/>
      <c r="BP389" s="175"/>
      <c r="BQ389" s="175"/>
      <c r="BR389" s="175"/>
      <c r="BS389" s="172"/>
      <c r="BT389" s="172"/>
      <c r="BU389" s="172"/>
      <c r="BV389" s="172"/>
      <c r="BW389" s="176"/>
    </row>
    <row r="390" spans="1:75" s="177" customFormat="1" ht="14.25" hidden="1" outlineLevel="1" x14ac:dyDescent="0.45">
      <c r="A390" s="523" t="s">
        <v>1661</v>
      </c>
      <c r="B390" s="171"/>
      <c r="C390" s="172"/>
      <c r="D390" s="1226">
        <f>D388/C388-1</f>
        <v>0.18609258004197038</v>
      </c>
      <c r="E390" s="1226">
        <f>E388/D388-1</f>
        <v>0.12408266165119519</v>
      </c>
      <c r="F390" s="1226">
        <f>F388/E388-1</f>
        <v>0.14488817138052101</v>
      </c>
      <c r="G390" s="175"/>
      <c r="H390" s="175"/>
      <c r="I390" s="175"/>
      <c r="J390" s="175"/>
      <c r="K390" s="1226">
        <f t="shared" ref="K390:AJ390" si="791">K388/F388-1</f>
        <v>0.13139929367182601</v>
      </c>
      <c r="L390" s="461">
        <f t="shared" si="791"/>
        <v>0.17229242824827473</v>
      </c>
      <c r="M390" s="461">
        <f t="shared" si="791"/>
        <v>9.4067500319266806E-2</v>
      </c>
      <c r="N390" s="461">
        <f t="shared" si="791"/>
        <v>0.14671970055130745</v>
      </c>
      <c r="O390" s="461">
        <f t="shared" si="791"/>
        <v>8.9796675287759031E-2</v>
      </c>
      <c r="P390" s="1226">
        <f t="shared" si="791"/>
        <v>0.12088384896232762</v>
      </c>
      <c r="Q390" s="461">
        <f t="shared" si="791"/>
        <v>8.4032005601590853E-2</v>
      </c>
      <c r="R390" s="461">
        <f t="shared" si="791"/>
        <v>9.0556823813742637E-2</v>
      </c>
      <c r="S390" s="461">
        <f t="shared" si="791"/>
        <v>7.0215818023224186E-2</v>
      </c>
      <c r="T390" s="461">
        <f t="shared" si="791"/>
        <v>2.8659201912085708E-2</v>
      </c>
      <c r="U390" s="1226">
        <f t="shared" si="791"/>
        <v>6.4068158944174058E-2</v>
      </c>
      <c r="V390" s="461">
        <f t="shared" si="791"/>
        <v>8.1981249518845445E-2</v>
      </c>
      <c r="W390" s="461">
        <f t="shared" si="791"/>
        <v>5.2236043045166491E-2</v>
      </c>
      <c r="X390" s="461">
        <f t="shared" si="791"/>
        <v>3.2716164351288102E-2</v>
      </c>
      <c r="Y390" s="461">
        <f t="shared" si="791"/>
        <v>2.1516524119747027E-2</v>
      </c>
      <c r="Z390" s="1226">
        <f t="shared" si="791"/>
        <v>4.4011290028462824E-2</v>
      </c>
      <c r="AA390" s="461">
        <f t="shared" si="791"/>
        <v>7.4205964937854585E-3</v>
      </c>
      <c r="AB390" s="461">
        <f t="shared" si="791"/>
        <v>5.1877408564191541E-2</v>
      </c>
      <c r="AC390" s="461">
        <f t="shared" si="791"/>
        <v>6.3664656111896312E-2</v>
      </c>
      <c r="AD390" s="461">
        <f t="shared" si="791"/>
        <v>8.4266857203606493E-2</v>
      </c>
      <c r="AE390" s="1226">
        <f t="shared" si="791"/>
        <v>5.5002616188778664E-2</v>
      </c>
      <c r="AF390" s="461">
        <f t="shared" si="791"/>
        <v>0.11312466624175288</v>
      </c>
      <c r="AG390" s="461">
        <f t="shared" si="791"/>
        <v>8.9013353033404075E-2</v>
      </c>
      <c r="AH390" s="461">
        <f t="shared" si="791"/>
        <v>8.2126527980059372E-2</v>
      </c>
      <c r="AI390" s="461">
        <f t="shared" si="791"/>
        <v>0.1426470370273254</v>
      </c>
      <c r="AJ390" s="1226">
        <f t="shared" si="791"/>
        <v>0.10927180085925392</v>
      </c>
      <c r="AK390" s="175"/>
      <c r="AL390" s="461">
        <f>AL388/AG388-1</f>
        <v>0.12967456365979824</v>
      </c>
      <c r="AM390" s="175"/>
      <c r="AN390" s="175"/>
      <c r="AO390" s="1226">
        <f>AO388/AJ388-1</f>
        <v>7.547425880838321E-2</v>
      </c>
      <c r="AP390" s="175"/>
      <c r="AQ390" s="190">
        <v>0.46</v>
      </c>
      <c r="AR390" s="175"/>
      <c r="AS390" s="175"/>
      <c r="AT390" s="172">
        <f>AT388/AO388-1</f>
        <v>0.43248566663663102</v>
      </c>
      <c r="AU390" s="175">
        <f t="shared" ref="AU390:BD390" si="792">+AU388/AP388-1</f>
        <v>0.46655763524317884</v>
      </c>
      <c r="AV390" s="461">
        <f t="shared" si="792"/>
        <v>0.11776782563017396</v>
      </c>
      <c r="AW390" s="175">
        <f t="shared" si="792"/>
        <v>0.11065307172618111</v>
      </c>
      <c r="AX390" s="175">
        <f t="shared" si="792"/>
        <v>3.8823261257554753E-2</v>
      </c>
      <c r="AY390" s="172">
        <f t="shared" si="792"/>
        <v>0.14617765436623653</v>
      </c>
      <c r="AZ390" s="175">
        <f t="shared" si="792"/>
        <v>8.1301110501884155E-2</v>
      </c>
      <c r="BA390" s="175">
        <f t="shared" si="792"/>
        <v>0.10385876063978272</v>
      </c>
      <c r="BB390" s="175">
        <f t="shared" si="792"/>
        <v>3.8868627093670227E-2</v>
      </c>
      <c r="BC390" s="175">
        <f t="shared" si="792"/>
        <v>3.3097509003583436E-3</v>
      </c>
      <c r="BD390" s="172">
        <f t="shared" si="792"/>
        <v>5.1962688044146832E-2</v>
      </c>
      <c r="BE390" s="175"/>
      <c r="BF390" s="175">
        <f>+BF388/BA388-1</f>
        <v>-0.12062237901151529</v>
      </c>
      <c r="BG390" s="175"/>
      <c r="BH390" s="175"/>
      <c r="BI390" s="172">
        <f>+BI388/BD388-1</f>
        <v>-0.1064930357855749</v>
      </c>
      <c r="BJ390" s="1111"/>
      <c r="BK390" s="175"/>
      <c r="BL390" s="175"/>
      <c r="BM390" s="175"/>
      <c r="BN390" s="172"/>
      <c r="BO390" s="175"/>
      <c r="BP390" s="175"/>
      <c r="BQ390" s="175"/>
      <c r="BR390" s="175"/>
      <c r="BS390" s="172"/>
      <c r="BT390" s="172"/>
      <c r="BU390" s="172"/>
      <c r="BV390" s="172"/>
      <c r="BW390" s="176"/>
    </row>
    <row r="391" spans="1:75" s="123" customFormat="1" hidden="1" outlineLevel="1" x14ac:dyDescent="0.5">
      <c r="A391" s="464" t="s">
        <v>1888</v>
      </c>
      <c r="B391" s="489"/>
      <c r="C391" s="403">
        <v>1878.0340000000001</v>
      </c>
      <c r="D391" s="403">
        <v>2051.5859999999998</v>
      </c>
      <c r="E391" s="403">
        <v>2088.0839999999998</v>
      </c>
      <c r="F391" s="403">
        <v>2173.4839999999999</v>
      </c>
      <c r="G391" s="302">
        <v>468.72399999999999</v>
      </c>
      <c r="H391" s="302">
        <v>504.55200000000002</v>
      </c>
      <c r="I391" s="302">
        <v>539.67399999999998</v>
      </c>
      <c r="J391" s="122">
        <f>K391-I391-H391-G391</f>
        <v>759.91700000000014</v>
      </c>
      <c r="K391" s="403">
        <v>2272.8670000000002</v>
      </c>
      <c r="L391" s="302">
        <v>483.041</v>
      </c>
      <c r="M391" s="302">
        <v>516.51300000000003</v>
      </c>
      <c r="N391" s="302">
        <v>556.18600000000004</v>
      </c>
      <c r="O391" s="122">
        <f>P391-N391-M391-L391</f>
        <v>772.28500000000008</v>
      </c>
      <c r="P391" s="403">
        <v>2328.0250000000001</v>
      </c>
      <c r="Q391" s="302">
        <v>498.10300000000001</v>
      </c>
      <c r="R391" s="302">
        <v>557.11500000000001</v>
      </c>
      <c r="S391" s="302">
        <v>603.89099999999996</v>
      </c>
      <c r="T391" s="122">
        <f>U391-S391-R391-Q391</f>
        <v>794.40100000000007</v>
      </c>
      <c r="U391" s="403">
        <v>2453.5100000000002</v>
      </c>
      <c r="V391" s="302">
        <v>521.58299999999997</v>
      </c>
      <c r="W391" s="302">
        <v>559.346</v>
      </c>
      <c r="X391" s="302">
        <v>596.64200000000005</v>
      </c>
      <c r="Y391" s="122">
        <f>Z391-X391-W391-V391</f>
        <v>772.63900000000001</v>
      </c>
      <c r="Z391" s="403">
        <v>2450.21</v>
      </c>
      <c r="AA391" s="302">
        <v>530.99699999999996</v>
      </c>
      <c r="AB391" s="302">
        <v>570.81299999999999</v>
      </c>
      <c r="AC391" s="302">
        <v>609.29100000000005</v>
      </c>
      <c r="AD391" s="122">
        <f>AE391-AC391-AB391-AA391</f>
        <v>802.80099999999982</v>
      </c>
      <c r="AE391" s="403">
        <v>2513.902</v>
      </c>
      <c r="AF391" s="302">
        <v>556.82000000000005</v>
      </c>
      <c r="AG391" s="302">
        <v>588.23199999999997</v>
      </c>
      <c r="AH391" s="302">
        <v>610.26700000000005</v>
      </c>
      <c r="AI391" s="122">
        <f>AJ391-AH391-AG391-AF391</f>
        <v>834.20999999999992</v>
      </c>
      <c r="AJ391" s="403">
        <v>2589.529</v>
      </c>
      <c r="AK391" s="118"/>
      <c r="AL391" s="122">
        <f>+AL394-AL388</f>
        <v>594.793095890411</v>
      </c>
      <c r="AM391" s="118"/>
      <c r="AN391" s="118"/>
      <c r="AO391" s="674">
        <f>+AO398*AO640</f>
        <v>2583.3275039999994</v>
      </c>
      <c r="AP391" s="118">
        <f>AT391-AS391-AR391-AQ391</f>
        <v>460.00752000000023</v>
      </c>
      <c r="AQ391" s="122">
        <f t="shared" ref="AQ391:AW391" si="793">+AQ398*AQ640</f>
        <v>357.78647999999998</v>
      </c>
      <c r="AR391" s="122">
        <f t="shared" si="793"/>
        <v>529.36080000000004</v>
      </c>
      <c r="AS391" s="122">
        <f t="shared" si="793"/>
        <v>687.80190000000027</v>
      </c>
      <c r="AT391" s="401">
        <f t="shared" si="793"/>
        <v>2034.9567000000004</v>
      </c>
      <c r="AU391" s="118">
        <f t="shared" si="793"/>
        <v>612.16014999999993</v>
      </c>
      <c r="AV391" s="122">
        <f t="shared" si="793"/>
        <v>681.91864999999996</v>
      </c>
      <c r="AW391" s="122">
        <f t="shared" si="793"/>
        <v>675.68786999999986</v>
      </c>
      <c r="AX391" s="118">
        <f>AY391-SUM(AU391,AV391,AW391)</f>
        <v>833.85157000000027</v>
      </c>
      <c r="AY391" s="401">
        <f>+AY398*AY640</f>
        <v>2803.6182399999998</v>
      </c>
      <c r="AZ391" s="118">
        <f>+AZ398*AZ640</f>
        <v>661.92944999999997</v>
      </c>
      <c r="BA391" s="118">
        <f>+BA398*BA640</f>
        <v>739.5878019999999</v>
      </c>
      <c r="BB391" s="118">
        <f>+BB398*BB640</f>
        <v>767.40089999999998</v>
      </c>
      <c r="BC391" s="118">
        <f>BD391-SUM(AZ391,BA391,BB391)</f>
        <v>780.38362799999959</v>
      </c>
      <c r="BD391" s="401">
        <f>+BD398*BD640</f>
        <v>2949.3017799999993</v>
      </c>
      <c r="BE391" s="118"/>
      <c r="BF391" s="118">
        <f>+BF398*BF640</f>
        <v>633.28875999999991</v>
      </c>
      <c r="BG391" s="118"/>
      <c r="BH391" s="118"/>
      <c r="BI391" s="401">
        <f>+BI398*BI640</f>
        <v>2635.2216799999997</v>
      </c>
      <c r="BJ391" s="971"/>
      <c r="BK391" s="118"/>
      <c r="BL391" s="118"/>
      <c r="BM391" s="118"/>
      <c r="BN391" s="401"/>
      <c r="BO391" s="118"/>
      <c r="BP391" s="118"/>
      <c r="BQ391" s="118"/>
      <c r="BR391" s="118"/>
      <c r="BS391" s="401"/>
      <c r="BT391" s="401"/>
      <c r="BU391" s="401"/>
      <c r="BV391" s="401"/>
      <c r="BW391" s="122"/>
    </row>
    <row r="392" spans="1:75" s="177" customFormat="1" ht="14.25" hidden="1" outlineLevel="1" x14ac:dyDescent="0.45">
      <c r="A392" s="523" t="s">
        <v>1889</v>
      </c>
      <c r="B392" s="171"/>
      <c r="C392" s="172">
        <f>C281</f>
        <v>-5.0999999999999997E-2</v>
      </c>
      <c r="D392" s="172">
        <f>D281</f>
        <v>9.8000000000000004E-2</v>
      </c>
      <c r="E392" s="172">
        <f>E281</f>
        <v>3.5000000000000003E-2</v>
      </c>
      <c r="F392" s="172">
        <f>F281</f>
        <v>2.3E-2</v>
      </c>
      <c r="G392" s="175"/>
      <c r="H392" s="175"/>
      <c r="I392" s="175"/>
      <c r="J392" s="175"/>
      <c r="K392" s="172"/>
      <c r="L392" s="175"/>
      <c r="M392" s="175"/>
      <c r="N392" s="175"/>
      <c r="O392" s="175"/>
      <c r="P392" s="172"/>
      <c r="Q392" s="175"/>
      <c r="R392" s="175"/>
      <c r="S392" s="175"/>
      <c r="T392" s="175"/>
      <c r="U392" s="172"/>
      <c r="V392" s="175"/>
      <c r="W392" s="175"/>
      <c r="X392" s="175"/>
      <c r="Y392" s="175"/>
      <c r="Z392" s="191">
        <v>-3.2000000000000001E-2</v>
      </c>
      <c r="AA392" s="175"/>
      <c r="AB392" s="175"/>
      <c r="AC392" s="175"/>
      <c r="AD392" s="175"/>
      <c r="AE392" s="191">
        <v>8.9999999999999993E-3</v>
      </c>
      <c r="AF392" s="175"/>
      <c r="AG392" s="175"/>
      <c r="AH392" s="175"/>
      <c r="AI392" s="175"/>
      <c r="AJ392" s="172"/>
      <c r="AK392" s="175"/>
      <c r="AL392" s="175"/>
      <c r="AM392" s="175"/>
      <c r="AN392" s="175"/>
      <c r="AO392" s="172"/>
      <c r="AP392" s="175"/>
      <c r="AQ392" s="175"/>
      <c r="AR392" s="190">
        <v>-0.11</v>
      </c>
      <c r="AS392" s="190">
        <v>-7.5999999999999998E-2</v>
      </c>
      <c r="AT392" s="191">
        <v>-0.22500000000000001</v>
      </c>
      <c r="AU392" s="175"/>
      <c r="AV392" s="190">
        <v>0.98</v>
      </c>
      <c r="AW392" s="175"/>
      <c r="AX392" s="190">
        <v>0.2</v>
      </c>
      <c r="AY392" s="191">
        <v>0.432</v>
      </c>
      <c r="AZ392" s="190">
        <v>0.14399999999999999</v>
      </c>
      <c r="BA392" s="190">
        <v>0.114</v>
      </c>
      <c r="BB392" s="190">
        <v>0.16900000000000001</v>
      </c>
      <c r="BC392" s="175"/>
      <c r="BD392" s="191">
        <v>0.111</v>
      </c>
      <c r="BE392" s="175"/>
      <c r="BF392" s="175"/>
      <c r="BG392" s="175"/>
      <c r="BH392" s="175"/>
      <c r="BI392" s="172"/>
      <c r="BJ392" s="1111"/>
      <c r="BK392" s="175"/>
      <c r="BL392" s="175"/>
      <c r="BM392" s="175"/>
      <c r="BN392" s="172"/>
      <c r="BO392" s="175"/>
      <c r="BP392" s="175"/>
      <c r="BQ392" s="175"/>
      <c r="BR392" s="175"/>
      <c r="BS392" s="172"/>
      <c r="BT392" s="172"/>
      <c r="BU392" s="172"/>
      <c r="BV392" s="172"/>
      <c r="BW392" s="176"/>
    </row>
    <row r="393" spans="1:75" s="177" customFormat="1" ht="14.25" hidden="1" outlineLevel="1" x14ac:dyDescent="0.45">
      <c r="A393" s="523" t="s">
        <v>1890</v>
      </c>
      <c r="B393" s="171"/>
      <c r="C393" s="172"/>
      <c r="D393" s="1226">
        <f>D391/C391-1</f>
        <v>9.2411532485567216E-2</v>
      </c>
      <c r="E393" s="1226">
        <f>E391/D391-1</f>
        <v>1.779013894616166E-2</v>
      </c>
      <c r="F393" s="1226">
        <f>F391/E391-1</f>
        <v>4.0898737790242112E-2</v>
      </c>
      <c r="G393" s="175"/>
      <c r="H393" s="175"/>
      <c r="I393" s="175"/>
      <c r="J393" s="175"/>
      <c r="K393" s="1226">
        <f t="shared" ref="K393:AJ393" si="794">K391/F391-1</f>
        <v>4.5725204326325875E-2</v>
      </c>
      <c r="L393" s="461">
        <f t="shared" si="794"/>
        <v>3.0544627542007596E-2</v>
      </c>
      <c r="M393" s="461">
        <f t="shared" si="794"/>
        <v>2.3706178946867773E-2</v>
      </c>
      <c r="N393" s="461">
        <f t="shared" si="794"/>
        <v>3.0596248846525897E-2</v>
      </c>
      <c r="O393" s="461">
        <f t="shared" si="794"/>
        <v>1.627546166226046E-2</v>
      </c>
      <c r="P393" s="1226">
        <f t="shared" si="794"/>
        <v>2.426802800163852E-2</v>
      </c>
      <c r="Q393" s="461">
        <f t="shared" si="794"/>
        <v>3.1181618123513388E-2</v>
      </c>
      <c r="R393" s="461">
        <f t="shared" si="794"/>
        <v>7.8607895638638237E-2</v>
      </c>
      <c r="S393" s="461">
        <f t="shared" si="794"/>
        <v>8.5771666313067874E-2</v>
      </c>
      <c r="T393" s="461">
        <f t="shared" si="794"/>
        <v>2.8637096408709262E-2</v>
      </c>
      <c r="U393" s="1226">
        <f t="shared" si="794"/>
        <v>5.3901912565371912E-2</v>
      </c>
      <c r="V393" s="461">
        <f t="shared" si="794"/>
        <v>4.7138844777084188E-2</v>
      </c>
      <c r="W393" s="461">
        <f t="shared" si="794"/>
        <v>4.0045592023190135E-3</v>
      </c>
      <c r="X393" s="461">
        <f t="shared" si="794"/>
        <v>-1.2003821881763299E-2</v>
      </c>
      <c r="Y393" s="461">
        <f t="shared" si="794"/>
        <v>-2.7394225334560374E-2</v>
      </c>
      <c r="Z393" s="1226">
        <f t="shared" si="794"/>
        <v>-1.3450118401800992E-3</v>
      </c>
      <c r="AA393" s="461">
        <f t="shared" si="794"/>
        <v>1.8048901133664197E-2</v>
      </c>
      <c r="AB393" s="461">
        <f t="shared" si="794"/>
        <v>2.0500727635488492E-2</v>
      </c>
      <c r="AC393" s="461">
        <f t="shared" si="794"/>
        <v>2.1200317778500288E-2</v>
      </c>
      <c r="AD393" s="461">
        <f t="shared" si="794"/>
        <v>3.9037635946411964E-2</v>
      </c>
      <c r="AE393" s="1226">
        <f t="shared" si="794"/>
        <v>2.5994506593312483E-2</v>
      </c>
      <c r="AF393" s="461">
        <f t="shared" si="794"/>
        <v>4.8631159874726437E-2</v>
      </c>
      <c r="AG393" s="461">
        <f t="shared" si="794"/>
        <v>3.0516123494033875E-2</v>
      </c>
      <c r="AH393" s="461">
        <f t="shared" si="794"/>
        <v>1.6018618361341996E-3</v>
      </c>
      <c r="AI393" s="461">
        <f t="shared" si="794"/>
        <v>3.912426616309661E-2</v>
      </c>
      <c r="AJ393" s="1226">
        <f t="shared" si="794"/>
        <v>3.008351160864664E-2</v>
      </c>
      <c r="AK393" s="175"/>
      <c r="AL393" s="461">
        <f>AL391/AG391-1</f>
        <v>1.1153925475681392E-2</v>
      </c>
      <c r="AM393" s="175"/>
      <c r="AN393" s="175"/>
      <c r="AO393" s="1226">
        <f>AO391/AJ391-1</f>
        <v>-2.394835508697013E-3</v>
      </c>
      <c r="AP393" s="175"/>
      <c r="AQ393" s="461">
        <f>+AQ391/AL391-1</f>
        <v>-0.39846900969085697</v>
      </c>
      <c r="AR393" s="175"/>
      <c r="AS393" s="175"/>
      <c r="AT393" s="172">
        <f>AT391/AO391-1</f>
        <v>-0.21227304828787941</v>
      </c>
      <c r="AU393" s="175">
        <f t="shared" ref="AU393:BD393" si="795">+AU391/AP391-1</f>
        <v>0.3307611797302783</v>
      </c>
      <c r="AV393" s="461">
        <f t="shared" si="795"/>
        <v>0.90593744626683481</v>
      </c>
      <c r="AW393" s="175">
        <f t="shared" si="795"/>
        <v>0.27642218690919274</v>
      </c>
      <c r="AX393" s="175">
        <f t="shared" si="795"/>
        <v>0.21234263819277022</v>
      </c>
      <c r="AY393" s="172">
        <f t="shared" si="795"/>
        <v>0.37772869565234446</v>
      </c>
      <c r="AZ393" s="175">
        <f t="shared" si="795"/>
        <v>8.1301110501884377E-2</v>
      </c>
      <c r="BA393" s="175">
        <f t="shared" si="795"/>
        <v>8.4568961414972277E-2</v>
      </c>
      <c r="BB393" s="175">
        <f t="shared" si="795"/>
        <v>0.13573283474809172</v>
      </c>
      <c r="BC393" s="175">
        <f t="shared" si="795"/>
        <v>-6.4121654169219444E-2</v>
      </c>
      <c r="BD393" s="172">
        <f t="shared" si="795"/>
        <v>5.196268804414661E-2</v>
      </c>
      <c r="BE393" s="175"/>
      <c r="BF393" s="175">
        <f>+BF391/BA391-1</f>
        <v>-0.1437274137195681</v>
      </c>
      <c r="BG393" s="175"/>
      <c r="BH393" s="175"/>
      <c r="BI393" s="172">
        <f>+BI391/BD391-1</f>
        <v>-0.1064930357855749</v>
      </c>
      <c r="BJ393" s="1111"/>
      <c r="BK393" s="175"/>
      <c r="BL393" s="175"/>
      <c r="BM393" s="175"/>
      <c r="BN393" s="172"/>
      <c r="BO393" s="175"/>
      <c r="BP393" s="175"/>
      <c r="BQ393" s="175"/>
      <c r="BR393" s="175"/>
      <c r="BS393" s="172"/>
      <c r="BT393" s="172"/>
      <c r="BU393" s="172"/>
      <c r="BV393" s="172"/>
      <c r="BW393" s="176"/>
    </row>
    <row r="394" spans="1:75" s="198" customFormat="1" ht="14.25" hidden="1" outlineLevel="1" x14ac:dyDescent="0.45">
      <c r="A394" s="516" t="s">
        <v>1891</v>
      </c>
      <c r="B394" s="495"/>
      <c r="C394" s="519">
        <f t="shared" ref="C394:AJ394" si="796">C388+C391</f>
        <v>3102.7040000000002</v>
      </c>
      <c r="D394" s="519">
        <f t="shared" si="796"/>
        <v>3504.1579999999994</v>
      </c>
      <c r="E394" s="519">
        <f t="shared" si="796"/>
        <v>3720.8949999999995</v>
      </c>
      <c r="F394" s="519">
        <f t="shared" si="796"/>
        <v>4042.87</v>
      </c>
      <c r="G394" s="520">
        <f t="shared" si="796"/>
        <v>887.80799999999999</v>
      </c>
      <c r="H394" s="520">
        <f t="shared" si="796"/>
        <v>982.20900000000006</v>
      </c>
      <c r="I394" s="520">
        <f t="shared" si="796"/>
        <v>1051.548</v>
      </c>
      <c r="J394" s="520">
        <f t="shared" si="796"/>
        <v>1466.3240000000001</v>
      </c>
      <c r="K394" s="519">
        <f t="shared" si="796"/>
        <v>4387.8890000000001</v>
      </c>
      <c r="L394" s="520">
        <f t="shared" si="796"/>
        <v>974.32999999999993</v>
      </c>
      <c r="M394" s="520">
        <f t="shared" si="796"/>
        <v>1039.1020000000001</v>
      </c>
      <c r="N394" s="520">
        <f t="shared" si="796"/>
        <v>1143.162</v>
      </c>
      <c r="O394" s="520">
        <f t="shared" si="796"/>
        <v>1542.125</v>
      </c>
      <c r="P394" s="519">
        <f t="shared" si="796"/>
        <v>4698.7190000000001</v>
      </c>
      <c r="Q394" s="520">
        <f t="shared" si="796"/>
        <v>1030.6759999999999</v>
      </c>
      <c r="R394" s="520">
        <f t="shared" si="796"/>
        <v>1127.028</v>
      </c>
      <c r="S394" s="520">
        <f t="shared" si="796"/>
        <v>1232.0819999999999</v>
      </c>
      <c r="T394" s="520">
        <f t="shared" si="796"/>
        <v>1586.3040000000001</v>
      </c>
      <c r="U394" s="519">
        <f t="shared" si="796"/>
        <v>4976.09</v>
      </c>
      <c r="V394" s="520">
        <f t="shared" si="796"/>
        <v>1097.817</v>
      </c>
      <c r="W394" s="520">
        <f t="shared" si="796"/>
        <v>1159.029</v>
      </c>
      <c r="X394" s="520">
        <f t="shared" si="796"/>
        <v>1245.3850000000002</v>
      </c>
      <c r="Y394" s="520">
        <f t="shared" si="796"/>
        <v>1581.5809999999999</v>
      </c>
      <c r="Z394" s="519">
        <f t="shared" si="796"/>
        <v>5083.8119999999999</v>
      </c>
      <c r="AA394" s="520">
        <f t="shared" si="796"/>
        <v>1111.5070000000001</v>
      </c>
      <c r="AB394" s="520">
        <f t="shared" si="796"/>
        <v>1201.606</v>
      </c>
      <c r="AC394" s="520">
        <f t="shared" si="796"/>
        <v>1299.336</v>
      </c>
      <c r="AD394" s="520">
        <f t="shared" si="796"/>
        <v>1679.9099999999994</v>
      </c>
      <c r="AE394" s="519">
        <f t="shared" si="796"/>
        <v>5292.3590000000004</v>
      </c>
      <c r="AF394" s="520">
        <f t="shared" si="796"/>
        <v>1203</v>
      </c>
      <c r="AG394" s="520">
        <f t="shared" si="796"/>
        <v>1275.174</v>
      </c>
      <c r="AH394" s="520">
        <f t="shared" si="796"/>
        <v>1356.9830000000002</v>
      </c>
      <c r="AI394" s="520">
        <f t="shared" si="796"/>
        <v>1836.4359999999999</v>
      </c>
      <c r="AJ394" s="519">
        <f t="shared" si="796"/>
        <v>5671.5929999999998</v>
      </c>
      <c r="AK394" s="327"/>
      <c r="AL394" s="520">
        <f>+AL640</f>
        <v>1370.8140000000001</v>
      </c>
      <c r="AM394" s="327"/>
      <c r="AN394" s="327"/>
      <c r="AO394" s="519">
        <f t="shared" ref="AO394:BF394" si="797">AO388+AO391</f>
        <v>5898.0079999999998</v>
      </c>
      <c r="AP394" s="327">
        <f t="shared" si="797"/>
        <v>1235.2029999999995</v>
      </c>
      <c r="AQ394" s="520">
        <f t="shared" si="797"/>
        <v>1490.777</v>
      </c>
      <c r="AR394" s="520">
        <f t="shared" si="797"/>
        <v>1764.5360000000001</v>
      </c>
      <c r="AS394" s="520">
        <f t="shared" si="797"/>
        <v>2292.6730000000007</v>
      </c>
      <c r="AT394" s="518">
        <f t="shared" si="797"/>
        <v>6783.1890000000003</v>
      </c>
      <c r="AU394" s="327">
        <f t="shared" si="797"/>
        <v>1749.029</v>
      </c>
      <c r="AV394" s="520">
        <f t="shared" si="797"/>
        <v>1948.3389999999999</v>
      </c>
      <c r="AW394" s="520">
        <f t="shared" si="797"/>
        <v>2047.5389999999998</v>
      </c>
      <c r="AX394" s="520">
        <f t="shared" si="797"/>
        <v>2501.029</v>
      </c>
      <c r="AY394" s="518">
        <f t="shared" si="797"/>
        <v>8245.9359999999997</v>
      </c>
      <c r="AZ394" s="327">
        <f t="shared" si="797"/>
        <v>1891.2269999999999</v>
      </c>
      <c r="BA394" s="327">
        <f t="shared" si="797"/>
        <v>2137.5369999999998</v>
      </c>
      <c r="BB394" s="327">
        <f t="shared" si="797"/>
        <v>2192.5740000000001</v>
      </c>
      <c r="BC394" s="520">
        <f t="shared" si="797"/>
        <v>2453.0789999999988</v>
      </c>
      <c r="BD394" s="518">
        <f t="shared" si="797"/>
        <v>8674.4169999999995</v>
      </c>
      <c r="BE394" s="327">
        <f>BE640</f>
        <v>1755.451</v>
      </c>
      <c r="BF394" s="327">
        <f t="shared" si="797"/>
        <v>1862.614</v>
      </c>
      <c r="BG394" s="327">
        <f>BG640</f>
        <v>1853.65</v>
      </c>
      <c r="BH394" s="520">
        <f>BH640</f>
        <v>2278.9369999999999</v>
      </c>
      <c r="BI394" s="518">
        <f>BI640</f>
        <v>7750.652</v>
      </c>
      <c r="BJ394" s="1026">
        <f>BJ640</f>
        <v>1660.348</v>
      </c>
      <c r="BK394" s="327"/>
      <c r="BL394" s="327"/>
      <c r="BM394" s="327"/>
      <c r="BN394" s="518"/>
      <c r="BO394" s="327"/>
      <c r="BP394" s="327"/>
      <c r="BQ394" s="327"/>
      <c r="BR394" s="327"/>
      <c r="BS394" s="518"/>
      <c r="BT394" s="518"/>
      <c r="BU394" s="518"/>
      <c r="BV394" s="518"/>
      <c r="BW394" s="197"/>
    </row>
    <row r="395" spans="1:75" s="177" customFormat="1" ht="14.25" hidden="1" outlineLevel="1" x14ac:dyDescent="0.45">
      <c r="A395" s="564" t="s">
        <v>1892</v>
      </c>
      <c r="B395" s="491"/>
      <c r="C395" s="417"/>
      <c r="D395" s="1168">
        <f>D394/C394-1</f>
        <v>0.12938843022086521</v>
      </c>
      <c r="E395" s="1168">
        <f>E394/D394-1</f>
        <v>6.1851377706142241E-2</v>
      </c>
      <c r="F395" s="1168">
        <f>F394/E394-1</f>
        <v>8.6531600596093217E-2</v>
      </c>
      <c r="G395" s="378"/>
      <c r="H395" s="378"/>
      <c r="I395" s="378"/>
      <c r="J395" s="378"/>
      <c r="K395" s="1168">
        <f t="shared" ref="K395:AJ395" si="798">K394/F394-1</f>
        <v>8.5340117292913353E-2</v>
      </c>
      <c r="L395" s="176">
        <f t="shared" si="798"/>
        <v>9.7455756199538612E-2</v>
      </c>
      <c r="M395" s="176">
        <f t="shared" si="798"/>
        <v>5.792351729621692E-2</v>
      </c>
      <c r="N395" s="176">
        <f t="shared" si="798"/>
        <v>8.7122984400141545E-2</v>
      </c>
      <c r="O395" s="176">
        <f t="shared" si="798"/>
        <v>5.1694577733161218E-2</v>
      </c>
      <c r="P395" s="1168">
        <f t="shared" si="798"/>
        <v>7.0838163864218151E-2</v>
      </c>
      <c r="Q395" s="176">
        <f t="shared" si="798"/>
        <v>5.7830509170404332E-2</v>
      </c>
      <c r="R395" s="176">
        <f t="shared" si="798"/>
        <v>8.461729454856215E-2</v>
      </c>
      <c r="S395" s="176">
        <f t="shared" si="798"/>
        <v>7.7784251051032038E-2</v>
      </c>
      <c r="T395" s="176">
        <f t="shared" si="798"/>
        <v>2.8648131636540564E-2</v>
      </c>
      <c r="U395" s="1168">
        <f t="shared" si="798"/>
        <v>5.9031195523716162E-2</v>
      </c>
      <c r="V395" s="176">
        <f t="shared" si="798"/>
        <v>6.5142683054616679E-2</v>
      </c>
      <c r="W395" s="176">
        <f t="shared" si="798"/>
        <v>2.8394148148936926E-2</v>
      </c>
      <c r="X395" s="176">
        <f t="shared" si="798"/>
        <v>1.0797170967516978E-2</v>
      </c>
      <c r="Y395" s="176">
        <f t="shared" si="798"/>
        <v>-2.9773612119746717E-3</v>
      </c>
      <c r="Z395" s="1168">
        <f t="shared" si="798"/>
        <v>2.1647920355138295E-2</v>
      </c>
      <c r="AA395" s="176">
        <f t="shared" si="798"/>
        <v>1.2470202228604732E-2</v>
      </c>
      <c r="AB395" s="176">
        <f t="shared" si="798"/>
        <v>3.6735060123603391E-2</v>
      </c>
      <c r="AC395" s="176">
        <f t="shared" si="798"/>
        <v>4.3320740172717587E-2</v>
      </c>
      <c r="AD395" s="176">
        <f t="shared" si="798"/>
        <v>6.2171333621230618E-2</v>
      </c>
      <c r="AE395" s="1168">
        <f t="shared" si="798"/>
        <v>4.1021776572383262E-2</v>
      </c>
      <c r="AF395" s="176">
        <f t="shared" si="798"/>
        <v>8.2314371389473839E-2</v>
      </c>
      <c r="AG395" s="176">
        <f t="shared" si="798"/>
        <v>6.1224727572931625E-2</v>
      </c>
      <c r="AH395" s="176">
        <f t="shared" si="798"/>
        <v>4.436650720060098E-2</v>
      </c>
      <c r="AI395" s="176">
        <f t="shared" si="798"/>
        <v>9.3175229625396927E-2</v>
      </c>
      <c r="AJ395" s="1168">
        <f t="shared" si="798"/>
        <v>7.1656892512393711E-2</v>
      </c>
      <c r="AK395" s="378"/>
      <c r="AL395" s="176">
        <f>AL394/AG394-1</f>
        <v>7.5001529203073458E-2</v>
      </c>
      <c r="AM395" s="378"/>
      <c r="AN395" s="378"/>
      <c r="AO395" s="417">
        <f>AO394/AJ394-1</f>
        <v>3.9920882898332177E-2</v>
      </c>
      <c r="AP395" s="378"/>
      <c r="AQ395" s="378"/>
      <c r="AR395" s="378"/>
      <c r="AS395" s="378"/>
      <c r="AT395" s="417">
        <f t="shared" ref="AT395:BG395" si="799">AT394/AO394-1</f>
        <v>0.15008134949969554</v>
      </c>
      <c r="AU395" s="378">
        <f t="shared" si="799"/>
        <v>0.41598506480311381</v>
      </c>
      <c r="AV395" s="176">
        <f t="shared" si="799"/>
        <v>0.30692853458297242</v>
      </c>
      <c r="AW395" s="176">
        <f t="shared" si="799"/>
        <v>0.16038380628108451</v>
      </c>
      <c r="AX395" s="176">
        <f t="shared" si="799"/>
        <v>9.087907433811937E-2</v>
      </c>
      <c r="AY395" s="417">
        <f t="shared" si="799"/>
        <v>0.21564296675206895</v>
      </c>
      <c r="AZ395" s="378">
        <f t="shared" si="799"/>
        <v>8.1301110501884155E-2</v>
      </c>
      <c r="BA395" s="378">
        <f t="shared" si="799"/>
        <v>9.7107330911099021E-2</v>
      </c>
      <c r="BB395" s="378">
        <f t="shared" si="799"/>
        <v>7.0833815619629314E-2</v>
      </c>
      <c r="BC395" s="176">
        <f t="shared" si="799"/>
        <v>-1.9172108760034834E-2</v>
      </c>
      <c r="BD395" s="417">
        <f t="shared" si="799"/>
        <v>5.1962688044146832E-2</v>
      </c>
      <c r="BE395" s="378">
        <f t="shared" si="799"/>
        <v>-7.1792545262942986E-2</v>
      </c>
      <c r="BF395" s="378">
        <f t="shared" si="799"/>
        <v>-0.12861672102050159</v>
      </c>
      <c r="BG395" s="378">
        <f t="shared" si="799"/>
        <v>-0.15457813510513208</v>
      </c>
      <c r="BH395" s="176">
        <f>BH394/BC394-1</f>
        <v>-7.0989152815705947E-2</v>
      </c>
      <c r="BI395" s="417">
        <f>BI394/BD394-1</f>
        <v>-0.1064930357855749</v>
      </c>
      <c r="BJ395" s="1130">
        <f>BJ394/BE394-1</f>
        <v>-5.4175821484051756E-2</v>
      </c>
      <c r="BK395" s="378"/>
      <c r="BL395" s="378"/>
      <c r="BM395" s="378"/>
      <c r="BN395" s="417"/>
      <c r="BO395" s="378"/>
      <c r="BP395" s="378"/>
      <c r="BQ395" s="378"/>
      <c r="BR395" s="378"/>
      <c r="BS395" s="417"/>
      <c r="BT395" s="417"/>
      <c r="BU395" s="417"/>
      <c r="BV395" s="417"/>
      <c r="BW395" s="176"/>
    </row>
    <row r="396" spans="1:75" s="198" customFormat="1" ht="14.25" hidden="1" outlineLevel="1" x14ac:dyDescent="0.45">
      <c r="A396" s="206"/>
      <c r="B396" s="485"/>
      <c r="C396" s="397"/>
      <c r="D396" s="397"/>
      <c r="E396" s="397"/>
      <c r="F396" s="397"/>
      <c r="G396" s="295"/>
      <c r="H396" s="295"/>
      <c r="I396" s="295"/>
      <c r="J396" s="295"/>
      <c r="K396" s="397"/>
      <c r="L396" s="295"/>
      <c r="M396" s="295"/>
      <c r="N396" s="295"/>
      <c r="O396" s="295"/>
      <c r="P396" s="397"/>
      <c r="Q396" s="295"/>
      <c r="R396" s="295"/>
      <c r="S396" s="295"/>
      <c r="T396" s="295"/>
      <c r="U396" s="397"/>
      <c r="V396" s="295"/>
      <c r="W396" s="295"/>
      <c r="X396" s="295"/>
      <c r="Y396" s="295"/>
      <c r="Z396" s="397"/>
      <c r="AA396" s="295"/>
      <c r="AB396" s="295"/>
      <c r="AC396" s="295"/>
      <c r="AD396" s="295"/>
      <c r="AE396" s="397"/>
      <c r="AF396" s="295"/>
      <c r="AG396" s="295"/>
      <c r="AH396" s="295"/>
      <c r="AI396" s="295"/>
      <c r="AJ396" s="397"/>
      <c r="AK396" s="295"/>
      <c r="AL396" s="295"/>
      <c r="AM396" s="295"/>
      <c r="AN396" s="295"/>
      <c r="AO396" s="397"/>
      <c r="AP396" s="295"/>
      <c r="AQ396" s="295"/>
      <c r="AR396" s="295"/>
      <c r="AS396" s="295"/>
      <c r="AT396" s="397"/>
      <c r="AU396" s="295"/>
      <c r="AV396" s="295"/>
      <c r="AW396" s="295"/>
      <c r="AX396" s="295"/>
      <c r="AY396" s="397"/>
      <c r="AZ396" s="295"/>
      <c r="BA396" s="295"/>
      <c r="BB396" s="295"/>
      <c r="BC396" s="295"/>
      <c r="BD396" s="397"/>
      <c r="BE396" s="295"/>
      <c r="BF396" s="295"/>
      <c r="BG396" s="295"/>
      <c r="BH396" s="295"/>
      <c r="BI396" s="397"/>
      <c r="BJ396" s="1030"/>
      <c r="BK396" s="295"/>
      <c r="BL396" s="295"/>
      <c r="BM396" s="295"/>
      <c r="BN396" s="397"/>
      <c r="BO396" s="295"/>
      <c r="BP396" s="295"/>
      <c r="BQ396" s="295"/>
      <c r="BR396" s="295"/>
      <c r="BS396" s="397"/>
      <c r="BT396" s="397"/>
      <c r="BU396" s="397"/>
      <c r="BV396" s="397"/>
      <c r="BW396" s="197"/>
    </row>
    <row r="397" spans="1:75" s="217" customFormat="1" hidden="1" outlineLevel="1" x14ac:dyDescent="0.5">
      <c r="A397" s="599" t="s">
        <v>1893</v>
      </c>
      <c r="B397" s="493"/>
      <c r="C397" s="1227">
        <f t="shared" ref="C397:AJ397" si="800">+C388/C640</f>
        <v>0.39471054924994459</v>
      </c>
      <c r="D397" s="1227">
        <f t="shared" si="800"/>
        <v>0.41452811203147799</v>
      </c>
      <c r="E397" s="1227">
        <f t="shared" si="800"/>
        <v>0.43882211134686677</v>
      </c>
      <c r="F397" s="1227">
        <f t="shared" si="800"/>
        <v>0.46239082631892692</v>
      </c>
      <c r="G397" s="216">
        <f t="shared" si="800"/>
        <v>0.47204350490196079</v>
      </c>
      <c r="H397" s="216">
        <f t="shared" si="800"/>
        <v>0.48630892203186898</v>
      </c>
      <c r="I397" s="216">
        <f t="shared" si="800"/>
        <v>0.48678139276571303</v>
      </c>
      <c r="J397" s="216">
        <f t="shared" si="800"/>
        <v>0.48175369154429709</v>
      </c>
      <c r="K397" s="1227">
        <f t="shared" si="800"/>
        <v>0.48201356050711397</v>
      </c>
      <c r="L397" s="216">
        <f t="shared" si="800"/>
        <v>0.50423265218149904</v>
      </c>
      <c r="M397" s="216">
        <f t="shared" si="800"/>
        <v>0.50292367832994256</v>
      </c>
      <c r="N397" s="216">
        <f t="shared" si="800"/>
        <v>0.51346703266903548</v>
      </c>
      <c r="O397" s="216">
        <f t="shared" si="800"/>
        <v>0.49920726270568205</v>
      </c>
      <c r="P397" s="1227">
        <f t="shared" si="800"/>
        <v>0.50454049284496472</v>
      </c>
      <c r="Q397" s="216">
        <f t="shared" si="800"/>
        <v>0.51672203485867529</v>
      </c>
      <c r="R397" s="216">
        <f t="shared" si="800"/>
        <v>0.50567776488250515</v>
      </c>
      <c r="S397" s="216">
        <f t="shared" si="800"/>
        <v>0.50986135663048404</v>
      </c>
      <c r="T397" s="216">
        <f t="shared" si="800"/>
        <v>0.49921263515694336</v>
      </c>
      <c r="U397" s="1227">
        <f t="shared" si="800"/>
        <v>0.50694018797891516</v>
      </c>
      <c r="V397" s="216">
        <f t="shared" si="800"/>
        <v>0.52489076048193828</v>
      </c>
      <c r="W397" s="216">
        <f t="shared" si="800"/>
        <v>0.51740120393881428</v>
      </c>
      <c r="X397" s="216">
        <f t="shared" si="800"/>
        <v>0.52091762788214091</v>
      </c>
      <c r="Y397" s="216">
        <f t="shared" si="800"/>
        <v>0.51147680706837018</v>
      </c>
      <c r="Z397" s="1227">
        <f t="shared" si="800"/>
        <v>0.51803685895544527</v>
      </c>
      <c r="AA397" s="216">
        <f t="shared" si="800"/>
        <v>0.52227291416068455</v>
      </c>
      <c r="AB397" s="216">
        <f t="shared" si="800"/>
        <v>0.52495826418975933</v>
      </c>
      <c r="AC397" s="216">
        <f t="shared" si="800"/>
        <v>0.53107510297567373</v>
      </c>
      <c r="AD397" s="216">
        <f t="shared" si="800"/>
        <v>0.52211666101160159</v>
      </c>
      <c r="AE397" s="1227">
        <f t="shared" si="800"/>
        <v>0.52499405274661071</v>
      </c>
      <c r="AF397" s="216">
        <f t="shared" si="800"/>
        <v>0.53714048212801324</v>
      </c>
      <c r="AG397" s="216">
        <f t="shared" si="800"/>
        <v>0.53870452189269857</v>
      </c>
      <c r="AH397" s="216">
        <f t="shared" si="800"/>
        <v>0.550276606265517</v>
      </c>
      <c r="AI397" s="216">
        <f t="shared" si="800"/>
        <v>0.54574512806327047</v>
      </c>
      <c r="AJ397" s="1227">
        <f t="shared" si="800"/>
        <v>0.54342122222098799</v>
      </c>
      <c r="AK397" s="422"/>
      <c r="AL397" s="216">
        <f>+AL388/AL640</f>
        <v>0.56610226048872347</v>
      </c>
      <c r="AM397" s="422"/>
      <c r="AN397" s="422"/>
      <c r="AO397" s="735">
        <v>0.56200000000000006</v>
      </c>
      <c r="AP397" s="422">
        <f>AP388/AP394</f>
        <v>0.62758548999638097</v>
      </c>
      <c r="AQ397" s="443">
        <v>0.76</v>
      </c>
      <c r="AR397" s="443">
        <v>0.7</v>
      </c>
      <c r="AS397" s="443">
        <v>0.7</v>
      </c>
      <c r="AT397" s="735">
        <v>0.7</v>
      </c>
      <c r="AU397" s="443">
        <v>0.65</v>
      </c>
      <c r="AV397" s="443">
        <v>0.65</v>
      </c>
      <c r="AW397" s="443">
        <v>0.67</v>
      </c>
      <c r="AX397" s="216">
        <f>+AX388/AX640</f>
        <v>0.66659660083909467</v>
      </c>
      <c r="AY397" s="735">
        <v>0.66</v>
      </c>
      <c r="AZ397" s="443">
        <v>0.65</v>
      </c>
      <c r="BA397" s="443">
        <v>0.65400000000000003</v>
      </c>
      <c r="BB397" s="443">
        <v>0.65</v>
      </c>
      <c r="BC397" s="216">
        <f>+BC388/BC640</f>
        <v>0.68187586783792919</v>
      </c>
      <c r="BD397" s="735">
        <v>0.66</v>
      </c>
      <c r="BE397" s="422"/>
      <c r="BF397" s="443">
        <v>0.66</v>
      </c>
      <c r="BG397" s="422"/>
      <c r="BH397" s="422"/>
      <c r="BI397" s="735">
        <v>0.66</v>
      </c>
      <c r="BJ397" s="1034"/>
      <c r="BK397" s="422"/>
      <c r="BL397" s="422"/>
      <c r="BM397" s="422"/>
      <c r="BN397" s="423"/>
      <c r="BO397" s="422"/>
      <c r="BP397" s="422"/>
      <c r="BQ397" s="422"/>
      <c r="BR397" s="422"/>
      <c r="BS397" s="423"/>
      <c r="BT397" s="423"/>
      <c r="BU397" s="423"/>
      <c r="BV397" s="423"/>
      <c r="BW397" s="216"/>
    </row>
    <row r="398" spans="1:75" s="217" customFormat="1" hidden="1" outlineLevel="1" x14ac:dyDescent="0.5">
      <c r="A398" s="599" t="s">
        <v>1894</v>
      </c>
      <c r="B398" s="493"/>
      <c r="C398" s="1227">
        <f t="shared" ref="C398:AJ398" si="801">+C391/C640</f>
        <v>0.60528945075005547</v>
      </c>
      <c r="D398" s="1227">
        <f t="shared" si="801"/>
        <v>0.5854718879685219</v>
      </c>
      <c r="E398" s="1227">
        <f t="shared" si="801"/>
        <v>0.56117788865313312</v>
      </c>
      <c r="F398" s="1227">
        <f t="shared" si="801"/>
        <v>0.53760917368107308</v>
      </c>
      <c r="G398" s="216">
        <f t="shared" si="801"/>
        <v>0.52795649509803921</v>
      </c>
      <c r="H398" s="216">
        <f t="shared" si="801"/>
        <v>0.51369107796813107</v>
      </c>
      <c r="I398" s="216">
        <f t="shared" si="801"/>
        <v>0.51321860723428692</v>
      </c>
      <c r="J398" s="216">
        <f t="shared" si="801"/>
        <v>0.51824630845570285</v>
      </c>
      <c r="K398" s="1227">
        <f t="shared" si="801"/>
        <v>0.51798643949288603</v>
      </c>
      <c r="L398" s="216">
        <f t="shared" si="801"/>
        <v>0.4957673478185009</v>
      </c>
      <c r="M398" s="216">
        <f t="shared" si="801"/>
        <v>0.49707632167005739</v>
      </c>
      <c r="N398" s="216">
        <f t="shared" si="801"/>
        <v>0.48653296733096446</v>
      </c>
      <c r="O398" s="216">
        <f t="shared" si="801"/>
        <v>0.50079273729431795</v>
      </c>
      <c r="P398" s="1227">
        <f t="shared" si="801"/>
        <v>0.49545950715503523</v>
      </c>
      <c r="Q398" s="216">
        <f t="shared" si="801"/>
        <v>0.48327796514132476</v>
      </c>
      <c r="R398" s="216">
        <f t="shared" si="801"/>
        <v>0.49432223511749485</v>
      </c>
      <c r="S398" s="216">
        <f t="shared" si="801"/>
        <v>0.4901386433695159</v>
      </c>
      <c r="T398" s="216">
        <f t="shared" si="801"/>
        <v>0.50078736484305653</v>
      </c>
      <c r="U398" s="1227">
        <f t="shared" si="801"/>
        <v>0.49305981202108484</v>
      </c>
      <c r="V398" s="216">
        <f t="shared" si="801"/>
        <v>0.47510923951806172</v>
      </c>
      <c r="W398" s="216">
        <f t="shared" si="801"/>
        <v>0.48259879606118572</v>
      </c>
      <c r="X398" s="216">
        <f t="shared" si="801"/>
        <v>0.4790823721178592</v>
      </c>
      <c r="Y398" s="216">
        <f t="shared" si="801"/>
        <v>0.48852319293162982</v>
      </c>
      <c r="Z398" s="1227">
        <f t="shared" si="801"/>
        <v>0.48196314104455479</v>
      </c>
      <c r="AA398" s="216">
        <f t="shared" si="801"/>
        <v>0.47772708583931539</v>
      </c>
      <c r="AB398" s="216">
        <f t="shared" si="801"/>
        <v>0.47504173581024062</v>
      </c>
      <c r="AC398" s="216">
        <f t="shared" si="801"/>
        <v>0.46892489702432633</v>
      </c>
      <c r="AD398" s="216">
        <f t="shared" si="801"/>
        <v>0.47788333898839808</v>
      </c>
      <c r="AE398" s="1227">
        <f t="shared" si="801"/>
        <v>0.47500594725338924</v>
      </c>
      <c r="AF398" s="216">
        <f t="shared" si="801"/>
        <v>0.46285951787198676</v>
      </c>
      <c r="AG398" s="216">
        <f t="shared" si="801"/>
        <v>0.46129547810730143</v>
      </c>
      <c r="AH398" s="216">
        <f t="shared" si="801"/>
        <v>0.44972339373448311</v>
      </c>
      <c r="AI398" s="216">
        <f t="shared" si="801"/>
        <v>0.45425487193672964</v>
      </c>
      <c r="AJ398" s="1227">
        <f t="shared" si="801"/>
        <v>0.45657877777901201</v>
      </c>
      <c r="AK398" s="422"/>
      <c r="AL398" s="216">
        <f>+AL391/AL640</f>
        <v>0.43389773951127647</v>
      </c>
      <c r="AM398" s="422"/>
      <c r="AN398" s="422"/>
      <c r="AO398" s="1227">
        <f>+AO399-AO397</f>
        <v>0.43799999999999994</v>
      </c>
      <c r="AP398" s="422">
        <f>AP391/AP394</f>
        <v>0.37241451000361919</v>
      </c>
      <c r="AQ398" s="216">
        <f t="shared" ref="AQ398:AW398" si="802">+AQ399-AQ397</f>
        <v>0.24</v>
      </c>
      <c r="AR398" s="216">
        <f t="shared" si="802"/>
        <v>0.30000000000000004</v>
      </c>
      <c r="AS398" s="216">
        <f t="shared" si="802"/>
        <v>0.30000000000000004</v>
      </c>
      <c r="AT398" s="423">
        <f t="shared" si="802"/>
        <v>0.30000000000000004</v>
      </c>
      <c r="AU398" s="422">
        <f t="shared" si="802"/>
        <v>0.35</v>
      </c>
      <c r="AV398" s="216">
        <f t="shared" si="802"/>
        <v>0.35</v>
      </c>
      <c r="AW398" s="216">
        <f t="shared" si="802"/>
        <v>0.32999999999999996</v>
      </c>
      <c r="AX398" s="216">
        <f>+AX391/AX640</f>
        <v>0.33340339916090556</v>
      </c>
      <c r="AY398" s="423">
        <f>+AY399-AY397</f>
        <v>0.33999999999999997</v>
      </c>
      <c r="AZ398" s="422">
        <f>+AZ399-AZ397</f>
        <v>0.35</v>
      </c>
      <c r="BA398" s="422">
        <f>+BA399-BA397</f>
        <v>0.34599999999999997</v>
      </c>
      <c r="BB398" s="422">
        <f>+BB399-BB397</f>
        <v>0.35</v>
      </c>
      <c r="BC398" s="216">
        <f>+BC391/BC640</f>
        <v>0.31812413216207047</v>
      </c>
      <c r="BD398" s="423">
        <f>+BD399-BD397</f>
        <v>0.33999999999999997</v>
      </c>
      <c r="BE398" s="422"/>
      <c r="BF398" s="422">
        <f>+BF399-BF397</f>
        <v>0.33999999999999997</v>
      </c>
      <c r="BG398" s="422"/>
      <c r="BH398" s="422"/>
      <c r="BI398" s="423">
        <f>+BI399-BI397</f>
        <v>0.33999999999999997</v>
      </c>
      <c r="BJ398" s="1034"/>
      <c r="BK398" s="422"/>
      <c r="BL398" s="422"/>
      <c r="BM398" s="422"/>
      <c r="BN398" s="423"/>
      <c r="BO398" s="422"/>
      <c r="BP398" s="422"/>
      <c r="BQ398" s="422"/>
      <c r="BR398" s="422"/>
      <c r="BS398" s="423"/>
      <c r="BT398" s="423"/>
      <c r="BU398" s="423"/>
      <c r="BV398" s="423"/>
      <c r="BW398" s="216"/>
    </row>
    <row r="399" spans="1:75" s="162" customFormat="1" ht="14.25" hidden="1" outlineLevel="1" x14ac:dyDescent="0.45">
      <c r="A399" s="606" t="s">
        <v>1895</v>
      </c>
      <c r="B399" s="1213"/>
      <c r="C399" s="1228">
        <f t="shared" ref="C399:AJ399" si="803">SUM(C397:C398)</f>
        <v>1</v>
      </c>
      <c r="D399" s="1228">
        <f t="shared" si="803"/>
        <v>0.99999999999999989</v>
      </c>
      <c r="E399" s="1228">
        <f t="shared" si="803"/>
        <v>0.99999999999999989</v>
      </c>
      <c r="F399" s="1228">
        <f t="shared" si="803"/>
        <v>1</v>
      </c>
      <c r="G399" s="1229">
        <f t="shared" si="803"/>
        <v>1</v>
      </c>
      <c r="H399" s="1229">
        <f t="shared" si="803"/>
        <v>1</v>
      </c>
      <c r="I399" s="1229">
        <f t="shared" si="803"/>
        <v>1</v>
      </c>
      <c r="J399" s="1229">
        <f t="shared" si="803"/>
        <v>1</v>
      </c>
      <c r="K399" s="1228">
        <f t="shared" si="803"/>
        <v>1</v>
      </c>
      <c r="L399" s="1229">
        <f t="shared" si="803"/>
        <v>1</v>
      </c>
      <c r="M399" s="1229">
        <f t="shared" si="803"/>
        <v>1</v>
      </c>
      <c r="N399" s="1229">
        <f t="shared" si="803"/>
        <v>1</v>
      </c>
      <c r="O399" s="1229">
        <f t="shared" si="803"/>
        <v>1</v>
      </c>
      <c r="P399" s="1228">
        <f t="shared" si="803"/>
        <v>1</v>
      </c>
      <c r="Q399" s="1229">
        <f t="shared" si="803"/>
        <v>1</v>
      </c>
      <c r="R399" s="1229">
        <f t="shared" si="803"/>
        <v>1</v>
      </c>
      <c r="S399" s="1229">
        <f t="shared" si="803"/>
        <v>1</v>
      </c>
      <c r="T399" s="1229">
        <f t="shared" si="803"/>
        <v>0.99999999999999989</v>
      </c>
      <c r="U399" s="1228">
        <f t="shared" si="803"/>
        <v>1</v>
      </c>
      <c r="V399" s="1229">
        <f t="shared" si="803"/>
        <v>1</v>
      </c>
      <c r="W399" s="1229">
        <f t="shared" si="803"/>
        <v>1</v>
      </c>
      <c r="X399" s="1229">
        <f t="shared" si="803"/>
        <v>1</v>
      </c>
      <c r="Y399" s="1229">
        <f t="shared" si="803"/>
        <v>1</v>
      </c>
      <c r="Z399" s="1228">
        <f t="shared" si="803"/>
        <v>1</v>
      </c>
      <c r="AA399" s="1229">
        <f t="shared" si="803"/>
        <v>1</v>
      </c>
      <c r="AB399" s="1229">
        <f t="shared" si="803"/>
        <v>1</v>
      </c>
      <c r="AC399" s="1229">
        <f t="shared" si="803"/>
        <v>1</v>
      </c>
      <c r="AD399" s="1229">
        <f t="shared" si="803"/>
        <v>0.99999999999999967</v>
      </c>
      <c r="AE399" s="1228">
        <f t="shared" si="803"/>
        <v>1</v>
      </c>
      <c r="AF399" s="1229">
        <f t="shared" si="803"/>
        <v>1</v>
      </c>
      <c r="AG399" s="1229">
        <f t="shared" si="803"/>
        <v>1</v>
      </c>
      <c r="AH399" s="1229">
        <f t="shared" si="803"/>
        <v>1</v>
      </c>
      <c r="AI399" s="1229">
        <f t="shared" si="803"/>
        <v>1</v>
      </c>
      <c r="AJ399" s="1228">
        <f t="shared" si="803"/>
        <v>1</v>
      </c>
      <c r="AK399" s="480"/>
      <c r="AL399" s="1229">
        <f>SUM(AL397:AL398)</f>
        <v>1</v>
      </c>
      <c r="AM399" s="480"/>
      <c r="AN399" s="480"/>
      <c r="AO399" s="1230">
        <v>1</v>
      </c>
      <c r="AP399" s="480">
        <f>SUM(AP397:AP398)</f>
        <v>1.0000000000000002</v>
      </c>
      <c r="AQ399" s="1231">
        <v>1</v>
      </c>
      <c r="AR399" s="1231">
        <v>1</v>
      </c>
      <c r="AS399" s="1231">
        <v>1</v>
      </c>
      <c r="AT399" s="1230">
        <v>1</v>
      </c>
      <c r="AU399" s="1231">
        <v>1</v>
      </c>
      <c r="AV399" s="1231">
        <v>1</v>
      </c>
      <c r="AW399" s="1231">
        <v>1</v>
      </c>
      <c r="AX399" s="1229">
        <f>SUM(AX397:AX398)</f>
        <v>1.0000000000000002</v>
      </c>
      <c r="AY399" s="1230">
        <v>1</v>
      </c>
      <c r="AZ399" s="1231">
        <v>1</v>
      </c>
      <c r="BA399" s="1231">
        <v>1</v>
      </c>
      <c r="BB399" s="1231">
        <v>1</v>
      </c>
      <c r="BC399" s="1229">
        <f>SUM(BC397:BC398)</f>
        <v>0.99999999999999967</v>
      </c>
      <c r="BD399" s="1230">
        <v>1</v>
      </c>
      <c r="BE399" s="480"/>
      <c r="BF399" s="1231">
        <v>1</v>
      </c>
      <c r="BG399" s="480"/>
      <c r="BH399" s="480"/>
      <c r="BI399" s="1230">
        <v>1</v>
      </c>
      <c r="BJ399" s="1215"/>
      <c r="BK399" s="480"/>
      <c r="BL399" s="480"/>
      <c r="BM399" s="480"/>
      <c r="BN399" s="1214"/>
      <c r="BO399" s="480"/>
      <c r="BP399" s="480"/>
      <c r="BQ399" s="480"/>
      <c r="BR399" s="480"/>
      <c r="BS399" s="1214"/>
      <c r="BT399" s="1214"/>
      <c r="BU399" s="1214"/>
      <c r="BV399" s="1214"/>
      <c r="BW399" s="161"/>
    </row>
    <row r="400" spans="1:75" s="198" customFormat="1" ht="14.25" collapsed="1" x14ac:dyDescent="0.45">
      <c r="A400" s="206"/>
      <c r="B400" s="485"/>
      <c r="C400" s="397"/>
      <c r="D400" s="397"/>
      <c r="E400" s="397"/>
      <c r="F400" s="397"/>
      <c r="G400" s="295"/>
      <c r="H400" s="295"/>
      <c r="I400" s="295"/>
      <c r="J400" s="295"/>
      <c r="K400" s="397"/>
      <c r="L400" s="295"/>
      <c r="M400" s="295"/>
      <c r="N400" s="295"/>
      <c r="O400" s="295"/>
      <c r="P400" s="397"/>
      <c r="Q400" s="295"/>
      <c r="R400" s="295"/>
      <c r="S400" s="295"/>
      <c r="T400" s="295"/>
      <c r="U400" s="397"/>
      <c r="V400" s="295"/>
      <c r="W400" s="295"/>
      <c r="X400" s="295"/>
      <c r="Y400" s="295"/>
      <c r="Z400" s="397"/>
      <c r="AA400" s="295"/>
      <c r="AB400" s="295"/>
      <c r="AC400" s="295"/>
      <c r="AD400" s="295"/>
      <c r="AE400" s="397"/>
      <c r="AF400" s="295"/>
      <c r="AG400" s="295"/>
      <c r="AH400" s="295"/>
      <c r="AI400" s="295"/>
      <c r="AJ400" s="397"/>
      <c r="AK400" s="295"/>
      <c r="AL400" s="295"/>
      <c r="AM400" s="295"/>
      <c r="AN400" s="295"/>
      <c r="AO400" s="397"/>
      <c r="AP400" s="295"/>
      <c r="AQ400" s="295"/>
      <c r="AR400" s="295"/>
      <c r="AS400" s="295"/>
      <c r="AT400" s="397"/>
      <c r="AU400" s="295"/>
      <c r="AV400" s="295"/>
      <c r="AW400" s="295"/>
      <c r="AX400" s="295"/>
      <c r="AY400" s="397"/>
      <c r="AZ400" s="295"/>
      <c r="BA400" s="295"/>
      <c r="BB400" s="295"/>
      <c r="BC400" s="295"/>
      <c r="BD400" s="397"/>
      <c r="BE400" s="295"/>
      <c r="BF400" s="295"/>
      <c r="BG400" s="295"/>
      <c r="BH400" s="295"/>
      <c r="BI400" s="397"/>
      <c r="BJ400" s="1030"/>
      <c r="BK400" s="295"/>
      <c r="BL400" s="295"/>
      <c r="BM400" s="295"/>
      <c r="BN400" s="397"/>
      <c r="BO400" s="295"/>
      <c r="BP400" s="295"/>
      <c r="BQ400" s="295"/>
      <c r="BR400" s="295"/>
      <c r="BS400" s="397"/>
      <c r="BT400" s="397"/>
      <c r="BU400" s="397"/>
      <c r="BV400" s="397"/>
      <c r="BW400" s="197"/>
    </row>
    <row r="401" spans="1:75" s="198" customFormat="1" ht="14.25" x14ac:dyDescent="0.45">
      <c r="A401" s="239" t="s">
        <v>1896</v>
      </c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  <c r="AA401" s="239"/>
      <c r="AB401" s="239"/>
      <c r="AC401" s="239"/>
      <c r="AD401" s="239"/>
      <c r="AE401" s="239"/>
      <c r="AF401" s="239"/>
      <c r="AG401" s="239"/>
      <c r="AH401" s="239"/>
      <c r="AI401" s="239"/>
      <c r="AJ401" s="239"/>
      <c r="AK401" s="239"/>
      <c r="AL401" s="239"/>
      <c r="AM401" s="239"/>
      <c r="AN401" s="239"/>
      <c r="AO401" s="239"/>
      <c r="AP401" s="239"/>
      <c r="AQ401" s="239"/>
      <c r="AR401" s="239"/>
      <c r="AS401" s="239"/>
      <c r="AT401" s="239"/>
      <c r="AU401" s="239"/>
      <c r="AV401" s="239"/>
      <c r="AW401" s="239"/>
      <c r="AX401" s="239"/>
      <c r="AY401" s="239"/>
      <c r="AZ401" s="239"/>
      <c r="BA401" s="239"/>
      <c r="BB401" s="239"/>
      <c r="BC401" s="239"/>
      <c r="BD401" s="239"/>
      <c r="BE401" s="239"/>
      <c r="BF401" s="239"/>
      <c r="BG401" s="239"/>
      <c r="BH401" s="239"/>
      <c r="BI401" s="239"/>
      <c r="BJ401" s="241"/>
      <c r="BK401" s="239"/>
      <c r="BL401" s="239"/>
      <c r="BM401" s="239"/>
      <c r="BN401" s="239"/>
      <c r="BO401" s="239"/>
      <c r="BP401" s="239"/>
      <c r="BQ401" s="239"/>
      <c r="BR401" s="239"/>
      <c r="BS401" s="239"/>
      <c r="BT401" s="239"/>
      <c r="BU401" s="239"/>
      <c r="BV401" s="239"/>
      <c r="BW401" s="197"/>
    </row>
    <row r="402" spans="1:75" s="169" customFormat="1" ht="14.25" hidden="1" outlineLevel="1" x14ac:dyDescent="0.45">
      <c r="A402" s="558" t="s">
        <v>1897</v>
      </c>
      <c r="B402" s="761"/>
      <c r="C402" s="1123">
        <f>C54+C110+C166+C222+C245+C608</f>
        <v>627</v>
      </c>
      <c r="D402" s="1123">
        <f t="shared" ref="D402:J402" si="804">C405</f>
        <v>610</v>
      </c>
      <c r="E402" s="1123">
        <f t="shared" si="804"/>
        <v>592</v>
      </c>
      <c r="F402" s="1123">
        <f t="shared" si="804"/>
        <v>576</v>
      </c>
      <c r="G402" s="168">
        <f t="shared" si="804"/>
        <v>581</v>
      </c>
      <c r="H402" s="168">
        <f t="shared" si="804"/>
        <v>587</v>
      </c>
      <c r="I402" s="168">
        <f t="shared" si="804"/>
        <v>590</v>
      </c>
      <c r="J402" s="168">
        <f t="shared" si="804"/>
        <v>595</v>
      </c>
      <c r="K402" s="1123">
        <f>F405</f>
        <v>581</v>
      </c>
      <c r="L402" s="168">
        <f>K405</f>
        <v>585</v>
      </c>
      <c r="M402" s="168">
        <f>L405</f>
        <v>589</v>
      </c>
      <c r="N402" s="168">
        <f>M405</f>
        <v>589</v>
      </c>
      <c r="O402" s="168">
        <f>N405</f>
        <v>603</v>
      </c>
      <c r="P402" s="1123">
        <f>K405</f>
        <v>585</v>
      </c>
      <c r="Q402" s="168">
        <f>P405</f>
        <v>601</v>
      </c>
      <c r="R402" s="168">
        <f>Q405</f>
        <v>603</v>
      </c>
      <c r="S402" s="168">
        <f>R405</f>
        <v>612</v>
      </c>
      <c r="T402" s="168">
        <f>S405</f>
        <v>623</v>
      </c>
      <c r="U402" s="1123">
        <f>P405</f>
        <v>601</v>
      </c>
      <c r="V402" s="168">
        <f>U405</f>
        <v>618</v>
      </c>
      <c r="W402" s="168">
        <f>V405</f>
        <v>624</v>
      </c>
      <c r="X402" s="168">
        <f>W405</f>
        <v>626</v>
      </c>
      <c r="Y402" s="168">
        <f>X405</f>
        <v>635</v>
      </c>
      <c r="Z402" s="1123">
        <f>U405</f>
        <v>618</v>
      </c>
      <c r="AA402" s="168">
        <f>Z405</f>
        <v>629</v>
      </c>
      <c r="AB402" s="168">
        <f>AA405</f>
        <v>628</v>
      </c>
      <c r="AC402" s="168">
        <f>AB405</f>
        <v>635</v>
      </c>
      <c r="AD402" s="168">
        <f>AC405</f>
        <v>636</v>
      </c>
      <c r="AE402" s="1123">
        <f>Z405</f>
        <v>629</v>
      </c>
      <c r="AF402" s="168">
        <f>AE405</f>
        <v>631</v>
      </c>
      <c r="AG402" s="168">
        <f>AF405</f>
        <v>627</v>
      </c>
      <c r="AH402" s="168">
        <f>AG405</f>
        <v>632</v>
      </c>
      <c r="AI402" s="168">
        <f>AH405</f>
        <v>633</v>
      </c>
      <c r="AJ402" s="1123">
        <f>AE405</f>
        <v>631</v>
      </c>
      <c r="AK402" s="168">
        <f>AJ405</f>
        <v>625</v>
      </c>
      <c r="AL402" s="168">
        <f>AK405</f>
        <v>625</v>
      </c>
      <c r="AM402" s="168">
        <f>AL405</f>
        <v>623</v>
      </c>
      <c r="AN402" s="168">
        <f>AM405</f>
        <v>626</v>
      </c>
      <c r="AO402" s="1123">
        <f>AJ405</f>
        <v>625</v>
      </c>
      <c r="AP402" s="168">
        <f>AO405</f>
        <v>614</v>
      </c>
      <c r="AQ402" s="168">
        <f>AP405</f>
        <v>616</v>
      </c>
      <c r="AR402" s="168">
        <f>AQ405</f>
        <v>614</v>
      </c>
      <c r="AS402" s="168">
        <f>AR405</f>
        <v>614</v>
      </c>
      <c r="AT402" s="1123">
        <f>AO405</f>
        <v>614</v>
      </c>
      <c r="AU402" s="168">
        <f>AT405</f>
        <v>581</v>
      </c>
      <c r="AV402" s="168">
        <f>AU405</f>
        <v>578</v>
      </c>
      <c r="AW402" s="168">
        <f>AV405</f>
        <v>581</v>
      </c>
      <c r="AX402" s="168">
        <f>AW405</f>
        <v>577</v>
      </c>
      <c r="AY402" s="1123">
        <f>AT405</f>
        <v>581</v>
      </c>
      <c r="AZ402" s="168">
        <f>AY405</f>
        <v>544</v>
      </c>
      <c r="BA402" s="168">
        <f>AZ405</f>
        <v>545</v>
      </c>
      <c r="BB402" s="168">
        <f t="shared" ref="BB402" si="805">BA405</f>
        <v>546</v>
      </c>
      <c r="BC402" s="168">
        <f>BB405</f>
        <v>547</v>
      </c>
      <c r="BD402" s="1123">
        <f>AY405</f>
        <v>544</v>
      </c>
      <c r="BE402" s="168">
        <f>BD405</f>
        <v>530</v>
      </c>
      <c r="BF402" s="168">
        <f>BE405</f>
        <v>531</v>
      </c>
      <c r="BG402" s="168">
        <f>BF405</f>
        <v>532</v>
      </c>
      <c r="BH402" s="168">
        <f>BG405</f>
        <v>533</v>
      </c>
      <c r="BI402" s="1123">
        <f>BD405</f>
        <v>530</v>
      </c>
      <c r="BJ402" s="1124">
        <f>BI405</f>
        <v>518</v>
      </c>
      <c r="BK402" s="247">
        <f>BJ405</f>
        <v>517</v>
      </c>
      <c r="BL402" s="247">
        <f>BK405</f>
        <v>513</v>
      </c>
      <c r="BM402" s="247">
        <f>BL405</f>
        <v>509</v>
      </c>
      <c r="BN402" s="840">
        <f>BI405</f>
        <v>518</v>
      </c>
      <c r="BO402" s="247">
        <f>BN405</f>
        <v>505</v>
      </c>
      <c r="BP402" s="247">
        <f>BO405</f>
        <v>501</v>
      </c>
      <c r="BQ402" s="247">
        <f>BP405</f>
        <v>497</v>
      </c>
      <c r="BR402" s="247">
        <f>BQ405</f>
        <v>493</v>
      </c>
      <c r="BS402" s="840">
        <f>BN405</f>
        <v>505</v>
      </c>
      <c r="BT402" s="840">
        <f>BS405</f>
        <v>489</v>
      </c>
      <c r="BU402" s="840">
        <f>BT405</f>
        <v>479</v>
      </c>
      <c r="BV402" s="840">
        <f>BU405</f>
        <v>469</v>
      </c>
      <c r="BW402" s="168"/>
    </row>
    <row r="403" spans="1:75" s="224" customFormat="1" hidden="1" outlineLevel="1" x14ac:dyDescent="0.5">
      <c r="A403" s="533" t="s">
        <v>1898</v>
      </c>
      <c r="B403" s="757"/>
      <c r="C403" s="1125">
        <f>C55+C111+C167+C223+C246+C609</f>
        <v>17</v>
      </c>
      <c r="D403" s="1125">
        <f>D55+D111+D167+D223+D246+D609</f>
        <v>11</v>
      </c>
      <c r="E403" s="1125">
        <f>E55+E111+E167+E223+E246+E609</f>
        <v>36</v>
      </c>
      <c r="F403" s="1125">
        <f>F55+F111+F167+F223+F246</f>
        <v>30</v>
      </c>
      <c r="G403" s="223">
        <f>G55+G111+G167+G223+G246</f>
        <v>11</v>
      </c>
      <c r="H403" s="223">
        <f>H55+H111+H167+H223+H246</f>
        <v>5</v>
      </c>
      <c r="I403" s="223">
        <f>I55+I111+I167+I223+I246</f>
        <v>8</v>
      </c>
      <c r="J403" s="223">
        <f>J55+J111+J167+J223+J246</f>
        <v>6</v>
      </c>
      <c r="K403" s="1125">
        <f>K55+K111+K167+K223+K246</f>
        <v>30</v>
      </c>
      <c r="L403" s="223">
        <f>L55+L111+L167+L223+L246</f>
        <v>7</v>
      </c>
      <c r="M403" s="223">
        <f>M55+M111+M167+M223+M246</f>
        <v>2</v>
      </c>
      <c r="N403" s="223">
        <f>N55+N111+N167+N223+N246</f>
        <v>17</v>
      </c>
      <c r="O403" s="223">
        <f>O55+O111+O167+O223+O246</f>
        <v>9</v>
      </c>
      <c r="P403" s="1125">
        <f>P55+P111+P167+P223+P246</f>
        <v>35</v>
      </c>
      <c r="Q403" s="223">
        <f>Q55+Q111+Q167+Q223+Q246</f>
        <v>5</v>
      </c>
      <c r="R403" s="223">
        <f>R55+R111+R167+R223+R246</f>
        <v>11</v>
      </c>
      <c r="S403" s="223">
        <f>S55+S111+S167+S223+S246</f>
        <v>14</v>
      </c>
      <c r="T403" s="223">
        <f>T55+T111+T167+T223+T246</f>
        <v>4</v>
      </c>
      <c r="U403" s="1125">
        <f>U55+U111+U167+U223+U246</f>
        <v>34</v>
      </c>
      <c r="V403" s="223">
        <f>V55+V111+V167+V223+V246</f>
        <v>7</v>
      </c>
      <c r="W403" s="223">
        <f>W55+W111+W167+W223+W246</f>
        <v>4</v>
      </c>
      <c r="X403" s="223">
        <f>X55+X111+X167+X223+X246</f>
        <v>12</v>
      </c>
      <c r="Y403" s="223">
        <f>Y55+Y111+Y167+Y223+Y246</f>
        <v>6</v>
      </c>
      <c r="Z403" s="1125">
        <f>Z55+Z111+Z167+Z223+Z246</f>
        <v>29</v>
      </c>
      <c r="AA403" s="223">
        <f>AA55+AA111+AA167+AA223+AA246</f>
        <v>5</v>
      </c>
      <c r="AB403" s="223">
        <f>AB55+AB111+AB167+AB223+AB246</f>
        <v>9</v>
      </c>
      <c r="AC403" s="223">
        <f>AC55+AC111+AC167+AC223+AC246</f>
        <v>7</v>
      </c>
      <c r="AD403" s="223">
        <f>AD55+AD111+AD167+AD223+AD246</f>
        <v>7</v>
      </c>
      <c r="AE403" s="1125">
        <f>AE55+AE111+AE167+AE223+AE246</f>
        <v>28</v>
      </c>
      <c r="AF403" s="223">
        <f>AF55+AF111+AF167+AF223+AF246</f>
        <v>3</v>
      </c>
      <c r="AG403" s="223">
        <f>AG55+AG111+AG167+AG223+AG246</f>
        <v>9</v>
      </c>
      <c r="AH403" s="223">
        <f>AH55+AH111+AH167+AH223+AH246</f>
        <v>3</v>
      </c>
      <c r="AI403" s="223">
        <f>AI55+AI111+AI167+AI223+AI246</f>
        <v>8</v>
      </c>
      <c r="AJ403" s="1125">
        <f>AJ55+AJ111+AJ167+AJ223+AJ246</f>
        <v>23</v>
      </c>
      <c r="AK403" s="223">
        <f>AK55+AK111+AK167+AK223+AK246</f>
        <v>3</v>
      </c>
      <c r="AL403" s="223">
        <f>AL55+AL111+AL167+AL223+AL246</f>
        <v>2</v>
      </c>
      <c r="AM403" s="223">
        <f>AM55+AM111+AM167+AM223+AM246</f>
        <v>3</v>
      </c>
      <c r="AN403" s="223">
        <f>AN55+AN111+AN167+AN223+AN246</f>
        <v>6</v>
      </c>
      <c r="AO403" s="1125">
        <f>AO55+AO111+AO167+AO223+AO246</f>
        <v>14</v>
      </c>
      <c r="AP403" s="223">
        <f>AP55+AP111+AP167+AP223+AP246</f>
        <v>3</v>
      </c>
      <c r="AQ403" s="223">
        <f>AQ55+AQ111+AQ167+AQ223+AQ246</f>
        <v>3</v>
      </c>
      <c r="AR403" s="223">
        <f>AR55+AR111+AR167+AR223+AR246</f>
        <v>4</v>
      </c>
      <c r="AS403" s="223">
        <f>AS55+AS111+AS167+AS223+AS246</f>
        <v>0</v>
      </c>
      <c r="AT403" s="1125">
        <f>AT55+AT111+AT167+AT223+AT246</f>
        <v>10</v>
      </c>
      <c r="AU403" s="223">
        <f>AU55+AU111+AU167+AU223+AU246</f>
        <v>2</v>
      </c>
      <c r="AV403" s="223">
        <f>AV55+AV111+AV167+AV223+AV246</f>
        <v>6</v>
      </c>
      <c r="AW403" s="223">
        <f>AW55+AW111+AW167+AW223+AW246</f>
        <v>1</v>
      </c>
      <c r="AX403" s="223">
        <f>AX55+AX111+AX167+AX223+AX246</f>
        <v>3</v>
      </c>
      <c r="AY403" s="1125">
        <f>AY55+AY111+AY167+AY223+AY246</f>
        <v>12</v>
      </c>
      <c r="AZ403" s="223">
        <f>AZ55+AZ111+AZ167+AZ223+AZ246</f>
        <v>3</v>
      </c>
      <c r="BA403" s="223">
        <f>BA55+BA111+BA167+BA223+BA246</f>
        <v>4</v>
      </c>
      <c r="BB403" s="223">
        <f>BB55+BB111+BB167+BB223+BB246</f>
        <v>4</v>
      </c>
      <c r="BC403" s="223">
        <f>BC55+BC111+BC167+BC223+BC246</f>
        <v>4</v>
      </c>
      <c r="BD403" s="1125">
        <f>BD55+BD111+BD167+BD223+BD246</f>
        <v>15</v>
      </c>
      <c r="BE403" s="223">
        <f>BE55+BE111+BE167+BE223+BE246</f>
        <v>3</v>
      </c>
      <c r="BF403" s="223">
        <f>BF55+BF111+BF167+BF223+BF246</f>
        <v>4</v>
      </c>
      <c r="BG403" s="223">
        <f>BG55+BG111+BG167+BG223+BG246</f>
        <v>4</v>
      </c>
      <c r="BH403" s="223">
        <f>BH55+BH111+BH167+BH223+BH246</f>
        <v>2</v>
      </c>
      <c r="BI403" s="1125">
        <f>BI55+BI111+BI167+BI223+BI246</f>
        <v>13</v>
      </c>
      <c r="BJ403" s="1169">
        <f>BJ55+BJ111+BJ167+BJ223+BJ246</f>
        <v>2</v>
      </c>
      <c r="BK403" s="487">
        <f>BK55+BK111+BK167+BK223+BK246</f>
        <v>2</v>
      </c>
      <c r="BL403" s="487">
        <f>BL55+BL111+BL167+BL223+BL246</f>
        <v>2</v>
      </c>
      <c r="BM403" s="487">
        <f>BM55+BM111+BM167+BM223+BM246</f>
        <v>2</v>
      </c>
      <c r="BN403" s="425">
        <f>BN55+BN111+BN167+BN223+BN246</f>
        <v>8</v>
      </c>
      <c r="BO403" s="487">
        <f>BO55+BO111+BO167+BO223+BO246</f>
        <v>2</v>
      </c>
      <c r="BP403" s="487">
        <f>BP55+BP111+BP167+BP223+BP246</f>
        <v>2</v>
      </c>
      <c r="BQ403" s="487">
        <f>BQ55+BQ111+BQ167+BQ223+BQ246</f>
        <v>2</v>
      </c>
      <c r="BR403" s="487">
        <f>BR55+BR111+BR167+BR223+BR246</f>
        <v>2</v>
      </c>
      <c r="BS403" s="425">
        <f>BS55+BS111+BS167+BS223+BS246</f>
        <v>8</v>
      </c>
      <c r="BT403" s="425">
        <f>BT55+BT111+BT167+BT223+BT246</f>
        <v>8</v>
      </c>
      <c r="BU403" s="425">
        <f>BU55+BU111+BU167+BU223+BU246</f>
        <v>8</v>
      </c>
      <c r="BV403" s="425">
        <f>BV55+BV111+BV167+BV223+BV246</f>
        <v>8</v>
      </c>
      <c r="BW403" s="223"/>
    </row>
    <row r="404" spans="1:75" s="224" customFormat="1" hidden="1" outlineLevel="1" x14ac:dyDescent="0.5">
      <c r="A404" s="533" t="s">
        <v>1899</v>
      </c>
      <c r="B404" s="757"/>
      <c r="C404" s="1125">
        <f>C56+C112+C168+C224+C247+C610</f>
        <v>-34</v>
      </c>
      <c r="D404" s="1125">
        <f>D56+D112+D168+D224+D247+D610</f>
        <v>-29</v>
      </c>
      <c r="E404" s="1125">
        <f>E56+E112+E168+E224+E247+E610</f>
        <v>-52</v>
      </c>
      <c r="F404" s="1125">
        <f>F56+F112+F168+F224+F247</f>
        <v>-25</v>
      </c>
      <c r="G404" s="223">
        <f>G56+G112+G168+G224+G247</f>
        <v>-5</v>
      </c>
      <c r="H404" s="223">
        <f>H56+H112+H168+H224+H247</f>
        <v>-2</v>
      </c>
      <c r="I404" s="223">
        <f>I56+I112+I168+I224+I247</f>
        <v>-3</v>
      </c>
      <c r="J404" s="223">
        <f>J56+J112+J168+J224+J247</f>
        <v>-16</v>
      </c>
      <c r="K404" s="1125">
        <f>K56+K112+K168+K224+K247</f>
        <v>-26</v>
      </c>
      <c r="L404" s="223">
        <f>L56+L112+L168+L224+L247</f>
        <v>-3</v>
      </c>
      <c r="M404" s="223">
        <f>M56+M112+M168+M224+M247</f>
        <v>-2</v>
      </c>
      <c r="N404" s="223">
        <f>N56+N112+N168+N224+N247</f>
        <v>-3</v>
      </c>
      <c r="O404" s="223">
        <f>O56+O112+O168+O224+O247</f>
        <v>-11</v>
      </c>
      <c r="P404" s="1125">
        <f>P56+P112+P168+P224+P247</f>
        <v>-19</v>
      </c>
      <c r="Q404" s="223">
        <f>Q56+Q112+Q168+Q224+Q247</f>
        <v>-3</v>
      </c>
      <c r="R404" s="223">
        <f>R56+R112+R168+R224+R247</f>
        <v>-2</v>
      </c>
      <c r="S404" s="223">
        <f>S56+S112+S168+S224+S247</f>
        <v>-3</v>
      </c>
      <c r="T404" s="223">
        <f>T56+T112+T168+T224+T247</f>
        <v>-9</v>
      </c>
      <c r="U404" s="1125">
        <f>U56+U112+U168+U224+U247</f>
        <v>-17</v>
      </c>
      <c r="V404" s="223">
        <f>V56+V112+V168+V224+V247</f>
        <v>-1</v>
      </c>
      <c r="W404" s="223">
        <f>W56+W112+W168+W224+W247</f>
        <v>-2</v>
      </c>
      <c r="X404" s="223">
        <f>X56+X112+X168+X224+X247</f>
        <v>-3</v>
      </c>
      <c r="Y404" s="223">
        <f>Y56+Y112+Y168+Y224+Y247</f>
        <v>-12</v>
      </c>
      <c r="Z404" s="1125">
        <f>Z56+Z112+Z168+Z224+Z247</f>
        <v>-18</v>
      </c>
      <c r="AA404" s="223">
        <f>AA56+AA112+AA168+AA224+AA247</f>
        <v>-6</v>
      </c>
      <c r="AB404" s="223">
        <f>AB56+AB112+AB168+AB224+AB247</f>
        <v>-2</v>
      </c>
      <c r="AC404" s="223">
        <f>AC56+AC112+AC168+AC224+AC247</f>
        <v>-6</v>
      </c>
      <c r="AD404" s="223">
        <f>AD56+AD112+AD168+AD224+AD247</f>
        <v>-12</v>
      </c>
      <c r="AE404" s="1125">
        <f>AE56+AE112+AE168+AE224+AE247</f>
        <v>-26</v>
      </c>
      <c r="AF404" s="223">
        <f>AF56+AF112+AF168+AF224+AF247</f>
        <v>-7</v>
      </c>
      <c r="AG404" s="223">
        <f>AG56+AG112+AG168+AG224+AG247</f>
        <v>-4</v>
      </c>
      <c r="AH404" s="223">
        <f>AH56+AH112+AH168+AH224+AH247</f>
        <v>-2</v>
      </c>
      <c r="AI404" s="223">
        <f>AI56+AI112+AI168+AI224+AI247</f>
        <v>-16</v>
      </c>
      <c r="AJ404" s="1125">
        <f>AJ56+AJ112+AJ168+AJ224+AJ247</f>
        <v>-29</v>
      </c>
      <c r="AK404" s="223">
        <f>AK56+AK112+AK168+AK224+AK247</f>
        <v>-3</v>
      </c>
      <c r="AL404" s="223">
        <f>AL56+AL112+AL168+AL224+AL247</f>
        <v>-4</v>
      </c>
      <c r="AM404" s="223">
        <f>AM56+AM112+AM168+AM224+AM247</f>
        <v>0</v>
      </c>
      <c r="AN404" s="223">
        <f>AN56+AN112+AN168+AN224+AN247</f>
        <v>-18</v>
      </c>
      <c r="AO404" s="1125">
        <f>AO56+AO112+AO168+AO224+AO247</f>
        <v>-25</v>
      </c>
      <c r="AP404" s="223">
        <f>AP56+AP112+AP168+AP224+AP247</f>
        <v>-1</v>
      </c>
      <c r="AQ404" s="223">
        <f>AQ56+AQ112+AQ168+AQ224+AQ247</f>
        <v>-5</v>
      </c>
      <c r="AR404" s="223">
        <f>AR56+AR112+AR168+AR224+AR247</f>
        <v>-4</v>
      </c>
      <c r="AS404" s="223">
        <f>AS56+AS112+AS168+AS224+AS247</f>
        <v>-33</v>
      </c>
      <c r="AT404" s="1125">
        <f>AT56+AT112+AT168+AT224+AT247</f>
        <v>-43</v>
      </c>
      <c r="AU404" s="223">
        <f>AU56+AU112+AU168+AU224+AU247</f>
        <v>-5</v>
      </c>
      <c r="AV404" s="223">
        <f>AV56+AV112+AV168+AV224+AV247</f>
        <v>-3</v>
      </c>
      <c r="AW404" s="223">
        <f>AW56+AW112+AW168+AW224+AW247</f>
        <v>-5</v>
      </c>
      <c r="AX404" s="223">
        <f>AX56+AX112+AX168+AX224+AX247</f>
        <v>-36</v>
      </c>
      <c r="AY404" s="1125">
        <f>AY56+AY112+AY168+AY224+AY247</f>
        <v>-49</v>
      </c>
      <c r="AZ404" s="223">
        <f>AZ56+AZ112+AZ168+AZ224+AZ247</f>
        <v>-2</v>
      </c>
      <c r="BA404" s="223">
        <f>BA56+BA112+BA168+BA224+BA247</f>
        <v>-3</v>
      </c>
      <c r="BB404" s="223">
        <f>BB56+BB112+BB168+BB224+BB247</f>
        <v>-3</v>
      </c>
      <c r="BC404" s="223">
        <f>BC56+BC112+BC168+BC224+BC247</f>
        <v>-21</v>
      </c>
      <c r="BD404" s="1125">
        <f>BD56+BD112+BD168+BD224+BD247</f>
        <v>-29</v>
      </c>
      <c r="BE404" s="223">
        <f>BE56+BE112+BE168+BE224+BE247</f>
        <v>-2</v>
      </c>
      <c r="BF404" s="223">
        <f>BF56+BF112+BF168+BF224+BF247</f>
        <v>-3</v>
      </c>
      <c r="BG404" s="223">
        <f>BG56+BG112+BG168+BG224+BG247</f>
        <v>-3</v>
      </c>
      <c r="BH404" s="223">
        <f>BH56+BH112+BH168+BH224+BH247</f>
        <v>-17</v>
      </c>
      <c r="BI404" s="1125">
        <f>BI56+BI112+BI168+BI224+BI247</f>
        <v>-25</v>
      </c>
      <c r="BJ404" s="1169">
        <f>BJ56+BJ112+BJ168+BJ224+BJ247</f>
        <v>-3</v>
      </c>
      <c r="BK404" s="487">
        <f>BK56+BK112+BK168+BK224+BK247</f>
        <v>-6</v>
      </c>
      <c r="BL404" s="487">
        <f>BL56+BL112+BL168+BL224+BL247</f>
        <v>-6</v>
      </c>
      <c r="BM404" s="487">
        <f>BM56+BM112+BM168+BM224+BM247</f>
        <v>-6</v>
      </c>
      <c r="BN404" s="425">
        <f>BN56+BN112+BN168+BN224+BN247</f>
        <v>-21</v>
      </c>
      <c r="BO404" s="487">
        <f>BO56+BO112+BO168+BO224+BO247</f>
        <v>-6</v>
      </c>
      <c r="BP404" s="487">
        <f>BP56+BP112+BP168+BP224+BP247</f>
        <v>-6</v>
      </c>
      <c r="BQ404" s="487">
        <f>BQ56+BQ112+BQ168+BQ224+BQ247</f>
        <v>-6</v>
      </c>
      <c r="BR404" s="487">
        <f>BR56+BR112+BR168+BR224+BR247</f>
        <v>-6</v>
      </c>
      <c r="BS404" s="425">
        <f>BS56+BS112+BS168+BS224+BS247</f>
        <v>-24</v>
      </c>
      <c r="BT404" s="425">
        <f>BT56+BT112+BT168+BT224+BT247</f>
        <v>-18</v>
      </c>
      <c r="BU404" s="425">
        <f>BU56+BU112+BU168+BU224+BU247</f>
        <v>-18</v>
      </c>
      <c r="BV404" s="425">
        <f>BV56+BV112+BV168+BV224+BV247</f>
        <v>-18</v>
      </c>
      <c r="BW404" s="223"/>
    </row>
    <row r="405" spans="1:75" s="169" customFormat="1" ht="14.25" hidden="1" outlineLevel="1" x14ac:dyDescent="0.45">
      <c r="A405" s="562" t="s">
        <v>1641</v>
      </c>
      <c r="B405" s="1232"/>
      <c r="C405" s="1165">
        <f t="shared" ref="C405:BN405" si="806">C402+C403+C404</f>
        <v>610</v>
      </c>
      <c r="D405" s="1165">
        <f t="shared" si="806"/>
        <v>592</v>
      </c>
      <c r="E405" s="1165">
        <f t="shared" si="806"/>
        <v>576</v>
      </c>
      <c r="F405" s="1165">
        <f t="shared" si="806"/>
        <v>581</v>
      </c>
      <c r="G405" s="284">
        <f t="shared" si="806"/>
        <v>587</v>
      </c>
      <c r="H405" s="284">
        <f t="shared" si="806"/>
        <v>590</v>
      </c>
      <c r="I405" s="284">
        <f t="shared" si="806"/>
        <v>595</v>
      </c>
      <c r="J405" s="284">
        <f t="shared" si="806"/>
        <v>585</v>
      </c>
      <c r="K405" s="1165">
        <f t="shared" si="806"/>
        <v>585</v>
      </c>
      <c r="L405" s="284">
        <f t="shared" si="806"/>
        <v>589</v>
      </c>
      <c r="M405" s="284">
        <f t="shared" si="806"/>
        <v>589</v>
      </c>
      <c r="N405" s="284">
        <f t="shared" si="806"/>
        <v>603</v>
      </c>
      <c r="O405" s="284">
        <f t="shared" si="806"/>
        <v>601</v>
      </c>
      <c r="P405" s="1165">
        <f t="shared" si="806"/>
        <v>601</v>
      </c>
      <c r="Q405" s="284">
        <f t="shared" si="806"/>
        <v>603</v>
      </c>
      <c r="R405" s="284">
        <f t="shared" si="806"/>
        <v>612</v>
      </c>
      <c r="S405" s="284">
        <f t="shared" si="806"/>
        <v>623</v>
      </c>
      <c r="T405" s="284">
        <f t="shared" si="806"/>
        <v>618</v>
      </c>
      <c r="U405" s="1165">
        <f t="shared" si="806"/>
        <v>618</v>
      </c>
      <c r="V405" s="284">
        <f t="shared" si="806"/>
        <v>624</v>
      </c>
      <c r="W405" s="284">
        <f t="shared" si="806"/>
        <v>626</v>
      </c>
      <c r="X405" s="284">
        <f t="shared" si="806"/>
        <v>635</v>
      </c>
      <c r="Y405" s="284">
        <f t="shared" si="806"/>
        <v>629</v>
      </c>
      <c r="Z405" s="1165">
        <f t="shared" si="806"/>
        <v>629</v>
      </c>
      <c r="AA405" s="284">
        <f t="shared" si="806"/>
        <v>628</v>
      </c>
      <c r="AB405" s="284">
        <f t="shared" si="806"/>
        <v>635</v>
      </c>
      <c r="AC405" s="284">
        <f t="shared" si="806"/>
        <v>636</v>
      </c>
      <c r="AD405" s="284">
        <f t="shared" si="806"/>
        <v>631</v>
      </c>
      <c r="AE405" s="1165">
        <f t="shared" si="806"/>
        <v>631</v>
      </c>
      <c r="AF405" s="284">
        <f t="shared" si="806"/>
        <v>627</v>
      </c>
      <c r="AG405" s="284">
        <f t="shared" si="806"/>
        <v>632</v>
      </c>
      <c r="AH405" s="284">
        <f t="shared" si="806"/>
        <v>633</v>
      </c>
      <c r="AI405" s="284">
        <f t="shared" si="806"/>
        <v>625</v>
      </c>
      <c r="AJ405" s="1165">
        <f t="shared" si="806"/>
        <v>625</v>
      </c>
      <c r="AK405" s="284">
        <f t="shared" si="806"/>
        <v>625</v>
      </c>
      <c r="AL405" s="284">
        <f t="shared" si="806"/>
        <v>623</v>
      </c>
      <c r="AM405" s="284">
        <f t="shared" si="806"/>
        <v>626</v>
      </c>
      <c r="AN405" s="284">
        <f t="shared" si="806"/>
        <v>614</v>
      </c>
      <c r="AO405" s="1165">
        <f t="shared" si="806"/>
        <v>614</v>
      </c>
      <c r="AP405" s="284">
        <f t="shared" si="806"/>
        <v>616</v>
      </c>
      <c r="AQ405" s="284">
        <f t="shared" si="806"/>
        <v>614</v>
      </c>
      <c r="AR405" s="284">
        <f t="shared" si="806"/>
        <v>614</v>
      </c>
      <c r="AS405" s="284">
        <f t="shared" si="806"/>
        <v>581</v>
      </c>
      <c r="AT405" s="1165">
        <f t="shared" si="806"/>
        <v>581</v>
      </c>
      <c r="AU405" s="284">
        <f t="shared" si="806"/>
        <v>578</v>
      </c>
      <c r="AV405" s="284">
        <f t="shared" si="806"/>
        <v>581</v>
      </c>
      <c r="AW405" s="284">
        <f t="shared" si="806"/>
        <v>577</v>
      </c>
      <c r="AX405" s="284">
        <f t="shared" si="806"/>
        <v>544</v>
      </c>
      <c r="AY405" s="1165">
        <f t="shared" si="806"/>
        <v>544</v>
      </c>
      <c r="AZ405" s="284">
        <f t="shared" si="806"/>
        <v>545</v>
      </c>
      <c r="BA405" s="284">
        <f t="shared" si="806"/>
        <v>546</v>
      </c>
      <c r="BB405" s="284">
        <f t="shared" si="806"/>
        <v>547</v>
      </c>
      <c r="BC405" s="284">
        <f t="shared" si="806"/>
        <v>530</v>
      </c>
      <c r="BD405" s="1165">
        <f t="shared" si="806"/>
        <v>530</v>
      </c>
      <c r="BE405" s="284">
        <f t="shared" si="806"/>
        <v>531</v>
      </c>
      <c r="BF405" s="284">
        <f t="shared" si="806"/>
        <v>532</v>
      </c>
      <c r="BG405" s="284">
        <f t="shared" si="806"/>
        <v>533</v>
      </c>
      <c r="BH405" s="284">
        <f t="shared" si="806"/>
        <v>518</v>
      </c>
      <c r="BI405" s="1165">
        <f t="shared" si="806"/>
        <v>518</v>
      </c>
      <c r="BJ405" s="1166">
        <f>BJ402+BJ403+BJ404</f>
        <v>517</v>
      </c>
      <c r="BK405" s="287">
        <f t="shared" si="806"/>
        <v>513</v>
      </c>
      <c r="BL405" s="287">
        <f t="shared" si="806"/>
        <v>509</v>
      </c>
      <c r="BM405" s="287">
        <f t="shared" si="806"/>
        <v>505</v>
      </c>
      <c r="BN405" s="1128">
        <f t="shared" si="806"/>
        <v>505</v>
      </c>
      <c r="BO405" s="287">
        <f t="shared" ref="BO405:CF405" si="807">BO402+BO403+BO404</f>
        <v>501</v>
      </c>
      <c r="BP405" s="287">
        <f t="shared" si="807"/>
        <v>497</v>
      </c>
      <c r="BQ405" s="287">
        <f t="shared" si="807"/>
        <v>493</v>
      </c>
      <c r="BR405" s="287">
        <f t="shared" si="807"/>
        <v>489</v>
      </c>
      <c r="BS405" s="1128">
        <f t="shared" si="807"/>
        <v>489</v>
      </c>
      <c r="BT405" s="1128">
        <f t="shared" si="807"/>
        <v>479</v>
      </c>
      <c r="BU405" s="1128">
        <f t="shared" si="807"/>
        <v>469</v>
      </c>
      <c r="BV405" s="1128">
        <f t="shared" si="807"/>
        <v>459</v>
      </c>
      <c r="BW405" s="168"/>
    </row>
    <row r="406" spans="1:75" s="169" customFormat="1" ht="14.25" hidden="1" outlineLevel="1" x14ac:dyDescent="0.45">
      <c r="A406" s="558" t="s">
        <v>1900</v>
      </c>
      <c r="B406" s="761"/>
      <c r="C406" s="1123">
        <f>AVERAGE(C402,C405)</f>
        <v>618.5</v>
      </c>
      <c r="D406" s="1123">
        <f t="shared" ref="D406:BO406" si="808">AVERAGE(D402,D405)</f>
        <v>601</v>
      </c>
      <c r="E406" s="1123">
        <f t="shared" si="808"/>
        <v>584</v>
      </c>
      <c r="F406" s="1123">
        <f t="shared" si="808"/>
        <v>578.5</v>
      </c>
      <c r="G406" s="168">
        <f t="shared" si="808"/>
        <v>584</v>
      </c>
      <c r="H406" s="168">
        <f t="shared" si="808"/>
        <v>588.5</v>
      </c>
      <c r="I406" s="168">
        <f t="shared" si="808"/>
        <v>592.5</v>
      </c>
      <c r="J406" s="168">
        <f t="shared" si="808"/>
        <v>590</v>
      </c>
      <c r="K406" s="1123">
        <f t="shared" si="808"/>
        <v>583</v>
      </c>
      <c r="L406" s="168">
        <f t="shared" si="808"/>
        <v>587</v>
      </c>
      <c r="M406" s="168">
        <f t="shared" si="808"/>
        <v>589</v>
      </c>
      <c r="N406" s="168">
        <f t="shared" si="808"/>
        <v>596</v>
      </c>
      <c r="O406" s="168">
        <f t="shared" si="808"/>
        <v>602</v>
      </c>
      <c r="P406" s="1123">
        <f t="shared" si="808"/>
        <v>593</v>
      </c>
      <c r="Q406" s="168">
        <f t="shared" si="808"/>
        <v>602</v>
      </c>
      <c r="R406" s="168">
        <f t="shared" si="808"/>
        <v>607.5</v>
      </c>
      <c r="S406" s="168">
        <f t="shared" si="808"/>
        <v>617.5</v>
      </c>
      <c r="T406" s="168">
        <f t="shared" si="808"/>
        <v>620.5</v>
      </c>
      <c r="U406" s="1123">
        <f t="shared" si="808"/>
        <v>609.5</v>
      </c>
      <c r="V406" s="168">
        <f t="shared" si="808"/>
        <v>621</v>
      </c>
      <c r="W406" s="168">
        <f t="shared" si="808"/>
        <v>625</v>
      </c>
      <c r="X406" s="168">
        <f t="shared" si="808"/>
        <v>630.5</v>
      </c>
      <c r="Y406" s="168">
        <f t="shared" si="808"/>
        <v>632</v>
      </c>
      <c r="Z406" s="1123">
        <f t="shared" si="808"/>
        <v>623.5</v>
      </c>
      <c r="AA406" s="168">
        <f t="shared" si="808"/>
        <v>628.5</v>
      </c>
      <c r="AB406" s="168">
        <f t="shared" si="808"/>
        <v>631.5</v>
      </c>
      <c r="AC406" s="168">
        <f t="shared" si="808"/>
        <v>635.5</v>
      </c>
      <c r="AD406" s="168">
        <f t="shared" si="808"/>
        <v>633.5</v>
      </c>
      <c r="AE406" s="1123">
        <f t="shared" si="808"/>
        <v>630</v>
      </c>
      <c r="AF406" s="168">
        <f t="shared" si="808"/>
        <v>629</v>
      </c>
      <c r="AG406" s="168">
        <f t="shared" si="808"/>
        <v>629.5</v>
      </c>
      <c r="AH406" s="168">
        <f t="shared" si="808"/>
        <v>632.5</v>
      </c>
      <c r="AI406" s="168">
        <f t="shared" si="808"/>
        <v>629</v>
      </c>
      <c r="AJ406" s="1123">
        <f t="shared" si="808"/>
        <v>628</v>
      </c>
      <c r="AK406" s="168">
        <f t="shared" si="808"/>
        <v>625</v>
      </c>
      <c r="AL406" s="168">
        <f t="shared" si="808"/>
        <v>624</v>
      </c>
      <c r="AM406" s="168">
        <f t="shared" si="808"/>
        <v>624.5</v>
      </c>
      <c r="AN406" s="168">
        <f t="shared" si="808"/>
        <v>620</v>
      </c>
      <c r="AO406" s="1123">
        <f t="shared" si="808"/>
        <v>619.5</v>
      </c>
      <c r="AP406" s="168">
        <f t="shared" si="808"/>
        <v>615</v>
      </c>
      <c r="AQ406" s="168">
        <f t="shared" si="808"/>
        <v>615</v>
      </c>
      <c r="AR406" s="168">
        <f t="shared" si="808"/>
        <v>614</v>
      </c>
      <c r="AS406" s="168">
        <f t="shared" si="808"/>
        <v>597.5</v>
      </c>
      <c r="AT406" s="1123">
        <f t="shared" si="808"/>
        <v>597.5</v>
      </c>
      <c r="AU406" s="168">
        <f t="shared" si="808"/>
        <v>579.5</v>
      </c>
      <c r="AV406" s="168">
        <f t="shared" si="808"/>
        <v>579.5</v>
      </c>
      <c r="AW406" s="168">
        <f t="shared" si="808"/>
        <v>579</v>
      </c>
      <c r="AX406" s="168">
        <f t="shared" si="808"/>
        <v>560.5</v>
      </c>
      <c r="AY406" s="1123">
        <f t="shared" si="808"/>
        <v>562.5</v>
      </c>
      <c r="AZ406" s="168">
        <f t="shared" si="808"/>
        <v>544.5</v>
      </c>
      <c r="BA406" s="168">
        <f t="shared" si="808"/>
        <v>545.5</v>
      </c>
      <c r="BB406" s="168">
        <f t="shared" si="808"/>
        <v>546.5</v>
      </c>
      <c r="BC406" s="168">
        <f t="shared" si="808"/>
        <v>538.5</v>
      </c>
      <c r="BD406" s="1123">
        <f t="shared" si="808"/>
        <v>537</v>
      </c>
      <c r="BE406" s="168">
        <f t="shared" si="808"/>
        <v>530.5</v>
      </c>
      <c r="BF406" s="168">
        <f t="shared" si="808"/>
        <v>531.5</v>
      </c>
      <c r="BG406" s="168">
        <f t="shared" si="808"/>
        <v>532.5</v>
      </c>
      <c r="BH406" s="168">
        <f t="shared" si="808"/>
        <v>525.5</v>
      </c>
      <c r="BI406" s="1123">
        <f t="shared" si="808"/>
        <v>524</v>
      </c>
      <c r="BJ406" s="1124">
        <f>AVERAGE(BJ402,BJ405)</f>
        <v>517.5</v>
      </c>
      <c r="BK406" s="247">
        <f t="shared" si="808"/>
        <v>515</v>
      </c>
      <c r="BL406" s="247">
        <f t="shared" si="808"/>
        <v>511</v>
      </c>
      <c r="BM406" s="247">
        <f t="shared" si="808"/>
        <v>507</v>
      </c>
      <c r="BN406" s="840">
        <f t="shared" si="808"/>
        <v>511.5</v>
      </c>
      <c r="BO406" s="247">
        <f t="shared" si="808"/>
        <v>503</v>
      </c>
      <c r="BP406" s="247">
        <f t="shared" ref="BP406:BW406" si="809">AVERAGE(BP402,BP405)</f>
        <v>499</v>
      </c>
      <c r="BQ406" s="247">
        <f t="shared" si="809"/>
        <v>495</v>
      </c>
      <c r="BR406" s="247">
        <f t="shared" si="809"/>
        <v>491</v>
      </c>
      <c r="BS406" s="840">
        <f t="shared" si="809"/>
        <v>497</v>
      </c>
      <c r="BT406" s="840">
        <f t="shared" si="809"/>
        <v>484</v>
      </c>
      <c r="BU406" s="840">
        <f t="shared" si="809"/>
        <v>474</v>
      </c>
      <c r="BV406" s="840">
        <f t="shared" si="809"/>
        <v>464</v>
      </c>
      <c r="BW406" s="168"/>
    </row>
    <row r="407" spans="1:75" s="169" customFormat="1" ht="14.25" hidden="1" outlineLevel="1" x14ac:dyDescent="0.45">
      <c r="A407" s="163"/>
      <c r="B407" s="761"/>
      <c r="C407" s="840"/>
      <c r="D407" s="840"/>
      <c r="E407" s="840"/>
      <c r="F407" s="840"/>
      <c r="G407" s="247"/>
      <c r="H407" s="247"/>
      <c r="I407" s="247"/>
      <c r="J407" s="247"/>
      <c r="K407" s="840"/>
      <c r="L407" s="247"/>
      <c r="M407" s="247"/>
      <c r="N407" s="247"/>
      <c r="O407" s="247"/>
      <c r="P407" s="840"/>
      <c r="Q407" s="247"/>
      <c r="R407" s="247"/>
      <c r="S407" s="247"/>
      <c r="T407" s="247"/>
      <c r="U407" s="840"/>
      <c r="V407" s="247"/>
      <c r="W407" s="247"/>
      <c r="X407" s="247"/>
      <c r="Y407" s="247"/>
      <c r="Z407" s="840"/>
      <c r="AA407" s="247"/>
      <c r="AB407" s="247"/>
      <c r="AC407" s="247"/>
      <c r="AD407" s="247"/>
      <c r="AE407" s="840"/>
      <c r="AF407" s="247"/>
      <c r="AG407" s="247"/>
      <c r="AH407" s="247"/>
      <c r="AI407" s="247"/>
      <c r="AJ407" s="840"/>
      <c r="AK407" s="247"/>
      <c r="AL407" s="247"/>
      <c r="AM407" s="247"/>
      <c r="AN407" s="247"/>
      <c r="AO407" s="840"/>
      <c r="AP407" s="247"/>
      <c r="AQ407" s="247"/>
      <c r="AR407" s="247"/>
      <c r="AS407" s="247"/>
      <c r="AT407" s="840"/>
      <c r="AU407" s="247"/>
      <c r="AV407" s="247"/>
      <c r="AW407" s="247"/>
      <c r="AX407" s="247"/>
      <c r="AY407" s="840"/>
      <c r="AZ407" s="247"/>
      <c r="BA407" s="247"/>
      <c r="BB407" s="247"/>
      <c r="BC407" s="247"/>
      <c r="BD407" s="840"/>
      <c r="BE407" s="247"/>
      <c r="BF407" s="247"/>
      <c r="BG407" s="247"/>
      <c r="BH407" s="247"/>
      <c r="BI407" s="840"/>
      <c r="BJ407" s="977"/>
      <c r="BK407" s="247"/>
      <c r="BL407" s="247"/>
      <c r="BM407" s="247"/>
      <c r="BN407" s="840"/>
      <c r="BO407" s="247"/>
      <c r="BP407" s="247"/>
      <c r="BQ407" s="247"/>
      <c r="BR407" s="247"/>
      <c r="BS407" s="840"/>
      <c r="BT407" s="840"/>
      <c r="BU407" s="840"/>
      <c r="BV407" s="840"/>
      <c r="BW407" s="168"/>
    </row>
    <row r="408" spans="1:75" s="224" customFormat="1" hidden="1" outlineLevel="1" x14ac:dyDescent="0.5">
      <c r="A408" s="590" t="s">
        <v>1901</v>
      </c>
      <c r="B408" s="757"/>
      <c r="C408" s="425"/>
      <c r="D408" s="1125">
        <f>C405+D404</f>
        <v>581</v>
      </c>
      <c r="E408" s="1125">
        <f>D405+E404</f>
        <v>540</v>
      </c>
      <c r="F408" s="1125">
        <f>E405+F404</f>
        <v>551</v>
      </c>
      <c r="G408" s="223">
        <f>B405+C404+D404+E404+G404</f>
        <v>-120</v>
      </c>
      <c r="H408" s="223">
        <f>C405+D404+E404+G404+H404</f>
        <v>522</v>
      </c>
      <c r="I408" s="223">
        <f>D405+E404+G404+H404+I404</f>
        <v>530</v>
      </c>
      <c r="J408" s="223">
        <f>E405+G404+H404+I404+J404</f>
        <v>550</v>
      </c>
      <c r="K408" s="1125">
        <f>F405+K404</f>
        <v>555</v>
      </c>
      <c r="L408" s="223">
        <f>G405+H404+I404+J404+L404</f>
        <v>563</v>
      </c>
      <c r="M408" s="223">
        <f>H405+I404+J404+L404+M404</f>
        <v>566</v>
      </c>
      <c r="N408" s="223">
        <f>I405+J404+L404+M404+N404</f>
        <v>571</v>
      </c>
      <c r="O408" s="223">
        <f>J405+L404+M404+N404+O404</f>
        <v>566</v>
      </c>
      <c r="P408" s="1125">
        <f>K405+P404</f>
        <v>566</v>
      </c>
      <c r="Q408" s="223">
        <f>L405+M404+N404+O404+Q404</f>
        <v>570</v>
      </c>
      <c r="R408" s="223">
        <f>M405+N404+O404+Q404+R404</f>
        <v>570</v>
      </c>
      <c r="S408" s="223">
        <f>N405+O404+Q404+R404+S404</f>
        <v>584</v>
      </c>
      <c r="T408" s="223">
        <f>O405+Q404+R404+S404+T404</f>
        <v>584</v>
      </c>
      <c r="U408" s="1125">
        <f>P405+U404</f>
        <v>584</v>
      </c>
      <c r="V408" s="223">
        <f>Q405+R404+S404+T404+V404</f>
        <v>588</v>
      </c>
      <c r="W408" s="223">
        <f>R405+S404+T404+V404+W404</f>
        <v>597</v>
      </c>
      <c r="X408" s="223">
        <f>S405+T404+V404+W404+X404</f>
        <v>608</v>
      </c>
      <c r="Y408" s="223">
        <f>T405+V404+W404+X404+Y404</f>
        <v>600</v>
      </c>
      <c r="Z408" s="1125">
        <f>U405+Z404</f>
        <v>600</v>
      </c>
      <c r="AA408" s="223">
        <f>V405+W404+X404+Y404+AA404</f>
        <v>601</v>
      </c>
      <c r="AB408" s="223">
        <f>W405+X404+Y404+AA404+AB404</f>
        <v>603</v>
      </c>
      <c r="AC408" s="223">
        <f>X405+Y404+AA404+AB404+AC404</f>
        <v>609</v>
      </c>
      <c r="AD408" s="223">
        <f>Y405+AA404+AB404+AC404+AD404</f>
        <v>603</v>
      </c>
      <c r="AE408" s="1125">
        <f>Z405+AE404</f>
        <v>603</v>
      </c>
      <c r="AF408" s="223">
        <f>AA405+AB404+AC404+AD404+AF404</f>
        <v>601</v>
      </c>
      <c r="AG408" s="223">
        <f>AB405+AC404+AD404+AF404+AG404</f>
        <v>606</v>
      </c>
      <c r="AH408" s="223">
        <f>AC405+AD404+AF404+AG404+AH404</f>
        <v>611</v>
      </c>
      <c r="AI408" s="223">
        <f>AD405+AF404+AG404+AH404+AI404</f>
        <v>602</v>
      </c>
      <c r="AJ408" s="1125">
        <f>AE405+AJ404</f>
        <v>602</v>
      </c>
      <c r="AK408" s="223">
        <f>AF405+AG404+AH404+AI404+AK404</f>
        <v>602</v>
      </c>
      <c r="AL408" s="223">
        <f>AG405+AH404+AI404+AK404+AL404</f>
        <v>607</v>
      </c>
      <c r="AM408" s="223">
        <f>AH405+AI404+AK404+AL404+AM404</f>
        <v>610</v>
      </c>
      <c r="AN408" s="223">
        <f>AI405+AK404+AL404+AM404+AN404</f>
        <v>600</v>
      </c>
      <c r="AO408" s="1125">
        <f>AJ405+AO404</f>
        <v>600</v>
      </c>
      <c r="AP408" s="223">
        <f>AK405+AL404+AM404+AN404+AP404</f>
        <v>602</v>
      </c>
      <c r="AQ408" s="223">
        <f>AL405+AM404+AN404+AP404+AQ404</f>
        <v>599</v>
      </c>
      <c r="AR408" s="223">
        <f>AM405+AN404+AP404+AQ404+AR404</f>
        <v>598</v>
      </c>
      <c r="AS408" s="223">
        <f>AN405+AP404+AQ404+AR404+AS404</f>
        <v>571</v>
      </c>
      <c r="AT408" s="1125">
        <f>AO405+AT404</f>
        <v>571</v>
      </c>
      <c r="AU408" s="223">
        <f>AP405+AQ404+AR404+AS404+AU404</f>
        <v>569</v>
      </c>
      <c r="AV408" s="223">
        <f>AQ405+AR404+AS404+AU404+AV404</f>
        <v>569</v>
      </c>
      <c r="AW408" s="223">
        <f>AR405+AS404+AU404+AV404+AW404</f>
        <v>568</v>
      </c>
      <c r="AX408" s="223">
        <f>AS405+AU404+AV404+AW404+AX404</f>
        <v>532</v>
      </c>
      <c r="AY408" s="1125">
        <f>AT405+AY404</f>
        <v>532</v>
      </c>
      <c r="AZ408" s="223">
        <f>AU405+AV404+AW404+AX404+AZ404</f>
        <v>532</v>
      </c>
      <c r="BA408" s="223">
        <f>AV405+AW404+AX404+AZ404+BA404</f>
        <v>535</v>
      </c>
      <c r="BB408" s="223">
        <f>AW405+AX404+AZ404+BA404+BB404</f>
        <v>533</v>
      </c>
      <c r="BC408" s="223">
        <f>AX405+AZ404+BA404+BB404+BC404</f>
        <v>515</v>
      </c>
      <c r="BD408" s="1125">
        <f>AY405+BD404</f>
        <v>515</v>
      </c>
      <c r="BE408" s="223">
        <f>AZ405+BA404+BB404+BC404+BE404</f>
        <v>516</v>
      </c>
      <c r="BF408" s="223">
        <f>BA405+BB404+BC404+BE404+BF404</f>
        <v>517</v>
      </c>
      <c r="BG408" s="223">
        <f>BB405+BC404+BE404+BF404+BG404</f>
        <v>518</v>
      </c>
      <c r="BH408" s="223">
        <f>BC405+BE404+BF404+BG404+BH404</f>
        <v>505</v>
      </c>
      <c r="BI408" s="1125">
        <f>BD405+BI404</f>
        <v>505</v>
      </c>
      <c r="BJ408" s="1169">
        <f>BE405+BF404+BG404+BH404+BJ404</f>
        <v>505</v>
      </c>
      <c r="BK408" s="487"/>
      <c r="BL408" s="487"/>
      <c r="BM408" s="487"/>
      <c r="BN408" s="425"/>
      <c r="BO408" s="487"/>
      <c r="BP408" s="487"/>
      <c r="BQ408" s="487"/>
      <c r="BR408" s="487"/>
      <c r="BS408" s="425"/>
      <c r="BT408" s="425"/>
      <c r="BU408" s="425"/>
      <c r="BV408" s="425"/>
      <c r="BW408" s="223"/>
    </row>
    <row r="409" spans="1:75" s="224" customFormat="1" hidden="1" outlineLevel="1" x14ac:dyDescent="0.5">
      <c r="A409" s="590" t="s">
        <v>1902</v>
      </c>
      <c r="B409" s="757"/>
      <c r="C409" s="425"/>
      <c r="D409" s="1125">
        <f>D403</f>
        <v>11</v>
      </c>
      <c r="E409" s="1125">
        <f>E403</f>
        <v>36</v>
      </c>
      <c r="F409" s="1125">
        <f>F403</f>
        <v>30</v>
      </c>
      <c r="G409" s="223">
        <f>G403+E403+D403+C403</f>
        <v>75</v>
      </c>
      <c r="H409" s="223">
        <f>H403+G403+E403+D403</f>
        <v>63</v>
      </c>
      <c r="I409" s="223">
        <f>I403+H403+G403+E403</f>
        <v>60</v>
      </c>
      <c r="J409" s="223">
        <f>J403+I403+H403+G403</f>
        <v>30</v>
      </c>
      <c r="K409" s="1125">
        <f>K403</f>
        <v>30</v>
      </c>
      <c r="L409" s="223">
        <f>L403+J403+I403+H403</f>
        <v>26</v>
      </c>
      <c r="M409" s="223">
        <f>M403+L403+J403+I403</f>
        <v>23</v>
      </c>
      <c r="N409" s="223">
        <f>N403+M403+L403+J403</f>
        <v>32</v>
      </c>
      <c r="O409" s="223">
        <f>O403+N403+M403+L403</f>
        <v>35</v>
      </c>
      <c r="P409" s="1125">
        <f>P403</f>
        <v>35</v>
      </c>
      <c r="Q409" s="223">
        <f>Q403+O403+N403+M403</f>
        <v>33</v>
      </c>
      <c r="R409" s="223">
        <f>R403+Q403+O403+N403</f>
        <v>42</v>
      </c>
      <c r="S409" s="223">
        <f>S403+R403+Q403+O403</f>
        <v>39</v>
      </c>
      <c r="T409" s="223">
        <f>T403+S403+R403+Q403</f>
        <v>34</v>
      </c>
      <c r="U409" s="1125">
        <f>U403</f>
        <v>34</v>
      </c>
      <c r="V409" s="223">
        <f>V403+T403+S403+R403</f>
        <v>36</v>
      </c>
      <c r="W409" s="223">
        <f>W403+V403+T403+S403</f>
        <v>29</v>
      </c>
      <c r="X409" s="223">
        <f>X403+W403+V403+T403</f>
        <v>27</v>
      </c>
      <c r="Y409" s="223">
        <f>Y403+X403+W403+V403</f>
        <v>29</v>
      </c>
      <c r="Z409" s="1125">
        <f>Z403</f>
        <v>29</v>
      </c>
      <c r="AA409" s="223">
        <f>AA403+Y403+X403+W403</f>
        <v>27</v>
      </c>
      <c r="AB409" s="223">
        <f>AB403+AA403+Y403+X403</f>
        <v>32</v>
      </c>
      <c r="AC409" s="223">
        <f>AC403+AB403+AA403+Y403</f>
        <v>27</v>
      </c>
      <c r="AD409" s="223">
        <f>AD403+AC403+AB403+AA403</f>
        <v>28</v>
      </c>
      <c r="AE409" s="1125">
        <f>AE403</f>
        <v>28</v>
      </c>
      <c r="AF409" s="223">
        <f>AF403+AD403+AC403+AB403</f>
        <v>26</v>
      </c>
      <c r="AG409" s="223">
        <f>AG403+AF403+AD403+AC403</f>
        <v>26</v>
      </c>
      <c r="AH409" s="223">
        <f>AH403+AG403+AF403+AD403</f>
        <v>22</v>
      </c>
      <c r="AI409" s="223">
        <f>AI403+AH403+AG403+AF403</f>
        <v>23</v>
      </c>
      <c r="AJ409" s="1125">
        <f>AJ403</f>
        <v>23</v>
      </c>
      <c r="AK409" s="223">
        <f>AK403+AI403+AH403+AG403</f>
        <v>23</v>
      </c>
      <c r="AL409" s="223">
        <f>AL403+AK403+AI403+AH403</f>
        <v>16</v>
      </c>
      <c r="AM409" s="223">
        <f>AM403+AL403+AK403+AI403</f>
        <v>16</v>
      </c>
      <c r="AN409" s="223">
        <f>AN403+AM403+AL403+AK403</f>
        <v>14</v>
      </c>
      <c r="AO409" s="1125">
        <f>AO403</f>
        <v>14</v>
      </c>
      <c r="AP409" s="223">
        <f>AP403+AN403+AM403+AL403</f>
        <v>14</v>
      </c>
      <c r="AQ409" s="223">
        <f>AQ403+AP403+AN403+AM403</f>
        <v>15</v>
      </c>
      <c r="AR409" s="223">
        <f>AR403+AQ403+AP403+AN403</f>
        <v>16</v>
      </c>
      <c r="AS409" s="223">
        <f>AS403+AR403+AQ403+AP403</f>
        <v>10</v>
      </c>
      <c r="AT409" s="1125">
        <f>AT403</f>
        <v>10</v>
      </c>
      <c r="AU409" s="223">
        <f>AU403+AS403+AR403+AQ403</f>
        <v>9</v>
      </c>
      <c r="AV409" s="223">
        <f>AV403+AU403+AS403+AR403</f>
        <v>12</v>
      </c>
      <c r="AW409" s="223">
        <f>AW403+AV403+AU403+AS403</f>
        <v>9</v>
      </c>
      <c r="AX409" s="223">
        <f>AX403+AW403+AV403+AU403</f>
        <v>12</v>
      </c>
      <c r="AY409" s="1125">
        <f>AY403</f>
        <v>12</v>
      </c>
      <c r="AZ409" s="223">
        <f>AZ403+AX403+AW403+AV403</f>
        <v>13</v>
      </c>
      <c r="BA409" s="223">
        <f>BA403+AZ403+AX403+AW403</f>
        <v>11</v>
      </c>
      <c r="BB409" s="223">
        <f>BB403+BA403+AZ403+AX403</f>
        <v>14</v>
      </c>
      <c r="BC409" s="223">
        <f>BC403+BB403+BA403+AZ403</f>
        <v>15</v>
      </c>
      <c r="BD409" s="1125">
        <f>BD403</f>
        <v>15</v>
      </c>
      <c r="BE409" s="223">
        <f>BA403+BB403+BC403+BE403</f>
        <v>15</v>
      </c>
      <c r="BF409" s="223">
        <f>BF403+BE403+BC403+BB403</f>
        <v>15</v>
      </c>
      <c r="BG409" s="223">
        <f>BG403+BF403+BE403+BC403</f>
        <v>15</v>
      </c>
      <c r="BH409" s="223">
        <f>BH403+BG403+BF403+BE403</f>
        <v>13</v>
      </c>
      <c r="BI409" s="1125">
        <f>BI403</f>
        <v>13</v>
      </c>
      <c r="BJ409" s="1169">
        <f>BF403+BG403+BH403+BJ403</f>
        <v>12</v>
      </c>
      <c r="BK409" s="487"/>
      <c r="BL409" s="487"/>
      <c r="BM409" s="487"/>
      <c r="BN409" s="425"/>
      <c r="BO409" s="487"/>
      <c r="BP409" s="487"/>
      <c r="BQ409" s="487"/>
      <c r="BR409" s="487"/>
      <c r="BS409" s="425"/>
      <c r="BT409" s="425"/>
      <c r="BU409" s="425"/>
      <c r="BV409" s="425"/>
      <c r="BW409" s="223"/>
    </row>
    <row r="410" spans="1:75" s="169" customFormat="1" ht="14.25" hidden="1" outlineLevel="1" x14ac:dyDescent="0.45">
      <c r="A410" s="1233"/>
      <c r="B410" s="761"/>
      <c r="C410" s="840"/>
      <c r="D410" s="840"/>
      <c r="E410" s="840"/>
      <c r="F410" s="840"/>
      <c r="G410" s="247"/>
      <c r="H410" s="247"/>
      <c r="I410" s="247"/>
      <c r="J410" s="247"/>
      <c r="K410" s="840"/>
      <c r="L410" s="247"/>
      <c r="M410" s="247"/>
      <c r="N410" s="247"/>
      <c r="O410" s="247"/>
      <c r="P410" s="840"/>
      <c r="Q410" s="247"/>
      <c r="R410" s="247"/>
      <c r="S410" s="247"/>
      <c r="T410" s="247"/>
      <c r="U410" s="840"/>
      <c r="V410" s="247"/>
      <c r="W410" s="247"/>
      <c r="X410" s="247"/>
      <c r="Y410" s="247"/>
      <c r="Z410" s="840"/>
      <c r="AA410" s="247"/>
      <c r="AB410" s="247"/>
      <c r="AC410" s="247"/>
      <c r="AD410" s="247"/>
      <c r="AE410" s="840"/>
      <c r="AF410" s="247"/>
      <c r="AG410" s="247"/>
      <c r="AH410" s="247"/>
      <c r="AI410" s="247"/>
      <c r="AJ410" s="840"/>
      <c r="AK410" s="247"/>
      <c r="AL410" s="247"/>
      <c r="AM410" s="247"/>
      <c r="AN410" s="247"/>
      <c r="AO410" s="840"/>
      <c r="AP410" s="247"/>
      <c r="AQ410" s="247"/>
      <c r="AR410" s="247"/>
      <c r="AS410" s="247"/>
      <c r="AT410" s="840"/>
      <c r="AU410" s="247"/>
      <c r="AV410" s="247"/>
      <c r="AW410" s="247"/>
      <c r="AX410" s="247"/>
      <c r="AY410" s="840"/>
      <c r="AZ410" s="247"/>
      <c r="BA410" s="247"/>
      <c r="BB410" s="247"/>
      <c r="BC410" s="247"/>
      <c r="BD410" s="840"/>
      <c r="BE410" s="247"/>
      <c r="BF410" s="247"/>
      <c r="BG410" s="247"/>
      <c r="BH410" s="247"/>
      <c r="BI410" s="840"/>
      <c r="BJ410" s="977"/>
      <c r="BK410" s="247"/>
      <c r="BL410" s="247"/>
      <c r="BM410" s="247"/>
      <c r="BN410" s="840"/>
      <c r="BO410" s="247"/>
      <c r="BP410" s="247"/>
      <c r="BQ410" s="247"/>
      <c r="BR410" s="247"/>
      <c r="BS410" s="840"/>
      <c r="BT410" s="840"/>
      <c r="BU410" s="840"/>
      <c r="BV410" s="840"/>
      <c r="BW410" s="168"/>
    </row>
    <row r="411" spans="1:75" s="169" customFormat="1" ht="14.25" hidden="1" outlineLevel="1" x14ac:dyDescent="0.45">
      <c r="A411" s="558" t="s">
        <v>1903</v>
      </c>
      <c r="B411" s="1121"/>
      <c r="C411" s="840"/>
      <c r="D411" s="840">
        <f>C413</f>
        <v>0</v>
      </c>
      <c r="E411" s="840">
        <f>D413</f>
        <v>6</v>
      </c>
      <c r="F411" s="1123">
        <f>E413</f>
        <v>13</v>
      </c>
      <c r="G411" s="247"/>
      <c r="H411" s="247"/>
      <c r="I411" s="247"/>
      <c r="J411" s="247"/>
      <c r="K411" s="1123">
        <f>F413</f>
        <v>23</v>
      </c>
      <c r="L411" s="247"/>
      <c r="M411" s="247"/>
      <c r="N411" s="247"/>
      <c r="O411" s="247"/>
      <c r="P411" s="1123">
        <f>K413</f>
        <v>27</v>
      </c>
      <c r="Q411" s="247"/>
      <c r="R411" s="247"/>
      <c r="S411" s="247"/>
      <c r="T411" s="247"/>
      <c r="U411" s="1123">
        <f>P413</f>
        <v>30</v>
      </c>
      <c r="V411" s="247"/>
      <c r="W411" s="247"/>
      <c r="X411" s="247"/>
      <c r="Y411" s="247"/>
      <c r="Z411" s="1123">
        <f>U413</f>
        <v>48</v>
      </c>
      <c r="AA411" s="247"/>
      <c r="AB411" s="247"/>
      <c r="AC411" s="247"/>
      <c r="AD411" s="247"/>
      <c r="AE411" s="1123">
        <f>Z413</f>
        <v>66</v>
      </c>
      <c r="AF411" s="247"/>
      <c r="AG411" s="247"/>
      <c r="AH411" s="247"/>
      <c r="AI411" s="247"/>
      <c r="AJ411" s="1123">
        <f>AE413</f>
        <v>93</v>
      </c>
      <c r="AK411" s="247"/>
      <c r="AL411" s="247"/>
      <c r="AM411" s="247"/>
      <c r="AN411" s="247"/>
      <c r="AO411" s="1123">
        <f>AJ413</f>
        <v>108</v>
      </c>
      <c r="AP411" s="247"/>
      <c r="AQ411" s="247"/>
      <c r="AR411" s="247"/>
      <c r="AS411" s="247"/>
      <c r="AT411" s="1123">
        <f>AO413</f>
        <v>129</v>
      </c>
      <c r="AU411" s="247"/>
      <c r="AV411" s="247"/>
      <c r="AW411" s="247"/>
      <c r="AX411" s="247"/>
      <c r="AY411" s="1123">
        <f>AT413</f>
        <v>136</v>
      </c>
      <c r="AZ411" s="247"/>
      <c r="BA411" s="247"/>
      <c r="BB411" s="247"/>
      <c r="BC411" s="247"/>
      <c r="BD411" s="1123">
        <f>AY413</f>
        <v>139</v>
      </c>
      <c r="BE411" s="247"/>
      <c r="BF411" s="247"/>
      <c r="BG411" s="247"/>
      <c r="BH411" s="247"/>
      <c r="BI411" s="840">
        <f>BD413</f>
        <v>138</v>
      </c>
      <c r="BJ411" s="977"/>
      <c r="BK411" s="247"/>
      <c r="BL411" s="247"/>
      <c r="BM411" s="247"/>
      <c r="BN411" s="840"/>
      <c r="BO411" s="247"/>
      <c r="BP411" s="247"/>
      <c r="BQ411" s="247"/>
      <c r="BR411" s="247"/>
      <c r="BS411" s="840"/>
      <c r="BT411" s="840"/>
      <c r="BU411" s="840"/>
      <c r="BV411" s="840"/>
      <c r="BW411" s="168"/>
    </row>
    <row r="412" spans="1:75" s="224" customFormat="1" hidden="1" outlineLevel="1" x14ac:dyDescent="0.5">
      <c r="A412" s="533" t="s">
        <v>1904</v>
      </c>
      <c r="B412" s="494"/>
      <c r="C412" s="425"/>
      <c r="D412" s="425">
        <f>D413-D411</f>
        <v>6</v>
      </c>
      <c r="E412" s="425">
        <f>E413-E411</f>
        <v>7</v>
      </c>
      <c r="F412" s="1125">
        <f>F413-F411</f>
        <v>10</v>
      </c>
      <c r="G412" s="487"/>
      <c r="H412" s="487"/>
      <c r="I412" s="487"/>
      <c r="J412" s="487"/>
      <c r="K412" s="1125">
        <f>K413-K411</f>
        <v>4</v>
      </c>
      <c r="L412" s="487"/>
      <c r="M412" s="487"/>
      <c r="N412" s="487"/>
      <c r="O412" s="487"/>
      <c r="P412" s="1125">
        <f>P413-P411</f>
        <v>3</v>
      </c>
      <c r="Q412" s="487"/>
      <c r="R412" s="487"/>
      <c r="S412" s="487"/>
      <c r="T412" s="487"/>
      <c r="U412" s="1125">
        <f>U413-U411</f>
        <v>18</v>
      </c>
      <c r="V412" s="487"/>
      <c r="W412" s="487"/>
      <c r="X412" s="487"/>
      <c r="Y412" s="487"/>
      <c r="Z412" s="1125">
        <f>Z413-Z411</f>
        <v>18</v>
      </c>
      <c r="AA412" s="487"/>
      <c r="AB412" s="487"/>
      <c r="AC412" s="487"/>
      <c r="AD412" s="487"/>
      <c r="AE412" s="1125">
        <f>AE413-AE411</f>
        <v>27</v>
      </c>
      <c r="AF412" s="487"/>
      <c r="AG412" s="487"/>
      <c r="AH412" s="487"/>
      <c r="AI412" s="487"/>
      <c r="AJ412" s="1125">
        <f>AJ413-AJ411</f>
        <v>15</v>
      </c>
      <c r="AK412" s="487"/>
      <c r="AL412" s="487"/>
      <c r="AM412" s="487"/>
      <c r="AN412" s="487"/>
      <c r="AO412" s="1125">
        <f>AO413-AO411</f>
        <v>21</v>
      </c>
      <c r="AP412" s="487"/>
      <c r="AQ412" s="487"/>
      <c r="AR412" s="487"/>
      <c r="AS412" s="487"/>
      <c r="AT412" s="425">
        <f>AT413-AT411</f>
        <v>7</v>
      </c>
      <c r="AU412" s="487"/>
      <c r="AV412" s="487"/>
      <c r="AW412" s="487"/>
      <c r="AX412" s="487"/>
      <c r="AY412" s="425">
        <f>AY413-AY411</f>
        <v>3</v>
      </c>
      <c r="AZ412" s="487"/>
      <c r="BA412" s="487"/>
      <c r="BB412" s="487"/>
      <c r="BC412" s="487"/>
      <c r="BD412" s="425">
        <f>BD413-BD411</f>
        <v>-1</v>
      </c>
      <c r="BE412" s="487"/>
      <c r="BF412" s="487"/>
      <c r="BG412" s="487"/>
      <c r="BH412" s="487"/>
      <c r="BI412" s="425">
        <f>BI413-BI411</f>
        <v>0</v>
      </c>
      <c r="BJ412" s="981"/>
      <c r="BK412" s="487"/>
      <c r="BL412" s="487"/>
      <c r="BM412" s="487"/>
      <c r="BN412" s="425"/>
      <c r="BO412" s="487"/>
      <c r="BP412" s="487"/>
      <c r="BQ412" s="487"/>
      <c r="BR412" s="487"/>
      <c r="BS412" s="425"/>
      <c r="BT412" s="425"/>
      <c r="BU412" s="425"/>
      <c r="BV412" s="425"/>
      <c r="BW412" s="223"/>
    </row>
    <row r="413" spans="1:75" s="169" customFormat="1" ht="14.25" hidden="1" outlineLevel="1" x14ac:dyDescent="0.45">
      <c r="A413" s="562" t="s">
        <v>1905</v>
      </c>
      <c r="B413" s="1127"/>
      <c r="C413" s="1128"/>
      <c r="D413" s="1234">
        <v>6</v>
      </c>
      <c r="E413" s="1234">
        <v>13</v>
      </c>
      <c r="F413" s="1234">
        <v>23</v>
      </c>
      <c r="G413" s="287"/>
      <c r="H413" s="287"/>
      <c r="I413" s="287"/>
      <c r="J413" s="287"/>
      <c r="K413" s="1234">
        <v>27</v>
      </c>
      <c r="L413" s="287"/>
      <c r="M413" s="287"/>
      <c r="N413" s="287"/>
      <c r="O413" s="287"/>
      <c r="P413" s="1234">
        <v>30</v>
      </c>
      <c r="Q413" s="287"/>
      <c r="R413" s="287"/>
      <c r="S413" s="287"/>
      <c r="T413" s="287"/>
      <c r="U413" s="1234">
        <v>48</v>
      </c>
      <c r="V413" s="287"/>
      <c r="W413" s="287"/>
      <c r="X413" s="287"/>
      <c r="Y413" s="287"/>
      <c r="Z413" s="1234">
        <v>66</v>
      </c>
      <c r="AA413" s="287"/>
      <c r="AB413" s="287"/>
      <c r="AC413" s="287"/>
      <c r="AD413" s="287"/>
      <c r="AE413" s="1234">
        <v>93</v>
      </c>
      <c r="AF413" s="287"/>
      <c r="AG413" s="287"/>
      <c r="AH413" s="287"/>
      <c r="AI413" s="287"/>
      <c r="AJ413" s="1234">
        <v>108</v>
      </c>
      <c r="AK413" s="287"/>
      <c r="AL413" s="287"/>
      <c r="AM413" s="287"/>
      <c r="AN413" s="287"/>
      <c r="AO413" s="1234">
        <v>129</v>
      </c>
      <c r="AP413" s="287"/>
      <c r="AQ413" s="287"/>
      <c r="AR413" s="287"/>
      <c r="AS413" s="287"/>
      <c r="AT413" s="1234">
        <v>136</v>
      </c>
      <c r="AU413" s="287"/>
      <c r="AV413" s="287"/>
      <c r="AW413" s="287"/>
      <c r="AX413" s="287"/>
      <c r="AY413" s="1234">
        <v>139</v>
      </c>
      <c r="AZ413" s="287"/>
      <c r="BA413" s="287"/>
      <c r="BB413" s="287"/>
      <c r="BC413" s="287"/>
      <c r="BD413" s="1234">
        <v>138</v>
      </c>
      <c r="BE413" s="287"/>
      <c r="BF413" s="287"/>
      <c r="BG413" s="287"/>
      <c r="BH413" s="287"/>
      <c r="BI413" s="1234">
        <v>138</v>
      </c>
      <c r="BJ413" s="1129"/>
      <c r="BK413" s="287"/>
      <c r="BL413" s="287"/>
      <c r="BM413" s="287"/>
      <c r="BN413" s="1128"/>
      <c r="BO413" s="287"/>
      <c r="BP413" s="287"/>
      <c r="BQ413" s="287"/>
      <c r="BR413" s="287"/>
      <c r="BS413" s="1128"/>
      <c r="BT413" s="1128"/>
      <c r="BU413" s="1128"/>
      <c r="BV413" s="1128"/>
      <c r="BW413" s="168"/>
    </row>
    <row r="414" spans="1:75" s="169" customFormat="1" ht="14.25" hidden="1" outlineLevel="1" x14ac:dyDescent="0.45">
      <c r="A414" s="163"/>
      <c r="B414" s="1121"/>
      <c r="C414" s="840"/>
      <c r="D414" s="840"/>
      <c r="E414" s="840"/>
      <c r="F414" s="840"/>
      <c r="G414" s="247"/>
      <c r="H414" s="247"/>
      <c r="I414" s="247"/>
      <c r="J414" s="247"/>
      <c r="K414" s="840"/>
      <c r="L414" s="247"/>
      <c r="M414" s="247"/>
      <c r="N414" s="247"/>
      <c r="O414" s="247"/>
      <c r="P414" s="840"/>
      <c r="Q414" s="247"/>
      <c r="R414" s="247"/>
      <c r="S414" s="247"/>
      <c r="T414" s="247"/>
      <c r="U414" s="840"/>
      <c r="V414" s="247"/>
      <c r="W414" s="247"/>
      <c r="X414" s="247"/>
      <c r="Y414" s="247"/>
      <c r="Z414" s="840"/>
      <c r="AA414" s="247"/>
      <c r="AB414" s="247"/>
      <c r="AC414" s="247"/>
      <c r="AD414" s="247"/>
      <c r="AE414" s="840"/>
      <c r="AF414" s="247"/>
      <c r="AG414" s="247"/>
      <c r="AH414" s="247"/>
      <c r="AI414" s="247"/>
      <c r="AJ414" s="840"/>
      <c r="AK414" s="247"/>
      <c r="AL414" s="247"/>
      <c r="AM414" s="247"/>
      <c r="AN414" s="247"/>
      <c r="AO414" s="840"/>
      <c r="AP414" s="247"/>
      <c r="AQ414" s="247"/>
      <c r="AR414" s="247"/>
      <c r="AS414" s="247"/>
      <c r="AT414" s="840"/>
      <c r="AU414" s="247"/>
      <c r="AV414" s="247"/>
      <c r="AW414" s="247"/>
      <c r="AX414" s="247"/>
      <c r="AY414" s="840"/>
      <c r="AZ414" s="247"/>
      <c r="BA414" s="247"/>
      <c r="BB414" s="247"/>
      <c r="BC414" s="247"/>
      <c r="BD414" s="840"/>
      <c r="BE414" s="247"/>
      <c r="BF414" s="247"/>
      <c r="BG414" s="247"/>
      <c r="BH414" s="247"/>
      <c r="BI414" s="840"/>
      <c r="BJ414" s="977"/>
      <c r="BK414" s="247"/>
      <c r="BL414" s="247"/>
      <c r="BM414" s="247"/>
      <c r="BN414" s="840"/>
      <c r="BO414" s="247"/>
      <c r="BP414" s="247"/>
      <c r="BQ414" s="247"/>
      <c r="BR414" s="247"/>
      <c r="BS414" s="840"/>
      <c r="BT414" s="840"/>
      <c r="BU414" s="840"/>
      <c r="BV414" s="840"/>
      <c r="BW414" s="168"/>
    </row>
    <row r="415" spans="1:75" s="169" customFormat="1" ht="14.25" hidden="1" outlineLevel="1" x14ac:dyDescent="0.45">
      <c r="A415" s="558" t="s">
        <v>1906</v>
      </c>
      <c r="B415" s="1121"/>
      <c r="C415" s="1123">
        <f>C402+C411</f>
        <v>627</v>
      </c>
      <c r="D415" s="1123">
        <f>C417</f>
        <v>610</v>
      </c>
      <c r="E415" s="1123">
        <f>D417</f>
        <v>598</v>
      </c>
      <c r="F415" s="1123">
        <f>E417</f>
        <v>589</v>
      </c>
      <c r="G415" s="247"/>
      <c r="H415" s="247"/>
      <c r="I415" s="247"/>
      <c r="J415" s="247"/>
      <c r="K415" s="1123">
        <f>F417</f>
        <v>604</v>
      </c>
      <c r="L415" s="247"/>
      <c r="M415" s="247"/>
      <c r="N415" s="247"/>
      <c r="O415" s="247"/>
      <c r="P415" s="1123">
        <f>K417</f>
        <v>612</v>
      </c>
      <c r="Q415" s="247"/>
      <c r="R415" s="247"/>
      <c r="S415" s="247"/>
      <c r="T415" s="247"/>
      <c r="U415" s="1123">
        <f>P417</f>
        <v>631</v>
      </c>
      <c r="V415" s="247"/>
      <c r="W415" s="247"/>
      <c r="X415" s="247"/>
      <c r="Y415" s="247"/>
      <c r="Z415" s="1123">
        <f>U417</f>
        <v>666</v>
      </c>
      <c r="AA415" s="247"/>
      <c r="AB415" s="247"/>
      <c r="AC415" s="247"/>
      <c r="AD415" s="247"/>
      <c r="AE415" s="1123">
        <f>Z417</f>
        <v>695</v>
      </c>
      <c r="AF415" s="247"/>
      <c r="AG415" s="247"/>
      <c r="AH415" s="247"/>
      <c r="AI415" s="247"/>
      <c r="AJ415" s="1123">
        <f>AE417</f>
        <v>724</v>
      </c>
      <c r="AK415" s="247"/>
      <c r="AL415" s="247"/>
      <c r="AM415" s="247"/>
      <c r="AN415" s="247"/>
      <c r="AO415" s="1123">
        <f>AJ417</f>
        <v>733</v>
      </c>
      <c r="AP415" s="247"/>
      <c r="AQ415" s="247"/>
      <c r="AR415" s="247"/>
      <c r="AS415" s="247"/>
      <c r="AT415" s="1123">
        <f>AO417</f>
        <v>743</v>
      </c>
      <c r="AU415" s="247"/>
      <c r="AV415" s="247"/>
      <c r="AW415" s="247"/>
      <c r="AX415" s="247"/>
      <c r="AY415" s="1123">
        <f>AT417</f>
        <v>717</v>
      </c>
      <c r="AZ415" s="247"/>
      <c r="BA415" s="247"/>
      <c r="BB415" s="247"/>
      <c r="BC415" s="247"/>
      <c r="BD415" s="1123">
        <f>AY417</f>
        <v>683</v>
      </c>
      <c r="BE415" s="247"/>
      <c r="BF415" s="247"/>
      <c r="BG415" s="247"/>
      <c r="BH415" s="247"/>
      <c r="BI415" s="840">
        <f>BD417</f>
        <v>668</v>
      </c>
      <c r="BJ415" s="977"/>
      <c r="BK415" s="247"/>
      <c r="BL415" s="247"/>
      <c r="BM415" s="247"/>
      <c r="BN415" s="840"/>
      <c r="BO415" s="247"/>
      <c r="BP415" s="247"/>
      <c r="BQ415" s="247"/>
      <c r="BR415" s="247"/>
      <c r="BS415" s="840"/>
      <c r="BT415" s="840"/>
      <c r="BU415" s="840"/>
      <c r="BV415" s="840"/>
      <c r="BW415" s="168"/>
    </row>
    <row r="416" spans="1:75" s="224" customFormat="1" hidden="1" outlineLevel="1" x14ac:dyDescent="0.5">
      <c r="A416" s="533" t="s">
        <v>1907</v>
      </c>
      <c r="B416" s="494"/>
      <c r="C416" s="1125">
        <f>C417-C415</f>
        <v>-17</v>
      </c>
      <c r="D416" s="1125">
        <f>D417-D415</f>
        <v>-12</v>
      </c>
      <c r="E416" s="1125">
        <f>E417-E415</f>
        <v>-9</v>
      </c>
      <c r="F416" s="1125">
        <f>F417-F415</f>
        <v>15</v>
      </c>
      <c r="G416" s="487"/>
      <c r="H416" s="487"/>
      <c r="I416" s="487"/>
      <c r="J416" s="487"/>
      <c r="K416" s="1125">
        <f>K417-K415</f>
        <v>8</v>
      </c>
      <c r="L416" s="487"/>
      <c r="M416" s="487"/>
      <c r="N416" s="487"/>
      <c r="O416" s="487"/>
      <c r="P416" s="1125">
        <f>P417-P415</f>
        <v>19</v>
      </c>
      <c r="Q416" s="487"/>
      <c r="R416" s="487"/>
      <c r="S416" s="487"/>
      <c r="T416" s="487"/>
      <c r="U416" s="1125">
        <f>U417-U415</f>
        <v>35</v>
      </c>
      <c r="V416" s="487"/>
      <c r="W416" s="487"/>
      <c r="X416" s="487"/>
      <c r="Y416" s="487"/>
      <c r="Z416" s="1125">
        <f>Z417-Z415</f>
        <v>29</v>
      </c>
      <c r="AA416" s="487"/>
      <c r="AB416" s="487"/>
      <c r="AC416" s="487"/>
      <c r="AD416" s="487"/>
      <c r="AE416" s="1125">
        <f>AE417-AE415</f>
        <v>29</v>
      </c>
      <c r="AF416" s="487"/>
      <c r="AG416" s="487"/>
      <c r="AH416" s="487"/>
      <c r="AI416" s="487"/>
      <c r="AJ416" s="1125">
        <f>AJ417-AJ415</f>
        <v>9</v>
      </c>
      <c r="AK416" s="487"/>
      <c r="AL416" s="487"/>
      <c r="AM416" s="487"/>
      <c r="AN416" s="487"/>
      <c r="AO416" s="1125">
        <f>AO417-AO415</f>
        <v>10</v>
      </c>
      <c r="AP416" s="487"/>
      <c r="AQ416" s="487"/>
      <c r="AR416" s="487"/>
      <c r="AS416" s="487"/>
      <c r="AT416" s="425">
        <f>AT417-AT415</f>
        <v>-26</v>
      </c>
      <c r="AU416" s="487"/>
      <c r="AV416" s="487"/>
      <c r="AW416" s="487"/>
      <c r="AX416" s="487"/>
      <c r="AY416" s="425">
        <f>AY417-AY415</f>
        <v>-34</v>
      </c>
      <c r="AZ416" s="487"/>
      <c r="BA416" s="487"/>
      <c r="BB416" s="487"/>
      <c r="BC416" s="487"/>
      <c r="BD416" s="425">
        <f>BD417-BD415</f>
        <v>-15</v>
      </c>
      <c r="BE416" s="487"/>
      <c r="BF416" s="487"/>
      <c r="BG416" s="487"/>
      <c r="BH416" s="487"/>
      <c r="BI416" s="425">
        <f>BI417-BI415</f>
        <v>-12</v>
      </c>
      <c r="BJ416" s="981"/>
      <c r="BK416" s="487"/>
      <c r="BL416" s="487"/>
      <c r="BM416" s="487"/>
      <c r="BN416" s="425"/>
      <c r="BO416" s="487"/>
      <c r="BP416" s="487"/>
      <c r="BQ416" s="487"/>
      <c r="BR416" s="487"/>
      <c r="BS416" s="425"/>
      <c r="BT416" s="425"/>
      <c r="BU416" s="425"/>
      <c r="BV416" s="425"/>
      <c r="BW416" s="223"/>
    </row>
    <row r="417" spans="1:75" s="169" customFormat="1" ht="14.25" hidden="1" outlineLevel="1" x14ac:dyDescent="0.45">
      <c r="A417" s="562" t="s">
        <v>1908</v>
      </c>
      <c r="B417" s="1127"/>
      <c r="C417" s="1165">
        <f>C405+C413</f>
        <v>610</v>
      </c>
      <c r="D417" s="1165">
        <f>D405+D413</f>
        <v>598</v>
      </c>
      <c r="E417" s="1165">
        <f>E405+E413</f>
        <v>589</v>
      </c>
      <c r="F417" s="1165">
        <f>F405+F413</f>
        <v>604</v>
      </c>
      <c r="G417" s="287"/>
      <c r="H417" s="287"/>
      <c r="I417" s="287"/>
      <c r="J417" s="287"/>
      <c r="K417" s="1165">
        <f>K405+K413</f>
        <v>612</v>
      </c>
      <c r="L417" s="287"/>
      <c r="M417" s="287"/>
      <c r="N417" s="287"/>
      <c r="O417" s="287"/>
      <c r="P417" s="1165">
        <f>P405+P413</f>
        <v>631</v>
      </c>
      <c r="Q417" s="287"/>
      <c r="R417" s="287"/>
      <c r="S417" s="287"/>
      <c r="T417" s="287"/>
      <c r="U417" s="1165">
        <f>U405+U413</f>
        <v>666</v>
      </c>
      <c r="V417" s="287"/>
      <c r="W417" s="287"/>
      <c r="X417" s="287"/>
      <c r="Y417" s="287"/>
      <c r="Z417" s="1165">
        <f>Z405+Z413</f>
        <v>695</v>
      </c>
      <c r="AA417" s="287"/>
      <c r="AB417" s="287"/>
      <c r="AC417" s="287"/>
      <c r="AD417" s="287"/>
      <c r="AE417" s="1165">
        <f>AE405+AE413</f>
        <v>724</v>
      </c>
      <c r="AF417" s="287"/>
      <c r="AG417" s="287"/>
      <c r="AH417" s="287"/>
      <c r="AI417" s="287"/>
      <c r="AJ417" s="1165">
        <f>AJ405+AJ413</f>
        <v>733</v>
      </c>
      <c r="AK417" s="287"/>
      <c r="AL417" s="287"/>
      <c r="AM417" s="287"/>
      <c r="AN417" s="287"/>
      <c r="AO417" s="1165">
        <f>AO405+AO413</f>
        <v>743</v>
      </c>
      <c r="AP417" s="287"/>
      <c r="AQ417" s="287"/>
      <c r="AR417" s="287"/>
      <c r="AS417" s="287"/>
      <c r="AT417" s="1128">
        <f>AT405+AT413</f>
        <v>717</v>
      </c>
      <c r="AU417" s="287"/>
      <c r="AV417" s="287"/>
      <c r="AW417" s="287"/>
      <c r="AX417" s="287"/>
      <c r="AY417" s="1128">
        <f>AY405+AY413</f>
        <v>683</v>
      </c>
      <c r="AZ417" s="287"/>
      <c r="BA417" s="287"/>
      <c r="BB417" s="287"/>
      <c r="BC417" s="287"/>
      <c r="BD417" s="1128">
        <f>BD405+BD413</f>
        <v>668</v>
      </c>
      <c r="BE417" s="287"/>
      <c r="BF417" s="287"/>
      <c r="BG417" s="287"/>
      <c r="BH417" s="287"/>
      <c r="BI417" s="1128">
        <f>BI405+BI413</f>
        <v>656</v>
      </c>
      <c r="BJ417" s="1129"/>
      <c r="BK417" s="287"/>
      <c r="BL417" s="287"/>
      <c r="BM417" s="287"/>
      <c r="BN417" s="1128"/>
      <c r="BO417" s="287"/>
      <c r="BP417" s="287"/>
      <c r="BQ417" s="287"/>
      <c r="BR417" s="287"/>
      <c r="BS417" s="1128"/>
      <c r="BT417" s="1128"/>
      <c r="BU417" s="1128"/>
      <c r="BV417" s="1128"/>
      <c r="BW417" s="168"/>
    </row>
    <row r="418" spans="1:75" s="169" customFormat="1" ht="14.25" hidden="1" outlineLevel="1" x14ac:dyDescent="0.45">
      <c r="A418" s="163"/>
      <c r="B418" s="1121"/>
      <c r="C418" s="840"/>
      <c r="D418" s="840"/>
      <c r="E418" s="840"/>
      <c r="F418" s="840"/>
      <c r="G418" s="247"/>
      <c r="H418" s="247"/>
      <c r="I418" s="247"/>
      <c r="J418" s="247"/>
      <c r="K418" s="840"/>
      <c r="L418" s="247"/>
      <c r="M418" s="247"/>
      <c r="N418" s="247"/>
      <c r="O418" s="247"/>
      <c r="P418" s="840"/>
      <c r="Q418" s="247"/>
      <c r="R418" s="247"/>
      <c r="S418" s="247"/>
      <c r="T418" s="247"/>
      <c r="U418" s="840"/>
      <c r="V418" s="247"/>
      <c r="W418" s="247"/>
      <c r="X418" s="247"/>
      <c r="Y418" s="247"/>
      <c r="Z418" s="840"/>
      <c r="AA418" s="247"/>
      <c r="AB418" s="247"/>
      <c r="AC418" s="247"/>
      <c r="AD418" s="247"/>
      <c r="AE418" s="840"/>
      <c r="AF418" s="247"/>
      <c r="AG418" s="247"/>
      <c r="AH418" s="247"/>
      <c r="AI418" s="247"/>
      <c r="AJ418" s="840"/>
      <c r="AK418" s="247"/>
      <c r="AL418" s="247"/>
      <c r="AM418" s="247"/>
      <c r="AN418" s="247"/>
      <c r="AO418" s="840"/>
      <c r="AP418" s="247"/>
      <c r="AQ418" s="247"/>
      <c r="AR418" s="247"/>
      <c r="AS418" s="247"/>
      <c r="AT418" s="840"/>
      <c r="AU418" s="247"/>
      <c r="AV418" s="247"/>
      <c r="AW418" s="247"/>
      <c r="AX418" s="247"/>
      <c r="AY418" s="840"/>
      <c r="AZ418" s="247"/>
      <c r="BA418" s="247"/>
      <c r="BB418" s="247"/>
      <c r="BC418" s="247"/>
      <c r="BD418" s="840"/>
      <c r="BE418" s="247"/>
      <c r="BF418" s="247"/>
      <c r="BG418" s="247"/>
      <c r="BH418" s="247"/>
      <c r="BI418" s="840"/>
      <c r="BJ418" s="977"/>
      <c r="BK418" s="247"/>
      <c r="BL418" s="247"/>
      <c r="BM418" s="247"/>
      <c r="BN418" s="840"/>
      <c r="BO418" s="247"/>
      <c r="BP418" s="247"/>
      <c r="BQ418" s="247"/>
      <c r="BR418" s="247"/>
      <c r="BS418" s="840"/>
      <c r="BT418" s="840"/>
      <c r="BU418" s="840"/>
      <c r="BV418" s="840"/>
      <c r="BW418" s="168"/>
    </row>
    <row r="419" spans="1:75" s="573" customFormat="1" ht="14.25" hidden="1" outlineLevel="1" x14ac:dyDescent="0.45">
      <c r="A419" s="1235" t="s">
        <v>1909</v>
      </c>
      <c r="B419" s="1236"/>
      <c r="C419" s="1237">
        <f t="shared" ref="C419:BH419" si="810">(C30-C27)/C405*1000</f>
        <v>5033.7622950819677</v>
      </c>
      <c r="D419" s="1237">
        <f t="shared" si="810"/>
        <v>5848.5354729729725</v>
      </c>
      <c r="E419" s="1237">
        <f t="shared" si="810"/>
        <v>6362.9982638888887</v>
      </c>
      <c r="F419" s="1237">
        <f t="shared" si="810"/>
        <v>6783.8244406196218</v>
      </c>
      <c r="G419" s="569">
        <f t="shared" si="810"/>
        <v>1512.449744463373</v>
      </c>
      <c r="H419" s="569">
        <f t="shared" si="810"/>
        <v>1664.7610169491525</v>
      </c>
      <c r="I419" s="569">
        <f t="shared" si="810"/>
        <v>1767.3075630252101</v>
      </c>
      <c r="J419" s="569">
        <f t="shared" si="810"/>
        <v>2506.5367521367521</v>
      </c>
      <c r="K419" s="1237">
        <f t="shared" si="810"/>
        <v>7289.5076923076922</v>
      </c>
      <c r="L419" s="569">
        <f t="shared" si="810"/>
        <v>1654.2105263157896</v>
      </c>
      <c r="M419" s="569">
        <f t="shared" si="810"/>
        <v>1764.1799660441429</v>
      </c>
      <c r="N419" s="569">
        <f t="shared" si="810"/>
        <v>1895.7910447761194</v>
      </c>
      <c r="O419" s="569">
        <f t="shared" si="810"/>
        <v>2565.9317803660565</v>
      </c>
      <c r="P419" s="1237">
        <f t="shared" si="810"/>
        <v>7606.1014975041599</v>
      </c>
      <c r="Q419" s="569">
        <f t="shared" si="810"/>
        <v>1709.2470978441127</v>
      </c>
      <c r="R419" s="569">
        <f t="shared" si="810"/>
        <v>1841.5490196078433</v>
      </c>
      <c r="S419" s="569">
        <f t="shared" si="810"/>
        <v>1977.6597110754417</v>
      </c>
      <c r="T419" s="569">
        <f t="shared" si="810"/>
        <v>2566.8349514563106</v>
      </c>
      <c r="U419" s="1237">
        <f t="shared" si="810"/>
        <v>7738.6262135922334</v>
      </c>
      <c r="V419" s="569">
        <f t="shared" si="810"/>
        <v>1759.3221153846155</v>
      </c>
      <c r="W419" s="569">
        <f t="shared" si="810"/>
        <v>1851.4840255591055</v>
      </c>
      <c r="X419" s="569">
        <f t="shared" si="810"/>
        <v>1961.2362204724409</v>
      </c>
      <c r="Y419" s="569">
        <f t="shared" si="810"/>
        <v>2514.43720190779</v>
      </c>
      <c r="Z419" s="1237">
        <f t="shared" si="810"/>
        <v>7744.3227344992047</v>
      </c>
      <c r="AA419" s="569">
        <f t="shared" si="810"/>
        <v>1769.9156050955417</v>
      </c>
      <c r="AB419" s="569">
        <f t="shared" si="810"/>
        <v>1892.2929133858268</v>
      </c>
      <c r="AC419" s="569">
        <f t="shared" si="810"/>
        <v>2042.9811320754716</v>
      </c>
      <c r="AD419" s="569">
        <f t="shared" si="810"/>
        <v>2662.2979397781301</v>
      </c>
      <c r="AE419" s="1237">
        <f t="shared" si="810"/>
        <v>8024.6323296354994</v>
      </c>
      <c r="AF419" s="569">
        <f t="shared" si="810"/>
        <v>1826.3062200956938</v>
      </c>
      <c r="AG419" s="569">
        <f t="shared" si="810"/>
        <v>1925.0917721518986</v>
      </c>
      <c r="AH419" s="569">
        <f t="shared" si="810"/>
        <v>2059.7709320695103</v>
      </c>
      <c r="AI419" s="569">
        <f t="shared" si="810"/>
        <v>2810.5151999999994</v>
      </c>
      <c r="AJ419" s="1237">
        <f t="shared" si="810"/>
        <v>8675.4543999999987</v>
      </c>
      <c r="AK419" s="569">
        <f t="shared" si="810"/>
        <v>1877.6784</v>
      </c>
      <c r="AL419" s="569">
        <f t="shared" si="810"/>
        <v>2089.3226324237562</v>
      </c>
      <c r="AM419" s="569">
        <f t="shared" si="810"/>
        <v>2205.8626198083066</v>
      </c>
      <c r="AN419" s="569">
        <f t="shared" si="810"/>
        <v>2875.8892508143326</v>
      </c>
      <c r="AO419" s="1237">
        <f t="shared" si="810"/>
        <v>9156.1286644951142</v>
      </c>
      <c r="AP419" s="569">
        <f t="shared" si="810"/>
        <v>1920.2905844155841</v>
      </c>
      <c r="AQ419" s="569">
        <f t="shared" si="810"/>
        <v>2317.5048859934859</v>
      </c>
      <c r="AR419" s="569">
        <f t="shared" si="810"/>
        <v>2762.7214983713357</v>
      </c>
      <c r="AS419" s="569">
        <f t="shared" si="810"/>
        <v>3771.3235800344241</v>
      </c>
      <c r="AT419" s="1238">
        <f t="shared" si="810"/>
        <v>11176.070567986231</v>
      </c>
      <c r="AU419" s="569">
        <f t="shared" si="810"/>
        <v>2868.5916955017301</v>
      </c>
      <c r="AV419" s="569">
        <f t="shared" si="810"/>
        <v>3169.2788296041304</v>
      </c>
      <c r="AW419" s="569">
        <f t="shared" si="810"/>
        <v>3391.9896013864818</v>
      </c>
      <c r="AX419" s="569">
        <f t="shared" si="810"/>
        <v>4383.0955882352937</v>
      </c>
      <c r="AY419" s="1238">
        <f t="shared" si="810"/>
        <v>14413.564338235294</v>
      </c>
      <c r="AZ419" s="569">
        <f t="shared" si="810"/>
        <v>3284.638532110092</v>
      </c>
      <c r="BA419" s="569">
        <f t="shared" si="810"/>
        <v>3699.2637362637361</v>
      </c>
      <c r="BB419" s="569">
        <f t="shared" si="810"/>
        <v>3831.4058500914075</v>
      </c>
      <c r="BC419" s="569">
        <f t="shared" si="810"/>
        <v>4429.3113207547167</v>
      </c>
      <c r="BD419" s="1238">
        <f t="shared" si="810"/>
        <v>15572.150943396226</v>
      </c>
      <c r="BE419" s="569">
        <f t="shared" si="810"/>
        <v>3155.8361581920904</v>
      </c>
      <c r="BF419" s="569">
        <f t="shared" si="810"/>
        <v>3328.7857142857147</v>
      </c>
      <c r="BG419" s="569">
        <f t="shared" si="810"/>
        <v>3326.3752345215762</v>
      </c>
      <c r="BH419" s="569">
        <f t="shared" si="810"/>
        <v>4173.4980694980686</v>
      </c>
      <c r="BI419" s="1238">
        <f>(BI30-BI27)/BI405*1000</f>
        <v>14249.986486486487</v>
      </c>
      <c r="BJ419" s="1239">
        <f>(BJ30-BJ27)/BJ405*1000</f>
        <v>3032.272727272727</v>
      </c>
      <c r="BK419" s="569">
        <f t="shared" ref="BK419:BV419" si="811">(BK30-BK27)/BK405*1000</f>
        <v>3416.3437937457352</v>
      </c>
      <c r="BL419" s="569">
        <f t="shared" si="811"/>
        <v>3431.1086222278095</v>
      </c>
      <c r="BM419" s="569">
        <f t="shared" si="811"/>
        <v>4476.7881003180737</v>
      </c>
      <c r="BN419" s="1238">
        <f t="shared" si="811"/>
        <v>14509.864644685436</v>
      </c>
      <c r="BO419" s="569">
        <f t="shared" si="811"/>
        <v>3275.2293543882788</v>
      </c>
      <c r="BP419" s="569">
        <f t="shared" si="811"/>
        <v>3686.72691627319</v>
      </c>
      <c r="BQ419" s="569">
        <f t="shared" si="811"/>
        <v>3688.130002895221</v>
      </c>
      <c r="BR419" s="569">
        <f t="shared" si="811"/>
        <v>4517.8917497326929</v>
      </c>
      <c r="BS419" s="1238">
        <f t="shared" si="811"/>
        <v>15338.835053134835</v>
      </c>
      <c r="BT419" s="1238">
        <f t="shared" si="811"/>
        <v>16684.872526741547</v>
      </c>
      <c r="BU419" s="1238">
        <f t="shared" si="811"/>
        <v>18285.426313257802</v>
      </c>
      <c r="BV419" s="1238">
        <f t="shared" si="811"/>
        <v>20051.088245524526</v>
      </c>
      <c r="BW419" s="572"/>
    </row>
    <row r="420" spans="1:75" s="177" customFormat="1" ht="14.25" hidden="1" outlineLevel="1" x14ac:dyDescent="0.45">
      <c r="A420" s="564" t="s">
        <v>1910</v>
      </c>
      <c r="B420" s="491"/>
      <c r="C420" s="417"/>
      <c r="D420" s="1168">
        <f>D419/C419-1</f>
        <v>0.1618616712765808</v>
      </c>
      <c r="E420" s="1168">
        <f>E419/D419-1</f>
        <v>8.796437899596099E-2</v>
      </c>
      <c r="F420" s="1168">
        <f>F419/E419-1</f>
        <v>6.6136459461099362E-2</v>
      </c>
      <c r="G420" s="378"/>
      <c r="H420" s="378"/>
      <c r="I420" s="378"/>
      <c r="J420" s="378"/>
      <c r="K420" s="1168">
        <f>K419/F419-1</f>
        <v>7.4542502701010704E-2</v>
      </c>
      <c r="L420" s="378">
        <f t="shared" ref="L420:BS420" si="812">L419/G419-1</f>
        <v>9.37292510851091E-2</v>
      </c>
      <c r="M420" s="378">
        <f t="shared" si="812"/>
        <v>5.9719652300115778E-2</v>
      </c>
      <c r="N420" s="378">
        <f t="shared" si="812"/>
        <v>7.2700125568962104E-2</v>
      </c>
      <c r="O420" s="378">
        <f t="shared" si="812"/>
        <v>2.3696053201163636E-2</v>
      </c>
      <c r="P420" s="1168">
        <f t="shared" si="812"/>
        <v>4.3431438522323784E-2</v>
      </c>
      <c r="Q420" s="378">
        <f t="shared" si="812"/>
        <v>3.3270596851356693E-2</v>
      </c>
      <c r="R420" s="378">
        <f t="shared" si="812"/>
        <v>4.3855533478926567E-2</v>
      </c>
      <c r="S420" s="378">
        <f t="shared" si="812"/>
        <v>4.3184435607981575E-2</v>
      </c>
      <c r="T420" s="378">
        <f t="shared" si="812"/>
        <v>3.5198562064864269E-4</v>
      </c>
      <c r="U420" s="1168">
        <f t="shared" si="812"/>
        <v>1.7423474579133513E-2</v>
      </c>
      <c r="V420" s="378">
        <f t="shared" si="812"/>
        <v>2.9296535067201646E-2</v>
      </c>
      <c r="W420" s="378">
        <f t="shared" si="812"/>
        <v>5.3949179986410023E-3</v>
      </c>
      <c r="X420" s="378">
        <f t="shared" si="812"/>
        <v>-8.3045078539167871E-3</v>
      </c>
      <c r="Y420" s="378">
        <f t="shared" si="812"/>
        <v>-2.0413369203498011E-2</v>
      </c>
      <c r="Z420" s="1168">
        <f t="shared" si="812"/>
        <v>7.3611526771588665E-4</v>
      </c>
      <c r="AA420" s="378">
        <f t="shared" si="812"/>
        <v>6.0213474373396192E-3</v>
      </c>
      <c r="AB420" s="378">
        <f t="shared" si="812"/>
        <v>2.2041177381694199E-2</v>
      </c>
      <c r="AC420" s="378">
        <f t="shared" si="812"/>
        <v>4.1680298757351686E-2</v>
      </c>
      <c r="AD420" s="378">
        <f t="shared" si="812"/>
        <v>5.8804704988517198E-2</v>
      </c>
      <c r="AE420" s="1168">
        <f t="shared" si="812"/>
        <v>3.6195495041493997E-2</v>
      </c>
      <c r="AF420" s="378">
        <f t="shared" si="812"/>
        <v>3.1860623657876674E-2</v>
      </c>
      <c r="AG420" s="378">
        <f t="shared" si="812"/>
        <v>1.7332865611902504E-2</v>
      </c>
      <c r="AH420" s="378">
        <f t="shared" si="812"/>
        <v>8.2182844131222232E-3</v>
      </c>
      <c r="AI420" s="378">
        <f t="shared" si="812"/>
        <v>5.5672679607835951E-2</v>
      </c>
      <c r="AJ420" s="1168">
        <f t="shared" si="812"/>
        <v>8.1103039196072535E-2</v>
      </c>
      <c r="AK420" s="378">
        <f t="shared" si="812"/>
        <v>2.8129006701633319E-2</v>
      </c>
      <c r="AL420" s="378">
        <f t="shared" si="812"/>
        <v>8.5310665521300288E-2</v>
      </c>
      <c r="AM420" s="378">
        <f t="shared" si="812"/>
        <v>7.0926181870143212E-2</v>
      </c>
      <c r="AN420" s="378">
        <f t="shared" si="812"/>
        <v>2.3260522061696376E-2</v>
      </c>
      <c r="AO420" s="1168">
        <f t="shared" si="812"/>
        <v>5.540623491665353E-2</v>
      </c>
      <c r="AP420" s="378">
        <f t="shared" si="812"/>
        <v>2.269408031512965E-2</v>
      </c>
      <c r="AQ420" s="378">
        <f t="shared" si="812"/>
        <v>0.10921350777932415</v>
      </c>
      <c r="AR420" s="378">
        <f t="shared" si="812"/>
        <v>0.25244494990872157</v>
      </c>
      <c r="AS420" s="378">
        <f t="shared" si="812"/>
        <v>0.31135911404326211</v>
      </c>
      <c r="AT420" s="417">
        <f t="shared" si="812"/>
        <v>0.22061091292042256</v>
      </c>
      <c r="AU420" s="378">
        <f t="shared" si="812"/>
        <v>0.49383208915475119</v>
      </c>
      <c r="AV420" s="378">
        <f t="shared" si="812"/>
        <v>0.36753922235874792</v>
      </c>
      <c r="AW420" s="378">
        <f t="shared" si="812"/>
        <v>0.2277710957786041</v>
      </c>
      <c r="AX420" s="378">
        <f t="shared" si="812"/>
        <v>0.16221679079451601</v>
      </c>
      <c r="AY420" s="417">
        <f t="shared" si="812"/>
        <v>0.28968086328327591</v>
      </c>
      <c r="AZ420" s="378">
        <f t="shared" si="812"/>
        <v>0.14503522312386585</v>
      </c>
      <c r="BA420" s="378">
        <f t="shared" si="812"/>
        <v>0.16722571132241004</v>
      </c>
      <c r="BB420" s="378">
        <f t="shared" si="812"/>
        <v>0.12954528177955305</v>
      </c>
      <c r="BC420" s="378">
        <f t="shared" si="812"/>
        <v>1.0544085016870541E-2</v>
      </c>
      <c r="BD420" s="417">
        <f t="shared" si="812"/>
        <v>8.0381686165406974E-2</v>
      </c>
      <c r="BE420" s="378">
        <f t="shared" si="812"/>
        <v>-3.9213561144963327E-2</v>
      </c>
      <c r="BF420" s="378">
        <f t="shared" si="812"/>
        <v>-0.10014912382327323</v>
      </c>
      <c r="BG420" s="378">
        <f t="shared" si="812"/>
        <v>-0.13181339574291839</v>
      </c>
      <c r="BH420" s="378">
        <f t="shared" si="812"/>
        <v>-5.7754633334976213E-2</v>
      </c>
      <c r="BI420" s="417">
        <f t="shared" si="812"/>
        <v>-8.490570517301832E-2</v>
      </c>
      <c r="BJ420" s="1130">
        <f>BJ419/BE419-1</f>
        <v>-3.9153943590706008E-2</v>
      </c>
      <c r="BK420" s="378">
        <f t="shared" si="812"/>
        <v>2.6303309066804337E-2</v>
      </c>
      <c r="BL420" s="378">
        <f t="shared" si="812"/>
        <v>3.1485740580105226E-2</v>
      </c>
      <c r="BM420" s="378">
        <f t="shared" si="812"/>
        <v>7.2670461509637407E-2</v>
      </c>
      <c r="BN420" s="417">
        <f t="shared" si="812"/>
        <v>1.823708102778876E-2</v>
      </c>
      <c r="BO420" s="378">
        <f t="shared" si="812"/>
        <v>8.0123606603839548E-2</v>
      </c>
      <c r="BP420" s="378">
        <f t="shared" si="812"/>
        <v>7.9144002726670104E-2</v>
      </c>
      <c r="BQ420" s="378">
        <f t="shared" si="812"/>
        <v>7.4909135491177725E-2</v>
      </c>
      <c r="BR420" s="378">
        <f t="shared" si="812"/>
        <v>9.1815043494460902E-3</v>
      </c>
      <c r="BS420" s="417">
        <f t="shared" si="812"/>
        <v>5.7131505272382199E-2</v>
      </c>
      <c r="BT420" s="417">
        <f>BT419/BS419-1</f>
        <v>8.7753565961426583E-2</v>
      </c>
      <c r="BU420" s="417">
        <f>BU419/BT419-1</f>
        <v>9.5928439606055127E-2</v>
      </c>
      <c r="BV420" s="417">
        <f>BV419/BU419-1</f>
        <v>9.6561157613620274E-2</v>
      </c>
      <c r="BW420" s="176"/>
    </row>
    <row r="421" spans="1:75" s="169" customFormat="1" ht="14.25" collapsed="1" x14ac:dyDescent="0.45">
      <c r="A421" s="163"/>
      <c r="B421" s="1121"/>
      <c r="C421" s="840"/>
      <c r="D421" s="840"/>
      <c r="E421" s="840"/>
      <c r="F421" s="840"/>
      <c r="G421" s="247"/>
      <c r="H421" s="247"/>
      <c r="I421" s="247"/>
      <c r="J421" s="247"/>
      <c r="K421" s="840"/>
      <c r="L421" s="247"/>
      <c r="M421" s="247"/>
      <c r="N421" s="247"/>
      <c r="O421" s="247"/>
      <c r="P421" s="840"/>
      <c r="Q421" s="247"/>
      <c r="R421" s="247"/>
      <c r="S421" s="247"/>
      <c r="T421" s="247"/>
      <c r="U421" s="840"/>
      <c r="V421" s="247"/>
      <c r="W421" s="247"/>
      <c r="X421" s="247"/>
      <c r="Y421" s="247"/>
      <c r="Z421" s="840"/>
      <c r="AA421" s="247"/>
      <c r="AB421" s="247"/>
      <c r="AC421" s="247"/>
      <c r="AD421" s="247"/>
      <c r="AE421" s="840"/>
      <c r="AF421" s="247"/>
      <c r="AG421" s="247"/>
      <c r="AH421" s="247"/>
      <c r="AI421" s="247"/>
      <c r="AJ421" s="840"/>
      <c r="AK421" s="247"/>
      <c r="AL421" s="247"/>
      <c r="AM421" s="247"/>
      <c r="AN421" s="247"/>
      <c r="AO421" s="840"/>
      <c r="AP421" s="247"/>
      <c r="AQ421" s="247"/>
      <c r="AR421" s="247"/>
      <c r="AS421" s="247"/>
      <c r="AT421" s="840"/>
      <c r="AU421" s="247"/>
      <c r="AV421" s="247"/>
      <c r="AW421" s="247"/>
      <c r="AX421" s="247"/>
      <c r="AY421" s="840"/>
      <c r="AZ421" s="247"/>
      <c r="BA421" s="247"/>
      <c r="BB421" s="247"/>
      <c r="BC421" s="247"/>
      <c r="BD421" s="840"/>
      <c r="BE421" s="247"/>
      <c r="BF421" s="247"/>
      <c r="BG421" s="247"/>
      <c r="BH421" s="247"/>
      <c r="BI421" s="840"/>
      <c r="BJ421" s="977"/>
      <c r="BK421" s="247"/>
      <c r="BL421" s="247"/>
      <c r="BM421" s="247"/>
      <c r="BN421" s="840"/>
      <c r="BO421" s="247"/>
      <c r="BP421" s="247"/>
      <c r="BQ421" s="247"/>
      <c r="BR421" s="247"/>
      <c r="BS421" s="840"/>
      <c r="BT421" s="840"/>
      <c r="BU421" s="840"/>
      <c r="BV421" s="840"/>
      <c r="BW421" s="168"/>
    </row>
    <row r="422" spans="1:75" s="198" customFormat="1" ht="14.25" x14ac:dyDescent="0.45">
      <c r="A422" s="239" t="s">
        <v>1911</v>
      </c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  <c r="AA422" s="239"/>
      <c r="AB422" s="239"/>
      <c r="AC422" s="239"/>
      <c r="AD422" s="239"/>
      <c r="AE422" s="239"/>
      <c r="AF422" s="239"/>
      <c r="AG422" s="239"/>
      <c r="AH422" s="239"/>
      <c r="AI422" s="239"/>
      <c r="AJ422" s="239"/>
      <c r="AK422" s="239"/>
      <c r="AL422" s="239"/>
      <c r="AM422" s="239"/>
      <c r="AN422" s="239"/>
      <c r="AO422" s="239"/>
      <c r="AP422" s="239"/>
      <c r="AQ422" s="239"/>
      <c r="AR422" s="239"/>
      <c r="AS422" s="239"/>
      <c r="AT422" s="239"/>
      <c r="AU422" s="239"/>
      <c r="AV422" s="239"/>
      <c r="AW422" s="239"/>
      <c r="AX422" s="239"/>
      <c r="AY422" s="239"/>
      <c r="AZ422" s="239"/>
      <c r="BA422" s="239"/>
      <c r="BB422" s="239"/>
      <c r="BC422" s="239"/>
      <c r="BD422" s="239"/>
      <c r="BE422" s="239"/>
      <c r="BF422" s="239"/>
      <c r="BG422" s="239"/>
      <c r="BH422" s="239"/>
      <c r="BI422" s="239"/>
      <c r="BJ422" s="241"/>
      <c r="BK422" s="239"/>
      <c r="BL422" s="239"/>
      <c r="BM422" s="239"/>
      <c r="BN422" s="239"/>
      <c r="BO422" s="239"/>
      <c r="BP422" s="239"/>
      <c r="BQ422" s="239"/>
      <c r="BR422" s="239"/>
      <c r="BS422" s="239"/>
      <c r="BT422" s="239"/>
      <c r="BU422" s="239"/>
      <c r="BV422" s="239"/>
      <c r="BW422" s="197"/>
    </row>
    <row r="423" spans="1:75" s="169" customFormat="1" ht="14.25" hidden="1" outlineLevel="1" x14ac:dyDescent="0.45">
      <c r="A423" s="558" t="s">
        <v>1912</v>
      </c>
      <c r="B423" s="761"/>
      <c r="C423" s="1122">
        <v>6148</v>
      </c>
      <c r="D423" s="1123">
        <f t="shared" ref="D423:J423" si="813">C425</f>
        <v>6081</v>
      </c>
      <c r="E423" s="1123">
        <f t="shared" si="813"/>
        <v>5831</v>
      </c>
      <c r="F423" s="1123">
        <f t="shared" si="813"/>
        <v>5743</v>
      </c>
      <c r="G423" s="168">
        <f t="shared" si="813"/>
        <v>5778</v>
      </c>
      <c r="H423" s="168">
        <f t="shared" si="813"/>
        <v>5840</v>
      </c>
      <c r="I423" s="168">
        <f t="shared" si="813"/>
        <v>5863</v>
      </c>
      <c r="J423" s="168">
        <f t="shared" si="813"/>
        <v>5908</v>
      </c>
      <c r="K423" s="1123">
        <f>F425</f>
        <v>5778</v>
      </c>
      <c r="L423" s="168">
        <f>K425</f>
        <v>5838</v>
      </c>
      <c r="M423" s="168">
        <f>L425</f>
        <v>5850</v>
      </c>
      <c r="N423" s="168">
        <f>M425</f>
        <v>5843</v>
      </c>
      <c r="O423" s="168">
        <f>N425</f>
        <v>5988</v>
      </c>
      <c r="P423" s="1123">
        <f>K425</f>
        <v>5838</v>
      </c>
      <c r="Q423" s="168">
        <f>P425</f>
        <v>5965</v>
      </c>
      <c r="R423" s="168">
        <f>Q425</f>
        <v>5998</v>
      </c>
      <c r="S423" s="168">
        <f>R425</f>
        <v>6088</v>
      </c>
      <c r="T423" s="168">
        <f>S425</f>
        <v>6188</v>
      </c>
      <c r="U423" s="1123">
        <f>P425</f>
        <v>5965</v>
      </c>
      <c r="V423" s="168">
        <f>U425</f>
        <v>6163</v>
      </c>
      <c r="W423" s="168">
        <f>V425</f>
        <v>6218</v>
      </c>
      <c r="X423" s="168">
        <f>W425</f>
        <v>6262</v>
      </c>
      <c r="Y423" s="168">
        <f>X425</f>
        <v>6381</v>
      </c>
      <c r="Z423" s="1123">
        <f>U425</f>
        <v>6163</v>
      </c>
      <c r="AA423" s="168">
        <f>Z425</f>
        <v>6359</v>
      </c>
      <c r="AB423" s="168">
        <f>AA425</f>
        <v>6341</v>
      </c>
      <c r="AC423" s="168">
        <f>AB425</f>
        <v>6428</v>
      </c>
      <c r="AD423" s="168">
        <f>AC425</f>
        <v>6468</v>
      </c>
      <c r="AE423" s="1123">
        <f>Z425</f>
        <v>6359</v>
      </c>
      <c r="AF423" s="168">
        <f>AE425</f>
        <v>6451</v>
      </c>
      <c r="AG423" s="168">
        <f>AF425</f>
        <v>6441</v>
      </c>
      <c r="AH423" s="168">
        <f>AG425</f>
        <v>6504</v>
      </c>
      <c r="AI423" s="168">
        <f>AH425</f>
        <v>6551</v>
      </c>
      <c r="AJ423" s="1123">
        <f>AE425</f>
        <v>6451</v>
      </c>
      <c r="AK423" s="168">
        <f>AJ425</f>
        <v>6557</v>
      </c>
      <c r="AL423" s="168">
        <f>AK425</f>
        <v>6549</v>
      </c>
      <c r="AM423" s="168">
        <f>AL425</f>
        <v>6587</v>
      </c>
      <c r="AN423" s="168">
        <f>AM425</f>
        <v>6622</v>
      </c>
      <c r="AO423" s="1123">
        <f>AJ425</f>
        <v>6557</v>
      </c>
      <c r="AP423" s="168">
        <f>AO425</f>
        <v>6558</v>
      </c>
      <c r="AQ423" s="168">
        <f>AP425</f>
        <v>6580</v>
      </c>
      <c r="AR423" s="168">
        <f>AQ425</f>
        <v>6571</v>
      </c>
      <c r="AS423" s="247">
        <f>AR425</f>
        <v>6569</v>
      </c>
      <c r="AT423" s="840">
        <f>AO425</f>
        <v>6558</v>
      </c>
      <c r="AU423" s="168">
        <f>AT425</f>
        <v>6301</v>
      </c>
      <c r="AV423" s="247">
        <f>AU425</f>
        <v>6289</v>
      </c>
      <c r="AW423" s="247">
        <f>AV425</f>
        <v>6319</v>
      </c>
      <c r="AX423" s="247">
        <f>AW425</f>
        <v>6263</v>
      </c>
      <c r="AY423" s="840">
        <f>AT425</f>
        <v>6301</v>
      </c>
      <c r="AZ423" s="247">
        <f>AY425</f>
        <v>6004</v>
      </c>
      <c r="BA423" s="247">
        <f>AZ425</f>
        <v>6006</v>
      </c>
      <c r="BB423" s="247">
        <f>BA425</f>
        <v>6044</v>
      </c>
      <c r="BC423" s="247">
        <f>BB425</f>
        <v>6088</v>
      </c>
      <c r="BD423" s="840">
        <f>AY425</f>
        <v>6004</v>
      </c>
      <c r="BE423" s="247">
        <f>BD425</f>
        <v>5962</v>
      </c>
      <c r="BF423" s="247">
        <f>BE425</f>
        <v>5974</v>
      </c>
      <c r="BG423" s="247">
        <f>BF425</f>
        <v>6036</v>
      </c>
      <c r="BH423" s="247">
        <f>BG425</f>
        <v>6061</v>
      </c>
      <c r="BI423" s="840">
        <f>BD425</f>
        <v>5962</v>
      </c>
      <c r="BJ423" s="977">
        <f>BI425</f>
        <v>5890</v>
      </c>
      <c r="BK423" s="247">
        <f>BJ425</f>
        <v>5901</v>
      </c>
      <c r="BL423" s="247">
        <f>BK425</f>
        <v>5868.7432996273646</v>
      </c>
      <c r="BM423" s="247">
        <f>BL425</f>
        <v>5828.3611681410666</v>
      </c>
      <c r="BN423" s="840">
        <f>BI425</f>
        <v>5890</v>
      </c>
      <c r="BO423" s="247">
        <f>BN425</f>
        <v>5787.9876059850376</v>
      </c>
      <c r="BP423" s="247">
        <f>BO425</f>
        <v>5747.7349890063706</v>
      </c>
      <c r="BQ423" s="247">
        <f>BP425</f>
        <v>5707.2077216202069</v>
      </c>
      <c r="BR423" s="247">
        <f>BQ425</f>
        <v>5666.6442384887869</v>
      </c>
      <c r="BS423" s="840">
        <f>BN425</f>
        <v>5787.9876059850376</v>
      </c>
      <c r="BT423" s="840">
        <f>BS425</f>
        <v>5626.0443252434561</v>
      </c>
      <c r="BU423" s="840">
        <f>BT425</f>
        <v>5545.5717564281595</v>
      </c>
      <c r="BV423" s="840">
        <f>BU425</f>
        <v>5464.7330043444272</v>
      </c>
      <c r="BW423" s="168"/>
    </row>
    <row r="424" spans="1:75" s="224" customFormat="1" hidden="1" outlineLevel="1" x14ac:dyDescent="0.5">
      <c r="A424" s="533" t="s">
        <v>1913</v>
      </c>
      <c r="B424" s="757"/>
      <c r="C424" s="1125">
        <f t="shared" ref="C424:BN424" si="814">C425-C423</f>
        <v>-67</v>
      </c>
      <c r="D424" s="1125">
        <f t="shared" si="814"/>
        <v>-250</v>
      </c>
      <c r="E424" s="1125">
        <f t="shared" si="814"/>
        <v>-88</v>
      </c>
      <c r="F424" s="1125">
        <f t="shared" si="814"/>
        <v>35</v>
      </c>
      <c r="G424" s="223">
        <f t="shared" si="814"/>
        <v>62</v>
      </c>
      <c r="H424" s="223">
        <f t="shared" si="814"/>
        <v>23</v>
      </c>
      <c r="I424" s="223">
        <f t="shared" si="814"/>
        <v>45</v>
      </c>
      <c r="J424" s="223">
        <f t="shared" si="814"/>
        <v>-70</v>
      </c>
      <c r="K424" s="1125">
        <f t="shared" si="814"/>
        <v>60</v>
      </c>
      <c r="L424" s="223">
        <f t="shared" si="814"/>
        <v>12</v>
      </c>
      <c r="M424" s="223">
        <f t="shared" si="814"/>
        <v>-7</v>
      </c>
      <c r="N424" s="223">
        <f t="shared" si="814"/>
        <v>145</v>
      </c>
      <c r="O424" s="223">
        <f t="shared" si="814"/>
        <v>-23</v>
      </c>
      <c r="P424" s="1125">
        <f t="shared" si="814"/>
        <v>127</v>
      </c>
      <c r="Q424" s="223">
        <f t="shared" si="814"/>
        <v>33</v>
      </c>
      <c r="R424" s="223">
        <f t="shared" si="814"/>
        <v>90</v>
      </c>
      <c r="S424" s="223">
        <f t="shared" si="814"/>
        <v>100</v>
      </c>
      <c r="T424" s="223">
        <f t="shared" si="814"/>
        <v>-25</v>
      </c>
      <c r="U424" s="1125">
        <f t="shared" si="814"/>
        <v>198</v>
      </c>
      <c r="V424" s="223">
        <f t="shared" si="814"/>
        <v>55</v>
      </c>
      <c r="W424" s="223">
        <f t="shared" si="814"/>
        <v>44</v>
      </c>
      <c r="X424" s="223">
        <f t="shared" si="814"/>
        <v>119</v>
      </c>
      <c r="Y424" s="223">
        <f t="shared" si="814"/>
        <v>-22</v>
      </c>
      <c r="Z424" s="1125">
        <f t="shared" si="814"/>
        <v>196</v>
      </c>
      <c r="AA424" s="223">
        <f t="shared" si="814"/>
        <v>-18</v>
      </c>
      <c r="AB424" s="223">
        <f t="shared" si="814"/>
        <v>87</v>
      </c>
      <c r="AC424" s="223">
        <f t="shared" si="814"/>
        <v>40</v>
      </c>
      <c r="AD424" s="223">
        <f t="shared" si="814"/>
        <v>-17</v>
      </c>
      <c r="AE424" s="1125">
        <f t="shared" si="814"/>
        <v>92</v>
      </c>
      <c r="AF424" s="223">
        <f t="shared" si="814"/>
        <v>-10</v>
      </c>
      <c r="AG424" s="223">
        <f t="shared" si="814"/>
        <v>63</v>
      </c>
      <c r="AH424" s="223">
        <f t="shared" si="814"/>
        <v>47</v>
      </c>
      <c r="AI424" s="223">
        <f t="shared" si="814"/>
        <v>6</v>
      </c>
      <c r="AJ424" s="1125">
        <f t="shared" si="814"/>
        <v>106</v>
      </c>
      <c r="AK424" s="223">
        <f t="shared" si="814"/>
        <v>-8</v>
      </c>
      <c r="AL424" s="223">
        <f t="shared" si="814"/>
        <v>38</v>
      </c>
      <c r="AM424" s="223">
        <f t="shared" si="814"/>
        <v>35</v>
      </c>
      <c r="AN424" s="223">
        <f t="shared" si="814"/>
        <v>-64</v>
      </c>
      <c r="AO424" s="1125">
        <f t="shared" si="814"/>
        <v>1</v>
      </c>
      <c r="AP424" s="223">
        <f t="shared" si="814"/>
        <v>22</v>
      </c>
      <c r="AQ424" s="223">
        <f t="shared" si="814"/>
        <v>-9</v>
      </c>
      <c r="AR424" s="223">
        <f t="shared" si="814"/>
        <v>-2</v>
      </c>
      <c r="AS424" s="487">
        <f t="shared" si="814"/>
        <v>-268</v>
      </c>
      <c r="AT424" s="425">
        <f t="shared" si="814"/>
        <v>-257</v>
      </c>
      <c r="AU424" s="223">
        <f t="shared" si="814"/>
        <v>-12</v>
      </c>
      <c r="AV424" s="487">
        <f t="shared" si="814"/>
        <v>30</v>
      </c>
      <c r="AW424" s="487">
        <f t="shared" si="814"/>
        <v>-56</v>
      </c>
      <c r="AX424" s="487">
        <f t="shared" si="814"/>
        <v>-259</v>
      </c>
      <c r="AY424" s="425">
        <f t="shared" si="814"/>
        <v>-297</v>
      </c>
      <c r="AZ424" s="487">
        <f t="shared" si="814"/>
        <v>2</v>
      </c>
      <c r="BA424" s="487">
        <f t="shared" si="814"/>
        <v>38</v>
      </c>
      <c r="BB424" s="487">
        <f t="shared" si="814"/>
        <v>44</v>
      </c>
      <c r="BC424" s="487">
        <f t="shared" si="814"/>
        <v>-126</v>
      </c>
      <c r="BD424" s="425">
        <f t="shared" si="814"/>
        <v>-42</v>
      </c>
      <c r="BE424" s="487">
        <f t="shared" si="814"/>
        <v>12</v>
      </c>
      <c r="BF424" s="487">
        <f t="shared" si="814"/>
        <v>62</v>
      </c>
      <c r="BG424" s="487">
        <f t="shared" si="814"/>
        <v>25</v>
      </c>
      <c r="BH424" s="487">
        <f t="shared" si="814"/>
        <v>-171</v>
      </c>
      <c r="BI424" s="425">
        <f t="shared" si="814"/>
        <v>-72</v>
      </c>
      <c r="BJ424" s="981">
        <f>BJ425-BJ423</f>
        <v>11</v>
      </c>
      <c r="BK424" s="487">
        <f t="shared" si="814"/>
        <v>-32.256700372635351</v>
      </c>
      <c r="BL424" s="487">
        <f t="shared" si="814"/>
        <v>-40.382131486298022</v>
      </c>
      <c r="BM424" s="487">
        <f t="shared" si="814"/>
        <v>-40.373562156029038</v>
      </c>
      <c r="BN424" s="425">
        <f t="shared" si="814"/>
        <v>-102.01239401496241</v>
      </c>
      <c r="BO424" s="487">
        <f t="shared" ref="BO424:CE424" si="815">BO425-BO423</f>
        <v>-40.252616978666993</v>
      </c>
      <c r="BP424" s="487">
        <f t="shared" si="815"/>
        <v>-40.527267386163658</v>
      </c>
      <c r="BQ424" s="487">
        <f t="shared" si="815"/>
        <v>-40.563483131420071</v>
      </c>
      <c r="BR424" s="487">
        <f t="shared" si="815"/>
        <v>-40.599913245331663</v>
      </c>
      <c r="BS424" s="425">
        <f t="shared" si="815"/>
        <v>-161.94328074158148</v>
      </c>
      <c r="BT424" s="425">
        <f t="shared" si="815"/>
        <v>-80.472568815296654</v>
      </c>
      <c r="BU424" s="425">
        <f t="shared" si="815"/>
        <v>-80.838752083732288</v>
      </c>
      <c r="BV424" s="425">
        <f t="shared" si="815"/>
        <v>-81.243172676984614</v>
      </c>
      <c r="BW424" s="223"/>
    </row>
    <row r="425" spans="1:75" s="169" customFormat="1" ht="14.25" hidden="1" outlineLevel="1" x14ac:dyDescent="0.45">
      <c r="A425" s="562" t="s">
        <v>1914</v>
      </c>
      <c r="B425" s="1232"/>
      <c r="C425" s="1234">
        <v>6081</v>
      </c>
      <c r="D425" s="1234">
        <v>5831</v>
      </c>
      <c r="E425" s="1234">
        <v>5743</v>
      </c>
      <c r="F425" s="1234">
        <v>5778</v>
      </c>
      <c r="G425" s="371">
        <v>5840</v>
      </c>
      <c r="H425" s="371">
        <v>5863</v>
      </c>
      <c r="I425" s="371">
        <v>5908</v>
      </c>
      <c r="J425" s="287">
        <f>K425</f>
        <v>5838</v>
      </c>
      <c r="K425" s="1234">
        <v>5838</v>
      </c>
      <c r="L425" s="371">
        <v>5850</v>
      </c>
      <c r="M425" s="371">
        <v>5843</v>
      </c>
      <c r="N425" s="371">
        <v>5988</v>
      </c>
      <c r="O425" s="287">
        <f>P425</f>
        <v>5965</v>
      </c>
      <c r="P425" s="1234">
        <v>5965</v>
      </c>
      <c r="Q425" s="371">
        <v>5998</v>
      </c>
      <c r="R425" s="371">
        <v>6088</v>
      </c>
      <c r="S425" s="371">
        <v>6188</v>
      </c>
      <c r="T425" s="287">
        <f>U425</f>
        <v>6163</v>
      </c>
      <c r="U425" s="1234">
        <v>6163</v>
      </c>
      <c r="V425" s="371">
        <v>6218</v>
      </c>
      <c r="W425" s="371">
        <v>6262</v>
      </c>
      <c r="X425" s="371">
        <v>6381</v>
      </c>
      <c r="Y425" s="287">
        <f>Z425</f>
        <v>6359</v>
      </c>
      <c r="Z425" s="1234">
        <v>6359</v>
      </c>
      <c r="AA425" s="371">
        <v>6341</v>
      </c>
      <c r="AB425" s="371">
        <v>6428</v>
      </c>
      <c r="AC425" s="371">
        <v>6468</v>
      </c>
      <c r="AD425" s="287">
        <f>AE425</f>
        <v>6451</v>
      </c>
      <c r="AE425" s="1234">
        <v>6451</v>
      </c>
      <c r="AF425" s="371">
        <v>6441</v>
      </c>
      <c r="AG425" s="371">
        <v>6504</v>
      </c>
      <c r="AH425" s="371">
        <v>6551</v>
      </c>
      <c r="AI425" s="287">
        <f>AJ425</f>
        <v>6557</v>
      </c>
      <c r="AJ425" s="1234">
        <v>6557</v>
      </c>
      <c r="AK425" s="371">
        <v>6549</v>
      </c>
      <c r="AL425" s="371">
        <v>6587</v>
      </c>
      <c r="AM425" s="371">
        <v>6622</v>
      </c>
      <c r="AN425" s="287">
        <f>AO425</f>
        <v>6558</v>
      </c>
      <c r="AO425" s="1234">
        <v>6558</v>
      </c>
      <c r="AP425" s="371">
        <v>6580</v>
      </c>
      <c r="AQ425" s="371">
        <v>6571</v>
      </c>
      <c r="AR425" s="371">
        <v>6569</v>
      </c>
      <c r="AS425" s="287">
        <f>AT425</f>
        <v>6301</v>
      </c>
      <c r="AT425" s="1234">
        <v>6301</v>
      </c>
      <c r="AU425" s="371">
        <v>6289</v>
      </c>
      <c r="AV425" s="371">
        <v>6319</v>
      </c>
      <c r="AW425" s="371">
        <v>6263</v>
      </c>
      <c r="AX425" s="287">
        <f>AY425</f>
        <v>6004</v>
      </c>
      <c r="AY425" s="1234">
        <v>6004</v>
      </c>
      <c r="AZ425" s="371">
        <v>6006</v>
      </c>
      <c r="BA425" s="371">
        <v>6044</v>
      </c>
      <c r="BB425" s="371">
        <v>6088</v>
      </c>
      <c r="BC425" s="287">
        <f>BD425</f>
        <v>5962</v>
      </c>
      <c r="BD425" s="1234">
        <v>5962</v>
      </c>
      <c r="BE425" s="371">
        <v>5974</v>
      </c>
      <c r="BF425" s="371">
        <v>6036</v>
      </c>
      <c r="BG425" s="371">
        <v>6061</v>
      </c>
      <c r="BH425" s="287">
        <f>BI425</f>
        <v>5890</v>
      </c>
      <c r="BI425" s="1234">
        <v>5890</v>
      </c>
      <c r="BJ425" s="1240">
        <v>5901</v>
      </c>
      <c r="BK425" s="287">
        <f t="shared" ref="BK425:BV425" si="816">BK76+BK132+BK188+BK236+BK259</f>
        <v>5868.7432996273646</v>
      </c>
      <c r="BL425" s="287">
        <f t="shared" si="816"/>
        <v>5828.3611681410666</v>
      </c>
      <c r="BM425" s="287">
        <f t="shared" si="816"/>
        <v>5787.9876059850376</v>
      </c>
      <c r="BN425" s="1128">
        <f t="shared" si="816"/>
        <v>5787.9876059850376</v>
      </c>
      <c r="BO425" s="287">
        <f t="shared" si="816"/>
        <v>5747.7349890063706</v>
      </c>
      <c r="BP425" s="287">
        <f t="shared" si="816"/>
        <v>5707.2077216202069</v>
      </c>
      <c r="BQ425" s="287">
        <f t="shared" si="816"/>
        <v>5666.6442384887869</v>
      </c>
      <c r="BR425" s="287">
        <f t="shared" si="816"/>
        <v>5626.0443252434552</v>
      </c>
      <c r="BS425" s="1128">
        <f t="shared" si="816"/>
        <v>5626.0443252434561</v>
      </c>
      <c r="BT425" s="1128">
        <f t="shared" si="816"/>
        <v>5545.5717564281595</v>
      </c>
      <c r="BU425" s="1128">
        <f t="shared" si="816"/>
        <v>5464.7330043444272</v>
      </c>
      <c r="BV425" s="1128">
        <f t="shared" si="816"/>
        <v>5383.4898316674426</v>
      </c>
      <c r="BW425" s="168"/>
    </row>
    <row r="426" spans="1:75" s="169" customFormat="1" ht="14.25" hidden="1" outlineLevel="1" x14ac:dyDescent="0.45">
      <c r="A426" s="558" t="s">
        <v>1915</v>
      </c>
      <c r="B426" s="761"/>
      <c r="C426" s="1123">
        <f t="shared" ref="C426:J426" si="817">AVERAGE(C425,C423)</f>
        <v>6114.5</v>
      </c>
      <c r="D426" s="1123">
        <f t="shared" si="817"/>
        <v>5956</v>
      </c>
      <c r="E426" s="1123">
        <f t="shared" si="817"/>
        <v>5787</v>
      </c>
      <c r="F426" s="1123">
        <f t="shared" si="817"/>
        <v>5760.5</v>
      </c>
      <c r="G426" s="168">
        <f t="shared" si="817"/>
        <v>5809</v>
      </c>
      <c r="H426" s="168">
        <f t="shared" si="817"/>
        <v>5851.5</v>
      </c>
      <c r="I426" s="168">
        <f t="shared" si="817"/>
        <v>5885.5</v>
      </c>
      <c r="J426" s="247">
        <f t="shared" si="817"/>
        <v>5873</v>
      </c>
      <c r="K426" s="1123">
        <f>SUM(G426*G$3,H426*H$3,I426*I$3,J426*J$3)/K$3</f>
        <v>5854.75</v>
      </c>
      <c r="L426" s="168">
        <f t="shared" ref="L426:O426" si="818">AVERAGE(L425,L423)</f>
        <v>5844</v>
      </c>
      <c r="M426" s="168">
        <f t="shared" si="818"/>
        <v>5846.5</v>
      </c>
      <c r="N426" s="168">
        <f t="shared" si="818"/>
        <v>5915.5</v>
      </c>
      <c r="O426" s="247">
        <f t="shared" si="818"/>
        <v>5976.5</v>
      </c>
      <c r="P426" s="1123">
        <f>SUM(L426*L$3,M426*M$3,N426*N$3,O426*O$3)/P$3</f>
        <v>5895.625</v>
      </c>
      <c r="Q426" s="168">
        <f t="shared" ref="Q426:T426" si="819">AVERAGE(Q425,Q423)</f>
        <v>5981.5</v>
      </c>
      <c r="R426" s="168">
        <f t="shared" si="819"/>
        <v>6043</v>
      </c>
      <c r="S426" s="168">
        <f t="shared" si="819"/>
        <v>6138</v>
      </c>
      <c r="T426" s="247">
        <f t="shared" si="819"/>
        <v>6175.5</v>
      </c>
      <c r="U426" s="1123">
        <f>SUM(Q426*Q$3,R426*R$3,S426*S$3,T426*T$3)/U$3</f>
        <v>6084.5</v>
      </c>
      <c r="V426" s="168">
        <f t="shared" ref="V426:Y426" si="820">AVERAGE(V425,V423)</f>
        <v>6190.5</v>
      </c>
      <c r="W426" s="168">
        <f t="shared" si="820"/>
        <v>6240</v>
      </c>
      <c r="X426" s="168">
        <f t="shared" si="820"/>
        <v>6321.5</v>
      </c>
      <c r="Y426" s="247">
        <f t="shared" si="820"/>
        <v>6370</v>
      </c>
      <c r="Z426" s="1123">
        <f>SUM(V426*V$3,W426*W$3,X426*X$3,Y426*Y$3)/Z$3</f>
        <v>6280.5</v>
      </c>
      <c r="AA426" s="168">
        <f t="shared" ref="AA426:AD426" si="821">AVERAGE(AA425,AA423)</f>
        <v>6350</v>
      </c>
      <c r="AB426" s="168">
        <f t="shared" si="821"/>
        <v>6384.5</v>
      </c>
      <c r="AC426" s="168">
        <f t="shared" si="821"/>
        <v>6448</v>
      </c>
      <c r="AD426" s="247">
        <f t="shared" si="821"/>
        <v>6459.5</v>
      </c>
      <c r="AE426" s="1123">
        <f>SUM(AA426*AA$3,AB426*AB$3,AC426*AC$3,AD426*AD$3)/AE$3</f>
        <v>6410.5</v>
      </c>
      <c r="AF426" s="168">
        <f t="shared" ref="AF426:AI426" si="822">AVERAGE(AF425,AF423)</f>
        <v>6446</v>
      </c>
      <c r="AG426" s="168">
        <f t="shared" si="822"/>
        <v>6472.5</v>
      </c>
      <c r="AH426" s="168">
        <f t="shared" si="822"/>
        <v>6527.5</v>
      </c>
      <c r="AI426" s="247">
        <f t="shared" si="822"/>
        <v>6554</v>
      </c>
      <c r="AJ426" s="1123">
        <f>SUM(AF426*AF$3,AG426*AG$3,AH426*AH$3,AI426*AI$3)/AJ$3</f>
        <v>6501.0188679245284</v>
      </c>
      <c r="AK426" s="168">
        <f t="shared" ref="AK426:AN426" si="823">AVERAGE(AK425,AK423)</f>
        <v>6553</v>
      </c>
      <c r="AL426" s="168">
        <f t="shared" si="823"/>
        <v>6568</v>
      </c>
      <c r="AM426" s="168">
        <f t="shared" si="823"/>
        <v>6604.5</v>
      </c>
      <c r="AN426" s="247">
        <f t="shared" si="823"/>
        <v>6590</v>
      </c>
      <c r="AO426" s="1123">
        <f>SUM(AK426*AK$3,AL426*AL$3,AM426*AM$3,AN426*AN$3)/AO$3</f>
        <v>6578.875</v>
      </c>
      <c r="AP426" s="168">
        <f t="shared" ref="AP426:AS426" si="824">AVERAGE(AP425,AP423)</f>
        <v>6569</v>
      </c>
      <c r="AQ426" s="168">
        <f t="shared" si="824"/>
        <v>6575.5</v>
      </c>
      <c r="AR426" s="168">
        <f t="shared" si="824"/>
        <v>6570</v>
      </c>
      <c r="AS426" s="247">
        <f t="shared" si="824"/>
        <v>6435</v>
      </c>
      <c r="AT426" s="840">
        <f>SUM(AP426*AP$3,AQ426*AQ$3,AR426*AR$3,AS426*AS$3)/AT$3</f>
        <v>6537.375</v>
      </c>
      <c r="AU426" s="168">
        <f t="shared" ref="AU426:AX426" si="825">AVERAGE(AU425,AU423)</f>
        <v>6295</v>
      </c>
      <c r="AV426" s="247">
        <f t="shared" si="825"/>
        <v>6304</v>
      </c>
      <c r="AW426" s="247">
        <f t="shared" si="825"/>
        <v>6291</v>
      </c>
      <c r="AX426" s="247">
        <f t="shared" si="825"/>
        <v>6133.5</v>
      </c>
      <c r="AY426" s="840">
        <f>SUM(AU426*AU$3,AV426*AV$3,AW426*AW$3,AX426*AX$3)/AY$3</f>
        <v>6255.875</v>
      </c>
      <c r="AZ426" s="247">
        <f t="shared" ref="AZ426:BC426" si="826">AVERAGE(AZ425,AZ423)</f>
        <v>6005</v>
      </c>
      <c r="BA426" s="247">
        <f t="shared" si="826"/>
        <v>6025</v>
      </c>
      <c r="BB426" s="247">
        <f t="shared" si="826"/>
        <v>6066</v>
      </c>
      <c r="BC426" s="247">
        <f t="shared" si="826"/>
        <v>6025</v>
      </c>
      <c r="BD426" s="840">
        <f>SUM(AZ426*AZ$3,BA426*BA$3,BB426*BB$3,BC426*BC$3)/BD$3</f>
        <v>6030.25</v>
      </c>
      <c r="BE426" s="247">
        <f t="shared" ref="BE426" si="827">AVERAGE(BE425,BE423)</f>
        <v>5968</v>
      </c>
      <c r="BF426" s="247">
        <f>AVERAGE(BF425,BF423)</f>
        <v>6005</v>
      </c>
      <c r="BG426" s="247">
        <f>AVERAGE(BG425,BG423)</f>
        <v>6048.5</v>
      </c>
      <c r="BH426" s="247">
        <f>AVERAGE(BH425,BH423)</f>
        <v>5975.5</v>
      </c>
      <c r="BI426" s="840">
        <f>SUM(BE426*BE$3,BF426*BF$3,BG426*BG$3,BH426*BH$3)/BI$3</f>
        <v>5999.25</v>
      </c>
      <c r="BJ426" s="977">
        <f>AVERAGE(BJ425,BJ423)</f>
        <v>5895.5</v>
      </c>
      <c r="BK426" s="247">
        <f>AVERAGE(BK425,BK423)</f>
        <v>5884.8716498136819</v>
      </c>
      <c r="BL426" s="247">
        <f>AVERAGE(BL425,BL423)</f>
        <v>5848.5522338842156</v>
      </c>
      <c r="BM426" s="247">
        <f>AVERAGE(BM425,BM423)</f>
        <v>5808.1743870630526</v>
      </c>
      <c r="BN426" s="840">
        <f>SUM(BJ426*BJ$3,BK426*BK$3,BL426*BL$3,BM426*BM$3)/BN$3</f>
        <v>5858.3104133387815</v>
      </c>
      <c r="BO426" s="247">
        <f>AVERAGE(BO425,BO423)</f>
        <v>5767.8612974957041</v>
      </c>
      <c r="BP426" s="247">
        <f>AVERAGE(BP425,BP423)</f>
        <v>5727.4713553132888</v>
      </c>
      <c r="BQ426" s="247">
        <f>AVERAGE(BQ425,BQ423)</f>
        <v>5686.9259800544969</v>
      </c>
      <c r="BR426" s="247">
        <f>AVERAGE(BR425,BR423)</f>
        <v>5646.3442818661206</v>
      </c>
      <c r="BS426" s="840">
        <f>SUM(BO426*BO$3,BP426*BP$3,BQ426*BQ$3,BR426*BR$3)/BS$3</f>
        <v>5707.1507286824026</v>
      </c>
      <c r="BT426" s="840">
        <f>AVERAGE(BT425,BT423)</f>
        <v>5585.8080408358073</v>
      </c>
      <c r="BU426" s="840">
        <f>AVERAGE(BU425,BU423)</f>
        <v>5505.1523803862929</v>
      </c>
      <c r="BV426" s="840">
        <f>AVERAGE(BV425,BV423)</f>
        <v>5424.1114180059349</v>
      </c>
      <c r="BW426" s="168"/>
    </row>
    <row r="427" spans="1:75" s="198" customFormat="1" ht="14.25" hidden="1" outlineLevel="1" x14ac:dyDescent="0.45">
      <c r="A427" s="206"/>
      <c r="B427" s="522"/>
      <c r="C427" s="397"/>
      <c r="D427" s="397"/>
      <c r="E427" s="397"/>
      <c r="F427" s="397"/>
      <c r="G427" s="295"/>
      <c r="H427" s="295"/>
      <c r="I427" s="295"/>
      <c r="J427" s="295"/>
      <c r="K427" s="397"/>
      <c r="L427" s="295"/>
      <c r="M427" s="295"/>
      <c r="N427" s="295"/>
      <c r="O427" s="295"/>
      <c r="P427" s="397"/>
      <c r="Q427" s="295"/>
      <c r="R427" s="295"/>
      <c r="S427" s="295"/>
      <c r="T427" s="295"/>
      <c r="U427" s="397"/>
      <c r="V427" s="295"/>
      <c r="W427" s="295"/>
      <c r="X427" s="295"/>
      <c r="Y427" s="295"/>
      <c r="Z427" s="397"/>
      <c r="AA427" s="295"/>
      <c r="AB427" s="295"/>
      <c r="AC427" s="295"/>
      <c r="AD427" s="295"/>
      <c r="AE427" s="397"/>
      <c r="AF427" s="295"/>
      <c r="AG427" s="295"/>
      <c r="AH427" s="295"/>
      <c r="AI427" s="295"/>
      <c r="AJ427" s="397"/>
      <c r="AK427" s="295"/>
      <c r="AL427" s="295"/>
      <c r="AM427" s="295"/>
      <c r="AN427" s="295"/>
      <c r="AO427" s="397"/>
      <c r="AP427" s="295"/>
      <c r="AQ427" s="295"/>
      <c r="AR427" s="295"/>
      <c r="AS427" s="295"/>
      <c r="AT427" s="397"/>
      <c r="AU427" s="295"/>
      <c r="AV427" s="295"/>
      <c r="AW427" s="295"/>
      <c r="AX427" s="295"/>
      <c r="AY427" s="397"/>
      <c r="AZ427" s="295"/>
      <c r="BA427" s="295"/>
      <c r="BB427" s="295"/>
      <c r="BC427" s="295"/>
      <c r="BD427" s="397"/>
      <c r="BE427" s="295"/>
      <c r="BF427" s="295"/>
      <c r="BG427" s="295"/>
      <c r="BH427" s="295"/>
      <c r="BI427" s="397"/>
      <c r="BJ427" s="1030"/>
      <c r="BK427" s="295"/>
      <c r="BL427" s="295"/>
      <c r="BM427" s="295"/>
      <c r="BN427" s="397"/>
      <c r="BO427" s="295"/>
      <c r="BP427" s="295"/>
      <c r="BQ427" s="295"/>
      <c r="BR427" s="295"/>
      <c r="BS427" s="397"/>
      <c r="BT427" s="397"/>
      <c r="BU427" s="397"/>
      <c r="BV427" s="397"/>
      <c r="BW427" s="197"/>
    </row>
    <row r="428" spans="1:75" s="169" customFormat="1" ht="14.25" hidden="1" outlineLevel="1" x14ac:dyDescent="0.45">
      <c r="A428" s="163" t="s">
        <v>1916</v>
      </c>
      <c r="B428" s="761"/>
      <c r="C428" s="840"/>
      <c r="D428" s="840">
        <f t="shared" ref="D428:J428" si="828">C430</f>
        <v>3763</v>
      </c>
      <c r="E428" s="840">
        <f t="shared" si="828"/>
        <v>3609</v>
      </c>
      <c r="F428" s="840">
        <f t="shared" si="828"/>
        <v>3535</v>
      </c>
      <c r="G428" s="247">
        <f t="shared" si="828"/>
        <v>3548</v>
      </c>
      <c r="H428" s="247">
        <f t="shared" si="828"/>
        <v>3586</v>
      </c>
      <c r="I428" s="247">
        <f t="shared" si="828"/>
        <v>3600</v>
      </c>
      <c r="J428" s="247">
        <f t="shared" si="828"/>
        <v>3632</v>
      </c>
      <c r="K428" s="840">
        <f>F430</f>
        <v>3548</v>
      </c>
      <c r="L428" s="247">
        <f>K430</f>
        <v>3590</v>
      </c>
      <c r="M428" s="247">
        <f>L430</f>
        <v>3600</v>
      </c>
      <c r="N428" s="247">
        <f>M430</f>
        <v>3598</v>
      </c>
      <c r="O428" s="247">
        <f>N430</f>
        <v>3688</v>
      </c>
      <c r="P428" s="840">
        <f>K430</f>
        <v>3590</v>
      </c>
      <c r="Q428" s="247">
        <f>P430</f>
        <v>3684</v>
      </c>
      <c r="R428" s="247">
        <f>Q430</f>
        <v>3709</v>
      </c>
      <c r="S428" s="247">
        <f>R430</f>
        <v>3771</v>
      </c>
      <c r="T428" s="247">
        <f>S430</f>
        <v>3839</v>
      </c>
      <c r="U428" s="840">
        <f>P430</f>
        <v>3684</v>
      </c>
      <c r="V428" s="247">
        <f>U430</f>
        <v>3827</v>
      </c>
      <c r="W428" s="247">
        <f>V430</f>
        <v>3867</v>
      </c>
      <c r="X428" s="247">
        <f>W430</f>
        <v>3894</v>
      </c>
      <c r="Y428" s="247">
        <f>X430</f>
        <v>3966</v>
      </c>
      <c r="Z428" s="840">
        <f>U430</f>
        <v>3827</v>
      </c>
      <c r="AA428" s="247">
        <f>Z430</f>
        <v>3951</v>
      </c>
      <c r="AB428" s="247">
        <f>AA430</f>
        <v>3942</v>
      </c>
      <c r="AC428" s="247">
        <f>AB430</f>
        <v>3998</v>
      </c>
      <c r="AD428" s="247">
        <f>AC430</f>
        <v>4031</v>
      </c>
      <c r="AE428" s="840">
        <f>Z430</f>
        <v>3951</v>
      </c>
      <c r="AF428" s="247">
        <f>AE430</f>
        <v>4019</v>
      </c>
      <c r="AG428" s="247">
        <f>AF430</f>
        <v>4015</v>
      </c>
      <c r="AH428" s="247">
        <f>AG430</f>
        <v>4058</v>
      </c>
      <c r="AI428" s="247">
        <f>AH430</f>
        <v>4084</v>
      </c>
      <c r="AJ428" s="840">
        <f>AE430</f>
        <v>4019</v>
      </c>
      <c r="AK428" s="247">
        <f>AJ430</f>
        <v>4105</v>
      </c>
      <c r="AL428" s="247">
        <f>AK430</f>
        <v>4094</v>
      </c>
      <c r="AM428" s="247">
        <f>AL430</f>
        <v>4124</v>
      </c>
      <c r="AN428" s="247">
        <f>AM430</f>
        <v>4154</v>
      </c>
      <c r="AO428" s="840">
        <f>AJ430</f>
        <v>4105</v>
      </c>
      <c r="AP428" s="247">
        <f>AO430</f>
        <v>4129</v>
      </c>
      <c r="AQ428" s="247">
        <f>AP430</f>
        <v>4148</v>
      </c>
      <c r="AR428" s="247">
        <f>AQ430</f>
        <v>4145</v>
      </c>
      <c r="AS428" s="247">
        <f>AR430</f>
        <v>4143</v>
      </c>
      <c r="AT428" s="840">
        <f>AO430</f>
        <v>4129</v>
      </c>
      <c r="AU428" s="247">
        <f>AT430</f>
        <v>3975</v>
      </c>
      <c r="AV428" s="247">
        <f>AU430</f>
        <v>3972</v>
      </c>
      <c r="AW428" s="247">
        <f>AV430</f>
        <v>3994</v>
      </c>
      <c r="AX428" s="247">
        <f>AW430</f>
        <v>3978</v>
      </c>
      <c r="AY428" s="840">
        <f>AT430</f>
        <v>3975</v>
      </c>
      <c r="AZ428" s="247">
        <f>AY430</f>
        <v>3821</v>
      </c>
      <c r="BA428" s="247">
        <f>AZ430</f>
        <v>3823</v>
      </c>
      <c r="BB428" s="247">
        <f>BA430</f>
        <v>3856</v>
      </c>
      <c r="BC428" s="247">
        <f>BB430</f>
        <v>3879</v>
      </c>
      <c r="BD428" s="840">
        <f>AY430</f>
        <v>3821</v>
      </c>
      <c r="BE428" s="247">
        <f>BD430</f>
        <v>3813</v>
      </c>
      <c r="BF428" s="247">
        <f>BE430</f>
        <v>3816</v>
      </c>
      <c r="BG428" s="247">
        <f t="shared" ref="BG428" si="829">BF430</f>
        <v>3886</v>
      </c>
      <c r="BH428" s="247">
        <f>BG430</f>
        <v>3905</v>
      </c>
      <c r="BI428" s="840">
        <f>BD430</f>
        <v>3813</v>
      </c>
      <c r="BJ428" s="977">
        <f>BI430</f>
        <v>3805</v>
      </c>
      <c r="BK428" s="247"/>
      <c r="BL428" s="247"/>
      <c r="BM428" s="247"/>
      <c r="BN428" s="840"/>
      <c r="BO428" s="247"/>
      <c r="BP428" s="247"/>
      <c r="BQ428" s="247"/>
      <c r="BR428" s="247"/>
      <c r="BS428" s="840"/>
      <c r="BT428" s="840"/>
      <c r="BU428" s="840"/>
      <c r="BV428" s="840"/>
      <c r="BW428" s="168"/>
    </row>
    <row r="429" spans="1:75" s="224" customFormat="1" hidden="1" outlineLevel="1" x14ac:dyDescent="0.5">
      <c r="A429" s="218" t="s">
        <v>1917</v>
      </c>
      <c r="B429" s="757"/>
      <c r="C429" s="425"/>
      <c r="D429" s="425">
        <f t="shared" ref="D429:BI429" si="830">D430-D428</f>
        <v>-154</v>
      </c>
      <c r="E429" s="425">
        <f t="shared" si="830"/>
        <v>-74</v>
      </c>
      <c r="F429" s="425">
        <f t="shared" si="830"/>
        <v>13</v>
      </c>
      <c r="G429" s="487">
        <f t="shared" si="830"/>
        <v>38</v>
      </c>
      <c r="H429" s="487">
        <f t="shared" si="830"/>
        <v>14</v>
      </c>
      <c r="I429" s="487">
        <f t="shared" si="830"/>
        <v>32</v>
      </c>
      <c r="J429" s="487">
        <f t="shared" si="830"/>
        <v>-42</v>
      </c>
      <c r="K429" s="425">
        <f t="shared" si="830"/>
        <v>42</v>
      </c>
      <c r="L429" s="487">
        <f t="shared" si="830"/>
        <v>10</v>
      </c>
      <c r="M429" s="487">
        <f t="shared" si="830"/>
        <v>-2</v>
      </c>
      <c r="N429" s="487">
        <f t="shared" si="830"/>
        <v>90</v>
      </c>
      <c r="O429" s="487">
        <f t="shared" si="830"/>
        <v>-4</v>
      </c>
      <c r="P429" s="425">
        <f t="shared" si="830"/>
        <v>94</v>
      </c>
      <c r="Q429" s="487">
        <f t="shared" si="830"/>
        <v>25</v>
      </c>
      <c r="R429" s="487">
        <f t="shared" si="830"/>
        <v>62</v>
      </c>
      <c r="S429" s="487">
        <f t="shared" si="830"/>
        <v>68</v>
      </c>
      <c r="T429" s="487">
        <f t="shared" si="830"/>
        <v>-12</v>
      </c>
      <c r="U429" s="425">
        <f t="shared" si="830"/>
        <v>143</v>
      </c>
      <c r="V429" s="487">
        <f t="shared" si="830"/>
        <v>40</v>
      </c>
      <c r="W429" s="487">
        <f t="shared" si="830"/>
        <v>27</v>
      </c>
      <c r="X429" s="487">
        <f t="shared" si="830"/>
        <v>72</v>
      </c>
      <c r="Y429" s="487">
        <f t="shared" si="830"/>
        <v>-15</v>
      </c>
      <c r="Z429" s="425">
        <f t="shared" si="830"/>
        <v>124</v>
      </c>
      <c r="AA429" s="487">
        <f t="shared" si="830"/>
        <v>-9</v>
      </c>
      <c r="AB429" s="487">
        <f t="shared" si="830"/>
        <v>56</v>
      </c>
      <c r="AC429" s="487">
        <f t="shared" si="830"/>
        <v>33</v>
      </c>
      <c r="AD429" s="487">
        <f t="shared" si="830"/>
        <v>-12</v>
      </c>
      <c r="AE429" s="425">
        <f t="shared" si="830"/>
        <v>68</v>
      </c>
      <c r="AF429" s="487">
        <f t="shared" si="830"/>
        <v>-4</v>
      </c>
      <c r="AG429" s="487">
        <f t="shared" si="830"/>
        <v>43</v>
      </c>
      <c r="AH429" s="487">
        <f t="shared" si="830"/>
        <v>26</v>
      </c>
      <c r="AI429" s="487">
        <f t="shared" si="830"/>
        <v>21</v>
      </c>
      <c r="AJ429" s="425">
        <f t="shared" si="830"/>
        <v>86</v>
      </c>
      <c r="AK429" s="487">
        <f t="shared" si="830"/>
        <v>-11</v>
      </c>
      <c r="AL429" s="487">
        <f t="shared" si="830"/>
        <v>30</v>
      </c>
      <c r="AM429" s="487">
        <f t="shared" si="830"/>
        <v>30</v>
      </c>
      <c r="AN429" s="487">
        <f t="shared" si="830"/>
        <v>-25</v>
      </c>
      <c r="AO429" s="425">
        <f t="shared" si="830"/>
        <v>24</v>
      </c>
      <c r="AP429" s="487">
        <f t="shared" si="830"/>
        <v>19</v>
      </c>
      <c r="AQ429" s="487">
        <f t="shared" si="830"/>
        <v>-3</v>
      </c>
      <c r="AR429" s="487">
        <f t="shared" si="830"/>
        <v>-2</v>
      </c>
      <c r="AS429" s="487">
        <f t="shared" si="830"/>
        <v>-168</v>
      </c>
      <c r="AT429" s="425">
        <f t="shared" si="830"/>
        <v>-154</v>
      </c>
      <c r="AU429" s="487">
        <f t="shared" si="830"/>
        <v>-3</v>
      </c>
      <c r="AV429" s="487">
        <f t="shared" si="830"/>
        <v>22</v>
      </c>
      <c r="AW429" s="487">
        <f t="shared" si="830"/>
        <v>-16</v>
      </c>
      <c r="AX429" s="487">
        <f t="shared" si="830"/>
        <v>-157</v>
      </c>
      <c r="AY429" s="425">
        <f t="shared" si="830"/>
        <v>-154</v>
      </c>
      <c r="AZ429" s="487">
        <f t="shared" si="830"/>
        <v>2</v>
      </c>
      <c r="BA429" s="487">
        <f t="shared" si="830"/>
        <v>33</v>
      </c>
      <c r="BB429" s="487">
        <f t="shared" si="830"/>
        <v>23</v>
      </c>
      <c r="BC429" s="487">
        <f t="shared" si="830"/>
        <v>-66</v>
      </c>
      <c r="BD429" s="425">
        <f t="shared" si="830"/>
        <v>-8</v>
      </c>
      <c r="BE429" s="487">
        <f t="shared" si="830"/>
        <v>3</v>
      </c>
      <c r="BF429" s="487">
        <f t="shared" si="830"/>
        <v>70</v>
      </c>
      <c r="BG429" s="487">
        <f t="shared" si="830"/>
        <v>19</v>
      </c>
      <c r="BH429" s="487">
        <f t="shared" si="830"/>
        <v>-100</v>
      </c>
      <c r="BI429" s="425">
        <f t="shared" si="830"/>
        <v>-8</v>
      </c>
      <c r="BJ429" s="981">
        <f>BJ430-BJ428</f>
        <v>10</v>
      </c>
      <c r="BK429" s="487"/>
      <c r="BL429" s="487"/>
      <c r="BM429" s="487"/>
      <c r="BN429" s="425"/>
      <c r="BO429" s="487"/>
      <c r="BP429" s="487"/>
      <c r="BQ429" s="487"/>
      <c r="BR429" s="487"/>
      <c r="BS429" s="425"/>
      <c r="BT429" s="425"/>
      <c r="BU429" s="425"/>
      <c r="BV429" s="425"/>
      <c r="BW429" s="223"/>
    </row>
    <row r="430" spans="1:75" s="169" customFormat="1" ht="14.25" hidden="1" outlineLevel="1" x14ac:dyDescent="0.45">
      <c r="A430" s="562" t="s">
        <v>1918</v>
      </c>
      <c r="B430" s="1127"/>
      <c r="C430" s="1234">
        <v>3763</v>
      </c>
      <c r="D430" s="1234">
        <v>3609</v>
      </c>
      <c r="E430" s="1234">
        <v>3535</v>
      </c>
      <c r="F430" s="1234">
        <v>3548</v>
      </c>
      <c r="G430" s="371">
        <v>3586</v>
      </c>
      <c r="H430" s="371">
        <v>3600</v>
      </c>
      <c r="I430" s="371">
        <v>3632</v>
      </c>
      <c r="J430" s="371">
        <v>3590</v>
      </c>
      <c r="K430" s="1165">
        <f>J430</f>
        <v>3590</v>
      </c>
      <c r="L430" s="371">
        <v>3600</v>
      </c>
      <c r="M430" s="371">
        <v>3598</v>
      </c>
      <c r="N430" s="371">
        <v>3688</v>
      </c>
      <c r="O430" s="371">
        <v>3684</v>
      </c>
      <c r="P430" s="1165">
        <f>O430</f>
        <v>3684</v>
      </c>
      <c r="Q430" s="371">
        <v>3709</v>
      </c>
      <c r="R430" s="371">
        <v>3771</v>
      </c>
      <c r="S430" s="371">
        <v>3839</v>
      </c>
      <c r="T430" s="371">
        <v>3827</v>
      </c>
      <c r="U430" s="1165">
        <f>T430</f>
        <v>3827</v>
      </c>
      <c r="V430" s="371">
        <v>3867</v>
      </c>
      <c r="W430" s="371">
        <v>3894</v>
      </c>
      <c r="X430" s="371">
        <v>3966</v>
      </c>
      <c r="Y430" s="371">
        <v>3951</v>
      </c>
      <c r="Z430" s="1234">
        <v>3951</v>
      </c>
      <c r="AA430" s="371">
        <v>3942</v>
      </c>
      <c r="AB430" s="371">
        <v>3998</v>
      </c>
      <c r="AC430" s="371">
        <v>4031</v>
      </c>
      <c r="AD430" s="284">
        <f>AE430</f>
        <v>4019</v>
      </c>
      <c r="AE430" s="1234">
        <v>4019</v>
      </c>
      <c r="AF430" s="371">
        <v>4015</v>
      </c>
      <c r="AG430" s="371">
        <v>4058</v>
      </c>
      <c r="AH430" s="371">
        <v>4084</v>
      </c>
      <c r="AI430" s="284">
        <f>AJ430</f>
        <v>4105</v>
      </c>
      <c r="AJ430" s="1234">
        <v>4105</v>
      </c>
      <c r="AK430" s="371">
        <v>4094</v>
      </c>
      <c r="AL430" s="371">
        <v>4124</v>
      </c>
      <c r="AM430" s="371">
        <v>4154</v>
      </c>
      <c r="AN430" s="284">
        <f>AO430</f>
        <v>4129</v>
      </c>
      <c r="AO430" s="1234">
        <v>4129</v>
      </c>
      <c r="AP430" s="371">
        <v>4148</v>
      </c>
      <c r="AQ430" s="371">
        <v>4145</v>
      </c>
      <c r="AR430" s="371">
        <v>4143</v>
      </c>
      <c r="AS430" s="371">
        <v>3975</v>
      </c>
      <c r="AT430" s="1234">
        <v>3975</v>
      </c>
      <c r="AU430" s="371">
        <v>3972</v>
      </c>
      <c r="AV430" s="371">
        <v>3994</v>
      </c>
      <c r="AW430" s="371">
        <v>3978</v>
      </c>
      <c r="AX430" s="287">
        <f>AY430</f>
        <v>3821</v>
      </c>
      <c r="AY430" s="1234">
        <v>3821</v>
      </c>
      <c r="AZ430" s="371">
        <v>3823</v>
      </c>
      <c r="BA430" s="371">
        <v>3856</v>
      </c>
      <c r="BB430" s="371">
        <v>3879</v>
      </c>
      <c r="BC430" s="287">
        <f>BD430</f>
        <v>3813</v>
      </c>
      <c r="BD430" s="1234">
        <v>3813</v>
      </c>
      <c r="BE430" s="371">
        <v>3816</v>
      </c>
      <c r="BF430" s="371">
        <v>3886</v>
      </c>
      <c r="BG430" s="371">
        <v>3905</v>
      </c>
      <c r="BH430" s="287">
        <f>BI430</f>
        <v>3805</v>
      </c>
      <c r="BI430" s="1234">
        <v>3805</v>
      </c>
      <c r="BJ430" s="1240">
        <v>3815</v>
      </c>
      <c r="BK430" s="287"/>
      <c r="BL430" s="287"/>
      <c r="BM430" s="287"/>
      <c r="BN430" s="1128"/>
      <c r="BO430" s="287"/>
      <c r="BP430" s="287"/>
      <c r="BQ430" s="287"/>
      <c r="BR430" s="287"/>
      <c r="BS430" s="1128"/>
      <c r="BT430" s="1128"/>
      <c r="BU430" s="1128"/>
      <c r="BV430" s="1128"/>
      <c r="BW430" s="168"/>
    </row>
    <row r="431" spans="1:75" s="198" customFormat="1" ht="14.25" hidden="1" outlineLevel="2" x14ac:dyDescent="0.45">
      <c r="A431" s="463" t="s">
        <v>1919</v>
      </c>
      <c r="B431" s="485"/>
      <c r="C431" s="672">
        <f t="shared" ref="C431:BI431" si="831">C430/1000</f>
        <v>3.7629999999999999</v>
      </c>
      <c r="D431" s="672">
        <f t="shared" si="831"/>
        <v>3.609</v>
      </c>
      <c r="E431" s="672">
        <f t="shared" si="831"/>
        <v>3.5350000000000001</v>
      </c>
      <c r="F431" s="672">
        <f t="shared" si="831"/>
        <v>3.548</v>
      </c>
      <c r="G431" s="197">
        <f t="shared" si="831"/>
        <v>3.5859999999999999</v>
      </c>
      <c r="H431" s="197">
        <f t="shared" si="831"/>
        <v>3.6</v>
      </c>
      <c r="I431" s="197">
        <f t="shared" si="831"/>
        <v>3.6320000000000001</v>
      </c>
      <c r="J431" s="197">
        <f t="shared" si="831"/>
        <v>3.59</v>
      </c>
      <c r="K431" s="672">
        <f t="shared" si="831"/>
        <v>3.59</v>
      </c>
      <c r="L431" s="197">
        <f t="shared" si="831"/>
        <v>3.6</v>
      </c>
      <c r="M431" s="197">
        <f t="shared" si="831"/>
        <v>3.5979999999999999</v>
      </c>
      <c r="N431" s="197">
        <f t="shared" si="831"/>
        <v>3.6880000000000002</v>
      </c>
      <c r="O431" s="197">
        <f t="shared" si="831"/>
        <v>3.6840000000000002</v>
      </c>
      <c r="P431" s="672">
        <f t="shared" si="831"/>
        <v>3.6840000000000002</v>
      </c>
      <c r="Q431" s="197">
        <f t="shared" si="831"/>
        <v>3.7090000000000001</v>
      </c>
      <c r="R431" s="197">
        <f t="shared" si="831"/>
        <v>3.7709999999999999</v>
      </c>
      <c r="S431" s="197">
        <f t="shared" si="831"/>
        <v>3.839</v>
      </c>
      <c r="T431" s="197">
        <f t="shared" si="831"/>
        <v>3.827</v>
      </c>
      <c r="U431" s="672">
        <f t="shared" si="831"/>
        <v>3.827</v>
      </c>
      <c r="V431" s="197">
        <f t="shared" si="831"/>
        <v>3.867</v>
      </c>
      <c r="W431" s="197">
        <f t="shared" si="831"/>
        <v>3.8940000000000001</v>
      </c>
      <c r="X431" s="197">
        <f t="shared" si="831"/>
        <v>3.9660000000000002</v>
      </c>
      <c r="Y431" s="197">
        <f t="shared" si="831"/>
        <v>3.9510000000000001</v>
      </c>
      <c r="Z431" s="672">
        <f t="shared" si="831"/>
        <v>3.9510000000000001</v>
      </c>
      <c r="AA431" s="197">
        <f t="shared" si="831"/>
        <v>3.9420000000000002</v>
      </c>
      <c r="AB431" s="197">
        <f t="shared" si="831"/>
        <v>3.9980000000000002</v>
      </c>
      <c r="AC431" s="197">
        <f t="shared" si="831"/>
        <v>4.0309999999999997</v>
      </c>
      <c r="AD431" s="197">
        <f t="shared" si="831"/>
        <v>4.0190000000000001</v>
      </c>
      <c r="AE431" s="672">
        <f t="shared" si="831"/>
        <v>4.0190000000000001</v>
      </c>
      <c r="AF431" s="197">
        <f t="shared" si="831"/>
        <v>4.0149999999999997</v>
      </c>
      <c r="AG431" s="197">
        <f t="shared" si="831"/>
        <v>4.0579999999999998</v>
      </c>
      <c r="AH431" s="197">
        <f t="shared" si="831"/>
        <v>4.0839999999999996</v>
      </c>
      <c r="AI431" s="197">
        <f t="shared" si="831"/>
        <v>4.1050000000000004</v>
      </c>
      <c r="AJ431" s="672">
        <f t="shared" si="831"/>
        <v>4.1050000000000004</v>
      </c>
      <c r="AK431" s="197">
        <f t="shared" si="831"/>
        <v>4.0940000000000003</v>
      </c>
      <c r="AL431" s="197">
        <f t="shared" si="831"/>
        <v>4.1239999999999997</v>
      </c>
      <c r="AM431" s="197">
        <f t="shared" si="831"/>
        <v>4.1539999999999999</v>
      </c>
      <c r="AN431" s="197">
        <f t="shared" si="831"/>
        <v>4.1289999999999996</v>
      </c>
      <c r="AO431" s="672">
        <f t="shared" si="831"/>
        <v>4.1289999999999996</v>
      </c>
      <c r="AP431" s="197">
        <f t="shared" si="831"/>
        <v>4.1479999999999997</v>
      </c>
      <c r="AQ431" s="197">
        <f t="shared" si="831"/>
        <v>4.1449999999999996</v>
      </c>
      <c r="AR431" s="197">
        <f t="shared" si="831"/>
        <v>4.1429999999999998</v>
      </c>
      <c r="AS431" s="295">
        <f t="shared" si="831"/>
        <v>3.9750000000000001</v>
      </c>
      <c r="AT431" s="397">
        <f t="shared" si="831"/>
        <v>3.9750000000000001</v>
      </c>
      <c r="AU431" s="197">
        <f t="shared" si="831"/>
        <v>3.972</v>
      </c>
      <c r="AV431" s="295">
        <f t="shared" si="831"/>
        <v>3.9940000000000002</v>
      </c>
      <c r="AW431" s="295">
        <f t="shared" si="831"/>
        <v>3.9780000000000002</v>
      </c>
      <c r="AX431" s="295">
        <f t="shared" si="831"/>
        <v>3.8210000000000002</v>
      </c>
      <c r="AY431" s="397">
        <f t="shared" si="831"/>
        <v>3.8210000000000002</v>
      </c>
      <c r="AZ431" s="295">
        <f t="shared" si="831"/>
        <v>3.823</v>
      </c>
      <c r="BA431" s="295">
        <f t="shared" si="831"/>
        <v>3.8559999999999999</v>
      </c>
      <c r="BB431" s="295">
        <f t="shared" si="831"/>
        <v>3.879</v>
      </c>
      <c r="BC431" s="295">
        <f t="shared" si="831"/>
        <v>3.8130000000000002</v>
      </c>
      <c r="BD431" s="397">
        <f t="shared" si="831"/>
        <v>3.8130000000000002</v>
      </c>
      <c r="BE431" s="295">
        <f t="shared" si="831"/>
        <v>3.8159999999999998</v>
      </c>
      <c r="BF431" s="295">
        <f t="shared" si="831"/>
        <v>3.8860000000000001</v>
      </c>
      <c r="BG431" s="295">
        <f t="shared" si="831"/>
        <v>3.9049999999999998</v>
      </c>
      <c r="BH431" s="295">
        <f t="shared" si="831"/>
        <v>3.8050000000000002</v>
      </c>
      <c r="BI431" s="397">
        <f t="shared" si="831"/>
        <v>3.8050000000000002</v>
      </c>
      <c r="BJ431" s="1030">
        <f>BJ430/1000</f>
        <v>3.8149999999999999</v>
      </c>
      <c r="BK431" s="295"/>
      <c r="BL431" s="295"/>
      <c r="BM431" s="295"/>
      <c r="BN431" s="397"/>
      <c r="BO431" s="295"/>
      <c r="BP431" s="295"/>
      <c r="BQ431" s="295"/>
      <c r="BR431" s="295"/>
      <c r="BS431" s="397"/>
      <c r="BT431" s="397"/>
      <c r="BU431" s="397"/>
      <c r="BV431" s="397"/>
      <c r="BW431" s="197"/>
    </row>
    <row r="432" spans="1:75" s="169" customFormat="1" ht="14.25" hidden="1" outlineLevel="2" x14ac:dyDescent="0.45">
      <c r="A432" s="558" t="s">
        <v>1920</v>
      </c>
      <c r="B432" s="1121"/>
      <c r="C432" s="1123">
        <f t="shared" ref="C432:BI432" si="832">C430/C405*1000</f>
        <v>6168.8524590163934</v>
      </c>
      <c r="D432" s="1123">
        <f t="shared" si="832"/>
        <v>6096.2837837837842</v>
      </c>
      <c r="E432" s="1123">
        <f t="shared" si="832"/>
        <v>6137.1527777777774</v>
      </c>
      <c r="F432" s="1123">
        <f t="shared" si="832"/>
        <v>6106.71256454389</v>
      </c>
      <c r="G432" s="168">
        <f t="shared" si="832"/>
        <v>6109.0289608177172</v>
      </c>
      <c r="H432" s="168">
        <f t="shared" si="832"/>
        <v>6101.6949152542375</v>
      </c>
      <c r="I432" s="168">
        <f t="shared" si="832"/>
        <v>6104.2016806722686</v>
      </c>
      <c r="J432" s="168">
        <f t="shared" si="832"/>
        <v>6136.7521367521367</v>
      </c>
      <c r="K432" s="1123">
        <f t="shared" si="832"/>
        <v>6136.7521367521367</v>
      </c>
      <c r="L432" s="168">
        <f t="shared" si="832"/>
        <v>6112.0543293718165</v>
      </c>
      <c r="M432" s="168">
        <f t="shared" si="832"/>
        <v>6108.6587436332766</v>
      </c>
      <c r="N432" s="168">
        <f t="shared" si="832"/>
        <v>6116.0862354892206</v>
      </c>
      <c r="O432" s="168">
        <f t="shared" si="832"/>
        <v>6129.7836938435939</v>
      </c>
      <c r="P432" s="1123">
        <f t="shared" si="832"/>
        <v>6129.7836938435939</v>
      </c>
      <c r="Q432" s="168">
        <f t="shared" si="832"/>
        <v>6150.9121061359874</v>
      </c>
      <c r="R432" s="168">
        <f t="shared" si="832"/>
        <v>6161.7647058823532</v>
      </c>
      <c r="S432" s="168">
        <f t="shared" si="832"/>
        <v>6162.118780096308</v>
      </c>
      <c r="T432" s="168">
        <f t="shared" si="832"/>
        <v>6192.5566343042074</v>
      </c>
      <c r="U432" s="1123">
        <f t="shared" si="832"/>
        <v>6192.5566343042074</v>
      </c>
      <c r="V432" s="168">
        <f t="shared" si="832"/>
        <v>6197.1153846153848</v>
      </c>
      <c r="W432" s="168">
        <f t="shared" si="832"/>
        <v>6220.4472843450476</v>
      </c>
      <c r="X432" s="168">
        <f t="shared" si="832"/>
        <v>6245.6692913385832</v>
      </c>
      <c r="Y432" s="168">
        <f t="shared" si="832"/>
        <v>6281.3990461049279</v>
      </c>
      <c r="Z432" s="1123">
        <f t="shared" si="832"/>
        <v>6281.3990461049279</v>
      </c>
      <c r="AA432" s="168">
        <f t="shared" si="832"/>
        <v>6277.0700636942674</v>
      </c>
      <c r="AB432" s="168">
        <f t="shared" si="832"/>
        <v>6296.0629921259842</v>
      </c>
      <c r="AC432" s="168">
        <f t="shared" si="832"/>
        <v>6338.0503144654094</v>
      </c>
      <c r="AD432" s="168">
        <f t="shared" si="832"/>
        <v>6369.2551505546753</v>
      </c>
      <c r="AE432" s="1123">
        <f t="shared" si="832"/>
        <v>6369.2551505546753</v>
      </c>
      <c r="AF432" s="168">
        <f t="shared" si="832"/>
        <v>6403.5087719298244</v>
      </c>
      <c r="AG432" s="168">
        <f t="shared" si="832"/>
        <v>6420.8860759493673</v>
      </c>
      <c r="AH432" s="168">
        <f t="shared" si="832"/>
        <v>6451.8167456556084</v>
      </c>
      <c r="AI432" s="168">
        <f t="shared" si="832"/>
        <v>6568</v>
      </c>
      <c r="AJ432" s="1123">
        <f t="shared" si="832"/>
        <v>6568</v>
      </c>
      <c r="AK432" s="168">
        <f t="shared" si="832"/>
        <v>6550.4</v>
      </c>
      <c r="AL432" s="168">
        <f t="shared" si="832"/>
        <v>6619.5826645264851</v>
      </c>
      <c r="AM432" s="168">
        <f t="shared" si="832"/>
        <v>6635.7827476038337</v>
      </c>
      <c r="AN432" s="168">
        <f t="shared" si="832"/>
        <v>6724.7557003257325</v>
      </c>
      <c r="AO432" s="1123">
        <f t="shared" si="832"/>
        <v>6724.7557003257325</v>
      </c>
      <c r="AP432" s="168">
        <f t="shared" si="832"/>
        <v>6733.7662337662341</v>
      </c>
      <c r="AQ432" s="168">
        <f t="shared" si="832"/>
        <v>6750.8143322475571</v>
      </c>
      <c r="AR432" s="168">
        <f t="shared" si="832"/>
        <v>6747.5570032573287</v>
      </c>
      <c r="AS432" s="247">
        <f t="shared" si="832"/>
        <v>6841.652323580035</v>
      </c>
      <c r="AT432" s="840">
        <f t="shared" si="832"/>
        <v>6841.652323580035</v>
      </c>
      <c r="AU432" s="168">
        <f t="shared" si="832"/>
        <v>6871.9723183391006</v>
      </c>
      <c r="AV432" s="247">
        <f t="shared" si="832"/>
        <v>6874.3545611015488</v>
      </c>
      <c r="AW432" s="247">
        <f t="shared" si="832"/>
        <v>6894.2807625649912</v>
      </c>
      <c r="AX432" s="247">
        <f t="shared" si="832"/>
        <v>7023.8970588235288</v>
      </c>
      <c r="AY432" s="840">
        <f t="shared" si="832"/>
        <v>7023.8970588235288</v>
      </c>
      <c r="AZ432" s="247">
        <f t="shared" si="832"/>
        <v>7014.678899082568</v>
      </c>
      <c r="BA432" s="247">
        <f t="shared" si="832"/>
        <v>7062.271062271062</v>
      </c>
      <c r="BB432" s="247">
        <f t="shared" si="832"/>
        <v>7091.407678244972</v>
      </c>
      <c r="BC432" s="247">
        <f t="shared" si="832"/>
        <v>7194.3396226415089</v>
      </c>
      <c r="BD432" s="840">
        <f t="shared" si="832"/>
        <v>7194.3396226415089</v>
      </c>
      <c r="BE432" s="247">
        <f t="shared" si="832"/>
        <v>7186.4406779661022</v>
      </c>
      <c r="BF432" s="247">
        <f t="shared" si="832"/>
        <v>7304.5112781954886</v>
      </c>
      <c r="BG432" s="247">
        <f t="shared" si="832"/>
        <v>7326.4540337711069</v>
      </c>
      <c r="BH432" s="247">
        <f t="shared" si="832"/>
        <v>7345.5598455598456</v>
      </c>
      <c r="BI432" s="840">
        <f t="shared" si="832"/>
        <v>7345.5598455598456</v>
      </c>
      <c r="BJ432" s="977">
        <f>BJ430/BJ405*1000</f>
        <v>7379.1102514506774</v>
      </c>
      <c r="BK432" s="247"/>
      <c r="BL432" s="247"/>
      <c r="BM432" s="247"/>
      <c r="BN432" s="840"/>
      <c r="BO432" s="247"/>
      <c r="BP432" s="247"/>
      <c r="BQ432" s="247"/>
      <c r="BR432" s="247"/>
      <c r="BS432" s="840"/>
      <c r="BT432" s="840"/>
      <c r="BU432" s="840"/>
      <c r="BV432" s="840"/>
      <c r="BW432" s="168"/>
    </row>
    <row r="433" spans="1:75" s="217" customFormat="1" hidden="1" outlineLevel="1" collapsed="1" x14ac:dyDescent="0.5">
      <c r="A433" s="913" t="s">
        <v>1921</v>
      </c>
      <c r="B433" s="212"/>
      <c r="C433" s="914">
        <f t="shared" ref="C433:BI433" si="833">C430/C425</f>
        <v>0.61881269528038152</v>
      </c>
      <c r="D433" s="914">
        <f t="shared" si="833"/>
        <v>0.61893328760075461</v>
      </c>
      <c r="E433" s="914">
        <f t="shared" si="833"/>
        <v>0.61553195194149402</v>
      </c>
      <c r="F433" s="914">
        <f t="shared" si="833"/>
        <v>0.61405330564209071</v>
      </c>
      <c r="G433" s="1241">
        <f t="shared" si="833"/>
        <v>0.614041095890411</v>
      </c>
      <c r="H433" s="1241">
        <f t="shared" si="833"/>
        <v>0.61402012621524815</v>
      </c>
      <c r="I433" s="1241">
        <f t="shared" si="833"/>
        <v>0.61475964793500337</v>
      </c>
      <c r="J433" s="1241">
        <f t="shared" si="833"/>
        <v>0.61493662213086675</v>
      </c>
      <c r="K433" s="914">
        <f t="shared" si="833"/>
        <v>0.61493662213086675</v>
      </c>
      <c r="L433" s="1241">
        <f t="shared" si="833"/>
        <v>0.61538461538461542</v>
      </c>
      <c r="M433" s="1241">
        <f t="shared" si="833"/>
        <v>0.61577956529180211</v>
      </c>
      <c r="N433" s="1241">
        <f t="shared" si="833"/>
        <v>0.61589846359385436</v>
      </c>
      <c r="O433" s="1241">
        <f t="shared" si="833"/>
        <v>0.61760268231349535</v>
      </c>
      <c r="P433" s="914">
        <f t="shared" si="833"/>
        <v>0.61760268231349535</v>
      </c>
      <c r="Q433" s="1241">
        <f t="shared" si="833"/>
        <v>0.61837279093031006</v>
      </c>
      <c r="R433" s="1241">
        <f t="shared" si="833"/>
        <v>0.61941524310118268</v>
      </c>
      <c r="S433" s="1241">
        <f t="shared" si="833"/>
        <v>0.62039431157078218</v>
      </c>
      <c r="T433" s="1241">
        <f t="shared" si="833"/>
        <v>0.62096381632321918</v>
      </c>
      <c r="U433" s="914">
        <f t="shared" si="833"/>
        <v>0.62096381632321918</v>
      </c>
      <c r="V433" s="1241">
        <f t="shared" si="833"/>
        <v>0.62190414924412996</v>
      </c>
      <c r="W433" s="1241">
        <f t="shared" si="833"/>
        <v>0.62184605557329931</v>
      </c>
      <c r="X433" s="1241">
        <f t="shared" si="833"/>
        <v>0.62153267512929011</v>
      </c>
      <c r="Y433" s="1241">
        <f t="shared" si="833"/>
        <v>0.62132410756408241</v>
      </c>
      <c r="Z433" s="914">
        <f t="shared" si="833"/>
        <v>0.62132410756408241</v>
      </c>
      <c r="AA433" s="1241">
        <f t="shared" si="833"/>
        <v>0.62166850654470907</v>
      </c>
      <c r="AB433" s="1241">
        <f t="shared" si="833"/>
        <v>0.62196639701306777</v>
      </c>
      <c r="AC433" s="1241">
        <f t="shared" si="833"/>
        <v>0.62322201607915895</v>
      </c>
      <c r="AD433" s="1241">
        <f t="shared" si="833"/>
        <v>0.62300418539761282</v>
      </c>
      <c r="AE433" s="914">
        <f t="shared" si="833"/>
        <v>0.62300418539761282</v>
      </c>
      <c r="AF433" s="1241">
        <f t="shared" si="833"/>
        <v>0.62335041142679704</v>
      </c>
      <c r="AG433" s="1241">
        <f t="shared" si="833"/>
        <v>0.62392373923739242</v>
      </c>
      <c r="AH433" s="1241">
        <f t="shared" si="833"/>
        <v>0.62341627232483587</v>
      </c>
      <c r="AI433" s="1241">
        <f t="shared" si="833"/>
        <v>0.62604849778862282</v>
      </c>
      <c r="AJ433" s="914">
        <f t="shared" si="833"/>
        <v>0.62604849778862282</v>
      </c>
      <c r="AK433" s="1241">
        <f t="shared" si="833"/>
        <v>0.62513360818445562</v>
      </c>
      <c r="AL433" s="1241">
        <f t="shared" si="833"/>
        <v>0.62608167602854103</v>
      </c>
      <c r="AM433" s="1241">
        <f t="shared" si="833"/>
        <v>0.62730292962851097</v>
      </c>
      <c r="AN433" s="1241">
        <f t="shared" si="833"/>
        <v>0.62961268679475446</v>
      </c>
      <c r="AO433" s="914">
        <f t="shared" si="833"/>
        <v>0.62961268679475446</v>
      </c>
      <c r="AP433" s="1241">
        <f t="shared" si="833"/>
        <v>0.63039513677811554</v>
      </c>
      <c r="AQ433" s="1241">
        <f t="shared" si="833"/>
        <v>0.6308020088266626</v>
      </c>
      <c r="AR433" s="1241">
        <f t="shared" si="833"/>
        <v>0.630689602679251</v>
      </c>
      <c r="AS433" s="214">
        <f t="shared" si="833"/>
        <v>0.63085224567528964</v>
      </c>
      <c r="AT433" s="213">
        <f t="shared" si="833"/>
        <v>0.63085224567528964</v>
      </c>
      <c r="AU433" s="1241">
        <f t="shared" si="833"/>
        <v>0.63157894736842102</v>
      </c>
      <c r="AV433" s="214">
        <f t="shared" si="833"/>
        <v>0.63206203513214121</v>
      </c>
      <c r="AW433" s="214">
        <f t="shared" si="833"/>
        <v>0.63515886955133327</v>
      </c>
      <c r="AX433" s="214">
        <f t="shared" si="833"/>
        <v>0.63640906062624913</v>
      </c>
      <c r="AY433" s="213">
        <f t="shared" si="833"/>
        <v>0.63640906062624913</v>
      </c>
      <c r="AZ433" s="214">
        <f t="shared" si="833"/>
        <v>0.63653013653013657</v>
      </c>
      <c r="BA433" s="214">
        <f t="shared" si="833"/>
        <v>0.63798808735936463</v>
      </c>
      <c r="BB433" s="214">
        <f t="shared" si="833"/>
        <v>0.63715505913272008</v>
      </c>
      <c r="BC433" s="214">
        <f t="shared" si="833"/>
        <v>0.63955048641395507</v>
      </c>
      <c r="BD433" s="213">
        <f t="shared" si="833"/>
        <v>0.63955048641395507</v>
      </c>
      <c r="BE433" s="214">
        <f t="shared" si="833"/>
        <v>0.63876799464345502</v>
      </c>
      <c r="BF433" s="214">
        <f t="shared" si="833"/>
        <v>0.6438038436050364</v>
      </c>
      <c r="BG433" s="214">
        <f t="shared" si="833"/>
        <v>0.64428312159709622</v>
      </c>
      <c r="BH433" s="214">
        <f t="shared" si="833"/>
        <v>0.64601018675721567</v>
      </c>
      <c r="BI433" s="213">
        <f t="shared" si="833"/>
        <v>0.64601018675721567</v>
      </c>
      <c r="BJ433" s="1117">
        <f>BJ430/BJ425</f>
        <v>0.64650059311981023</v>
      </c>
      <c r="BK433" s="214"/>
      <c r="BL433" s="214"/>
      <c r="BM433" s="214"/>
      <c r="BN433" s="213"/>
      <c r="BO433" s="214"/>
      <c r="BP433" s="214"/>
      <c r="BQ433" s="214"/>
      <c r="BR433" s="214"/>
      <c r="BS433" s="213"/>
      <c r="BT433" s="213"/>
      <c r="BU433" s="213"/>
      <c r="BV433" s="213"/>
      <c r="BW433" s="216"/>
    </row>
    <row r="434" spans="1:75" s="217" customFormat="1" hidden="1" outlineLevel="1" x14ac:dyDescent="0.5">
      <c r="A434" s="211"/>
      <c r="B434" s="212"/>
      <c r="C434" s="213"/>
      <c r="D434" s="213"/>
      <c r="E434" s="213"/>
      <c r="F434" s="213"/>
      <c r="G434" s="214"/>
      <c r="H434" s="214"/>
      <c r="I434" s="214"/>
      <c r="J434" s="214"/>
      <c r="K434" s="213"/>
      <c r="L434" s="214"/>
      <c r="M434" s="214"/>
      <c r="N434" s="214"/>
      <c r="O434" s="214"/>
      <c r="P434" s="213"/>
      <c r="Q434" s="214"/>
      <c r="R434" s="214"/>
      <c r="S434" s="214"/>
      <c r="T434" s="214"/>
      <c r="U434" s="213"/>
      <c r="V434" s="214"/>
      <c r="W434" s="214"/>
      <c r="X434" s="214"/>
      <c r="Y434" s="214"/>
      <c r="Z434" s="213"/>
      <c r="AA434" s="214"/>
      <c r="AB434" s="214"/>
      <c r="AC434" s="214"/>
      <c r="AD434" s="214"/>
      <c r="AE434" s="213"/>
      <c r="AF434" s="214"/>
      <c r="AG434" s="214"/>
      <c r="AH434" s="214"/>
      <c r="AI434" s="214"/>
      <c r="AJ434" s="213"/>
      <c r="AK434" s="214"/>
      <c r="AL434" s="214"/>
      <c r="AM434" s="214"/>
      <c r="AN434" s="214"/>
      <c r="AO434" s="213"/>
      <c r="AP434" s="214"/>
      <c r="AQ434" s="214"/>
      <c r="AR434" s="214"/>
      <c r="AS434" s="214"/>
      <c r="AT434" s="213"/>
      <c r="AU434" s="214"/>
      <c r="AV434" s="214"/>
      <c r="AW434" s="214"/>
      <c r="AX434" s="214"/>
      <c r="AY434" s="213"/>
      <c r="AZ434" s="214"/>
      <c r="BA434" s="214"/>
      <c r="BB434" s="214"/>
      <c r="BC434" s="214"/>
      <c r="BD434" s="213"/>
      <c r="BE434" s="214"/>
      <c r="BF434" s="214"/>
      <c r="BG434" s="214"/>
      <c r="BH434" s="214"/>
      <c r="BI434" s="213"/>
      <c r="BJ434" s="1117"/>
      <c r="BK434" s="214"/>
      <c r="BL434" s="214"/>
      <c r="BM434" s="214"/>
      <c r="BN434" s="213"/>
      <c r="BO434" s="214"/>
      <c r="BP434" s="214"/>
      <c r="BQ434" s="214"/>
      <c r="BR434" s="214"/>
      <c r="BS434" s="213"/>
      <c r="BT434" s="213"/>
      <c r="BU434" s="213"/>
      <c r="BV434" s="213"/>
      <c r="BW434" s="216"/>
    </row>
    <row r="435" spans="1:75" s="741" customFormat="1" ht="14.25" hidden="1" outlineLevel="1" x14ac:dyDescent="0.45">
      <c r="A435" s="1242" t="s">
        <v>1922</v>
      </c>
      <c r="B435" s="737"/>
      <c r="C435" s="1243">
        <f t="shared" ref="C435:AJ435" si="834">C391/C430*1000</f>
        <v>499.07892638851979</v>
      </c>
      <c r="D435" s="1243">
        <f t="shared" si="834"/>
        <v>568.46384039900249</v>
      </c>
      <c r="E435" s="1243">
        <f t="shared" si="834"/>
        <v>590.68854314002829</v>
      </c>
      <c r="F435" s="1243">
        <f t="shared" si="834"/>
        <v>612.59413754227728</v>
      </c>
      <c r="G435" s="742">
        <f t="shared" si="834"/>
        <v>130.70942554378138</v>
      </c>
      <c r="H435" s="742">
        <f t="shared" si="834"/>
        <v>140.15333333333336</v>
      </c>
      <c r="I435" s="742">
        <f t="shared" si="834"/>
        <v>148.5886563876652</v>
      </c>
      <c r="J435" s="742">
        <f t="shared" si="834"/>
        <v>211.67604456824515</v>
      </c>
      <c r="K435" s="1243">
        <f t="shared" si="834"/>
        <v>633.11058495821737</v>
      </c>
      <c r="L435" s="742">
        <f t="shared" si="834"/>
        <v>134.17805555555557</v>
      </c>
      <c r="M435" s="742">
        <f t="shared" si="834"/>
        <v>143.55558643690941</v>
      </c>
      <c r="N435" s="742">
        <f t="shared" si="834"/>
        <v>150.80965292841651</v>
      </c>
      <c r="O435" s="742">
        <f t="shared" si="834"/>
        <v>209.63219326818677</v>
      </c>
      <c r="P435" s="1243">
        <f t="shared" si="834"/>
        <v>631.92861020629755</v>
      </c>
      <c r="Q435" s="742">
        <f t="shared" si="834"/>
        <v>134.29576705311405</v>
      </c>
      <c r="R435" s="742">
        <f t="shared" si="834"/>
        <v>147.73667462211614</v>
      </c>
      <c r="S435" s="742">
        <f t="shared" si="834"/>
        <v>157.3042458973691</v>
      </c>
      <c r="T435" s="742">
        <f t="shared" si="834"/>
        <v>207.57799843219232</v>
      </c>
      <c r="U435" s="1243">
        <f t="shared" si="834"/>
        <v>641.10530441599167</v>
      </c>
      <c r="V435" s="742">
        <f t="shared" si="834"/>
        <v>134.88052754072925</v>
      </c>
      <c r="W435" s="742">
        <f t="shared" si="834"/>
        <v>143.64304057524396</v>
      </c>
      <c r="X435" s="742">
        <f t="shared" si="834"/>
        <v>150.43923348461928</v>
      </c>
      <c r="Y435" s="742">
        <f t="shared" si="834"/>
        <v>195.55530245507467</v>
      </c>
      <c r="Z435" s="1243">
        <f t="shared" si="834"/>
        <v>620.14932928372571</v>
      </c>
      <c r="AA435" s="742">
        <f t="shared" si="834"/>
        <v>134.70243531202433</v>
      </c>
      <c r="AB435" s="742">
        <f t="shared" si="834"/>
        <v>142.77463731865933</v>
      </c>
      <c r="AC435" s="742">
        <f t="shared" si="834"/>
        <v>151.1513272140908</v>
      </c>
      <c r="AD435" s="742">
        <f t="shared" si="834"/>
        <v>199.75143070415521</v>
      </c>
      <c r="AE435" s="1243">
        <f t="shared" si="834"/>
        <v>625.5043543169943</v>
      </c>
      <c r="AF435" s="742">
        <f t="shared" si="834"/>
        <v>138.68493150684932</v>
      </c>
      <c r="AG435" s="742">
        <f t="shared" si="834"/>
        <v>144.9561360275998</v>
      </c>
      <c r="AH435" s="742">
        <f t="shared" si="834"/>
        <v>149.42874632713026</v>
      </c>
      <c r="AI435" s="742">
        <f t="shared" si="834"/>
        <v>203.21802679658953</v>
      </c>
      <c r="AJ435" s="1243">
        <f t="shared" si="834"/>
        <v>630.82314250913521</v>
      </c>
      <c r="AK435" s="739"/>
      <c r="AL435" s="739">
        <f>AL391/AL430*1000</f>
        <v>144.22722984733537</v>
      </c>
      <c r="AM435" s="739"/>
      <c r="AN435" s="739"/>
      <c r="AO435" s="1243">
        <f t="shared" ref="AO435:BD435" si="835">AO391/AO430*1000</f>
        <v>625.65451780092019</v>
      </c>
      <c r="AP435" s="739">
        <f t="shared" si="835"/>
        <v>110.89863066538096</v>
      </c>
      <c r="AQ435" s="742">
        <f t="shared" si="835"/>
        <v>86.317606755126661</v>
      </c>
      <c r="AR435" s="742">
        <f t="shared" si="835"/>
        <v>127.77233888486606</v>
      </c>
      <c r="AS435" s="739">
        <f t="shared" si="835"/>
        <v>173.03192452830197</v>
      </c>
      <c r="AT435" s="738">
        <f t="shared" si="835"/>
        <v>511.93879245283023</v>
      </c>
      <c r="AU435" s="739">
        <f t="shared" si="835"/>
        <v>154.11886958710974</v>
      </c>
      <c r="AV435" s="739">
        <f t="shared" si="835"/>
        <v>170.73576614922385</v>
      </c>
      <c r="AW435" s="739">
        <f t="shared" si="835"/>
        <v>169.8561764705882</v>
      </c>
      <c r="AX435" s="739">
        <f t="shared" si="835"/>
        <v>218.22862339701658</v>
      </c>
      <c r="AY435" s="738">
        <f t="shared" si="835"/>
        <v>733.73939806333408</v>
      </c>
      <c r="AZ435" s="739">
        <f t="shared" si="835"/>
        <v>173.14398378236987</v>
      </c>
      <c r="BA435" s="739">
        <f t="shared" si="835"/>
        <v>191.80181587136926</v>
      </c>
      <c r="BB435" s="739">
        <f t="shared" si="835"/>
        <v>197.83472544470223</v>
      </c>
      <c r="BC435" s="739">
        <f t="shared" si="835"/>
        <v>204.66394649881971</v>
      </c>
      <c r="BD435" s="738">
        <f t="shared" si="835"/>
        <v>773.48591135588765</v>
      </c>
      <c r="BE435" s="739"/>
      <c r="BF435" s="739">
        <f>BF391/BF430*1000</f>
        <v>162.96674215131239</v>
      </c>
      <c r="BG435" s="739"/>
      <c r="BH435" s="739"/>
      <c r="BI435" s="738">
        <f>BI391/BI430*1000</f>
        <v>692.56811563731924</v>
      </c>
      <c r="BJ435" s="1244"/>
      <c r="BK435" s="739"/>
      <c r="BL435" s="739"/>
      <c r="BM435" s="739"/>
      <c r="BN435" s="738"/>
      <c r="BO435" s="739"/>
      <c r="BP435" s="739"/>
      <c r="BQ435" s="739"/>
      <c r="BR435" s="739"/>
      <c r="BS435" s="738"/>
      <c r="BT435" s="738"/>
      <c r="BU435" s="738"/>
      <c r="BV435" s="738"/>
      <c r="BW435" s="742"/>
    </row>
    <row r="436" spans="1:75" s="177" customFormat="1" ht="14.25" hidden="1" outlineLevel="1" x14ac:dyDescent="0.45">
      <c r="A436" s="1245" t="s">
        <v>1923</v>
      </c>
      <c r="B436" s="660"/>
      <c r="C436" s="417"/>
      <c r="D436" s="1168">
        <f>D435/C435-1</f>
        <v>0.13902593425968135</v>
      </c>
      <c r="E436" s="1168">
        <f>E435/D435-1</f>
        <v>3.9096071133436272E-2</v>
      </c>
      <c r="F436" s="1168">
        <f>F435/E435-1</f>
        <v>3.7084847262825793E-2</v>
      </c>
      <c r="G436" s="378"/>
      <c r="H436" s="378"/>
      <c r="I436" s="378"/>
      <c r="J436" s="378"/>
      <c r="K436" s="1168">
        <f t="shared" ref="K436:AJ436" si="836">K435/F435-1</f>
        <v>3.3491093300781261E-2</v>
      </c>
      <c r="L436" s="176">
        <f t="shared" si="836"/>
        <v>2.6536953990455414E-2</v>
      </c>
      <c r="M436" s="176">
        <f t="shared" si="836"/>
        <v>2.4275220736165393E-2</v>
      </c>
      <c r="N436" s="176">
        <f t="shared" si="836"/>
        <v>1.4947281944301061E-2</v>
      </c>
      <c r="O436" s="176">
        <f t="shared" si="836"/>
        <v>-9.6555626038232756E-3</v>
      </c>
      <c r="P436" s="1168">
        <f t="shared" si="836"/>
        <v>-1.8669325391200697E-3</v>
      </c>
      <c r="Q436" s="176">
        <f t="shared" si="836"/>
        <v>8.7727830807438067E-4</v>
      </c>
      <c r="R436" s="176">
        <f t="shared" si="836"/>
        <v>2.9125221030978476E-2</v>
      </c>
      <c r="S436" s="176">
        <f t="shared" si="836"/>
        <v>4.306483598921429E-2</v>
      </c>
      <c r="T436" s="176">
        <f t="shared" si="836"/>
        <v>-9.799042809071179E-3</v>
      </c>
      <c r="U436" s="1168">
        <f t="shared" si="836"/>
        <v>1.4521726127731949E-2</v>
      </c>
      <c r="V436" s="176">
        <f t="shared" si="836"/>
        <v>4.3542734104486946E-3</v>
      </c>
      <c r="W436" s="176">
        <f t="shared" si="836"/>
        <v>-2.7708990048293414E-2</v>
      </c>
      <c r="X436" s="176">
        <f t="shared" si="836"/>
        <v>-4.3641621836633671E-2</v>
      </c>
      <c r="Y436" s="176">
        <f t="shared" si="836"/>
        <v>-5.7918932005912915E-2</v>
      </c>
      <c r="Z436" s="1168">
        <f t="shared" si="836"/>
        <v>-3.2687259000852564E-2</v>
      </c>
      <c r="AA436" s="176">
        <f t="shared" si="836"/>
        <v>-1.3203701968850234E-3</v>
      </c>
      <c r="AB436" s="176">
        <f t="shared" si="836"/>
        <v>-6.0455644290663413E-3</v>
      </c>
      <c r="AC436" s="176">
        <f t="shared" si="836"/>
        <v>4.7334309872320013E-3</v>
      </c>
      <c r="AD436" s="176">
        <f t="shared" si="836"/>
        <v>2.145750177264838E-2</v>
      </c>
      <c r="AE436" s="1168">
        <f t="shared" si="836"/>
        <v>8.6350573650602058E-3</v>
      </c>
      <c r="AF436" s="176">
        <f t="shared" si="836"/>
        <v>2.9565138786095124E-2</v>
      </c>
      <c r="AG436" s="176">
        <f t="shared" si="836"/>
        <v>1.5279315359573165E-2</v>
      </c>
      <c r="AH436" s="176">
        <f t="shared" si="836"/>
        <v>-1.1396399348321151E-2</v>
      </c>
      <c r="AI436" s="176">
        <f t="shared" si="836"/>
        <v>1.7354549502919703E-2</v>
      </c>
      <c r="AJ436" s="1168">
        <f t="shared" si="836"/>
        <v>8.5031993069795142E-3</v>
      </c>
      <c r="AK436" s="378"/>
      <c r="AL436" s="378">
        <f>AL435/AG435-1</f>
        <v>-5.0284603345500667E-3</v>
      </c>
      <c r="AM436" s="378"/>
      <c r="AN436" s="378"/>
      <c r="AO436" s="1168">
        <f>AO435/AJ435-1</f>
        <v>-8.1934608290630262E-3</v>
      </c>
      <c r="AP436" s="378"/>
      <c r="AQ436" s="176">
        <f>AQ435/AL435-1</f>
        <v>-0.4015165732123267</v>
      </c>
      <c r="AR436" s="378"/>
      <c r="AS436" s="378"/>
      <c r="AT436" s="417">
        <f t="shared" ref="AT436:BD436" si="837">AT435/AO435-1</f>
        <v>-0.18175482173098234</v>
      </c>
      <c r="AU436" s="378">
        <f t="shared" si="837"/>
        <v>0.38972743542829669</v>
      </c>
      <c r="AV436" s="378">
        <f t="shared" si="837"/>
        <v>0.97799467070005774</v>
      </c>
      <c r="AW436" s="378">
        <f t="shared" si="837"/>
        <v>0.32936579194690419</v>
      </c>
      <c r="AX436" s="378">
        <f t="shared" si="837"/>
        <v>0.26120439330443901</v>
      </c>
      <c r="AY436" s="417">
        <f t="shared" si="837"/>
        <v>0.43325610186288133</v>
      </c>
      <c r="AZ436" s="378">
        <f t="shared" si="837"/>
        <v>0.12344441823528252</v>
      </c>
      <c r="BA436" s="378">
        <f t="shared" si="837"/>
        <v>0.12338392943241661</v>
      </c>
      <c r="BB436" s="378">
        <f t="shared" si="837"/>
        <v>0.16471905558853028</v>
      </c>
      <c r="BC436" s="378">
        <f t="shared" si="837"/>
        <v>-6.2158101384890641E-2</v>
      </c>
      <c r="BD436" s="417">
        <f t="shared" si="837"/>
        <v>5.4169795703300716E-2</v>
      </c>
      <c r="BE436" s="473"/>
      <c r="BF436" s="378">
        <f>BF435/BA435-1</f>
        <v>-0.15033785571349823</v>
      </c>
      <c r="BG436" s="378"/>
      <c r="BH436" s="378"/>
      <c r="BI436" s="417">
        <f t="shared" ref="BI436" si="838">BI435/BD435-1</f>
        <v>-0.10461444032861955</v>
      </c>
      <c r="BJ436" s="1246"/>
      <c r="BK436" s="378"/>
      <c r="BL436" s="378"/>
      <c r="BM436" s="378"/>
      <c r="BN436" s="417"/>
      <c r="BO436" s="378"/>
      <c r="BP436" s="378"/>
      <c r="BQ436" s="378"/>
      <c r="BR436" s="378"/>
      <c r="BS436" s="417"/>
      <c r="BT436" s="417"/>
      <c r="BU436" s="417"/>
      <c r="BV436" s="417"/>
      <c r="BW436" s="176"/>
    </row>
    <row r="437" spans="1:75" s="123" customFormat="1" collapsed="1" x14ac:dyDescent="0.5">
      <c r="A437" s="752"/>
      <c r="B437" s="489"/>
      <c r="C437" s="401"/>
      <c r="D437" s="401"/>
      <c r="E437" s="401"/>
      <c r="F437" s="401"/>
      <c r="G437" s="118"/>
      <c r="H437" s="118"/>
      <c r="I437" s="118"/>
      <c r="J437" s="118"/>
      <c r="K437" s="401"/>
      <c r="L437" s="118"/>
      <c r="M437" s="118"/>
      <c r="N437" s="118"/>
      <c r="O437" s="118"/>
      <c r="P437" s="401"/>
      <c r="Q437" s="118"/>
      <c r="R437" s="118"/>
      <c r="S437" s="118"/>
      <c r="T437" s="118"/>
      <c r="U437" s="401"/>
      <c r="V437" s="118"/>
      <c r="W437" s="118"/>
      <c r="X437" s="118"/>
      <c r="Y437" s="118"/>
      <c r="Z437" s="401"/>
      <c r="AA437" s="118"/>
      <c r="AB437" s="118"/>
      <c r="AC437" s="118"/>
      <c r="AD437" s="118"/>
      <c r="AE437" s="401"/>
      <c r="AF437" s="118"/>
      <c r="AG437" s="118"/>
      <c r="AH437" s="118"/>
      <c r="AI437" s="118"/>
      <c r="AJ437" s="401"/>
      <c r="AK437" s="118"/>
      <c r="AL437" s="118"/>
      <c r="AM437" s="118"/>
      <c r="AN437" s="118"/>
      <c r="AO437" s="401"/>
      <c r="AP437" s="118"/>
      <c r="AQ437" s="118"/>
      <c r="AR437" s="118"/>
      <c r="AS437" s="118"/>
      <c r="AT437" s="401"/>
      <c r="AU437" s="118"/>
      <c r="AV437" s="118"/>
      <c r="AW437" s="118"/>
      <c r="AX437" s="118"/>
      <c r="AY437" s="401"/>
      <c r="AZ437" s="118"/>
      <c r="BA437" s="118"/>
      <c r="BB437" s="118"/>
      <c r="BC437" s="118"/>
      <c r="BD437" s="401"/>
      <c r="BE437" s="118"/>
      <c r="BF437" s="118"/>
      <c r="BG437" s="118"/>
      <c r="BH437" s="118"/>
      <c r="BI437" s="401"/>
      <c r="BJ437" s="971"/>
      <c r="BK437" s="118"/>
      <c r="BL437" s="118"/>
      <c r="BM437" s="118"/>
      <c r="BN437" s="401"/>
      <c r="BO437" s="118"/>
      <c r="BP437" s="118"/>
      <c r="BQ437" s="118"/>
      <c r="BR437" s="118"/>
      <c r="BS437" s="401"/>
      <c r="BT437" s="401"/>
      <c r="BU437" s="401"/>
      <c r="BV437" s="401"/>
      <c r="BW437" s="122"/>
    </row>
    <row r="438" spans="1:75" s="123" customFormat="1" collapsed="1" x14ac:dyDescent="0.5">
      <c r="A438" s="482" t="s">
        <v>807</v>
      </c>
      <c r="B438" s="482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  <c r="AA438" s="239"/>
      <c r="AB438" s="239"/>
      <c r="AC438" s="239"/>
      <c r="AD438" s="239"/>
      <c r="AE438" s="239"/>
      <c r="AF438" s="239"/>
      <c r="AG438" s="239"/>
      <c r="AH438" s="239"/>
      <c r="AI438" s="239"/>
      <c r="AJ438" s="239"/>
      <c r="AK438" s="239"/>
      <c r="AL438" s="239"/>
      <c r="AM438" s="239"/>
      <c r="AN438" s="239"/>
      <c r="AO438" s="239"/>
      <c r="AP438" s="239"/>
      <c r="AQ438" s="239"/>
      <c r="AR438" s="239"/>
      <c r="AS438" s="239"/>
      <c r="AT438" s="239"/>
      <c r="AU438" s="239"/>
      <c r="AV438" s="239"/>
      <c r="AW438" s="239"/>
      <c r="AX438" s="239"/>
      <c r="AY438" s="239"/>
      <c r="AZ438" s="239"/>
      <c r="BA438" s="239"/>
      <c r="BB438" s="239"/>
      <c r="BC438" s="239"/>
      <c r="BD438" s="239"/>
      <c r="BE438" s="239"/>
      <c r="BF438" s="239"/>
      <c r="BG438" s="239"/>
      <c r="BH438" s="239"/>
      <c r="BI438" s="239"/>
      <c r="BJ438" s="241"/>
      <c r="BK438" s="239"/>
      <c r="BL438" s="239"/>
      <c r="BM438" s="239"/>
      <c r="BN438" s="239"/>
      <c r="BO438" s="239"/>
      <c r="BP438" s="239"/>
      <c r="BQ438" s="239"/>
      <c r="BR438" s="239"/>
      <c r="BS438" s="239"/>
      <c r="BT438" s="239"/>
      <c r="BU438" s="239"/>
      <c r="BV438" s="239"/>
      <c r="BW438" s="122"/>
    </row>
    <row r="439" spans="1:75" s="198" customFormat="1" ht="14.25" hidden="1" outlineLevel="1" x14ac:dyDescent="0.45">
      <c r="A439" s="239" t="s">
        <v>1924</v>
      </c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  <c r="AA439" s="239"/>
      <c r="AB439" s="239"/>
      <c r="AC439" s="239"/>
      <c r="AD439" s="239"/>
      <c r="AE439" s="239"/>
      <c r="AF439" s="239"/>
      <c r="AG439" s="239"/>
      <c r="AH439" s="239"/>
      <c r="AI439" s="239"/>
      <c r="AJ439" s="239"/>
      <c r="AK439" s="239"/>
      <c r="AL439" s="239"/>
      <c r="AM439" s="239"/>
      <c r="AN439" s="239"/>
      <c r="AO439" s="239"/>
      <c r="AP439" s="239"/>
      <c r="AQ439" s="239"/>
      <c r="AR439" s="239"/>
      <c r="AS439" s="239"/>
      <c r="AT439" s="239"/>
      <c r="AU439" s="239"/>
      <c r="AV439" s="239"/>
      <c r="AW439" s="239"/>
      <c r="AX439" s="239"/>
      <c r="AY439" s="239"/>
      <c r="AZ439" s="239"/>
      <c r="BA439" s="239"/>
      <c r="BB439" s="239"/>
      <c r="BC439" s="239"/>
      <c r="BD439" s="239"/>
      <c r="BE439" s="239"/>
      <c r="BF439" s="239"/>
      <c r="BG439" s="239"/>
      <c r="BH439" s="239"/>
      <c r="BI439" s="239"/>
      <c r="BJ439" s="241"/>
      <c r="BK439" s="239"/>
      <c r="BL439" s="239"/>
      <c r="BM439" s="239"/>
      <c r="BN439" s="239"/>
      <c r="BO439" s="239"/>
      <c r="BP439" s="239"/>
      <c r="BQ439" s="239"/>
      <c r="BR439" s="239"/>
      <c r="BS439" s="239"/>
      <c r="BT439" s="239"/>
      <c r="BU439" s="239"/>
      <c r="BV439" s="239"/>
      <c r="BW439" s="197"/>
    </row>
    <row r="440" spans="1:75" s="224" customFormat="1" hidden="1" outlineLevel="2" x14ac:dyDescent="0.5">
      <c r="A440" s="218" t="s">
        <v>1925</v>
      </c>
      <c r="B440" s="494"/>
      <c r="C440" s="427">
        <v>13000</v>
      </c>
      <c r="D440" s="427">
        <v>13100</v>
      </c>
      <c r="E440" s="427">
        <v>13800</v>
      </c>
      <c r="F440" s="427">
        <v>13900</v>
      </c>
      <c r="G440" s="256">
        <v>13800</v>
      </c>
      <c r="H440" s="256">
        <v>13800</v>
      </c>
      <c r="I440" s="256">
        <v>13800</v>
      </c>
      <c r="J440" s="487">
        <f>K440</f>
        <v>13800</v>
      </c>
      <c r="K440" s="427">
        <v>13800</v>
      </c>
      <c r="L440" s="256">
        <v>13800</v>
      </c>
      <c r="M440" s="256">
        <v>13700</v>
      </c>
      <c r="N440" s="256">
        <v>13700</v>
      </c>
      <c r="O440" s="487">
        <f>P440</f>
        <v>13700</v>
      </c>
      <c r="P440" s="427">
        <v>13700</v>
      </c>
      <c r="Q440" s="256">
        <v>13700</v>
      </c>
      <c r="R440" s="256">
        <v>13700</v>
      </c>
      <c r="S440" s="256">
        <v>13700</v>
      </c>
      <c r="T440" s="487">
        <f>U440</f>
        <v>13800</v>
      </c>
      <c r="U440" s="427">
        <v>13800</v>
      </c>
      <c r="V440" s="256">
        <v>13800</v>
      </c>
      <c r="W440" s="256">
        <v>13800</v>
      </c>
      <c r="X440" s="256">
        <v>13800</v>
      </c>
      <c r="Y440" s="487">
        <f>Z440</f>
        <v>13900</v>
      </c>
      <c r="Z440" s="427">
        <v>13900</v>
      </c>
      <c r="AA440" s="256">
        <v>13800</v>
      </c>
      <c r="AB440" s="256">
        <v>13800</v>
      </c>
      <c r="AC440" s="256">
        <v>13900</v>
      </c>
      <c r="AD440" s="487">
        <f>AE440</f>
        <v>13900</v>
      </c>
      <c r="AE440" s="427">
        <v>13900</v>
      </c>
      <c r="AF440" s="256">
        <v>13900</v>
      </c>
      <c r="AG440" s="256">
        <v>13900</v>
      </c>
      <c r="AH440" s="256">
        <v>13900</v>
      </c>
      <c r="AI440" s="487">
        <f>AJ440</f>
        <v>14200</v>
      </c>
      <c r="AJ440" s="427">
        <v>14200</v>
      </c>
      <c r="AK440" s="256">
        <v>14100</v>
      </c>
      <c r="AL440" s="256">
        <v>14400</v>
      </c>
      <c r="AM440" s="256">
        <v>14400</v>
      </c>
      <c r="AN440" s="487">
        <f>AO440</f>
        <v>14400</v>
      </c>
      <c r="AO440" s="427">
        <v>14400</v>
      </c>
      <c r="AP440" s="256">
        <v>14400</v>
      </c>
      <c r="AQ440" s="256">
        <v>14400</v>
      </c>
      <c r="AR440" s="256">
        <v>14400</v>
      </c>
      <c r="AS440" s="487">
        <f>AT440</f>
        <v>14600</v>
      </c>
      <c r="AT440" s="427">
        <v>14600</v>
      </c>
      <c r="AU440" s="256">
        <v>14600</v>
      </c>
      <c r="AV440" s="256">
        <v>14600</v>
      </c>
      <c r="AW440" s="256">
        <v>14500</v>
      </c>
      <c r="AX440" s="487">
        <f>AY440</f>
        <v>14500</v>
      </c>
      <c r="AY440" s="427">
        <v>14500</v>
      </c>
      <c r="AZ440" s="256">
        <v>14500</v>
      </c>
      <c r="BA440" s="256">
        <v>14600</v>
      </c>
      <c r="BB440" s="256">
        <v>14800</v>
      </c>
      <c r="BC440" s="487">
        <f>BD440</f>
        <v>14800</v>
      </c>
      <c r="BD440" s="427">
        <v>14800</v>
      </c>
      <c r="BE440" s="256">
        <v>14800</v>
      </c>
      <c r="BF440" s="256">
        <v>15000</v>
      </c>
      <c r="BG440" s="256">
        <v>15000</v>
      </c>
      <c r="BH440" s="487">
        <f>BI440</f>
        <v>15000</v>
      </c>
      <c r="BI440" s="427">
        <v>15000</v>
      </c>
      <c r="BJ440" s="1126">
        <v>15100</v>
      </c>
      <c r="BK440" s="487">
        <f t="shared" ref="BK440:BV440" si="839">BK70</f>
        <v>15103.269786002007</v>
      </c>
      <c r="BL440" s="487">
        <f t="shared" si="839"/>
        <v>15104.259384228671</v>
      </c>
      <c r="BM440" s="487">
        <f t="shared" si="839"/>
        <v>15105.298056583675</v>
      </c>
      <c r="BN440" s="425">
        <f t="shared" si="839"/>
        <v>15105.298056583675</v>
      </c>
      <c r="BO440" s="487">
        <f t="shared" si="839"/>
        <v>15106.459917871376</v>
      </c>
      <c r="BP440" s="487">
        <f t="shared" si="839"/>
        <v>15106.459917871374</v>
      </c>
      <c r="BQ440" s="487">
        <f t="shared" si="839"/>
        <v>15106.459917871374</v>
      </c>
      <c r="BR440" s="487">
        <f t="shared" si="839"/>
        <v>15106.459917871372</v>
      </c>
      <c r="BS440" s="425">
        <f t="shared" si="839"/>
        <v>15106.459917871376</v>
      </c>
      <c r="BT440" s="425">
        <f t="shared" si="839"/>
        <v>15106.459917871376</v>
      </c>
      <c r="BU440" s="425">
        <f t="shared" si="839"/>
        <v>15106.459917871376</v>
      </c>
      <c r="BV440" s="425">
        <f t="shared" si="839"/>
        <v>15106.459917871376</v>
      </c>
      <c r="BW440" s="223"/>
    </row>
    <row r="441" spans="1:75" s="224" customFormat="1" hidden="1" outlineLevel="2" x14ac:dyDescent="0.5">
      <c r="A441" s="218" t="s">
        <v>1926</v>
      </c>
      <c r="B441" s="494"/>
      <c r="C441" s="427">
        <v>17600</v>
      </c>
      <c r="D441" s="427">
        <v>17100</v>
      </c>
      <c r="E441" s="427">
        <v>17100</v>
      </c>
      <c r="F441" s="427">
        <v>14900</v>
      </c>
      <c r="G441" s="256">
        <v>14800</v>
      </c>
      <c r="H441" s="256">
        <v>14600</v>
      </c>
      <c r="I441" s="256">
        <v>14300</v>
      </c>
      <c r="J441" s="487">
        <f>K441</f>
        <v>14100</v>
      </c>
      <c r="K441" s="427">
        <v>14100</v>
      </c>
      <c r="L441" s="256">
        <v>14100</v>
      </c>
      <c r="M441" s="256">
        <v>14000</v>
      </c>
      <c r="N441" s="256">
        <v>13800</v>
      </c>
      <c r="O441" s="487">
        <f>P441</f>
        <v>13700</v>
      </c>
      <c r="P441" s="427">
        <v>13700</v>
      </c>
      <c r="Q441" s="256">
        <v>13600</v>
      </c>
      <c r="R441" s="256">
        <v>13400</v>
      </c>
      <c r="S441" s="256">
        <v>13400</v>
      </c>
      <c r="T441" s="487">
        <f>U441</f>
        <v>13200</v>
      </c>
      <c r="U441" s="427">
        <v>13200</v>
      </c>
      <c r="V441" s="256">
        <v>13200</v>
      </c>
      <c r="W441" s="256">
        <v>13300</v>
      </c>
      <c r="X441" s="256">
        <v>13300</v>
      </c>
      <c r="Y441" s="487">
        <f>Z441</f>
        <v>13300</v>
      </c>
      <c r="Z441" s="427">
        <v>13300</v>
      </c>
      <c r="AA441" s="256">
        <v>13300</v>
      </c>
      <c r="AB441" s="256">
        <v>13200</v>
      </c>
      <c r="AC441" s="256">
        <v>13100</v>
      </c>
      <c r="AD441" s="487">
        <f>AE441</f>
        <v>13100</v>
      </c>
      <c r="AE441" s="427">
        <v>13100</v>
      </c>
      <c r="AF441" s="256">
        <v>13000</v>
      </c>
      <c r="AG441" s="256">
        <v>13100</v>
      </c>
      <c r="AH441" s="256">
        <v>13200</v>
      </c>
      <c r="AI441" s="487">
        <f>AJ441</f>
        <v>13100</v>
      </c>
      <c r="AJ441" s="427">
        <v>13100</v>
      </c>
      <c r="AK441" s="256">
        <v>13100</v>
      </c>
      <c r="AL441" s="256">
        <v>13100</v>
      </c>
      <c r="AM441" s="256">
        <v>13100</v>
      </c>
      <c r="AN441" s="487">
        <f>AO441</f>
        <v>13100</v>
      </c>
      <c r="AO441" s="427">
        <v>13100</v>
      </c>
      <c r="AP441" s="256">
        <v>13200</v>
      </c>
      <c r="AQ441" s="256">
        <v>13200</v>
      </c>
      <c r="AR441" s="256">
        <v>13100</v>
      </c>
      <c r="AS441" s="487">
        <f>AT441</f>
        <v>13100</v>
      </c>
      <c r="AT441" s="427">
        <v>13100</v>
      </c>
      <c r="AU441" s="256">
        <v>13100</v>
      </c>
      <c r="AV441" s="256">
        <v>13100</v>
      </c>
      <c r="AW441" s="256">
        <v>13100</v>
      </c>
      <c r="AX441" s="487">
        <f>AY441</f>
        <v>13200</v>
      </c>
      <c r="AY441" s="427">
        <v>13200</v>
      </c>
      <c r="AZ441" s="256">
        <v>13200</v>
      </c>
      <c r="BA441" s="256">
        <v>13200</v>
      </c>
      <c r="BB441" s="256">
        <v>13200</v>
      </c>
      <c r="BC441" s="487">
        <f>BD441</f>
        <v>13200</v>
      </c>
      <c r="BD441" s="427">
        <v>13200</v>
      </c>
      <c r="BE441" s="256">
        <v>13200</v>
      </c>
      <c r="BF441" s="256">
        <v>13200</v>
      </c>
      <c r="BG441" s="256">
        <v>13200</v>
      </c>
      <c r="BH441" s="487">
        <f>BI441</f>
        <v>13200</v>
      </c>
      <c r="BI441" s="427">
        <v>13200</v>
      </c>
      <c r="BJ441" s="1126">
        <v>13300</v>
      </c>
      <c r="BK441" s="487">
        <f t="shared" ref="BK441:BV441" si="840">BK126</f>
        <v>13300.000181040723</v>
      </c>
      <c r="BL441" s="487">
        <f t="shared" si="840"/>
        <v>13300.000181040723</v>
      </c>
      <c r="BM441" s="487">
        <f t="shared" si="840"/>
        <v>13300.000181040723</v>
      </c>
      <c r="BN441" s="425">
        <f t="shared" si="840"/>
        <v>13300.000181040723</v>
      </c>
      <c r="BO441" s="487">
        <f t="shared" si="840"/>
        <v>13300.854880335171</v>
      </c>
      <c r="BP441" s="487">
        <f t="shared" si="840"/>
        <v>13300.847575212996</v>
      </c>
      <c r="BQ441" s="487">
        <f t="shared" si="840"/>
        <v>13300.840332527765</v>
      </c>
      <c r="BR441" s="487">
        <f t="shared" si="840"/>
        <v>13300.833151745825</v>
      </c>
      <c r="BS441" s="425">
        <f t="shared" si="840"/>
        <v>13300.833151745825</v>
      </c>
      <c r="BT441" s="425">
        <f t="shared" si="840"/>
        <v>13300.836219557395</v>
      </c>
      <c r="BU441" s="425">
        <f t="shared" si="840"/>
        <v>13300.836219557397</v>
      </c>
      <c r="BV441" s="425">
        <f t="shared" si="840"/>
        <v>13300.836219557395</v>
      </c>
      <c r="BW441" s="223"/>
    </row>
    <row r="442" spans="1:75" s="224" customFormat="1" hidden="1" outlineLevel="2" x14ac:dyDescent="0.5">
      <c r="A442" s="218" t="s">
        <v>1927</v>
      </c>
      <c r="B442" s="494"/>
      <c r="C442" s="427">
        <v>6300</v>
      </c>
      <c r="D442" s="427">
        <v>6400</v>
      </c>
      <c r="E442" s="427">
        <v>6500</v>
      </c>
      <c r="F442" s="427">
        <v>6600</v>
      </c>
      <c r="G442" s="256">
        <v>6600</v>
      </c>
      <c r="H442" s="256">
        <v>6600</v>
      </c>
      <c r="I442" s="256">
        <v>6600</v>
      </c>
      <c r="J442" s="487">
        <f>K442</f>
        <v>6600</v>
      </c>
      <c r="K442" s="427">
        <v>6600</v>
      </c>
      <c r="L442" s="256">
        <v>6600</v>
      </c>
      <c r="M442" s="256">
        <v>6600</v>
      </c>
      <c r="N442" s="256">
        <v>6600</v>
      </c>
      <c r="O442" s="487">
        <f>P442</f>
        <v>6600</v>
      </c>
      <c r="P442" s="427">
        <v>6600</v>
      </c>
      <c r="Q442" s="256">
        <v>6600</v>
      </c>
      <c r="R442" s="256">
        <v>6600</v>
      </c>
      <c r="S442" s="256">
        <v>6600</v>
      </c>
      <c r="T442" s="487">
        <f>U442</f>
        <v>6600</v>
      </c>
      <c r="U442" s="427">
        <v>6600</v>
      </c>
      <c r="V442" s="256">
        <v>6600</v>
      </c>
      <c r="W442" s="256">
        <v>6600</v>
      </c>
      <c r="X442" s="256">
        <v>6600</v>
      </c>
      <c r="Y442" s="487">
        <f>Z442</f>
        <v>6600</v>
      </c>
      <c r="Z442" s="427">
        <v>6600</v>
      </c>
      <c r="AA442" s="256">
        <v>6600</v>
      </c>
      <c r="AB442" s="256">
        <v>6600</v>
      </c>
      <c r="AC442" s="256">
        <v>6700</v>
      </c>
      <c r="AD442" s="487">
        <f>AE442</f>
        <v>6700</v>
      </c>
      <c r="AE442" s="427">
        <v>6700</v>
      </c>
      <c r="AF442" s="256">
        <v>6800</v>
      </c>
      <c r="AG442" s="256">
        <v>6800</v>
      </c>
      <c r="AH442" s="256">
        <v>6800</v>
      </c>
      <c r="AI442" s="487">
        <f>AJ442</f>
        <v>6900</v>
      </c>
      <c r="AJ442" s="427">
        <v>6900</v>
      </c>
      <c r="AK442" s="256">
        <v>6800</v>
      </c>
      <c r="AL442" s="256">
        <v>6800</v>
      </c>
      <c r="AM442" s="256">
        <v>6900</v>
      </c>
      <c r="AN442" s="487">
        <f>AO442</f>
        <v>6900</v>
      </c>
      <c r="AO442" s="427">
        <v>6900</v>
      </c>
      <c r="AP442" s="256">
        <v>6900</v>
      </c>
      <c r="AQ442" s="256">
        <v>6800</v>
      </c>
      <c r="AR442" s="256">
        <v>6800</v>
      </c>
      <c r="AS442" s="487">
        <f>AT442</f>
        <v>6800</v>
      </c>
      <c r="AT442" s="427">
        <v>6800</v>
      </c>
      <c r="AU442" s="256">
        <v>6800</v>
      </c>
      <c r="AV442" s="256">
        <v>6800</v>
      </c>
      <c r="AW442" s="256">
        <v>6800</v>
      </c>
      <c r="AX442" s="487">
        <f>AY442</f>
        <v>6800</v>
      </c>
      <c r="AY442" s="427">
        <v>6800</v>
      </c>
      <c r="AZ442" s="256">
        <v>6900</v>
      </c>
      <c r="BA442" s="256">
        <v>6800</v>
      </c>
      <c r="BB442" s="256">
        <v>6800</v>
      </c>
      <c r="BC442" s="487">
        <f>BD442</f>
        <v>6800</v>
      </c>
      <c r="BD442" s="427">
        <v>6800</v>
      </c>
      <c r="BE442" s="256">
        <v>6900</v>
      </c>
      <c r="BF442" s="256">
        <v>6900</v>
      </c>
      <c r="BG442" s="256">
        <v>6900</v>
      </c>
      <c r="BH442" s="487">
        <f>BI442</f>
        <v>6900</v>
      </c>
      <c r="BI442" s="427">
        <v>6900</v>
      </c>
      <c r="BJ442" s="1126">
        <v>6900</v>
      </c>
      <c r="BK442" s="487">
        <f t="shared" ref="BK442:BV442" si="841">BK182</f>
        <v>6922.3907575913754</v>
      </c>
      <c r="BL442" s="487">
        <f t="shared" si="841"/>
        <v>6945.3582702235399</v>
      </c>
      <c r="BM442" s="487">
        <f t="shared" si="841"/>
        <v>6968.9635333814358</v>
      </c>
      <c r="BN442" s="425">
        <f t="shared" si="841"/>
        <v>6968.9635333814358</v>
      </c>
      <c r="BO442" s="487">
        <f t="shared" si="841"/>
        <v>6993.2067766246792</v>
      </c>
      <c r="BP442" s="487">
        <f t="shared" si="841"/>
        <v>7018.3639678754362</v>
      </c>
      <c r="BQ442" s="487">
        <f t="shared" si="841"/>
        <v>7043.9684192989589</v>
      </c>
      <c r="BR442" s="487">
        <f t="shared" si="841"/>
        <v>7070.0375200287108</v>
      </c>
      <c r="BS442" s="425">
        <f t="shared" si="841"/>
        <v>7070.0375200287108</v>
      </c>
      <c r="BT442" s="425">
        <f t="shared" si="841"/>
        <v>7181.4392110427216</v>
      </c>
      <c r="BU442" s="425">
        <f t="shared" si="841"/>
        <v>7300.3101961254361</v>
      </c>
      <c r="BV442" s="425">
        <f t="shared" si="841"/>
        <v>7427.4233685286472</v>
      </c>
      <c r="BW442" s="223"/>
    </row>
    <row r="443" spans="1:75" s="224" customFormat="1" hidden="1" outlineLevel="2" x14ac:dyDescent="0.5">
      <c r="A443" s="218" t="s">
        <v>1928</v>
      </c>
      <c r="B443" s="494"/>
      <c r="C443" s="427">
        <v>8100</v>
      </c>
      <c r="D443" s="427">
        <v>8100</v>
      </c>
      <c r="E443" s="427">
        <v>8200</v>
      </c>
      <c r="F443" s="427">
        <v>8100</v>
      </c>
      <c r="G443" s="256">
        <v>8100</v>
      </c>
      <c r="H443" s="256">
        <v>8000</v>
      </c>
      <c r="I443" s="256">
        <v>8000</v>
      </c>
      <c r="J443" s="487">
        <f>K443</f>
        <v>7900</v>
      </c>
      <c r="K443" s="427">
        <v>7900</v>
      </c>
      <c r="L443" s="256">
        <v>7700</v>
      </c>
      <c r="M443" s="256">
        <v>7700</v>
      </c>
      <c r="N443" s="256">
        <v>7700</v>
      </c>
      <c r="O443" s="487">
        <f>P443</f>
        <v>7600</v>
      </c>
      <c r="P443" s="427">
        <v>7600</v>
      </c>
      <c r="Q443" s="256">
        <v>7500</v>
      </c>
      <c r="R443" s="256">
        <v>7500</v>
      </c>
      <c r="S443" s="256">
        <v>7500</v>
      </c>
      <c r="T443" s="487">
        <f>U443</f>
        <v>7500</v>
      </c>
      <c r="U443" s="427">
        <v>7500</v>
      </c>
      <c r="V443" s="256">
        <v>7500</v>
      </c>
      <c r="W443" s="256">
        <v>7500</v>
      </c>
      <c r="X443" s="256">
        <v>7500</v>
      </c>
      <c r="Y443" s="487">
        <f>Z443</f>
        <v>7400</v>
      </c>
      <c r="Z443" s="427">
        <v>7400</v>
      </c>
      <c r="AA443" s="256">
        <v>7400</v>
      </c>
      <c r="AB443" s="256">
        <v>7400</v>
      </c>
      <c r="AC443" s="256">
        <v>7400</v>
      </c>
      <c r="AD443" s="487">
        <f>AE443</f>
        <v>7400</v>
      </c>
      <c r="AE443" s="427">
        <v>7400</v>
      </c>
      <c r="AF443" s="256">
        <v>7400</v>
      </c>
      <c r="AG443" s="256">
        <v>7400</v>
      </c>
      <c r="AH443" s="256">
        <v>7500</v>
      </c>
      <c r="AI443" s="487">
        <f>AJ443</f>
        <v>7500</v>
      </c>
      <c r="AJ443" s="425">
        <f>AH443</f>
        <v>7500</v>
      </c>
      <c r="AK443" s="256">
        <v>7500</v>
      </c>
      <c r="AL443" s="256">
        <v>7500</v>
      </c>
      <c r="AM443" s="256">
        <v>7500</v>
      </c>
      <c r="AN443" s="487">
        <f>AO443</f>
        <v>7700</v>
      </c>
      <c r="AO443" s="427">
        <v>7700</v>
      </c>
      <c r="AP443" s="256">
        <v>7700</v>
      </c>
      <c r="AQ443" s="256">
        <v>7800</v>
      </c>
      <c r="AR443" s="256">
        <v>7800</v>
      </c>
      <c r="AS443" s="487">
        <f>AT443</f>
        <v>7800</v>
      </c>
      <c r="AT443" s="427">
        <v>7800</v>
      </c>
      <c r="AU443" s="256">
        <v>7800</v>
      </c>
      <c r="AV443" s="256">
        <v>7800</v>
      </c>
      <c r="AW443" s="256">
        <v>7800</v>
      </c>
      <c r="AX443" s="487">
        <f>AY443</f>
        <v>7700</v>
      </c>
      <c r="AY443" s="427">
        <v>7700</v>
      </c>
      <c r="AZ443" s="256">
        <v>7700</v>
      </c>
      <c r="BA443" s="256">
        <v>7700</v>
      </c>
      <c r="BB443" s="256">
        <v>7700</v>
      </c>
      <c r="BC443" s="487">
        <f>BD443</f>
        <v>7700</v>
      </c>
      <c r="BD443" s="427">
        <v>7700</v>
      </c>
      <c r="BE443" s="256">
        <v>7700</v>
      </c>
      <c r="BF443" s="256">
        <v>7700</v>
      </c>
      <c r="BG443" s="256">
        <v>7800</v>
      </c>
      <c r="BH443" s="487">
        <f>BI443</f>
        <v>7800</v>
      </c>
      <c r="BI443" s="427">
        <v>7800</v>
      </c>
      <c r="BJ443" s="1126">
        <v>7900</v>
      </c>
      <c r="BK443" s="487">
        <f t="shared" ref="BK443:BV443" si="842">BK230</f>
        <v>7900</v>
      </c>
      <c r="BL443" s="487">
        <f t="shared" si="842"/>
        <v>7900</v>
      </c>
      <c r="BM443" s="487">
        <f t="shared" si="842"/>
        <v>7900</v>
      </c>
      <c r="BN443" s="425">
        <f t="shared" si="842"/>
        <v>7900</v>
      </c>
      <c r="BO443" s="487">
        <f t="shared" si="842"/>
        <v>7900</v>
      </c>
      <c r="BP443" s="487">
        <f t="shared" si="842"/>
        <v>7900</v>
      </c>
      <c r="BQ443" s="487">
        <f t="shared" si="842"/>
        <v>7900</v>
      </c>
      <c r="BR443" s="487">
        <f t="shared" si="842"/>
        <v>7900</v>
      </c>
      <c r="BS443" s="425">
        <f t="shared" si="842"/>
        <v>7900</v>
      </c>
      <c r="BT443" s="425">
        <f t="shared" si="842"/>
        <v>7900</v>
      </c>
      <c r="BU443" s="425">
        <f t="shared" si="842"/>
        <v>7900</v>
      </c>
      <c r="BV443" s="425">
        <f t="shared" si="842"/>
        <v>7900</v>
      </c>
      <c r="BW443" s="223"/>
    </row>
    <row r="444" spans="1:75" s="224" customFormat="1" hidden="1" outlineLevel="2" x14ac:dyDescent="0.5">
      <c r="A444" s="218" t="s">
        <v>1929</v>
      </c>
      <c r="B444" s="494"/>
      <c r="C444" s="425"/>
      <c r="D444" s="425"/>
      <c r="E444" s="427">
        <v>17200</v>
      </c>
      <c r="F444" s="427">
        <v>13200</v>
      </c>
      <c r="G444" s="256">
        <v>13200</v>
      </c>
      <c r="H444" s="256">
        <v>13200</v>
      </c>
      <c r="I444" s="256">
        <v>13200</v>
      </c>
      <c r="J444" s="487">
        <f>K444</f>
        <v>13200</v>
      </c>
      <c r="K444" s="427">
        <v>13200</v>
      </c>
      <c r="L444" s="256">
        <v>13200</v>
      </c>
      <c r="M444" s="256">
        <v>13200</v>
      </c>
      <c r="N444" s="256">
        <v>13200</v>
      </c>
      <c r="O444" s="487">
        <f>P444</f>
        <v>10000</v>
      </c>
      <c r="P444" s="427">
        <v>10000</v>
      </c>
      <c r="Q444" s="256">
        <v>10000</v>
      </c>
      <c r="R444" s="256">
        <v>10000</v>
      </c>
      <c r="S444" s="256">
        <v>9000</v>
      </c>
      <c r="T444" s="487">
        <f>U444</f>
        <v>9000</v>
      </c>
      <c r="U444" s="427">
        <v>9000</v>
      </c>
      <c r="V444" s="256">
        <v>9000</v>
      </c>
      <c r="W444" s="256">
        <v>9000</v>
      </c>
      <c r="X444" s="256">
        <v>9300</v>
      </c>
      <c r="Y444" s="487">
        <f>Z444</f>
        <v>9100</v>
      </c>
      <c r="Z444" s="427">
        <v>9100</v>
      </c>
      <c r="AA444" s="256">
        <v>8800</v>
      </c>
      <c r="AB444" s="256">
        <v>8800</v>
      </c>
      <c r="AC444" s="256">
        <v>8800</v>
      </c>
      <c r="AD444" s="487">
        <f>AE444</f>
        <v>8800</v>
      </c>
      <c r="AE444" s="427">
        <v>8800</v>
      </c>
      <c r="AF444" s="256">
        <v>8800</v>
      </c>
      <c r="AG444" s="256">
        <v>8800</v>
      </c>
      <c r="AH444" s="256">
        <v>8800</v>
      </c>
      <c r="AI444" s="487">
        <f>AJ444</f>
        <v>8500</v>
      </c>
      <c r="AJ444" s="427">
        <v>8500</v>
      </c>
      <c r="AK444" s="256">
        <v>8500</v>
      </c>
      <c r="AL444" s="256">
        <v>8500</v>
      </c>
      <c r="AM444" s="256">
        <v>8500</v>
      </c>
      <c r="AN444" s="487">
        <f>AO444</f>
        <v>8500</v>
      </c>
      <c r="AO444" s="427">
        <v>8500</v>
      </c>
      <c r="AP444" s="256">
        <v>8500</v>
      </c>
      <c r="AQ444" s="256">
        <v>8500</v>
      </c>
      <c r="AR444" s="256">
        <v>8500</v>
      </c>
      <c r="AS444" s="487">
        <f>AT444</f>
        <v>8500</v>
      </c>
      <c r="AT444" s="427">
        <v>8500</v>
      </c>
      <c r="AU444" s="256">
        <v>8500</v>
      </c>
      <c r="AV444" s="256">
        <v>8500</v>
      </c>
      <c r="AW444" s="256">
        <v>8700</v>
      </c>
      <c r="AX444" s="487">
        <f>AY444</f>
        <v>9400</v>
      </c>
      <c r="AY444" s="427">
        <v>9400</v>
      </c>
      <c r="AZ444" s="256">
        <v>9400</v>
      </c>
      <c r="BA444" s="256">
        <v>9400</v>
      </c>
      <c r="BB444" s="256">
        <v>9400</v>
      </c>
      <c r="BC444" s="487">
        <f>BD444</f>
        <v>8000</v>
      </c>
      <c r="BD444" s="427">
        <v>8000</v>
      </c>
      <c r="BE444" s="256">
        <v>8000</v>
      </c>
      <c r="BF444" s="256">
        <v>8000</v>
      </c>
      <c r="BG444" s="256">
        <v>8200</v>
      </c>
      <c r="BH444" s="487">
        <f>BI444</f>
        <v>8100</v>
      </c>
      <c r="BI444" s="427">
        <v>8100</v>
      </c>
      <c r="BJ444" s="1126">
        <v>8100</v>
      </c>
      <c r="BK444" s="487">
        <f t="shared" ref="BK444:BV444" si="843">BK253</f>
        <v>8100</v>
      </c>
      <c r="BL444" s="487">
        <f t="shared" si="843"/>
        <v>8100</v>
      </c>
      <c r="BM444" s="487">
        <f t="shared" si="843"/>
        <v>8100</v>
      </c>
      <c r="BN444" s="425">
        <f t="shared" si="843"/>
        <v>8100</v>
      </c>
      <c r="BO444" s="487">
        <f t="shared" si="843"/>
        <v>8100</v>
      </c>
      <c r="BP444" s="487">
        <f t="shared" si="843"/>
        <v>8100</v>
      </c>
      <c r="BQ444" s="487">
        <f t="shared" si="843"/>
        <v>8100</v>
      </c>
      <c r="BR444" s="487">
        <f t="shared" si="843"/>
        <v>8100</v>
      </c>
      <c r="BS444" s="425">
        <f t="shared" si="843"/>
        <v>8100</v>
      </c>
      <c r="BT444" s="425">
        <f t="shared" si="843"/>
        <v>8100</v>
      </c>
      <c r="BU444" s="425">
        <f t="shared" si="843"/>
        <v>8100</v>
      </c>
      <c r="BV444" s="425">
        <f t="shared" si="843"/>
        <v>8100</v>
      </c>
      <c r="BW444" s="223"/>
    </row>
    <row r="445" spans="1:75" s="224" customFormat="1" hidden="1" outlineLevel="3" x14ac:dyDescent="0.5">
      <c r="A445" s="218" t="s">
        <v>1930</v>
      </c>
      <c r="B445" s="494"/>
      <c r="C445" s="425">
        <f>C615</f>
        <v>17544.827586206895</v>
      </c>
      <c r="D445" s="427">
        <v>19600</v>
      </c>
      <c r="E445" s="425"/>
      <c r="F445" s="425"/>
      <c r="G445" s="487"/>
      <c r="H445" s="487"/>
      <c r="I445" s="487"/>
      <c r="J445" s="487"/>
      <c r="K445" s="425"/>
      <c r="L445" s="487"/>
      <c r="M445" s="487"/>
      <c r="N445" s="487"/>
      <c r="O445" s="487"/>
      <c r="P445" s="425"/>
      <c r="Q445" s="487"/>
      <c r="R445" s="487"/>
      <c r="S445" s="487"/>
      <c r="T445" s="487"/>
      <c r="U445" s="425"/>
      <c r="V445" s="487"/>
      <c r="W445" s="487"/>
      <c r="X445" s="487"/>
      <c r="Y445" s="487"/>
      <c r="Z445" s="425"/>
      <c r="AA445" s="487"/>
      <c r="AB445" s="487"/>
      <c r="AC445" s="487"/>
      <c r="AD445" s="487"/>
      <c r="AE445" s="425"/>
      <c r="AF445" s="487"/>
      <c r="AG445" s="487"/>
      <c r="AH445" s="487"/>
      <c r="AI445" s="487"/>
      <c r="AJ445" s="425"/>
      <c r="AK445" s="487"/>
      <c r="AL445" s="487"/>
      <c r="AM445" s="487"/>
      <c r="AN445" s="487"/>
      <c r="AO445" s="425"/>
      <c r="AP445" s="487"/>
      <c r="AQ445" s="487"/>
      <c r="AR445" s="487"/>
      <c r="AS445" s="487"/>
      <c r="AT445" s="425"/>
      <c r="AU445" s="487"/>
      <c r="AV445" s="487"/>
      <c r="AW445" s="487"/>
      <c r="AX445" s="487"/>
      <c r="AY445" s="425"/>
      <c r="AZ445" s="487"/>
      <c r="BA445" s="487"/>
      <c r="BB445" s="487"/>
      <c r="BC445" s="487"/>
      <c r="BD445" s="425"/>
      <c r="BE445" s="487"/>
      <c r="BF445" s="487"/>
      <c r="BG445" s="487"/>
      <c r="BH445" s="487"/>
      <c r="BI445" s="425"/>
      <c r="BJ445" s="981"/>
      <c r="BK445" s="487"/>
      <c r="BL445" s="487"/>
      <c r="BM445" s="487"/>
      <c r="BN445" s="425"/>
      <c r="BO445" s="487"/>
      <c r="BP445" s="487"/>
      <c r="BQ445" s="487"/>
      <c r="BR445" s="487"/>
      <c r="BS445" s="425"/>
      <c r="BT445" s="425"/>
      <c r="BU445" s="425"/>
      <c r="BV445" s="425"/>
      <c r="BW445" s="223"/>
    </row>
    <row r="446" spans="1:75" s="169" customFormat="1" ht="14.25" hidden="1" outlineLevel="2" collapsed="1" x14ac:dyDescent="0.45">
      <c r="A446" s="360" t="s">
        <v>1931</v>
      </c>
      <c r="B446" s="1127"/>
      <c r="C446" s="1234">
        <v>10000</v>
      </c>
      <c r="D446" s="1234">
        <v>9800</v>
      </c>
      <c r="E446" s="1234">
        <v>10000</v>
      </c>
      <c r="F446" s="1234">
        <v>9900</v>
      </c>
      <c r="G446" s="371">
        <v>9900</v>
      </c>
      <c r="H446" s="371">
        <v>9900</v>
      </c>
      <c r="I446" s="371">
        <v>9900</v>
      </c>
      <c r="J446" s="287">
        <f t="shared" ref="J446" si="844">K446</f>
        <v>10000</v>
      </c>
      <c r="K446" s="1234">
        <v>10000</v>
      </c>
      <c r="L446" s="371">
        <v>9900</v>
      </c>
      <c r="M446" s="371">
        <v>9900</v>
      </c>
      <c r="N446" s="371">
        <v>9900</v>
      </c>
      <c r="O446" s="287">
        <f t="shared" ref="O446" si="845">P446</f>
        <v>9900</v>
      </c>
      <c r="P446" s="1234">
        <v>9900</v>
      </c>
      <c r="Q446" s="371">
        <v>9900</v>
      </c>
      <c r="R446" s="371">
        <v>9900</v>
      </c>
      <c r="S446" s="371">
        <v>9900</v>
      </c>
      <c r="T446" s="287">
        <f t="shared" ref="T446" si="846">U446</f>
        <v>10000</v>
      </c>
      <c r="U446" s="1234">
        <v>10000</v>
      </c>
      <c r="V446" s="371">
        <v>10000</v>
      </c>
      <c r="W446" s="371">
        <v>10000</v>
      </c>
      <c r="X446" s="371">
        <v>10000</v>
      </c>
      <c r="Y446" s="287">
        <f t="shared" ref="Y446" si="847">Z446</f>
        <v>10100</v>
      </c>
      <c r="Z446" s="1234">
        <v>10100</v>
      </c>
      <c r="AA446" s="371">
        <v>10100</v>
      </c>
      <c r="AB446" s="371">
        <v>10100</v>
      </c>
      <c r="AC446" s="371">
        <v>10200</v>
      </c>
      <c r="AD446" s="287">
        <f t="shared" ref="AD446" si="848">AE446</f>
        <v>10200</v>
      </c>
      <c r="AE446" s="1234">
        <v>10200</v>
      </c>
      <c r="AF446" s="371">
        <v>10300</v>
      </c>
      <c r="AG446" s="371">
        <v>10300</v>
      </c>
      <c r="AH446" s="371">
        <v>10300</v>
      </c>
      <c r="AI446" s="287">
        <f>AJ446</f>
        <v>10500</v>
      </c>
      <c r="AJ446" s="1234">
        <v>10500</v>
      </c>
      <c r="AK446" s="371">
        <v>10500</v>
      </c>
      <c r="AL446" s="371">
        <v>10600</v>
      </c>
      <c r="AM446" s="371">
        <v>10600</v>
      </c>
      <c r="AN446" s="287">
        <f>AO446</f>
        <v>10700</v>
      </c>
      <c r="AO446" s="1234">
        <v>10700</v>
      </c>
      <c r="AP446" s="371">
        <v>10700</v>
      </c>
      <c r="AQ446" s="371">
        <v>10700</v>
      </c>
      <c r="AR446" s="371">
        <v>10700</v>
      </c>
      <c r="AS446" s="287">
        <f>AT446</f>
        <v>10800</v>
      </c>
      <c r="AT446" s="1234">
        <v>10800</v>
      </c>
      <c r="AU446" s="371">
        <v>10900</v>
      </c>
      <c r="AV446" s="371">
        <v>10900</v>
      </c>
      <c r="AW446" s="371">
        <v>10900</v>
      </c>
      <c r="AX446" s="287">
        <f>AY446</f>
        <v>11000</v>
      </c>
      <c r="AY446" s="1234">
        <v>11000</v>
      </c>
      <c r="AZ446" s="371">
        <v>11000</v>
      </c>
      <c r="BA446" s="371">
        <v>11100</v>
      </c>
      <c r="BB446" s="371">
        <v>11100</v>
      </c>
      <c r="BC446" s="287">
        <f>BD446</f>
        <v>11200</v>
      </c>
      <c r="BD446" s="1234">
        <v>11200</v>
      </c>
      <c r="BE446" s="371">
        <v>11300</v>
      </c>
      <c r="BF446" s="371">
        <v>11300</v>
      </c>
      <c r="BG446" s="371">
        <v>11400</v>
      </c>
      <c r="BH446" s="287">
        <f>BI446</f>
        <v>11400</v>
      </c>
      <c r="BI446" s="1234">
        <v>11400</v>
      </c>
      <c r="BJ446" s="1240">
        <v>11400</v>
      </c>
      <c r="BK446" s="287">
        <f t="shared" ref="BK446:BV446" si="849">BK425*1000/BK405</f>
        <v>11440.045418376929</v>
      </c>
      <c r="BL446" s="287">
        <f t="shared" si="849"/>
        <v>11450.611332300721</v>
      </c>
      <c r="BM446" s="287">
        <f t="shared" si="849"/>
        <v>11461.361596009976</v>
      </c>
      <c r="BN446" s="1128">
        <f t="shared" si="849"/>
        <v>11461.361596009976</v>
      </c>
      <c r="BO446" s="287">
        <f t="shared" si="849"/>
        <v>11472.524928156428</v>
      </c>
      <c r="BP446" s="287">
        <f t="shared" si="849"/>
        <v>11483.315335251926</v>
      </c>
      <c r="BQ446" s="287">
        <f t="shared" si="849"/>
        <v>11494.207380301799</v>
      </c>
      <c r="BR446" s="287">
        <f t="shared" si="849"/>
        <v>11505.203119107271</v>
      </c>
      <c r="BS446" s="1128">
        <f t="shared" si="849"/>
        <v>11505.203119107273</v>
      </c>
      <c r="BT446" s="1128">
        <f t="shared" si="849"/>
        <v>11577.394063524342</v>
      </c>
      <c r="BU446" s="1128">
        <f t="shared" si="849"/>
        <v>11651.882738474258</v>
      </c>
      <c r="BV446" s="1128">
        <f t="shared" si="849"/>
        <v>11728.736016704668</v>
      </c>
      <c r="BW446" s="168"/>
    </row>
    <row r="447" spans="1:75" s="224" customFormat="1" hidden="1" outlineLevel="1" collapsed="1" x14ac:dyDescent="0.5">
      <c r="A447" s="588"/>
      <c r="B447" s="494"/>
      <c r="C447" s="425"/>
      <c r="D447" s="425"/>
      <c r="E447" s="425"/>
      <c r="F447" s="425"/>
      <c r="G447" s="487"/>
      <c r="H447" s="487"/>
      <c r="I447" s="487"/>
      <c r="J447" s="487"/>
      <c r="K447" s="425"/>
      <c r="L447" s="487"/>
      <c r="M447" s="487"/>
      <c r="N447" s="487"/>
      <c r="O447" s="487"/>
      <c r="P447" s="425"/>
      <c r="Q447" s="487"/>
      <c r="R447" s="487"/>
      <c r="S447" s="487"/>
      <c r="T447" s="487"/>
      <c r="U447" s="425"/>
      <c r="V447" s="487"/>
      <c r="W447" s="487"/>
      <c r="X447" s="487"/>
      <c r="Y447" s="487"/>
      <c r="Z447" s="425"/>
      <c r="AA447" s="487"/>
      <c r="AB447" s="487"/>
      <c r="AC447" s="487"/>
      <c r="AD447" s="487"/>
      <c r="AE447" s="425"/>
      <c r="AF447" s="487"/>
      <c r="AG447" s="487"/>
      <c r="AH447" s="487"/>
      <c r="AI447" s="487"/>
      <c r="AJ447" s="425"/>
      <c r="AK447" s="487"/>
      <c r="AL447" s="487"/>
      <c r="AM447" s="487"/>
      <c r="AN447" s="487"/>
      <c r="AO447" s="425"/>
      <c r="AP447" s="487"/>
      <c r="AQ447" s="487"/>
      <c r="AR447" s="487"/>
      <c r="AS447" s="487"/>
      <c r="AT447" s="425"/>
      <c r="AU447" s="487"/>
      <c r="AV447" s="487"/>
      <c r="AW447" s="487"/>
      <c r="AX447" s="487"/>
      <c r="AY447" s="425"/>
      <c r="AZ447" s="487"/>
      <c r="BA447" s="487"/>
      <c r="BB447" s="487"/>
      <c r="BC447" s="487"/>
      <c r="BD447" s="425"/>
      <c r="BE447" s="487"/>
      <c r="BF447" s="487"/>
      <c r="BG447" s="487"/>
      <c r="BH447" s="487"/>
      <c r="BI447" s="425"/>
      <c r="BJ447" s="981"/>
      <c r="BK447" s="487"/>
      <c r="BL447" s="487"/>
      <c r="BM447" s="487"/>
      <c r="BN447" s="425"/>
      <c r="BO447" s="487"/>
      <c r="BP447" s="487"/>
      <c r="BQ447" s="487"/>
      <c r="BR447" s="487"/>
      <c r="BS447" s="425"/>
      <c r="BT447" s="425"/>
      <c r="BU447" s="425"/>
      <c r="BV447" s="425"/>
      <c r="BW447" s="223"/>
    </row>
    <row r="448" spans="1:75" s="198" customFormat="1" ht="14.25" hidden="1" outlineLevel="1" x14ac:dyDescent="0.45">
      <c r="A448" s="239" t="s">
        <v>1932</v>
      </c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  <c r="AA448" s="239"/>
      <c r="AB448" s="239"/>
      <c r="AC448" s="239"/>
      <c r="AD448" s="239"/>
      <c r="AE448" s="239"/>
      <c r="AF448" s="239"/>
      <c r="AG448" s="239"/>
      <c r="AH448" s="239"/>
      <c r="AI448" s="239"/>
      <c r="AJ448" s="239"/>
      <c r="AK448" s="239"/>
      <c r="AL448" s="239"/>
      <c r="AM448" s="239"/>
      <c r="AN448" s="239"/>
      <c r="AO448" s="239"/>
      <c r="AP448" s="239"/>
      <c r="AQ448" s="239"/>
      <c r="AR448" s="239"/>
      <c r="AS448" s="239"/>
      <c r="AT448" s="239"/>
      <c r="AU448" s="239"/>
      <c r="AV448" s="239"/>
      <c r="AW448" s="239"/>
      <c r="AX448" s="239"/>
      <c r="AY448" s="239"/>
      <c r="AZ448" s="239"/>
      <c r="BA448" s="239"/>
      <c r="BB448" s="239"/>
      <c r="BC448" s="239"/>
      <c r="BD448" s="239"/>
      <c r="BE448" s="239"/>
      <c r="BF448" s="239"/>
      <c r="BG448" s="239"/>
      <c r="BH448" s="239"/>
      <c r="BI448" s="239"/>
      <c r="BJ448" s="241"/>
      <c r="BK448" s="239"/>
      <c r="BL448" s="239"/>
      <c r="BM448" s="239"/>
      <c r="BN448" s="239"/>
      <c r="BO448" s="239"/>
      <c r="BP448" s="239"/>
      <c r="BQ448" s="239"/>
      <c r="BR448" s="239"/>
      <c r="BS448" s="239"/>
      <c r="BT448" s="239"/>
      <c r="BU448" s="239"/>
      <c r="BV448" s="239"/>
      <c r="BW448" s="197"/>
    </row>
    <row r="449" spans="1:75" s="169" customFormat="1" ht="14.25" hidden="1" outlineLevel="2" x14ac:dyDescent="0.45">
      <c r="A449" s="163" t="s">
        <v>1933</v>
      </c>
      <c r="B449" s="1121"/>
      <c r="C449" s="840">
        <f>C402-C453</f>
        <v>611</v>
      </c>
      <c r="D449" s="840">
        <f>C451</f>
        <v>593</v>
      </c>
      <c r="E449" s="840">
        <f>D451</f>
        <v>576</v>
      </c>
      <c r="F449" s="840">
        <f>E451</f>
        <v>560</v>
      </c>
      <c r="G449" s="247"/>
      <c r="H449" s="247"/>
      <c r="I449" s="247"/>
      <c r="J449" s="247"/>
      <c r="K449" s="840">
        <f>F451</f>
        <v>560</v>
      </c>
      <c r="L449" s="247"/>
      <c r="M449" s="247"/>
      <c r="N449" s="247"/>
      <c r="O449" s="247"/>
      <c r="P449" s="840">
        <f>K451</f>
        <v>554</v>
      </c>
      <c r="Q449" s="247"/>
      <c r="R449" s="247"/>
      <c r="S449" s="247"/>
      <c r="T449" s="247"/>
      <c r="U449" s="840">
        <f>P451</f>
        <v>562</v>
      </c>
      <c r="V449" s="247"/>
      <c r="W449" s="247"/>
      <c r="X449" s="247"/>
      <c r="Y449" s="247"/>
      <c r="Z449" s="840">
        <f>U451</f>
        <v>571</v>
      </c>
      <c r="AA449" s="247"/>
      <c r="AB449" s="247"/>
      <c r="AC449" s="247"/>
      <c r="AD449" s="247"/>
      <c r="AE449" s="840">
        <f>Z451</f>
        <v>583</v>
      </c>
      <c r="AF449" s="247"/>
      <c r="AG449" s="247"/>
      <c r="AH449" s="247"/>
      <c r="AI449" s="247"/>
      <c r="AJ449" s="840">
        <f>AE451</f>
        <v>586</v>
      </c>
      <c r="AK449" s="247"/>
      <c r="AL449" s="247"/>
      <c r="AM449" s="247"/>
      <c r="AN449" s="247"/>
      <c r="AO449" s="840">
        <f>AJ451</f>
        <v>579</v>
      </c>
      <c r="AP449" s="247"/>
      <c r="AQ449" s="247"/>
      <c r="AR449" s="247"/>
      <c r="AS449" s="247"/>
      <c r="AT449" s="840">
        <f>AO451</f>
        <v>572</v>
      </c>
      <c r="AU449" s="247"/>
      <c r="AV449" s="247"/>
      <c r="AW449" s="247"/>
      <c r="AX449" s="247"/>
      <c r="AY449" s="840">
        <f>AT451</f>
        <v>538</v>
      </c>
      <c r="AZ449" s="247"/>
      <c r="BA449" s="247"/>
      <c r="BB449" s="247"/>
      <c r="BC449" s="247"/>
      <c r="BD449" s="840">
        <f>AY451</f>
        <v>502</v>
      </c>
      <c r="BE449" s="247"/>
      <c r="BF449" s="247"/>
      <c r="BG449" s="247"/>
      <c r="BH449" s="247"/>
      <c r="BI449" s="840">
        <f>BD451</f>
        <v>489</v>
      </c>
      <c r="BJ449" s="977"/>
      <c r="BK449" s="247"/>
      <c r="BL449" s="247"/>
      <c r="BM449" s="247"/>
      <c r="BN449" s="840"/>
      <c r="BO449" s="247"/>
      <c r="BP449" s="247"/>
      <c r="BQ449" s="247"/>
      <c r="BR449" s="247"/>
      <c r="BS449" s="840"/>
      <c r="BT449" s="840"/>
      <c r="BU449" s="840"/>
      <c r="BV449" s="840"/>
      <c r="BW449" s="168"/>
    </row>
    <row r="450" spans="1:75" s="224" customFormat="1" hidden="1" outlineLevel="2" x14ac:dyDescent="0.5">
      <c r="A450" s="218" t="s">
        <v>1934</v>
      </c>
      <c r="B450" s="494"/>
      <c r="C450" s="425">
        <f>C451-C449</f>
        <v>-18</v>
      </c>
      <c r="D450" s="425">
        <f>D451-D449</f>
        <v>-17</v>
      </c>
      <c r="E450" s="425">
        <f>E451-E449</f>
        <v>-16</v>
      </c>
      <c r="F450" s="425">
        <f>F451-F449</f>
        <v>0</v>
      </c>
      <c r="G450" s="487"/>
      <c r="H450" s="487"/>
      <c r="I450" s="487"/>
      <c r="J450" s="487"/>
      <c r="K450" s="425">
        <f>K451-K449</f>
        <v>-6</v>
      </c>
      <c r="L450" s="487"/>
      <c r="M450" s="487"/>
      <c r="N450" s="487"/>
      <c r="O450" s="487"/>
      <c r="P450" s="425">
        <f>P451-P449</f>
        <v>8</v>
      </c>
      <c r="Q450" s="487"/>
      <c r="R450" s="487"/>
      <c r="S450" s="487"/>
      <c r="T450" s="487"/>
      <c r="U450" s="425">
        <f>U451-U449</f>
        <v>9</v>
      </c>
      <c r="V450" s="487"/>
      <c r="W450" s="487"/>
      <c r="X450" s="487"/>
      <c r="Y450" s="487"/>
      <c r="Z450" s="425">
        <f>Z451-Z449</f>
        <v>12</v>
      </c>
      <c r="AA450" s="487"/>
      <c r="AB450" s="487"/>
      <c r="AC450" s="487"/>
      <c r="AD450" s="487"/>
      <c r="AE450" s="425">
        <f>AE451-AE449</f>
        <v>3</v>
      </c>
      <c r="AF450" s="487"/>
      <c r="AG450" s="487"/>
      <c r="AH450" s="487"/>
      <c r="AI450" s="487"/>
      <c r="AJ450" s="425">
        <f>AJ451-AJ449</f>
        <v>-7</v>
      </c>
      <c r="AK450" s="487"/>
      <c r="AL450" s="487"/>
      <c r="AM450" s="487"/>
      <c r="AN450" s="487"/>
      <c r="AO450" s="425">
        <f>AO451-AO449</f>
        <v>-7</v>
      </c>
      <c r="AP450" s="487"/>
      <c r="AQ450" s="487"/>
      <c r="AR450" s="487"/>
      <c r="AS450" s="487"/>
      <c r="AT450" s="425">
        <f>AT451-AT449</f>
        <v>-34</v>
      </c>
      <c r="AU450" s="487"/>
      <c r="AV450" s="487"/>
      <c r="AW450" s="487"/>
      <c r="AX450" s="487"/>
      <c r="AY450" s="425">
        <f>AY451-AY449</f>
        <v>-36</v>
      </c>
      <c r="AZ450" s="487"/>
      <c r="BA450" s="487"/>
      <c r="BB450" s="487"/>
      <c r="BC450" s="487"/>
      <c r="BD450" s="425">
        <f>BD451-BD449</f>
        <v>-13</v>
      </c>
      <c r="BE450" s="487"/>
      <c r="BF450" s="487"/>
      <c r="BG450" s="487"/>
      <c r="BH450" s="487"/>
      <c r="BI450" s="425">
        <f>BI451-BI449</f>
        <v>-9</v>
      </c>
      <c r="BJ450" s="981"/>
      <c r="BK450" s="487"/>
      <c r="BL450" s="487"/>
      <c r="BM450" s="487"/>
      <c r="BN450" s="425"/>
      <c r="BO450" s="487"/>
      <c r="BP450" s="487"/>
      <c r="BQ450" s="487"/>
      <c r="BR450" s="487"/>
      <c r="BS450" s="425"/>
      <c r="BT450" s="425"/>
      <c r="BU450" s="425"/>
      <c r="BV450" s="425"/>
      <c r="BW450" s="223"/>
    </row>
    <row r="451" spans="1:75" s="169" customFormat="1" ht="14.25" hidden="1" outlineLevel="2" x14ac:dyDescent="0.45">
      <c r="A451" s="360" t="s">
        <v>1935</v>
      </c>
      <c r="B451" s="1127"/>
      <c r="C451" s="1128">
        <f>C405-C455</f>
        <v>593</v>
      </c>
      <c r="D451" s="1128">
        <f>D405-D455</f>
        <v>576</v>
      </c>
      <c r="E451" s="1128">
        <f>E405-E455</f>
        <v>560</v>
      </c>
      <c r="F451" s="1234">
        <v>560</v>
      </c>
      <c r="G451" s="287"/>
      <c r="H451" s="287"/>
      <c r="I451" s="287"/>
      <c r="J451" s="287"/>
      <c r="K451" s="1234">
        <v>554</v>
      </c>
      <c r="L451" s="287"/>
      <c r="M451" s="287"/>
      <c r="N451" s="287"/>
      <c r="O451" s="287"/>
      <c r="P451" s="1234">
        <v>562</v>
      </c>
      <c r="Q451" s="287"/>
      <c r="R451" s="287"/>
      <c r="S451" s="287"/>
      <c r="T451" s="287"/>
      <c r="U451" s="1234">
        <v>571</v>
      </c>
      <c r="V451" s="287"/>
      <c r="W451" s="287"/>
      <c r="X451" s="287"/>
      <c r="Y451" s="287"/>
      <c r="Z451" s="1234">
        <v>583</v>
      </c>
      <c r="AA451" s="287"/>
      <c r="AB451" s="287"/>
      <c r="AC451" s="287"/>
      <c r="AD451" s="287"/>
      <c r="AE451" s="1234">
        <v>586</v>
      </c>
      <c r="AF451" s="287"/>
      <c r="AG451" s="287"/>
      <c r="AH451" s="287"/>
      <c r="AI451" s="287"/>
      <c r="AJ451" s="1234">
        <v>579</v>
      </c>
      <c r="AK451" s="287"/>
      <c r="AL451" s="287"/>
      <c r="AM451" s="287"/>
      <c r="AN451" s="287"/>
      <c r="AO451" s="1234">
        <v>572</v>
      </c>
      <c r="AP451" s="287"/>
      <c r="AQ451" s="287"/>
      <c r="AR451" s="287"/>
      <c r="AS451" s="287"/>
      <c r="AT451" s="1234">
        <v>538</v>
      </c>
      <c r="AU451" s="287"/>
      <c r="AV451" s="287"/>
      <c r="AW451" s="287"/>
      <c r="AX451" s="287"/>
      <c r="AY451" s="1234">
        <v>502</v>
      </c>
      <c r="AZ451" s="287"/>
      <c r="BA451" s="287"/>
      <c r="BB451" s="287"/>
      <c r="BC451" s="287"/>
      <c r="BD451" s="1234">
        <v>489</v>
      </c>
      <c r="BE451" s="287"/>
      <c r="BF451" s="287"/>
      <c r="BG451" s="287"/>
      <c r="BH451" s="287"/>
      <c r="BI451" s="1234">
        <v>480</v>
      </c>
      <c r="BJ451" s="1129"/>
      <c r="BK451" s="287"/>
      <c r="BL451" s="287"/>
      <c r="BM451" s="287"/>
      <c r="BN451" s="1128"/>
      <c r="BO451" s="287"/>
      <c r="BP451" s="287"/>
      <c r="BQ451" s="287"/>
      <c r="BR451" s="287"/>
      <c r="BS451" s="1128"/>
      <c r="BT451" s="1128"/>
      <c r="BU451" s="1128"/>
      <c r="BV451" s="1128"/>
      <c r="BW451" s="168"/>
    </row>
    <row r="452" spans="1:75" s="169" customFormat="1" ht="14.25" hidden="1" outlineLevel="3" x14ac:dyDescent="0.45">
      <c r="A452" s="163"/>
      <c r="B452" s="1121"/>
      <c r="C452" s="840"/>
      <c r="D452" s="840"/>
      <c r="E452" s="840"/>
      <c r="F452" s="840"/>
      <c r="G452" s="247"/>
      <c r="H452" s="247"/>
      <c r="I452" s="247"/>
      <c r="J452" s="247"/>
      <c r="K452" s="840"/>
      <c r="L452" s="247"/>
      <c r="M452" s="247"/>
      <c r="N452" s="247"/>
      <c r="O452" s="247"/>
      <c r="P452" s="840"/>
      <c r="Q452" s="247"/>
      <c r="R452" s="247"/>
      <c r="S452" s="247"/>
      <c r="T452" s="247"/>
      <c r="U452" s="840"/>
      <c r="V452" s="247"/>
      <c r="W452" s="247"/>
      <c r="X452" s="247"/>
      <c r="Y452" s="247"/>
      <c r="Z452" s="840"/>
      <c r="AA452" s="247"/>
      <c r="AB452" s="247"/>
      <c r="AC452" s="247"/>
      <c r="AD452" s="247"/>
      <c r="AE452" s="840"/>
      <c r="AF452" s="247"/>
      <c r="AG452" s="247"/>
      <c r="AH452" s="247"/>
      <c r="AI452" s="247"/>
      <c r="AJ452" s="840"/>
      <c r="AK452" s="247"/>
      <c r="AL452" s="247"/>
      <c r="AM452" s="247"/>
      <c r="AN452" s="247"/>
      <c r="AO452" s="840"/>
      <c r="AP452" s="247"/>
      <c r="AQ452" s="247"/>
      <c r="AR452" s="247"/>
      <c r="AS452" s="247"/>
      <c r="AT452" s="840"/>
      <c r="AU452" s="247"/>
      <c r="AV452" s="247"/>
      <c r="AW452" s="247"/>
      <c r="AX452" s="247"/>
      <c r="AY452" s="840"/>
      <c r="AZ452" s="247"/>
      <c r="BA452" s="247"/>
      <c r="BB452" s="247"/>
      <c r="BC452" s="247"/>
      <c r="BD452" s="840"/>
      <c r="BE452" s="247"/>
      <c r="BF452" s="247"/>
      <c r="BG452" s="247"/>
      <c r="BH452" s="247"/>
      <c r="BI452" s="840"/>
      <c r="BJ452" s="977"/>
      <c r="BK452" s="247"/>
      <c r="BL452" s="247"/>
      <c r="BM452" s="247"/>
      <c r="BN452" s="840"/>
      <c r="BO452" s="247"/>
      <c r="BP452" s="247"/>
      <c r="BQ452" s="247"/>
      <c r="BR452" s="247"/>
      <c r="BS452" s="840"/>
      <c r="BT452" s="840"/>
      <c r="BU452" s="840"/>
      <c r="BV452" s="840"/>
      <c r="BW452" s="168"/>
    </row>
    <row r="453" spans="1:75" s="169" customFormat="1" ht="14.25" hidden="1" outlineLevel="3" x14ac:dyDescent="0.45">
      <c r="A453" s="1247" t="s">
        <v>1936</v>
      </c>
      <c r="B453" s="1121"/>
      <c r="C453" s="1122">
        <v>16</v>
      </c>
      <c r="D453" s="1123">
        <f>C455</f>
        <v>17</v>
      </c>
      <c r="E453" s="1123">
        <f>D455</f>
        <v>16</v>
      </c>
      <c r="F453" s="1123">
        <f>E455</f>
        <v>16</v>
      </c>
      <c r="G453" s="247"/>
      <c r="H453" s="247"/>
      <c r="I453" s="247"/>
      <c r="J453" s="247"/>
      <c r="K453" s="1123">
        <f>F455</f>
        <v>21</v>
      </c>
      <c r="L453" s="247"/>
      <c r="M453" s="247"/>
      <c r="N453" s="247"/>
      <c r="O453" s="247"/>
      <c r="P453" s="1123">
        <f>K455</f>
        <v>25</v>
      </c>
      <c r="Q453" s="247"/>
      <c r="R453" s="247"/>
      <c r="S453" s="247"/>
      <c r="T453" s="247"/>
      <c r="U453" s="1123">
        <f>P455</f>
        <v>25</v>
      </c>
      <c r="V453" s="247"/>
      <c r="W453" s="247"/>
      <c r="X453" s="247"/>
      <c r="Y453" s="247"/>
      <c r="Z453" s="1123">
        <f>U455</f>
        <v>27</v>
      </c>
      <c r="AA453" s="247"/>
      <c r="AB453" s="247"/>
      <c r="AC453" s="247"/>
      <c r="AD453" s="247"/>
      <c r="AE453" s="1123">
        <f>Z455</f>
        <v>26</v>
      </c>
      <c r="AF453" s="247"/>
      <c r="AG453" s="247"/>
      <c r="AH453" s="247"/>
      <c r="AI453" s="247"/>
      <c r="AJ453" s="1123">
        <f>AE455</f>
        <v>24</v>
      </c>
      <c r="AK453" s="247"/>
      <c r="AL453" s="247"/>
      <c r="AM453" s="247"/>
      <c r="AN453" s="247"/>
      <c r="AO453" s="1123">
        <f>AJ455</f>
        <v>24</v>
      </c>
      <c r="AP453" s="247"/>
      <c r="AQ453" s="247"/>
      <c r="AR453" s="247"/>
      <c r="AS453" s="247"/>
      <c r="AT453" s="840">
        <f>AO455</f>
        <v>20</v>
      </c>
      <c r="AU453" s="247"/>
      <c r="AV453" s="247"/>
      <c r="AW453" s="247"/>
      <c r="AX453" s="247"/>
      <c r="AY453" s="840">
        <f>AT455</f>
        <v>21</v>
      </c>
      <c r="AZ453" s="247"/>
      <c r="BA453" s="247"/>
      <c r="BB453" s="247"/>
      <c r="BC453" s="247"/>
      <c r="BD453" s="840">
        <f>AY455</f>
        <v>20</v>
      </c>
      <c r="BE453" s="247"/>
      <c r="BF453" s="247"/>
      <c r="BG453" s="247"/>
      <c r="BH453" s="247"/>
      <c r="BI453" s="840">
        <f>BD455</f>
        <v>20</v>
      </c>
      <c r="BJ453" s="977"/>
      <c r="BK453" s="247"/>
      <c r="BL453" s="247"/>
      <c r="BM453" s="247"/>
      <c r="BN453" s="840"/>
      <c r="BO453" s="247"/>
      <c r="BP453" s="247"/>
      <c r="BQ453" s="247"/>
      <c r="BR453" s="247"/>
      <c r="BS453" s="840"/>
      <c r="BT453" s="840"/>
      <c r="BU453" s="840"/>
      <c r="BV453" s="840"/>
      <c r="BW453" s="168"/>
    </row>
    <row r="454" spans="1:75" s="224" customFormat="1" hidden="1" outlineLevel="3" x14ac:dyDescent="0.5">
      <c r="A454" s="349" t="s">
        <v>1937</v>
      </c>
      <c r="B454" s="494"/>
      <c r="C454" s="425">
        <f>C455-C453</f>
        <v>1</v>
      </c>
      <c r="D454" s="1125">
        <f>D455-D453</f>
        <v>-1</v>
      </c>
      <c r="E454" s="1125">
        <f>E455-E453</f>
        <v>0</v>
      </c>
      <c r="F454" s="1125">
        <f>F455-F453</f>
        <v>5</v>
      </c>
      <c r="G454" s="487"/>
      <c r="H454" s="487"/>
      <c r="I454" s="487"/>
      <c r="J454" s="487"/>
      <c r="K454" s="1125">
        <f>K455-K453</f>
        <v>4</v>
      </c>
      <c r="L454" s="487"/>
      <c r="M454" s="487"/>
      <c r="N454" s="487"/>
      <c r="O454" s="487"/>
      <c r="P454" s="1125">
        <f>P455-P453</f>
        <v>0</v>
      </c>
      <c r="Q454" s="487"/>
      <c r="R454" s="487"/>
      <c r="S454" s="487"/>
      <c r="T454" s="487"/>
      <c r="U454" s="1125">
        <f>U455-U453</f>
        <v>2</v>
      </c>
      <c r="V454" s="487"/>
      <c r="W454" s="487"/>
      <c r="X454" s="487"/>
      <c r="Y454" s="487"/>
      <c r="Z454" s="1125">
        <f>Z455-Z453</f>
        <v>-1</v>
      </c>
      <c r="AA454" s="487"/>
      <c r="AB454" s="487"/>
      <c r="AC454" s="487"/>
      <c r="AD454" s="487"/>
      <c r="AE454" s="1125">
        <f>AE455-AE453</f>
        <v>-2</v>
      </c>
      <c r="AF454" s="487"/>
      <c r="AG454" s="487"/>
      <c r="AH454" s="487"/>
      <c r="AI454" s="487"/>
      <c r="AJ454" s="1125">
        <f>AJ455-AJ453</f>
        <v>0</v>
      </c>
      <c r="AK454" s="487"/>
      <c r="AL454" s="487"/>
      <c r="AM454" s="487"/>
      <c r="AN454" s="487"/>
      <c r="AO454" s="1125">
        <f>AO455-AO453</f>
        <v>-4</v>
      </c>
      <c r="AP454" s="487"/>
      <c r="AQ454" s="487"/>
      <c r="AR454" s="487"/>
      <c r="AS454" s="487"/>
      <c r="AT454" s="425">
        <f>AT455-AT453</f>
        <v>1</v>
      </c>
      <c r="AU454" s="487"/>
      <c r="AV454" s="487"/>
      <c r="AW454" s="487"/>
      <c r="AX454" s="487"/>
      <c r="AY454" s="425">
        <f>AY455-AY453</f>
        <v>-1</v>
      </c>
      <c r="AZ454" s="487"/>
      <c r="BA454" s="487"/>
      <c r="BB454" s="487"/>
      <c r="BC454" s="487"/>
      <c r="BD454" s="425">
        <f>BD455-BD453</f>
        <v>0</v>
      </c>
      <c r="BE454" s="487"/>
      <c r="BF454" s="487"/>
      <c r="BG454" s="487"/>
      <c r="BH454" s="487"/>
      <c r="BI454" s="425">
        <f>BI455-BI453</f>
        <v>-1</v>
      </c>
      <c r="BJ454" s="981"/>
      <c r="BK454" s="487"/>
      <c r="BL454" s="487"/>
      <c r="BM454" s="487"/>
      <c r="BN454" s="425"/>
      <c r="BO454" s="487"/>
      <c r="BP454" s="487"/>
      <c r="BQ454" s="487"/>
      <c r="BR454" s="487"/>
      <c r="BS454" s="425"/>
      <c r="BT454" s="425"/>
      <c r="BU454" s="425"/>
      <c r="BV454" s="425"/>
      <c r="BW454" s="223"/>
    </row>
    <row r="455" spans="1:75" s="169" customFormat="1" ht="14.25" hidden="1" outlineLevel="3" x14ac:dyDescent="0.45">
      <c r="A455" s="1248" t="s">
        <v>1938</v>
      </c>
      <c r="B455" s="1127"/>
      <c r="C455" s="1234">
        <v>17</v>
      </c>
      <c r="D455" s="1234">
        <v>16</v>
      </c>
      <c r="E455" s="1234">
        <v>16</v>
      </c>
      <c r="F455" s="1234">
        <v>21</v>
      </c>
      <c r="G455" s="287"/>
      <c r="H455" s="287"/>
      <c r="I455" s="287"/>
      <c r="J455" s="287"/>
      <c r="K455" s="1234">
        <v>25</v>
      </c>
      <c r="L455" s="287"/>
      <c r="M455" s="287"/>
      <c r="N455" s="287"/>
      <c r="O455" s="287"/>
      <c r="P455" s="1234">
        <v>25</v>
      </c>
      <c r="Q455" s="287"/>
      <c r="R455" s="287"/>
      <c r="S455" s="287"/>
      <c r="T455" s="287"/>
      <c r="U455" s="1234">
        <v>27</v>
      </c>
      <c r="V455" s="287"/>
      <c r="W455" s="287"/>
      <c r="X455" s="287"/>
      <c r="Y455" s="287"/>
      <c r="Z455" s="1234">
        <v>26</v>
      </c>
      <c r="AA455" s="287"/>
      <c r="AB455" s="287"/>
      <c r="AC455" s="287"/>
      <c r="AD455" s="287"/>
      <c r="AE455" s="1234">
        <v>24</v>
      </c>
      <c r="AF455" s="287"/>
      <c r="AG455" s="287"/>
      <c r="AH455" s="287"/>
      <c r="AI455" s="287"/>
      <c r="AJ455" s="1234">
        <v>24</v>
      </c>
      <c r="AK455" s="287"/>
      <c r="AL455" s="287"/>
      <c r="AM455" s="287"/>
      <c r="AN455" s="287"/>
      <c r="AO455" s="1234">
        <v>20</v>
      </c>
      <c r="AP455" s="287"/>
      <c r="AQ455" s="287"/>
      <c r="AR455" s="287"/>
      <c r="AS455" s="287"/>
      <c r="AT455" s="1234">
        <v>21</v>
      </c>
      <c r="AU455" s="287"/>
      <c r="AV455" s="287"/>
      <c r="AW455" s="287"/>
      <c r="AX455" s="287"/>
      <c r="AY455" s="1234">
        <v>20</v>
      </c>
      <c r="AZ455" s="287"/>
      <c r="BA455" s="287"/>
      <c r="BB455" s="287"/>
      <c r="BC455" s="287"/>
      <c r="BD455" s="1234">
        <v>20</v>
      </c>
      <c r="BE455" s="287"/>
      <c r="BF455" s="287"/>
      <c r="BG455" s="287"/>
      <c r="BH455" s="287"/>
      <c r="BI455" s="1234">
        <v>19</v>
      </c>
      <c r="BJ455" s="1129"/>
      <c r="BK455" s="287"/>
      <c r="BL455" s="287"/>
      <c r="BM455" s="287"/>
      <c r="BN455" s="1128"/>
      <c r="BO455" s="287"/>
      <c r="BP455" s="287"/>
      <c r="BQ455" s="287"/>
      <c r="BR455" s="287"/>
      <c r="BS455" s="1128"/>
      <c r="BT455" s="1128"/>
      <c r="BU455" s="1128"/>
      <c r="BV455" s="1128"/>
      <c r="BW455" s="168"/>
    </row>
    <row r="456" spans="1:75" s="123" customFormat="1" hidden="1" outlineLevel="3" x14ac:dyDescent="0.5">
      <c r="A456" s="1233"/>
      <c r="B456" s="489"/>
      <c r="C456" s="401"/>
      <c r="D456" s="401"/>
      <c r="E456" s="401"/>
      <c r="F456" s="401"/>
      <c r="G456" s="118"/>
      <c r="H456" s="118"/>
      <c r="I456" s="118"/>
      <c r="J456" s="118"/>
      <c r="K456" s="401"/>
      <c r="L456" s="118"/>
      <c r="M456" s="118"/>
      <c r="N456" s="118"/>
      <c r="O456" s="118"/>
      <c r="P456" s="401"/>
      <c r="Q456" s="118"/>
      <c r="R456" s="118"/>
      <c r="S456" s="118"/>
      <c r="T456" s="118"/>
      <c r="U456" s="401"/>
      <c r="V456" s="118"/>
      <c r="W456" s="118"/>
      <c r="X456" s="118"/>
      <c r="Y456" s="118"/>
      <c r="Z456" s="401"/>
      <c r="AA456" s="118"/>
      <c r="AB456" s="118"/>
      <c r="AC456" s="118"/>
      <c r="AD456" s="118"/>
      <c r="AE456" s="401"/>
      <c r="AF456" s="118"/>
      <c r="AG456" s="118"/>
      <c r="AH456" s="118"/>
      <c r="AI456" s="118"/>
      <c r="AJ456" s="401"/>
      <c r="AK456" s="118"/>
      <c r="AL456" s="118"/>
      <c r="AM456" s="118"/>
      <c r="AN456" s="118"/>
      <c r="AO456" s="401"/>
      <c r="AP456" s="118"/>
      <c r="AQ456" s="118"/>
      <c r="AR456" s="118"/>
      <c r="AS456" s="118"/>
      <c r="AT456" s="401"/>
      <c r="AU456" s="118"/>
      <c r="AV456" s="118"/>
      <c r="AW456" s="118"/>
      <c r="AX456" s="118"/>
      <c r="AY456" s="401"/>
      <c r="AZ456" s="118"/>
      <c r="BA456" s="118"/>
      <c r="BB456" s="118"/>
      <c r="BC456" s="118"/>
      <c r="BD456" s="401"/>
      <c r="BE456" s="118"/>
      <c r="BF456" s="118"/>
      <c r="BG456" s="118"/>
      <c r="BH456" s="118"/>
      <c r="BI456" s="401"/>
      <c r="BJ456" s="971"/>
      <c r="BK456" s="118"/>
      <c r="BL456" s="118"/>
      <c r="BM456" s="118"/>
      <c r="BN456" s="401"/>
      <c r="BO456" s="118"/>
      <c r="BP456" s="118"/>
      <c r="BQ456" s="118"/>
      <c r="BR456" s="118"/>
      <c r="BS456" s="401"/>
      <c r="BT456" s="401"/>
      <c r="BU456" s="401"/>
      <c r="BV456" s="401"/>
      <c r="BW456" s="122"/>
    </row>
    <row r="457" spans="1:75" s="169" customFormat="1" ht="14.25" hidden="1" outlineLevel="3" x14ac:dyDescent="0.45">
      <c r="A457" s="1247" t="s">
        <v>1939</v>
      </c>
      <c r="B457" s="1121"/>
      <c r="C457" s="840"/>
      <c r="D457" s="840"/>
      <c r="E457" s="840"/>
      <c r="F457" s="840"/>
      <c r="G457" s="247"/>
      <c r="H457" s="247"/>
      <c r="I457" s="247"/>
      <c r="J457" s="247"/>
      <c r="K457" s="840">
        <f>F459</f>
        <v>0</v>
      </c>
      <c r="L457" s="247"/>
      <c r="M457" s="247"/>
      <c r="N457" s="247"/>
      <c r="O457" s="247"/>
      <c r="P457" s="1123">
        <f>K459</f>
        <v>5</v>
      </c>
      <c r="Q457" s="247"/>
      <c r="R457" s="247"/>
      <c r="S457" s="247"/>
      <c r="T457" s="247"/>
      <c r="U457" s="1123">
        <f>P459</f>
        <v>13</v>
      </c>
      <c r="V457" s="247"/>
      <c r="W457" s="247"/>
      <c r="X457" s="247"/>
      <c r="Y457" s="247"/>
      <c r="Z457" s="1123">
        <f>U459</f>
        <v>19</v>
      </c>
      <c r="AA457" s="247"/>
      <c r="AB457" s="247"/>
      <c r="AC457" s="247"/>
      <c r="AD457" s="247"/>
      <c r="AE457" s="1123">
        <f>Z459</f>
        <v>19</v>
      </c>
      <c r="AF457" s="247"/>
      <c r="AG457" s="247"/>
      <c r="AH457" s="247"/>
      <c r="AI457" s="247"/>
      <c r="AJ457" s="1123">
        <f>AE459</f>
        <v>19</v>
      </c>
      <c r="AK457" s="247"/>
      <c r="AL457" s="247"/>
      <c r="AM457" s="247"/>
      <c r="AN457" s="247"/>
      <c r="AO457" s="1123">
        <f>AJ459</f>
        <v>19</v>
      </c>
      <c r="AP457" s="247"/>
      <c r="AQ457" s="247"/>
      <c r="AR457" s="247"/>
      <c r="AS457" s="247"/>
      <c r="AT457" s="840">
        <f>AO459</f>
        <v>19</v>
      </c>
      <c r="AU457" s="247"/>
      <c r="AV457" s="247"/>
      <c r="AW457" s="247"/>
      <c r="AX457" s="247"/>
      <c r="AY457" s="840">
        <f>AT459</f>
        <v>19</v>
      </c>
      <c r="AZ457" s="247"/>
      <c r="BA457" s="247"/>
      <c r="BB457" s="247"/>
      <c r="BC457" s="247"/>
      <c r="BD457" s="840">
        <f>AY459</f>
        <v>19</v>
      </c>
      <c r="BE457" s="247"/>
      <c r="BF457" s="247"/>
      <c r="BG457" s="247"/>
      <c r="BH457" s="247"/>
      <c r="BI457" s="840">
        <f>BD459</f>
        <v>19</v>
      </c>
      <c r="BJ457" s="977"/>
      <c r="BK457" s="247"/>
      <c r="BL457" s="247"/>
      <c r="BM457" s="247"/>
      <c r="BN457" s="840"/>
      <c r="BO457" s="247"/>
      <c r="BP457" s="247"/>
      <c r="BQ457" s="247"/>
      <c r="BR457" s="247"/>
      <c r="BS457" s="840"/>
      <c r="BT457" s="840"/>
      <c r="BU457" s="840"/>
      <c r="BV457" s="840"/>
      <c r="BW457" s="168"/>
    </row>
    <row r="458" spans="1:75" s="224" customFormat="1" hidden="1" outlineLevel="3" x14ac:dyDescent="0.5">
      <c r="A458" s="349" t="s">
        <v>1940</v>
      </c>
      <c r="B458" s="494"/>
      <c r="C458" s="425"/>
      <c r="D458" s="425"/>
      <c r="E458" s="425"/>
      <c r="F458" s="425"/>
      <c r="G458" s="487"/>
      <c r="H458" s="487"/>
      <c r="I458" s="487"/>
      <c r="J458" s="487"/>
      <c r="K458" s="425">
        <f>K459-K457</f>
        <v>5</v>
      </c>
      <c r="L458" s="487"/>
      <c r="M458" s="487"/>
      <c r="N458" s="487"/>
      <c r="O458" s="487"/>
      <c r="P458" s="1125">
        <f>P459-P457</f>
        <v>8</v>
      </c>
      <c r="Q458" s="487"/>
      <c r="R458" s="487"/>
      <c r="S458" s="487"/>
      <c r="T458" s="487"/>
      <c r="U458" s="1125">
        <f>U459-U457</f>
        <v>6</v>
      </c>
      <c r="V458" s="487"/>
      <c r="W458" s="487"/>
      <c r="X458" s="487"/>
      <c r="Y458" s="487"/>
      <c r="Z458" s="1125">
        <f>Z459-Z457</f>
        <v>0</v>
      </c>
      <c r="AA458" s="487"/>
      <c r="AB458" s="487"/>
      <c r="AC458" s="487"/>
      <c r="AD458" s="487"/>
      <c r="AE458" s="1125">
        <f>AE459-AE457</f>
        <v>0</v>
      </c>
      <c r="AF458" s="487"/>
      <c r="AG458" s="487"/>
      <c r="AH458" s="487"/>
      <c r="AI458" s="487"/>
      <c r="AJ458" s="1125">
        <f>AJ459-AJ457</f>
        <v>0</v>
      </c>
      <c r="AK458" s="487"/>
      <c r="AL458" s="487"/>
      <c r="AM458" s="487"/>
      <c r="AN458" s="487"/>
      <c r="AO458" s="1125">
        <f>AO459-AO457</f>
        <v>0</v>
      </c>
      <c r="AP458" s="487"/>
      <c r="AQ458" s="487"/>
      <c r="AR458" s="487"/>
      <c r="AS458" s="487"/>
      <c r="AT458" s="425">
        <f>AT459-AT457</f>
        <v>0</v>
      </c>
      <c r="AU458" s="487"/>
      <c r="AV458" s="487"/>
      <c r="AW458" s="487"/>
      <c r="AX458" s="487"/>
      <c r="AY458" s="425">
        <f>AY459-AY457</f>
        <v>0</v>
      </c>
      <c r="AZ458" s="487"/>
      <c r="BA458" s="487"/>
      <c r="BB458" s="487"/>
      <c r="BC458" s="487"/>
      <c r="BD458" s="425">
        <f>BD459-BD457</f>
        <v>0</v>
      </c>
      <c r="BE458" s="487"/>
      <c r="BF458" s="487"/>
      <c r="BG458" s="487"/>
      <c r="BH458" s="487"/>
      <c r="BI458" s="425">
        <f>BI459-BI457</f>
        <v>-2</v>
      </c>
      <c r="BJ458" s="981"/>
      <c r="BK458" s="487"/>
      <c r="BL458" s="487"/>
      <c r="BM458" s="487"/>
      <c r="BN458" s="425"/>
      <c r="BO458" s="487"/>
      <c r="BP458" s="487"/>
      <c r="BQ458" s="487"/>
      <c r="BR458" s="487"/>
      <c r="BS458" s="425"/>
      <c r="BT458" s="425"/>
      <c r="BU458" s="425"/>
      <c r="BV458" s="425"/>
      <c r="BW458" s="223"/>
    </row>
    <row r="459" spans="1:75" s="169" customFormat="1" ht="14.25" hidden="1" outlineLevel="3" x14ac:dyDescent="0.45">
      <c r="A459" s="1248" t="s">
        <v>1941</v>
      </c>
      <c r="B459" s="1127"/>
      <c r="C459" s="1128"/>
      <c r="D459" s="1128"/>
      <c r="E459" s="1128"/>
      <c r="F459" s="1128"/>
      <c r="G459" s="287"/>
      <c r="H459" s="287"/>
      <c r="I459" s="287"/>
      <c r="J459" s="287"/>
      <c r="K459" s="1234">
        <v>5</v>
      </c>
      <c r="L459" s="287"/>
      <c r="M459" s="287"/>
      <c r="N459" s="287"/>
      <c r="O459" s="287"/>
      <c r="P459" s="1234">
        <v>13</v>
      </c>
      <c r="Q459" s="287"/>
      <c r="R459" s="287"/>
      <c r="S459" s="287"/>
      <c r="T459" s="287"/>
      <c r="U459" s="1234">
        <v>19</v>
      </c>
      <c r="V459" s="287"/>
      <c r="W459" s="287"/>
      <c r="X459" s="287"/>
      <c r="Y459" s="287"/>
      <c r="Z459" s="1234">
        <v>19</v>
      </c>
      <c r="AA459" s="287"/>
      <c r="AB459" s="287"/>
      <c r="AC459" s="287"/>
      <c r="AD459" s="287"/>
      <c r="AE459" s="1234">
        <v>19</v>
      </c>
      <c r="AF459" s="287"/>
      <c r="AG459" s="287"/>
      <c r="AH459" s="287"/>
      <c r="AI459" s="287"/>
      <c r="AJ459" s="1234">
        <v>19</v>
      </c>
      <c r="AK459" s="287"/>
      <c r="AL459" s="287"/>
      <c r="AM459" s="287"/>
      <c r="AN459" s="287"/>
      <c r="AO459" s="1234">
        <v>19</v>
      </c>
      <c r="AP459" s="287"/>
      <c r="AQ459" s="287"/>
      <c r="AR459" s="287"/>
      <c r="AS459" s="287"/>
      <c r="AT459" s="1234">
        <v>19</v>
      </c>
      <c r="AU459" s="287"/>
      <c r="AV459" s="287"/>
      <c r="AW459" s="287"/>
      <c r="AX459" s="287"/>
      <c r="AY459" s="1234">
        <v>19</v>
      </c>
      <c r="AZ459" s="287"/>
      <c r="BA459" s="287"/>
      <c r="BB459" s="287"/>
      <c r="BC459" s="287"/>
      <c r="BD459" s="1234">
        <v>19</v>
      </c>
      <c r="BE459" s="287"/>
      <c r="BF459" s="287"/>
      <c r="BG459" s="287"/>
      <c r="BH459" s="287"/>
      <c r="BI459" s="1234">
        <v>17</v>
      </c>
      <c r="BJ459" s="1129"/>
      <c r="BK459" s="287"/>
      <c r="BL459" s="287"/>
      <c r="BM459" s="287"/>
      <c r="BN459" s="1128"/>
      <c r="BO459" s="287"/>
      <c r="BP459" s="287"/>
      <c r="BQ459" s="287"/>
      <c r="BR459" s="287"/>
      <c r="BS459" s="1128"/>
      <c r="BT459" s="1128"/>
      <c r="BU459" s="1128"/>
      <c r="BV459" s="1128"/>
      <c r="BW459" s="168"/>
    </row>
    <row r="460" spans="1:75" s="224" customFormat="1" hidden="1" outlineLevel="3" x14ac:dyDescent="0.5">
      <c r="A460" s="218"/>
      <c r="B460" s="494"/>
      <c r="C460" s="425"/>
      <c r="D460" s="425"/>
      <c r="E460" s="425"/>
      <c r="F460" s="425"/>
      <c r="G460" s="487"/>
      <c r="H460" s="487"/>
      <c r="I460" s="487"/>
      <c r="J460" s="487"/>
      <c r="K460" s="425"/>
      <c r="L460" s="487"/>
      <c r="M460" s="487"/>
      <c r="N460" s="487"/>
      <c r="O460" s="487"/>
      <c r="P460" s="425"/>
      <c r="Q460" s="487"/>
      <c r="R460" s="487"/>
      <c r="S460" s="487"/>
      <c r="T460" s="487"/>
      <c r="U460" s="425"/>
      <c r="V460" s="487"/>
      <c r="W460" s="487"/>
      <c r="X460" s="487"/>
      <c r="Y460" s="487"/>
      <c r="Z460" s="425"/>
      <c r="AA460" s="487"/>
      <c r="AB460" s="487"/>
      <c r="AC460" s="487"/>
      <c r="AD460" s="487"/>
      <c r="AE460" s="425"/>
      <c r="AF460" s="487"/>
      <c r="AG460" s="487"/>
      <c r="AH460" s="487"/>
      <c r="AI460" s="487"/>
      <c r="AJ460" s="425"/>
      <c r="AK460" s="487"/>
      <c r="AL460" s="487"/>
      <c r="AM460" s="487"/>
      <c r="AN460" s="487"/>
      <c r="AO460" s="425"/>
      <c r="AP460" s="487"/>
      <c r="AQ460" s="487"/>
      <c r="AR460" s="487"/>
      <c r="AS460" s="487"/>
      <c r="AT460" s="425"/>
      <c r="AU460" s="487"/>
      <c r="AV460" s="487"/>
      <c r="AW460" s="487"/>
      <c r="AX460" s="487"/>
      <c r="AY460" s="425"/>
      <c r="AZ460" s="487"/>
      <c r="BA460" s="487"/>
      <c r="BB460" s="487"/>
      <c r="BC460" s="487"/>
      <c r="BD460" s="425"/>
      <c r="BE460" s="487"/>
      <c r="BF460" s="487"/>
      <c r="BG460" s="487"/>
      <c r="BH460" s="487"/>
      <c r="BI460" s="425"/>
      <c r="BJ460" s="981"/>
      <c r="BK460" s="487"/>
      <c r="BL460" s="487"/>
      <c r="BM460" s="487"/>
      <c r="BN460" s="425"/>
      <c r="BO460" s="487"/>
      <c r="BP460" s="487"/>
      <c r="BQ460" s="487"/>
      <c r="BR460" s="487"/>
      <c r="BS460" s="425"/>
      <c r="BT460" s="425"/>
      <c r="BU460" s="425"/>
      <c r="BV460" s="425"/>
      <c r="BW460" s="223"/>
    </row>
    <row r="461" spans="1:75" s="169" customFormat="1" ht="14.25" hidden="1" outlineLevel="3" x14ac:dyDescent="0.45">
      <c r="A461" s="1247" t="s">
        <v>1942</v>
      </c>
      <c r="B461" s="1121"/>
      <c r="C461" s="840"/>
      <c r="D461" s="840"/>
      <c r="E461" s="840"/>
      <c r="F461" s="840"/>
      <c r="G461" s="247"/>
      <c r="H461" s="247"/>
      <c r="I461" s="247"/>
      <c r="J461" s="247"/>
      <c r="K461" s="840">
        <f>F463</f>
        <v>0</v>
      </c>
      <c r="L461" s="247"/>
      <c r="M461" s="247"/>
      <c r="N461" s="247"/>
      <c r="O461" s="247"/>
      <c r="P461" s="1123">
        <f>K463</f>
        <v>1</v>
      </c>
      <c r="Q461" s="247"/>
      <c r="R461" s="247"/>
      <c r="S461" s="247"/>
      <c r="T461" s="247"/>
      <c r="U461" s="1123">
        <f>P463</f>
        <v>1</v>
      </c>
      <c r="V461" s="247"/>
      <c r="W461" s="247"/>
      <c r="X461" s="247"/>
      <c r="Y461" s="247"/>
      <c r="Z461" s="1123">
        <f>U463</f>
        <v>1</v>
      </c>
      <c r="AA461" s="247"/>
      <c r="AB461" s="247"/>
      <c r="AC461" s="247"/>
      <c r="AD461" s="247"/>
      <c r="AE461" s="1123">
        <f>Z463</f>
        <v>1</v>
      </c>
      <c r="AF461" s="247"/>
      <c r="AG461" s="247"/>
      <c r="AH461" s="247"/>
      <c r="AI461" s="247"/>
      <c r="AJ461" s="1123">
        <f>AE463</f>
        <v>2</v>
      </c>
      <c r="AK461" s="247"/>
      <c r="AL461" s="247"/>
      <c r="AM461" s="247"/>
      <c r="AN461" s="247"/>
      <c r="AO461" s="1123">
        <f>AJ463</f>
        <v>3</v>
      </c>
      <c r="AP461" s="247"/>
      <c r="AQ461" s="247"/>
      <c r="AR461" s="247"/>
      <c r="AS461" s="247"/>
      <c r="AT461" s="840">
        <f>AO463</f>
        <v>3</v>
      </c>
      <c r="AU461" s="247"/>
      <c r="AV461" s="247"/>
      <c r="AW461" s="247"/>
      <c r="AX461" s="247"/>
      <c r="AY461" s="840">
        <f>AT463</f>
        <v>3</v>
      </c>
      <c r="AZ461" s="247"/>
      <c r="BA461" s="247"/>
      <c r="BB461" s="247"/>
      <c r="BC461" s="247"/>
      <c r="BD461" s="840">
        <f>AY463</f>
        <v>3</v>
      </c>
      <c r="BE461" s="247"/>
      <c r="BF461" s="247"/>
      <c r="BG461" s="247"/>
      <c r="BH461" s="247"/>
      <c r="BI461" s="840">
        <f>BD463</f>
        <v>2</v>
      </c>
      <c r="BJ461" s="977"/>
      <c r="BK461" s="247"/>
      <c r="BL461" s="247"/>
      <c r="BM461" s="247"/>
      <c r="BN461" s="840"/>
      <c r="BO461" s="247"/>
      <c r="BP461" s="247"/>
      <c r="BQ461" s="247"/>
      <c r="BR461" s="247"/>
      <c r="BS461" s="840"/>
      <c r="BT461" s="840"/>
      <c r="BU461" s="840"/>
      <c r="BV461" s="840"/>
      <c r="BW461" s="168"/>
    </row>
    <row r="462" spans="1:75" s="224" customFormat="1" hidden="1" outlineLevel="3" x14ac:dyDescent="0.5">
      <c r="A462" s="349" t="s">
        <v>1943</v>
      </c>
      <c r="B462" s="494"/>
      <c r="C462" s="425"/>
      <c r="D462" s="425"/>
      <c r="E462" s="425"/>
      <c r="F462" s="425"/>
      <c r="G462" s="487"/>
      <c r="H462" s="487"/>
      <c r="I462" s="487"/>
      <c r="J462" s="487"/>
      <c r="K462" s="425">
        <f>K463-K461</f>
        <v>1</v>
      </c>
      <c r="L462" s="487"/>
      <c r="M462" s="487"/>
      <c r="N462" s="487"/>
      <c r="O462" s="487"/>
      <c r="P462" s="1125">
        <f>P463-P461</f>
        <v>0</v>
      </c>
      <c r="Q462" s="487"/>
      <c r="R462" s="487"/>
      <c r="S462" s="487"/>
      <c r="T462" s="487"/>
      <c r="U462" s="1125">
        <f>U463-U461</f>
        <v>0</v>
      </c>
      <c r="V462" s="487"/>
      <c r="W462" s="487"/>
      <c r="X462" s="487"/>
      <c r="Y462" s="487"/>
      <c r="Z462" s="1125">
        <f>Z463-Z461</f>
        <v>0</v>
      </c>
      <c r="AA462" s="487"/>
      <c r="AB462" s="487"/>
      <c r="AC462" s="487"/>
      <c r="AD462" s="487"/>
      <c r="AE462" s="1125">
        <f>AE463-AE461</f>
        <v>1</v>
      </c>
      <c r="AF462" s="487"/>
      <c r="AG462" s="487"/>
      <c r="AH462" s="487"/>
      <c r="AI462" s="487"/>
      <c r="AJ462" s="1125">
        <f>AJ463-AJ461</f>
        <v>1</v>
      </c>
      <c r="AK462" s="487"/>
      <c r="AL462" s="487"/>
      <c r="AM462" s="487"/>
      <c r="AN462" s="487"/>
      <c r="AO462" s="1125">
        <f>AO463-AO461</f>
        <v>0</v>
      </c>
      <c r="AP462" s="487"/>
      <c r="AQ462" s="487"/>
      <c r="AR462" s="487"/>
      <c r="AS462" s="487"/>
      <c r="AT462" s="425">
        <f>AT463-AT461</f>
        <v>0</v>
      </c>
      <c r="AU462" s="487"/>
      <c r="AV462" s="487"/>
      <c r="AW462" s="487"/>
      <c r="AX462" s="487"/>
      <c r="AY462" s="425">
        <f>AY463-AY461</f>
        <v>0</v>
      </c>
      <c r="AZ462" s="487"/>
      <c r="BA462" s="487"/>
      <c r="BB462" s="487"/>
      <c r="BC462" s="487"/>
      <c r="BD462" s="425">
        <f>BD463-BD461</f>
        <v>-1</v>
      </c>
      <c r="BE462" s="487"/>
      <c r="BF462" s="487"/>
      <c r="BG462" s="487"/>
      <c r="BH462" s="487"/>
      <c r="BI462" s="425">
        <f>BI463-BI461</f>
        <v>0</v>
      </c>
      <c r="BJ462" s="981"/>
      <c r="BK462" s="487"/>
      <c r="BL462" s="487"/>
      <c r="BM462" s="487"/>
      <c r="BN462" s="425"/>
      <c r="BO462" s="487"/>
      <c r="BP462" s="487"/>
      <c r="BQ462" s="487"/>
      <c r="BR462" s="487"/>
      <c r="BS462" s="425"/>
      <c r="BT462" s="425"/>
      <c r="BU462" s="425"/>
      <c r="BV462" s="425"/>
      <c r="BW462" s="223"/>
    </row>
    <row r="463" spans="1:75" s="169" customFormat="1" ht="14.25" hidden="1" outlineLevel="3" x14ac:dyDescent="0.45">
      <c r="A463" s="1248" t="s">
        <v>1944</v>
      </c>
      <c r="B463" s="1127"/>
      <c r="C463" s="1128"/>
      <c r="D463" s="1128"/>
      <c r="E463" s="1128"/>
      <c r="F463" s="1128"/>
      <c r="G463" s="287"/>
      <c r="H463" s="287"/>
      <c r="I463" s="287"/>
      <c r="J463" s="287"/>
      <c r="K463" s="1234">
        <v>1</v>
      </c>
      <c r="L463" s="287"/>
      <c r="M463" s="287"/>
      <c r="N463" s="287"/>
      <c r="O463" s="287"/>
      <c r="P463" s="1234">
        <v>1</v>
      </c>
      <c r="Q463" s="287"/>
      <c r="R463" s="287"/>
      <c r="S463" s="287"/>
      <c r="T463" s="287"/>
      <c r="U463" s="1234">
        <v>1</v>
      </c>
      <c r="V463" s="287"/>
      <c r="W463" s="287"/>
      <c r="X463" s="287"/>
      <c r="Y463" s="287"/>
      <c r="Z463" s="1234">
        <v>1</v>
      </c>
      <c r="AA463" s="287"/>
      <c r="AB463" s="287"/>
      <c r="AC463" s="287"/>
      <c r="AD463" s="287"/>
      <c r="AE463" s="1234">
        <v>2</v>
      </c>
      <c r="AF463" s="287"/>
      <c r="AG463" s="287"/>
      <c r="AH463" s="287"/>
      <c r="AI463" s="287"/>
      <c r="AJ463" s="1234">
        <v>3</v>
      </c>
      <c r="AK463" s="287"/>
      <c r="AL463" s="287"/>
      <c r="AM463" s="287"/>
      <c r="AN463" s="287"/>
      <c r="AO463" s="1234">
        <v>3</v>
      </c>
      <c r="AP463" s="287"/>
      <c r="AQ463" s="287"/>
      <c r="AR463" s="287"/>
      <c r="AS463" s="287"/>
      <c r="AT463" s="1234">
        <v>3</v>
      </c>
      <c r="AU463" s="287"/>
      <c r="AV463" s="287"/>
      <c r="AW463" s="287"/>
      <c r="AX463" s="287"/>
      <c r="AY463" s="1234">
        <v>3</v>
      </c>
      <c r="AZ463" s="287"/>
      <c r="BA463" s="287"/>
      <c r="BB463" s="287"/>
      <c r="BC463" s="287"/>
      <c r="BD463" s="1234">
        <v>2</v>
      </c>
      <c r="BE463" s="287"/>
      <c r="BF463" s="287"/>
      <c r="BG463" s="287"/>
      <c r="BH463" s="287"/>
      <c r="BI463" s="1234">
        <v>2</v>
      </c>
      <c r="BJ463" s="1129"/>
      <c r="BK463" s="287"/>
      <c r="BL463" s="287"/>
      <c r="BM463" s="287"/>
      <c r="BN463" s="1128"/>
      <c r="BO463" s="287"/>
      <c r="BP463" s="287"/>
      <c r="BQ463" s="287"/>
      <c r="BR463" s="287"/>
      <c r="BS463" s="1128"/>
      <c r="BT463" s="1128"/>
      <c r="BU463" s="1128"/>
      <c r="BV463" s="1128"/>
      <c r="BW463" s="168"/>
    </row>
    <row r="464" spans="1:75" s="169" customFormat="1" ht="14.25" hidden="1" outlineLevel="2" collapsed="1" x14ac:dyDescent="0.45">
      <c r="A464" s="163"/>
      <c r="B464" s="1121"/>
      <c r="C464" s="840"/>
      <c r="D464" s="840"/>
      <c r="E464" s="840"/>
      <c r="F464" s="840"/>
      <c r="G464" s="247"/>
      <c r="H464" s="247"/>
      <c r="I464" s="247"/>
      <c r="J464" s="247"/>
      <c r="K464" s="840"/>
      <c r="L464" s="247"/>
      <c r="M464" s="247"/>
      <c r="N464" s="247"/>
      <c r="O464" s="247"/>
      <c r="P464" s="840"/>
      <c r="Q464" s="247"/>
      <c r="R464" s="247"/>
      <c r="S464" s="247"/>
      <c r="T464" s="247"/>
      <c r="U464" s="840"/>
      <c r="V464" s="247"/>
      <c r="W464" s="247"/>
      <c r="X464" s="247"/>
      <c r="Y464" s="247"/>
      <c r="Z464" s="840"/>
      <c r="AA464" s="247"/>
      <c r="AB464" s="247"/>
      <c r="AC464" s="247"/>
      <c r="AD464" s="247"/>
      <c r="AE464" s="840"/>
      <c r="AF464" s="247"/>
      <c r="AG464" s="247"/>
      <c r="AH464" s="247"/>
      <c r="AI464" s="247"/>
      <c r="AJ464" s="840"/>
      <c r="AK464" s="247"/>
      <c r="AL464" s="247"/>
      <c r="AM464" s="247"/>
      <c r="AN464" s="247"/>
      <c r="AO464" s="840"/>
      <c r="AP464" s="247"/>
      <c r="AQ464" s="247"/>
      <c r="AR464" s="247"/>
      <c r="AS464" s="247"/>
      <c r="AT464" s="840"/>
      <c r="AU464" s="247"/>
      <c r="AV464" s="247"/>
      <c r="AW464" s="247"/>
      <c r="AX464" s="247"/>
      <c r="AY464" s="840"/>
      <c r="AZ464" s="247"/>
      <c r="BA464" s="247"/>
      <c r="BB464" s="247"/>
      <c r="BC464" s="247"/>
      <c r="BD464" s="840"/>
      <c r="BE464" s="247"/>
      <c r="BF464" s="247"/>
      <c r="BG464" s="247"/>
      <c r="BH464" s="247"/>
      <c r="BI464" s="840"/>
      <c r="BJ464" s="977"/>
      <c r="BK464" s="247"/>
      <c r="BL464" s="247"/>
      <c r="BM464" s="247"/>
      <c r="BN464" s="840"/>
      <c r="BO464" s="247"/>
      <c r="BP464" s="247"/>
      <c r="BQ464" s="247"/>
      <c r="BR464" s="247"/>
      <c r="BS464" s="840"/>
      <c r="BT464" s="840"/>
      <c r="BU464" s="840"/>
      <c r="BV464" s="840"/>
      <c r="BW464" s="168"/>
    </row>
    <row r="465" spans="1:75" s="169" customFormat="1" ht="14.25" hidden="1" outlineLevel="2" x14ac:dyDescent="0.45">
      <c r="A465" s="163" t="s">
        <v>1945</v>
      </c>
      <c r="B465" s="1121"/>
      <c r="C465" s="840">
        <f>C453+C457+C461</f>
        <v>16</v>
      </c>
      <c r="D465" s="840">
        <f>C467</f>
        <v>17</v>
      </c>
      <c r="E465" s="840">
        <f>D467</f>
        <v>16</v>
      </c>
      <c r="F465" s="840">
        <f>E467</f>
        <v>16</v>
      </c>
      <c r="G465" s="247"/>
      <c r="H465" s="247"/>
      <c r="I465" s="247"/>
      <c r="J465" s="247"/>
      <c r="K465" s="840">
        <f>F467</f>
        <v>21</v>
      </c>
      <c r="L465" s="247"/>
      <c r="M465" s="247"/>
      <c r="N465" s="247"/>
      <c r="O465" s="247"/>
      <c r="P465" s="840">
        <f>K467</f>
        <v>31</v>
      </c>
      <c r="Q465" s="247"/>
      <c r="R465" s="247"/>
      <c r="S465" s="247"/>
      <c r="T465" s="247"/>
      <c r="U465" s="840">
        <f>P467</f>
        <v>39</v>
      </c>
      <c r="V465" s="247"/>
      <c r="W465" s="247"/>
      <c r="X465" s="247"/>
      <c r="Y465" s="247"/>
      <c r="Z465" s="840">
        <f>U467</f>
        <v>47</v>
      </c>
      <c r="AA465" s="247"/>
      <c r="AB465" s="247"/>
      <c r="AC465" s="247"/>
      <c r="AD465" s="247"/>
      <c r="AE465" s="840">
        <f>Z467</f>
        <v>46</v>
      </c>
      <c r="AF465" s="247"/>
      <c r="AG465" s="247"/>
      <c r="AH465" s="247"/>
      <c r="AI465" s="247"/>
      <c r="AJ465" s="840">
        <f>AE467</f>
        <v>45</v>
      </c>
      <c r="AK465" s="247"/>
      <c r="AL465" s="247"/>
      <c r="AM465" s="247"/>
      <c r="AN465" s="247"/>
      <c r="AO465" s="840">
        <f>AJ467</f>
        <v>46</v>
      </c>
      <c r="AP465" s="247"/>
      <c r="AQ465" s="247"/>
      <c r="AR465" s="247"/>
      <c r="AS465" s="247"/>
      <c r="AT465" s="840">
        <f>AO467</f>
        <v>42</v>
      </c>
      <c r="AU465" s="247"/>
      <c r="AV465" s="247"/>
      <c r="AW465" s="247"/>
      <c r="AX465" s="247"/>
      <c r="AY465" s="840">
        <f>AT467</f>
        <v>43</v>
      </c>
      <c r="AZ465" s="247"/>
      <c r="BA465" s="247"/>
      <c r="BB465" s="247"/>
      <c r="BC465" s="247"/>
      <c r="BD465" s="840">
        <f>AY467</f>
        <v>42</v>
      </c>
      <c r="BE465" s="247"/>
      <c r="BF465" s="247"/>
      <c r="BG465" s="247"/>
      <c r="BH465" s="247"/>
      <c r="BI465" s="840">
        <f>BD467</f>
        <v>41</v>
      </c>
      <c r="BJ465" s="977"/>
      <c r="BK465" s="247"/>
      <c r="BL465" s="247"/>
      <c r="BM465" s="247"/>
      <c r="BN465" s="840"/>
      <c r="BO465" s="247"/>
      <c r="BP465" s="247"/>
      <c r="BQ465" s="247"/>
      <c r="BR465" s="247"/>
      <c r="BS465" s="840"/>
      <c r="BT465" s="840"/>
      <c r="BU465" s="840"/>
      <c r="BV465" s="840"/>
      <c r="BW465" s="168"/>
    </row>
    <row r="466" spans="1:75" s="224" customFormat="1" hidden="1" outlineLevel="2" x14ac:dyDescent="0.5">
      <c r="A466" s="218" t="s">
        <v>1946</v>
      </c>
      <c r="B466" s="494"/>
      <c r="C466" s="425">
        <f>C454+C458+C462</f>
        <v>1</v>
      </c>
      <c r="D466" s="425">
        <f>D454+D458+D462</f>
        <v>-1</v>
      </c>
      <c r="E466" s="425">
        <f>E454+E458+E462</f>
        <v>0</v>
      </c>
      <c r="F466" s="425">
        <f>F454+F458+F462</f>
        <v>5</v>
      </c>
      <c r="G466" s="487"/>
      <c r="H466" s="487"/>
      <c r="I466" s="487"/>
      <c r="J466" s="487"/>
      <c r="K466" s="425">
        <f>K454+K458+K462</f>
        <v>10</v>
      </c>
      <c r="L466" s="487"/>
      <c r="M466" s="487"/>
      <c r="N466" s="487"/>
      <c r="O466" s="487"/>
      <c r="P466" s="425">
        <f>P454+P458+P462</f>
        <v>8</v>
      </c>
      <c r="Q466" s="487"/>
      <c r="R466" s="487"/>
      <c r="S466" s="487"/>
      <c r="T466" s="487"/>
      <c r="U466" s="425">
        <f>U454+U458+U462</f>
        <v>8</v>
      </c>
      <c r="V466" s="487"/>
      <c r="W466" s="487"/>
      <c r="X466" s="487"/>
      <c r="Y466" s="487"/>
      <c r="Z466" s="425">
        <f>Z454+Z458+Z462</f>
        <v>-1</v>
      </c>
      <c r="AA466" s="487"/>
      <c r="AB466" s="487"/>
      <c r="AC466" s="487"/>
      <c r="AD466" s="487"/>
      <c r="AE466" s="425">
        <f>AE454+AE458+AE462</f>
        <v>-1</v>
      </c>
      <c r="AF466" s="487"/>
      <c r="AG466" s="487"/>
      <c r="AH466" s="487"/>
      <c r="AI466" s="487"/>
      <c r="AJ466" s="425">
        <f>AJ454+AJ458+AJ462</f>
        <v>1</v>
      </c>
      <c r="AK466" s="487"/>
      <c r="AL466" s="487"/>
      <c r="AM466" s="487"/>
      <c r="AN466" s="487"/>
      <c r="AO466" s="425">
        <f>AO454+AO458+AO462</f>
        <v>-4</v>
      </c>
      <c r="AP466" s="487"/>
      <c r="AQ466" s="487"/>
      <c r="AR466" s="487"/>
      <c r="AS466" s="487"/>
      <c r="AT466" s="425">
        <f>AT454+AT458+AT462</f>
        <v>1</v>
      </c>
      <c r="AU466" s="487"/>
      <c r="AV466" s="487"/>
      <c r="AW466" s="487"/>
      <c r="AX466" s="487"/>
      <c r="AY466" s="425">
        <f>AY454+AY458+AY462</f>
        <v>-1</v>
      </c>
      <c r="AZ466" s="487"/>
      <c r="BA466" s="487"/>
      <c r="BB466" s="487"/>
      <c r="BC466" s="487"/>
      <c r="BD466" s="425">
        <f>BD454+BD458+BD462</f>
        <v>-1</v>
      </c>
      <c r="BE466" s="487"/>
      <c r="BF466" s="487"/>
      <c r="BG466" s="487"/>
      <c r="BH466" s="487"/>
      <c r="BI466" s="425">
        <f>BI454+BI458+BI462</f>
        <v>-3</v>
      </c>
      <c r="BJ466" s="981"/>
      <c r="BK466" s="487"/>
      <c r="BL466" s="487"/>
      <c r="BM466" s="487"/>
      <c r="BN466" s="425"/>
      <c r="BO466" s="487"/>
      <c r="BP466" s="487"/>
      <c r="BQ466" s="487"/>
      <c r="BR466" s="487"/>
      <c r="BS466" s="425"/>
      <c r="BT466" s="425"/>
      <c r="BU466" s="425"/>
      <c r="BV466" s="425"/>
      <c r="BW466" s="223"/>
    </row>
    <row r="467" spans="1:75" s="169" customFormat="1" ht="14.25" hidden="1" outlineLevel="2" x14ac:dyDescent="0.45">
      <c r="A467" s="360" t="s">
        <v>1947</v>
      </c>
      <c r="B467" s="1127"/>
      <c r="C467" s="1128">
        <f>SUM(C465:C466)</f>
        <v>17</v>
      </c>
      <c r="D467" s="1128">
        <f>SUM(D465:D466)</f>
        <v>16</v>
      </c>
      <c r="E467" s="1128">
        <f>SUM(E465:E466)</f>
        <v>16</v>
      </c>
      <c r="F467" s="1128">
        <f>SUM(F465:F466)</f>
        <v>21</v>
      </c>
      <c r="G467" s="287"/>
      <c r="H467" s="287"/>
      <c r="I467" s="287"/>
      <c r="J467" s="287"/>
      <c r="K467" s="1128">
        <f>SUM(K465:K466)</f>
        <v>31</v>
      </c>
      <c r="L467" s="287"/>
      <c r="M467" s="287"/>
      <c r="N467" s="287"/>
      <c r="O467" s="287"/>
      <c r="P467" s="1128">
        <f>SUM(P465:P466)</f>
        <v>39</v>
      </c>
      <c r="Q467" s="287"/>
      <c r="R467" s="287"/>
      <c r="S467" s="287"/>
      <c r="T467" s="287"/>
      <c r="U467" s="1128">
        <f>SUM(U465:U466)</f>
        <v>47</v>
      </c>
      <c r="V467" s="287"/>
      <c r="W467" s="287"/>
      <c r="X467" s="287"/>
      <c r="Y467" s="287"/>
      <c r="Z467" s="1128">
        <f>SUM(Z465:Z466)</f>
        <v>46</v>
      </c>
      <c r="AA467" s="287"/>
      <c r="AB467" s="287"/>
      <c r="AC467" s="287"/>
      <c r="AD467" s="287"/>
      <c r="AE467" s="1128">
        <f>SUM(AE465:AE466)</f>
        <v>45</v>
      </c>
      <c r="AF467" s="287"/>
      <c r="AG467" s="287"/>
      <c r="AH467" s="287"/>
      <c r="AI467" s="287"/>
      <c r="AJ467" s="1128">
        <f>SUM(AJ465:AJ466)</f>
        <v>46</v>
      </c>
      <c r="AK467" s="287"/>
      <c r="AL467" s="287"/>
      <c r="AM467" s="287"/>
      <c r="AN467" s="287"/>
      <c r="AO467" s="1128">
        <f>SUM(AO465:AO466)</f>
        <v>42</v>
      </c>
      <c r="AP467" s="287"/>
      <c r="AQ467" s="287"/>
      <c r="AR467" s="287"/>
      <c r="AS467" s="287"/>
      <c r="AT467" s="1128">
        <f>SUM(AT465:AT466)</f>
        <v>43</v>
      </c>
      <c r="AU467" s="287"/>
      <c r="AV467" s="287"/>
      <c r="AW467" s="287"/>
      <c r="AX467" s="287"/>
      <c r="AY467" s="1128">
        <f>SUM(AY465:AY466)</f>
        <v>42</v>
      </c>
      <c r="AZ467" s="287"/>
      <c r="BA467" s="287"/>
      <c r="BB467" s="287"/>
      <c r="BC467" s="287"/>
      <c r="BD467" s="1128">
        <f>SUM(BD465:BD466)</f>
        <v>41</v>
      </c>
      <c r="BE467" s="287"/>
      <c r="BF467" s="287"/>
      <c r="BG467" s="287"/>
      <c r="BH467" s="287"/>
      <c r="BI467" s="1128">
        <f>SUM(BI465:BI466)</f>
        <v>38</v>
      </c>
      <c r="BJ467" s="1129"/>
      <c r="BK467" s="287"/>
      <c r="BL467" s="287"/>
      <c r="BM467" s="287"/>
      <c r="BN467" s="1128"/>
      <c r="BO467" s="287"/>
      <c r="BP467" s="287"/>
      <c r="BQ467" s="287"/>
      <c r="BR467" s="287"/>
      <c r="BS467" s="1128"/>
      <c r="BT467" s="1128"/>
      <c r="BU467" s="1128"/>
      <c r="BV467" s="1128"/>
      <c r="BW467" s="168"/>
    </row>
    <row r="468" spans="1:75" s="169" customFormat="1" ht="14.25" hidden="1" outlineLevel="2" x14ac:dyDescent="0.45">
      <c r="A468" s="163"/>
      <c r="B468" s="1121"/>
      <c r="C468" s="840"/>
      <c r="D468" s="840"/>
      <c r="E468" s="840"/>
      <c r="F468" s="840"/>
      <c r="G468" s="247"/>
      <c r="H468" s="247"/>
      <c r="I468" s="247"/>
      <c r="J468" s="247"/>
      <c r="K468" s="840"/>
      <c r="L468" s="247"/>
      <c r="M468" s="247"/>
      <c r="N468" s="247"/>
      <c r="O468" s="247"/>
      <c r="P468" s="840"/>
      <c r="Q468" s="247"/>
      <c r="R468" s="247"/>
      <c r="S468" s="247"/>
      <c r="T468" s="247"/>
      <c r="U468" s="840"/>
      <c r="V468" s="247"/>
      <c r="W468" s="247"/>
      <c r="X468" s="247"/>
      <c r="Y468" s="247"/>
      <c r="Z468" s="840"/>
      <c r="AA468" s="247"/>
      <c r="AB468" s="247"/>
      <c r="AC468" s="247"/>
      <c r="AD468" s="247"/>
      <c r="AE468" s="840"/>
      <c r="AF468" s="247"/>
      <c r="AG468" s="247"/>
      <c r="AH468" s="247"/>
      <c r="AI468" s="247"/>
      <c r="AJ468" s="840"/>
      <c r="AK468" s="247"/>
      <c r="AL468" s="247"/>
      <c r="AM468" s="247"/>
      <c r="AN468" s="247"/>
      <c r="AO468" s="840"/>
      <c r="AP468" s="247"/>
      <c r="AQ468" s="247"/>
      <c r="AR468" s="247"/>
      <c r="AS468" s="247"/>
      <c r="AT468" s="840"/>
      <c r="AU468" s="247"/>
      <c r="AV468" s="247"/>
      <c r="AW468" s="247"/>
      <c r="AX468" s="247"/>
      <c r="AY468" s="840"/>
      <c r="AZ468" s="247"/>
      <c r="BA468" s="247"/>
      <c r="BB468" s="247"/>
      <c r="BC468" s="247"/>
      <c r="BD468" s="840"/>
      <c r="BE468" s="247"/>
      <c r="BF468" s="247"/>
      <c r="BG468" s="247"/>
      <c r="BH468" s="247"/>
      <c r="BI468" s="840"/>
      <c r="BJ468" s="977"/>
      <c r="BK468" s="247"/>
      <c r="BL468" s="247"/>
      <c r="BM468" s="247"/>
      <c r="BN468" s="840"/>
      <c r="BO468" s="247"/>
      <c r="BP468" s="247"/>
      <c r="BQ468" s="247"/>
      <c r="BR468" s="247"/>
      <c r="BS468" s="840"/>
      <c r="BT468" s="840"/>
      <c r="BU468" s="840"/>
      <c r="BV468" s="840"/>
      <c r="BW468" s="168"/>
    </row>
    <row r="469" spans="1:75" s="123" customFormat="1" hidden="1" outlineLevel="2" x14ac:dyDescent="0.5">
      <c r="A469" s="184" t="s">
        <v>1948</v>
      </c>
      <c r="B469" s="489"/>
      <c r="C469" s="401">
        <f t="shared" ref="C469:BJ469" si="850">C473-C471</f>
        <v>3018.5040000000004</v>
      </c>
      <c r="D469" s="401">
        <f t="shared" si="850"/>
        <v>3390.4580000000001</v>
      </c>
      <c r="E469" s="401">
        <f t="shared" si="850"/>
        <v>3580.7950000000001</v>
      </c>
      <c r="F469" s="401">
        <f t="shared" si="850"/>
        <v>3876.27</v>
      </c>
      <c r="G469" s="118">
        <f t="shared" si="850"/>
        <v>839.70799999999997</v>
      </c>
      <c r="H469" s="118">
        <f t="shared" si="850"/>
        <v>931.80899999999997</v>
      </c>
      <c r="I469" s="118">
        <f t="shared" si="850"/>
        <v>1000.048</v>
      </c>
      <c r="J469" s="118">
        <f t="shared" si="850"/>
        <v>1400.8240000000001</v>
      </c>
      <c r="K469" s="401">
        <f t="shared" si="850"/>
        <v>4172.3890000000001</v>
      </c>
      <c r="L469" s="118">
        <f t="shared" si="850"/>
        <v>923.23</v>
      </c>
      <c r="M469" s="118">
        <f t="shared" si="850"/>
        <v>983.70200000000011</v>
      </c>
      <c r="N469" s="118">
        <f t="shared" si="850"/>
        <v>1088.5620000000001</v>
      </c>
      <c r="O469" s="118">
        <f t="shared" si="850"/>
        <v>1467.425</v>
      </c>
      <c r="P469" s="401">
        <f t="shared" si="850"/>
        <v>4462.9189999999999</v>
      </c>
      <c r="Q469" s="118">
        <f t="shared" si="850"/>
        <v>975.87599999999998</v>
      </c>
      <c r="R469" s="118">
        <f t="shared" si="850"/>
        <v>1060.1279999999999</v>
      </c>
      <c r="S469" s="118">
        <f t="shared" si="850"/>
        <v>1152.0820000000001</v>
      </c>
      <c r="T469" s="118">
        <f t="shared" si="850"/>
        <v>1489.104</v>
      </c>
      <c r="U469" s="401">
        <f t="shared" si="850"/>
        <v>4677.1900000000005</v>
      </c>
      <c r="V469" s="118">
        <f t="shared" si="850"/>
        <v>1028.117</v>
      </c>
      <c r="W469" s="118">
        <f t="shared" si="850"/>
        <v>1079.029</v>
      </c>
      <c r="X469" s="118">
        <f t="shared" si="850"/>
        <v>1162.585</v>
      </c>
      <c r="Y469" s="118">
        <f t="shared" si="850"/>
        <v>1492.8809999999999</v>
      </c>
      <c r="Z469" s="401">
        <f t="shared" si="850"/>
        <v>4762.6120000000001</v>
      </c>
      <c r="AA469" s="118">
        <f t="shared" si="850"/>
        <v>1042.107</v>
      </c>
      <c r="AB469" s="118">
        <f t="shared" si="850"/>
        <v>1121.0060000000001</v>
      </c>
      <c r="AC469" s="118">
        <f t="shared" si="850"/>
        <v>1215.2360000000001</v>
      </c>
      <c r="AD469" s="118">
        <f t="shared" si="850"/>
        <v>1585.8100000000002</v>
      </c>
      <c r="AE469" s="401">
        <f t="shared" si="850"/>
        <v>4964.1590000000006</v>
      </c>
      <c r="AF469" s="118">
        <f t="shared" si="850"/>
        <v>1123.5999999999999</v>
      </c>
      <c r="AG469" s="118">
        <f t="shared" si="850"/>
        <v>1194.4739999999999</v>
      </c>
      <c r="AH469" s="118">
        <f t="shared" si="850"/>
        <v>1277.9829999999999</v>
      </c>
      <c r="AI469" s="118">
        <f t="shared" si="850"/>
        <v>1728.7359999999996</v>
      </c>
      <c r="AJ469" s="401">
        <f t="shared" si="850"/>
        <v>5324.7929999999997</v>
      </c>
      <c r="AK469" s="118">
        <f t="shared" si="850"/>
        <v>1154.5320000000002</v>
      </c>
      <c r="AL469" s="118">
        <f t="shared" si="850"/>
        <v>1283.114</v>
      </c>
      <c r="AM469" s="118">
        <f t="shared" si="850"/>
        <v>1356.2719999999999</v>
      </c>
      <c r="AN469" s="118">
        <f t="shared" si="850"/>
        <v>1738.4900000000002</v>
      </c>
      <c r="AO469" s="401">
        <f t="shared" si="850"/>
        <v>5532.4079999999994</v>
      </c>
      <c r="AP469" s="118">
        <f t="shared" si="850"/>
        <v>1180.0029999999999</v>
      </c>
      <c r="AQ469" s="118">
        <f t="shared" si="850"/>
        <v>1413.1770000000001</v>
      </c>
      <c r="AR469" s="118">
        <f t="shared" si="850"/>
        <v>1677.4360000000001</v>
      </c>
      <c r="AS469" s="118">
        <f t="shared" si="850"/>
        <v>2166.8730000000005</v>
      </c>
      <c r="AT469" s="401">
        <f t="shared" si="850"/>
        <v>6437.4890000000005</v>
      </c>
      <c r="AU469" s="118">
        <f t="shared" si="850"/>
        <v>1649.1289999999999</v>
      </c>
      <c r="AV469" s="118">
        <f t="shared" si="850"/>
        <v>1832.239</v>
      </c>
      <c r="AW469" s="118">
        <f t="shared" si="850"/>
        <v>1954.4390000000001</v>
      </c>
      <c r="AX469" s="118">
        <f t="shared" si="850"/>
        <v>2383.4289999999996</v>
      </c>
      <c r="AY469" s="401">
        <f t="shared" si="850"/>
        <v>7819.2359999999999</v>
      </c>
      <c r="AZ469" s="118">
        <f t="shared" si="850"/>
        <v>1796.2270000000001</v>
      </c>
      <c r="BA469" s="118">
        <f t="shared" si="850"/>
        <v>2024.2369999999999</v>
      </c>
      <c r="BB469" s="118">
        <f t="shared" si="850"/>
        <v>2097.8740000000003</v>
      </c>
      <c r="BC469" s="118">
        <f t="shared" si="850"/>
        <v>2348.1789999999996</v>
      </c>
      <c r="BD469" s="401">
        <f t="shared" si="850"/>
        <v>8266.5169999999998</v>
      </c>
      <c r="BE469" s="118">
        <f t="shared" si="850"/>
        <v>1684.6510000000001</v>
      </c>
      <c r="BF469" s="118">
        <f t="shared" si="850"/>
        <v>1780.614</v>
      </c>
      <c r="BG469" s="118">
        <f t="shared" si="850"/>
        <v>1781.15</v>
      </c>
      <c r="BH469" s="118">
        <f t="shared" si="850"/>
        <v>2175.337</v>
      </c>
      <c r="BI469" s="401">
        <f t="shared" si="850"/>
        <v>7421.7520000000004</v>
      </c>
      <c r="BJ469" s="971">
        <f t="shared" si="850"/>
        <v>1586.848</v>
      </c>
      <c r="BK469" s="118"/>
      <c r="BL469" s="118"/>
      <c r="BM469" s="118"/>
      <c r="BN469" s="401"/>
      <c r="BO469" s="118"/>
      <c r="BP469" s="118"/>
      <c r="BQ469" s="118"/>
      <c r="BR469" s="118"/>
      <c r="BS469" s="401"/>
      <c r="BT469" s="401"/>
      <c r="BU469" s="401"/>
      <c r="BV469" s="401"/>
      <c r="BW469" s="122"/>
    </row>
    <row r="470" spans="1:75" s="177" customFormat="1" ht="14.25" hidden="1" outlineLevel="2" x14ac:dyDescent="0.45">
      <c r="A470" s="189" t="s">
        <v>1949</v>
      </c>
      <c r="B470" s="491"/>
      <c r="C470" s="417"/>
      <c r="D470" s="417">
        <f>D469/C469-1</f>
        <v>0.12322461722760658</v>
      </c>
      <c r="E470" s="417">
        <f>E469/D469-1</f>
        <v>5.6139023105432839E-2</v>
      </c>
      <c r="F470" s="417">
        <f>F469/E469-1</f>
        <v>8.2516591985857923E-2</v>
      </c>
      <c r="G470" s="378"/>
      <c r="H470" s="378"/>
      <c r="I470" s="378"/>
      <c r="J470" s="378"/>
      <c r="K470" s="417">
        <f t="shared" ref="K470:BJ470" si="851">K469/F469-1</f>
        <v>7.6392769337533251E-2</v>
      </c>
      <c r="L470" s="378">
        <f t="shared" si="851"/>
        <v>9.9465528493238198E-2</v>
      </c>
      <c r="M470" s="378">
        <f t="shared" si="851"/>
        <v>5.5690597536619757E-2</v>
      </c>
      <c r="N470" s="378">
        <f t="shared" si="851"/>
        <v>8.8509751531926639E-2</v>
      </c>
      <c r="O470" s="378">
        <f t="shared" si="851"/>
        <v>4.7544159723134305E-2</v>
      </c>
      <c r="P470" s="417">
        <f t="shared" si="851"/>
        <v>6.9631570785945396E-2</v>
      </c>
      <c r="Q470" s="378">
        <f t="shared" si="851"/>
        <v>5.7023710234719305E-2</v>
      </c>
      <c r="R470" s="378">
        <f t="shared" si="851"/>
        <v>7.7692227930816316E-2</v>
      </c>
      <c r="S470" s="378">
        <f t="shared" si="851"/>
        <v>5.8352211449600455E-2</v>
      </c>
      <c r="T470" s="378">
        <f t="shared" si="851"/>
        <v>1.4773497793754364E-2</v>
      </c>
      <c r="U470" s="417">
        <f t="shared" si="851"/>
        <v>4.8011402402777348E-2</v>
      </c>
      <c r="V470" s="378">
        <f t="shared" si="851"/>
        <v>5.3532416003672534E-2</v>
      </c>
      <c r="W470" s="378">
        <f t="shared" si="851"/>
        <v>1.7828979142141321E-2</v>
      </c>
      <c r="X470" s="378">
        <f t="shared" si="851"/>
        <v>9.1165385797191689E-3</v>
      </c>
      <c r="Y470" s="378">
        <f t="shared" si="851"/>
        <v>2.5364245882086855E-3</v>
      </c>
      <c r="Z470" s="417">
        <f t="shared" si="851"/>
        <v>1.8263530025506736E-2</v>
      </c>
      <c r="AA470" s="378">
        <f t="shared" si="851"/>
        <v>1.3607400714121143E-2</v>
      </c>
      <c r="AB470" s="378">
        <f t="shared" si="851"/>
        <v>3.8902568883690813E-2</v>
      </c>
      <c r="AC470" s="378">
        <f t="shared" si="851"/>
        <v>4.5287871424455117E-2</v>
      </c>
      <c r="AD470" s="378">
        <f t="shared" si="851"/>
        <v>6.2248096130904207E-2</v>
      </c>
      <c r="AE470" s="417">
        <f t="shared" si="851"/>
        <v>4.2318584843779039E-2</v>
      </c>
      <c r="AF470" s="378">
        <f t="shared" si="851"/>
        <v>7.82002232016481E-2</v>
      </c>
      <c r="AG470" s="378">
        <f t="shared" si="851"/>
        <v>6.5537561797171406E-2</v>
      </c>
      <c r="AH470" s="378">
        <f t="shared" si="851"/>
        <v>5.1633592158230934E-2</v>
      </c>
      <c r="AI470" s="378">
        <f t="shared" si="851"/>
        <v>9.0128073350527194E-2</v>
      </c>
      <c r="AJ470" s="417">
        <f t="shared" si="851"/>
        <v>7.2647552183562114E-2</v>
      </c>
      <c r="AK470" s="378">
        <f t="shared" si="851"/>
        <v>2.7529369882520749E-2</v>
      </c>
      <c r="AL470" s="378">
        <f t="shared" si="851"/>
        <v>7.4208396331774562E-2</v>
      </c>
      <c r="AM470" s="378">
        <f t="shared" si="851"/>
        <v>6.1259813315200695E-2</v>
      </c>
      <c r="AN470" s="378">
        <f t="shared" si="851"/>
        <v>5.6422727356870706E-3</v>
      </c>
      <c r="AO470" s="417">
        <f t="shared" si="851"/>
        <v>3.8990248071615108E-2</v>
      </c>
      <c r="AP470" s="378">
        <f t="shared" si="851"/>
        <v>2.2061753160587783E-2</v>
      </c>
      <c r="AQ470" s="378">
        <f t="shared" si="851"/>
        <v>0.10136511642769075</v>
      </c>
      <c r="AR470" s="378">
        <f t="shared" si="851"/>
        <v>0.23679910814349947</v>
      </c>
      <c r="AS470" s="378">
        <f t="shared" si="851"/>
        <v>0.24641096583817013</v>
      </c>
      <c r="AT470" s="417">
        <f t="shared" si="851"/>
        <v>0.16359621343906694</v>
      </c>
      <c r="AU470" s="378">
        <f t="shared" si="851"/>
        <v>0.39756339602526425</v>
      </c>
      <c r="AV470" s="378">
        <f t="shared" si="851"/>
        <v>0.29653893319803526</v>
      </c>
      <c r="AW470" s="378">
        <f t="shared" si="851"/>
        <v>0.16513476520117609</v>
      </c>
      <c r="AX470" s="378">
        <f t="shared" si="851"/>
        <v>9.9939405770434586E-2</v>
      </c>
      <c r="AY470" s="417">
        <f t="shared" si="851"/>
        <v>0.21464067744426418</v>
      </c>
      <c r="AZ470" s="378">
        <f t="shared" si="851"/>
        <v>8.9197388439594683E-2</v>
      </c>
      <c r="BA470" s="378">
        <f t="shared" si="851"/>
        <v>0.10478873116443865</v>
      </c>
      <c r="BB470" s="378">
        <f t="shared" si="851"/>
        <v>7.3389345996472732E-2</v>
      </c>
      <c r="BC470" s="378">
        <f t="shared" si="851"/>
        <v>-1.4789616137086514E-2</v>
      </c>
      <c r="BD470" s="417">
        <f t="shared" si="851"/>
        <v>5.7202647419773545E-2</v>
      </c>
      <c r="BE470" s="378">
        <f t="shared" si="851"/>
        <v>-6.2116870529170365E-2</v>
      </c>
      <c r="BF470" s="378">
        <f t="shared" si="851"/>
        <v>-0.12035300214352362</v>
      </c>
      <c r="BG470" s="378">
        <f t="shared" si="851"/>
        <v>-0.15097379537569944</v>
      </c>
      <c r="BH470" s="378">
        <f t="shared" si="851"/>
        <v>-7.3606824692665995E-2</v>
      </c>
      <c r="BI470" s="417">
        <f t="shared" si="851"/>
        <v>-0.1021911646706829</v>
      </c>
      <c r="BJ470" s="1130">
        <f t="shared" si="851"/>
        <v>-5.8055347962278292E-2</v>
      </c>
      <c r="BK470" s="378"/>
      <c r="BL470" s="378"/>
      <c r="BM470" s="378"/>
      <c r="BN470" s="417"/>
      <c r="BO470" s="378"/>
      <c r="BP470" s="378"/>
      <c r="BQ470" s="378"/>
      <c r="BR470" s="378"/>
      <c r="BS470" s="417"/>
      <c r="BT470" s="417"/>
      <c r="BU470" s="417"/>
      <c r="BV470" s="417"/>
      <c r="BW470" s="176"/>
    </row>
    <row r="471" spans="1:75" s="123" customFormat="1" hidden="1" outlineLevel="2" x14ac:dyDescent="0.5">
      <c r="A471" s="464" t="s">
        <v>1950</v>
      </c>
      <c r="B471" s="489"/>
      <c r="C471" s="403">
        <v>84.2</v>
      </c>
      <c r="D471" s="403">
        <v>113.7</v>
      </c>
      <c r="E471" s="403">
        <v>140.1</v>
      </c>
      <c r="F471" s="403">
        <v>166.6</v>
      </c>
      <c r="G471" s="302">
        <v>48.1</v>
      </c>
      <c r="H471" s="302">
        <v>50.4</v>
      </c>
      <c r="I471" s="302">
        <v>51.5</v>
      </c>
      <c r="J471" s="118">
        <f>K471-SUM(G471,H471,I471)</f>
        <v>65.5</v>
      </c>
      <c r="K471" s="403">
        <v>215.5</v>
      </c>
      <c r="L471" s="302">
        <v>51.1</v>
      </c>
      <c r="M471" s="302">
        <v>55.4</v>
      </c>
      <c r="N471" s="302">
        <v>54.6</v>
      </c>
      <c r="O471" s="118">
        <f>P471-SUM(L471,M471,N471)</f>
        <v>74.700000000000017</v>
      </c>
      <c r="P471" s="403">
        <v>235.8</v>
      </c>
      <c r="Q471" s="302">
        <v>54.8</v>
      </c>
      <c r="R471" s="302">
        <v>66.900000000000006</v>
      </c>
      <c r="S471" s="302">
        <v>80</v>
      </c>
      <c r="T471" s="118">
        <f>U471-SUM(Q471,R471,S471)</f>
        <v>97.199999999999989</v>
      </c>
      <c r="U471" s="403">
        <v>298.89999999999998</v>
      </c>
      <c r="V471" s="302">
        <v>69.7</v>
      </c>
      <c r="W471" s="302">
        <v>80</v>
      </c>
      <c r="X471" s="302">
        <v>82.8</v>
      </c>
      <c r="Y471" s="118">
        <f>Z471-SUM(V471,W471,X471)</f>
        <v>88.699999999999989</v>
      </c>
      <c r="Z471" s="403">
        <v>321.2</v>
      </c>
      <c r="AA471" s="302">
        <v>69.400000000000006</v>
      </c>
      <c r="AB471" s="302">
        <v>80.599999999999994</v>
      </c>
      <c r="AC471" s="302">
        <v>84.1</v>
      </c>
      <c r="AD471" s="118">
        <f>AE471-SUM(AA471,AB471,AC471)</f>
        <v>94.1</v>
      </c>
      <c r="AE471" s="403">
        <v>328.2</v>
      </c>
      <c r="AF471" s="302">
        <v>79.400000000000006</v>
      </c>
      <c r="AG471" s="302">
        <v>80.7</v>
      </c>
      <c r="AH471" s="302">
        <v>79</v>
      </c>
      <c r="AI471" s="118">
        <f>AJ471-SUM(AF471,AG471,AH471)</f>
        <v>107.69999999999999</v>
      </c>
      <c r="AJ471" s="403">
        <v>346.8</v>
      </c>
      <c r="AK471" s="302">
        <v>86.6</v>
      </c>
      <c r="AL471" s="302">
        <v>87.7</v>
      </c>
      <c r="AM471" s="302">
        <v>86.2</v>
      </c>
      <c r="AN471" s="118">
        <f>AO471-SUM(AK471,AL471,AM471)</f>
        <v>105.10000000000002</v>
      </c>
      <c r="AO471" s="403">
        <v>365.6</v>
      </c>
      <c r="AP471" s="302">
        <v>55.2</v>
      </c>
      <c r="AQ471" s="302">
        <v>77.599999999999994</v>
      </c>
      <c r="AR471" s="302">
        <v>87.1</v>
      </c>
      <c r="AS471" s="118">
        <f>AT471-SUM(AP471,AQ471,AR471)</f>
        <v>125.79999999999998</v>
      </c>
      <c r="AT471" s="403">
        <v>345.7</v>
      </c>
      <c r="AU471" s="302">
        <v>99.9</v>
      </c>
      <c r="AV471" s="302">
        <v>116.1</v>
      </c>
      <c r="AW471" s="302">
        <v>93.1</v>
      </c>
      <c r="AX471" s="118">
        <f>AY471-SUM(AU471,AV471,AW471)</f>
        <v>117.59999999999997</v>
      </c>
      <c r="AY471" s="403">
        <v>426.7</v>
      </c>
      <c r="AZ471" s="302">
        <v>95</v>
      </c>
      <c r="BA471" s="302">
        <v>113.3</v>
      </c>
      <c r="BB471" s="302">
        <v>94.7</v>
      </c>
      <c r="BC471" s="118">
        <f>BD471-SUM(AZ471,BA471,BB471)</f>
        <v>104.89999999999998</v>
      </c>
      <c r="BD471" s="403">
        <v>407.9</v>
      </c>
      <c r="BE471" s="302">
        <v>70.8</v>
      </c>
      <c r="BF471" s="302">
        <v>82</v>
      </c>
      <c r="BG471" s="302">
        <v>72.5</v>
      </c>
      <c r="BH471" s="118">
        <f>BI471-SUM(BE471,BF471,BG471)</f>
        <v>103.59999999999997</v>
      </c>
      <c r="BI471" s="403">
        <v>328.9</v>
      </c>
      <c r="BJ471" s="1207">
        <v>73.5</v>
      </c>
      <c r="BK471" s="118"/>
      <c r="BL471" s="118"/>
      <c r="BM471" s="118"/>
      <c r="BN471" s="401"/>
      <c r="BO471" s="118"/>
      <c r="BP471" s="118"/>
      <c r="BQ471" s="118"/>
      <c r="BR471" s="118"/>
      <c r="BS471" s="401"/>
      <c r="BT471" s="401"/>
      <c r="BU471" s="401"/>
      <c r="BV471" s="401"/>
      <c r="BW471" s="122"/>
    </row>
    <row r="472" spans="1:75" s="177" customFormat="1" ht="14.25" hidden="1" outlineLevel="2" x14ac:dyDescent="0.45">
      <c r="A472" s="523" t="s">
        <v>1951</v>
      </c>
      <c r="B472" s="491"/>
      <c r="C472" s="417"/>
      <c r="D472" s="1168">
        <f>D471/C471-1</f>
        <v>0.35035629453681705</v>
      </c>
      <c r="E472" s="1168">
        <f>E471/D471-1</f>
        <v>0.23218997361477567</v>
      </c>
      <c r="F472" s="1168">
        <f>F471/E471-1</f>
        <v>0.18915060670949324</v>
      </c>
      <c r="G472" s="378"/>
      <c r="H472" s="378"/>
      <c r="I472" s="378"/>
      <c r="J472" s="378"/>
      <c r="K472" s="1168">
        <f t="shared" ref="K472:BJ472" si="852">K471/F471-1</f>
        <v>0.29351740696278505</v>
      </c>
      <c r="L472" s="378">
        <f t="shared" si="852"/>
        <v>6.2370062370062263E-2</v>
      </c>
      <c r="M472" s="378">
        <f t="shared" si="852"/>
        <v>9.9206349206349298E-2</v>
      </c>
      <c r="N472" s="378">
        <f t="shared" si="852"/>
        <v>6.0194174757281615E-2</v>
      </c>
      <c r="O472" s="378">
        <f t="shared" si="852"/>
        <v>0.14045801526717594</v>
      </c>
      <c r="P472" s="1168">
        <f t="shared" si="852"/>
        <v>9.4199535962877112E-2</v>
      </c>
      <c r="Q472" s="378">
        <f t="shared" si="852"/>
        <v>7.2407045009784676E-2</v>
      </c>
      <c r="R472" s="378">
        <f t="shared" si="852"/>
        <v>0.20758122743682317</v>
      </c>
      <c r="S472" s="378">
        <f t="shared" si="852"/>
        <v>0.4652014652014651</v>
      </c>
      <c r="T472" s="378">
        <f t="shared" si="852"/>
        <v>0.30120481927710796</v>
      </c>
      <c r="U472" s="1168">
        <f t="shared" si="852"/>
        <v>0.26759966072943153</v>
      </c>
      <c r="V472" s="378">
        <f t="shared" si="852"/>
        <v>0.27189781021897819</v>
      </c>
      <c r="W472" s="378">
        <f t="shared" si="852"/>
        <v>0.19581464872944676</v>
      </c>
      <c r="X472" s="378">
        <f t="shared" si="852"/>
        <v>3.499999999999992E-2</v>
      </c>
      <c r="Y472" s="378">
        <f t="shared" si="852"/>
        <v>-8.7448559670781911E-2</v>
      </c>
      <c r="Z472" s="1168">
        <f t="shared" si="852"/>
        <v>7.4606891937102793E-2</v>
      </c>
      <c r="AA472" s="378">
        <f t="shared" si="852"/>
        <v>-4.3041606886656814E-3</v>
      </c>
      <c r="AB472" s="378">
        <f t="shared" si="852"/>
        <v>7.4999999999998401E-3</v>
      </c>
      <c r="AC472" s="378">
        <f t="shared" si="852"/>
        <v>1.5700483091787509E-2</v>
      </c>
      <c r="AD472" s="378">
        <f t="shared" si="852"/>
        <v>6.0879368658399269E-2</v>
      </c>
      <c r="AE472" s="1168">
        <f t="shared" si="852"/>
        <v>2.1793275217932839E-2</v>
      </c>
      <c r="AF472" s="378">
        <f t="shared" si="852"/>
        <v>0.144092219020173</v>
      </c>
      <c r="AG472" s="378">
        <f t="shared" si="852"/>
        <v>1.2406947890819531E-3</v>
      </c>
      <c r="AH472" s="378">
        <f t="shared" si="852"/>
        <v>-6.0642092746730047E-2</v>
      </c>
      <c r="AI472" s="378">
        <f t="shared" si="852"/>
        <v>0.14452709883103076</v>
      </c>
      <c r="AJ472" s="1168">
        <f t="shared" si="852"/>
        <v>5.667276051188308E-2</v>
      </c>
      <c r="AK472" s="378">
        <f t="shared" si="852"/>
        <v>9.0680100755667459E-2</v>
      </c>
      <c r="AL472" s="378">
        <f t="shared" si="852"/>
        <v>8.6741016109045832E-2</v>
      </c>
      <c r="AM472" s="378">
        <f t="shared" si="852"/>
        <v>9.1139240506329156E-2</v>
      </c>
      <c r="AN472" s="378">
        <f t="shared" si="852"/>
        <v>-2.4141132776229979E-2</v>
      </c>
      <c r="AO472" s="1168">
        <f t="shared" si="852"/>
        <v>5.4209919261822392E-2</v>
      </c>
      <c r="AP472" s="378">
        <f t="shared" si="852"/>
        <v>-0.36258660508083129</v>
      </c>
      <c r="AQ472" s="378">
        <f t="shared" si="852"/>
        <v>-0.11516533637400239</v>
      </c>
      <c r="AR472" s="378">
        <f t="shared" si="852"/>
        <v>1.0440835266821269E-2</v>
      </c>
      <c r="AS472" s="378">
        <f t="shared" si="852"/>
        <v>0.19695528068506141</v>
      </c>
      <c r="AT472" s="417">
        <f t="shared" si="852"/>
        <v>-5.4431072210065712E-2</v>
      </c>
      <c r="AU472" s="378">
        <f t="shared" si="852"/>
        <v>0.80978260869565211</v>
      </c>
      <c r="AV472" s="378">
        <f t="shared" si="852"/>
        <v>0.49613402061855671</v>
      </c>
      <c r="AW472" s="378">
        <f t="shared" si="852"/>
        <v>6.8886337543053955E-2</v>
      </c>
      <c r="AX472" s="378">
        <f t="shared" si="852"/>
        <v>-6.5182829888712379E-2</v>
      </c>
      <c r="AY472" s="417">
        <f t="shared" si="852"/>
        <v>0.23430720277697437</v>
      </c>
      <c r="AZ472" s="378">
        <f t="shared" si="852"/>
        <v>-4.9049049049049054E-2</v>
      </c>
      <c r="BA472" s="378">
        <f t="shared" si="852"/>
        <v>-2.4117140396210157E-2</v>
      </c>
      <c r="BB472" s="378">
        <f t="shared" si="852"/>
        <v>1.7185821697099923E-2</v>
      </c>
      <c r="BC472" s="378">
        <f t="shared" si="852"/>
        <v>-0.10799319727891155</v>
      </c>
      <c r="BD472" s="417">
        <f t="shared" si="852"/>
        <v>-4.4059057886102648E-2</v>
      </c>
      <c r="BE472" s="378">
        <f t="shared" si="852"/>
        <v>-0.25473684210526315</v>
      </c>
      <c r="BF472" s="378">
        <f t="shared" si="852"/>
        <v>-0.27625772285966455</v>
      </c>
      <c r="BG472" s="378">
        <f t="shared" si="852"/>
        <v>-0.23442449841605073</v>
      </c>
      <c r="BH472" s="378">
        <f t="shared" si="852"/>
        <v>-1.2392755004766554E-2</v>
      </c>
      <c r="BI472" s="417">
        <f t="shared" si="852"/>
        <v>-0.19367492032360878</v>
      </c>
      <c r="BJ472" s="1130">
        <f t="shared" si="852"/>
        <v>3.8135593220339103E-2</v>
      </c>
      <c r="BK472" s="378"/>
      <c r="BL472" s="378"/>
      <c r="BM472" s="378"/>
      <c r="BN472" s="417"/>
      <c r="BO472" s="378"/>
      <c r="BP472" s="378"/>
      <c r="BQ472" s="378"/>
      <c r="BR472" s="378"/>
      <c r="BS472" s="417"/>
      <c r="BT472" s="417"/>
      <c r="BU472" s="417"/>
      <c r="BV472" s="417"/>
      <c r="BW472" s="176"/>
    </row>
    <row r="473" spans="1:75" s="198" customFormat="1" ht="14.25" hidden="1" outlineLevel="2" x14ac:dyDescent="0.45">
      <c r="A473" s="516" t="s">
        <v>187</v>
      </c>
      <c r="B473" s="495"/>
      <c r="C473" s="518">
        <f t="shared" ref="C473:BJ473" si="853">C749</f>
        <v>3102.7040000000002</v>
      </c>
      <c r="D473" s="519">
        <f t="shared" si="853"/>
        <v>3504.1579999999999</v>
      </c>
      <c r="E473" s="519">
        <f t="shared" si="853"/>
        <v>3720.895</v>
      </c>
      <c r="F473" s="519">
        <f t="shared" si="853"/>
        <v>4042.87</v>
      </c>
      <c r="G473" s="327">
        <f t="shared" si="853"/>
        <v>887.80799999999999</v>
      </c>
      <c r="H473" s="327">
        <f t="shared" si="853"/>
        <v>982.20899999999995</v>
      </c>
      <c r="I473" s="327">
        <f t="shared" si="853"/>
        <v>1051.548</v>
      </c>
      <c r="J473" s="327">
        <f t="shared" si="853"/>
        <v>1466.3240000000001</v>
      </c>
      <c r="K473" s="519">
        <f t="shared" si="853"/>
        <v>4387.8890000000001</v>
      </c>
      <c r="L473" s="327">
        <f t="shared" si="853"/>
        <v>974.33</v>
      </c>
      <c r="M473" s="327">
        <f t="shared" si="853"/>
        <v>1039.1020000000001</v>
      </c>
      <c r="N473" s="327">
        <f t="shared" si="853"/>
        <v>1143.162</v>
      </c>
      <c r="O473" s="327">
        <f t="shared" si="853"/>
        <v>1542.125</v>
      </c>
      <c r="P473" s="519">
        <f t="shared" si="853"/>
        <v>4698.7190000000001</v>
      </c>
      <c r="Q473" s="327">
        <f t="shared" si="853"/>
        <v>1030.6759999999999</v>
      </c>
      <c r="R473" s="327">
        <f t="shared" si="853"/>
        <v>1127.028</v>
      </c>
      <c r="S473" s="327">
        <f t="shared" si="853"/>
        <v>1232.0820000000001</v>
      </c>
      <c r="T473" s="327">
        <f t="shared" si="853"/>
        <v>1586.3040000000001</v>
      </c>
      <c r="U473" s="519">
        <f t="shared" si="853"/>
        <v>4976.09</v>
      </c>
      <c r="V473" s="327">
        <f t="shared" si="853"/>
        <v>1097.817</v>
      </c>
      <c r="W473" s="327">
        <f t="shared" si="853"/>
        <v>1159.029</v>
      </c>
      <c r="X473" s="327">
        <f t="shared" si="853"/>
        <v>1245.385</v>
      </c>
      <c r="Y473" s="327">
        <f t="shared" si="853"/>
        <v>1581.5809999999999</v>
      </c>
      <c r="Z473" s="519">
        <f t="shared" si="853"/>
        <v>5083.8119999999999</v>
      </c>
      <c r="AA473" s="327">
        <f t="shared" si="853"/>
        <v>1111.5070000000001</v>
      </c>
      <c r="AB473" s="327">
        <f t="shared" si="853"/>
        <v>1201.606</v>
      </c>
      <c r="AC473" s="327">
        <f t="shared" si="853"/>
        <v>1299.336</v>
      </c>
      <c r="AD473" s="327">
        <f t="shared" si="853"/>
        <v>1679.91</v>
      </c>
      <c r="AE473" s="519">
        <f t="shared" si="853"/>
        <v>5292.3590000000004</v>
      </c>
      <c r="AF473" s="327">
        <f t="shared" si="853"/>
        <v>1203</v>
      </c>
      <c r="AG473" s="327">
        <f t="shared" si="853"/>
        <v>1275.174</v>
      </c>
      <c r="AH473" s="327">
        <f t="shared" si="853"/>
        <v>1356.9829999999999</v>
      </c>
      <c r="AI473" s="327">
        <f t="shared" si="853"/>
        <v>1836.4359999999997</v>
      </c>
      <c r="AJ473" s="519">
        <f t="shared" si="853"/>
        <v>5671.5929999999998</v>
      </c>
      <c r="AK473" s="327">
        <f t="shared" si="853"/>
        <v>1241.1320000000001</v>
      </c>
      <c r="AL473" s="327">
        <f t="shared" si="853"/>
        <v>1370.8140000000001</v>
      </c>
      <c r="AM473" s="327">
        <f t="shared" si="853"/>
        <v>1442.472</v>
      </c>
      <c r="AN473" s="327">
        <f t="shared" si="853"/>
        <v>1843.5900000000001</v>
      </c>
      <c r="AO473" s="519">
        <f t="shared" si="853"/>
        <v>5898.0079999999998</v>
      </c>
      <c r="AP473" s="327">
        <f t="shared" si="853"/>
        <v>1235.203</v>
      </c>
      <c r="AQ473" s="327">
        <f t="shared" si="853"/>
        <v>1490.777</v>
      </c>
      <c r="AR473" s="327">
        <f t="shared" si="853"/>
        <v>1764.5360000000001</v>
      </c>
      <c r="AS473" s="327">
        <f t="shared" si="853"/>
        <v>2292.6730000000007</v>
      </c>
      <c r="AT473" s="518">
        <f t="shared" si="853"/>
        <v>6783.1890000000003</v>
      </c>
      <c r="AU473" s="327">
        <f t="shared" si="853"/>
        <v>1749.029</v>
      </c>
      <c r="AV473" s="327">
        <f t="shared" si="853"/>
        <v>1948.3389999999999</v>
      </c>
      <c r="AW473" s="327">
        <f t="shared" si="853"/>
        <v>2047.539</v>
      </c>
      <c r="AX473" s="327">
        <f t="shared" si="853"/>
        <v>2501.0289999999995</v>
      </c>
      <c r="AY473" s="518">
        <f t="shared" si="853"/>
        <v>8245.9359999999997</v>
      </c>
      <c r="AZ473" s="327">
        <f t="shared" si="853"/>
        <v>1891.2270000000001</v>
      </c>
      <c r="BA473" s="327">
        <f t="shared" si="853"/>
        <v>2137.5369999999998</v>
      </c>
      <c r="BB473" s="327">
        <f t="shared" si="853"/>
        <v>2192.5740000000001</v>
      </c>
      <c r="BC473" s="327">
        <f t="shared" si="853"/>
        <v>2453.0789999999997</v>
      </c>
      <c r="BD473" s="518">
        <f t="shared" si="853"/>
        <v>8674.4169999999995</v>
      </c>
      <c r="BE473" s="327">
        <f t="shared" si="853"/>
        <v>1755.451</v>
      </c>
      <c r="BF473" s="327">
        <f t="shared" si="853"/>
        <v>1862.614</v>
      </c>
      <c r="BG473" s="327">
        <f t="shared" si="853"/>
        <v>1853.65</v>
      </c>
      <c r="BH473" s="327">
        <f t="shared" si="853"/>
        <v>2278.9369999999999</v>
      </c>
      <c r="BI473" s="518">
        <f t="shared" si="853"/>
        <v>7750.652</v>
      </c>
      <c r="BJ473" s="1026">
        <f t="shared" si="853"/>
        <v>1660.348</v>
      </c>
      <c r="BK473" s="327"/>
      <c r="BL473" s="327"/>
      <c r="BM473" s="327"/>
      <c r="BN473" s="518"/>
      <c r="BO473" s="327"/>
      <c r="BP473" s="327"/>
      <c r="BQ473" s="327"/>
      <c r="BR473" s="327"/>
      <c r="BS473" s="518"/>
      <c r="BT473" s="518"/>
      <c r="BU473" s="518"/>
      <c r="BV473" s="518"/>
      <c r="BW473" s="197"/>
    </row>
    <row r="474" spans="1:75" s="177" customFormat="1" ht="14.25" hidden="1" outlineLevel="2" x14ac:dyDescent="0.45">
      <c r="A474" s="170"/>
      <c r="B474" s="491"/>
      <c r="C474" s="417"/>
      <c r="D474" s="417"/>
      <c r="E474" s="417"/>
      <c r="F474" s="417"/>
      <c r="G474" s="378"/>
      <c r="H474" s="378"/>
      <c r="I474" s="378"/>
      <c r="J474" s="378"/>
      <c r="K474" s="417"/>
      <c r="L474" s="378"/>
      <c r="M474" s="378"/>
      <c r="N474" s="378"/>
      <c r="O474" s="378"/>
      <c r="P474" s="417"/>
      <c r="Q474" s="378"/>
      <c r="R474" s="378"/>
      <c r="S474" s="378"/>
      <c r="T474" s="378"/>
      <c r="U474" s="417"/>
      <c r="V474" s="378"/>
      <c r="W474" s="378"/>
      <c r="X474" s="378"/>
      <c r="Y474" s="378"/>
      <c r="Z474" s="417"/>
      <c r="AA474" s="378"/>
      <c r="AB474" s="378"/>
      <c r="AC474" s="378"/>
      <c r="AD474" s="378"/>
      <c r="AE474" s="417"/>
      <c r="AF474" s="378"/>
      <c r="AG474" s="378"/>
      <c r="AH474" s="378"/>
      <c r="AI474" s="378"/>
      <c r="AJ474" s="417"/>
      <c r="AK474" s="378"/>
      <c r="AL474" s="378"/>
      <c r="AM474" s="378"/>
      <c r="AN474" s="378"/>
      <c r="AO474" s="417"/>
      <c r="AP474" s="378"/>
      <c r="AQ474" s="378"/>
      <c r="AR474" s="378"/>
      <c r="AS474" s="378"/>
      <c r="AT474" s="417"/>
      <c r="AU474" s="378"/>
      <c r="AV474" s="378"/>
      <c r="AW474" s="378"/>
      <c r="AX474" s="378"/>
      <c r="AY474" s="417"/>
      <c r="AZ474" s="378"/>
      <c r="BA474" s="378"/>
      <c r="BB474" s="378"/>
      <c r="BC474" s="378"/>
      <c r="BD474" s="417"/>
      <c r="BE474" s="378"/>
      <c r="BF474" s="378"/>
      <c r="BG474" s="378"/>
      <c r="BH474" s="378"/>
      <c r="BI474" s="417"/>
      <c r="BJ474" s="1130"/>
      <c r="BK474" s="378"/>
      <c r="BL474" s="378"/>
      <c r="BM474" s="378"/>
      <c r="BN474" s="417"/>
      <c r="BO474" s="378"/>
      <c r="BP474" s="378"/>
      <c r="BQ474" s="378"/>
      <c r="BR474" s="378"/>
      <c r="BS474" s="417"/>
      <c r="BT474" s="417"/>
      <c r="BU474" s="417"/>
      <c r="BV474" s="417"/>
      <c r="BW474" s="176"/>
    </row>
    <row r="475" spans="1:75" s="217" customFormat="1" hidden="1" outlineLevel="2" x14ac:dyDescent="0.5">
      <c r="A475" s="599" t="s">
        <v>1952</v>
      </c>
      <c r="B475" s="493"/>
      <c r="C475" s="423">
        <f t="shared" ref="C475:BJ475" si="854">C469/C473</f>
        <v>0.97286238068471897</v>
      </c>
      <c r="D475" s="1227">
        <f t="shared" si="854"/>
        <v>0.96755283294874261</v>
      </c>
      <c r="E475" s="1227">
        <f t="shared" si="854"/>
        <v>0.9623477684804328</v>
      </c>
      <c r="F475" s="1227">
        <f t="shared" si="854"/>
        <v>0.95879165048591719</v>
      </c>
      <c r="G475" s="422">
        <f t="shared" si="854"/>
        <v>0.94582161908881202</v>
      </c>
      <c r="H475" s="422">
        <f t="shared" si="854"/>
        <v>0.948687092054746</v>
      </c>
      <c r="I475" s="422">
        <f t="shared" si="854"/>
        <v>0.95102458470749784</v>
      </c>
      <c r="J475" s="422">
        <f t="shared" si="854"/>
        <v>0.95533047266497717</v>
      </c>
      <c r="K475" s="1227">
        <f t="shared" si="854"/>
        <v>0.95088754524100316</v>
      </c>
      <c r="L475" s="422">
        <f t="shared" si="854"/>
        <v>0.94755370357065882</v>
      </c>
      <c r="M475" s="422">
        <f t="shared" si="854"/>
        <v>0.9466847335487758</v>
      </c>
      <c r="N475" s="422">
        <f t="shared" si="854"/>
        <v>0.95223774058269961</v>
      </c>
      <c r="O475" s="422">
        <f t="shared" si="854"/>
        <v>0.95156034692388747</v>
      </c>
      <c r="P475" s="1227">
        <f t="shared" si="854"/>
        <v>0.949816109454513</v>
      </c>
      <c r="Q475" s="422">
        <f t="shared" si="854"/>
        <v>0.94683101187958196</v>
      </c>
      <c r="R475" s="422">
        <f t="shared" si="854"/>
        <v>0.94064033901553457</v>
      </c>
      <c r="S475" s="422">
        <f t="shared" si="854"/>
        <v>0.93506925675401475</v>
      </c>
      <c r="T475" s="422">
        <f t="shared" si="854"/>
        <v>0.93872549019607843</v>
      </c>
      <c r="U475" s="1227">
        <f t="shared" si="854"/>
        <v>0.93993275845091229</v>
      </c>
      <c r="V475" s="422">
        <f t="shared" si="854"/>
        <v>0.93651036557094669</v>
      </c>
      <c r="W475" s="422">
        <f t="shared" si="854"/>
        <v>0.93097670550089773</v>
      </c>
      <c r="X475" s="422">
        <f t="shared" si="854"/>
        <v>0.93351453566567777</v>
      </c>
      <c r="Y475" s="422">
        <f t="shared" si="854"/>
        <v>0.94391687811120639</v>
      </c>
      <c r="Z475" s="1227">
        <f t="shared" si="854"/>
        <v>0.93681906411960159</v>
      </c>
      <c r="AA475" s="422">
        <f t="shared" si="854"/>
        <v>0.93756224657154652</v>
      </c>
      <c r="AB475" s="422">
        <f t="shared" si="854"/>
        <v>0.93292310457837269</v>
      </c>
      <c r="AC475" s="422">
        <f t="shared" si="854"/>
        <v>0.93527463258156485</v>
      </c>
      <c r="AD475" s="422">
        <f t="shared" si="854"/>
        <v>0.94398509443958312</v>
      </c>
      <c r="AE475" s="1227">
        <f t="shared" si="854"/>
        <v>0.93798606632694426</v>
      </c>
      <c r="AF475" s="422">
        <f t="shared" si="854"/>
        <v>0.93399833748960925</v>
      </c>
      <c r="AG475" s="422">
        <f t="shared" si="854"/>
        <v>0.93671451895976543</v>
      </c>
      <c r="AH475" s="422">
        <f t="shared" si="854"/>
        <v>0.94178261628922399</v>
      </c>
      <c r="AI475" s="422">
        <f t="shared" si="854"/>
        <v>0.9413537961573395</v>
      </c>
      <c r="AJ475" s="1227">
        <f t="shared" si="854"/>
        <v>0.93885315818677395</v>
      </c>
      <c r="AK475" s="422">
        <f t="shared" si="854"/>
        <v>0.93022498815597376</v>
      </c>
      <c r="AL475" s="422">
        <f t="shared" si="854"/>
        <v>0.9360234138256539</v>
      </c>
      <c r="AM475" s="422">
        <f t="shared" si="854"/>
        <v>0.94024147435790784</v>
      </c>
      <c r="AN475" s="422">
        <f t="shared" si="854"/>
        <v>0.94299166300533199</v>
      </c>
      <c r="AO475" s="1227">
        <f t="shared" si="854"/>
        <v>0.93801296980268589</v>
      </c>
      <c r="AP475" s="422">
        <f t="shared" si="854"/>
        <v>0.9553109893677395</v>
      </c>
      <c r="AQ475" s="422">
        <f t="shared" si="854"/>
        <v>0.94794660770859762</v>
      </c>
      <c r="AR475" s="422">
        <f t="shared" si="854"/>
        <v>0.95063858147410996</v>
      </c>
      <c r="AS475" s="422">
        <f t="shared" si="854"/>
        <v>0.94512954965666707</v>
      </c>
      <c r="AT475" s="423">
        <f t="shared" si="854"/>
        <v>0.94903577063826472</v>
      </c>
      <c r="AU475" s="422">
        <f t="shared" si="854"/>
        <v>0.94288259371342609</v>
      </c>
      <c r="AV475" s="422">
        <f t="shared" si="854"/>
        <v>0.94041078067009909</v>
      </c>
      <c r="AW475" s="422">
        <f t="shared" si="854"/>
        <v>0.95453078061028385</v>
      </c>
      <c r="AX475" s="422">
        <f t="shared" si="854"/>
        <v>0.95297935369801789</v>
      </c>
      <c r="AY475" s="423">
        <f t="shared" si="854"/>
        <v>0.94825329713934237</v>
      </c>
      <c r="AZ475" s="422">
        <f t="shared" si="854"/>
        <v>0.9497680606294221</v>
      </c>
      <c r="BA475" s="422">
        <f t="shared" si="854"/>
        <v>0.9469950695590299</v>
      </c>
      <c r="BB475" s="422">
        <f t="shared" si="854"/>
        <v>0.95680875537154053</v>
      </c>
      <c r="BC475" s="422">
        <f t="shared" si="854"/>
        <v>0.95723741469394175</v>
      </c>
      <c r="BD475" s="423">
        <f t="shared" si="854"/>
        <v>0.95297666690453087</v>
      </c>
      <c r="BE475" s="422">
        <f t="shared" si="854"/>
        <v>0.95966848405338578</v>
      </c>
      <c r="BF475" s="422">
        <f t="shared" si="854"/>
        <v>0.95597584899501453</v>
      </c>
      <c r="BG475" s="422">
        <f t="shared" si="854"/>
        <v>0.96088797777358181</v>
      </c>
      <c r="BH475" s="422">
        <f t="shared" si="854"/>
        <v>0.95454020887808666</v>
      </c>
      <c r="BI475" s="423">
        <f t="shared" si="854"/>
        <v>0.95756486034981325</v>
      </c>
      <c r="BJ475" s="1034">
        <f t="shared" si="854"/>
        <v>0.95573217180976522</v>
      </c>
      <c r="BK475" s="422"/>
      <c r="BL475" s="422"/>
      <c r="BM475" s="422"/>
      <c r="BN475" s="423"/>
      <c r="BO475" s="422"/>
      <c r="BP475" s="422"/>
      <c r="BQ475" s="422"/>
      <c r="BR475" s="422"/>
      <c r="BS475" s="423"/>
      <c r="BT475" s="423"/>
      <c r="BU475" s="423"/>
      <c r="BV475" s="423"/>
      <c r="BW475" s="216"/>
    </row>
    <row r="476" spans="1:75" s="217" customFormat="1" hidden="1" outlineLevel="2" x14ac:dyDescent="0.5">
      <c r="A476" s="599" t="s">
        <v>1953</v>
      </c>
      <c r="B476" s="493"/>
      <c r="C476" s="1227">
        <f t="shared" ref="C476:BJ476" si="855">C471/C473</f>
        <v>2.7137619315281122E-2</v>
      </c>
      <c r="D476" s="1227">
        <f t="shared" si="855"/>
        <v>3.2447167051257393E-2</v>
      </c>
      <c r="E476" s="1227">
        <f t="shared" si="855"/>
        <v>3.7652231519567196E-2</v>
      </c>
      <c r="F476" s="1227">
        <f t="shared" si="855"/>
        <v>4.1208349514082816E-2</v>
      </c>
      <c r="G476" s="422">
        <f t="shared" si="855"/>
        <v>5.4178380911188005E-2</v>
      </c>
      <c r="H476" s="422">
        <f t="shared" si="855"/>
        <v>5.1312907945254019E-2</v>
      </c>
      <c r="I476" s="422">
        <f t="shared" si="855"/>
        <v>4.89754152925021E-2</v>
      </c>
      <c r="J476" s="422">
        <f t="shared" si="855"/>
        <v>4.4669527335022816E-2</v>
      </c>
      <c r="K476" s="1227">
        <f t="shared" si="855"/>
        <v>4.9112454758996865E-2</v>
      </c>
      <c r="L476" s="422">
        <f t="shared" si="855"/>
        <v>5.2446296429341191E-2</v>
      </c>
      <c r="M476" s="422">
        <f t="shared" si="855"/>
        <v>5.3315266451224225E-2</v>
      </c>
      <c r="N476" s="422">
        <f t="shared" si="855"/>
        <v>4.7762259417300432E-2</v>
      </c>
      <c r="O476" s="422">
        <f t="shared" si="855"/>
        <v>4.8439653076112518E-2</v>
      </c>
      <c r="P476" s="1227">
        <f t="shared" si="855"/>
        <v>5.0183890545486977E-2</v>
      </c>
      <c r="Q476" s="422">
        <f t="shared" si="855"/>
        <v>5.3168988120418058E-2</v>
      </c>
      <c r="R476" s="422">
        <f t="shared" si="855"/>
        <v>5.9359660984465344E-2</v>
      </c>
      <c r="S476" s="422">
        <f t="shared" si="855"/>
        <v>6.4930743245985245E-2</v>
      </c>
      <c r="T476" s="422">
        <f t="shared" si="855"/>
        <v>6.1274509803921559E-2</v>
      </c>
      <c r="U476" s="1227">
        <f t="shared" si="855"/>
        <v>6.0067241549087734E-2</v>
      </c>
      <c r="V476" s="422">
        <f t="shared" si="855"/>
        <v>6.3489634429053296E-2</v>
      </c>
      <c r="W476" s="422">
        <f t="shared" si="855"/>
        <v>6.9023294499102272E-2</v>
      </c>
      <c r="X476" s="422">
        <f t="shared" si="855"/>
        <v>6.6485464334322314E-2</v>
      </c>
      <c r="Y476" s="422">
        <f t="shared" si="855"/>
        <v>5.6083121888793552E-2</v>
      </c>
      <c r="Z476" s="1227">
        <f t="shared" si="855"/>
        <v>6.3180935880398414E-2</v>
      </c>
      <c r="AA476" s="422">
        <f t="shared" si="855"/>
        <v>6.2437753428453445E-2</v>
      </c>
      <c r="AB476" s="422">
        <f t="shared" si="855"/>
        <v>6.7076895421627383E-2</v>
      </c>
      <c r="AC476" s="422">
        <f t="shared" si="855"/>
        <v>6.4725367418435251E-2</v>
      </c>
      <c r="AD476" s="422">
        <f t="shared" si="855"/>
        <v>5.6014905560416918E-2</v>
      </c>
      <c r="AE476" s="1227">
        <f t="shared" si="855"/>
        <v>6.2013933673055806E-2</v>
      </c>
      <c r="AF476" s="422">
        <f t="shared" si="855"/>
        <v>6.6001662510390691E-2</v>
      </c>
      <c r="AG476" s="422">
        <f t="shared" si="855"/>
        <v>6.3285481040234515E-2</v>
      </c>
      <c r="AH476" s="422">
        <f t="shared" si="855"/>
        <v>5.821738371077604E-2</v>
      </c>
      <c r="AI476" s="422">
        <f t="shared" si="855"/>
        <v>5.8646203842660463E-2</v>
      </c>
      <c r="AJ476" s="1227">
        <f t="shared" si="855"/>
        <v>6.1146841813226022E-2</v>
      </c>
      <c r="AK476" s="422">
        <f t="shared" si="855"/>
        <v>6.977501184402625E-2</v>
      </c>
      <c r="AL476" s="422">
        <f t="shared" si="855"/>
        <v>6.397658617434604E-2</v>
      </c>
      <c r="AM476" s="422">
        <f t="shared" si="855"/>
        <v>5.9758525642092192E-2</v>
      </c>
      <c r="AN476" s="422">
        <f t="shared" si="855"/>
        <v>5.7008336994668021E-2</v>
      </c>
      <c r="AO476" s="1227">
        <f t="shared" si="855"/>
        <v>6.198703019731408E-2</v>
      </c>
      <c r="AP476" s="422">
        <f t="shared" si="855"/>
        <v>4.4689010632260447E-2</v>
      </c>
      <c r="AQ476" s="422">
        <f t="shared" si="855"/>
        <v>5.2053392291402399E-2</v>
      </c>
      <c r="AR476" s="422">
        <f t="shared" si="855"/>
        <v>4.9361418525890086E-2</v>
      </c>
      <c r="AS476" s="422">
        <f t="shared" si="855"/>
        <v>5.4870450343332842E-2</v>
      </c>
      <c r="AT476" s="423">
        <f t="shared" si="855"/>
        <v>5.0964229361735308E-2</v>
      </c>
      <c r="AU476" s="422">
        <f t="shared" si="855"/>
        <v>5.7117406286573871E-2</v>
      </c>
      <c r="AV476" s="422">
        <f t="shared" si="855"/>
        <v>5.9589219329901008E-2</v>
      </c>
      <c r="AW476" s="422">
        <f t="shared" si="855"/>
        <v>4.546921938971614E-2</v>
      </c>
      <c r="AX476" s="422">
        <f t="shared" si="855"/>
        <v>4.7020646301982098E-2</v>
      </c>
      <c r="AY476" s="423">
        <f t="shared" si="855"/>
        <v>5.1746702860657662E-2</v>
      </c>
      <c r="AZ476" s="422">
        <f t="shared" si="855"/>
        <v>5.0231939370577933E-2</v>
      </c>
      <c r="BA476" s="422">
        <f t="shared" si="855"/>
        <v>5.3004930440970148E-2</v>
      </c>
      <c r="BB476" s="422">
        <f t="shared" si="855"/>
        <v>4.3191244628459517E-2</v>
      </c>
      <c r="BC476" s="422">
        <f t="shared" si="855"/>
        <v>4.2762585306058219E-2</v>
      </c>
      <c r="BD476" s="423">
        <f t="shared" si="855"/>
        <v>4.7023333095469126E-2</v>
      </c>
      <c r="BE476" s="422">
        <f t="shared" si="855"/>
        <v>4.0331515946614285E-2</v>
      </c>
      <c r="BF476" s="422">
        <f t="shared" si="855"/>
        <v>4.4024151004985468E-2</v>
      </c>
      <c r="BG476" s="422">
        <f t="shared" si="855"/>
        <v>3.9112022226418144E-2</v>
      </c>
      <c r="BH476" s="422">
        <f t="shared" si="855"/>
        <v>4.5459791121913402E-2</v>
      </c>
      <c r="BI476" s="423">
        <f t="shared" si="855"/>
        <v>4.2435139650186846E-2</v>
      </c>
      <c r="BJ476" s="1034">
        <f t="shared" si="855"/>
        <v>4.4267828190234816E-2</v>
      </c>
      <c r="BK476" s="422"/>
      <c r="BL476" s="422"/>
      <c r="BM476" s="422"/>
      <c r="BN476" s="423"/>
      <c r="BO476" s="422"/>
      <c r="BP476" s="422"/>
      <c r="BQ476" s="422"/>
      <c r="BR476" s="422"/>
      <c r="BS476" s="423"/>
      <c r="BT476" s="423"/>
      <c r="BU476" s="423"/>
      <c r="BV476" s="423"/>
      <c r="BW476" s="216"/>
    </row>
    <row r="477" spans="1:75" s="162" customFormat="1" ht="14.25" hidden="1" outlineLevel="2" x14ac:dyDescent="0.45">
      <c r="A477" s="527" t="s">
        <v>675</v>
      </c>
      <c r="B477" s="1213"/>
      <c r="C477" s="1214">
        <f t="shared" ref="C477:AH477" si="856">SUM(C475:C476)</f>
        <v>1</v>
      </c>
      <c r="D477" s="1214">
        <f t="shared" si="856"/>
        <v>1</v>
      </c>
      <c r="E477" s="1214">
        <f t="shared" si="856"/>
        <v>1</v>
      </c>
      <c r="F477" s="1214">
        <f t="shared" si="856"/>
        <v>1</v>
      </c>
      <c r="G477" s="480">
        <f t="shared" si="856"/>
        <v>1</v>
      </c>
      <c r="H477" s="480">
        <f t="shared" si="856"/>
        <v>1</v>
      </c>
      <c r="I477" s="480">
        <f t="shared" si="856"/>
        <v>1</v>
      </c>
      <c r="J477" s="480">
        <f t="shared" si="856"/>
        <v>1</v>
      </c>
      <c r="K477" s="1214">
        <f t="shared" si="856"/>
        <v>1</v>
      </c>
      <c r="L477" s="480">
        <f t="shared" si="856"/>
        <v>1</v>
      </c>
      <c r="M477" s="480">
        <f t="shared" si="856"/>
        <v>1</v>
      </c>
      <c r="N477" s="480">
        <f t="shared" si="856"/>
        <v>1</v>
      </c>
      <c r="O477" s="480">
        <f t="shared" si="856"/>
        <v>1</v>
      </c>
      <c r="P477" s="1214">
        <f t="shared" si="856"/>
        <v>1</v>
      </c>
      <c r="Q477" s="480">
        <f t="shared" si="856"/>
        <v>1</v>
      </c>
      <c r="R477" s="480">
        <f t="shared" si="856"/>
        <v>0.99999999999999989</v>
      </c>
      <c r="S477" s="480">
        <f t="shared" si="856"/>
        <v>1</v>
      </c>
      <c r="T477" s="480">
        <f t="shared" si="856"/>
        <v>1</v>
      </c>
      <c r="U477" s="1214">
        <f t="shared" si="856"/>
        <v>1</v>
      </c>
      <c r="V477" s="480">
        <f t="shared" si="856"/>
        <v>1</v>
      </c>
      <c r="W477" s="480">
        <f t="shared" si="856"/>
        <v>1</v>
      </c>
      <c r="X477" s="480">
        <f t="shared" si="856"/>
        <v>1</v>
      </c>
      <c r="Y477" s="480">
        <f t="shared" si="856"/>
        <v>1</v>
      </c>
      <c r="Z477" s="1214">
        <f t="shared" si="856"/>
        <v>1</v>
      </c>
      <c r="AA477" s="480">
        <f t="shared" si="856"/>
        <v>1</v>
      </c>
      <c r="AB477" s="480">
        <f t="shared" si="856"/>
        <v>1</v>
      </c>
      <c r="AC477" s="480">
        <f t="shared" si="856"/>
        <v>1</v>
      </c>
      <c r="AD477" s="480">
        <f t="shared" si="856"/>
        <v>1</v>
      </c>
      <c r="AE477" s="1214">
        <f t="shared" si="856"/>
        <v>1</v>
      </c>
      <c r="AF477" s="480">
        <f t="shared" si="856"/>
        <v>1</v>
      </c>
      <c r="AG477" s="480">
        <f t="shared" si="856"/>
        <v>1</v>
      </c>
      <c r="AH477" s="480">
        <f t="shared" si="856"/>
        <v>1</v>
      </c>
      <c r="AI477" s="480">
        <f t="shared" ref="AI477:BJ477" si="857">SUM(AI475:AI476)</f>
        <v>1</v>
      </c>
      <c r="AJ477" s="1214">
        <f t="shared" si="857"/>
        <v>1</v>
      </c>
      <c r="AK477" s="480">
        <f t="shared" si="857"/>
        <v>1</v>
      </c>
      <c r="AL477" s="480">
        <f t="shared" si="857"/>
        <v>1</v>
      </c>
      <c r="AM477" s="480">
        <f t="shared" si="857"/>
        <v>1</v>
      </c>
      <c r="AN477" s="480">
        <f t="shared" si="857"/>
        <v>1</v>
      </c>
      <c r="AO477" s="1214">
        <f t="shared" si="857"/>
        <v>1</v>
      </c>
      <c r="AP477" s="480">
        <f t="shared" si="857"/>
        <v>1</v>
      </c>
      <c r="AQ477" s="480">
        <f t="shared" si="857"/>
        <v>1</v>
      </c>
      <c r="AR477" s="480">
        <f t="shared" si="857"/>
        <v>1</v>
      </c>
      <c r="AS477" s="480">
        <f t="shared" si="857"/>
        <v>0.99999999999999989</v>
      </c>
      <c r="AT477" s="1214">
        <f t="shared" si="857"/>
        <v>1</v>
      </c>
      <c r="AU477" s="480">
        <f t="shared" si="857"/>
        <v>1</v>
      </c>
      <c r="AV477" s="480">
        <f t="shared" si="857"/>
        <v>1</v>
      </c>
      <c r="AW477" s="480">
        <f t="shared" si="857"/>
        <v>1</v>
      </c>
      <c r="AX477" s="480">
        <f t="shared" si="857"/>
        <v>1</v>
      </c>
      <c r="AY477" s="1214">
        <f t="shared" si="857"/>
        <v>1</v>
      </c>
      <c r="AZ477" s="480">
        <f t="shared" si="857"/>
        <v>1</v>
      </c>
      <c r="BA477" s="480">
        <f t="shared" si="857"/>
        <v>1</v>
      </c>
      <c r="BB477" s="480">
        <f t="shared" si="857"/>
        <v>1</v>
      </c>
      <c r="BC477" s="480">
        <f t="shared" si="857"/>
        <v>1</v>
      </c>
      <c r="BD477" s="1214">
        <f t="shared" si="857"/>
        <v>1</v>
      </c>
      <c r="BE477" s="480">
        <f t="shared" si="857"/>
        <v>1</v>
      </c>
      <c r="BF477" s="480">
        <f t="shared" si="857"/>
        <v>1</v>
      </c>
      <c r="BG477" s="480">
        <f t="shared" si="857"/>
        <v>1</v>
      </c>
      <c r="BH477" s="480">
        <f t="shared" si="857"/>
        <v>1</v>
      </c>
      <c r="BI477" s="1214">
        <f t="shared" si="857"/>
        <v>1</v>
      </c>
      <c r="BJ477" s="1215">
        <f t="shared" si="857"/>
        <v>1</v>
      </c>
      <c r="BK477" s="480"/>
      <c r="BL477" s="480"/>
      <c r="BM477" s="480"/>
      <c r="BN477" s="1214"/>
      <c r="BO477" s="480"/>
      <c r="BP477" s="480"/>
      <c r="BQ477" s="480"/>
      <c r="BR477" s="480"/>
      <c r="BS477" s="1214"/>
      <c r="BT477" s="1214"/>
      <c r="BU477" s="1214"/>
      <c r="BV477" s="1214"/>
      <c r="BW477" s="161"/>
    </row>
    <row r="478" spans="1:75" s="123" customFormat="1" hidden="1" outlineLevel="2" x14ac:dyDescent="0.5">
      <c r="A478" s="752"/>
      <c r="B478" s="489"/>
      <c r="C478" s="401"/>
      <c r="D478" s="401"/>
      <c r="E478" s="401"/>
      <c r="F478" s="401"/>
      <c r="G478" s="118"/>
      <c r="H478" s="118"/>
      <c r="I478" s="118"/>
      <c r="J478" s="118"/>
      <c r="K478" s="401"/>
      <c r="L478" s="118"/>
      <c r="M478" s="118"/>
      <c r="N478" s="118"/>
      <c r="O478" s="118"/>
      <c r="P478" s="401"/>
      <c r="Q478" s="118"/>
      <c r="R478" s="118"/>
      <c r="S478" s="118"/>
      <c r="T478" s="118"/>
      <c r="U478" s="401"/>
      <c r="V478" s="118"/>
      <c r="W478" s="118"/>
      <c r="X478" s="118"/>
      <c r="Y478" s="118"/>
      <c r="Z478" s="401"/>
      <c r="AA478" s="118"/>
      <c r="AB478" s="118"/>
      <c r="AC478" s="118"/>
      <c r="AD478" s="118"/>
      <c r="AE478" s="401"/>
      <c r="AF478" s="118"/>
      <c r="AG478" s="118"/>
      <c r="AH478" s="118"/>
      <c r="AI478" s="118"/>
      <c r="AJ478" s="401"/>
      <c r="AK478" s="118"/>
      <c r="AL478" s="118"/>
      <c r="AM478" s="118"/>
      <c r="AN478" s="118"/>
      <c r="AO478" s="401"/>
      <c r="AP478" s="118"/>
      <c r="AQ478" s="118"/>
      <c r="AR478" s="118"/>
      <c r="AS478" s="118"/>
      <c r="AT478" s="401"/>
      <c r="AU478" s="118"/>
      <c r="AV478" s="118"/>
      <c r="AW478" s="118"/>
      <c r="AX478" s="118"/>
      <c r="AY478" s="401"/>
      <c r="AZ478" s="118"/>
      <c r="BA478" s="118"/>
      <c r="BB478" s="118"/>
      <c r="BC478" s="118"/>
      <c r="BD478" s="401"/>
      <c r="BE478" s="118"/>
      <c r="BF478" s="118"/>
      <c r="BG478" s="118"/>
      <c r="BH478" s="118"/>
      <c r="BI478" s="401"/>
      <c r="BJ478" s="971"/>
      <c r="BK478" s="118"/>
      <c r="BL478" s="118"/>
      <c r="BM478" s="118"/>
      <c r="BN478" s="401"/>
      <c r="BO478" s="118"/>
      <c r="BP478" s="118"/>
      <c r="BQ478" s="118"/>
      <c r="BR478" s="118"/>
      <c r="BS478" s="401"/>
      <c r="BT478" s="401"/>
      <c r="BU478" s="401"/>
      <c r="BV478" s="401"/>
      <c r="BW478" s="122"/>
    </row>
    <row r="479" spans="1:75" s="123" customFormat="1" hidden="1" outlineLevel="2" x14ac:dyDescent="0.5">
      <c r="A479" s="184" t="s">
        <v>1954</v>
      </c>
      <c r="B479" s="489"/>
      <c r="C479" s="401">
        <f t="shared" ref="C479:I479" si="858">C481-C480</f>
        <v>869.37599999999998</v>
      </c>
      <c r="D479" s="401">
        <f t="shared" si="858"/>
        <v>757.16800000000001</v>
      </c>
      <c r="E479" s="401">
        <f t="shared" si="858"/>
        <v>760.37199999999996</v>
      </c>
      <c r="F479" s="401">
        <f t="shared" si="858"/>
        <v>828.30700000000002</v>
      </c>
      <c r="G479" s="118">
        <f t="shared" si="858"/>
        <v>819.63900000000012</v>
      </c>
      <c r="H479" s="118">
        <f t="shared" si="858"/>
        <v>836.94900000000007</v>
      </c>
      <c r="I479" s="118">
        <f t="shared" si="858"/>
        <v>849.95800000000008</v>
      </c>
      <c r="J479" s="118">
        <f>K479</f>
        <v>856.23099999999999</v>
      </c>
      <c r="K479" s="401">
        <f>K481-K480</f>
        <v>856.23099999999999</v>
      </c>
      <c r="L479" s="118">
        <f>L481-L480</f>
        <v>830.81299999999999</v>
      </c>
      <c r="M479" s="118">
        <f>M481-M480</f>
        <v>839.99799999999993</v>
      </c>
      <c r="N479" s="118">
        <f>N481-N480</f>
        <v>856.63200000000006</v>
      </c>
      <c r="O479" s="118">
        <f>P479</f>
        <v>880.05399999999997</v>
      </c>
      <c r="P479" s="401">
        <f>P481-P480</f>
        <v>880.05399999999997</v>
      </c>
      <c r="Q479" s="118">
        <f>Q481-Q480</f>
        <v>867.87</v>
      </c>
      <c r="R479" s="118">
        <f>R481-R480</f>
        <v>865.26799999999992</v>
      </c>
      <c r="S479" s="118">
        <f>S481-S480</f>
        <v>873.2399999999999</v>
      </c>
      <c r="T479" s="118">
        <f>U479</f>
        <v>1019.627</v>
      </c>
      <c r="U479" s="401">
        <f>U481-U480</f>
        <v>1019.627</v>
      </c>
      <c r="V479" s="118">
        <f>V481-V480</f>
        <v>1013.3060000000002</v>
      </c>
      <c r="W479" s="118">
        <f>W481-W480</f>
        <v>1033.7599999999998</v>
      </c>
      <c r="X479" s="118">
        <f>X481-X480</f>
        <v>1046.9179999999999</v>
      </c>
      <c r="Y479" s="118">
        <f>Z479</f>
        <v>1050.499</v>
      </c>
      <c r="Z479" s="401">
        <f>Z481-Z480</f>
        <v>1050.499</v>
      </c>
      <c r="AA479" s="118">
        <f>AA481-AA480</f>
        <v>1042.232</v>
      </c>
      <c r="AB479" s="118">
        <f>AB481-AB480</f>
        <v>1053.5820000000001</v>
      </c>
      <c r="AC479" s="118">
        <f>AC481-AC480</f>
        <v>1061.423</v>
      </c>
      <c r="AD479" s="118">
        <f>AE479</f>
        <v>1085.904</v>
      </c>
      <c r="AE479" s="401">
        <f>AE481-AE480</f>
        <v>1085.904</v>
      </c>
      <c r="AF479" s="302">
        <v>1074.1769999999999</v>
      </c>
      <c r="AG479" s="302">
        <v>1077.547</v>
      </c>
      <c r="AH479" s="302">
        <v>1076.367</v>
      </c>
      <c r="AI479" s="118">
        <f>AJ479</f>
        <v>1068.1959999999999</v>
      </c>
      <c r="AJ479" s="403">
        <v>1068.1959999999999</v>
      </c>
      <c r="AK479" s="302">
        <v>2136</v>
      </c>
      <c r="AL479" s="302">
        <v>2146.9949999999999</v>
      </c>
      <c r="AM479" s="302">
        <v>2140.5050000000001</v>
      </c>
      <c r="AN479" s="118">
        <f>AO479</f>
        <v>2132.6350000000002</v>
      </c>
      <c r="AO479" s="403">
        <v>2132.6350000000002</v>
      </c>
      <c r="AP479" s="302">
        <v>2117.4690000000001</v>
      </c>
      <c r="AQ479" s="302">
        <v>2076.0790000000002</v>
      </c>
      <c r="AR479" s="302">
        <v>2025.14</v>
      </c>
      <c r="AS479" s="118">
        <f>AT479</f>
        <v>2043.95</v>
      </c>
      <c r="AT479" s="403">
        <v>2043.95</v>
      </c>
      <c r="AU479" s="302">
        <v>2012.5719999999999</v>
      </c>
      <c r="AV479" s="302">
        <v>2021.577</v>
      </c>
      <c r="AW479" s="302">
        <v>2154.3919999999998</v>
      </c>
      <c r="AX479" s="118">
        <f>AY479</f>
        <v>2159.9290000000001</v>
      </c>
      <c r="AY479" s="403">
        <v>2159.9290000000001</v>
      </c>
      <c r="AZ479" s="302">
        <v>2146.4740000000002</v>
      </c>
      <c r="BA479" s="302">
        <v>2268.9609999999998</v>
      </c>
      <c r="BB479" s="302">
        <v>2425.6</v>
      </c>
      <c r="BC479" s="118">
        <f>BD479</f>
        <v>2361.279</v>
      </c>
      <c r="BD479" s="403">
        <v>2361.279</v>
      </c>
      <c r="BE479" s="302">
        <v>2326.3000000000002</v>
      </c>
      <c r="BF479" s="302">
        <v>2295.4969999999998</v>
      </c>
      <c r="BG479" s="302">
        <v>2285.8290000000002</v>
      </c>
      <c r="BH479" s="118">
        <f t="shared" ref="BH479:BH480" si="859">BI479</f>
        <v>2273.9050000000002</v>
      </c>
      <c r="BI479" s="403">
        <v>2273.9050000000002</v>
      </c>
      <c r="BJ479" s="1207">
        <v>2219.7489999999998</v>
      </c>
      <c r="BK479" s="118"/>
      <c r="BL479" s="118"/>
      <c r="BM479" s="118"/>
      <c r="BN479" s="401"/>
      <c r="BO479" s="118"/>
      <c r="BP479" s="118"/>
      <c r="BQ479" s="118"/>
      <c r="BR479" s="118"/>
      <c r="BS479" s="401"/>
      <c r="BT479" s="401"/>
      <c r="BU479" s="401"/>
      <c r="BV479" s="401"/>
      <c r="BW479" s="122"/>
    </row>
    <row r="480" spans="1:75" s="123" customFormat="1" hidden="1" outlineLevel="2" x14ac:dyDescent="0.5">
      <c r="A480" s="184" t="s">
        <v>1955</v>
      </c>
      <c r="B480" s="489"/>
      <c r="C480" s="403">
        <v>29.6</v>
      </c>
      <c r="D480" s="403">
        <v>27</v>
      </c>
      <c r="E480" s="403">
        <v>24.1</v>
      </c>
      <c r="F480" s="403">
        <v>42.6</v>
      </c>
      <c r="G480" s="302">
        <v>54.5</v>
      </c>
      <c r="H480" s="302">
        <v>55.5</v>
      </c>
      <c r="I480" s="302">
        <v>59.3</v>
      </c>
      <c r="J480" s="118">
        <f>K480</f>
        <v>61.4</v>
      </c>
      <c r="K480" s="403">
        <v>61.4</v>
      </c>
      <c r="L480" s="302">
        <v>59.8</v>
      </c>
      <c r="M480" s="302">
        <v>62.2</v>
      </c>
      <c r="N480" s="302">
        <v>64.400000000000006</v>
      </c>
      <c r="O480" s="118">
        <f>P480</f>
        <v>58.3</v>
      </c>
      <c r="P480" s="403">
        <v>58.3</v>
      </c>
      <c r="Q480" s="302">
        <v>59</v>
      </c>
      <c r="R480" s="302">
        <v>60</v>
      </c>
      <c r="S480" s="302">
        <v>60.6</v>
      </c>
      <c r="T480" s="118">
        <f>U480</f>
        <v>61.7</v>
      </c>
      <c r="U480" s="403">
        <v>61.7</v>
      </c>
      <c r="V480" s="302">
        <v>64.400000000000006</v>
      </c>
      <c r="W480" s="302">
        <v>60.7</v>
      </c>
      <c r="X480" s="302">
        <v>59.2</v>
      </c>
      <c r="Y480" s="118">
        <f>Z480</f>
        <v>59.2</v>
      </c>
      <c r="Z480" s="403">
        <v>59.2</v>
      </c>
      <c r="AA480" s="302">
        <v>57.9</v>
      </c>
      <c r="AB480" s="302">
        <v>61.9</v>
      </c>
      <c r="AC480" s="302">
        <v>58.5</v>
      </c>
      <c r="AD480" s="118">
        <f>AE480</f>
        <v>63.4</v>
      </c>
      <c r="AE480" s="403">
        <v>63.4</v>
      </c>
      <c r="AF480" s="302">
        <v>59.511000000000003</v>
      </c>
      <c r="AG480" s="302">
        <v>52.938000000000002</v>
      </c>
      <c r="AH480" s="302">
        <v>50.966000000000001</v>
      </c>
      <c r="AI480" s="118">
        <f>AJ480</f>
        <v>50.305</v>
      </c>
      <c r="AJ480" s="403">
        <v>50.305</v>
      </c>
      <c r="AK480" s="302">
        <v>166.71899999999999</v>
      </c>
      <c r="AL480" s="302">
        <v>164.667</v>
      </c>
      <c r="AM480" s="302">
        <v>164.07400000000001</v>
      </c>
      <c r="AN480" s="118">
        <f>AO480</f>
        <v>165.77199999999999</v>
      </c>
      <c r="AO480" s="403">
        <v>165.77199999999999</v>
      </c>
      <c r="AP480" s="302">
        <v>151.602</v>
      </c>
      <c r="AQ480" s="302">
        <v>155.78700000000001</v>
      </c>
      <c r="AR480" s="302">
        <v>148.58199999999999</v>
      </c>
      <c r="AS480" s="118">
        <f>AT480</f>
        <v>150.39400000000001</v>
      </c>
      <c r="AT480" s="403">
        <v>150.39400000000001</v>
      </c>
      <c r="AU480" s="302">
        <v>148.672</v>
      </c>
      <c r="AV480" s="302">
        <v>149.75</v>
      </c>
      <c r="AW480" s="302">
        <v>146.21</v>
      </c>
      <c r="AX480" s="118">
        <f>AY480</f>
        <v>141.797</v>
      </c>
      <c r="AY480" s="403">
        <v>141.797</v>
      </c>
      <c r="AZ480" s="302">
        <v>135.387</v>
      </c>
      <c r="BA480" s="302">
        <v>121.492</v>
      </c>
      <c r="BB480" s="302">
        <v>107.675</v>
      </c>
      <c r="BC480" s="118">
        <f>BD480</f>
        <v>96.037999999999997</v>
      </c>
      <c r="BD480" s="403">
        <v>96.037999999999997</v>
      </c>
      <c r="BE480" s="302">
        <v>86.587000000000003</v>
      </c>
      <c r="BF480" s="302">
        <v>81.751000000000005</v>
      </c>
      <c r="BG480" s="357">
        <v>85.256</v>
      </c>
      <c r="BH480" s="118">
        <f t="shared" si="859"/>
        <v>79.72</v>
      </c>
      <c r="BI480" s="403">
        <v>79.72</v>
      </c>
      <c r="BJ480" s="1207">
        <v>74.188999999999993</v>
      </c>
      <c r="BK480" s="118"/>
      <c r="BL480" s="118"/>
      <c r="BM480" s="118"/>
      <c r="BN480" s="401"/>
      <c r="BO480" s="118"/>
      <c r="BP480" s="118"/>
      <c r="BQ480" s="118"/>
      <c r="BR480" s="118"/>
      <c r="BS480" s="401"/>
      <c r="BT480" s="401"/>
      <c r="BU480" s="401"/>
      <c r="BV480" s="401"/>
      <c r="BW480" s="122"/>
    </row>
    <row r="481" spans="1:75" s="198" customFormat="1" ht="14.25" hidden="1" outlineLevel="2" x14ac:dyDescent="0.45">
      <c r="A481" s="192" t="s">
        <v>1956</v>
      </c>
      <c r="B481" s="495"/>
      <c r="C481" s="518">
        <f t="shared" ref="C481:AE481" si="860">C1122</f>
        <v>898.976</v>
      </c>
      <c r="D481" s="518">
        <f t="shared" si="860"/>
        <v>784.16800000000001</v>
      </c>
      <c r="E481" s="518">
        <f t="shared" si="860"/>
        <v>784.47199999999998</v>
      </c>
      <c r="F481" s="518">
        <f t="shared" si="860"/>
        <v>870.90700000000004</v>
      </c>
      <c r="G481" s="327">
        <f t="shared" si="860"/>
        <v>874.13900000000012</v>
      </c>
      <c r="H481" s="327">
        <f t="shared" si="860"/>
        <v>892.44900000000007</v>
      </c>
      <c r="I481" s="327">
        <f t="shared" si="860"/>
        <v>909.25800000000004</v>
      </c>
      <c r="J481" s="327">
        <f t="shared" si="860"/>
        <v>917.63099999999997</v>
      </c>
      <c r="K481" s="518">
        <f t="shared" si="860"/>
        <v>917.63099999999997</v>
      </c>
      <c r="L481" s="327">
        <f t="shared" si="860"/>
        <v>890.61299999999994</v>
      </c>
      <c r="M481" s="327">
        <f t="shared" si="860"/>
        <v>902.19799999999998</v>
      </c>
      <c r="N481" s="327">
        <f t="shared" si="860"/>
        <v>921.03200000000004</v>
      </c>
      <c r="O481" s="327">
        <f t="shared" si="860"/>
        <v>938.35399999999993</v>
      </c>
      <c r="P481" s="518">
        <f t="shared" si="860"/>
        <v>938.35399999999993</v>
      </c>
      <c r="Q481" s="327">
        <f t="shared" si="860"/>
        <v>926.87</v>
      </c>
      <c r="R481" s="327">
        <f t="shared" si="860"/>
        <v>925.26799999999992</v>
      </c>
      <c r="S481" s="327">
        <f t="shared" si="860"/>
        <v>933.83999999999992</v>
      </c>
      <c r="T481" s="327">
        <f t="shared" si="860"/>
        <v>1081.327</v>
      </c>
      <c r="U481" s="518">
        <f t="shared" si="860"/>
        <v>1081.327</v>
      </c>
      <c r="V481" s="327">
        <f t="shared" si="860"/>
        <v>1077.7060000000001</v>
      </c>
      <c r="W481" s="327">
        <f t="shared" si="860"/>
        <v>1094.4599999999998</v>
      </c>
      <c r="X481" s="327">
        <f t="shared" si="860"/>
        <v>1106.1179999999999</v>
      </c>
      <c r="Y481" s="327">
        <f t="shared" si="860"/>
        <v>1109.6990000000001</v>
      </c>
      <c r="Z481" s="518">
        <f t="shared" si="860"/>
        <v>1109.6990000000001</v>
      </c>
      <c r="AA481" s="327">
        <f t="shared" si="860"/>
        <v>1100.1320000000001</v>
      </c>
      <c r="AB481" s="327">
        <f t="shared" si="860"/>
        <v>1115.4820000000002</v>
      </c>
      <c r="AC481" s="327">
        <f t="shared" si="860"/>
        <v>1119.923</v>
      </c>
      <c r="AD481" s="327">
        <f t="shared" si="860"/>
        <v>1149.3040000000001</v>
      </c>
      <c r="AE481" s="518">
        <f t="shared" si="860"/>
        <v>1149.3040000000001</v>
      </c>
      <c r="AF481" s="327">
        <f t="shared" ref="AF481:BJ481" si="861">SUM(AF479:AF480)</f>
        <v>1133.6879999999999</v>
      </c>
      <c r="AG481" s="327">
        <f t="shared" si="861"/>
        <v>1130.4850000000001</v>
      </c>
      <c r="AH481" s="327">
        <f t="shared" si="861"/>
        <v>1127.3329999999999</v>
      </c>
      <c r="AI481" s="327">
        <f t="shared" si="861"/>
        <v>1118.501</v>
      </c>
      <c r="AJ481" s="518">
        <f t="shared" si="861"/>
        <v>1118.501</v>
      </c>
      <c r="AK481" s="327">
        <f t="shared" si="861"/>
        <v>2302.7190000000001</v>
      </c>
      <c r="AL481" s="327">
        <f t="shared" si="861"/>
        <v>2311.6619999999998</v>
      </c>
      <c r="AM481" s="327">
        <f t="shared" si="861"/>
        <v>2304.5790000000002</v>
      </c>
      <c r="AN481" s="327">
        <f t="shared" si="861"/>
        <v>2298.4070000000002</v>
      </c>
      <c r="AO481" s="518">
        <f t="shared" si="861"/>
        <v>2298.4070000000002</v>
      </c>
      <c r="AP481" s="327">
        <f t="shared" si="861"/>
        <v>2269.0709999999999</v>
      </c>
      <c r="AQ481" s="327">
        <f t="shared" si="861"/>
        <v>2231.866</v>
      </c>
      <c r="AR481" s="327">
        <f t="shared" si="861"/>
        <v>2173.7220000000002</v>
      </c>
      <c r="AS481" s="327">
        <f t="shared" si="861"/>
        <v>2194.3440000000001</v>
      </c>
      <c r="AT481" s="518">
        <f t="shared" si="861"/>
        <v>2194.3440000000001</v>
      </c>
      <c r="AU481" s="327">
        <f t="shared" si="861"/>
        <v>2161.2439999999997</v>
      </c>
      <c r="AV481" s="327">
        <f t="shared" si="861"/>
        <v>2171.3270000000002</v>
      </c>
      <c r="AW481" s="327">
        <f t="shared" si="861"/>
        <v>2300.6019999999999</v>
      </c>
      <c r="AX481" s="327">
        <f t="shared" si="861"/>
        <v>2301.7260000000001</v>
      </c>
      <c r="AY481" s="518">
        <f t="shared" si="861"/>
        <v>2301.7260000000001</v>
      </c>
      <c r="AZ481" s="327">
        <f t="shared" si="861"/>
        <v>2281.8610000000003</v>
      </c>
      <c r="BA481" s="327">
        <f t="shared" si="861"/>
        <v>2390.453</v>
      </c>
      <c r="BB481" s="327">
        <f t="shared" si="861"/>
        <v>2533.2750000000001</v>
      </c>
      <c r="BC481" s="327">
        <f t="shared" si="861"/>
        <v>2457.317</v>
      </c>
      <c r="BD481" s="518">
        <f t="shared" si="861"/>
        <v>2457.317</v>
      </c>
      <c r="BE481" s="327">
        <f t="shared" si="861"/>
        <v>2412.8870000000002</v>
      </c>
      <c r="BF481" s="327">
        <f t="shared" si="861"/>
        <v>2377.248</v>
      </c>
      <c r="BG481" s="295">
        <f t="shared" si="861"/>
        <v>2371.085</v>
      </c>
      <c r="BH481" s="327">
        <f t="shared" si="861"/>
        <v>2353.625</v>
      </c>
      <c r="BI481" s="518">
        <f t="shared" si="861"/>
        <v>2353.625</v>
      </c>
      <c r="BJ481" s="1026">
        <f t="shared" si="861"/>
        <v>2293.9379999999996</v>
      </c>
      <c r="BK481" s="327"/>
      <c r="BL481" s="327"/>
      <c r="BM481" s="327"/>
      <c r="BN481" s="518"/>
      <c r="BO481" s="327"/>
      <c r="BP481" s="327"/>
      <c r="BQ481" s="327"/>
      <c r="BR481" s="327"/>
      <c r="BS481" s="518"/>
      <c r="BT481" s="518"/>
      <c r="BU481" s="518"/>
      <c r="BV481" s="518"/>
      <c r="BW481" s="197"/>
    </row>
    <row r="482" spans="1:75" s="198" customFormat="1" ht="14.25" hidden="1" outlineLevel="2" x14ac:dyDescent="0.45">
      <c r="A482" s="206"/>
      <c r="B482" s="485"/>
      <c r="C482" s="397"/>
      <c r="D482" s="397"/>
      <c r="E482" s="397"/>
      <c r="F482" s="397"/>
      <c r="G482" s="295"/>
      <c r="H482" s="295"/>
      <c r="I482" s="295"/>
      <c r="J482" s="295"/>
      <c r="K482" s="397"/>
      <c r="L482" s="295"/>
      <c r="M482" s="295"/>
      <c r="N482" s="295"/>
      <c r="O482" s="295"/>
      <c r="P482" s="397"/>
      <c r="Q482" s="295"/>
      <c r="R482" s="295"/>
      <c r="S482" s="295"/>
      <c r="T482" s="295"/>
      <c r="U482" s="397"/>
      <c r="V482" s="295"/>
      <c r="W482" s="295"/>
      <c r="X482" s="295"/>
      <c r="Y482" s="295"/>
      <c r="Z482" s="397"/>
      <c r="AA482" s="295"/>
      <c r="AB482" s="295"/>
      <c r="AC482" s="295"/>
      <c r="AD482" s="295"/>
      <c r="AE482" s="397"/>
      <c r="AF482" s="295"/>
      <c r="AG482" s="295"/>
      <c r="AH482" s="295"/>
      <c r="AI482" s="295"/>
      <c r="AJ482" s="397"/>
      <c r="AK482" s="295"/>
      <c r="AL482" s="295"/>
      <c r="AM482" s="295"/>
      <c r="AN482" s="295"/>
      <c r="AO482" s="397"/>
      <c r="AP482" s="295"/>
      <c r="AQ482" s="295"/>
      <c r="AR482" s="295"/>
      <c r="AS482" s="295"/>
      <c r="AT482" s="397"/>
      <c r="AU482" s="295"/>
      <c r="AV482" s="295"/>
      <c r="AW482" s="295"/>
      <c r="AX482" s="295"/>
      <c r="AY482" s="397"/>
      <c r="AZ482" s="295"/>
      <c r="BA482" s="295"/>
      <c r="BB482" s="295"/>
      <c r="BC482" s="295"/>
      <c r="BD482" s="397"/>
      <c r="BE482" s="295"/>
      <c r="BF482" s="295"/>
      <c r="BG482" s="295"/>
      <c r="BH482" s="295"/>
      <c r="BI482" s="397"/>
      <c r="BJ482" s="1030"/>
      <c r="BK482" s="295"/>
      <c r="BL482" s="295"/>
      <c r="BM482" s="295"/>
      <c r="BN482" s="397"/>
      <c r="BO482" s="295"/>
      <c r="BP482" s="295"/>
      <c r="BQ482" s="295"/>
      <c r="BR482" s="295"/>
      <c r="BS482" s="397"/>
      <c r="BT482" s="397"/>
      <c r="BU482" s="397"/>
      <c r="BV482" s="397"/>
      <c r="BW482" s="197"/>
    </row>
    <row r="483" spans="1:75" s="217" customFormat="1" hidden="1" outlineLevel="2" x14ac:dyDescent="0.5">
      <c r="A483" s="526" t="s">
        <v>1957</v>
      </c>
      <c r="B483" s="493"/>
      <c r="C483" s="423">
        <f t="shared" ref="C483:BJ483" si="862">C479/C481</f>
        <v>0.96707364823977504</v>
      </c>
      <c r="D483" s="423">
        <f t="shared" si="862"/>
        <v>0.96556860264637168</v>
      </c>
      <c r="E483" s="423">
        <f t="shared" si="862"/>
        <v>0.96927869955842905</v>
      </c>
      <c r="F483" s="423">
        <f t="shared" si="862"/>
        <v>0.95108547755386053</v>
      </c>
      <c r="G483" s="422">
        <f t="shared" si="862"/>
        <v>0.93765293620350998</v>
      </c>
      <c r="H483" s="422">
        <f t="shared" si="862"/>
        <v>0.93781157242598734</v>
      </c>
      <c r="I483" s="422">
        <f t="shared" si="862"/>
        <v>0.93478198707077642</v>
      </c>
      <c r="J483" s="422">
        <f t="shared" si="862"/>
        <v>0.93308857263976486</v>
      </c>
      <c r="K483" s="423">
        <f t="shared" si="862"/>
        <v>0.93308857263976486</v>
      </c>
      <c r="L483" s="422">
        <f t="shared" si="862"/>
        <v>0.93285523566352613</v>
      </c>
      <c r="M483" s="422">
        <f t="shared" si="862"/>
        <v>0.93105726237477804</v>
      </c>
      <c r="N483" s="422">
        <f t="shared" si="862"/>
        <v>0.93007843375691623</v>
      </c>
      <c r="O483" s="422">
        <f t="shared" si="862"/>
        <v>0.9378699296853853</v>
      </c>
      <c r="P483" s="423">
        <f t="shared" si="862"/>
        <v>0.9378699296853853</v>
      </c>
      <c r="Q483" s="422">
        <f t="shared" si="862"/>
        <v>0.93634490273716919</v>
      </c>
      <c r="R483" s="422">
        <f t="shared" si="862"/>
        <v>0.93515392297150668</v>
      </c>
      <c r="S483" s="422">
        <f t="shared" si="862"/>
        <v>0.93510665638653301</v>
      </c>
      <c r="T483" s="422">
        <f t="shared" si="862"/>
        <v>0.94294047961439964</v>
      </c>
      <c r="U483" s="423">
        <f t="shared" si="862"/>
        <v>0.94294047961439964</v>
      </c>
      <c r="V483" s="422">
        <f t="shared" si="862"/>
        <v>0.94024344301692675</v>
      </c>
      <c r="W483" s="422">
        <f t="shared" si="862"/>
        <v>0.94453885934616155</v>
      </c>
      <c r="X483" s="422">
        <f t="shared" si="862"/>
        <v>0.94647948953005012</v>
      </c>
      <c r="Y483" s="422">
        <f t="shared" si="862"/>
        <v>0.94665220028133756</v>
      </c>
      <c r="Z483" s="423">
        <f t="shared" si="862"/>
        <v>0.94665220028133756</v>
      </c>
      <c r="AA483" s="422">
        <f t="shared" si="862"/>
        <v>0.94736995196939999</v>
      </c>
      <c r="AB483" s="422">
        <f t="shared" si="862"/>
        <v>0.94450829327591113</v>
      </c>
      <c r="AC483" s="422">
        <f t="shared" si="862"/>
        <v>0.94776426593614027</v>
      </c>
      <c r="AD483" s="422">
        <f t="shared" si="862"/>
        <v>0.94483617911361995</v>
      </c>
      <c r="AE483" s="423">
        <f t="shared" si="862"/>
        <v>0.94483617911361995</v>
      </c>
      <c r="AF483" s="422">
        <f t="shared" si="862"/>
        <v>0.94750672142600079</v>
      </c>
      <c r="AG483" s="422">
        <f t="shared" si="862"/>
        <v>0.95317231099926125</v>
      </c>
      <c r="AH483" s="422">
        <f t="shared" si="862"/>
        <v>0.95479064304868222</v>
      </c>
      <c r="AI483" s="422">
        <f t="shared" si="862"/>
        <v>0.95502462671021293</v>
      </c>
      <c r="AJ483" s="423">
        <f t="shared" si="862"/>
        <v>0.95502462671021293</v>
      </c>
      <c r="AK483" s="422">
        <f t="shared" si="862"/>
        <v>0.92759906875306974</v>
      </c>
      <c r="AL483" s="422">
        <f t="shared" si="862"/>
        <v>0.92876683528993431</v>
      </c>
      <c r="AM483" s="422">
        <f t="shared" si="862"/>
        <v>0.92880521778598168</v>
      </c>
      <c r="AN483" s="422">
        <f t="shared" si="862"/>
        <v>0.92787526317140523</v>
      </c>
      <c r="AO483" s="423">
        <f t="shared" si="862"/>
        <v>0.92787526317140523</v>
      </c>
      <c r="AP483" s="422">
        <f t="shared" si="862"/>
        <v>0.93318763493958545</v>
      </c>
      <c r="AQ483" s="422">
        <f t="shared" si="862"/>
        <v>0.93019876641339583</v>
      </c>
      <c r="AR483" s="422">
        <f t="shared" si="862"/>
        <v>0.93164627307447778</v>
      </c>
      <c r="AS483" s="422">
        <f t="shared" si="862"/>
        <v>0.93146288822536483</v>
      </c>
      <c r="AT483" s="423">
        <f t="shared" si="862"/>
        <v>0.93146288822536483</v>
      </c>
      <c r="AU483" s="422">
        <f t="shared" si="862"/>
        <v>0.93120998832154078</v>
      </c>
      <c r="AV483" s="422">
        <f t="shared" si="862"/>
        <v>0.93103295818639931</v>
      </c>
      <c r="AW483" s="422">
        <f t="shared" si="862"/>
        <v>0.93644706907148645</v>
      </c>
      <c r="AX483" s="422">
        <f t="shared" si="862"/>
        <v>0.93839536069888418</v>
      </c>
      <c r="AY483" s="423">
        <f t="shared" si="862"/>
        <v>0.93839536069888418</v>
      </c>
      <c r="AZ483" s="422">
        <f t="shared" si="862"/>
        <v>0.9406681651511638</v>
      </c>
      <c r="BA483" s="422">
        <f t="shared" si="862"/>
        <v>0.94917616033446373</v>
      </c>
      <c r="BB483" s="422">
        <f t="shared" si="862"/>
        <v>0.957495731809614</v>
      </c>
      <c r="BC483" s="422">
        <f t="shared" si="862"/>
        <v>0.96091753729779272</v>
      </c>
      <c r="BD483" s="423">
        <f t="shared" si="862"/>
        <v>0.96091753729779272</v>
      </c>
      <c r="BE483" s="422">
        <f t="shared" si="862"/>
        <v>0.96411477205521856</v>
      </c>
      <c r="BF483" s="422">
        <f t="shared" si="862"/>
        <v>0.96561107633700805</v>
      </c>
      <c r="BG483" s="422">
        <f t="shared" si="862"/>
        <v>0.96404346533338114</v>
      </c>
      <c r="BH483" s="422">
        <f t="shared" si="862"/>
        <v>0.96612884380476938</v>
      </c>
      <c r="BI483" s="423">
        <f t="shared" si="862"/>
        <v>0.96612884380476938</v>
      </c>
      <c r="BJ483" s="1034">
        <f t="shared" si="862"/>
        <v>0.9676586725534867</v>
      </c>
      <c r="BK483" s="422"/>
      <c r="BL483" s="422"/>
      <c r="BM483" s="422"/>
      <c r="BN483" s="423"/>
      <c r="BO483" s="422"/>
      <c r="BP483" s="422"/>
      <c r="BQ483" s="422"/>
      <c r="BR483" s="422"/>
      <c r="BS483" s="423"/>
      <c r="BT483" s="423"/>
      <c r="BU483" s="423"/>
      <c r="BV483" s="423"/>
      <c r="BW483" s="216"/>
    </row>
    <row r="484" spans="1:75" s="217" customFormat="1" hidden="1" outlineLevel="2" x14ac:dyDescent="0.5">
      <c r="A484" s="526" t="s">
        <v>1958</v>
      </c>
      <c r="B484" s="493"/>
      <c r="C484" s="423">
        <f t="shared" ref="C484:BJ484" si="863">C480/C481</f>
        <v>3.2926351760224966E-2</v>
      </c>
      <c r="D484" s="423">
        <f t="shared" si="863"/>
        <v>3.4431397353628303E-2</v>
      </c>
      <c r="E484" s="423">
        <f t="shared" si="863"/>
        <v>3.0721300441570894E-2</v>
      </c>
      <c r="F484" s="423">
        <f t="shared" si="863"/>
        <v>4.8914522446139481E-2</v>
      </c>
      <c r="G484" s="422">
        <f t="shared" si="863"/>
        <v>6.2347063796490021E-2</v>
      </c>
      <c r="H484" s="422">
        <f t="shared" si="863"/>
        <v>6.2188427574012627E-2</v>
      </c>
      <c r="I484" s="422">
        <f t="shared" si="863"/>
        <v>6.5218012929223607E-2</v>
      </c>
      <c r="J484" s="422">
        <f t="shared" si="863"/>
        <v>6.6911427360235212E-2</v>
      </c>
      <c r="K484" s="423">
        <f t="shared" si="863"/>
        <v>6.6911427360235212E-2</v>
      </c>
      <c r="L484" s="422">
        <f t="shared" si="863"/>
        <v>6.7144764336473872E-2</v>
      </c>
      <c r="M484" s="422">
        <f t="shared" si="863"/>
        <v>6.8942737625221961E-2</v>
      </c>
      <c r="N484" s="422">
        <f t="shared" si="863"/>
        <v>6.9921566243083849E-2</v>
      </c>
      <c r="O484" s="422">
        <f t="shared" si="863"/>
        <v>6.213007031461474E-2</v>
      </c>
      <c r="P484" s="423">
        <f t="shared" si="863"/>
        <v>6.213007031461474E-2</v>
      </c>
      <c r="Q484" s="422">
        <f t="shared" si="863"/>
        <v>6.365509726283082E-2</v>
      </c>
      <c r="R484" s="422">
        <f t="shared" si="863"/>
        <v>6.4846077028493376E-2</v>
      </c>
      <c r="S484" s="422">
        <f t="shared" si="863"/>
        <v>6.4893343613466978E-2</v>
      </c>
      <c r="T484" s="422">
        <f t="shared" si="863"/>
        <v>5.705952038560029E-2</v>
      </c>
      <c r="U484" s="423">
        <f t="shared" si="863"/>
        <v>5.705952038560029E-2</v>
      </c>
      <c r="V484" s="422">
        <f t="shared" si="863"/>
        <v>5.9756556983073306E-2</v>
      </c>
      <c r="W484" s="422">
        <f t="shared" si="863"/>
        <v>5.5461140653838434E-2</v>
      </c>
      <c r="X484" s="422">
        <f t="shared" si="863"/>
        <v>5.3520510469949864E-2</v>
      </c>
      <c r="Y484" s="422">
        <f t="shared" si="863"/>
        <v>5.334779971866245E-2</v>
      </c>
      <c r="Z484" s="423">
        <f t="shared" si="863"/>
        <v>5.334779971866245E-2</v>
      </c>
      <c r="AA484" s="422">
        <f t="shared" si="863"/>
        <v>5.2630048030599959E-2</v>
      </c>
      <c r="AB484" s="422">
        <f t="shared" si="863"/>
        <v>5.549170672408877E-2</v>
      </c>
      <c r="AC484" s="422">
        <f t="shared" si="863"/>
        <v>5.223573406385975E-2</v>
      </c>
      <c r="AD484" s="422">
        <f t="shared" si="863"/>
        <v>5.5163820886379923E-2</v>
      </c>
      <c r="AE484" s="423">
        <f t="shared" si="863"/>
        <v>5.5163820886379923E-2</v>
      </c>
      <c r="AF484" s="422">
        <f t="shared" si="863"/>
        <v>5.2493278573999207E-2</v>
      </c>
      <c r="AG484" s="422">
        <f t="shared" si="863"/>
        <v>4.6827689000738616E-2</v>
      </c>
      <c r="AH484" s="422">
        <f t="shared" si="863"/>
        <v>4.520935695131785E-2</v>
      </c>
      <c r="AI484" s="422">
        <f t="shared" si="863"/>
        <v>4.4975373289786957E-2</v>
      </c>
      <c r="AJ484" s="423">
        <f t="shared" si="863"/>
        <v>4.4975373289786957E-2</v>
      </c>
      <c r="AK484" s="422">
        <f t="shared" si="863"/>
        <v>7.2400931246930256E-2</v>
      </c>
      <c r="AL484" s="422">
        <f t="shared" si="863"/>
        <v>7.1233164710065758E-2</v>
      </c>
      <c r="AM484" s="422">
        <f t="shared" si="863"/>
        <v>7.119478221401826E-2</v>
      </c>
      <c r="AN484" s="422">
        <f t="shared" si="863"/>
        <v>7.2124736828594757E-2</v>
      </c>
      <c r="AO484" s="423">
        <f t="shared" si="863"/>
        <v>7.2124736828594757E-2</v>
      </c>
      <c r="AP484" s="422">
        <f t="shared" si="863"/>
        <v>6.6812365060414602E-2</v>
      </c>
      <c r="AQ484" s="422">
        <f t="shared" si="863"/>
        <v>6.9801233586604214E-2</v>
      </c>
      <c r="AR484" s="422">
        <f t="shared" si="863"/>
        <v>6.8353726925522204E-2</v>
      </c>
      <c r="AS484" s="422">
        <f t="shared" si="863"/>
        <v>6.8537111774635159E-2</v>
      </c>
      <c r="AT484" s="423">
        <f t="shared" si="863"/>
        <v>6.8537111774635159E-2</v>
      </c>
      <c r="AU484" s="422">
        <f t="shared" si="863"/>
        <v>6.8790011678459273E-2</v>
      </c>
      <c r="AV484" s="422">
        <f t="shared" si="863"/>
        <v>6.896704181360061E-2</v>
      </c>
      <c r="AW484" s="422">
        <f t="shared" si="863"/>
        <v>6.3552930928513496E-2</v>
      </c>
      <c r="AX484" s="422">
        <f t="shared" si="863"/>
        <v>6.1604639301115767E-2</v>
      </c>
      <c r="AY484" s="423">
        <f t="shared" si="863"/>
        <v>6.1604639301115767E-2</v>
      </c>
      <c r="AZ484" s="422">
        <f t="shared" si="863"/>
        <v>5.9331834848836092E-2</v>
      </c>
      <c r="BA484" s="422">
        <f t="shared" si="863"/>
        <v>5.0823839665536198E-2</v>
      </c>
      <c r="BB484" s="422">
        <f t="shared" si="863"/>
        <v>4.2504268190385962E-2</v>
      </c>
      <c r="BC484" s="422">
        <f t="shared" si="863"/>
        <v>3.9082462702207325E-2</v>
      </c>
      <c r="BD484" s="423">
        <f t="shared" si="863"/>
        <v>3.9082462702207325E-2</v>
      </c>
      <c r="BE484" s="422">
        <f t="shared" si="863"/>
        <v>3.5885227944781502E-2</v>
      </c>
      <c r="BF484" s="422">
        <f t="shared" si="863"/>
        <v>3.438892366299183E-2</v>
      </c>
      <c r="BG484" s="422">
        <f t="shared" si="863"/>
        <v>3.595653466661887E-2</v>
      </c>
      <c r="BH484" s="422">
        <f t="shared" si="863"/>
        <v>3.3871156195230762E-2</v>
      </c>
      <c r="BI484" s="423">
        <f t="shared" si="863"/>
        <v>3.3871156195230762E-2</v>
      </c>
      <c r="BJ484" s="1034">
        <f t="shared" si="863"/>
        <v>3.2341327446513378E-2</v>
      </c>
      <c r="BK484" s="422"/>
      <c r="BL484" s="422"/>
      <c r="BM484" s="422"/>
      <c r="BN484" s="423"/>
      <c r="BO484" s="422"/>
      <c r="BP484" s="422"/>
      <c r="BQ484" s="422"/>
      <c r="BR484" s="422"/>
      <c r="BS484" s="423"/>
      <c r="BT484" s="423"/>
      <c r="BU484" s="423"/>
      <c r="BV484" s="423"/>
      <c r="BW484" s="216"/>
    </row>
    <row r="485" spans="1:75" s="162" customFormat="1" ht="14.25" hidden="1" outlineLevel="2" x14ac:dyDescent="0.45">
      <c r="A485" s="527" t="s">
        <v>1959</v>
      </c>
      <c r="B485" s="1213"/>
      <c r="C485" s="1214">
        <f t="shared" ref="C485:BJ485" si="864">SUM(C483:C484)</f>
        <v>1</v>
      </c>
      <c r="D485" s="1214">
        <f t="shared" si="864"/>
        <v>1</v>
      </c>
      <c r="E485" s="1214">
        <f t="shared" si="864"/>
        <v>0.99999999999999989</v>
      </c>
      <c r="F485" s="1214">
        <f t="shared" si="864"/>
        <v>1</v>
      </c>
      <c r="G485" s="480">
        <f t="shared" si="864"/>
        <v>1</v>
      </c>
      <c r="H485" s="480">
        <f t="shared" si="864"/>
        <v>1</v>
      </c>
      <c r="I485" s="480">
        <f t="shared" si="864"/>
        <v>1</v>
      </c>
      <c r="J485" s="480">
        <f t="shared" si="864"/>
        <v>1</v>
      </c>
      <c r="K485" s="1214">
        <f t="shared" si="864"/>
        <v>1</v>
      </c>
      <c r="L485" s="480">
        <f t="shared" si="864"/>
        <v>1</v>
      </c>
      <c r="M485" s="480">
        <f t="shared" si="864"/>
        <v>1</v>
      </c>
      <c r="N485" s="480">
        <f t="shared" si="864"/>
        <v>1</v>
      </c>
      <c r="O485" s="480">
        <f t="shared" si="864"/>
        <v>1</v>
      </c>
      <c r="P485" s="1214">
        <f t="shared" si="864"/>
        <v>1</v>
      </c>
      <c r="Q485" s="480">
        <f t="shared" si="864"/>
        <v>1</v>
      </c>
      <c r="R485" s="480">
        <f t="shared" si="864"/>
        <v>1</v>
      </c>
      <c r="S485" s="480">
        <f t="shared" si="864"/>
        <v>1</v>
      </c>
      <c r="T485" s="480">
        <f t="shared" si="864"/>
        <v>0.99999999999999989</v>
      </c>
      <c r="U485" s="1214">
        <f t="shared" si="864"/>
        <v>0.99999999999999989</v>
      </c>
      <c r="V485" s="480">
        <f t="shared" si="864"/>
        <v>1</v>
      </c>
      <c r="W485" s="480">
        <f t="shared" si="864"/>
        <v>1</v>
      </c>
      <c r="X485" s="480">
        <f t="shared" si="864"/>
        <v>1</v>
      </c>
      <c r="Y485" s="480">
        <f t="shared" si="864"/>
        <v>1</v>
      </c>
      <c r="Z485" s="1214">
        <f t="shared" si="864"/>
        <v>1</v>
      </c>
      <c r="AA485" s="480">
        <f t="shared" si="864"/>
        <v>1</v>
      </c>
      <c r="AB485" s="480">
        <f t="shared" si="864"/>
        <v>0.99999999999999989</v>
      </c>
      <c r="AC485" s="480">
        <f t="shared" si="864"/>
        <v>1</v>
      </c>
      <c r="AD485" s="480">
        <f t="shared" si="864"/>
        <v>0.99999999999999989</v>
      </c>
      <c r="AE485" s="1214">
        <f t="shared" si="864"/>
        <v>0.99999999999999989</v>
      </c>
      <c r="AF485" s="480">
        <f t="shared" si="864"/>
        <v>1</v>
      </c>
      <c r="AG485" s="480">
        <f t="shared" si="864"/>
        <v>0.99999999999999989</v>
      </c>
      <c r="AH485" s="480">
        <f t="shared" si="864"/>
        <v>1</v>
      </c>
      <c r="AI485" s="480">
        <f t="shared" si="864"/>
        <v>0.99999999999999989</v>
      </c>
      <c r="AJ485" s="1214">
        <f t="shared" si="864"/>
        <v>0.99999999999999989</v>
      </c>
      <c r="AK485" s="480">
        <f t="shared" si="864"/>
        <v>1</v>
      </c>
      <c r="AL485" s="480">
        <f t="shared" si="864"/>
        <v>1</v>
      </c>
      <c r="AM485" s="480">
        <f t="shared" si="864"/>
        <v>1</v>
      </c>
      <c r="AN485" s="480">
        <f t="shared" si="864"/>
        <v>1</v>
      </c>
      <c r="AO485" s="1214">
        <f t="shared" si="864"/>
        <v>1</v>
      </c>
      <c r="AP485" s="480">
        <f t="shared" si="864"/>
        <v>1</v>
      </c>
      <c r="AQ485" s="480">
        <f t="shared" si="864"/>
        <v>1</v>
      </c>
      <c r="AR485" s="480">
        <f t="shared" si="864"/>
        <v>1</v>
      </c>
      <c r="AS485" s="480">
        <f t="shared" si="864"/>
        <v>1</v>
      </c>
      <c r="AT485" s="1214">
        <f t="shared" si="864"/>
        <v>1</v>
      </c>
      <c r="AU485" s="480">
        <f t="shared" si="864"/>
        <v>1</v>
      </c>
      <c r="AV485" s="480">
        <f t="shared" si="864"/>
        <v>0.99999999999999989</v>
      </c>
      <c r="AW485" s="480">
        <f t="shared" si="864"/>
        <v>1</v>
      </c>
      <c r="AX485" s="480">
        <f t="shared" si="864"/>
        <v>1</v>
      </c>
      <c r="AY485" s="1214">
        <f t="shared" si="864"/>
        <v>1</v>
      </c>
      <c r="AZ485" s="480">
        <f t="shared" si="864"/>
        <v>0.99999999999999989</v>
      </c>
      <c r="BA485" s="480">
        <f t="shared" si="864"/>
        <v>0.99999999999999989</v>
      </c>
      <c r="BB485" s="480">
        <f t="shared" si="864"/>
        <v>1</v>
      </c>
      <c r="BC485" s="480">
        <f t="shared" si="864"/>
        <v>1</v>
      </c>
      <c r="BD485" s="1214">
        <f t="shared" si="864"/>
        <v>1</v>
      </c>
      <c r="BE485" s="480">
        <f t="shared" si="864"/>
        <v>1</v>
      </c>
      <c r="BF485" s="480">
        <f t="shared" si="864"/>
        <v>0.99999999999999989</v>
      </c>
      <c r="BG485" s="480">
        <f t="shared" si="864"/>
        <v>1</v>
      </c>
      <c r="BH485" s="480">
        <f t="shared" si="864"/>
        <v>1.0000000000000002</v>
      </c>
      <c r="BI485" s="1214">
        <f t="shared" si="864"/>
        <v>1.0000000000000002</v>
      </c>
      <c r="BJ485" s="1215">
        <f t="shared" si="864"/>
        <v>1</v>
      </c>
      <c r="BK485" s="480"/>
      <c r="BL485" s="480"/>
      <c r="BM485" s="480"/>
      <c r="BN485" s="1214"/>
      <c r="BO485" s="480"/>
      <c r="BP485" s="480"/>
      <c r="BQ485" s="480"/>
      <c r="BR485" s="480"/>
      <c r="BS485" s="1214"/>
      <c r="BT485" s="1214"/>
      <c r="BU485" s="1214"/>
      <c r="BV485" s="1214"/>
      <c r="BW485" s="161"/>
    </row>
    <row r="486" spans="1:75" s="123" customFormat="1" hidden="1" outlineLevel="1" collapsed="1" x14ac:dyDescent="0.5">
      <c r="A486" s="752"/>
      <c r="B486" s="489"/>
      <c r="C486" s="401"/>
      <c r="D486" s="401"/>
      <c r="E486" s="401"/>
      <c r="F486" s="401"/>
      <c r="G486" s="118"/>
      <c r="H486" s="118"/>
      <c r="I486" s="118"/>
      <c r="J486" s="118"/>
      <c r="K486" s="401"/>
      <c r="L486" s="118"/>
      <c r="M486" s="118"/>
      <c r="N486" s="118"/>
      <c r="O486" s="118"/>
      <c r="P486" s="401"/>
      <c r="Q486" s="118"/>
      <c r="R486" s="118"/>
      <c r="S486" s="118"/>
      <c r="T486" s="118"/>
      <c r="U486" s="401"/>
      <c r="V486" s="118"/>
      <c r="W486" s="118"/>
      <c r="X486" s="118"/>
      <c r="Y486" s="118"/>
      <c r="Z486" s="401"/>
      <c r="AA486" s="118"/>
      <c r="AB486" s="118"/>
      <c r="AC486" s="118"/>
      <c r="AD486" s="118"/>
      <c r="AE486" s="401"/>
      <c r="AF486" s="118"/>
      <c r="AG486" s="118"/>
      <c r="AH486" s="118"/>
      <c r="AI486" s="118"/>
      <c r="AJ486" s="401"/>
      <c r="AK486" s="118"/>
      <c r="AL486" s="118"/>
      <c r="AM486" s="118"/>
      <c r="AN486" s="118"/>
      <c r="AO486" s="401"/>
      <c r="AP486" s="118"/>
      <c r="AQ486" s="118"/>
      <c r="AR486" s="118"/>
      <c r="AS486" s="118"/>
      <c r="AT486" s="401"/>
      <c r="AU486" s="118"/>
      <c r="AV486" s="118"/>
      <c r="AW486" s="118"/>
      <c r="AX486" s="118"/>
      <c r="AY486" s="401"/>
      <c r="AZ486" s="118"/>
      <c r="BA486" s="118"/>
      <c r="BB486" s="118"/>
      <c r="BC486" s="118"/>
      <c r="BD486" s="401"/>
      <c r="BE486" s="118"/>
      <c r="BF486" s="118"/>
      <c r="BG486" s="118"/>
      <c r="BH486" s="118"/>
      <c r="BI486" s="401"/>
      <c r="BJ486" s="971"/>
      <c r="BK486" s="118"/>
      <c r="BL486" s="118"/>
      <c r="BM486" s="118"/>
      <c r="BN486" s="401"/>
      <c r="BO486" s="118"/>
      <c r="BP486" s="118"/>
      <c r="BQ486" s="118"/>
      <c r="BR486" s="118"/>
      <c r="BS486" s="401"/>
      <c r="BT486" s="401"/>
      <c r="BU486" s="401"/>
      <c r="BV486" s="401"/>
      <c r="BW486" s="122"/>
    </row>
    <row r="487" spans="1:75" s="198" customFormat="1" ht="14.25" hidden="1" outlineLevel="1" x14ac:dyDescent="0.45">
      <c r="A487" s="239" t="s">
        <v>1960</v>
      </c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  <c r="AA487" s="239"/>
      <c r="AB487" s="239"/>
      <c r="AC487" s="239"/>
      <c r="AD487" s="239"/>
      <c r="AE487" s="239"/>
      <c r="AF487" s="239"/>
      <c r="AG487" s="239"/>
      <c r="AH487" s="239"/>
      <c r="AI487" s="239"/>
      <c r="AJ487" s="239"/>
      <c r="AK487" s="239"/>
      <c r="AL487" s="239"/>
      <c r="AM487" s="239"/>
      <c r="AN487" s="239"/>
      <c r="AO487" s="239"/>
      <c r="AP487" s="239"/>
      <c r="AQ487" s="239"/>
      <c r="AR487" s="239"/>
      <c r="AS487" s="239"/>
      <c r="AT487" s="239"/>
      <c r="AU487" s="239"/>
      <c r="AV487" s="239"/>
      <c r="AW487" s="239"/>
      <c r="AX487" s="239"/>
      <c r="AY487" s="239"/>
      <c r="AZ487" s="239"/>
      <c r="BA487" s="239"/>
      <c r="BB487" s="239"/>
      <c r="BC487" s="239"/>
      <c r="BD487" s="239"/>
      <c r="BE487" s="239"/>
      <c r="BF487" s="239"/>
      <c r="BG487" s="239"/>
      <c r="BH487" s="239"/>
      <c r="BI487" s="239"/>
      <c r="BJ487" s="241"/>
      <c r="BK487" s="239"/>
      <c r="BL487" s="239"/>
      <c r="BM487" s="239"/>
      <c r="BN487" s="239"/>
      <c r="BO487" s="239"/>
      <c r="BP487" s="239"/>
      <c r="BQ487" s="239"/>
      <c r="BR487" s="239"/>
      <c r="BS487" s="239"/>
      <c r="BT487" s="239"/>
      <c r="BU487" s="239"/>
      <c r="BV487" s="239"/>
      <c r="BW487" s="197"/>
    </row>
    <row r="488" spans="1:75" s="123" customFormat="1" hidden="1" outlineLevel="2" x14ac:dyDescent="0.5">
      <c r="A488" s="752" t="s">
        <v>1961</v>
      </c>
      <c r="B488" s="489"/>
      <c r="C488" s="401"/>
      <c r="D488" s="401"/>
      <c r="E488" s="401"/>
      <c r="F488" s="401"/>
      <c r="G488" s="118"/>
      <c r="H488" s="118"/>
      <c r="I488" s="118"/>
      <c r="J488" s="118"/>
      <c r="K488" s="401"/>
      <c r="L488" s="118"/>
      <c r="M488" s="118"/>
      <c r="N488" s="118"/>
      <c r="O488" s="118"/>
      <c r="P488" s="401"/>
      <c r="Q488" s="118"/>
      <c r="R488" s="118"/>
      <c r="S488" s="118"/>
      <c r="T488" s="118"/>
      <c r="U488" s="401"/>
      <c r="V488" s="118"/>
      <c r="W488" s="118"/>
      <c r="X488" s="118"/>
      <c r="Y488" s="118"/>
      <c r="Z488" s="401"/>
      <c r="AA488" s="118"/>
      <c r="AB488" s="118"/>
      <c r="AC488" s="118"/>
      <c r="AD488" s="118"/>
      <c r="AE488" s="401"/>
      <c r="AF488" s="118"/>
      <c r="AG488" s="118"/>
      <c r="AH488" s="118"/>
      <c r="AI488" s="118"/>
      <c r="AJ488" s="401"/>
      <c r="AK488" s="118"/>
      <c r="AL488" s="118"/>
      <c r="AM488" s="118"/>
      <c r="AN488" s="118"/>
      <c r="AO488" s="401">
        <f>AT488/(1+AT489)</f>
        <v>313.04347826086956</v>
      </c>
      <c r="AP488" s="118">
        <f t="shared" ref="AP488:AQ488" si="865">AU488/(1+AU489)</f>
        <v>37.735849056603776</v>
      </c>
      <c r="AQ488" s="118">
        <f t="shared" si="865"/>
        <v>80</v>
      </c>
      <c r="AR488" s="302">
        <v>100</v>
      </c>
      <c r="AS488" s="118"/>
      <c r="AT488" s="403">
        <v>360</v>
      </c>
      <c r="AU488" s="302">
        <v>100</v>
      </c>
      <c r="AV488" s="302">
        <v>180</v>
      </c>
      <c r="AW488" s="302">
        <v>200</v>
      </c>
      <c r="AX488" s="118"/>
      <c r="AY488" s="401"/>
      <c r="AZ488" s="118"/>
      <c r="BA488" s="118"/>
      <c r="BB488" s="118"/>
      <c r="BC488" s="118"/>
      <c r="BD488" s="401"/>
      <c r="BE488" s="118"/>
      <c r="BF488" s="118"/>
      <c r="BG488" s="118"/>
      <c r="BH488" s="118"/>
      <c r="BI488" s="401"/>
      <c r="BJ488" s="971"/>
      <c r="BK488" s="118"/>
      <c r="BL488" s="118"/>
      <c r="BM488" s="118"/>
      <c r="BN488" s="401"/>
      <c r="BO488" s="118"/>
      <c r="BP488" s="118"/>
      <c r="BQ488" s="118"/>
      <c r="BR488" s="118"/>
      <c r="BS488" s="401"/>
      <c r="BT488" s="401"/>
      <c r="BU488" s="401"/>
      <c r="BV488" s="401"/>
      <c r="BW488" s="122"/>
    </row>
    <row r="489" spans="1:75" s="177" customFormat="1" ht="14.25" hidden="1" outlineLevel="2" x14ac:dyDescent="0.45">
      <c r="A489" s="170" t="s">
        <v>1962</v>
      </c>
      <c r="B489" s="491"/>
      <c r="C489" s="417"/>
      <c r="D489" s="417"/>
      <c r="E489" s="417"/>
      <c r="F489" s="417"/>
      <c r="G489" s="378"/>
      <c r="H489" s="378"/>
      <c r="I489" s="378"/>
      <c r="J489" s="378"/>
      <c r="K489" s="417"/>
      <c r="L489" s="378"/>
      <c r="M489" s="378"/>
      <c r="N489" s="378"/>
      <c r="O489" s="378"/>
      <c r="P489" s="417"/>
      <c r="Q489" s="378"/>
      <c r="R489" s="378"/>
      <c r="S489" s="378"/>
      <c r="T489" s="378"/>
      <c r="U489" s="417"/>
      <c r="V489" s="378"/>
      <c r="W489" s="378"/>
      <c r="X489" s="378"/>
      <c r="Y489" s="378"/>
      <c r="Z489" s="417"/>
      <c r="AA489" s="378"/>
      <c r="AB489" s="378"/>
      <c r="AC489" s="378"/>
      <c r="AD489" s="378"/>
      <c r="AE489" s="417"/>
      <c r="AF489" s="378"/>
      <c r="AG489" s="378"/>
      <c r="AH489" s="378"/>
      <c r="AI489" s="378"/>
      <c r="AJ489" s="417"/>
      <c r="AK489" s="378"/>
      <c r="AL489" s="378"/>
      <c r="AM489" s="378"/>
      <c r="AN489" s="378"/>
      <c r="AO489" s="417"/>
      <c r="AP489" s="378"/>
      <c r="AQ489" s="378"/>
      <c r="AR489" s="378"/>
      <c r="AS489" s="378"/>
      <c r="AT489" s="767">
        <v>0.15</v>
      </c>
      <c r="AU489" s="766">
        <v>1.65</v>
      </c>
      <c r="AV489" s="766">
        <v>1.25</v>
      </c>
      <c r="AW489" s="766">
        <v>1</v>
      </c>
      <c r="AX489" s="378"/>
      <c r="AY489" s="417"/>
      <c r="AZ489" s="378"/>
      <c r="BA489" s="378"/>
      <c r="BB489" s="378"/>
      <c r="BC489" s="378"/>
      <c r="BD489" s="417"/>
      <c r="BE489" s="378"/>
      <c r="BF489" s="378"/>
      <c r="BG489" s="378"/>
      <c r="BH489" s="378"/>
      <c r="BI489" s="417"/>
      <c r="BJ489" s="1130"/>
      <c r="BK489" s="378"/>
      <c r="BL489" s="378"/>
      <c r="BM489" s="378"/>
      <c r="BN489" s="417"/>
      <c r="BO489" s="378"/>
      <c r="BP489" s="378"/>
      <c r="BQ489" s="378"/>
      <c r="BR489" s="378"/>
      <c r="BS489" s="417"/>
      <c r="BT489" s="417"/>
      <c r="BU489" s="417"/>
      <c r="BV489" s="417"/>
      <c r="BW489" s="176"/>
    </row>
    <row r="490" spans="1:75" s="177" customFormat="1" ht="14.25" hidden="1" outlineLevel="2" x14ac:dyDescent="0.45">
      <c r="A490" s="170" t="s">
        <v>1963</v>
      </c>
      <c r="B490" s="491"/>
      <c r="C490" s="417"/>
      <c r="D490" s="417"/>
      <c r="E490" s="417"/>
      <c r="F490" s="417"/>
      <c r="G490" s="378"/>
      <c r="H490" s="378"/>
      <c r="I490" s="378"/>
      <c r="J490" s="378"/>
      <c r="K490" s="417"/>
      <c r="L490" s="378"/>
      <c r="M490" s="378"/>
      <c r="N490" s="378"/>
      <c r="O490" s="378"/>
      <c r="P490" s="417"/>
      <c r="Q490" s="378"/>
      <c r="R490" s="378"/>
      <c r="S490" s="378"/>
      <c r="T490" s="378"/>
      <c r="U490" s="417"/>
      <c r="V490" s="378"/>
      <c r="W490" s="378"/>
      <c r="X490" s="378"/>
      <c r="Y490" s="378"/>
      <c r="Z490" s="417"/>
      <c r="AA490" s="378"/>
      <c r="AB490" s="378"/>
      <c r="AC490" s="378"/>
      <c r="AD490" s="378"/>
      <c r="AE490" s="417"/>
      <c r="AF490" s="378"/>
      <c r="AG490" s="378"/>
      <c r="AH490" s="378"/>
      <c r="AI490" s="378"/>
      <c r="AJ490" s="417"/>
      <c r="AK490" s="378"/>
      <c r="AL490" s="766">
        <v>0.01</v>
      </c>
      <c r="AM490" s="766">
        <v>0.01</v>
      </c>
      <c r="AN490" s="378"/>
      <c r="AO490" s="417"/>
      <c r="AP490" s="378"/>
      <c r="AQ490" s="378"/>
      <c r="AR490" s="378"/>
      <c r="AS490" s="378"/>
      <c r="AT490" s="767">
        <v>1.4E-2</v>
      </c>
      <c r="AU490" s="378"/>
      <c r="AV490" s="378"/>
      <c r="AW490" s="378"/>
      <c r="AX490" s="378"/>
      <c r="AY490" s="767">
        <v>0.05</v>
      </c>
      <c r="AZ490" s="378"/>
      <c r="BA490" s="378"/>
      <c r="BB490" s="378"/>
      <c r="BC490" s="378"/>
      <c r="BD490" s="417"/>
      <c r="BE490" s="378"/>
      <c r="BF490" s="378"/>
      <c r="BG490" s="378"/>
      <c r="BH490" s="378"/>
      <c r="BI490" s="417"/>
      <c r="BJ490" s="1130"/>
      <c r="BK490" s="378"/>
      <c r="BL490" s="378"/>
      <c r="BM490" s="378"/>
      <c r="BN490" s="417"/>
      <c r="BO490" s="378"/>
      <c r="BP490" s="378"/>
      <c r="BQ490" s="378"/>
      <c r="BR490" s="378"/>
      <c r="BS490" s="417"/>
      <c r="BT490" s="417"/>
      <c r="BU490" s="417"/>
      <c r="BV490" s="417"/>
      <c r="BW490" s="176"/>
    </row>
    <row r="491" spans="1:75" s="123" customFormat="1" hidden="1" outlineLevel="2" x14ac:dyDescent="0.5">
      <c r="A491" s="752"/>
      <c r="B491" s="489"/>
      <c r="C491" s="401"/>
      <c r="D491" s="401"/>
      <c r="E491" s="401"/>
      <c r="F491" s="401"/>
      <c r="G491" s="118"/>
      <c r="H491" s="118"/>
      <c r="I491" s="118"/>
      <c r="J491" s="118"/>
      <c r="K491" s="401"/>
      <c r="L491" s="118"/>
      <c r="M491" s="118"/>
      <c r="N491" s="118"/>
      <c r="O491" s="118"/>
      <c r="P491" s="401"/>
      <c r="Q491" s="118"/>
      <c r="R491" s="118"/>
      <c r="S491" s="118"/>
      <c r="T491" s="118"/>
      <c r="U491" s="401"/>
      <c r="V491" s="118"/>
      <c r="W491" s="118"/>
      <c r="X491" s="118"/>
      <c r="Y491" s="118"/>
      <c r="Z491" s="401"/>
      <c r="AA491" s="118"/>
      <c r="AB491" s="118"/>
      <c r="AC491" s="118"/>
      <c r="AD491" s="118"/>
      <c r="AE491" s="401"/>
      <c r="AF491" s="118"/>
      <c r="AG491" s="118"/>
      <c r="AH491" s="118"/>
      <c r="AI491" s="118"/>
      <c r="AJ491" s="401"/>
      <c r="AK491" s="118"/>
      <c r="AL491" s="118"/>
      <c r="AM491" s="118"/>
      <c r="AN491" s="118"/>
      <c r="AO491" s="401"/>
      <c r="AP491" s="118"/>
      <c r="AQ491" s="118"/>
      <c r="AR491" s="118"/>
      <c r="AS491" s="118"/>
      <c r="AT491" s="401"/>
      <c r="AU491" s="118"/>
      <c r="AV491" s="118"/>
      <c r="AW491" s="118"/>
      <c r="AX491" s="118"/>
      <c r="AY491" s="401"/>
      <c r="AZ491" s="118"/>
      <c r="BA491" s="118"/>
      <c r="BB491" s="118"/>
      <c r="BC491" s="118"/>
      <c r="BD491" s="401"/>
      <c r="BE491" s="118"/>
      <c r="BF491" s="118"/>
      <c r="BG491" s="118"/>
      <c r="BH491" s="118"/>
      <c r="BI491" s="401"/>
      <c r="BJ491" s="971"/>
      <c r="BK491" s="118"/>
      <c r="BL491" s="118"/>
      <c r="BM491" s="118"/>
      <c r="BN491" s="401"/>
      <c r="BO491" s="118"/>
      <c r="BP491" s="118"/>
      <c r="BQ491" s="118"/>
      <c r="BR491" s="118"/>
      <c r="BS491" s="401"/>
      <c r="BT491" s="401"/>
      <c r="BU491" s="401"/>
      <c r="BV491" s="401"/>
      <c r="BW491" s="122"/>
    </row>
    <row r="492" spans="1:75" s="123" customFormat="1" hidden="1" outlineLevel="2" x14ac:dyDescent="0.5">
      <c r="A492" s="752" t="s">
        <v>1964</v>
      </c>
      <c r="B492" s="489"/>
      <c r="C492" s="401"/>
      <c r="D492" s="401"/>
      <c r="E492" s="401"/>
      <c r="F492" s="401"/>
      <c r="G492" s="118"/>
      <c r="H492" s="118"/>
      <c r="I492" s="118"/>
      <c r="J492" s="118"/>
      <c r="K492" s="401"/>
      <c r="L492" s="118"/>
      <c r="M492" s="118"/>
      <c r="N492" s="118"/>
      <c r="O492" s="118"/>
      <c r="P492" s="401"/>
      <c r="Q492" s="118"/>
      <c r="R492" s="118"/>
      <c r="S492" s="118"/>
      <c r="T492" s="118"/>
      <c r="U492" s="401"/>
      <c r="V492" s="118"/>
      <c r="W492" s="118"/>
      <c r="X492" s="118"/>
      <c r="Y492" s="118"/>
      <c r="Z492" s="401"/>
      <c r="AA492" s="118"/>
      <c r="AB492" s="118"/>
      <c r="AC492" s="118"/>
      <c r="AD492" s="118"/>
      <c r="AE492" s="401"/>
      <c r="AF492" s="118"/>
      <c r="AG492" s="118"/>
      <c r="AH492" s="118"/>
      <c r="AI492" s="118"/>
      <c r="AJ492" s="401"/>
      <c r="AK492" s="118"/>
      <c r="AL492" s="118"/>
      <c r="AM492" s="118"/>
      <c r="AN492" s="118"/>
      <c r="AO492" s="401"/>
      <c r="AP492" s="118"/>
      <c r="AQ492" s="118"/>
      <c r="AR492" s="118"/>
      <c r="AS492" s="118"/>
      <c r="AT492" s="401">
        <f t="shared" ref="AT492:AU492" si="866">AY492/(1+AY493)</f>
        <v>358.85167464114835</v>
      </c>
      <c r="AU492" s="118">
        <f t="shared" si="866"/>
        <v>163.3986928104575</v>
      </c>
      <c r="AV492" s="118"/>
      <c r="AW492" s="118">
        <f>30/BB493</f>
        <v>176.47058823529412</v>
      </c>
      <c r="AX492" s="118"/>
      <c r="AY492" s="403">
        <v>750</v>
      </c>
      <c r="AZ492" s="302">
        <v>250</v>
      </c>
      <c r="BA492" s="118"/>
      <c r="BB492" s="118">
        <f>AW492*(1+BB493)</f>
        <v>206.47058823529412</v>
      </c>
      <c r="BC492" s="118"/>
      <c r="BD492" s="401">
        <f t="shared" ref="BD492:BE492" si="867">AY492*(1+BD493)</f>
        <v>952.5</v>
      </c>
      <c r="BE492" s="118">
        <f t="shared" si="867"/>
        <v>232.49999999999997</v>
      </c>
      <c r="BF492" s="118"/>
      <c r="BG492" s="118">
        <f>BB492*(1+BG493)</f>
        <v>209.5676470588235</v>
      </c>
      <c r="BH492" s="118"/>
      <c r="BI492" s="401">
        <f t="shared" ref="BI492:BJ492" si="868">BD492*(1+BI493)</f>
        <v>962.02499999999998</v>
      </c>
      <c r="BJ492" s="971">
        <f t="shared" si="868"/>
        <v>255.75</v>
      </c>
      <c r="BK492" s="118"/>
      <c r="BL492" s="118"/>
      <c r="BM492" s="118"/>
      <c r="BN492" s="401"/>
      <c r="BO492" s="118"/>
      <c r="BP492" s="118"/>
      <c r="BQ492" s="118"/>
      <c r="BR492" s="118"/>
      <c r="BS492" s="401"/>
      <c r="BT492" s="401"/>
      <c r="BU492" s="401"/>
      <c r="BV492" s="401"/>
      <c r="BW492" s="122"/>
    </row>
    <row r="493" spans="1:75" s="177" customFormat="1" ht="14.25" hidden="1" outlineLevel="2" x14ac:dyDescent="0.45">
      <c r="A493" s="170" t="s">
        <v>1965</v>
      </c>
      <c r="B493" s="491"/>
      <c r="C493" s="417"/>
      <c r="D493" s="417"/>
      <c r="E493" s="417"/>
      <c r="F493" s="417"/>
      <c r="G493" s="378"/>
      <c r="H493" s="378"/>
      <c r="I493" s="378"/>
      <c r="J493" s="378"/>
      <c r="K493" s="417"/>
      <c r="L493" s="378"/>
      <c r="M493" s="378"/>
      <c r="N493" s="378"/>
      <c r="O493" s="378"/>
      <c r="P493" s="417"/>
      <c r="Q493" s="378"/>
      <c r="R493" s="378"/>
      <c r="S493" s="378"/>
      <c r="T493" s="378"/>
      <c r="U493" s="417"/>
      <c r="V493" s="378"/>
      <c r="W493" s="378"/>
      <c r="X493" s="378"/>
      <c r="Y493" s="378"/>
      <c r="Z493" s="417"/>
      <c r="AA493" s="378"/>
      <c r="AB493" s="378"/>
      <c r="AC493" s="378"/>
      <c r="AD493" s="378"/>
      <c r="AE493" s="417"/>
      <c r="AF493" s="378"/>
      <c r="AG493" s="378"/>
      <c r="AH493" s="378"/>
      <c r="AI493" s="378"/>
      <c r="AJ493" s="417"/>
      <c r="AK493" s="378"/>
      <c r="AL493" s="378"/>
      <c r="AM493" s="378"/>
      <c r="AN493" s="378"/>
      <c r="AO493" s="417"/>
      <c r="AP493" s="378"/>
      <c r="AQ493" s="378"/>
      <c r="AR493" s="378"/>
      <c r="AS493" s="378"/>
      <c r="AT493" s="417"/>
      <c r="AU493" s="378"/>
      <c r="AV493" s="378"/>
      <c r="AW493" s="378"/>
      <c r="AX493" s="378"/>
      <c r="AY493" s="767">
        <v>1.0900000000000001</v>
      </c>
      <c r="AZ493" s="766">
        <v>0.53</v>
      </c>
      <c r="BA493" s="766">
        <v>0.32</v>
      </c>
      <c r="BB493" s="766">
        <v>0.17</v>
      </c>
      <c r="BC493" s="378"/>
      <c r="BD493" s="767">
        <v>0.27</v>
      </c>
      <c r="BE493" s="766">
        <v>-7.0000000000000007E-2</v>
      </c>
      <c r="BF493" s="766">
        <v>-0.05</v>
      </c>
      <c r="BG493" s="766">
        <v>1.4999999999999999E-2</v>
      </c>
      <c r="BH493" s="766">
        <v>0.05</v>
      </c>
      <c r="BI493" s="767">
        <v>0.01</v>
      </c>
      <c r="BJ493" s="1249">
        <v>0.1</v>
      </c>
      <c r="BK493" s="378"/>
      <c r="BL493" s="378"/>
      <c r="BM493" s="378"/>
      <c r="BN493" s="417"/>
      <c r="BO493" s="378"/>
      <c r="BP493" s="378"/>
      <c r="BQ493" s="378"/>
      <c r="BR493" s="378"/>
      <c r="BS493" s="417"/>
      <c r="BT493" s="417"/>
      <c r="BU493" s="417"/>
      <c r="BV493" s="417"/>
      <c r="BW493" s="176"/>
    </row>
    <row r="494" spans="1:75" s="177" customFormat="1" ht="14.25" hidden="1" outlineLevel="2" x14ac:dyDescent="0.45">
      <c r="A494" s="170" t="s">
        <v>1966</v>
      </c>
      <c r="B494" s="491"/>
      <c r="C494" s="417"/>
      <c r="D494" s="417"/>
      <c r="E494" s="417"/>
      <c r="F494" s="417"/>
      <c r="G494" s="378"/>
      <c r="H494" s="378"/>
      <c r="I494" s="378"/>
      <c r="J494" s="378"/>
      <c r="K494" s="417"/>
      <c r="L494" s="378"/>
      <c r="M494" s="378"/>
      <c r="N494" s="378"/>
      <c r="O494" s="378"/>
      <c r="P494" s="417"/>
      <c r="Q494" s="378"/>
      <c r="R494" s="378"/>
      <c r="S494" s="378"/>
      <c r="T494" s="378"/>
      <c r="U494" s="417"/>
      <c r="V494" s="378"/>
      <c r="W494" s="378"/>
      <c r="X494" s="378"/>
      <c r="Y494" s="378"/>
      <c r="Z494" s="417"/>
      <c r="AA494" s="378"/>
      <c r="AB494" s="378"/>
      <c r="AC494" s="378"/>
      <c r="AD494" s="378"/>
      <c r="AE494" s="417"/>
      <c r="AF494" s="378"/>
      <c r="AG494" s="378"/>
      <c r="AH494" s="378"/>
      <c r="AI494" s="378"/>
      <c r="AJ494" s="417"/>
      <c r="AK494" s="378"/>
      <c r="AL494" s="378"/>
      <c r="AM494" s="378"/>
      <c r="AN494" s="378"/>
      <c r="AO494" s="417"/>
      <c r="AP494" s="378"/>
      <c r="AQ494" s="378"/>
      <c r="AR494" s="378"/>
      <c r="AS494" s="378"/>
      <c r="AT494" s="417"/>
      <c r="AU494" s="378"/>
      <c r="AV494" s="378"/>
      <c r="AW494" s="378"/>
      <c r="AX494" s="378"/>
      <c r="AY494" s="417"/>
      <c r="AZ494" s="378"/>
      <c r="BA494" s="378"/>
      <c r="BB494" s="378"/>
      <c r="BC494" s="378"/>
      <c r="BD494" s="417"/>
      <c r="BE494" s="378"/>
      <c r="BF494" s="766">
        <v>0.23</v>
      </c>
      <c r="BG494" s="766">
        <v>0.3</v>
      </c>
      <c r="BH494" s="378"/>
      <c r="BI494" s="767">
        <v>0.31</v>
      </c>
      <c r="BJ494" s="1249">
        <v>0.18</v>
      </c>
      <c r="BK494" s="378"/>
      <c r="BL494" s="378"/>
      <c r="BM494" s="378"/>
      <c r="BN494" s="417"/>
      <c r="BO494" s="378"/>
      <c r="BP494" s="378"/>
      <c r="BQ494" s="378"/>
      <c r="BR494" s="378"/>
      <c r="BS494" s="417"/>
      <c r="BT494" s="417"/>
      <c r="BU494" s="417"/>
      <c r="BV494" s="417"/>
      <c r="BW494" s="176"/>
    </row>
    <row r="495" spans="1:75" s="123" customFormat="1" hidden="1" outlineLevel="1" collapsed="1" x14ac:dyDescent="0.5">
      <c r="A495" s="752"/>
      <c r="B495" s="489"/>
      <c r="C495" s="401"/>
      <c r="D495" s="401"/>
      <c r="E495" s="401"/>
      <c r="F495" s="401"/>
      <c r="G495" s="118"/>
      <c r="H495" s="118"/>
      <c r="I495" s="118"/>
      <c r="J495" s="118"/>
      <c r="K495" s="401"/>
      <c r="L495" s="118"/>
      <c r="M495" s="118"/>
      <c r="N495" s="118"/>
      <c r="O495" s="118"/>
      <c r="P495" s="401"/>
      <c r="Q495" s="118"/>
      <c r="R495" s="118"/>
      <c r="S495" s="118"/>
      <c r="T495" s="118"/>
      <c r="U495" s="401"/>
      <c r="V495" s="118"/>
      <c r="W495" s="118"/>
      <c r="X495" s="118"/>
      <c r="Y495" s="118"/>
      <c r="Z495" s="401"/>
      <c r="AA495" s="118"/>
      <c r="AB495" s="118"/>
      <c r="AC495" s="118"/>
      <c r="AD495" s="118"/>
      <c r="AE495" s="401"/>
      <c r="AF495" s="118"/>
      <c r="AG495" s="118"/>
      <c r="AH495" s="118"/>
      <c r="AI495" s="118"/>
      <c r="AJ495" s="401"/>
      <c r="AK495" s="118"/>
      <c r="AL495" s="118"/>
      <c r="AM495" s="118"/>
      <c r="AN495" s="118"/>
      <c r="AO495" s="401"/>
      <c r="AP495" s="118"/>
      <c r="AQ495" s="118"/>
      <c r="AR495" s="118"/>
      <c r="AS495" s="118"/>
      <c r="AT495" s="401"/>
      <c r="AU495" s="118"/>
      <c r="AV495" s="118"/>
      <c r="AW495" s="118"/>
      <c r="AX495" s="118"/>
      <c r="AY495" s="401"/>
      <c r="AZ495" s="118"/>
      <c r="BA495" s="118"/>
      <c r="BB495" s="118"/>
      <c r="BC495" s="118"/>
      <c r="BD495" s="401"/>
      <c r="BE495" s="118"/>
      <c r="BF495" s="118"/>
      <c r="BG495" s="118"/>
      <c r="BH495" s="118"/>
      <c r="BI495" s="401"/>
      <c r="BJ495" s="971"/>
      <c r="BK495" s="118"/>
      <c r="BL495" s="118"/>
      <c r="BM495" s="118"/>
      <c r="BN495" s="401"/>
      <c r="BO495" s="118"/>
      <c r="BP495" s="118"/>
      <c r="BQ495" s="118"/>
      <c r="BR495" s="118"/>
      <c r="BS495" s="401"/>
      <c r="BT495" s="401"/>
      <c r="BU495" s="401"/>
      <c r="BV495" s="401"/>
      <c r="BW495" s="122"/>
    </row>
    <row r="496" spans="1:75" s="198" customFormat="1" ht="14.25" hidden="1" outlineLevel="1" x14ac:dyDescent="0.45">
      <c r="A496" s="239" t="s">
        <v>1967</v>
      </c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  <c r="AA496" s="239"/>
      <c r="AB496" s="239"/>
      <c r="AC496" s="239"/>
      <c r="AD496" s="239"/>
      <c r="AE496" s="239"/>
      <c r="AF496" s="239"/>
      <c r="AG496" s="239"/>
      <c r="AH496" s="239"/>
      <c r="AI496" s="239"/>
      <c r="AJ496" s="239"/>
      <c r="AK496" s="239"/>
      <c r="AL496" s="239"/>
      <c r="AM496" s="239"/>
      <c r="AN496" s="239"/>
      <c r="AO496" s="239"/>
      <c r="AP496" s="239"/>
      <c r="AQ496" s="239"/>
      <c r="AR496" s="239"/>
      <c r="AS496" s="239"/>
      <c r="AT496" s="239"/>
      <c r="AU496" s="239"/>
      <c r="AV496" s="239"/>
      <c r="AW496" s="239"/>
      <c r="AX496" s="239"/>
      <c r="AY496" s="239"/>
      <c r="AZ496" s="239"/>
      <c r="BA496" s="239"/>
      <c r="BB496" s="239"/>
      <c r="BC496" s="239"/>
      <c r="BD496" s="239"/>
      <c r="BE496" s="239"/>
      <c r="BF496" s="239"/>
      <c r="BG496" s="239"/>
      <c r="BH496" s="239"/>
      <c r="BI496" s="239"/>
      <c r="BJ496" s="241"/>
      <c r="BK496" s="239"/>
      <c r="BL496" s="239"/>
      <c r="BM496" s="239"/>
      <c r="BN496" s="239"/>
      <c r="BO496" s="239"/>
      <c r="BP496" s="239"/>
      <c r="BQ496" s="239"/>
      <c r="BR496" s="239"/>
      <c r="BS496" s="239"/>
      <c r="BT496" s="239"/>
      <c r="BU496" s="239"/>
      <c r="BV496" s="239"/>
      <c r="BW496" s="197"/>
    </row>
    <row r="497" spans="1:75" s="224" customFormat="1" hidden="1" outlineLevel="2" x14ac:dyDescent="0.5">
      <c r="A497" s="218" t="s">
        <v>1968</v>
      </c>
      <c r="B497" s="494"/>
      <c r="C497" s="427">
        <v>6100</v>
      </c>
      <c r="D497" s="427">
        <v>6200</v>
      </c>
      <c r="E497" s="427">
        <v>6700</v>
      </c>
      <c r="F497" s="427">
        <v>7200</v>
      </c>
      <c r="G497" s="487"/>
      <c r="H497" s="487"/>
      <c r="I497" s="487"/>
      <c r="J497" s="487"/>
      <c r="K497" s="427">
        <v>7800</v>
      </c>
      <c r="L497" s="487"/>
      <c r="M497" s="487"/>
      <c r="N497" s="487"/>
      <c r="O497" s="487"/>
      <c r="P497" s="427">
        <v>8700</v>
      </c>
      <c r="Q497" s="487"/>
      <c r="R497" s="487"/>
      <c r="S497" s="487"/>
      <c r="T497" s="487"/>
      <c r="U497" s="427">
        <v>11600</v>
      </c>
      <c r="V497" s="487"/>
      <c r="W497" s="487"/>
      <c r="X497" s="487"/>
      <c r="Y497" s="487"/>
      <c r="Z497" s="427">
        <v>10500</v>
      </c>
      <c r="AA497" s="487"/>
      <c r="AB497" s="487"/>
      <c r="AC497" s="487"/>
      <c r="AD497" s="487"/>
      <c r="AE497" s="427">
        <v>10900</v>
      </c>
      <c r="AF497" s="487"/>
      <c r="AG497" s="487"/>
      <c r="AH497" s="487"/>
      <c r="AI497" s="487"/>
      <c r="AJ497" s="427">
        <v>11400</v>
      </c>
      <c r="AK497" s="487"/>
      <c r="AL497" s="487"/>
      <c r="AM497" s="487"/>
      <c r="AN497" s="487"/>
      <c r="AO497" s="427">
        <v>11600</v>
      </c>
      <c r="AP497" s="487"/>
      <c r="AQ497" s="487"/>
      <c r="AR497" s="487"/>
      <c r="AS497" s="487"/>
      <c r="AT497" s="427">
        <v>12200</v>
      </c>
      <c r="AU497" s="487"/>
      <c r="AV497" s="487"/>
      <c r="AW497" s="487"/>
      <c r="AX497" s="487"/>
      <c r="AY497" s="427">
        <v>12200</v>
      </c>
      <c r="AZ497" s="487"/>
      <c r="BA497" s="487"/>
      <c r="BB497" s="487"/>
      <c r="BC497" s="487"/>
      <c r="BD497" s="427">
        <v>12500</v>
      </c>
      <c r="BE497" s="487"/>
      <c r="BF497" s="487"/>
      <c r="BG497" s="487"/>
      <c r="BH497" s="487"/>
      <c r="BI497" s="427">
        <v>10700</v>
      </c>
      <c r="BJ497" s="981"/>
      <c r="BK497" s="487"/>
      <c r="BL497" s="487"/>
      <c r="BM497" s="487"/>
      <c r="BN497" s="425"/>
      <c r="BO497" s="487"/>
      <c r="BP497" s="487"/>
      <c r="BQ497" s="487"/>
      <c r="BR497" s="487"/>
      <c r="BS497" s="425"/>
      <c r="BT497" s="425"/>
      <c r="BU497" s="425"/>
      <c r="BV497" s="425"/>
      <c r="BW497" s="223"/>
    </row>
    <row r="498" spans="1:75" s="224" customFormat="1" hidden="1" outlineLevel="2" x14ac:dyDescent="0.5">
      <c r="A498" s="218" t="s">
        <v>1969</v>
      </c>
      <c r="B498" s="494"/>
      <c r="C498" s="425">
        <f>C499-C497</f>
        <v>19900</v>
      </c>
      <c r="D498" s="425">
        <f>D499-D497</f>
        <v>21800</v>
      </c>
      <c r="E498" s="425">
        <f>E499-E497</f>
        <v>20200</v>
      </c>
      <c r="F498" s="425">
        <f>F499-F497</f>
        <v>19600</v>
      </c>
      <c r="G498" s="487"/>
      <c r="H498" s="487"/>
      <c r="I498" s="487"/>
      <c r="J498" s="487"/>
      <c r="K498" s="425">
        <f>K499-K497</f>
        <v>20300</v>
      </c>
      <c r="L498" s="487"/>
      <c r="M498" s="487"/>
      <c r="N498" s="487"/>
      <c r="O498" s="487"/>
      <c r="P498" s="425">
        <f>P499-P497</f>
        <v>18100</v>
      </c>
      <c r="Q498" s="487"/>
      <c r="R498" s="487"/>
      <c r="S498" s="487"/>
      <c r="T498" s="487"/>
      <c r="U498" s="425">
        <f>U499-U497</f>
        <v>16500</v>
      </c>
      <c r="V498" s="487"/>
      <c r="W498" s="487"/>
      <c r="X498" s="487"/>
      <c r="Y498" s="487"/>
      <c r="Z498" s="425">
        <f>Z499-Z497</f>
        <v>17800</v>
      </c>
      <c r="AA498" s="487"/>
      <c r="AB498" s="487"/>
      <c r="AC498" s="487"/>
      <c r="AD498" s="487"/>
      <c r="AE498" s="425">
        <f>AE499-AE497</f>
        <v>16900</v>
      </c>
      <c r="AF498" s="487"/>
      <c r="AG498" s="487"/>
      <c r="AH498" s="487"/>
      <c r="AI498" s="487"/>
      <c r="AJ498" s="425">
        <f>AJ499-AJ497</f>
        <v>16800</v>
      </c>
      <c r="AK498" s="487"/>
      <c r="AL498" s="487"/>
      <c r="AM498" s="487"/>
      <c r="AN498" s="487"/>
      <c r="AO498" s="425">
        <f>AO499-AO497</f>
        <v>15400</v>
      </c>
      <c r="AP498" s="487"/>
      <c r="AQ498" s="487"/>
      <c r="AR498" s="487"/>
      <c r="AS498" s="487"/>
      <c r="AT498" s="425">
        <f>AT499-AT497</f>
        <v>8800</v>
      </c>
      <c r="AU498" s="487"/>
      <c r="AV498" s="487"/>
      <c r="AW498" s="487"/>
      <c r="AX498" s="487"/>
      <c r="AY498" s="425">
        <f>AY499-AY497</f>
        <v>8800</v>
      </c>
      <c r="AZ498" s="487"/>
      <c r="BA498" s="487"/>
      <c r="BB498" s="487"/>
      <c r="BC498" s="487"/>
      <c r="BD498" s="425">
        <f>BD499-BD497</f>
        <v>8600</v>
      </c>
      <c r="BE498" s="487"/>
      <c r="BF498" s="487"/>
      <c r="BG498" s="487"/>
      <c r="BH498" s="487"/>
      <c r="BI498" s="425">
        <f>BI499-BI497</f>
        <v>8600</v>
      </c>
      <c r="BJ498" s="981"/>
      <c r="BK498" s="487"/>
      <c r="BL498" s="487"/>
      <c r="BM498" s="487"/>
      <c r="BN498" s="425"/>
      <c r="BO498" s="487"/>
      <c r="BP498" s="487"/>
      <c r="BQ498" s="487"/>
      <c r="BR498" s="487"/>
      <c r="BS498" s="425"/>
      <c r="BT498" s="425"/>
      <c r="BU498" s="425"/>
      <c r="BV498" s="425"/>
      <c r="BW498" s="223"/>
    </row>
    <row r="499" spans="1:75" s="169" customFormat="1" ht="14.25" hidden="1" outlineLevel="2" x14ac:dyDescent="0.45">
      <c r="A499" s="360" t="s">
        <v>1970</v>
      </c>
      <c r="B499" s="1127"/>
      <c r="C499" s="1234">
        <v>26000</v>
      </c>
      <c r="D499" s="1234">
        <v>28000</v>
      </c>
      <c r="E499" s="1234">
        <v>26900</v>
      </c>
      <c r="F499" s="1234">
        <v>26800</v>
      </c>
      <c r="G499" s="287"/>
      <c r="H499" s="287"/>
      <c r="I499" s="287"/>
      <c r="J499" s="287"/>
      <c r="K499" s="1234">
        <v>28100</v>
      </c>
      <c r="L499" s="287"/>
      <c r="M499" s="287"/>
      <c r="N499" s="287"/>
      <c r="O499" s="287"/>
      <c r="P499" s="1234">
        <v>26800</v>
      </c>
      <c r="Q499" s="287"/>
      <c r="R499" s="287"/>
      <c r="S499" s="287"/>
      <c r="T499" s="287"/>
      <c r="U499" s="1234">
        <v>28100</v>
      </c>
      <c r="V499" s="287"/>
      <c r="W499" s="287"/>
      <c r="X499" s="287"/>
      <c r="Y499" s="287"/>
      <c r="Z499" s="1234">
        <v>28300</v>
      </c>
      <c r="AA499" s="287"/>
      <c r="AB499" s="287"/>
      <c r="AC499" s="287"/>
      <c r="AD499" s="287"/>
      <c r="AE499" s="1234">
        <v>27800</v>
      </c>
      <c r="AF499" s="287"/>
      <c r="AG499" s="287"/>
      <c r="AH499" s="287"/>
      <c r="AI499" s="287"/>
      <c r="AJ499" s="1234">
        <v>28200</v>
      </c>
      <c r="AK499" s="287"/>
      <c r="AL499" s="287"/>
      <c r="AM499" s="287"/>
      <c r="AN499" s="287"/>
      <c r="AO499" s="1234">
        <v>27000</v>
      </c>
      <c r="AP499" s="287"/>
      <c r="AQ499" s="287"/>
      <c r="AR499" s="287"/>
      <c r="AS499" s="287"/>
      <c r="AT499" s="1234">
        <v>21000</v>
      </c>
      <c r="AU499" s="287"/>
      <c r="AV499" s="287"/>
      <c r="AW499" s="287"/>
      <c r="AX499" s="287"/>
      <c r="AY499" s="1234">
        <v>21000</v>
      </c>
      <c r="AZ499" s="287"/>
      <c r="BA499" s="287"/>
      <c r="BB499" s="287"/>
      <c r="BC499" s="287"/>
      <c r="BD499" s="1234">
        <v>21100</v>
      </c>
      <c r="BE499" s="287"/>
      <c r="BF499" s="287"/>
      <c r="BG499" s="287"/>
      <c r="BH499" s="287"/>
      <c r="BI499" s="1234">
        <v>19300</v>
      </c>
      <c r="BJ499" s="1129"/>
      <c r="BK499" s="287"/>
      <c r="BL499" s="287"/>
      <c r="BM499" s="287"/>
      <c r="BN499" s="1128"/>
      <c r="BO499" s="287"/>
      <c r="BP499" s="287"/>
      <c r="BQ499" s="287"/>
      <c r="BR499" s="287"/>
      <c r="BS499" s="1128"/>
      <c r="BT499" s="1128"/>
      <c r="BU499" s="1128"/>
      <c r="BV499" s="1128"/>
      <c r="BW499" s="168"/>
    </row>
    <row r="500" spans="1:75" s="169" customFormat="1" ht="14.25" hidden="1" outlineLevel="1" collapsed="1" x14ac:dyDescent="0.45">
      <c r="A500" s="163"/>
      <c r="B500" s="1121"/>
      <c r="C500" s="840"/>
      <c r="D500" s="840"/>
      <c r="E500" s="840"/>
      <c r="F500" s="840"/>
      <c r="G500" s="247"/>
      <c r="H500" s="247"/>
      <c r="I500" s="247"/>
      <c r="J500" s="247"/>
      <c r="K500" s="840"/>
      <c r="L500" s="247"/>
      <c r="M500" s="247"/>
      <c r="N500" s="247"/>
      <c r="O500" s="247"/>
      <c r="P500" s="840"/>
      <c r="Q500" s="247"/>
      <c r="R500" s="247"/>
      <c r="S500" s="247"/>
      <c r="T500" s="247"/>
      <c r="U500" s="840"/>
      <c r="V500" s="247"/>
      <c r="W500" s="247"/>
      <c r="X500" s="247"/>
      <c r="Y500" s="247"/>
      <c r="Z500" s="840"/>
      <c r="AA500" s="247"/>
      <c r="AB500" s="247"/>
      <c r="AC500" s="247"/>
      <c r="AD500" s="247"/>
      <c r="AE500" s="840"/>
      <c r="AF500" s="247"/>
      <c r="AG500" s="247"/>
      <c r="AH500" s="247"/>
      <c r="AI500" s="247"/>
      <c r="AJ500" s="840"/>
      <c r="AK500" s="247"/>
      <c r="AL500" s="247"/>
      <c r="AM500" s="247"/>
      <c r="AN500" s="247"/>
      <c r="AO500" s="840"/>
      <c r="AP500" s="247"/>
      <c r="AQ500" s="247"/>
      <c r="AR500" s="247"/>
      <c r="AS500" s="247"/>
      <c r="AT500" s="840"/>
      <c r="AU500" s="247"/>
      <c r="AV500" s="247"/>
      <c r="AW500" s="247"/>
      <c r="AX500" s="247"/>
      <c r="AY500" s="840"/>
      <c r="AZ500" s="247"/>
      <c r="BA500" s="247"/>
      <c r="BB500" s="247"/>
      <c r="BC500" s="247"/>
      <c r="BD500" s="840"/>
      <c r="BE500" s="247"/>
      <c r="BF500" s="247"/>
      <c r="BG500" s="247"/>
      <c r="BH500" s="247"/>
      <c r="BI500" s="840"/>
      <c r="BJ500" s="977"/>
      <c r="BK500" s="247"/>
      <c r="BL500" s="247"/>
      <c r="BM500" s="247"/>
      <c r="BN500" s="840"/>
      <c r="BO500" s="247"/>
      <c r="BP500" s="247"/>
      <c r="BQ500" s="247"/>
      <c r="BR500" s="247"/>
      <c r="BS500" s="840"/>
      <c r="BT500" s="840"/>
      <c r="BU500" s="840"/>
      <c r="BV500" s="840"/>
      <c r="BW500" s="168"/>
    </row>
    <row r="501" spans="1:75" s="198" customFormat="1" ht="14.25" hidden="1" outlineLevel="1" x14ac:dyDescent="0.45">
      <c r="A501" s="239" t="s">
        <v>1971</v>
      </c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  <c r="AA501" s="239"/>
      <c r="AB501" s="239"/>
      <c r="AC501" s="239"/>
      <c r="AD501" s="239"/>
      <c r="AE501" s="239"/>
      <c r="AF501" s="239"/>
      <c r="AG501" s="239"/>
      <c r="AH501" s="239"/>
      <c r="AI501" s="239"/>
      <c r="AJ501" s="239"/>
      <c r="AK501" s="239"/>
      <c r="AL501" s="239"/>
      <c r="AM501" s="239"/>
      <c r="AN501" s="239"/>
      <c r="AO501" s="239"/>
      <c r="AP501" s="239"/>
      <c r="AQ501" s="239"/>
      <c r="AR501" s="239"/>
      <c r="AS501" s="239"/>
      <c r="AT501" s="239"/>
      <c r="AU501" s="239"/>
      <c r="AV501" s="239"/>
      <c r="AW501" s="239"/>
      <c r="AX501" s="239"/>
      <c r="AY501" s="239"/>
      <c r="AZ501" s="239"/>
      <c r="BA501" s="239"/>
      <c r="BB501" s="239"/>
      <c r="BC501" s="239"/>
      <c r="BD501" s="239"/>
      <c r="BE501" s="239"/>
      <c r="BF501" s="239"/>
      <c r="BG501" s="239"/>
      <c r="BH501" s="239"/>
      <c r="BI501" s="239"/>
      <c r="BJ501" s="241"/>
      <c r="BK501" s="239"/>
      <c r="BL501" s="239"/>
      <c r="BM501" s="239"/>
      <c r="BN501" s="239"/>
      <c r="BO501" s="239"/>
      <c r="BP501" s="239"/>
      <c r="BQ501" s="239"/>
      <c r="BR501" s="239"/>
      <c r="BS501" s="239"/>
      <c r="BT501" s="239"/>
      <c r="BU501" s="239"/>
      <c r="BV501" s="239"/>
      <c r="BW501" s="197"/>
    </row>
    <row r="502" spans="1:75" s="217" customFormat="1" hidden="1" outlineLevel="2" x14ac:dyDescent="0.5">
      <c r="A502" s="211" t="s">
        <v>1972</v>
      </c>
      <c r="B502" s="493"/>
      <c r="C502" s="735">
        <v>0.05</v>
      </c>
      <c r="D502" s="735">
        <v>4.7E-2</v>
      </c>
      <c r="E502" s="735">
        <v>3.9E-2</v>
      </c>
      <c r="F502" s="735">
        <v>0.03</v>
      </c>
      <c r="G502" s="422"/>
      <c r="H502" s="422"/>
      <c r="I502" s="422"/>
      <c r="J502" s="422"/>
      <c r="K502" s="735">
        <v>0.05</v>
      </c>
      <c r="L502" s="422"/>
      <c r="M502" s="422"/>
      <c r="N502" s="422"/>
      <c r="O502" s="422"/>
      <c r="P502" s="735">
        <v>0.04</v>
      </c>
      <c r="Q502" s="422"/>
      <c r="R502" s="422"/>
      <c r="S502" s="422"/>
      <c r="T502" s="422"/>
      <c r="U502" s="735">
        <v>0.02</v>
      </c>
      <c r="V502" s="422"/>
      <c r="W502" s="422"/>
      <c r="X502" s="422"/>
      <c r="Y502" s="422"/>
      <c r="Z502" s="735">
        <v>0.02</v>
      </c>
      <c r="AA502" s="422"/>
      <c r="AB502" s="422"/>
      <c r="AC502" s="422"/>
      <c r="AD502" s="422"/>
      <c r="AE502" s="735">
        <v>0.02</v>
      </c>
      <c r="AF502" s="422"/>
      <c r="AG502" s="422"/>
      <c r="AH502" s="422"/>
      <c r="AI502" s="422"/>
      <c r="AJ502" s="735">
        <v>0.02</v>
      </c>
      <c r="AK502" s="422"/>
      <c r="AL502" s="422"/>
      <c r="AM502" s="422"/>
      <c r="AN502" s="422"/>
      <c r="AO502" s="735">
        <v>0.02</v>
      </c>
      <c r="AP502" s="422"/>
      <c r="AQ502" s="422"/>
      <c r="AR502" s="422"/>
      <c r="AS502" s="422"/>
      <c r="AT502" s="735">
        <v>0.04</v>
      </c>
      <c r="AU502" s="422"/>
      <c r="AV502" s="422"/>
      <c r="AW502" s="422"/>
      <c r="AX502" s="422"/>
      <c r="AY502" s="735">
        <v>0.03</v>
      </c>
      <c r="AZ502" s="422"/>
      <c r="BA502" s="422"/>
      <c r="BB502" s="422"/>
      <c r="BC502" s="422"/>
      <c r="BD502" s="735">
        <v>0.03</v>
      </c>
      <c r="BE502" s="422"/>
      <c r="BF502" s="422"/>
      <c r="BG502" s="422"/>
      <c r="BH502" s="422"/>
      <c r="BI502" s="735">
        <v>0.03</v>
      </c>
      <c r="BJ502" s="1034"/>
      <c r="BK502" s="422"/>
      <c r="BL502" s="422"/>
      <c r="BM502" s="422"/>
      <c r="BN502" s="423"/>
      <c r="BO502" s="422"/>
      <c r="BP502" s="422"/>
      <c r="BQ502" s="422"/>
      <c r="BR502" s="422"/>
      <c r="BS502" s="423"/>
      <c r="BT502" s="423"/>
      <c r="BU502" s="423"/>
      <c r="BV502" s="423"/>
      <c r="BW502" s="216"/>
    </row>
    <row r="503" spans="1:75" s="217" customFormat="1" hidden="1" outlineLevel="2" x14ac:dyDescent="0.5">
      <c r="A503" s="211" t="s">
        <v>1973</v>
      </c>
      <c r="B503" s="493"/>
      <c r="C503" s="735">
        <v>0.59</v>
      </c>
      <c r="D503" s="735">
        <v>0.6</v>
      </c>
      <c r="E503" s="735">
        <v>0.61</v>
      </c>
      <c r="F503" s="735">
        <v>0.61</v>
      </c>
      <c r="G503" s="422"/>
      <c r="H503" s="422"/>
      <c r="I503" s="422"/>
      <c r="J503" s="422"/>
      <c r="K503" s="735">
        <v>0.64</v>
      </c>
      <c r="L503" s="422"/>
      <c r="M503" s="422"/>
      <c r="N503" s="422"/>
      <c r="O503" s="422"/>
      <c r="P503" s="735">
        <v>0.64</v>
      </c>
      <c r="Q503" s="422"/>
      <c r="R503" s="422"/>
      <c r="S503" s="422"/>
      <c r="T503" s="422"/>
      <c r="U503" s="735">
        <v>0.67</v>
      </c>
      <c r="V503" s="422"/>
      <c r="W503" s="422"/>
      <c r="X503" s="422"/>
      <c r="Y503" s="422"/>
      <c r="Z503" s="735">
        <v>0.64</v>
      </c>
      <c r="AA503" s="422"/>
      <c r="AB503" s="422"/>
      <c r="AC503" s="422"/>
      <c r="AD503" s="422"/>
      <c r="AE503" s="735">
        <v>0.65</v>
      </c>
      <c r="AF503" s="422"/>
      <c r="AG503" s="422"/>
      <c r="AH503" s="422"/>
      <c r="AI503" s="422"/>
      <c r="AJ503" s="735">
        <v>0.66</v>
      </c>
      <c r="AK503" s="422"/>
      <c r="AL503" s="422"/>
      <c r="AM503" s="422"/>
      <c r="AN503" s="422"/>
      <c r="AO503" s="735">
        <v>0.65</v>
      </c>
      <c r="AP503" s="422"/>
      <c r="AQ503" s="422"/>
      <c r="AR503" s="422"/>
      <c r="AS503" s="422"/>
      <c r="AT503" s="735">
        <v>0.65</v>
      </c>
      <c r="AU503" s="422"/>
      <c r="AV503" s="422"/>
      <c r="AW503" s="422"/>
      <c r="AX503" s="422"/>
      <c r="AY503" s="735">
        <v>0.65</v>
      </c>
      <c r="AZ503" s="422"/>
      <c r="BA503" s="422"/>
      <c r="BB503" s="422"/>
      <c r="BC503" s="422"/>
      <c r="BD503" s="735">
        <v>0.67</v>
      </c>
      <c r="BE503" s="422"/>
      <c r="BF503" s="422"/>
      <c r="BG503" s="422"/>
      <c r="BH503" s="422"/>
      <c r="BI503" s="735">
        <v>0.81</v>
      </c>
      <c r="BJ503" s="1034"/>
      <c r="BK503" s="422"/>
      <c r="BL503" s="422"/>
      <c r="BM503" s="422"/>
      <c r="BN503" s="423"/>
      <c r="BO503" s="422"/>
      <c r="BP503" s="422"/>
      <c r="BQ503" s="422"/>
      <c r="BR503" s="422"/>
      <c r="BS503" s="423"/>
      <c r="BT503" s="423"/>
      <c r="BU503" s="423"/>
      <c r="BV503" s="423"/>
      <c r="BW503" s="216"/>
    </row>
    <row r="504" spans="1:75" s="123" customFormat="1" hidden="1" outlineLevel="1" collapsed="1" x14ac:dyDescent="0.5">
      <c r="A504" s="752"/>
      <c r="B504" s="489"/>
      <c r="C504" s="401"/>
      <c r="D504" s="401"/>
      <c r="E504" s="401"/>
      <c r="F504" s="401"/>
      <c r="G504" s="118"/>
      <c r="H504" s="118"/>
      <c r="I504" s="118"/>
      <c r="J504" s="118"/>
      <c r="K504" s="401"/>
      <c r="L504" s="118"/>
      <c r="M504" s="118"/>
      <c r="N504" s="118"/>
      <c r="O504" s="118"/>
      <c r="P504" s="401"/>
      <c r="Q504" s="118"/>
      <c r="R504" s="118"/>
      <c r="S504" s="118"/>
      <c r="T504" s="118"/>
      <c r="U504" s="401"/>
      <c r="V504" s="118"/>
      <c r="W504" s="118"/>
      <c r="X504" s="118"/>
      <c r="Y504" s="118"/>
      <c r="Z504" s="401"/>
      <c r="AA504" s="118"/>
      <c r="AB504" s="118"/>
      <c r="AC504" s="118"/>
      <c r="AD504" s="118"/>
      <c r="AE504" s="401"/>
      <c r="AF504" s="118"/>
      <c r="AG504" s="118"/>
      <c r="AH504" s="118"/>
      <c r="AI504" s="118"/>
      <c r="AJ504" s="401"/>
      <c r="AK504" s="118"/>
      <c r="AL504" s="118"/>
      <c r="AM504" s="118"/>
      <c r="AN504" s="118"/>
      <c r="AO504" s="401"/>
      <c r="AP504" s="118"/>
      <c r="AQ504" s="118"/>
      <c r="AR504" s="118"/>
      <c r="AS504" s="118"/>
      <c r="AT504" s="401"/>
      <c r="AU504" s="118"/>
      <c r="AV504" s="118"/>
      <c r="AW504" s="118"/>
      <c r="AX504" s="118"/>
      <c r="AY504" s="401"/>
      <c r="AZ504" s="118"/>
      <c r="BA504" s="118"/>
      <c r="BB504" s="118"/>
      <c r="BC504" s="118"/>
      <c r="BD504" s="401"/>
      <c r="BE504" s="118"/>
      <c r="BF504" s="118"/>
      <c r="BG504" s="118"/>
      <c r="BH504" s="118"/>
      <c r="BI504" s="401"/>
      <c r="BJ504" s="971"/>
      <c r="BK504" s="118"/>
      <c r="BL504" s="118"/>
      <c r="BM504" s="118"/>
      <c r="BN504" s="401"/>
      <c r="BO504" s="118"/>
      <c r="BP504" s="118"/>
      <c r="BQ504" s="118"/>
      <c r="BR504" s="118"/>
      <c r="BS504" s="401"/>
      <c r="BT504" s="401"/>
      <c r="BU504" s="401"/>
      <c r="BV504" s="401"/>
      <c r="BW504" s="122"/>
    </row>
    <row r="505" spans="1:75" s="198" customFormat="1" ht="14.25" hidden="1" outlineLevel="1" x14ac:dyDescent="0.45">
      <c r="A505" s="239" t="s">
        <v>1974</v>
      </c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  <c r="AA505" s="239"/>
      <c r="AB505" s="239"/>
      <c r="AC505" s="239"/>
      <c r="AD505" s="239"/>
      <c r="AE505" s="239"/>
      <c r="AF505" s="239"/>
      <c r="AG505" s="239"/>
      <c r="AH505" s="239"/>
      <c r="AI505" s="239"/>
      <c r="AJ505" s="239"/>
      <c r="AK505" s="239"/>
      <c r="AL505" s="239"/>
      <c r="AM505" s="239"/>
      <c r="AN505" s="239"/>
      <c r="AO505" s="239"/>
      <c r="AP505" s="239"/>
      <c r="AQ505" s="239"/>
      <c r="AR505" s="239"/>
      <c r="AS505" s="239"/>
      <c r="AT505" s="239"/>
      <c r="AU505" s="239"/>
      <c r="AV505" s="239"/>
      <c r="AW505" s="239"/>
      <c r="AX505" s="239"/>
      <c r="AY505" s="239"/>
      <c r="AZ505" s="239"/>
      <c r="BA505" s="239"/>
      <c r="BB505" s="239"/>
      <c r="BC505" s="239"/>
      <c r="BD505" s="239"/>
      <c r="BE505" s="239"/>
      <c r="BF505" s="239"/>
      <c r="BG505" s="239"/>
      <c r="BH505" s="239"/>
      <c r="BI505" s="239"/>
      <c r="BJ505" s="241"/>
      <c r="BK505" s="239"/>
      <c r="BL505" s="239"/>
      <c r="BM505" s="239"/>
      <c r="BN505" s="239"/>
      <c r="BO505" s="239"/>
      <c r="BP505" s="239"/>
      <c r="BQ505" s="239"/>
      <c r="BR505" s="239"/>
      <c r="BS505" s="239"/>
      <c r="BT505" s="239"/>
      <c r="BU505" s="239"/>
      <c r="BV505" s="239"/>
      <c r="BW505" s="197"/>
    </row>
    <row r="506" spans="1:75" s="224" customFormat="1" hidden="1" outlineLevel="2" x14ac:dyDescent="0.5">
      <c r="A506" s="218" t="s">
        <v>1975</v>
      </c>
      <c r="B506" s="494"/>
      <c r="C506" s="427">
        <v>1199</v>
      </c>
      <c r="D506" s="427">
        <v>2132</v>
      </c>
      <c r="E506" s="427">
        <v>1351</v>
      </c>
      <c r="F506" s="427">
        <v>1351</v>
      </c>
      <c r="G506" s="487"/>
      <c r="H506" s="487"/>
      <c r="I506" s="487"/>
      <c r="J506" s="487"/>
      <c r="K506" s="427">
        <v>1854</v>
      </c>
      <c r="L506" s="487"/>
      <c r="M506" s="487"/>
      <c r="N506" s="487"/>
      <c r="O506" s="487"/>
      <c r="P506" s="427">
        <v>2103</v>
      </c>
      <c r="Q506" s="487"/>
      <c r="R506" s="487"/>
      <c r="S506" s="487"/>
      <c r="T506" s="487"/>
      <c r="U506" s="427">
        <v>2103</v>
      </c>
      <c r="V506" s="487"/>
      <c r="W506" s="487"/>
      <c r="X506" s="487"/>
      <c r="Y506" s="487"/>
      <c r="Z506" s="427">
        <v>2103</v>
      </c>
      <c r="AA506" s="487"/>
      <c r="AB506" s="487"/>
      <c r="AC506" s="487"/>
      <c r="AD506" s="487"/>
      <c r="AE506" s="427">
        <v>2103</v>
      </c>
      <c r="AF506" s="487"/>
      <c r="AG506" s="487"/>
      <c r="AH506" s="487"/>
      <c r="AI506" s="487"/>
      <c r="AJ506" s="427">
        <v>2103</v>
      </c>
      <c r="AK506" s="487"/>
      <c r="AL506" s="487"/>
      <c r="AM506" s="487"/>
      <c r="AN506" s="487"/>
      <c r="AO506" s="427">
        <v>2103</v>
      </c>
      <c r="AP506" s="487"/>
      <c r="AQ506" s="487"/>
      <c r="AR506" s="487"/>
      <c r="AS506" s="487"/>
      <c r="AT506" s="427">
        <v>2103</v>
      </c>
      <c r="AU506" s="487"/>
      <c r="AV506" s="487"/>
      <c r="AW506" s="487"/>
      <c r="AX506" s="487"/>
      <c r="AY506" s="427">
        <v>3269</v>
      </c>
      <c r="AZ506" s="487"/>
      <c r="BA506" s="487"/>
      <c r="BB506" s="487"/>
      <c r="BC506" s="487"/>
      <c r="BD506" s="427">
        <v>3269</v>
      </c>
      <c r="BE506" s="487"/>
      <c r="BF506" s="487"/>
      <c r="BG506" s="487"/>
      <c r="BH506" s="487"/>
      <c r="BI506" s="427">
        <v>3269</v>
      </c>
      <c r="BJ506" s="981"/>
      <c r="BK506" s="487"/>
      <c r="BL506" s="487"/>
      <c r="BM506" s="487"/>
      <c r="BN506" s="425"/>
      <c r="BO506" s="487"/>
      <c r="BP506" s="487"/>
      <c r="BQ506" s="487"/>
      <c r="BR506" s="487"/>
      <c r="BS506" s="425"/>
      <c r="BT506" s="425"/>
      <c r="BU506" s="425"/>
      <c r="BV506" s="425"/>
      <c r="BW506" s="223"/>
    </row>
    <row r="507" spans="1:75" s="224" customFormat="1" hidden="1" outlineLevel="2" x14ac:dyDescent="0.5">
      <c r="A507" s="218" t="s">
        <v>1976</v>
      </c>
      <c r="B507" s="494"/>
      <c r="C507" s="427">
        <v>2105</v>
      </c>
      <c r="D507" s="427">
        <v>2105</v>
      </c>
      <c r="E507" s="427">
        <v>2105</v>
      </c>
      <c r="F507" s="427">
        <v>2105</v>
      </c>
      <c r="G507" s="487"/>
      <c r="H507" s="487"/>
      <c r="I507" s="487"/>
      <c r="J507" s="487"/>
      <c r="K507" s="427">
        <v>2105</v>
      </c>
      <c r="L507" s="487"/>
      <c r="M507" s="487"/>
      <c r="N507" s="487"/>
      <c r="O507" s="487"/>
      <c r="P507" s="427">
        <v>2105</v>
      </c>
      <c r="Q507" s="487"/>
      <c r="R507" s="487"/>
      <c r="S507" s="487"/>
      <c r="T507" s="487"/>
      <c r="U507" s="427">
        <v>2105</v>
      </c>
      <c r="V507" s="487"/>
      <c r="W507" s="487"/>
      <c r="X507" s="487"/>
      <c r="Y507" s="487"/>
      <c r="Z507" s="427">
        <v>2105</v>
      </c>
      <c r="AA507" s="487"/>
      <c r="AB507" s="487"/>
      <c r="AC507" s="487"/>
      <c r="AD507" s="487"/>
      <c r="AE507" s="427">
        <v>2105</v>
      </c>
      <c r="AF507" s="487"/>
      <c r="AG507" s="487"/>
      <c r="AH507" s="487"/>
      <c r="AI507" s="487"/>
      <c r="AJ507" s="427">
        <v>2165</v>
      </c>
      <c r="AK507" s="487"/>
      <c r="AL507" s="487"/>
      <c r="AM507" s="487"/>
      <c r="AN507" s="487"/>
      <c r="AO507" s="427">
        <v>2165</v>
      </c>
      <c r="AP507" s="487"/>
      <c r="AQ507" s="487"/>
      <c r="AR507" s="487"/>
      <c r="AS507" s="487"/>
      <c r="AT507" s="427">
        <v>2258</v>
      </c>
      <c r="AU507" s="487"/>
      <c r="AV507" s="487"/>
      <c r="AW507" s="487"/>
      <c r="AX507" s="487"/>
      <c r="AY507" s="427">
        <v>2258</v>
      </c>
      <c r="AZ507" s="487"/>
      <c r="BA507" s="487"/>
      <c r="BB507" s="487"/>
      <c r="BC507" s="487"/>
      <c r="BD507" s="427">
        <v>2267</v>
      </c>
      <c r="BE507" s="487"/>
      <c r="BF507" s="487"/>
      <c r="BG507" s="487"/>
      <c r="BH507" s="487"/>
      <c r="BI507" s="427">
        <v>2271</v>
      </c>
      <c r="BJ507" s="981"/>
      <c r="BK507" s="487"/>
      <c r="BL507" s="487"/>
      <c r="BM507" s="487"/>
      <c r="BN507" s="425"/>
      <c r="BO507" s="487"/>
      <c r="BP507" s="487"/>
      <c r="BQ507" s="487"/>
      <c r="BR507" s="487"/>
      <c r="BS507" s="425"/>
      <c r="BT507" s="425"/>
      <c r="BU507" s="425"/>
      <c r="BV507" s="425"/>
      <c r="BW507" s="223"/>
    </row>
    <row r="508" spans="1:75" s="224" customFormat="1" hidden="1" outlineLevel="2" x14ac:dyDescent="0.5">
      <c r="A508" s="218" t="s">
        <v>1977</v>
      </c>
      <c r="B508" s="494"/>
      <c r="C508" s="427">
        <v>1180</v>
      </c>
      <c r="D508" s="427">
        <v>1180</v>
      </c>
      <c r="E508" s="427">
        <v>1180</v>
      </c>
      <c r="F508" s="427">
        <v>1180</v>
      </c>
      <c r="G508" s="487"/>
      <c r="H508" s="487"/>
      <c r="I508" s="487"/>
      <c r="J508" s="487"/>
      <c r="K508" s="427">
        <v>1180</v>
      </c>
      <c r="L508" s="487"/>
      <c r="M508" s="487"/>
      <c r="N508" s="487"/>
      <c r="O508" s="487"/>
      <c r="P508" s="427">
        <v>1180</v>
      </c>
      <c r="Q508" s="487"/>
      <c r="R508" s="487"/>
      <c r="S508" s="487"/>
      <c r="T508" s="487"/>
      <c r="U508" s="427">
        <v>1432</v>
      </c>
      <c r="V508" s="487"/>
      <c r="W508" s="487"/>
      <c r="X508" s="487"/>
      <c r="Y508" s="487"/>
      <c r="Z508" s="427">
        <v>1432</v>
      </c>
      <c r="AA508" s="487"/>
      <c r="AB508" s="487"/>
      <c r="AC508" s="487"/>
      <c r="AD508" s="487"/>
      <c r="AE508" s="427">
        <v>1432</v>
      </c>
      <c r="AF508" s="487"/>
      <c r="AG508" s="487"/>
      <c r="AH508" s="487"/>
      <c r="AI508" s="487"/>
      <c r="AJ508" s="427">
        <v>1432</v>
      </c>
      <c r="AK508" s="487"/>
      <c r="AL508" s="487"/>
      <c r="AM508" s="487"/>
      <c r="AN508" s="487"/>
      <c r="AO508" s="427">
        <v>2030</v>
      </c>
      <c r="AP508" s="487"/>
      <c r="AQ508" s="487"/>
      <c r="AR508" s="487"/>
      <c r="AS508" s="487"/>
      <c r="AT508" s="427">
        <v>2030</v>
      </c>
      <c r="AU508" s="487"/>
      <c r="AV508" s="487"/>
      <c r="AW508" s="487"/>
      <c r="AX508" s="487"/>
      <c r="AY508" s="427">
        <v>2030</v>
      </c>
      <c r="AZ508" s="487"/>
      <c r="BA508" s="487"/>
      <c r="BB508" s="487"/>
      <c r="BC508" s="487"/>
      <c r="BD508" s="427">
        <v>3150</v>
      </c>
      <c r="BE508" s="487"/>
      <c r="BF508" s="487"/>
      <c r="BG508" s="487"/>
      <c r="BH508" s="487"/>
      <c r="BI508" s="427">
        <v>3150</v>
      </c>
      <c r="BJ508" s="981"/>
      <c r="BK508" s="487"/>
      <c r="BL508" s="487"/>
      <c r="BM508" s="487"/>
      <c r="BN508" s="425"/>
      <c r="BO508" s="487"/>
      <c r="BP508" s="487"/>
      <c r="BQ508" s="487"/>
      <c r="BR508" s="487"/>
      <c r="BS508" s="425"/>
      <c r="BT508" s="425"/>
      <c r="BU508" s="425"/>
      <c r="BV508" s="425"/>
      <c r="BW508" s="223"/>
    </row>
    <row r="509" spans="1:75" s="224" customFormat="1" hidden="1" outlineLevel="2" x14ac:dyDescent="0.5">
      <c r="A509" s="218" t="s">
        <v>1978</v>
      </c>
      <c r="B509" s="494"/>
      <c r="C509" s="425"/>
      <c r="D509" s="425"/>
      <c r="E509" s="425"/>
      <c r="F509" s="425"/>
      <c r="G509" s="487"/>
      <c r="H509" s="487"/>
      <c r="I509" s="487"/>
      <c r="J509" s="487"/>
      <c r="K509" s="425"/>
      <c r="L509" s="487"/>
      <c r="M509" s="487"/>
      <c r="N509" s="487"/>
      <c r="O509" s="487"/>
      <c r="P509" s="425"/>
      <c r="Q509" s="487"/>
      <c r="R509" s="487"/>
      <c r="S509" s="487"/>
      <c r="T509" s="487"/>
      <c r="U509" s="425"/>
      <c r="V509" s="487"/>
      <c r="W509" s="487"/>
      <c r="X509" s="487"/>
      <c r="Y509" s="487"/>
      <c r="Z509" s="427">
        <v>1075</v>
      </c>
      <c r="AA509" s="487"/>
      <c r="AB509" s="487"/>
      <c r="AC509" s="487"/>
      <c r="AD509" s="487"/>
      <c r="AE509" s="427">
        <v>1075</v>
      </c>
      <c r="AF509" s="487"/>
      <c r="AG509" s="487"/>
      <c r="AH509" s="487"/>
      <c r="AI509" s="487"/>
      <c r="AJ509" s="427">
        <v>1075</v>
      </c>
      <c r="AK509" s="487"/>
      <c r="AL509" s="487"/>
      <c r="AM509" s="487"/>
      <c r="AN509" s="487"/>
      <c r="AO509" s="427">
        <v>1075</v>
      </c>
      <c r="AP509" s="487"/>
      <c r="AQ509" s="487"/>
      <c r="AR509" s="487"/>
      <c r="AS509" s="487"/>
      <c r="AT509" s="427">
        <v>1075</v>
      </c>
      <c r="AU509" s="487"/>
      <c r="AV509" s="487"/>
      <c r="AW509" s="487"/>
      <c r="AX509" s="487"/>
      <c r="AY509" s="427">
        <v>1537</v>
      </c>
      <c r="AZ509" s="487"/>
      <c r="BA509" s="487"/>
      <c r="BB509" s="487"/>
      <c r="BC509" s="487"/>
      <c r="BD509" s="427">
        <v>1537</v>
      </c>
      <c r="BE509" s="487"/>
      <c r="BF509" s="487"/>
      <c r="BG509" s="487"/>
      <c r="BH509" s="487"/>
      <c r="BI509" s="427">
        <v>1537</v>
      </c>
      <c r="BJ509" s="981"/>
      <c r="BK509" s="487"/>
      <c r="BL509" s="487"/>
      <c r="BM509" s="487"/>
      <c r="BN509" s="425"/>
      <c r="BO509" s="487"/>
      <c r="BP509" s="487"/>
      <c r="BQ509" s="487"/>
      <c r="BR509" s="487"/>
      <c r="BS509" s="425"/>
      <c r="BT509" s="425"/>
      <c r="BU509" s="425"/>
      <c r="BV509" s="425"/>
      <c r="BW509" s="223"/>
    </row>
    <row r="510" spans="1:75" s="224" customFormat="1" hidden="1" outlineLevel="2" x14ac:dyDescent="0.5">
      <c r="A510" s="218" t="s">
        <v>1979</v>
      </c>
      <c r="B510" s="494"/>
      <c r="C510" s="425"/>
      <c r="D510" s="425"/>
      <c r="E510" s="425"/>
      <c r="F510" s="425"/>
      <c r="G510" s="487"/>
      <c r="H510" s="487"/>
      <c r="I510" s="487"/>
      <c r="J510" s="487"/>
      <c r="K510" s="425"/>
      <c r="L510" s="487"/>
      <c r="M510" s="487"/>
      <c r="N510" s="487"/>
      <c r="O510" s="487"/>
      <c r="P510" s="425"/>
      <c r="Q510" s="487"/>
      <c r="R510" s="487"/>
      <c r="S510" s="487"/>
      <c r="T510" s="487"/>
      <c r="U510" s="425"/>
      <c r="V510" s="487"/>
      <c r="W510" s="487"/>
      <c r="X510" s="487"/>
      <c r="Y510" s="487"/>
      <c r="Z510" s="425"/>
      <c r="AA510" s="487"/>
      <c r="AB510" s="487"/>
      <c r="AC510" s="487"/>
      <c r="AD510" s="487"/>
      <c r="AE510" s="425"/>
      <c r="AF510" s="487"/>
      <c r="AG510" s="487"/>
      <c r="AH510" s="487"/>
      <c r="AI510" s="487"/>
      <c r="AJ510" s="425"/>
      <c r="AK510" s="487"/>
      <c r="AL510" s="487"/>
      <c r="AM510" s="487"/>
      <c r="AN510" s="487"/>
      <c r="AO510" s="425"/>
      <c r="AP510" s="487"/>
      <c r="AQ510" s="487"/>
      <c r="AR510" s="487"/>
      <c r="AS510" s="487"/>
      <c r="AT510" s="425"/>
      <c r="AU510" s="487"/>
      <c r="AV510" s="487"/>
      <c r="AW510" s="487"/>
      <c r="AX510" s="487"/>
      <c r="AY510" s="425"/>
      <c r="AZ510" s="487"/>
      <c r="BA510" s="487"/>
      <c r="BB510" s="487"/>
      <c r="BC510" s="487"/>
      <c r="BD510" s="427">
        <v>1200</v>
      </c>
      <c r="BE510" s="487"/>
      <c r="BF510" s="487"/>
      <c r="BG510" s="487"/>
      <c r="BH510" s="487"/>
      <c r="BI510" s="427">
        <v>1200</v>
      </c>
      <c r="BJ510" s="981"/>
      <c r="BK510" s="487"/>
      <c r="BL510" s="487"/>
      <c r="BM510" s="487"/>
      <c r="BN510" s="425"/>
      <c r="BO510" s="487"/>
      <c r="BP510" s="487"/>
      <c r="BQ510" s="487"/>
      <c r="BR510" s="487"/>
      <c r="BS510" s="425"/>
      <c r="BT510" s="425"/>
      <c r="BU510" s="425"/>
      <c r="BV510" s="425"/>
      <c r="BW510" s="223"/>
    </row>
    <row r="511" spans="1:75" s="224" customFormat="1" hidden="1" outlineLevel="2" x14ac:dyDescent="0.5">
      <c r="A511" s="218" t="s">
        <v>1980</v>
      </c>
      <c r="B511" s="494"/>
      <c r="C511" s="425"/>
      <c r="D511" s="425"/>
      <c r="E511" s="425"/>
      <c r="F511" s="425"/>
      <c r="G511" s="487"/>
      <c r="H511" s="487"/>
      <c r="I511" s="487"/>
      <c r="J511" s="487"/>
      <c r="K511" s="425"/>
      <c r="L511" s="487"/>
      <c r="M511" s="487"/>
      <c r="N511" s="487"/>
      <c r="O511" s="487"/>
      <c r="P511" s="427">
        <v>822</v>
      </c>
      <c r="Q511" s="487"/>
      <c r="R511" s="487"/>
      <c r="S511" s="487"/>
      <c r="T511" s="487"/>
      <c r="U511" s="427">
        <v>1138</v>
      </c>
      <c r="V511" s="487"/>
      <c r="W511" s="487"/>
      <c r="X511" s="487"/>
      <c r="Y511" s="487"/>
      <c r="Z511" s="427">
        <v>896</v>
      </c>
      <c r="AA511" s="487"/>
      <c r="AB511" s="487"/>
      <c r="AC511" s="487"/>
      <c r="AD511" s="487"/>
      <c r="AE511" s="427">
        <v>896</v>
      </c>
      <c r="AF511" s="487"/>
      <c r="AG511" s="487"/>
      <c r="AH511" s="487"/>
      <c r="AI511" s="487"/>
      <c r="AJ511" s="427">
        <v>822</v>
      </c>
      <c r="AK511" s="487"/>
      <c r="AL511" s="487"/>
      <c r="AM511" s="487"/>
      <c r="AN511" s="487"/>
      <c r="AO511" s="427">
        <v>1064</v>
      </c>
      <c r="AP511" s="487"/>
      <c r="AQ511" s="487"/>
      <c r="AR511" s="487"/>
      <c r="AS511" s="487"/>
      <c r="AT511" s="427">
        <v>1298</v>
      </c>
      <c r="AU511" s="487"/>
      <c r="AV511" s="487"/>
      <c r="AW511" s="487"/>
      <c r="AX511" s="487"/>
      <c r="AY511" s="427">
        <v>1298</v>
      </c>
      <c r="AZ511" s="487"/>
      <c r="BA511" s="487"/>
      <c r="BB511" s="487"/>
      <c r="BC511" s="487"/>
      <c r="BD511" s="427">
        <v>1682</v>
      </c>
      <c r="BE511" s="487"/>
      <c r="BF511" s="487"/>
      <c r="BG511" s="487"/>
      <c r="BH511" s="487"/>
      <c r="BI511" s="427">
        <v>1056</v>
      </c>
      <c r="BJ511" s="981"/>
      <c r="BK511" s="487"/>
      <c r="BL511" s="487"/>
      <c r="BM511" s="487"/>
      <c r="BN511" s="425"/>
      <c r="BO511" s="487"/>
      <c r="BP511" s="487"/>
      <c r="BQ511" s="487"/>
      <c r="BR511" s="487"/>
      <c r="BS511" s="425"/>
      <c r="BT511" s="425"/>
      <c r="BU511" s="425"/>
      <c r="BV511" s="425"/>
      <c r="BW511" s="223"/>
    </row>
    <row r="512" spans="1:75" s="224" customFormat="1" hidden="1" outlineLevel="2" x14ac:dyDescent="0.5">
      <c r="A512" s="218" t="s">
        <v>1981</v>
      </c>
      <c r="B512" s="494"/>
      <c r="C512" s="427">
        <v>1023</v>
      </c>
      <c r="D512" s="427">
        <v>1023</v>
      </c>
      <c r="E512" s="427">
        <v>1023</v>
      </c>
      <c r="F512" s="427">
        <v>1023</v>
      </c>
      <c r="G512" s="487"/>
      <c r="H512" s="487"/>
      <c r="I512" s="487"/>
      <c r="J512" s="487"/>
      <c r="K512" s="427">
        <v>1023</v>
      </c>
      <c r="L512" s="487"/>
      <c r="M512" s="487"/>
      <c r="N512" s="487"/>
      <c r="O512" s="487"/>
      <c r="P512" s="427">
        <v>571</v>
      </c>
      <c r="Q512" s="487"/>
      <c r="R512" s="487"/>
      <c r="S512" s="487"/>
      <c r="T512" s="487"/>
      <c r="U512" s="427">
        <v>603</v>
      </c>
      <c r="V512" s="487"/>
      <c r="W512" s="487"/>
      <c r="X512" s="487"/>
      <c r="Y512" s="487"/>
      <c r="Z512" s="427">
        <v>603</v>
      </c>
      <c r="AA512" s="487"/>
      <c r="AB512" s="487"/>
      <c r="AC512" s="487"/>
      <c r="AD512" s="487"/>
      <c r="AE512" s="427">
        <v>603</v>
      </c>
      <c r="AF512" s="487"/>
      <c r="AG512" s="487"/>
      <c r="AH512" s="487"/>
      <c r="AI512" s="487"/>
      <c r="AJ512" s="427">
        <v>603</v>
      </c>
      <c r="AK512" s="487"/>
      <c r="AL512" s="487"/>
      <c r="AM512" s="487"/>
      <c r="AN512" s="487"/>
      <c r="AO512" s="427">
        <v>603</v>
      </c>
      <c r="AP512" s="487"/>
      <c r="AQ512" s="487"/>
      <c r="AR512" s="487"/>
      <c r="AS512" s="487"/>
      <c r="AT512" s="427">
        <v>603</v>
      </c>
      <c r="AU512" s="487"/>
      <c r="AV512" s="487"/>
      <c r="AW512" s="487"/>
      <c r="AX512" s="487"/>
      <c r="AY512" s="427">
        <v>603</v>
      </c>
      <c r="AZ512" s="487"/>
      <c r="BA512" s="487"/>
      <c r="BB512" s="487"/>
      <c r="BC512" s="487"/>
      <c r="BD512" s="427">
        <v>603</v>
      </c>
      <c r="BE512" s="487"/>
      <c r="BF512" s="487"/>
      <c r="BG512" s="487"/>
      <c r="BH512" s="487"/>
      <c r="BI512" s="427">
        <v>603</v>
      </c>
      <c r="BJ512" s="981"/>
      <c r="BK512" s="487"/>
      <c r="BL512" s="487"/>
      <c r="BM512" s="487"/>
      <c r="BN512" s="425"/>
      <c r="BO512" s="487"/>
      <c r="BP512" s="487"/>
      <c r="BQ512" s="487"/>
      <c r="BR512" s="487"/>
      <c r="BS512" s="425"/>
      <c r="BT512" s="425"/>
      <c r="BU512" s="425"/>
      <c r="BV512" s="425"/>
      <c r="BW512" s="223"/>
    </row>
    <row r="513" spans="1:75" s="224" customFormat="1" hidden="1" outlineLevel="2" x14ac:dyDescent="0.5">
      <c r="A513" s="218" t="s">
        <v>1982</v>
      </c>
      <c r="B513" s="494"/>
      <c r="C513" s="427">
        <v>199</v>
      </c>
      <c r="D513" s="427">
        <v>199</v>
      </c>
      <c r="E513" s="427">
        <v>412</v>
      </c>
      <c r="F513" s="427">
        <v>412</v>
      </c>
      <c r="G513" s="487"/>
      <c r="H513" s="487"/>
      <c r="I513" s="487"/>
      <c r="J513" s="487"/>
      <c r="K513" s="427">
        <v>412</v>
      </c>
      <c r="L513" s="487"/>
      <c r="M513" s="487"/>
      <c r="N513" s="487"/>
      <c r="O513" s="487"/>
      <c r="P513" s="427">
        <v>412</v>
      </c>
      <c r="Q513" s="487"/>
      <c r="R513" s="487"/>
      <c r="S513" s="487"/>
      <c r="T513" s="487"/>
      <c r="U513" s="427">
        <v>412</v>
      </c>
      <c r="V513" s="487"/>
      <c r="W513" s="487"/>
      <c r="X513" s="487"/>
      <c r="Y513" s="487"/>
      <c r="Z513" s="427">
        <v>412</v>
      </c>
      <c r="AA513" s="487"/>
      <c r="AB513" s="487"/>
      <c r="AC513" s="487"/>
      <c r="AD513" s="487"/>
      <c r="AE513" s="427">
        <v>412</v>
      </c>
      <c r="AF513" s="487"/>
      <c r="AG513" s="487"/>
      <c r="AH513" s="487"/>
      <c r="AI513" s="487"/>
      <c r="AJ513" s="427">
        <v>412</v>
      </c>
      <c r="AK513" s="487"/>
      <c r="AL513" s="487"/>
      <c r="AM513" s="487"/>
      <c r="AN513" s="487"/>
      <c r="AO513" s="427">
        <v>442</v>
      </c>
      <c r="AP513" s="487"/>
      <c r="AQ513" s="487"/>
      <c r="AR513" s="487"/>
      <c r="AS513" s="487"/>
      <c r="AT513" s="427">
        <v>442</v>
      </c>
      <c r="AU513" s="487"/>
      <c r="AV513" s="487"/>
      <c r="AW513" s="487"/>
      <c r="AX513" s="487"/>
      <c r="AY513" s="427">
        <v>412</v>
      </c>
      <c r="AZ513" s="487"/>
      <c r="BA513" s="487"/>
      <c r="BB513" s="487"/>
      <c r="BC513" s="487"/>
      <c r="BD513" s="427">
        <v>412</v>
      </c>
      <c r="BE513" s="487"/>
      <c r="BF513" s="487"/>
      <c r="BG513" s="487"/>
      <c r="BH513" s="487"/>
      <c r="BI513" s="427">
        <v>412</v>
      </c>
      <c r="BJ513" s="981"/>
      <c r="BK513" s="487"/>
      <c r="BL513" s="487"/>
      <c r="BM513" s="487"/>
      <c r="BN513" s="425"/>
      <c r="BO513" s="487"/>
      <c r="BP513" s="487"/>
      <c r="BQ513" s="487"/>
      <c r="BR513" s="487"/>
      <c r="BS513" s="425"/>
      <c r="BT513" s="425"/>
      <c r="BU513" s="425"/>
      <c r="BV513" s="425"/>
      <c r="BW513" s="223"/>
    </row>
    <row r="514" spans="1:75" s="224" customFormat="1" hidden="1" outlineLevel="2" x14ac:dyDescent="0.5">
      <c r="A514" s="218" t="s">
        <v>1983</v>
      </c>
      <c r="B514" s="494"/>
      <c r="C514" s="427">
        <v>38</v>
      </c>
      <c r="D514" s="427">
        <v>73</v>
      </c>
      <c r="E514" s="427">
        <v>73</v>
      </c>
      <c r="F514" s="425"/>
      <c r="G514" s="487"/>
      <c r="H514" s="487"/>
      <c r="I514" s="487"/>
      <c r="J514" s="487"/>
      <c r="K514" s="425"/>
      <c r="L514" s="487"/>
      <c r="M514" s="487"/>
      <c r="N514" s="487"/>
      <c r="O514" s="487"/>
      <c r="P514" s="425"/>
      <c r="Q514" s="487"/>
      <c r="R514" s="487"/>
      <c r="S514" s="487"/>
      <c r="T514" s="487"/>
      <c r="U514" s="425"/>
      <c r="V514" s="487"/>
      <c r="W514" s="487"/>
      <c r="X514" s="487"/>
      <c r="Y514" s="487"/>
      <c r="Z514" s="425"/>
      <c r="AA514" s="487"/>
      <c r="AB514" s="487"/>
      <c r="AC514" s="487"/>
      <c r="AD514" s="487"/>
      <c r="AE514" s="427">
        <v>265</v>
      </c>
      <c r="AF514" s="487"/>
      <c r="AG514" s="487"/>
      <c r="AH514" s="487"/>
      <c r="AI514" s="487"/>
      <c r="AJ514" s="427">
        <v>265</v>
      </c>
      <c r="AK514" s="487"/>
      <c r="AL514" s="487"/>
      <c r="AM514" s="487"/>
      <c r="AN514" s="487"/>
      <c r="AO514" s="427">
        <v>265</v>
      </c>
      <c r="AP514" s="487"/>
      <c r="AQ514" s="487"/>
      <c r="AR514" s="487"/>
      <c r="AS514" s="487"/>
      <c r="AT514" s="427">
        <v>153</v>
      </c>
      <c r="AU514" s="487"/>
      <c r="AV514" s="487"/>
      <c r="AW514" s="487"/>
      <c r="AX514" s="487"/>
      <c r="AY514" s="427">
        <v>330</v>
      </c>
      <c r="AZ514" s="487"/>
      <c r="BA514" s="487"/>
      <c r="BB514" s="487"/>
      <c r="BC514" s="487"/>
      <c r="BD514" s="427">
        <v>329</v>
      </c>
      <c r="BE514" s="487"/>
      <c r="BF514" s="487"/>
      <c r="BG514" s="487"/>
      <c r="BH514" s="487"/>
      <c r="BI514" s="427">
        <v>265</v>
      </c>
      <c r="BJ514" s="981"/>
      <c r="BK514" s="487"/>
      <c r="BL514" s="487"/>
      <c r="BM514" s="487"/>
      <c r="BN514" s="425"/>
      <c r="BO514" s="487"/>
      <c r="BP514" s="487"/>
      <c r="BQ514" s="487"/>
      <c r="BR514" s="487"/>
      <c r="BS514" s="425"/>
      <c r="BT514" s="425"/>
      <c r="BU514" s="425"/>
      <c r="BV514" s="425"/>
      <c r="BW514" s="223"/>
    </row>
    <row r="515" spans="1:75" s="224" customFormat="1" hidden="1" outlineLevel="2" x14ac:dyDescent="0.5">
      <c r="A515" s="218" t="s">
        <v>1984</v>
      </c>
      <c r="B515" s="494"/>
      <c r="C515" s="425"/>
      <c r="D515" s="425"/>
      <c r="E515" s="425"/>
      <c r="F515" s="425"/>
      <c r="G515" s="487"/>
      <c r="H515" s="487"/>
      <c r="I515" s="487"/>
      <c r="J515" s="487"/>
      <c r="K515" s="425"/>
      <c r="L515" s="487"/>
      <c r="M515" s="487"/>
      <c r="N515" s="487"/>
      <c r="O515" s="487"/>
      <c r="P515" s="425"/>
      <c r="Q515" s="487"/>
      <c r="R515" s="487"/>
      <c r="S515" s="487"/>
      <c r="T515" s="487"/>
      <c r="U515" s="425"/>
      <c r="V515" s="487"/>
      <c r="W515" s="487"/>
      <c r="X515" s="487"/>
      <c r="Y515" s="487"/>
      <c r="Z515" s="425"/>
      <c r="AA515" s="487"/>
      <c r="AB515" s="487"/>
      <c r="AC515" s="487"/>
      <c r="AD515" s="487"/>
      <c r="AE515" s="427">
        <v>112</v>
      </c>
      <c r="AF515" s="487"/>
      <c r="AG515" s="487"/>
      <c r="AH515" s="487"/>
      <c r="AI515" s="487"/>
      <c r="AJ515" s="427">
        <v>140</v>
      </c>
      <c r="AK515" s="487"/>
      <c r="AL515" s="487"/>
      <c r="AM515" s="487"/>
      <c r="AN515" s="487"/>
      <c r="AO515" s="427">
        <v>140</v>
      </c>
      <c r="AP515" s="487"/>
      <c r="AQ515" s="487"/>
      <c r="AR515" s="487"/>
      <c r="AS515" s="487"/>
      <c r="AT515" s="427">
        <v>140</v>
      </c>
      <c r="AU515" s="487"/>
      <c r="AV515" s="487"/>
      <c r="AW515" s="487"/>
      <c r="AX515" s="487"/>
      <c r="AY515" s="427">
        <v>140</v>
      </c>
      <c r="AZ515" s="487"/>
      <c r="BA515" s="487"/>
      <c r="BB515" s="487"/>
      <c r="BC515" s="487"/>
      <c r="BD515" s="427">
        <v>140</v>
      </c>
      <c r="BE515" s="487"/>
      <c r="BF515" s="487"/>
      <c r="BG515" s="487"/>
      <c r="BH515" s="487"/>
      <c r="BI515" s="427">
        <v>140</v>
      </c>
      <c r="BJ515" s="981"/>
      <c r="BK515" s="487"/>
      <c r="BL515" s="487"/>
      <c r="BM515" s="487"/>
      <c r="BN515" s="425"/>
      <c r="BO515" s="487"/>
      <c r="BP515" s="487"/>
      <c r="BQ515" s="487"/>
      <c r="BR515" s="487"/>
      <c r="BS515" s="425"/>
      <c r="BT515" s="425"/>
      <c r="BU515" s="425"/>
      <c r="BV515" s="425"/>
      <c r="BW515" s="223"/>
    </row>
    <row r="516" spans="1:75" s="224" customFormat="1" hidden="1" outlineLevel="2" x14ac:dyDescent="0.5">
      <c r="A516" s="218" t="s">
        <v>1985</v>
      </c>
      <c r="B516" s="494"/>
      <c r="C516" s="427">
        <v>72</v>
      </c>
      <c r="D516" s="427">
        <v>72</v>
      </c>
      <c r="E516" s="427">
        <v>72</v>
      </c>
      <c r="F516" s="425"/>
      <c r="G516" s="487"/>
      <c r="H516" s="487"/>
      <c r="I516" s="487"/>
      <c r="J516" s="487"/>
      <c r="K516" s="425"/>
      <c r="L516" s="487"/>
      <c r="M516" s="487"/>
      <c r="N516" s="487"/>
      <c r="O516" s="487"/>
      <c r="P516" s="425"/>
      <c r="Q516" s="487"/>
      <c r="R516" s="487"/>
      <c r="S516" s="487"/>
      <c r="T516" s="487"/>
      <c r="U516" s="425"/>
      <c r="V516" s="487"/>
      <c r="W516" s="487"/>
      <c r="X516" s="487"/>
      <c r="Y516" s="487"/>
      <c r="Z516" s="425"/>
      <c r="AA516" s="487"/>
      <c r="AB516" s="487"/>
      <c r="AC516" s="487"/>
      <c r="AD516" s="487"/>
      <c r="AE516" s="427">
        <v>116</v>
      </c>
      <c r="AF516" s="487"/>
      <c r="AG516" s="487"/>
      <c r="AH516" s="487"/>
      <c r="AI516" s="487"/>
      <c r="AJ516" s="427">
        <v>135</v>
      </c>
      <c r="AK516" s="487"/>
      <c r="AL516" s="487"/>
      <c r="AM516" s="487"/>
      <c r="AN516" s="487"/>
      <c r="AO516" s="427">
        <v>135</v>
      </c>
      <c r="AP516" s="487"/>
      <c r="AQ516" s="487"/>
      <c r="AR516" s="487"/>
      <c r="AS516" s="487"/>
      <c r="AT516" s="427">
        <v>135</v>
      </c>
      <c r="AU516" s="487"/>
      <c r="AV516" s="487"/>
      <c r="AW516" s="487"/>
      <c r="AX516" s="487"/>
      <c r="AY516" s="427">
        <v>135</v>
      </c>
      <c r="AZ516" s="487"/>
      <c r="BA516" s="487"/>
      <c r="BB516" s="487"/>
      <c r="BC516" s="487"/>
      <c r="BD516" s="427">
        <v>650</v>
      </c>
      <c r="BE516" s="487"/>
      <c r="BF516" s="487"/>
      <c r="BG516" s="487"/>
      <c r="BH516" s="487"/>
      <c r="BI516" s="427">
        <v>515</v>
      </c>
      <c r="BJ516" s="981"/>
      <c r="BK516" s="487"/>
      <c r="BL516" s="487"/>
      <c r="BM516" s="487"/>
      <c r="BN516" s="425"/>
      <c r="BO516" s="487"/>
      <c r="BP516" s="487"/>
      <c r="BQ516" s="487"/>
      <c r="BR516" s="487"/>
      <c r="BS516" s="425"/>
      <c r="BT516" s="425"/>
      <c r="BU516" s="425"/>
      <c r="BV516" s="425"/>
      <c r="BW516" s="223"/>
    </row>
    <row r="517" spans="1:75" s="224" customFormat="1" hidden="1" outlineLevel="2" x14ac:dyDescent="0.5">
      <c r="A517" s="218" t="s">
        <v>1986</v>
      </c>
      <c r="B517" s="494"/>
      <c r="C517" s="425"/>
      <c r="D517" s="425"/>
      <c r="E517" s="427">
        <v>91</v>
      </c>
      <c r="F517" s="425"/>
      <c r="G517" s="487"/>
      <c r="H517" s="487"/>
      <c r="I517" s="487"/>
      <c r="J517" s="487"/>
      <c r="K517" s="425"/>
      <c r="L517" s="487"/>
      <c r="M517" s="487"/>
      <c r="N517" s="487"/>
      <c r="O517" s="487"/>
      <c r="P517" s="425"/>
      <c r="Q517" s="487"/>
      <c r="R517" s="487"/>
      <c r="S517" s="487"/>
      <c r="T517" s="487"/>
      <c r="U517" s="427">
        <v>91</v>
      </c>
      <c r="V517" s="487"/>
      <c r="W517" s="487"/>
      <c r="X517" s="487"/>
      <c r="Y517" s="487"/>
      <c r="Z517" s="427">
        <v>91</v>
      </c>
      <c r="AA517" s="487"/>
      <c r="AB517" s="487"/>
      <c r="AC517" s="487"/>
      <c r="AD517" s="487"/>
      <c r="AE517" s="427">
        <v>91</v>
      </c>
      <c r="AF517" s="487"/>
      <c r="AG517" s="487"/>
      <c r="AH517" s="487"/>
      <c r="AI517" s="487"/>
      <c r="AJ517" s="427">
        <v>91</v>
      </c>
      <c r="AK517" s="487"/>
      <c r="AL517" s="487"/>
      <c r="AM517" s="487"/>
      <c r="AN517" s="487"/>
      <c r="AO517" s="427">
        <v>91</v>
      </c>
      <c r="AP517" s="487"/>
      <c r="AQ517" s="487"/>
      <c r="AR517" s="487"/>
      <c r="AS517" s="487"/>
      <c r="AT517" s="427">
        <v>91</v>
      </c>
      <c r="AU517" s="487"/>
      <c r="AV517" s="487"/>
      <c r="AW517" s="487"/>
      <c r="AX517" s="487"/>
      <c r="AY517" s="427">
        <v>93</v>
      </c>
      <c r="AZ517" s="487"/>
      <c r="BA517" s="487"/>
      <c r="BB517" s="487"/>
      <c r="BC517" s="487"/>
      <c r="BD517" s="427">
        <v>93</v>
      </c>
      <c r="BE517" s="487"/>
      <c r="BF517" s="487"/>
      <c r="BG517" s="487"/>
      <c r="BH517" s="487"/>
      <c r="BI517" s="427">
        <v>93</v>
      </c>
      <c r="BJ517" s="981"/>
      <c r="BK517" s="487"/>
      <c r="BL517" s="487"/>
      <c r="BM517" s="487"/>
      <c r="BN517" s="425"/>
      <c r="BO517" s="487"/>
      <c r="BP517" s="487"/>
      <c r="BQ517" s="487"/>
      <c r="BR517" s="487"/>
      <c r="BS517" s="425"/>
      <c r="BT517" s="425"/>
      <c r="BU517" s="425"/>
      <c r="BV517" s="425"/>
      <c r="BW517" s="223"/>
    </row>
    <row r="518" spans="1:75" s="224" customFormat="1" hidden="1" outlineLevel="2" x14ac:dyDescent="0.5">
      <c r="A518" s="218" t="s">
        <v>1987</v>
      </c>
      <c r="B518" s="494"/>
      <c r="C518" s="425"/>
      <c r="D518" s="425"/>
      <c r="E518" s="425"/>
      <c r="F518" s="425"/>
      <c r="G518" s="487"/>
      <c r="H518" s="487"/>
      <c r="I518" s="487"/>
      <c r="J518" s="487"/>
      <c r="K518" s="425"/>
      <c r="L518" s="487"/>
      <c r="M518" s="487"/>
      <c r="N518" s="487"/>
      <c r="O518" s="487"/>
      <c r="P518" s="425"/>
      <c r="Q518" s="487"/>
      <c r="R518" s="487"/>
      <c r="S518" s="487"/>
      <c r="T518" s="487"/>
      <c r="U518" s="425"/>
      <c r="V518" s="487"/>
      <c r="W518" s="487"/>
      <c r="X518" s="487"/>
      <c r="Y518" s="487"/>
      <c r="Z518" s="425"/>
      <c r="AA518" s="487"/>
      <c r="AB518" s="487"/>
      <c r="AC518" s="487"/>
      <c r="AD518" s="487"/>
      <c r="AE518" s="427">
        <v>80</v>
      </c>
      <c r="AF518" s="487"/>
      <c r="AG518" s="487"/>
      <c r="AH518" s="487"/>
      <c r="AI518" s="487"/>
      <c r="AJ518" s="427">
        <v>80</v>
      </c>
      <c r="AK518" s="487"/>
      <c r="AL518" s="487"/>
      <c r="AM518" s="487"/>
      <c r="AN518" s="487"/>
      <c r="AO518" s="427">
        <v>80</v>
      </c>
      <c r="AP518" s="487"/>
      <c r="AQ518" s="487"/>
      <c r="AR518" s="487"/>
      <c r="AS518" s="487"/>
      <c r="AT518" s="427">
        <v>80</v>
      </c>
      <c r="AU518" s="487"/>
      <c r="AV518" s="487"/>
      <c r="AW518" s="487"/>
      <c r="AX518" s="487"/>
      <c r="AY518" s="427">
        <v>80</v>
      </c>
      <c r="AZ518" s="487"/>
      <c r="BA518" s="487"/>
      <c r="BB518" s="487"/>
      <c r="BC518" s="487"/>
      <c r="BD518" s="427">
        <v>125</v>
      </c>
      <c r="BE518" s="487"/>
      <c r="BF518" s="487"/>
      <c r="BG518" s="487"/>
      <c r="BH518" s="487"/>
      <c r="BI518" s="427">
        <v>80</v>
      </c>
      <c r="BJ518" s="981"/>
      <c r="BK518" s="487"/>
      <c r="BL518" s="487"/>
      <c r="BM518" s="487"/>
      <c r="BN518" s="425"/>
      <c r="BO518" s="487"/>
      <c r="BP518" s="487"/>
      <c r="BQ518" s="487"/>
      <c r="BR518" s="487"/>
      <c r="BS518" s="425"/>
      <c r="BT518" s="425"/>
      <c r="BU518" s="425"/>
      <c r="BV518" s="425"/>
      <c r="BW518" s="223"/>
    </row>
    <row r="519" spans="1:75" s="224" customFormat="1" hidden="1" outlineLevel="2" x14ac:dyDescent="0.5">
      <c r="A519" s="218" t="s">
        <v>1988</v>
      </c>
      <c r="B519" s="494"/>
      <c r="C519" s="425"/>
      <c r="D519" s="425"/>
      <c r="E519" s="425"/>
      <c r="F519" s="425"/>
      <c r="G519" s="487"/>
      <c r="H519" s="487"/>
      <c r="I519" s="487"/>
      <c r="J519" s="487"/>
      <c r="K519" s="425"/>
      <c r="L519" s="487"/>
      <c r="M519" s="487"/>
      <c r="N519" s="487"/>
      <c r="O519" s="487"/>
      <c r="P519" s="425"/>
      <c r="Q519" s="487"/>
      <c r="R519" s="487"/>
      <c r="S519" s="487"/>
      <c r="T519" s="487"/>
      <c r="U519" s="425"/>
      <c r="V519" s="487"/>
      <c r="W519" s="487"/>
      <c r="X519" s="487"/>
      <c r="Y519" s="487"/>
      <c r="Z519" s="425"/>
      <c r="AA519" s="487"/>
      <c r="AB519" s="487"/>
      <c r="AC519" s="487"/>
      <c r="AD519" s="487"/>
      <c r="AE519" s="425"/>
      <c r="AF519" s="487"/>
      <c r="AG519" s="487"/>
      <c r="AH519" s="487"/>
      <c r="AI519" s="487"/>
      <c r="AJ519" s="425"/>
      <c r="AK519" s="487"/>
      <c r="AL519" s="487"/>
      <c r="AM519" s="487"/>
      <c r="AN519" s="487"/>
      <c r="AO519" s="425"/>
      <c r="AP519" s="487"/>
      <c r="AQ519" s="487"/>
      <c r="AR519" s="487"/>
      <c r="AS519" s="487"/>
      <c r="AT519" s="425"/>
      <c r="AU519" s="487"/>
      <c r="AV519" s="487"/>
      <c r="AW519" s="487"/>
      <c r="AX519" s="487"/>
      <c r="AY519" s="425"/>
      <c r="AZ519" s="487"/>
      <c r="BA519" s="487"/>
      <c r="BB519" s="487"/>
      <c r="BC519" s="487"/>
      <c r="BD519" s="427">
        <v>187</v>
      </c>
      <c r="BE519" s="487"/>
      <c r="BF519" s="487"/>
      <c r="BG519" s="487"/>
      <c r="BH519" s="487"/>
      <c r="BI519" s="427">
        <v>187</v>
      </c>
      <c r="BJ519" s="981"/>
      <c r="BK519" s="487"/>
      <c r="BL519" s="487"/>
      <c r="BM519" s="487"/>
      <c r="BN519" s="425"/>
      <c r="BO519" s="487"/>
      <c r="BP519" s="487"/>
      <c r="BQ519" s="487"/>
      <c r="BR519" s="487"/>
      <c r="BS519" s="425"/>
      <c r="BT519" s="425"/>
      <c r="BU519" s="425"/>
      <c r="BV519" s="425"/>
      <c r="BW519" s="223"/>
    </row>
    <row r="520" spans="1:75" s="224" customFormat="1" hidden="1" outlineLevel="2" x14ac:dyDescent="0.5">
      <c r="A520" s="218" t="s">
        <v>1989</v>
      </c>
      <c r="B520" s="494"/>
      <c r="C520" s="425"/>
      <c r="D520" s="425"/>
      <c r="E520" s="425"/>
      <c r="F520" s="427">
        <v>278</v>
      </c>
      <c r="G520" s="487"/>
      <c r="H520" s="487"/>
      <c r="I520" s="487"/>
      <c r="J520" s="487"/>
      <c r="K520" s="427">
        <v>346</v>
      </c>
      <c r="L520" s="487"/>
      <c r="M520" s="487"/>
      <c r="N520" s="487"/>
      <c r="O520" s="487"/>
      <c r="P520" s="427">
        <v>453</v>
      </c>
      <c r="Q520" s="487"/>
      <c r="R520" s="487"/>
      <c r="S520" s="487"/>
      <c r="T520" s="487"/>
      <c r="U520" s="427">
        <v>535</v>
      </c>
      <c r="V520" s="487"/>
      <c r="W520" s="487"/>
      <c r="X520" s="487"/>
      <c r="Y520" s="487"/>
      <c r="Z520" s="427">
        <v>573</v>
      </c>
      <c r="AA520" s="487"/>
      <c r="AB520" s="487"/>
      <c r="AC520" s="487"/>
      <c r="AD520" s="487"/>
      <c r="AE520" s="425"/>
      <c r="AF520" s="487"/>
      <c r="AG520" s="487"/>
      <c r="AH520" s="487"/>
      <c r="AI520" s="487"/>
      <c r="AJ520" s="425"/>
      <c r="AK520" s="487"/>
      <c r="AL520" s="487"/>
      <c r="AM520" s="487"/>
      <c r="AN520" s="487"/>
      <c r="AO520" s="425"/>
      <c r="AP520" s="487"/>
      <c r="AQ520" s="487"/>
      <c r="AR520" s="487"/>
      <c r="AS520" s="487"/>
      <c r="AT520" s="425"/>
      <c r="AU520" s="487"/>
      <c r="AV520" s="487"/>
      <c r="AW520" s="487"/>
      <c r="AX520" s="487"/>
      <c r="AY520" s="425"/>
      <c r="AZ520" s="487"/>
      <c r="BA520" s="487"/>
      <c r="BB520" s="487"/>
      <c r="BC520" s="487"/>
      <c r="BD520" s="425"/>
      <c r="BE520" s="487"/>
      <c r="BF520" s="487"/>
      <c r="BG520" s="487"/>
      <c r="BH520" s="487"/>
      <c r="BI520" s="425"/>
      <c r="BJ520" s="981"/>
      <c r="BK520" s="487"/>
      <c r="BL520" s="487"/>
      <c r="BM520" s="487"/>
      <c r="BN520" s="425"/>
      <c r="BO520" s="487"/>
      <c r="BP520" s="487"/>
      <c r="BQ520" s="487"/>
      <c r="BR520" s="487"/>
      <c r="BS520" s="425"/>
      <c r="BT520" s="425"/>
      <c r="BU520" s="425"/>
      <c r="BV520" s="425"/>
      <c r="BW520" s="223"/>
    </row>
    <row r="521" spans="1:75" s="169" customFormat="1" ht="14.25" hidden="1" outlineLevel="2" x14ac:dyDescent="0.45">
      <c r="A521" s="360" t="s">
        <v>1990</v>
      </c>
      <c r="B521" s="1127"/>
      <c r="C521" s="1128">
        <f>SUM(C506:C520)</f>
        <v>5816</v>
      </c>
      <c r="D521" s="1128">
        <f>SUM(D506:D520)</f>
        <v>6784</v>
      </c>
      <c r="E521" s="1128">
        <f>SUM(E506:E520)</f>
        <v>6307</v>
      </c>
      <c r="F521" s="1128">
        <f>SUM(F506:F520)</f>
        <v>6349</v>
      </c>
      <c r="G521" s="287"/>
      <c r="H521" s="287"/>
      <c r="I521" s="287"/>
      <c r="J521" s="287"/>
      <c r="K521" s="1128">
        <f>SUM(K506:K520)</f>
        <v>6920</v>
      </c>
      <c r="L521" s="287"/>
      <c r="M521" s="287"/>
      <c r="N521" s="287"/>
      <c r="O521" s="287"/>
      <c r="P521" s="1128">
        <f>SUM(P506:P520)</f>
        <v>7646</v>
      </c>
      <c r="Q521" s="287"/>
      <c r="R521" s="287"/>
      <c r="S521" s="287"/>
      <c r="T521" s="287"/>
      <c r="U521" s="1128">
        <f>SUM(U506:U520)</f>
        <v>8419</v>
      </c>
      <c r="V521" s="287"/>
      <c r="W521" s="287"/>
      <c r="X521" s="287"/>
      <c r="Y521" s="287"/>
      <c r="Z521" s="1128">
        <f>SUM(Z506:Z520)</f>
        <v>9290</v>
      </c>
      <c r="AA521" s="287"/>
      <c r="AB521" s="287"/>
      <c r="AC521" s="287"/>
      <c r="AD521" s="287"/>
      <c r="AE521" s="1128">
        <f>SUM(AE506:AE520)</f>
        <v>9290</v>
      </c>
      <c r="AF521" s="287"/>
      <c r="AG521" s="287"/>
      <c r="AH521" s="287"/>
      <c r="AI521" s="287"/>
      <c r="AJ521" s="1128">
        <f>SUM(AJ506:AJ520)</f>
        <v>9323</v>
      </c>
      <c r="AK521" s="287"/>
      <c r="AL521" s="287"/>
      <c r="AM521" s="287"/>
      <c r="AN521" s="287"/>
      <c r="AO521" s="1128">
        <f>SUM(AO506:AO520)</f>
        <v>10193</v>
      </c>
      <c r="AP521" s="287"/>
      <c r="AQ521" s="287"/>
      <c r="AR521" s="287"/>
      <c r="AS521" s="287"/>
      <c r="AT521" s="1128">
        <f>SUM(AT506:AT520)</f>
        <v>10408</v>
      </c>
      <c r="AU521" s="287"/>
      <c r="AV521" s="287"/>
      <c r="AW521" s="287"/>
      <c r="AX521" s="287"/>
      <c r="AY521" s="1128">
        <f>SUM(AY506:AY520)</f>
        <v>12185</v>
      </c>
      <c r="AZ521" s="287"/>
      <c r="BA521" s="287"/>
      <c r="BB521" s="287"/>
      <c r="BC521" s="287"/>
      <c r="BD521" s="1128">
        <f>SUM(BD506:BD520)</f>
        <v>15644</v>
      </c>
      <c r="BE521" s="287"/>
      <c r="BF521" s="287"/>
      <c r="BG521" s="287"/>
      <c r="BH521" s="287"/>
      <c r="BI521" s="1128">
        <f>SUM(BI506:BI520)</f>
        <v>14778</v>
      </c>
      <c r="BJ521" s="1129"/>
      <c r="BK521" s="287"/>
      <c r="BL521" s="287"/>
      <c r="BM521" s="287"/>
      <c r="BN521" s="1128"/>
      <c r="BO521" s="287"/>
      <c r="BP521" s="287"/>
      <c r="BQ521" s="287"/>
      <c r="BR521" s="287"/>
      <c r="BS521" s="1128"/>
      <c r="BT521" s="1128"/>
      <c r="BU521" s="1128"/>
      <c r="BV521" s="1128"/>
      <c r="BW521" s="168"/>
    </row>
    <row r="522" spans="1:75" s="224" customFormat="1" hidden="1" outlineLevel="2" x14ac:dyDescent="0.5">
      <c r="A522" s="588"/>
      <c r="B522" s="494"/>
      <c r="C522" s="425"/>
      <c r="D522" s="425"/>
      <c r="E522" s="425"/>
      <c r="F522" s="425"/>
      <c r="G522" s="487"/>
      <c r="H522" s="487"/>
      <c r="I522" s="487"/>
      <c r="J522" s="487"/>
      <c r="K522" s="425"/>
      <c r="L522" s="487"/>
      <c r="M522" s="487"/>
      <c r="N522" s="487"/>
      <c r="O522" s="487"/>
      <c r="P522" s="425"/>
      <c r="Q522" s="487"/>
      <c r="R522" s="487"/>
      <c r="S522" s="487"/>
      <c r="T522" s="487"/>
      <c r="U522" s="425"/>
      <c r="V522" s="487"/>
      <c r="W522" s="487"/>
      <c r="X522" s="487"/>
      <c r="Y522" s="487"/>
      <c r="Z522" s="425"/>
      <c r="AA522" s="487"/>
      <c r="AB522" s="487"/>
      <c r="AC522" s="487"/>
      <c r="AD522" s="487"/>
      <c r="AE522" s="425"/>
      <c r="AF522" s="487"/>
      <c r="AG522" s="487"/>
      <c r="AH522" s="487"/>
      <c r="AI522" s="487"/>
      <c r="AJ522" s="425"/>
      <c r="AK522" s="487"/>
      <c r="AL522" s="487"/>
      <c r="AM522" s="487"/>
      <c r="AN522" s="487"/>
      <c r="AO522" s="425"/>
      <c r="AP522" s="487"/>
      <c r="AQ522" s="487"/>
      <c r="AR522" s="487"/>
      <c r="AS522" s="487"/>
      <c r="AT522" s="425"/>
      <c r="AU522" s="487"/>
      <c r="AV522" s="487"/>
      <c r="AW522" s="487"/>
      <c r="AX522" s="487"/>
      <c r="AY522" s="425"/>
      <c r="AZ522" s="487"/>
      <c r="BA522" s="487"/>
      <c r="BB522" s="487"/>
      <c r="BC522" s="487"/>
      <c r="BD522" s="425"/>
      <c r="BE522" s="487"/>
      <c r="BF522" s="487"/>
      <c r="BG522" s="487"/>
      <c r="BH522" s="487"/>
      <c r="BI522" s="425"/>
      <c r="BJ522" s="981"/>
      <c r="BK522" s="487"/>
      <c r="BL522" s="487"/>
      <c r="BM522" s="487"/>
      <c r="BN522" s="425"/>
      <c r="BO522" s="487"/>
      <c r="BP522" s="487"/>
      <c r="BQ522" s="487"/>
      <c r="BR522" s="487"/>
      <c r="BS522" s="425"/>
      <c r="BT522" s="425"/>
      <c r="BU522" s="425"/>
      <c r="BV522" s="425"/>
      <c r="BW522" s="223"/>
    </row>
    <row r="523" spans="1:75" s="224" customFormat="1" hidden="1" outlineLevel="3" x14ac:dyDescent="0.5">
      <c r="A523" s="272" t="s">
        <v>1991</v>
      </c>
      <c r="B523" s="494"/>
      <c r="C523" s="427">
        <v>194</v>
      </c>
      <c r="D523" s="427">
        <v>194</v>
      </c>
      <c r="E523" s="427">
        <v>194</v>
      </c>
      <c r="F523" s="427">
        <v>194</v>
      </c>
      <c r="G523" s="487"/>
      <c r="H523" s="487"/>
      <c r="I523" s="487"/>
      <c r="J523" s="487"/>
      <c r="K523" s="427">
        <v>194</v>
      </c>
      <c r="L523" s="487"/>
      <c r="M523" s="487"/>
      <c r="N523" s="487"/>
      <c r="O523" s="487"/>
      <c r="P523" s="427">
        <v>194</v>
      </c>
      <c r="Q523" s="487"/>
      <c r="R523" s="487"/>
      <c r="S523" s="487"/>
      <c r="T523" s="487"/>
      <c r="U523" s="425"/>
      <c r="V523" s="487"/>
      <c r="W523" s="487"/>
      <c r="X523" s="487"/>
      <c r="Y523" s="487"/>
      <c r="Z523" s="425"/>
      <c r="AA523" s="487"/>
      <c r="AB523" s="487"/>
      <c r="AC523" s="487"/>
      <c r="AD523" s="487"/>
      <c r="AE523" s="425"/>
      <c r="AF523" s="487"/>
      <c r="AG523" s="487"/>
      <c r="AH523" s="487"/>
      <c r="AI523" s="487"/>
      <c r="AJ523" s="425"/>
      <c r="AK523" s="487"/>
      <c r="AL523" s="487"/>
      <c r="AM523" s="487"/>
      <c r="AN523" s="487"/>
      <c r="AO523" s="425"/>
      <c r="AP523" s="487"/>
      <c r="AQ523" s="487"/>
      <c r="AR523" s="487"/>
      <c r="AS523" s="487"/>
      <c r="AT523" s="425"/>
      <c r="AU523" s="487"/>
      <c r="AV523" s="487"/>
      <c r="AW523" s="487"/>
      <c r="AX523" s="487"/>
      <c r="AY523" s="425"/>
      <c r="AZ523" s="487"/>
      <c r="BA523" s="487"/>
      <c r="BB523" s="487"/>
      <c r="BC523" s="487"/>
      <c r="BD523" s="425"/>
      <c r="BE523" s="487"/>
      <c r="BF523" s="487"/>
      <c r="BG523" s="487"/>
      <c r="BH523" s="487"/>
      <c r="BI523" s="425"/>
      <c r="BJ523" s="981"/>
      <c r="BK523" s="487"/>
      <c r="BL523" s="487"/>
      <c r="BM523" s="487"/>
      <c r="BN523" s="425"/>
      <c r="BO523" s="487"/>
      <c r="BP523" s="487"/>
      <c r="BQ523" s="487"/>
      <c r="BR523" s="487"/>
      <c r="BS523" s="425"/>
      <c r="BT523" s="425"/>
      <c r="BU523" s="425"/>
      <c r="BV523" s="425"/>
      <c r="BW523" s="223"/>
    </row>
    <row r="524" spans="1:75" s="224" customFormat="1" hidden="1" outlineLevel="3" x14ac:dyDescent="0.5">
      <c r="A524" s="272" t="s">
        <v>1992</v>
      </c>
      <c r="B524" s="494"/>
      <c r="C524" s="427">
        <v>90</v>
      </c>
      <c r="D524" s="427">
        <v>64</v>
      </c>
      <c r="E524" s="427">
        <v>96</v>
      </c>
      <c r="F524" s="427">
        <v>13</v>
      </c>
      <c r="G524" s="487"/>
      <c r="H524" s="487"/>
      <c r="I524" s="487"/>
      <c r="J524" s="487"/>
      <c r="K524" s="427">
        <v>13</v>
      </c>
      <c r="L524" s="487"/>
      <c r="M524" s="487"/>
      <c r="N524" s="487"/>
      <c r="O524" s="487"/>
      <c r="P524" s="427">
        <v>29</v>
      </c>
      <c r="Q524" s="487"/>
      <c r="R524" s="487"/>
      <c r="S524" s="487"/>
      <c r="T524" s="487"/>
      <c r="U524" s="425"/>
      <c r="V524" s="487"/>
      <c r="W524" s="487"/>
      <c r="X524" s="487"/>
      <c r="Y524" s="487"/>
      <c r="Z524" s="425"/>
      <c r="AA524" s="487"/>
      <c r="AB524" s="487"/>
      <c r="AC524" s="487"/>
      <c r="AD524" s="487"/>
      <c r="AE524" s="425"/>
      <c r="AF524" s="487"/>
      <c r="AG524" s="487"/>
      <c r="AH524" s="487"/>
      <c r="AI524" s="487"/>
      <c r="AJ524" s="425"/>
      <c r="AK524" s="487"/>
      <c r="AL524" s="487"/>
      <c r="AM524" s="487"/>
      <c r="AN524" s="487"/>
      <c r="AO524" s="425"/>
      <c r="AP524" s="487"/>
      <c r="AQ524" s="487"/>
      <c r="AR524" s="487"/>
      <c r="AS524" s="487"/>
      <c r="AT524" s="425"/>
      <c r="AU524" s="487"/>
      <c r="AV524" s="487"/>
      <c r="AW524" s="487"/>
      <c r="AX524" s="487"/>
      <c r="AY524" s="425"/>
      <c r="AZ524" s="487"/>
      <c r="BA524" s="487"/>
      <c r="BB524" s="487"/>
      <c r="BC524" s="487"/>
      <c r="BD524" s="425"/>
      <c r="BE524" s="487"/>
      <c r="BF524" s="487"/>
      <c r="BG524" s="487"/>
      <c r="BH524" s="487"/>
      <c r="BI524" s="425"/>
      <c r="BJ524" s="981"/>
      <c r="BK524" s="487"/>
      <c r="BL524" s="487"/>
      <c r="BM524" s="487"/>
      <c r="BN524" s="425"/>
      <c r="BO524" s="487"/>
      <c r="BP524" s="487"/>
      <c r="BQ524" s="487"/>
      <c r="BR524" s="487"/>
      <c r="BS524" s="425"/>
      <c r="BT524" s="425"/>
      <c r="BU524" s="425"/>
      <c r="BV524" s="425"/>
      <c r="BW524" s="223"/>
    </row>
    <row r="525" spans="1:75" s="224" customFormat="1" hidden="1" outlineLevel="3" x14ac:dyDescent="0.5">
      <c r="A525" s="273" t="s">
        <v>1993</v>
      </c>
      <c r="B525" s="1220"/>
      <c r="C525" s="1222">
        <v>25</v>
      </c>
      <c r="D525" s="1222">
        <v>25</v>
      </c>
      <c r="E525" s="1222">
        <v>25</v>
      </c>
      <c r="F525" s="838"/>
      <c r="G525" s="1221"/>
      <c r="H525" s="1221"/>
      <c r="I525" s="1221"/>
      <c r="J525" s="1221"/>
      <c r="K525" s="838"/>
      <c r="L525" s="1221"/>
      <c r="M525" s="1221"/>
      <c r="N525" s="1221"/>
      <c r="O525" s="1221"/>
      <c r="P525" s="838"/>
      <c r="Q525" s="1221"/>
      <c r="R525" s="1221"/>
      <c r="S525" s="1221"/>
      <c r="T525" s="1221"/>
      <c r="U525" s="838"/>
      <c r="V525" s="1221"/>
      <c r="W525" s="1221"/>
      <c r="X525" s="1221"/>
      <c r="Y525" s="1221"/>
      <c r="Z525" s="838"/>
      <c r="AA525" s="1221"/>
      <c r="AB525" s="1221"/>
      <c r="AC525" s="1221"/>
      <c r="AD525" s="1221"/>
      <c r="AE525" s="838"/>
      <c r="AF525" s="1221"/>
      <c r="AG525" s="1221"/>
      <c r="AH525" s="1221"/>
      <c r="AI525" s="1221"/>
      <c r="AJ525" s="838"/>
      <c r="AK525" s="1221"/>
      <c r="AL525" s="1221"/>
      <c r="AM525" s="1221"/>
      <c r="AN525" s="1221"/>
      <c r="AO525" s="838"/>
      <c r="AP525" s="1221"/>
      <c r="AQ525" s="1221"/>
      <c r="AR525" s="1221"/>
      <c r="AS525" s="1221"/>
      <c r="AT525" s="838"/>
      <c r="AU525" s="1221"/>
      <c r="AV525" s="1221"/>
      <c r="AW525" s="1221"/>
      <c r="AX525" s="1221"/>
      <c r="AY525" s="838"/>
      <c r="AZ525" s="1221"/>
      <c r="BA525" s="1221"/>
      <c r="BB525" s="1221"/>
      <c r="BC525" s="1221"/>
      <c r="BD525" s="838"/>
      <c r="BE525" s="1221"/>
      <c r="BF525" s="1221"/>
      <c r="BG525" s="1221"/>
      <c r="BH525" s="1221"/>
      <c r="BI525" s="838"/>
      <c r="BJ525" s="1022"/>
      <c r="BK525" s="1221"/>
      <c r="BL525" s="1221"/>
      <c r="BM525" s="1221"/>
      <c r="BN525" s="838"/>
      <c r="BO525" s="1221"/>
      <c r="BP525" s="1221"/>
      <c r="BQ525" s="1221"/>
      <c r="BR525" s="1221"/>
      <c r="BS525" s="838"/>
      <c r="BT525" s="838"/>
      <c r="BU525" s="838"/>
      <c r="BV525" s="838"/>
      <c r="BW525" s="223"/>
    </row>
    <row r="526" spans="1:75" s="224" customFormat="1" hidden="1" outlineLevel="2" collapsed="1" x14ac:dyDescent="0.5">
      <c r="A526" s="218" t="s">
        <v>1994</v>
      </c>
      <c r="B526" s="494"/>
      <c r="C526" s="425">
        <f>SUM(C523:C525)</f>
        <v>309</v>
      </c>
      <c r="D526" s="425">
        <f t="shared" ref="D526:F526" si="869">SUM(D523:D525)</f>
        <v>283</v>
      </c>
      <c r="E526" s="425">
        <f t="shared" si="869"/>
        <v>315</v>
      </c>
      <c r="F526" s="425">
        <f t="shared" si="869"/>
        <v>207</v>
      </c>
      <c r="G526" s="487"/>
      <c r="H526" s="487"/>
      <c r="I526" s="487"/>
      <c r="J526" s="487"/>
      <c r="K526" s="425">
        <f t="shared" ref="K526" si="870">SUM(K523:K525)</f>
        <v>207</v>
      </c>
      <c r="L526" s="487"/>
      <c r="M526" s="487"/>
      <c r="N526" s="487"/>
      <c r="O526" s="487"/>
      <c r="P526" s="425">
        <f t="shared" ref="P526" si="871">SUM(P523:P525)</f>
        <v>223</v>
      </c>
      <c r="Q526" s="487"/>
      <c r="R526" s="487"/>
      <c r="S526" s="487"/>
      <c r="T526" s="487"/>
      <c r="U526" s="427">
        <v>240</v>
      </c>
      <c r="V526" s="487"/>
      <c r="W526" s="487"/>
      <c r="X526" s="487"/>
      <c r="Y526" s="487"/>
      <c r="Z526" s="427">
        <v>240</v>
      </c>
      <c r="AA526" s="487"/>
      <c r="AB526" s="487"/>
      <c r="AC526" s="487"/>
      <c r="AD526" s="487"/>
      <c r="AE526" s="427">
        <v>249</v>
      </c>
      <c r="AF526" s="487"/>
      <c r="AG526" s="487"/>
      <c r="AH526" s="487"/>
      <c r="AI526" s="487"/>
      <c r="AJ526" s="427">
        <v>266</v>
      </c>
      <c r="AK526" s="487"/>
      <c r="AL526" s="487"/>
      <c r="AM526" s="487"/>
      <c r="AN526" s="487"/>
      <c r="AO526" s="427">
        <v>269</v>
      </c>
      <c r="AP526" s="487"/>
      <c r="AQ526" s="487"/>
      <c r="AR526" s="487"/>
      <c r="AS526" s="487"/>
      <c r="AT526" s="427">
        <v>269</v>
      </c>
      <c r="AU526" s="487"/>
      <c r="AV526" s="487"/>
      <c r="AW526" s="487"/>
      <c r="AX526" s="487"/>
      <c r="AY526" s="427">
        <v>255</v>
      </c>
      <c r="AZ526" s="487"/>
      <c r="BA526" s="487"/>
      <c r="BB526" s="487"/>
      <c r="BC526" s="487"/>
      <c r="BD526" s="427">
        <v>94</v>
      </c>
      <c r="BE526" s="487"/>
      <c r="BF526" s="487"/>
      <c r="BG526" s="487"/>
      <c r="BH526" s="487"/>
      <c r="BI526" s="427">
        <v>124</v>
      </c>
      <c r="BJ526" s="981"/>
      <c r="BK526" s="487"/>
      <c r="BL526" s="487"/>
      <c r="BM526" s="487"/>
      <c r="BN526" s="425"/>
      <c r="BO526" s="487"/>
      <c r="BP526" s="487"/>
      <c r="BQ526" s="487"/>
      <c r="BR526" s="487"/>
      <c r="BS526" s="425"/>
      <c r="BT526" s="425"/>
      <c r="BU526" s="425"/>
      <c r="BV526" s="425"/>
      <c r="BW526" s="223"/>
    </row>
    <row r="527" spans="1:75" s="224" customFormat="1" hidden="1" outlineLevel="2" x14ac:dyDescent="0.5">
      <c r="A527" s="218" t="s">
        <v>1995</v>
      </c>
      <c r="B527" s="494"/>
      <c r="C527" s="427">
        <v>52</v>
      </c>
      <c r="D527" s="427">
        <v>67</v>
      </c>
      <c r="E527" s="427">
        <v>67</v>
      </c>
      <c r="F527" s="427">
        <v>93</v>
      </c>
      <c r="G527" s="487"/>
      <c r="H527" s="487"/>
      <c r="I527" s="487"/>
      <c r="J527" s="487"/>
      <c r="K527" s="427">
        <v>105</v>
      </c>
      <c r="L527" s="487"/>
      <c r="M527" s="487"/>
      <c r="N527" s="487"/>
      <c r="O527" s="487"/>
      <c r="P527" s="427">
        <v>132</v>
      </c>
      <c r="Q527" s="487"/>
      <c r="R527" s="487"/>
      <c r="S527" s="487"/>
      <c r="T527" s="487"/>
      <c r="U527" s="427">
        <v>134</v>
      </c>
      <c r="V527" s="487"/>
      <c r="W527" s="487"/>
      <c r="X527" s="487"/>
      <c r="Y527" s="487"/>
      <c r="Z527" s="427">
        <v>264</v>
      </c>
      <c r="AA527" s="487"/>
      <c r="AB527" s="487"/>
      <c r="AC527" s="487"/>
      <c r="AD527" s="487"/>
      <c r="AE527" s="427">
        <v>238</v>
      </c>
      <c r="AF527" s="487"/>
      <c r="AG527" s="487"/>
      <c r="AH527" s="487"/>
      <c r="AI527" s="487"/>
      <c r="AJ527" s="427">
        <v>238</v>
      </c>
      <c r="AK527" s="487"/>
      <c r="AL527" s="487"/>
      <c r="AM527" s="487"/>
      <c r="AN527" s="487"/>
      <c r="AO527" s="427">
        <v>238</v>
      </c>
      <c r="AP527" s="487"/>
      <c r="AQ527" s="487"/>
      <c r="AR527" s="487"/>
      <c r="AS527" s="487"/>
      <c r="AT527" s="427">
        <v>238</v>
      </c>
      <c r="AU527" s="487"/>
      <c r="AV527" s="487"/>
      <c r="AW527" s="487"/>
      <c r="AX527" s="487"/>
      <c r="AY527" s="427">
        <v>238</v>
      </c>
      <c r="AZ527" s="487"/>
      <c r="BA527" s="487"/>
      <c r="BB527" s="487"/>
      <c r="BC527" s="487"/>
      <c r="BD527" s="427">
        <v>238</v>
      </c>
      <c r="BE527" s="487"/>
      <c r="BF527" s="487"/>
      <c r="BG527" s="487"/>
      <c r="BH527" s="487"/>
      <c r="BI527" s="427">
        <v>238</v>
      </c>
      <c r="BJ527" s="981"/>
      <c r="BK527" s="487"/>
      <c r="BL527" s="487"/>
      <c r="BM527" s="487"/>
      <c r="BN527" s="425"/>
      <c r="BO527" s="487"/>
      <c r="BP527" s="487"/>
      <c r="BQ527" s="487"/>
      <c r="BR527" s="487"/>
      <c r="BS527" s="425"/>
      <c r="BT527" s="425"/>
      <c r="BU527" s="425"/>
      <c r="BV527" s="425"/>
      <c r="BW527" s="223"/>
    </row>
    <row r="528" spans="1:75" s="224" customFormat="1" hidden="1" outlineLevel="2" x14ac:dyDescent="0.5">
      <c r="A528" s="218" t="s">
        <v>1996</v>
      </c>
      <c r="B528" s="494"/>
      <c r="C528" s="425"/>
      <c r="D528" s="425"/>
      <c r="E528" s="425"/>
      <c r="F528" s="425"/>
      <c r="G528" s="487"/>
      <c r="H528" s="487"/>
      <c r="I528" s="487"/>
      <c r="J528" s="487"/>
      <c r="K528" s="427">
        <v>103</v>
      </c>
      <c r="L528" s="487"/>
      <c r="M528" s="487"/>
      <c r="N528" s="487"/>
      <c r="O528" s="487"/>
      <c r="P528" s="427">
        <v>132</v>
      </c>
      <c r="Q528" s="487"/>
      <c r="R528" s="487"/>
      <c r="S528" s="487"/>
      <c r="T528" s="487"/>
      <c r="U528" s="427">
        <v>41</v>
      </c>
      <c r="V528" s="487"/>
      <c r="W528" s="487"/>
      <c r="X528" s="487"/>
      <c r="Y528" s="487"/>
      <c r="Z528" s="427">
        <v>71</v>
      </c>
      <c r="AA528" s="487"/>
      <c r="AB528" s="487"/>
      <c r="AC528" s="487"/>
      <c r="AD528" s="487"/>
      <c r="AE528" s="427">
        <v>49</v>
      </c>
      <c r="AF528" s="487"/>
      <c r="AG528" s="487"/>
      <c r="AH528" s="487"/>
      <c r="AI528" s="487"/>
      <c r="AJ528" s="427">
        <v>49</v>
      </c>
      <c r="AK528" s="487"/>
      <c r="AL528" s="487"/>
      <c r="AM528" s="487"/>
      <c r="AN528" s="487"/>
      <c r="AO528" s="427">
        <v>49</v>
      </c>
      <c r="AP528" s="487"/>
      <c r="AQ528" s="487"/>
      <c r="AR528" s="487"/>
      <c r="AS528" s="487"/>
      <c r="AT528" s="427">
        <v>49</v>
      </c>
      <c r="AU528" s="487"/>
      <c r="AV528" s="487"/>
      <c r="AW528" s="487"/>
      <c r="AX528" s="487"/>
      <c r="AY528" s="427">
        <v>51</v>
      </c>
      <c r="AZ528" s="487"/>
      <c r="BA528" s="487"/>
      <c r="BB528" s="487"/>
      <c r="BC528" s="487"/>
      <c r="BD528" s="427">
        <v>61</v>
      </c>
      <c r="BE528" s="487"/>
      <c r="BF528" s="487"/>
      <c r="BG528" s="487"/>
      <c r="BH528" s="487"/>
      <c r="BI528" s="427">
        <v>63</v>
      </c>
      <c r="BJ528" s="981"/>
      <c r="BK528" s="487"/>
      <c r="BL528" s="487"/>
      <c r="BM528" s="487"/>
      <c r="BN528" s="425"/>
      <c r="BO528" s="487"/>
      <c r="BP528" s="487"/>
      <c r="BQ528" s="487"/>
      <c r="BR528" s="487"/>
      <c r="BS528" s="425"/>
      <c r="BT528" s="425"/>
      <c r="BU528" s="425"/>
      <c r="BV528" s="425"/>
      <c r="BW528" s="223"/>
    </row>
    <row r="529" spans="1:75" s="224" customFormat="1" hidden="1" outlineLevel="2" x14ac:dyDescent="0.5">
      <c r="A529" s="218" t="s">
        <v>1997</v>
      </c>
      <c r="B529" s="494"/>
      <c r="C529" s="425"/>
      <c r="D529" s="425"/>
      <c r="E529" s="425"/>
      <c r="F529" s="427">
        <v>41</v>
      </c>
      <c r="G529" s="487"/>
      <c r="H529" s="487"/>
      <c r="I529" s="487"/>
      <c r="J529" s="487"/>
      <c r="K529" s="425"/>
      <c r="L529" s="487"/>
      <c r="M529" s="487"/>
      <c r="N529" s="487"/>
      <c r="O529" s="487"/>
      <c r="P529" s="425"/>
      <c r="Q529" s="487"/>
      <c r="R529" s="487"/>
      <c r="S529" s="487"/>
      <c r="T529" s="487"/>
      <c r="U529" s="425"/>
      <c r="V529" s="487"/>
      <c r="W529" s="487"/>
      <c r="X529" s="487"/>
      <c r="Y529" s="487"/>
      <c r="Z529" s="425"/>
      <c r="AA529" s="487"/>
      <c r="AB529" s="487"/>
      <c r="AC529" s="487"/>
      <c r="AD529" s="487"/>
      <c r="AE529" s="425"/>
      <c r="AF529" s="487"/>
      <c r="AG529" s="487"/>
      <c r="AH529" s="487"/>
      <c r="AI529" s="487"/>
      <c r="AJ529" s="425"/>
      <c r="AK529" s="487"/>
      <c r="AL529" s="487"/>
      <c r="AM529" s="487"/>
      <c r="AN529" s="487"/>
      <c r="AO529" s="425"/>
      <c r="AP529" s="487"/>
      <c r="AQ529" s="487"/>
      <c r="AR529" s="487"/>
      <c r="AS529" s="487"/>
      <c r="AT529" s="425"/>
      <c r="AU529" s="487"/>
      <c r="AV529" s="487"/>
      <c r="AW529" s="487"/>
      <c r="AX529" s="487"/>
      <c r="AY529" s="425"/>
      <c r="AZ529" s="487"/>
      <c r="BA529" s="487"/>
      <c r="BB529" s="487"/>
      <c r="BC529" s="487"/>
      <c r="BD529" s="425"/>
      <c r="BE529" s="487"/>
      <c r="BF529" s="487"/>
      <c r="BG529" s="487"/>
      <c r="BH529" s="487"/>
      <c r="BI529" s="425"/>
      <c r="BJ529" s="981"/>
      <c r="BK529" s="487"/>
      <c r="BL529" s="487"/>
      <c r="BM529" s="487"/>
      <c r="BN529" s="425"/>
      <c r="BO529" s="487"/>
      <c r="BP529" s="487"/>
      <c r="BQ529" s="487"/>
      <c r="BR529" s="487"/>
      <c r="BS529" s="425"/>
      <c r="BT529" s="425"/>
      <c r="BU529" s="425"/>
      <c r="BV529" s="425"/>
      <c r="BW529" s="223"/>
    </row>
    <row r="530" spans="1:75" s="169" customFormat="1" ht="14.25" hidden="1" outlineLevel="2" x14ac:dyDescent="0.45">
      <c r="A530" s="360" t="s">
        <v>1998</v>
      </c>
      <c r="B530" s="1127"/>
      <c r="C530" s="1128">
        <f>SUM(C526:C529)</f>
        <v>361</v>
      </c>
      <c r="D530" s="1128">
        <f>SUM(D526:D529)</f>
        <v>350</v>
      </c>
      <c r="E530" s="1128">
        <f>SUM(E526:E529)</f>
        <v>382</v>
      </c>
      <c r="F530" s="1128">
        <f>SUM(F526:F529)</f>
        <v>341</v>
      </c>
      <c r="G530" s="287"/>
      <c r="H530" s="287"/>
      <c r="I530" s="287"/>
      <c r="J530" s="287"/>
      <c r="K530" s="1128">
        <f>SUM(K526:K529)</f>
        <v>415</v>
      </c>
      <c r="L530" s="287"/>
      <c r="M530" s="287"/>
      <c r="N530" s="287"/>
      <c r="O530" s="287"/>
      <c r="P530" s="1128">
        <f>SUM(P526:P529)</f>
        <v>487</v>
      </c>
      <c r="Q530" s="287"/>
      <c r="R530" s="287"/>
      <c r="S530" s="287"/>
      <c r="T530" s="287"/>
      <c r="U530" s="1128">
        <f>SUM(U526:U529)</f>
        <v>415</v>
      </c>
      <c r="V530" s="287"/>
      <c r="W530" s="287"/>
      <c r="X530" s="287"/>
      <c r="Y530" s="287"/>
      <c r="Z530" s="1128">
        <f>SUM(Z526:Z529)</f>
        <v>575</v>
      </c>
      <c r="AA530" s="287"/>
      <c r="AB530" s="287"/>
      <c r="AC530" s="287"/>
      <c r="AD530" s="287"/>
      <c r="AE530" s="1128">
        <f>SUM(AE526:AE529)</f>
        <v>536</v>
      </c>
      <c r="AF530" s="287"/>
      <c r="AG530" s="287"/>
      <c r="AH530" s="287"/>
      <c r="AI530" s="287"/>
      <c r="AJ530" s="1128">
        <f>SUM(AJ526:AJ529)</f>
        <v>553</v>
      </c>
      <c r="AK530" s="287"/>
      <c r="AL530" s="287"/>
      <c r="AM530" s="287"/>
      <c r="AN530" s="287"/>
      <c r="AO530" s="1128">
        <f>SUM(AO526:AO529)</f>
        <v>556</v>
      </c>
      <c r="AP530" s="287"/>
      <c r="AQ530" s="287"/>
      <c r="AR530" s="287"/>
      <c r="AS530" s="287"/>
      <c r="AT530" s="1128">
        <f>SUM(AT526:AT529)</f>
        <v>556</v>
      </c>
      <c r="AU530" s="287"/>
      <c r="AV530" s="287"/>
      <c r="AW530" s="287"/>
      <c r="AX530" s="287"/>
      <c r="AY530" s="1128">
        <f>SUM(AY526:AY529)</f>
        <v>544</v>
      </c>
      <c r="AZ530" s="287"/>
      <c r="BA530" s="287"/>
      <c r="BB530" s="287"/>
      <c r="BC530" s="287"/>
      <c r="BD530" s="1128">
        <f>SUM(BD526:BD529)</f>
        <v>393</v>
      </c>
      <c r="BE530" s="287"/>
      <c r="BF530" s="287"/>
      <c r="BG530" s="287"/>
      <c r="BH530" s="287"/>
      <c r="BI530" s="1128">
        <f>SUM(BI526:BI529)</f>
        <v>425</v>
      </c>
      <c r="BJ530" s="1129"/>
      <c r="BK530" s="287"/>
      <c r="BL530" s="287"/>
      <c r="BM530" s="287"/>
      <c r="BN530" s="1128"/>
      <c r="BO530" s="287"/>
      <c r="BP530" s="287"/>
      <c r="BQ530" s="287"/>
      <c r="BR530" s="287"/>
      <c r="BS530" s="1128"/>
      <c r="BT530" s="1128"/>
      <c r="BU530" s="1128"/>
      <c r="BV530" s="1128"/>
      <c r="BW530" s="168"/>
    </row>
    <row r="531" spans="1:75" s="224" customFormat="1" hidden="1" outlineLevel="2" x14ac:dyDescent="0.5">
      <c r="A531" s="588"/>
      <c r="B531" s="494"/>
      <c r="C531" s="425"/>
      <c r="D531" s="425"/>
      <c r="E531" s="425"/>
      <c r="F531" s="425"/>
      <c r="G531" s="487"/>
      <c r="H531" s="487"/>
      <c r="I531" s="487"/>
      <c r="J531" s="487"/>
      <c r="K531" s="425"/>
      <c r="L531" s="487"/>
      <c r="M531" s="487"/>
      <c r="N531" s="487"/>
      <c r="O531" s="487"/>
      <c r="P531" s="425"/>
      <c r="Q531" s="487"/>
      <c r="R531" s="487"/>
      <c r="S531" s="487"/>
      <c r="T531" s="487"/>
      <c r="U531" s="425"/>
      <c r="V531" s="487"/>
      <c r="W531" s="487"/>
      <c r="X531" s="487"/>
      <c r="Y531" s="487"/>
      <c r="Z531" s="425"/>
      <c r="AA531" s="487"/>
      <c r="AB531" s="487"/>
      <c r="AC531" s="487"/>
      <c r="AD531" s="487"/>
      <c r="AE531" s="425"/>
      <c r="AF531" s="487"/>
      <c r="AG531" s="487"/>
      <c r="AH531" s="487"/>
      <c r="AI531" s="487"/>
      <c r="AJ531" s="425"/>
      <c r="AK531" s="487"/>
      <c r="AL531" s="487"/>
      <c r="AM531" s="487"/>
      <c r="AN531" s="487"/>
      <c r="AO531" s="425"/>
      <c r="AP531" s="487"/>
      <c r="AQ531" s="487"/>
      <c r="AR531" s="487"/>
      <c r="AS531" s="487"/>
      <c r="AT531" s="425"/>
      <c r="AU531" s="487"/>
      <c r="AV531" s="487"/>
      <c r="AW531" s="487"/>
      <c r="AX531" s="487"/>
      <c r="AY531" s="425"/>
      <c r="AZ531" s="487"/>
      <c r="BA531" s="487"/>
      <c r="BB531" s="487"/>
      <c r="BC531" s="487"/>
      <c r="BD531" s="425"/>
      <c r="BE531" s="487"/>
      <c r="BF531" s="487"/>
      <c r="BG531" s="487"/>
      <c r="BH531" s="487"/>
      <c r="BI531" s="425"/>
      <c r="BJ531" s="981"/>
      <c r="BK531" s="487"/>
      <c r="BL531" s="487"/>
      <c r="BM531" s="487"/>
      <c r="BN531" s="425"/>
      <c r="BO531" s="487"/>
      <c r="BP531" s="487"/>
      <c r="BQ531" s="487"/>
      <c r="BR531" s="487"/>
      <c r="BS531" s="425"/>
      <c r="BT531" s="425"/>
      <c r="BU531" s="425"/>
      <c r="BV531" s="425"/>
      <c r="BW531" s="223"/>
    </row>
    <row r="532" spans="1:75" s="224" customFormat="1" hidden="1" outlineLevel="2" x14ac:dyDescent="0.5">
      <c r="A532" s="218" t="s">
        <v>1999</v>
      </c>
      <c r="B532" s="494"/>
      <c r="C532" s="427">
        <v>36</v>
      </c>
      <c r="D532" s="427">
        <v>36</v>
      </c>
      <c r="E532" s="427">
        <v>36</v>
      </c>
      <c r="F532" s="427">
        <v>36</v>
      </c>
      <c r="G532" s="487"/>
      <c r="H532" s="487"/>
      <c r="I532" s="487"/>
      <c r="J532" s="487"/>
      <c r="K532" s="427">
        <v>36</v>
      </c>
      <c r="L532" s="487"/>
      <c r="M532" s="487"/>
      <c r="N532" s="487"/>
      <c r="O532" s="487"/>
      <c r="P532" s="427">
        <v>36</v>
      </c>
      <c r="Q532" s="487"/>
      <c r="R532" s="487"/>
      <c r="S532" s="487"/>
      <c r="T532" s="487"/>
      <c r="U532" s="427">
        <v>36</v>
      </c>
      <c r="V532" s="487"/>
      <c r="W532" s="487"/>
      <c r="X532" s="487"/>
      <c r="Y532" s="487"/>
      <c r="Z532" s="427">
        <v>36</v>
      </c>
      <c r="AA532" s="487"/>
      <c r="AB532" s="487"/>
      <c r="AC532" s="487"/>
      <c r="AD532" s="487"/>
      <c r="AE532" s="427">
        <v>36</v>
      </c>
      <c r="AF532" s="487"/>
      <c r="AG532" s="487"/>
      <c r="AH532" s="487"/>
      <c r="AI532" s="487"/>
      <c r="AJ532" s="427">
        <v>36</v>
      </c>
      <c r="AK532" s="487"/>
      <c r="AL532" s="487"/>
      <c r="AM532" s="487"/>
      <c r="AN532" s="487"/>
      <c r="AO532" s="427">
        <v>36</v>
      </c>
      <c r="AP532" s="487"/>
      <c r="AQ532" s="487"/>
      <c r="AR532" s="487"/>
      <c r="AS532" s="487"/>
      <c r="AT532" s="427">
        <v>36</v>
      </c>
      <c r="AU532" s="487"/>
      <c r="AV532" s="487"/>
      <c r="AW532" s="487"/>
      <c r="AX532" s="487"/>
      <c r="AY532" s="427">
        <v>36</v>
      </c>
      <c r="AZ532" s="487"/>
      <c r="BA532" s="487"/>
      <c r="BB532" s="487"/>
      <c r="BC532" s="487"/>
      <c r="BD532" s="427">
        <v>36</v>
      </c>
      <c r="BE532" s="487"/>
      <c r="BF532" s="487"/>
      <c r="BG532" s="487"/>
      <c r="BH532" s="487"/>
      <c r="BI532" s="427">
        <v>36</v>
      </c>
      <c r="BJ532" s="981"/>
      <c r="BK532" s="487"/>
      <c r="BL532" s="487"/>
      <c r="BM532" s="487"/>
      <c r="BN532" s="425"/>
      <c r="BO532" s="487"/>
      <c r="BP532" s="487"/>
      <c r="BQ532" s="487"/>
      <c r="BR532" s="487"/>
      <c r="BS532" s="425"/>
      <c r="BT532" s="425"/>
      <c r="BU532" s="425"/>
      <c r="BV532" s="425"/>
      <c r="BW532" s="223"/>
    </row>
    <row r="533" spans="1:75" s="224" customFormat="1" hidden="1" outlineLevel="2" x14ac:dyDescent="0.5">
      <c r="A533" s="218" t="s">
        <v>2000</v>
      </c>
      <c r="B533" s="494"/>
      <c r="C533" s="427">
        <v>36</v>
      </c>
      <c r="D533" s="427">
        <v>36</v>
      </c>
      <c r="E533" s="427">
        <v>36</v>
      </c>
      <c r="F533" s="427">
        <v>36</v>
      </c>
      <c r="G533" s="487"/>
      <c r="H533" s="487"/>
      <c r="I533" s="487"/>
      <c r="J533" s="487"/>
      <c r="K533" s="427">
        <v>36</v>
      </c>
      <c r="L533" s="487"/>
      <c r="M533" s="487"/>
      <c r="N533" s="487"/>
      <c r="O533" s="487"/>
      <c r="P533" s="427">
        <v>36</v>
      </c>
      <c r="Q533" s="487"/>
      <c r="R533" s="487"/>
      <c r="S533" s="487"/>
      <c r="T533" s="487"/>
      <c r="U533" s="427">
        <v>36</v>
      </c>
      <c r="V533" s="487"/>
      <c r="W533" s="487"/>
      <c r="X533" s="487"/>
      <c r="Y533" s="487"/>
      <c r="Z533" s="427">
        <v>36</v>
      </c>
      <c r="AA533" s="487"/>
      <c r="AB533" s="487"/>
      <c r="AC533" s="487"/>
      <c r="AD533" s="487"/>
      <c r="AE533" s="425"/>
      <c r="AF533" s="487"/>
      <c r="AG533" s="487"/>
      <c r="AH533" s="487"/>
      <c r="AI533" s="487"/>
      <c r="AJ533" s="425"/>
      <c r="AK533" s="487"/>
      <c r="AL533" s="487"/>
      <c r="AM533" s="487"/>
      <c r="AN533" s="487"/>
      <c r="AO533" s="425"/>
      <c r="AP533" s="487"/>
      <c r="AQ533" s="487"/>
      <c r="AR533" s="487"/>
      <c r="AS533" s="487"/>
      <c r="AT533" s="425"/>
      <c r="AU533" s="487"/>
      <c r="AV533" s="487"/>
      <c r="AW533" s="487"/>
      <c r="AX533" s="487"/>
      <c r="AY533" s="425"/>
      <c r="AZ533" s="487"/>
      <c r="BA533" s="487"/>
      <c r="BB533" s="487"/>
      <c r="BC533" s="487"/>
      <c r="BD533" s="425"/>
      <c r="BE533" s="487"/>
      <c r="BF533" s="487"/>
      <c r="BG533" s="487"/>
      <c r="BH533" s="487"/>
      <c r="BI533" s="425"/>
      <c r="BJ533" s="981"/>
      <c r="BK533" s="487"/>
      <c r="BL533" s="487"/>
      <c r="BM533" s="487"/>
      <c r="BN533" s="425"/>
      <c r="BO533" s="487"/>
      <c r="BP533" s="487"/>
      <c r="BQ533" s="487"/>
      <c r="BR533" s="487"/>
      <c r="BS533" s="425"/>
      <c r="BT533" s="425"/>
      <c r="BU533" s="425"/>
      <c r="BV533" s="425"/>
      <c r="BW533" s="223"/>
    </row>
    <row r="534" spans="1:75" s="224" customFormat="1" hidden="1" outlineLevel="2" x14ac:dyDescent="0.5">
      <c r="A534" s="218" t="s">
        <v>2001</v>
      </c>
      <c r="B534" s="494"/>
      <c r="C534" s="427">
        <v>7</v>
      </c>
      <c r="D534" s="427">
        <v>7</v>
      </c>
      <c r="E534" s="427">
        <v>7</v>
      </c>
      <c r="F534" s="425"/>
      <c r="G534" s="487"/>
      <c r="H534" s="487"/>
      <c r="I534" s="487"/>
      <c r="J534" s="487"/>
      <c r="K534" s="425"/>
      <c r="L534" s="487"/>
      <c r="M534" s="487"/>
      <c r="N534" s="487"/>
      <c r="O534" s="487"/>
      <c r="P534" s="425"/>
      <c r="Q534" s="487"/>
      <c r="R534" s="487"/>
      <c r="S534" s="487"/>
      <c r="T534" s="487"/>
      <c r="U534" s="425"/>
      <c r="V534" s="487"/>
      <c r="W534" s="487"/>
      <c r="X534" s="487"/>
      <c r="Y534" s="487"/>
      <c r="Z534" s="425"/>
      <c r="AA534" s="487"/>
      <c r="AB534" s="487"/>
      <c r="AC534" s="487"/>
      <c r="AD534" s="487"/>
      <c r="AE534" s="425"/>
      <c r="AF534" s="487"/>
      <c r="AG534" s="487"/>
      <c r="AH534" s="487"/>
      <c r="AI534" s="487"/>
      <c r="AJ534" s="425"/>
      <c r="AK534" s="487"/>
      <c r="AL534" s="487"/>
      <c r="AM534" s="487"/>
      <c r="AN534" s="487"/>
      <c r="AO534" s="425"/>
      <c r="AP534" s="487"/>
      <c r="AQ534" s="487"/>
      <c r="AR534" s="487"/>
      <c r="AS534" s="487"/>
      <c r="AT534" s="425"/>
      <c r="AU534" s="487"/>
      <c r="AV534" s="487"/>
      <c r="AW534" s="487"/>
      <c r="AX534" s="487"/>
      <c r="AY534" s="425"/>
      <c r="AZ534" s="487"/>
      <c r="BA534" s="487"/>
      <c r="BB534" s="487"/>
      <c r="BC534" s="487"/>
      <c r="BD534" s="425"/>
      <c r="BE534" s="487"/>
      <c r="BF534" s="487"/>
      <c r="BG534" s="487"/>
      <c r="BH534" s="487"/>
      <c r="BI534" s="425"/>
      <c r="BJ534" s="981"/>
      <c r="BK534" s="487"/>
      <c r="BL534" s="487"/>
      <c r="BM534" s="487"/>
      <c r="BN534" s="425"/>
      <c r="BO534" s="487"/>
      <c r="BP534" s="487"/>
      <c r="BQ534" s="487"/>
      <c r="BR534" s="487"/>
      <c r="BS534" s="425"/>
      <c r="BT534" s="425"/>
      <c r="BU534" s="425"/>
      <c r="BV534" s="425"/>
      <c r="BW534" s="223"/>
    </row>
    <row r="535" spans="1:75" s="224" customFormat="1" hidden="1" outlineLevel="2" x14ac:dyDescent="0.5">
      <c r="A535" s="218" t="s">
        <v>2002</v>
      </c>
      <c r="B535" s="494"/>
      <c r="C535" s="425"/>
      <c r="D535" s="425"/>
      <c r="E535" s="427">
        <v>7</v>
      </c>
      <c r="F535" s="425"/>
      <c r="G535" s="487"/>
      <c r="H535" s="487"/>
      <c r="I535" s="487"/>
      <c r="J535" s="487"/>
      <c r="K535" s="425"/>
      <c r="L535" s="487"/>
      <c r="M535" s="487"/>
      <c r="N535" s="487"/>
      <c r="O535" s="487"/>
      <c r="P535" s="425"/>
      <c r="Q535" s="487"/>
      <c r="R535" s="487"/>
      <c r="S535" s="487"/>
      <c r="T535" s="487"/>
      <c r="U535" s="425"/>
      <c r="V535" s="487"/>
      <c r="W535" s="487"/>
      <c r="X535" s="487"/>
      <c r="Y535" s="487"/>
      <c r="Z535" s="425"/>
      <c r="AA535" s="487"/>
      <c r="AB535" s="487"/>
      <c r="AC535" s="487"/>
      <c r="AD535" s="487"/>
      <c r="AE535" s="425"/>
      <c r="AF535" s="487"/>
      <c r="AG535" s="487"/>
      <c r="AH535" s="487"/>
      <c r="AI535" s="487"/>
      <c r="AJ535" s="425"/>
      <c r="AK535" s="487"/>
      <c r="AL535" s="487"/>
      <c r="AM535" s="487"/>
      <c r="AN535" s="487"/>
      <c r="AO535" s="425"/>
      <c r="AP535" s="487"/>
      <c r="AQ535" s="487"/>
      <c r="AR535" s="487"/>
      <c r="AS535" s="487"/>
      <c r="AT535" s="425"/>
      <c r="AU535" s="487"/>
      <c r="AV535" s="487"/>
      <c r="AW535" s="487"/>
      <c r="AX535" s="487"/>
      <c r="AY535" s="425"/>
      <c r="AZ535" s="487"/>
      <c r="BA535" s="487"/>
      <c r="BB535" s="487"/>
      <c r="BC535" s="487"/>
      <c r="BD535" s="425"/>
      <c r="BE535" s="487"/>
      <c r="BF535" s="487"/>
      <c r="BG535" s="487"/>
      <c r="BH535" s="487"/>
      <c r="BI535" s="425"/>
      <c r="BJ535" s="981"/>
      <c r="BK535" s="487"/>
      <c r="BL535" s="487"/>
      <c r="BM535" s="487"/>
      <c r="BN535" s="425"/>
      <c r="BO535" s="487"/>
      <c r="BP535" s="487"/>
      <c r="BQ535" s="487"/>
      <c r="BR535" s="487"/>
      <c r="BS535" s="425"/>
      <c r="BT535" s="425"/>
      <c r="BU535" s="425"/>
      <c r="BV535" s="425"/>
      <c r="BW535" s="223"/>
    </row>
    <row r="536" spans="1:75" s="224" customFormat="1" hidden="1" outlineLevel="2" x14ac:dyDescent="0.5">
      <c r="A536" s="218" t="s">
        <v>2003</v>
      </c>
      <c r="B536" s="494"/>
      <c r="C536" s="425"/>
      <c r="D536" s="425"/>
      <c r="E536" s="427">
        <v>2</v>
      </c>
      <c r="F536" s="425"/>
      <c r="G536" s="487"/>
      <c r="H536" s="487"/>
      <c r="I536" s="487"/>
      <c r="J536" s="487"/>
      <c r="K536" s="425"/>
      <c r="L536" s="487"/>
      <c r="M536" s="487"/>
      <c r="N536" s="487"/>
      <c r="O536" s="487"/>
      <c r="P536" s="425"/>
      <c r="Q536" s="487"/>
      <c r="R536" s="487"/>
      <c r="S536" s="487"/>
      <c r="T536" s="487"/>
      <c r="U536" s="425"/>
      <c r="V536" s="487"/>
      <c r="W536" s="487"/>
      <c r="X536" s="487"/>
      <c r="Y536" s="487"/>
      <c r="Z536" s="425"/>
      <c r="AA536" s="487"/>
      <c r="AB536" s="487"/>
      <c r="AC536" s="487"/>
      <c r="AD536" s="487"/>
      <c r="AE536" s="425"/>
      <c r="AF536" s="487"/>
      <c r="AG536" s="487"/>
      <c r="AH536" s="487"/>
      <c r="AI536" s="487"/>
      <c r="AJ536" s="425"/>
      <c r="AK536" s="487"/>
      <c r="AL536" s="487"/>
      <c r="AM536" s="487"/>
      <c r="AN536" s="487"/>
      <c r="AO536" s="425"/>
      <c r="AP536" s="487"/>
      <c r="AQ536" s="487"/>
      <c r="AR536" s="487"/>
      <c r="AS536" s="487"/>
      <c r="AT536" s="425"/>
      <c r="AU536" s="487"/>
      <c r="AV536" s="487"/>
      <c r="AW536" s="487"/>
      <c r="AX536" s="487"/>
      <c r="AY536" s="425"/>
      <c r="AZ536" s="487"/>
      <c r="BA536" s="487"/>
      <c r="BB536" s="487"/>
      <c r="BC536" s="487"/>
      <c r="BD536" s="425"/>
      <c r="BE536" s="487"/>
      <c r="BF536" s="487"/>
      <c r="BG536" s="487"/>
      <c r="BH536" s="487"/>
      <c r="BI536" s="425"/>
      <c r="BJ536" s="981"/>
      <c r="BK536" s="487"/>
      <c r="BL536" s="487"/>
      <c r="BM536" s="487"/>
      <c r="BN536" s="425"/>
      <c r="BO536" s="487"/>
      <c r="BP536" s="487"/>
      <c r="BQ536" s="487"/>
      <c r="BR536" s="487"/>
      <c r="BS536" s="425"/>
      <c r="BT536" s="425"/>
      <c r="BU536" s="425"/>
      <c r="BV536" s="425"/>
      <c r="BW536" s="223"/>
    </row>
    <row r="537" spans="1:75" s="224" customFormat="1" hidden="1" outlineLevel="2" x14ac:dyDescent="0.5">
      <c r="A537" s="218" t="s">
        <v>2004</v>
      </c>
      <c r="B537" s="494"/>
      <c r="C537" s="425"/>
      <c r="D537" s="425"/>
      <c r="E537" s="425"/>
      <c r="F537" s="427">
        <v>17</v>
      </c>
      <c r="G537" s="487"/>
      <c r="H537" s="487"/>
      <c r="I537" s="487"/>
      <c r="J537" s="487"/>
      <c r="K537" s="427">
        <v>26</v>
      </c>
      <c r="L537" s="487"/>
      <c r="M537" s="487"/>
      <c r="N537" s="487"/>
      <c r="O537" s="487"/>
      <c r="P537" s="427">
        <v>24</v>
      </c>
      <c r="Q537" s="487"/>
      <c r="R537" s="487"/>
      <c r="S537" s="487"/>
      <c r="T537" s="487"/>
      <c r="U537" s="427">
        <v>24</v>
      </c>
      <c r="V537" s="487"/>
      <c r="W537" s="487"/>
      <c r="X537" s="487"/>
      <c r="Y537" s="487"/>
      <c r="Z537" s="427">
        <v>25</v>
      </c>
      <c r="AA537" s="487"/>
      <c r="AB537" s="487"/>
      <c r="AC537" s="487"/>
      <c r="AD537" s="487"/>
      <c r="AE537" s="427">
        <v>32</v>
      </c>
      <c r="AF537" s="487"/>
      <c r="AG537" s="487"/>
      <c r="AH537" s="487"/>
      <c r="AI537" s="487"/>
      <c r="AJ537" s="427">
        <v>32</v>
      </c>
      <c r="AK537" s="487"/>
      <c r="AL537" s="487"/>
      <c r="AM537" s="487"/>
      <c r="AN537" s="487"/>
      <c r="AO537" s="427">
        <v>32</v>
      </c>
      <c r="AP537" s="487"/>
      <c r="AQ537" s="487"/>
      <c r="AR537" s="487"/>
      <c r="AS537" s="487"/>
      <c r="AT537" s="427">
        <v>32</v>
      </c>
      <c r="AU537" s="487"/>
      <c r="AV537" s="487"/>
      <c r="AW537" s="487"/>
      <c r="AX537" s="487"/>
      <c r="AY537" s="427">
        <v>32</v>
      </c>
      <c r="AZ537" s="487"/>
      <c r="BA537" s="487"/>
      <c r="BB537" s="487"/>
      <c r="BC537" s="487"/>
      <c r="BD537" s="427">
        <v>25</v>
      </c>
      <c r="BE537" s="487"/>
      <c r="BF537" s="487"/>
      <c r="BG537" s="487"/>
      <c r="BH537" s="487"/>
      <c r="BI537" s="427">
        <v>24</v>
      </c>
      <c r="BJ537" s="981"/>
      <c r="BK537" s="487"/>
      <c r="BL537" s="487"/>
      <c r="BM537" s="487"/>
      <c r="BN537" s="425"/>
      <c r="BO537" s="487"/>
      <c r="BP537" s="487"/>
      <c r="BQ537" s="487"/>
      <c r="BR537" s="487"/>
      <c r="BS537" s="425"/>
      <c r="BT537" s="425"/>
      <c r="BU537" s="425"/>
      <c r="BV537" s="425"/>
      <c r="BW537" s="223"/>
    </row>
    <row r="538" spans="1:75" s="169" customFormat="1" ht="14.25" hidden="1" outlineLevel="2" x14ac:dyDescent="0.45">
      <c r="A538" s="360" t="s">
        <v>2005</v>
      </c>
      <c r="B538" s="1127"/>
      <c r="C538" s="1128">
        <f>SUM(C532:C537)</f>
        <v>79</v>
      </c>
      <c r="D538" s="1128">
        <f>SUM(D532:D537)</f>
        <v>79</v>
      </c>
      <c r="E538" s="1128">
        <f>SUM(E532:E537)</f>
        <v>88</v>
      </c>
      <c r="F538" s="1128">
        <f>SUM(F532:F537)</f>
        <v>89</v>
      </c>
      <c r="G538" s="287"/>
      <c r="H538" s="287"/>
      <c r="I538" s="287"/>
      <c r="J538" s="287"/>
      <c r="K538" s="1128">
        <f>SUM(K532:K537)</f>
        <v>98</v>
      </c>
      <c r="L538" s="287"/>
      <c r="M538" s="287"/>
      <c r="N538" s="287"/>
      <c r="O538" s="287"/>
      <c r="P538" s="1128">
        <f>SUM(P532:P537)</f>
        <v>96</v>
      </c>
      <c r="Q538" s="287"/>
      <c r="R538" s="287"/>
      <c r="S538" s="287"/>
      <c r="T538" s="287"/>
      <c r="U538" s="1128">
        <f>SUM(U532:U537)</f>
        <v>96</v>
      </c>
      <c r="V538" s="287"/>
      <c r="W538" s="287"/>
      <c r="X538" s="287"/>
      <c r="Y538" s="287"/>
      <c r="Z538" s="1128">
        <f>SUM(Z532:Z537)</f>
        <v>97</v>
      </c>
      <c r="AA538" s="287"/>
      <c r="AB538" s="287"/>
      <c r="AC538" s="287"/>
      <c r="AD538" s="287"/>
      <c r="AE538" s="1128">
        <f>SUM(AE532:AE537)</f>
        <v>68</v>
      </c>
      <c r="AF538" s="287"/>
      <c r="AG538" s="287"/>
      <c r="AH538" s="287"/>
      <c r="AI538" s="287"/>
      <c r="AJ538" s="1128">
        <f>SUM(AJ532:AJ537)</f>
        <v>68</v>
      </c>
      <c r="AK538" s="287"/>
      <c r="AL538" s="287"/>
      <c r="AM538" s="287"/>
      <c r="AN538" s="287"/>
      <c r="AO538" s="1128">
        <f>SUM(AO532:AO537)</f>
        <v>68</v>
      </c>
      <c r="AP538" s="287"/>
      <c r="AQ538" s="287"/>
      <c r="AR538" s="287"/>
      <c r="AS538" s="287"/>
      <c r="AT538" s="1128">
        <f>SUM(AT532:AT537)</f>
        <v>68</v>
      </c>
      <c r="AU538" s="287"/>
      <c r="AV538" s="287"/>
      <c r="AW538" s="287"/>
      <c r="AX538" s="287"/>
      <c r="AY538" s="1128">
        <f>SUM(AY532:AY537)</f>
        <v>68</v>
      </c>
      <c r="AZ538" s="287"/>
      <c r="BA538" s="287"/>
      <c r="BB538" s="287"/>
      <c r="BC538" s="287"/>
      <c r="BD538" s="1128">
        <f>SUM(BD532:BD537)</f>
        <v>61</v>
      </c>
      <c r="BE538" s="287"/>
      <c r="BF538" s="287"/>
      <c r="BG538" s="287"/>
      <c r="BH538" s="287"/>
      <c r="BI538" s="1128">
        <f>SUM(BI532:BI537)</f>
        <v>60</v>
      </c>
      <c r="BJ538" s="1129"/>
      <c r="BK538" s="287"/>
      <c r="BL538" s="287"/>
      <c r="BM538" s="287"/>
      <c r="BN538" s="1128"/>
      <c r="BO538" s="287"/>
      <c r="BP538" s="287"/>
      <c r="BQ538" s="287"/>
      <c r="BR538" s="287"/>
      <c r="BS538" s="1128"/>
      <c r="BT538" s="1128"/>
      <c r="BU538" s="1128"/>
      <c r="BV538" s="1128"/>
      <c r="BW538" s="168"/>
    </row>
    <row r="539" spans="1:75" s="224" customFormat="1" hidden="1" outlineLevel="2" x14ac:dyDescent="0.5">
      <c r="A539" s="588"/>
      <c r="B539" s="494"/>
      <c r="C539" s="425"/>
      <c r="D539" s="425"/>
      <c r="E539" s="425"/>
      <c r="F539" s="425"/>
      <c r="G539" s="487"/>
      <c r="H539" s="487"/>
      <c r="I539" s="487"/>
      <c r="J539" s="487"/>
      <c r="K539" s="425"/>
      <c r="L539" s="487"/>
      <c r="M539" s="487"/>
      <c r="N539" s="487"/>
      <c r="O539" s="487"/>
      <c r="P539" s="425"/>
      <c r="Q539" s="487"/>
      <c r="R539" s="487"/>
      <c r="S539" s="487"/>
      <c r="T539" s="487"/>
      <c r="U539" s="425"/>
      <c r="V539" s="487"/>
      <c r="W539" s="487"/>
      <c r="X539" s="487"/>
      <c r="Y539" s="487"/>
      <c r="Z539" s="425"/>
      <c r="AA539" s="487"/>
      <c r="AB539" s="487"/>
      <c r="AC539" s="487"/>
      <c r="AD539" s="487"/>
      <c r="AE539" s="425"/>
      <c r="AF539" s="487"/>
      <c r="AG539" s="487"/>
      <c r="AH539" s="487"/>
      <c r="AI539" s="487"/>
      <c r="AJ539" s="425"/>
      <c r="AK539" s="487"/>
      <c r="AL539" s="487"/>
      <c r="AM539" s="487"/>
      <c r="AN539" s="487"/>
      <c r="AO539" s="425"/>
      <c r="AP539" s="487"/>
      <c r="AQ539" s="487"/>
      <c r="AR539" s="487"/>
      <c r="AS539" s="487"/>
      <c r="AT539" s="425"/>
      <c r="AU539" s="487"/>
      <c r="AV539" s="487"/>
      <c r="AW539" s="487"/>
      <c r="AX539" s="487"/>
      <c r="AY539" s="425"/>
      <c r="AZ539" s="487"/>
      <c r="BA539" s="487"/>
      <c r="BB539" s="487"/>
      <c r="BC539" s="487"/>
      <c r="BD539" s="425"/>
      <c r="BE539" s="487"/>
      <c r="BF539" s="487"/>
      <c r="BG539" s="487"/>
      <c r="BH539" s="487"/>
      <c r="BI539" s="425"/>
      <c r="BJ539" s="981"/>
      <c r="BK539" s="487"/>
      <c r="BL539" s="487"/>
      <c r="BM539" s="487"/>
      <c r="BN539" s="425"/>
      <c r="BO539" s="487"/>
      <c r="BP539" s="487"/>
      <c r="BQ539" s="487"/>
      <c r="BR539" s="487"/>
      <c r="BS539" s="425"/>
      <c r="BT539" s="425"/>
      <c r="BU539" s="425"/>
      <c r="BV539" s="425"/>
      <c r="BW539" s="223"/>
    </row>
    <row r="540" spans="1:75" s="224" customFormat="1" hidden="1" outlineLevel="3" x14ac:dyDescent="0.5">
      <c r="A540" s="218" t="s">
        <v>2006</v>
      </c>
      <c r="B540" s="494"/>
      <c r="C540" s="427">
        <v>326</v>
      </c>
      <c r="D540" s="427">
        <v>326</v>
      </c>
      <c r="E540" s="427">
        <v>353</v>
      </c>
      <c r="F540" s="427">
        <v>412</v>
      </c>
      <c r="G540" s="487"/>
      <c r="H540" s="487"/>
      <c r="I540" s="487"/>
      <c r="J540" s="487"/>
      <c r="K540" s="427">
        <v>412</v>
      </c>
      <c r="L540" s="487"/>
      <c r="M540" s="487"/>
      <c r="N540" s="487"/>
      <c r="O540" s="487"/>
      <c r="P540" s="427">
        <v>412</v>
      </c>
      <c r="Q540" s="487"/>
      <c r="R540" s="487"/>
      <c r="S540" s="487"/>
      <c r="T540" s="487"/>
      <c r="U540" s="425"/>
      <c r="V540" s="487"/>
      <c r="W540" s="487"/>
      <c r="X540" s="487"/>
      <c r="Y540" s="487"/>
      <c r="Z540" s="425"/>
      <c r="AA540" s="487"/>
      <c r="AB540" s="487"/>
      <c r="AC540" s="487"/>
      <c r="AD540" s="487"/>
      <c r="AE540" s="425"/>
      <c r="AF540" s="487"/>
      <c r="AG540" s="487"/>
      <c r="AH540" s="487"/>
      <c r="AI540" s="487"/>
      <c r="AJ540" s="425"/>
      <c r="AK540" s="487"/>
      <c r="AL540" s="487"/>
      <c r="AM540" s="487"/>
      <c r="AN540" s="487"/>
      <c r="AO540" s="425"/>
      <c r="AP540" s="487"/>
      <c r="AQ540" s="487"/>
      <c r="AR540" s="487"/>
      <c r="AS540" s="487"/>
      <c r="AT540" s="425"/>
      <c r="AU540" s="487"/>
      <c r="AV540" s="487"/>
      <c r="AW540" s="487"/>
      <c r="AX540" s="487"/>
      <c r="AY540" s="425"/>
      <c r="AZ540" s="487"/>
      <c r="BA540" s="487"/>
      <c r="BB540" s="487"/>
      <c r="BC540" s="487"/>
      <c r="BD540" s="425"/>
      <c r="BE540" s="487"/>
      <c r="BF540" s="487"/>
      <c r="BG540" s="487"/>
      <c r="BH540" s="487"/>
      <c r="BI540" s="425"/>
      <c r="BJ540" s="981"/>
      <c r="BK540" s="487"/>
      <c r="BL540" s="487"/>
      <c r="BM540" s="487"/>
      <c r="BN540" s="425"/>
      <c r="BO540" s="487"/>
      <c r="BP540" s="487"/>
      <c r="BQ540" s="487"/>
      <c r="BR540" s="487"/>
      <c r="BS540" s="425"/>
      <c r="BT540" s="425"/>
      <c r="BU540" s="425"/>
      <c r="BV540" s="425"/>
      <c r="BW540" s="223"/>
    </row>
    <row r="541" spans="1:75" s="224" customFormat="1" hidden="1" outlineLevel="3" x14ac:dyDescent="0.5">
      <c r="A541" s="218" t="s">
        <v>2007</v>
      </c>
      <c r="B541" s="494"/>
      <c r="C541" s="425"/>
      <c r="D541" s="425"/>
      <c r="E541" s="425"/>
      <c r="F541" s="427">
        <v>42</v>
      </c>
      <c r="G541" s="487"/>
      <c r="H541" s="487"/>
      <c r="I541" s="487"/>
      <c r="J541" s="487"/>
      <c r="K541" s="427">
        <v>42</v>
      </c>
      <c r="L541" s="487"/>
      <c r="M541" s="487"/>
      <c r="N541" s="487"/>
      <c r="O541" s="487"/>
      <c r="P541" s="427">
        <v>42</v>
      </c>
      <c r="Q541" s="487"/>
      <c r="R541" s="487"/>
      <c r="S541" s="487"/>
      <c r="T541" s="487"/>
      <c r="U541" s="425"/>
      <c r="V541" s="487"/>
      <c r="W541" s="487"/>
      <c r="X541" s="487"/>
      <c r="Y541" s="487"/>
      <c r="Z541" s="425"/>
      <c r="AA541" s="487"/>
      <c r="AB541" s="487"/>
      <c r="AC541" s="487"/>
      <c r="AD541" s="487"/>
      <c r="AE541" s="425"/>
      <c r="AF541" s="487"/>
      <c r="AG541" s="487"/>
      <c r="AH541" s="487"/>
      <c r="AI541" s="487"/>
      <c r="AJ541" s="425"/>
      <c r="AK541" s="487"/>
      <c r="AL541" s="487"/>
      <c r="AM541" s="487"/>
      <c r="AN541" s="487"/>
      <c r="AO541" s="425"/>
      <c r="AP541" s="487"/>
      <c r="AQ541" s="487"/>
      <c r="AR541" s="487"/>
      <c r="AS541" s="487"/>
      <c r="AT541" s="425"/>
      <c r="AU541" s="487"/>
      <c r="AV541" s="487"/>
      <c r="AW541" s="487"/>
      <c r="AX541" s="487"/>
      <c r="AY541" s="425"/>
      <c r="AZ541" s="487"/>
      <c r="BA541" s="487"/>
      <c r="BB541" s="487"/>
      <c r="BC541" s="487"/>
      <c r="BD541" s="425"/>
      <c r="BE541" s="487"/>
      <c r="BF541" s="487"/>
      <c r="BG541" s="487"/>
      <c r="BH541" s="487"/>
      <c r="BI541" s="425"/>
      <c r="BJ541" s="981"/>
      <c r="BK541" s="487"/>
      <c r="BL541" s="487"/>
      <c r="BM541" s="487"/>
      <c r="BN541" s="425"/>
      <c r="BO541" s="487"/>
      <c r="BP541" s="487"/>
      <c r="BQ541" s="487"/>
      <c r="BR541" s="487"/>
      <c r="BS541" s="425"/>
      <c r="BT541" s="425"/>
      <c r="BU541" s="425"/>
      <c r="BV541" s="425"/>
      <c r="BW541" s="223"/>
    </row>
    <row r="542" spans="1:75" s="224" customFormat="1" hidden="1" outlineLevel="3" x14ac:dyDescent="0.5">
      <c r="A542" s="218" t="s">
        <v>2008</v>
      </c>
      <c r="B542" s="494"/>
      <c r="C542" s="427">
        <v>13</v>
      </c>
      <c r="D542" s="427">
        <v>13</v>
      </c>
      <c r="E542" s="427">
        <v>13</v>
      </c>
      <c r="F542" s="425"/>
      <c r="G542" s="487"/>
      <c r="H542" s="487"/>
      <c r="I542" s="487"/>
      <c r="J542" s="487"/>
      <c r="K542" s="425"/>
      <c r="L542" s="487"/>
      <c r="M542" s="487"/>
      <c r="N542" s="487"/>
      <c r="O542" s="487"/>
      <c r="P542" s="425"/>
      <c r="Q542" s="487"/>
      <c r="R542" s="487"/>
      <c r="S542" s="487"/>
      <c r="T542" s="487"/>
      <c r="U542" s="425"/>
      <c r="V542" s="487"/>
      <c r="W542" s="487"/>
      <c r="X542" s="487"/>
      <c r="Y542" s="487"/>
      <c r="Z542" s="425"/>
      <c r="AA542" s="487"/>
      <c r="AB542" s="487"/>
      <c r="AC542" s="487"/>
      <c r="AD542" s="487"/>
      <c r="AE542" s="425"/>
      <c r="AF542" s="487"/>
      <c r="AG542" s="487"/>
      <c r="AH542" s="487"/>
      <c r="AI542" s="487"/>
      <c r="AJ542" s="425"/>
      <c r="AK542" s="487"/>
      <c r="AL542" s="487"/>
      <c r="AM542" s="487"/>
      <c r="AN542" s="487"/>
      <c r="AO542" s="425"/>
      <c r="AP542" s="487"/>
      <c r="AQ542" s="487"/>
      <c r="AR542" s="487"/>
      <c r="AS542" s="487"/>
      <c r="AT542" s="425"/>
      <c r="AU542" s="487"/>
      <c r="AV542" s="487"/>
      <c r="AW542" s="487"/>
      <c r="AX542" s="487"/>
      <c r="AY542" s="425"/>
      <c r="AZ542" s="487"/>
      <c r="BA542" s="487"/>
      <c r="BB542" s="487"/>
      <c r="BC542" s="487"/>
      <c r="BD542" s="425"/>
      <c r="BE542" s="487"/>
      <c r="BF542" s="487"/>
      <c r="BG542" s="487"/>
      <c r="BH542" s="487"/>
      <c r="BI542" s="425"/>
      <c r="BJ542" s="981"/>
      <c r="BK542" s="487"/>
      <c r="BL542" s="487"/>
      <c r="BM542" s="487"/>
      <c r="BN542" s="425"/>
      <c r="BO542" s="487"/>
      <c r="BP542" s="487"/>
      <c r="BQ542" s="487"/>
      <c r="BR542" s="487"/>
      <c r="BS542" s="425"/>
      <c r="BT542" s="425"/>
      <c r="BU542" s="425"/>
      <c r="BV542" s="425"/>
      <c r="BW542" s="223"/>
    </row>
    <row r="543" spans="1:75" s="224" customFormat="1" hidden="1" outlineLevel="3" x14ac:dyDescent="0.5">
      <c r="A543" s="584" t="s">
        <v>2009</v>
      </c>
      <c r="B543" s="1220"/>
      <c r="C543" s="838"/>
      <c r="D543" s="838"/>
      <c r="E543" s="838"/>
      <c r="F543" s="1222">
        <v>17</v>
      </c>
      <c r="G543" s="1221"/>
      <c r="H543" s="1221"/>
      <c r="I543" s="1221"/>
      <c r="J543" s="1221"/>
      <c r="K543" s="1222">
        <v>17</v>
      </c>
      <c r="L543" s="1221"/>
      <c r="M543" s="1221"/>
      <c r="N543" s="1221"/>
      <c r="O543" s="1221"/>
      <c r="P543" s="1222">
        <v>17</v>
      </c>
      <c r="Q543" s="1221"/>
      <c r="R543" s="1221"/>
      <c r="S543" s="1221"/>
      <c r="T543" s="1221"/>
      <c r="U543" s="838"/>
      <c r="V543" s="1221"/>
      <c r="W543" s="1221"/>
      <c r="X543" s="1221"/>
      <c r="Y543" s="1221"/>
      <c r="Z543" s="838"/>
      <c r="AA543" s="1221"/>
      <c r="AB543" s="1221"/>
      <c r="AC543" s="1221"/>
      <c r="AD543" s="1221"/>
      <c r="AE543" s="838"/>
      <c r="AF543" s="1221"/>
      <c r="AG543" s="1221"/>
      <c r="AH543" s="1221"/>
      <c r="AI543" s="1221"/>
      <c r="AJ543" s="838"/>
      <c r="AK543" s="1221"/>
      <c r="AL543" s="1221"/>
      <c r="AM543" s="1221"/>
      <c r="AN543" s="1221"/>
      <c r="AO543" s="838"/>
      <c r="AP543" s="1221"/>
      <c r="AQ543" s="1221"/>
      <c r="AR543" s="1221"/>
      <c r="AS543" s="1221"/>
      <c r="AT543" s="838"/>
      <c r="AU543" s="1221"/>
      <c r="AV543" s="1221"/>
      <c r="AW543" s="1221"/>
      <c r="AX543" s="1221"/>
      <c r="AY543" s="838"/>
      <c r="AZ543" s="1221"/>
      <c r="BA543" s="1221"/>
      <c r="BB543" s="1221"/>
      <c r="BC543" s="1221"/>
      <c r="BD543" s="838"/>
      <c r="BE543" s="1221"/>
      <c r="BF543" s="1221"/>
      <c r="BG543" s="1221"/>
      <c r="BH543" s="1221"/>
      <c r="BI543" s="838"/>
      <c r="BJ543" s="1022"/>
      <c r="BK543" s="1221"/>
      <c r="BL543" s="1221"/>
      <c r="BM543" s="1221"/>
      <c r="BN543" s="838"/>
      <c r="BO543" s="1221"/>
      <c r="BP543" s="1221"/>
      <c r="BQ543" s="1221"/>
      <c r="BR543" s="1221"/>
      <c r="BS543" s="838"/>
      <c r="BT543" s="838"/>
      <c r="BU543" s="838"/>
      <c r="BV543" s="838"/>
      <c r="BW543" s="223"/>
    </row>
    <row r="544" spans="1:75" s="169" customFormat="1" ht="14.25" hidden="1" outlineLevel="2" collapsed="1" x14ac:dyDescent="0.45">
      <c r="A544" s="163" t="s">
        <v>2010</v>
      </c>
      <c r="B544" s="1121"/>
      <c r="C544" s="840">
        <f t="shared" ref="C544:F544" si="872">SUM(C540:C543)</f>
        <v>339</v>
      </c>
      <c r="D544" s="840">
        <f t="shared" si="872"/>
        <v>339</v>
      </c>
      <c r="E544" s="840">
        <f t="shared" si="872"/>
        <v>366</v>
      </c>
      <c r="F544" s="840">
        <f t="shared" si="872"/>
        <v>471</v>
      </c>
      <c r="G544" s="247"/>
      <c r="H544" s="247"/>
      <c r="I544" s="247"/>
      <c r="J544" s="247"/>
      <c r="K544" s="840">
        <f>SUM(K540:K543)</f>
        <v>471</v>
      </c>
      <c r="L544" s="247"/>
      <c r="M544" s="247"/>
      <c r="N544" s="247"/>
      <c r="O544" s="247"/>
      <c r="P544" s="840">
        <f>SUM(P540:P543)</f>
        <v>471</v>
      </c>
      <c r="Q544" s="247"/>
      <c r="R544" s="247"/>
      <c r="S544" s="247"/>
      <c r="T544" s="247"/>
      <c r="U544" s="1122">
        <v>471</v>
      </c>
      <c r="V544" s="247"/>
      <c r="W544" s="247"/>
      <c r="X544" s="247"/>
      <c r="Y544" s="247"/>
      <c r="Z544" s="1122">
        <v>471</v>
      </c>
      <c r="AA544" s="247"/>
      <c r="AB544" s="247"/>
      <c r="AC544" s="247"/>
      <c r="AD544" s="247"/>
      <c r="AE544" s="1122">
        <v>471</v>
      </c>
      <c r="AF544" s="247"/>
      <c r="AG544" s="247"/>
      <c r="AH544" s="247"/>
      <c r="AI544" s="247"/>
      <c r="AJ544" s="1122">
        <v>471</v>
      </c>
      <c r="AK544" s="247"/>
      <c r="AL544" s="247"/>
      <c r="AM544" s="247"/>
      <c r="AN544" s="247"/>
      <c r="AO544" s="1122">
        <v>471</v>
      </c>
      <c r="AP544" s="247"/>
      <c r="AQ544" s="247"/>
      <c r="AR544" s="247"/>
      <c r="AS544" s="247"/>
      <c r="AT544" s="1122">
        <v>471</v>
      </c>
      <c r="AU544" s="247"/>
      <c r="AV544" s="247"/>
      <c r="AW544" s="247"/>
      <c r="AX544" s="247"/>
      <c r="AY544" s="1122">
        <v>471</v>
      </c>
      <c r="AZ544" s="247"/>
      <c r="BA544" s="247"/>
      <c r="BB544" s="247"/>
      <c r="BC544" s="247"/>
      <c r="BD544" s="1122">
        <v>471</v>
      </c>
      <c r="BE544" s="247"/>
      <c r="BF544" s="247"/>
      <c r="BG544" s="247"/>
      <c r="BH544" s="247"/>
      <c r="BI544" s="1122">
        <v>471</v>
      </c>
      <c r="BJ544" s="977"/>
      <c r="BK544" s="247"/>
      <c r="BL544" s="247"/>
      <c r="BM544" s="247"/>
      <c r="BN544" s="840"/>
      <c r="BO544" s="247"/>
      <c r="BP544" s="247"/>
      <c r="BQ544" s="247"/>
      <c r="BR544" s="247"/>
      <c r="BS544" s="840"/>
      <c r="BT544" s="840"/>
      <c r="BU544" s="840"/>
      <c r="BV544" s="840"/>
      <c r="BW544" s="168"/>
    </row>
    <row r="545" spans="1:75" s="224" customFormat="1" hidden="1" outlineLevel="1" collapsed="1" x14ac:dyDescent="0.5">
      <c r="A545" s="588"/>
      <c r="B545" s="494"/>
      <c r="C545" s="425"/>
      <c r="D545" s="425"/>
      <c r="E545" s="425"/>
      <c r="F545" s="425"/>
      <c r="G545" s="487"/>
      <c r="H545" s="487"/>
      <c r="I545" s="487"/>
      <c r="J545" s="487"/>
      <c r="K545" s="425"/>
      <c r="L545" s="487"/>
      <c r="M545" s="487"/>
      <c r="N545" s="487"/>
      <c r="O545" s="487"/>
      <c r="P545" s="425"/>
      <c r="Q545" s="487"/>
      <c r="R545" s="487"/>
      <c r="S545" s="487"/>
      <c r="T545" s="487"/>
      <c r="U545" s="425"/>
      <c r="V545" s="487"/>
      <c r="W545" s="487"/>
      <c r="X545" s="487"/>
      <c r="Y545" s="487"/>
      <c r="Z545" s="425"/>
      <c r="AA545" s="487"/>
      <c r="AB545" s="487"/>
      <c r="AC545" s="487"/>
      <c r="AD545" s="487"/>
      <c r="AE545" s="425"/>
      <c r="AF545" s="487"/>
      <c r="AG545" s="487"/>
      <c r="AH545" s="487"/>
      <c r="AI545" s="487"/>
      <c r="AJ545" s="425"/>
      <c r="AK545" s="487"/>
      <c r="AL545" s="487"/>
      <c r="AM545" s="487"/>
      <c r="AN545" s="487"/>
      <c r="AO545" s="425"/>
      <c r="AP545" s="487"/>
      <c r="AQ545" s="487"/>
      <c r="AR545" s="487"/>
      <c r="AS545" s="487"/>
      <c r="AT545" s="425"/>
      <c r="AU545" s="487"/>
      <c r="AV545" s="487"/>
      <c r="AW545" s="487"/>
      <c r="AX545" s="487"/>
      <c r="AY545" s="425"/>
      <c r="AZ545" s="487"/>
      <c r="BA545" s="487"/>
      <c r="BB545" s="487"/>
      <c r="BC545" s="487"/>
      <c r="BD545" s="425"/>
      <c r="BE545" s="487"/>
      <c r="BF545" s="487"/>
      <c r="BG545" s="487"/>
      <c r="BH545" s="487"/>
      <c r="BI545" s="425"/>
      <c r="BJ545" s="981"/>
      <c r="BK545" s="487"/>
      <c r="BL545" s="487"/>
      <c r="BM545" s="487"/>
      <c r="BN545" s="425"/>
      <c r="BO545" s="487"/>
      <c r="BP545" s="487"/>
      <c r="BQ545" s="487"/>
      <c r="BR545" s="487"/>
      <c r="BS545" s="425"/>
      <c r="BT545" s="425"/>
      <c r="BU545" s="425"/>
      <c r="BV545" s="425"/>
      <c r="BW545" s="223"/>
    </row>
    <row r="546" spans="1:75" s="198" customFormat="1" ht="14.25" hidden="1" outlineLevel="1" x14ac:dyDescent="0.45">
      <c r="A546" s="239" t="s">
        <v>982</v>
      </c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  <c r="AA546" s="239"/>
      <c r="AB546" s="239"/>
      <c r="AC546" s="239"/>
      <c r="AD546" s="239"/>
      <c r="AE546" s="239"/>
      <c r="AF546" s="239"/>
      <c r="AG546" s="239"/>
      <c r="AH546" s="239"/>
      <c r="AI546" s="239"/>
      <c r="AJ546" s="239"/>
      <c r="AK546" s="239"/>
      <c r="AL546" s="239"/>
      <c r="AM546" s="239"/>
      <c r="AN546" s="239"/>
      <c r="AO546" s="239"/>
      <c r="AP546" s="239"/>
      <c r="AQ546" s="239"/>
      <c r="AR546" s="239"/>
      <c r="AS546" s="239"/>
      <c r="AT546" s="239"/>
      <c r="AU546" s="239"/>
      <c r="AV546" s="239"/>
      <c r="AW546" s="239"/>
      <c r="AX546" s="239"/>
      <c r="AY546" s="239"/>
      <c r="AZ546" s="239"/>
      <c r="BA546" s="239"/>
      <c r="BB546" s="239"/>
      <c r="BC546" s="239"/>
      <c r="BD546" s="239"/>
      <c r="BE546" s="239"/>
      <c r="BF546" s="239"/>
      <c r="BG546" s="239"/>
      <c r="BH546" s="239"/>
      <c r="BI546" s="239"/>
      <c r="BJ546" s="241"/>
      <c r="BK546" s="239"/>
      <c r="BL546" s="239"/>
      <c r="BM546" s="239"/>
      <c r="BN546" s="239"/>
      <c r="BO546" s="239"/>
      <c r="BP546" s="239"/>
      <c r="BQ546" s="239"/>
      <c r="BR546" s="239"/>
      <c r="BS546" s="239"/>
      <c r="BT546" s="239"/>
      <c r="BU546" s="239"/>
      <c r="BV546" s="239"/>
      <c r="BW546" s="197"/>
    </row>
    <row r="547" spans="1:75" s="123" customFormat="1" hidden="1" outlineLevel="2" x14ac:dyDescent="0.5">
      <c r="A547" s="184" t="s">
        <v>2011</v>
      </c>
      <c r="B547" s="489"/>
      <c r="C547" s="401"/>
      <c r="D547" s="401"/>
      <c r="E547" s="401"/>
      <c r="F547" s="401"/>
      <c r="G547" s="118"/>
      <c r="H547" s="118"/>
      <c r="I547" s="118"/>
      <c r="J547" s="118"/>
      <c r="K547" s="401"/>
      <c r="L547" s="118"/>
      <c r="M547" s="118"/>
      <c r="N547" s="118"/>
      <c r="O547" s="118"/>
      <c r="P547" s="401"/>
      <c r="Q547" s="118"/>
      <c r="R547" s="118"/>
      <c r="S547" s="118"/>
      <c r="T547" s="118"/>
      <c r="U547" s="401"/>
      <c r="V547" s="118"/>
      <c r="W547" s="118"/>
      <c r="X547" s="118"/>
      <c r="Y547" s="118"/>
      <c r="Z547" s="401"/>
      <c r="AA547" s="118"/>
      <c r="AB547" s="118"/>
      <c r="AC547" s="118"/>
      <c r="AD547" s="118"/>
      <c r="AE547" s="401"/>
      <c r="AF547" s="118"/>
      <c r="AG547" s="118"/>
      <c r="AH547" s="118"/>
      <c r="AI547" s="118"/>
      <c r="AJ547" s="401"/>
      <c r="AK547" s="302">
        <v>64.968000000000004</v>
      </c>
      <c r="AL547" s="302">
        <v>66.143000000000001</v>
      </c>
      <c r="AM547" s="302">
        <v>68.909000000000006</v>
      </c>
      <c r="AN547" s="118">
        <f>AO547-SUM(AK547,AL547,AM547)</f>
        <v>67.863</v>
      </c>
      <c r="AO547" s="403">
        <v>267.88299999999998</v>
      </c>
      <c r="AP547" s="118"/>
      <c r="AQ547" s="118"/>
      <c r="AR547" s="118"/>
      <c r="AS547" s="118"/>
      <c r="AT547" s="403">
        <v>263.12599999999998</v>
      </c>
      <c r="AU547" s="118"/>
      <c r="AV547" s="118"/>
      <c r="AW547" s="118"/>
      <c r="AX547" s="118"/>
      <c r="AY547" s="403">
        <v>256.92399999999998</v>
      </c>
      <c r="AZ547" s="118"/>
      <c r="BA547" s="118"/>
      <c r="BB547" s="118"/>
      <c r="BC547" s="118"/>
      <c r="BD547" s="403">
        <v>275.08600000000001</v>
      </c>
      <c r="BE547" s="118"/>
      <c r="BF547" s="118"/>
      <c r="BG547" s="118"/>
      <c r="BH547" s="118"/>
      <c r="BI547" s="403">
        <v>296.779</v>
      </c>
      <c r="BJ547" s="971"/>
      <c r="BK547" s="118"/>
      <c r="BL547" s="118"/>
      <c r="BM547" s="118"/>
      <c r="BN547" s="401"/>
      <c r="BO547" s="118"/>
      <c r="BP547" s="118"/>
      <c r="BQ547" s="118"/>
      <c r="BR547" s="118"/>
      <c r="BS547" s="401"/>
      <c r="BT547" s="401"/>
      <c r="BU547" s="401"/>
      <c r="BV547" s="401"/>
      <c r="BW547" s="122"/>
    </row>
    <row r="548" spans="1:75" s="123" customFormat="1" hidden="1" outlineLevel="2" x14ac:dyDescent="0.5">
      <c r="A548" s="184" t="s">
        <v>987</v>
      </c>
      <c r="B548" s="489"/>
      <c r="C548" s="401"/>
      <c r="D548" s="401"/>
      <c r="E548" s="401"/>
      <c r="F548" s="401"/>
      <c r="G548" s="118"/>
      <c r="H548" s="118"/>
      <c r="I548" s="118"/>
      <c r="J548" s="118"/>
      <c r="K548" s="401"/>
      <c r="L548" s="118"/>
      <c r="M548" s="118"/>
      <c r="N548" s="118"/>
      <c r="O548" s="118"/>
      <c r="P548" s="401"/>
      <c r="Q548" s="118"/>
      <c r="R548" s="118"/>
      <c r="S548" s="118"/>
      <c r="T548" s="118"/>
      <c r="U548" s="401"/>
      <c r="V548" s="118"/>
      <c r="W548" s="118"/>
      <c r="X548" s="118"/>
      <c r="Y548" s="118"/>
      <c r="Z548" s="401"/>
      <c r="AA548" s="118"/>
      <c r="AB548" s="118"/>
      <c r="AC548" s="118"/>
      <c r="AD548" s="118"/>
      <c r="AE548" s="401"/>
      <c r="AF548" s="118"/>
      <c r="AG548" s="118"/>
      <c r="AH548" s="118"/>
      <c r="AI548" s="118"/>
      <c r="AJ548" s="401"/>
      <c r="AK548" s="302">
        <v>4.6340000000000003</v>
      </c>
      <c r="AL548" s="302">
        <v>5.1289999999999996</v>
      </c>
      <c r="AM548" s="302">
        <v>5.8159999999999998</v>
      </c>
      <c r="AN548" s="118">
        <f>AO548-SUM(AK548,AL548,AM548)</f>
        <v>113.43899999999999</v>
      </c>
      <c r="AO548" s="403">
        <v>129.018</v>
      </c>
      <c r="AP548" s="118"/>
      <c r="AQ548" s="118"/>
      <c r="AR548" s="118"/>
      <c r="AS548" s="118"/>
      <c r="AT548" s="403">
        <v>107.477</v>
      </c>
      <c r="AU548" s="118"/>
      <c r="AV548" s="118"/>
      <c r="AW548" s="118"/>
      <c r="AX548" s="118"/>
      <c r="AY548" s="403">
        <v>127.78400000000001</v>
      </c>
      <c r="AZ548" s="118"/>
      <c r="BA548" s="118"/>
      <c r="BB548" s="118"/>
      <c r="BC548" s="118"/>
      <c r="BD548" s="403">
        <v>138.155</v>
      </c>
      <c r="BE548" s="118"/>
      <c r="BF548" s="118"/>
      <c r="BG548" s="118"/>
      <c r="BH548" s="118"/>
      <c r="BI548" s="403">
        <v>132.304</v>
      </c>
      <c r="BJ548" s="971"/>
      <c r="BK548" s="118"/>
      <c r="BL548" s="118"/>
      <c r="BM548" s="118"/>
      <c r="BN548" s="401"/>
      <c r="BO548" s="118"/>
      <c r="BP548" s="118"/>
      <c r="BQ548" s="118"/>
      <c r="BR548" s="118"/>
      <c r="BS548" s="401"/>
      <c r="BT548" s="401"/>
      <c r="BU548" s="401"/>
      <c r="BV548" s="401"/>
      <c r="BW548" s="122"/>
    </row>
    <row r="549" spans="1:75" s="198" customFormat="1" ht="14.25" hidden="1" outlineLevel="2" x14ac:dyDescent="0.45">
      <c r="A549" s="192" t="s">
        <v>2012</v>
      </c>
      <c r="B549" s="495"/>
      <c r="C549" s="518"/>
      <c r="D549" s="518"/>
      <c r="E549" s="518"/>
      <c r="F549" s="518"/>
      <c r="G549" s="327"/>
      <c r="H549" s="327"/>
      <c r="I549" s="327"/>
      <c r="J549" s="327"/>
      <c r="K549" s="518"/>
      <c r="L549" s="327"/>
      <c r="M549" s="327"/>
      <c r="N549" s="327"/>
      <c r="O549" s="327"/>
      <c r="P549" s="518"/>
      <c r="Q549" s="327"/>
      <c r="R549" s="327"/>
      <c r="S549" s="327"/>
      <c r="T549" s="327"/>
      <c r="U549" s="518"/>
      <c r="V549" s="327"/>
      <c r="W549" s="327"/>
      <c r="X549" s="327"/>
      <c r="Y549" s="327"/>
      <c r="Z549" s="518"/>
      <c r="AA549" s="327"/>
      <c r="AB549" s="327"/>
      <c r="AC549" s="327"/>
      <c r="AD549" s="327"/>
      <c r="AE549" s="518"/>
      <c r="AF549" s="327"/>
      <c r="AG549" s="327"/>
      <c r="AH549" s="327"/>
      <c r="AI549" s="327"/>
      <c r="AJ549" s="518"/>
      <c r="AK549" s="327">
        <f>SUM(AK547:AK548)</f>
        <v>69.602000000000004</v>
      </c>
      <c r="AL549" s="327">
        <f>SUM(AL547:AL548)</f>
        <v>71.272000000000006</v>
      </c>
      <c r="AM549" s="327">
        <f>SUM(AM547:AM548)</f>
        <v>74.725000000000009</v>
      </c>
      <c r="AN549" s="327">
        <f>SUM(AN547:AN548)</f>
        <v>181.30199999999999</v>
      </c>
      <c r="AO549" s="518">
        <f>SUM(AO547:AO548)</f>
        <v>396.90099999999995</v>
      </c>
      <c r="AP549" s="327"/>
      <c r="AQ549" s="327"/>
      <c r="AR549" s="327"/>
      <c r="AS549" s="327"/>
      <c r="AT549" s="518">
        <f>SUM(AT547:AT548)</f>
        <v>370.60299999999995</v>
      </c>
      <c r="AU549" s="327"/>
      <c r="AV549" s="327"/>
      <c r="AW549" s="327"/>
      <c r="AX549" s="327"/>
      <c r="AY549" s="518">
        <f>SUM(AY547:AY548)</f>
        <v>384.70799999999997</v>
      </c>
      <c r="AZ549" s="327"/>
      <c r="BA549" s="327"/>
      <c r="BB549" s="327"/>
      <c r="BC549" s="327"/>
      <c r="BD549" s="518">
        <f>SUM(BD547:BD548)</f>
        <v>413.24099999999999</v>
      </c>
      <c r="BE549" s="327"/>
      <c r="BF549" s="327"/>
      <c r="BG549" s="327"/>
      <c r="BH549" s="327"/>
      <c r="BI549" s="518">
        <f>SUM(BI547:BI548)</f>
        <v>429.08299999999997</v>
      </c>
      <c r="BJ549" s="1026"/>
      <c r="BK549" s="327"/>
      <c r="BL549" s="327"/>
      <c r="BM549" s="327"/>
      <c r="BN549" s="518"/>
      <c r="BO549" s="327"/>
      <c r="BP549" s="327"/>
      <c r="BQ549" s="327"/>
      <c r="BR549" s="327"/>
      <c r="BS549" s="518"/>
      <c r="BT549" s="518"/>
      <c r="BU549" s="518"/>
      <c r="BV549" s="518"/>
      <c r="BW549" s="197"/>
    </row>
    <row r="550" spans="1:75" s="123" customFormat="1" hidden="1" outlineLevel="2" x14ac:dyDescent="0.5">
      <c r="A550" s="752"/>
      <c r="B550" s="489"/>
      <c r="C550" s="401"/>
      <c r="D550" s="401"/>
      <c r="E550" s="401"/>
      <c r="F550" s="401"/>
      <c r="G550" s="118"/>
      <c r="H550" s="118"/>
      <c r="I550" s="118"/>
      <c r="J550" s="118"/>
      <c r="K550" s="401"/>
      <c r="L550" s="118"/>
      <c r="M550" s="118"/>
      <c r="N550" s="118"/>
      <c r="O550" s="118"/>
      <c r="P550" s="401"/>
      <c r="Q550" s="118"/>
      <c r="R550" s="118"/>
      <c r="S550" s="118"/>
      <c r="T550" s="118"/>
      <c r="U550" s="401"/>
      <c r="V550" s="118"/>
      <c r="W550" s="118"/>
      <c r="X550" s="118"/>
      <c r="Y550" s="118"/>
      <c r="Z550" s="401"/>
      <c r="AA550" s="118"/>
      <c r="AB550" s="118"/>
      <c r="AC550" s="118"/>
      <c r="AD550" s="118"/>
      <c r="AE550" s="401"/>
      <c r="AF550" s="118"/>
      <c r="AG550" s="118"/>
      <c r="AH550" s="118"/>
      <c r="AI550" s="118"/>
      <c r="AJ550" s="401"/>
      <c r="AK550" s="118"/>
      <c r="AL550" s="118"/>
      <c r="AM550" s="118"/>
      <c r="AN550" s="118"/>
      <c r="AO550" s="401"/>
      <c r="AP550" s="118"/>
      <c r="AQ550" s="118"/>
      <c r="AR550" s="118"/>
      <c r="AS550" s="118"/>
      <c r="AT550" s="401"/>
      <c r="AU550" s="118"/>
      <c r="AV550" s="118"/>
      <c r="AW550" s="118"/>
      <c r="AX550" s="118"/>
      <c r="AY550" s="401"/>
      <c r="AZ550" s="118"/>
      <c r="BA550" s="118"/>
      <c r="BB550" s="118"/>
      <c r="BC550" s="118"/>
      <c r="BD550" s="401"/>
      <c r="BE550" s="118"/>
      <c r="BF550" s="118"/>
      <c r="BG550" s="118"/>
      <c r="BH550" s="118"/>
      <c r="BI550" s="401"/>
      <c r="BJ550" s="971"/>
      <c r="BK550" s="118"/>
      <c r="BL550" s="118"/>
      <c r="BM550" s="118"/>
      <c r="BN550" s="401"/>
      <c r="BO550" s="118"/>
      <c r="BP550" s="118"/>
      <c r="BQ550" s="118"/>
      <c r="BR550" s="118"/>
      <c r="BS550" s="401"/>
      <c r="BT550" s="401"/>
      <c r="BU550" s="401"/>
      <c r="BV550" s="401"/>
      <c r="BW550" s="122"/>
    </row>
    <row r="551" spans="1:75" s="123" customFormat="1" hidden="1" outlineLevel="2" x14ac:dyDescent="0.5">
      <c r="A551" s="496" t="s">
        <v>2013</v>
      </c>
      <c r="B551" s="489"/>
      <c r="C551" s="403">
        <v>189.404</v>
      </c>
      <c r="D551" s="403">
        <v>185.97900000000001</v>
      </c>
      <c r="E551" s="403">
        <v>186.346</v>
      </c>
      <c r="F551" s="403">
        <v>189.06</v>
      </c>
      <c r="G551" s="118"/>
      <c r="H551" s="118"/>
      <c r="I551" s="118"/>
      <c r="J551" s="118"/>
      <c r="K551" s="403">
        <v>201.727</v>
      </c>
      <c r="L551" s="118"/>
      <c r="M551" s="118"/>
      <c r="N551" s="118"/>
      <c r="O551" s="118"/>
      <c r="P551" s="403">
        <v>215.221</v>
      </c>
      <c r="Q551" s="118"/>
      <c r="R551" s="118"/>
      <c r="S551" s="118"/>
      <c r="T551" s="118"/>
      <c r="U551" s="403">
        <v>224.56399999999999</v>
      </c>
      <c r="V551" s="118"/>
      <c r="W551" s="118"/>
      <c r="X551" s="118"/>
      <c r="Y551" s="118"/>
      <c r="Z551" s="403">
        <v>251.066</v>
      </c>
      <c r="AA551" s="118"/>
      <c r="AB551" s="118"/>
      <c r="AC551" s="118"/>
      <c r="AD551" s="118"/>
      <c r="AE551" s="403">
        <v>263.40899999999999</v>
      </c>
      <c r="AF551" s="118"/>
      <c r="AG551" s="118"/>
      <c r="AH551" s="118"/>
      <c r="AI551" s="118"/>
      <c r="AJ551" s="403">
        <v>271.52199999999999</v>
      </c>
      <c r="AK551" s="118"/>
      <c r="AL551" s="118"/>
      <c r="AM551" s="118"/>
      <c r="AN551" s="118"/>
      <c r="AO551" s="401"/>
      <c r="AP551" s="118"/>
      <c r="AQ551" s="118"/>
      <c r="AR551" s="118"/>
      <c r="AS551" s="118"/>
      <c r="AT551" s="401"/>
      <c r="AU551" s="118"/>
      <c r="AV551" s="118"/>
      <c r="AW551" s="118"/>
      <c r="AX551" s="118"/>
      <c r="AY551" s="401"/>
      <c r="AZ551" s="118"/>
      <c r="BA551" s="118"/>
      <c r="BB551" s="118"/>
      <c r="BC551" s="118"/>
      <c r="BD551" s="401"/>
      <c r="BE551" s="118"/>
      <c r="BF551" s="118"/>
      <c r="BG551" s="118"/>
      <c r="BH551" s="118"/>
      <c r="BI551" s="401"/>
      <c r="BJ551" s="971"/>
      <c r="BK551" s="118"/>
      <c r="BL551" s="118"/>
      <c r="BM551" s="118"/>
      <c r="BN551" s="401"/>
      <c r="BO551" s="118"/>
      <c r="BP551" s="118"/>
      <c r="BQ551" s="118"/>
      <c r="BR551" s="118"/>
      <c r="BS551" s="401"/>
      <c r="BT551" s="401"/>
      <c r="BU551" s="401"/>
      <c r="BV551" s="401"/>
      <c r="BW551" s="122"/>
    </row>
    <row r="552" spans="1:75" s="123" customFormat="1" hidden="1" outlineLevel="2" x14ac:dyDescent="0.5">
      <c r="A552" s="496" t="s">
        <v>2014</v>
      </c>
      <c r="B552" s="489"/>
      <c r="C552" s="403">
        <v>33.994</v>
      </c>
      <c r="D552" s="403">
        <v>34.856000000000002</v>
      </c>
      <c r="E552" s="403">
        <v>34.39</v>
      </c>
      <c r="F552" s="403">
        <v>35.634</v>
      </c>
      <c r="G552" s="118"/>
      <c r="H552" s="118"/>
      <c r="I552" s="118"/>
      <c r="J552" s="118"/>
      <c r="K552" s="403">
        <v>34.607999999999997</v>
      </c>
      <c r="L552" s="118"/>
      <c r="M552" s="118"/>
      <c r="N552" s="118"/>
      <c r="O552" s="118"/>
      <c r="P552" s="403">
        <v>32.698999999999998</v>
      </c>
      <c r="Q552" s="118"/>
      <c r="R552" s="118"/>
      <c r="S552" s="118"/>
      <c r="T552" s="118"/>
      <c r="U552" s="403">
        <v>33.984999999999999</v>
      </c>
      <c r="V552" s="118"/>
      <c r="W552" s="118"/>
      <c r="X552" s="118"/>
      <c r="Y552" s="118"/>
      <c r="Z552" s="403">
        <v>26.98</v>
      </c>
      <c r="AA552" s="118"/>
      <c r="AB552" s="118"/>
      <c r="AC552" s="118"/>
      <c r="AD552" s="118"/>
      <c r="AE552" s="403">
        <v>24.917999999999999</v>
      </c>
      <c r="AF552" s="118"/>
      <c r="AG552" s="118"/>
      <c r="AH552" s="118"/>
      <c r="AI552" s="118"/>
      <c r="AJ552" s="403">
        <v>26.414000000000001</v>
      </c>
      <c r="AK552" s="118"/>
      <c r="AL552" s="118"/>
      <c r="AM552" s="118"/>
      <c r="AN552" s="118"/>
      <c r="AO552" s="401"/>
      <c r="AP552" s="118"/>
      <c r="AQ552" s="118"/>
      <c r="AR552" s="118"/>
      <c r="AS552" s="118"/>
      <c r="AT552" s="401"/>
      <c r="AU552" s="118"/>
      <c r="AV552" s="118"/>
      <c r="AW552" s="118"/>
      <c r="AX552" s="118"/>
      <c r="AY552" s="401"/>
      <c r="AZ552" s="118"/>
      <c r="BA552" s="118"/>
      <c r="BB552" s="118"/>
      <c r="BC552" s="118"/>
      <c r="BD552" s="401"/>
      <c r="BE552" s="118"/>
      <c r="BF552" s="118"/>
      <c r="BG552" s="118"/>
      <c r="BH552" s="118"/>
      <c r="BI552" s="401"/>
      <c r="BJ552" s="971"/>
      <c r="BK552" s="118"/>
      <c r="BL552" s="118"/>
      <c r="BM552" s="118"/>
      <c r="BN552" s="401"/>
      <c r="BO552" s="118"/>
      <c r="BP552" s="118"/>
      <c r="BQ552" s="118"/>
      <c r="BR552" s="118"/>
      <c r="BS552" s="401"/>
      <c r="BT552" s="401"/>
      <c r="BU552" s="401"/>
      <c r="BV552" s="401"/>
      <c r="BW552" s="122"/>
    </row>
    <row r="553" spans="1:75" s="123" customFormat="1" hidden="1" outlineLevel="2" x14ac:dyDescent="0.5">
      <c r="A553" s="504" t="s">
        <v>2015</v>
      </c>
      <c r="B553" s="505"/>
      <c r="C553" s="1250">
        <f>SUM(C551:C552)</f>
        <v>223.398</v>
      </c>
      <c r="D553" s="1250">
        <f>SUM(D551:D552)</f>
        <v>220.83500000000001</v>
      </c>
      <c r="E553" s="1250">
        <f>SUM(E551:E552)</f>
        <v>220.73599999999999</v>
      </c>
      <c r="F553" s="1250">
        <f>SUM(F551:F552)</f>
        <v>224.69400000000002</v>
      </c>
      <c r="G553" s="321"/>
      <c r="H553" s="321"/>
      <c r="I553" s="321"/>
      <c r="J553" s="321"/>
      <c r="K553" s="1250">
        <f>SUM(K551:K552)</f>
        <v>236.33500000000001</v>
      </c>
      <c r="L553" s="321"/>
      <c r="M553" s="321"/>
      <c r="N553" s="321"/>
      <c r="O553" s="321"/>
      <c r="P553" s="1250">
        <f>SUM(P551:P552)</f>
        <v>247.92000000000002</v>
      </c>
      <c r="Q553" s="321"/>
      <c r="R553" s="321"/>
      <c r="S553" s="321"/>
      <c r="T553" s="321"/>
      <c r="U553" s="1250">
        <f>SUM(U551:U552)</f>
        <v>258.54899999999998</v>
      </c>
      <c r="V553" s="321"/>
      <c r="W553" s="321"/>
      <c r="X553" s="321"/>
      <c r="Y553" s="321"/>
      <c r="Z553" s="1250">
        <f>SUM(Z551:Z552)</f>
        <v>278.04599999999999</v>
      </c>
      <c r="AA553" s="321"/>
      <c r="AB553" s="321"/>
      <c r="AC553" s="321"/>
      <c r="AD553" s="321"/>
      <c r="AE553" s="1250">
        <f>SUM(AE551:AE552)</f>
        <v>288.327</v>
      </c>
      <c r="AF553" s="321"/>
      <c r="AG553" s="321"/>
      <c r="AH553" s="321"/>
      <c r="AI553" s="321"/>
      <c r="AJ553" s="1250">
        <f>SUM(AJ551:AJ552)</f>
        <v>297.93599999999998</v>
      </c>
      <c r="AK553" s="321"/>
      <c r="AL553" s="321"/>
      <c r="AM553" s="321"/>
      <c r="AN553" s="321"/>
      <c r="AO553" s="1250"/>
      <c r="AP553" s="321"/>
      <c r="AQ553" s="321"/>
      <c r="AR553" s="321"/>
      <c r="AS553" s="321"/>
      <c r="AT553" s="1250"/>
      <c r="AU553" s="321"/>
      <c r="AV553" s="321"/>
      <c r="AW553" s="321"/>
      <c r="AX553" s="321"/>
      <c r="AY553" s="1250"/>
      <c r="AZ553" s="321"/>
      <c r="BA553" s="321"/>
      <c r="BB553" s="321"/>
      <c r="BC553" s="321"/>
      <c r="BD553" s="1250"/>
      <c r="BE553" s="321"/>
      <c r="BF553" s="321"/>
      <c r="BG553" s="321"/>
      <c r="BH553" s="321"/>
      <c r="BI553" s="1250"/>
      <c r="BJ553" s="1251"/>
      <c r="BK553" s="321"/>
      <c r="BL553" s="321"/>
      <c r="BM553" s="321"/>
      <c r="BN553" s="1250"/>
      <c r="BO553" s="321"/>
      <c r="BP553" s="321"/>
      <c r="BQ553" s="321"/>
      <c r="BR553" s="321"/>
      <c r="BS553" s="1250"/>
      <c r="BT553" s="1250"/>
      <c r="BU553" s="1250"/>
      <c r="BV553" s="1250"/>
      <c r="BW553" s="122"/>
    </row>
    <row r="554" spans="1:75" s="123" customFormat="1" hidden="1" outlineLevel="2" x14ac:dyDescent="0.5">
      <c r="A554" s="184" t="s">
        <v>2016</v>
      </c>
      <c r="B554" s="489"/>
      <c r="C554" s="403">
        <v>-36.798999999999999</v>
      </c>
      <c r="D554" s="403">
        <v>-37.115000000000002</v>
      </c>
      <c r="E554" s="403">
        <v>-27.547000000000001</v>
      </c>
      <c r="F554" s="403">
        <v>-26.693999999999999</v>
      </c>
      <c r="G554" s="118"/>
      <c r="H554" s="118"/>
      <c r="I554" s="118"/>
      <c r="J554" s="118"/>
      <c r="K554" s="403">
        <v>-25.385000000000002</v>
      </c>
      <c r="L554" s="118"/>
      <c r="M554" s="118"/>
      <c r="N554" s="118"/>
      <c r="O554" s="118"/>
      <c r="P554" s="403">
        <v>-24.42</v>
      </c>
      <c r="Q554" s="118"/>
      <c r="R554" s="118"/>
      <c r="S554" s="118"/>
      <c r="T554" s="118"/>
      <c r="U554" s="403">
        <v>-24.678999999999998</v>
      </c>
      <c r="V554" s="118"/>
      <c r="W554" s="118"/>
      <c r="X554" s="118"/>
      <c r="Y554" s="118"/>
      <c r="Z554" s="403">
        <v>-25.297999999999998</v>
      </c>
      <c r="AA554" s="118"/>
      <c r="AB554" s="118"/>
      <c r="AC554" s="118"/>
      <c r="AD554" s="118"/>
      <c r="AE554" s="403">
        <v>-25.292999999999999</v>
      </c>
      <c r="AF554" s="118"/>
      <c r="AG554" s="118"/>
      <c r="AH554" s="118"/>
      <c r="AI554" s="118"/>
      <c r="AJ554" s="403">
        <v>-26.189</v>
      </c>
      <c r="AK554" s="118"/>
      <c r="AL554" s="118"/>
      <c r="AM554" s="118"/>
      <c r="AN554" s="118"/>
      <c r="AO554" s="401"/>
      <c r="AP554" s="118"/>
      <c r="AQ554" s="118"/>
      <c r="AR554" s="118"/>
      <c r="AS554" s="118"/>
      <c r="AT554" s="401"/>
      <c r="AU554" s="118"/>
      <c r="AV554" s="118"/>
      <c r="AW554" s="118"/>
      <c r="AX554" s="118"/>
      <c r="AY554" s="401"/>
      <c r="AZ554" s="118"/>
      <c r="BA554" s="118"/>
      <c r="BB554" s="118"/>
      <c r="BC554" s="118"/>
      <c r="BD554" s="401"/>
      <c r="BE554" s="118"/>
      <c r="BF554" s="118"/>
      <c r="BG554" s="118"/>
      <c r="BH554" s="118"/>
      <c r="BI554" s="401"/>
      <c r="BJ554" s="971"/>
      <c r="BK554" s="118"/>
      <c r="BL554" s="118"/>
      <c r="BM554" s="118"/>
      <c r="BN554" s="401"/>
      <c r="BO554" s="118"/>
      <c r="BP554" s="118"/>
      <c r="BQ554" s="118"/>
      <c r="BR554" s="118"/>
      <c r="BS554" s="401"/>
      <c r="BT554" s="401"/>
      <c r="BU554" s="401"/>
      <c r="BV554" s="401"/>
      <c r="BW554" s="122"/>
    </row>
    <row r="555" spans="1:75" s="123" customFormat="1" hidden="1" outlineLevel="2" x14ac:dyDescent="0.5">
      <c r="A555" s="184" t="s">
        <v>2017</v>
      </c>
      <c r="B555" s="489"/>
      <c r="C555" s="403">
        <v>-0.32600000000000001</v>
      </c>
      <c r="D555" s="403">
        <v>-0.32900000000000001</v>
      </c>
      <c r="E555" s="403">
        <v>-0.38200000000000001</v>
      </c>
      <c r="F555" s="403">
        <v>-0.53500000000000003</v>
      </c>
      <c r="G555" s="118"/>
      <c r="H555" s="118"/>
      <c r="I555" s="118"/>
      <c r="J555" s="118"/>
      <c r="K555" s="403">
        <v>-0.53600000000000003</v>
      </c>
      <c r="L555" s="118"/>
      <c r="M555" s="118"/>
      <c r="N555" s="118"/>
      <c r="O555" s="118"/>
      <c r="P555" s="403">
        <v>-0.56000000000000005</v>
      </c>
      <c r="Q555" s="118"/>
      <c r="R555" s="118"/>
      <c r="S555" s="118"/>
      <c r="T555" s="118"/>
      <c r="U555" s="403">
        <v>-0.60799999999999998</v>
      </c>
      <c r="V555" s="118"/>
      <c r="W555" s="118"/>
      <c r="X555" s="118"/>
      <c r="Y555" s="118"/>
      <c r="Z555" s="403">
        <v>-0.55800000000000005</v>
      </c>
      <c r="AA555" s="118"/>
      <c r="AB555" s="118"/>
      <c r="AC555" s="118"/>
      <c r="AD555" s="118"/>
      <c r="AE555" s="403">
        <v>-0.57799999999999996</v>
      </c>
      <c r="AF555" s="118"/>
      <c r="AG555" s="118"/>
      <c r="AH555" s="118"/>
      <c r="AI555" s="118"/>
      <c r="AJ555" s="403">
        <v>-0.52200000000000002</v>
      </c>
      <c r="AK555" s="118"/>
      <c r="AL555" s="118"/>
      <c r="AM555" s="118"/>
      <c r="AN555" s="118"/>
      <c r="AO555" s="401"/>
      <c r="AP555" s="118"/>
      <c r="AQ555" s="118"/>
      <c r="AR555" s="118"/>
      <c r="AS555" s="118"/>
      <c r="AT555" s="401"/>
      <c r="AU555" s="118"/>
      <c r="AV555" s="118"/>
      <c r="AW555" s="118"/>
      <c r="AX555" s="118"/>
      <c r="AY555" s="401"/>
      <c r="AZ555" s="118"/>
      <c r="BA555" s="118"/>
      <c r="BB555" s="118"/>
      <c r="BC555" s="118"/>
      <c r="BD555" s="401"/>
      <c r="BE555" s="118"/>
      <c r="BF555" s="118"/>
      <c r="BG555" s="118"/>
      <c r="BH555" s="118"/>
      <c r="BI555" s="401"/>
      <c r="BJ555" s="971"/>
      <c r="BK555" s="118"/>
      <c r="BL555" s="118"/>
      <c r="BM555" s="118"/>
      <c r="BN555" s="401"/>
      <c r="BO555" s="118"/>
      <c r="BP555" s="118"/>
      <c r="BQ555" s="118"/>
      <c r="BR555" s="118"/>
      <c r="BS555" s="401"/>
      <c r="BT555" s="401"/>
      <c r="BU555" s="401"/>
      <c r="BV555" s="401"/>
      <c r="BW555" s="122"/>
    </row>
    <row r="556" spans="1:75" s="198" customFormat="1" ht="14.25" hidden="1" outlineLevel="2" x14ac:dyDescent="0.45">
      <c r="A556" s="192" t="s">
        <v>998</v>
      </c>
      <c r="B556" s="495"/>
      <c r="C556" s="518">
        <f>SUM(C553:C555)</f>
        <v>186.273</v>
      </c>
      <c r="D556" s="518">
        <f>SUM(D553:D555)</f>
        <v>183.39099999999999</v>
      </c>
      <c r="E556" s="518">
        <f>SUM(E553:E555)</f>
        <v>192.80699999999999</v>
      </c>
      <c r="F556" s="518">
        <f>SUM(F553:F555)</f>
        <v>197.46500000000003</v>
      </c>
      <c r="G556" s="327"/>
      <c r="H556" s="327"/>
      <c r="I556" s="327"/>
      <c r="J556" s="327"/>
      <c r="K556" s="518">
        <f>SUM(K553:K555)</f>
        <v>210.41400000000002</v>
      </c>
      <c r="L556" s="327"/>
      <c r="M556" s="327"/>
      <c r="N556" s="327"/>
      <c r="O556" s="327"/>
      <c r="P556" s="518">
        <f>SUM(P553:P555)</f>
        <v>222.94</v>
      </c>
      <c r="Q556" s="327"/>
      <c r="R556" s="327"/>
      <c r="S556" s="327"/>
      <c r="T556" s="327"/>
      <c r="U556" s="518">
        <f>SUM(U553:U555)</f>
        <v>233.26199999999997</v>
      </c>
      <c r="V556" s="327"/>
      <c r="W556" s="327"/>
      <c r="X556" s="327"/>
      <c r="Y556" s="327"/>
      <c r="Z556" s="518">
        <f>SUM(Z553:Z555)</f>
        <v>252.19</v>
      </c>
      <c r="AA556" s="327"/>
      <c r="AB556" s="327"/>
      <c r="AC556" s="327"/>
      <c r="AD556" s="327"/>
      <c r="AE556" s="518">
        <f>SUM(AE553:AE555)</f>
        <v>262.45600000000002</v>
      </c>
      <c r="AF556" s="327"/>
      <c r="AG556" s="327"/>
      <c r="AH556" s="327"/>
      <c r="AI556" s="327"/>
      <c r="AJ556" s="518">
        <f>SUM(AJ553:AJ555)</f>
        <v>271.22499999999997</v>
      </c>
      <c r="AK556" s="327"/>
      <c r="AL556" s="327"/>
      <c r="AM556" s="327"/>
      <c r="AN556" s="327"/>
      <c r="AO556" s="518"/>
      <c r="AP556" s="327"/>
      <c r="AQ556" s="327"/>
      <c r="AR556" s="327"/>
      <c r="AS556" s="327"/>
      <c r="AT556" s="518"/>
      <c r="AU556" s="327"/>
      <c r="AV556" s="327"/>
      <c r="AW556" s="327"/>
      <c r="AX556" s="327"/>
      <c r="AY556" s="518"/>
      <c r="AZ556" s="327"/>
      <c r="BA556" s="327"/>
      <c r="BB556" s="327"/>
      <c r="BC556" s="327"/>
      <c r="BD556" s="518"/>
      <c r="BE556" s="327"/>
      <c r="BF556" s="327"/>
      <c r="BG556" s="327"/>
      <c r="BH556" s="327"/>
      <c r="BI556" s="518"/>
      <c r="BJ556" s="1026"/>
      <c r="BK556" s="327"/>
      <c r="BL556" s="327"/>
      <c r="BM556" s="327"/>
      <c r="BN556" s="518"/>
      <c r="BO556" s="327"/>
      <c r="BP556" s="327"/>
      <c r="BQ556" s="327"/>
      <c r="BR556" s="327"/>
      <c r="BS556" s="518"/>
      <c r="BT556" s="518"/>
      <c r="BU556" s="518"/>
      <c r="BV556" s="518"/>
      <c r="BW556" s="197"/>
    </row>
    <row r="557" spans="1:75" s="123" customFormat="1" hidden="1" outlineLevel="1" collapsed="1" x14ac:dyDescent="0.5">
      <c r="A557" s="752"/>
      <c r="B557" s="489"/>
      <c r="C557" s="401"/>
      <c r="D557" s="401"/>
      <c r="E557" s="401"/>
      <c r="F557" s="401"/>
      <c r="G557" s="118"/>
      <c r="H557" s="118"/>
      <c r="I557" s="118"/>
      <c r="J557" s="118"/>
      <c r="K557" s="401"/>
      <c r="L557" s="118"/>
      <c r="M557" s="118"/>
      <c r="N557" s="118"/>
      <c r="O557" s="118"/>
      <c r="P557" s="401"/>
      <c r="Q557" s="118"/>
      <c r="R557" s="118"/>
      <c r="S557" s="118"/>
      <c r="T557" s="118"/>
      <c r="U557" s="401"/>
      <c r="V557" s="118"/>
      <c r="W557" s="118"/>
      <c r="X557" s="118"/>
      <c r="Y557" s="118"/>
      <c r="Z557" s="401"/>
      <c r="AA557" s="118"/>
      <c r="AB557" s="118"/>
      <c r="AC557" s="118"/>
      <c r="AD557" s="118"/>
      <c r="AE557" s="401"/>
      <c r="AF557" s="118"/>
      <c r="AG557" s="118"/>
      <c r="AH557" s="118"/>
      <c r="AI557" s="118"/>
      <c r="AJ557" s="401"/>
      <c r="AK557" s="118"/>
      <c r="AL557" s="118"/>
      <c r="AM557" s="118"/>
      <c r="AN557" s="118"/>
      <c r="AO557" s="401"/>
      <c r="AP557" s="118"/>
      <c r="AQ557" s="118"/>
      <c r="AR557" s="118"/>
      <c r="AS557" s="118"/>
      <c r="AT557" s="401"/>
      <c r="AU557" s="118"/>
      <c r="AV557" s="118"/>
      <c r="AW557" s="118"/>
      <c r="AX557" s="118"/>
      <c r="AY557" s="401"/>
      <c r="AZ557" s="118"/>
      <c r="BA557" s="118"/>
      <c r="BB557" s="118"/>
      <c r="BC557" s="118"/>
      <c r="BD557" s="401"/>
      <c r="BE557" s="118"/>
      <c r="BF557" s="118"/>
      <c r="BG557" s="118"/>
      <c r="BH557" s="118"/>
      <c r="BI557" s="401"/>
      <c r="BJ557" s="971"/>
      <c r="BK557" s="118"/>
      <c r="BL557" s="118"/>
      <c r="BM557" s="118"/>
      <c r="BN557" s="401"/>
      <c r="BO557" s="118"/>
      <c r="BP557" s="118"/>
      <c r="BQ557" s="118"/>
      <c r="BR557" s="118"/>
      <c r="BS557" s="401"/>
      <c r="BT557" s="401"/>
      <c r="BU557" s="401"/>
      <c r="BV557" s="401"/>
      <c r="BW557" s="122"/>
    </row>
    <row r="558" spans="1:75" s="198" customFormat="1" ht="14.25" hidden="1" outlineLevel="1" x14ac:dyDescent="0.45">
      <c r="A558" s="239" t="s">
        <v>2018</v>
      </c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  <c r="AA558" s="239"/>
      <c r="AB558" s="239"/>
      <c r="AC558" s="239"/>
      <c r="AD558" s="239"/>
      <c r="AE558" s="239"/>
      <c r="AF558" s="239"/>
      <c r="AG558" s="239"/>
      <c r="AH558" s="239"/>
      <c r="AI558" s="239"/>
      <c r="AJ558" s="239"/>
      <c r="AK558" s="239"/>
      <c r="AL558" s="239"/>
      <c r="AM558" s="239"/>
      <c r="AN558" s="239"/>
      <c r="AO558" s="239"/>
      <c r="AP558" s="239"/>
      <c r="AQ558" s="239"/>
      <c r="AR558" s="239"/>
      <c r="AS558" s="239"/>
      <c r="AT558" s="239"/>
      <c r="AU558" s="239"/>
      <c r="AV558" s="239"/>
      <c r="AW558" s="239"/>
      <c r="AX558" s="239"/>
      <c r="AY558" s="239"/>
      <c r="AZ558" s="239"/>
      <c r="BA558" s="239"/>
      <c r="BB558" s="239"/>
      <c r="BC558" s="239"/>
      <c r="BD558" s="239"/>
      <c r="BE558" s="239"/>
      <c r="BF558" s="239"/>
      <c r="BG558" s="239"/>
      <c r="BH558" s="239"/>
      <c r="BI558" s="239"/>
      <c r="BJ558" s="241"/>
      <c r="BK558" s="239"/>
      <c r="BL558" s="239"/>
      <c r="BM558" s="239"/>
      <c r="BN558" s="239"/>
      <c r="BO558" s="239"/>
      <c r="BP558" s="239"/>
      <c r="BQ558" s="239"/>
      <c r="BR558" s="239"/>
      <c r="BS558" s="239"/>
      <c r="BT558" s="239"/>
      <c r="BU558" s="239"/>
      <c r="BV558" s="239"/>
      <c r="BW558" s="197"/>
    </row>
    <row r="559" spans="1:75" s="198" customFormat="1" ht="14.25" hidden="1" outlineLevel="2" x14ac:dyDescent="0.45">
      <c r="A559" s="239" t="s">
        <v>2019</v>
      </c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  <c r="AA559" s="239"/>
      <c r="AB559" s="239"/>
      <c r="AC559" s="239"/>
      <c r="AD559" s="239"/>
      <c r="AE559" s="239"/>
      <c r="AF559" s="239"/>
      <c r="AG559" s="239"/>
      <c r="AH559" s="239"/>
      <c r="AI559" s="239"/>
      <c r="AJ559" s="239"/>
      <c r="AK559" s="239"/>
      <c r="AL559" s="239"/>
      <c r="AM559" s="239"/>
      <c r="AN559" s="239"/>
      <c r="AO559" s="239"/>
      <c r="AP559" s="239"/>
      <c r="AQ559" s="239"/>
      <c r="AR559" s="239"/>
      <c r="AS559" s="239"/>
      <c r="AT559" s="239"/>
      <c r="AU559" s="239"/>
      <c r="AV559" s="239"/>
      <c r="AW559" s="239"/>
      <c r="AX559" s="239"/>
      <c r="AY559" s="239"/>
      <c r="AZ559" s="239"/>
      <c r="BA559" s="239"/>
      <c r="BB559" s="239"/>
      <c r="BC559" s="239"/>
      <c r="BD559" s="239"/>
      <c r="BE559" s="239"/>
      <c r="BF559" s="239"/>
      <c r="BG559" s="239"/>
      <c r="BH559" s="239"/>
      <c r="BI559" s="239"/>
      <c r="BJ559" s="241"/>
      <c r="BK559" s="239"/>
      <c r="BL559" s="239"/>
      <c r="BM559" s="239"/>
      <c r="BN559" s="239"/>
      <c r="BO559" s="239"/>
      <c r="BP559" s="239"/>
      <c r="BQ559" s="239"/>
      <c r="BR559" s="239"/>
      <c r="BS559" s="239"/>
      <c r="BT559" s="239"/>
      <c r="BU559" s="239"/>
      <c r="BV559" s="239"/>
      <c r="BW559" s="197"/>
    </row>
    <row r="560" spans="1:75" s="198" customFormat="1" ht="14.25" hidden="1" outlineLevel="3" x14ac:dyDescent="0.45">
      <c r="A560" s="206" t="s">
        <v>2020</v>
      </c>
      <c r="B560" s="485"/>
      <c r="C560" s="397">
        <f t="shared" ref="C560:AJ560" si="873">C388</f>
        <v>1224.67</v>
      </c>
      <c r="D560" s="397">
        <f t="shared" si="873"/>
        <v>1452.5719999999999</v>
      </c>
      <c r="E560" s="397">
        <f t="shared" si="873"/>
        <v>1632.8109999999999</v>
      </c>
      <c r="F560" s="397">
        <f t="shared" si="873"/>
        <v>1869.386</v>
      </c>
      <c r="G560" s="295">
        <f t="shared" si="873"/>
        <v>419.084</v>
      </c>
      <c r="H560" s="295">
        <f t="shared" si="873"/>
        <v>477.65699999999998</v>
      </c>
      <c r="I560" s="295">
        <f t="shared" si="873"/>
        <v>511.87400000000002</v>
      </c>
      <c r="J560" s="295">
        <f t="shared" si="873"/>
        <v>706.40699999999993</v>
      </c>
      <c r="K560" s="397">
        <f t="shared" si="873"/>
        <v>2115.0219999999999</v>
      </c>
      <c r="L560" s="295">
        <f t="shared" si="873"/>
        <v>491.28899999999999</v>
      </c>
      <c r="M560" s="295">
        <f t="shared" si="873"/>
        <v>522.58900000000006</v>
      </c>
      <c r="N560" s="295">
        <f t="shared" si="873"/>
        <v>586.976</v>
      </c>
      <c r="O560" s="295">
        <f t="shared" si="873"/>
        <v>769.83999999999992</v>
      </c>
      <c r="P560" s="397">
        <f t="shared" si="873"/>
        <v>2370.694</v>
      </c>
      <c r="Q560" s="295">
        <f t="shared" si="873"/>
        <v>532.57299999999998</v>
      </c>
      <c r="R560" s="295">
        <f t="shared" si="873"/>
        <v>569.91300000000001</v>
      </c>
      <c r="S560" s="295">
        <f t="shared" si="873"/>
        <v>628.19100000000003</v>
      </c>
      <c r="T560" s="295">
        <f t="shared" si="873"/>
        <v>791.90299999999991</v>
      </c>
      <c r="U560" s="397">
        <f t="shared" si="873"/>
        <v>2522.58</v>
      </c>
      <c r="V560" s="295">
        <f t="shared" si="873"/>
        <v>576.23400000000004</v>
      </c>
      <c r="W560" s="295">
        <f t="shared" si="873"/>
        <v>599.68299999999999</v>
      </c>
      <c r="X560" s="295">
        <f t="shared" si="873"/>
        <v>648.74300000000005</v>
      </c>
      <c r="Y560" s="295">
        <f t="shared" si="873"/>
        <v>808.94199999999989</v>
      </c>
      <c r="Z560" s="397">
        <f t="shared" si="873"/>
        <v>2633.6019999999999</v>
      </c>
      <c r="AA560" s="295">
        <f t="shared" si="873"/>
        <v>580.51</v>
      </c>
      <c r="AB560" s="295">
        <f t="shared" si="873"/>
        <v>630.79300000000001</v>
      </c>
      <c r="AC560" s="295">
        <f t="shared" si="873"/>
        <v>690.04499999999996</v>
      </c>
      <c r="AD560" s="295">
        <f t="shared" si="873"/>
        <v>877.1089999999997</v>
      </c>
      <c r="AE560" s="397">
        <f t="shared" si="873"/>
        <v>2778.4569999999999</v>
      </c>
      <c r="AF560" s="295">
        <f t="shared" si="873"/>
        <v>646.17999999999995</v>
      </c>
      <c r="AG560" s="295">
        <f t="shared" si="873"/>
        <v>686.94200000000001</v>
      </c>
      <c r="AH560" s="295">
        <f t="shared" si="873"/>
        <v>746.71600000000001</v>
      </c>
      <c r="AI560" s="295">
        <f t="shared" si="873"/>
        <v>1002.226</v>
      </c>
      <c r="AJ560" s="397">
        <f t="shared" si="873"/>
        <v>3082.0639999999999</v>
      </c>
      <c r="AK560" s="295"/>
      <c r="AL560" s="295"/>
      <c r="AM560" s="295"/>
      <c r="AN560" s="295"/>
      <c r="AO560" s="397"/>
      <c r="AP560" s="295"/>
      <c r="AQ560" s="295"/>
      <c r="AR560" s="295"/>
      <c r="AS560" s="295"/>
      <c r="AT560" s="397"/>
      <c r="AU560" s="295"/>
      <c r="AV560" s="295"/>
      <c r="AW560" s="295"/>
      <c r="AX560" s="295"/>
      <c r="AY560" s="397"/>
      <c r="AZ560" s="295"/>
      <c r="BA560" s="295"/>
      <c r="BB560" s="295"/>
      <c r="BC560" s="295"/>
      <c r="BD560" s="397"/>
      <c r="BE560" s="295"/>
      <c r="BF560" s="295"/>
      <c r="BG560" s="295"/>
      <c r="BH560" s="295"/>
      <c r="BI560" s="397"/>
      <c r="BJ560" s="1030"/>
      <c r="BK560" s="295"/>
      <c r="BL560" s="295"/>
      <c r="BM560" s="295"/>
      <c r="BN560" s="397"/>
      <c r="BO560" s="295"/>
      <c r="BP560" s="295"/>
      <c r="BQ560" s="295"/>
      <c r="BR560" s="295"/>
      <c r="BS560" s="397"/>
      <c r="BT560" s="397"/>
      <c r="BU560" s="397"/>
      <c r="BV560" s="397"/>
      <c r="BW560" s="197"/>
    </row>
    <row r="561" spans="1:75" s="123" customFormat="1" hidden="1" outlineLevel="3" x14ac:dyDescent="0.5">
      <c r="A561" s="184" t="s">
        <v>2021</v>
      </c>
      <c r="B561" s="489"/>
      <c r="C561" s="401"/>
      <c r="D561" s="401"/>
      <c r="E561" s="401"/>
      <c r="F561" s="401"/>
      <c r="G561" s="118"/>
      <c r="H561" s="118"/>
      <c r="I561" s="118"/>
      <c r="J561" s="118"/>
      <c r="K561" s="401"/>
      <c r="L561" s="118"/>
      <c r="M561" s="118"/>
      <c r="N561" s="118"/>
      <c r="O561" s="118"/>
      <c r="P561" s="401"/>
      <c r="Q561" s="118"/>
      <c r="R561" s="118"/>
      <c r="S561" s="118"/>
      <c r="T561" s="118"/>
      <c r="U561" s="401"/>
      <c r="V561" s="118"/>
      <c r="W561" s="118"/>
      <c r="X561" s="118"/>
      <c r="Y561" s="118"/>
      <c r="Z561" s="401"/>
      <c r="AA561" s="118"/>
      <c r="AB561" s="118"/>
      <c r="AC561" s="118"/>
      <c r="AD561" s="302">
        <v>-0.40799999999999997</v>
      </c>
      <c r="AE561" s="403">
        <v>-0.40799999999999997</v>
      </c>
      <c r="AF561" s="302">
        <v>-0.69399999999999995</v>
      </c>
      <c r="AG561" s="302">
        <v>-0.70699999999999996</v>
      </c>
      <c r="AH561" s="302">
        <v>-1.1100000000000001</v>
      </c>
      <c r="AI561" s="302">
        <v>-0.84199999999999997</v>
      </c>
      <c r="AJ561" s="403">
        <v>-3.3530000000000002</v>
      </c>
      <c r="AK561" s="118"/>
      <c r="AL561" s="118"/>
      <c r="AM561" s="118"/>
      <c r="AN561" s="118"/>
      <c r="AO561" s="401"/>
      <c r="AP561" s="118"/>
      <c r="AQ561" s="118"/>
      <c r="AR561" s="118"/>
      <c r="AS561" s="118"/>
      <c r="AT561" s="401"/>
      <c r="AU561" s="118"/>
      <c r="AV561" s="118"/>
      <c r="AW561" s="118"/>
      <c r="AX561" s="118"/>
      <c r="AY561" s="401"/>
      <c r="AZ561" s="118"/>
      <c r="BA561" s="118"/>
      <c r="BB561" s="118"/>
      <c r="BC561" s="118"/>
      <c r="BD561" s="401"/>
      <c r="BE561" s="118"/>
      <c r="BF561" s="118"/>
      <c r="BG561" s="118"/>
      <c r="BH561" s="118"/>
      <c r="BI561" s="401"/>
      <c r="BJ561" s="971"/>
      <c r="BK561" s="118"/>
      <c r="BL561" s="118"/>
      <c r="BM561" s="118"/>
      <c r="BN561" s="401"/>
      <c r="BO561" s="118"/>
      <c r="BP561" s="118"/>
      <c r="BQ561" s="118"/>
      <c r="BR561" s="118"/>
      <c r="BS561" s="401"/>
      <c r="BT561" s="401"/>
      <c r="BU561" s="401"/>
      <c r="BV561" s="401"/>
      <c r="BW561" s="122"/>
    </row>
    <row r="562" spans="1:75" s="198" customFormat="1" ht="14.25" hidden="1" outlineLevel="3" x14ac:dyDescent="0.45">
      <c r="A562" s="192" t="s">
        <v>2022</v>
      </c>
      <c r="B562" s="495"/>
      <c r="C562" s="518">
        <f t="shared" ref="C562:AJ562" si="874">SUM(C560:C561)</f>
        <v>1224.67</v>
      </c>
      <c r="D562" s="518">
        <f t="shared" si="874"/>
        <v>1452.5719999999999</v>
      </c>
      <c r="E562" s="518">
        <f t="shared" si="874"/>
        <v>1632.8109999999999</v>
      </c>
      <c r="F562" s="518">
        <f t="shared" si="874"/>
        <v>1869.386</v>
      </c>
      <c r="G562" s="327">
        <f t="shared" si="874"/>
        <v>419.084</v>
      </c>
      <c r="H562" s="327">
        <f t="shared" si="874"/>
        <v>477.65699999999998</v>
      </c>
      <c r="I562" s="327">
        <f t="shared" si="874"/>
        <v>511.87400000000002</v>
      </c>
      <c r="J562" s="327">
        <f t="shared" si="874"/>
        <v>706.40699999999993</v>
      </c>
      <c r="K562" s="518">
        <f t="shared" si="874"/>
        <v>2115.0219999999999</v>
      </c>
      <c r="L562" s="327">
        <f t="shared" si="874"/>
        <v>491.28899999999999</v>
      </c>
      <c r="M562" s="327">
        <f t="shared" si="874"/>
        <v>522.58900000000006</v>
      </c>
      <c r="N562" s="327">
        <f t="shared" si="874"/>
        <v>586.976</v>
      </c>
      <c r="O562" s="327">
        <f t="shared" si="874"/>
        <v>769.83999999999992</v>
      </c>
      <c r="P562" s="518">
        <f t="shared" si="874"/>
        <v>2370.694</v>
      </c>
      <c r="Q562" s="327">
        <f t="shared" si="874"/>
        <v>532.57299999999998</v>
      </c>
      <c r="R562" s="327">
        <f t="shared" si="874"/>
        <v>569.91300000000001</v>
      </c>
      <c r="S562" s="327">
        <f t="shared" si="874"/>
        <v>628.19100000000003</v>
      </c>
      <c r="T562" s="327">
        <f t="shared" si="874"/>
        <v>791.90299999999991</v>
      </c>
      <c r="U562" s="518">
        <f t="shared" si="874"/>
        <v>2522.58</v>
      </c>
      <c r="V562" s="327">
        <f t="shared" si="874"/>
        <v>576.23400000000004</v>
      </c>
      <c r="W562" s="327">
        <f t="shared" si="874"/>
        <v>599.68299999999999</v>
      </c>
      <c r="X562" s="327">
        <f t="shared" si="874"/>
        <v>648.74300000000005</v>
      </c>
      <c r="Y562" s="327">
        <f t="shared" si="874"/>
        <v>808.94199999999989</v>
      </c>
      <c r="Z562" s="518">
        <f t="shared" si="874"/>
        <v>2633.6019999999999</v>
      </c>
      <c r="AA562" s="327">
        <f t="shared" si="874"/>
        <v>580.51</v>
      </c>
      <c r="AB562" s="327">
        <f t="shared" si="874"/>
        <v>630.79300000000001</v>
      </c>
      <c r="AC562" s="327">
        <f t="shared" si="874"/>
        <v>690.04499999999996</v>
      </c>
      <c r="AD562" s="327">
        <f t="shared" si="874"/>
        <v>876.70099999999968</v>
      </c>
      <c r="AE562" s="518">
        <f t="shared" si="874"/>
        <v>2778.049</v>
      </c>
      <c r="AF562" s="327">
        <f t="shared" si="874"/>
        <v>645.48599999999999</v>
      </c>
      <c r="AG562" s="327">
        <f t="shared" si="874"/>
        <v>686.23500000000001</v>
      </c>
      <c r="AH562" s="327">
        <f t="shared" si="874"/>
        <v>745.60599999999999</v>
      </c>
      <c r="AI562" s="327">
        <f t="shared" si="874"/>
        <v>1001.384</v>
      </c>
      <c r="AJ562" s="518">
        <f t="shared" si="874"/>
        <v>3078.7109999999998</v>
      </c>
      <c r="AK562" s="327"/>
      <c r="AL562" s="327"/>
      <c r="AM562" s="327"/>
      <c r="AN562" s="327"/>
      <c r="AO562" s="518"/>
      <c r="AP562" s="327"/>
      <c r="AQ562" s="327"/>
      <c r="AR562" s="327"/>
      <c r="AS562" s="327"/>
      <c r="AT562" s="518"/>
      <c r="AU562" s="327"/>
      <c r="AV562" s="327"/>
      <c r="AW562" s="327"/>
      <c r="AX562" s="327"/>
      <c r="AY562" s="518"/>
      <c r="AZ562" s="327"/>
      <c r="BA562" s="327"/>
      <c r="BB562" s="327"/>
      <c r="BC562" s="327"/>
      <c r="BD562" s="518"/>
      <c r="BE562" s="327"/>
      <c r="BF562" s="327"/>
      <c r="BG562" s="327"/>
      <c r="BH562" s="327"/>
      <c r="BI562" s="518"/>
      <c r="BJ562" s="1026"/>
      <c r="BK562" s="327"/>
      <c r="BL562" s="327"/>
      <c r="BM562" s="327"/>
      <c r="BN562" s="518"/>
      <c r="BO562" s="327"/>
      <c r="BP562" s="327"/>
      <c r="BQ562" s="327"/>
      <c r="BR562" s="327"/>
      <c r="BS562" s="518"/>
      <c r="BT562" s="518"/>
      <c r="BU562" s="518"/>
      <c r="BV562" s="518"/>
      <c r="BW562" s="197"/>
    </row>
    <row r="563" spans="1:75" s="198" customFormat="1" ht="14.25" hidden="1" outlineLevel="3" x14ac:dyDescent="0.45">
      <c r="A563" s="206"/>
      <c r="B563" s="485"/>
      <c r="C563" s="397"/>
      <c r="D563" s="397"/>
      <c r="E563" s="397"/>
      <c r="F563" s="397"/>
      <c r="G563" s="295"/>
      <c r="H563" s="295"/>
      <c r="I563" s="295"/>
      <c r="J563" s="295"/>
      <c r="K563" s="397"/>
      <c r="L563" s="295"/>
      <c r="M563" s="295"/>
      <c r="N563" s="295"/>
      <c r="O563" s="295"/>
      <c r="P563" s="397"/>
      <c r="Q563" s="295"/>
      <c r="R563" s="295"/>
      <c r="S563" s="295"/>
      <c r="T563" s="295"/>
      <c r="U563" s="397"/>
      <c r="V563" s="295"/>
      <c r="W563" s="295"/>
      <c r="X563" s="295"/>
      <c r="Y563" s="295"/>
      <c r="Z563" s="397"/>
      <c r="AA563" s="295"/>
      <c r="AB563" s="295"/>
      <c r="AC563" s="295"/>
      <c r="AD563" s="295"/>
      <c r="AE563" s="397"/>
      <c r="AF563" s="295"/>
      <c r="AG563" s="295"/>
      <c r="AH563" s="295"/>
      <c r="AI563" s="295"/>
      <c r="AJ563" s="397"/>
      <c r="AK563" s="295"/>
      <c r="AL563" s="295"/>
      <c r="AM563" s="295"/>
      <c r="AN563" s="295"/>
      <c r="AO563" s="397"/>
      <c r="AP563" s="295"/>
      <c r="AQ563" s="295"/>
      <c r="AR563" s="295"/>
      <c r="AS563" s="295"/>
      <c r="AT563" s="397"/>
      <c r="AU563" s="295"/>
      <c r="AV563" s="295"/>
      <c r="AW563" s="295"/>
      <c r="AX563" s="295"/>
      <c r="AY563" s="397"/>
      <c r="AZ563" s="295"/>
      <c r="BA563" s="295"/>
      <c r="BB563" s="295"/>
      <c r="BC563" s="295"/>
      <c r="BD563" s="397"/>
      <c r="BE563" s="295"/>
      <c r="BF563" s="295"/>
      <c r="BG563" s="295"/>
      <c r="BH563" s="295"/>
      <c r="BI563" s="397"/>
      <c r="BJ563" s="1030"/>
      <c r="BK563" s="295"/>
      <c r="BL563" s="295"/>
      <c r="BM563" s="295"/>
      <c r="BN563" s="397"/>
      <c r="BO563" s="295"/>
      <c r="BP563" s="295"/>
      <c r="BQ563" s="295"/>
      <c r="BR563" s="295"/>
      <c r="BS563" s="397"/>
      <c r="BT563" s="397"/>
      <c r="BU563" s="397"/>
      <c r="BV563" s="397"/>
      <c r="BW563" s="197"/>
    </row>
    <row r="564" spans="1:75" s="198" customFormat="1" ht="14.25" hidden="1" outlineLevel="3" x14ac:dyDescent="0.45">
      <c r="A564" s="206" t="s">
        <v>2023</v>
      </c>
      <c r="B564" s="485"/>
      <c r="C564" s="671">
        <v>212.30500000000001</v>
      </c>
      <c r="D564" s="671">
        <v>312.77999999999997</v>
      </c>
      <c r="E564" s="671">
        <v>359.596</v>
      </c>
      <c r="F564" s="671">
        <v>418.83600000000001</v>
      </c>
      <c r="G564" s="638">
        <v>95.941000000000003</v>
      </c>
      <c r="H564" s="638">
        <v>114.491</v>
      </c>
      <c r="I564" s="638">
        <v>117.086</v>
      </c>
      <c r="J564" s="295">
        <f>K564-SUM(G564,H564,I564)</f>
        <v>174.62499999999994</v>
      </c>
      <c r="K564" s="671">
        <v>502.14299999999997</v>
      </c>
      <c r="L564" s="638">
        <v>121.136</v>
      </c>
      <c r="M564" s="638">
        <v>120.61199999999999</v>
      </c>
      <c r="N564" s="638">
        <v>136.61699999999999</v>
      </c>
      <c r="O564" s="295">
        <f>P564-SUM(L564,M564,N564)</f>
        <v>182.03099999999995</v>
      </c>
      <c r="P564" s="671">
        <v>560.39599999999996</v>
      </c>
      <c r="Q564" s="638">
        <v>127.574</v>
      </c>
      <c r="R564" s="638">
        <v>122.461</v>
      </c>
      <c r="S564" s="638">
        <v>137.828</v>
      </c>
      <c r="T564" s="295">
        <f>U564-SUM(Q564,R564,S564)</f>
        <v>174.21800000000002</v>
      </c>
      <c r="U564" s="671">
        <v>562.08100000000002</v>
      </c>
      <c r="V564" s="638">
        <v>131.54499999999999</v>
      </c>
      <c r="W564" s="638">
        <v>132.733</v>
      </c>
      <c r="X564" s="638">
        <v>150.16399999999999</v>
      </c>
      <c r="Y564" s="295">
        <f>Z564-SUM(V564,W564,X564)</f>
        <v>191.84399999999994</v>
      </c>
      <c r="Z564" s="671">
        <v>606.28599999999994</v>
      </c>
      <c r="AA564" s="638">
        <v>132.00399999999999</v>
      </c>
      <c r="AB564" s="638">
        <v>135.13900000000001</v>
      </c>
      <c r="AC564" s="638">
        <v>142.86500000000001</v>
      </c>
      <c r="AD564" s="295">
        <f>AE564-SUM(AA564,AB564,AC564)</f>
        <v>189.48299999999995</v>
      </c>
      <c r="AE564" s="671">
        <v>599.49099999999999</v>
      </c>
      <c r="AF564" s="638">
        <v>142.80500000000001</v>
      </c>
      <c r="AG564" s="638">
        <v>137.23599999999999</v>
      </c>
      <c r="AH564" s="638">
        <v>152.20400000000001</v>
      </c>
      <c r="AI564" s="295">
        <f>AJ564-SUM(AF564,AG564,AH564)</f>
        <v>211.34699999999998</v>
      </c>
      <c r="AJ564" s="671">
        <v>643.59199999999998</v>
      </c>
      <c r="AK564" s="295"/>
      <c r="AL564" s="295"/>
      <c r="AM564" s="295"/>
      <c r="AN564" s="295"/>
      <c r="AO564" s="397"/>
      <c r="AP564" s="295"/>
      <c r="AQ564" s="295"/>
      <c r="AR564" s="295"/>
      <c r="AS564" s="295"/>
      <c r="AT564" s="397"/>
      <c r="AU564" s="295"/>
      <c r="AV564" s="295"/>
      <c r="AW564" s="295"/>
      <c r="AX564" s="295"/>
      <c r="AY564" s="397"/>
      <c r="AZ564" s="295"/>
      <c r="BA564" s="295"/>
      <c r="BB564" s="295"/>
      <c r="BC564" s="295"/>
      <c r="BD564" s="397"/>
      <c r="BE564" s="295"/>
      <c r="BF564" s="295"/>
      <c r="BG564" s="295"/>
      <c r="BH564" s="295"/>
      <c r="BI564" s="397"/>
      <c r="BJ564" s="1030"/>
      <c r="BK564" s="295"/>
      <c r="BL564" s="295"/>
      <c r="BM564" s="295"/>
      <c r="BN564" s="397"/>
      <c r="BO564" s="295"/>
      <c r="BP564" s="295"/>
      <c r="BQ564" s="295"/>
      <c r="BR564" s="295"/>
      <c r="BS564" s="397"/>
      <c r="BT564" s="397"/>
      <c r="BU564" s="397"/>
      <c r="BV564" s="397"/>
      <c r="BW564" s="197"/>
    </row>
    <row r="565" spans="1:75" s="123" customFormat="1" hidden="1" outlineLevel="3" x14ac:dyDescent="0.5">
      <c r="A565" s="184" t="s">
        <v>2024</v>
      </c>
      <c r="B565" s="489"/>
      <c r="C565" s="401"/>
      <c r="D565" s="401"/>
      <c r="E565" s="401"/>
      <c r="F565" s="401"/>
      <c r="G565" s="118"/>
      <c r="H565" s="118"/>
      <c r="I565" s="118"/>
      <c r="J565" s="118"/>
      <c r="K565" s="401"/>
      <c r="L565" s="118"/>
      <c r="M565" s="118"/>
      <c r="N565" s="118"/>
      <c r="O565" s="118"/>
      <c r="P565" s="401"/>
      <c r="Q565" s="118"/>
      <c r="R565" s="118"/>
      <c r="S565" s="118"/>
      <c r="T565" s="118"/>
      <c r="U565" s="401"/>
      <c r="V565" s="118"/>
      <c r="W565" s="118"/>
      <c r="X565" s="118"/>
      <c r="Y565" s="118"/>
      <c r="Z565" s="401"/>
      <c r="AA565" s="118"/>
      <c r="AB565" s="118"/>
      <c r="AC565" s="118"/>
      <c r="AD565" s="302">
        <v>3.3090000000000002</v>
      </c>
      <c r="AE565" s="403">
        <v>3.3090000000000002</v>
      </c>
      <c r="AF565" s="302">
        <v>5.5510000000000002</v>
      </c>
      <c r="AG565" s="302">
        <v>3.6139999999999999</v>
      </c>
      <c r="AH565" s="302">
        <v>4.6219999999999999</v>
      </c>
      <c r="AI565" s="302">
        <v>5.8419999999999996</v>
      </c>
      <c r="AJ565" s="403">
        <v>19.629000000000001</v>
      </c>
      <c r="AK565" s="118"/>
      <c r="AL565" s="118"/>
      <c r="AM565" s="118"/>
      <c r="AN565" s="118"/>
      <c r="AO565" s="401"/>
      <c r="AP565" s="118"/>
      <c r="AQ565" s="118"/>
      <c r="AR565" s="118"/>
      <c r="AS565" s="118"/>
      <c r="AT565" s="401"/>
      <c r="AU565" s="118"/>
      <c r="AV565" s="118"/>
      <c r="AW565" s="118"/>
      <c r="AX565" s="118"/>
      <c r="AY565" s="401"/>
      <c r="AZ565" s="118"/>
      <c r="BA565" s="118"/>
      <c r="BB565" s="118"/>
      <c r="BC565" s="118"/>
      <c r="BD565" s="401"/>
      <c r="BE565" s="118"/>
      <c r="BF565" s="118"/>
      <c r="BG565" s="118"/>
      <c r="BH565" s="118"/>
      <c r="BI565" s="401"/>
      <c r="BJ565" s="971"/>
      <c r="BK565" s="118"/>
      <c r="BL565" s="118"/>
      <c r="BM565" s="118"/>
      <c r="BN565" s="401"/>
      <c r="BO565" s="118"/>
      <c r="BP565" s="118"/>
      <c r="BQ565" s="118"/>
      <c r="BR565" s="118"/>
      <c r="BS565" s="401"/>
      <c r="BT565" s="401"/>
      <c r="BU565" s="401"/>
      <c r="BV565" s="401"/>
      <c r="BW565" s="122"/>
    </row>
    <row r="566" spans="1:75" s="123" customFormat="1" hidden="1" outlineLevel="3" x14ac:dyDescent="0.5">
      <c r="A566" s="184" t="s">
        <v>2025</v>
      </c>
      <c r="B566" s="489"/>
      <c r="C566" s="401"/>
      <c r="D566" s="401"/>
      <c r="E566" s="401"/>
      <c r="F566" s="401"/>
      <c r="G566" s="118"/>
      <c r="H566" s="118"/>
      <c r="I566" s="118"/>
      <c r="J566" s="118"/>
      <c r="K566" s="401"/>
      <c r="L566" s="118"/>
      <c r="M566" s="118"/>
      <c r="N566" s="118"/>
      <c r="O566" s="118"/>
      <c r="P566" s="401"/>
      <c r="Q566" s="118"/>
      <c r="R566" s="118"/>
      <c r="S566" s="118"/>
      <c r="T566" s="118"/>
      <c r="U566" s="401"/>
      <c r="V566" s="118"/>
      <c r="W566" s="118"/>
      <c r="X566" s="118"/>
      <c r="Y566" s="118"/>
      <c r="Z566" s="401"/>
      <c r="AA566" s="118"/>
      <c r="AB566" s="118"/>
      <c r="AC566" s="118"/>
      <c r="AD566" s="118"/>
      <c r="AE566" s="401"/>
      <c r="AF566" s="118"/>
      <c r="AG566" s="118"/>
      <c r="AH566" s="118"/>
      <c r="AI566" s="118"/>
      <c r="AJ566" s="401"/>
      <c r="AK566" s="118"/>
      <c r="AL566" s="118"/>
      <c r="AM566" s="118"/>
      <c r="AN566" s="118"/>
      <c r="AO566" s="401"/>
      <c r="AP566" s="118"/>
      <c r="AQ566" s="118"/>
      <c r="AR566" s="118"/>
      <c r="AS566" s="118"/>
      <c r="AT566" s="401"/>
      <c r="AU566" s="118"/>
      <c r="AV566" s="118"/>
      <c r="AW566" s="118"/>
      <c r="AX566" s="118"/>
      <c r="AY566" s="401"/>
      <c r="AZ566" s="118"/>
      <c r="BA566" s="118"/>
      <c r="BB566" s="118"/>
      <c r="BC566" s="118"/>
      <c r="BD566" s="401"/>
      <c r="BE566" s="118"/>
      <c r="BF566" s="118"/>
      <c r="BG566" s="118"/>
      <c r="BH566" s="118"/>
      <c r="BI566" s="401"/>
      <c r="BJ566" s="971"/>
      <c r="BK566" s="118"/>
      <c r="BL566" s="118"/>
      <c r="BM566" s="118"/>
      <c r="BN566" s="401"/>
      <c r="BO566" s="118"/>
      <c r="BP566" s="118"/>
      <c r="BQ566" s="118"/>
      <c r="BR566" s="118"/>
      <c r="BS566" s="401"/>
      <c r="BT566" s="401"/>
      <c r="BU566" s="401"/>
      <c r="BV566" s="401"/>
      <c r="BW566" s="122"/>
    </row>
    <row r="567" spans="1:75" s="123" customFormat="1" hidden="1" outlineLevel="3" x14ac:dyDescent="0.5">
      <c r="A567" s="184" t="s">
        <v>2026</v>
      </c>
      <c r="B567" s="489"/>
      <c r="C567" s="401"/>
      <c r="D567" s="401"/>
      <c r="E567" s="401"/>
      <c r="F567" s="401"/>
      <c r="G567" s="118"/>
      <c r="H567" s="118"/>
      <c r="I567" s="118"/>
      <c r="J567" s="118"/>
      <c r="K567" s="401"/>
      <c r="L567" s="118"/>
      <c r="M567" s="118"/>
      <c r="N567" s="118"/>
      <c r="O567" s="118"/>
      <c r="P567" s="401"/>
      <c r="Q567" s="118"/>
      <c r="R567" s="118"/>
      <c r="S567" s="118"/>
      <c r="T567" s="118"/>
      <c r="U567" s="401"/>
      <c r="V567" s="118"/>
      <c r="W567" s="118"/>
      <c r="X567" s="118"/>
      <c r="Y567" s="118"/>
      <c r="Z567" s="401"/>
      <c r="AA567" s="118"/>
      <c r="AB567" s="118"/>
      <c r="AC567" s="118"/>
      <c r="AD567" s="118"/>
      <c r="AE567" s="401"/>
      <c r="AF567" s="118"/>
      <c r="AG567" s="118"/>
      <c r="AH567" s="118"/>
      <c r="AI567" s="118"/>
      <c r="AJ567" s="401"/>
      <c r="AK567" s="118"/>
      <c r="AL567" s="118"/>
      <c r="AM567" s="118"/>
      <c r="AN567" s="118"/>
      <c r="AO567" s="401"/>
      <c r="AP567" s="118"/>
      <c r="AQ567" s="118"/>
      <c r="AR567" s="118"/>
      <c r="AS567" s="118"/>
      <c r="AT567" s="401"/>
      <c r="AU567" s="118"/>
      <c r="AV567" s="118"/>
      <c r="AW567" s="118"/>
      <c r="AX567" s="118"/>
      <c r="AY567" s="401"/>
      <c r="AZ567" s="118"/>
      <c r="BA567" s="118"/>
      <c r="BB567" s="118"/>
      <c r="BC567" s="118"/>
      <c r="BD567" s="401"/>
      <c r="BE567" s="118"/>
      <c r="BF567" s="118"/>
      <c r="BG567" s="118"/>
      <c r="BH567" s="118"/>
      <c r="BI567" s="401"/>
      <c r="BJ567" s="971"/>
      <c r="BK567" s="118"/>
      <c r="BL567" s="118"/>
      <c r="BM567" s="118"/>
      <c r="BN567" s="401"/>
      <c r="BO567" s="118"/>
      <c r="BP567" s="118"/>
      <c r="BQ567" s="118"/>
      <c r="BR567" s="118"/>
      <c r="BS567" s="401"/>
      <c r="BT567" s="401"/>
      <c r="BU567" s="401"/>
      <c r="BV567" s="401"/>
      <c r="BW567" s="122"/>
    </row>
    <row r="568" spans="1:75" s="123" customFormat="1" hidden="1" outlineLevel="3" x14ac:dyDescent="0.5">
      <c r="A568" s="184" t="s">
        <v>2027</v>
      </c>
      <c r="B568" s="489"/>
      <c r="C568" s="401"/>
      <c r="D568" s="401"/>
      <c r="E568" s="401"/>
      <c r="F568" s="401"/>
      <c r="G568" s="118"/>
      <c r="H568" s="118"/>
      <c r="I568" s="118"/>
      <c r="J568" s="118"/>
      <c r="K568" s="401"/>
      <c r="L568" s="118"/>
      <c r="M568" s="118"/>
      <c r="N568" s="118"/>
      <c r="O568" s="118"/>
      <c r="P568" s="401"/>
      <c r="Q568" s="118"/>
      <c r="R568" s="118"/>
      <c r="S568" s="118"/>
      <c r="T568" s="118"/>
      <c r="U568" s="401"/>
      <c r="V568" s="118"/>
      <c r="W568" s="118"/>
      <c r="X568" s="118"/>
      <c r="Y568" s="118"/>
      <c r="Z568" s="401"/>
      <c r="AA568" s="118"/>
      <c r="AB568" s="118"/>
      <c r="AC568" s="118"/>
      <c r="AD568" s="118"/>
      <c r="AE568" s="401"/>
      <c r="AF568" s="118"/>
      <c r="AG568" s="302">
        <v>0.49299999999999999</v>
      </c>
      <c r="AH568" s="118"/>
      <c r="AI568" s="118"/>
      <c r="AJ568" s="403">
        <v>0.49299999999999999</v>
      </c>
      <c r="AK568" s="118"/>
      <c r="AL568" s="118"/>
      <c r="AM568" s="118"/>
      <c r="AN568" s="118"/>
      <c r="AO568" s="401"/>
      <c r="AP568" s="118"/>
      <c r="AQ568" s="118"/>
      <c r="AR568" s="118"/>
      <c r="AS568" s="118"/>
      <c r="AT568" s="401"/>
      <c r="AU568" s="118"/>
      <c r="AV568" s="118"/>
      <c r="AW568" s="118"/>
      <c r="AX568" s="118"/>
      <c r="AY568" s="401"/>
      <c r="AZ568" s="118"/>
      <c r="BA568" s="118"/>
      <c r="BB568" s="118"/>
      <c r="BC568" s="118"/>
      <c r="BD568" s="401"/>
      <c r="BE568" s="118"/>
      <c r="BF568" s="118"/>
      <c r="BG568" s="118"/>
      <c r="BH568" s="118"/>
      <c r="BI568" s="401"/>
      <c r="BJ568" s="971"/>
      <c r="BK568" s="118"/>
      <c r="BL568" s="118"/>
      <c r="BM568" s="118"/>
      <c r="BN568" s="401"/>
      <c r="BO568" s="118"/>
      <c r="BP568" s="118"/>
      <c r="BQ568" s="118"/>
      <c r="BR568" s="118"/>
      <c r="BS568" s="401"/>
      <c r="BT568" s="401"/>
      <c r="BU568" s="401"/>
      <c r="BV568" s="401"/>
      <c r="BW568" s="122"/>
    </row>
    <row r="569" spans="1:75" s="198" customFormat="1" ht="14.25" hidden="1" outlineLevel="3" x14ac:dyDescent="0.45">
      <c r="A569" s="192" t="s">
        <v>2028</v>
      </c>
      <c r="B569" s="495"/>
      <c r="C569" s="518">
        <f t="shared" ref="C569:AJ569" si="875">SUM(C564:C568)</f>
        <v>212.30500000000001</v>
      </c>
      <c r="D569" s="518">
        <f t="shared" si="875"/>
        <v>312.77999999999997</v>
      </c>
      <c r="E569" s="518">
        <f t="shared" si="875"/>
        <v>359.596</v>
      </c>
      <c r="F569" s="518">
        <f t="shared" si="875"/>
        <v>418.83600000000001</v>
      </c>
      <c r="G569" s="327">
        <f t="shared" si="875"/>
        <v>95.941000000000003</v>
      </c>
      <c r="H569" s="327">
        <f t="shared" si="875"/>
        <v>114.491</v>
      </c>
      <c r="I569" s="327">
        <f t="shared" si="875"/>
        <v>117.086</v>
      </c>
      <c r="J569" s="327">
        <f t="shared" si="875"/>
        <v>174.62499999999994</v>
      </c>
      <c r="K569" s="518">
        <f t="shared" si="875"/>
        <v>502.14299999999997</v>
      </c>
      <c r="L569" s="327">
        <f t="shared" si="875"/>
        <v>121.136</v>
      </c>
      <c r="M569" s="327">
        <f t="shared" si="875"/>
        <v>120.61199999999999</v>
      </c>
      <c r="N569" s="327">
        <f t="shared" si="875"/>
        <v>136.61699999999999</v>
      </c>
      <c r="O569" s="327">
        <f t="shared" si="875"/>
        <v>182.03099999999995</v>
      </c>
      <c r="P569" s="518">
        <f t="shared" si="875"/>
        <v>560.39599999999996</v>
      </c>
      <c r="Q569" s="327">
        <f t="shared" si="875"/>
        <v>127.574</v>
      </c>
      <c r="R569" s="327">
        <f t="shared" si="875"/>
        <v>122.461</v>
      </c>
      <c r="S569" s="327">
        <f t="shared" si="875"/>
        <v>137.828</v>
      </c>
      <c r="T569" s="327">
        <f t="shared" si="875"/>
        <v>174.21800000000002</v>
      </c>
      <c r="U569" s="518">
        <f t="shared" si="875"/>
        <v>562.08100000000002</v>
      </c>
      <c r="V569" s="327">
        <f t="shared" si="875"/>
        <v>131.54499999999999</v>
      </c>
      <c r="W569" s="327">
        <f t="shared" si="875"/>
        <v>132.733</v>
      </c>
      <c r="X569" s="327">
        <f t="shared" si="875"/>
        <v>150.16399999999999</v>
      </c>
      <c r="Y569" s="327">
        <f t="shared" si="875"/>
        <v>191.84399999999994</v>
      </c>
      <c r="Z569" s="518">
        <f t="shared" si="875"/>
        <v>606.28599999999994</v>
      </c>
      <c r="AA569" s="327">
        <f t="shared" si="875"/>
        <v>132.00399999999999</v>
      </c>
      <c r="AB569" s="327">
        <f t="shared" si="875"/>
        <v>135.13900000000001</v>
      </c>
      <c r="AC569" s="327">
        <f t="shared" si="875"/>
        <v>142.86500000000001</v>
      </c>
      <c r="AD569" s="327">
        <f t="shared" si="875"/>
        <v>192.79199999999994</v>
      </c>
      <c r="AE569" s="518">
        <f t="shared" si="875"/>
        <v>602.79999999999995</v>
      </c>
      <c r="AF569" s="327">
        <f t="shared" si="875"/>
        <v>148.35599999999999</v>
      </c>
      <c r="AG569" s="327">
        <f t="shared" si="875"/>
        <v>141.34299999999999</v>
      </c>
      <c r="AH569" s="327">
        <f t="shared" si="875"/>
        <v>156.82600000000002</v>
      </c>
      <c r="AI569" s="327">
        <f t="shared" si="875"/>
        <v>217.18899999999999</v>
      </c>
      <c r="AJ569" s="518">
        <f t="shared" si="875"/>
        <v>663.71400000000006</v>
      </c>
      <c r="AK569" s="327"/>
      <c r="AL569" s="327"/>
      <c r="AM569" s="327"/>
      <c r="AN569" s="327"/>
      <c r="AO569" s="518"/>
      <c r="AP569" s="327"/>
      <c r="AQ569" s="327"/>
      <c r="AR569" s="327"/>
      <c r="AS569" s="327"/>
      <c r="AT569" s="518"/>
      <c r="AU569" s="327"/>
      <c r="AV569" s="327"/>
      <c r="AW569" s="327"/>
      <c r="AX569" s="327"/>
      <c r="AY569" s="518"/>
      <c r="AZ569" s="327"/>
      <c r="BA569" s="327"/>
      <c r="BB569" s="327"/>
      <c r="BC569" s="327"/>
      <c r="BD569" s="518"/>
      <c r="BE569" s="327"/>
      <c r="BF569" s="327"/>
      <c r="BG569" s="327"/>
      <c r="BH569" s="327"/>
      <c r="BI569" s="518"/>
      <c r="BJ569" s="1026"/>
      <c r="BK569" s="327"/>
      <c r="BL569" s="327"/>
      <c r="BM569" s="327"/>
      <c r="BN569" s="518"/>
      <c r="BO569" s="327"/>
      <c r="BP569" s="327"/>
      <c r="BQ569" s="327"/>
      <c r="BR569" s="327"/>
      <c r="BS569" s="518"/>
      <c r="BT569" s="518"/>
      <c r="BU569" s="518"/>
      <c r="BV569" s="518"/>
      <c r="BW569" s="197"/>
    </row>
    <row r="570" spans="1:75" s="198" customFormat="1" ht="14.25" hidden="1" outlineLevel="3" x14ac:dyDescent="0.45">
      <c r="A570" s="206"/>
      <c r="B570" s="485"/>
      <c r="C570" s="397"/>
      <c r="D570" s="397"/>
      <c r="E570" s="397"/>
      <c r="F570" s="397"/>
      <c r="G570" s="295"/>
      <c r="H570" s="295"/>
      <c r="I570" s="295"/>
      <c r="J570" s="295"/>
      <c r="K570" s="397"/>
      <c r="L570" s="295"/>
      <c r="M570" s="295"/>
      <c r="N570" s="295"/>
      <c r="O570" s="295"/>
      <c r="P570" s="397"/>
      <c r="Q570" s="295"/>
      <c r="R570" s="295"/>
      <c r="S570" s="295"/>
      <c r="T570" s="295"/>
      <c r="U570" s="397"/>
      <c r="V570" s="295"/>
      <c r="W570" s="295"/>
      <c r="X570" s="295"/>
      <c r="Y570" s="295"/>
      <c r="Z570" s="397"/>
      <c r="AA570" s="295"/>
      <c r="AB570" s="295"/>
      <c r="AC570" s="295"/>
      <c r="AD570" s="295"/>
      <c r="AE570" s="397"/>
      <c r="AF570" s="295"/>
      <c r="AG570" s="295"/>
      <c r="AH570" s="295"/>
      <c r="AI570" s="295"/>
      <c r="AJ570" s="397"/>
      <c r="AK570" s="295"/>
      <c r="AL570" s="295"/>
      <c r="AM570" s="295"/>
      <c r="AN570" s="295"/>
      <c r="AO570" s="397"/>
      <c r="AP570" s="295"/>
      <c r="AQ570" s="295"/>
      <c r="AR570" s="295"/>
      <c r="AS570" s="295"/>
      <c r="AT570" s="397"/>
      <c r="AU570" s="295"/>
      <c r="AV570" s="295"/>
      <c r="AW570" s="295"/>
      <c r="AX570" s="295"/>
      <c r="AY570" s="397"/>
      <c r="AZ570" s="295"/>
      <c r="BA570" s="295"/>
      <c r="BB570" s="295"/>
      <c r="BC570" s="295"/>
      <c r="BD570" s="397"/>
      <c r="BE570" s="295"/>
      <c r="BF570" s="295"/>
      <c r="BG570" s="295"/>
      <c r="BH570" s="295"/>
      <c r="BI570" s="397"/>
      <c r="BJ570" s="1030"/>
      <c r="BK570" s="295"/>
      <c r="BL570" s="295"/>
      <c r="BM570" s="295"/>
      <c r="BN570" s="397"/>
      <c r="BO570" s="295"/>
      <c r="BP570" s="295"/>
      <c r="BQ570" s="295"/>
      <c r="BR570" s="295"/>
      <c r="BS570" s="397"/>
      <c r="BT570" s="397"/>
      <c r="BU570" s="397"/>
      <c r="BV570" s="397"/>
      <c r="BW570" s="197"/>
    </row>
    <row r="571" spans="1:75" s="198" customFormat="1" ht="14.25" hidden="1" outlineLevel="3" x14ac:dyDescent="0.45">
      <c r="A571" s="206" t="s">
        <v>2029</v>
      </c>
      <c r="B571" s="485"/>
      <c r="C571" s="671">
        <v>133.489</v>
      </c>
      <c r="D571" s="671">
        <v>247.428</v>
      </c>
      <c r="E571" s="671">
        <v>263.77600000000001</v>
      </c>
      <c r="F571" s="671">
        <v>262.899</v>
      </c>
      <c r="G571" s="638">
        <v>34.015999999999998</v>
      </c>
      <c r="H571" s="638">
        <v>34.609000000000002</v>
      </c>
      <c r="I571" s="638">
        <v>49.3</v>
      </c>
      <c r="J571" s="295">
        <f>K571-SUM(G571,H571,I571)</f>
        <v>130.96899999999999</v>
      </c>
      <c r="K571" s="671">
        <v>248.89400000000001</v>
      </c>
      <c r="L571" s="638">
        <v>30.196000000000002</v>
      </c>
      <c r="M571" s="638">
        <v>37.058</v>
      </c>
      <c r="N571" s="638">
        <v>49.972999999999999</v>
      </c>
      <c r="O571" s="295">
        <f>P571-SUM(L571,M571,N571)</f>
        <v>131.30799999999999</v>
      </c>
      <c r="P571" s="671">
        <v>248.535</v>
      </c>
      <c r="Q571" s="638">
        <v>28.126000000000001</v>
      </c>
      <c r="R571" s="638">
        <v>40.503</v>
      </c>
      <c r="S571" s="638">
        <v>49.213000000000001</v>
      </c>
      <c r="T571" s="295">
        <f>U571-SUM(Q571,R571,S571)</f>
        <v>121.446</v>
      </c>
      <c r="U571" s="671">
        <v>239.28800000000001</v>
      </c>
      <c r="V571" s="638">
        <v>30.125</v>
      </c>
      <c r="W571" s="638">
        <v>33.216999999999999</v>
      </c>
      <c r="X571" s="638">
        <v>47.08</v>
      </c>
      <c r="Y571" s="295">
        <f>Z571-SUM(V571,W571,X571)</f>
        <v>121.50700000000001</v>
      </c>
      <c r="Z571" s="671">
        <v>231.929</v>
      </c>
      <c r="AA571" s="638">
        <v>21.713999999999999</v>
      </c>
      <c r="AB571" s="638">
        <v>34.591999999999999</v>
      </c>
      <c r="AC571" s="638">
        <v>42.804000000000002</v>
      </c>
      <c r="AD571" s="295">
        <f>AE571-SUM(AA571,AB571,AC571)</f>
        <v>125.498</v>
      </c>
      <c r="AE571" s="671">
        <v>224.608</v>
      </c>
      <c r="AF571" s="638">
        <v>22.061</v>
      </c>
      <c r="AG571" s="638">
        <v>33.921999999999997</v>
      </c>
      <c r="AH571" s="638">
        <v>45.052</v>
      </c>
      <c r="AI571" s="295">
        <f>AJ571-SUM(AF571,AG571,AH571)</f>
        <v>116.035</v>
      </c>
      <c r="AJ571" s="671">
        <v>217.07</v>
      </c>
      <c r="AK571" s="295"/>
      <c r="AL571" s="295"/>
      <c r="AM571" s="295"/>
      <c r="AN571" s="295"/>
      <c r="AO571" s="397"/>
      <c r="AP571" s="295"/>
      <c r="AQ571" s="295"/>
      <c r="AR571" s="295"/>
      <c r="AS571" s="295"/>
      <c r="AT571" s="397"/>
      <c r="AU571" s="295"/>
      <c r="AV571" s="295"/>
      <c r="AW571" s="295"/>
      <c r="AX571" s="295"/>
      <c r="AY571" s="397"/>
      <c r="AZ571" s="295"/>
      <c r="BA571" s="295"/>
      <c r="BB571" s="295"/>
      <c r="BC571" s="295"/>
      <c r="BD571" s="397"/>
      <c r="BE571" s="295"/>
      <c r="BF571" s="295"/>
      <c r="BG571" s="295"/>
      <c r="BH571" s="295"/>
      <c r="BI571" s="397"/>
      <c r="BJ571" s="1030"/>
      <c r="BK571" s="295"/>
      <c r="BL571" s="295"/>
      <c r="BM571" s="295"/>
      <c r="BN571" s="397"/>
      <c r="BO571" s="295"/>
      <c r="BP571" s="295"/>
      <c r="BQ571" s="295"/>
      <c r="BR571" s="295"/>
      <c r="BS571" s="397"/>
      <c r="BT571" s="397"/>
      <c r="BU571" s="397"/>
      <c r="BV571" s="397"/>
      <c r="BW571" s="197"/>
    </row>
    <row r="572" spans="1:75" s="123" customFormat="1" hidden="1" outlineLevel="3" x14ac:dyDescent="0.5">
      <c r="A572" s="184" t="s">
        <v>2030</v>
      </c>
      <c r="B572" s="489"/>
      <c r="C572" s="403">
        <v>35.024000000000001</v>
      </c>
      <c r="D572" s="403">
        <v>17.524999999999999</v>
      </c>
      <c r="E572" s="403">
        <v>3</v>
      </c>
      <c r="F572" s="401"/>
      <c r="G572" s="118"/>
      <c r="H572" s="118"/>
      <c r="I572" s="118"/>
      <c r="J572" s="118"/>
      <c r="K572" s="401"/>
      <c r="L572" s="118"/>
      <c r="M572" s="118"/>
      <c r="N572" s="118"/>
      <c r="O572" s="118"/>
      <c r="P572" s="401"/>
      <c r="Q572" s="118"/>
      <c r="R572" s="118"/>
      <c r="S572" s="118"/>
      <c r="T572" s="118"/>
      <c r="U572" s="401"/>
      <c r="V572" s="118"/>
      <c r="W572" s="118"/>
      <c r="X572" s="118"/>
      <c r="Y572" s="118"/>
      <c r="Z572" s="401"/>
      <c r="AA572" s="118"/>
      <c r="AB572" s="118"/>
      <c r="AC572" s="118"/>
      <c r="AD572" s="118"/>
      <c r="AE572" s="401"/>
      <c r="AF572" s="118"/>
      <c r="AG572" s="118"/>
      <c r="AH572" s="118"/>
      <c r="AI572" s="118"/>
      <c r="AJ572" s="401"/>
      <c r="AK572" s="118"/>
      <c r="AL572" s="118"/>
      <c r="AM572" s="118"/>
      <c r="AN572" s="118"/>
      <c r="AO572" s="401"/>
      <c r="AP572" s="118"/>
      <c r="AQ572" s="118"/>
      <c r="AR572" s="118"/>
      <c r="AS572" s="118"/>
      <c r="AT572" s="401"/>
      <c r="AU572" s="118"/>
      <c r="AV572" s="118"/>
      <c r="AW572" s="118"/>
      <c r="AX572" s="118"/>
      <c r="AY572" s="401"/>
      <c r="AZ572" s="118"/>
      <c r="BA572" s="118"/>
      <c r="BB572" s="118"/>
      <c r="BC572" s="118"/>
      <c r="BD572" s="401"/>
      <c r="BE572" s="118"/>
      <c r="BF572" s="118"/>
      <c r="BG572" s="118"/>
      <c r="BH572" s="118"/>
      <c r="BI572" s="401"/>
      <c r="BJ572" s="971"/>
      <c r="BK572" s="118"/>
      <c r="BL572" s="118"/>
      <c r="BM572" s="118"/>
      <c r="BN572" s="401"/>
      <c r="BO572" s="118"/>
      <c r="BP572" s="118"/>
      <c r="BQ572" s="118"/>
      <c r="BR572" s="118"/>
      <c r="BS572" s="401"/>
      <c r="BT572" s="401"/>
      <c r="BU572" s="401"/>
      <c r="BV572" s="401"/>
      <c r="BW572" s="122"/>
    </row>
    <row r="573" spans="1:75" s="123" customFormat="1" hidden="1" outlineLevel="3" x14ac:dyDescent="0.5">
      <c r="A573" s="184" t="s">
        <v>2031</v>
      </c>
      <c r="B573" s="489"/>
      <c r="C573" s="401"/>
      <c r="D573" s="401"/>
      <c r="E573" s="401"/>
      <c r="F573" s="401"/>
      <c r="G573" s="118"/>
      <c r="H573" s="118"/>
      <c r="I573" s="118"/>
      <c r="J573" s="118"/>
      <c r="K573" s="401"/>
      <c r="L573" s="118"/>
      <c r="M573" s="118"/>
      <c r="N573" s="118"/>
      <c r="O573" s="118"/>
      <c r="P573" s="401"/>
      <c r="Q573" s="118"/>
      <c r="R573" s="118"/>
      <c r="S573" s="118"/>
      <c r="T573" s="118"/>
      <c r="U573" s="401"/>
      <c r="V573" s="118"/>
      <c r="W573" s="118"/>
      <c r="X573" s="118"/>
      <c r="Y573" s="118"/>
      <c r="Z573" s="401"/>
      <c r="AA573" s="118"/>
      <c r="AB573" s="118"/>
      <c r="AC573" s="118"/>
      <c r="AD573" s="118"/>
      <c r="AE573" s="401"/>
      <c r="AF573" s="118"/>
      <c r="AG573" s="118"/>
      <c r="AH573" s="118"/>
      <c r="AI573" s="118"/>
      <c r="AJ573" s="401"/>
      <c r="AK573" s="118"/>
      <c r="AL573" s="118"/>
      <c r="AM573" s="118"/>
      <c r="AN573" s="118"/>
      <c r="AO573" s="401"/>
      <c r="AP573" s="118"/>
      <c r="AQ573" s="118"/>
      <c r="AR573" s="118"/>
      <c r="AS573" s="118"/>
      <c r="AT573" s="401"/>
      <c r="AU573" s="118"/>
      <c r="AV573" s="118"/>
      <c r="AW573" s="118"/>
      <c r="AX573" s="118"/>
      <c r="AY573" s="401"/>
      <c r="AZ573" s="118"/>
      <c r="BA573" s="118"/>
      <c r="BB573" s="118"/>
      <c r="BC573" s="118"/>
      <c r="BD573" s="401"/>
      <c r="BE573" s="118"/>
      <c r="BF573" s="118"/>
      <c r="BG573" s="118"/>
      <c r="BH573" s="118"/>
      <c r="BI573" s="401"/>
      <c r="BJ573" s="971"/>
      <c r="BK573" s="118"/>
      <c r="BL573" s="118"/>
      <c r="BM573" s="118"/>
      <c r="BN573" s="401"/>
      <c r="BO573" s="118"/>
      <c r="BP573" s="118"/>
      <c r="BQ573" s="118"/>
      <c r="BR573" s="118"/>
      <c r="BS573" s="401"/>
      <c r="BT573" s="401"/>
      <c r="BU573" s="401"/>
      <c r="BV573" s="401"/>
      <c r="BW573" s="122"/>
    </row>
    <row r="574" spans="1:75" s="123" customFormat="1" hidden="1" outlineLevel="3" x14ac:dyDescent="0.5">
      <c r="A574" s="184" t="s">
        <v>2032</v>
      </c>
      <c r="B574" s="489"/>
      <c r="C574" s="401"/>
      <c r="D574" s="401"/>
      <c r="E574" s="401"/>
      <c r="F574" s="401"/>
      <c r="G574" s="118"/>
      <c r="H574" s="118"/>
      <c r="I574" s="118"/>
      <c r="J574" s="118"/>
      <c r="K574" s="401"/>
      <c r="L574" s="118"/>
      <c r="M574" s="118"/>
      <c r="N574" s="118"/>
      <c r="O574" s="118"/>
      <c r="P574" s="401"/>
      <c r="Q574" s="118"/>
      <c r="R574" s="118"/>
      <c r="S574" s="118"/>
      <c r="T574" s="118"/>
      <c r="U574" s="401"/>
      <c r="V574" s="118"/>
      <c r="W574" s="118"/>
      <c r="X574" s="118"/>
      <c r="Y574" s="118"/>
      <c r="Z574" s="401"/>
      <c r="AA574" s="118"/>
      <c r="AB574" s="118"/>
      <c r="AC574" s="118"/>
      <c r="AD574" s="118"/>
      <c r="AE574" s="401"/>
      <c r="AF574" s="118"/>
      <c r="AG574" s="118"/>
      <c r="AH574" s="118"/>
      <c r="AI574" s="118"/>
      <c r="AJ574" s="401"/>
      <c r="AK574" s="118"/>
      <c r="AL574" s="118"/>
      <c r="AM574" s="118"/>
      <c r="AN574" s="118"/>
      <c r="AO574" s="401"/>
      <c r="AP574" s="118"/>
      <c r="AQ574" s="118"/>
      <c r="AR574" s="118"/>
      <c r="AS574" s="118"/>
      <c r="AT574" s="401"/>
      <c r="AU574" s="118"/>
      <c r="AV574" s="118"/>
      <c r="AW574" s="118"/>
      <c r="AX574" s="118"/>
      <c r="AY574" s="401"/>
      <c r="AZ574" s="118"/>
      <c r="BA574" s="118"/>
      <c r="BB574" s="118"/>
      <c r="BC574" s="118"/>
      <c r="BD574" s="401"/>
      <c r="BE574" s="118"/>
      <c r="BF574" s="118"/>
      <c r="BG574" s="118"/>
      <c r="BH574" s="118"/>
      <c r="BI574" s="401"/>
      <c r="BJ574" s="971"/>
      <c r="BK574" s="118"/>
      <c r="BL574" s="118"/>
      <c r="BM574" s="118"/>
      <c r="BN574" s="401"/>
      <c r="BO574" s="118"/>
      <c r="BP574" s="118"/>
      <c r="BQ574" s="118"/>
      <c r="BR574" s="118"/>
      <c r="BS574" s="401"/>
      <c r="BT574" s="401"/>
      <c r="BU574" s="401"/>
      <c r="BV574" s="401"/>
      <c r="BW574" s="122"/>
    </row>
    <row r="575" spans="1:75" s="123" customFormat="1" hidden="1" outlineLevel="3" x14ac:dyDescent="0.5">
      <c r="A575" s="184" t="s">
        <v>2033</v>
      </c>
      <c r="B575" s="489"/>
      <c r="C575" s="401"/>
      <c r="D575" s="401"/>
      <c r="E575" s="401"/>
      <c r="F575" s="401"/>
      <c r="G575" s="118"/>
      <c r="H575" s="118"/>
      <c r="I575" s="118"/>
      <c r="J575" s="118"/>
      <c r="K575" s="401"/>
      <c r="L575" s="118"/>
      <c r="M575" s="118"/>
      <c r="N575" s="118"/>
      <c r="O575" s="118"/>
      <c r="P575" s="401"/>
      <c r="Q575" s="118"/>
      <c r="R575" s="118"/>
      <c r="S575" s="118"/>
      <c r="T575" s="118"/>
      <c r="U575" s="401"/>
      <c r="V575" s="118"/>
      <c r="W575" s="118"/>
      <c r="X575" s="118"/>
      <c r="Y575" s="118"/>
      <c r="Z575" s="401"/>
      <c r="AA575" s="118"/>
      <c r="AB575" s="118"/>
      <c r="AC575" s="118"/>
      <c r="AD575" s="118"/>
      <c r="AE575" s="401"/>
      <c r="AF575" s="118"/>
      <c r="AG575" s="118"/>
      <c r="AH575" s="118"/>
      <c r="AI575" s="118"/>
      <c r="AJ575" s="401"/>
      <c r="AK575" s="118"/>
      <c r="AL575" s="118"/>
      <c r="AM575" s="118"/>
      <c r="AN575" s="118"/>
      <c r="AO575" s="401"/>
      <c r="AP575" s="118"/>
      <c r="AQ575" s="118"/>
      <c r="AR575" s="118"/>
      <c r="AS575" s="118"/>
      <c r="AT575" s="401"/>
      <c r="AU575" s="118"/>
      <c r="AV575" s="118"/>
      <c r="AW575" s="118"/>
      <c r="AX575" s="118"/>
      <c r="AY575" s="401"/>
      <c r="AZ575" s="118"/>
      <c r="BA575" s="118"/>
      <c r="BB575" s="118"/>
      <c r="BC575" s="118"/>
      <c r="BD575" s="401"/>
      <c r="BE575" s="118"/>
      <c r="BF575" s="118"/>
      <c r="BG575" s="118"/>
      <c r="BH575" s="118"/>
      <c r="BI575" s="401"/>
      <c r="BJ575" s="971"/>
      <c r="BK575" s="118"/>
      <c r="BL575" s="118"/>
      <c r="BM575" s="118"/>
      <c r="BN575" s="401"/>
      <c r="BO575" s="118"/>
      <c r="BP575" s="118"/>
      <c r="BQ575" s="118"/>
      <c r="BR575" s="118"/>
      <c r="BS575" s="401"/>
      <c r="BT575" s="401"/>
      <c r="BU575" s="401"/>
      <c r="BV575" s="401"/>
      <c r="BW575" s="122"/>
    </row>
    <row r="576" spans="1:75" s="123" customFormat="1" hidden="1" outlineLevel="3" x14ac:dyDescent="0.5">
      <c r="A576" s="184" t="s">
        <v>2034</v>
      </c>
      <c r="B576" s="489"/>
      <c r="C576" s="401"/>
      <c r="D576" s="401"/>
      <c r="E576" s="401"/>
      <c r="F576" s="401"/>
      <c r="G576" s="118"/>
      <c r="H576" s="118"/>
      <c r="I576" s="118"/>
      <c r="J576" s="118"/>
      <c r="K576" s="401"/>
      <c r="L576" s="118"/>
      <c r="M576" s="118"/>
      <c r="N576" s="118"/>
      <c r="O576" s="118"/>
      <c r="P576" s="401"/>
      <c r="Q576" s="118"/>
      <c r="R576" s="118"/>
      <c r="S576" s="118"/>
      <c r="T576" s="118"/>
      <c r="U576" s="401"/>
      <c r="V576" s="118"/>
      <c r="W576" s="118"/>
      <c r="X576" s="118"/>
      <c r="Y576" s="118"/>
      <c r="Z576" s="401"/>
      <c r="AA576" s="118"/>
      <c r="AB576" s="118"/>
      <c r="AC576" s="118"/>
      <c r="AD576" s="118"/>
      <c r="AE576" s="401"/>
      <c r="AF576" s="118"/>
      <c r="AG576" s="302">
        <v>4.8040000000000003</v>
      </c>
      <c r="AH576" s="302">
        <v>1.127</v>
      </c>
      <c r="AI576" s="302">
        <v>5.8339999999999996</v>
      </c>
      <c r="AJ576" s="403">
        <v>11.765000000000001</v>
      </c>
      <c r="AK576" s="118"/>
      <c r="AL576" s="118"/>
      <c r="AM576" s="118"/>
      <c r="AN576" s="118"/>
      <c r="AO576" s="401"/>
      <c r="AP576" s="118"/>
      <c r="AQ576" s="118"/>
      <c r="AR576" s="118"/>
      <c r="AS576" s="118"/>
      <c r="AT576" s="401"/>
      <c r="AU576" s="118"/>
      <c r="AV576" s="118"/>
      <c r="AW576" s="118"/>
      <c r="AX576" s="118"/>
      <c r="AY576" s="401"/>
      <c r="AZ576" s="118"/>
      <c r="BA576" s="118"/>
      <c r="BB576" s="118"/>
      <c r="BC576" s="118"/>
      <c r="BD576" s="401"/>
      <c r="BE576" s="118"/>
      <c r="BF576" s="118"/>
      <c r="BG576" s="118"/>
      <c r="BH576" s="118"/>
      <c r="BI576" s="401"/>
      <c r="BJ576" s="971"/>
      <c r="BK576" s="118"/>
      <c r="BL576" s="118"/>
      <c r="BM576" s="118"/>
      <c r="BN576" s="401"/>
      <c r="BO576" s="118"/>
      <c r="BP576" s="118"/>
      <c r="BQ576" s="118"/>
      <c r="BR576" s="118"/>
      <c r="BS576" s="401"/>
      <c r="BT576" s="401"/>
      <c r="BU576" s="401"/>
      <c r="BV576" s="401"/>
      <c r="BW576" s="122"/>
    </row>
    <row r="577" spans="1:75" s="198" customFormat="1" ht="14.25" hidden="1" outlineLevel="3" x14ac:dyDescent="0.45">
      <c r="A577" s="192" t="s">
        <v>2035</v>
      </c>
      <c r="B577" s="495"/>
      <c r="C577" s="518">
        <f t="shared" ref="C577:AJ577" si="876">SUM(C571:C576)</f>
        <v>168.51300000000001</v>
      </c>
      <c r="D577" s="518">
        <f t="shared" si="876"/>
        <v>264.95299999999997</v>
      </c>
      <c r="E577" s="518">
        <f t="shared" si="876"/>
        <v>266.77600000000001</v>
      </c>
      <c r="F577" s="518">
        <f t="shared" si="876"/>
        <v>262.899</v>
      </c>
      <c r="G577" s="327">
        <f t="shared" si="876"/>
        <v>34.015999999999998</v>
      </c>
      <c r="H577" s="327">
        <f t="shared" si="876"/>
        <v>34.609000000000002</v>
      </c>
      <c r="I577" s="327">
        <f t="shared" si="876"/>
        <v>49.3</v>
      </c>
      <c r="J577" s="327">
        <f t="shared" si="876"/>
        <v>130.96899999999999</v>
      </c>
      <c r="K577" s="518">
        <f t="shared" si="876"/>
        <v>248.89400000000001</v>
      </c>
      <c r="L577" s="327">
        <f t="shared" si="876"/>
        <v>30.196000000000002</v>
      </c>
      <c r="M577" s="327">
        <f t="shared" si="876"/>
        <v>37.058</v>
      </c>
      <c r="N577" s="327">
        <f t="shared" si="876"/>
        <v>49.972999999999999</v>
      </c>
      <c r="O577" s="327">
        <f t="shared" si="876"/>
        <v>131.30799999999999</v>
      </c>
      <c r="P577" s="518">
        <f t="shared" si="876"/>
        <v>248.535</v>
      </c>
      <c r="Q577" s="327">
        <f t="shared" si="876"/>
        <v>28.126000000000001</v>
      </c>
      <c r="R577" s="327">
        <f t="shared" si="876"/>
        <v>40.503</v>
      </c>
      <c r="S577" s="327">
        <f t="shared" si="876"/>
        <v>49.213000000000001</v>
      </c>
      <c r="T577" s="327">
        <f t="shared" si="876"/>
        <v>121.446</v>
      </c>
      <c r="U577" s="518">
        <f t="shared" si="876"/>
        <v>239.28800000000001</v>
      </c>
      <c r="V577" s="327">
        <f t="shared" si="876"/>
        <v>30.125</v>
      </c>
      <c r="W577" s="327">
        <f t="shared" si="876"/>
        <v>33.216999999999999</v>
      </c>
      <c r="X577" s="327">
        <f t="shared" si="876"/>
        <v>47.08</v>
      </c>
      <c r="Y577" s="327">
        <f t="shared" si="876"/>
        <v>121.50700000000001</v>
      </c>
      <c r="Z577" s="518">
        <f t="shared" si="876"/>
        <v>231.929</v>
      </c>
      <c r="AA577" s="327">
        <f t="shared" si="876"/>
        <v>21.713999999999999</v>
      </c>
      <c r="AB577" s="327">
        <f t="shared" si="876"/>
        <v>34.591999999999999</v>
      </c>
      <c r="AC577" s="327">
        <f t="shared" si="876"/>
        <v>42.804000000000002</v>
      </c>
      <c r="AD577" s="327">
        <f t="shared" si="876"/>
        <v>125.498</v>
      </c>
      <c r="AE577" s="518">
        <f t="shared" si="876"/>
        <v>224.608</v>
      </c>
      <c r="AF577" s="327">
        <f t="shared" si="876"/>
        <v>22.061</v>
      </c>
      <c r="AG577" s="327">
        <f t="shared" si="876"/>
        <v>38.725999999999999</v>
      </c>
      <c r="AH577" s="327">
        <f t="shared" si="876"/>
        <v>46.179000000000002</v>
      </c>
      <c r="AI577" s="327">
        <f t="shared" si="876"/>
        <v>121.869</v>
      </c>
      <c r="AJ577" s="518">
        <f t="shared" si="876"/>
        <v>228.83499999999998</v>
      </c>
      <c r="AK577" s="327"/>
      <c r="AL577" s="327"/>
      <c r="AM577" s="327"/>
      <c r="AN577" s="327"/>
      <c r="AO577" s="518"/>
      <c r="AP577" s="327"/>
      <c r="AQ577" s="327"/>
      <c r="AR577" s="327"/>
      <c r="AS577" s="327"/>
      <c r="AT577" s="518"/>
      <c r="AU577" s="327"/>
      <c r="AV577" s="327"/>
      <c r="AW577" s="327"/>
      <c r="AX577" s="327"/>
      <c r="AY577" s="518"/>
      <c r="AZ577" s="327"/>
      <c r="BA577" s="327"/>
      <c r="BB577" s="327"/>
      <c r="BC577" s="327"/>
      <c r="BD577" s="518"/>
      <c r="BE577" s="327"/>
      <c r="BF577" s="327"/>
      <c r="BG577" s="327"/>
      <c r="BH577" s="327"/>
      <c r="BI577" s="518"/>
      <c r="BJ577" s="1026"/>
      <c r="BK577" s="327"/>
      <c r="BL577" s="327"/>
      <c r="BM577" s="327"/>
      <c r="BN577" s="518"/>
      <c r="BO577" s="327"/>
      <c r="BP577" s="327"/>
      <c r="BQ577" s="327"/>
      <c r="BR577" s="327"/>
      <c r="BS577" s="518"/>
      <c r="BT577" s="518"/>
      <c r="BU577" s="518"/>
      <c r="BV577" s="518"/>
      <c r="BW577" s="197"/>
    </row>
    <row r="578" spans="1:75" s="198" customFormat="1" ht="14.25" hidden="1" outlineLevel="3" x14ac:dyDescent="0.45">
      <c r="A578" s="206"/>
      <c r="B578" s="485"/>
      <c r="C578" s="397"/>
      <c r="D578" s="397"/>
      <c r="E578" s="397"/>
      <c r="F578" s="397"/>
      <c r="G578" s="295"/>
      <c r="H578" s="295"/>
      <c r="I578" s="295"/>
      <c r="J578" s="295"/>
      <c r="K578" s="397"/>
      <c r="L578" s="295"/>
      <c r="M578" s="295"/>
      <c r="N578" s="295"/>
      <c r="O578" s="295"/>
      <c r="P578" s="397"/>
      <c r="Q578" s="295"/>
      <c r="R578" s="295"/>
      <c r="S578" s="295"/>
      <c r="T578" s="295"/>
      <c r="U578" s="397"/>
      <c r="V578" s="295"/>
      <c r="W578" s="295"/>
      <c r="X578" s="295"/>
      <c r="Y578" s="295"/>
      <c r="Z578" s="397"/>
      <c r="AA578" s="295"/>
      <c r="AB578" s="295"/>
      <c r="AC578" s="295"/>
      <c r="AD578" s="295"/>
      <c r="AE578" s="397"/>
      <c r="AF578" s="295"/>
      <c r="AG578" s="295"/>
      <c r="AH578" s="295"/>
      <c r="AI578" s="295"/>
      <c r="AJ578" s="397"/>
      <c r="AK578" s="295"/>
      <c r="AL578" s="295"/>
      <c r="AM578" s="295"/>
      <c r="AN578" s="295"/>
      <c r="AO578" s="397"/>
      <c r="AP578" s="295"/>
      <c r="AQ578" s="295"/>
      <c r="AR578" s="295"/>
      <c r="AS578" s="295"/>
      <c r="AT578" s="397"/>
      <c r="AU578" s="295"/>
      <c r="AV578" s="295"/>
      <c r="AW578" s="295"/>
      <c r="AX578" s="295"/>
      <c r="AY578" s="397"/>
      <c r="AZ578" s="295"/>
      <c r="BA578" s="295"/>
      <c r="BB578" s="295"/>
      <c r="BC578" s="295"/>
      <c r="BD578" s="397"/>
      <c r="BE578" s="295"/>
      <c r="BF578" s="295"/>
      <c r="BG578" s="295"/>
      <c r="BH578" s="295"/>
      <c r="BI578" s="397"/>
      <c r="BJ578" s="1030"/>
      <c r="BK578" s="295"/>
      <c r="BL578" s="295"/>
      <c r="BM578" s="295"/>
      <c r="BN578" s="397"/>
      <c r="BO578" s="295"/>
      <c r="BP578" s="295"/>
      <c r="BQ578" s="295"/>
      <c r="BR578" s="295"/>
      <c r="BS578" s="397"/>
      <c r="BT578" s="397"/>
      <c r="BU578" s="397"/>
      <c r="BV578" s="397"/>
      <c r="BW578" s="197"/>
    </row>
    <row r="579" spans="1:75" s="198" customFormat="1" ht="14.25" hidden="1" outlineLevel="3" x14ac:dyDescent="0.45">
      <c r="A579" s="206" t="s">
        <v>2036</v>
      </c>
      <c r="B579" s="485"/>
      <c r="C579" s="671">
        <v>-224.352</v>
      </c>
      <c r="D579" s="671">
        <v>-236.79400000000001</v>
      </c>
      <c r="E579" s="671">
        <v>-241.64</v>
      </c>
      <c r="F579" s="671">
        <v>-272.572</v>
      </c>
      <c r="G579" s="638">
        <v>-66.174000000000007</v>
      </c>
      <c r="H579" s="638">
        <v>-71.013999999999996</v>
      </c>
      <c r="I579" s="638">
        <v>-73.891999999999996</v>
      </c>
      <c r="J579" s="295">
        <f>K579-SUM(G579,H579,I579)</f>
        <v>-87.859000000000037</v>
      </c>
      <c r="K579" s="671">
        <v>-298.93900000000002</v>
      </c>
      <c r="L579" s="638">
        <v>-77.006</v>
      </c>
      <c r="M579" s="638">
        <v>-72.334000000000003</v>
      </c>
      <c r="N579" s="638">
        <v>-81.87</v>
      </c>
      <c r="O579" s="295">
        <f>P579-SUM(L579,M579,N579)</f>
        <v>-75.455999999999989</v>
      </c>
      <c r="P579" s="671">
        <v>-306.666</v>
      </c>
      <c r="Q579" s="638">
        <v>-83.772000000000006</v>
      </c>
      <c r="R579" s="638">
        <v>-79.620999999999995</v>
      </c>
      <c r="S579" s="638">
        <v>-76.358000000000004</v>
      </c>
      <c r="T579" s="295">
        <f>U579-SUM(Q579,R579,S579)</f>
        <v>-72.984000000000009</v>
      </c>
      <c r="U579" s="671">
        <v>-312.73500000000001</v>
      </c>
      <c r="V579" s="638">
        <v>-98.144999999999996</v>
      </c>
      <c r="W579" s="638">
        <v>-82.674000000000007</v>
      </c>
      <c r="X579" s="638">
        <v>-87.265000000000001</v>
      </c>
      <c r="Y579" s="295">
        <f>Z579-SUM(V579,W579,X579)</f>
        <v>-97.531999999999982</v>
      </c>
      <c r="Z579" s="671">
        <v>-365.61599999999999</v>
      </c>
      <c r="AA579" s="638">
        <v>-91.244</v>
      </c>
      <c r="AB579" s="638">
        <v>-88.147000000000006</v>
      </c>
      <c r="AC579" s="638">
        <v>-74.855999999999995</v>
      </c>
      <c r="AD579" s="295">
        <f>AE579-SUM(AA579,AB579,AC579)</f>
        <v>-116.041</v>
      </c>
      <c r="AE579" s="671">
        <v>-370.28800000000001</v>
      </c>
      <c r="AF579" s="638">
        <v>-98.316000000000003</v>
      </c>
      <c r="AG579" s="638">
        <v>-96.992000000000004</v>
      </c>
      <c r="AH579" s="638">
        <v>-102.872</v>
      </c>
      <c r="AI579" s="295">
        <f>AJ579-SUM(AF579,AG579,AH579)</f>
        <v>-126.529</v>
      </c>
      <c r="AJ579" s="671">
        <v>-424.709</v>
      </c>
      <c r="AK579" s="295"/>
      <c r="AL579" s="295"/>
      <c r="AM579" s="295"/>
      <c r="AN579" s="295"/>
      <c r="AO579" s="397"/>
      <c r="AP579" s="295"/>
      <c r="AQ579" s="295"/>
      <c r="AR579" s="295"/>
      <c r="AS579" s="295"/>
      <c r="AT579" s="397"/>
      <c r="AU579" s="295"/>
      <c r="AV579" s="295"/>
      <c r="AW579" s="295"/>
      <c r="AX579" s="295"/>
      <c r="AY579" s="397"/>
      <c r="AZ579" s="295"/>
      <c r="BA579" s="295"/>
      <c r="BB579" s="295"/>
      <c r="BC579" s="295"/>
      <c r="BD579" s="397"/>
      <c r="BE579" s="295"/>
      <c r="BF579" s="295"/>
      <c r="BG579" s="295"/>
      <c r="BH579" s="295"/>
      <c r="BI579" s="397"/>
      <c r="BJ579" s="1030"/>
      <c r="BK579" s="295"/>
      <c r="BL579" s="295"/>
      <c r="BM579" s="295"/>
      <c r="BN579" s="397"/>
      <c r="BO579" s="295"/>
      <c r="BP579" s="295"/>
      <c r="BQ579" s="295"/>
      <c r="BR579" s="295"/>
      <c r="BS579" s="397"/>
      <c r="BT579" s="397"/>
      <c r="BU579" s="397"/>
      <c r="BV579" s="397"/>
      <c r="BW579" s="197"/>
    </row>
    <row r="580" spans="1:75" s="123" customFormat="1" hidden="1" outlineLevel="3" x14ac:dyDescent="0.5">
      <c r="A580" s="184" t="s">
        <v>2037</v>
      </c>
      <c r="B580" s="489"/>
      <c r="C580" s="403">
        <v>5.68</v>
      </c>
      <c r="D580" s="403">
        <v>3.9159999999999999</v>
      </c>
      <c r="E580" s="401"/>
      <c r="F580" s="401"/>
      <c r="G580" s="118"/>
      <c r="H580" s="118"/>
      <c r="I580" s="118"/>
      <c r="J580" s="118"/>
      <c r="K580" s="401"/>
      <c r="L580" s="118"/>
      <c r="M580" s="118"/>
      <c r="N580" s="118"/>
      <c r="O580" s="302">
        <v>-7.4139999999999997</v>
      </c>
      <c r="P580" s="403">
        <v>-7.4139999999999997</v>
      </c>
      <c r="Q580" s="118"/>
      <c r="R580" s="118"/>
      <c r="S580" s="118"/>
      <c r="T580" s="118"/>
      <c r="U580" s="401"/>
      <c r="V580" s="118"/>
      <c r="W580" s="118"/>
      <c r="X580" s="118"/>
      <c r="Y580" s="118"/>
      <c r="Z580" s="401"/>
      <c r="AA580" s="118"/>
      <c r="AB580" s="118"/>
      <c r="AC580" s="118"/>
      <c r="AD580" s="118"/>
      <c r="AE580" s="401"/>
      <c r="AF580" s="118"/>
      <c r="AG580" s="118"/>
      <c r="AH580" s="118"/>
      <c r="AI580" s="118"/>
      <c r="AJ580" s="401"/>
      <c r="AK580" s="118"/>
      <c r="AL580" s="118"/>
      <c r="AM580" s="118"/>
      <c r="AN580" s="118"/>
      <c r="AO580" s="401"/>
      <c r="AP580" s="118"/>
      <c r="AQ580" s="118"/>
      <c r="AR580" s="118"/>
      <c r="AS580" s="118"/>
      <c r="AT580" s="401"/>
      <c r="AU580" s="118"/>
      <c r="AV580" s="118"/>
      <c r="AW580" s="118"/>
      <c r="AX580" s="118"/>
      <c r="AY580" s="401"/>
      <c r="AZ580" s="118"/>
      <c r="BA580" s="118"/>
      <c r="BB580" s="118"/>
      <c r="BC580" s="118"/>
      <c r="BD580" s="401"/>
      <c r="BE580" s="118"/>
      <c r="BF580" s="118"/>
      <c r="BG580" s="118"/>
      <c r="BH580" s="118"/>
      <c r="BI580" s="401"/>
      <c r="BJ580" s="971"/>
      <c r="BK580" s="118"/>
      <c r="BL580" s="118"/>
      <c r="BM580" s="118"/>
      <c r="BN580" s="401"/>
      <c r="BO580" s="118"/>
      <c r="BP580" s="118"/>
      <c r="BQ580" s="118"/>
      <c r="BR580" s="118"/>
      <c r="BS580" s="401"/>
      <c r="BT580" s="401"/>
      <c r="BU580" s="401"/>
      <c r="BV580" s="401"/>
      <c r="BW580" s="122"/>
    </row>
    <row r="581" spans="1:75" s="123" customFormat="1" hidden="1" outlineLevel="3" x14ac:dyDescent="0.5">
      <c r="A581" s="184" t="s">
        <v>2038</v>
      </c>
      <c r="B581" s="489"/>
      <c r="C581" s="401"/>
      <c r="D581" s="401"/>
      <c r="E581" s="401"/>
      <c r="F581" s="401"/>
      <c r="G581" s="118"/>
      <c r="H581" s="118"/>
      <c r="I581" s="118"/>
      <c r="J581" s="118"/>
      <c r="K581" s="401"/>
      <c r="L581" s="118"/>
      <c r="M581" s="118"/>
      <c r="N581" s="118"/>
      <c r="O581" s="118"/>
      <c r="P581" s="401"/>
      <c r="Q581" s="118"/>
      <c r="R581" s="118"/>
      <c r="S581" s="118"/>
      <c r="T581" s="118"/>
      <c r="U581" s="401"/>
      <c r="V581" s="118"/>
      <c r="W581" s="118"/>
      <c r="X581" s="118"/>
      <c r="Y581" s="118"/>
      <c r="Z581" s="401"/>
      <c r="AA581" s="118"/>
      <c r="AB581" s="118"/>
      <c r="AC581" s="118"/>
      <c r="AD581" s="302">
        <v>2.9</v>
      </c>
      <c r="AE581" s="403">
        <v>2.9</v>
      </c>
      <c r="AF581" s="302">
        <v>1.375</v>
      </c>
      <c r="AG581" s="302">
        <v>1.375</v>
      </c>
      <c r="AH581" s="302">
        <v>1.3819999999999999</v>
      </c>
      <c r="AI581" s="302">
        <v>1.4</v>
      </c>
      <c r="AJ581" s="403">
        <v>5.532</v>
      </c>
      <c r="AK581" s="118"/>
      <c r="AL581" s="118"/>
      <c r="AM581" s="118"/>
      <c r="AN581" s="118"/>
      <c r="AO581" s="401"/>
      <c r="AP581" s="118"/>
      <c r="AQ581" s="118"/>
      <c r="AR581" s="118"/>
      <c r="AS581" s="118"/>
      <c r="AT581" s="401"/>
      <c r="AU581" s="118"/>
      <c r="AV581" s="118"/>
      <c r="AW581" s="118"/>
      <c r="AX581" s="118"/>
      <c r="AY581" s="401"/>
      <c r="AZ581" s="118"/>
      <c r="BA581" s="118"/>
      <c r="BB581" s="118"/>
      <c r="BC581" s="118"/>
      <c r="BD581" s="401"/>
      <c r="BE581" s="118"/>
      <c r="BF581" s="118"/>
      <c r="BG581" s="118"/>
      <c r="BH581" s="118"/>
      <c r="BI581" s="401"/>
      <c r="BJ581" s="971"/>
      <c r="BK581" s="118"/>
      <c r="BL581" s="118"/>
      <c r="BM581" s="118"/>
      <c r="BN581" s="401"/>
      <c r="BO581" s="118"/>
      <c r="BP581" s="118"/>
      <c r="BQ581" s="118"/>
      <c r="BR581" s="118"/>
      <c r="BS581" s="401"/>
      <c r="BT581" s="401"/>
      <c r="BU581" s="401"/>
      <c r="BV581" s="401"/>
      <c r="BW581" s="122"/>
    </row>
    <row r="582" spans="1:75" s="123" customFormat="1" hidden="1" outlineLevel="3" x14ac:dyDescent="0.5">
      <c r="A582" s="184" t="s">
        <v>2039</v>
      </c>
      <c r="B582" s="489"/>
      <c r="C582" s="401"/>
      <c r="D582" s="401"/>
      <c r="E582" s="401"/>
      <c r="F582" s="401"/>
      <c r="G582" s="118"/>
      <c r="H582" s="118"/>
      <c r="I582" s="118"/>
      <c r="J582" s="118"/>
      <c r="K582" s="401"/>
      <c r="L582" s="118"/>
      <c r="M582" s="118"/>
      <c r="N582" s="118"/>
      <c r="O582" s="118"/>
      <c r="P582" s="401"/>
      <c r="Q582" s="118"/>
      <c r="R582" s="118"/>
      <c r="S582" s="118"/>
      <c r="T582" s="118"/>
      <c r="U582" s="401"/>
      <c r="V582" s="302">
        <v>13.221</v>
      </c>
      <c r="W582" s="118"/>
      <c r="X582" s="302">
        <v>1.1850000000000001</v>
      </c>
      <c r="Y582" s="118"/>
      <c r="Z582" s="403">
        <v>14.406000000000001</v>
      </c>
      <c r="AA582" s="302">
        <v>5.7050000000000001</v>
      </c>
      <c r="AB582" s="118"/>
      <c r="AC582" s="118"/>
      <c r="AD582" s="302">
        <v>2.907</v>
      </c>
      <c r="AE582" s="403">
        <v>8.6120000000000001</v>
      </c>
      <c r="AF582" s="118"/>
      <c r="AG582" s="118"/>
      <c r="AH582" s="118"/>
      <c r="AI582" s="118"/>
      <c r="AJ582" s="401"/>
      <c r="AK582" s="118"/>
      <c r="AL582" s="118"/>
      <c r="AM582" s="118"/>
      <c r="AN582" s="118"/>
      <c r="AO582" s="401"/>
      <c r="AP582" s="118"/>
      <c r="AQ582" s="118"/>
      <c r="AR582" s="118"/>
      <c r="AS582" s="118"/>
      <c r="AT582" s="401"/>
      <c r="AU582" s="118"/>
      <c r="AV582" s="118"/>
      <c r="AW582" s="118"/>
      <c r="AX582" s="118"/>
      <c r="AY582" s="401"/>
      <c r="AZ582" s="118"/>
      <c r="BA582" s="118"/>
      <c r="BB582" s="118"/>
      <c r="BC582" s="118"/>
      <c r="BD582" s="401"/>
      <c r="BE582" s="118"/>
      <c r="BF582" s="118"/>
      <c r="BG582" s="118"/>
      <c r="BH582" s="118"/>
      <c r="BI582" s="401"/>
      <c r="BJ582" s="971"/>
      <c r="BK582" s="118"/>
      <c r="BL582" s="118"/>
      <c r="BM582" s="118"/>
      <c r="BN582" s="401"/>
      <c r="BO582" s="118"/>
      <c r="BP582" s="118"/>
      <c r="BQ582" s="118"/>
      <c r="BR582" s="118"/>
      <c r="BS582" s="401"/>
      <c r="BT582" s="401"/>
      <c r="BU582" s="401"/>
      <c r="BV582" s="401"/>
      <c r="BW582" s="122"/>
    </row>
    <row r="583" spans="1:75" s="123" customFormat="1" hidden="1" outlineLevel="3" x14ac:dyDescent="0.5">
      <c r="A583" s="184" t="s">
        <v>2040</v>
      </c>
      <c r="B583" s="489"/>
      <c r="C583" s="401"/>
      <c r="D583" s="401"/>
      <c r="E583" s="401"/>
      <c r="F583" s="401"/>
      <c r="G583" s="118"/>
      <c r="H583" s="118"/>
      <c r="I583" s="118"/>
      <c r="J583" s="118"/>
      <c r="K583" s="401"/>
      <c r="L583" s="118"/>
      <c r="M583" s="118"/>
      <c r="N583" s="118"/>
      <c r="O583" s="118"/>
      <c r="P583" s="401"/>
      <c r="Q583" s="118"/>
      <c r="R583" s="118"/>
      <c r="S583" s="118"/>
      <c r="T583" s="118"/>
      <c r="U583" s="401"/>
      <c r="V583" s="118"/>
      <c r="W583" s="118"/>
      <c r="X583" s="118"/>
      <c r="Y583" s="118"/>
      <c r="Z583" s="401"/>
      <c r="AA583" s="118"/>
      <c r="AB583" s="118"/>
      <c r="AC583" s="118"/>
      <c r="AD583" s="118"/>
      <c r="AE583" s="401"/>
      <c r="AF583" s="302">
        <v>1.702</v>
      </c>
      <c r="AG583" s="302">
        <v>1.8740000000000001</v>
      </c>
      <c r="AH583" s="302">
        <v>1.869</v>
      </c>
      <c r="AI583" s="302">
        <v>2.5430000000000001</v>
      </c>
      <c r="AJ583" s="403">
        <v>7.9880000000000004</v>
      </c>
      <c r="AK583" s="118"/>
      <c r="AL583" s="118"/>
      <c r="AM583" s="118"/>
      <c r="AN583" s="118"/>
      <c r="AO583" s="401"/>
      <c r="AP583" s="118"/>
      <c r="AQ583" s="118"/>
      <c r="AR583" s="118"/>
      <c r="AS583" s="118"/>
      <c r="AT583" s="401"/>
      <c r="AU583" s="118"/>
      <c r="AV583" s="118"/>
      <c r="AW583" s="118"/>
      <c r="AX583" s="118"/>
      <c r="AY583" s="401"/>
      <c r="AZ583" s="118"/>
      <c r="BA583" s="118"/>
      <c r="BB583" s="118"/>
      <c r="BC583" s="118"/>
      <c r="BD583" s="401"/>
      <c r="BE583" s="118"/>
      <c r="BF583" s="118"/>
      <c r="BG583" s="118"/>
      <c r="BH583" s="118"/>
      <c r="BI583" s="401"/>
      <c r="BJ583" s="971"/>
      <c r="BK583" s="118"/>
      <c r="BL583" s="118"/>
      <c r="BM583" s="118"/>
      <c r="BN583" s="401"/>
      <c r="BO583" s="118"/>
      <c r="BP583" s="118"/>
      <c r="BQ583" s="118"/>
      <c r="BR583" s="118"/>
      <c r="BS583" s="401"/>
      <c r="BT583" s="401"/>
      <c r="BU583" s="401"/>
      <c r="BV583" s="401"/>
      <c r="BW583" s="122"/>
    </row>
    <row r="584" spans="1:75" s="123" customFormat="1" hidden="1" outlineLevel="3" x14ac:dyDescent="0.5">
      <c r="A584" s="184" t="s">
        <v>2041</v>
      </c>
      <c r="B584" s="489"/>
      <c r="C584" s="401"/>
      <c r="D584" s="401"/>
      <c r="E584" s="401"/>
      <c r="F584" s="403">
        <v>6.99</v>
      </c>
      <c r="G584" s="302">
        <v>2.9359999999999999</v>
      </c>
      <c r="H584" s="118"/>
      <c r="I584" s="118"/>
      <c r="J584" s="118"/>
      <c r="K584" s="403">
        <v>2.9359999999999999</v>
      </c>
      <c r="L584" s="118"/>
      <c r="M584" s="118"/>
      <c r="N584" s="118"/>
      <c r="O584" s="118"/>
      <c r="P584" s="401"/>
      <c r="Q584" s="118"/>
      <c r="R584" s="118"/>
      <c r="S584" s="118"/>
      <c r="T584" s="118"/>
      <c r="U584" s="401"/>
      <c r="V584" s="118"/>
      <c r="W584" s="118"/>
      <c r="X584" s="118"/>
      <c r="Y584" s="118"/>
      <c r="Z584" s="401"/>
      <c r="AA584" s="118"/>
      <c r="AB584" s="118"/>
      <c r="AC584" s="118"/>
      <c r="AD584" s="118"/>
      <c r="AE584" s="401"/>
      <c r="AF584" s="118"/>
      <c r="AG584" s="118"/>
      <c r="AH584" s="118"/>
      <c r="AI584" s="118"/>
      <c r="AJ584" s="401"/>
      <c r="AK584" s="118"/>
      <c r="AL584" s="118"/>
      <c r="AM584" s="118"/>
      <c r="AN584" s="118"/>
      <c r="AO584" s="401"/>
      <c r="AP584" s="118"/>
      <c r="AQ584" s="118"/>
      <c r="AR584" s="118"/>
      <c r="AS584" s="118"/>
      <c r="AT584" s="401"/>
      <c r="AU584" s="118"/>
      <c r="AV584" s="118"/>
      <c r="AW584" s="118"/>
      <c r="AX584" s="118"/>
      <c r="AY584" s="401"/>
      <c r="AZ584" s="118"/>
      <c r="BA584" s="118"/>
      <c r="BB584" s="118"/>
      <c r="BC584" s="118"/>
      <c r="BD584" s="401"/>
      <c r="BE584" s="118"/>
      <c r="BF584" s="118"/>
      <c r="BG584" s="118"/>
      <c r="BH584" s="118"/>
      <c r="BI584" s="401"/>
      <c r="BJ584" s="971"/>
      <c r="BK584" s="118"/>
      <c r="BL584" s="118"/>
      <c r="BM584" s="118"/>
      <c r="BN584" s="401"/>
      <c r="BO584" s="118"/>
      <c r="BP584" s="118"/>
      <c r="BQ584" s="118"/>
      <c r="BR584" s="118"/>
      <c r="BS584" s="401"/>
      <c r="BT584" s="401"/>
      <c r="BU584" s="401"/>
      <c r="BV584" s="401"/>
      <c r="BW584" s="122"/>
    </row>
    <row r="585" spans="1:75" s="123" customFormat="1" hidden="1" outlineLevel="3" x14ac:dyDescent="0.5">
      <c r="A585" s="184" t="s">
        <v>2042</v>
      </c>
      <c r="B585" s="489"/>
      <c r="C585" s="401"/>
      <c r="D585" s="401"/>
      <c r="E585" s="401"/>
      <c r="F585" s="401"/>
      <c r="G585" s="118"/>
      <c r="H585" s="118"/>
      <c r="I585" s="118"/>
      <c r="J585" s="118"/>
      <c r="K585" s="401"/>
      <c r="L585" s="118"/>
      <c r="M585" s="118"/>
      <c r="N585" s="118"/>
      <c r="O585" s="118"/>
      <c r="P585" s="401"/>
      <c r="Q585" s="118"/>
      <c r="R585" s="118"/>
      <c r="S585" s="118"/>
      <c r="T585" s="118"/>
      <c r="U585" s="401"/>
      <c r="V585" s="118"/>
      <c r="W585" s="118"/>
      <c r="X585" s="118"/>
      <c r="Y585" s="118"/>
      <c r="Z585" s="401"/>
      <c r="AA585" s="118"/>
      <c r="AB585" s="118"/>
      <c r="AC585" s="118"/>
      <c r="AD585" s="118"/>
      <c r="AE585" s="401"/>
      <c r="AF585" s="118"/>
      <c r="AG585" s="118"/>
      <c r="AH585" s="118"/>
      <c r="AI585" s="302">
        <v>0.26900000000000002</v>
      </c>
      <c r="AJ585" s="403">
        <v>0.26900000000000002</v>
      </c>
      <c r="AK585" s="118"/>
      <c r="AL585" s="118"/>
      <c r="AM585" s="118"/>
      <c r="AN585" s="118"/>
      <c r="AO585" s="401"/>
      <c r="AP585" s="118"/>
      <c r="AQ585" s="118"/>
      <c r="AR585" s="118"/>
      <c r="AS585" s="118"/>
      <c r="AT585" s="401"/>
      <c r="AU585" s="118"/>
      <c r="AV585" s="118"/>
      <c r="AW585" s="118"/>
      <c r="AX585" s="118"/>
      <c r="AY585" s="401"/>
      <c r="AZ585" s="118"/>
      <c r="BA585" s="118"/>
      <c r="BB585" s="118"/>
      <c r="BC585" s="118"/>
      <c r="BD585" s="401"/>
      <c r="BE585" s="118"/>
      <c r="BF585" s="118"/>
      <c r="BG585" s="118"/>
      <c r="BH585" s="118"/>
      <c r="BI585" s="401"/>
      <c r="BJ585" s="971"/>
      <c r="BK585" s="118"/>
      <c r="BL585" s="118"/>
      <c r="BM585" s="118"/>
      <c r="BN585" s="401"/>
      <c r="BO585" s="118"/>
      <c r="BP585" s="118"/>
      <c r="BQ585" s="118"/>
      <c r="BR585" s="118"/>
      <c r="BS585" s="401"/>
      <c r="BT585" s="401"/>
      <c r="BU585" s="401"/>
      <c r="BV585" s="401"/>
      <c r="BW585" s="122"/>
    </row>
    <row r="586" spans="1:75" s="123" customFormat="1" hidden="1" outlineLevel="3" x14ac:dyDescent="0.5">
      <c r="A586" s="184" t="s">
        <v>2043</v>
      </c>
      <c r="B586" s="489"/>
      <c r="C586" s="401"/>
      <c r="D586" s="401"/>
      <c r="E586" s="401"/>
      <c r="F586" s="401"/>
      <c r="G586" s="118"/>
      <c r="H586" s="118"/>
      <c r="I586" s="118"/>
      <c r="J586" s="118"/>
      <c r="K586" s="401"/>
      <c r="L586" s="118"/>
      <c r="M586" s="118"/>
      <c r="N586" s="118"/>
      <c r="O586" s="118"/>
      <c r="P586" s="401"/>
      <c r="Q586" s="118"/>
      <c r="R586" s="118"/>
      <c r="S586" s="118"/>
      <c r="T586" s="118"/>
      <c r="U586" s="401"/>
      <c r="V586" s="118"/>
      <c r="W586" s="118"/>
      <c r="X586" s="118"/>
      <c r="Y586" s="118"/>
      <c r="Z586" s="401"/>
      <c r="AA586" s="118"/>
      <c r="AB586" s="118"/>
      <c r="AC586" s="118"/>
      <c r="AD586" s="118"/>
      <c r="AE586" s="401"/>
      <c r="AF586" s="118"/>
      <c r="AG586" s="118"/>
      <c r="AH586" s="118"/>
      <c r="AI586" s="302">
        <v>0.92800000000000005</v>
      </c>
      <c r="AJ586" s="403">
        <v>0.92800000000000005</v>
      </c>
      <c r="AK586" s="118"/>
      <c r="AL586" s="118"/>
      <c r="AM586" s="118"/>
      <c r="AN586" s="118"/>
      <c r="AO586" s="401"/>
      <c r="AP586" s="118"/>
      <c r="AQ586" s="118"/>
      <c r="AR586" s="118"/>
      <c r="AS586" s="118"/>
      <c r="AT586" s="401"/>
      <c r="AU586" s="118"/>
      <c r="AV586" s="118"/>
      <c r="AW586" s="118"/>
      <c r="AX586" s="118"/>
      <c r="AY586" s="401"/>
      <c r="AZ586" s="118"/>
      <c r="BA586" s="118"/>
      <c r="BB586" s="118"/>
      <c r="BC586" s="118"/>
      <c r="BD586" s="401"/>
      <c r="BE586" s="118"/>
      <c r="BF586" s="118"/>
      <c r="BG586" s="118"/>
      <c r="BH586" s="118"/>
      <c r="BI586" s="401"/>
      <c r="BJ586" s="971"/>
      <c r="BK586" s="118"/>
      <c r="BL586" s="118"/>
      <c r="BM586" s="118"/>
      <c r="BN586" s="401"/>
      <c r="BO586" s="118"/>
      <c r="BP586" s="118"/>
      <c r="BQ586" s="118"/>
      <c r="BR586" s="118"/>
      <c r="BS586" s="401"/>
      <c r="BT586" s="401"/>
      <c r="BU586" s="401"/>
      <c r="BV586" s="401"/>
      <c r="BW586" s="122"/>
    </row>
    <row r="587" spans="1:75" s="198" customFormat="1" ht="14.25" hidden="1" outlineLevel="3" x14ac:dyDescent="0.45">
      <c r="A587" s="192" t="s">
        <v>2044</v>
      </c>
      <c r="B587" s="495"/>
      <c r="C587" s="518">
        <f t="shared" ref="C587:AJ587" si="877">SUM(C579:C586)</f>
        <v>-218.672</v>
      </c>
      <c r="D587" s="518">
        <f t="shared" si="877"/>
        <v>-232.87800000000001</v>
      </c>
      <c r="E587" s="518">
        <f t="shared" si="877"/>
        <v>-241.64</v>
      </c>
      <c r="F587" s="518">
        <f t="shared" si="877"/>
        <v>-265.58199999999999</v>
      </c>
      <c r="G587" s="327">
        <f t="shared" si="877"/>
        <v>-63.238000000000007</v>
      </c>
      <c r="H587" s="327">
        <f t="shared" si="877"/>
        <v>-71.013999999999996</v>
      </c>
      <c r="I587" s="327">
        <f t="shared" si="877"/>
        <v>-73.891999999999996</v>
      </c>
      <c r="J587" s="327">
        <f t="shared" si="877"/>
        <v>-87.859000000000037</v>
      </c>
      <c r="K587" s="518">
        <f t="shared" si="877"/>
        <v>-296.00300000000004</v>
      </c>
      <c r="L587" s="327">
        <f t="shared" si="877"/>
        <v>-77.006</v>
      </c>
      <c r="M587" s="327">
        <f t="shared" si="877"/>
        <v>-72.334000000000003</v>
      </c>
      <c r="N587" s="327">
        <f t="shared" si="877"/>
        <v>-81.87</v>
      </c>
      <c r="O587" s="327">
        <f t="shared" si="877"/>
        <v>-82.86999999999999</v>
      </c>
      <c r="P587" s="518">
        <f t="shared" si="877"/>
        <v>-314.08</v>
      </c>
      <c r="Q587" s="327">
        <f t="shared" si="877"/>
        <v>-83.772000000000006</v>
      </c>
      <c r="R587" s="327">
        <f t="shared" si="877"/>
        <v>-79.620999999999995</v>
      </c>
      <c r="S587" s="327">
        <f t="shared" si="877"/>
        <v>-76.358000000000004</v>
      </c>
      <c r="T587" s="327">
        <f t="shared" si="877"/>
        <v>-72.984000000000009</v>
      </c>
      <c r="U587" s="518">
        <f t="shared" si="877"/>
        <v>-312.73500000000001</v>
      </c>
      <c r="V587" s="327">
        <f t="shared" si="877"/>
        <v>-84.923999999999992</v>
      </c>
      <c r="W587" s="327">
        <f t="shared" si="877"/>
        <v>-82.674000000000007</v>
      </c>
      <c r="X587" s="327">
        <f t="shared" si="877"/>
        <v>-86.08</v>
      </c>
      <c r="Y587" s="327">
        <f t="shared" si="877"/>
        <v>-97.531999999999982</v>
      </c>
      <c r="Z587" s="518">
        <f t="shared" si="877"/>
        <v>-351.21</v>
      </c>
      <c r="AA587" s="327">
        <f t="shared" si="877"/>
        <v>-85.539000000000001</v>
      </c>
      <c r="AB587" s="327">
        <f t="shared" si="877"/>
        <v>-88.147000000000006</v>
      </c>
      <c r="AC587" s="327">
        <f t="shared" si="877"/>
        <v>-74.855999999999995</v>
      </c>
      <c r="AD587" s="327">
        <f t="shared" si="877"/>
        <v>-110.23399999999999</v>
      </c>
      <c r="AE587" s="518">
        <f t="shared" si="877"/>
        <v>-358.77600000000001</v>
      </c>
      <c r="AF587" s="327">
        <f t="shared" si="877"/>
        <v>-95.239000000000004</v>
      </c>
      <c r="AG587" s="327">
        <f t="shared" si="877"/>
        <v>-93.743000000000009</v>
      </c>
      <c r="AH587" s="327">
        <f t="shared" si="877"/>
        <v>-99.620999999999995</v>
      </c>
      <c r="AI587" s="327">
        <f t="shared" si="877"/>
        <v>-121.38899999999998</v>
      </c>
      <c r="AJ587" s="518">
        <f t="shared" si="877"/>
        <v>-409.99200000000002</v>
      </c>
      <c r="AK587" s="327"/>
      <c r="AL587" s="327"/>
      <c r="AM587" s="327"/>
      <c r="AN587" s="327"/>
      <c r="AO587" s="518"/>
      <c r="AP587" s="327"/>
      <c r="AQ587" s="327"/>
      <c r="AR587" s="327"/>
      <c r="AS587" s="327"/>
      <c r="AT587" s="518"/>
      <c r="AU587" s="327"/>
      <c r="AV587" s="327"/>
      <c r="AW587" s="327"/>
      <c r="AX587" s="327"/>
      <c r="AY587" s="518"/>
      <c r="AZ587" s="327"/>
      <c r="BA587" s="327"/>
      <c r="BB587" s="327"/>
      <c r="BC587" s="327"/>
      <c r="BD587" s="518"/>
      <c r="BE587" s="327"/>
      <c r="BF587" s="327"/>
      <c r="BG587" s="327"/>
      <c r="BH587" s="327"/>
      <c r="BI587" s="518"/>
      <c r="BJ587" s="1026"/>
      <c r="BK587" s="327"/>
      <c r="BL587" s="327"/>
      <c r="BM587" s="327"/>
      <c r="BN587" s="518"/>
      <c r="BO587" s="327"/>
      <c r="BP587" s="327"/>
      <c r="BQ587" s="327"/>
      <c r="BR587" s="327"/>
      <c r="BS587" s="518"/>
      <c r="BT587" s="518"/>
      <c r="BU587" s="518"/>
      <c r="BV587" s="518"/>
      <c r="BW587" s="197"/>
    </row>
    <row r="588" spans="1:75" s="198" customFormat="1" ht="14.25" hidden="1" outlineLevel="2" collapsed="1" x14ac:dyDescent="0.45">
      <c r="A588" s="206"/>
      <c r="B588" s="485"/>
      <c r="C588" s="397"/>
      <c r="D588" s="397"/>
      <c r="E588" s="397"/>
      <c r="F588" s="397"/>
      <c r="G588" s="295"/>
      <c r="H588" s="295"/>
      <c r="I588" s="295"/>
      <c r="J588" s="295"/>
      <c r="K588" s="397"/>
      <c r="L588" s="295"/>
      <c r="M588" s="295"/>
      <c r="N588" s="295"/>
      <c r="O588" s="295"/>
      <c r="P588" s="397"/>
      <c r="Q588" s="295"/>
      <c r="R588" s="295"/>
      <c r="S588" s="295"/>
      <c r="T588" s="295"/>
      <c r="U588" s="397"/>
      <c r="V588" s="295"/>
      <c r="W588" s="295"/>
      <c r="X588" s="295"/>
      <c r="Y588" s="295"/>
      <c r="Z588" s="397"/>
      <c r="AA588" s="295"/>
      <c r="AB588" s="295"/>
      <c r="AC588" s="295"/>
      <c r="AD588" s="295"/>
      <c r="AE588" s="397"/>
      <c r="AF588" s="295"/>
      <c r="AG588" s="295"/>
      <c r="AH588" s="295"/>
      <c r="AI588" s="295"/>
      <c r="AJ588" s="397"/>
      <c r="AK588" s="295"/>
      <c r="AL588" s="295"/>
      <c r="AM588" s="295"/>
      <c r="AN588" s="295"/>
      <c r="AO588" s="397"/>
      <c r="AP588" s="295"/>
      <c r="AQ588" s="295"/>
      <c r="AR588" s="295"/>
      <c r="AS588" s="295"/>
      <c r="AT588" s="397"/>
      <c r="AU588" s="295"/>
      <c r="AV588" s="295"/>
      <c r="AW588" s="295"/>
      <c r="AX588" s="295"/>
      <c r="AY588" s="397"/>
      <c r="AZ588" s="295"/>
      <c r="BA588" s="295"/>
      <c r="BB588" s="295"/>
      <c r="BC588" s="295"/>
      <c r="BD588" s="397"/>
      <c r="BE588" s="295"/>
      <c r="BF588" s="295"/>
      <c r="BG588" s="295"/>
      <c r="BH588" s="295"/>
      <c r="BI588" s="397"/>
      <c r="BJ588" s="1030"/>
      <c r="BK588" s="295"/>
      <c r="BL588" s="295"/>
      <c r="BM588" s="295"/>
      <c r="BN588" s="397"/>
      <c r="BO588" s="295"/>
      <c r="BP588" s="295"/>
      <c r="BQ588" s="295"/>
      <c r="BR588" s="295"/>
      <c r="BS588" s="397"/>
      <c r="BT588" s="397"/>
      <c r="BU588" s="397"/>
      <c r="BV588" s="397"/>
      <c r="BW588" s="197"/>
    </row>
    <row r="589" spans="1:75" s="198" customFormat="1" ht="14.25" hidden="1" outlineLevel="2" x14ac:dyDescent="0.45">
      <c r="A589" s="239" t="s">
        <v>2045</v>
      </c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  <c r="AA589" s="239"/>
      <c r="AB589" s="239"/>
      <c r="AC589" s="239"/>
      <c r="AD589" s="239"/>
      <c r="AE589" s="239"/>
      <c r="AF589" s="239"/>
      <c r="AG589" s="239"/>
      <c r="AH589" s="239"/>
      <c r="AI589" s="239"/>
      <c r="AJ589" s="239"/>
      <c r="AK589" s="239"/>
      <c r="AL589" s="239"/>
      <c r="AM589" s="239"/>
      <c r="AN589" s="239"/>
      <c r="AO589" s="239"/>
      <c r="AP589" s="239"/>
      <c r="AQ589" s="239"/>
      <c r="AR589" s="239"/>
      <c r="AS589" s="239"/>
      <c r="AT589" s="239"/>
      <c r="AU589" s="239"/>
      <c r="AV589" s="239"/>
      <c r="AW589" s="239"/>
      <c r="AX589" s="239"/>
      <c r="AY589" s="239"/>
      <c r="AZ589" s="239"/>
      <c r="BA589" s="239"/>
      <c r="BB589" s="239"/>
      <c r="BC589" s="239"/>
      <c r="BD589" s="239"/>
      <c r="BE589" s="239"/>
      <c r="BF589" s="239"/>
      <c r="BG589" s="239"/>
      <c r="BH589" s="239"/>
      <c r="BI589" s="239"/>
      <c r="BJ589" s="241"/>
      <c r="BK589" s="239"/>
      <c r="BL589" s="239"/>
      <c r="BM589" s="239"/>
      <c r="BN589" s="239"/>
      <c r="BO589" s="239"/>
      <c r="BP589" s="239"/>
      <c r="BQ589" s="239"/>
      <c r="BR589" s="239"/>
      <c r="BS589" s="239"/>
      <c r="BT589" s="239"/>
      <c r="BU589" s="239"/>
      <c r="BV589" s="239"/>
      <c r="BW589" s="197"/>
    </row>
    <row r="590" spans="1:75" s="123" customFormat="1" hidden="1" outlineLevel="3" x14ac:dyDescent="0.5">
      <c r="A590" s="184" t="s">
        <v>2046</v>
      </c>
      <c r="B590" s="489"/>
      <c r="C590" s="403">
        <v>20.965</v>
      </c>
      <c r="D590" s="403">
        <v>20.901</v>
      </c>
      <c r="E590" s="403">
        <v>19.626000000000001</v>
      </c>
      <c r="F590" s="403">
        <v>23.164000000000001</v>
      </c>
      <c r="G590" s="302">
        <v>6.8259999999999996</v>
      </c>
      <c r="H590" s="302">
        <v>6.0960000000000001</v>
      </c>
      <c r="I590" s="302">
        <v>6.165</v>
      </c>
      <c r="J590" s="118">
        <f t="shared" ref="J590:J592" si="878">K590-SUM(G590,H590,I590)</f>
        <v>6.5010000000000012</v>
      </c>
      <c r="K590" s="403">
        <v>25.588000000000001</v>
      </c>
      <c r="L590" s="302">
        <v>7.407</v>
      </c>
      <c r="M590" s="302">
        <v>7.73</v>
      </c>
      <c r="N590" s="302">
        <v>8.4710000000000001</v>
      </c>
      <c r="O590" s="118">
        <f t="shared" ref="O590:O592" si="879">P590-SUM(L590,M590,N590)</f>
        <v>8.5079999999999991</v>
      </c>
      <c r="P590" s="403">
        <v>32.116</v>
      </c>
      <c r="Q590" s="302">
        <v>8.1020000000000003</v>
      </c>
      <c r="R590" s="302">
        <v>8.1980000000000004</v>
      </c>
      <c r="S590" s="302">
        <v>7.8559999999999999</v>
      </c>
      <c r="T590" s="118">
        <f t="shared" ref="T590:T592" si="880">U590-SUM(Q590,R590,S590)</f>
        <v>7.8999999999999986</v>
      </c>
      <c r="U590" s="403">
        <v>32.055999999999997</v>
      </c>
      <c r="V590" s="302">
        <v>7.6139999999999999</v>
      </c>
      <c r="W590" s="302">
        <v>7.9889999999999999</v>
      </c>
      <c r="X590" s="302">
        <v>7.8120000000000003</v>
      </c>
      <c r="Y590" s="118">
        <f>Z590-SUM(V590,W590,X590)</f>
        <v>7.7200000000000024</v>
      </c>
      <c r="Z590" s="403">
        <v>31.135000000000002</v>
      </c>
      <c r="AA590" s="302">
        <v>6.9669999999999996</v>
      </c>
      <c r="AB590" s="302">
        <v>6.7880000000000003</v>
      </c>
      <c r="AC590" s="302">
        <v>6.87</v>
      </c>
      <c r="AD590" s="118">
        <f>AE590-SUM(AA590,AB590,AC590)</f>
        <v>8.3520000000000003</v>
      </c>
      <c r="AE590" s="403">
        <v>28.977</v>
      </c>
      <c r="AF590" s="302">
        <v>9.3460000000000001</v>
      </c>
      <c r="AG590" s="302">
        <v>7.6509999999999998</v>
      </c>
      <c r="AH590" s="302">
        <v>9.8770000000000007</v>
      </c>
      <c r="AI590" s="118">
        <f>AJ590-SUM(AF590,AG590,AH590)</f>
        <v>9.4199999999999946</v>
      </c>
      <c r="AJ590" s="403">
        <v>36.293999999999997</v>
      </c>
      <c r="AK590" s="118"/>
      <c r="AL590" s="118"/>
      <c r="AM590" s="118"/>
      <c r="AN590" s="118"/>
      <c r="AO590" s="401"/>
      <c r="AP590" s="118"/>
      <c r="AQ590" s="118"/>
      <c r="AR590" s="118"/>
      <c r="AS590" s="118"/>
      <c r="AT590" s="401"/>
      <c r="AU590" s="118"/>
      <c r="AV590" s="118"/>
      <c r="AW590" s="118"/>
      <c r="AX590" s="118"/>
      <c r="AY590" s="401"/>
      <c r="AZ590" s="118"/>
      <c r="BA590" s="118"/>
      <c r="BB590" s="118"/>
      <c r="BC590" s="118"/>
      <c r="BD590" s="401"/>
      <c r="BE590" s="118"/>
      <c r="BF590" s="118"/>
      <c r="BG590" s="118"/>
      <c r="BH590" s="118"/>
      <c r="BI590" s="401"/>
      <c r="BJ590" s="971"/>
      <c r="BK590" s="118"/>
      <c r="BL590" s="118"/>
      <c r="BM590" s="118"/>
      <c r="BN590" s="401"/>
      <c r="BO590" s="118"/>
      <c r="BP590" s="118"/>
      <c r="BQ590" s="118"/>
      <c r="BR590" s="118"/>
      <c r="BS590" s="401"/>
      <c r="BT590" s="401"/>
      <c r="BU590" s="401"/>
      <c r="BV590" s="401"/>
      <c r="BW590" s="122"/>
    </row>
    <row r="591" spans="1:75" s="123" customFormat="1" hidden="1" outlineLevel="3" x14ac:dyDescent="0.5">
      <c r="A591" s="184" t="s">
        <v>2047</v>
      </c>
      <c r="B591" s="489"/>
      <c r="C591" s="403">
        <v>97.977999999999994</v>
      </c>
      <c r="D591" s="403">
        <v>92.676000000000002</v>
      </c>
      <c r="E591" s="403">
        <v>76.914000000000001</v>
      </c>
      <c r="F591" s="403">
        <v>72.994</v>
      </c>
      <c r="G591" s="302">
        <v>19.216999999999999</v>
      </c>
      <c r="H591" s="302">
        <v>19.535</v>
      </c>
      <c r="I591" s="302">
        <v>19.655000000000001</v>
      </c>
      <c r="J591" s="118">
        <f t="shared" si="878"/>
        <v>20.016000000000005</v>
      </c>
      <c r="K591" s="403">
        <v>78.423000000000002</v>
      </c>
      <c r="L591" s="302">
        <v>19.36</v>
      </c>
      <c r="M591" s="302">
        <v>20.358000000000001</v>
      </c>
      <c r="N591" s="302">
        <v>20.344000000000001</v>
      </c>
      <c r="O591" s="118">
        <f t="shared" si="879"/>
        <v>20.091999999999992</v>
      </c>
      <c r="P591" s="403">
        <v>80.153999999999996</v>
      </c>
      <c r="Q591" s="302">
        <v>20.149999999999999</v>
      </c>
      <c r="R591" s="302">
        <v>20.402999999999999</v>
      </c>
      <c r="S591" s="302">
        <v>20.88</v>
      </c>
      <c r="T591" s="118">
        <f t="shared" si="880"/>
        <v>21.594000000000008</v>
      </c>
      <c r="U591" s="403">
        <v>83.027000000000001</v>
      </c>
      <c r="V591" s="302">
        <v>20.748999999999999</v>
      </c>
      <c r="W591" s="302">
        <v>21.338999999999999</v>
      </c>
      <c r="X591" s="302">
        <v>21.675999999999998</v>
      </c>
      <c r="Y591" s="118">
        <f>Z591-SUM(V591,W591,X591)</f>
        <v>22.463999999999999</v>
      </c>
      <c r="Z591" s="403">
        <v>86.227999999999994</v>
      </c>
      <c r="AA591" s="302">
        <v>22.341999999999999</v>
      </c>
      <c r="AB591" s="302">
        <v>22.385000000000002</v>
      </c>
      <c r="AC591" s="302">
        <v>22.555</v>
      </c>
      <c r="AD591" s="118">
        <f>AE591-SUM(AA591,AB591,AC591)</f>
        <v>23.342999999999989</v>
      </c>
      <c r="AE591" s="403">
        <v>90.625</v>
      </c>
      <c r="AF591" s="302">
        <v>22.998999999999999</v>
      </c>
      <c r="AG591" s="302">
        <v>22.494</v>
      </c>
      <c r="AH591" s="302">
        <v>21.574000000000002</v>
      </c>
      <c r="AI591" s="118">
        <f>AJ591-SUM(AF591,AG591,AH591)</f>
        <v>22.352000000000004</v>
      </c>
      <c r="AJ591" s="403">
        <v>89.418999999999997</v>
      </c>
      <c r="AK591" s="118"/>
      <c r="AL591" s="118"/>
      <c r="AM591" s="118"/>
      <c r="AN591" s="118"/>
      <c r="AO591" s="401"/>
      <c r="AP591" s="118"/>
      <c r="AQ591" s="118"/>
      <c r="AR591" s="118"/>
      <c r="AS591" s="118"/>
      <c r="AT591" s="401"/>
      <c r="AU591" s="118"/>
      <c r="AV591" s="118"/>
      <c r="AW591" s="118"/>
      <c r="AX591" s="118"/>
      <c r="AY591" s="401"/>
      <c r="AZ591" s="118"/>
      <c r="BA591" s="118"/>
      <c r="BB591" s="118"/>
      <c r="BC591" s="118"/>
      <c r="BD591" s="401"/>
      <c r="BE591" s="118"/>
      <c r="BF591" s="118"/>
      <c r="BG591" s="118"/>
      <c r="BH591" s="118"/>
      <c r="BI591" s="401"/>
      <c r="BJ591" s="971"/>
      <c r="BK591" s="118"/>
      <c r="BL591" s="118"/>
      <c r="BM591" s="118"/>
      <c r="BN591" s="401"/>
      <c r="BO591" s="118"/>
      <c r="BP591" s="118"/>
      <c r="BQ591" s="118"/>
      <c r="BR591" s="118"/>
      <c r="BS591" s="401"/>
      <c r="BT591" s="401"/>
      <c r="BU591" s="401"/>
      <c r="BV591" s="401"/>
      <c r="BW591" s="122"/>
    </row>
    <row r="592" spans="1:75" s="123" customFormat="1" hidden="1" outlineLevel="3" x14ac:dyDescent="0.5">
      <c r="A592" s="184" t="s">
        <v>2048</v>
      </c>
      <c r="B592" s="489"/>
      <c r="C592" s="403">
        <v>32.853000000000002</v>
      </c>
      <c r="D592" s="403">
        <v>31.053000000000001</v>
      </c>
      <c r="E592" s="403">
        <v>34.012999999999998</v>
      </c>
      <c r="F592" s="403">
        <v>38.295000000000002</v>
      </c>
      <c r="G592" s="302">
        <v>10.566000000000001</v>
      </c>
      <c r="H592" s="302">
        <v>11.592000000000001</v>
      </c>
      <c r="I592" s="302">
        <v>11.76</v>
      </c>
      <c r="J592" s="118">
        <f t="shared" si="878"/>
        <v>11.866</v>
      </c>
      <c r="K592" s="403">
        <v>45.783999999999999</v>
      </c>
      <c r="L592" s="302">
        <v>11.863</v>
      </c>
      <c r="M592" s="302">
        <v>12.614000000000001</v>
      </c>
      <c r="N592" s="302">
        <v>12.988</v>
      </c>
      <c r="O592" s="118">
        <f t="shared" si="879"/>
        <v>12.537999999999997</v>
      </c>
      <c r="P592" s="403">
        <v>50.003</v>
      </c>
      <c r="Q592" s="302">
        <v>13.226000000000001</v>
      </c>
      <c r="R592" s="302">
        <v>13.154</v>
      </c>
      <c r="S592" s="302">
        <v>13.124000000000001</v>
      </c>
      <c r="T592" s="118">
        <f t="shared" si="880"/>
        <v>13.172999999999995</v>
      </c>
      <c r="U592" s="403">
        <v>52.677</v>
      </c>
      <c r="V592" s="302">
        <v>12.877000000000001</v>
      </c>
      <c r="W592" s="302">
        <v>12.801</v>
      </c>
      <c r="X592" s="302">
        <v>14.888</v>
      </c>
      <c r="Y592" s="118">
        <f>Z592-SUM(V592,W592,X592)</f>
        <v>15.265999999999998</v>
      </c>
      <c r="Z592" s="403">
        <v>55.832000000000001</v>
      </c>
      <c r="AA592" s="302">
        <v>15.641</v>
      </c>
      <c r="AB592" s="302">
        <v>15.925000000000001</v>
      </c>
      <c r="AC592" s="302">
        <v>16</v>
      </c>
      <c r="AD592" s="118">
        <f>AE592-SUM(AA592,AB592,AC592)</f>
        <v>15.908999999999999</v>
      </c>
      <c r="AE592" s="403">
        <v>63.475000000000001</v>
      </c>
      <c r="AF592" s="302">
        <v>15.528</v>
      </c>
      <c r="AG592" s="302">
        <v>15.791</v>
      </c>
      <c r="AH592" s="302">
        <v>15.907</v>
      </c>
      <c r="AI592" s="118">
        <f>AJ592-SUM(AF592,AG592,AH592)</f>
        <v>15.869</v>
      </c>
      <c r="AJ592" s="403">
        <v>63.094999999999999</v>
      </c>
      <c r="AK592" s="118"/>
      <c r="AL592" s="118"/>
      <c r="AM592" s="118"/>
      <c r="AN592" s="118"/>
      <c r="AO592" s="401"/>
      <c r="AP592" s="118"/>
      <c r="AQ592" s="118"/>
      <c r="AR592" s="118"/>
      <c r="AS592" s="118"/>
      <c r="AT592" s="401"/>
      <c r="AU592" s="118"/>
      <c r="AV592" s="118"/>
      <c r="AW592" s="118"/>
      <c r="AX592" s="118"/>
      <c r="AY592" s="401"/>
      <c r="AZ592" s="118"/>
      <c r="BA592" s="118"/>
      <c r="BB592" s="118"/>
      <c r="BC592" s="118"/>
      <c r="BD592" s="401"/>
      <c r="BE592" s="118"/>
      <c r="BF592" s="118"/>
      <c r="BG592" s="118"/>
      <c r="BH592" s="118"/>
      <c r="BI592" s="401"/>
      <c r="BJ592" s="971"/>
      <c r="BK592" s="118"/>
      <c r="BL592" s="118"/>
      <c r="BM592" s="118"/>
      <c r="BN592" s="401"/>
      <c r="BO592" s="118"/>
      <c r="BP592" s="118"/>
      <c r="BQ592" s="118"/>
      <c r="BR592" s="118"/>
      <c r="BS592" s="401"/>
      <c r="BT592" s="401"/>
      <c r="BU592" s="401"/>
      <c r="BV592" s="401"/>
      <c r="BW592" s="122"/>
    </row>
    <row r="593" spans="1:75" s="198" customFormat="1" ht="14.25" hidden="1" outlineLevel="3" x14ac:dyDescent="0.45">
      <c r="A593" s="192" t="s">
        <v>2049</v>
      </c>
      <c r="B593" s="495"/>
      <c r="C593" s="518">
        <f t="shared" ref="C593:AJ593" si="881">SUM(C590:C592)</f>
        <v>151.79599999999999</v>
      </c>
      <c r="D593" s="518">
        <f t="shared" si="881"/>
        <v>144.63</v>
      </c>
      <c r="E593" s="518">
        <f t="shared" si="881"/>
        <v>130.553</v>
      </c>
      <c r="F593" s="518">
        <f t="shared" si="881"/>
        <v>134.453</v>
      </c>
      <c r="G593" s="327">
        <f t="shared" si="881"/>
        <v>36.609000000000002</v>
      </c>
      <c r="H593" s="327">
        <f t="shared" si="881"/>
        <v>37.222999999999999</v>
      </c>
      <c r="I593" s="327">
        <f t="shared" si="881"/>
        <v>37.58</v>
      </c>
      <c r="J593" s="327">
        <f t="shared" si="881"/>
        <v>38.38300000000001</v>
      </c>
      <c r="K593" s="518">
        <f t="shared" si="881"/>
        <v>149.79499999999999</v>
      </c>
      <c r="L593" s="327">
        <f t="shared" si="881"/>
        <v>38.629999999999995</v>
      </c>
      <c r="M593" s="327">
        <f t="shared" si="881"/>
        <v>40.701999999999998</v>
      </c>
      <c r="N593" s="327">
        <f t="shared" si="881"/>
        <v>41.802999999999997</v>
      </c>
      <c r="O593" s="327">
        <f t="shared" si="881"/>
        <v>41.137999999999991</v>
      </c>
      <c r="P593" s="518">
        <f t="shared" si="881"/>
        <v>162.273</v>
      </c>
      <c r="Q593" s="327">
        <f t="shared" si="881"/>
        <v>41.478000000000002</v>
      </c>
      <c r="R593" s="327">
        <f t="shared" si="881"/>
        <v>41.754999999999995</v>
      </c>
      <c r="S593" s="327">
        <f t="shared" si="881"/>
        <v>41.86</v>
      </c>
      <c r="T593" s="327">
        <f t="shared" si="881"/>
        <v>42.667000000000002</v>
      </c>
      <c r="U593" s="518">
        <f t="shared" si="881"/>
        <v>167.76</v>
      </c>
      <c r="V593" s="327">
        <f t="shared" si="881"/>
        <v>41.24</v>
      </c>
      <c r="W593" s="327">
        <f t="shared" si="881"/>
        <v>42.128999999999998</v>
      </c>
      <c r="X593" s="327">
        <f t="shared" si="881"/>
        <v>44.375999999999998</v>
      </c>
      <c r="Y593" s="327">
        <f t="shared" si="881"/>
        <v>45.45</v>
      </c>
      <c r="Z593" s="518">
        <f t="shared" si="881"/>
        <v>173.19499999999999</v>
      </c>
      <c r="AA593" s="327">
        <f t="shared" si="881"/>
        <v>44.949999999999996</v>
      </c>
      <c r="AB593" s="327">
        <f t="shared" si="881"/>
        <v>45.097999999999999</v>
      </c>
      <c r="AC593" s="327">
        <f t="shared" si="881"/>
        <v>45.424999999999997</v>
      </c>
      <c r="AD593" s="327">
        <f t="shared" si="881"/>
        <v>47.603999999999985</v>
      </c>
      <c r="AE593" s="518">
        <f t="shared" si="881"/>
        <v>183.077</v>
      </c>
      <c r="AF593" s="327">
        <f t="shared" si="881"/>
        <v>47.872999999999998</v>
      </c>
      <c r="AG593" s="327">
        <f t="shared" si="881"/>
        <v>45.936</v>
      </c>
      <c r="AH593" s="327">
        <f t="shared" si="881"/>
        <v>47.358000000000004</v>
      </c>
      <c r="AI593" s="327">
        <f t="shared" si="881"/>
        <v>47.640999999999998</v>
      </c>
      <c r="AJ593" s="518">
        <f t="shared" si="881"/>
        <v>188.80799999999999</v>
      </c>
      <c r="AK593" s="327"/>
      <c r="AL593" s="327"/>
      <c r="AM593" s="327"/>
      <c r="AN593" s="327"/>
      <c r="AO593" s="518"/>
      <c r="AP593" s="327"/>
      <c r="AQ593" s="327"/>
      <c r="AR593" s="327"/>
      <c r="AS593" s="327"/>
      <c r="AT593" s="518"/>
      <c r="AU593" s="327"/>
      <c r="AV593" s="327"/>
      <c r="AW593" s="327"/>
      <c r="AX593" s="327"/>
      <c r="AY593" s="518"/>
      <c r="AZ593" s="327"/>
      <c r="BA593" s="327"/>
      <c r="BB593" s="327"/>
      <c r="BC593" s="327"/>
      <c r="BD593" s="518"/>
      <c r="BE593" s="327"/>
      <c r="BF593" s="327"/>
      <c r="BG593" s="327"/>
      <c r="BH593" s="327"/>
      <c r="BI593" s="518"/>
      <c r="BJ593" s="1026"/>
      <c r="BK593" s="327"/>
      <c r="BL593" s="327"/>
      <c r="BM593" s="327"/>
      <c r="BN593" s="518"/>
      <c r="BO593" s="327"/>
      <c r="BP593" s="327"/>
      <c r="BQ593" s="327"/>
      <c r="BR593" s="327"/>
      <c r="BS593" s="518"/>
      <c r="BT593" s="518"/>
      <c r="BU593" s="518"/>
      <c r="BV593" s="518"/>
      <c r="BW593" s="197"/>
    </row>
    <row r="594" spans="1:75" s="198" customFormat="1" ht="14.25" hidden="1" outlineLevel="2" collapsed="1" x14ac:dyDescent="0.45">
      <c r="A594" s="206"/>
      <c r="B594" s="485"/>
      <c r="C594" s="397"/>
      <c r="D594" s="397"/>
      <c r="E594" s="397"/>
      <c r="F594" s="397"/>
      <c r="G594" s="295"/>
      <c r="H594" s="295"/>
      <c r="I594" s="295"/>
      <c r="J594" s="295"/>
      <c r="K594" s="397"/>
      <c r="L594" s="295"/>
      <c r="M594" s="295"/>
      <c r="N594" s="295"/>
      <c r="O594" s="295"/>
      <c r="P594" s="397"/>
      <c r="Q594" s="295"/>
      <c r="R594" s="295"/>
      <c r="S594" s="295"/>
      <c r="T594" s="295"/>
      <c r="U594" s="397"/>
      <c r="V594" s="295"/>
      <c r="W594" s="295"/>
      <c r="X594" s="295"/>
      <c r="Y594" s="295"/>
      <c r="Z594" s="397"/>
      <c r="AA594" s="295"/>
      <c r="AB594" s="295"/>
      <c r="AC594" s="295"/>
      <c r="AD594" s="295"/>
      <c r="AE594" s="397"/>
      <c r="AF594" s="295"/>
      <c r="AG594" s="295"/>
      <c r="AH594" s="295"/>
      <c r="AI594" s="295"/>
      <c r="AJ594" s="397"/>
      <c r="AK594" s="295"/>
      <c r="AL594" s="295"/>
      <c r="AM594" s="295"/>
      <c r="AN594" s="295"/>
      <c r="AO594" s="397"/>
      <c r="AP594" s="295"/>
      <c r="AQ594" s="295"/>
      <c r="AR594" s="295"/>
      <c r="AS594" s="295"/>
      <c r="AT594" s="397"/>
      <c r="AU594" s="295"/>
      <c r="AV594" s="295"/>
      <c r="AW594" s="295"/>
      <c r="AX594" s="295"/>
      <c r="AY594" s="397"/>
      <c r="AZ594" s="295"/>
      <c r="BA594" s="295"/>
      <c r="BB594" s="295"/>
      <c r="BC594" s="295"/>
      <c r="BD594" s="397"/>
      <c r="BE594" s="295"/>
      <c r="BF594" s="295"/>
      <c r="BG594" s="295"/>
      <c r="BH594" s="295"/>
      <c r="BI594" s="397"/>
      <c r="BJ594" s="1030"/>
      <c r="BK594" s="295"/>
      <c r="BL594" s="295"/>
      <c r="BM594" s="295"/>
      <c r="BN594" s="397"/>
      <c r="BO594" s="295"/>
      <c r="BP594" s="295"/>
      <c r="BQ594" s="295"/>
      <c r="BR594" s="295"/>
      <c r="BS594" s="397"/>
      <c r="BT594" s="397"/>
      <c r="BU594" s="397"/>
      <c r="BV594" s="397"/>
      <c r="BW594" s="197"/>
    </row>
    <row r="595" spans="1:75" s="198" customFormat="1" ht="14.25" hidden="1" outlineLevel="2" x14ac:dyDescent="0.45">
      <c r="A595" s="239" t="s">
        <v>2050</v>
      </c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  <c r="AA595" s="239"/>
      <c r="AB595" s="239"/>
      <c r="AC595" s="239"/>
      <c r="AD595" s="239"/>
      <c r="AE595" s="239"/>
      <c r="AF595" s="239"/>
      <c r="AG595" s="239"/>
      <c r="AH595" s="239"/>
      <c r="AI595" s="239"/>
      <c r="AJ595" s="239"/>
      <c r="AK595" s="239"/>
      <c r="AL595" s="239"/>
      <c r="AM595" s="239"/>
      <c r="AN595" s="239"/>
      <c r="AO595" s="239"/>
      <c r="AP595" s="239"/>
      <c r="AQ595" s="239"/>
      <c r="AR595" s="239"/>
      <c r="AS595" s="239"/>
      <c r="AT595" s="239"/>
      <c r="AU595" s="239"/>
      <c r="AV595" s="239"/>
      <c r="AW595" s="239"/>
      <c r="AX595" s="239"/>
      <c r="AY595" s="239"/>
      <c r="AZ595" s="239"/>
      <c r="BA595" s="239"/>
      <c r="BB595" s="239"/>
      <c r="BC595" s="239"/>
      <c r="BD595" s="239"/>
      <c r="BE595" s="239"/>
      <c r="BF595" s="239"/>
      <c r="BG595" s="239"/>
      <c r="BH595" s="239"/>
      <c r="BI595" s="239"/>
      <c r="BJ595" s="241"/>
      <c r="BK595" s="239"/>
      <c r="BL595" s="239"/>
      <c r="BM595" s="239"/>
      <c r="BN595" s="239"/>
      <c r="BO595" s="239"/>
      <c r="BP595" s="239"/>
      <c r="BQ595" s="239"/>
      <c r="BR595" s="239"/>
      <c r="BS595" s="239"/>
      <c r="BT595" s="239"/>
      <c r="BU595" s="239"/>
      <c r="BV595" s="239"/>
      <c r="BW595" s="197"/>
    </row>
    <row r="596" spans="1:75" s="123" customFormat="1" hidden="1" outlineLevel="3" x14ac:dyDescent="0.5">
      <c r="A596" s="184" t="s">
        <v>2051</v>
      </c>
      <c r="B596" s="489"/>
      <c r="C596" s="403">
        <v>12.991</v>
      </c>
      <c r="D596" s="403">
        <v>15.010999999999999</v>
      </c>
      <c r="E596" s="403">
        <v>27.451000000000001</v>
      </c>
      <c r="F596" s="403">
        <v>30.585000000000001</v>
      </c>
      <c r="G596" s="302">
        <v>9.7059999999999995</v>
      </c>
      <c r="H596" s="302">
        <v>9.9930000000000003</v>
      </c>
      <c r="I596" s="302">
        <v>8.7970000000000006</v>
      </c>
      <c r="J596" s="118">
        <f t="shared" ref="J596:J598" si="882">K596-SUM(G596,H596,I596)</f>
        <v>9.6990000000000016</v>
      </c>
      <c r="K596" s="403">
        <v>38.195</v>
      </c>
      <c r="L596" s="302">
        <v>9.4770000000000003</v>
      </c>
      <c r="M596" s="302">
        <v>13.398</v>
      </c>
      <c r="N596" s="302">
        <v>5.4509999999999996</v>
      </c>
      <c r="O596" s="118">
        <f t="shared" ref="O596:O598" si="883">P596-SUM(L596,M596,N596)</f>
        <v>13.307000000000002</v>
      </c>
      <c r="P596" s="403">
        <v>41.633000000000003</v>
      </c>
      <c r="Q596" s="302">
        <v>3.9359999999999999</v>
      </c>
      <c r="R596" s="302">
        <v>4.5819999999999999</v>
      </c>
      <c r="S596" s="302">
        <v>4.819</v>
      </c>
      <c r="T596" s="118">
        <f t="shared" ref="T596:T598" si="884">U596-SUM(Q596,R596,S596)</f>
        <v>8.9559999999999995</v>
      </c>
      <c r="U596" s="403">
        <v>22.292999999999999</v>
      </c>
      <c r="V596" s="302">
        <v>3.8490000000000002</v>
      </c>
      <c r="W596" s="302">
        <v>4.593</v>
      </c>
      <c r="X596" s="302">
        <v>5.2309999999999999</v>
      </c>
      <c r="Y596" s="118">
        <f t="shared" ref="Y596:Y598" si="885">Z596-SUM(V596,W596,X596)</f>
        <v>7.8059999999999992</v>
      </c>
      <c r="Z596" s="403">
        <v>21.478999999999999</v>
      </c>
      <c r="AA596" s="302">
        <v>2.87</v>
      </c>
      <c r="AB596" s="302">
        <v>8.1189999999999998</v>
      </c>
      <c r="AC596" s="302">
        <v>13.183999999999999</v>
      </c>
      <c r="AD596" s="118">
        <f>AE596-SUM(AA596,AB596,AC596)</f>
        <v>15.100000000000001</v>
      </c>
      <c r="AE596" s="403">
        <v>39.273000000000003</v>
      </c>
      <c r="AF596" s="302">
        <v>5.7939999999999996</v>
      </c>
      <c r="AG596" s="302">
        <v>8.9580000000000002</v>
      </c>
      <c r="AH596" s="302">
        <v>12.068</v>
      </c>
      <c r="AI596" s="118">
        <f>AJ596-SUM(AF596,AG596,AH596)</f>
        <v>18.331000000000003</v>
      </c>
      <c r="AJ596" s="403">
        <v>45.151000000000003</v>
      </c>
      <c r="AK596" s="118"/>
      <c r="AL596" s="118"/>
      <c r="AM596" s="118"/>
      <c r="AN596" s="118"/>
      <c r="AO596" s="401"/>
      <c r="AP596" s="118"/>
      <c r="AQ596" s="118"/>
      <c r="AR596" s="118"/>
      <c r="AS596" s="118"/>
      <c r="AT596" s="401"/>
      <c r="AU596" s="118"/>
      <c r="AV596" s="118"/>
      <c r="AW596" s="118"/>
      <c r="AX596" s="118"/>
      <c r="AY596" s="401"/>
      <c r="AZ596" s="118"/>
      <c r="BA596" s="118"/>
      <c r="BB596" s="118"/>
      <c r="BC596" s="118"/>
      <c r="BD596" s="401"/>
      <c r="BE596" s="118"/>
      <c r="BF596" s="118"/>
      <c r="BG596" s="118"/>
      <c r="BH596" s="118"/>
      <c r="BI596" s="401"/>
      <c r="BJ596" s="971"/>
      <c r="BK596" s="118"/>
      <c r="BL596" s="118"/>
      <c r="BM596" s="118"/>
      <c r="BN596" s="401"/>
      <c r="BO596" s="118"/>
      <c r="BP596" s="118"/>
      <c r="BQ596" s="118"/>
      <c r="BR596" s="118"/>
      <c r="BS596" s="401"/>
      <c r="BT596" s="401"/>
      <c r="BU596" s="401"/>
      <c r="BV596" s="401"/>
      <c r="BW596" s="122"/>
    </row>
    <row r="597" spans="1:75" s="123" customFormat="1" hidden="1" outlineLevel="3" x14ac:dyDescent="0.5">
      <c r="A597" s="184" t="s">
        <v>2052</v>
      </c>
      <c r="B597" s="489"/>
      <c r="C597" s="403">
        <v>43.094999999999999</v>
      </c>
      <c r="D597" s="403">
        <v>25.434000000000001</v>
      </c>
      <c r="E597" s="403">
        <v>51.545999999999999</v>
      </c>
      <c r="F597" s="403">
        <v>86.775999999999996</v>
      </c>
      <c r="G597" s="302">
        <v>20.722000000000001</v>
      </c>
      <c r="H597" s="302">
        <v>24.428000000000001</v>
      </c>
      <c r="I597" s="302">
        <v>26.152000000000001</v>
      </c>
      <c r="J597" s="118">
        <f t="shared" si="882"/>
        <v>18.028999999999996</v>
      </c>
      <c r="K597" s="403">
        <v>89.331000000000003</v>
      </c>
      <c r="L597" s="302">
        <v>14.7</v>
      </c>
      <c r="M597" s="302">
        <v>19.547999999999998</v>
      </c>
      <c r="N597" s="302">
        <v>29.004999999999999</v>
      </c>
      <c r="O597" s="118">
        <f t="shared" si="883"/>
        <v>33.994</v>
      </c>
      <c r="P597" s="403">
        <v>97.247</v>
      </c>
      <c r="Q597" s="302">
        <v>19.928000000000001</v>
      </c>
      <c r="R597" s="302">
        <v>23.265000000000001</v>
      </c>
      <c r="S597" s="302">
        <v>25.239000000000001</v>
      </c>
      <c r="T597" s="118">
        <f t="shared" si="884"/>
        <v>34.284999999999997</v>
      </c>
      <c r="U597" s="403">
        <v>102.717</v>
      </c>
      <c r="V597" s="302">
        <v>13.752000000000001</v>
      </c>
      <c r="W597" s="302">
        <v>25.126999999999999</v>
      </c>
      <c r="X597" s="302">
        <v>25.82</v>
      </c>
      <c r="Y597" s="118">
        <f t="shared" si="885"/>
        <v>38.159999999999997</v>
      </c>
      <c r="Z597" s="403">
        <v>102.85899999999999</v>
      </c>
      <c r="AA597" s="302">
        <v>16.497</v>
      </c>
      <c r="AB597" s="302">
        <v>23.288</v>
      </c>
      <c r="AC597" s="302">
        <v>22.065999999999999</v>
      </c>
      <c r="AD597" s="118">
        <f>AE597-SUM(AA597,AB597,AC597)</f>
        <v>21.899000000000001</v>
      </c>
      <c r="AE597" s="403">
        <v>83.75</v>
      </c>
      <c r="AF597" s="302">
        <v>17.195</v>
      </c>
      <c r="AG597" s="302">
        <v>18.495000000000001</v>
      </c>
      <c r="AH597" s="302">
        <v>20.038</v>
      </c>
      <c r="AI597" s="118">
        <f>AJ597-SUM(AF597,AG597,AH597)</f>
        <v>27.112000000000009</v>
      </c>
      <c r="AJ597" s="403">
        <v>82.84</v>
      </c>
      <c r="AK597" s="118"/>
      <c r="AL597" s="118"/>
      <c r="AM597" s="118"/>
      <c r="AN597" s="118"/>
      <c r="AO597" s="401"/>
      <c r="AP597" s="118"/>
      <c r="AQ597" s="118"/>
      <c r="AR597" s="118"/>
      <c r="AS597" s="118"/>
      <c r="AT597" s="401"/>
      <c r="AU597" s="118"/>
      <c r="AV597" s="118"/>
      <c r="AW597" s="118"/>
      <c r="AX597" s="118"/>
      <c r="AY597" s="401"/>
      <c r="AZ597" s="118"/>
      <c r="BA597" s="118"/>
      <c r="BB597" s="118"/>
      <c r="BC597" s="118"/>
      <c r="BD597" s="401"/>
      <c r="BE597" s="118"/>
      <c r="BF597" s="118"/>
      <c r="BG597" s="118"/>
      <c r="BH597" s="118"/>
      <c r="BI597" s="401"/>
      <c r="BJ597" s="971"/>
      <c r="BK597" s="118"/>
      <c r="BL597" s="118"/>
      <c r="BM597" s="118"/>
      <c r="BN597" s="401"/>
      <c r="BO597" s="118"/>
      <c r="BP597" s="118"/>
      <c r="BQ597" s="118"/>
      <c r="BR597" s="118"/>
      <c r="BS597" s="401"/>
      <c r="BT597" s="401"/>
      <c r="BU597" s="401"/>
      <c r="BV597" s="401"/>
      <c r="BW597" s="122"/>
    </row>
    <row r="598" spans="1:75" s="123" customFormat="1" hidden="1" outlineLevel="3" x14ac:dyDescent="0.5">
      <c r="A598" s="184" t="s">
        <v>2053</v>
      </c>
      <c r="B598" s="489"/>
      <c r="C598" s="403">
        <v>16.177</v>
      </c>
      <c r="D598" s="403">
        <v>21.460999999999999</v>
      </c>
      <c r="E598" s="403">
        <v>51.356000000000002</v>
      </c>
      <c r="F598" s="403">
        <v>88.043000000000006</v>
      </c>
      <c r="G598" s="302">
        <v>17.015999999999998</v>
      </c>
      <c r="H598" s="302">
        <v>15.912000000000001</v>
      </c>
      <c r="I598" s="302">
        <v>12.51</v>
      </c>
      <c r="J598" s="118">
        <f t="shared" si="882"/>
        <v>20.989000000000011</v>
      </c>
      <c r="K598" s="403">
        <v>66.427000000000007</v>
      </c>
      <c r="L598" s="302">
        <v>13.942</v>
      </c>
      <c r="M598" s="302">
        <v>12.454000000000001</v>
      </c>
      <c r="N598" s="302">
        <v>13.695</v>
      </c>
      <c r="O598" s="118">
        <f t="shared" si="883"/>
        <v>25.829000000000001</v>
      </c>
      <c r="P598" s="403">
        <v>65.92</v>
      </c>
      <c r="Q598" s="302">
        <v>16.52</v>
      </c>
      <c r="R598" s="302">
        <v>18.617999999999999</v>
      </c>
      <c r="S598" s="302">
        <v>19.161999999999999</v>
      </c>
      <c r="T598" s="118">
        <f t="shared" si="884"/>
        <v>23.625</v>
      </c>
      <c r="U598" s="403">
        <v>77.924999999999997</v>
      </c>
      <c r="V598" s="302">
        <v>10.548</v>
      </c>
      <c r="W598" s="302">
        <v>20.007999999999999</v>
      </c>
      <c r="X598" s="302">
        <v>18.241</v>
      </c>
      <c r="Y598" s="118">
        <f t="shared" si="885"/>
        <v>24.278999999999996</v>
      </c>
      <c r="Z598" s="403">
        <v>73.075999999999993</v>
      </c>
      <c r="AA598" s="302">
        <v>12.786</v>
      </c>
      <c r="AB598" s="302">
        <v>19.167000000000002</v>
      </c>
      <c r="AC598" s="302">
        <v>17.844000000000001</v>
      </c>
      <c r="AD598" s="118">
        <f>AE598-SUM(AA598,AB598,AC598)</f>
        <v>16.891999999999989</v>
      </c>
      <c r="AE598" s="403">
        <v>66.688999999999993</v>
      </c>
      <c r="AF598" s="302">
        <v>11.04</v>
      </c>
      <c r="AG598" s="302">
        <v>18.539000000000001</v>
      </c>
      <c r="AH598" s="302">
        <v>16.199000000000002</v>
      </c>
      <c r="AI598" s="118">
        <f>AJ598-SUM(AF598,AG598,AH598)</f>
        <v>16.332999999999991</v>
      </c>
      <c r="AJ598" s="403">
        <v>62.110999999999997</v>
      </c>
      <c r="AK598" s="118"/>
      <c r="AL598" s="118"/>
      <c r="AM598" s="118"/>
      <c r="AN598" s="118"/>
      <c r="AO598" s="401"/>
      <c r="AP598" s="118"/>
      <c r="AQ598" s="118"/>
      <c r="AR598" s="118"/>
      <c r="AS598" s="118"/>
      <c r="AT598" s="401"/>
      <c r="AU598" s="118"/>
      <c r="AV598" s="118"/>
      <c r="AW598" s="118"/>
      <c r="AX598" s="118"/>
      <c r="AY598" s="401"/>
      <c r="AZ598" s="118"/>
      <c r="BA598" s="118"/>
      <c r="BB598" s="118"/>
      <c r="BC598" s="118"/>
      <c r="BD598" s="401"/>
      <c r="BE598" s="118"/>
      <c r="BF598" s="118"/>
      <c r="BG598" s="118"/>
      <c r="BH598" s="118"/>
      <c r="BI598" s="401"/>
      <c r="BJ598" s="971"/>
      <c r="BK598" s="118"/>
      <c r="BL598" s="118"/>
      <c r="BM598" s="118"/>
      <c r="BN598" s="401"/>
      <c r="BO598" s="118"/>
      <c r="BP598" s="118"/>
      <c r="BQ598" s="118"/>
      <c r="BR598" s="118"/>
      <c r="BS598" s="401"/>
      <c r="BT598" s="401"/>
      <c r="BU598" s="401"/>
      <c r="BV598" s="401"/>
      <c r="BW598" s="122"/>
    </row>
    <row r="599" spans="1:75" s="198" customFormat="1" ht="14.25" hidden="1" outlineLevel="3" x14ac:dyDescent="0.45">
      <c r="A599" s="192" t="s">
        <v>2054</v>
      </c>
      <c r="B599" s="495"/>
      <c r="C599" s="518">
        <f t="shared" ref="C599:AJ599" si="886">SUM(C596:C598)</f>
        <v>72.263000000000005</v>
      </c>
      <c r="D599" s="518">
        <f t="shared" si="886"/>
        <v>61.905999999999999</v>
      </c>
      <c r="E599" s="518">
        <f t="shared" si="886"/>
        <v>130.35300000000001</v>
      </c>
      <c r="F599" s="518">
        <f t="shared" si="886"/>
        <v>205.404</v>
      </c>
      <c r="G599" s="327">
        <f t="shared" si="886"/>
        <v>47.444000000000003</v>
      </c>
      <c r="H599" s="327">
        <f t="shared" si="886"/>
        <v>50.332999999999998</v>
      </c>
      <c r="I599" s="327">
        <f t="shared" si="886"/>
        <v>47.458999999999996</v>
      </c>
      <c r="J599" s="327">
        <f t="shared" si="886"/>
        <v>48.717000000000013</v>
      </c>
      <c r="K599" s="518">
        <f t="shared" si="886"/>
        <v>193.95300000000003</v>
      </c>
      <c r="L599" s="327">
        <f t="shared" si="886"/>
        <v>38.119</v>
      </c>
      <c r="M599" s="327">
        <f t="shared" si="886"/>
        <v>45.4</v>
      </c>
      <c r="N599" s="327">
        <f t="shared" si="886"/>
        <v>48.150999999999996</v>
      </c>
      <c r="O599" s="327">
        <f t="shared" si="886"/>
        <v>73.13</v>
      </c>
      <c r="P599" s="518">
        <f t="shared" si="886"/>
        <v>204.8</v>
      </c>
      <c r="Q599" s="327">
        <f t="shared" si="886"/>
        <v>40.384</v>
      </c>
      <c r="R599" s="327">
        <f t="shared" si="886"/>
        <v>46.465000000000003</v>
      </c>
      <c r="S599" s="327">
        <f t="shared" si="886"/>
        <v>49.22</v>
      </c>
      <c r="T599" s="327">
        <f t="shared" si="886"/>
        <v>66.866</v>
      </c>
      <c r="U599" s="518">
        <f t="shared" si="886"/>
        <v>202.935</v>
      </c>
      <c r="V599" s="327">
        <f t="shared" si="886"/>
        <v>28.149000000000001</v>
      </c>
      <c r="W599" s="327">
        <f t="shared" si="886"/>
        <v>49.727999999999994</v>
      </c>
      <c r="X599" s="327">
        <f t="shared" si="886"/>
        <v>49.292000000000002</v>
      </c>
      <c r="Y599" s="327">
        <f t="shared" si="886"/>
        <v>70.24499999999999</v>
      </c>
      <c r="Z599" s="518">
        <f t="shared" si="886"/>
        <v>197.41399999999999</v>
      </c>
      <c r="AA599" s="327">
        <f t="shared" si="886"/>
        <v>32.152999999999999</v>
      </c>
      <c r="AB599" s="327">
        <f t="shared" si="886"/>
        <v>50.573999999999998</v>
      </c>
      <c r="AC599" s="327">
        <f t="shared" si="886"/>
        <v>53.094000000000001</v>
      </c>
      <c r="AD599" s="327">
        <f t="shared" si="886"/>
        <v>53.890999999999991</v>
      </c>
      <c r="AE599" s="518">
        <f t="shared" si="886"/>
        <v>189.71199999999999</v>
      </c>
      <c r="AF599" s="327">
        <f t="shared" si="886"/>
        <v>34.028999999999996</v>
      </c>
      <c r="AG599" s="327">
        <f t="shared" si="886"/>
        <v>45.992000000000004</v>
      </c>
      <c r="AH599" s="327">
        <f t="shared" si="886"/>
        <v>48.305000000000007</v>
      </c>
      <c r="AI599" s="327">
        <f t="shared" si="886"/>
        <v>61.776000000000003</v>
      </c>
      <c r="AJ599" s="518">
        <f t="shared" si="886"/>
        <v>190.102</v>
      </c>
      <c r="AK599" s="327"/>
      <c r="AL599" s="327"/>
      <c r="AM599" s="327"/>
      <c r="AN599" s="327"/>
      <c r="AO599" s="518"/>
      <c r="AP599" s="327"/>
      <c r="AQ599" s="327"/>
      <c r="AR599" s="327"/>
      <c r="AS599" s="327"/>
      <c r="AT599" s="518"/>
      <c r="AU599" s="327"/>
      <c r="AV599" s="327"/>
      <c r="AW599" s="327"/>
      <c r="AX599" s="327"/>
      <c r="AY599" s="518"/>
      <c r="AZ599" s="327"/>
      <c r="BA599" s="327"/>
      <c r="BB599" s="327"/>
      <c r="BC599" s="327"/>
      <c r="BD599" s="518"/>
      <c r="BE599" s="327"/>
      <c r="BF599" s="327"/>
      <c r="BG599" s="327"/>
      <c r="BH599" s="327"/>
      <c r="BI599" s="518"/>
      <c r="BJ599" s="1026"/>
      <c r="BK599" s="327"/>
      <c r="BL599" s="327"/>
      <c r="BM599" s="327"/>
      <c r="BN599" s="518"/>
      <c r="BO599" s="327"/>
      <c r="BP599" s="327"/>
      <c r="BQ599" s="327"/>
      <c r="BR599" s="327"/>
      <c r="BS599" s="518"/>
      <c r="BT599" s="518"/>
      <c r="BU599" s="518"/>
      <c r="BV599" s="518"/>
      <c r="BW599" s="197"/>
    </row>
    <row r="600" spans="1:75" s="198" customFormat="1" ht="14.25" hidden="1" outlineLevel="2" collapsed="1" x14ac:dyDescent="0.45">
      <c r="A600" s="206"/>
      <c r="B600" s="485"/>
      <c r="C600" s="397"/>
      <c r="D600" s="397"/>
      <c r="E600" s="397"/>
      <c r="F600" s="397"/>
      <c r="G600" s="295"/>
      <c r="H600" s="295"/>
      <c r="I600" s="295"/>
      <c r="J600" s="295"/>
      <c r="K600" s="397"/>
      <c r="L600" s="295"/>
      <c r="M600" s="295"/>
      <c r="N600" s="295"/>
      <c r="O600" s="295"/>
      <c r="P600" s="397"/>
      <c r="Q600" s="295"/>
      <c r="R600" s="295"/>
      <c r="S600" s="295"/>
      <c r="T600" s="295"/>
      <c r="U600" s="397"/>
      <c r="V600" s="295"/>
      <c r="W600" s="295"/>
      <c r="X600" s="295"/>
      <c r="Y600" s="295"/>
      <c r="Z600" s="397"/>
      <c r="AA600" s="295"/>
      <c r="AB600" s="295"/>
      <c r="AC600" s="295"/>
      <c r="AD600" s="295"/>
      <c r="AE600" s="397"/>
      <c r="AF600" s="295"/>
      <c r="AG600" s="295"/>
      <c r="AH600" s="295"/>
      <c r="AI600" s="295"/>
      <c r="AJ600" s="397"/>
      <c r="AK600" s="295"/>
      <c r="AL600" s="295"/>
      <c r="AM600" s="295"/>
      <c r="AN600" s="295"/>
      <c r="AO600" s="397"/>
      <c r="AP600" s="295"/>
      <c r="AQ600" s="295"/>
      <c r="AR600" s="295"/>
      <c r="AS600" s="295"/>
      <c r="AT600" s="397"/>
      <c r="AU600" s="295"/>
      <c r="AV600" s="295"/>
      <c r="AW600" s="295"/>
      <c r="AX600" s="295"/>
      <c r="AY600" s="397"/>
      <c r="AZ600" s="295"/>
      <c r="BA600" s="295"/>
      <c r="BB600" s="295"/>
      <c r="BC600" s="295"/>
      <c r="BD600" s="397"/>
      <c r="BE600" s="295"/>
      <c r="BF600" s="295"/>
      <c r="BG600" s="295"/>
      <c r="BH600" s="295"/>
      <c r="BI600" s="397"/>
      <c r="BJ600" s="1030"/>
      <c r="BK600" s="295"/>
      <c r="BL600" s="295"/>
      <c r="BM600" s="295"/>
      <c r="BN600" s="397"/>
      <c r="BO600" s="295"/>
      <c r="BP600" s="295"/>
      <c r="BQ600" s="295"/>
      <c r="BR600" s="295"/>
      <c r="BS600" s="397"/>
      <c r="BT600" s="397"/>
      <c r="BU600" s="397"/>
      <c r="BV600" s="397"/>
      <c r="BW600" s="197"/>
    </row>
    <row r="601" spans="1:75" s="198" customFormat="1" ht="14.25" hidden="1" outlineLevel="2" x14ac:dyDescent="0.45">
      <c r="A601" s="239" t="s">
        <v>2055</v>
      </c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  <c r="AA601" s="239"/>
      <c r="AB601" s="239"/>
      <c r="AC601" s="239"/>
      <c r="AD601" s="239"/>
      <c r="AE601" s="239"/>
      <c r="AF601" s="239"/>
      <c r="AG601" s="239"/>
      <c r="AH601" s="239"/>
      <c r="AI601" s="239"/>
      <c r="AJ601" s="239"/>
      <c r="AK601" s="239"/>
      <c r="AL601" s="239"/>
      <c r="AM601" s="239"/>
      <c r="AN601" s="239"/>
      <c r="AO601" s="239"/>
      <c r="AP601" s="239"/>
      <c r="AQ601" s="239"/>
      <c r="AR601" s="239"/>
      <c r="AS601" s="239"/>
      <c r="AT601" s="239"/>
      <c r="AU601" s="239"/>
      <c r="AV601" s="239"/>
      <c r="AW601" s="239"/>
      <c r="AX601" s="239"/>
      <c r="AY601" s="239"/>
      <c r="AZ601" s="239"/>
      <c r="BA601" s="239"/>
      <c r="BB601" s="239"/>
      <c r="BC601" s="239"/>
      <c r="BD601" s="239"/>
      <c r="BE601" s="239"/>
      <c r="BF601" s="239"/>
      <c r="BG601" s="239"/>
      <c r="BH601" s="239"/>
      <c r="BI601" s="239"/>
      <c r="BJ601" s="241"/>
      <c r="BK601" s="239"/>
      <c r="BL601" s="239"/>
      <c r="BM601" s="239"/>
      <c r="BN601" s="239"/>
      <c r="BO601" s="239"/>
      <c r="BP601" s="239"/>
      <c r="BQ601" s="239"/>
      <c r="BR601" s="239"/>
      <c r="BS601" s="239"/>
      <c r="BT601" s="239"/>
      <c r="BU601" s="239"/>
      <c r="BV601" s="239"/>
      <c r="BW601" s="197"/>
    </row>
    <row r="602" spans="1:75" s="123" customFormat="1" hidden="1" outlineLevel="2" x14ac:dyDescent="0.5">
      <c r="A602" s="184" t="s">
        <v>2056</v>
      </c>
      <c r="B602" s="489"/>
      <c r="C602" s="403">
        <v>258.18799999999999</v>
      </c>
      <c r="D602" s="403">
        <v>288.08</v>
      </c>
      <c r="E602" s="403">
        <v>340.57299999999998</v>
      </c>
      <c r="F602" s="403">
        <v>397.28500000000003</v>
      </c>
      <c r="G602" s="302">
        <v>417.40899999999999</v>
      </c>
      <c r="H602" s="302">
        <v>470.79199999999997</v>
      </c>
      <c r="I602" s="302">
        <v>540.53399999999999</v>
      </c>
      <c r="J602" s="118">
        <f t="shared" ref="J602:T604" si="887">K602</f>
        <v>517.08600000000001</v>
      </c>
      <c r="K602" s="403">
        <v>517.08600000000001</v>
      </c>
      <c r="L602" s="302">
        <v>547.077</v>
      </c>
      <c r="M602" s="302">
        <v>588.23400000000004</v>
      </c>
      <c r="N602" s="302">
        <v>623.67399999999998</v>
      </c>
      <c r="O602" s="118">
        <f t="shared" si="887"/>
        <v>600.50300000000004</v>
      </c>
      <c r="P602" s="403">
        <v>600.50300000000004</v>
      </c>
      <c r="Q602" s="302">
        <v>610.976</v>
      </c>
      <c r="R602" s="302">
        <v>658.803</v>
      </c>
      <c r="S602" s="302">
        <v>666.99300000000005</v>
      </c>
      <c r="T602" s="118">
        <f t="shared" si="887"/>
        <v>625.95100000000002</v>
      </c>
      <c r="U602" s="403">
        <v>625.95100000000002</v>
      </c>
      <c r="V602" s="302">
        <v>600.053</v>
      </c>
      <c r="W602" s="302">
        <v>627.53200000000004</v>
      </c>
      <c r="X602" s="302">
        <v>664.10500000000002</v>
      </c>
      <c r="Y602" s="118">
        <f t="shared" ref="Y602:Y604" si="888">Z602</f>
        <v>614.21299999999997</v>
      </c>
      <c r="Z602" s="403">
        <v>614.21299999999997</v>
      </c>
      <c r="AA602" s="302">
        <v>653.89800000000002</v>
      </c>
      <c r="AB602" s="302">
        <v>672.52200000000005</v>
      </c>
      <c r="AC602" s="302">
        <v>732.84199999999998</v>
      </c>
      <c r="AD602" s="118">
        <f t="shared" ref="AD602:AD604" si="889">AE602</f>
        <v>776.56899999999996</v>
      </c>
      <c r="AE602" s="403">
        <v>776.56899999999996</v>
      </c>
      <c r="AF602" s="302">
        <v>770.18700000000001</v>
      </c>
      <c r="AG602" s="302">
        <v>801.25300000000004</v>
      </c>
      <c r="AH602" s="302">
        <v>874.25900000000001</v>
      </c>
      <c r="AI602" s="118">
        <f t="shared" ref="AI602:AI604" si="890">AJ602</f>
        <v>914.452</v>
      </c>
      <c r="AJ602" s="403">
        <v>914.452</v>
      </c>
      <c r="AK602" s="118"/>
      <c r="AL602" s="118"/>
      <c r="AM602" s="118"/>
      <c r="AN602" s="118"/>
      <c r="AO602" s="401"/>
      <c r="AP602" s="118"/>
      <c r="AQ602" s="118"/>
      <c r="AR602" s="118"/>
      <c r="AS602" s="118"/>
      <c r="AT602" s="401"/>
      <c r="AU602" s="118"/>
      <c r="AV602" s="118"/>
      <c r="AW602" s="118"/>
      <c r="AX602" s="118"/>
      <c r="AY602" s="401"/>
      <c r="AZ602" s="118"/>
      <c r="BA602" s="118"/>
      <c r="BB602" s="118"/>
      <c r="BC602" s="118"/>
      <c r="BD602" s="401"/>
      <c r="BE602" s="118"/>
      <c r="BF602" s="118"/>
      <c r="BG602" s="118"/>
      <c r="BH602" s="118"/>
      <c r="BI602" s="401"/>
      <c r="BJ602" s="971"/>
      <c r="BK602" s="118"/>
      <c r="BL602" s="118"/>
      <c r="BM602" s="118"/>
      <c r="BN602" s="401"/>
      <c r="BO602" s="118"/>
      <c r="BP602" s="118"/>
      <c r="BQ602" s="118"/>
      <c r="BR602" s="118"/>
      <c r="BS602" s="401"/>
      <c r="BT602" s="401"/>
      <c r="BU602" s="401"/>
      <c r="BV602" s="401"/>
      <c r="BW602" s="122"/>
    </row>
    <row r="603" spans="1:75" s="123" customFormat="1" hidden="1" outlineLevel="2" x14ac:dyDescent="0.5">
      <c r="A603" s="184" t="s">
        <v>2057</v>
      </c>
      <c r="B603" s="489"/>
      <c r="C603" s="403">
        <v>900.57399999999996</v>
      </c>
      <c r="D603" s="403">
        <v>857.75</v>
      </c>
      <c r="E603" s="403">
        <v>859.87900000000002</v>
      </c>
      <c r="F603" s="403">
        <v>939.67200000000003</v>
      </c>
      <c r="G603" s="302">
        <v>905.37800000000004</v>
      </c>
      <c r="H603" s="302">
        <v>937.72</v>
      </c>
      <c r="I603" s="302">
        <v>1034.4760000000001</v>
      </c>
      <c r="J603" s="118">
        <f t="shared" si="887"/>
        <v>975.99400000000003</v>
      </c>
      <c r="K603" s="403">
        <v>975.99400000000003</v>
      </c>
      <c r="L603" s="302">
        <v>988.65899999999999</v>
      </c>
      <c r="M603" s="302">
        <v>974.47400000000005</v>
      </c>
      <c r="N603" s="302">
        <v>1087.683</v>
      </c>
      <c r="O603" s="118">
        <f t="shared" si="887"/>
        <v>1028.2929999999999</v>
      </c>
      <c r="P603" s="403">
        <v>1028.2929999999999</v>
      </c>
      <c r="Q603" s="302">
        <v>1053.039</v>
      </c>
      <c r="R603" s="302">
        <v>1101.441</v>
      </c>
      <c r="S603" s="302">
        <v>1151.6569999999999</v>
      </c>
      <c r="T603" s="118">
        <f t="shared" si="887"/>
        <v>1049.8920000000001</v>
      </c>
      <c r="U603" s="403">
        <v>1049.8920000000001</v>
      </c>
      <c r="V603" s="302">
        <v>1039.58</v>
      </c>
      <c r="W603" s="302">
        <v>1051.184</v>
      </c>
      <c r="X603" s="302">
        <v>1118.913</v>
      </c>
      <c r="Y603" s="118">
        <f t="shared" si="888"/>
        <v>1077.5930000000001</v>
      </c>
      <c r="Z603" s="403">
        <v>1077.5930000000001</v>
      </c>
      <c r="AA603" s="302">
        <v>1067.1690000000001</v>
      </c>
      <c r="AB603" s="302">
        <v>1129.925</v>
      </c>
      <c r="AC603" s="302">
        <v>1156.117</v>
      </c>
      <c r="AD603" s="118">
        <f t="shared" si="889"/>
        <v>1114.7260000000001</v>
      </c>
      <c r="AE603" s="403">
        <v>1114.7260000000001</v>
      </c>
      <c r="AF603" s="302">
        <v>1115.6959999999999</v>
      </c>
      <c r="AG603" s="302">
        <v>1116.904</v>
      </c>
      <c r="AH603" s="302">
        <v>1156.075</v>
      </c>
      <c r="AI603" s="118">
        <f t="shared" si="890"/>
        <v>1183.604</v>
      </c>
      <c r="AJ603" s="403">
        <v>1183.604</v>
      </c>
      <c r="AK603" s="118"/>
      <c r="AL603" s="118"/>
      <c r="AM603" s="118"/>
      <c r="AN603" s="118"/>
      <c r="AO603" s="401"/>
      <c r="AP603" s="118"/>
      <c r="AQ603" s="118"/>
      <c r="AR603" s="118"/>
      <c r="AS603" s="118"/>
      <c r="AT603" s="401"/>
      <c r="AU603" s="118"/>
      <c r="AV603" s="118"/>
      <c r="AW603" s="118"/>
      <c r="AX603" s="118"/>
      <c r="AY603" s="401"/>
      <c r="AZ603" s="118"/>
      <c r="BA603" s="118"/>
      <c r="BB603" s="118"/>
      <c r="BC603" s="118"/>
      <c r="BD603" s="401"/>
      <c r="BE603" s="118"/>
      <c r="BF603" s="118"/>
      <c r="BG603" s="118"/>
      <c r="BH603" s="118"/>
      <c r="BI603" s="401"/>
      <c r="BJ603" s="971"/>
      <c r="BK603" s="118"/>
      <c r="BL603" s="118"/>
      <c r="BM603" s="118"/>
      <c r="BN603" s="401"/>
      <c r="BO603" s="118"/>
      <c r="BP603" s="118"/>
      <c r="BQ603" s="118"/>
      <c r="BR603" s="118"/>
      <c r="BS603" s="401"/>
      <c r="BT603" s="401"/>
      <c r="BU603" s="401"/>
      <c r="BV603" s="401"/>
      <c r="BW603" s="122"/>
    </row>
    <row r="604" spans="1:75" s="123" customFormat="1" hidden="1" outlineLevel="2" x14ac:dyDescent="0.5">
      <c r="A604" s="184" t="s">
        <v>2058</v>
      </c>
      <c r="B604" s="489"/>
      <c r="C604" s="403">
        <v>920.40700000000004</v>
      </c>
      <c r="D604" s="403">
        <v>985.93200000000002</v>
      </c>
      <c r="E604" s="403">
        <v>860.38599999999997</v>
      </c>
      <c r="F604" s="403">
        <v>850.72199999999998</v>
      </c>
      <c r="G604" s="302">
        <v>740.43200000000002</v>
      </c>
      <c r="H604" s="302">
        <v>715.66600000000005</v>
      </c>
      <c r="I604" s="302">
        <v>651.43200000000002</v>
      </c>
      <c r="J604" s="118">
        <f t="shared" si="887"/>
        <v>843.654</v>
      </c>
      <c r="K604" s="403">
        <v>843.654</v>
      </c>
      <c r="L604" s="302">
        <v>632.36400000000003</v>
      </c>
      <c r="M604" s="302">
        <v>600.84</v>
      </c>
      <c r="N604" s="302">
        <v>592.59</v>
      </c>
      <c r="O604" s="118">
        <f t="shared" si="887"/>
        <v>701.48099999999999</v>
      </c>
      <c r="P604" s="403">
        <v>701.48099999999999</v>
      </c>
      <c r="Q604" s="302">
        <v>587.07399999999996</v>
      </c>
      <c r="R604" s="302">
        <v>635.72699999999998</v>
      </c>
      <c r="S604" s="302">
        <v>617.02599999999995</v>
      </c>
      <c r="T604" s="118">
        <f t="shared" si="887"/>
        <v>741.58399999999995</v>
      </c>
      <c r="U604" s="403">
        <v>741.58399999999995</v>
      </c>
      <c r="V604" s="302">
        <v>650.73500000000001</v>
      </c>
      <c r="W604" s="302">
        <v>694.84799999999996</v>
      </c>
      <c r="X604" s="302">
        <v>670.31399999999996</v>
      </c>
      <c r="Y604" s="118">
        <f t="shared" si="888"/>
        <v>785.07299999999998</v>
      </c>
      <c r="Z604" s="403">
        <v>785.07299999999998</v>
      </c>
      <c r="AA604" s="302">
        <v>670.11</v>
      </c>
      <c r="AB604" s="302">
        <v>677.41300000000001</v>
      </c>
      <c r="AC604" s="302">
        <v>691.42499999999995</v>
      </c>
      <c r="AD604" s="118">
        <f t="shared" si="889"/>
        <v>894.45399999999995</v>
      </c>
      <c r="AE604" s="403">
        <v>894.45399999999995</v>
      </c>
      <c r="AF604" s="302">
        <v>771.02200000000005</v>
      </c>
      <c r="AG604" s="302">
        <v>689.82</v>
      </c>
      <c r="AH604" s="302">
        <v>688.42499999999995</v>
      </c>
      <c r="AI604" s="118">
        <f t="shared" si="890"/>
        <v>714.78800000000001</v>
      </c>
      <c r="AJ604" s="403">
        <v>714.78800000000001</v>
      </c>
      <c r="AK604" s="118"/>
      <c r="AL604" s="118"/>
      <c r="AM604" s="118"/>
      <c r="AN604" s="118"/>
      <c r="AO604" s="401"/>
      <c r="AP604" s="118"/>
      <c r="AQ604" s="118"/>
      <c r="AR604" s="118"/>
      <c r="AS604" s="118"/>
      <c r="AT604" s="401"/>
      <c r="AU604" s="118"/>
      <c r="AV604" s="118"/>
      <c r="AW604" s="118"/>
      <c r="AX604" s="118"/>
      <c r="AY604" s="401"/>
      <c r="AZ604" s="118"/>
      <c r="BA604" s="118"/>
      <c r="BB604" s="118"/>
      <c r="BC604" s="118"/>
      <c r="BD604" s="401"/>
      <c r="BE604" s="118"/>
      <c r="BF604" s="118"/>
      <c r="BG604" s="118"/>
      <c r="BH604" s="118"/>
      <c r="BI604" s="401"/>
      <c r="BJ604" s="971"/>
      <c r="BK604" s="118"/>
      <c r="BL604" s="118"/>
      <c r="BM604" s="118"/>
      <c r="BN604" s="401"/>
      <c r="BO604" s="118"/>
      <c r="BP604" s="118"/>
      <c r="BQ604" s="118"/>
      <c r="BR604" s="118"/>
      <c r="BS604" s="401"/>
      <c r="BT604" s="401"/>
      <c r="BU604" s="401"/>
      <c r="BV604" s="401"/>
      <c r="BW604" s="122"/>
    </row>
    <row r="605" spans="1:75" s="198" customFormat="1" ht="14.25" hidden="1" outlineLevel="2" x14ac:dyDescent="0.45">
      <c r="A605" s="192" t="s">
        <v>981</v>
      </c>
      <c r="B605" s="495"/>
      <c r="C605" s="518">
        <f t="shared" ref="C605:AJ605" si="891">SUM(C602:C604)</f>
        <v>2079.1689999999999</v>
      </c>
      <c r="D605" s="518">
        <f t="shared" si="891"/>
        <v>2131.7619999999997</v>
      </c>
      <c r="E605" s="518">
        <f t="shared" si="891"/>
        <v>2060.8379999999997</v>
      </c>
      <c r="F605" s="518">
        <f t="shared" si="891"/>
        <v>2187.6790000000001</v>
      </c>
      <c r="G605" s="327">
        <f t="shared" si="891"/>
        <v>2063.2190000000001</v>
      </c>
      <c r="H605" s="327">
        <f t="shared" si="891"/>
        <v>2124.1779999999999</v>
      </c>
      <c r="I605" s="327">
        <f t="shared" si="891"/>
        <v>2226.442</v>
      </c>
      <c r="J605" s="327">
        <f t="shared" si="891"/>
        <v>2336.7339999999999</v>
      </c>
      <c r="K605" s="518">
        <f t="shared" si="891"/>
        <v>2336.7339999999999</v>
      </c>
      <c r="L605" s="327">
        <f t="shared" si="891"/>
        <v>2168.1</v>
      </c>
      <c r="M605" s="327">
        <f t="shared" si="891"/>
        <v>2163.5480000000002</v>
      </c>
      <c r="N605" s="327">
        <f t="shared" si="891"/>
        <v>2303.9470000000001</v>
      </c>
      <c r="O605" s="327">
        <f t="shared" si="891"/>
        <v>2330.277</v>
      </c>
      <c r="P605" s="518">
        <f t="shared" si="891"/>
        <v>2330.277</v>
      </c>
      <c r="Q605" s="327">
        <f t="shared" si="891"/>
        <v>2251.0889999999999</v>
      </c>
      <c r="R605" s="327">
        <f t="shared" si="891"/>
        <v>2395.971</v>
      </c>
      <c r="S605" s="327">
        <f t="shared" si="891"/>
        <v>2435.6759999999999</v>
      </c>
      <c r="T605" s="327">
        <f t="shared" si="891"/>
        <v>2417.4270000000001</v>
      </c>
      <c r="U605" s="518">
        <f t="shared" si="891"/>
        <v>2417.4270000000001</v>
      </c>
      <c r="V605" s="327">
        <f t="shared" si="891"/>
        <v>2290.3679999999999</v>
      </c>
      <c r="W605" s="327">
        <f t="shared" si="891"/>
        <v>2373.5639999999999</v>
      </c>
      <c r="X605" s="327">
        <f t="shared" si="891"/>
        <v>2453.3319999999999</v>
      </c>
      <c r="Y605" s="327">
        <f t="shared" si="891"/>
        <v>2476.8789999999999</v>
      </c>
      <c r="Z605" s="518">
        <f t="shared" si="891"/>
        <v>2476.8789999999999</v>
      </c>
      <c r="AA605" s="327">
        <f t="shared" si="891"/>
        <v>2391.1770000000001</v>
      </c>
      <c r="AB605" s="327">
        <f t="shared" si="891"/>
        <v>2479.86</v>
      </c>
      <c r="AC605" s="327">
        <f t="shared" si="891"/>
        <v>2580.384</v>
      </c>
      <c r="AD605" s="327">
        <f t="shared" si="891"/>
        <v>2785.7489999999998</v>
      </c>
      <c r="AE605" s="518">
        <f t="shared" si="891"/>
        <v>2785.7489999999998</v>
      </c>
      <c r="AF605" s="327">
        <f t="shared" si="891"/>
        <v>2656.9049999999997</v>
      </c>
      <c r="AG605" s="327">
        <f t="shared" si="891"/>
        <v>2607.9770000000003</v>
      </c>
      <c r="AH605" s="327">
        <f t="shared" si="891"/>
        <v>2718.759</v>
      </c>
      <c r="AI605" s="327">
        <f t="shared" si="891"/>
        <v>2812.8440000000001</v>
      </c>
      <c r="AJ605" s="518">
        <f t="shared" si="891"/>
        <v>2812.8440000000001</v>
      </c>
      <c r="AK605" s="327"/>
      <c r="AL605" s="327"/>
      <c r="AM605" s="327"/>
      <c r="AN605" s="327"/>
      <c r="AO605" s="518"/>
      <c r="AP605" s="327"/>
      <c r="AQ605" s="327"/>
      <c r="AR605" s="327"/>
      <c r="AS605" s="327"/>
      <c r="AT605" s="518"/>
      <c r="AU605" s="327"/>
      <c r="AV605" s="327"/>
      <c r="AW605" s="327"/>
      <c r="AX605" s="327"/>
      <c r="AY605" s="518"/>
      <c r="AZ605" s="327"/>
      <c r="BA605" s="327"/>
      <c r="BB605" s="327"/>
      <c r="BC605" s="327"/>
      <c r="BD605" s="518"/>
      <c r="BE605" s="327"/>
      <c r="BF605" s="327"/>
      <c r="BG605" s="327"/>
      <c r="BH605" s="327"/>
      <c r="BI605" s="518"/>
      <c r="BJ605" s="1026"/>
      <c r="BK605" s="327"/>
      <c r="BL605" s="327"/>
      <c r="BM605" s="327"/>
      <c r="BN605" s="518"/>
      <c r="BO605" s="327"/>
      <c r="BP605" s="327"/>
      <c r="BQ605" s="327"/>
      <c r="BR605" s="327"/>
      <c r="BS605" s="518"/>
      <c r="BT605" s="518"/>
      <c r="BU605" s="518"/>
      <c r="BV605" s="518"/>
      <c r="BW605" s="197"/>
    </row>
    <row r="606" spans="1:75" s="198" customFormat="1" ht="14.25" hidden="1" outlineLevel="1" collapsed="1" x14ac:dyDescent="0.45">
      <c r="A606" s="206"/>
      <c r="B606" s="485"/>
      <c r="C606" s="397"/>
      <c r="D606" s="397"/>
      <c r="E606" s="397"/>
      <c r="F606" s="397"/>
      <c r="G606" s="295"/>
      <c r="H606" s="295"/>
      <c r="I606" s="295"/>
      <c r="J606" s="295"/>
      <c r="K606" s="397"/>
      <c r="L606" s="295"/>
      <c r="M606" s="295"/>
      <c r="N606" s="295"/>
      <c r="O606" s="295"/>
      <c r="P606" s="397"/>
      <c r="Q606" s="295"/>
      <c r="R606" s="295"/>
      <c r="S606" s="295"/>
      <c r="T606" s="295"/>
      <c r="U606" s="397"/>
      <c r="V606" s="295"/>
      <c r="W606" s="295"/>
      <c r="X606" s="295"/>
      <c r="Y606" s="295"/>
      <c r="Z606" s="397"/>
      <c r="AA606" s="295"/>
      <c r="AB606" s="295"/>
      <c r="AC606" s="295"/>
      <c r="AD606" s="295"/>
      <c r="AE606" s="397"/>
      <c r="AF606" s="295"/>
      <c r="AG606" s="295"/>
      <c r="AH606" s="295"/>
      <c r="AI606" s="295"/>
      <c r="AJ606" s="397"/>
      <c r="AK606" s="295"/>
      <c r="AL606" s="295"/>
      <c r="AM606" s="295"/>
      <c r="AN606" s="295"/>
      <c r="AO606" s="397"/>
      <c r="AP606" s="295"/>
      <c r="AQ606" s="295"/>
      <c r="AR606" s="295"/>
      <c r="AS606" s="295"/>
      <c r="AT606" s="397"/>
      <c r="AU606" s="295"/>
      <c r="AV606" s="295"/>
      <c r="AW606" s="295"/>
      <c r="AX606" s="295"/>
      <c r="AY606" s="397"/>
      <c r="AZ606" s="295"/>
      <c r="BA606" s="295"/>
      <c r="BB606" s="295"/>
      <c r="BC606" s="295"/>
      <c r="BD606" s="397"/>
      <c r="BE606" s="295"/>
      <c r="BF606" s="295"/>
      <c r="BG606" s="295"/>
      <c r="BH606" s="295"/>
      <c r="BI606" s="397"/>
      <c r="BJ606" s="1030"/>
      <c r="BK606" s="295"/>
      <c r="BL606" s="295"/>
      <c r="BM606" s="295"/>
      <c r="BN606" s="397"/>
      <c r="BO606" s="295"/>
      <c r="BP606" s="295"/>
      <c r="BQ606" s="295"/>
      <c r="BR606" s="295"/>
      <c r="BS606" s="397"/>
      <c r="BT606" s="397"/>
      <c r="BU606" s="397"/>
      <c r="BV606" s="397"/>
      <c r="BW606" s="197"/>
    </row>
    <row r="607" spans="1:75" s="198" customFormat="1" ht="14.25" hidden="1" outlineLevel="1" x14ac:dyDescent="0.45">
      <c r="A607" s="239" t="s">
        <v>2059</v>
      </c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  <c r="AA607" s="239"/>
      <c r="AB607" s="239"/>
      <c r="AC607" s="239"/>
      <c r="AD607" s="239"/>
      <c r="AE607" s="239"/>
      <c r="AF607" s="239"/>
      <c r="AG607" s="239"/>
      <c r="AH607" s="239"/>
      <c r="AI607" s="239"/>
      <c r="AJ607" s="239"/>
      <c r="AK607" s="239"/>
      <c r="AL607" s="239"/>
      <c r="AM607" s="239"/>
      <c r="AN607" s="239"/>
      <c r="AO607" s="239"/>
      <c r="AP607" s="239"/>
      <c r="AQ607" s="239"/>
      <c r="AR607" s="239"/>
      <c r="AS607" s="239"/>
      <c r="AT607" s="239"/>
      <c r="AU607" s="239"/>
      <c r="AV607" s="239"/>
      <c r="AW607" s="239"/>
      <c r="AX607" s="239"/>
      <c r="AY607" s="239"/>
      <c r="AZ607" s="239"/>
      <c r="BA607" s="239"/>
      <c r="BB607" s="239"/>
      <c r="BC607" s="239"/>
      <c r="BD607" s="239"/>
      <c r="BE607" s="239"/>
      <c r="BF607" s="239"/>
      <c r="BG607" s="239"/>
      <c r="BH607" s="239"/>
      <c r="BI607" s="239"/>
      <c r="BJ607" s="241"/>
      <c r="BK607" s="239"/>
      <c r="BL607" s="239"/>
      <c r="BM607" s="239"/>
      <c r="BN607" s="239"/>
      <c r="BO607" s="239"/>
      <c r="BP607" s="239"/>
      <c r="BQ607" s="239"/>
      <c r="BR607" s="239"/>
      <c r="BS607" s="239"/>
      <c r="BT607" s="239"/>
      <c r="BU607" s="239"/>
      <c r="BV607" s="239"/>
      <c r="BW607" s="197"/>
    </row>
    <row r="608" spans="1:75" s="169" customFormat="1" ht="14.25" hidden="1" outlineLevel="1" x14ac:dyDescent="0.45">
      <c r="A608" s="558" t="s">
        <v>2060</v>
      </c>
      <c r="B608" s="1121"/>
      <c r="C608" s="1122">
        <v>28</v>
      </c>
      <c r="D608" s="1123">
        <f>C611</f>
        <v>29</v>
      </c>
      <c r="E608" s="1123">
        <f>D611</f>
        <v>18</v>
      </c>
      <c r="F608" s="840"/>
      <c r="G608" s="247"/>
      <c r="H608" s="247"/>
      <c r="I608" s="247"/>
      <c r="J608" s="247"/>
      <c r="K608" s="840"/>
      <c r="L608" s="247"/>
      <c r="M608" s="247"/>
      <c r="N608" s="247"/>
      <c r="O608" s="247"/>
      <c r="P608" s="840"/>
      <c r="Q608" s="247"/>
      <c r="R608" s="247"/>
      <c r="S608" s="247"/>
      <c r="T608" s="247"/>
      <c r="U608" s="840"/>
      <c r="V608" s="247"/>
      <c r="W608" s="247"/>
      <c r="X608" s="247"/>
      <c r="Y608" s="247"/>
      <c r="Z608" s="840"/>
      <c r="AA608" s="247"/>
      <c r="AB608" s="247"/>
      <c r="AC608" s="247"/>
      <c r="AD608" s="247"/>
      <c r="AE608" s="840"/>
      <c r="AF608" s="247"/>
      <c r="AG608" s="247"/>
      <c r="AH608" s="247"/>
      <c r="AI608" s="247"/>
      <c r="AJ608" s="840"/>
      <c r="AK608" s="247"/>
      <c r="AL608" s="247"/>
      <c r="AM608" s="247"/>
      <c r="AN608" s="247"/>
      <c r="AO608" s="840"/>
      <c r="AP608" s="247"/>
      <c r="AQ608" s="247"/>
      <c r="AR608" s="247"/>
      <c r="AS608" s="247"/>
      <c r="AT608" s="840"/>
      <c r="AU608" s="247"/>
      <c r="AV608" s="247"/>
      <c r="AW608" s="247"/>
      <c r="AX608" s="247"/>
      <c r="AY608" s="840"/>
      <c r="AZ608" s="247"/>
      <c r="BA608" s="247"/>
      <c r="BB608" s="247"/>
      <c r="BC608" s="247"/>
      <c r="BD608" s="840"/>
      <c r="BE608" s="247"/>
      <c r="BF608" s="247"/>
      <c r="BG608" s="247"/>
      <c r="BH608" s="247"/>
      <c r="BI608" s="840"/>
      <c r="BJ608" s="977"/>
      <c r="BK608" s="247"/>
      <c r="BL608" s="247"/>
      <c r="BM608" s="247"/>
      <c r="BN608" s="840"/>
      <c r="BO608" s="247"/>
      <c r="BP608" s="247"/>
      <c r="BQ608" s="247"/>
      <c r="BR608" s="247"/>
      <c r="BS608" s="840"/>
      <c r="BT608" s="840"/>
      <c r="BU608" s="840"/>
      <c r="BV608" s="840"/>
      <c r="BW608" s="168"/>
    </row>
    <row r="609" spans="1:75" s="224" customFormat="1" hidden="1" outlineLevel="1" x14ac:dyDescent="0.5">
      <c r="A609" s="533" t="s">
        <v>2061</v>
      </c>
      <c r="B609" s="494"/>
      <c r="C609" s="427">
        <f>1+1</f>
        <v>2</v>
      </c>
      <c r="D609" s="427">
        <v>2</v>
      </c>
      <c r="E609" s="427">
        <v>0</v>
      </c>
      <c r="F609" s="425"/>
      <c r="G609" s="487"/>
      <c r="H609" s="487"/>
      <c r="I609" s="487"/>
      <c r="J609" s="487"/>
      <c r="K609" s="425"/>
      <c r="L609" s="487"/>
      <c r="M609" s="487"/>
      <c r="N609" s="487"/>
      <c r="O609" s="487"/>
      <c r="P609" s="425"/>
      <c r="Q609" s="487"/>
      <c r="R609" s="487"/>
      <c r="S609" s="487"/>
      <c r="T609" s="487"/>
      <c r="U609" s="425"/>
      <c r="V609" s="487"/>
      <c r="W609" s="487"/>
      <c r="X609" s="487"/>
      <c r="Y609" s="487"/>
      <c r="Z609" s="425"/>
      <c r="AA609" s="487"/>
      <c r="AB609" s="487"/>
      <c r="AC609" s="487"/>
      <c r="AD609" s="487"/>
      <c r="AE609" s="425"/>
      <c r="AF609" s="487"/>
      <c r="AG609" s="487"/>
      <c r="AH609" s="487"/>
      <c r="AI609" s="487"/>
      <c r="AJ609" s="425"/>
      <c r="AK609" s="487"/>
      <c r="AL609" s="487"/>
      <c r="AM609" s="487"/>
      <c r="AN609" s="487"/>
      <c r="AO609" s="425"/>
      <c r="AP609" s="487"/>
      <c r="AQ609" s="487"/>
      <c r="AR609" s="487"/>
      <c r="AS609" s="487"/>
      <c r="AT609" s="425"/>
      <c r="AU609" s="487"/>
      <c r="AV609" s="487"/>
      <c r="AW609" s="487"/>
      <c r="AX609" s="487"/>
      <c r="AY609" s="425"/>
      <c r="AZ609" s="487"/>
      <c r="BA609" s="487"/>
      <c r="BB609" s="487"/>
      <c r="BC609" s="487"/>
      <c r="BD609" s="425"/>
      <c r="BE609" s="487"/>
      <c r="BF609" s="487"/>
      <c r="BG609" s="487"/>
      <c r="BH609" s="487"/>
      <c r="BI609" s="425"/>
      <c r="BJ609" s="981"/>
      <c r="BK609" s="487"/>
      <c r="BL609" s="487"/>
      <c r="BM609" s="487"/>
      <c r="BN609" s="425"/>
      <c r="BO609" s="487"/>
      <c r="BP609" s="487"/>
      <c r="BQ609" s="487"/>
      <c r="BR609" s="487"/>
      <c r="BS609" s="425"/>
      <c r="BT609" s="425"/>
      <c r="BU609" s="425"/>
      <c r="BV609" s="425"/>
      <c r="BW609" s="223"/>
    </row>
    <row r="610" spans="1:75" s="224" customFormat="1" hidden="1" outlineLevel="1" x14ac:dyDescent="0.5">
      <c r="A610" s="533" t="s">
        <v>2062</v>
      </c>
      <c r="B610" s="494"/>
      <c r="C610" s="427">
        <v>-1</v>
      </c>
      <c r="D610" s="427">
        <f>-11-1-1</f>
        <v>-13</v>
      </c>
      <c r="E610" s="427">
        <v>-18</v>
      </c>
      <c r="F610" s="425"/>
      <c r="G610" s="487"/>
      <c r="H610" s="487"/>
      <c r="I610" s="487"/>
      <c r="J610" s="487"/>
      <c r="K610" s="425"/>
      <c r="L610" s="487"/>
      <c r="M610" s="487"/>
      <c r="N610" s="487"/>
      <c r="O610" s="487"/>
      <c r="P610" s="425"/>
      <c r="Q610" s="487"/>
      <c r="R610" s="487"/>
      <c r="S610" s="487"/>
      <c r="T610" s="487"/>
      <c r="U610" s="425"/>
      <c r="V610" s="487"/>
      <c r="W610" s="487"/>
      <c r="X610" s="487"/>
      <c r="Y610" s="487"/>
      <c r="Z610" s="425"/>
      <c r="AA610" s="487"/>
      <c r="AB610" s="487"/>
      <c r="AC610" s="487"/>
      <c r="AD610" s="487"/>
      <c r="AE610" s="425"/>
      <c r="AF610" s="487"/>
      <c r="AG610" s="487"/>
      <c r="AH610" s="487"/>
      <c r="AI610" s="487"/>
      <c r="AJ610" s="425"/>
      <c r="AK610" s="487"/>
      <c r="AL610" s="487"/>
      <c r="AM610" s="487"/>
      <c r="AN610" s="487"/>
      <c r="AO610" s="425"/>
      <c r="AP610" s="487"/>
      <c r="AQ610" s="487"/>
      <c r="AR610" s="487"/>
      <c r="AS610" s="487"/>
      <c r="AT610" s="425"/>
      <c r="AU610" s="487"/>
      <c r="AV610" s="487"/>
      <c r="AW610" s="487"/>
      <c r="AX610" s="487"/>
      <c r="AY610" s="425"/>
      <c r="AZ610" s="487"/>
      <c r="BA610" s="487"/>
      <c r="BB610" s="487"/>
      <c r="BC610" s="487"/>
      <c r="BD610" s="425"/>
      <c r="BE610" s="487"/>
      <c r="BF610" s="487"/>
      <c r="BG610" s="487"/>
      <c r="BH610" s="487"/>
      <c r="BI610" s="425"/>
      <c r="BJ610" s="981"/>
      <c r="BK610" s="487"/>
      <c r="BL610" s="487"/>
      <c r="BM610" s="487"/>
      <c r="BN610" s="425"/>
      <c r="BO610" s="487"/>
      <c r="BP610" s="487"/>
      <c r="BQ610" s="487"/>
      <c r="BR610" s="487"/>
      <c r="BS610" s="425"/>
      <c r="BT610" s="425"/>
      <c r="BU610" s="425"/>
      <c r="BV610" s="425"/>
      <c r="BW610" s="223"/>
    </row>
    <row r="611" spans="1:75" s="169" customFormat="1" ht="14.25" hidden="1" outlineLevel="1" x14ac:dyDescent="0.45">
      <c r="A611" s="562" t="s">
        <v>2063</v>
      </c>
      <c r="B611" s="1127"/>
      <c r="C611" s="1165">
        <f>SUM(C608:C610)</f>
        <v>29</v>
      </c>
      <c r="D611" s="1165">
        <f>SUM(D608:D610)</f>
        <v>18</v>
      </c>
      <c r="E611" s="1165">
        <f>SUM(E608:E610)</f>
        <v>0</v>
      </c>
      <c r="F611" s="1128"/>
      <c r="G611" s="287"/>
      <c r="H611" s="287"/>
      <c r="I611" s="287"/>
      <c r="J611" s="287"/>
      <c r="K611" s="1128"/>
      <c r="L611" s="287"/>
      <c r="M611" s="287"/>
      <c r="N611" s="287"/>
      <c r="O611" s="287"/>
      <c r="P611" s="1128"/>
      <c r="Q611" s="287"/>
      <c r="R611" s="287"/>
      <c r="S611" s="287"/>
      <c r="T611" s="287"/>
      <c r="U611" s="1128"/>
      <c r="V611" s="287"/>
      <c r="W611" s="287"/>
      <c r="X611" s="287"/>
      <c r="Y611" s="287"/>
      <c r="Z611" s="1128"/>
      <c r="AA611" s="287"/>
      <c r="AB611" s="287"/>
      <c r="AC611" s="287"/>
      <c r="AD611" s="287"/>
      <c r="AE611" s="1128"/>
      <c r="AF611" s="287"/>
      <c r="AG611" s="287"/>
      <c r="AH611" s="287"/>
      <c r="AI611" s="287"/>
      <c r="AJ611" s="1128"/>
      <c r="AK611" s="287"/>
      <c r="AL611" s="287"/>
      <c r="AM611" s="287"/>
      <c r="AN611" s="287"/>
      <c r="AO611" s="1128"/>
      <c r="AP611" s="287"/>
      <c r="AQ611" s="287"/>
      <c r="AR611" s="287"/>
      <c r="AS611" s="287"/>
      <c r="AT611" s="1128"/>
      <c r="AU611" s="287"/>
      <c r="AV611" s="287"/>
      <c r="AW611" s="287"/>
      <c r="AX611" s="287"/>
      <c r="AY611" s="1128"/>
      <c r="AZ611" s="287"/>
      <c r="BA611" s="287"/>
      <c r="BB611" s="287"/>
      <c r="BC611" s="287"/>
      <c r="BD611" s="1128"/>
      <c r="BE611" s="287"/>
      <c r="BF611" s="287"/>
      <c r="BG611" s="287"/>
      <c r="BH611" s="287"/>
      <c r="BI611" s="1128"/>
      <c r="BJ611" s="1129"/>
      <c r="BK611" s="287"/>
      <c r="BL611" s="287"/>
      <c r="BM611" s="287"/>
      <c r="BN611" s="1128"/>
      <c r="BO611" s="287"/>
      <c r="BP611" s="287"/>
      <c r="BQ611" s="287"/>
      <c r="BR611" s="287"/>
      <c r="BS611" s="1128"/>
      <c r="BT611" s="1128"/>
      <c r="BU611" s="1128"/>
      <c r="BV611" s="1128"/>
      <c r="BW611" s="168"/>
    </row>
    <row r="612" spans="1:75" s="177" customFormat="1" ht="14.25" hidden="1" outlineLevel="1" x14ac:dyDescent="0.45">
      <c r="A612" s="170" t="s">
        <v>2064</v>
      </c>
      <c r="B612" s="491"/>
      <c r="C612" s="417"/>
      <c r="D612" s="1168">
        <f>D611/C611-1</f>
        <v>-0.37931034482758619</v>
      </c>
      <c r="E612" s="1168">
        <f>E611/D611-1</f>
        <v>-1</v>
      </c>
      <c r="F612" s="417"/>
      <c r="G612" s="378"/>
      <c r="H612" s="378"/>
      <c r="I612" s="378"/>
      <c r="J612" s="378"/>
      <c r="K612" s="417"/>
      <c r="L612" s="378"/>
      <c r="M612" s="378"/>
      <c r="N612" s="378"/>
      <c r="O612" s="378"/>
      <c r="P612" s="417"/>
      <c r="Q612" s="378"/>
      <c r="R612" s="378"/>
      <c r="S612" s="378"/>
      <c r="T612" s="378"/>
      <c r="U612" s="417"/>
      <c r="V612" s="378"/>
      <c r="W612" s="378"/>
      <c r="X612" s="378"/>
      <c r="Y612" s="378"/>
      <c r="Z612" s="417"/>
      <c r="AA612" s="378"/>
      <c r="AB612" s="378"/>
      <c r="AC612" s="378"/>
      <c r="AD612" s="378"/>
      <c r="AE612" s="417"/>
      <c r="AF612" s="378"/>
      <c r="AG612" s="378"/>
      <c r="AH612" s="378"/>
      <c r="AI612" s="378"/>
      <c r="AJ612" s="417"/>
      <c r="AK612" s="378"/>
      <c r="AL612" s="378"/>
      <c r="AM612" s="378"/>
      <c r="AN612" s="378"/>
      <c r="AO612" s="417"/>
      <c r="AP612" s="378"/>
      <c r="AQ612" s="378"/>
      <c r="AR612" s="378"/>
      <c r="AS612" s="378"/>
      <c r="AT612" s="417"/>
      <c r="AU612" s="378"/>
      <c r="AV612" s="378"/>
      <c r="AW612" s="378"/>
      <c r="AX612" s="378"/>
      <c r="AY612" s="417"/>
      <c r="AZ612" s="378"/>
      <c r="BA612" s="378"/>
      <c r="BB612" s="378"/>
      <c r="BC612" s="378"/>
      <c r="BD612" s="417"/>
      <c r="BE612" s="378"/>
      <c r="BF612" s="378"/>
      <c r="BG612" s="378"/>
      <c r="BH612" s="378"/>
      <c r="BI612" s="417"/>
      <c r="BJ612" s="1130"/>
      <c r="BK612" s="378"/>
      <c r="BL612" s="378"/>
      <c r="BM612" s="378"/>
      <c r="BN612" s="417"/>
      <c r="BO612" s="378"/>
      <c r="BP612" s="378"/>
      <c r="BQ612" s="378"/>
      <c r="BR612" s="378"/>
      <c r="BS612" s="417"/>
      <c r="BT612" s="417"/>
      <c r="BU612" s="417"/>
      <c r="BV612" s="417"/>
      <c r="BW612" s="176"/>
    </row>
    <row r="613" spans="1:75" s="169" customFormat="1" ht="14.25" hidden="1" outlineLevel="1" x14ac:dyDescent="0.45">
      <c r="A613" s="163" t="s">
        <v>2065</v>
      </c>
      <c r="B613" s="1121"/>
      <c r="C613" s="840"/>
      <c r="D613" s="1123">
        <f>AVERAGE(D611,D608)</f>
        <v>23.5</v>
      </c>
      <c r="E613" s="1123">
        <f>AVERAGE(E611,E608)</f>
        <v>9</v>
      </c>
      <c r="F613" s="840"/>
      <c r="G613" s="247"/>
      <c r="H613" s="247"/>
      <c r="I613" s="247"/>
      <c r="J613" s="247"/>
      <c r="K613" s="840"/>
      <c r="L613" s="247"/>
      <c r="M613" s="247"/>
      <c r="N613" s="247"/>
      <c r="O613" s="247"/>
      <c r="P613" s="840"/>
      <c r="Q613" s="247"/>
      <c r="R613" s="247"/>
      <c r="S613" s="247"/>
      <c r="T613" s="247"/>
      <c r="U613" s="840"/>
      <c r="V613" s="247"/>
      <c r="W613" s="247"/>
      <c r="X613" s="247"/>
      <c r="Y613" s="247"/>
      <c r="Z613" s="840"/>
      <c r="AA613" s="247"/>
      <c r="AB613" s="247"/>
      <c r="AC613" s="247"/>
      <c r="AD613" s="247"/>
      <c r="AE613" s="840"/>
      <c r="AF613" s="247"/>
      <c r="AG613" s="247"/>
      <c r="AH613" s="247"/>
      <c r="AI613" s="247"/>
      <c r="AJ613" s="840"/>
      <c r="AK613" s="247"/>
      <c r="AL613" s="247"/>
      <c r="AM613" s="247"/>
      <c r="AN613" s="247"/>
      <c r="AO613" s="840"/>
      <c r="AP613" s="247"/>
      <c r="AQ613" s="247"/>
      <c r="AR613" s="247"/>
      <c r="AS613" s="247"/>
      <c r="AT613" s="840"/>
      <c r="AU613" s="247"/>
      <c r="AV613" s="247"/>
      <c r="AW613" s="247"/>
      <c r="AX613" s="247"/>
      <c r="AY613" s="840"/>
      <c r="AZ613" s="247"/>
      <c r="BA613" s="247"/>
      <c r="BB613" s="247"/>
      <c r="BC613" s="247"/>
      <c r="BD613" s="840"/>
      <c r="BE613" s="247"/>
      <c r="BF613" s="247"/>
      <c r="BG613" s="247"/>
      <c r="BH613" s="247"/>
      <c r="BI613" s="840"/>
      <c r="BJ613" s="977"/>
      <c r="BK613" s="247"/>
      <c r="BL613" s="247"/>
      <c r="BM613" s="247"/>
      <c r="BN613" s="840"/>
      <c r="BO613" s="247"/>
      <c r="BP613" s="247"/>
      <c r="BQ613" s="247"/>
      <c r="BR613" s="247"/>
      <c r="BS613" s="840"/>
      <c r="BT613" s="840"/>
      <c r="BU613" s="840"/>
      <c r="BV613" s="840"/>
      <c r="BW613" s="168"/>
    </row>
    <row r="614" spans="1:75" s="169" customFormat="1" ht="14.25" hidden="1" outlineLevel="1" x14ac:dyDescent="0.45">
      <c r="A614" s="163"/>
      <c r="B614" s="1121"/>
      <c r="C614" s="840"/>
      <c r="D614" s="840"/>
      <c r="E614" s="840"/>
      <c r="F614" s="840"/>
      <c r="G614" s="247"/>
      <c r="H614" s="247"/>
      <c r="I614" s="247"/>
      <c r="J614" s="247"/>
      <c r="K614" s="840"/>
      <c r="L614" s="247"/>
      <c r="M614" s="247"/>
      <c r="N614" s="247"/>
      <c r="O614" s="247"/>
      <c r="P614" s="840"/>
      <c r="Q614" s="247"/>
      <c r="R614" s="247"/>
      <c r="S614" s="247"/>
      <c r="T614" s="247"/>
      <c r="U614" s="840"/>
      <c r="V614" s="247"/>
      <c r="W614" s="247"/>
      <c r="X614" s="247"/>
      <c r="Y614" s="247"/>
      <c r="Z614" s="840"/>
      <c r="AA614" s="247"/>
      <c r="AB614" s="247"/>
      <c r="AC614" s="247"/>
      <c r="AD614" s="247"/>
      <c r="AE614" s="840"/>
      <c r="AF614" s="247"/>
      <c r="AG614" s="247"/>
      <c r="AH614" s="247"/>
      <c r="AI614" s="247"/>
      <c r="AJ614" s="840"/>
      <c r="AK614" s="247"/>
      <c r="AL614" s="247"/>
      <c r="AM614" s="247"/>
      <c r="AN614" s="247"/>
      <c r="AO614" s="840"/>
      <c r="AP614" s="247"/>
      <c r="AQ614" s="247"/>
      <c r="AR614" s="247"/>
      <c r="AS614" s="247"/>
      <c r="AT614" s="840"/>
      <c r="AU614" s="247"/>
      <c r="AV614" s="247"/>
      <c r="AW614" s="247"/>
      <c r="AX614" s="247"/>
      <c r="AY614" s="840"/>
      <c r="AZ614" s="247"/>
      <c r="BA614" s="247"/>
      <c r="BB614" s="247"/>
      <c r="BC614" s="247"/>
      <c r="BD614" s="840"/>
      <c r="BE614" s="247"/>
      <c r="BF614" s="247"/>
      <c r="BG614" s="247"/>
      <c r="BH614" s="247"/>
      <c r="BI614" s="840"/>
      <c r="BJ614" s="977"/>
      <c r="BK614" s="247"/>
      <c r="BL614" s="247"/>
      <c r="BM614" s="247"/>
      <c r="BN614" s="840"/>
      <c r="BO614" s="247"/>
      <c r="BP614" s="247"/>
      <c r="BQ614" s="247"/>
      <c r="BR614" s="247"/>
      <c r="BS614" s="840"/>
      <c r="BT614" s="840"/>
      <c r="BU614" s="840"/>
      <c r="BV614" s="840"/>
      <c r="BW614" s="168"/>
    </row>
    <row r="615" spans="1:75" s="169" customFormat="1" ht="14.25" hidden="1" outlineLevel="1" x14ac:dyDescent="0.45">
      <c r="A615" s="558" t="s">
        <v>2066</v>
      </c>
      <c r="B615" s="1121"/>
      <c r="C615" s="1123">
        <f>((13200*11)+(20200*18))/C611</f>
        <v>17544.827586206895</v>
      </c>
      <c r="D615" s="1123">
        <f>D445</f>
        <v>19600</v>
      </c>
      <c r="E615" s="840"/>
      <c r="F615" s="840"/>
      <c r="G615" s="247"/>
      <c r="H615" s="247"/>
      <c r="I615" s="247"/>
      <c r="J615" s="247"/>
      <c r="K615" s="840"/>
      <c r="L615" s="247"/>
      <c r="M615" s="247"/>
      <c r="N615" s="247"/>
      <c r="O615" s="247"/>
      <c r="P615" s="840"/>
      <c r="Q615" s="247"/>
      <c r="R615" s="247"/>
      <c r="S615" s="247"/>
      <c r="T615" s="247"/>
      <c r="U615" s="840"/>
      <c r="V615" s="247"/>
      <c r="W615" s="247"/>
      <c r="X615" s="247"/>
      <c r="Y615" s="247"/>
      <c r="Z615" s="840"/>
      <c r="AA615" s="247"/>
      <c r="AB615" s="247"/>
      <c r="AC615" s="247"/>
      <c r="AD615" s="247"/>
      <c r="AE615" s="840"/>
      <c r="AF615" s="247"/>
      <c r="AG615" s="247"/>
      <c r="AH615" s="247"/>
      <c r="AI615" s="247"/>
      <c r="AJ615" s="840"/>
      <c r="AK615" s="247"/>
      <c r="AL615" s="247"/>
      <c r="AM615" s="247"/>
      <c r="AN615" s="247"/>
      <c r="AO615" s="840"/>
      <c r="AP615" s="247"/>
      <c r="AQ615" s="247"/>
      <c r="AR615" s="247"/>
      <c r="AS615" s="247"/>
      <c r="AT615" s="840"/>
      <c r="AU615" s="247"/>
      <c r="AV615" s="247"/>
      <c r="AW615" s="247"/>
      <c r="AX615" s="247"/>
      <c r="AY615" s="840"/>
      <c r="AZ615" s="247"/>
      <c r="BA615" s="247"/>
      <c r="BB615" s="247"/>
      <c r="BC615" s="247"/>
      <c r="BD615" s="840"/>
      <c r="BE615" s="247"/>
      <c r="BF615" s="247"/>
      <c r="BG615" s="247"/>
      <c r="BH615" s="247"/>
      <c r="BI615" s="840"/>
      <c r="BJ615" s="977"/>
      <c r="BK615" s="247"/>
      <c r="BL615" s="247"/>
      <c r="BM615" s="247"/>
      <c r="BN615" s="840"/>
      <c r="BO615" s="247"/>
      <c r="BP615" s="247"/>
      <c r="BQ615" s="247"/>
      <c r="BR615" s="247"/>
      <c r="BS615" s="840"/>
      <c r="BT615" s="840"/>
      <c r="BU615" s="840"/>
      <c r="BV615" s="840"/>
      <c r="BW615" s="168"/>
    </row>
    <row r="616" spans="1:75" s="169" customFormat="1" ht="14.25" collapsed="1" x14ac:dyDescent="0.45">
      <c r="A616" s="163"/>
      <c r="B616" s="1121"/>
      <c r="C616" s="840"/>
      <c r="D616" s="840"/>
      <c r="E616" s="840"/>
      <c r="F616" s="840"/>
      <c r="G616" s="247"/>
      <c r="H616" s="247"/>
      <c r="I616" s="247"/>
      <c r="J616" s="247"/>
      <c r="K616" s="840"/>
      <c r="L616" s="247"/>
      <c r="M616" s="247"/>
      <c r="N616" s="247"/>
      <c r="O616" s="247"/>
      <c r="P616" s="840"/>
      <c r="Q616" s="247"/>
      <c r="R616" s="247"/>
      <c r="S616" s="247"/>
      <c r="T616" s="247"/>
      <c r="U616" s="840"/>
      <c r="V616" s="247"/>
      <c r="W616" s="247"/>
      <c r="X616" s="247"/>
      <c r="Y616" s="247"/>
      <c r="Z616" s="840"/>
      <c r="AA616" s="247"/>
      <c r="AB616" s="247"/>
      <c r="AC616" s="247"/>
      <c r="AD616" s="247"/>
      <c r="AE616" s="840"/>
      <c r="AF616" s="247"/>
      <c r="AG616" s="247"/>
      <c r="AH616" s="247"/>
      <c r="AI616" s="247"/>
      <c r="AJ616" s="840"/>
      <c r="AK616" s="247"/>
      <c r="AL616" s="247"/>
      <c r="AM616" s="247"/>
      <c r="AN616" s="247"/>
      <c r="AO616" s="840"/>
      <c r="AP616" s="247"/>
      <c r="AQ616" s="247"/>
      <c r="AR616" s="247"/>
      <c r="AS616" s="247"/>
      <c r="AT616" s="840"/>
      <c r="AU616" s="247"/>
      <c r="AV616" s="247"/>
      <c r="AW616" s="247"/>
      <c r="AX616" s="247"/>
      <c r="AY616" s="840"/>
      <c r="AZ616" s="247"/>
      <c r="BA616" s="247"/>
      <c r="BB616" s="247"/>
      <c r="BC616" s="247"/>
      <c r="BD616" s="840"/>
      <c r="BE616" s="247"/>
      <c r="BF616" s="247"/>
      <c r="BG616" s="247"/>
      <c r="BH616" s="247"/>
      <c r="BI616" s="840"/>
      <c r="BJ616" s="977"/>
      <c r="BK616" s="247"/>
      <c r="BL616" s="247"/>
      <c r="BM616" s="247"/>
      <c r="BN616" s="840"/>
      <c r="BO616" s="247"/>
      <c r="BP616" s="247"/>
      <c r="BQ616" s="247"/>
      <c r="BR616" s="247"/>
      <c r="BS616" s="840"/>
      <c r="BT616" s="840"/>
      <c r="BU616" s="840"/>
      <c r="BV616" s="840"/>
      <c r="BW616" s="168"/>
    </row>
    <row r="617" spans="1:75" s="162" customFormat="1" ht="14.25" x14ac:dyDescent="0.45">
      <c r="A617" s="159" t="s">
        <v>1028</v>
      </c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  <c r="AG617" s="159"/>
      <c r="AH617" s="159"/>
      <c r="AI617" s="159"/>
      <c r="AJ617" s="159"/>
      <c r="AK617" s="159"/>
      <c r="AL617" s="159"/>
      <c r="AM617" s="159"/>
      <c r="AN617" s="159"/>
      <c r="AO617" s="159"/>
      <c r="AP617" s="159"/>
      <c r="AQ617" s="159"/>
      <c r="AR617" s="159"/>
      <c r="AS617" s="159"/>
      <c r="AT617" s="159"/>
      <c r="AU617" s="159"/>
      <c r="AV617" s="159"/>
      <c r="AW617" s="159"/>
      <c r="AX617" s="159"/>
      <c r="AY617" s="159"/>
      <c r="AZ617" s="159"/>
      <c r="BA617" s="159"/>
      <c r="BB617" s="159"/>
      <c r="BC617" s="159"/>
      <c r="BD617" s="159"/>
      <c r="BE617" s="159"/>
      <c r="BF617" s="159"/>
      <c r="BG617" s="159"/>
      <c r="BH617" s="159"/>
      <c r="BI617" s="159"/>
      <c r="BJ617" s="160"/>
      <c r="BK617" s="159"/>
      <c r="BL617" s="159"/>
      <c r="BM617" s="159"/>
      <c r="BN617" s="159"/>
      <c r="BO617" s="159"/>
      <c r="BP617" s="159"/>
      <c r="BQ617" s="159"/>
      <c r="BR617" s="159"/>
      <c r="BS617" s="159"/>
      <c r="BT617" s="159"/>
      <c r="BU617" s="159"/>
      <c r="BV617" s="159"/>
      <c r="BW617" s="161"/>
    </row>
    <row r="618" spans="1:75" s="217" customFormat="1" hidden="1" outlineLevel="2" x14ac:dyDescent="0.5">
      <c r="A618" s="652" t="s">
        <v>1031</v>
      </c>
      <c r="B618" s="653"/>
      <c r="C618" s="1252">
        <f t="shared" ref="C618:BD618" si="892">C754/C749</f>
        <v>0.64442724797466988</v>
      </c>
      <c r="D618" s="1252">
        <f t="shared" si="892"/>
        <v>0.60793463080146504</v>
      </c>
      <c r="E618" s="1252">
        <f t="shared" si="892"/>
        <v>0.60765998503048335</v>
      </c>
      <c r="F618" s="1252">
        <f t="shared" si="892"/>
        <v>0.60610259543344203</v>
      </c>
      <c r="G618" s="1253">
        <f t="shared" si="892"/>
        <v>0.62358415333044992</v>
      </c>
      <c r="H618" s="1253">
        <f t="shared" si="892"/>
        <v>0.62439358629375219</v>
      </c>
      <c r="I618" s="1253">
        <f t="shared" si="892"/>
        <v>0.61448455039617778</v>
      </c>
      <c r="J618" s="1253">
        <f t="shared" si="892"/>
        <v>0.59373303580927539</v>
      </c>
      <c r="K618" s="1252">
        <f t="shared" si="892"/>
        <v>0.61160913596492517</v>
      </c>
      <c r="L618" s="1253">
        <f t="shared" si="892"/>
        <v>0.62188580870957477</v>
      </c>
      <c r="M618" s="1253">
        <f t="shared" si="892"/>
        <v>0.63228056533429822</v>
      </c>
      <c r="N618" s="1253">
        <f t="shared" si="892"/>
        <v>0.62261954123737495</v>
      </c>
      <c r="O618" s="1253">
        <f t="shared" si="892"/>
        <v>0.59887103833995303</v>
      </c>
      <c r="P618" s="1252">
        <f t="shared" si="892"/>
        <v>0.6168096027874832</v>
      </c>
      <c r="Q618" s="1253">
        <f t="shared" si="892"/>
        <v>0.63243444108526836</v>
      </c>
      <c r="R618" s="1253">
        <f t="shared" si="892"/>
        <v>0.63920594696848698</v>
      </c>
      <c r="S618" s="1253">
        <f t="shared" si="892"/>
        <v>0.63380034770413007</v>
      </c>
      <c r="T618" s="1253">
        <f t="shared" si="892"/>
        <v>0.61699648995400624</v>
      </c>
      <c r="U618" s="1252">
        <f t="shared" si="892"/>
        <v>0.62938491868113322</v>
      </c>
      <c r="V618" s="1253">
        <f t="shared" si="892"/>
        <v>0.64245680290977458</v>
      </c>
      <c r="W618" s="1253">
        <f t="shared" si="892"/>
        <v>0.64579057124541317</v>
      </c>
      <c r="X618" s="1253">
        <f t="shared" si="892"/>
        <v>0.6320631772504085</v>
      </c>
      <c r="Y618" s="1253">
        <f t="shared" si="892"/>
        <v>0.6067030395534595</v>
      </c>
      <c r="Z618" s="1252">
        <f t="shared" si="892"/>
        <v>0.62954767013414348</v>
      </c>
      <c r="AA618" s="1253">
        <f t="shared" si="892"/>
        <v>0.64394286315785676</v>
      </c>
      <c r="AB618" s="1253">
        <f t="shared" si="892"/>
        <v>0.64821164341722659</v>
      </c>
      <c r="AC618" s="1253">
        <f t="shared" si="892"/>
        <v>0.64053408818042445</v>
      </c>
      <c r="AD618" s="1253">
        <f t="shared" si="892"/>
        <v>0.61535260817543802</v>
      </c>
      <c r="AE618" s="1252">
        <f t="shared" si="892"/>
        <v>0.63500000661330791</v>
      </c>
      <c r="AF618" s="1253">
        <f t="shared" si="892"/>
        <v>0.64076142975893602</v>
      </c>
      <c r="AG618" s="1253">
        <f t="shared" si="892"/>
        <v>0.63617357317511181</v>
      </c>
      <c r="AH618" s="1253">
        <f t="shared" si="892"/>
        <v>0.6352319815355093</v>
      </c>
      <c r="AI618" s="1253">
        <f t="shared" si="892"/>
        <v>0.61342350073729779</v>
      </c>
      <c r="AJ618" s="1252">
        <f t="shared" si="892"/>
        <v>0.62955504740907886</v>
      </c>
      <c r="AK618" s="1253">
        <f t="shared" si="892"/>
        <v>0.64199537196688183</v>
      </c>
      <c r="AL618" s="1253">
        <f t="shared" si="892"/>
        <v>0.64702651125535626</v>
      </c>
      <c r="AM618" s="1253">
        <f t="shared" si="892"/>
        <v>0.64077500291166833</v>
      </c>
      <c r="AN618" s="1253">
        <f t="shared" si="892"/>
        <v>0.62425051123080511</v>
      </c>
      <c r="AO618" s="1252">
        <f t="shared" si="892"/>
        <v>0.63731958315417681</v>
      </c>
      <c r="AP618" s="1253">
        <f t="shared" si="892"/>
        <v>0.66462192854130053</v>
      </c>
      <c r="AQ618" s="1253">
        <f t="shared" si="892"/>
        <v>0.63025858327570117</v>
      </c>
      <c r="AR618" s="1253">
        <f t="shared" si="892"/>
        <v>0.60013113929100903</v>
      </c>
      <c r="AS618" s="1253">
        <f t="shared" si="892"/>
        <v>0.57899621969639792</v>
      </c>
      <c r="AT618" s="1252">
        <f t="shared" si="892"/>
        <v>0.61135256588014864</v>
      </c>
      <c r="AU618" s="1253">
        <f t="shared" si="892"/>
        <v>0.56955945270204211</v>
      </c>
      <c r="AV618" s="1253">
        <f t="shared" si="892"/>
        <v>0.55942574675146373</v>
      </c>
      <c r="AW618" s="1253">
        <f t="shared" si="892"/>
        <v>0.56265301906337317</v>
      </c>
      <c r="AX618" s="1253">
        <f t="shared" si="892"/>
        <v>0.55009038279844025</v>
      </c>
      <c r="AY618" s="1252">
        <f t="shared" si="892"/>
        <v>0.55954508984789597</v>
      </c>
      <c r="AZ618" s="1253">
        <f t="shared" si="892"/>
        <v>0.56189923261459362</v>
      </c>
      <c r="BA618" s="1253">
        <f t="shared" si="892"/>
        <v>0.56547699525201212</v>
      </c>
      <c r="BB618" s="1253">
        <f t="shared" si="892"/>
        <v>0.58472279612911582</v>
      </c>
      <c r="BC618" s="1253">
        <f t="shared" si="892"/>
        <v>0.58833368187490109</v>
      </c>
      <c r="BD618" s="1252">
        <f t="shared" si="892"/>
        <v>0.57602533980093418</v>
      </c>
      <c r="BE618" s="1253">
        <f>BE754/BE749</f>
        <v>0.61544981887845351</v>
      </c>
      <c r="BF618" s="1253">
        <f>BF754/BF749</f>
        <v>0.59327751214153868</v>
      </c>
      <c r="BG618" s="1253">
        <f t="shared" ref="BG618:BV618" si="893">BG754/BG749</f>
        <v>0.55635637795700366</v>
      </c>
      <c r="BH618" s="1253">
        <f t="shared" si="893"/>
        <v>0.53986661324994956</v>
      </c>
      <c r="BI618" s="1252">
        <f t="shared" si="893"/>
        <v>0.57376476198389503</v>
      </c>
      <c r="BJ618" s="1254">
        <f>BJ754/BJ749</f>
        <v>0.51665855591719323</v>
      </c>
      <c r="BK618" s="1253">
        <f t="shared" si="893"/>
        <v>0.58077688515486914</v>
      </c>
      <c r="BL618" s="1253">
        <f t="shared" si="893"/>
        <v>0.5414403479664055</v>
      </c>
      <c r="BM618" s="1253">
        <f t="shared" si="893"/>
        <v>0.52711801714920303</v>
      </c>
      <c r="BN618" s="1210">
        <f t="shared" si="893"/>
        <v>0.5411091281660978</v>
      </c>
      <c r="BO618" s="1253">
        <f t="shared" si="893"/>
        <v>0.53864205704739554</v>
      </c>
      <c r="BP618" s="1253">
        <f t="shared" si="893"/>
        <v>0.57616958156029341</v>
      </c>
      <c r="BQ618" s="1253">
        <f t="shared" si="893"/>
        <v>0.53421932674051653</v>
      </c>
      <c r="BR618" s="1253">
        <f t="shared" si="893"/>
        <v>0.52845507529002977</v>
      </c>
      <c r="BS618" s="1210">
        <f t="shared" si="893"/>
        <v>0.54373234405018622</v>
      </c>
      <c r="BT618" s="1210">
        <f t="shared" si="893"/>
        <v>0.53991313511395622</v>
      </c>
      <c r="BU618" s="1210">
        <f t="shared" si="893"/>
        <v>0.53556526805266069</v>
      </c>
      <c r="BV618" s="1210">
        <f t="shared" si="893"/>
        <v>0.53135499546394216</v>
      </c>
      <c r="BW618" s="216"/>
    </row>
    <row r="619" spans="1:75" s="217" customFormat="1" hidden="1" outlineLevel="2" x14ac:dyDescent="0.5">
      <c r="A619" s="657" t="s">
        <v>1032</v>
      </c>
      <c r="B619" s="179"/>
      <c r="C619" s="1255">
        <f t="shared" ref="C619:BD619" si="894">1-C618</f>
        <v>0.35557275202533012</v>
      </c>
      <c r="D619" s="1255">
        <f t="shared" si="894"/>
        <v>0.39206536919853496</v>
      </c>
      <c r="E619" s="1255">
        <f t="shared" si="894"/>
        <v>0.39234001496951665</v>
      </c>
      <c r="F619" s="1255">
        <f t="shared" si="894"/>
        <v>0.39389740456655797</v>
      </c>
      <c r="G619" s="1256">
        <f t="shared" si="894"/>
        <v>0.37641584666955008</v>
      </c>
      <c r="H619" s="1256">
        <f t="shared" si="894"/>
        <v>0.37560641370624781</v>
      </c>
      <c r="I619" s="1256">
        <f t="shared" si="894"/>
        <v>0.38551544960382222</v>
      </c>
      <c r="J619" s="1256">
        <f t="shared" si="894"/>
        <v>0.40626696419072461</v>
      </c>
      <c r="K619" s="1255">
        <f t="shared" si="894"/>
        <v>0.38839086403507483</v>
      </c>
      <c r="L619" s="1256">
        <f t="shared" si="894"/>
        <v>0.37811419129042523</v>
      </c>
      <c r="M619" s="1256">
        <f t="shared" si="894"/>
        <v>0.36771943466570178</v>
      </c>
      <c r="N619" s="1256">
        <f t="shared" si="894"/>
        <v>0.37738045876262505</v>
      </c>
      <c r="O619" s="1256">
        <f t="shared" si="894"/>
        <v>0.40112896166004697</v>
      </c>
      <c r="P619" s="1255">
        <f t="shared" si="894"/>
        <v>0.3831903972125168</v>
      </c>
      <c r="Q619" s="1256">
        <f t="shared" si="894"/>
        <v>0.36756555891473164</v>
      </c>
      <c r="R619" s="1256">
        <f t="shared" si="894"/>
        <v>0.36079405303151302</v>
      </c>
      <c r="S619" s="1256">
        <f t="shared" si="894"/>
        <v>0.36619965229586993</v>
      </c>
      <c r="T619" s="1256">
        <f t="shared" si="894"/>
        <v>0.38300351004599376</v>
      </c>
      <c r="U619" s="1255">
        <f t="shared" si="894"/>
        <v>0.37061508131886678</v>
      </c>
      <c r="V619" s="1256">
        <f t="shared" si="894"/>
        <v>0.35754319709022542</v>
      </c>
      <c r="W619" s="1256">
        <f t="shared" si="894"/>
        <v>0.35420942875458683</v>
      </c>
      <c r="X619" s="1256">
        <f t="shared" si="894"/>
        <v>0.3679368227495915</v>
      </c>
      <c r="Y619" s="1256">
        <f t="shared" si="894"/>
        <v>0.3932969604465405</v>
      </c>
      <c r="Z619" s="1255">
        <f t="shared" si="894"/>
        <v>0.37045232986585652</v>
      </c>
      <c r="AA619" s="1256">
        <f t="shared" si="894"/>
        <v>0.35605713684214324</v>
      </c>
      <c r="AB619" s="1256">
        <f t="shared" si="894"/>
        <v>0.35178835658277341</v>
      </c>
      <c r="AC619" s="1256">
        <f t="shared" si="894"/>
        <v>0.35946591181957555</v>
      </c>
      <c r="AD619" s="1256">
        <f t="shared" si="894"/>
        <v>0.38464739182456198</v>
      </c>
      <c r="AE619" s="1255">
        <f t="shared" si="894"/>
        <v>0.36499999338669209</v>
      </c>
      <c r="AF619" s="1256">
        <f t="shared" si="894"/>
        <v>0.35923857024106398</v>
      </c>
      <c r="AG619" s="1256">
        <f t="shared" si="894"/>
        <v>0.36382642682488819</v>
      </c>
      <c r="AH619" s="1256">
        <f t="shared" si="894"/>
        <v>0.3647680184644907</v>
      </c>
      <c r="AI619" s="1256">
        <f t="shared" si="894"/>
        <v>0.38657649926270221</v>
      </c>
      <c r="AJ619" s="1255">
        <f t="shared" si="894"/>
        <v>0.37044495259092114</v>
      </c>
      <c r="AK619" s="1256">
        <f t="shared" si="894"/>
        <v>0.35800462803311817</v>
      </c>
      <c r="AL619" s="1256">
        <f t="shared" si="894"/>
        <v>0.35297348874464374</v>
      </c>
      <c r="AM619" s="1256">
        <f t="shared" si="894"/>
        <v>0.35922499708833167</v>
      </c>
      <c r="AN619" s="1256">
        <f t="shared" si="894"/>
        <v>0.37574948876919489</v>
      </c>
      <c r="AO619" s="1255">
        <f t="shared" si="894"/>
        <v>0.36268041684582319</v>
      </c>
      <c r="AP619" s="1256">
        <f t="shared" si="894"/>
        <v>0.33537807145869947</v>
      </c>
      <c r="AQ619" s="1256">
        <f t="shared" si="894"/>
        <v>0.36974141672429883</v>
      </c>
      <c r="AR619" s="1256">
        <f t="shared" si="894"/>
        <v>0.39986886070899097</v>
      </c>
      <c r="AS619" s="1256">
        <f t="shared" si="894"/>
        <v>0.42100378030360208</v>
      </c>
      <c r="AT619" s="1255">
        <f t="shared" si="894"/>
        <v>0.38864743411985136</v>
      </c>
      <c r="AU619" s="1256">
        <f t="shared" si="894"/>
        <v>0.43044054729795789</v>
      </c>
      <c r="AV619" s="1256">
        <f t="shared" si="894"/>
        <v>0.44057425324853627</v>
      </c>
      <c r="AW619" s="1256">
        <f t="shared" si="894"/>
        <v>0.43734698093662683</v>
      </c>
      <c r="AX619" s="1256">
        <f t="shared" si="894"/>
        <v>0.44990961720155975</v>
      </c>
      <c r="AY619" s="1255">
        <f t="shared" si="894"/>
        <v>0.44045491015210403</v>
      </c>
      <c r="AZ619" s="1256">
        <f t="shared" si="894"/>
        <v>0.43810076738540638</v>
      </c>
      <c r="BA619" s="1256">
        <f t="shared" si="894"/>
        <v>0.43452300474798788</v>
      </c>
      <c r="BB619" s="1256">
        <f t="shared" si="894"/>
        <v>0.41527720387088418</v>
      </c>
      <c r="BC619" s="1256">
        <f t="shared" si="894"/>
        <v>0.41166631812509891</v>
      </c>
      <c r="BD619" s="1255">
        <f t="shared" si="894"/>
        <v>0.42397466019906582</v>
      </c>
      <c r="BE619" s="1256">
        <f>1-BE618</f>
        <v>0.38455018112154649</v>
      </c>
      <c r="BF619" s="1256">
        <f>1-BF618</f>
        <v>0.40672248785846132</v>
      </c>
      <c r="BG619" s="1256">
        <f t="shared" ref="BG619:BV619" si="895">1-BG618</f>
        <v>0.44364362204299634</v>
      </c>
      <c r="BH619" s="1256">
        <f t="shared" si="895"/>
        <v>0.46013338675005044</v>
      </c>
      <c r="BI619" s="1255">
        <f t="shared" si="895"/>
        <v>0.42623523801610497</v>
      </c>
      <c r="BJ619" s="1257">
        <f>1-BJ618</f>
        <v>0.48334144408280677</v>
      </c>
      <c r="BK619" s="1256">
        <f t="shared" si="895"/>
        <v>0.41922311484513086</v>
      </c>
      <c r="BL619" s="1256">
        <f t="shared" si="895"/>
        <v>0.4585596520335945</v>
      </c>
      <c r="BM619" s="1256">
        <f t="shared" si="895"/>
        <v>0.47288198285079697</v>
      </c>
      <c r="BN619" s="730">
        <f t="shared" si="895"/>
        <v>0.4588908718339022</v>
      </c>
      <c r="BO619" s="1256">
        <f t="shared" si="895"/>
        <v>0.46135794295260446</v>
      </c>
      <c r="BP619" s="1256">
        <f t="shared" si="895"/>
        <v>0.42383041843970659</v>
      </c>
      <c r="BQ619" s="1256">
        <f t="shared" si="895"/>
        <v>0.46578067325948347</v>
      </c>
      <c r="BR619" s="1256">
        <f t="shared" si="895"/>
        <v>0.47154492470997023</v>
      </c>
      <c r="BS619" s="730">
        <f t="shared" si="895"/>
        <v>0.45626765594981378</v>
      </c>
      <c r="BT619" s="730">
        <f t="shared" si="895"/>
        <v>0.46008686488604378</v>
      </c>
      <c r="BU619" s="730">
        <f t="shared" si="895"/>
        <v>0.46443473194733931</v>
      </c>
      <c r="BV619" s="730">
        <f t="shared" si="895"/>
        <v>0.46864500453605784</v>
      </c>
      <c r="BW619" s="216"/>
    </row>
    <row r="620" spans="1:75" s="217" customFormat="1" ht="15" hidden="1" customHeight="1" outlineLevel="2" x14ac:dyDescent="0.5">
      <c r="A620" s="657"/>
      <c r="B620" s="179"/>
      <c r="C620" s="1255"/>
      <c r="D620" s="1255"/>
      <c r="E620" s="1255"/>
      <c r="F620" s="1255"/>
      <c r="G620" s="1256"/>
      <c r="H620" s="1256"/>
      <c r="I620" s="1256"/>
      <c r="J620" s="1256"/>
      <c r="K620" s="1255"/>
      <c r="L620" s="1256"/>
      <c r="M620" s="1256"/>
      <c r="N620" s="1256"/>
      <c r="O620" s="1256"/>
      <c r="P620" s="1255"/>
      <c r="Q620" s="1256"/>
      <c r="R620" s="1256"/>
      <c r="S620" s="1256"/>
      <c r="T620" s="1256"/>
      <c r="U620" s="1255"/>
      <c r="V620" s="1256"/>
      <c r="W620" s="1256"/>
      <c r="X620" s="1256"/>
      <c r="Y620" s="1256"/>
      <c r="Z620" s="1255"/>
      <c r="AA620" s="1256"/>
      <c r="AB620" s="1256"/>
      <c r="AC620" s="1256"/>
      <c r="AD620" s="1256"/>
      <c r="AE620" s="1255"/>
      <c r="AF620" s="1256"/>
      <c r="AG620" s="1256"/>
      <c r="AH620" s="1256"/>
      <c r="AI620" s="1256"/>
      <c r="AJ620" s="1255"/>
      <c r="AK620" s="1256"/>
      <c r="AL620" s="1256"/>
      <c r="AM620" s="1256"/>
      <c r="AN620" s="1256"/>
      <c r="AO620" s="1255"/>
      <c r="AP620" s="1256"/>
      <c r="AQ620" s="1256"/>
      <c r="AR620" s="1256"/>
      <c r="AS620" s="1256"/>
      <c r="AT620" s="1255"/>
      <c r="AU620" s="1256"/>
      <c r="AV620" s="1256"/>
      <c r="AW620" s="1256"/>
      <c r="AX620" s="1256"/>
      <c r="AY620" s="1255"/>
      <c r="AZ620" s="1256"/>
      <c r="BA620" s="1256"/>
      <c r="BB620" s="1256"/>
      <c r="BC620" s="1256"/>
      <c r="BD620" s="1255"/>
      <c r="BE620" s="1256"/>
      <c r="BF620" s="1256"/>
      <c r="BG620" s="1256"/>
      <c r="BH620" s="1256"/>
      <c r="BI620" s="1255"/>
      <c r="BJ620" s="1257"/>
      <c r="BK620" s="1256"/>
      <c r="BL620" s="1256"/>
      <c r="BM620" s="1256"/>
      <c r="BN620" s="730"/>
      <c r="BO620" s="1256"/>
      <c r="BP620" s="1256"/>
      <c r="BQ620" s="1256"/>
      <c r="BR620" s="1256"/>
      <c r="BS620" s="730"/>
      <c r="BT620" s="730"/>
      <c r="BU620" s="730"/>
      <c r="BV620" s="730"/>
      <c r="BW620" s="216"/>
    </row>
    <row r="621" spans="1:75" s="217" customFormat="1" hidden="1" outlineLevel="2" x14ac:dyDescent="0.5">
      <c r="A621" s="664" t="s">
        <v>1033</v>
      </c>
      <c r="B621" s="653"/>
      <c r="C621" s="1252">
        <f t="shared" ref="C621:BD621" si="896">C758/C749</f>
        <v>0.31643205410506448</v>
      </c>
      <c r="D621" s="1252">
        <f t="shared" si="896"/>
        <v>0.2997710148914518</v>
      </c>
      <c r="E621" s="1252">
        <f t="shared" si="896"/>
        <v>0.28974856855675851</v>
      </c>
      <c r="F621" s="1252">
        <f t="shared" si="896"/>
        <v>0.29269133066361275</v>
      </c>
      <c r="G621" s="1253">
        <f t="shared" si="896"/>
        <v>0.30457261029411764</v>
      </c>
      <c r="H621" s="1253">
        <f t="shared" si="896"/>
        <v>0.29610602224170218</v>
      </c>
      <c r="I621" s="1253">
        <f t="shared" si="896"/>
        <v>0.29755560373848838</v>
      </c>
      <c r="J621" s="1253">
        <f t="shared" si="896"/>
        <v>0.25777658962139333</v>
      </c>
      <c r="K621" s="1252">
        <f t="shared" si="896"/>
        <v>0.28535771985116304</v>
      </c>
      <c r="L621" s="1253">
        <f t="shared" si="896"/>
        <v>0.3018299754703232</v>
      </c>
      <c r="M621" s="1253">
        <f t="shared" si="896"/>
        <v>0.28559467694220586</v>
      </c>
      <c r="N621" s="1253">
        <f t="shared" si="896"/>
        <v>0.2857748945468796</v>
      </c>
      <c r="O621" s="1253">
        <f t="shared" si="896"/>
        <v>0.24687233525168195</v>
      </c>
      <c r="P621" s="1252">
        <f t="shared" si="896"/>
        <v>0.27629636928703333</v>
      </c>
      <c r="Q621" s="1253">
        <f t="shared" si="896"/>
        <v>0.29777835129565455</v>
      </c>
      <c r="R621" s="1253">
        <f t="shared" si="896"/>
        <v>0.28684469241225591</v>
      </c>
      <c r="S621" s="1253">
        <f t="shared" si="896"/>
        <v>0.27636553411217757</v>
      </c>
      <c r="T621" s="1253">
        <f t="shared" si="896"/>
        <v>0.24262688614540465</v>
      </c>
      <c r="U621" s="1252">
        <f t="shared" si="896"/>
        <v>0.27241870625330328</v>
      </c>
      <c r="V621" s="1253">
        <f t="shared" si="896"/>
        <v>0.29967836169416218</v>
      </c>
      <c r="W621" s="1253">
        <f t="shared" si="896"/>
        <v>0.28235963034574629</v>
      </c>
      <c r="X621" s="1253">
        <f t="shared" si="896"/>
        <v>0.27962758504398239</v>
      </c>
      <c r="Y621" s="1253">
        <f t="shared" si="896"/>
        <v>0.25683920077441497</v>
      </c>
      <c r="Z621" s="1252">
        <f t="shared" si="896"/>
        <v>0.27749078840838332</v>
      </c>
      <c r="AA621" s="1253">
        <f t="shared" si="896"/>
        <v>0.29985056324431603</v>
      </c>
      <c r="AB621" s="1253">
        <f t="shared" si="896"/>
        <v>0.28389255712771078</v>
      </c>
      <c r="AC621" s="1253">
        <f t="shared" si="896"/>
        <v>0.27418158197725606</v>
      </c>
      <c r="AD621" s="1253">
        <f t="shared" si="896"/>
        <v>0.26622438106803342</v>
      </c>
      <c r="AE621" s="1252">
        <f t="shared" si="896"/>
        <v>0.27925165318528089</v>
      </c>
      <c r="AF621" s="1253">
        <f t="shared" si="896"/>
        <v>0.30391853699085619</v>
      </c>
      <c r="AG621" s="1253">
        <f t="shared" si="896"/>
        <v>0.30566495239081098</v>
      </c>
      <c r="AH621" s="1253">
        <f t="shared" si="896"/>
        <v>0.29521372043717575</v>
      </c>
      <c r="AI621" s="1253">
        <f t="shared" si="896"/>
        <v>0.27720541309362268</v>
      </c>
      <c r="AJ621" s="1252">
        <f t="shared" si="896"/>
        <v>0.29357889397211684</v>
      </c>
      <c r="AK621" s="1253">
        <f t="shared" si="896"/>
        <v>0.29827528417605864</v>
      </c>
      <c r="AL621" s="1253">
        <f t="shared" si="896"/>
        <v>0.29011667520174145</v>
      </c>
      <c r="AM621" s="1253">
        <f t="shared" si="896"/>
        <v>0.28858861731804847</v>
      </c>
      <c r="AN621" s="1253">
        <f t="shared" si="896"/>
        <v>0.26526613834963308</v>
      </c>
      <c r="AO621" s="1252">
        <f t="shared" si="896"/>
        <v>0.28369205331698433</v>
      </c>
      <c r="AP621" s="1253">
        <f t="shared" si="896"/>
        <v>0.29599588083902001</v>
      </c>
      <c r="AQ621" s="1253">
        <f t="shared" si="896"/>
        <v>0.24540290063503797</v>
      </c>
      <c r="AR621" s="1253">
        <f t="shared" si="896"/>
        <v>0.24424494598013299</v>
      </c>
      <c r="AS621" s="1253">
        <f t="shared" si="896"/>
        <v>0.2456246486088508</v>
      </c>
      <c r="AT621" s="1252">
        <f t="shared" si="896"/>
        <v>0.25438949143242212</v>
      </c>
      <c r="AU621" s="1253">
        <f t="shared" si="896"/>
        <v>0.27310925090435895</v>
      </c>
      <c r="AV621" s="1253">
        <f t="shared" si="896"/>
        <v>0.27474068937695134</v>
      </c>
      <c r="AW621" s="1253">
        <f t="shared" si="896"/>
        <v>0.27604748920533378</v>
      </c>
      <c r="AX621" s="1253">
        <f t="shared" si="896"/>
        <v>0.24016714720221177</v>
      </c>
      <c r="AY621" s="1252">
        <f t="shared" si="896"/>
        <v>0.26423282935982045</v>
      </c>
      <c r="AZ621" s="1253">
        <f t="shared" si="896"/>
        <v>0.26705784128504934</v>
      </c>
      <c r="BA621" s="1253">
        <f t="shared" si="896"/>
        <v>0.26352198815739802</v>
      </c>
      <c r="BB621" s="1253">
        <f t="shared" si="896"/>
        <v>0.26037570453722431</v>
      </c>
      <c r="BC621" s="1253">
        <f t="shared" si="896"/>
        <v>0.22015719836173239</v>
      </c>
      <c r="BD621" s="1252">
        <f t="shared" si="896"/>
        <v>0.25123429044280443</v>
      </c>
      <c r="BE621" s="1253">
        <f>BE758/BE749</f>
        <v>0.27091727425032086</v>
      </c>
      <c r="BF621" s="1253">
        <f>BF758/BF749</f>
        <v>0.26093382740600041</v>
      </c>
      <c r="BG621" s="1253">
        <f t="shared" ref="BG621:BV621" si="897">BG758/BG749</f>
        <v>0.2736670892563321</v>
      </c>
      <c r="BH621" s="1253">
        <f t="shared" si="897"/>
        <v>0.25912256459919686</v>
      </c>
      <c r="BI621" s="1252">
        <f t="shared" si="897"/>
        <v>0.26570771078355732</v>
      </c>
      <c r="BJ621" s="1254">
        <f>BJ758/BJ749</f>
        <v>0.28830522276052972</v>
      </c>
      <c r="BK621" s="1253">
        <f t="shared" si="897"/>
        <v>0.28093382740600042</v>
      </c>
      <c r="BL621" s="1253">
        <f t="shared" si="897"/>
        <v>0.28866708925633211</v>
      </c>
      <c r="BM621" s="1253">
        <f t="shared" si="897"/>
        <v>0.26912256459919687</v>
      </c>
      <c r="BN621" s="1210">
        <f t="shared" si="897"/>
        <v>0.28070667597518156</v>
      </c>
      <c r="BO621" s="1253">
        <f t="shared" si="897"/>
        <v>0.30630522276052974</v>
      </c>
      <c r="BP621" s="1253">
        <f t="shared" si="897"/>
        <v>0.28593382740600037</v>
      </c>
      <c r="BQ621" s="1253">
        <f t="shared" si="897"/>
        <v>0.28766708925633205</v>
      </c>
      <c r="BR621" s="1253">
        <f t="shared" si="897"/>
        <v>0.27412256459919687</v>
      </c>
      <c r="BS621" s="1210">
        <f t="shared" si="897"/>
        <v>0.28733541655006073</v>
      </c>
      <c r="BT621" s="1210">
        <f t="shared" si="897"/>
        <v>0.29033541655006073</v>
      </c>
      <c r="BU621" s="1210">
        <f t="shared" si="897"/>
        <v>0.29333541655006073</v>
      </c>
      <c r="BV621" s="1210">
        <f t="shared" si="897"/>
        <v>0.29633541655006074</v>
      </c>
      <c r="BW621" s="216"/>
    </row>
    <row r="622" spans="1:75" s="217" customFormat="1" hidden="1" outlineLevel="2" x14ac:dyDescent="0.5">
      <c r="A622" s="178" t="s">
        <v>1034</v>
      </c>
      <c r="B622" s="179"/>
      <c r="C622" s="1255">
        <f t="shared" ref="C622:BD622" si="898">C762/C749</f>
        <v>3.9140697920265678E-2</v>
      </c>
      <c r="D622" s="1255">
        <f t="shared" si="898"/>
        <v>9.2294354307083243E-2</v>
      </c>
      <c r="E622" s="1255">
        <f t="shared" si="898"/>
        <v>0.10259144641275809</v>
      </c>
      <c r="F622" s="1255">
        <f t="shared" si="898"/>
        <v>0.10120607390294518</v>
      </c>
      <c r="G622" s="1256">
        <f t="shared" si="898"/>
        <v>7.1843236375432412E-2</v>
      </c>
      <c r="H622" s="1256">
        <f t="shared" si="898"/>
        <v>7.9500391464545628E-2</v>
      </c>
      <c r="I622" s="1256">
        <f t="shared" si="898"/>
        <v>8.7959845865333799E-2</v>
      </c>
      <c r="J622" s="1256">
        <f t="shared" si="898"/>
        <v>0.14849037456933128</v>
      </c>
      <c r="K622" s="1255">
        <f t="shared" si="898"/>
        <v>0.10303314418391177</v>
      </c>
      <c r="L622" s="1256">
        <f t="shared" si="898"/>
        <v>7.6284215820102044E-2</v>
      </c>
      <c r="M622" s="1256">
        <f t="shared" si="898"/>
        <v>8.2124757723495867E-2</v>
      </c>
      <c r="N622" s="1256">
        <f t="shared" si="898"/>
        <v>9.1605564215745477E-2</v>
      </c>
      <c r="O622" s="1256">
        <f t="shared" si="898"/>
        <v>0.1542566264083651</v>
      </c>
      <c r="P622" s="1255">
        <f t="shared" si="898"/>
        <v>0.1068940279254836</v>
      </c>
      <c r="Q622" s="1256">
        <f t="shared" si="898"/>
        <v>6.9787207619077085E-2</v>
      </c>
      <c r="R622" s="1256">
        <f t="shared" si="898"/>
        <v>7.3949360619257082E-2</v>
      </c>
      <c r="S622" s="1256">
        <f t="shared" si="898"/>
        <v>8.9834118183692496E-2</v>
      </c>
      <c r="T622" s="1256">
        <f t="shared" si="898"/>
        <v>0.14037662390058908</v>
      </c>
      <c r="U622" s="1255">
        <f t="shared" si="898"/>
        <v>9.8196375065563529E-2</v>
      </c>
      <c r="V622" s="1256">
        <f t="shared" si="898"/>
        <v>5.7864835396063359E-2</v>
      </c>
      <c r="W622" s="1256">
        <f t="shared" si="898"/>
        <v>7.1849798408840565E-2</v>
      </c>
      <c r="X622" s="1256">
        <f t="shared" si="898"/>
        <v>8.8309237705609139E-2</v>
      </c>
      <c r="Y622" s="1256">
        <f t="shared" si="898"/>
        <v>0.13645775967212553</v>
      </c>
      <c r="Z622" s="1255">
        <f t="shared" si="898"/>
        <v>9.296154145747329E-2</v>
      </c>
      <c r="AA622" s="1256">
        <f t="shared" si="898"/>
        <v>5.6206573597827235E-2</v>
      </c>
      <c r="AB622" s="1256">
        <f t="shared" si="898"/>
        <v>6.7895799455062689E-2</v>
      </c>
      <c r="AC622" s="1256">
        <f t="shared" si="898"/>
        <v>8.5284329842319359E-2</v>
      </c>
      <c r="AD622" s="1256">
        <f t="shared" si="898"/>
        <v>0.11842301075652865</v>
      </c>
      <c r="AE622" s="1255">
        <f t="shared" si="898"/>
        <v>8.5748340201411061E-2</v>
      </c>
      <c r="AF622" s="1256">
        <f t="shared" si="898"/>
        <v>5.5320033250207776E-2</v>
      </c>
      <c r="AG622" s="1256">
        <f t="shared" si="898"/>
        <v>5.8161474434077189E-2</v>
      </c>
      <c r="AH622" s="1256">
        <f t="shared" si="898"/>
        <v>6.9554298027314859E-2</v>
      </c>
      <c r="AI622" s="1256">
        <f t="shared" si="898"/>
        <v>0.1093710861690796</v>
      </c>
      <c r="AJ622" s="1255">
        <f t="shared" si="898"/>
        <v>7.6866058618804356E-2</v>
      </c>
      <c r="AK622" s="1256">
        <f t="shared" si="898"/>
        <v>5.9729343857059573E-2</v>
      </c>
      <c r="AL622" s="1256">
        <f t="shared" si="898"/>
        <v>6.2856813542902387E-2</v>
      </c>
      <c r="AM622" s="1256">
        <f t="shared" si="898"/>
        <v>7.0636379770283295E-2</v>
      </c>
      <c r="AN622" s="1256">
        <f t="shared" si="898"/>
        <v>0.11048335041956178</v>
      </c>
      <c r="AO622" s="1255">
        <f t="shared" si="898"/>
        <v>7.8988363528838854E-2</v>
      </c>
      <c r="AP622" s="1256">
        <f t="shared" si="898"/>
        <v>3.9382190619679507E-2</v>
      </c>
      <c r="AQ622" s="1256">
        <f t="shared" si="898"/>
        <v>0.12433851608926075</v>
      </c>
      <c r="AR622" s="1256">
        <f t="shared" si="898"/>
        <v>0.15562391472885792</v>
      </c>
      <c r="AS622" s="1256">
        <f t="shared" si="898"/>
        <v>0.17537913169475131</v>
      </c>
      <c r="AT622" s="1255">
        <f t="shared" si="898"/>
        <v>0.13425794268742919</v>
      </c>
      <c r="AU622" s="1256">
        <f t="shared" si="898"/>
        <v>0.15733129639359891</v>
      </c>
      <c r="AV622" s="1256">
        <f t="shared" si="898"/>
        <v>0.16583356387158493</v>
      </c>
      <c r="AW622" s="1256">
        <f t="shared" si="898"/>
        <v>0.16129949173129307</v>
      </c>
      <c r="AX622" s="1256">
        <f t="shared" si="898"/>
        <v>0.20974246999934798</v>
      </c>
      <c r="AY622" s="1255">
        <f t="shared" si="898"/>
        <v>0.17622208079228363</v>
      </c>
      <c r="AZ622" s="1256">
        <f t="shared" si="898"/>
        <v>0.17104292610035707</v>
      </c>
      <c r="BA622" s="1256">
        <f t="shared" si="898"/>
        <v>0.17100101659058989</v>
      </c>
      <c r="BB622" s="1256">
        <f t="shared" si="898"/>
        <v>0.1549014993336599</v>
      </c>
      <c r="BC622" s="1256">
        <f t="shared" si="898"/>
        <v>0.19150911976336654</v>
      </c>
      <c r="BD622" s="1255">
        <f t="shared" si="898"/>
        <v>0.17274036975626128</v>
      </c>
      <c r="BE622" s="1256">
        <f>BE762/BE749</f>
        <v>0.11363290687122561</v>
      </c>
      <c r="BF622" s="1256">
        <f>BF762/BF749</f>
        <v>0.14578866045246089</v>
      </c>
      <c r="BG622" s="1256">
        <f t="shared" ref="BG622:BV622" si="899">BG762/BG749</f>
        <v>0.16997653278666428</v>
      </c>
      <c r="BH622" s="1256">
        <f t="shared" si="899"/>
        <v>0.20101082215085364</v>
      </c>
      <c r="BI622" s="1255">
        <f t="shared" si="899"/>
        <v>0.16052752723254757</v>
      </c>
      <c r="BJ622" s="1257">
        <f>BJ762/BJ749</f>
        <v>0.19503622132227702</v>
      </c>
      <c r="BK622" s="1256">
        <f t="shared" si="899"/>
        <v>0.13828928743913035</v>
      </c>
      <c r="BL622" s="1256">
        <f t="shared" si="899"/>
        <v>0.1698925627772625</v>
      </c>
      <c r="BM622" s="1256">
        <f t="shared" si="899"/>
        <v>0.20375941825160016</v>
      </c>
      <c r="BN622" s="730">
        <f t="shared" si="899"/>
        <v>0.17818419585872067</v>
      </c>
      <c r="BO622" s="1256">
        <f t="shared" si="899"/>
        <v>0.15505272019207467</v>
      </c>
      <c r="BP622" s="1256">
        <f t="shared" si="899"/>
        <v>0.13789659103370613</v>
      </c>
      <c r="BQ622" s="1256">
        <f t="shared" si="899"/>
        <v>0.17811358400315136</v>
      </c>
      <c r="BR622" s="1256">
        <f t="shared" si="899"/>
        <v>0.19742236011077335</v>
      </c>
      <c r="BS622" s="730">
        <f t="shared" si="899"/>
        <v>0.16893223939975299</v>
      </c>
      <c r="BT622" s="730">
        <f t="shared" si="899"/>
        <v>0.16975144833598299</v>
      </c>
      <c r="BU622" s="730">
        <f t="shared" si="899"/>
        <v>0.1710993153972786</v>
      </c>
      <c r="BV622" s="730">
        <f t="shared" si="899"/>
        <v>0.17230958798599716</v>
      </c>
      <c r="BW622" s="216"/>
    </row>
    <row r="623" spans="1:75" s="217" customFormat="1" hidden="1" outlineLevel="2" x14ac:dyDescent="0.5">
      <c r="A623" s="178"/>
      <c r="B623" s="179"/>
      <c r="C623" s="1255"/>
      <c r="D623" s="1255"/>
      <c r="E623" s="1255"/>
      <c r="F623" s="1255"/>
      <c r="G623" s="1256"/>
      <c r="H623" s="1256"/>
      <c r="I623" s="1256"/>
      <c r="J623" s="1256"/>
      <c r="K623" s="1255"/>
      <c r="L623" s="1256"/>
      <c r="M623" s="1256"/>
      <c r="N623" s="1256"/>
      <c r="O623" s="1256"/>
      <c r="P623" s="1255"/>
      <c r="Q623" s="1256"/>
      <c r="R623" s="1256"/>
      <c r="S623" s="1256"/>
      <c r="T623" s="1256"/>
      <c r="U623" s="1255"/>
      <c r="V623" s="1256"/>
      <c r="W623" s="1256"/>
      <c r="X623" s="1256"/>
      <c r="Y623" s="1256"/>
      <c r="Z623" s="1255"/>
      <c r="AA623" s="1256"/>
      <c r="AB623" s="1256"/>
      <c r="AC623" s="1256"/>
      <c r="AD623" s="1256"/>
      <c r="AE623" s="1255"/>
      <c r="AF623" s="1256"/>
      <c r="AG623" s="1256"/>
      <c r="AH623" s="1256"/>
      <c r="AI623" s="1256"/>
      <c r="AJ623" s="1255"/>
      <c r="AK623" s="1256"/>
      <c r="AL623" s="1256"/>
      <c r="AM623" s="1256"/>
      <c r="AN623" s="1256"/>
      <c r="AO623" s="1255"/>
      <c r="AP623" s="1256"/>
      <c r="AQ623" s="1256"/>
      <c r="AR623" s="1256"/>
      <c r="AS623" s="1256"/>
      <c r="AT623" s="1255"/>
      <c r="AU623" s="1256"/>
      <c r="AV623" s="1256"/>
      <c r="AW623" s="1256"/>
      <c r="AX623" s="1256"/>
      <c r="AY623" s="1255"/>
      <c r="AZ623" s="1256"/>
      <c r="BA623" s="1256"/>
      <c r="BB623" s="1256"/>
      <c r="BC623" s="1256"/>
      <c r="BD623" s="1255"/>
      <c r="BE623" s="1256"/>
      <c r="BF623" s="1256"/>
      <c r="BG623" s="1256"/>
      <c r="BH623" s="1256"/>
      <c r="BI623" s="1255"/>
      <c r="BJ623" s="1257"/>
      <c r="BK623" s="1256"/>
      <c r="BL623" s="1256"/>
      <c r="BM623" s="1256"/>
      <c r="BN623" s="730"/>
      <c r="BO623" s="1256"/>
      <c r="BP623" s="1256"/>
      <c r="BQ623" s="1256"/>
      <c r="BR623" s="1256"/>
      <c r="BS623" s="730"/>
      <c r="BT623" s="730"/>
      <c r="BU623" s="730"/>
      <c r="BV623" s="730"/>
      <c r="BW623" s="216"/>
    </row>
    <row r="624" spans="1:75" s="217" customFormat="1" hidden="1" outlineLevel="2" x14ac:dyDescent="0.5">
      <c r="A624" s="652" t="s">
        <v>1035</v>
      </c>
      <c r="B624" s="658"/>
      <c r="C624" s="654">
        <f t="shared" ref="C624:BD624" si="900">(C754+C755)/C751</f>
        <v>0.64442724797466988</v>
      </c>
      <c r="D624" s="654">
        <f t="shared" si="900"/>
        <v>0.60793463080146504</v>
      </c>
      <c r="E624" s="654">
        <f t="shared" si="900"/>
        <v>0.60765998503048335</v>
      </c>
      <c r="F624" s="654">
        <f t="shared" si="900"/>
        <v>0.60610259543344203</v>
      </c>
      <c r="G624" s="655">
        <f t="shared" si="900"/>
        <v>0.62358415333044992</v>
      </c>
      <c r="H624" s="655">
        <f t="shared" si="900"/>
        <v>0.62439358629375219</v>
      </c>
      <c r="I624" s="655">
        <f t="shared" si="900"/>
        <v>0.61448455039617778</v>
      </c>
      <c r="J624" s="655">
        <f t="shared" si="900"/>
        <v>0.59373303580927539</v>
      </c>
      <c r="K624" s="654">
        <f t="shared" si="900"/>
        <v>0.61160913596492517</v>
      </c>
      <c r="L624" s="655">
        <f t="shared" si="900"/>
        <v>0.62188580870957477</v>
      </c>
      <c r="M624" s="655">
        <f t="shared" si="900"/>
        <v>0.63228056533429822</v>
      </c>
      <c r="N624" s="655">
        <f t="shared" si="900"/>
        <v>0.62261954123737495</v>
      </c>
      <c r="O624" s="655">
        <f t="shared" si="900"/>
        <v>0.59887103833995303</v>
      </c>
      <c r="P624" s="654">
        <f t="shared" si="900"/>
        <v>0.6168096027874832</v>
      </c>
      <c r="Q624" s="655">
        <f t="shared" si="900"/>
        <v>0.63243444108526836</v>
      </c>
      <c r="R624" s="655">
        <f t="shared" si="900"/>
        <v>0.63920594696848698</v>
      </c>
      <c r="S624" s="655">
        <f t="shared" si="900"/>
        <v>0.63380034770413007</v>
      </c>
      <c r="T624" s="655">
        <f t="shared" si="900"/>
        <v>0.61699648995400624</v>
      </c>
      <c r="U624" s="654">
        <f t="shared" si="900"/>
        <v>0.62938491868113322</v>
      </c>
      <c r="V624" s="655">
        <f t="shared" si="900"/>
        <v>0.64245680290977458</v>
      </c>
      <c r="W624" s="655">
        <f t="shared" si="900"/>
        <v>0.64579057124541317</v>
      </c>
      <c r="X624" s="655">
        <f t="shared" si="900"/>
        <v>0.6320631772504085</v>
      </c>
      <c r="Y624" s="655">
        <f t="shared" si="900"/>
        <v>0.6067030395534595</v>
      </c>
      <c r="Z624" s="654">
        <f t="shared" si="900"/>
        <v>0.62954767013414348</v>
      </c>
      <c r="AA624" s="655">
        <f t="shared" si="900"/>
        <v>0.64394286315785676</v>
      </c>
      <c r="AB624" s="655">
        <f t="shared" si="900"/>
        <v>0.64821164341722659</v>
      </c>
      <c r="AC624" s="655">
        <f t="shared" si="900"/>
        <v>0.64053408818042445</v>
      </c>
      <c r="AD624" s="655">
        <f t="shared" si="900"/>
        <v>0.61505077100235661</v>
      </c>
      <c r="AE624" s="654">
        <f t="shared" si="900"/>
        <v>0.63490572758515718</v>
      </c>
      <c r="AF624" s="655">
        <f t="shared" si="900"/>
        <v>0.64006999881893634</v>
      </c>
      <c r="AG624" s="655">
        <f t="shared" si="900"/>
        <v>0.63519651744611672</v>
      </c>
      <c r="AH624" s="655">
        <f t="shared" si="900"/>
        <v>0.63488468315247815</v>
      </c>
      <c r="AI624" s="655">
        <f t="shared" si="900"/>
        <v>0.61265181734087182</v>
      </c>
      <c r="AJ624" s="654">
        <f t="shared" si="900"/>
        <v>0.62885481207570604</v>
      </c>
      <c r="AK624" s="655">
        <f t="shared" si="900"/>
        <v>0.64154014238614421</v>
      </c>
      <c r="AL624" s="655">
        <f t="shared" si="900"/>
        <v>0.64638528640647086</v>
      </c>
      <c r="AM624" s="655">
        <f t="shared" si="900"/>
        <v>0.64027170024790769</v>
      </c>
      <c r="AN624" s="655">
        <f t="shared" si="900"/>
        <v>0.62376504537342903</v>
      </c>
      <c r="AO624" s="654">
        <f t="shared" si="900"/>
        <v>0.63679991617508835</v>
      </c>
      <c r="AP624" s="655">
        <f t="shared" si="900"/>
        <v>0.65541048718307837</v>
      </c>
      <c r="AQ624" s="655">
        <f t="shared" si="900"/>
        <v>0.63025858327570117</v>
      </c>
      <c r="AR624" s="655">
        <f t="shared" si="900"/>
        <v>0.60013113929100903</v>
      </c>
      <c r="AS624" s="655">
        <f t="shared" si="900"/>
        <v>0.57899621969639792</v>
      </c>
      <c r="AT624" s="654">
        <f t="shared" si="900"/>
        <v>0.60967518375206708</v>
      </c>
      <c r="AU624" s="655">
        <f t="shared" si="900"/>
        <v>0.56955945270204211</v>
      </c>
      <c r="AV624" s="655">
        <f t="shared" si="900"/>
        <v>0.55942574675146373</v>
      </c>
      <c r="AW624" s="655">
        <f t="shared" si="900"/>
        <v>0.56265301906337317</v>
      </c>
      <c r="AX624" s="655">
        <f t="shared" si="900"/>
        <v>0.55009038279844025</v>
      </c>
      <c r="AY624" s="654">
        <f t="shared" si="900"/>
        <v>0.55954508984789597</v>
      </c>
      <c r="AZ624" s="655">
        <f t="shared" si="900"/>
        <v>0.56189923261459362</v>
      </c>
      <c r="BA624" s="655">
        <f t="shared" si="900"/>
        <v>0.56547699525201212</v>
      </c>
      <c r="BB624" s="655">
        <f t="shared" si="900"/>
        <v>0.58472279612911582</v>
      </c>
      <c r="BC624" s="655">
        <f t="shared" si="900"/>
        <v>0.58833368187490109</v>
      </c>
      <c r="BD624" s="654">
        <f t="shared" si="900"/>
        <v>0.57602533980093418</v>
      </c>
      <c r="BE624" s="655">
        <f>(BE754+BE755)/BE751</f>
        <v>0.61423018927899442</v>
      </c>
      <c r="BF624" s="655">
        <f>(BF754+BF755)/BF751</f>
        <v>0.59327751214153868</v>
      </c>
      <c r="BG624" s="655">
        <f t="shared" ref="BG624:BV624" si="901">(BG754+BG755)/BG751</f>
        <v>0.55635637795700366</v>
      </c>
      <c r="BH624" s="655">
        <f t="shared" si="901"/>
        <v>0.53986661324994956</v>
      </c>
      <c r="BI624" s="654">
        <f t="shared" si="901"/>
        <v>0.57348852715874754</v>
      </c>
      <c r="BJ624" s="1258">
        <f>(BJ754+BJ755)/BJ751</f>
        <v>0.51665855591719323</v>
      </c>
      <c r="BK624" s="655">
        <f t="shared" si="901"/>
        <v>0.58077688515486914</v>
      </c>
      <c r="BL624" s="655">
        <f t="shared" si="901"/>
        <v>0.5414403479664055</v>
      </c>
      <c r="BM624" s="655">
        <f t="shared" si="901"/>
        <v>0.52711801714920303</v>
      </c>
      <c r="BN624" s="654">
        <f t="shared" si="901"/>
        <v>0.5411091281660978</v>
      </c>
      <c r="BO624" s="655">
        <f t="shared" si="901"/>
        <v>0.53864205704739554</v>
      </c>
      <c r="BP624" s="655">
        <f t="shared" si="901"/>
        <v>0.57616958156029341</v>
      </c>
      <c r="BQ624" s="655">
        <f t="shared" si="901"/>
        <v>0.53421932674051653</v>
      </c>
      <c r="BR624" s="655">
        <f t="shared" si="901"/>
        <v>0.52845507529002977</v>
      </c>
      <c r="BS624" s="654">
        <f t="shared" si="901"/>
        <v>0.54373234405018622</v>
      </c>
      <c r="BT624" s="654">
        <f t="shared" si="901"/>
        <v>0.53991313511395622</v>
      </c>
      <c r="BU624" s="654">
        <f t="shared" si="901"/>
        <v>0.53556526805266069</v>
      </c>
      <c r="BV624" s="654">
        <f t="shared" si="901"/>
        <v>0.53135499546394216</v>
      </c>
      <c r="BW624" s="422"/>
    </row>
    <row r="625" spans="1:75" s="217" customFormat="1" hidden="1" outlineLevel="1" collapsed="1" x14ac:dyDescent="0.5">
      <c r="A625" s="657" t="s">
        <v>1036</v>
      </c>
      <c r="B625" s="659"/>
      <c r="C625" s="180">
        <f t="shared" ref="C625:BD625" si="902">C756/C751</f>
        <v>0.35557275202533017</v>
      </c>
      <c r="D625" s="180">
        <f t="shared" si="902"/>
        <v>0.39206536919853496</v>
      </c>
      <c r="E625" s="180">
        <f t="shared" si="902"/>
        <v>0.3923400149695167</v>
      </c>
      <c r="F625" s="180">
        <f t="shared" si="902"/>
        <v>0.39389740456655797</v>
      </c>
      <c r="G625" s="183">
        <f t="shared" si="902"/>
        <v>0.37641584666955014</v>
      </c>
      <c r="H625" s="183">
        <f t="shared" si="902"/>
        <v>0.37560641370624787</v>
      </c>
      <c r="I625" s="183">
        <f t="shared" si="902"/>
        <v>0.38551544960382222</v>
      </c>
      <c r="J625" s="183">
        <f t="shared" si="902"/>
        <v>0.40626696419072456</v>
      </c>
      <c r="K625" s="180">
        <f t="shared" si="902"/>
        <v>0.38839086403507478</v>
      </c>
      <c r="L625" s="183">
        <f t="shared" si="902"/>
        <v>0.37811419129042523</v>
      </c>
      <c r="M625" s="183">
        <f t="shared" si="902"/>
        <v>0.36771943466570178</v>
      </c>
      <c r="N625" s="183">
        <f t="shared" si="902"/>
        <v>0.3773804587626251</v>
      </c>
      <c r="O625" s="183">
        <f t="shared" si="902"/>
        <v>0.40112896166004702</v>
      </c>
      <c r="P625" s="180">
        <f t="shared" si="902"/>
        <v>0.38319039721251685</v>
      </c>
      <c r="Q625" s="183">
        <f t="shared" si="902"/>
        <v>0.36756555891473164</v>
      </c>
      <c r="R625" s="183">
        <f t="shared" si="902"/>
        <v>0.36079405303151296</v>
      </c>
      <c r="S625" s="183">
        <f t="shared" si="902"/>
        <v>0.36619965229586998</v>
      </c>
      <c r="T625" s="183">
        <f t="shared" si="902"/>
        <v>0.3830035100459937</v>
      </c>
      <c r="U625" s="180">
        <f t="shared" si="902"/>
        <v>0.37061508131886678</v>
      </c>
      <c r="V625" s="183">
        <f t="shared" si="902"/>
        <v>0.35754319709022547</v>
      </c>
      <c r="W625" s="183">
        <f t="shared" si="902"/>
        <v>0.35420942875458683</v>
      </c>
      <c r="X625" s="183">
        <f t="shared" si="902"/>
        <v>0.36793682274959144</v>
      </c>
      <c r="Y625" s="183">
        <f t="shared" si="902"/>
        <v>0.3932969604465405</v>
      </c>
      <c r="Z625" s="180">
        <f t="shared" si="902"/>
        <v>0.37045232986585658</v>
      </c>
      <c r="AA625" s="183">
        <f t="shared" si="902"/>
        <v>0.35605713684214324</v>
      </c>
      <c r="AB625" s="183">
        <f t="shared" si="902"/>
        <v>0.35178835658277341</v>
      </c>
      <c r="AC625" s="183">
        <f t="shared" si="902"/>
        <v>0.35946591181957555</v>
      </c>
      <c r="AD625" s="183">
        <f t="shared" si="902"/>
        <v>0.38494922899764339</v>
      </c>
      <c r="AE625" s="180">
        <f t="shared" si="902"/>
        <v>0.36509427241484282</v>
      </c>
      <c r="AF625" s="183">
        <f t="shared" si="902"/>
        <v>0.35993000118106372</v>
      </c>
      <c r="AG625" s="183">
        <f t="shared" si="902"/>
        <v>0.36480348255388328</v>
      </c>
      <c r="AH625" s="183">
        <f t="shared" si="902"/>
        <v>0.36511531684752185</v>
      </c>
      <c r="AI625" s="183">
        <f t="shared" si="902"/>
        <v>0.38734818265912824</v>
      </c>
      <c r="AJ625" s="180">
        <f t="shared" si="902"/>
        <v>0.37114518792429396</v>
      </c>
      <c r="AK625" s="183">
        <f t="shared" si="902"/>
        <v>0.35845985761385574</v>
      </c>
      <c r="AL625" s="183">
        <f t="shared" si="902"/>
        <v>0.3536147135935292</v>
      </c>
      <c r="AM625" s="183">
        <f t="shared" si="902"/>
        <v>0.35972829975209225</v>
      </c>
      <c r="AN625" s="183">
        <f t="shared" si="902"/>
        <v>0.37623495462657097</v>
      </c>
      <c r="AO625" s="180">
        <f t="shared" si="902"/>
        <v>0.3632000838249117</v>
      </c>
      <c r="AP625" s="183">
        <f t="shared" si="902"/>
        <v>0.34458951281692157</v>
      </c>
      <c r="AQ625" s="183">
        <f t="shared" si="902"/>
        <v>0.36974141672429878</v>
      </c>
      <c r="AR625" s="183">
        <f t="shared" si="902"/>
        <v>0.39986886070899097</v>
      </c>
      <c r="AS625" s="183">
        <f t="shared" si="902"/>
        <v>0.42100378030360208</v>
      </c>
      <c r="AT625" s="180">
        <f t="shared" si="902"/>
        <v>0.39032481624793297</v>
      </c>
      <c r="AU625" s="183">
        <f t="shared" si="902"/>
        <v>0.43044054729795789</v>
      </c>
      <c r="AV625" s="183">
        <f t="shared" si="902"/>
        <v>0.44057425324853627</v>
      </c>
      <c r="AW625" s="183">
        <f t="shared" si="902"/>
        <v>0.43734698093662683</v>
      </c>
      <c r="AX625" s="183">
        <f t="shared" si="902"/>
        <v>0.44990961720155975</v>
      </c>
      <c r="AY625" s="180">
        <f t="shared" si="902"/>
        <v>0.44045491015210403</v>
      </c>
      <c r="AZ625" s="183">
        <f t="shared" si="902"/>
        <v>0.43810076738540638</v>
      </c>
      <c r="BA625" s="183">
        <f t="shared" si="902"/>
        <v>0.43452300474798788</v>
      </c>
      <c r="BB625" s="183">
        <f t="shared" si="902"/>
        <v>0.41527720387088418</v>
      </c>
      <c r="BC625" s="183">
        <f t="shared" si="902"/>
        <v>0.41166631812509891</v>
      </c>
      <c r="BD625" s="180">
        <f t="shared" si="902"/>
        <v>0.42397466019906577</v>
      </c>
      <c r="BE625" s="183">
        <f>BE756/BE751</f>
        <v>0.38576981072100558</v>
      </c>
      <c r="BF625" s="183">
        <f>BF756/BF751</f>
        <v>0.40672248785846127</v>
      </c>
      <c r="BG625" s="183">
        <f t="shared" ref="BG625:BV625" si="903">BG756/BG751</f>
        <v>0.44364362204299629</v>
      </c>
      <c r="BH625" s="183">
        <f t="shared" si="903"/>
        <v>0.4601333867500505</v>
      </c>
      <c r="BI625" s="180">
        <f t="shared" si="903"/>
        <v>0.42651147284125257</v>
      </c>
      <c r="BJ625" s="1112">
        <f>BJ756/BJ751</f>
        <v>0.48334144408280671</v>
      </c>
      <c r="BK625" s="183">
        <f t="shared" si="903"/>
        <v>0.41922311484513081</v>
      </c>
      <c r="BL625" s="183">
        <f t="shared" si="903"/>
        <v>0.45855965203359456</v>
      </c>
      <c r="BM625" s="183">
        <f t="shared" si="903"/>
        <v>0.47288198285079697</v>
      </c>
      <c r="BN625" s="180">
        <f t="shared" si="903"/>
        <v>0.4588908718339022</v>
      </c>
      <c r="BO625" s="183">
        <f t="shared" si="903"/>
        <v>0.46135794295260441</v>
      </c>
      <c r="BP625" s="183">
        <f t="shared" si="903"/>
        <v>0.42383041843970665</v>
      </c>
      <c r="BQ625" s="183">
        <f t="shared" si="903"/>
        <v>0.46578067325948347</v>
      </c>
      <c r="BR625" s="183">
        <f t="shared" si="903"/>
        <v>0.47154492470997017</v>
      </c>
      <c r="BS625" s="180">
        <f t="shared" si="903"/>
        <v>0.45626765594981378</v>
      </c>
      <c r="BT625" s="180">
        <f t="shared" si="903"/>
        <v>0.46008686488604378</v>
      </c>
      <c r="BU625" s="180">
        <f t="shared" si="903"/>
        <v>0.46443473194733936</v>
      </c>
      <c r="BV625" s="180">
        <f t="shared" si="903"/>
        <v>0.4686450045360579</v>
      </c>
      <c r="BW625" s="422"/>
    </row>
    <row r="626" spans="1:75" s="177" customFormat="1" ht="14.25" hidden="1" outlineLevel="1" x14ac:dyDescent="0.45">
      <c r="A626" s="189" t="s">
        <v>195</v>
      </c>
      <c r="B626" s="1259"/>
      <c r="C626" s="172"/>
      <c r="D626" s="172"/>
      <c r="E626" s="172"/>
      <c r="F626" s="172"/>
      <c r="G626" s="175"/>
      <c r="H626" s="175"/>
      <c r="I626" s="175"/>
      <c r="J626" s="175"/>
      <c r="K626" s="172"/>
      <c r="L626" s="175"/>
      <c r="M626" s="175"/>
      <c r="N626" s="175"/>
      <c r="O626" s="175"/>
      <c r="P626" s="172"/>
      <c r="Q626" s="175"/>
      <c r="R626" s="175"/>
      <c r="S626" s="175"/>
      <c r="T626" s="175"/>
      <c r="U626" s="172"/>
      <c r="V626" s="175"/>
      <c r="W626" s="175"/>
      <c r="X626" s="175"/>
      <c r="Y626" s="175"/>
      <c r="Z626" s="172"/>
      <c r="AA626" s="175"/>
      <c r="AB626" s="175"/>
      <c r="AC626" s="175"/>
      <c r="AD626" s="175"/>
      <c r="AE626" s="172"/>
      <c r="AF626" s="175"/>
      <c r="AG626" s="175"/>
      <c r="AH626" s="175"/>
      <c r="AI626" s="175"/>
      <c r="AJ626" s="172"/>
      <c r="AK626" s="175"/>
      <c r="AL626" s="175"/>
      <c r="AM626" s="175"/>
      <c r="AN626" s="175"/>
      <c r="AO626" s="172"/>
      <c r="AP626" s="175"/>
      <c r="AQ626" s="175"/>
      <c r="AR626" s="175"/>
      <c r="AS626" s="175"/>
      <c r="AT626" s="172"/>
      <c r="AU626" s="175"/>
      <c r="AV626" s="175"/>
      <c r="AW626" s="175"/>
      <c r="AX626" s="175"/>
      <c r="AY626" s="172"/>
      <c r="AZ626" s="175"/>
      <c r="BA626" s="175"/>
      <c r="BB626" s="175"/>
      <c r="BC626" s="175"/>
      <c r="BD626" s="172"/>
      <c r="BE626" s="175"/>
      <c r="BF626" s="175"/>
      <c r="BG626" s="175"/>
      <c r="BH626" s="175"/>
      <c r="BI626" s="172"/>
      <c r="BJ626" s="1111"/>
      <c r="BK626" s="175" t="str">
        <f t="shared" ref="BK626:BV626" ca="1" si="904">IFERROR(VLOOKUP($A626,tb_ConsensusEstimate,MATCH(BK$5,OFFSET(tb_ConsensusEstimate,0,0,1,COLUMNS(tb_ConsensusEstimate)),0),FALSE),"-")</f>
        <v>N/A</v>
      </c>
      <c r="BL626" s="175" t="str">
        <f t="shared" ca="1" si="904"/>
        <v>N/A</v>
      </c>
      <c r="BM626" s="175" t="str">
        <f t="shared" ca="1" si="904"/>
        <v>N/A</v>
      </c>
      <c r="BN626" s="172" t="str">
        <f t="shared" ca="1" si="904"/>
        <v>N/A</v>
      </c>
      <c r="BO626" s="175" t="str">
        <f t="shared" ca="1" si="904"/>
        <v>N/A</v>
      </c>
      <c r="BP626" s="175" t="str">
        <f t="shared" ca="1" si="904"/>
        <v>N/A</v>
      </c>
      <c r="BQ626" s="175" t="str">
        <f t="shared" ca="1" si="904"/>
        <v>N/A</v>
      </c>
      <c r="BR626" s="175" t="str">
        <f t="shared" ca="1" si="904"/>
        <v>N/A</v>
      </c>
      <c r="BS626" s="172" t="str">
        <f t="shared" ca="1" si="904"/>
        <v>N/A</v>
      </c>
      <c r="BT626" s="172" t="str">
        <f t="shared" ca="1" si="904"/>
        <v>N/A</v>
      </c>
      <c r="BU626" s="172" t="str">
        <f t="shared" ca="1" si="904"/>
        <v>N/A</v>
      </c>
      <c r="BV626" s="172" t="str">
        <f t="shared" ca="1" si="904"/>
        <v>N/A</v>
      </c>
      <c r="BW626" s="378"/>
    </row>
    <row r="627" spans="1:75" s="217" customFormat="1" hidden="1" outlineLevel="1" x14ac:dyDescent="0.5">
      <c r="A627" s="178"/>
      <c r="B627" s="179"/>
      <c r="C627" s="1255"/>
      <c r="D627" s="1255"/>
      <c r="E627" s="1255"/>
      <c r="F627" s="1255"/>
      <c r="G627" s="1256"/>
      <c r="H627" s="1256"/>
      <c r="I627" s="1256"/>
      <c r="J627" s="1256"/>
      <c r="K627" s="1255"/>
      <c r="L627" s="1256"/>
      <c r="M627" s="1256"/>
      <c r="N627" s="1256"/>
      <c r="O627" s="1256"/>
      <c r="P627" s="1255"/>
      <c r="Q627" s="1256"/>
      <c r="R627" s="1256"/>
      <c r="S627" s="1256"/>
      <c r="T627" s="1256"/>
      <c r="U627" s="1255"/>
      <c r="V627" s="1256"/>
      <c r="W627" s="1256"/>
      <c r="X627" s="1256"/>
      <c r="Y627" s="1256"/>
      <c r="Z627" s="1255"/>
      <c r="AA627" s="1256"/>
      <c r="AB627" s="1256"/>
      <c r="AC627" s="1256"/>
      <c r="AD627" s="1256"/>
      <c r="AE627" s="1255"/>
      <c r="AF627" s="1256"/>
      <c r="AG627" s="1256"/>
      <c r="AH627" s="1256"/>
      <c r="AI627" s="1256"/>
      <c r="AJ627" s="1255"/>
      <c r="AK627" s="1256"/>
      <c r="AL627" s="1256"/>
      <c r="AM627" s="1256"/>
      <c r="AN627" s="1256"/>
      <c r="AO627" s="1255"/>
      <c r="AP627" s="1256"/>
      <c r="AQ627" s="1256"/>
      <c r="AR627" s="1256"/>
      <c r="AS627" s="1256"/>
      <c r="AT627" s="1255"/>
      <c r="AU627" s="1256"/>
      <c r="AV627" s="1256"/>
      <c r="AW627" s="1256"/>
      <c r="AX627" s="1256"/>
      <c r="AY627" s="1255"/>
      <c r="AZ627" s="1256"/>
      <c r="BA627" s="1256"/>
      <c r="BB627" s="1256"/>
      <c r="BC627" s="1256"/>
      <c r="BD627" s="1255"/>
      <c r="BE627" s="1256"/>
      <c r="BF627" s="1256"/>
      <c r="BG627" s="1256"/>
      <c r="BH627" s="1256"/>
      <c r="BI627" s="1255"/>
      <c r="BJ627" s="1257"/>
      <c r="BK627" s="1256"/>
      <c r="BL627" s="1256"/>
      <c r="BM627" s="1256"/>
      <c r="BN627" s="730"/>
      <c r="BO627" s="1256"/>
      <c r="BP627" s="1256"/>
      <c r="BQ627" s="1256"/>
      <c r="BR627" s="1256"/>
      <c r="BS627" s="730"/>
      <c r="BT627" s="730"/>
      <c r="BU627" s="730"/>
      <c r="BV627" s="730"/>
      <c r="BW627" s="216"/>
    </row>
    <row r="628" spans="1:75" s="217" customFormat="1" hidden="1" outlineLevel="1" x14ac:dyDescent="0.5">
      <c r="A628" s="526" t="s">
        <v>1037</v>
      </c>
      <c r="B628" s="663"/>
      <c r="C628" s="213">
        <f t="shared" ref="C628:BD628" si="905">C760/C751</f>
        <v>0.30331317457288864</v>
      </c>
      <c r="D628" s="213">
        <f t="shared" si="905"/>
        <v>0.29365228394381759</v>
      </c>
      <c r="E628" s="213">
        <f t="shared" si="905"/>
        <v>0.28894231092250655</v>
      </c>
      <c r="F628" s="213">
        <f t="shared" si="905"/>
        <v>0.29096236089708549</v>
      </c>
      <c r="G628" s="214">
        <f t="shared" si="905"/>
        <v>0.30126558895617073</v>
      </c>
      <c r="H628" s="214">
        <f t="shared" si="905"/>
        <v>0.29610602224170218</v>
      </c>
      <c r="I628" s="214">
        <f t="shared" si="905"/>
        <v>0.29755560373848838</v>
      </c>
      <c r="J628" s="214">
        <f t="shared" si="905"/>
        <v>0.25777658962139333</v>
      </c>
      <c r="K628" s="213">
        <f t="shared" si="905"/>
        <v>0.28468860538632584</v>
      </c>
      <c r="L628" s="214">
        <f t="shared" si="905"/>
        <v>0.3018299754703232</v>
      </c>
      <c r="M628" s="214">
        <f t="shared" si="905"/>
        <v>0.28559467694220586</v>
      </c>
      <c r="N628" s="214">
        <f t="shared" si="905"/>
        <v>0.2857748945468796</v>
      </c>
      <c r="O628" s="214">
        <f t="shared" si="905"/>
        <v>0.25167998703088273</v>
      </c>
      <c r="P628" s="213">
        <f t="shared" si="905"/>
        <v>0.27787424615091899</v>
      </c>
      <c r="Q628" s="214">
        <f t="shared" si="905"/>
        <v>0.29777835129565455</v>
      </c>
      <c r="R628" s="214">
        <f t="shared" si="905"/>
        <v>0.28684469241225591</v>
      </c>
      <c r="S628" s="214">
        <f t="shared" si="905"/>
        <v>0.27636553411217757</v>
      </c>
      <c r="T628" s="214">
        <f t="shared" si="905"/>
        <v>0.24262688614540465</v>
      </c>
      <c r="U628" s="213">
        <f t="shared" si="905"/>
        <v>0.27241870625330328</v>
      </c>
      <c r="V628" s="214">
        <f t="shared" si="905"/>
        <v>0.28763537092247615</v>
      </c>
      <c r="W628" s="214">
        <f t="shared" si="905"/>
        <v>0.28235963034574629</v>
      </c>
      <c r="X628" s="214">
        <f t="shared" si="905"/>
        <v>0.27867607205803829</v>
      </c>
      <c r="Y628" s="214">
        <f t="shared" si="905"/>
        <v>0.25683920077441497</v>
      </c>
      <c r="Z628" s="213">
        <f t="shared" si="905"/>
        <v>0.27465708802764544</v>
      </c>
      <c r="AA628" s="214">
        <f t="shared" si="905"/>
        <v>0.29471789201507503</v>
      </c>
      <c r="AB628" s="214">
        <f t="shared" si="905"/>
        <v>0.28389255712771078</v>
      </c>
      <c r="AC628" s="214">
        <f t="shared" si="905"/>
        <v>0.27418158197725606</v>
      </c>
      <c r="AD628" s="214">
        <f t="shared" si="905"/>
        <v>0.26106965040827573</v>
      </c>
      <c r="AE628" s="213">
        <f t="shared" si="905"/>
        <v>0.27653865275774475</v>
      </c>
      <c r="AF628" s="214">
        <f t="shared" si="905"/>
        <v>0.29740182615740085</v>
      </c>
      <c r="AG628" s="214">
        <f t="shared" si="905"/>
        <v>0.29706850000823876</v>
      </c>
      <c r="AH628" s="214">
        <f t="shared" si="905"/>
        <v>0.2888662876242834</v>
      </c>
      <c r="AI628" s="214">
        <f t="shared" si="905"/>
        <v>0.26876585998864672</v>
      </c>
      <c r="AJ628" s="213">
        <f t="shared" si="905"/>
        <v>0.28601170733772741</v>
      </c>
      <c r="AK628" s="214">
        <f t="shared" si="905"/>
        <v>0.2883061592159416</v>
      </c>
      <c r="AL628" s="214">
        <f t="shared" si="905"/>
        <v>0.28502918703777463</v>
      </c>
      <c r="AM628" s="214">
        <f t="shared" si="905"/>
        <v>0.28355628393480081</v>
      </c>
      <c r="AN628" s="214">
        <f t="shared" si="905"/>
        <v>0.26047657017015718</v>
      </c>
      <c r="AO628" s="213">
        <f t="shared" si="905"/>
        <v>0.27768392311438034</v>
      </c>
      <c r="AP628" s="214">
        <f t="shared" si="905"/>
        <v>0.2806316046836026</v>
      </c>
      <c r="AQ628" s="214">
        <f t="shared" si="905"/>
        <v>0.23889890976316375</v>
      </c>
      <c r="AR628" s="214">
        <f t="shared" si="905"/>
        <v>0.24298739158623003</v>
      </c>
      <c r="AS628" s="214">
        <f t="shared" si="905"/>
        <v>0.242018377675316</v>
      </c>
      <c r="AT628" s="213">
        <f t="shared" si="905"/>
        <v>0.24861624819830316</v>
      </c>
      <c r="AU628" s="214">
        <f t="shared" si="905"/>
        <v>0.27148606455353225</v>
      </c>
      <c r="AV628" s="214">
        <f t="shared" si="905"/>
        <v>0.27332563788950487</v>
      </c>
      <c r="AW628" s="214">
        <f t="shared" si="905"/>
        <v>0.27470343666225649</v>
      </c>
      <c r="AX628" s="214">
        <f t="shared" si="905"/>
        <v>0.23984248083488857</v>
      </c>
      <c r="AY628" s="213">
        <f t="shared" si="905"/>
        <v>0.26312197911795587</v>
      </c>
      <c r="AZ628" s="214">
        <f t="shared" si="905"/>
        <v>0.26705784128504934</v>
      </c>
      <c r="BA628" s="214">
        <f t="shared" si="905"/>
        <v>0.26352198815739802</v>
      </c>
      <c r="BB628" s="214">
        <f t="shared" si="905"/>
        <v>0.26037570453722431</v>
      </c>
      <c r="BC628" s="214">
        <f t="shared" si="905"/>
        <v>0.21294707589930864</v>
      </c>
      <c r="BD628" s="213">
        <f t="shared" si="905"/>
        <v>0.24919530615141056</v>
      </c>
      <c r="BE628" s="214">
        <f>BE760/BE751</f>
        <v>0.25718519058635075</v>
      </c>
      <c r="BF628" s="214">
        <f>BF760/BF751</f>
        <v>0.26093382740600041</v>
      </c>
      <c r="BG628" s="214">
        <f t="shared" ref="BG628:BV628" si="906">BG760/BG751</f>
        <v>0.2736670892563321</v>
      </c>
      <c r="BH628" s="214">
        <f t="shared" si="906"/>
        <v>0.25912256459919686</v>
      </c>
      <c r="BI628" s="213">
        <f t="shared" si="906"/>
        <v>0.26259752082792515</v>
      </c>
      <c r="BJ628" s="1117">
        <f>BJ760/BJ751</f>
        <v>0.28830522276052972</v>
      </c>
      <c r="BK628" s="214">
        <f t="shared" si="906"/>
        <v>0.28093382740600042</v>
      </c>
      <c r="BL628" s="214">
        <f t="shared" si="906"/>
        <v>0.28866708925633211</v>
      </c>
      <c r="BM628" s="214">
        <f t="shared" si="906"/>
        <v>0.26912256459919687</v>
      </c>
      <c r="BN628" s="213">
        <f t="shared" si="906"/>
        <v>0.28070667597518156</v>
      </c>
      <c r="BO628" s="214">
        <f t="shared" si="906"/>
        <v>0.30630522276052974</v>
      </c>
      <c r="BP628" s="214">
        <f t="shared" si="906"/>
        <v>0.28593382740600037</v>
      </c>
      <c r="BQ628" s="214">
        <f t="shared" si="906"/>
        <v>0.28766708925633205</v>
      </c>
      <c r="BR628" s="214">
        <f t="shared" si="906"/>
        <v>0.27412256459919687</v>
      </c>
      <c r="BS628" s="213">
        <f t="shared" si="906"/>
        <v>0.28733541655006073</v>
      </c>
      <c r="BT628" s="213">
        <f t="shared" si="906"/>
        <v>0.29033541655006073</v>
      </c>
      <c r="BU628" s="213">
        <f t="shared" si="906"/>
        <v>0.29333541655006073</v>
      </c>
      <c r="BV628" s="213">
        <f t="shared" si="906"/>
        <v>0.29633541655006074</v>
      </c>
      <c r="BW628" s="422"/>
    </row>
    <row r="629" spans="1:75" s="217" customFormat="1" hidden="1" outlineLevel="1" x14ac:dyDescent="0.5">
      <c r="A629" s="664" t="s">
        <v>1038</v>
      </c>
      <c r="B629" s="658"/>
      <c r="C629" s="654">
        <f t="shared" ref="C629:BD629" si="907">C761/C751</f>
        <v>0</v>
      </c>
      <c r="D629" s="654">
        <f t="shared" si="907"/>
        <v>0</v>
      </c>
      <c r="E629" s="654">
        <f t="shared" si="907"/>
        <v>0</v>
      </c>
      <c r="F629" s="654">
        <f t="shared" si="907"/>
        <v>0</v>
      </c>
      <c r="G629" s="655">
        <f t="shared" si="907"/>
        <v>0</v>
      </c>
      <c r="H629" s="655">
        <f t="shared" si="907"/>
        <v>0</v>
      </c>
      <c r="I629" s="655">
        <f t="shared" si="907"/>
        <v>0</v>
      </c>
      <c r="J629" s="655">
        <f t="shared" si="907"/>
        <v>0</v>
      </c>
      <c r="K629" s="654">
        <f t="shared" si="907"/>
        <v>0</v>
      </c>
      <c r="L629" s="655">
        <f t="shared" si="907"/>
        <v>0</v>
      </c>
      <c r="M629" s="655">
        <f t="shared" si="907"/>
        <v>0</v>
      </c>
      <c r="N629" s="655">
        <f t="shared" si="907"/>
        <v>0</v>
      </c>
      <c r="O629" s="655">
        <f t="shared" si="907"/>
        <v>0</v>
      </c>
      <c r="P629" s="654">
        <f t="shared" si="907"/>
        <v>0</v>
      </c>
      <c r="Q629" s="655">
        <f t="shared" si="907"/>
        <v>0</v>
      </c>
      <c r="R629" s="655">
        <f t="shared" si="907"/>
        <v>0</v>
      </c>
      <c r="S629" s="655">
        <f t="shared" si="907"/>
        <v>0</v>
      </c>
      <c r="T629" s="655">
        <f t="shared" si="907"/>
        <v>0</v>
      </c>
      <c r="U629" s="654">
        <f t="shared" si="907"/>
        <v>0</v>
      </c>
      <c r="V629" s="655">
        <f t="shared" si="907"/>
        <v>0</v>
      </c>
      <c r="W629" s="655">
        <f t="shared" si="907"/>
        <v>0</v>
      </c>
      <c r="X629" s="655">
        <f t="shared" si="907"/>
        <v>0</v>
      </c>
      <c r="Y629" s="655">
        <f t="shared" si="907"/>
        <v>0</v>
      </c>
      <c r="Z629" s="654">
        <f t="shared" si="907"/>
        <v>0</v>
      </c>
      <c r="AA629" s="655">
        <f t="shared" si="907"/>
        <v>0</v>
      </c>
      <c r="AB629" s="655">
        <f t="shared" si="907"/>
        <v>0</v>
      </c>
      <c r="AC629" s="655">
        <f t="shared" si="907"/>
        <v>0</v>
      </c>
      <c r="AD629" s="655">
        <f t="shared" si="907"/>
        <v>0</v>
      </c>
      <c r="AE629" s="654">
        <f t="shared" si="907"/>
        <v>0</v>
      </c>
      <c r="AF629" s="655">
        <f t="shared" si="907"/>
        <v>0</v>
      </c>
      <c r="AG629" s="655">
        <f t="shared" si="907"/>
        <v>0</v>
      </c>
      <c r="AH629" s="655">
        <f t="shared" si="907"/>
        <v>0</v>
      </c>
      <c r="AI629" s="655">
        <f t="shared" si="907"/>
        <v>0</v>
      </c>
      <c r="AJ629" s="654">
        <f t="shared" si="907"/>
        <v>0</v>
      </c>
      <c r="AK629" s="655">
        <f t="shared" si="907"/>
        <v>0</v>
      </c>
      <c r="AL629" s="655">
        <f t="shared" si="907"/>
        <v>0</v>
      </c>
      <c r="AM629" s="655">
        <f t="shared" si="907"/>
        <v>0</v>
      </c>
      <c r="AN629" s="655">
        <f t="shared" si="907"/>
        <v>0</v>
      </c>
      <c r="AO629" s="654">
        <f t="shared" si="907"/>
        <v>0</v>
      </c>
      <c r="AP629" s="655">
        <f t="shared" si="907"/>
        <v>0</v>
      </c>
      <c r="AQ629" s="655">
        <f t="shared" si="907"/>
        <v>0</v>
      </c>
      <c r="AR629" s="655">
        <f t="shared" si="907"/>
        <v>0</v>
      </c>
      <c r="AS629" s="655">
        <f t="shared" si="907"/>
        <v>0</v>
      </c>
      <c r="AT629" s="654">
        <f t="shared" si="907"/>
        <v>0</v>
      </c>
      <c r="AU629" s="655">
        <f t="shared" si="907"/>
        <v>0</v>
      </c>
      <c r="AV629" s="655">
        <f t="shared" si="907"/>
        <v>0</v>
      </c>
      <c r="AW629" s="655">
        <f t="shared" si="907"/>
        <v>0</v>
      </c>
      <c r="AX629" s="655">
        <f t="shared" si="907"/>
        <v>0</v>
      </c>
      <c r="AY629" s="654">
        <f t="shared" si="907"/>
        <v>0</v>
      </c>
      <c r="AZ629" s="655">
        <f t="shared" si="907"/>
        <v>0</v>
      </c>
      <c r="BA629" s="655">
        <f t="shared" si="907"/>
        <v>0</v>
      </c>
      <c r="BB629" s="655">
        <f t="shared" si="907"/>
        <v>0</v>
      </c>
      <c r="BC629" s="655">
        <f t="shared" si="907"/>
        <v>0</v>
      </c>
      <c r="BD629" s="654">
        <f t="shared" si="907"/>
        <v>0</v>
      </c>
      <c r="BE629" s="655">
        <f>BE761/BE751</f>
        <v>0</v>
      </c>
      <c r="BF629" s="655">
        <f>BF761/BF751</f>
        <v>0</v>
      </c>
      <c r="BG629" s="655">
        <f t="shared" ref="BG629:BV629" si="908">BG761/BG751</f>
        <v>0</v>
      </c>
      <c r="BH629" s="655">
        <f t="shared" si="908"/>
        <v>0</v>
      </c>
      <c r="BI629" s="654">
        <f t="shared" si="908"/>
        <v>0</v>
      </c>
      <c r="BJ629" s="1258">
        <f>BJ761/BJ751</f>
        <v>0</v>
      </c>
      <c r="BK629" s="655">
        <f t="shared" si="908"/>
        <v>0</v>
      </c>
      <c r="BL629" s="655">
        <f t="shared" si="908"/>
        <v>0</v>
      </c>
      <c r="BM629" s="655">
        <f t="shared" si="908"/>
        <v>0</v>
      </c>
      <c r="BN629" s="654">
        <f t="shared" si="908"/>
        <v>0</v>
      </c>
      <c r="BO629" s="655">
        <f t="shared" si="908"/>
        <v>0</v>
      </c>
      <c r="BP629" s="655">
        <f t="shared" si="908"/>
        <v>0</v>
      </c>
      <c r="BQ629" s="655">
        <f t="shared" si="908"/>
        <v>0</v>
      </c>
      <c r="BR629" s="655">
        <f t="shared" si="908"/>
        <v>0</v>
      </c>
      <c r="BS629" s="654">
        <f t="shared" si="908"/>
        <v>0</v>
      </c>
      <c r="BT629" s="654">
        <f t="shared" si="908"/>
        <v>0</v>
      </c>
      <c r="BU629" s="654">
        <f t="shared" si="908"/>
        <v>0</v>
      </c>
      <c r="BV629" s="654">
        <f t="shared" si="908"/>
        <v>0</v>
      </c>
      <c r="BW629" s="422"/>
    </row>
    <row r="630" spans="1:75" s="217" customFormat="1" hidden="1" outlineLevel="1" x14ac:dyDescent="0.5">
      <c r="A630" s="527" t="s">
        <v>1039</v>
      </c>
      <c r="B630" s="665"/>
      <c r="C630" s="529">
        <f t="shared" ref="C630:BD630" si="909">C763/C751</f>
        <v>5.2259577452441502E-2</v>
      </c>
      <c r="D630" s="529">
        <f t="shared" si="909"/>
        <v>9.8413085254717397E-2</v>
      </c>
      <c r="E630" s="529">
        <f t="shared" si="909"/>
        <v>0.10339770404701012</v>
      </c>
      <c r="F630" s="529">
        <f t="shared" si="909"/>
        <v>0.10293504366947244</v>
      </c>
      <c r="G630" s="530">
        <f t="shared" si="909"/>
        <v>7.5150257713379395E-2</v>
      </c>
      <c r="H630" s="530">
        <f t="shared" si="909"/>
        <v>7.9500391464545697E-2</v>
      </c>
      <c r="I630" s="530">
        <f t="shared" si="909"/>
        <v>8.7959845865333799E-2</v>
      </c>
      <c r="J630" s="530">
        <f t="shared" si="909"/>
        <v>0.14849037456933123</v>
      </c>
      <c r="K630" s="529">
        <f t="shared" si="909"/>
        <v>0.10370225864874894</v>
      </c>
      <c r="L630" s="530">
        <f t="shared" si="909"/>
        <v>7.6284215820102044E-2</v>
      </c>
      <c r="M630" s="530">
        <f t="shared" si="909"/>
        <v>8.2124757723495923E-2</v>
      </c>
      <c r="N630" s="530">
        <f t="shared" si="909"/>
        <v>9.1605564215745477E-2</v>
      </c>
      <c r="O630" s="530">
        <f t="shared" si="909"/>
        <v>0.14944897462916429</v>
      </c>
      <c r="P630" s="529">
        <f t="shared" si="909"/>
        <v>0.10531615106159782</v>
      </c>
      <c r="Q630" s="530">
        <f t="shared" si="909"/>
        <v>6.9787207619077085E-2</v>
      </c>
      <c r="R630" s="530">
        <f t="shared" si="909"/>
        <v>7.394936061925704E-2</v>
      </c>
      <c r="S630" s="530">
        <f t="shared" si="909"/>
        <v>8.9834118183692399E-2</v>
      </c>
      <c r="T630" s="530">
        <f t="shared" si="909"/>
        <v>0.14037662390058908</v>
      </c>
      <c r="U630" s="529">
        <f t="shared" si="909"/>
        <v>9.8196375065563529E-2</v>
      </c>
      <c r="V630" s="530">
        <f t="shared" si="909"/>
        <v>6.9907826167749307E-2</v>
      </c>
      <c r="W630" s="530">
        <f t="shared" si="909"/>
        <v>7.184979840884051E-2</v>
      </c>
      <c r="X630" s="530">
        <f t="shared" si="909"/>
        <v>8.9260750691553162E-2</v>
      </c>
      <c r="Y630" s="530">
        <f t="shared" si="909"/>
        <v>0.13645775967212553</v>
      </c>
      <c r="Z630" s="529">
        <f t="shared" si="909"/>
        <v>9.5795241838211143E-2</v>
      </c>
      <c r="AA630" s="530">
        <f t="shared" si="909"/>
        <v>6.1339244827068193E-2</v>
      </c>
      <c r="AB630" s="530">
        <f t="shared" si="909"/>
        <v>6.7895799455062647E-2</v>
      </c>
      <c r="AC630" s="530">
        <f t="shared" si="909"/>
        <v>8.5284329842319456E-2</v>
      </c>
      <c r="AD630" s="530">
        <f t="shared" si="909"/>
        <v>0.12387957858936764</v>
      </c>
      <c r="AE630" s="529">
        <f t="shared" si="909"/>
        <v>8.8555619657098072E-2</v>
      </c>
      <c r="AF630" s="530">
        <f t="shared" si="909"/>
        <v>6.252817502366291E-2</v>
      </c>
      <c r="AG630" s="530">
        <f t="shared" si="909"/>
        <v>6.7734982545644501E-2</v>
      </c>
      <c r="AH630" s="530">
        <f t="shared" si="909"/>
        <v>7.6249029223238465E-2</v>
      </c>
      <c r="AI630" s="530">
        <f t="shared" si="909"/>
        <v>0.11858232267048149</v>
      </c>
      <c r="AJ630" s="529">
        <f t="shared" si="909"/>
        <v>8.5133480586566515E-2</v>
      </c>
      <c r="AK630" s="530">
        <f t="shared" si="909"/>
        <v>7.0153698397914147E-2</v>
      </c>
      <c r="AL630" s="530">
        <f t="shared" si="909"/>
        <v>6.858552655575452E-2</v>
      </c>
      <c r="AM630" s="530">
        <f t="shared" si="909"/>
        <v>7.6172015817291452E-2</v>
      </c>
      <c r="AN630" s="530">
        <f t="shared" si="909"/>
        <v>0.11575838445641377</v>
      </c>
      <c r="AO630" s="529">
        <f t="shared" si="909"/>
        <v>8.551616071053135E-2</v>
      </c>
      <c r="AP630" s="530">
        <f t="shared" si="909"/>
        <v>6.3957908133318961E-2</v>
      </c>
      <c r="AQ630" s="530">
        <f t="shared" si="909"/>
        <v>0.13084250696113503</v>
      </c>
      <c r="AR630" s="530">
        <f t="shared" si="909"/>
        <v>0.15688146912276094</v>
      </c>
      <c r="AS630" s="530">
        <f t="shared" si="909"/>
        <v>0.17898540262828611</v>
      </c>
      <c r="AT630" s="529">
        <f t="shared" si="909"/>
        <v>0.14170856804962983</v>
      </c>
      <c r="AU630" s="530">
        <f t="shared" si="909"/>
        <v>0.15895448274442561</v>
      </c>
      <c r="AV630" s="530">
        <f t="shared" si="909"/>
        <v>0.16724861535903141</v>
      </c>
      <c r="AW630" s="530">
        <f t="shared" si="909"/>
        <v>0.16264354427437031</v>
      </c>
      <c r="AX630" s="530">
        <f t="shared" si="909"/>
        <v>0.21006713636667121</v>
      </c>
      <c r="AY630" s="529">
        <f t="shared" si="909"/>
        <v>0.17733293103414816</v>
      </c>
      <c r="AZ630" s="530">
        <f t="shared" si="909"/>
        <v>0.17104292610035707</v>
      </c>
      <c r="BA630" s="530">
        <f t="shared" si="909"/>
        <v>0.17100101659058989</v>
      </c>
      <c r="BB630" s="530">
        <f t="shared" si="909"/>
        <v>0.1549014993336599</v>
      </c>
      <c r="BC630" s="530">
        <f t="shared" si="909"/>
        <v>0.19871924222579029</v>
      </c>
      <c r="BD630" s="529">
        <f t="shared" si="909"/>
        <v>0.17477935404765521</v>
      </c>
      <c r="BE630" s="530">
        <f>BE763/BE751</f>
        <v>0.12858462013465483</v>
      </c>
      <c r="BF630" s="530">
        <f>BF763/BF751</f>
        <v>0.14578866045246089</v>
      </c>
      <c r="BG630" s="530">
        <f t="shared" ref="BG630:BV630" si="910">BG763/BG751</f>
        <v>0.16997653278666419</v>
      </c>
      <c r="BH630" s="530">
        <f t="shared" si="910"/>
        <v>0.20101082215085364</v>
      </c>
      <c r="BI630" s="529">
        <f t="shared" si="910"/>
        <v>0.16391395201332737</v>
      </c>
      <c r="BJ630" s="1260">
        <f>BJ763/BJ751</f>
        <v>0.19503622132227702</v>
      </c>
      <c r="BK630" s="530">
        <f t="shared" si="910"/>
        <v>0.13828928743913035</v>
      </c>
      <c r="BL630" s="530">
        <f t="shared" si="910"/>
        <v>0.16989256277726245</v>
      </c>
      <c r="BM630" s="530">
        <f t="shared" si="910"/>
        <v>0.2037594182516001</v>
      </c>
      <c r="BN630" s="529">
        <f t="shared" si="910"/>
        <v>0.17818419585872061</v>
      </c>
      <c r="BO630" s="530">
        <f t="shared" si="910"/>
        <v>0.15505272019207467</v>
      </c>
      <c r="BP630" s="530">
        <f t="shared" si="910"/>
        <v>0.13789659103370625</v>
      </c>
      <c r="BQ630" s="530">
        <f t="shared" si="910"/>
        <v>0.17811358400315142</v>
      </c>
      <c r="BR630" s="530">
        <f t="shared" si="910"/>
        <v>0.19742236011077335</v>
      </c>
      <c r="BS630" s="529">
        <f t="shared" si="910"/>
        <v>0.16893223939975305</v>
      </c>
      <c r="BT630" s="529">
        <f t="shared" si="910"/>
        <v>0.16975144833598299</v>
      </c>
      <c r="BU630" s="529">
        <f t="shared" si="910"/>
        <v>0.1710993153972786</v>
      </c>
      <c r="BV630" s="529">
        <f t="shared" si="910"/>
        <v>0.17230958798599716</v>
      </c>
      <c r="BW630" s="422"/>
    </row>
    <row r="631" spans="1:75" s="177" customFormat="1" ht="14.25" hidden="1" outlineLevel="1" x14ac:dyDescent="0.45">
      <c r="A631" s="170" t="s">
        <v>200</v>
      </c>
      <c r="B631" s="171"/>
      <c r="C631" s="661"/>
      <c r="D631" s="661"/>
      <c r="E631" s="661"/>
      <c r="F631" s="661"/>
      <c r="G631" s="1261"/>
      <c r="H631" s="1261"/>
      <c r="I631" s="1261"/>
      <c r="J631" s="1261"/>
      <c r="K631" s="661"/>
      <c r="L631" s="1261"/>
      <c r="M631" s="1261"/>
      <c r="N631" s="1261"/>
      <c r="O631" s="1261"/>
      <c r="P631" s="661"/>
      <c r="Q631" s="1261"/>
      <c r="R631" s="1261"/>
      <c r="S631" s="1261"/>
      <c r="T631" s="1261"/>
      <c r="U631" s="661"/>
      <c r="V631" s="1261"/>
      <c r="W631" s="1261"/>
      <c r="X631" s="1261"/>
      <c r="Y631" s="1261"/>
      <c r="Z631" s="661"/>
      <c r="AA631" s="1261"/>
      <c r="AB631" s="1261"/>
      <c r="AC631" s="1261"/>
      <c r="AD631" s="1261"/>
      <c r="AE631" s="661"/>
      <c r="AF631" s="1261"/>
      <c r="AG631" s="1261"/>
      <c r="AH631" s="1261"/>
      <c r="AI631" s="1261"/>
      <c r="AJ631" s="661"/>
      <c r="AK631" s="1261"/>
      <c r="AL631" s="1261"/>
      <c r="AM631" s="1261"/>
      <c r="AN631" s="1261"/>
      <c r="AO631" s="661"/>
      <c r="AP631" s="1261"/>
      <c r="AQ631" s="1261"/>
      <c r="AR631" s="1261"/>
      <c r="AS631" s="1261"/>
      <c r="AT631" s="661"/>
      <c r="AU631" s="1261"/>
      <c r="AV631" s="1261"/>
      <c r="AW631" s="1261"/>
      <c r="AX631" s="1261"/>
      <c r="AY631" s="661"/>
      <c r="AZ631" s="1261"/>
      <c r="BA631" s="1261"/>
      <c r="BB631" s="1261"/>
      <c r="BC631" s="1261"/>
      <c r="BD631" s="661"/>
      <c r="BE631" s="1261"/>
      <c r="BF631" s="1261"/>
      <c r="BG631" s="1261"/>
      <c r="BH631" s="1261"/>
      <c r="BI631" s="661"/>
      <c r="BJ631" s="1262"/>
      <c r="BK631" s="175">
        <f t="shared" ref="BK631:BV631" ca="1" si="911">IFERROR(BK764/BK752,0)</f>
        <v>0</v>
      </c>
      <c r="BL631" s="175">
        <f t="shared" ca="1" si="911"/>
        <v>0</v>
      </c>
      <c r="BM631" s="175">
        <f t="shared" ca="1" si="911"/>
        <v>0</v>
      </c>
      <c r="BN631" s="172">
        <f t="shared" ca="1" si="911"/>
        <v>0</v>
      </c>
      <c r="BO631" s="175">
        <f t="shared" ca="1" si="911"/>
        <v>0</v>
      </c>
      <c r="BP631" s="175">
        <f t="shared" ca="1" si="911"/>
        <v>0</v>
      </c>
      <c r="BQ631" s="175">
        <f t="shared" ca="1" si="911"/>
        <v>0</v>
      </c>
      <c r="BR631" s="175">
        <f t="shared" ca="1" si="911"/>
        <v>0</v>
      </c>
      <c r="BS631" s="172">
        <f t="shared" ca="1" si="911"/>
        <v>0</v>
      </c>
      <c r="BT631" s="172">
        <f t="shared" ca="1" si="911"/>
        <v>0</v>
      </c>
      <c r="BU631" s="172">
        <f t="shared" ca="1" si="911"/>
        <v>0</v>
      </c>
      <c r="BV631" s="172">
        <f t="shared" ca="1" si="911"/>
        <v>0</v>
      </c>
      <c r="BW631" s="176"/>
    </row>
    <row r="632" spans="1:75" s="217" customFormat="1" hidden="1" outlineLevel="1" x14ac:dyDescent="0.5">
      <c r="A632" s="178"/>
      <c r="B632" s="179"/>
      <c r="C632" s="1255"/>
      <c r="D632" s="1255"/>
      <c r="E632" s="1255"/>
      <c r="F632" s="1255"/>
      <c r="G632" s="1256"/>
      <c r="H632" s="1256"/>
      <c r="I632" s="1256"/>
      <c r="J632" s="1256"/>
      <c r="K632" s="1255"/>
      <c r="L632" s="1256"/>
      <c r="M632" s="1256"/>
      <c r="N632" s="1256"/>
      <c r="O632" s="1256"/>
      <c r="P632" s="1255"/>
      <c r="Q632" s="1256"/>
      <c r="R632" s="1256"/>
      <c r="S632" s="1256"/>
      <c r="T632" s="1256"/>
      <c r="U632" s="1255"/>
      <c r="V632" s="1256"/>
      <c r="W632" s="1256"/>
      <c r="X632" s="1256"/>
      <c r="Y632" s="1256"/>
      <c r="Z632" s="1255"/>
      <c r="AA632" s="1256"/>
      <c r="AB632" s="1256"/>
      <c r="AC632" s="1256"/>
      <c r="AD632" s="1256"/>
      <c r="AE632" s="1255"/>
      <c r="AF632" s="1256"/>
      <c r="AG632" s="1256"/>
      <c r="AH632" s="1256"/>
      <c r="AI632" s="1256"/>
      <c r="AJ632" s="1255"/>
      <c r="AK632" s="1256"/>
      <c r="AL632" s="1256"/>
      <c r="AM632" s="1256"/>
      <c r="AN632" s="1256"/>
      <c r="AO632" s="1255"/>
      <c r="AP632" s="1256"/>
      <c r="AQ632" s="1256"/>
      <c r="AR632" s="1256"/>
      <c r="AS632" s="1256"/>
      <c r="AT632" s="1255"/>
      <c r="AU632" s="1256"/>
      <c r="AV632" s="1256"/>
      <c r="AW632" s="1256"/>
      <c r="AX632" s="1256"/>
      <c r="AY632" s="1255"/>
      <c r="AZ632" s="1256"/>
      <c r="BA632" s="1256"/>
      <c r="BB632" s="1256"/>
      <c r="BC632" s="1256"/>
      <c r="BD632" s="1255"/>
      <c r="BE632" s="1256"/>
      <c r="BF632" s="1256"/>
      <c r="BG632" s="1256"/>
      <c r="BH632" s="1256"/>
      <c r="BI632" s="1255"/>
      <c r="BJ632" s="1257"/>
      <c r="BK632" s="1256"/>
      <c r="BL632" s="1256"/>
      <c r="BM632" s="1256"/>
      <c r="BN632" s="730"/>
      <c r="BO632" s="1256"/>
      <c r="BP632" s="1256"/>
      <c r="BQ632" s="1256"/>
      <c r="BR632" s="1256"/>
      <c r="BS632" s="730"/>
      <c r="BT632" s="730"/>
      <c r="BU632" s="730"/>
      <c r="BV632" s="730"/>
      <c r="BW632" s="216"/>
    </row>
    <row r="633" spans="1:75" s="217" customFormat="1" hidden="1" outlineLevel="1" x14ac:dyDescent="0.5">
      <c r="A633" s="526" t="s">
        <v>1040</v>
      </c>
      <c r="B633" s="212"/>
      <c r="C633" s="1263">
        <f t="shared" ref="C633:BD633" si="912">C766/C749</f>
        <v>4.8923777453472837E-2</v>
      </c>
      <c r="D633" s="1263">
        <f t="shared" si="912"/>
        <v>4.127382384013506E-2</v>
      </c>
      <c r="E633" s="1263">
        <f t="shared" si="912"/>
        <v>3.5086450974832664E-2</v>
      </c>
      <c r="F633" s="1263">
        <f t="shared" si="912"/>
        <v>3.3256820031314388E-2</v>
      </c>
      <c r="G633" s="1264">
        <f t="shared" si="912"/>
        <v>4.1235267084775089E-2</v>
      </c>
      <c r="H633" s="1264">
        <f t="shared" si="912"/>
        <v>3.7897229612027579E-2</v>
      </c>
      <c r="I633" s="1264">
        <f t="shared" si="912"/>
        <v>3.5737788479460769E-2</v>
      </c>
      <c r="J633" s="1264">
        <f t="shared" si="912"/>
        <v>2.6176343018323358E-2</v>
      </c>
      <c r="K633" s="1263">
        <f t="shared" si="912"/>
        <v>3.41382838079997E-2</v>
      </c>
      <c r="L633" s="1264">
        <f t="shared" si="912"/>
        <v>3.9647757946486305E-2</v>
      </c>
      <c r="M633" s="1264">
        <f t="shared" si="912"/>
        <v>3.917036056133083E-2</v>
      </c>
      <c r="N633" s="1264">
        <f t="shared" si="912"/>
        <v>3.6567870520538656E-2</v>
      </c>
      <c r="O633" s="1264">
        <f t="shared" si="912"/>
        <v>2.6676177352678927E-2</v>
      </c>
      <c r="P633" s="1263">
        <f t="shared" si="912"/>
        <v>3.4535582996131499E-2</v>
      </c>
      <c r="Q633" s="1264">
        <f t="shared" si="912"/>
        <v>4.0243490679903293E-2</v>
      </c>
      <c r="R633" s="1264">
        <f t="shared" si="912"/>
        <v>3.7048768974683857E-2</v>
      </c>
      <c r="S633" s="1264">
        <f t="shared" si="912"/>
        <v>3.3975011403461777E-2</v>
      </c>
      <c r="T633" s="1264">
        <f t="shared" si="912"/>
        <v>2.6897114298394247E-2</v>
      </c>
      <c r="U633" s="1263">
        <f t="shared" si="912"/>
        <v>3.3713216601789754E-2</v>
      </c>
      <c r="V633" s="1264">
        <f t="shared" si="912"/>
        <v>3.756545945271389E-2</v>
      </c>
      <c r="W633" s="1264">
        <f t="shared" si="912"/>
        <v>3.6348529674408492E-2</v>
      </c>
      <c r="X633" s="1264">
        <f t="shared" si="912"/>
        <v>3.5632354653380285E-2</v>
      </c>
      <c r="Y633" s="1264">
        <f t="shared" si="912"/>
        <v>2.8737067529263433E-2</v>
      </c>
      <c r="Z633" s="1263">
        <f t="shared" si="912"/>
        <v>3.4067939569755921E-2</v>
      </c>
      <c r="AA633" s="1264">
        <f t="shared" si="912"/>
        <v>4.0440591017420494E-2</v>
      </c>
      <c r="AB633" s="1264">
        <f t="shared" si="912"/>
        <v>3.7531437093356726E-2</v>
      </c>
      <c r="AC633" s="1264">
        <f t="shared" si="912"/>
        <v>3.4960164268518695E-2</v>
      </c>
      <c r="AD633" s="1264">
        <f t="shared" si="912"/>
        <v>2.8337232351733119E-2</v>
      </c>
      <c r="AE633" s="1263">
        <f t="shared" si="912"/>
        <v>3.4592702422492502E-2</v>
      </c>
      <c r="AF633" s="1264">
        <f t="shared" si="912"/>
        <v>3.9794679966749791E-2</v>
      </c>
      <c r="AG633" s="1264">
        <f t="shared" si="912"/>
        <v>3.6023319170560252E-2</v>
      </c>
      <c r="AH633" s="1264">
        <f t="shared" si="912"/>
        <v>3.4899479212340913E-2</v>
      </c>
      <c r="AI633" s="1264">
        <f t="shared" si="912"/>
        <v>2.5942096539166081E-2</v>
      </c>
      <c r="AJ633" s="1263">
        <f t="shared" si="912"/>
        <v>3.329011796156741E-2</v>
      </c>
      <c r="AK633" s="1264">
        <f t="shared" si="912"/>
        <v>3.7738129385109724E-2</v>
      </c>
      <c r="AL633" s="1264">
        <f t="shared" si="912"/>
        <v>3.4217625440066991E-2</v>
      </c>
      <c r="AM633" s="1264">
        <f t="shared" si="912"/>
        <v>3.2410334481362553E-2</v>
      </c>
      <c r="AN633" s="1264">
        <f t="shared" si="912"/>
        <v>2.5636936629076953E-2</v>
      </c>
      <c r="AO633" s="1263">
        <f t="shared" si="912"/>
        <v>3.1834307447531435E-2</v>
      </c>
      <c r="AP633" s="1264">
        <f t="shared" si="912"/>
        <v>3.7422188903362442E-2</v>
      </c>
      <c r="AQ633" s="1264">
        <f t="shared" si="912"/>
        <v>3.1457421197134114E-2</v>
      </c>
      <c r="AR633" s="1264">
        <f t="shared" si="912"/>
        <v>2.6760576151464179E-2</v>
      </c>
      <c r="AS633" s="1264">
        <f t="shared" si="912"/>
        <v>2.1073655074229942E-2</v>
      </c>
      <c r="AT633" s="1263">
        <f t="shared" si="912"/>
        <v>2.781213968827936E-2</v>
      </c>
      <c r="AU633" s="1264">
        <f t="shared" si="912"/>
        <v>2.739920264329522E-2</v>
      </c>
      <c r="AV633" s="1264">
        <f t="shared" si="912"/>
        <v>2.5029011891667723E-2</v>
      </c>
      <c r="AW633" s="1264">
        <f t="shared" si="912"/>
        <v>2.4033730248849958E-2</v>
      </c>
      <c r="AX633" s="1264">
        <f t="shared" si="912"/>
        <v>2.0067740118167365E-2</v>
      </c>
      <c r="AY633" s="1263">
        <f t="shared" si="912"/>
        <v>2.377983530311174E-2</v>
      </c>
      <c r="AZ633" s="1264">
        <f t="shared" si="912"/>
        <v>2.6570580898009597E-2</v>
      </c>
      <c r="BA633" s="1264">
        <f t="shared" si="912"/>
        <v>2.4422501224540209E-2</v>
      </c>
      <c r="BB633" s="1264">
        <f t="shared" si="912"/>
        <v>2.5064148348014705E-2</v>
      </c>
      <c r="BC633" s="1264">
        <f t="shared" si="912"/>
        <v>2.3131338208023468E-2</v>
      </c>
      <c r="BD633" s="1263">
        <f t="shared" si="912"/>
        <v>2.4687883923495954E-2</v>
      </c>
      <c r="BE633" s="1264">
        <f>BE766/BE749</f>
        <v>3.1673911718413099E-2</v>
      </c>
      <c r="BF633" s="1264">
        <f>BF766/BF749</f>
        <v>2.9657782020321981E-2</v>
      </c>
      <c r="BG633" s="1264">
        <f t="shared" ref="BG633:BV633" si="913">BG766/BG749</f>
        <v>2.9770452890243562E-2</v>
      </c>
      <c r="BH633" s="1264">
        <f t="shared" si="913"/>
        <v>2.9207915795829379E-2</v>
      </c>
      <c r="BI633" s="1263">
        <f t="shared" si="913"/>
        <v>3.0009088267670899E-2</v>
      </c>
      <c r="BJ633" s="1265">
        <f>BJ766/BJ749</f>
        <v>3.4327743340552705E-2</v>
      </c>
      <c r="BK633" s="1264">
        <f t="shared" si="913"/>
        <v>2.8899607631741653E-2</v>
      </c>
      <c r="BL633" s="1264">
        <f t="shared" si="913"/>
        <v>2.9077959620328313E-2</v>
      </c>
      <c r="BM633" s="1264">
        <f t="shared" si="913"/>
        <v>2.434258951742202E-2</v>
      </c>
      <c r="BN633" s="423">
        <f t="shared" si="913"/>
        <v>2.8702385104327748E-2</v>
      </c>
      <c r="BO633" s="1264">
        <f t="shared" si="913"/>
        <v>3.1989064087515069E-2</v>
      </c>
      <c r="BP633" s="1264">
        <f t="shared" si="913"/>
        <v>2.9453144065220399E-2</v>
      </c>
      <c r="BQ633" s="1264">
        <f t="shared" si="913"/>
        <v>3.0810864367068789E-2</v>
      </c>
      <c r="BR633" s="1264">
        <f t="shared" si="913"/>
        <v>2.5982774362488234E-2</v>
      </c>
      <c r="BS633" s="423">
        <f t="shared" si="913"/>
        <v>2.9312000259531363E-2</v>
      </c>
      <c r="BT633" s="423">
        <f t="shared" si="913"/>
        <v>3.0116052725814732E-2</v>
      </c>
      <c r="BU633" s="423">
        <f t="shared" si="913"/>
        <v>3.1655729787813162E-2</v>
      </c>
      <c r="BV633" s="423">
        <f t="shared" si="913"/>
        <v>3.2118771546492557E-2</v>
      </c>
      <c r="BW633" s="216"/>
    </row>
    <row r="634" spans="1:75" s="217" customFormat="1" hidden="1" outlineLevel="1" x14ac:dyDescent="0.5">
      <c r="A634" s="526" t="s">
        <v>1042</v>
      </c>
      <c r="B634" s="212"/>
      <c r="C634" s="1263">
        <f t="shared" ref="C634:BD634" si="914">C767/C749</f>
        <v>8.0539426255292149E-3</v>
      </c>
      <c r="D634" s="1263">
        <f t="shared" si="914"/>
        <v>7.599543171283943E-3</v>
      </c>
      <c r="E634" s="1263">
        <f t="shared" si="914"/>
        <v>6.5403619290520156E-3</v>
      </c>
      <c r="F634" s="1263">
        <f t="shared" si="914"/>
        <v>7.67820879721584E-3</v>
      </c>
      <c r="G634" s="1264">
        <f t="shared" si="914"/>
        <v>1.0127189662629758E-2</v>
      </c>
      <c r="H634" s="1264">
        <f t="shared" si="914"/>
        <v>9.6527317505744718E-3</v>
      </c>
      <c r="I634" s="1264">
        <f t="shared" si="914"/>
        <v>9.4793580511778816E-3</v>
      </c>
      <c r="J634" s="1264">
        <f t="shared" si="914"/>
        <v>7.0571033414170365E-3</v>
      </c>
      <c r="K634" s="1263">
        <f t="shared" si="914"/>
        <v>8.8397860565752676E-3</v>
      </c>
      <c r="L634" s="1264">
        <f t="shared" si="914"/>
        <v>1.2693851159258156E-2</v>
      </c>
      <c r="M634" s="1264">
        <f t="shared" si="914"/>
        <v>9.453354916071759E-3</v>
      </c>
      <c r="N634" s="1264">
        <f t="shared" si="914"/>
        <v>1.096782433285921E-2</v>
      </c>
      <c r="O634" s="1264">
        <f t="shared" si="914"/>
        <v>6.421658425873388E-3</v>
      </c>
      <c r="P634" s="1263">
        <f t="shared" si="914"/>
        <v>9.4987591298819948E-3</v>
      </c>
      <c r="Q634" s="1264">
        <f t="shared" si="914"/>
        <v>1.3593020503048486E-2</v>
      </c>
      <c r="R634" s="1264">
        <f t="shared" si="914"/>
        <v>9.6741163484846873E-3</v>
      </c>
      <c r="S634" s="1264">
        <f t="shared" si="914"/>
        <v>9.1463068204875979E-3</v>
      </c>
      <c r="T634" s="1264">
        <f t="shared" si="914"/>
        <v>3.2623002904865629E-3</v>
      </c>
      <c r="U634" s="1263">
        <f t="shared" si="914"/>
        <v>8.3111438900823741E-3</v>
      </c>
      <c r="V634" s="1264">
        <f t="shared" si="914"/>
        <v>1.4330257228663794E-2</v>
      </c>
      <c r="W634" s="1264">
        <f t="shared" si="914"/>
        <v>1.0132619632468212E-2</v>
      </c>
      <c r="X634" s="1264">
        <f t="shared" si="914"/>
        <v>8.4303247590102673E-3</v>
      </c>
      <c r="Y634" s="1264">
        <f t="shared" si="914"/>
        <v>8.3087745743025479E-3</v>
      </c>
      <c r="Z634" s="1263">
        <f t="shared" si="914"/>
        <v>1.005465977105369E-2</v>
      </c>
      <c r="AA634" s="1264">
        <f t="shared" si="914"/>
        <v>8.8321531038490983E-3</v>
      </c>
      <c r="AB634" s="1264">
        <f t="shared" si="914"/>
        <v>1.0828840734816571E-2</v>
      </c>
      <c r="AC634" s="1264">
        <f t="shared" si="914"/>
        <v>5.6451910822143004E-3</v>
      </c>
      <c r="AD634" s="1264">
        <f t="shared" si="914"/>
        <v>7.633742283812822E-3</v>
      </c>
      <c r="AE634" s="1263">
        <f t="shared" si="914"/>
        <v>8.122653810899827E-3</v>
      </c>
      <c r="AF634" s="1264">
        <f t="shared" si="914"/>
        <v>1.0714048212801329E-2</v>
      </c>
      <c r="AG634" s="1264">
        <f t="shared" si="914"/>
        <v>1.0694226827083991E-2</v>
      </c>
      <c r="AH634" s="1264">
        <f t="shared" si="914"/>
        <v>1.0631673351840077E-2</v>
      </c>
      <c r="AI634" s="1264">
        <f t="shared" si="914"/>
        <v>1.0263902471961996E-2</v>
      </c>
      <c r="AJ634" s="1263">
        <f t="shared" si="914"/>
        <v>1.0544127549349892E-2</v>
      </c>
      <c r="AK634" s="1264">
        <f t="shared" si="914"/>
        <v>1.4929113099976472E-2</v>
      </c>
      <c r="AL634" s="1264">
        <f t="shared" si="914"/>
        <v>1.230801552945914E-2</v>
      </c>
      <c r="AM634" s="1264">
        <f t="shared" si="914"/>
        <v>9.7852852603031431E-3</v>
      </c>
      <c r="AN634" s="1264">
        <f t="shared" si="914"/>
        <v>7.9448250424443596E-3</v>
      </c>
      <c r="AO634" s="1263">
        <f t="shared" si="914"/>
        <v>1.0878757709382557E-2</v>
      </c>
      <c r="AP634" s="1264">
        <f t="shared" si="914"/>
        <v>1.5951224211728759E-2</v>
      </c>
      <c r="AQ634" s="1264">
        <f t="shared" si="914"/>
        <v>9.1844722584263124E-3</v>
      </c>
      <c r="AR634" s="1264">
        <f t="shared" si="914"/>
        <v>1.2057560741180681E-2</v>
      </c>
      <c r="AS634" s="1264">
        <f t="shared" si="914"/>
        <v>8.0752902834377149E-3</v>
      </c>
      <c r="AT634" s="1263">
        <f t="shared" si="914"/>
        <v>1.078917305709748E-2</v>
      </c>
      <c r="AU634" s="1264">
        <f t="shared" si="914"/>
        <v>1.5054067142397294E-2</v>
      </c>
      <c r="AV634" s="1264">
        <f t="shared" si="914"/>
        <v>1.0229226022781457E-2</v>
      </c>
      <c r="AW634" s="1264">
        <f t="shared" si="914"/>
        <v>1.1870836159897324E-2</v>
      </c>
      <c r="AX634" s="1264">
        <f t="shared" si="914"/>
        <v>9.8655393440060055E-3</v>
      </c>
      <c r="AY634" s="1263">
        <f t="shared" si="914"/>
        <v>1.154993199074065E-2</v>
      </c>
      <c r="AZ634" s="1264">
        <f t="shared" si="914"/>
        <v>1.5091789615947742E-2</v>
      </c>
      <c r="BA634" s="1264">
        <f t="shared" si="914"/>
        <v>1.0854081122338469E-2</v>
      </c>
      <c r="BB634" s="1264">
        <f t="shared" si="914"/>
        <v>7.3219877641529972E-3</v>
      </c>
      <c r="BC634" s="1264">
        <f t="shared" si="914"/>
        <v>9.1603246369154866E-3</v>
      </c>
      <c r="BD634" s="1263">
        <f t="shared" si="914"/>
        <v>1.0406232488016198E-2</v>
      </c>
      <c r="BE634" s="1264">
        <f>BE767/BE749</f>
        <v>1.3356111905145743E-2</v>
      </c>
      <c r="BF634" s="1264">
        <f>BF767/BF749</f>
        <v>1.1120393167881267E-2</v>
      </c>
      <c r="BG634" s="1264">
        <f t="shared" ref="BG634:BV634" si="915">BG767/BG749</f>
        <v>1.2017371132630216E-2</v>
      </c>
      <c r="BH634" s="1264">
        <f t="shared" si="915"/>
        <v>8.03839684905726E-3</v>
      </c>
      <c r="BI634" s="1263">
        <f t="shared" si="915"/>
        <v>1.0935080042298378E-2</v>
      </c>
      <c r="BJ634" s="1265">
        <f>BJ767/BJ749</f>
        <v>1.3837460580552994E-2</v>
      </c>
      <c r="BK634" s="1264">
        <f t="shared" si="915"/>
        <v>1.0999999999999999E-2</v>
      </c>
      <c r="BL634" s="1264">
        <f t="shared" si="915"/>
        <v>0.01</v>
      </c>
      <c r="BM634" s="1264">
        <f t="shared" si="915"/>
        <v>8.0000000000000002E-3</v>
      </c>
      <c r="BN634" s="423">
        <f t="shared" si="915"/>
        <v>1.0447043446674735E-2</v>
      </c>
      <c r="BO634" s="1264">
        <f t="shared" si="915"/>
        <v>1.4000000000000002E-2</v>
      </c>
      <c r="BP634" s="1264">
        <f t="shared" si="915"/>
        <v>1.0999999999999999E-2</v>
      </c>
      <c r="BQ634" s="1264">
        <f t="shared" si="915"/>
        <v>0.01</v>
      </c>
      <c r="BR634" s="1264">
        <f t="shared" si="915"/>
        <v>8.0000000000000002E-3</v>
      </c>
      <c r="BS634" s="423">
        <f t="shared" si="915"/>
        <v>1.0531698914222931E-2</v>
      </c>
      <c r="BT634" s="423">
        <f t="shared" si="915"/>
        <v>1.0999999999999999E-2</v>
      </c>
      <c r="BU634" s="423">
        <f t="shared" si="915"/>
        <v>1.0999999999999999E-2</v>
      </c>
      <c r="BV634" s="423">
        <f t="shared" si="915"/>
        <v>1.0999999999999999E-2</v>
      </c>
      <c r="BW634" s="216"/>
    </row>
    <row r="635" spans="1:75" s="217" customFormat="1" hidden="1" outlineLevel="1" x14ac:dyDescent="0.5">
      <c r="A635" s="527" t="s">
        <v>1043</v>
      </c>
      <c r="B635" s="528"/>
      <c r="C635" s="1266">
        <f t="shared" ref="C635:BD635" si="916">C768/C749</f>
        <v>9.6118417999267722E-2</v>
      </c>
      <c r="D635" s="1266">
        <f t="shared" si="916"/>
        <v>0.14116772131850225</v>
      </c>
      <c r="E635" s="1266">
        <f t="shared" si="916"/>
        <v>0.14421825931664278</v>
      </c>
      <c r="F635" s="1266">
        <f t="shared" si="916"/>
        <v>0.14214110273147543</v>
      </c>
      <c r="G635" s="1267">
        <f t="shared" si="916"/>
        <v>0.12320569312283726</v>
      </c>
      <c r="H635" s="1267">
        <f t="shared" si="916"/>
        <v>0.12705035282714769</v>
      </c>
      <c r="I635" s="1267">
        <f t="shared" si="916"/>
        <v>0.13317699239597244</v>
      </c>
      <c r="J635" s="1267">
        <f t="shared" si="916"/>
        <v>0.18172382092907169</v>
      </c>
      <c r="K635" s="1266">
        <f t="shared" si="916"/>
        <v>0.14601121404848671</v>
      </c>
      <c r="L635" s="1267">
        <f t="shared" si="916"/>
        <v>0.12862582492584651</v>
      </c>
      <c r="M635" s="1267">
        <f t="shared" si="916"/>
        <v>0.13074847320089844</v>
      </c>
      <c r="N635" s="1267">
        <f t="shared" si="916"/>
        <v>0.13914125906914332</v>
      </c>
      <c r="O635" s="1267">
        <f t="shared" si="916"/>
        <v>0.18735446218691743</v>
      </c>
      <c r="P635" s="1266">
        <f t="shared" si="916"/>
        <v>0.15092837005149709</v>
      </c>
      <c r="Q635" s="1267">
        <f t="shared" si="916"/>
        <v>0.12362371880202885</v>
      </c>
      <c r="R635" s="1267">
        <f t="shared" si="916"/>
        <v>0.12067224594242565</v>
      </c>
      <c r="S635" s="1267">
        <f t="shared" si="916"/>
        <v>0.13295543640764187</v>
      </c>
      <c r="T635" s="1267">
        <f t="shared" si="916"/>
        <v>0.17053603848946988</v>
      </c>
      <c r="U635" s="1266">
        <f t="shared" si="916"/>
        <v>0.14022073555743564</v>
      </c>
      <c r="V635" s="1267">
        <f t="shared" si="916"/>
        <v>0.10976055207744105</v>
      </c>
      <c r="W635" s="1267">
        <f t="shared" si="916"/>
        <v>0.11833094771571726</v>
      </c>
      <c r="X635" s="1267">
        <f t="shared" si="916"/>
        <v>0.1323719171179997</v>
      </c>
      <c r="Y635" s="1267">
        <f t="shared" si="916"/>
        <v>0.17350360177569152</v>
      </c>
      <c r="Z635" s="1266">
        <f t="shared" si="916"/>
        <v>0.13708414079828288</v>
      </c>
      <c r="AA635" s="1267">
        <f t="shared" si="916"/>
        <v>0.10547931771909683</v>
      </c>
      <c r="AB635" s="1267">
        <f t="shared" si="916"/>
        <v>0.116256077283236</v>
      </c>
      <c r="AC635" s="1267">
        <f t="shared" si="916"/>
        <v>0.12588968519305238</v>
      </c>
      <c r="AD635" s="1267">
        <f t="shared" si="916"/>
        <v>0.15439398539207461</v>
      </c>
      <c r="AE635" s="1266">
        <f t="shared" si="916"/>
        <v>0.1284636964348034</v>
      </c>
      <c r="AF635" s="1267">
        <f t="shared" si="916"/>
        <v>0.1058287614297589</v>
      </c>
      <c r="AG635" s="1267">
        <f t="shared" si="916"/>
        <v>0.10487902043172144</v>
      </c>
      <c r="AH635" s="1267">
        <f t="shared" si="916"/>
        <v>0.11508545059149586</v>
      </c>
      <c r="AI635" s="1267">
        <f t="shared" si="916"/>
        <v>0.1455770851802077</v>
      </c>
      <c r="AJ635" s="1266">
        <f t="shared" si="916"/>
        <v>0.12070030412972166</v>
      </c>
      <c r="AK635" s="1267">
        <f t="shared" si="916"/>
        <v>0.11239658634214578</v>
      </c>
      <c r="AL635" s="1267">
        <f t="shared" si="916"/>
        <v>0.10938245451242853</v>
      </c>
      <c r="AM635" s="1267">
        <f t="shared" si="916"/>
        <v>0.11283199951194897</v>
      </c>
      <c r="AN635" s="1267">
        <f t="shared" si="916"/>
        <v>0.14406511209108311</v>
      </c>
      <c r="AO635" s="1266">
        <f t="shared" si="916"/>
        <v>0.12170142868575286</v>
      </c>
      <c r="AP635" s="1267">
        <f t="shared" si="916"/>
        <v>9.2755603734770709E-2</v>
      </c>
      <c r="AQ635" s="1267">
        <f t="shared" si="916"/>
        <v>0.16498040954482118</v>
      </c>
      <c r="AR635" s="1267">
        <f t="shared" si="916"/>
        <v>0.19444205162150277</v>
      </c>
      <c r="AS635" s="1267">
        <f t="shared" si="916"/>
        <v>0.20452807705241896</v>
      </c>
      <c r="AT635" s="1266">
        <f t="shared" si="916"/>
        <v>0.17285925543280606</v>
      </c>
      <c r="AU635" s="1267">
        <f t="shared" si="916"/>
        <v>0.19978456617929144</v>
      </c>
      <c r="AV635" s="1267">
        <f t="shared" si="916"/>
        <v>0.20109180178603411</v>
      </c>
      <c r="AW635" s="1267">
        <f t="shared" si="916"/>
        <v>0.19720405814004033</v>
      </c>
      <c r="AX635" s="1267">
        <f t="shared" si="916"/>
        <v>0.23967574946152137</v>
      </c>
      <c r="AY635" s="1266">
        <f t="shared" si="916"/>
        <v>0.211551848086136</v>
      </c>
      <c r="AZ635" s="1267">
        <f t="shared" si="916"/>
        <v>0.21270529661431439</v>
      </c>
      <c r="BA635" s="1267">
        <f t="shared" si="916"/>
        <v>0.20627759893746855</v>
      </c>
      <c r="BB635" s="1267">
        <f t="shared" si="916"/>
        <v>0.1872876354458276</v>
      </c>
      <c r="BC635" s="1267">
        <f t="shared" si="916"/>
        <v>0.22380078260830547</v>
      </c>
      <c r="BD635" s="1266">
        <f t="shared" si="916"/>
        <v>0.20783448616777345</v>
      </c>
      <c r="BE635" s="1267">
        <f>BE768/BE749</f>
        <v>0.15866293049478444</v>
      </c>
      <c r="BF635" s="1267">
        <f>BF768/BF749</f>
        <v>0.18656683564066415</v>
      </c>
      <c r="BG635" s="1267">
        <f t="shared" ref="BG635:BV635" si="917">BG768/BG749</f>
        <v>0.21176435680953803</v>
      </c>
      <c r="BH635" s="1267">
        <f t="shared" si="917"/>
        <v>0.23825713479574029</v>
      </c>
      <c r="BI635" s="1266">
        <f t="shared" si="917"/>
        <v>0.20147169554251684</v>
      </c>
      <c r="BJ635" s="1268">
        <f>BJ768/BJ749</f>
        <v>0.2432014252433827</v>
      </c>
      <c r="BK635" s="1267">
        <f t="shared" si="917"/>
        <v>0.17818889507087199</v>
      </c>
      <c r="BL635" s="1267">
        <f t="shared" si="917"/>
        <v>0.20897052239759081</v>
      </c>
      <c r="BM635" s="1267">
        <f t="shared" si="917"/>
        <v>0.23610200776902218</v>
      </c>
      <c r="BN635" s="1214">
        <f t="shared" si="917"/>
        <v>0.21733362440972315</v>
      </c>
      <c r="BO635" s="1267">
        <f t="shared" si="917"/>
        <v>0.20104178427958974</v>
      </c>
      <c r="BP635" s="1267">
        <f t="shared" si="917"/>
        <v>0.17834973509892652</v>
      </c>
      <c r="BQ635" s="1267">
        <f t="shared" si="917"/>
        <v>0.21892444837022015</v>
      </c>
      <c r="BR635" s="1267">
        <f t="shared" si="917"/>
        <v>0.23140513447326161</v>
      </c>
      <c r="BS635" s="1214">
        <f t="shared" si="917"/>
        <v>0.20877593857350732</v>
      </c>
      <c r="BT635" s="1214">
        <f t="shared" si="917"/>
        <v>0.21086750106179772</v>
      </c>
      <c r="BU635" s="1214">
        <f t="shared" si="917"/>
        <v>0.21375504518509175</v>
      </c>
      <c r="BV635" s="1214">
        <f t="shared" si="917"/>
        <v>0.21542835953248973</v>
      </c>
      <c r="BW635" s="216"/>
    </row>
    <row r="636" spans="1:75" s="217" customFormat="1" hidden="1" outlineLevel="1" x14ac:dyDescent="0.5">
      <c r="A636" s="178" t="s">
        <v>1044</v>
      </c>
      <c r="B636" s="179"/>
      <c r="C636" s="1255">
        <f t="shared" ref="C636:BD636" si="918">C769/C751</f>
        <v>0.10923729753144355</v>
      </c>
      <c r="D636" s="1255">
        <f t="shared" si="918"/>
        <v>0.1472864522661364</v>
      </c>
      <c r="E636" s="1255">
        <f t="shared" si="918"/>
        <v>0.1450245169508948</v>
      </c>
      <c r="F636" s="1255">
        <f t="shared" si="918"/>
        <v>0.14387007249800265</v>
      </c>
      <c r="G636" s="1256">
        <f t="shared" si="918"/>
        <v>0.12651271446078424</v>
      </c>
      <c r="H636" s="1256">
        <f t="shared" si="918"/>
        <v>0.12705035282714774</v>
      </c>
      <c r="I636" s="1256">
        <f t="shared" si="918"/>
        <v>0.13317699239597244</v>
      </c>
      <c r="J636" s="1256">
        <f t="shared" si="918"/>
        <v>0.18172382092907163</v>
      </c>
      <c r="K636" s="1255">
        <f t="shared" si="918"/>
        <v>0.14668032851332391</v>
      </c>
      <c r="L636" s="1256">
        <f t="shared" si="918"/>
        <v>0.12862582492584651</v>
      </c>
      <c r="M636" s="1256">
        <f t="shared" si="918"/>
        <v>0.1307484732008985</v>
      </c>
      <c r="N636" s="1256">
        <f t="shared" si="918"/>
        <v>0.13914125906914332</v>
      </c>
      <c r="O636" s="1256">
        <f t="shared" si="918"/>
        <v>0.18254681040771661</v>
      </c>
      <c r="P636" s="1255">
        <f t="shared" si="918"/>
        <v>0.14935049318761132</v>
      </c>
      <c r="Q636" s="1256">
        <f t="shared" si="918"/>
        <v>0.12362371880202885</v>
      </c>
      <c r="R636" s="1256">
        <f t="shared" si="918"/>
        <v>0.12067224594242559</v>
      </c>
      <c r="S636" s="1256">
        <f t="shared" si="918"/>
        <v>0.13295543640764179</v>
      </c>
      <c r="T636" s="1256">
        <f t="shared" si="918"/>
        <v>0.17053603848946988</v>
      </c>
      <c r="U636" s="1255">
        <f t="shared" si="918"/>
        <v>0.14022073555743564</v>
      </c>
      <c r="V636" s="1256">
        <f t="shared" si="918"/>
        <v>0.12180354284912699</v>
      </c>
      <c r="W636" s="1256">
        <f t="shared" si="918"/>
        <v>0.11833094771571721</v>
      </c>
      <c r="X636" s="1256">
        <f t="shared" si="918"/>
        <v>0.13332343010394371</v>
      </c>
      <c r="Y636" s="1256">
        <f t="shared" si="918"/>
        <v>0.17350360177569152</v>
      </c>
      <c r="Z636" s="1255">
        <f t="shared" si="918"/>
        <v>0.13991784117902076</v>
      </c>
      <c r="AA636" s="1256">
        <f t="shared" si="918"/>
        <v>0.11061198894833778</v>
      </c>
      <c r="AB636" s="1256">
        <f t="shared" si="918"/>
        <v>0.11625607728323595</v>
      </c>
      <c r="AC636" s="1256">
        <f t="shared" si="918"/>
        <v>0.12588968519305246</v>
      </c>
      <c r="AD636" s="1256">
        <f t="shared" si="918"/>
        <v>0.15985929162335033</v>
      </c>
      <c r="AE636" s="1255">
        <f t="shared" si="918"/>
        <v>0.1312742691684031</v>
      </c>
      <c r="AF636" s="1256">
        <f t="shared" si="918"/>
        <v>0.11306605805843109</v>
      </c>
      <c r="AG636" s="1256">
        <f t="shared" si="918"/>
        <v>0.11447844471453551</v>
      </c>
      <c r="AH636" s="1256">
        <f t="shared" si="918"/>
        <v>0.12181745635468812</v>
      </c>
      <c r="AI636" s="1256">
        <f t="shared" si="918"/>
        <v>0.15480492963040837</v>
      </c>
      <c r="AJ636" s="1255">
        <f t="shared" si="918"/>
        <v>0.12899365587907355</v>
      </c>
      <c r="AK636" s="1256">
        <f t="shared" si="918"/>
        <v>0.12282094088300036</v>
      </c>
      <c r="AL636" s="1256">
        <f t="shared" si="918"/>
        <v>0.11511116752528067</v>
      </c>
      <c r="AM636" s="1256">
        <f t="shared" si="918"/>
        <v>0.11836763555895714</v>
      </c>
      <c r="AN636" s="1256">
        <f t="shared" si="918"/>
        <v>0.14934014612793509</v>
      </c>
      <c r="AO636" s="1255">
        <f t="shared" si="918"/>
        <v>0.12822922586744534</v>
      </c>
      <c r="AP636" s="1256">
        <f t="shared" si="918"/>
        <v>0.11733132124841016</v>
      </c>
      <c r="AQ636" s="1256">
        <f t="shared" si="918"/>
        <v>0.17148440041669546</v>
      </c>
      <c r="AR636" s="1256">
        <f t="shared" si="918"/>
        <v>0.19569960601540579</v>
      </c>
      <c r="AS636" s="1256">
        <f t="shared" si="918"/>
        <v>0.20813434798595376</v>
      </c>
      <c r="AT636" s="1255">
        <f t="shared" si="918"/>
        <v>0.18030988079500665</v>
      </c>
      <c r="AU636" s="1256">
        <f t="shared" si="918"/>
        <v>0.20140775253011811</v>
      </c>
      <c r="AV636" s="1256">
        <f t="shared" si="918"/>
        <v>0.20250685327348056</v>
      </c>
      <c r="AW636" s="1256">
        <f t="shared" si="918"/>
        <v>0.19854811068311756</v>
      </c>
      <c r="AX636" s="1256">
        <f t="shared" si="918"/>
        <v>0.2400004158288446</v>
      </c>
      <c r="AY636" s="1255">
        <f t="shared" si="918"/>
        <v>0.21266269832800053</v>
      </c>
      <c r="AZ636" s="1256">
        <f t="shared" si="918"/>
        <v>0.21270529661431439</v>
      </c>
      <c r="BA636" s="1256">
        <f t="shared" si="918"/>
        <v>0.20627759893746855</v>
      </c>
      <c r="BB636" s="1256">
        <f t="shared" si="918"/>
        <v>0.1872876354458276</v>
      </c>
      <c r="BC636" s="1256">
        <f t="shared" si="918"/>
        <v>0.23101090507072927</v>
      </c>
      <c r="BD636" s="1255">
        <f t="shared" si="918"/>
        <v>0.20987347045916735</v>
      </c>
      <c r="BE636" s="1256">
        <f>BE769/BE751</f>
        <v>0.17361464375821367</v>
      </c>
      <c r="BF636" s="1256">
        <f>BF769/BF751</f>
        <v>0.18656683564066415</v>
      </c>
      <c r="BG636" s="1256">
        <f t="shared" ref="BG636:BV636" si="919">BG769/BG751</f>
        <v>0.21176435680953798</v>
      </c>
      <c r="BH636" s="1256">
        <f t="shared" si="919"/>
        <v>0.23825713479574029</v>
      </c>
      <c r="BI636" s="1255">
        <f t="shared" si="919"/>
        <v>0.20485812032329664</v>
      </c>
      <c r="BJ636" s="1257">
        <f>BJ769/BJ751</f>
        <v>0.2432014252433827</v>
      </c>
      <c r="BK636" s="1256">
        <f t="shared" si="919"/>
        <v>0.17818889507087199</v>
      </c>
      <c r="BL636" s="1256">
        <f t="shared" si="919"/>
        <v>0.20897052239759076</v>
      </c>
      <c r="BM636" s="1256">
        <f t="shared" si="919"/>
        <v>0.23610200776902213</v>
      </c>
      <c r="BN636" s="730">
        <f t="shared" si="919"/>
        <v>0.21733362440972309</v>
      </c>
      <c r="BO636" s="1256">
        <f t="shared" si="919"/>
        <v>0.20104178427958974</v>
      </c>
      <c r="BP636" s="1256">
        <f t="shared" si="919"/>
        <v>0.17834973509892665</v>
      </c>
      <c r="BQ636" s="1256">
        <f t="shared" si="919"/>
        <v>0.21892444837022021</v>
      </c>
      <c r="BR636" s="1256">
        <f t="shared" si="919"/>
        <v>0.23140513447326161</v>
      </c>
      <c r="BS636" s="730">
        <f t="shared" si="919"/>
        <v>0.20877593857350737</v>
      </c>
      <c r="BT636" s="730">
        <f t="shared" si="919"/>
        <v>0.21086750106179772</v>
      </c>
      <c r="BU636" s="730">
        <f t="shared" si="919"/>
        <v>0.21375504518509175</v>
      </c>
      <c r="BV636" s="730">
        <f t="shared" si="919"/>
        <v>0.21542835953248973</v>
      </c>
      <c r="BW636" s="216"/>
    </row>
    <row r="637" spans="1:75" s="177" customFormat="1" ht="14.25" hidden="1" outlineLevel="1" x14ac:dyDescent="0.45">
      <c r="A637" s="170" t="s">
        <v>1045</v>
      </c>
      <c r="B637" s="171"/>
      <c r="C637" s="661"/>
      <c r="D637" s="661"/>
      <c r="E637" s="661"/>
      <c r="F637" s="661"/>
      <c r="G637" s="1261"/>
      <c r="H637" s="1261"/>
      <c r="I637" s="1261"/>
      <c r="J637" s="1261"/>
      <c r="K637" s="661"/>
      <c r="L637" s="1261"/>
      <c r="M637" s="1261"/>
      <c r="N637" s="1261"/>
      <c r="O637" s="1261"/>
      <c r="P637" s="661"/>
      <c r="Q637" s="1261"/>
      <c r="R637" s="1261"/>
      <c r="S637" s="1261"/>
      <c r="T637" s="1261"/>
      <c r="U637" s="661"/>
      <c r="V637" s="1261"/>
      <c r="W637" s="1261"/>
      <c r="X637" s="1261"/>
      <c r="Y637" s="1261"/>
      <c r="Z637" s="661"/>
      <c r="AA637" s="1261"/>
      <c r="AB637" s="1261"/>
      <c r="AC637" s="1261"/>
      <c r="AD637" s="1261"/>
      <c r="AE637" s="661"/>
      <c r="AF637" s="1261"/>
      <c r="AG637" s="1261"/>
      <c r="AH637" s="1261"/>
      <c r="AI637" s="1261"/>
      <c r="AJ637" s="661"/>
      <c r="AK637" s="1261"/>
      <c r="AL637" s="1261"/>
      <c r="AM637" s="1261"/>
      <c r="AN637" s="1261"/>
      <c r="AO637" s="661"/>
      <c r="AP637" s="1261"/>
      <c r="AQ637" s="1261"/>
      <c r="AR637" s="1261"/>
      <c r="AS637" s="1261"/>
      <c r="AT637" s="661"/>
      <c r="AU637" s="1261"/>
      <c r="AV637" s="1261"/>
      <c r="AW637" s="1261"/>
      <c r="AX637" s="1261"/>
      <c r="AY637" s="661"/>
      <c r="AZ637" s="1261"/>
      <c r="BA637" s="1261"/>
      <c r="BB637" s="1261"/>
      <c r="BC637" s="1261"/>
      <c r="BD637" s="661"/>
      <c r="BE637" s="1261"/>
      <c r="BF637" s="1261"/>
      <c r="BG637" s="1261"/>
      <c r="BH637" s="1261"/>
      <c r="BI637" s="661"/>
      <c r="BJ637" s="1262"/>
      <c r="BK637" s="175">
        <f t="shared" ref="BK637:BV637" ca="1" si="920">IFERROR(BK770/BK752,0)</f>
        <v>0</v>
      </c>
      <c r="BL637" s="175">
        <f t="shared" ca="1" si="920"/>
        <v>0</v>
      </c>
      <c r="BM637" s="175">
        <f t="shared" ca="1" si="920"/>
        <v>0</v>
      </c>
      <c r="BN637" s="172">
        <f t="shared" ca="1" si="920"/>
        <v>0</v>
      </c>
      <c r="BO637" s="175">
        <f t="shared" ca="1" si="920"/>
        <v>0</v>
      </c>
      <c r="BP637" s="175">
        <f t="shared" ca="1" si="920"/>
        <v>0</v>
      </c>
      <c r="BQ637" s="175">
        <f t="shared" ca="1" si="920"/>
        <v>0</v>
      </c>
      <c r="BR637" s="175">
        <f t="shared" ca="1" si="920"/>
        <v>0</v>
      </c>
      <c r="BS637" s="172">
        <f t="shared" ca="1" si="920"/>
        <v>0</v>
      </c>
      <c r="BT637" s="172">
        <f t="shared" ca="1" si="920"/>
        <v>0</v>
      </c>
      <c r="BU637" s="172">
        <f t="shared" ca="1" si="920"/>
        <v>0</v>
      </c>
      <c r="BV637" s="172">
        <f t="shared" ca="1" si="920"/>
        <v>0</v>
      </c>
      <c r="BW637" s="176"/>
    </row>
    <row r="638" spans="1:75" s="217" customFormat="1" collapsed="1" x14ac:dyDescent="0.5">
      <c r="A638" s="178"/>
      <c r="B638" s="179"/>
      <c r="C638" s="1255"/>
      <c r="D638" s="1255"/>
      <c r="E638" s="1255"/>
      <c r="F638" s="1255"/>
      <c r="G638" s="1256"/>
      <c r="H638" s="1256"/>
      <c r="I638" s="1256"/>
      <c r="J638" s="1256"/>
      <c r="K638" s="1255"/>
      <c r="L638" s="1256"/>
      <c r="M638" s="1256"/>
      <c r="N638" s="1256"/>
      <c r="O638" s="1256"/>
      <c r="P638" s="1255"/>
      <c r="Q638" s="1256"/>
      <c r="R638" s="1256"/>
      <c r="S638" s="1256"/>
      <c r="T638" s="1256"/>
      <c r="U638" s="1255"/>
      <c r="V638" s="1256"/>
      <c r="W638" s="1256"/>
      <c r="X638" s="1256"/>
      <c r="Y638" s="1256"/>
      <c r="Z638" s="1255"/>
      <c r="AA638" s="1256"/>
      <c r="AB638" s="1256"/>
      <c r="AC638" s="1256"/>
      <c r="AD638" s="1256"/>
      <c r="AE638" s="1255"/>
      <c r="AF638" s="1256"/>
      <c r="AG638" s="1256"/>
      <c r="AH638" s="1256"/>
      <c r="AI638" s="1256"/>
      <c r="AJ638" s="1255"/>
      <c r="AK638" s="1256"/>
      <c r="AL638" s="1256"/>
      <c r="AM638" s="1256"/>
      <c r="AN638" s="1256"/>
      <c r="AO638" s="1255"/>
      <c r="AP638" s="1256"/>
      <c r="AQ638" s="1256"/>
      <c r="AR638" s="1256"/>
      <c r="AS638" s="1256"/>
      <c r="AT638" s="1255"/>
      <c r="AU638" s="1256"/>
      <c r="AV638" s="1256"/>
      <c r="AW638" s="1256"/>
      <c r="AX638" s="1256"/>
      <c r="AY638" s="1255"/>
      <c r="AZ638" s="1256"/>
      <c r="BA638" s="1256"/>
      <c r="BB638" s="1256"/>
      <c r="BC638" s="1256"/>
      <c r="BD638" s="1255"/>
      <c r="BE638" s="1256"/>
      <c r="BF638" s="1256"/>
      <c r="BG638" s="1256"/>
      <c r="BH638" s="1256"/>
      <c r="BI638" s="1255"/>
      <c r="BJ638" s="1257"/>
      <c r="BK638" s="1256"/>
      <c r="BL638" s="1256"/>
      <c r="BM638" s="1256"/>
      <c r="BN638" s="730"/>
      <c r="BO638" s="1256"/>
      <c r="BP638" s="1256"/>
      <c r="BQ638" s="1256"/>
      <c r="BR638" s="1256"/>
      <c r="BS638" s="730"/>
      <c r="BT638" s="730"/>
      <c r="BU638" s="730"/>
      <c r="BV638" s="730"/>
      <c r="BW638" s="216"/>
    </row>
    <row r="639" spans="1:75" s="198" customFormat="1" ht="14.25" x14ac:dyDescent="0.45">
      <c r="A639" s="239" t="s">
        <v>1046</v>
      </c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  <c r="AA639" s="239"/>
      <c r="AB639" s="239"/>
      <c r="AC639" s="239"/>
      <c r="AD639" s="239"/>
      <c r="AE639" s="239"/>
      <c r="AF639" s="239"/>
      <c r="AG639" s="239"/>
      <c r="AH639" s="239"/>
      <c r="AI639" s="239"/>
      <c r="AJ639" s="239"/>
      <c r="AK639" s="239"/>
      <c r="AL639" s="239"/>
      <c r="AM639" s="239"/>
      <c r="AN639" s="239"/>
      <c r="AO639" s="239"/>
      <c r="AP639" s="239"/>
      <c r="AQ639" s="239"/>
      <c r="AR639" s="239"/>
      <c r="AS639" s="239"/>
      <c r="AT639" s="239"/>
      <c r="AU639" s="239"/>
      <c r="AV639" s="239"/>
      <c r="AW639" s="239"/>
      <c r="AX639" s="239"/>
      <c r="AY639" s="239"/>
      <c r="AZ639" s="239"/>
      <c r="BA639" s="239"/>
      <c r="BB639" s="239"/>
      <c r="BC639" s="239"/>
      <c r="BD639" s="239"/>
      <c r="BE639" s="239"/>
      <c r="BF639" s="239"/>
      <c r="BG639" s="239"/>
      <c r="BH639" s="239"/>
      <c r="BI639" s="239"/>
      <c r="BJ639" s="241"/>
      <c r="BK639" s="239"/>
      <c r="BL639" s="239"/>
      <c r="BM639" s="239"/>
      <c r="BN639" s="239"/>
      <c r="BO639" s="239"/>
      <c r="BP639" s="239"/>
      <c r="BQ639" s="239"/>
      <c r="BR639" s="239"/>
      <c r="BS639" s="239"/>
      <c r="BT639" s="239"/>
      <c r="BU639" s="239"/>
      <c r="BV639" s="239"/>
      <c r="BW639" s="197"/>
    </row>
    <row r="640" spans="1:75" s="198" customFormat="1" ht="14.25" hidden="1" outlineLevel="1" x14ac:dyDescent="0.45">
      <c r="A640" s="463" t="s">
        <v>2067</v>
      </c>
      <c r="B640" s="522"/>
      <c r="C640" s="671">
        <v>3102.7040000000002</v>
      </c>
      <c r="D640" s="671">
        <v>3504.1579999999999</v>
      </c>
      <c r="E640" s="671">
        <v>3720.895</v>
      </c>
      <c r="F640" s="671">
        <v>4042.87</v>
      </c>
      <c r="G640" s="638">
        <v>887.80799999999999</v>
      </c>
      <c r="H640" s="638">
        <v>982.20899999999995</v>
      </c>
      <c r="I640" s="638">
        <v>1051.548</v>
      </c>
      <c r="J640" s="638">
        <v>1466.3240000000001</v>
      </c>
      <c r="K640" s="671">
        <v>4387.8890000000001</v>
      </c>
      <c r="L640" s="638">
        <v>974.33</v>
      </c>
      <c r="M640" s="638">
        <v>1039.1020000000001</v>
      </c>
      <c r="N640" s="638">
        <v>1143.162</v>
      </c>
      <c r="O640" s="638">
        <v>1542.125</v>
      </c>
      <c r="P640" s="671">
        <v>4698.7190000000001</v>
      </c>
      <c r="Q640" s="638">
        <v>1030.6759999999999</v>
      </c>
      <c r="R640" s="638">
        <v>1127.028</v>
      </c>
      <c r="S640" s="638">
        <v>1232.0820000000001</v>
      </c>
      <c r="T640" s="638">
        <v>1586.3040000000001</v>
      </c>
      <c r="U640" s="671">
        <v>4976.09</v>
      </c>
      <c r="V640" s="638">
        <v>1097.817</v>
      </c>
      <c r="W640" s="638">
        <v>1159.029</v>
      </c>
      <c r="X640" s="638">
        <v>1245.385</v>
      </c>
      <c r="Y640" s="638">
        <v>1581.5809999999999</v>
      </c>
      <c r="Z640" s="671">
        <v>5083.8119999999999</v>
      </c>
      <c r="AA640" s="638">
        <v>1111.5070000000001</v>
      </c>
      <c r="AB640" s="638">
        <v>1201.606</v>
      </c>
      <c r="AC640" s="638">
        <v>1299.336</v>
      </c>
      <c r="AD640" s="638">
        <v>1679.91</v>
      </c>
      <c r="AE640" s="671">
        <v>5292.3590000000004</v>
      </c>
      <c r="AF640" s="638">
        <v>1203</v>
      </c>
      <c r="AG640" s="638">
        <v>1275.174</v>
      </c>
      <c r="AH640" s="638">
        <v>1356.9829999999999</v>
      </c>
      <c r="AI640" s="197">
        <f>AJ640-SUM(AF640,AG640,AH640)</f>
        <v>1836.4359999999997</v>
      </c>
      <c r="AJ640" s="671">
        <v>5671.5929999999998</v>
      </c>
      <c r="AK640" s="638">
        <v>1241.1320000000001</v>
      </c>
      <c r="AL640" s="638">
        <v>1370.8140000000001</v>
      </c>
      <c r="AM640" s="638">
        <v>1442.472</v>
      </c>
      <c r="AN640" s="197">
        <f>AO640-SUM(AK640,AL640,AM640)</f>
        <v>1843.5900000000001</v>
      </c>
      <c r="AO640" s="671">
        <v>5898.0079999999998</v>
      </c>
      <c r="AP640" s="638">
        <v>1235.203</v>
      </c>
      <c r="AQ640" s="638">
        <v>1490.777</v>
      </c>
      <c r="AR640" s="638">
        <v>1764.5360000000001</v>
      </c>
      <c r="AS640" s="197">
        <f>AT640-SUM(AP640,AQ640,AR640)</f>
        <v>2292.6730000000007</v>
      </c>
      <c r="AT640" s="671">
        <v>6783.1890000000003</v>
      </c>
      <c r="AU640" s="638">
        <v>1749.029</v>
      </c>
      <c r="AV640" s="638">
        <v>1948.3389999999999</v>
      </c>
      <c r="AW640" s="638">
        <v>2047.539</v>
      </c>
      <c r="AX640" s="197">
        <f>AY640-SUM(AU640,AV640,AW640)</f>
        <v>2501.0289999999995</v>
      </c>
      <c r="AY640" s="671">
        <v>8245.9359999999997</v>
      </c>
      <c r="AZ640" s="638">
        <v>1891.2270000000001</v>
      </c>
      <c r="BA640" s="638">
        <v>2137.5369999999998</v>
      </c>
      <c r="BB640" s="638">
        <v>2192.5740000000001</v>
      </c>
      <c r="BC640" s="197">
        <f>BD640-SUM(AZ640,BA640,BB640)</f>
        <v>2453.0789999999997</v>
      </c>
      <c r="BD640" s="671">
        <v>8674.4169999999995</v>
      </c>
      <c r="BE640" s="638">
        <v>1755.451</v>
      </c>
      <c r="BF640" s="638">
        <v>1862.614</v>
      </c>
      <c r="BG640" s="638">
        <v>1853.65</v>
      </c>
      <c r="BH640" s="197">
        <f>BI640-SUM(BE640,BF640,BG640)</f>
        <v>2278.9369999999999</v>
      </c>
      <c r="BI640" s="671">
        <v>7750.652</v>
      </c>
      <c r="BJ640" s="1269">
        <v>1660.348</v>
      </c>
      <c r="BK640" s="295"/>
      <c r="BL640" s="295"/>
      <c r="BM640" s="295"/>
      <c r="BN640" s="397"/>
      <c r="BO640" s="295"/>
      <c r="BP640" s="295"/>
      <c r="BQ640" s="295"/>
      <c r="BR640" s="295"/>
      <c r="BS640" s="397"/>
      <c r="BT640" s="397"/>
      <c r="BU640" s="397"/>
      <c r="BV640" s="397"/>
      <c r="BW640" s="197"/>
    </row>
    <row r="641" spans="1:75" s="123" customFormat="1" hidden="1" outlineLevel="1" x14ac:dyDescent="0.5">
      <c r="A641" s="464" t="s">
        <v>1048</v>
      </c>
      <c r="B641" s="513"/>
      <c r="C641" s="403">
        <v>1999.4670000000001</v>
      </c>
      <c r="D641" s="403">
        <v>2130.299</v>
      </c>
      <c r="E641" s="403">
        <v>2261.0390000000002</v>
      </c>
      <c r="F641" s="403">
        <v>2450.3939999999998</v>
      </c>
      <c r="G641" s="302">
        <v>553.62300000000005</v>
      </c>
      <c r="H641" s="302">
        <v>613.28499999999997</v>
      </c>
      <c r="I641" s="302">
        <v>646.16</v>
      </c>
      <c r="J641" s="302">
        <v>870.60500000000002</v>
      </c>
      <c r="K641" s="403">
        <v>2683.6729999999998</v>
      </c>
      <c r="L641" s="302">
        <v>605.92200000000003</v>
      </c>
      <c r="M641" s="302">
        <v>657.00400000000002</v>
      </c>
      <c r="N641" s="302">
        <v>711.755</v>
      </c>
      <c r="O641" s="302">
        <v>923.53399999999999</v>
      </c>
      <c r="P641" s="403">
        <v>2898.2150000000001</v>
      </c>
      <c r="Q641" s="302">
        <v>651.83500000000004</v>
      </c>
      <c r="R641" s="302">
        <v>720.40300000000002</v>
      </c>
      <c r="S641" s="302">
        <v>780.89400000000001</v>
      </c>
      <c r="T641" s="302">
        <v>978.74400000000003</v>
      </c>
      <c r="U641" s="403">
        <v>3131.8760000000002</v>
      </c>
      <c r="V641" s="302">
        <v>705.3</v>
      </c>
      <c r="W641" s="302">
        <v>748.49</v>
      </c>
      <c r="X641" s="302">
        <v>787.16200000000003</v>
      </c>
      <c r="Y641" s="302">
        <v>959.55</v>
      </c>
      <c r="Z641" s="403">
        <v>3200.502</v>
      </c>
      <c r="AA641" s="302">
        <v>715.74699999999996</v>
      </c>
      <c r="AB641" s="302">
        <v>778.89499999999998</v>
      </c>
      <c r="AC641" s="302">
        <v>832.26900000000001</v>
      </c>
      <c r="AD641" s="302">
        <v>1033.7370000000001</v>
      </c>
      <c r="AE641" s="403">
        <v>3360.6480000000001</v>
      </c>
      <c r="AF641" s="302">
        <v>770.83600000000001</v>
      </c>
      <c r="AG641" s="302">
        <v>811.23199999999997</v>
      </c>
      <c r="AH641" s="302">
        <v>861.99900000000002</v>
      </c>
      <c r="AI641" s="122">
        <f>AJ641-SUM(AF641,AG641,AH641)</f>
        <v>1126.5129999999999</v>
      </c>
      <c r="AJ641" s="403">
        <v>3570.58</v>
      </c>
      <c r="AK641" s="302">
        <v>796.80100000000004</v>
      </c>
      <c r="AL641" s="302">
        <v>886.95299999999997</v>
      </c>
      <c r="AM641" s="302">
        <v>924.3</v>
      </c>
      <c r="AN641" s="122">
        <f>AO641-SUM(AK641,AL641,AM641)</f>
        <v>1150.8620000000001</v>
      </c>
      <c r="AO641" s="403">
        <v>3758.9160000000002</v>
      </c>
      <c r="AP641" s="302">
        <v>820.94299999999998</v>
      </c>
      <c r="AQ641" s="302">
        <v>939.57500000000005</v>
      </c>
      <c r="AR641" s="302">
        <v>1058.953</v>
      </c>
      <c r="AS641" s="122">
        <f>AT641-SUM(AP641,AQ641,AR641)</f>
        <v>1327.4490000000001</v>
      </c>
      <c r="AT641" s="403">
        <v>4146.92</v>
      </c>
      <c r="AU641" s="302">
        <v>996.17600000000004</v>
      </c>
      <c r="AV641" s="302">
        <v>1089.951</v>
      </c>
      <c r="AW641" s="302">
        <v>1152.0540000000001</v>
      </c>
      <c r="AX641" s="122">
        <f>AY641-SUM(AU641,AV641,AW641)</f>
        <v>1375.7919999999999</v>
      </c>
      <c r="AY641" s="403">
        <v>4613.973</v>
      </c>
      <c r="AZ641" s="302">
        <v>1062.6790000000001</v>
      </c>
      <c r="BA641" s="302">
        <v>1208.7280000000001</v>
      </c>
      <c r="BB641" s="302">
        <v>1282.048</v>
      </c>
      <c r="BC641" s="122">
        <f>BD641-SUM(AZ641,BA641,BB641)</f>
        <v>1443.2290000000003</v>
      </c>
      <c r="BD641" s="403">
        <v>4996.6840000000002</v>
      </c>
      <c r="BE641" s="302">
        <v>1080.3920000000001</v>
      </c>
      <c r="BF641" s="302">
        <v>1105.047</v>
      </c>
      <c r="BG641" s="302">
        <v>1031.29</v>
      </c>
      <c r="BH641" s="122">
        <f>BI641-SUM(BE641,BF641,BG641)</f>
        <v>1230.3220000000001</v>
      </c>
      <c r="BI641" s="403">
        <v>4447.0510000000004</v>
      </c>
      <c r="BJ641" s="1207">
        <v>857.83299999999997</v>
      </c>
      <c r="BK641" s="118"/>
      <c r="BL641" s="118"/>
      <c r="BM641" s="118"/>
      <c r="BN641" s="401"/>
      <c r="BO641" s="118"/>
      <c r="BP641" s="118"/>
      <c r="BQ641" s="118"/>
      <c r="BR641" s="118"/>
      <c r="BS641" s="401"/>
      <c r="BT641" s="401"/>
      <c r="BU641" s="401"/>
      <c r="BV641" s="401"/>
      <c r="BW641" s="122"/>
    </row>
    <row r="642" spans="1:75" s="198" customFormat="1" ht="14.25" hidden="1" outlineLevel="1" x14ac:dyDescent="0.45">
      <c r="A642" s="516" t="s">
        <v>1049</v>
      </c>
      <c r="B642" s="517"/>
      <c r="C642" s="519">
        <f t="shared" ref="C642:BN642" si="921">C640-C641</f>
        <v>1103.2370000000001</v>
      </c>
      <c r="D642" s="519">
        <f t="shared" si="921"/>
        <v>1373.8589999999999</v>
      </c>
      <c r="E642" s="519">
        <f t="shared" si="921"/>
        <v>1459.8559999999998</v>
      </c>
      <c r="F642" s="519">
        <f t="shared" si="921"/>
        <v>1592.4760000000001</v>
      </c>
      <c r="G642" s="520">
        <f t="shared" si="921"/>
        <v>334.18499999999995</v>
      </c>
      <c r="H642" s="520">
        <f t="shared" si="921"/>
        <v>368.92399999999998</v>
      </c>
      <c r="I642" s="520">
        <f t="shared" si="921"/>
        <v>405.38800000000003</v>
      </c>
      <c r="J642" s="520">
        <f t="shared" si="921"/>
        <v>595.71900000000005</v>
      </c>
      <c r="K642" s="519">
        <f t="shared" si="921"/>
        <v>1704.2160000000003</v>
      </c>
      <c r="L642" s="520">
        <f t="shared" si="921"/>
        <v>368.40800000000002</v>
      </c>
      <c r="M642" s="520">
        <f t="shared" si="921"/>
        <v>382.09800000000007</v>
      </c>
      <c r="N642" s="520">
        <f t="shared" si="921"/>
        <v>431.40700000000004</v>
      </c>
      <c r="O642" s="520">
        <f t="shared" si="921"/>
        <v>618.59100000000001</v>
      </c>
      <c r="P642" s="519">
        <f t="shared" si="921"/>
        <v>1800.5039999999999</v>
      </c>
      <c r="Q642" s="520">
        <f t="shared" si="921"/>
        <v>378.84099999999989</v>
      </c>
      <c r="R642" s="520">
        <f t="shared" si="921"/>
        <v>406.625</v>
      </c>
      <c r="S642" s="520">
        <f t="shared" si="921"/>
        <v>451.1880000000001</v>
      </c>
      <c r="T642" s="520">
        <f t="shared" si="921"/>
        <v>607.56000000000006</v>
      </c>
      <c r="U642" s="519">
        <f t="shared" si="921"/>
        <v>1844.2139999999999</v>
      </c>
      <c r="V642" s="520">
        <f t="shared" si="921"/>
        <v>392.51700000000005</v>
      </c>
      <c r="W642" s="520">
        <f t="shared" si="921"/>
        <v>410.53899999999999</v>
      </c>
      <c r="X642" s="520">
        <f t="shared" si="921"/>
        <v>458.22299999999996</v>
      </c>
      <c r="Y642" s="520">
        <f t="shared" si="921"/>
        <v>622.03099999999995</v>
      </c>
      <c r="Z642" s="519">
        <f t="shared" si="921"/>
        <v>1883.31</v>
      </c>
      <c r="AA642" s="520">
        <f t="shared" si="921"/>
        <v>395.7600000000001</v>
      </c>
      <c r="AB642" s="520">
        <f t="shared" si="921"/>
        <v>422.71100000000001</v>
      </c>
      <c r="AC642" s="520">
        <f t="shared" si="921"/>
        <v>467.06700000000001</v>
      </c>
      <c r="AD642" s="520">
        <f t="shared" si="921"/>
        <v>646.173</v>
      </c>
      <c r="AE642" s="519">
        <f t="shared" si="921"/>
        <v>1931.7110000000002</v>
      </c>
      <c r="AF642" s="520">
        <f t="shared" si="921"/>
        <v>432.16399999999999</v>
      </c>
      <c r="AG642" s="520">
        <f t="shared" si="921"/>
        <v>463.94200000000001</v>
      </c>
      <c r="AH642" s="520">
        <f t="shared" si="921"/>
        <v>494.98399999999992</v>
      </c>
      <c r="AI642" s="520">
        <f t="shared" si="921"/>
        <v>709.92299999999977</v>
      </c>
      <c r="AJ642" s="519">
        <f t="shared" si="921"/>
        <v>2101.0129999999999</v>
      </c>
      <c r="AK642" s="520">
        <f t="shared" si="921"/>
        <v>444.33100000000002</v>
      </c>
      <c r="AL642" s="520">
        <f t="shared" si="921"/>
        <v>483.8610000000001</v>
      </c>
      <c r="AM642" s="520">
        <f t="shared" si="921"/>
        <v>518.17200000000003</v>
      </c>
      <c r="AN642" s="520">
        <f t="shared" si="921"/>
        <v>692.72800000000007</v>
      </c>
      <c r="AO642" s="519">
        <f t="shared" si="921"/>
        <v>2139.0919999999996</v>
      </c>
      <c r="AP642" s="520">
        <f t="shared" si="921"/>
        <v>414.26</v>
      </c>
      <c r="AQ642" s="520">
        <f t="shared" si="921"/>
        <v>551.202</v>
      </c>
      <c r="AR642" s="520">
        <f t="shared" si="921"/>
        <v>705.58300000000008</v>
      </c>
      <c r="AS642" s="520">
        <f t="shared" si="921"/>
        <v>965.22400000000061</v>
      </c>
      <c r="AT642" s="519">
        <f t="shared" si="921"/>
        <v>2636.2690000000002</v>
      </c>
      <c r="AU642" s="520">
        <f t="shared" si="921"/>
        <v>752.85299999999995</v>
      </c>
      <c r="AV642" s="520">
        <f t="shared" si="921"/>
        <v>858.38799999999992</v>
      </c>
      <c r="AW642" s="520">
        <f t="shared" si="921"/>
        <v>895.4849999999999</v>
      </c>
      <c r="AX642" s="520">
        <f t="shared" si="921"/>
        <v>1125.2369999999996</v>
      </c>
      <c r="AY642" s="519">
        <f t="shared" si="921"/>
        <v>3631.9629999999997</v>
      </c>
      <c r="AZ642" s="520">
        <f t="shared" si="921"/>
        <v>828.548</v>
      </c>
      <c r="BA642" s="520">
        <f t="shared" si="921"/>
        <v>928.80899999999974</v>
      </c>
      <c r="BB642" s="520">
        <f t="shared" si="921"/>
        <v>910.52600000000007</v>
      </c>
      <c r="BC642" s="520">
        <f t="shared" si="921"/>
        <v>1009.8499999999995</v>
      </c>
      <c r="BD642" s="519">
        <f t="shared" si="921"/>
        <v>3677.7329999999993</v>
      </c>
      <c r="BE642" s="520">
        <f t="shared" si="921"/>
        <v>675.05899999999997</v>
      </c>
      <c r="BF642" s="520">
        <f t="shared" si="921"/>
        <v>757.56700000000001</v>
      </c>
      <c r="BG642" s="520">
        <f t="shared" si="921"/>
        <v>822.36000000000013</v>
      </c>
      <c r="BH642" s="520">
        <f t="shared" si="921"/>
        <v>1048.6149999999998</v>
      </c>
      <c r="BI642" s="519">
        <f t="shared" si="921"/>
        <v>3303.6009999999997</v>
      </c>
      <c r="BJ642" s="1270">
        <f>BJ640-BJ641</f>
        <v>802.51499999999999</v>
      </c>
      <c r="BK642" s="327">
        <f t="shared" si="921"/>
        <v>0</v>
      </c>
      <c r="BL642" s="327">
        <f t="shared" si="921"/>
        <v>0</v>
      </c>
      <c r="BM642" s="327">
        <f t="shared" si="921"/>
        <v>0</v>
      </c>
      <c r="BN642" s="518">
        <f t="shared" si="921"/>
        <v>0</v>
      </c>
      <c r="BO642" s="327">
        <f t="shared" ref="BO642:CF642" si="922">BO640-BO641</f>
        <v>0</v>
      </c>
      <c r="BP642" s="327">
        <f t="shared" si="922"/>
        <v>0</v>
      </c>
      <c r="BQ642" s="327">
        <f t="shared" si="922"/>
        <v>0</v>
      </c>
      <c r="BR642" s="327">
        <f t="shared" si="922"/>
        <v>0</v>
      </c>
      <c r="BS642" s="518">
        <f t="shared" si="922"/>
        <v>0</v>
      </c>
      <c r="BT642" s="518">
        <f t="shared" si="922"/>
        <v>0</v>
      </c>
      <c r="BU642" s="518">
        <f t="shared" si="922"/>
        <v>0</v>
      </c>
      <c r="BV642" s="518">
        <f t="shared" si="922"/>
        <v>0</v>
      </c>
      <c r="BW642" s="197"/>
    </row>
    <row r="643" spans="1:75" s="123" customFormat="1" hidden="1" outlineLevel="1" x14ac:dyDescent="0.5">
      <c r="A643" s="464" t="s">
        <v>1050</v>
      </c>
      <c r="B643" s="513"/>
      <c r="C643" s="403">
        <v>981.79499999999996</v>
      </c>
      <c r="D643" s="403">
        <v>1050.4449999999999</v>
      </c>
      <c r="E643" s="403">
        <v>1078.124</v>
      </c>
      <c r="F643" s="403">
        <v>1183.3130000000001</v>
      </c>
      <c r="G643" s="302">
        <v>270.40199999999999</v>
      </c>
      <c r="H643" s="302">
        <v>290.83800000000002</v>
      </c>
      <c r="I643" s="302">
        <v>312.89400000000001</v>
      </c>
      <c r="J643" s="302">
        <v>377.98399999999998</v>
      </c>
      <c r="K643" s="403">
        <v>1252.1179999999999</v>
      </c>
      <c r="L643" s="302">
        <v>294.08199999999999</v>
      </c>
      <c r="M643" s="302">
        <v>296.762</v>
      </c>
      <c r="N643" s="302">
        <v>326.68700000000001</v>
      </c>
      <c r="O643" s="302">
        <v>380.70800000000003</v>
      </c>
      <c r="P643" s="403">
        <v>1298.239</v>
      </c>
      <c r="Q643" s="302">
        <v>306.91300000000001</v>
      </c>
      <c r="R643" s="302">
        <v>323.28199999999998</v>
      </c>
      <c r="S643" s="302">
        <v>340.505</v>
      </c>
      <c r="T643" s="302">
        <v>384.88</v>
      </c>
      <c r="U643" s="403">
        <v>1355.58</v>
      </c>
      <c r="V643" s="302">
        <v>328.99200000000002</v>
      </c>
      <c r="W643" s="302">
        <v>327.26299999999998</v>
      </c>
      <c r="X643" s="302">
        <v>348.24400000000003</v>
      </c>
      <c r="Y643" s="302">
        <v>406.21199999999999</v>
      </c>
      <c r="Z643" s="403">
        <v>1410.711</v>
      </c>
      <c r="AA643" s="302">
        <v>333.286</v>
      </c>
      <c r="AB643" s="302">
        <v>341.12700000000001</v>
      </c>
      <c r="AC643" s="302">
        <v>356.25400000000002</v>
      </c>
      <c r="AD643" s="302">
        <v>447.233</v>
      </c>
      <c r="AE643" s="403">
        <v>1477.9</v>
      </c>
      <c r="AF643" s="302">
        <v>365.61399999999998</v>
      </c>
      <c r="AG643" s="302">
        <v>389.77600000000001</v>
      </c>
      <c r="AH643" s="302">
        <v>400.6</v>
      </c>
      <c r="AI643" s="122">
        <f>AJ643-SUM(AF643,AG643,AH643)</f>
        <v>509.06999999999994</v>
      </c>
      <c r="AJ643" s="403">
        <v>1665.06</v>
      </c>
      <c r="AK643" s="302">
        <v>370.19900000000001</v>
      </c>
      <c r="AL643" s="302">
        <v>397.69600000000003</v>
      </c>
      <c r="AM643" s="302">
        <v>416.28100000000001</v>
      </c>
      <c r="AN643" s="122">
        <f>AO643-SUM(AK643,AL643,AM643)</f>
        <v>489.04200000000014</v>
      </c>
      <c r="AO643" s="403">
        <v>1673.2180000000001</v>
      </c>
      <c r="AP643" s="302">
        <v>365.61500000000001</v>
      </c>
      <c r="AQ643" s="302">
        <v>365.84100000000001</v>
      </c>
      <c r="AR643" s="302">
        <v>430.97899999999998</v>
      </c>
      <c r="AS643" s="122">
        <f>AT643-SUM(AP643,AQ643,AR643)</f>
        <v>563.13699999999994</v>
      </c>
      <c r="AT643" s="403">
        <v>1725.5719999999999</v>
      </c>
      <c r="AU643" s="302">
        <v>477.67599999999999</v>
      </c>
      <c r="AV643" s="302">
        <v>535.28800000000001</v>
      </c>
      <c r="AW643" s="302">
        <v>565.21799999999996</v>
      </c>
      <c r="AX643" s="122">
        <f>AY643-SUM(AU643,AV643,AW643)</f>
        <v>600.66500000000042</v>
      </c>
      <c r="AY643" s="403">
        <v>2178.8470000000002</v>
      </c>
      <c r="AZ643" s="302">
        <v>505.06700000000001</v>
      </c>
      <c r="BA643" s="302">
        <v>563.28800000000001</v>
      </c>
      <c r="BB643" s="302">
        <v>570.89300000000003</v>
      </c>
      <c r="BC643" s="122">
        <f>BD643-SUM(AZ643,BA643,BB643)</f>
        <v>540.0630000000001</v>
      </c>
      <c r="BD643" s="403">
        <v>2179.3110000000001</v>
      </c>
      <c r="BE643" s="302">
        <v>475.58199999999999</v>
      </c>
      <c r="BF643" s="302">
        <v>486.01900000000001</v>
      </c>
      <c r="BG643" s="302">
        <v>507.28300000000002</v>
      </c>
      <c r="BH643" s="122">
        <f>BI643-SUM(BE643,BF643,BG643)</f>
        <v>590.52399999999989</v>
      </c>
      <c r="BI643" s="403">
        <v>2059.4079999999999</v>
      </c>
      <c r="BJ643" s="1207">
        <v>478.68700000000001</v>
      </c>
      <c r="BK643" s="118"/>
      <c r="BL643" s="118"/>
      <c r="BM643" s="118"/>
      <c r="BN643" s="401"/>
      <c r="BO643" s="118"/>
      <c r="BP643" s="118"/>
      <c r="BQ643" s="118"/>
      <c r="BR643" s="118"/>
      <c r="BS643" s="401"/>
      <c r="BT643" s="401"/>
      <c r="BU643" s="401"/>
      <c r="BV643" s="401"/>
      <c r="BW643" s="122"/>
    </row>
    <row r="644" spans="1:75" s="198" customFormat="1" ht="14.25" hidden="1" outlineLevel="1" x14ac:dyDescent="0.45">
      <c r="A644" s="516" t="s">
        <v>1105</v>
      </c>
      <c r="B644" s="517"/>
      <c r="C644" s="519">
        <f t="shared" ref="C644:BN644" si="923">C642-C643</f>
        <v>121.44200000000012</v>
      </c>
      <c r="D644" s="519">
        <f t="shared" si="923"/>
        <v>323.41399999999999</v>
      </c>
      <c r="E644" s="519">
        <f t="shared" si="923"/>
        <v>381.73199999999974</v>
      </c>
      <c r="F644" s="519">
        <f t="shared" si="923"/>
        <v>409.16300000000001</v>
      </c>
      <c r="G644" s="520">
        <f t="shared" si="923"/>
        <v>63.782999999999959</v>
      </c>
      <c r="H644" s="520">
        <f t="shared" si="923"/>
        <v>78.085999999999956</v>
      </c>
      <c r="I644" s="520">
        <f t="shared" si="923"/>
        <v>92.494000000000028</v>
      </c>
      <c r="J644" s="520">
        <f t="shared" si="923"/>
        <v>217.73500000000007</v>
      </c>
      <c r="K644" s="519">
        <f t="shared" si="923"/>
        <v>452.09800000000041</v>
      </c>
      <c r="L644" s="520">
        <f t="shared" si="923"/>
        <v>74.326000000000022</v>
      </c>
      <c r="M644" s="520">
        <f t="shared" si="923"/>
        <v>85.33600000000007</v>
      </c>
      <c r="N644" s="520">
        <f t="shared" si="923"/>
        <v>104.72000000000003</v>
      </c>
      <c r="O644" s="520">
        <f t="shared" si="923"/>
        <v>237.88299999999998</v>
      </c>
      <c r="P644" s="519">
        <f t="shared" si="923"/>
        <v>502.26499999999987</v>
      </c>
      <c r="Q644" s="520">
        <f t="shared" si="923"/>
        <v>71.927999999999884</v>
      </c>
      <c r="R644" s="520">
        <f t="shared" si="923"/>
        <v>83.343000000000018</v>
      </c>
      <c r="S644" s="520">
        <f t="shared" si="923"/>
        <v>110.68300000000011</v>
      </c>
      <c r="T644" s="520">
        <f t="shared" si="923"/>
        <v>222.68000000000006</v>
      </c>
      <c r="U644" s="519">
        <f t="shared" si="923"/>
        <v>488.63400000000001</v>
      </c>
      <c r="V644" s="520">
        <f t="shared" si="923"/>
        <v>63.525000000000034</v>
      </c>
      <c r="W644" s="520">
        <f t="shared" si="923"/>
        <v>83.27600000000001</v>
      </c>
      <c r="X644" s="520">
        <f t="shared" si="923"/>
        <v>109.97899999999993</v>
      </c>
      <c r="Y644" s="520">
        <f t="shared" si="923"/>
        <v>215.81899999999996</v>
      </c>
      <c r="Z644" s="519">
        <f t="shared" si="923"/>
        <v>472.59899999999993</v>
      </c>
      <c r="AA644" s="520">
        <f t="shared" si="923"/>
        <v>62.474000000000103</v>
      </c>
      <c r="AB644" s="520">
        <f t="shared" si="923"/>
        <v>81.584000000000003</v>
      </c>
      <c r="AC644" s="520">
        <f t="shared" si="923"/>
        <v>110.81299999999999</v>
      </c>
      <c r="AD644" s="520">
        <f t="shared" si="923"/>
        <v>198.94</v>
      </c>
      <c r="AE644" s="519">
        <f t="shared" si="923"/>
        <v>453.81100000000015</v>
      </c>
      <c r="AF644" s="520">
        <f t="shared" si="923"/>
        <v>66.550000000000011</v>
      </c>
      <c r="AG644" s="520">
        <f t="shared" si="923"/>
        <v>74.165999999999997</v>
      </c>
      <c r="AH644" s="520">
        <f t="shared" si="923"/>
        <v>94.383999999999901</v>
      </c>
      <c r="AI644" s="520">
        <f t="shared" si="923"/>
        <v>200.85299999999984</v>
      </c>
      <c r="AJ644" s="519">
        <f t="shared" si="923"/>
        <v>435.95299999999997</v>
      </c>
      <c r="AK644" s="520">
        <f t="shared" si="923"/>
        <v>74.132000000000005</v>
      </c>
      <c r="AL644" s="520">
        <f t="shared" si="923"/>
        <v>86.165000000000077</v>
      </c>
      <c r="AM644" s="520">
        <f t="shared" si="923"/>
        <v>101.89100000000002</v>
      </c>
      <c r="AN644" s="520">
        <f t="shared" si="923"/>
        <v>203.68599999999992</v>
      </c>
      <c r="AO644" s="519">
        <f t="shared" si="923"/>
        <v>465.87399999999957</v>
      </c>
      <c r="AP644" s="520">
        <f t="shared" si="923"/>
        <v>48.644999999999982</v>
      </c>
      <c r="AQ644" s="520">
        <f t="shared" si="923"/>
        <v>185.36099999999999</v>
      </c>
      <c r="AR644" s="520">
        <f t="shared" si="923"/>
        <v>274.6040000000001</v>
      </c>
      <c r="AS644" s="520">
        <f t="shared" si="923"/>
        <v>402.08700000000067</v>
      </c>
      <c r="AT644" s="519">
        <f t="shared" si="923"/>
        <v>910.69700000000034</v>
      </c>
      <c r="AU644" s="520">
        <f t="shared" si="923"/>
        <v>275.17699999999996</v>
      </c>
      <c r="AV644" s="520">
        <f t="shared" si="923"/>
        <v>323.09999999999991</v>
      </c>
      <c r="AW644" s="520">
        <f t="shared" si="923"/>
        <v>330.26699999999994</v>
      </c>
      <c r="AX644" s="520">
        <f t="shared" si="923"/>
        <v>524.57199999999921</v>
      </c>
      <c r="AY644" s="519">
        <f t="shared" si="923"/>
        <v>1453.1159999999995</v>
      </c>
      <c r="AZ644" s="520">
        <f t="shared" si="923"/>
        <v>323.48099999999999</v>
      </c>
      <c r="BA644" s="520">
        <f t="shared" si="923"/>
        <v>365.52099999999973</v>
      </c>
      <c r="BB644" s="520">
        <f t="shared" si="923"/>
        <v>339.63300000000004</v>
      </c>
      <c r="BC644" s="520">
        <f t="shared" si="923"/>
        <v>469.78699999999935</v>
      </c>
      <c r="BD644" s="519">
        <f t="shared" si="923"/>
        <v>1498.4219999999991</v>
      </c>
      <c r="BE644" s="520">
        <f t="shared" si="923"/>
        <v>199.47699999999998</v>
      </c>
      <c r="BF644" s="520">
        <f t="shared" si="923"/>
        <v>271.548</v>
      </c>
      <c r="BG644" s="520">
        <f t="shared" si="923"/>
        <v>315.07700000000011</v>
      </c>
      <c r="BH644" s="520">
        <f t="shared" si="923"/>
        <v>458.09099999999989</v>
      </c>
      <c r="BI644" s="519">
        <f t="shared" si="923"/>
        <v>1244.1929999999998</v>
      </c>
      <c r="BJ644" s="1270">
        <f>BJ642-BJ643</f>
        <v>323.82799999999997</v>
      </c>
      <c r="BK644" s="327">
        <f t="shared" si="923"/>
        <v>0</v>
      </c>
      <c r="BL644" s="327">
        <f t="shared" si="923"/>
        <v>0</v>
      </c>
      <c r="BM644" s="327">
        <f t="shared" si="923"/>
        <v>0</v>
      </c>
      <c r="BN644" s="518">
        <f t="shared" si="923"/>
        <v>0</v>
      </c>
      <c r="BO644" s="327">
        <f t="shared" ref="BO644:CF644" si="924">BO642-BO643</f>
        <v>0</v>
      </c>
      <c r="BP644" s="327">
        <f t="shared" si="924"/>
        <v>0</v>
      </c>
      <c r="BQ644" s="327">
        <f t="shared" si="924"/>
        <v>0</v>
      </c>
      <c r="BR644" s="327">
        <f t="shared" si="924"/>
        <v>0</v>
      </c>
      <c r="BS644" s="518">
        <f t="shared" si="924"/>
        <v>0</v>
      </c>
      <c r="BT644" s="518">
        <f t="shared" si="924"/>
        <v>0</v>
      </c>
      <c r="BU644" s="518">
        <f t="shared" si="924"/>
        <v>0</v>
      </c>
      <c r="BV644" s="518">
        <f t="shared" si="924"/>
        <v>0</v>
      </c>
      <c r="BW644" s="197"/>
    </row>
    <row r="645" spans="1:75" s="123" customFormat="1" hidden="1" outlineLevel="1" x14ac:dyDescent="0.5">
      <c r="A645" s="464" t="s">
        <v>2068</v>
      </c>
      <c r="B645" s="513"/>
      <c r="C645" s="403">
        <v>1.153</v>
      </c>
      <c r="D645" s="403">
        <v>0.35399999999999998</v>
      </c>
      <c r="E645" s="403">
        <v>-9.8000000000000004E-2</v>
      </c>
      <c r="F645" s="403">
        <v>-0.79300000000000004</v>
      </c>
      <c r="G645" s="302">
        <v>-0.189</v>
      </c>
      <c r="H645" s="302">
        <v>-0.125</v>
      </c>
      <c r="I645" s="302">
        <v>-0.10299999999999999</v>
      </c>
      <c r="J645" s="302">
        <v>-0.16700000000000001</v>
      </c>
      <c r="K645" s="403">
        <v>-0.58399999999999996</v>
      </c>
      <c r="L645" s="302">
        <v>-6.9000000000000006E-2</v>
      </c>
      <c r="M645" s="302">
        <v>0.04</v>
      </c>
      <c r="N645" s="302">
        <v>0.11700000000000001</v>
      </c>
      <c r="O645" s="302">
        <v>-2.5999999999999999E-2</v>
      </c>
      <c r="P645" s="403">
        <v>6.2E-2</v>
      </c>
      <c r="Q645" s="302">
        <v>8.0000000000000002E-3</v>
      </c>
      <c r="R645" s="302">
        <v>0.27500000000000002</v>
      </c>
      <c r="S645" s="302">
        <v>0.34200000000000003</v>
      </c>
      <c r="T645" s="302">
        <v>2E-3</v>
      </c>
      <c r="U645" s="403">
        <v>0.627</v>
      </c>
      <c r="V645" s="302">
        <v>-6.8000000000000005E-2</v>
      </c>
      <c r="W645" s="302">
        <v>0.16700000000000001</v>
      </c>
      <c r="X645" s="302">
        <v>0.48799999999999999</v>
      </c>
      <c r="Y645" s="302">
        <v>0.10100000000000001</v>
      </c>
      <c r="Z645" s="403">
        <v>0.68799999999999994</v>
      </c>
      <c r="AA645" s="302">
        <v>-0.10299999999999999</v>
      </c>
      <c r="AB645" s="302">
        <v>0.48299999999999998</v>
      </c>
      <c r="AC645" s="302">
        <v>0.59399999999999997</v>
      </c>
      <c r="AD645" s="302">
        <v>0.39800000000000002</v>
      </c>
      <c r="AE645" s="403">
        <v>1.3720000000000001</v>
      </c>
      <c r="AF645" s="302">
        <v>1.2010000000000001</v>
      </c>
      <c r="AG645" s="302">
        <v>1.5840000000000001</v>
      </c>
      <c r="AH645" s="302">
        <v>2.2879999999999998</v>
      </c>
      <c r="AI645" s="122">
        <f>AJ645-SUM(AF645,AG645,AH645)</f>
        <v>1.633</v>
      </c>
      <c r="AJ645" s="403">
        <v>6.7060000000000004</v>
      </c>
      <c r="AK645" s="302">
        <v>2.2530000000000001</v>
      </c>
      <c r="AL645" s="302">
        <v>2.669</v>
      </c>
      <c r="AM645" s="302">
        <v>2.5640000000000001</v>
      </c>
      <c r="AN645" s="122">
        <f>AO645-SUM(AK645,AL645,AM645)</f>
        <v>1.3669999999999991</v>
      </c>
      <c r="AO645" s="403">
        <v>8.8529999999999998</v>
      </c>
      <c r="AP645" s="302">
        <v>2.1589999999999998</v>
      </c>
      <c r="AQ645" s="302">
        <v>6.4640000000000004</v>
      </c>
      <c r="AR645" s="302">
        <v>5.3440000000000003</v>
      </c>
      <c r="AS645" s="122">
        <f>AT645-SUM(AP645,AQ645,AR645)</f>
        <v>2.2639999999999993</v>
      </c>
      <c r="AT645" s="403">
        <v>16.231000000000002</v>
      </c>
      <c r="AU645" s="302">
        <v>1.8720000000000001</v>
      </c>
      <c r="AV645" s="302">
        <v>-3.9E-2</v>
      </c>
      <c r="AW645" s="302">
        <v>0.121</v>
      </c>
      <c r="AX645" s="122">
        <f>AY645-SUM(AU645,AV645,AW645)</f>
        <v>-8.900000000000019E-2</v>
      </c>
      <c r="AY645" s="403">
        <v>1.865</v>
      </c>
      <c r="AZ645" s="302">
        <v>-0.16300000000000001</v>
      </c>
      <c r="BA645" s="302">
        <v>-0.34399999999999997</v>
      </c>
      <c r="BB645" s="302">
        <v>-0.37</v>
      </c>
      <c r="BC645" s="122">
        <f>BD645-SUM(AZ645,BA645,BB645)</f>
        <v>-1.3829999999999998</v>
      </c>
      <c r="BD645" s="403">
        <v>-2.2599999999999998</v>
      </c>
      <c r="BE645" s="302">
        <v>-5.4980000000000002</v>
      </c>
      <c r="BF645" s="302">
        <v>-3.335</v>
      </c>
      <c r="BG645" s="302">
        <v>-7.1820000000000004</v>
      </c>
      <c r="BH645" s="122">
        <f>BI645-SUM(BE645,BF645,BG645)</f>
        <v>-13.146999999999998</v>
      </c>
      <c r="BI645" s="403">
        <v>-29.161999999999999</v>
      </c>
      <c r="BJ645" s="1207">
        <v>-16.053000000000001</v>
      </c>
      <c r="BK645" s="118"/>
      <c r="BL645" s="118"/>
      <c r="BM645" s="118"/>
      <c r="BN645" s="401"/>
      <c r="BO645" s="118"/>
      <c r="BP645" s="118"/>
      <c r="BQ645" s="118"/>
      <c r="BR645" s="118"/>
      <c r="BS645" s="401"/>
      <c r="BT645" s="401"/>
      <c r="BU645" s="401"/>
      <c r="BV645" s="401"/>
      <c r="BW645" s="122"/>
    </row>
    <row r="646" spans="1:75" s="198" customFormat="1" ht="14.25" hidden="1" outlineLevel="1" x14ac:dyDescent="0.45">
      <c r="A646" s="516" t="s">
        <v>2069</v>
      </c>
      <c r="B646" s="517"/>
      <c r="C646" s="519">
        <f t="shared" ref="C646:BN646" si="925">C644-C645</f>
        <v>120.28900000000012</v>
      </c>
      <c r="D646" s="519">
        <f t="shared" si="925"/>
        <v>323.06</v>
      </c>
      <c r="E646" s="519">
        <f t="shared" si="925"/>
        <v>381.82999999999976</v>
      </c>
      <c r="F646" s="519">
        <f t="shared" si="925"/>
        <v>409.95600000000002</v>
      </c>
      <c r="G646" s="520">
        <f t="shared" si="925"/>
        <v>63.971999999999959</v>
      </c>
      <c r="H646" s="520">
        <f t="shared" si="925"/>
        <v>78.210999999999956</v>
      </c>
      <c r="I646" s="520">
        <f t="shared" si="925"/>
        <v>92.597000000000023</v>
      </c>
      <c r="J646" s="520">
        <f t="shared" si="925"/>
        <v>217.90200000000007</v>
      </c>
      <c r="K646" s="519">
        <f t="shared" si="925"/>
        <v>452.68200000000041</v>
      </c>
      <c r="L646" s="520">
        <f t="shared" si="925"/>
        <v>74.395000000000024</v>
      </c>
      <c r="M646" s="520">
        <f t="shared" si="925"/>
        <v>85.296000000000063</v>
      </c>
      <c r="N646" s="520">
        <f t="shared" si="925"/>
        <v>104.60300000000002</v>
      </c>
      <c r="O646" s="520">
        <f t="shared" si="925"/>
        <v>237.90899999999999</v>
      </c>
      <c r="P646" s="519">
        <f t="shared" si="925"/>
        <v>502.20299999999986</v>
      </c>
      <c r="Q646" s="520">
        <f t="shared" si="925"/>
        <v>71.919999999999888</v>
      </c>
      <c r="R646" s="520">
        <f t="shared" si="925"/>
        <v>83.068000000000012</v>
      </c>
      <c r="S646" s="520">
        <f t="shared" si="925"/>
        <v>110.34100000000011</v>
      </c>
      <c r="T646" s="520">
        <f t="shared" si="925"/>
        <v>222.67800000000005</v>
      </c>
      <c r="U646" s="519">
        <f t="shared" si="925"/>
        <v>488.00700000000001</v>
      </c>
      <c r="V646" s="520">
        <f t="shared" si="925"/>
        <v>63.593000000000032</v>
      </c>
      <c r="W646" s="520">
        <f t="shared" si="925"/>
        <v>83.109000000000009</v>
      </c>
      <c r="X646" s="520">
        <f t="shared" si="925"/>
        <v>109.49099999999993</v>
      </c>
      <c r="Y646" s="520">
        <f t="shared" si="925"/>
        <v>215.71799999999996</v>
      </c>
      <c r="Z646" s="519">
        <f t="shared" si="925"/>
        <v>471.91099999999994</v>
      </c>
      <c r="AA646" s="520">
        <f t="shared" si="925"/>
        <v>62.577000000000105</v>
      </c>
      <c r="AB646" s="520">
        <f t="shared" si="925"/>
        <v>81.100999999999999</v>
      </c>
      <c r="AC646" s="520">
        <f t="shared" si="925"/>
        <v>110.21899999999999</v>
      </c>
      <c r="AD646" s="520">
        <f t="shared" si="925"/>
        <v>198.542</v>
      </c>
      <c r="AE646" s="519">
        <f t="shared" si="925"/>
        <v>452.43900000000014</v>
      </c>
      <c r="AF646" s="520">
        <f t="shared" si="925"/>
        <v>65.349000000000018</v>
      </c>
      <c r="AG646" s="520">
        <f t="shared" si="925"/>
        <v>72.581999999999994</v>
      </c>
      <c r="AH646" s="520">
        <f t="shared" si="925"/>
        <v>92.095999999999904</v>
      </c>
      <c r="AI646" s="520">
        <f t="shared" si="925"/>
        <v>199.21999999999983</v>
      </c>
      <c r="AJ646" s="519">
        <f t="shared" si="925"/>
        <v>429.24699999999996</v>
      </c>
      <c r="AK646" s="520">
        <f t="shared" si="925"/>
        <v>71.879000000000005</v>
      </c>
      <c r="AL646" s="520">
        <f t="shared" si="925"/>
        <v>83.49600000000008</v>
      </c>
      <c r="AM646" s="520">
        <f t="shared" si="925"/>
        <v>99.327000000000027</v>
      </c>
      <c r="AN646" s="520">
        <f t="shared" si="925"/>
        <v>202.31899999999993</v>
      </c>
      <c r="AO646" s="519">
        <f t="shared" si="925"/>
        <v>457.02099999999956</v>
      </c>
      <c r="AP646" s="520">
        <f t="shared" si="925"/>
        <v>46.485999999999983</v>
      </c>
      <c r="AQ646" s="520">
        <f t="shared" si="925"/>
        <v>178.89699999999999</v>
      </c>
      <c r="AR646" s="520">
        <f t="shared" si="925"/>
        <v>269.2600000000001</v>
      </c>
      <c r="AS646" s="520">
        <f t="shared" si="925"/>
        <v>399.82300000000066</v>
      </c>
      <c r="AT646" s="519">
        <f t="shared" si="925"/>
        <v>894.46600000000035</v>
      </c>
      <c r="AU646" s="520">
        <f t="shared" si="925"/>
        <v>273.30499999999995</v>
      </c>
      <c r="AV646" s="520">
        <f t="shared" si="925"/>
        <v>323.1389999999999</v>
      </c>
      <c r="AW646" s="520">
        <f t="shared" si="925"/>
        <v>330.14599999999996</v>
      </c>
      <c r="AX646" s="520">
        <f t="shared" si="925"/>
        <v>524.66099999999926</v>
      </c>
      <c r="AY646" s="519">
        <f t="shared" si="925"/>
        <v>1451.2509999999995</v>
      </c>
      <c r="AZ646" s="520">
        <f t="shared" si="925"/>
        <v>323.64400000000001</v>
      </c>
      <c r="BA646" s="520">
        <f t="shared" si="925"/>
        <v>365.86499999999972</v>
      </c>
      <c r="BB646" s="520">
        <f t="shared" si="925"/>
        <v>340.00300000000004</v>
      </c>
      <c r="BC646" s="520">
        <f t="shared" si="925"/>
        <v>471.16999999999933</v>
      </c>
      <c r="BD646" s="519">
        <f t="shared" si="925"/>
        <v>1500.6819999999991</v>
      </c>
      <c r="BE646" s="520">
        <f t="shared" si="925"/>
        <v>204.97499999999997</v>
      </c>
      <c r="BF646" s="520">
        <f t="shared" si="925"/>
        <v>274.88299999999998</v>
      </c>
      <c r="BG646" s="520">
        <f t="shared" si="925"/>
        <v>322.25900000000013</v>
      </c>
      <c r="BH646" s="520">
        <f t="shared" si="925"/>
        <v>471.23799999999989</v>
      </c>
      <c r="BI646" s="519">
        <f t="shared" si="925"/>
        <v>1273.3549999999998</v>
      </c>
      <c r="BJ646" s="1270">
        <f>BJ644-BJ645</f>
        <v>339.88099999999997</v>
      </c>
      <c r="BK646" s="327">
        <f t="shared" si="925"/>
        <v>0</v>
      </c>
      <c r="BL646" s="327">
        <f t="shared" si="925"/>
        <v>0</v>
      </c>
      <c r="BM646" s="327">
        <f t="shared" si="925"/>
        <v>0</v>
      </c>
      <c r="BN646" s="518">
        <f t="shared" si="925"/>
        <v>0</v>
      </c>
      <c r="BO646" s="327">
        <f t="shared" ref="BO646:CF646" si="926">BO644-BO645</f>
        <v>0</v>
      </c>
      <c r="BP646" s="327">
        <f t="shared" si="926"/>
        <v>0</v>
      </c>
      <c r="BQ646" s="327">
        <f t="shared" si="926"/>
        <v>0</v>
      </c>
      <c r="BR646" s="327">
        <f t="shared" si="926"/>
        <v>0</v>
      </c>
      <c r="BS646" s="518">
        <f t="shared" si="926"/>
        <v>0</v>
      </c>
      <c r="BT646" s="518">
        <f t="shared" si="926"/>
        <v>0</v>
      </c>
      <c r="BU646" s="518">
        <f t="shared" si="926"/>
        <v>0</v>
      </c>
      <c r="BV646" s="518">
        <f t="shared" si="926"/>
        <v>0</v>
      </c>
      <c r="BW646" s="197"/>
    </row>
    <row r="647" spans="1:75" s="123" customFormat="1" hidden="1" outlineLevel="1" x14ac:dyDescent="0.5">
      <c r="A647" s="464" t="s">
        <v>2070</v>
      </c>
      <c r="B647" s="513"/>
      <c r="C647" s="403">
        <v>42.847000000000001</v>
      </c>
      <c r="D647" s="403">
        <v>122.833</v>
      </c>
      <c r="E647" s="403">
        <v>144.899</v>
      </c>
      <c r="F647" s="403">
        <v>153.226</v>
      </c>
      <c r="G647" s="302">
        <v>24.506</v>
      </c>
      <c r="H647" s="302">
        <v>29.292000000000002</v>
      </c>
      <c r="I647" s="302">
        <v>35.878</v>
      </c>
      <c r="J647" s="302">
        <v>84.103999999999999</v>
      </c>
      <c r="K647" s="403">
        <v>173.78</v>
      </c>
      <c r="L647" s="302">
        <v>28.233000000000001</v>
      </c>
      <c r="M647" s="302">
        <v>34.548999999999999</v>
      </c>
      <c r="N647" s="302">
        <v>39.695</v>
      </c>
      <c r="O647" s="302">
        <v>90.872</v>
      </c>
      <c r="P647" s="403">
        <v>193.34899999999999</v>
      </c>
      <c r="Q647" s="302">
        <v>27.13</v>
      </c>
      <c r="R647" s="302">
        <v>29.4</v>
      </c>
      <c r="S647" s="302">
        <v>39.859000000000002</v>
      </c>
      <c r="T647" s="302">
        <v>81.55</v>
      </c>
      <c r="U647" s="403">
        <v>177.93899999999999</v>
      </c>
      <c r="V647" s="302">
        <v>23.995999999999999</v>
      </c>
      <c r="W647" s="302">
        <v>31.324000000000002</v>
      </c>
      <c r="X647" s="302">
        <v>40.113</v>
      </c>
      <c r="Y647" s="302">
        <v>71.090999999999994</v>
      </c>
      <c r="Z647" s="403">
        <v>166.524</v>
      </c>
      <c r="AA647" s="302">
        <v>23.021999999999998</v>
      </c>
      <c r="AB647" s="302">
        <v>28.184000000000001</v>
      </c>
      <c r="AC647" s="302">
        <v>38.905999999999999</v>
      </c>
      <c r="AD647" s="302">
        <v>102.782</v>
      </c>
      <c r="AE647" s="403">
        <v>192.89400000000001</v>
      </c>
      <c r="AF647" s="302">
        <v>20.181000000000001</v>
      </c>
      <c r="AG647" s="302">
        <v>20.869</v>
      </c>
      <c r="AH647" s="302">
        <v>10.631</v>
      </c>
      <c r="AI647" s="122">
        <f>AJ647-SUM(AF647,AG647,AH647)</f>
        <v>43.882000000000005</v>
      </c>
      <c r="AJ647" s="403">
        <v>95.563000000000002</v>
      </c>
      <c r="AK647" s="302">
        <v>19.222999999999999</v>
      </c>
      <c r="AL647" s="302">
        <v>20.847999999999999</v>
      </c>
      <c r="AM647" s="302">
        <v>24.614000000000001</v>
      </c>
      <c r="AN647" s="122">
        <f>AO647-SUM(AK647,AL647,AM647)</f>
        <v>36.274000000000001</v>
      </c>
      <c r="AO647" s="403">
        <v>100.959</v>
      </c>
      <c r="AP647" s="302">
        <v>11.063000000000001</v>
      </c>
      <c r="AQ647" s="302">
        <v>44.332999999999998</v>
      </c>
      <c r="AR647" s="302">
        <v>67.488</v>
      </c>
      <c r="AS647" s="122">
        <f>AT647-SUM(AP647,AQ647,AR647)</f>
        <v>90.868000000000009</v>
      </c>
      <c r="AT647" s="403">
        <v>213.75200000000001</v>
      </c>
      <c r="AU647" s="302">
        <v>45.503</v>
      </c>
      <c r="AV647" s="302">
        <v>77.069000000000003</v>
      </c>
      <c r="AW647" s="302">
        <v>80.622</v>
      </c>
      <c r="AX647" s="122">
        <f>AY647-SUM(AU647,AV647,AW647)</f>
        <v>121.71999999999997</v>
      </c>
      <c r="AY647" s="403">
        <v>324.91399999999999</v>
      </c>
      <c r="AZ647" s="302">
        <v>69.531000000000006</v>
      </c>
      <c r="BA647" s="302">
        <v>98.79</v>
      </c>
      <c r="BB647" s="302">
        <v>88.28</v>
      </c>
      <c r="BC647" s="122">
        <f>BD647-SUM(AZ647,BA647,BB647)</f>
        <v>116.17700000000002</v>
      </c>
      <c r="BD647" s="403">
        <v>372.77800000000002</v>
      </c>
      <c r="BE647" s="302">
        <v>48.444000000000003</v>
      </c>
      <c r="BF647" s="302">
        <v>73.376000000000005</v>
      </c>
      <c r="BG647" s="302">
        <v>84.974000000000004</v>
      </c>
      <c r="BH647" s="122">
        <f>BI647-SUM(BE647,BF647,BG647)</f>
        <v>116.79900000000001</v>
      </c>
      <c r="BI647" s="403">
        <v>323.59300000000002</v>
      </c>
      <c r="BJ647" s="1207">
        <v>74.215000000000003</v>
      </c>
      <c r="BK647" s="118"/>
      <c r="BL647" s="118"/>
      <c r="BM647" s="118"/>
      <c r="BN647" s="401"/>
      <c r="BO647" s="118"/>
      <c r="BP647" s="118"/>
      <c r="BQ647" s="118"/>
      <c r="BR647" s="118"/>
      <c r="BS647" s="401"/>
      <c r="BT647" s="401"/>
      <c r="BU647" s="401"/>
      <c r="BV647" s="401"/>
      <c r="BW647" s="122"/>
    </row>
    <row r="648" spans="1:75" s="198" customFormat="1" ht="14.25" hidden="1" outlineLevel="1" x14ac:dyDescent="0.45">
      <c r="A648" s="1271" t="s">
        <v>2071</v>
      </c>
      <c r="B648" s="679"/>
      <c r="C648" s="681">
        <f t="shared" ref="C648:BN648" si="927">C646-C647</f>
        <v>77.442000000000121</v>
      </c>
      <c r="D648" s="681">
        <f t="shared" si="927"/>
        <v>200.227</v>
      </c>
      <c r="E648" s="681">
        <f t="shared" si="927"/>
        <v>236.93099999999976</v>
      </c>
      <c r="F648" s="681">
        <f t="shared" si="927"/>
        <v>256.73</v>
      </c>
      <c r="G648" s="682">
        <f t="shared" si="927"/>
        <v>39.465999999999958</v>
      </c>
      <c r="H648" s="682">
        <f t="shared" si="927"/>
        <v>48.918999999999954</v>
      </c>
      <c r="I648" s="682">
        <f t="shared" si="927"/>
        <v>56.719000000000023</v>
      </c>
      <c r="J648" s="682">
        <f t="shared" si="927"/>
        <v>133.79800000000006</v>
      </c>
      <c r="K648" s="681">
        <f t="shared" si="927"/>
        <v>278.90200000000038</v>
      </c>
      <c r="L648" s="682">
        <f t="shared" si="927"/>
        <v>46.16200000000002</v>
      </c>
      <c r="M648" s="682">
        <f t="shared" si="927"/>
        <v>50.747000000000064</v>
      </c>
      <c r="N648" s="682">
        <f t="shared" si="927"/>
        <v>64.908000000000015</v>
      </c>
      <c r="O648" s="682">
        <f t="shared" si="927"/>
        <v>147.03699999999998</v>
      </c>
      <c r="P648" s="681">
        <f t="shared" si="927"/>
        <v>308.85399999999987</v>
      </c>
      <c r="Q648" s="682">
        <f t="shared" si="927"/>
        <v>44.789999999999893</v>
      </c>
      <c r="R648" s="682">
        <f t="shared" si="927"/>
        <v>53.668000000000013</v>
      </c>
      <c r="S648" s="682">
        <f t="shared" si="927"/>
        <v>70.482000000000113</v>
      </c>
      <c r="T648" s="682">
        <f t="shared" si="927"/>
        <v>141.12800000000004</v>
      </c>
      <c r="U648" s="681">
        <f t="shared" si="927"/>
        <v>310.06799999999998</v>
      </c>
      <c r="V648" s="682">
        <f t="shared" si="927"/>
        <v>39.597000000000037</v>
      </c>
      <c r="W648" s="682">
        <f t="shared" si="927"/>
        <v>51.785000000000011</v>
      </c>
      <c r="X648" s="682">
        <f t="shared" si="927"/>
        <v>69.377999999999929</v>
      </c>
      <c r="Y648" s="682">
        <f t="shared" si="927"/>
        <v>144.62699999999995</v>
      </c>
      <c r="Z648" s="681">
        <f t="shared" si="927"/>
        <v>305.38699999999994</v>
      </c>
      <c r="AA648" s="682">
        <f t="shared" si="927"/>
        <v>39.555000000000106</v>
      </c>
      <c r="AB648" s="682">
        <f t="shared" si="927"/>
        <v>52.917000000000002</v>
      </c>
      <c r="AC648" s="682">
        <f t="shared" si="927"/>
        <v>71.312999999999988</v>
      </c>
      <c r="AD648" s="682">
        <f t="shared" si="927"/>
        <v>95.76</v>
      </c>
      <c r="AE648" s="681">
        <f t="shared" si="927"/>
        <v>259.54500000000013</v>
      </c>
      <c r="AF648" s="682">
        <f t="shared" si="927"/>
        <v>45.168000000000021</v>
      </c>
      <c r="AG648" s="682">
        <f t="shared" si="927"/>
        <v>51.712999999999994</v>
      </c>
      <c r="AH648" s="682">
        <f t="shared" si="927"/>
        <v>81.464999999999904</v>
      </c>
      <c r="AI648" s="682">
        <f t="shared" si="927"/>
        <v>155.33799999999982</v>
      </c>
      <c r="AJ648" s="681">
        <f t="shared" si="927"/>
        <v>333.68399999999997</v>
      </c>
      <c r="AK648" s="682">
        <f t="shared" si="927"/>
        <v>52.656000000000006</v>
      </c>
      <c r="AL648" s="682">
        <f t="shared" si="927"/>
        <v>62.648000000000081</v>
      </c>
      <c r="AM648" s="682">
        <f t="shared" si="927"/>
        <v>74.713000000000022</v>
      </c>
      <c r="AN648" s="682">
        <f t="shared" si="927"/>
        <v>166.04499999999993</v>
      </c>
      <c r="AO648" s="681">
        <f t="shared" si="927"/>
        <v>356.06199999999956</v>
      </c>
      <c r="AP648" s="682">
        <f t="shared" si="927"/>
        <v>35.422999999999981</v>
      </c>
      <c r="AQ648" s="682">
        <f t="shared" si="927"/>
        <v>134.56399999999999</v>
      </c>
      <c r="AR648" s="682">
        <f t="shared" si="927"/>
        <v>201.77200000000011</v>
      </c>
      <c r="AS648" s="682">
        <f t="shared" si="927"/>
        <v>308.95500000000067</v>
      </c>
      <c r="AT648" s="681">
        <f t="shared" si="927"/>
        <v>680.7140000000004</v>
      </c>
      <c r="AU648" s="682">
        <f t="shared" si="927"/>
        <v>227.80199999999996</v>
      </c>
      <c r="AV648" s="682">
        <f t="shared" si="927"/>
        <v>246.06999999999988</v>
      </c>
      <c r="AW648" s="682">
        <f t="shared" si="927"/>
        <v>249.52399999999994</v>
      </c>
      <c r="AX648" s="682">
        <f t="shared" si="927"/>
        <v>402.94099999999929</v>
      </c>
      <c r="AY648" s="681">
        <f t="shared" si="927"/>
        <v>1126.3369999999995</v>
      </c>
      <c r="AZ648" s="682">
        <f t="shared" si="927"/>
        <v>254.113</v>
      </c>
      <c r="BA648" s="682">
        <f t="shared" si="927"/>
        <v>267.0749999999997</v>
      </c>
      <c r="BB648" s="682">
        <f t="shared" si="927"/>
        <v>251.72300000000004</v>
      </c>
      <c r="BC648" s="682">
        <f t="shared" si="927"/>
        <v>354.99299999999931</v>
      </c>
      <c r="BD648" s="681">
        <f t="shared" si="927"/>
        <v>1127.9039999999991</v>
      </c>
      <c r="BE648" s="682">
        <f t="shared" si="927"/>
        <v>156.53099999999995</v>
      </c>
      <c r="BF648" s="682">
        <f t="shared" si="927"/>
        <v>201.50699999999998</v>
      </c>
      <c r="BG648" s="682">
        <f t="shared" si="927"/>
        <v>237.28500000000014</v>
      </c>
      <c r="BH648" s="682">
        <f t="shared" si="927"/>
        <v>354.43899999999985</v>
      </c>
      <c r="BI648" s="681">
        <f t="shared" si="927"/>
        <v>949.76199999999972</v>
      </c>
      <c r="BJ648" s="1272">
        <f>BJ646-BJ647</f>
        <v>265.66599999999994</v>
      </c>
      <c r="BK648" s="683">
        <f t="shared" si="927"/>
        <v>0</v>
      </c>
      <c r="BL648" s="683">
        <f t="shared" si="927"/>
        <v>0</v>
      </c>
      <c r="BM648" s="683">
        <f t="shared" si="927"/>
        <v>0</v>
      </c>
      <c r="BN648" s="680">
        <f t="shared" si="927"/>
        <v>0</v>
      </c>
      <c r="BO648" s="683">
        <f t="shared" ref="BO648:CF648" si="928">BO646-BO647</f>
        <v>0</v>
      </c>
      <c r="BP648" s="683">
        <f t="shared" si="928"/>
        <v>0</v>
      </c>
      <c r="BQ648" s="683">
        <f t="shared" si="928"/>
        <v>0</v>
      </c>
      <c r="BR648" s="683">
        <f t="shared" si="928"/>
        <v>0</v>
      </c>
      <c r="BS648" s="680">
        <f t="shared" si="928"/>
        <v>0</v>
      </c>
      <c r="BT648" s="680">
        <f t="shared" si="928"/>
        <v>0</v>
      </c>
      <c r="BU648" s="680">
        <f t="shared" si="928"/>
        <v>0</v>
      </c>
      <c r="BV648" s="680">
        <f t="shared" si="928"/>
        <v>0</v>
      </c>
      <c r="BW648" s="197"/>
    </row>
    <row r="649" spans="1:75" s="123" customFormat="1" hidden="1" outlineLevel="1" x14ac:dyDescent="0.5">
      <c r="A649" s="184"/>
      <c r="B649" s="513"/>
      <c r="C649" s="401"/>
      <c r="D649" s="401"/>
      <c r="E649" s="401"/>
      <c r="F649" s="401"/>
      <c r="G649" s="118"/>
      <c r="H649" s="118"/>
      <c r="I649" s="118"/>
      <c r="J649" s="118"/>
      <c r="K649" s="401"/>
      <c r="L649" s="118"/>
      <c r="M649" s="118"/>
      <c r="N649" s="118"/>
      <c r="O649" s="118"/>
      <c r="P649" s="401"/>
      <c r="Q649" s="118"/>
      <c r="R649" s="118"/>
      <c r="S649" s="118"/>
      <c r="T649" s="118"/>
      <c r="U649" s="401"/>
      <c r="V649" s="118"/>
      <c r="W649" s="118"/>
      <c r="X649" s="118"/>
      <c r="Y649" s="118"/>
      <c r="Z649" s="401"/>
      <c r="AA649" s="118"/>
      <c r="AB649" s="118"/>
      <c r="AC649" s="118"/>
      <c r="AD649" s="118"/>
      <c r="AE649" s="401"/>
      <c r="AF649" s="118"/>
      <c r="AG649" s="118"/>
      <c r="AH649" s="118"/>
      <c r="AI649" s="118"/>
      <c r="AJ649" s="401"/>
      <c r="AK649" s="118"/>
      <c r="AL649" s="118"/>
      <c r="AM649" s="118"/>
      <c r="AN649" s="118"/>
      <c r="AO649" s="401"/>
      <c r="AP649" s="118"/>
      <c r="AQ649" s="118"/>
      <c r="AR649" s="118"/>
      <c r="AS649" s="118"/>
      <c r="AT649" s="401"/>
      <c r="AU649" s="118"/>
      <c r="AV649" s="118"/>
      <c r="AW649" s="118"/>
      <c r="AX649" s="118"/>
      <c r="AY649" s="401"/>
      <c r="AZ649" s="118"/>
      <c r="BA649" s="118"/>
      <c r="BB649" s="118"/>
      <c r="BC649" s="118"/>
      <c r="BD649" s="401"/>
      <c r="BE649" s="118"/>
      <c r="BF649" s="118"/>
      <c r="BG649" s="118"/>
      <c r="BH649" s="118"/>
      <c r="BI649" s="401"/>
      <c r="BJ649" s="971"/>
      <c r="BK649" s="118"/>
      <c r="BL649" s="118"/>
      <c r="BM649" s="118"/>
      <c r="BN649" s="401"/>
      <c r="BO649" s="118"/>
      <c r="BP649" s="118"/>
      <c r="BQ649" s="118"/>
      <c r="BR649" s="118"/>
      <c r="BS649" s="401"/>
      <c r="BT649" s="401"/>
      <c r="BU649" s="401"/>
      <c r="BV649" s="401"/>
      <c r="BW649" s="122"/>
    </row>
    <row r="650" spans="1:75" s="123" customFormat="1" hidden="1" outlineLevel="1" x14ac:dyDescent="0.5">
      <c r="A650" s="685" t="s">
        <v>1071</v>
      </c>
      <c r="B650" s="685"/>
      <c r="C650" s="686">
        <f t="shared" ref="C650:AH650" si="929">IF(ISBLANK(INDEX(MO_IS_FirstRow,0,COLUMN())),0,ROUND(C648-C1008,6))</f>
        <v>0</v>
      </c>
      <c r="D650" s="686">
        <f t="shared" si="929"/>
        <v>0</v>
      </c>
      <c r="E650" s="686">
        <f t="shared" si="929"/>
        <v>0</v>
      </c>
      <c r="F650" s="686">
        <f t="shared" si="929"/>
        <v>0</v>
      </c>
      <c r="G650" s="686">
        <f t="shared" si="929"/>
        <v>0</v>
      </c>
      <c r="H650" s="686">
        <f t="shared" si="929"/>
        <v>0</v>
      </c>
      <c r="I650" s="686">
        <f t="shared" si="929"/>
        <v>0</v>
      </c>
      <c r="J650" s="686">
        <f t="shared" si="929"/>
        <v>0</v>
      </c>
      <c r="K650" s="686">
        <f t="shared" si="929"/>
        <v>0</v>
      </c>
      <c r="L650" s="686">
        <f t="shared" si="929"/>
        <v>0</v>
      </c>
      <c r="M650" s="686">
        <f t="shared" si="929"/>
        <v>0</v>
      </c>
      <c r="N650" s="686">
        <f t="shared" si="929"/>
        <v>0</v>
      </c>
      <c r="O650" s="686">
        <f t="shared" si="929"/>
        <v>0</v>
      </c>
      <c r="P650" s="686">
        <f t="shared" si="929"/>
        <v>0</v>
      </c>
      <c r="Q650" s="686">
        <f t="shared" si="929"/>
        <v>0</v>
      </c>
      <c r="R650" s="686">
        <f t="shared" si="929"/>
        <v>0</v>
      </c>
      <c r="S650" s="686">
        <f t="shared" si="929"/>
        <v>0</v>
      </c>
      <c r="T650" s="686">
        <f t="shared" si="929"/>
        <v>0</v>
      </c>
      <c r="U650" s="686">
        <f t="shared" si="929"/>
        <v>0</v>
      </c>
      <c r="V650" s="686">
        <f t="shared" si="929"/>
        <v>0</v>
      </c>
      <c r="W650" s="686">
        <f t="shared" si="929"/>
        <v>0</v>
      </c>
      <c r="X650" s="686">
        <f t="shared" si="929"/>
        <v>0</v>
      </c>
      <c r="Y650" s="686">
        <f t="shared" si="929"/>
        <v>0</v>
      </c>
      <c r="Z650" s="686">
        <f t="shared" si="929"/>
        <v>0</v>
      </c>
      <c r="AA650" s="686">
        <f t="shared" si="929"/>
        <v>0</v>
      </c>
      <c r="AB650" s="686">
        <f t="shared" si="929"/>
        <v>0</v>
      </c>
      <c r="AC650" s="686">
        <f t="shared" si="929"/>
        <v>0</v>
      </c>
      <c r="AD650" s="686">
        <f t="shared" si="929"/>
        <v>0</v>
      </c>
      <c r="AE650" s="686">
        <f t="shared" si="929"/>
        <v>0</v>
      </c>
      <c r="AF650" s="686">
        <f t="shared" si="929"/>
        <v>0</v>
      </c>
      <c r="AG650" s="686">
        <f t="shared" si="929"/>
        <v>0</v>
      </c>
      <c r="AH650" s="686">
        <f t="shared" si="929"/>
        <v>0</v>
      </c>
      <c r="AI650" s="686">
        <f t="shared" ref="AI650:BN650" si="930">IF(ISBLANK(INDEX(MO_IS_FirstRow,0,COLUMN())),0,ROUND(AI648-AI1008,6))</f>
        <v>0</v>
      </c>
      <c r="AJ650" s="686">
        <f t="shared" si="930"/>
        <v>0</v>
      </c>
      <c r="AK650" s="686">
        <f t="shared" si="930"/>
        <v>0</v>
      </c>
      <c r="AL650" s="686">
        <f t="shared" si="930"/>
        <v>0</v>
      </c>
      <c r="AM650" s="686">
        <f t="shared" si="930"/>
        <v>0</v>
      </c>
      <c r="AN650" s="686">
        <f t="shared" si="930"/>
        <v>0</v>
      </c>
      <c r="AO650" s="686">
        <f t="shared" si="930"/>
        <v>0</v>
      </c>
      <c r="AP650" s="686">
        <f t="shared" si="930"/>
        <v>0</v>
      </c>
      <c r="AQ650" s="686">
        <f t="shared" si="930"/>
        <v>0</v>
      </c>
      <c r="AR650" s="686">
        <f t="shared" si="930"/>
        <v>0</v>
      </c>
      <c r="AS650" s="686">
        <f t="shared" si="930"/>
        <v>0</v>
      </c>
      <c r="AT650" s="686">
        <f t="shared" si="930"/>
        <v>0</v>
      </c>
      <c r="AU650" s="686">
        <f t="shared" si="930"/>
        <v>0</v>
      </c>
      <c r="AV650" s="686">
        <f t="shared" si="930"/>
        <v>0</v>
      </c>
      <c r="AW650" s="686">
        <f t="shared" si="930"/>
        <v>0</v>
      </c>
      <c r="AX650" s="686">
        <f t="shared" si="930"/>
        <v>0</v>
      </c>
      <c r="AY650" s="686">
        <f t="shared" si="930"/>
        <v>0</v>
      </c>
      <c r="AZ650" s="686">
        <f t="shared" si="930"/>
        <v>0</v>
      </c>
      <c r="BA650" s="686">
        <f t="shared" si="930"/>
        <v>0</v>
      </c>
      <c r="BB650" s="686">
        <f t="shared" si="930"/>
        <v>0</v>
      </c>
      <c r="BC650" s="686">
        <f t="shared" si="930"/>
        <v>0</v>
      </c>
      <c r="BD650" s="686">
        <f t="shared" si="930"/>
        <v>0</v>
      </c>
      <c r="BE650" s="686">
        <f t="shared" si="930"/>
        <v>0</v>
      </c>
      <c r="BF650" s="686">
        <f t="shared" si="930"/>
        <v>0</v>
      </c>
      <c r="BG650" s="686">
        <f t="shared" si="930"/>
        <v>0</v>
      </c>
      <c r="BH650" s="686">
        <f t="shared" ref="BH650:BM650" si="931">IF(ISBLANK(INDEX(MO_IS_FirstRow,0,COLUMN())),0,ROUND(BH648-BH1008,6))</f>
        <v>0</v>
      </c>
      <c r="BI650" s="686">
        <f t="shared" si="931"/>
        <v>0</v>
      </c>
      <c r="BJ650" s="687">
        <f>IF(ISBLANK(INDEX(MO_IS_FirstRow,0,COLUMN())),0,ROUND(BJ648-BJ1008,6))</f>
        <v>0</v>
      </c>
      <c r="BK650" s="686">
        <f t="shared" si="931"/>
        <v>0</v>
      </c>
      <c r="BL650" s="686">
        <f t="shared" si="931"/>
        <v>0</v>
      </c>
      <c r="BM650" s="686">
        <f t="shared" si="931"/>
        <v>0</v>
      </c>
      <c r="BN650" s="686">
        <f t="shared" si="930"/>
        <v>0</v>
      </c>
      <c r="BO650" s="686">
        <f t="shared" ref="BO650:BV650" si="932">IF(ISBLANK(INDEX(MO_IS_FirstRow,0,COLUMN())),0,ROUND(BO648-BO1008,6))</f>
        <v>0</v>
      </c>
      <c r="BP650" s="686">
        <f t="shared" si="932"/>
        <v>0</v>
      </c>
      <c r="BQ650" s="686">
        <f t="shared" si="932"/>
        <v>0</v>
      </c>
      <c r="BR650" s="686">
        <f t="shared" si="932"/>
        <v>0</v>
      </c>
      <c r="BS650" s="686">
        <f t="shared" si="932"/>
        <v>0</v>
      </c>
      <c r="BT650" s="686">
        <f t="shared" si="932"/>
        <v>0</v>
      </c>
      <c r="BU650" s="686">
        <f t="shared" si="932"/>
        <v>0</v>
      </c>
      <c r="BV650" s="686">
        <f t="shared" si="932"/>
        <v>0</v>
      </c>
      <c r="BW650" s="122"/>
    </row>
    <row r="651" spans="1:75" s="123" customFormat="1" collapsed="1" x14ac:dyDescent="0.5">
      <c r="A651" s="184"/>
      <c r="B651" s="513"/>
      <c r="C651" s="401"/>
      <c r="D651" s="401"/>
      <c r="E651" s="401"/>
      <c r="F651" s="401"/>
      <c r="G651" s="118"/>
      <c r="H651" s="118"/>
      <c r="I651" s="118"/>
      <c r="J651" s="118"/>
      <c r="K651" s="401"/>
      <c r="L651" s="118"/>
      <c r="M651" s="118"/>
      <c r="N651" s="118"/>
      <c r="O651" s="118"/>
      <c r="P651" s="401"/>
      <c r="Q651" s="118"/>
      <c r="R651" s="118"/>
      <c r="S651" s="118"/>
      <c r="T651" s="118"/>
      <c r="U651" s="401"/>
      <c r="V651" s="118"/>
      <c r="W651" s="118"/>
      <c r="X651" s="118"/>
      <c r="Y651" s="118"/>
      <c r="Z651" s="401"/>
      <c r="AA651" s="118"/>
      <c r="AB651" s="118"/>
      <c r="AC651" s="118"/>
      <c r="AD651" s="118"/>
      <c r="AE651" s="401"/>
      <c r="AF651" s="118"/>
      <c r="AG651" s="118"/>
      <c r="AH651" s="118"/>
      <c r="AI651" s="118"/>
      <c r="AJ651" s="401"/>
      <c r="AK651" s="118"/>
      <c r="AL651" s="118"/>
      <c r="AM651" s="118"/>
      <c r="AN651" s="118"/>
      <c r="AO651" s="401"/>
      <c r="AP651" s="118"/>
      <c r="AQ651" s="118"/>
      <c r="AR651" s="118"/>
      <c r="AS651" s="118"/>
      <c r="AT651" s="401"/>
      <c r="AU651" s="118"/>
      <c r="AV651" s="118"/>
      <c r="AW651" s="118"/>
      <c r="AX651" s="118"/>
      <c r="AY651" s="401"/>
      <c r="AZ651" s="118"/>
      <c r="BA651" s="118"/>
      <c r="BB651" s="118"/>
      <c r="BC651" s="118"/>
      <c r="BD651" s="401"/>
      <c r="BE651" s="118"/>
      <c r="BF651" s="118"/>
      <c r="BG651" s="118"/>
      <c r="BH651" s="118"/>
      <c r="BI651" s="401"/>
      <c r="BJ651" s="971"/>
      <c r="BK651" s="118"/>
      <c r="BL651" s="118"/>
      <c r="BM651" s="118"/>
      <c r="BN651" s="401"/>
      <c r="BO651" s="118"/>
      <c r="BP651" s="118"/>
      <c r="BQ651" s="118"/>
      <c r="BR651" s="118"/>
      <c r="BS651" s="401"/>
      <c r="BT651" s="401"/>
      <c r="BU651" s="401"/>
      <c r="BV651" s="401"/>
      <c r="BW651" s="122"/>
    </row>
    <row r="652" spans="1:75" s="198" customFormat="1" ht="14.25" x14ac:dyDescent="0.45">
      <c r="A652" s="239" t="s">
        <v>1072</v>
      </c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  <c r="AA652" s="239"/>
      <c r="AB652" s="239"/>
      <c r="AC652" s="239"/>
      <c r="AD652" s="239"/>
      <c r="AE652" s="239"/>
      <c r="AF652" s="239"/>
      <c r="AG652" s="239"/>
      <c r="AH652" s="239"/>
      <c r="AI652" s="239"/>
      <c r="AJ652" s="239"/>
      <c r="AK652" s="239"/>
      <c r="AL652" s="239"/>
      <c r="AM652" s="239"/>
      <c r="AN652" s="239"/>
      <c r="AO652" s="239"/>
      <c r="AP652" s="239"/>
      <c r="AQ652" s="239"/>
      <c r="AR652" s="239"/>
      <c r="AS652" s="239"/>
      <c r="AT652" s="239"/>
      <c r="AU652" s="239"/>
      <c r="AV652" s="239"/>
      <c r="AW652" s="239"/>
      <c r="AX652" s="239"/>
      <c r="AY652" s="239"/>
      <c r="AZ652" s="239"/>
      <c r="BA652" s="239"/>
      <c r="BB652" s="239"/>
      <c r="BC652" s="239"/>
      <c r="BD652" s="239"/>
      <c r="BE652" s="239"/>
      <c r="BF652" s="239"/>
      <c r="BG652" s="239"/>
      <c r="BH652" s="239"/>
      <c r="BI652" s="239"/>
      <c r="BJ652" s="241"/>
      <c r="BK652" s="239"/>
      <c r="BL652" s="239"/>
      <c r="BM652" s="239"/>
      <c r="BN652" s="239"/>
      <c r="BO652" s="239"/>
      <c r="BP652" s="239"/>
      <c r="BQ652" s="239"/>
      <c r="BR652" s="239"/>
      <c r="BS652" s="239"/>
      <c r="BT652" s="239"/>
      <c r="BU652" s="239"/>
      <c r="BV652" s="239"/>
      <c r="BW652" s="197"/>
    </row>
    <row r="653" spans="1:75" s="198" customFormat="1" ht="14.25" hidden="1" outlineLevel="1" x14ac:dyDescent="0.45">
      <c r="A653" s="206" t="s">
        <v>2067</v>
      </c>
      <c r="B653" s="522"/>
      <c r="C653" s="397"/>
      <c r="D653" s="397"/>
      <c r="E653" s="397"/>
      <c r="F653" s="397"/>
      <c r="G653" s="295"/>
      <c r="H653" s="295"/>
      <c r="I653" s="295"/>
      <c r="J653" s="295"/>
      <c r="K653" s="397"/>
      <c r="L653" s="295"/>
      <c r="M653" s="295"/>
      <c r="N653" s="295"/>
      <c r="O653" s="295"/>
      <c r="P653" s="397"/>
      <c r="Q653" s="295"/>
      <c r="R653" s="295"/>
      <c r="S653" s="295"/>
      <c r="T653" s="295"/>
      <c r="U653" s="397"/>
      <c r="V653" s="295"/>
      <c r="W653" s="295"/>
      <c r="X653" s="295"/>
      <c r="Y653" s="295"/>
      <c r="Z653" s="397"/>
      <c r="AA653" s="295">
        <f t="shared" ref="AA653:AJ653" si="933">AA640</f>
        <v>1111.5070000000001</v>
      </c>
      <c r="AB653" s="295">
        <f t="shared" si="933"/>
        <v>1201.606</v>
      </c>
      <c r="AC653" s="295">
        <f t="shared" si="933"/>
        <v>1299.336</v>
      </c>
      <c r="AD653" s="295">
        <f t="shared" si="933"/>
        <v>1679.91</v>
      </c>
      <c r="AE653" s="397">
        <f t="shared" si="933"/>
        <v>5292.3590000000004</v>
      </c>
      <c r="AF653" s="295">
        <f t="shared" si="933"/>
        <v>1203</v>
      </c>
      <c r="AG653" s="295">
        <f t="shared" si="933"/>
        <v>1275.174</v>
      </c>
      <c r="AH653" s="295">
        <f t="shared" si="933"/>
        <v>1356.9829999999999</v>
      </c>
      <c r="AI653" s="295">
        <f t="shared" si="933"/>
        <v>1836.4359999999997</v>
      </c>
      <c r="AJ653" s="397">
        <f t="shared" si="933"/>
        <v>5671.5929999999998</v>
      </c>
      <c r="AK653" s="295"/>
      <c r="AL653" s="295"/>
      <c r="AM653" s="295"/>
      <c r="AN653" s="295"/>
      <c r="AO653" s="397"/>
      <c r="AP653" s="295"/>
      <c r="AQ653" s="295"/>
      <c r="AR653" s="295"/>
      <c r="AS653" s="295"/>
      <c r="AT653" s="397"/>
      <c r="AU653" s="295"/>
      <c r="AV653" s="295"/>
      <c r="AW653" s="295"/>
      <c r="AX653" s="295"/>
      <c r="AY653" s="397"/>
      <c r="AZ653" s="295"/>
      <c r="BA653" s="295"/>
      <c r="BB653" s="295"/>
      <c r="BC653" s="295"/>
      <c r="BD653" s="397"/>
      <c r="BE653" s="295"/>
      <c r="BF653" s="295"/>
      <c r="BG653" s="295"/>
      <c r="BH653" s="295"/>
      <c r="BI653" s="397"/>
      <c r="BJ653" s="1030"/>
      <c r="BK653" s="295"/>
      <c r="BL653" s="295"/>
      <c r="BM653" s="295"/>
      <c r="BN653" s="397"/>
      <c r="BO653" s="295"/>
      <c r="BP653" s="295"/>
      <c r="BQ653" s="295"/>
      <c r="BR653" s="295"/>
      <c r="BS653" s="397"/>
      <c r="BT653" s="397"/>
      <c r="BU653" s="397"/>
      <c r="BV653" s="397"/>
      <c r="BW653" s="197"/>
    </row>
    <row r="654" spans="1:75" s="123" customFormat="1" hidden="1" outlineLevel="1" x14ac:dyDescent="0.5">
      <c r="A654" s="184" t="s">
        <v>2072</v>
      </c>
      <c r="B654" s="513"/>
      <c r="C654" s="401"/>
      <c r="D654" s="401"/>
      <c r="E654" s="401"/>
      <c r="F654" s="401"/>
      <c r="G654" s="118"/>
      <c r="H654" s="118"/>
      <c r="I654" s="118"/>
      <c r="J654" s="118"/>
      <c r="K654" s="401"/>
      <c r="L654" s="118"/>
      <c r="M654" s="118"/>
      <c r="N654" s="118"/>
      <c r="O654" s="118"/>
      <c r="P654" s="401"/>
      <c r="Q654" s="118"/>
      <c r="R654" s="118"/>
      <c r="S654" s="118"/>
      <c r="T654" s="118"/>
      <c r="U654" s="401"/>
      <c r="V654" s="118"/>
      <c r="W654" s="118"/>
      <c r="X654" s="118"/>
      <c r="Y654" s="118"/>
      <c r="Z654" s="401"/>
      <c r="AA654" s="118"/>
      <c r="AB654" s="118"/>
      <c r="AC654" s="118"/>
      <c r="AD654" s="302">
        <v>-0.40799999999999997</v>
      </c>
      <c r="AE654" s="403">
        <v>-0.40799999999999997</v>
      </c>
      <c r="AF654" s="302">
        <v>-0.69399999999999995</v>
      </c>
      <c r="AG654" s="302">
        <v>-0.70699999999999996</v>
      </c>
      <c r="AH654" s="302">
        <v>-1.1100000000000001</v>
      </c>
      <c r="AI654" s="302">
        <v>-0.84199999999999997</v>
      </c>
      <c r="AJ654" s="403">
        <v>-3.3530000000000002</v>
      </c>
      <c r="AK654" s="118"/>
      <c r="AL654" s="118"/>
      <c r="AM654" s="118"/>
      <c r="AN654" s="118"/>
      <c r="AO654" s="401"/>
      <c r="AP654" s="118"/>
      <c r="AQ654" s="118"/>
      <c r="AR654" s="118"/>
      <c r="AS654" s="118"/>
      <c r="AT654" s="401"/>
      <c r="AU654" s="118"/>
      <c r="AV654" s="118"/>
      <c r="AW654" s="118"/>
      <c r="AX654" s="118"/>
      <c r="AY654" s="401"/>
      <c r="AZ654" s="118"/>
      <c r="BA654" s="118"/>
      <c r="BB654" s="118"/>
      <c r="BC654" s="118"/>
      <c r="BD654" s="401"/>
      <c r="BE654" s="118"/>
      <c r="BF654" s="118"/>
      <c r="BG654" s="118"/>
      <c r="BH654" s="118"/>
      <c r="BI654" s="401"/>
      <c r="BJ654" s="971"/>
      <c r="BK654" s="118"/>
      <c r="BL654" s="118"/>
      <c r="BM654" s="118"/>
      <c r="BN654" s="401"/>
      <c r="BO654" s="118"/>
      <c r="BP654" s="118"/>
      <c r="BQ654" s="118"/>
      <c r="BR654" s="118"/>
      <c r="BS654" s="401"/>
      <c r="BT654" s="401"/>
      <c r="BU654" s="401"/>
      <c r="BV654" s="401"/>
      <c r="BW654" s="122"/>
    </row>
    <row r="655" spans="1:75" s="198" customFormat="1" ht="14.25" hidden="1" outlineLevel="1" x14ac:dyDescent="0.45">
      <c r="A655" s="192" t="s">
        <v>2073</v>
      </c>
      <c r="B655" s="517"/>
      <c r="C655" s="518"/>
      <c r="D655" s="518"/>
      <c r="E655" s="518"/>
      <c r="F655" s="518"/>
      <c r="G655" s="327"/>
      <c r="H655" s="327"/>
      <c r="I655" s="327"/>
      <c r="J655" s="327"/>
      <c r="K655" s="518"/>
      <c r="L655" s="327"/>
      <c r="M655" s="327"/>
      <c r="N655" s="327"/>
      <c r="O655" s="327"/>
      <c r="P655" s="518"/>
      <c r="Q655" s="327"/>
      <c r="R655" s="327"/>
      <c r="S655" s="327"/>
      <c r="T655" s="327"/>
      <c r="U655" s="518"/>
      <c r="V655" s="327"/>
      <c r="W655" s="327"/>
      <c r="X655" s="327"/>
      <c r="Y655" s="327"/>
      <c r="Z655" s="518"/>
      <c r="AA655" s="327">
        <f t="shared" ref="AA655:AH655" si="934">SUM(AA653:AA654)</f>
        <v>1111.5070000000001</v>
      </c>
      <c r="AB655" s="327">
        <f t="shared" si="934"/>
        <v>1201.606</v>
      </c>
      <c r="AC655" s="327">
        <f t="shared" si="934"/>
        <v>1299.336</v>
      </c>
      <c r="AD655" s="327">
        <f t="shared" si="934"/>
        <v>1679.5020000000002</v>
      </c>
      <c r="AE655" s="518">
        <f t="shared" si="934"/>
        <v>5291.951</v>
      </c>
      <c r="AF655" s="327">
        <f t="shared" si="934"/>
        <v>1202.306</v>
      </c>
      <c r="AG655" s="327">
        <f t="shared" si="934"/>
        <v>1274.4669999999999</v>
      </c>
      <c r="AH655" s="327">
        <f t="shared" si="934"/>
        <v>1355.873</v>
      </c>
      <c r="AI655" s="327">
        <f t="shared" ref="AI655:AJ655" si="935">SUM(AI653:AI654)</f>
        <v>1835.5939999999996</v>
      </c>
      <c r="AJ655" s="518">
        <f t="shared" si="935"/>
        <v>5668.24</v>
      </c>
      <c r="AK655" s="327"/>
      <c r="AL655" s="327"/>
      <c r="AM655" s="327"/>
      <c r="AN655" s="327"/>
      <c r="AO655" s="518"/>
      <c r="AP655" s="327"/>
      <c r="AQ655" s="327"/>
      <c r="AR655" s="327"/>
      <c r="AS655" s="327"/>
      <c r="AT655" s="518"/>
      <c r="AU655" s="327"/>
      <c r="AV655" s="327"/>
      <c r="AW655" s="327"/>
      <c r="AX655" s="327"/>
      <c r="AY655" s="518"/>
      <c r="AZ655" s="327"/>
      <c r="BA655" s="327"/>
      <c r="BB655" s="327"/>
      <c r="BC655" s="327"/>
      <c r="BD655" s="518"/>
      <c r="BE655" s="327"/>
      <c r="BF655" s="327"/>
      <c r="BG655" s="327"/>
      <c r="BH655" s="327"/>
      <c r="BI655" s="518"/>
      <c r="BJ655" s="1026"/>
      <c r="BK655" s="327"/>
      <c r="BL655" s="327"/>
      <c r="BM655" s="327"/>
      <c r="BN655" s="518"/>
      <c r="BO655" s="327"/>
      <c r="BP655" s="327"/>
      <c r="BQ655" s="327"/>
      <c r="BR655" s="327"/>
      <c r="BS655" s="518"/>
      <c r="BT655" s="518"/>
      <c r="BU655" s="518"/>
      <c r="BV655" s="518"/>
      <c r="BW655" s="197"/>
    </row>
    <row r="656" spans="1:75" s="123" customFormat="1" hidden="1" outlineLevel="1" x14ac:dyDescent="0.5">
      <c r="A656" s="184"/>
      <c r="B656" s="513"/>
      <c r="C656" s="401"/>
      <c r="D656" s="401"/>
      <c r="E656" s="401"/>
      <c r="F656" s="401"/>
      <c r="G656" s="118"/>
      <c r="H656" s="118"/>
      <c r="I656" s="118"/>
      <c r="J656" s="118"/>
      <c r="K656" s="401"/>
      <c r="L656" s="118"/>
      <c r="M656" s="118"/>
      <c r="N656" s="118"/>
      <c r="O656" s="118"/>
      <c r="P656" s="401"/>
      <c r="Q656" s="118"/>
      <c r="R656" s="118"/>
      <c r="S656" s="118"/>
      <c r="T656" s="118"/>
      <c r="U656" s="401"/>
      <c r="V656" s="118"/>
      <c r="W656" s="118"/>
      <c r="X656" s="118"/>
      <c r="Y656" s="118"/>
      <c r="Z656" s="401"/>
      <c r="AA656" s="118"/>
      <c r="AB656" s="118"/>
      <c r="AC656" s="118"/>
      <c r="AD656" s="118"/>
      <c r="AE656" s="401"/>
      <c r="AF656" s="118"/>
      <c r="AG656" s="118"/>
      <c r="AH656" s="118"/>
      <c r="AI656" s="118"/>
      <c r="AJ656" s="401"/>
      <c r="AK656" s="118"/>
      <c r="AL656" s="118"/>
      <c r="AM656" s="118"/>
      <c r="AN656" s="118"/>
      <c r="AO656" s="401"/>
      <c r="AP656" s="118"/>
      <c r="AQ656" s="118"/>
      <c r="AR656" s="118"/>
      <c r="AS656" s="118"/>
      <c r="AT656" s="401"/>
      <c r="AU656" s="118"/>
      <c r="AV656" s="118"/>
      <c r="AW656" s="118"/>
      <c r="AX656" s="118"/>
      <c r="AY656" s="401"/>
      <c r="AZ656" s="118"/>
      <c r="BA656" s="118"/>
      <c r="BB656" s="118"/>
      <c r="BC656" s="118"/>
      <c r="BD656" s="401"/>
      <c r="BE656" s="118"/>
      <c r="BF656" s="118"/>
      <c r="BG656" s="118"/>
      <c r="BH656" s="118"/>
      <c r="BI656" s="401"/>
      <c r="BJ656" s="971"/>
      <c r="BK656" s="118"/>
      <c r="BL656" s="118"/>
      <c r="BM656" s="118"/>
      <c r="BN656" s="401"/>
      <c r="BO656" s="118"/>
      <c r="BP656" s="118"/>
      <c r="BQ656" s="118"/>
      <c r="BR656" s="118"/>
      <c r="BS656" s="401"/>
      <c r="BT656" s="401"/>
      <c r="BU656" s="401"/>
      <c r="BV656" s="401"/>
      <c r="BW656" s="122"/>
    </row>
    <row r="657" spans="1:75" s="198" customFormat="1" ht="14.25" hidden="1" outlineLevel="1" x14ac:dyDescent="0.45">
      <c r="A657" s="206" t="s">
        <v>2074</v>
      </c>
      <c r="B657" s="522"/>
      <c r="C657" s="397"/>
      <c r="D657" s="397"/>
      <c r="E657" s="397"/>
      <c r="F657" s="397"/>
      <c r="G657" s="295"/>
      <c r="H657" s="295"/>
      <c r="I657" s="295"/>
      <c r="J657" s="295"/>
      <c r="K657" s="397"/>
      <c r="L657" s="295"/>
      <c r="M657" s="295"/>
      <c r="N657" s="295"/>
      <c r="O657" s="295"/>
      <c r="P657" s="397"/>
      <c r="Q657" s="295"/>
      <c r="R657" s="295"/>
      <c r="S657" s="295"/>
      <c r="T657" s="295"/>
      <c r="U657" s="397"/>
      <c r="V657" s="295"/>
      <c r="W657" s="295"/>
      <c r="X657" s="295"/>
      <c r="Y657" s="295"/>
      <c r="Z657" s="397"/>
      <c r="AA657" s="295"/>
      <c r="AB657" s="295"/>
      <c r="AC657" s="295"/>
      <c r="AD657" s="295"/>
      <c r="AE657" s="397"/>
      <c r="AF657" s="295"/>
      <c r="AG657" s="295"/>
      <c r="AH657" s="295"/>
      <c r="AI657" s="295"/>
      <c r="AJ657" s="397"/>
      <c r="AK657" s="295"/>
      <c r="AL657" s="295"/>
      <c r="AM657" s="295"/>
      <c r="AN657" s="295"/>
      <c r="AO657" s="397"/>
      <c r="AP657" s="295"/>
      <c r="AQ657" s="295"/>
      <c r="AR657" s="295"/>
      <c r="AS657" s="295"/>
      <c r="AT657" s="397"/>
      <c r="AU657" s="295"/>
      <c r="AV657" s="295"/>
      <c r="AW657" s="295"/>
      <c r="AX657" s="295"/>
      <c r="AY657" s="397"/>
      <c r="AZ657" s="295"/>
      <c r="BA657" s="295"/>
      <c r="BB657" s="295"/>
      <c r="BC657" s="295"/>
      <c r="BD657" s="397"/>
      <c r="BE657" s="295">
        <f t="shared" ref="BE657:BJ657" si="936">BE310</f>
        <v>202.61199999999999</v>
      </c>
      <c r="BF657" s="295">
        <f t="shared" si="936"/>
        <v>203.25899999999999</v>
      </c>
      <c r="BG657" s="295">
        <f t="shared" si="936"/>
        <v>200.399</v>
      </c>
      <c r="BH657" s="295">
        <f t="shared" si="936"/>
        <v>208.01999999999998</v>
      </c>
      <c r="BI657" s="397">
        <f t="shared" si="936"/>
        <v>814.29</v>
      </c>
      <c r="BJ657" s="1030">
        <f t="shared" si="936"/>
        <v>196.155</v>
      </c>
      <c r="BK657" s="295"/>
      <c r="BL657" s="295"/>
      <c r="BM657" s="295"/>
      <c r="BN657" s="397"/>
      <c r="BO657" s="295"/>
      <c r="BP657" s="295"/>
      <c r="BQ657" s="295"/>
      <c r="BR657" s="295"/>
      <c r="BS657" s="397"/>
      <c r="BT657" s="397"/>
      <c r="BU657" s="397"/>
      <c r="BV657" s="397"/>
      <c r="BW657" s="197"/>
    </row>
    <row r="658" spans="1:75" s="123" customFormat="1" hidden="1" outlineLevel="1" x14ac:dyDescent="0.5">
      <c r="A658" s="184" t="s">
        <v>2075</v>
      </c>
      <c r="B658" s="513"/>
      <c r="C658" s="401"/>
      <c r="D658" s="401"/>
      <c r="E658" s="401"/>
      <c r="F658" s="401"/>
      <c r="G658" s="118"/>
      <c r="H658" s="118"/>
      <c r="I658" s="118"/>
      <c r="J658" s="118"/>
      <c r="K658" s="401"/>
      <c r="L658" s="118"/>
      <c r="M658" s="118"/>
      <c r="N658" s="118"/>
      <c r="O658" s="118"/>
      <c r="P658" s="401"/>
      <c r="Q658" s="118"/>
      <c r="R658" s="118"/>
      <c r="S658" s="118"/>
      <c r="T658" s="118"/>
      <c r="U658" s="401"/>
      <c r="V658" s="118"/>
      <c r="W658" s="118"/>
      <c r="X658" s="118"/>
      <c r="Y658" s="118"/>
      <c r="Z658" s="401"/>
      <c r="AA658" s="118"/>
      <c r="AB658" s="118"/>
      <c r="AC658" s="118"/>
      <c r="AD658" s="118"/>
      <c r="AE658" s="401"/>
      <c r="AF658" s="118"/>
      <c r="AG658" s="118"/>
      <c r="AH658" s="118"/>
      <c r="AI658" s="118"/>
      <c r="AJ658" s="401"/>
      <c r="AK658" s="118"/>
      <c r="AL658" s="118"/>
      <c r="AM658" s="118"/>
      <c r="AN658" s="118"/>
      <c r="AO658" s="401"/>
      <c r="AP658" s="118"/>
      <c r="AQ658" s="118"/>
      <c r="AR658" s="118"/>
      <c r="AS658" s="118"/>
      <c r="AT658" s="401"/>
      <c r="AU658" s="118"/>
      <c r="AV658" s="118"/>
      <c r="AW658" s="118"/>
      <c r="AX658" s="118"/>
      <c r="AY658" s="401"/>
      <c r="AZ658" s="118"/>
      <c r="BA658" s="118"/>
      <c r="BB658" s="118"/>
      <c r="BC658" s="118"/>
      <c r="BD658" s="401"/>
      <c r="BE658" s="302">
        <v>-0.23899999999999999</v>
      </c>
      <c r="BF658" s="118"/>
      <c r="BG658" s="118"/>
      <c r="BH658" s="118"/>
      <c r="BI658" s="403">
        <v>-0.23899999999999999</v>
      </c>
      <c r="BJ658" s="971"/>
      <c r="BK658" s="118"/>
      <c r="BL658" s="118"/>
      <c r="BM658" s="118"/>
      <c r="BN658" s="401"/>
      <c r="BO658" s="118"/>
      <c r="BP658" s="118"/>
      <c r="BQ658" s="118"/>
      <c r="BR658" s="118"/>
      <c r="BS658" s="401"/>
      <c r="BT658" s="401"/>
      <c r="BU658" s="401"/>
      <c r="BV658" s="401"/>
      <c r="BW658" s="122"/>
    </row>
    <row r="659" spans="1:75" s="198" customFormat="1" ht="14.25" hidden="1" outlineLevel="1" x14ac:dyDescent="0.45">
      <c r="A659" s="192" t="s">
        <v>2076</v>
      </c>
      <c r="B659" s="517"/>
      <c r="C659" s="518"/>
      <c r="D659" s="518"/>
      <c r="E659" s="518"/>
      <c r="F659" s="518"/>
      <c r="G659" s="327"/>
      <c r="H659" s="327"/>
      <c r="I659" s="327"/>
      <c r="J659" s="327"/>
      <c r="K659" s="518"/>
      <c r="L659" s="327"/>
      <c r="M659" s="327"/>
      <c r="N659" s="327"/>
      <c r="O659" s="327"/>
      <c r="P659" s="518"/>
      <c r="Q659" s="327"/>
      <c r="R659" s="327"/>
      <c r="S659" s="327"/>
      <c r="T659" s="327"/>
      <c r="U659" s="518"/>
      <c r="V659" s="327"/>
      <c r="W659" s="327"/>
      <c r="X659" s="327"/>
      <c r="Y659" s="327"/>
      <c r="Z659" s="518"/>
      <c r="AA659" s="327"/>
      <c r="AB659" s="327"/>
      <c r="AC659" s="327"/>
      <c r="AD659" s="327"/>
      <c r="AE659" s="518"/>
      <c r="AF659" s="327"/>
      <c r="AG659" s="327"/>
      <c r="AH659" s="327"/>
      <c r="AI659" s="327"/>
      <c r="AJ659" s="518"/>
      <c r="AK659" s="327"/>
      <c r="AL659" s="327"/>
      <c r="AM659" s="327"/>
      <c r="AN659" s="327"/>
      <c r="AO659" s="518"/>
      <c r="AP659" s="327"/>
      <c r="AQ659" s="327"/>
      <c r="AR659" s="327"/>
      <c r="AS659" s="327"/>
      <c r="AT659" s="518"/>
      <c r="AU659" s="327"/>
      <c r="AV659" s="327"/>
      <c r="AW659" s="327"/>
      <c r="AX659" s="327"/>
      <c r="AY659" s="518"/>
      <c r="AZ659" s="327"/>
      <c r="BA659" s="327"/>
      <c r="BB659" s="327"/>
      <c r="BC659" s="327"/>
      <c r="BD659" s="518"/>
      <c r="BE659" s="327">
        <f>SUM(BE657:BE658)</f>
        <v>202.37299999999999</v>
      </c>
      <c r="BF659" s="327">
        <f>SUM(BF657:BF658)</f>
        <v>203.25899999999999</v>
      </c>
      <c r="BG659" s="327">
        <f t="shared" ref="BG659:BI659" si="937">SUM(BG657:BG658)</f>
        <v>200.399</v>
      </c>
      <c r="BH659" s="327">
        <f t="shared" si="937"/>
        <v>208.01999999999998</v>
      </c>
      <c r="BI659" s="518">
        <f t="shared" si="937"/>
        <v>814.05099999999993</v>
      </c>
      <c r="BJ659" s="1026">
        <f>SUM(BJ657:BJ658)</f>
        <v>196.155</v>
      </c>
      <c r="BK659" s="327"/>
      <c r="BL659" s="327"/>
      <c r="BM659" s="327"/>
      <c r="BN659" s="518"/>
      <c r="BO659" s="327"/>
      <c r="BP659" s="327"/>
      <c r="BQ659" s="327"/>
      <c r="BR659" s="327"/>
      <c r="BS659" s="518"/>
      <c r="BT659" s="518"/>
      <c r="BU659" s="518"/>
      <c r="BV659" s="518"/>
      <c r="BW659" s="197"/>
    </row>
    <row r="660" spans="1:75" s="123" customFormat="1" hidden="1" outlineLevel="1" x14ac:dyDescent="0.5">
      <c r="A660" s="184"/>
      <c r="B660" s="513"/>
      <c r="C660" s="401"/>
      <c r="D660" s="401"/>
      <c r="E660" s="401"/>
      <c r="F660" s="401"/>
      <c r="G660" s="118"/>
      <c r="H660" s="118"/>
      <c r="I660" s="118"/>
      <c r="J660" s="118"/>
      <c r="K660" s="401"/>
      <c r="L660" s="118"/>
      <c r="M660" s="118"/>
      <c r="N660" s="118"/>
      <c r="O660" s="118"/>
      <c r="P660" s="401"/>
      <c r="Q660" s="118"/>
      <c r="R660" s="118"/>
      <c r="S660" s="118"/>
      <c r="T660" s="118"/>
      <c r="U660" s="401"/>
      <c r="V660" s="118"/>
      <c r="W660" s="118"/>
      <c r="X660" s="118"/>
      <c r="Y660" s="118"/>
      <c r="Z660" s="401"/>
      <c r="AA660" s="118"/>
      <c r="AB660" s="118"/>
      <c r="AC660" s="118"/>
      <c r="AD660" s="118"/>
      <c r="AE660" s="401"/>
      <c r="AF660" s="118"/>
      <c r="AG660" s="118"/>
      <c r="AH660" s="118"/>
      <c r="AI660" s="118"/>
      <c r="AJ660" s="401"/>
      <c r="AK660" s="118"/>
      <c r="AL660" s="118"/>
      <c r="AM660" s="118"/>
      <c r="AN660" s="118"/>
      <c r="AO660" s="401"/>
      <c r="AP660" s="118"/>
      <c r="AQ660" s="118"/>
      <c r="AR660" s="118"/>
      <c r="AS660" s="118"/>
      <c r="AT660" s="401"/>
      <c r="AU660" s="118"/>
      <c r="AV660" s="118"/>
      <c r="AW660" s="118"/>
      <c r="AX660" s="118"/>
      <c r="AY660" s="401"/>
      <c r="AZ660" s="118"/>
      <c r="BA660" s="118"/>
      <c r="BB660" s="118"/>
      <c r="BC660" s="118"/>
      <c r="BD660" s="401"/>
      <c r="BE660" s="118"/>
      <c r="BF660" s="118"/>
      <c r="BG660" s="118"/>
      <c r="BH660" s="118"/>
      <c r="BI660" s="401"/>
      <c r="BJ660" s="971"/>
      <c r="BK660" s="118"/>
      <c r="BL660" s="118"/>
      <c r="BM660" s="118"/>
      <c r="BN660" s="401"/>
      <c r="BO660" s="118"/>
      <c r="BP660" s="118"/>
      <c r="BQ660" s="118"/>
      <c r="BR660" s="118"/>
      <c r="BS660" s="401"/>
      <c r="BT660" s="401"/>
      <c r="BU660" s="401"/>
      <c r="BV660" s="401"/>
      <c r="BW660" s="122"/>
    </row>
    <row r="661" spans="1:75" s="198" customFormat="1" ht="14.25" hidden="1" outlineLevel="1" x14ac:dyDescent="0.45">
      <c r="A661" s="463" t="s">
        <v>1049</v>
      </c>
      <c r="B661" s="522"/>
      <c r="C661" s="397"/>
      <c r="D661" s="397"/>
      <c r="E661" s="397"/>
      <c r="F661" s="397"/>
      <c r="G661" s="295"/>
      <c r="H661" s="295"/>
      <c r="I661" s="295"/>
      <c r="J661" s="295"/>
      <c r="K661" s="397"/>
      <c r="L661" s="295">
        <f t="shared" ref="L661:BI661" si="938">L642</f>
        <v>368.40800000000002</v>
      </c>
      <c r="M661" s="295">
        <f t="shared" si="938"/>
        <v>382.09800000000007</v>
      </c>
      <c r="N661" s="295">
        <f t="shared" si="938"/>
        <v>431.40700000000004</v>
      </c>
      <c r="O661" s="295">
        <f t="shared" si="938"/>
        <v>618.59100000000001</v>
      </c>
      <c r="P661" s="397">
        <f t="shared" si="938"/>
        <v>1800.5039999999999</v>
      </c>
      <c r="Q661" s="295">
        <f t="shared" si="938"/>
        <v>378.84099999999989</v>
      </c>
      <c r="R661" s="295">
        <f t="shared" si="938"/>
        <v>406.625</v>
      </c>
      <c r="S661" s="295">
        <f t="shared" si="938"/>
        <v>451.1880000000001</v>
      </c>
      <c r="T661" s="295">
        <f t="shared" si="938"/>
        <v>607.56000000000006</v>
      </c>
      <c r="U661" s="397">
        <f t="shared" si="938"/>
        <v>1844.2139999999999</v>
      </c>
      <c r="V661" s="295">
        <f t="shared" si="938"/>
        <v>392.51700000000005</v>
      </c>
      <c r="W661" s="295">
        <f t="shared" si="938"/>
        <v>410.53899999999999</v>
      </c>
      <c r="X661" s="295">
        <f t="shared" si="938"/>
        <v>458.22299999999996</v>
      </c>
      <c r="Y661" s="295">
        <f t="shared" si="938"/>
        <v>622.03099999999995</v>
      </c>
      <c r="Z661" s="397">
        <f t="shared" si="938"/>
        <v>1883.31</v>
      </c>
      <c r="AA661" s="197">
        <f t="shared" si="938"/>
        <v>395.7600000000001</v>
      </c>
      <c r="AB661" s="197">
        <f t="shared" si="938"/>
        <v>422.71100000000001</v>
      </c>
      <c r="AC661" s="197">
        <f t="shared" si="938"/>
        <v>467.06700000000001</v>
      </c>
      <c r="AD661" s="197">
        <f t="shared" si="938"/>
        <v>646.173</v>
      </c>
      <c r="AE661" s="672">
        <f t="shared" si="938"/>
        <v>1931.7110000000002</v>
      </c>
      <c r="AF661" s="197">
        <f t="shared" si="938"/>
        <v>432.16399999999999</v>
      </c>
      <c r="AG661" s="197">
        <f t="shared" si="938"/>
        <v>463.94200000000001</v>
      </c>
      <c r="AH661" s="197">
        <f t="shared" si="938"/>
        <v>494.98399999999992</v>
      </c>
      <c r="AI661" s="197">
        <f t="shared" si="938"/>
        <v>709.92299999999977</v>
      </c>
      <c r="AJ661" s="672">
        <f t="shared" si="938"/>
        <v>2101.0129999999999</v>
      </c>
      <c r="AK661" s="197">
        <f t="shared" si="938"/>
        <v>444.33100000000002</v>
      </c>
      <c r="AL661" s="197">
        <f t="shared" si="938"/>
        <v>483.8610000000001</v>
      </c>
      <c r="AM661" s="197">
        <f t="shared" si="938"/>
        <v>518.17200000000003</v>
      </c>
      <c r="AN661" s="197">
        <f t="shared" si="938"/>
        <v>692.72800000000007</v>
      </c>
      <c r="AO661" s="672">
        <f t="shared" si="938"/>
        <v>2139.0919999999996</v>
      </c>
      <c r="AP661" s="197">
        <f t="shared" si="938"/>
        <v>414.26</v>
      </c>
      <c r="AQ661" s="197">
        <f t="shared" si="938"/>
        <v>551.202</v>
      </c>
      <c r="AR661" s="197">
        <f t="shared" si="938"/>
        <v>705.58300000000008</v>
      </c>
      <c r="AS661" s="197">
        <f t="shared" si="938"/>
        <v>965.22400000000061</v>
      </c>
      <c r="AT661" s="672">
        <f t="shared" si="938"/>
        <v>2636.2690000000002</v>
      </c>
      <c r="AU661" s="197">
        <f t="shared" si="938"/>
        <v>752.85299999999995</v>
      </c>
      <c r="AV661" s="197">
        <f t="shared" si="938"/>
        <v>858.38799999999992</v>
      </c>
      <c r="AW661" s="197">
        <f t="shared" si="938"/>
        <v>895.4849999999999</v>
      </c>
      <c r="AX661" s="197">
        <f t="shared" si="938"/>
        <v>1125.2369999999996</v>
      </c>
      <c r="AY661" s="672">
        <f t="shared" si="938"/>
        <v>3631.9629999999997</v>
      </c>
      <c r="AZ661" s="197">
        <f t="shared" si="938"/>
        <v>828.548</v>
      </c>
      <c r="BA661" s="197">
        <f t="shared" si="938"/>
        <v>928.80899999999974</v>
      </c>
      <c r="BB661" s="197">
        <f t="shared" si="938"/>
        <v>910.52600000000007</v>
      </c>
      <c r="BC661" s="197">
        <f t="shared" si="938"/>
        <v>1009.8499999999995</v>
      </c>
      <c r="BD661" s="672">
        <f t="shared" si="938"/>
        <v>3677.7329999999993</v>
      </c>
      <c r="BE661" s="197">
        <f t="shared" si="938"/>
        <v>675.05899999999997</v>
      </c>
      <c r="BF661" s="197">
        <f t="shared" si="938"/>
        <v>757.56700000000001</v>
      </c>
      <c r="BG661" s="197">
        <f t="shared" si="938"/>
        <v>822.36000000000013</v>
      </c>
      <c r="BH661" s="197">
        <f t="shared" si="938"/>
        <v>1048.6149999999998</v>
      </c>
      <c r="BI661" s="672">
        <f t="shared" si="938"/>
        <v>3303.6009999999997</v>
      </c>
      <c r="BJ661" s="1273">
        <f>BJ642</f>
        <v>802.51499999999999</v>
      </c>
      <c r="BK661" s="295"/>
      <c r="BL661" s="295"/>
      <c r="BM661" s="295"/>
      <c r="BN661" s="397"/>
      <c r="BO661" s="295"/>
      <c r="BP661" s="295"/>
      <c r="BQ661" s="295"/>
      <c r="BR661" s="295"/>
      <c r="BS661" s="397"/>
      <c r="BT661" s="397"/>
      <c r="BU661" s="397"/>
      <c r="BV661" s="397"/>
      <c r="BW661" s="197"/>
    </row>
    <row r="662" spans="1:75" s="123" customFormat="1" hidden="1" outlineLevel="1" x14ac:dyDescent="0.5">
      <c r="A662" s="464" t="s">
        <v>2072</v>
      </c>
      <c r="B662" s="513"/>
      <c r="C662" s="401"/>
      <c r="D662" s="401"/>
      <c r="E662" s="401"/>
      <c r="F662" s="401"/>
      <c r="G662" s="118"/>
      <c r="H662" s="118"/>
      <c r="I662" s="118"/>
      <c r="J662" s="118"/>
      <c r="K662" s="401"/>
      <c r="L662" s="118"/>
      <c r="M662" s="118"/>
      <c r="N662" s="118"/>
      <c r="O662" s="118"/>
      <c r="P662" s="401"/>
      <c r="Q662" s="118"/>
      <c r="R662" s="118"/>
      <c r="S662" s="118"/>
      <c r="T662" s="118"/>
      <c r="U662" s="401"/>
      <c r="V662" s="118"/>
      <c r="W662" s="118"/>
      <c r="X662" s="118"/>
      <c r="Y662" s="118"/>
      <c r="Z662" s="401"/>
      <c r="AA662" s="122">
        <f>AA683+AA671</f>
        <v>0</v>
      </c>
      <c r="AB662" s="122">
        <f>AB683+AB671</f>
        <v>0</v>
      </c>
      <c r="AC662" s="122">
        <f>AC683+AC671</f>
        <v>0</v>
      </c>
      <c r="AD662" s="122">
        <f>AD683+AD671</f>
        <v>0.34999999999999964</v>
      </c>
      <c r="AE662" s="674">
        <f>AE683+AE671</f>
        <v>0.34999999999999964</v>
      </c>
      <c r="AF662" s="302">
        <v>0.58199999999999996</v>
      </c>
      <c r="AG662" s="302">
        <v>0.26900000000000002</v>
      </c>
      <c r="AH662" s="302">
        <v>-0.124</v>
      </c>
      <c r="AI662" s="302">
        <v>0.32400000000000001</v>
      </c>
      <c r="AJ662" s="403">
        <v>1.0509999999999999</v>
      </c>
      <c r="AK662" s="302">
        <v>0.53500000000000003</v>
      </c>
      <c r="AL662" s="302">
        <v>0.879</v>
      </c>
      <c r="AM662" s="302">
        <v>0.72599999999999998</v>
      </c>
      <c r="AN662" s="302">
        <v>0.89500000000000002</v>
      </c>
      <c r="AO662" s="403">
        <v>3.0350000000000001</v>
      </c>
      <c r="AP662" s="118"/>
      <c r="AQ662" s="118"/>
      <c r="AR662" s="118"/>
      <c r="AS662" s="118"/>
      <c r="AT662" s="401"/>
      <c r="AU662" s="118"/>
      <c r="AV662" s="118"/>
      <c r="AW662" s="118"/>
      <c r="AX662" s="118"/>
      <c r="AY662" s="401"/>
      <c r="AZ662" s="118"/>
      <c r="BA662" s="118"/>
      <c r="BB662" s="118"/>
      <c r="BC662" s="118"/>
      <c r="BD662" s="401"/>
      <c r="BE662" s="118"/>
      <c r="BF662" s="118"/>
      <c r="BG662" s="118"/>
      <c r="BH662" s="118"/>
      <c r="BI662" s="401"/>
      <c r="BJ662" s="971"/>
      <c r="BK662" s="118"/>
      <c r="BL662" s="118"/>
      <c r="BM662" s="118"/>
      <c r="BN662" s="401"/>
      <c r="BO662" s="118"/>
      <c r="BP662" s="118"/>
      <c r="BQ662" s="118"/>
      <c r="BR662" s="118"/>
      <c r="BS662" s="401"/>
      <c r="BT662" s="401"/>
      <c r="BU662" s="401"/>
      <c r="BV662" s="401"/>
      <c r="BW662" s="122"/>
    </row>
    <row r="663" spans="1:75" s="123" customFormat="1" hidden="1" outlineLevel="1" x14ac:dyDescent="0.5">
      <c r="A663" s="464" t="s">
        <v>2075</v>
      </c>
      <c r="B663" s="513"/>
      <c r="C663" s="401"/>
      <c r="D663" s="401"/>
      <c r="E663" s="401"/>
      <c r="F663" s="401"/>
      <c r="G663" s="118"/>
      <c r="H663" s="118"/>
      <c r="I663" s="118"/>
      <c r="J663" s="118"/>
      <c r="K663" s="401"/>
      <c r="L663" s="118"/>
      <c r="M663" s="118"/>
      <c r="N663" s="118"/>
      <c r="O663" s="118"/>
      <c r="P663" s="401"/>
      <c r="Q663" s="118"/>
      <c r="R663" s="118"/>
      <c r="S663" s="118"/>
      <c r="T663" s="118"/>
      <c r="U663" s="401"/>
      <c r="V663" s="118"/>
      <c r="W663" s="118"/>
      <c r="X663" s="118"/>
      <c r="Y663" s="118"/>
      <c r="Z663" s="401"/>
      <c r="AA663" s="118"/>
      <c r="AB663" s="118"/>
      <c r="AC663" s="118"/>
      <c r="AD663" s="118"/>
      <c r="AE663" s="401"/>
      <c r="AF663" s="118"/>
      <c r="AG663" s="118"/>
      <c r="AH663" s="118"/>
      <c r="AI663" s="118"/>
      <c r="AJ663" s="401"/>
      <c r="AK663" s="118"/>
      <c r="AL663" s="118"/>
      <c r="AM663" s="118"/>
      <c r="AN663" s="118"/>
      <c r="AO663" s="401"/>
      <c r="AP663" s="118"/>
      <c r="AQ663" s="118"/>
      <c r="AR663" s="118"/>
      <c r="AS663" s="118"/>
      <c r="AT663" s="401"/>
      <c r="AU663" s="118"/>
      <c r="AV663" s="118"/>
      <c r="AW663" s="118"/>
      <c r="AX663" s="118"/>
      <c r="AY663" s="401"/>
      <c r="AZ663" s="118"/>
      <c r="BA663" s="118"/>
      <c r="BB663" s="118"/>
      <c r="BC663" s="118"/>
      <c r="BD663" s="401"/>
      <c r="BE663" s="302">
        <v>2.141</v>
      </c>
      <c r="BF663" s="118"/>
      <c r="BG663" s="118"/>
      <c r="BH663" s="118"/>
      <c r="BI663" s="403">
        <v>2.141</v>
      </c>
      <c r="BJ663" s="971"/>
      <c r="BK663" s="118"/>
      <c r="BL663" s="118"/>
      <c r="BM663" s="118"/>
      <c r="BN663" s="401"/>
      <c r="BO663" s="118"/>
      <c r="BP663" s="118"/>
      <c r="BQ663" s="118"/>
      <c r="BR663" s="118"/>
      <c r="BS663" s="401"/>
      <c r="BT663" s="401"/>
      <c r="BU663" s="401"/>
      <c r="BV663" s="401"/>
      <c r="BW663" s="122"/>
    </row>
    <row r="664" spans="1:75" s="123" customFormat="1" hidden="1" outlineLevel="1" x14ac:dyDescent="0.5">
      <c r="A664" s="464" t="s">
        <v>2077</v>
      </c>
      <c r="B664" s="513"/>
      <c r="C664" s="401"/>
      <c r="D664" s="401"/>
      <c r="E664" s="401"/>
      <c r="F664" s="401"/>
      <c r="G664" s="118"/>
      <c r="H664" s="118"/>
      <c r="I664" s="118"/>
      <c r="J664" s="118"/>
      <c r="K664" s="401"/>
      <c r="L664" s="118"/>
      <c r="M664" s="118"/>
      <c r="N664" s="118"/>
      <c r="O664" s="118"/>
      <c r="P664" s="401"/>
      <c r="Q664" s="118"/>
      <c r="R664" s="118"/>
      <c r="S664" s="118"/>
      <c r="T664" s="118"/>
      <c r="U664" s="401"/>
      <c r="V664" s="118"/>
      <c r="W664" s="118"/>
      <c r="X664" s="118"/>
      <c r="Y664" s="118"/>
      <c r="Z664" s="401"/>
      <c r="AA664" s="122">
        <f t="shared" ref="AA664:AE664" si="939">AA686+AA674</f>
        <v>0</v>
      </c>
      <c r="AB664" s="122">
        <f t="shared" si="939"/>
        <v>0</v>
      </c>
      <c r="AC664" s="122">
        <f t="shared" si="939"/>
        <v>0</v>
      </c>
      <c r="AD664" s="122">
        <f t="shared" si="939"/>
        <v>0</v>
      </c>
      <c r="AE664" s="674">
        <f t="shared" si="939"/>
        <v>0</v>
      </c>
      <c r="AF664" s="118"/>
      <c r="AG664" s="118"/>
      <c r="AH664" s="118"/>
      <c r="AI664" s="118"/>
      <c r="AJ664" s="401"/>
      <c r="AK664" s="302">
        <v>0.03</v>
      </c>
      <c r="AL664" s="118"/>
      <c r="AM664" s="118"/>
      <c r="AN664" s="118"/>
      <c r="AO664" s="403">
        <v>0.03</v>
      </c>
      <c r="AP664" s="118"/>
      <c r="AQ664" s="118"/>
      <c r="AR664" s="118"/>
      <c r="AS664" s="118"/>
      <c r="AT664" s="401"/>
      <c r="AU664" s="118"/>
      <c r="AV664" s="118"/>
      <c r="AW664" s="118"/>
      <c r="AX664" s="118"/>
      <c r="AY664" s="401"/>
      <c r="AZ664" s="118"/>
      <c r="BA664" s="118"/>
      <c r="BB664" s="118"/>
      <c r="BC664" s="118"/>
      <c r="BD664" s="401"/>
      <c r="BE664" s="118"/>
      <c r="BF664" s="118"/>
      <c r="BG664" s="118"/>
      <c r="BH664" s="118"/>
      <c r="BI664" s="401"/>
      <c r="BJ664" s="971"/>
      <c r="BK664" s="118"/>
      <c r="BL664" s="118"/>
      <c r="BM664" s="118"/>
      <c r="BN664" s="401"/>
      <c r="BO664" s="118"/>
      <c r="BP664" s="118"/>
      <c r="BQ664" s="118"/>
      <c r="BR664" s="118"/>
      <c r="BS664" s="401"/>
      <c r="BT664" s="401"/>
      <c r="BU664" s="401"/>
      <c r="BV664" s="401"/>
      <c r="BW664" s="122"/>
    </row>
    <row r="665" spans="1:75" s="123" customFormat="1" hidden="1" outlineLevel="1" x14ac:dyDescent="0.5">
      <c r="A665" s="464" t="s">
        <v>2078</v>
      </c>
      <c r="B665" s="513"/>
      <c r="C665" s="401"/>
      <c r="D665" s="401"/>
      <c r="E665" s="401"/>
      <c r="F665" s="401"/>
      <c r="G665" s="118"/>
      <c r="H665" s="118"/>
      <c r="I665" s="118"/>
      <c r="J665" s="118"/>
      <c r="K665" s="401"/>
      <c r="L665" s="118"/>
      <c r="M665" s="118"/>
      <c r="N665" s="118"/>
      <c r="O665" s="118"/>
      <c r="P665" s="401"/>
      <c r="Q665" s="118"/>
      <c r="R665" s="118"/>
      <c r="S665" s="118"/>
      <c r="T665" s="118"/>
      <c r="U665" s="401"/>
      <c r="V665" s="118"/>
      <c r="W665" s="118"/>
      <c r="X665" s="118"/>
      <c r="Y665" s="118"/>
      <c r="Z665" s="401"/>
      <c r="AA665" s="118"/>
      <c r="AB665" s="118"/>
      <c r="AC665" s="118"/>
      <c r="AD665" s="118"/>
      <c r="AE665" s="401"/>
      <c r="AF665" s="118"/>
      <c r="AG665" s="302">
        <v>0.71899999999999997</v>
      </c>
      <c r="AH665" s="302">
        <v>0.19</v>
      </c>
      <c r="AI665" s="302">
        <v>0.76700000000000002</v>
      </c>
      <c r="AJ665" s="403">
        <v>1.6759999999999999</v>
      </c>
      <c r="AK665" s="118"/>
      <c r="AL665" s="118"/>
      <c r="AM665" s="118"/>
      <c r="AN665" s="118"/>
      <c r="AO665" s="401"/>
      <c r="AP665" s="118"/>
      <c r="AQ665" s="118"/>
      <c r="AR665" s="118"/>
      <c r="AS665" s="118"/>
      <c r="AT665" s="401"/>
      <c r="AU665" s="118"/>
      <c r="AV665" s="118"/>
      <c r="AW665" s="118"/>
      <c r="AX665" s="118"/>
      <c r="AY665" s="401"/>
      <c r="AZ665" s="118"/>
      <c r="BA665" s="118"/>
      <c r="BB665" s="118"/>
      <c r="BC665" s="118"/>
      <c r="BD665" s="401"/>
      <c r="BE665" s="118"/>
      <c r="BF665" s="118"/>
      <c r="BG665" s="118"/>
      <c r="BH665" s="118"/>
      <c r="BI665" s="401"/>
      <c r="BJ665" s="971"/>
      <c r="BK665" s="118"/>
      <c r="BL665" s="118"/>
      <c r="BM665" s="118"/>
      <c r="BN665" s="401"/>
      <c r="BO665" s="118"/>
      <c r="BP665" s="118"/>
      <c r="BQ665" s="118"/>
      <c r="BR665" s="118"/>
      <c r="BS665" s="401"/>
      <c r="BT665" s="401"/>
      <c r="BU665" s="401"/>
      <c r="BV665" s="401"/>
      <c r="BW665" s="122"/>
    </row>
    <row r="666" spans="1:75" s="123" customFormat="1" hidden="1" outlineLevel="1" x14ac:dyDescent="0.5">
      <c r="A666" s="464" t="s">
        <v>2079</v>
      </c>
      <c r="B666" s="513"/>
      <c r="C666" s="401"/>
      <c r="D666" s="401"/>
      <c r="E666" s="401"/>
      <c r="F666" s="401"/>
      <c r="G666" s="118"/>
      <c r="H666" s="118"/>
      <c r="I666" s="118"/>
      <c r="J666" s="118"/>
      <c r="K666" s="401"/>
      <c r="L666" s="118"/>
      <c r="M666" s="118"/>
      <c r="N666" s="118"/>
      <c r="O666" s="118"/>
      <c r="P666" s="401"/>
      <c r="Q666" s="118"/>
      <c r="R666" s="118"/>
      <c r="S666" s="118"/>
      <c r="T666" s="118"/>
      <c r="U666" s="401"/>
      <c r="V666" s="118"/>
      <c r="W666" s="118"/>
      <c r="X666" s="118"/>
      <c r="Y666" s="118"/>
      <c r="Z666" s="401"/>
      <c r="AA666" s="118"/>
      <c r="AB666" s="118"/>
      <c r="AC666" s="118"/>
      <c r="AD666" s="118"/>
      <c r="AE666" s="401"/>
      <c r="AF666" s="118"/>
      <c r="AG666" s="118"/>
      <c r="AH666" s="118"/>
      <c r="AI666" s="118"/>
      <c r="AJ666" s="401"/>
      <c r="AK666" s="118"/>
      <c r="AL666" s="118"/>
      <c r="AM666" s="118"/>
      <c r="AN666" s="118"/>
      <c r="AO666" s="401"/>
      <c r="AP666" s="302">
        <v>11.378</v>
      </c>
      <c r="AQ666" s="118"/>
      <c r="AR666" s="118"/>
      <c r="AS666" s="118"/>
      <c r="AT666" s="403">
        <v>11.378</v>
      </c>
      <c r="AU666" s="118"/>
      <c r="AV666" s="118"/>
      <c r="AW666" s="118"/>
      <c r="AX666" s="118"/>
      <c r="AY666" s="401"/>
      <c r="AZ666" s="118"/>
      <c r="BA666" s="118"/>
      <c r="BB666" s="118"/>
      <c r="BC666" s="118"/>
      <c r="BD666" s="401"/>
      <c r="BE666" s="118"/>
      <c r="BF666" s="118"/>
      <c r="BG666" s="118"/>
      <c r="BH666" s="118"/>
      <c r="BI666" s="401"/>
      <c r="BJ666" s="971"/>
      <c r="BK666" s="118"/>
      <c r="BL666" s="118"/>
      <c r="BM666" s="118"/>
      <c r="BN666" s="401"/>
      <c r="BO666" s="118"/>
      <c r="BP666" s="118"/>
      <c r="BQ666" s="118"/>
      <c r="BR666" s="118"/>
      <c r="BS666" s="401"/>
      <c r="BT666" s="401"/>
      <c r="BU666" s="401"/>
      <c r="BV666" s="401"/>
      <c r="BW666" s="122"/>
    </row>
    <row r="667" spans="1:75" s="198" customFormat="1" ht="14.25" hidden="1" outlineLevel="1" x14ac:dyDescent="0.45">
      <c r="A667" s="516" t="s">
        <v>2080</v>
      </c>
      <c r="B667" s="517"/>
      <c r="C667" s="518"/>
      <c r="D667" s="518"/>
      <c r="E667" s="518"/>
      <c r="F667" s="518"/>
      <c r="G667" s="327"/>
      <c r="H667" s="327"/>
      <c r="I667" s="327"/>
      <c r="J667" s="327"/>
      <c r="K667" s="518"/>
      <c r="L667" s="327">
        <f t="shared" ref="L667:BJ667" si="940">SUM(L661:L666)</f>
        <v>368.40800000000002</v>
      </c>
      <c r="M667" s="327">
        <f t="shared" si="940"/>
        <v>382.09800000000007</v>
      </c>
      <c r="N667" s="327">
        <f t="shared" si="940"/>
        <v>431.40700000000004</v>
      </c>
      <c r="O667" s="327">
        <f t="shared" si="940"/>
        <v>618.59100000000001</v>
      </c>
      <c r="P667" s="518">
        <f t="shared" si="940"/>
        <v>1800.5039999999999</v>
      </c>
      <c r="Q667" s="327">
        <f t="shared" si="940"/>
        <v>378.84099999999989</v>
      </c>
      <c r="R667" s="327">
        <f t="shared" si="940"/>
        <v>406.625</v>
      </c>
      <c r="S667" s="327">
        <f t="shared" si="940"/>
        <v>451.1880000000001</v>
      </c>
      <c r="T667" s="327">
        <f t="shared" si="940"/>
        <v>607.56000000000006</v>
      </c>
      <c r="U667" s="518">
        <f t="shared" si="940"/>
        <v>1844.2139999999999</v>
      </c>
      <c r="V667" s="327">
        <f t="shared" si="940"/>
        <v>392.51700000000005</v>
      </c>
      <c r="W667" s="327">
        <f t="shared" si="940"/>
        <v>410.53899999999999</v>
      </c>
      <c r="X667" s="327">
        <f t="shared" si="940"/>
        <v>458.22299999999996</v>
      </c>
      <c r="Y667" s="327">
        <f t="shared" si="940"/>
        <v>622.03099999999995</v>
      </c>
      <c r="Z667" s="518">
        <f t="shared" si="940"/>
        <v>1883.31</v>
      </c>
      <c r="AA667" s="327">
        <f t="shared" si="940"/>
        <v>395.7600000000001</v>
      </c>
      <c r="AB667" s="327">
        <f t="shared" si="940"/>
        <v>422.71100000000001</v>
      </c>
      <c r="AC667" s="327">
        <f t="shared" si="940"/>
        <v>467.06700000000001</v>
      </c>
      <c r="AD667" s="327">
        <f t="shared" si="940"/>
        <v>646.52300000000002</v>
      </c>
      <c r="AE667" s="518">
        <f t="shared" si="940"/>
        <v>1932.0610000000001</v>
      </c>
      <c r="AF667" s="520">
        <f t="shared" si="940"/>
        <v>432.74599999999998</v>
      </c>
      <c r="AG667" s="520">
        <f t="shared" si="940"/>
        <v>464.93</v>
      </c>
      <c r="AH667" s="520">
        <f t="shared" si="940"/>
        <v>495.0499999999999</v>
      </c>
      <c r="AI667" s="520">
        <f t="shared" si="940"/>
        <v>711.01399999999978</v>
      </c>
      <c r="AJ667" s="519">
        <f t="shared" si="940"/>
        <v>2103.7399999999998</v>
      </c>
      <c r="AK667" s="520">
        <f t="shared" si="940"/>
        <v>444.89600000000002</v>
      </c>
      <c r="AL667" s="520">
        <f t="shared" si="940"/>
        <v>484.74000000000012</v>
      </c>
      <c r="AM667" s="520">
        <f t="shared" si="940"/>
        <v>518.89800000000002</v>
      </c>
      <c r="AN667" s="520">
        <f t="shared" si="940"/>
        <v>693.62300000000005</v>
      </c>
      <c r="AO667" s="519">
        <f t="shared" si="940"/>
        <v>2142.1569999999997</v>
      </c>
      <c r="AP667" s="520">
        <f t="shared" si="940"/>
        <v>425.63799999999998</v>
      </c>
      <c r="AQ667" s="520">
        <f t="shared" si="940"/>
        <v>551.202</v>
      </c>
      <c r="AR667" s="520">
        <f t="shared" si="940"/>
        <v>705.58300000000008</v>
      </c>
      <c r="AS667" s="520">
        <f t="shared" si="940"/>
        <v>965.22400000000061</v>
      </c>
      <c r="AT667" s="519">
        <f t="shared" si="940"/>
        <v>2647.6470000000004</v>
      </c>
      <c r="AU667" s="520">
        <f t="shared" si="940"/>
        <v>752.85299999999995</v>
      </c>
      <c r="AV667" s="520">
        <f t="shared" si="940"/>
        <v>858.38799999999992</v>
      </c>
      <c r="AW667" s="520">
        <f t="shared" si="940"/>
        <v>895.4849999999999</v>
      </c>
      <c r="AX667" s="520">
        <f t="shared" si="940"/>
        <v>1125.2369999999996</v>
      </c>
      <c r="AY667" s="519">
        <f t="shared" si="940"/>
        <v>3631.9629999999997</v>
      </c>
      <c r="AZ667" s="520">
        <f t="shared" si="940"/>
        <v>828.548</v>
      </c>
      <c r="BA667" s="520">
        <f t="shared" si="940"/>
        <v>928.80899999999974</v>
      </c>
      <c r="BB667" s="520">
        <f t="shared" si="940"/>
        <v>910.52600000000007</v>
      </c>
      <c r="BC667" s="520">
        <f t="shared" si="940"/>
        <v>1009.8499999999995</v>
      </c>
      <c r="BD667" s="519">
        <f t="shared" si="940"/>
        <v>3677.7329999999993</v>
      </c>
      <c r="BE667" s="520">
        <f t="shared" si="940"/>
        <v>677.19999999999993</v>
      </c>
      <c r="BF667" s="520">
        <f t="shared" si="940"/>
        <v>757.56700000000001</v>
      </c>
      <c r="BG667" s="520">
        <f t="shared" si="940"/>
        <v>822.36000000000013</v>
      </c>
      <c r="BH667" s="520">
        <f t="shared" si="940"/>
        <v>1048.6149999999998</v>
      </c>
      <c r="BI667" s="519">
        <f t="shared" si="940"/>
        <v>3305.7419999999997</v>
      </c>
      <c r="BJ667" s="1270">
        <f t="shared" si="940"/>
        <v>802.51499999999999</v>
      </c>
      <c r="BK667" s="327"/>
      <c r="BL667" s="327"/>
      <c r="BM667" s="327"/>
      <c r="BN667" s="518"/>
      <c r="BO667" s="327"/>
      <c r="BP667" s="327"/>
      <c r="BQ667" s="327"/>
      <c r="BR667" s="327"/>
      <c r="BS667" s="518"/>
      <c r="BT667" s="518"/>
      <c r="BU667" s="518"/>
      <c r="BV667" s="518"/>
      <c r="BW667" s="197"/>
    </row>
    <row r="668" spans="1:75" s="123" customFormat="1" hidden="1" outlineLevel="1" x14ac:dyDescent="0.5">
      <c r="A668" s="184"/>
      <c r="B668" s="513"/>
      <c r="C668" s="401"/>
      <c r="D668" s="401"/>
      <c r="E668" s="401"/>
      <c r="F668" s="401"/>
      <c r="G668" s="118"/>
      <c r="H668" s="118"/>
      <c r="I668" s="118"/>
      <c r="J668" s="118"/>
      <c r="K668" s="401"/>
      <c r="L668" s="118"/>
      <c r="M668" s="118"/>
      <c r="N668" s="118"/>
      <c r="O668" s="118"/>
      <c r="P668" s="401"/>
      <c r="Q668" s="118"/>
      <c r="R668" s="118"/>
      <c r="S668" s="118"/>
      <c r="T668" s="118"/>
      <c r="U668" s="401"/>
      <c r="V668" s="118"/>
      <c r="W668" s="118"/>
      <c r="X668" s="118"/>
      <c r="Y668" s="118"/>
      <c r="Z668" s="401"/>
      <c r="AA668" s="118"/>
      <c r="AB668" s="118"/>
      <c r="AC668" s="118"/>
      <c r="AD668" s="118"/>
      <c r="AE668" s="401"/>
      <c r="AF668" s="118"/>
      <c r="AG668" s="118"/>
      <c r="AH668" s="118"/>
      <c r="AI668" s="118"/>
      <c r="AJ668" s="401"/>
      <c r="AK668" s="118"/>
      <c r="AL668" s="118"/>
      <c r="AM668" s="118"/>
      <c r="AN668" s="118"/>
      <c r="AO668" s="401"/>
      <c r="AP668" s="118"/>
      <c r="AQ668" s="118"/>
      <c r="AR668" s="118"/>
      <c r="AS668" s="118"/>
      <c r="AT668" s="401"/>
      <c r="AU668" s="118"/>
      <c r="AV668" s="118"/>
      <c r="AW668" s="118"/>
      <c r="AX668" s="118"/>
      <c r="AY668" s="401"/>
      <c r="AZ668" s="118"/>
      <c r="BA668" s="118"/>
      <c r="BB668" s="118"/>
      <c r="BC668" s="118"/>
      <c r="BD668" s="401"/>
      <c r="BE668" s="118"/>
      <c r="BF668" s="118"/>
      <c r="BG668" s="118"/>
      <c r="BH668" s="118"/>
      <c r="BI668" s="401"/>
      <c r="BJ668" s="971"/>
      <c r="BK668" s="118"/>
      <c r="BL668" s="118"/>
      <c r="BM668" s="118"/>
      <c r="BN668" s="401"/>
      <c r="BO668" s="118"/>
      <c r="BP668" s="118"/>
      <c r="BQ668" s="118"/>
      <c r="BR668" s="118"/>
      <c r="BS668" s="401"/>
      <c r="BT668" s="401"/>
      <c r="BU668" s="401"/>
      <c r="BV668" s="401"/>
      <c r="BW668" s="122"/>
    </row>
    <row r="669" spans="1:75" s="198" customFormat="1" ht="14.25" hidden="1" outlineLevel="1" x14ac:dyDescent="0.45">
      <c r="A669" s="463" t="s">
        <v>1084</v>
      </c>
      <c r="B669" s="522"/>
      <c r="C669" s="397"/>
      <c r="D669" s="397"/>
      <c r="E669" s="397"/>
      <c r="F669" s="397"/>
      <c r="G669" s="295"/>
      <c r="H669" s="295"/>
      <c r="I669" s="295"/>
      <c r="J669" s="295"/>
      <c r="K669" s="397"/>
      <c r="L669" s="197">
        <f t="shared" ref="L669:BI669" si="941">L643</f>
        <v>294.08199999999999</v>
      </c>
      <c r="M669" s="197">
        <f t="shared" si="941"/>
        <v>296.762</v>
      </c>
      <c r="N669" s="197">
        <f t="shared" si="941"/>
        <v>326.68700000000001</v>
      </c>
      <c r="O669" s="197">
        <f t="shared" si="941"/>
        <v>380.70800000000003</v>
      </c>
      <c r="P669" s="672">
        <f t="shared" si="941"/>
        <v>1298.239</v>
      </c>
      <c r="Q669" s="197">
        <f t="shared" si="941"/>
        <v>306.91300000000001</v>
      </c>
      <c r="R669" s="197">
        <f t="shared" si="941"/>
        <v>323.28199999999998</v>
      </c>
      <c r="S669" s="197">
        <f t="shared" si="941"/>
        <v>340.505</v>
      </c>
      <c r="T669" s="197">
        <f t="shared" si="941"/>
        <v>384.88</v>
      </c>
      <c r="U669" s="672">
        <f t="shared" si="941"/>
        <v>1355.58</v>
      </c>
      <c r="V669" s="197">
        <f t="shared" si="941"/>
        <v>328.99200000000002</v>
      </c>
      <c r="W669" s="197">
        <f t="shared" si="941"/>
        <v>327.26299999999998</v>
      </c>
      <c r="X669" s="197">
        <f t="shared" si="941"/>
        <v>348.24400000000003</v>
      </c>
      <c r="Y669" s="197">
        <f t="shared" si="941"/>
        <v>406.21199999999999</v>
      </c>
      <c r="Z669" s="672">
        <f t="shared" si="941"/>
        <v>1410.711</v>
      </c>
      <c r="AA669" s="197">
        <f t="shared" si="941"/>
        <v>333.286</v>
      </c>
      <c r="AB669" s="197">
        <f t="shared" si="941"/>
        <v>341.12700000000001</v>
      </c>
      <c r="AC669" s="197">
        <f t="shared" si="941"/>
        <v>356.25400000000002</v>
      </c>
      <c r="AD669" s="197">
        <f t="shared" si="941"/>
        <v>447.233</v>
      </c>
      <c r="AE669" s="672">
        <f t="shared" si="941"/>
        <v>1477.9</v>
      </c>
      <c r="AF669" s="197">
        <f t="shared" si="941"/>
        <v>365.61399999999998</v>
      </c>
      <c r="AG669" s="197">
        <f t="shared" si="941"/>
        <v>389.77600000000001</v>
      </c>
      <c r="AH669" s="197">
        <f t="shared" si="941"/>
        <v>400.6</v>
      </c>
      <c r="AI669" s="197">
        <f t="shared" si="941"/>
        <v>509.06999999999994</v>
      </c>
      <c r="AJ669" s="672">
        <f t="shared" si="941"/>
        <v>1665.06</v>
      </c>
      <c r="AK669" s="197">
        <f t="shared" si="941"/>
        <v>370.19900000000001</v>
      </c>
      <c r="AL669" s="197">
        <f t="shared" si="941"/>
        <v>397.69600000000003</v>
      </c>
      <c r="AM669" s="197">
        <f t="shared" si="941"/>
        <v>416.28100000000001</v>
      </c>
      <c r="AN669" s="197">
        <f t="shared" si="941"/>
        <v>489.04200000000014</v>
      </c>
      <c r="AO669" s="672">
        <f t="shared" si="941"/>
        <v>1673.2180000000001</v>
      </c>
      <c r="AP669" s="197">
        <f t="shared" si="941"/>
        <v>365.61500000000001</v>
      </c>
      <c r="AQ669" s="197">
        <f t="shared" si="941"/>
        <v>365.84100000000001</v>
      </c>
      <c r="AR669" s="197">
        <f t="shared" si="941"/>
        <v>430.97899999999998</v>
      </c>
      <c r="AS669" s="197">
        <f t="shared" si="941"/>
        <v>563.13699999999994</v>
      </c>
      <c r="AT669" s="672">
        <f t="shared" si="941"/>
        <v>1725.5719999999999</v>
      </c>
      <c r="AU669" s="197">
        <f t="shared" si="941"/>
        <v>477.67599999999999</v>
      </c>
      <c r="AV669" s="197">
        <f t="shared" si="941"/>
        <v>535.28800000000001</v>
      </c>
      <c r="AW669" s="197">
        <f t="shared" si="941"/>
        <v>565.21799999999996</v>
      </c>
      <c r="AX669" s="197">
        <f t="shared" si="941"/>
        <v>600.66500000000042</v>
      </c>
      <c r="AY669" s="672">
        <f t="shared" si="941"/>
        <v>2178.8470000000002</v>
      </c>
      <c r="AZ669" s="197">
        <f t="shared" si="941"/>
        <v>505.06700000000001</v>
      </c>
      <c r="BA669" s="197">
        <f t="shared" si="941"/>
        <v>563.28800000000001</v>
      </c>
      <c r="BB669" s="197">
        <f t="shared" si="941"/>
        <v>570.89300000000003</v>
      </c>
      <c r="BC669" s="197">
        <f t="shared" si="941"/>
        <v>540.0630000000001</v>
      </c>
      <c r="BD669" s="672">
        <f t="shared" si="941"/>
        <v>2179.3110000000001</v>
      </c>
      <c r="BE669" s="197">
        <f t="shared" si="941"/>
        <v>475.58199999999999</v>
      </c>
      <c r="BF669" s="197">
        <f t="shared" si="941"/>
        <v>486.01900000000001</v>
      </c>
      <c r="BG669" s="197">
        <f t="shared" si="941"/>
        <v>507.28300000000002</v>
      </c>
      <c r="BH669" s="197">
        <f t="shared" si="941"/>
        <v>590.52399999999989</v>
      </c>
      <c r="BI669" s="672">
        <f t="shared" si="941"/>
        <v>2059.4079999999999</v>
      </c>
      <c r="BJ669" s="1273">
        <f>BJ643</f>
        <v>478.68700000000001</v>
      </c>
      <c r="BK669" s="295"/>
      <c r="BL669" s="295"/>
      <c r="BM669" s="295"/>
      <c r="BN669" s="397"/>
      <c r="BO669" s="295"/>
      <c r="BP669" s="295"/>
      <c r="BQ669" s="295"/>
      <c r="BR669" s="295"/>
      <c r="BS669" s="397"/>
      <c r="BT669" s="397"/>
      <c r="BU669" s="397"/>
      <c r="BV669" s="397"/>
      <c r="BW669" s="197"/>
    </row>
    <row r="670" spans="1:75" s="123" customFormat="1" hidden="1" outlineLevel="1" x14ac:dyDescent="0.5">
      <c r="A670" s="464" t="s">
        <v>2081</v>
      </c>
      <c r="B670" s="513"/>
      <c r="C670" s="401"/>
      <c r="D670" s="401"/>
      <c r="E670" s="401"/>
      <c r="F670" s="401"/>
      <c r="G670" s="118"/>
      <c r="H670" s="118"/>
      <c r="I670" s="118"/>
      <c r="J670" s="118"/>
      <c r="K670" s="401"/>
      <c r="L670" s="118"/>
      <c r="M670" s="118"/>
      <c r="N670" s="118"/>
      <c r="O670" s="302">
        <v>7.4139999999999997</v>
      </c>
      <c r="P670" s="403">
        <v>7.4139999999999997</v>
      </c>
      <c r="Q670" s="118"/>
      <c r="R670" s="118"/>
      <c r="S670" s="118"/>
      <c r="T670" s="118"/>
      <c r="U670" s="401"/>
      <c r="V670" s="118"/>
      <c r="W670" s="118"/>
      <c r="X670" s="118"/>
      <c r="Y670" s="118"/>
      <c r="Z670" s="401"/>
      <c r="AA670" s="118"/>
      <c r="AB670" s="118"/>
      <c r="AC670" s="118"/>
      <c r="AD670" s="118"/>
      <c r="AE670" s="401"/>
      <c r="AF670" s="118"/>
      <c r="AG670" s="118"/>
      <c r="AH670" s="118"/>
      <c r="AI670" s="118"/>
      <c r="AJ670" s="401"/>
      <c r="AK670" s="118"/>
      <c r="AL670" s="118"/>
      <c r="AM670" s="118"/>
      <c r="AN670" s="118"/>
      <c r="AO670" s="401"/>
      <c r="AP670" s="118"/>
      <c r="AQ670" s="118"/>
      <c r="AR670" s="118"/>
      <c r="AS670" s="118"/>
      <c r="AT670" s="401"/>
      <c r="AU670" s="118"/>
      <c r="AV670" s="118"/>
      <c r="AW670" s="118"/>
      <c r="AX670" s="118"/>
      <c r="AY670" s="401"/>
      <c r="AZ670" s="118"/>
      <c r="BA670" s="118"/>
      <c r="BB670" s="118"/>
      <c r="BC670" s="118"/>
      <c r="BD670" s="401"/>
      <c r="BE670" s="118"/>
      <c r="BF670" s="118"/>
      <c r="BG670" s="118"/>
      <c r="BH670" s="118"/>
      <c r="BI670" s="401"/>
      <c r="BJ670" s="971"/>
      <c r="BK670" s="118"/>
      <c r="BL670" s="118"/>
      <c r="BM670" s="118"/>
      <c r="BN670" s="401"/>
      <c r="BO670" s="118"/>
      <c r="BP670" s="118"/>
      <c r="BQ670" s="118"/>
      <c r="BR670" s="118"/>
      <c r="BS670" s="401"/>
      <c r="BT670" s="401"/>
      <c r="BU670" s="401"/>
      <c r="BV670" s="401"/>
      <c r="BW670" s="122"/>
    </row>
    <row r="671" spans="1:75" s="123" customFormat="1" hidden="1" outlineLevel="1" x14ac:dyDescent="0.5">
      <c r="A671" s="464" t="s">
        <v>2072</v>
      </c>
      <c r="B671" s="513"/>
      <c r="C671" s="401"/>
      <c r="D671" s="401"/>
      <c r="E671" s="401"/>
      <c r="F671" s="401"/>
      <c r="G671" s="118"/>
      <c r="H671" s="118"/>
      <c r="I671" s="118"/>
      <c r="J671" s="118"/>
      <c r="K671" s="401"/>
      <c r="L671" s="118"/>
      <c r="M671" s="118"/>
      <c r="N671" s="118"/>
      <c r="O671" s="118"/>
      <c r="P671" s="401"/>
      <c r="Q671" s="118"/>
      <c r="R671" s="118"/>
      <c r="S671" s="118"/>
      <c r="T671" s="118"/>
      <c r="U671" s="401"/>
      <c r="V671" s="118"/>
      <c r="W671" s="118"/>
      <c r="X671" s="118"/>
      <c r="Y671" s="118"/>
      <c r="Z671" s="401"/>
      <c r="AA671" s="118"/>
      <c r="AB671" s="118"/>
      <c r="AC671" s="118"/>
      <c r="AD671" s="302">
        <v>-5.859</v>
      </c>
      <c r="AE671" s="403">
        <v>-5.859</v>
      </c>
      <c r="AF671" s="302">
        <v>-6.3440000000000003</v>
      </c>
      <c r="AG671" s="302">
        <v>-4.72</v>
      </c>
      <c r="AH671" s="302">
        <v>-6.1280000000000001</v>
      </c>
      <c r="AI671" s="302">
        <v>-6.9180000000000001</v>
      </c>
      <c r="AJ671" s="403">
        <v>-24.11</v>
      </c>
      <c r="AK671" s="302">
        <v>-5.8769999999999998</v>
      </c>
      <c r="AL671" s="302">
        <v>-6.351</v>
      </c>
      <c r="AM671" s="302">
        <v>-6.6360000000000001</v>
      </c>
      <c r="AN671" s="302">
        <v>-8.2059999999999995</v>
      </c>
      <c r="AO671" s="403">
        <v>-27.07</v>
      </c>
      <c r="AP671" s="302">
        <v>-3.3580000000000001</v>
      </c>
      <c r="AQ671" s="302">
        <v>-3.3410000000000002</v>
      </c>
      <c r="AR671" s="302">
        <v>-2.2189999999999999</v>
      </c>
      <c r="AS671" s="302">
        <v>-3.1739999999999999</v>
      </c>
      <c r="AT671" s="403">
        <v>-12.092000000000001</v>
      </c>
      <c r="AU671" s="302">
        <v>-2.839</v>
      </c>
      <c r="AV671" s="302">
        <v>-2.7570000000000001</v>
      </c>
      <c r="AW671" s="302">
        <v>-2.7519999999999998</v>
      </c>
      <c r="AX671" s="302">
        <v>-0.81200000000000006</v>
      </c>
      <c r="AY671" s="403">
        <v>-9.16</v>
      </c>
      <c r="AZ671" s="118"/>
      <c r="BA671" s="118"/>
      <c r="BB671" s="118"/>
      <c r="BC671" s="118"/>
      <c r="BD671" s="401"/>
      <c r="BE671" s="118"/>
      <c r="BF671" s="118"/>
      <c r="BG671" s="118"/>
      <c r="BH671" s="118"/>
      <c r="BI671" s="401"/>
      <c r="BJ671" s="971"/>
      <c r="BK671" s="118"/>
      <c r="BL671" s="118"/>
      <c r="BM671" s="118"/>
      <c r="BN671" s="401"/>
      <c r="BO671" s="118"/>
      <c r="BP671" s="118"/>
      <c r="BQ671" s="118"/>
      <c r="BR671" s="118"/>
      <c r="BS671" s="401"/>
      <c r="BT671" s="401"/>
      <c r="BU671" s="401"/>
      <c r="BV671" s="401"/>
      <c r="BW671" s="122"/>
    </row>
    <row r="672" spans="1:75" s="123" customFormat="1" hidden="1" outlineLevel="1" x14ac:dyDescent="0.5">
      <c r="A672" s="464" t="s">
        <v>2075</v>
      </c>
      <c r="B672" s="513"/>
      <c r="C672" s="401"/>
      <c r="D672" s="401"/>
      <c r="E672" s="401"/>
      <c r="F672" s="401"/>
      <c r="G672" s="118"/>
      <c r="H672" s="118"/>
      <c r="I672" s="118"/>
      <c r="J672" s="118"/>
      <c r="K672" s="401"/>
      <c r="L672" s="118"/>
      <c r="M672" s="118"/>
      <c r="N672" s="118"/>
      <c r="O672" s="118"/>
      <c r="P672" s="401"/>
      <c r="Q672" s="118"/>
      <c r="R672" s="118"/>
      <c r="S672" s="118"/>
      <c r="T672" s="118"/>
      <c r="U672" s="401"/>
      <c r="V672" s="118"/>
      <c r="W672" s="118"/>
      <c r="X672" s="118"/>
      <c r="Y672" s="118"/>
      <c r="Z672" s="401"/>
      <c r="AA672" s="118"/>
      <c r="AB672" s="118"/>
      <c r="AC672" s="118"/>
      <c r="AD672" s="118"/>
      <c r="AE672" s="401"/>
      <c r="AF672" s="118"/>
      <c r="AG672" s="118"/>
      <c r="AH672" s="118"/>
      <c r="AI672" s="118"/>
      <c r="AJ672" s="401"/>
      <c r="AK672" s="118"/>
      <c r="AL672" s="118"/>
      <c r="AM672" s="118"/>
      <c r="AN672" s="118"/>
      <c r="AO672" s="401"/>
      <c r="AP672" s="118"/>
      <c r="AQ672" s="118"/>
      <c r="AR672" s="118"/>
      <c r="AS672" s="118"/>
      <c r="AT672" s="401"/>
      <c r="AU672" s="118"/>
      <c r="AV672" s="118"/>
      <c r="AW672" s="118"/>
      <c r="AX672" s="118"/>
      <c r="AY672" s="401"/>
      <c r="AZ672" s="118"/>
      <c r="BA672" s="118"/>
      <c r="BB672" s="118"/>
      <c r="BC672" s="118"/>
      <c r="BD672" s="401"/>
      <c r="BE672" s="302">
        <v>-15.79</v>
      </c>
      <c r="BF672" s="118"/>
      <c r="BG672" s="118"/>
      <c r="BH672" s="118"/>
      <c r="BI672" s="403">
        <v>-15.79</v>
      </c>
      <c r="BJ672" s="971"/>
      <c r="BK672" s="118"/>
      <c r="BL672" s="118"/>
      <c r="BM672" s="118"/>
      <c r="BN672" s="401"/>
      <c r="BO672" s="118"/>
      <c r="BP672" s="118"/>
      <c r="BQ672" s="118"/>
      <c r="BR672" s="118"/>
      <c r="BS672" s="401"/>
      <c r="BT672" s="401"/>
      <c r="BU672" s="401"/>
      <c r="BV672" s="401"/>
      <c r="BW672" s="122"/>
    </row>
    <row r="673" spans="1:75" s="123" customFormat="1" hidden="1" outlineLevel="1" x14ac:dyDescent="0.5">
      <c r="A673" s="464" t="s">
        <v>2082</v>
      </c>
      <c r="B673" s="513"/>
      <c r="C673" s="401"/>
      <c r="D673" s="401"/>
      <c r="E673" s="401"/>
      <c r="F673" s="401"/>
      <c r="G673" s="118"/>
      <c r="H673" s="118"/>
      <c r="I673" s="118"/>
      <c r="J673" s="118"/>
      <c r="K673" s="401"/>
      <c r="L673" s="118"/>
      <c r="M673" s="118"/>
      <c r="N673" s="118"/>
      <c r="O673" s="118"/>
      <c r="P673" s="401"/>
      <c r="Q673" s="118"/>
      <c r="R673" s="118"/>
      <c r="S673" s="118"/>
      <c r="T673" s="118"/>
      <c r="U673" s="401"/>
      <c r="V673" s="118"/>
      <c r="W673" s="118"/>
      <c r="X673" s="118"/>
      <c r="Y673" s="118"/>
      <c r="Z673" s="401"/>
      <c r="AA673" s="118"/>
      <c r="AB673" s="118"/>
      <c r="AC673" s="118"/>
      <c r="AD673" s="118"/>
      <c r="AE673" s="401"/>
      <c r="AF673" s="118"/>
      <c r="AG673" s="118"/>
      <c r="AH673" s="118"/>
      <c r="AI673" s="118"/>
      <c r="AJ673" s="401"/>
      <c r="AK673" s="118"/>
      <c r="AL673" s="118"/>
      <c r="AM673" s="118"/>
      <c r="AN673" s="118"/>
      <c r="AO673" s="401"/>
      <c r="AP673" s="118"/>
      <c r="AQ673" s="118"/>
      <c r="AR673" s="118"/>
      <c r="AS673" s="118"/>
      <c r="AT673" s="401"/>
      <c r="AU673" s="118"/>
      <c r="AV673" s="118"/>
      <c r="AW673" s="118"/>
      <c r="AX673" s="118"/>
      <c r="AY673" s="401"/>
      <c r="AZ673" s="118"/>
      <c r="BA673" s="118"/>
      <c r="BB673" s="118"/>
      <c r="BC673" s="118"/>
      <c r="BD673" s="401"/>
      <c r="BE673" s="302">
        <v>-8.3160000000000007</v>
      </c>
      <c r="BF673" s="118"/>
      <c r="BG673" s="118"/>
      <c r="BH673" s="118"/>
      <c r="BI673" s="403">
        <v>-8.3160000000000007</v>
      </c>
      <c r="BJ673" s="971"/>
      <c r="BK673" s="118"/>
      <c r="BL673" s="118"/>
      <c r="BM673" s="118"/>
      <c r="BN673" s="401"/>
      <c r="BO673" s="118"/>
      <c r="BP673" s="118"/>
      <c r="BQ673" s="118"/>
      <c r="BR673" s="118"/>
      <c r="BS673" s="401"/>
      <c r="BT673" s="401"/>
      <c r="BU673" s="401"/>
      <c r="BV673" s="401"/>
      <c r="BW673" s="122"/>
    </row>
    <row r="674" spans="1:75" s="123" customFormat="1" hidden="1" outlineLevel="1" x14ac:dyDescent="0.5">
      <c r="A674" s="464" t="s">
        <v>2083</v>
      </c>
      <c r="B674" s="513"/>
      <c r="C674" s="401"/>
      <c r="D674" s="401"/>
      <c r="E674" s="401"/>
      <c r="F674" s="401"/>
      <c r="G674" s="118"/>
      <c r="H674" s="118"/>
      <c r="I674" s="118"/>
      <c r="J674" s="118"/>
      <c r="K674" s="401"/>
      <c r="L674" s="118"/>
      <c r="M674" s="118"/>
      <c r="N674" s="118"/>
      <c r="O674" s="118"/>
      <c r="P674" s="401"/>
      <c r="Q674" s="118"/>
      <c r="R674" s="118"/>
      <c r="S674" s="118"/>
      <c r="T674" s="118"/>
      <c r="U674" s="401"/>
      <c r="V674" s="302">
        <v>-13.221</v>
      </c>
      <c r="W674" s="118"/>
      <c r="X674" s="302">
        <v>-1.1850000000000001</v>
      </c>
      <c r="Y674" s="118"/>
      <c r="Z674" s="403">
        <v>-14.406000000000001</v>
      </c>
      <c r="AA674" s="302">
        <v>-5.7050000000000001</v>
      </c>
      <c r="AB674" s="118"/>
      <c r="AC674" s="118"/>
      <c r="AD674" s="302">
        <v>-2.907</v>
      </c>
      <c r="AE674" s="403">
        <v>-8.6120000000000001</v>
      </c>
      <c r="AF674" s="118"/>
      <c r="AG674" s="118"/>
      <c r="AH674" s="118"/>
      <c r="AI674" s="118"/>
      <c r="AJ674" s="401"/>
      <c r="AK674" s="118"/>
      <c r="AL674" s="118"/>
      <c r="AM674" s="118"/>
      <c r="AN674" s="118"/>
      <c r="AO674" s="401"/>
      <c r="AP674" s="118"/>
      <c r="AQ674" s="118"/>
      <c r="AR674" s="118"/>
      <c r="AS674" s="118"/>
      <c r="AT674" s="401"/>
      <c r="AU674" s="118"/>
      <c r="AV674" s="118"/>
      <c r="AW674" s="118"/>
      <c r="AX674" s="118"/>
      <c r="AY674" s="401"/>
      <c r="AZ674" s="118"/>
      <c r="BA674" s="118"/>
      <c r="BB674" s="118"/>
      <c r="BC674" s="118"/>
      <c r="BD674" s="401"/>
      <c r="BE674" s="118"/>
      <c r="BF674" s="118"/>
      <c r="BG674" s="118"/>
      <c r="BH674" s="118"/>
      <c r="BI674" s="401"/>
      <c r="BJ674" s="971"/>
      <c r="BK674" s="118"/>
      <c r="BL674" s="118"/>
      <c r="BM674" s="118"/>
      <c r="BN674" s="401"/>
      <c r="BO674" s="118"/>
      <c r="BP674" s="118"/>
      <c r="BQ674" s="118"/>
      <c r="BR674" s="118"/>
      <c r="BS674" s="401"/>
      <c r="BT674" s="401"/>
      <c r="BU674" s="401"/>
      <c r="BV674" s="401"/>
      <c r="BW674" s="122"/>
    </row>
    <row r="675" spans="1:75" s="123" customFormat="1" hidden="1" outlineLevel="1" x14ac:dyDescent="0.5">
      <c r="A675" s="464" t="s">
        <v>2077</v>
      </c>
      <c r="B675" s="513"/>
      <c r="C675" s="401"/>
      <c r="D675" s="401"/>
      <c r="E675" s="401"/>
      <c r="F675" s="401"/>
      <c r="G675" s="118"/>
      <c r="H675" s="118"/>
      <c r="I675" s="118"/>
      <c r="J675" s="118"/>
      <c r="K675" s="401"/>
      <c r="L675" s="118"/>
      <c r="M675" s="118"/>
      <c r="N675" s="118"/>
      <c r="O675" s="118"/>
      <c r="P675" s="401"/>
      <c r="Q675" s="118"/>
      <c r="R675" s="118"/>
      <c r="S675" s="118"/>
      <c r="T675" s="118"/>
      <c r="U675" s="401"/>
      <c r="V675" s="118"/>
      <c r="W675" s="118"/>
      <c r="X675" s="118"/>
      <c r="Y675" s="118"/>
      <c r="Z675" s="401"/>
      <c r="AA675" s="118"/>
      <c r="AB675" s="118"/>
      <c r="AC675" s="118"/>
      <c r="AD675" s="118"/>
      <c r="AE675" s="401"/>
      <c r="AF675" s="302">
        <v>-1.702</v>
      </c>
      <c r="AG675" s="302">
        <v>-1.8740000000000001</v>
      </c>
      <c r="AH675" s="302">
        <v>-1.869</v>
      </c>
      <c r="AI675" s="302">
        <v>-2.5430000000000001</v>
      </c>
      <c r="AJ675" s="403">
        <v>-7.9880000000000004</v>
      </c>
      <c r="AK675" s="302">
        <v>-6.4960000000000004</v>
      </c>
      <c r="AL675" s="302">
        <v>-0.623</v>
      </c>
      <c r="AM675" s="302">
        <v>-0.623</v>
      </c>
      <c r="AN675" s="302">
        <v>-0.624</v>
      </c>
      <c r="AO675" s="403">
        <v>-8.3659999999999997</v>
      </c>
      <c r="AP675" s="118"/>
      <c r="AQ675" s="118"/>
      <c r="AR675" s="118"/>
      <c r="AS675" s="118"/>
      <c r="AT675" s="401"/>
      <c r="AU675" s="118"/>
      <c r="AV675" s="118"/>
      <c r="AW675" s="118"/>
      <c r="AX675" s="118"/>
      <c r="AY675" s="401"/>
      <c r="AZ675" s="118"/>
      <c r="BA675" s="118"/>
      <c r="BB675" s="118"/>
      <c r="BC675" s="118"/>
      <c r="BD675" s="401"/>
      <c r="BE675" s="118"/>
      <c r="BF675" s="118"/>
      <c r="BG675" s="118"/>
      <c r="BH675" s="118"/>
      <c r="BI675" s="401"/>
      <c r="BJ675" s="971"/>
      <c r="BK675" s="118"/>
      <c r="BL675" s="118"/>
      <c r="BM675" s="118"/>
      <c r="BN675" s="401"/>
      <c r="BO675" s="118"/>
      <c r="BP675" s="118"/>
      <c r="BQ675" s="118"/>
      <c r="BR675" s="118"/>
      <c r="BS675" s="401"/>
      <c r="BT675" s="401"/>
      <c r="BU675" s="401"/>
      <c r="BV675" s="401"/>
      <c r="BW675" s="122"/>
    </row>
    <row r="676" spans="1:75" s="123" customFormat="1" hidden="1" outlineLevel="1" x14ac:dyDescent="0.5">
      <c r="A676" s="464" t="s">
        <v>2078</v>
      </c>
      <c r="B676" s="513"/>
      <c r="C676" s="401"/>
      <c r="D676" s="401"/>
      <c r="E676" s="401"/>
      <c r="F676" s="401"/>
      <c r="G676" s="118"/>
      <c r="H676" s="118"/>
      <c r="I676" s="118"/>
      <c r="J676" s="118"/>
      <c r="K676" s="401"/>
      <c r="L676" s="118"/>
      <c r="M676" s="118"/>
      <c r="N676" s="118"/>
      <c r="O676" s="118"/>
      <c r="P676" s="401"/>
      <c r="Q676" s="118"/>
      <c r="R676" s="118"/>
      <c r="S676" s="118"/>
      <c r="T676" s="118"/>
      <c r="U676" s="401"/>
      <c r="V676" s="118"/>
      <c r="W676" s="118"/>
      <c r="X676" s="118"/>
      <c r="Y676" s="118"/>
      <c r="Z676" s="401"/>
      <c r="AA676" s="118"/>
      <c r="AB676" s="118"/>
      <c r="AC676" s="118"/>
      <c r="AD676" s="118"/>
      <c r="AE676" s="401"/>
      <c r="AF676" s="118"/>
      <c r="AG676" s="302">
        <v>-4.5780000000000003</v>
      </c>
      <c r="AH676" s="302">
        <v>-0.93700000000000006</v>
      </c>
      <c r="AI676" s="302">
        <v>-5.9950000000000001</v>
      </c>
      <c r="AJ676" s="403">
        <v>-11.51</v>
      </c>
      <c r="AK676" s="118"/>
      <c r="AL676" s="118"/>
      <c r="AM676" s="118"/>
      <c r="AN676" s="118"/>
      <c r="AO676" s="401"/>
      <c r="AP676" s="118"/>
      <c r="AQ676" s="118"/>
      <c r="AR676" s="118"/>
      <c r="AS676" s="118"/>
      <c r="AT676" s="401"/>
      <c r="AU676" s="118"/>
      <c r="AV676" s="118"/>
      <c r="AW676" s="118"/>
      <c r="AX676" s="118"/>
      <c r="AY676" s="401"/>
      <c r="AZ676" s="118"/>
      <c r="BA676" s="118"/>
      <c r="BB676" s="118"/>
      <c r="BC676" s="302">
        <v>-17.687000000000001</v>
      </c>
      <c r="BD676" s="403">
        <v>-17.687000000000001</v>
      </c>
      <c r="BE676" s="118"/>
      <c r="BF676" s="118"/>
      <c r="BG676" s="118"/>
      <c r="BH676" s="118"/>
      <c r="BI676" s="401"/>
      <c r="BJ676" s="971"/>
      <c r="BK676" s="118"/>
      <c r="BL676" s="118"/>
      <c r="BM676" s="118"/>
      <c r="BN676" s="401"/>
      <c r="BO676" s="118"/>
      <c r="BP676" s="118"/>
      <c r="BQ676" s="118"/>
      <c r="BR676" s="118"/>
      <c r="BS676" s="401"/>
      <c r="BT676" s="401"/>
      <c r="BU676" s="401"/>
      <c r="BV676" s="401"/>
      <c r="BW676" s="122"/>
    </row>
    <row r="677" spans="1:75" s="123" customFormat="1" hidden="1" outlineLevel="1" x14ac:dyDescent="0.5">
      <c r="A677" s="464" t="s">
        <v>2084</v>
      </c>
      <c r="B677" s="513"/>
      <c r="C677" s="401"/>
      <c r="D677" s="401"/>
      <c r="E677" s="401"/>
      <c r="F677" s="401"/>
      <c r="G677" s="118"/>
      <c r="H677" s="118"/>
      <c r="I677" s="118"/>
      <c r="J677" s="118"/>
      <c r="K677" s="401"/>
      <c r="L677" s="118"/>
      <c r="M677" s="118"/>
      <c r="N677" s="118"/>
      <c r="O677" s="118"/>
      <c r="P677" s="401"/>
      <c r="Q677" s="118"/>
      <c r="R677" s="118"/>
      <c r="S677" s="118"/>
      <c r="T677" s="118"/>
      <c r="U677" s="401"/>
      <c r="V677" s="118"/>
      <c r="W677" s="118"/>
      <c r="X677" s="118"/>
      <c r="Y677" s="118"/>
      <c r="Z677" s="401"/>
      <c r="AA677" s="118"/>
      <c r="AB677" s="118"/>
      <c r="AC677" s="118"/>
      <c r="AD677" s="118"/>
      <c r="AE677" s="401"/>
      <c r="AF677" s="118"/>
      <c r="AG677" s="118"/>
      <c r="AH677" s="118"/>
      <c r="AI677" s="302">
        <v>-0.26900000000000002</v>
      </c>
      <c r="AJ677" s="403">
        <v>-0.26900000000000002</v>
      </c>
      <c r="AK677" s="118"/>
      <c r="AL677" s="118"/>
      <c r="AM677" s="118"/>
      <c r="AN677" s="118"/>
      <c r="AO677" s="401"/>
      <c r="AP677" s="118"/>
      <c r="AQ677" s="118"/>
      <c r="AR677" s="118"/>
      <c r="AS677" s="118"/>
      <c r="AT677" s="401"/>
      <c r="AU677" s="118"/>
      <c r="AV677" s="118"/>
      <c r="AW677" s="118"/>
      <c r="AX677" s="118"/>
      <c r="AY677" s="401"/>
      <c r="AZ677" s="118"/>
      <c r="BA677" s="118"/>
      <c r="BB677" s="118"/>
      <c r="BC677" s="118"/>
      <c r="BD677" s="401"/>
      <c r="BE677" s="118"/>
      <c r="BF677" s="118"/>
      <c r="BG677" s="118"/>
      <c r="BH677" s="118"/>
      <c r="BI677" s="401"/>
      <c r="BJ677" s="971"/>
      <c r="BK677" s="118"/>
      <c r="BL677" s="118"/>
      <c r="BM677" s="118"/>
      <c r="BN677" s="401"/>
      <c r="BO677" s="118"/>
      <c r="BP677" s="118"/>
      <c r="BQ677" s="118"/>
      <c r="BR677" s="118"/>
      <c r="BS677" s="401"/>
      <c r="BT677" s="401"/>
      <c r="BU677" s="401"/>
      <c r="BV677" s="401"/>
      <c r="BW677" s="122"/>
    </row>
    <row r="678" spans="1:75" s="123" customFormat="1" hidden="1" outlineLevel="1" x14ac:dyDescent="0.5">
      <c r="A678" s="464" t="s">
        <v>2085</v>
      </c>
      <c r="B678" s="513"/>
      <c r="C678" s="401"/>
      <c r="D678" s="401"/>
      <c r="E678" s="401"/>
      <c r="F678" s="401"/>
      <c r="G678" s="118"/>
      <c r="H678" s="118"/>
      <c r="I678" s="118"/>
      <c r="J678" s="118"/>
      <c r="K678" s="401"/>
      <c r="L678" s="118"/>
      <c r="M678" s="118"/>
      <c r="N678" s="118"/>
      <c r="O678" s="118"/>
      <c r="P678" s="401"/>
      <c r="Q678" s="118"/>
      <c r="R678" s="118"/>
      <c r="S678" s="118"/>
      <c r="T678" s="118"/>
      <c r="U678" s="401"/>
      <c r="V678" s="118"/>
      <c r="W678" s="118"/>
      <c r="X678" s="118"/>
      <c r="Y678" s="118"/>
      <c r="Z678" s="401"/>
      <c r="AA678" s="118"/>
      <c r="AB678" s="118"/>
      <c r="AC678" s="118"/>
      <c r="AD678" s="118"/>
      <c r="AE678" s="401"/>
      <c r="AF678" s="118"/>
      <c r="AG678" s="118"/>
      <c r="AH678" s="118"/>
      <c r="AI678" s="118"/>
      <c r="AJ678" s="401"/>
      <c r="AK678" s="118"/>
      <c r="AL678" s="118"/>
      <c r="AM678" s="118"/>
      <c r="AN678" s="118"/>
      <c r="AO678" s="401"/>
      <c r="AP678" s="302">
        <v>-15.62</v>
      </c>
      <c r="AQ678" s="302">
        <v>-6.3550000000000004</v>
      </c>
      <c r="AR678" s="118"/>
      <c r="AS678" s="302">
        <v>-5.0940000000000003</v>
      </c>
      <c r="AT678" s="403">
        <v>-27.068999999999999</v>
      </c>
      <c r="AU678" s="118"/>
      <c r="AV678" s="118"/>
      <c r="AW678" s="118"/>
      <c r="AX678" s="118"/>
      <c r="AY678" s="401"/>
      <c r="AZ678" s="118"/>
      <c r="BA678" s="118"/>
      <c r="BB678" s="118"/>
      <c r="BC678" s="118"/>
      <c r="BD678" s="401"/>
      <c r="BE678" s="118"/>
      <c r="BF678" s="118"/>
      <c r="BG678" s="118"/>
      <c r="BH678" s="118"/>
      <c r="BI678" s="401"/>
      <c r="BJ678" s="971"/>
      <c r="BK678" s="118"/>
      <c r="BL678" s="118"/>
      <c r="BM678" s="118"/>
      <c r="BN678" s="401"/>
      <c r="BO678" s="118"/>
      <c r="BP678" s="118"/>
      <c r="BQ678" s="118"/>
      <c r="BR678" s="118"/>
      <c r="BS678" s="401"/>
      <c r="BT678" s="401"/>
      <c r="BU678" s="401"/>
      <c r="BV678" s="401"/>
      <c r="BW678" s="122"/>
    </row>
    <row r="679" spans="1:75" s="198" customFormat="1" ht="14.25" hidden="1" outlineLevel="1" x14ac:dyDescent="0.45">
      <c r="A679" s="516" t="s">
        <v>2086</v>
      </c>
      <c r="B679" s="517"/>
      <c r="C679" s="518"/>
      <c r="D679" s="518"/>
      <c r="E679" s="518"/>
      <c r="F679" s="518"/>
      <c r="G679" s="327"/>
      <c r="H679" s="327"/>
      <c r="I679" s="327"/>
      <c r="J679" s="327"/>
      <c r="K679" s="518"/>
      <c r="L679" s="520">
        <f t="shared" ref="L679:BJ679" si="942">SUM(L669:L678)</f>
        <v>294.08199999999999</v>
      </c>
      <c r="M679" s="520">
        <f t="shared" si="942"/>
        <v>296.762</v>
      </c>
      <c r="N679" s="520">
        <f t="shared" si="942"/>
        <v>326.68700000000001</v>
      </c>
      <c r="O679" s="520">
        <f t="shared" si="942"/>
        <v>388.12200000000001</v>
      </c>
      <c r="P679" s="519">
        <f t="shared" si="942"/>
        <v>1305.653</v>
      </c>
      <c r="Q679" s="520">
        <f t="shared" si="942"/>
        <v>306.91300000000001</v>
      </c>
      <c r="R679" s="520">
        <f t="shared" si="942"/>
        <v>323.28199999999998</v>
      </c>
      <c r="S679" s="520">
        <f t="shared" si="942"/>
        <v>340.505</v>
      </c>
      <c r="T679" s="520">
        <f t="shared" si="942"/>
        <v>384.88</v>
      </c>
      <c r="U679" s="519">
        <f t="shared" si="942"/>
        <v>1355.58</v>
      </c>
      <c r="V679" s="520">
        <f t="shared" si="942"/>
        <v>315.77100000000002</v>
      </c>
      <c r="W679" s="520">
        <f t="shared" si="942"/>
        <v>327.26299999999998</v>
      </c>
      <c r="X679" s="520">
        <f t="shared" si="942"/>
        <v>347.05900000000003</v>
      </c>
      <c r="Y679" s="520">
        <f t="shared" si="942"/>
        <v>406.21199999999999</v>
      </c>
      <c r="Z679" s="519">
        <f t="shared" si="942"/>
        <v>1396.3050000000001</v>
      </c>
      <c r="AA679" s="520">
        <f t="shared" si="942"/>
        <v>327.58100000000002</v>
      </c>
      <c r="AB679" s="520">
        <f t="shared" si="942"/>
        <v>341.12700000000001</v>
      </c>
      <c r="AC679" s="520">
        <f t="shared" si="942"/>
        <v>356.25400000000002</v>
      </c>
      <c r="AD679" s="520">
        <f t="shared" si="942"/>
        <v>438.46700000000004</v>
      </c>
      <c r="AE679" s="519">
        <f t="shared" si="942"/>
        <v>1463.4290000000001</v>
      </c>
      <c r="AF679" s="520">
        <f t="shared" si="942"/>
        <v>357.56799999999998</v>
      </c>
      <c r="AG679" s="520">
        <f t="shared" si="942"/>
        <v>378.60399999999998</v>
      </c>
      <c r="AH679" s="520">
        <f t="shared" si="942"/>
        <v>391.666</v>
      </c>
      <c r="AI679" s="520">
        <f t="shared" si="942"/>
        <v>493.34499999999991</v>
      </c>
      <c r="AJ679" s="519">
        <f t="shared" si="942"/>
        <v>1621.183</v>
      </c>
      <c r="AK679" s="520">
        <f t="shared" si="942"/>
        <v>357.82600000000002</v>
      </c>
      <c r="AL679" s="520">
        <f t="shared" si="942"/>
        <v>390.72200000000004</v>
      </c>
      <c r="AM679" s="520">
        <f t="shared" si="942"/>
        <v>409.02199999999999</v>
      </c>
      <c r="AN679" s="520">
        <f t="shared" si="942"/>
        <v>480.2120000000001</v>
      </c>
      <c r="AO679" s="519">
        <f t="shared" si="942"/>
        <v>1637.7820000000002</v>
      </c>
      <c r="AP679" s="520">
        <f t="shared" si="942"/>
        <v>346.637</v>
      </c>
      <c r="AQ679" s="520">
        <f t="shared" si="942"/>
        <v>356.14499999999998</v>
      </c>
      <c r="AR679" s="520">
        <f t="shared" si="942"/>
        <v>428.76</v>
      </c>
      <c r="AS679" s="520">
        <f t="shared" si="942"/>
        <v>554.86899999999991</v>
      </c>
      <c r="AT679" s="519">
        <f t="shared" si="942"/>
        <v>1686.4109999999998</v>
      </c>
      <c r="AU679" s="520">
        <f t="shared" si="942"/>
        <v>474.83699999999999</v>
      </c>
      <c r="AV679" s="520">
        <f t="shared" si="942"/>
        <v>532.53100000000006</v>
      </c>
      <c r="AW679" s="520">
        <f t="shared" si="942"/>
        <v>562.46600000000001</v>
      </c>
      <c r="AX679" s="520">
        <f t="shared" si="942"/>
        <v>599.85300000000041</v>
      </c>
      <c r="AY679" s="519">
        <f t="shared" si="942"/>
        <v>2169.6870000000004</v>
      </c>
      <c r="AZ679" s="520">
        <f t="shared" si="942"/>
        <v>505.06700000000001</v>
      </c>
      <c r="BA679" s="520">
        <f t="shared" si="942"/>
        <v>563.28800000000001</v>
      </c>
      <c r="BB679" s="520">
        <f t="shared" si="942"/>
        <v>570.89300000000003</v>
      </c>
      <c r="BC679" s="520">
        <f t="shared" si="942"/>
        <v>522.37600000000009</v>
      </c>
      <c r="BD679" s="519">
        <f t="shared" si="942"/>
        <v>2161.6240000000003</v>
      </c>
      <c r="BE679" s="520">
        <f t="shared" si="942"/>
        <v>451.476</v>
      </c>
      <c r="BF679" s="520">
        <f t="shared" si="942"/>
        <v>486.01900000000001</v>
      </c>
      <c r="BG679" s="520">
        <f t="shared" si="942"/>
        <v>507.28300000000002</v>
      </c>
      <c r="BH679" s="520">
        <f t="shared" si="942"/>
        <v>590.52399999999989</v>
      </c>
      <c r="BI679" s="519">
        <f t="shared" si="942"/>
        <v>2035.3019999999999</v>
      </c>
      <c r="BJ679" s="1270">
        <f t="shared" si="942"/>
        <v>478.68700000000001</v>
      </c>
      <c r="BK679" s="327"/>
      <c r="BL679" s="327"/>
      <c r="BM679" s="327"/>
      <c r="BN679" s="518"/>
      <c r="BO679" s="327"/>
      <c r="BP679" s="327"/>
      <c r="BQ679" s="327"/>
      <c r="BR679" s="327"/>
      <c r="BS679" s="518"/>
      <c r="BT679" s="518"/>
      <c r="BU679" s="518"/>
      <c r="BV679" s="518"/>
      <c r="BW679" s="197"/>
    </row>
    <row r="680" spans="1:75" s="123" customFormat="1" hidden="1" outlineLevel="1" x14ac:dyDescent="0.5">
      <c r="A680" s="184"/>
      <c r="B680" s="513"/>
      <c r="C680" s="401"/>
      <c r="D680" s="401"/>
      <c r="E680" s="401"/>
      <c r="F680" s="401"/>
      <c r="G680" s="118"/>
      <c r="H680" s="118"/>
      <c r="I680" s="118"/>
      <c r="J680" s="118"/>
      <c r="K680" s="401"/>
      <c r="L680" s="118"/>
      <c r="M680" s="118"/>
      <c r="N680" s="118"/>
      <c r="O680" s="118"/>
      <c r="P680" s="401"/>
      <c r="Q680" s="118"/>
      <c r="R680" s="118"/>
      <c r="S680" s="118"/>
      <c r="T680" s="118"/>
      <c r="U680" s="401"/>
      <c r="V680" s="118"/>
      <c r="W680" s="118"/>
      <c r="X680" s="118"/>
      <c r="Y680" s="118"/>
      <c r="Z680" s="401"/>
      <c r="AA680" s="118"/>
      <c r="AB680" s="118"/>
      <c r="AC680" s="118"/>
      <c r="AD680" s="118"/>
      <c r="AE680" s="401"/>
      <c r="AF680" s="118"/>
      <c r="AG680" s="118"/>
      <c r="AH680" s="118"/>
      <c r="AI680" s="118"/>
      <c r="AJ680" s="401"/>
      <c r="AK680" s="118"/>
      <c r="AL680" s="118"/>
      <c r="AM680" s="118"/>
      <c r="AN680" s="118"/>
      <c r="AO680" s="401"/>
      <c r="AP680" s="118"/>
      <c r="AQ680" s="118"/>
      <c r="AR680" s="118"/>
      <c r="AS680" s="118"/>
      <c r="AT680" s="401"/>
      <c r="AU680" s="118"/>
      <c r="AV680" s="118"/>
      <c r="AW680" s="118"/>
      <c r="AX680" s="118"/>
      <c r="AY680" s="401"/>
      <c r="AZ680" s="118"/>
      <c r="BA680" s="118"/>
      <c r="BB680" s="118"/>
      <c r="BC680" s="118"/>
      <c r="BD680" s="401"/>
      <c r="BE680" s="118"/>
      <c r="BF680" s="118"/>
      <c r="BG680" s="118"/>
      <c r="BH680" s="118"/>
      <c r="BI680" s="401"/>
      <c r="BJ680" s="971"/>
      <c r="BK680" s="118"/>
      <c r="BL680" s="118"/>
      <c r="BM680" s="118"/>
      <c r="BN680" s="401"/>
      <c r="BO680" s="118"/>
      <c r="BP680" s="118"/>
      <c r="BQ680" s="118"/>
      <c r="BR680" s="118"/>
      <c r="BS680" s="401"/>
      <c r="BT680" s="401"/>
      <c r="BU680" s="401"/>
      <c r="BV680" s="401"/>
      <c r="BW680" s="122"/>
    </row>
    <row r="681" spans="1:75" s="198" customFormat="1" ht="14.25" hidden="1" outlineLevel="1" x14ac:dyDescent="0.45">
      <c r="A681" s="463" t="s">
        <v>1105</v>
      </c>
      <c r="B681" s="522"/>
      <c r="C681" s="672">
        <f t="shared" ref="C681:BJ681" si="943">C644</f>
        <v>121.44200000000012</v>
      </c>
      <c r="D681" s="672">
        <f t="shared" si="943"/>
        <v>323.41399999999999</v>
      </c>
      <c r="E681" s="672">
        <f t="shared" si="943"/>
        <v>381.73199999999974</v>
      </c>
      <c r="F681" s="672">
        <f t="shared" si="943"/>
        <v>409.16300000000001</v>
      </c>
      <c r="G681" s="197">
        <f t="shared" si="943"/>
        <v>63.782999999999959</v>
      </c>
      <c r="H681" s="197">
        <f t="shared" si="943"/>
        <v>78.085999999999956</v>
      </c>
      <c r="I681" s="197">
        <f t="shared" si="943"/>
        <v>92.494000000000028</v>
      </c>
      <c r="J681" s="197">
        <f t="shared" si="943"/>
        <v>217.73500000000007</v>
      </c>
      <c r="K681" s="672">
        <f t="shared" si="943"/>
        <v>452.09800000000041</v>
      </c>
      <c r="L681" s="197">
        <f t="shared" si="943"/>
        <v>74.326000000000022</v>
      </c>
      <c r="M681" s="197">
        <f t="shared" si="943"/>
        <v>85.33600000000007</v>
      </c>
      <c r="N681" s="197">
        <f t="shared" si="943"/>
        <v>104.72000000000003</v>
      </c>
      <c r="O681" s="197">
        <f t="shared" si="943"/>
        <v>237.88299999999998</v>
      </c>
      <c r="P681" s="672">
        <f t="shared" si="943"/>
        <v>502.26499999999987</v>
      </c>
      <c r="Q681" s="197">
        <f t="shared" si="943"/>
        <v>71.927999999999884</v>
      </c>
      <c r="R681" s="197">
        <f t="shared" si="943"/>
        <v>83.343000000000018</v>
      </c>
      <c r="S681" s="197">
        <f t="shared" si="943"/>
        <v>110.68300000000011</v>
      </c>
      <c r="T681" s="197">
        <f t="shared" si="943"/>
        <v>222.68000000000006</v>
      </c>
      <c r="U681" s="672">
        <f t="shared" si="943"/>
        <v>488.63400000000001</v>
      </c>
      <c r="V681" s="197">
        <f t="shared" si="943"/>
        <v>63.525000000000034</v>
      </c>
      <c r="W681" s="197">
        <f t="shared" si="943"/>
        <v>83.27600000000001</v>
      </c>
      <c r="X681" s="197">
        <f t="shared" si="943"/>
        <v>109.97899999999993</v>
      </c>
      <c r="Y681" s="197">
        <f t="shared" si="943"/>
        <v>215.81899999999996</v>
      </c>
      <c r="Z681" s="672">
        <f t="shared" si="943"/>
        <v>472.59899999999993</v>
      </c>
      <c r="AA681" s="197">
        <f t="shared" si="943"/>
        <v>62.474000000000103</v>
      </c>
      <c r="AB681" s="197">
        <f t="shared" si="943"/>
        <v>81.584000000000003</v>
      </c>
      <c r="AC681" s="197">
        <f t="shared" si="943"/>
        <v>110.81299999999999</v>
      </c>
      <c r="AD681" s="197">
        <f t="shared" si="943"/>
        <v>198.94</v>
      </c>
      <c r="AE681" s="672">
        <f t="shared" si="943"/>
        <v>453.81100000000015</v>
      </c>
      <c r="AF681" s="197">
        <f t="shared" si="943"/>
        <v>66.550000000000011</v>
      </c>
      <c r="AG681" s="197">
        <f t="shared" si="943"/>
        <v>74.165999999999997</v>
      </c>
      <c r="AH681" s="197">
        <f t="shared" si="943"/>
        <v>94.383999999999901</v>
      </c>
      <c r="AI681" s="197">
        <f t="shared" si="943"/>
        <v>200.85299999999984</v>
      </c>
      <c r="AJ681" s="672">
        <f t="shared" si="943"/>
        <v>435.95299999999997</v>
      </c>
      <c r="AK681" s="197">
        <f t="shared" si="943"/>
        <v>74.132000000000005</v>
      </c>
      <c r="AL681" s="197">
        <f t="shared" si="943"/>
        <v>86.165000000000077</v>
      </c>
      <c r="AM681" s="197">
        <f t="shared" si="943"/>
        <v>101.89100000000002</v>
      </c>
      <c r="AN681" s="197">
        <f t="shared" si="943"/>
        <v>203.68599999999992</v>
      </c>
      <c r="AO681" s="672">
        <f t="shared" si="943"/>
        <v>465.87399999999957</v>
      </c>
      <c r="AP681" s="197">
        <f t="shared" si="943"/>
        <v>48.644999999999982</v>
      </c>
      <c r="AQ681" s="197">
        <f t="shared" si="943"/>
        <v>185.36099999999999</v>
      </c>
      <c r="AR681" s="197">
        <f t="shared" si="943"/>
        <v>274.6040000000001</v>
      </c>
      <c r="AS681" s="197">
        <f t="shared" si="943"/>
        <v>402.08700000000067</v>
      </c>
      <c r="AT681" s="672">
        <f t="shared" si="943"/>
        <v>910.69700000000034</v>
      </c>
      <c r="AU681" s="197">
        <f t="shared" si="943"/>
        <v>275.17699999999996</v>
      </c>
      <c r="AV681" s="197">
        <f t="shared" si="943"/>
        <v>323.09999999999991</v>
      </c>
      <c r="AW681" s="197">
        <f t="shared" si="943"/>
        <v>330.26699999999994</v>
      </c>
      <c r="AX681" s="197">
        <f t="shared" si="943"/>
        <v>524.57199999999921</v>
      </c>
      <c r="AY681" s="672">
        <f t="shared" si="943"/>
        <v>1453.1159999999995</v>
      </c>
      <c r="AZ681" s="197">
        <f t="shared" si="943"/>
        <v>323.48099999999999</v>
      </c>
      <c r="BA681" s="197">
        <f t="shared" si="943"/>
        <v>365.52099999999973</v>
      </c>
      <c r="BB681" s="197">
        <f t="shared" si="943"/>
        <v>339.63300000000004</v>
      </c>
      <c r="BC681" s="197">
        <f t="shared" si="943"/>
        <v>469.78699999999935</v>
      </c>
      <c r="BD681" s="672">
        <f t="shared" si="943"/>
        <v>1498.4219999999991</v>
      </c>
      <c r="BE681" s="197">
        <f t="shared" si="943"/>
        <v>199.47699999999998</v>
      </c>
      <c r="BF681" s="197">
        <f t="shared" si="943"/>
        <v>271.548</v>
      </c>
      <c r="BG681" s="197">
        <f t="shared" si="943"/>
        <v>315.07700000000011</v>
      </c>
      <c r="BH681" s="197">
        <f t="shared" si="943"/>
        <v>458.09099999999989</v>
      </c>
      <c r="BI681" s="672">
        <f t="shared" si="943"/>
        <v>1244.1929999999998</v>
      </c>
      <c r="BJ681" s="1273">
        <f t="shared" si="943"/>
        <v>323.82799999999997</v>
      </c>
      <c r="BK681" s="295"/>
      <c r="BL681" s="295"/>
      <c r="BM681" s="295"/>
      <c r="BN681" s="397"/>
      <c r="BO681" s="295"/>
      <c r="BP681" s="295"/>
      <c r="BQ681" s="295"/>
      <c r="BR681" s="295"/>
      <c r="BS681" s="397"/>
      <c r="BT681" s="397"/>
      <c r="BU681" s="397"/>
      <c r="BV681" s="397"/>
      <c r="BW681" s="197"/>
    </row>
    <row r="682" spans="1:75" s="123" customFormat="1" hidden="1" outlineLevel="1" x14ac:dyDescent="0.5">
      <c r="A682" s="464" t="s">
        <v>2081</v>
      </c>
      <c r="B682" s="513"/>
      <c r="C682" s="403">
        <v>40.704000000000001</v>
      </c>
      <c r="D682" s="403">
        <v>21.440999999999999</v>
      </c>
      <c r="E682" s="403">
        <v>3</v>
      </c>
      <c r="F682" s="401"/>
      <c r="G682" s="118"/>
      <c r="H682" s="118"/>
      <c r="I682" s="118"/>
      <c r="J682" s="118"/>
      <c r="K682" s="401"/>
      <c r="L682" s="118"/>
      <c r="M682" s="118"/>
      <c r="N682" s="118"/>
      <c r="O682" s="122">
        <f>-O670</f>
        <v>-7.4139999999999997</v>
      </c>
      <c r="P682" s="674">
        <f>-P670</f>
        <v>-7.4139999999999997</v>
      </c>
      <c r="Q682" s="118"/>
      <c r="R682" s="118"/>
      <c r="S682" s="118"/>
      <c r="T682" s="118"/>
      <c r="U682" s="401"/>
      <c r="V682" s="118"/>
      <c r="W682" s="118"/>
      <c r="X682" s="118"/>
      <c r="Y682" s="118"/>
      <c r="Z682" s="401"/>
      <c r="AA682" s="118"/>
      <c r="AB682" s="118"/>
      <c r="AC682" s="118"/>
      <c r="AD682" s="118"/>
      <c r="AE682" s="401"/>
      <c r="AF682" s="118"/>
      <c r="AG682" s="118"/>
      <c r="AH682" s="118"/>
      <c r="AI682" s="118"/>
      <c r="AJ682" s="401"/>
      <c r="AK682" s="118"/>
      <c r="AL682" s="118"/>
      <c r="AM682" s="118"/>
      <c r="AN682" s="118"/>
      <c r="AO682" s="401"/>
      <c r="AP682" s="118"/>
      <c r="AQ682" s="118"/>
      <c r="AR682" s="118"/>
      <c r="AS682" s="118"/>
      <c r="AT682" s="401"/>
      <c r="AU682" s="118"/>
      <c r="AV682" s="118"/>
      <c r="AW682" s="118"/>
      <c r="AX682" s="118"/>
      <c r="AY682" s="401"/>
      <c r="AZ682" s="118"/>
      <c r="BA682" s="118"/>
      <c r="BB682" s="118"/>
      <c r="BC682" s="118"/>
      <c r="BD682" s="401"/>
      <c r="BE682" s="118"/>
      <c r="BF682" s="118"/>
      <c r="BG682" s="118"/>
      <c r="BH682" s="118"/>
      <c r="BI682" s="401"/>
      <c r="BJ682" s="971"/>
      <c r="BK682" s="118"/>
      <c r="BL682" s="118"/>
      <c r="BM682" s="118"/>
      <c r="BN682" s="401"/>
      <c r="BO682" s="118"/>
      <c r="BP682" s="118"/>
      <c r="BQ682" s="118"/>
      <c r="BR682" s="118"/>
      <c r="BS682" s="401"/>
      <c r="BT682" s="401"/>
      <c r="BU682" s="401"/>
      <c r="BV682" s="401"/>
      <c r="BW682" s="122"/>
    </row>
    <row r="683" spans="1:75" s="123" customFormat="1" hidden="1" outlineLevel="1" x14ac:dyDescent="0.5">
      <c r="A683" s="464" t="s">
        <v>2072</v>
      </c>
      <c r="B683" s="513"/>
      <c r="C683" s="401"/>
      <c r="D683" s="401"/>
      <c r="E683" s="401"/>
      <c r="F683" s="401"/>
      <c r="G683" s="118"/>
      <c r="H683" s="118"/>
      <c r="I683" s="118"/>
      <c r="J683" s="118"/>
      <c r="K683" s="401"/>
      <c r="L683" s="118"/>
      <c r="M683" s="118"/>
      <c r="N683" s="118"/>
      <c r="O683" s="118"/>
      <c r="P683" s="401"/>
      <c r="Q683" s="118"/>
      <c r="R683" s="118"/>
      <c r="S683" s="118"/>
      <c r="T683" s="118"/>
      <c r="U683" s="401"/>
      <c r="V683" s="118"/>
      <c r="W683" s="118"/>
      <c r="X683" s="118"/>
      <c r="Y683" s="118"/>
      <c r="Z683" s="401"/>
      <c r="AA683" s="118"/>
      <c r="AB683" s="118"/>
      <c r="AC683" s="118"/>
      <c r="AD683" s="302">
        <v>6.2089999999999996</v>
      </c>
      <c r="AE683" s="403">
        <v>6.2089999999999996</v>
      </c>
      <c r="AF683" s="122">
        <f t="shared" ref="AF683:BJ684" si="944">AF662-AF671</f>
        <v>6.9260000000000002</v>
      </c>
      <c r="AG683" s="122">
        <f t="shared" si="944"/>
        <v>4.9889999999999999</v>
      </c>
      <c r="AH683" s="122">
        <f t="shared" si="944"/>
        <v>6.0040000000000004</v>
      </c>
      <c r="AI683" s="122">
        <f t="shared" si="944"/>
        <v>7.242</v>
      </c>
      <c r="AJ683" s="674">
        <f t="shared" si="944"/>
        <v>25.160999999999998</v>
      </c>
      <c r="AK683" s="122">
        <f t="shared" si="944"/>
        <v>6.4119999999999999</v>
      </c>
      <c r="AL683" s="122">
        <f t="shared" si="944"/>
        <v>7.23</v>
      </c>
      <c r="AM683" s="122">
        <f t="shared" si="944"/>
        <v>7.3620000000000001</v>
      </c>
      <c r="AN683" s="122">
        <f t="shared" si="944"/>
        <v>9.1009999999999991</v>
      </c>
      <c r="AO683" s="674">
        <f t="shared" si="944"/>
        <v>30.105</v>
      </c>
      <c r="AP683" s="122">
        <f t="shared" si="944"/>
        <v>3.3580000000000001</v>
      </c>
      <c r="AQ683" s="122">
        <f t="shared" si="944"/>
        <v>3.3410000000000002</v>
      </c>
      <c r="AR683" s="122">
        <f t="shared" si="944"/>
        <v>2.2189999999999999</v>
      </c>
      <c r="AS683" s="122">
        <f t="shared" si="944"/>
        <v>3.1739999999999999</v>
      </c>
      <c r="AT683" s="674">
        <f t="shared" si="944"/>
        <v>12.092000000000001</v>
      </c>
      <c r="AU683" s="122">
        <f t="shared" si="944"/>
        <v>2.839</v>
      </c>
      <c r="AV683" s="122">
        <f t="shared" si="944"/>
        <v>2.7570000000000001</v>
      </c>
      <c r="AW683" s="122">
        <f t="shared" si="944"/>
        <v>2.7519999999999998</v>
      </c>
      <c r="AX683" s="122">
        <f t="shared" si="944"/>
        <v>0.81200000000000006</v>
      </c>
      <c r="AY683" s="674">
        <f t="shared" si="944"/>
        <v>9.16</v>
      </c>
      <c r="AZ683" s="122">
        <f t="shared" si="944"/>
        <v>0</v>
      </c>
      <c r="BA683" s="122">
        <f t="shared" si="944"/>
        <v>0</v>
      </c>
      <c r="BB683" s="122">
        <f t="shared" si="944"/>
        <v>0</v>
      </c>
      <c r="BC683" s="122">
        <f t="shared" si="944"/>
        <v>0</v>
      </c>
      <c r="BD683" s="674">
        <f t="shared" si="944"/>
        <v>0</v>
      </c>
      <c r="BE683" s="122">
        <f t="shared" si="944"/>
        <v>0</v>
      </c>
      <c r="BF683" s="122">
        <f t="shared" si="944"/>
        <v>0</v>
      </c>
      <c r="BG683" s="122">
        <f t="shared" si="944"/>
        <v>0</v>
      </c>
      <c r="BH683" s="122">
        <f t="shared" si="944"/>
        <v>0</v>
      </c>
      <c r="BI683" s="674">
        <f t="shared" si="944"/>
        <v>0</v>
      </c>
      <c r="BJ683" s="1274">
        <f t="shared" si="944"/>
        <v>0</v>
      </c>
      <c r="BK683" s="118"/>
      <c r="BL683" s="118"/>
      <c r="BM683" s="118"/>
      <c r="BN683" s="401"/>
      <c r="BO683" s="118"/>
      <c r="BP683" s="118"/>
      <c r="BQ683" s="118"/>
      <c r="BR683" s="118"/>
      <c r="BS683" s="401"/>
      <c r="BT683" s="401"/>
      <c r="BU683" s="401"/>
      <c r="BV683" s="401"/>
      <c r="BW683" s="122"/>
    </row>
    <row r="684" spans="1:75" s="123" customFormat="1" hidden="1" outlineLevel="1" x14ac:dyDescent="0.5">
      <c r="A684" s="464" t="s">
        <v>2075</v>
      </c>
      <c r="B684" s="513"/>
      <c r="C684" s="401"/>
      <c r="D684" s="401"/>
      <c r="E684" s="401"/>
      <c r="F684" s="401"/>
      <c r="G684" s="118"/>
      <c r="H684" s="118"/>
      <c r="I684" s="118"/>
      <c r="J684" s="118"/>
      <c r="K684" s="401"/>
      <c r="L684" s="118"/>
      <c r="M684" s="118"/>
      <c r="N684" s="118"/>
      <c r="O684" s="118"/>
      <c r="P684" s="401"/>
      <c r="Q684" s="118"/>
      <c r="R684" s="118"/>
      <c r="S684" s="118"/>
      <c r="T684" s="118"/>
      <c r="U684" s="401"/>
      <c r="V684" s="118"/>
      <c r="W684" s="118"/>
      <c r="X684" s="118"/>
      <c r="Y684" s="118"/>
      <c r="Z684" s="401"/>
      <c r="AA684" s="118"/>
      <c r="AB684" s="118"/>
      <c r="AC684" s="118"/>
      <c r="AD684" s="118"/>
      <c r="AE684" s="401"/>
      <c r="AF684" s="122">
        <f t="shared" si="944"/>
        <v>0</v>
      </c>
      <c r="AG684" s="122">
        <f t="shared" si="944"/>
        <v>0</v>
      </c>
      <c r="AH684" s="122">
        <f t="shared" si="944"/>
        <v>0</v>
      </c>
      <c r="AI684" s="122">
        <f t="shared" si="944"/>
        <v>0</v>
      </c>
      <c r="AJ684" s="674">
        <f t="shared" si="944"/>
        <v>0</v>
      </c>
      <c r="AK684" s="122">
        <f t="shared" si="944"/>
        <v>0</v>
      </c>
      <c r="AL684" s="122">
        <f t="shared" si="944"/>
        <v>0</v>
      </c>
      <c r="AM684" s="122">
        <f t="shared" si="944"/>
        <v>0</v>
      </c>
      <c r="AN684" s="122">
        <f t="shared" si="944"/>
        <v>0</v>
      </c>
      <c r="AO684" s="674">
        <f t="shared" si="944"/>
        <v>0</v>
      </c>
      <c r="AP684" s="122">
        <f t="shared" si="944"/>
        <v>0</v>
      </c>
      <c r="AQ684" s="122">
        <f t="shared" si="944"/>
        <v>0</v>
      </c>
      <c r="AR684" s="122">
        <f t="shared" si="944"/>
        <v>0</v>
      </c>
      <c r="AS684" s="122">
        <f t="shared" si="944"/>
        <v>0</v>
      </c>
      <c r="AT684" s="674">
        <f t="shared" si="944"/>
        <v>0</v>
      </c>
      <c r="AU684" s="122">
        <f t="shared" si="944"/>
        <v>0</v>
      </c>
      <c r="AV684" s="122">
        <f t="shared" si="944"/>
        <v>0</v>
      </c>
      <c r="AW684" s="122">
        <f t="shared" si="944"/>
        <v>0</v>
      </c>
      <c r="AX684" s="122">
        <f t="shared" si="944"/>
        <v>0</v>
      </c>
      <c r="AY684" s="674">
        <f t="shared" si="944"/>
        <v>0</v>
      </c>
      <c r="AZ684" s="122">
        <f t="shared" si="944"/>
        <v>0</v>
      </c>
      <c r="BA684" s="122">
        <f t="shared" si="944"/>
        <v>0</v>
      </c>
      <c r="BB684" s="122">
        <f t="shared" si="944"/>
        <v>0</v>
      </c>
      <c r="BC684" s="122">
        <f t="shared" si="944"/>
        <v>0</v>
      </c>
      <c r="BD684" s="674">
        <f t="shared" si="944"/>
        <v>0</v>
      </c>
      <c r="BE684" s="122">
        <f t="shared" si="944"/>
        <v>17.930999999999997</v>
      </c>
      <c r="BF684" s="122">
        <f t="shared" si="944"/>
        <v>0</v>
      </c>
      <c r="BG684" s="122">
        <f t="shared" si="944"/>
        <v>0</v>
      </c>
      <c r="BH684" s="122">
        <f t="shared" si="944"/>
        <v>0</v>
      </c>
      <c r="BI684" s="674">
        <f t="shared" si="944"/>
        <v>17.930999999999997</v>
      </c>
      <c r="BJ684" s="1274">
        <f t="shared" si="944"/>
        <v>0</v>
      </c>
      <c r="BK684" s="118"/>
      <c r="BL684" s="118"/>
      <c r="BM684" s="118"/>
      <c r="BN684" s="401"/>
      <c r="BO684" s="118"/>
      <c r="BP684" s="118"/>
      <c r="BQ684" s="118"/>
      <c r="BR684" s="118"/>
      <c r="BS684" s="401"/>
      <c r="BT684" s="401"/>
      <c r="BU684" s="401"/>
      <c r="BV684" s="401"/>
      <c r="BW684" s="122"/>
    </row>
    <row r="685" spans="1:75" s="123" customFormat="1" hidden="1" outlineLevel="1" x14ac:dyDescent="0.5">
      <c r="A685" s="464" t="s">
        <v>2082</v>
      </c>
      <c r="B685" s="513"/>
      <c r="C685" s="401"/>
      <c r="D685" s="401"/>
      <c r="E685" s="401"/>
      <c r="F685" s="401"/>
      <c r="G685" s="118"/>
      <c r="H685" s="118"/>
      <c r="I685" s="118"/>
      <c r="J685" s="118"/>
      <c r="K685" s="401"/>
      <c r="L685" s="118"/>
      <c r="M685" s="118"/>
      <c r="N685" s="118"/>
      <c r="O685" s="118"/>
      <c r="P685" s="401"/>
      <c r="Q685" s="118"/>
      <c r="R685" s="118"/>
      <c r="S685" s="118"/>
      <c r="T685" s="118"/>
      <c r="U685" s="401"/>
      <c r="V685" s="118"/>
      <c r="W685" s="118"/>
      <c r="X685" s="118"/>
      <c r="Y685" s="118"/>
      <c r="Z685" s="401"/>
      <c r="AA685" s="118"/>
      <c r="AB685" s="118"/>
      <c r="AC685" s="118"/>
      <c r="AD685" s="118"/>
      <c r="AE685" s="401"/>
      <c r="AF685" s="122">
        <f t="shared" ref="AF685:BJ686" si="945">-AF673</f>
        <v>0</v>
      </c>
      <c r="AG685" s="122">
        <f t="shared" si="945"/>
        <v>0</v>
      </c>
      <c r="AH685" s="122">
        <f t="shared" si="945"/>
        <v>0</v>
      </c>
      <c r="AI685" s="122">
        <f t="shared" si="945"/>
        <v>0</v>
      </c>
      <c r="AJ685" s="674">
        <f t="shared" si="945"/>
        <v>0</v>
      </c>
      <c r="AK685" s="122">
        <f t="shared" si="945"/>
        <v>0</v>
      </c>
      <c r="AL685" s="122">
        <f t="shared" si="945"/>
        <v>0</v>
      </c>
      <c r="AM685" s="122">
        <f t="shared" si="945"/>
        <v>0</v>
      </c>
      <c r="AN685" s="122">
        <f t="shared" si="945"/>
        <v>0</v>
      </c>
      <c r="AO685" s="674">
        <f t="shared" si="945"/>
        <v>0</v>
      </c>
      <c r="AP685" s="122">
        <f t="shared" si="945"/>
        <v>0</v>
      </c>
      <c r="AQ685" s="122">
        <f t="shared" si="945"/>
        <v>0</v>
      </c>
      <c r="AR685" s="122">
        <f t="shared" si="945"/>
        <v>0</v>
      </c>
      <c r="AS685" s="122">
        <f t="shared" si="945"/>
        <v>0</v>
      </c>
      <c r="AT685" s="674">
        <f t="shared" si="945"/>
        <v>0</v>
      </c>
      <c r="AU685" s="122">
        <f t="shared" si="945"/>
        <v>0</v>
      </c>
      <c r="AV685" s="122">
        <f t="shared" si="945"/>
        <v>0</v>
      </c>
      <c r="AW685" s="122">
        <f t="shared" si="945"/>
        <v>0</v>
      </c>
      <c r="AX685" s="122">
        <f t="shared" si="945"/>
        <v>0</v>
      </c>
      <c r="AY685" s="674">
        <f t="shared" si="945"/>
        <v>0</v>
      </c>
      <c r="AZ685" s="122">
        <f t="shared" si="945"/>
        <v>0</v>
      </c>
      <c r="BA685" s="122">
        <f t="shared" si="945"/>
        <v>0</v>
      </c>
      <c r="BB685" s="122">
        <f t="shared" si="945"/>
        <v>0</v>
      </c>
      <c r="BC685" s="122">
        <f t="shared" si="945"/>
        <v>0</v>
      </c>
      <c r="BD685" s="674">
        <f t="shared" si="945"/>
        <v>0</v>
      </c>
      <c r="BE685" s="122">
        <f t="shared" si="945"/>
        <v>8.3160000000000007</v>
      </c>
      <c r="BF685" s="122">
        <f t="shared" si="945"/>
        <v>0</v>
      </c>
      <c r="BG685" s="122">
        <f t="shared" si="945"/>
        <v>0</v>
      </c>
      <c r="BH685" s="122">
        <f t="shared" si="945"/>
        <v>0</v>
      </c>
      <c r="BI685" s="674">
        <f t="shared" si="945"/>
        <v>8.3160000000000007</v>
      </c>
      <c r="BJ685" s="1274">
        <f t="shared" si="945"/>
        <v>0</v>
      </c>
      <c r="BK685" s="118"/>
      <c r="BL685" s="118"/>
      <c r="BM685" s="118"/>
      <c r="BN685" s="401"/>
      <c r="BO685" s="118"/>
      <c r="BP685" s="118"/>
      <c r="BQ685" s="118"/>
      <c r="BR685" s="118"/>
      <c r="BS685" s="401"/>
      <c r="BT685" s="401"/>
      <c r="BU685" s="401"/>
      <c r="BV685" s="401"/>
      <c r="BW685" s="122"/>
    </row>
    <row r="686" spans="1:75" s="123" customFormat="1" hidden="1" outlineLevel="1" x14ac:dyDescent="0.5">
      <c r="A686" s="464" t="s">
        <v>2083</v>
      </c>
      <c r="B686" s="513"/>
      <c r="C686" s="401"/>
      <c r="D686" s="401"/>
      <c r="E686" s="401"/>
      <c r="F686" s="401"/>
      <c r="G686" s="118"/>
      <c r="H686" s="118"/>
      <c r="I686" s="118"/>
      <c r="J686" s="118"/>
      <c r="K686" s="401"/>
      <c r="L686" s="118"/>
      <c r="M686" s="118"/>
      <c r="N686" s="118"/>
      <c r="O686" s="118"/>
      <c r="P686" s="401"/>
      <c r="Q686" s="118"/>
      <c r="R686" s="118"/>
      <c r="S686" s="118"/>
      <c r="T686" s="118"/>
      <c r="U686" s="401"/>
      <c r="V686" s="122">
        <f t="shared" ref="V686:AE686" si="946">-V674</f>
        <v>13.221</v>
      </c>
      <c r="W686" s="122">
        <f t="shared" si="946"/>
        <v>0</v>
      </c>
      <c r="X686" s="122">
        <f t="shared" si="946"/>
        <v>1.1850000000000001</v>
      </c>
      <c r="Y686" s="122">
        <f t="shared" si="946"/>
        <v>0</v>
      </c>
      <c r="Z686" s="674">
        <f t="shared" si="946"/>
        <v>14.406000000000001</v>
      </c>
      <c r="AA686" s="122">
        <f t="shared" si="946"/>
        <v>5.7050000000000001</v>
      </c>
      <c r="AB686" s="122">
        <f t="shared" si="946"/>
        <v>0</v>
      </c>
      <c r="AC686" s="122">
        <f t="shared" si="946"/>
        <v>0</v>
      </c>
      <c r="AD686" s="122">
        <f t="shared" si="946"/>
        <v>2.907</v>
      </c>
      <c r="AE686" s="674">
        <f t="shared" si="946"/>
        <v>8.6120000000000001</v>
      </c>
      <c r="AF686" s="122">
        <f t="shared" si="945"/>
        <v>0</v>
      </c>
      <c r="AG686" s="122">
        <f t="shared" si="945"/>
        <v>0</v>
      </c>
      <c r="AH686" s="122">
        <f t="shared" si="945"/>
        <v>0</v>
      </c>
      <c r="AI686" s="122">
        <f t="shared" si="945"/>
        <v>0</v>
      </c>
      <c r="AJ686" s="674">
        <f t="shared" si="945"/>
        <v>0</v>
      </c>
      <c r="AK686" s="122">
        <f t="shared" si="945"/>
        <v>0</v>
      </c>
      <c r="AL686" s="122">
        <f t="shared" si="945"/>
        <v>0</v>
      </c>
      <c r="AM686" s="122">
        <f t="shared" si="945"/>
        <v>0</v>
      </c>
      <c r="AN686" s="122">
        <f t="shared" si="945"/>
        <v>0</v>
      </c>
      <c r="AO686" s="674">
        <f t="shared" si="945"/>
        <v>0</v>
      </c>
      <c r="AP686" s="122">
        <f t="shared" si="945"/>
        <v>0</v>
      </c>
      <c r="AQ686" s="122">
        <f t="shared" si="945"/>
        <v>0</v>
      </c>
      <c r="AR686" s="122">
        <f t="shared" si="945"/>
        <v>0</v>
      </c>
      <c r="AS686" s="122">
        <f t="shared" si="945"/>
        <v>0</v>
      </c>
      <c r="AT686" s="674">
        <f t="shared" si="945"/>
        <v>0</v>
      </c>
      <c r="AU686" s="122">
        <f t="shared" si="945"/>
        <v>0</v>
      </c>
      <c r="AV686" s="122">
        <f t="shared" si="945"/>
        <v>0</v>
      </c>
      <c r="AW686" s="122">
        <f t="shared" si="945"/>
        <v>0</v>
      </c>
      <c r="AX686" s="122">
        <f t="shared" si="945"/>
        <v>0</v>
      </c>
      <c r="AY686" s="674">
        <f t="shared" si="945"/>
        <v>0</v>
      </c>
      <c r="AZ686" s="122">
        <f t="shared" si="945"/>
        <v>0</v>
      </c>
      <c r="BA686" s="122">
        <f t="shared" si="945"/>
        <v>0</v>
      </c>
      <c r="BB686" s="122">
        <f t="shared" si="945"/>
        <v>0</v>
      </c>
      <c r="BC686" s="122">
        <f>-BC674</f>
        <v>0</v>
      </c>
      <c r="BD686" s="674">
        <f>-BD674</f>
        <v>0</v>
      </c>
      <c r="BE686" s="122">
        <f t="shared" si="945"/>
        <v>0</v>
      </c>
      <c r="BF686" s="122">
        <f t="shared" si="945"/>
        <v>0</v>
      </c>
      <c r="BG686" s="122">
        <f t="shared" si="945"/>
        <v>0</v>
      </c>
      <c r="BH686" s="122">
        <f t="shared" si="945"/>
        <v>0</v>
      </c>
      <c r="BI686" s="674">
        <f t="shared" si="945"/>
        <v>0</v>
      </c>
      <c r="BJ686" s="1274">
        <f t="shared" si="945"/>
        <v>0</v>
      </c>
      <c r="BK686" s="118"/>
      <c r="BL686" s="118"/>
      <c r="BM686" s="118"/>
      <c r="BN686" s="401"/>
      <c r="BO686" s="118"/>
      <c r="BP686" s="118"/>
      <c r="BQ686" s="118"/>
      <c r="BR686" s="118"/>
      <c r="BS686" s="401"/>
      <c r="BT686" s="401"/>
      <c r="BU686" s="401"/>
      <c r="BV686" s="401"/>
      <c r="BW686" s="122"/>
    </row>
    <row r="687" spans="1:75" s="123" customFormat="1" hidden="1" outlineLevel="1" x14ac:dyDescent="0.5">
      <c r="A687" s="464" t="s">
        <v>2077</v>
      </c>
      <c r="B687" s="513"/>
      <c r="C687" s="401"/>
      <c r="D687" s="401"/>
      <c r="E687" s="401"/>
      <c r="F687" s="401"/>
      <c r="G687" s="118"/>
      <c r="H687" s="118"/>
      <c r="I687" s="118"/>
      <c r="J687" s="118"/>
      <c r="K687" s="401"/>
      <c r="L687" s="118"/>
      <c r="M687" s="118"/>
      <c r="N687" s="118"/>
      <c r="O687" s="118"/>
      <c r="P687" s="401"/>
      <c r="Q687" s="118"/>
      <c r="R687" s="118"/>
      <c r="S687" s="118"/>
      <c r="T687" s="118"/>
      <c r="U687" s="401"/>
      <c r="V687" s="118"/>
      <c r="W687" s="118"/>
      <c r="X687" s="118"/>
      <c r="Y687" s="118"/>
      <c r="Z687" s="401"/>
      <c r="AA687" s="118"/>
      <c r="AB687" s="118"/>
      <c r="AC687" s="118"/>
      <c r="AD687" s="118"/>
      <c r="AE687" s="401"/>
      <c r="AF687" s="122">
        <f t="shared" ref="AF687:BE687" si="947">AF664-AF675</f>
        <v>1.702</v>
      </c>
      <c r="AG687" s="122">
        <f t="shared" si="947"/>
        <v>1.8740000000000001</v>
      </c>
      <c r="AH687" s="122">
        <f t="shared" si="947"/>
        <v>1.869</v>
      </c>
      <c r="AI687" s="122">
        <f t="shared" si="947"/>
        <v>2.5430000000000001</v>
      </c>
      <c r="AJ687" s="674">
        <f t="shared" si="947"/>
        <v>7.9880000000000004</v>
      </c>
      <c r="AK687" s="122">
        <f t="shared" si="947"/>
        <v>6.5260000000000007</v>
      </c>
      <c r="AL687" s="122">
        <f t="shared" si="947"/>
        <v>0.623</v>
      </c>
      <c r="AM687" s="122">
        <f t="shared" si="947"/>
        <v>0.623</v>
      </c>
      <c r="AN687" s="122">
        <f t="shared" si="947"/>
        <v>0.624</v>
      </c>
      <c r="AO687" s="674">
        <f t="shared" si="947"/>
        <v>8.395999999999999</v>
      </c>
      <c r="AP687" s="122">
        <f t="shared" si="947"/>
        <v>0</v>
      </c>
      <c r="AQ687" s="122">
        <f t="shared" si="947"/>
        <v>0</v>
      </c>
      <c r="AR687" s="122">
        <f t="shared" si="947"/>
        <v>0</v>
      </c>
      <c r="AS687" s="122">
        <f t="shared" si="947"/>
        <v>0</v>
      </c>
      <c r="AT687" s="674">
        <f t="shared" si="947"/>
        <v>0</v>
      </c>
      <c r="AU687" s="122">
        <f t="shared" si="947"/>
        <v>0</v>
      </c>
      <c r="AV687" s="122">
        <f t="shared" si="947"/>
        <v>0</v>
      </c>
      <c r="AW687" s="122">
        <f t="shared" si="947"/>
        <v>0</v>
      </c>
      <c r="AX687" s="122">
        <f t="shared" si="947"/>
        <v>0</v>
      </c>
      <c r="AY687" s="674">
        <f t="shared" si="947"/>
        <v>0</v>
      </c>
      <c r="AZ687" s="122">
        <f t="shared" si="947"/>
        <v>0</v>
      </c>
      <c r="BA687" s="122">
        <f t="shared" si="947"/>
        <v>0</v>
      </c>
      <c r="BB687" s="122">
        <f t="shared" si="947"/>
        <v>0</v>
      </c>
      <c r="BC687" s="122">
        <f t="shared" si="947"/>
        <v>0</v>
      </c>
      <c r="BD687" s="674">
        <f t="shared" si="947"/>
        <v>0</v>
      </c>
      <c r="BE687" s="122">
        <f t="shared" si="947"/>
        <v>0</v>
      </c>
      <c r="BF687" s="122">
        <f>BF664-BF675</f>
        <v>0</v>
      </c>
      <c r="BG687" s="122">
        <f>BG664-BG675</f>
        <v>0</v>
      </c>
      <c r="BH687" s="122">
        <f>BH664-BH675</f>
        <v>0</v>
      </c>
      <c r="BI687" s="674">
        <f>BI664-BI675</f>
        <v>0</v>
      </c>
      <c r="BJ687" s="1274">
        <f>BJ664-BJ675</f>
        <v>0</v>
      </c>
      <c r="BK687" s="118"/>
      <c r="BL687" s="118"/>
      <c r="BM687" s="118"/>
      <c r="BN687" s="401"/>
      <c r="BO687" s="118"/>
      <c r="BP687" s="118"/>
      <c r="BQ687" s="118"/>
      <c r="BR687" s="118"/>
      <c r="BS687" s="401"/>
      <c r="BT687" s="401"/>
      <c r="BU687" s="401"/>
      <c r="BV687" s="401"/>
      <c r="BW687" s="122"/>
    </row>
    <row r="688" spans="1:75" s="123" customFormat="1" hidden="1" outlineLevel="1" x14ac:dyDescent="0.5">
      <c r="A688" s="464" t="s">
        <v>2087</v>
      </c>
      <c r="B688" s="513"/>
      <c r="C688" s="401"/>
      <c r="D688" s="401"/>
      <c r="E688" s="401"/>
      <c r="F688" s="403">
        <v>6.99</v>
      </c>
      <c r="G688" s="302">
        <v>2.9359999999999999</v>
      </c>
      <c r="H688" s="118"/>
      <c r="I688" s="118"/>
      <c r="J688" s="118"/>
      <c r="K688" s="403">
        <v>2.9359999999999999</v>
      </c>
      <c r="L688" s="118"/>
      <c r="M688" s="118"/>
      <c r="N688" s="118"/>
      <c r="O688" s="118"/>
      <c r="P688" s="401"/>
      <c r="Q688" s="118"/>
      <c r="R688" s="118"/>
      <c r="S688" s="118"/>
      <c r="T688" s="118"/>
      <c r="U688" s="401"/>
      <c r="V688" s="118"/>
      <c r="W688" s="118"/>
      <c r="X688" s="118"/>
      <c r="Y688" s="118"/>
      <c r="Z688" s="401"/>
      <c r="AA688" s="118"/>
      <c r="AB688" s="118"/>
      <c r="AC688" s="118"/>
      <c r="AD688" s="118"/>
      <c r="AE688" s="401"/>
      <c r="AF688" s="118"/>
      <c r="AG688" s="118"/>
      <c r="AH688" s="118"/>
      <c r="AI688" s="118"/>
      <c r="AJ688" s="401"/>
      <c r="AK688" s="118"/>
      <c r="AL688" s="118"/>
      <c r="AM688" s="118"/>
      <c r="AN688" s="118"/>
      <c r="AO688" s="401"/>
      <c r="AP688" s="118"/>
      <c r="AQ688" s="118"/>
      <c r="AR688" s="118"/>
      <c r="AS688" s="118"/>
      <c r="AT688" s="401"/>
      <c r="AU688" s="118"/>
      <c r="AV688" s="118"/>
      <c r="AW688" s="118"/>
      <c r="AX688" s="118"/>
      <c r="AY688" s="401"/>
      <c r="AZ688" s="118"/>
      <c r="BA688" s="118"/>
      <c r="BB688" s="118"/>
      <c r="BC688" s="118"/>
      <c r="BD688" s="401"/>
      <c r="BE688" s="118"/>
      <c r="BF688" s="118"/>
      <c r="BG688" s="118"/>
      <c r="BH688" s="118"/>
      <c r="BI688" s="401"/>
      <c r="BJ688" s="971"/>
      <c r="BK688" s="118"/>
      <c r="BL688" s="118"/>
      <c r="BM688" s="118"/>
      <c r="BN688" s="401"/>
      <c r="BO688" s="118"/>
      <c r="BP688" s="118"/>
      <c r="BQ688" s="118"/>
      <c r="BR688" s="118"/>
      <c r="BS688" s="401"/>
      <c r="BT688" s="401"/>
      <c r="BU688" s="401"/>
      <c r="BV688" s="401"/>
      <c r="BW688" s="122"/>
    </row>
    <row r="689" spans="1:75" s="123" customFormat="1" hidden="1" outlineLevel="1" x14ac:dyDescent="0.5">
      <c r="A689" s="464" t="s">
        <v>2078</v>
      </c>
      <c r="B689" s="513"/>
      <c r="C689" s="401"/>
      <c r="D689" s="401"/>
      <c r="E689" s="401"/>
      <c r="F689" s="401"/>
      <c r="G689" s="118"/>
      <c r="H689" s="118"/>
      <c r="I689" s="118"/>
      <c r="J689" s="118"/>
      <c r="K689" s="401"/>
      <c r="L689" s="118"/>
      <c r="M689" s="118"/>
      <c r="N689" s="118"/>
      <c r="O689" s="118"/>
      <c r="P689" s="401"/>
      <c r="Q689" s="118"/>
      <c r="R689" s="118"/>
      <c r="S689" s="118"/>
      <c r="T689" s="118"/>
      <c r="U689" s="401"/>
      <c r="V689" s="118"/>
      <c r="W689" s="118"/>
      <c r="X689" s="118"/>
      <c r="Y689" s="118"/>
      <c r="Z689" s="401"/>
      <c r="AA689" s="118"/>
      <c r="AB689" s="118"/>
      <c r="AC689" s="118"/>
      <c r="AD689" s="118"/>
      <c r="AE689" s="401"/>
      <c r="AF689" s="122">
        <f t="shared" ref="AF689:BE689" si="948">AF665-AF676</f>
        <v>0</v>
      </c>
      <c r="AG689" s="122">
        <f t="shared" si="948"/>
        <v>5.2970000000000006</v>
      </c>
      <c r="AH689" s="122">
        <f t="shared" si="948"/>
        <v>1.127</v>
      </c>
      <c r="AI689" s="122">
        <f t="shared" si="948"/>
        <v>6.7620000000000005</v>
      </c>
      <c r="AJ689" s="674">
        <f t="shared" si="948"/>
        <v>13.186</v>
      </c>
      <c r="AK689" s="122">
        <f t="shared" si="948"/>
        <v>0</v>
      </c>
      <c r="AL689" s="122">
        <f t="shared" si="948"/>
        <v>0</v>
      </c>
      <c r="AM689" s="122">
        <f t="shared" si="948"/>
        <v>0</v>
      </c>
      <c r="AN689" s="122">
        <f t="shared" si="948"/>
        <v>0</v>
      </c>
      <c r="AO689" s="674">
        <f t="shared" si="948"/>
        <v>0</v>
      </c>
      <c r="AP689" s="122">
        <f t="shared" si="948"/>
        <v>0</v>
      </c>
      <c r="AQ689" s="122">
        <f t="shared" si="948"/>
        <v>0</v>
      </c>
      <c r="AR689" s="122">
        <f t="shared" si="948"/>
        <v>0</v>
      </c>
      <c r="AS689" s="122">
        <f t="shared" si="948"/>
        <v>0</v>
      </c>
      <c r="AT689" s="674">
        <f t="shared" si="948"/>
        <v>0</v>
      </c>
      <c r="AU689" s="122">
        <f t="shared" si="948"/>
        <v>0</v>
      </c>
      <c r="AV689" s="122">
        <f t="shared" si="948"/>
        <v>0</v>
      </c>
      <c r="AW689" s="122">
        <f t="shared" si="948"/>
        <v>0</v>
      </c>
      <c r="AX689" s="122">
        <f t="shared" si="948"/>
        <v>0</v>
      </c>
      <c r="AY689" s="674">
        <f t="shared" si="948"/>
        <v>0</v>
      </c>
      <c r="AZ689" s="122">
        <f t="shared" si="948"/>
        <v>0</v>
      </c>
      <c r="BA689" s="122">
        <f t="shared" si="948"/>
        <v>0</v>
      </c>
      <c r="BB689" s="122">
        <f t="shared" si="948"/>
        <v>0</v>
      </c>
      <c r="BC689" s="122">
        <f t="shared" si="948"/>
        <v>17.687000000000001</v>
      </c>
      <c r="BD689" s="674">
        <f t="shared" si="948"/>
        <v>17.687000000000001</v>
      </c>
      <c r="BE689" s="122">
        <f t="shared" si="948"/>
        <v>0</v>
      </c>
      <c r="BF689" s="122">
        <f>BF665-BF676</f>
        <v>0</v>
      </c>
      <c r="BG689" s="122">
        <f>BG665-BG676</f>
        <v>0</v>
      </c>
      <c r="BH689" s="122">
        <f>BH665-BH676</f>
        <v>0</v>
      </c>
      <c r="BI689" s="674">
        <f>BI665-BI676</f>
        <v>0</v>
      </c>
      <c r="BJ689" s="1274">
        <f>BJ665-BJ676</f>
        <v>0</v>
      </c>
      <c r="BK689" s="118"/>
      <c r="BL689" s="118"/>
      <c r="BM689" s="118"/>
      <c r="BN689" s="401"/>
      <c r="BO689" s="118"/>
      <c r="BP689" s="118"/>
      <c r="BQ689" s="118"/>
      <c r="BR689" s="118"/>
      <c r="BS689" s="401"/>
      <c r="BT689" s="401"/>
      <c r="BU689" s="401"/>
      <c r="BV689" s="401"/>
      <c r="BW689" s="122"/>
    </row>
    <row r="690" spans="1:75" s="123" customFormat="1" hidden="1" outlineLevel="1" x14ac:dyDescent="0.5">
      <c r="A690" s="464" t="s">
        <v>2079</v>
      </c>
      <c r="B690" s="513"/>
      <c r="C690" s="401"/>
      <c r="D690" s="401"/>
      <c r="E690" s="401"/>
      <c r="F690" s="401"/>
      <c r="G690" s="118"/>
      <c r="H690" s="118"/>
      <c r="I690" s="118"/>
      <c r="J690" s="118"/>
      <c r="K690" s="401"/>
      <c r="L690" s="118"/>
      <c r="M690" s="118"/>
      <c r="N690" s="118"/>
      <c r="O690" s="118"/>
      <c r="P690" s="401"/>
      <c r="Q690" s="118"/>
      <c r="R690" s="118"/>
      <c r="S690" s="118"/>
      <c r="T690" s="118"/>
      <c r="U690" s="401"/>
      <c r="V690" s="118"/>
      <c r="W690" s="118"/>
      <c r="X690" s="118"/>
      <c r="Y690" s="118"/>
      <c r="Z690" s="401"/>
      <c r="AA690" s="118"/>
      <c r="AB690" s="118"/>
      <c r="AC690" s="118"/>
      <c r="AD690" s="118"/>
      <c r="AE690" s="401"/>
      <c r="AF690" s="122">
        <f t="shared" ref="AF690:BE690" si="949">AF666</f>
        <v>0</v>
      </c>
      <c r="AG690" s="122">
        <f t="shared" si="949"/>
        <v>0</v>
      </c>
      <c r="AH690" s="122">
        <f t="shared" si="949"/>
        <v>0</v>
      </c>
      <c r="AI690" s="122">
        <f t="shared" si="949"/>
        <v>0</v>
      </c>
      <c r="AJ690" s="674">
        <f t="shared" si="949"/>
        <v>0</v>
      </c>
      <c r="AK690" s="122">
        <f t="shared" si="949"/>
        <v>0</v>
      </c>
      <c r="AL690" s="122">
        <f t="shared" si="949"/>
        <v>0</v>
      </c>
      <c r="AM690" s="122">
        <f t="shared" si="949"/>
        <v>0</v>
      </c>
      <c r="AN690" s="122">
        <f t="shared" si="949"/>
        <v>0</v>
      </c>
      <c r="AO690" s="674">
        <f t="shared" si="949"/>
        <v>0</v>
      </c>
      <c r="AP690" s="122">
        <f t="shared" si="949"/>
        <v>11.378</v>
      </c>
      <c r="AQ690" s="122">
        <f t="shared" si="949"/>
        <v>0</v>
      </c>
      <c r="AR690" s="122">
        <f t="shared" si="949"/>
        <v>0</v>
      </c>
      <c r="AS690" s="122">
        <f t="shared" si="949"/>
        <v>0</v>
      </c>
      <c r="AT690" s="674">
        <f t="shared" si="949"/>
        <v>11.378</v>
      </c>
      <c r="AU690" s="122">
        <f t="shared" si="949"/>
        <v>0</v>
      </c>
      <c r="AV690" s="122">
        <f t="shared" si="949"/>
        <v>0</v>
      </c>
      <c r="AW690" s="122">
        <f t="shared" si="949"/>
        <v>0</v>
      </c>
      <c r="AX690" s="122">
        <f t="shared" si="949"/>
        <v>0</v>
      </c>
      <c r="AY690" s="674">
        <f t="shared" si="949"/>
        <v>0</v>
      </c>
      <c r="AZ690" s="122">
        <f t="shared" si="949"/>
        <v>0</v>
      </c>
      <c r="BA690" s="122">
        <f t="shared" si="949"/>
        <v>0</v>
      </c>
      <c r="BB690" s="122">
        <f t="shared" si="949"/>
        <v>0</v>
      </c>
      <c r="BC690" s="122">
        <f t="shared" si="949"/>
        <v>0</v>
      </c>
      <c r="BD690" s="674">
        <f t="shared" si="949"/>
        <v>0</v>
      </c>
      <c r="BE690" s="122">
        <f t="shared" si="949"/>
        <v>0</v>
      </c>
      <c r="BF690" s="122">
        <f>BF666</f>
        <v>0</v>
      </c>
      <c r="BG690" s="122">
        <f>BG666</f>
        <v>0</v>
      </c>
      <c r="BH690" s="122">
        <f>BH666</f>
        <v>0</v>
      </c>
      <c r="BI690" s="674">
        <f>BI666</f>
        <v>0</v>
      </c>
      <c r="BJ690" s="1274">
        <f>BJ666</f>
        <v>0</v>
      </c>
      <c r="BK690" s="118"/>
      <c r="BL690" s="118"/>
      <c r="BM690" s="118"/>
      <c r="BN690" s="401"/>
      <c r="BO690" s="118"/>
      <c r="BP690" s="118"/>
      <c r="BQ690" s="118"/>
      <c r="BR690" s="118"/>
      <c r="BS690" s="401"/>
      <c r="BT690" s="401"/>
      <c r="BU690" s="401"/>
      <c r="BV690" s="401"/>
      <c r="BW690" s="122"/>
    </row>
    <row r="691" spans="1:75" s="123" customFormat="1" hidden="1" outlineLevel="1" x14ac:dyDescent="0.5">
      <c r="A691" s="464" t="s">
        <v>2084</v>
      </c>
      <c r="B691" s="513"/>
      <c r="C691" s="401"/>
      <c r="D691" s="401"/>
      <c r="E691" s="401"/>
      <c r="F691" s="401"/>
      <c r="G691" s="118"/>
      <c r="H691" s="118"/>
      <c r="I691" s="118"/>
      <c r="J691" s="118"/>
      <c r="K691" s="401"/>
      <c r="L691" s="118"/>
      <c r="M691" s="118"/>
      <c r="N691" s="118"/>
      <c r="O691" s="118"/>
      <c r="P691" s="401"/>
      <c r="Q691" s="118"/>
      <c r="R691" s="118"/>
      <c r="S691" s="118"/>
      <c r="T691" s="118"/>
      <c r="U691" s="401"/>
      <c r="V691" s="118"/>
      <c r="W691" s="118"/>
      <c r="X691" s="118"/>
      <c r="Y691" s="118"/>
      <c r="Z691" s="401"/>
      <c r="AA691" s="118"/>
      <c r="AB691" s="118"/>
      <c r="AC691" s="118"/>
      <c r="AD691" s="118"/>
      <c r="AE691" s="401"/>
      <c r="AF691" s="122">
        <f t="shared" ref="AF691:BI692" si="950">-AF677</f>
        <v>0</v>
      </c>
      <c r="AG691" s="122">
        <f t="shared" si="950"/>
        <v>0</v>
      </c>
      <c r="AH691" s="122">
        <f t="shared" si="950"/>
        <v>0</v>
      </c>
      <c r="AI691" s="122">
        <f t="shared" si="950"/>
        <v>0.26900000000000002</v>
      </c>
      <c r="AJ691" s="674">
        <f t="shared" si="950"/>
        <v>0.26900000000000002</v>
      </c>
      <c r="AK691" s="122">
        <f t="shared" si="950"/>
        <v>0</v>
      </c>
      <c r="AL691" s="122">
        <f t="shared" si="950"/>
        <v>0</v>
      </c>
      <c r="AM691" s="122">
        <f t="shared" si="950"/>
        <v>0</v>
      </c>
      <c r="AN691" s="122">
        <f t="shared" si="950"/>
        <v>0</v>
      </c>
      <c r="AO691" s="674">
        <f t="shared" si="950"/>
        <v>0</v>
      </c>
      <c r="AP691" s="122">
        <f t="shared" si="950"/>
        <v>0</v>
      </c>
      <c r="AQ691" s="122">
        <f t="shared" si="950"/>
        <v>0</v>
      </c>
      <c r="AR691" s="122">
        <f t="shared" si="950"/>
        <v>0</v>
      </c>
      <c r="AS691" s="122">
        <f t="shared" si="950"/>
        <v>0</v>
      </c>
      <c r="AT691" s="674">
        <f t="shared" si="950"/>
        <v>0</v>
      </c>
      <c r="AU691" s="122">
        <f t="shared" si="950"/>
        <v>0</v>
      </c>
      <c r="AV691" s="122">
        <f t="shared" si="950"/>
        <v>0</v>
      </c>
      <c r="AW691" s="122">
        <f t="shared" si="950"/>
        <v>0</v>
      </c>
      <c r="AX691" s="122">
        <f t="shared" si="950"/>
        <v>0</v>
      </c>
      <c r="AY691" s="674">
        <f t="shared" si="950"/>
        <v>0</v>
      </c>
      <c r="AZ691" s="122">
        <f t="shared" si="950"/>
        <v>0</v>
      </c>
      <c r="BA691" s="122">
        <f t="shared" si="950"/>
        <v>0</v>
      </c>
      <c r="BB691" s="122">
        <f t="shared" si="950"/>
        <v>0</v>
      </c>
      <c r="BC691" s="122">
        <f t="shared" si="950"/>
        <v>0</v>
      </c>
      <c r="BD691" s="674">
        <f t="shared" si="950"/>
        <v>0</v>
      </c>
      <c r="BE691" s="122">
        <f t="shared" si="950"/>
        <v>0</v>
      </c>
      <c r="BF691" s="122">
        <f t="shared" si="950"/>
        <v>0</v>
      </c>
      <c r="BG691" s="122">
        <f t="shared" si="950"/>
        <v>0</v>
      </c>
      <c r="BH691" s="122">
        <f t="shared" si="950"/>
        <v>0</v>
      </c>
      <c r="BI691" s="674">
        <f t="shared" si="950"/>
        <v>0</v>
      </c>
      <c r="BJ691" s="1274">
        <f>-BJ677</f>
        <v>0</v>
      </c>
      <c r="BK691" s="118"/>
      <c r="BL691" s="118"/>
      <c r="BM691" s="118"/>
      <c r="BN691" s="401"/>
      <c r="BO691" s="118"/>
      <c r="BP691" s="118"/>
      <c r="BQ691" s="118"/>
      <c r="BR691" s="118"/>
      <c r="BS691" s="401"/>
      <c r="BT691" s="401"/>
      <c r="BU691" s="401"/>
      <c r="BV691" s="401"/>
      <c r="BW691" s="122"/>
    </row>
    <row r="692" spans="1:75" s="123" customFormat="1" hidden="1" outlineLevel="1" x14ac:dyDescent="0.5">
      <c r="A692" s="464" t="s">
        <v>2085</v>
      </c>
      <c r="B692" s="513"/>
      <c r="C692" s="401"/>
      <c r="D692" s="401"/>
      <c r="E692" s="401"/>
      <c r="F692" s="401"/>
      <c r="G692" s="118"/>
      <c r="H692" s="118"/>
      <c r="I692" s="118"/>
      <c r="J692" s="118"/>
      <c r="K692" s="401"/>
      <c r="L692" s="118"/>
      <c r="M692" s="118"/>
      <c r="N692" s="118"/>
      <c r="O692" s="118"/>
      <c r="P692" s="401"/>
      <c r="Q692" s="118"/>
      <c r="R692" s="118"/>
      <c r="S692" s="118"/>
      <c r="T692" s="118"/>
      <c r="U692" s="401"/>
      <c r="V692" s="118"/>
      <c r="W692" s="118"/>
      <c r="X692" s="118"/>
      <c r="Y692" s="118"/>
      <c r="Z692" s="401"/>
      <c r="AA692" s="118"/>
      <c r="AB692" s="118"/>
      <c r="AC692" s="118"/>
      <c r="AD692" s="118"/>
      <c r="AE692" s="401"/>
      <c r="AF692" s="122">
        <f t="shared" si="950"/>
        <v>0</v>
      </c>
      <c r="AG692" s="122">
        <f t="shared" si="950"/>
        <v>0</v>
      </c>
      <c r="AH692" s="122">
        <f t="shared" si="950"/>
        <v>0</v>
      </c>
      <c r="AI692" s="122">
        <f t="shared" si="950"/>
        <v>0</v>
      </c>
      <c r="AJ692" s="674">
        <f t="shared" si="950"/>
        <v>0</v>
      </c>
      <c r="AK692" s="122">
        <f t="shared" si="950"/>
        <v>0</v>
      </c>
      <c r="AL692" s="122">
        <f t="shared" si="950"/>
        <v>0</v>
      </c>
      <c r="AM692" s="122">
        <f t="shared" si="950"/>
        <v>0</v>
      </c>
      <c r="AN692" s="122">
        <f t="shared" si="950"/>
        <v>0</v>
      </c>
      <c r="AO692" s="674">
        <f t="shared" si="950"/>
        <v>0</v>
      </c>
      <c r="AP692" s="122">
        <f t="shared" si="950"/>
        <v>15.62</v>
      </c>
      <c r="AQ692" s="122">
        <f t="shared" si="950"/>
        <v>6.3550000000000004</v>
      </c>
      <c r="AR692" s="122">
        <f t="shared" si="950"/>
        <v>0</v>
      </c>
      <c r="AS692" s="122">
        <f t="shared" si="950"/>
        <v>5.0940000000000003</v>
      </c>
      <c r="AT692" s="674">
        <f t="shared" si="950"/>
        <v>27.068999999999999</v>
      </c>
      <c r="AU692" s="122">
        <f t="shared" si="950"/>
        <v>0</v>
      </c>
      <c r="AV692" s="122">
        <f t="shared" si="950"/>
        <v>0</v>
      </c>
      <c r="AW692" s="122">
        <f t="shared" si="950"/>
        <v>0</v>
      </c>
      <c r="AX692" s="122">
        <f t="shared" si="950"/>
        <v>0</v>
      </c>
      <c r="AY692" s="674">
        <f t="shared" si="950"/>
        <v>0</v>
      </c>
      <c r="AZ692" s="122">
        <f t="shared" si="950"/>
        <v>0</v>
      </c>
      <c r="BA692" s="122">
        <f t="shared" si="950"/>
        <v>0</v>
      </c>
      <c r="BB692" s="122">
        <f t="shared" si="950"/>
        <v>0</v>
      </c>
      <c r="BC692" s="122">
        <f t="shared" si="950"/>
        <v>0</v>
      </c>
      <c r="BD692" s="674">
        <f t="shared" si="950"/>
        <v>0</v>
      </c>
      <c r="BE692" s="122">
        <f t="shared" si="950"/>
        <v>0</v>
      </c>
      <c r="BF692" s="122">
        <f t="shared" si="950"/>
        <v>0</v>
      </c>
      <c r="BG692" s="122">
        <f t="shared" si="950"/>
        <v>0</v>
      </c>
      <c r="BH692" s="122">
        <f t="shared" si="950"/>
        <v>0</v>
      </c>
      <c r="BI692" s="674">
        <f t="shared" si="950"/>
        <v>0</v>
      </c>
      <c r="BJ692" s="1274">
        <f>-BJ678</f>
        <v>0</v>
      </c>
      <c r="BK692" s="118"/>
      <c r="BL692" s="118"/>
      <c r="BM692" s="118"/>
      <c r="BN692" s="401"/>
      <c r="BO692" s="118"/>
      <c r="BP692" s="118"/>
      <c r="BQ692" s="118"/>
      <c r="BR692" s="118"/>
      <c r="BS692" s="401"/>
      <c r="BT692" s="401"/>
      <c r="BU692" s="401"/>
      <c r="BV692" s="401"/>
      <c r="BW692" s="122"/>
    </row>
    <row r="693" spans="1:75" s="198" customFormat="1" ht="14.25" hidden="1" outlineLevel="1" x14ac:dyDescent="0.45">
      <c r="A693" s="516" t="s">
        <v>2088</v>
      </c>
      <c r="B693" s="517"/>
      <c r="C693" s="519">
        <f t="shared" ref="C693:BE693" si="951">SUM(C681:C692)</f>
        <v>162.14600000000013</v>
      </c>
      <c r="D693" s="519">
        <f t="shared" si="951"/>
        <v>344.85499999999996</v>
      </c>
      <c r="E693" s="519">
        <f t="shared" si="951"/>
        <v>384.73199999999974</v>
      </c>
      <c r="F693" s="519">
        <f t="shared" si="951"/>
        <v>416.15300000000002</v>
      </c>
      <c r="G693" s="520">
        <f t="shared" si="951"/>
        <v>66.718999999999966</v>
      </c>
      <c r="H693" s="520">
        <f t="shared" si="951"/>
        <v>78.085999999999956</v>
      </c>
      <c r="I693" s="520">
        <f t="shared" si="951"/>
        <v>92.494000000000028</v>
      </c>
      <c r="J693" s="520">
        <f t="shared" si="951"/>
        <v>217.73500000000007</v>
      </c>
      <c r="K693" s="519">
        <f t="shared" si="951"/>
        <v>455.03400000000039</v>
      </c>
      <c r="L693" s="520">
        <f t="shared" si="951"/>
        <v>74.326000000000022</v>
      </c>
      <c r="M693" s="520">
        <f t="shared" si="951"/>
        <v>85.33600000000007</v>
      </c>
      <c r="N693" s="520">
        <f t="shared" si="951"/>
        <v>104.72000000000003</v>
      </c>
      <c r="O693" s="520">
        <f t="shared" si="951"/>
        <v>230.46899999999999</v>
      </c>
      <c r="P693" s="519">
        <f t="shared" si="951"/>
        <v>494.85099999999989</v>
      </c>
      <c r="Q693" s="520">
        <f t="shared" si="951"/>
        <v>71.927999999999884</v>
      </c>
      <c r="R693" s="520">
        <f t="shared" si="951"/>
        <v>83.343000000000018</v>
      </c>
      <c r="S693" s="520">
        <f t="shared" si="951"/>
        <v>110.68300000000011</v>
      </c>
      <c r="T693" s="520">
        <f t="shared" si="951"/>
        <v>222.68000000000006</v>
      </c>
      <c r="U693" s="519">
        <f t="shared" si="951"/>
        <v>488.63400000000001</v>
      </c>
      <c r="V693" s="520">
        <f t="shared" si="951"/>
        <v>76.746000000000038</v>
      </c>
      <c r="W693" s="520">
        <f t="shared" si="951"/>
        <v>83.27600000000001</v>
      </c>
      <c r="X693" s="520">
        <f t="shared" si="951"/>
        <v>111.16399999999993</v>
      </c>
      <c r="Y693" s="520">
        <f t="shared" si="951"/>
        <v>215.81899999999996</v>
      </c>
      <c r="Z693" s="519">
        <f t="shared" si="951"/>
        <v>487.00499999999994</v>
      </c>
      <c r="AA693" s="520">
        <f t="shared" si="951"/>
        <v>68.179000000000102</v>
      </c>
      <c r="AB693" s="520">
        <f t="shared" si="951"/>
        <v>81.584000000000003</v>
      </c>
      <c r="AC693" s="520">
        <f t="shared" si="951"/>
        <v>110.81299999999999</v>
      </c>
      <c r="AD693" s="520">
        <f t="shared" si="951"/>
        <v>208.05600000000001</v>
      </c>
      <c r="AE693" s="519">
        <f t="shared" si="951"/>
        <v>468.63200000000018</v>
      </c>
      <c r="AF693" s="520">
        <f t="shared" si="951"/>
        <v>75.178000000000011</v>
      </c>
      <c r="AG693" s="520">
        <f t="shared" si="951"/>
        <v>86.325999999999993</v>
      </c>
      <c r="AH693" s="520">
        <f t="shared" si="951"/>
        <v>103.3839999999999</v>
      </c>
      <c r="AI693" s="520">
        <f t="shared" si="951"/>
        <v>217.66899999999984</v>
      </c>
      <c r="AJ693" s="519">
        <f t="shared" si="951"/>
        <v>482.55699999999996</v>
      </c>
      <c r="AK693" s="520">
        <f t="shared" si="951"/>
        <v>87.070000000000007</v>
      </c>
      <c r="AL693" s="520">
        <f t="shared" si="951"/>
        <v>94.018000000000086</v>
      </c>
      <c r="AM693" s="520">
        <f t="shared" si="951"/>
        <v>109.87600000000002</v>
      </c>
      <c r="AN693" s="520">
        <f t="shared" si="951"/>
        <v>213.41099999999992</v>
      </c>
      <c r="AO693" s="519">
        <f t="shared" si="951"/>
        <v>504.3749999999996</v>
      </c>
      <c r="AP693" s="520">
        <f t="shared" si="951"/>
        <v>79.000999999999976</v>
      </c>
      <c r="AQ693" s="520">
        <f t="shared" si="951"/>
        <v>195.05699999999999</v>
      </c>
      <c r="AR693" s="520">
        <f t="shared" si="951"/>
        <v>276.82300000000009</v>
      </c>
      <c r="AS693" s="520">
        <f t="shared" si="951"/>
        <v>410.35500000000064</v>
      </c>
      <c r="AT693" s="519">
        <f t="shared" si="951"/>
        <v>961.23600000000033</v>
      </c>
      <c r="AU693" s="520">
        <f t="shared" si="951"/>
        <v>278.01599999999996</v>
      </c>
      <c r="AV693" s="520">
        <f t="shared" si="951"/>
        <v>325.85699999999991</v>
      </c>
      <c r="AW693" s="520">
        <f t="shared" si="951"/>
        <v>333.01899999999995</v>
      </c>
      <c r="AX693" s="520">
        <f t="shared" si="951"/>
        <v>525.38399999999922</v>
      </c>
      <c r="AY693" s="519">
        <f t="shared" si="951"/>
        <v>1462.2759999999996</v>
      </c>
      <c r="AZ693" s="520">
        <f t="shared" si="951"/>
        <v>323.48099999999999</v>
      </c>
      <c r="BA693" s="520">
        <f t="shared" si="951"/>
        <v>365.52099999999973</v>
      </c>
      <c r="BB693" s="520">
        <f t="shared" si="951"/>
        <v>339.63300000000004</v>
      </c>
      <c r="BC693" s="520">
        <f t="shared" si="951"/>
        <v>487.47399999999936</v>
      </c>
      <c r="BD693" s="519">
        <f t="shared" si="951"/>
        <v>1516.108999999999</v>
      </c>
      <c r="BE693" s="520">
        <f t="shared" si="951"/>
        <v>225.72399999999996</v>
      </c>
      <c r="BF693" s="520">
        <f>SUM(BF681:BF692)</f>
        <v>271.548</v>
      </c>
      <c r="BG693" s="520">
        <f>SUM(BG681:BG692)</f>
        <v>315.07700000000011</v>
      </c>
      <c r="BH693" s="520">
        <f>SUM(BH681:BH692)</f>
        <v>458.09099999999989</v>
      </c>
      <c r="BI693" s="519">
        <f>SUM(BI681:BI692)</f>
        <v>1270.4399999999998</v>
      </c>
      <c r="BJ693" s="1270">
        <f>SUM(BJ681:BJ692)</f>
        <v>323.82799999999997</v>
      </c>
      <c r="BK693" s="327"/>
      <c r="BL693" s="327"/>
      <c r="BM693" s="327"/>
      <c r="BN693" s="518"/>
      <c r="BO693" s="327"/>
      <c r="BP693" s="327"/>
      <c r="BQ693" s="327"/>
      <c r="BR693" s="327"/>
      <c r="BS693" s="518"/>
      <c r="BT693" s="518"/>
      <c r="BU693" s="518"/>
      <c r="BV693" s="518"/>
      <c r="BW693" s="197"/>
    </row>
    <row r="694" spans="1:75" s="198" customFormat="1" ht="14.25" hidden="1" outlineLevel="1" x14ac:dyDescent="0.45">
      <c r="A694" s="206"/>
      <c r="B694" s="522"/>
      <c r="C694" s="397"/>
      <c r="D694" s="397"/>
      <c r="E694" s="397"/>
      <c r="F694" s="397"/>
      <c r="G694" s="295"/>
      <c r="H694" s="295"/>
      <c r="I694" s="295"/>
      <c r="J694" s="295"/>
      <c r="K694" s="397"/>
      <c r="L694" s="295"/>
      <c r="M694" s="295"/>
      <c r="N694" s="295"/>
      <c r="O694" s="295"/>
      <c r="P694" s="397"/>
      <c r="Q694" s="295"/>
      <c r="R694" s="295"/>
      <c r="S694" s="295"/>
      <c r="T694" s="295"/>
      <c r="U694" s="397"/>
      <c r="V694" s="295"/>
      <c r="W694" s="295"/>
      <c r="X694" s="295"/>
      <c r="Y694" s="295"/>
      <c r="Z694" s="397"/>
      <c r="AA694" s="295"/>
      <c r="AB694" s="295"/>
      <c r="AC694" s="295"/>
      <c r="AD694" s="295"/>
      <c r="AE694" s="397"/>
      <c r="AF694" s="295"/>
      <c r="AG694" s="295"/>
      <c r="AH694" s="295"/>
      <c r="AI694" s="295"/>
      <c r="AJ694" s="397"/>
      <c r="AK694" s="295"/>
      <c r="AL694" s="295"/>
      <c r="AM694" s="295"/>
      <c r="AN694" s="295"/>
      <c r="AO694" s="397"/>
      <c r="AP694" s="295"/>
      <c r="AQ694" s="295"/>
      <c r="AR694" s="295"/>
      <c r="AS694" s="295"/>
      <c r="AT694" s="397"/>
      <c r="AU694" s="295"/>
      <c r="AV694" s="295"/>
      <c r="AW694" s="295"/>
      <c r="AX694" s="295"/>
      <c r="AY694" s="397"/>
      <c r="AZ694" s="295"/>
      <c r="BA694" s="295"/>
      <c r="BB694" s="295"/>
      <c r="BC694" s="295"/>
      <c r="BD694" s="397"/>
      <c r="BE694" s="295"/>
      <c r="BF694" s="295"/>
      <c r="BG694" s="295"/>
      <c r="BH694" s="295"/>
      <c r="BI694" s="397"/>
      <c r="BJ694" s="1030"/>
      <c r="BK694" s="295"/>
      <c r="BL694" s="295"/>
      <c r="BM694" s="295"/>
      <c r="BN694" s="397"/>
      <c r="BO694" s="295"/>
      <c r="BP694" s="295"/>
      <c r="BQ694" s="295"/>
      <c r="BR694" s="295"/>
      <c r="BS694" s="397"/>
      <c r="BT694" s="397"/>
      <c r="BU694" s="397"/>
      <c r="BV694" s="397"/>
      <c r="BW694" s="197"/>
    </row>
    <row r="695" spans="1:75" s="198" customFormat="1" ht="14.25" hidden="1" outlineLevel="1" x14ac:dyDescent="0.45">
      <c r="A695" s="463" t="s">
        <v>2089</v>
      </c>
      <c r="B695" s="522"/>
      <c r="C695" s="672">
        <f t="shared" ref="C695:BE695" si="952">C647</f>
        <v>42.847000000000001</v>
      </c>
      <c r="D695" s="672">
        <f t="shared" si="952"/>
        <v>122.833</v>
      </c>
      <c r="E695" s="672">
        <f t="shared" si="952"/>
        <v>144.899</v>
      </c>
      <c r="F695" s="672">
        <f t="shared" si="952"/>
        <v>153.226</v>
      </c>
      <c r="G695" s="197">
        <f t="shared" si="952"/>
        <v>24.506</v>
      </c>
      <c r="H695" s="197">
        <f t="shared" si="952"/>
        <v>29.292000000000002</v>
      </c>
      <c r="I695" s="197">
        <f t="shared" si="952"/>
        <v>35.878</v>
      </c>
      <c r="J695" s="197">
        <f t="shared" si="952"/>
        <v>84.103999999999999</v>
      </c>
      <c r="K695" s="672">
        <f t="shared" si="952"/>
        <v>173.78</v>
      </c>
      <c r="L695" s="197">
        <f t="shared" si="952"/>
        <v>28.233000000000001</v>
      </c>
      <c r="M695" s="197">
        <f t="shared" si="952"/>
        <v>34.548999999999999</v>
      </c>
      <c r="N695" s="197">
        <f t="shared" si="952"/>
        <v>39.695</v>
      </c>
      <c r="O695" s="197">
        <f t="shared" si="952"/>
        <v>90.872</v>
      </c>
      <c r="P695" s="672">
        <f t="shared" si="952"/>
        <v>193.34899999999999</v>
      </c>
      <c r="Q695" s="197">
        <f t="shared" si="952"/>
        <v>27.13</v>
      </c>
      <c r="R695" s="197">
        <f t="shared" si="952"/>
        <v>29.4</v>
      </c>
      <c r="S695" s="197">
        <f t="shared" si="952"/>
        <v>39.859000000000002</v>
      </c>
      <c r="T695" s="197">
        <f t="shared" si="952"/>
        <v>81.55</v>
      </c>
      <c r="U695" s="672">
        <f t="shared" si="952"/>
        <v>177.93899999999999</v>
      </c>
      <c r="V695" s="197">
        <f t="shared" si="952"/>
        <v>23.995999999999999</v>
      </c>
      <c r="W695" s="197">
        <f t="shared" si="952"/>
        <v>31.324000000000002</v>
      </c>
      <c r="X695" s="197">
        <f t="shared" si="952"/>
        <v>40.113</v>
      </c>
      <c r="Y695" s="197">
        <f t="shared" si="952"/>
        <v>71.090999999999994</v>
      </c>
      <c r="Z695" s="672">
        <f t="shared" si="952"/>
        <v>166.524</v>
      </c>
      <c r="AA695" s="197">
        <f t="shared" si="952"/>
        <v>23.021999999999998</v>
      </c>
      <c r="AB695" s="197">
        <f t="shared" si="952"/>
        <v>28.184000000000001</v>
      </c>
      <c r="AC695" s="197">
        <f t="shared" si="952"/>
        <v>38.905999999999999</v>
      </c>
      <c r="AD695" s="197">
        <f t="shared" si="952"/>
        <v>102.782</v>
      </c>
      <c r="AE695" s="672">
        <f t="shared" si="952"/>
        <v>192.89400000000001</v>
      </c>
      <c r="AF695" s="197">
        <f t="shared" si="952"/>
        <v>20.181000000000001</v>
      </c>
      <c r="AG695" s="197">
        <f t="shared" si="952"/>
        <v>20.869</v>
      </c>
      <c r="AH695" s="197">
        <f t="shared" si="952"/>
        <v>10.631</v>
      </c>
      <c r="AI695" s="197">
        <f t="shared" si="952"/>
        <v>43.882000000000005</v>
      </c>
      <c r="AJ695" s="672">
        <f t="shared" si="952"/>
        <v>95.563000000000002</v>
      </c>
      <c r="AK695" s="197">
        <f t="shared" si="952"/>
        <v>19.222999999999999</v>
      </c>
      <c r="AL695" s="197">
        <f t="shared" si="952"/>
        <v>20.847999999999999</v>
      </c>
      <c r="AM695" s="197">
        <f t="shared" si="952"/>
        <v>24.614000000000001</v>
      </c>
      <c r="AN695" s="197">
        <f t="shared" si="952"/>
        <v>36.274000000000001</v>
      </c>
      <c r="AO695" s="672">
        <f t="shared" si="952"/>
        <v>100.959</v>
      </c>
      <c r="AP695" s="197">
        <f t="shared" si="952"/>
        <v>11.063000000000001</v>
      </c>
      <c r="AQ695" s="197">
        <f t="shared" si="952"/>
        <v>44.332999999999998</v>
      </c>
      <c r="AR695" s="197">
        <f t="shared" si="952"/>
        <v>67.488</v>
      </c>
      <c r="AS695" s="197">
        <f t="shared" si="952"/>
        <v>90.868000000000009</v>
      </c>
      <c r="AT695" s="672">
        <f t="shared" si="952"/>
        <v>213.75200000000001</v>
      </c>
      <c r="AU695" s="197">
        <f t="shared" si="952"/>
        <v>45.503</v>
      </c>
      <c r="AV695" s="197">
        <f t="shared" si="952"/>
        <v>77.069000000000003</v>
      </c>
      <c r="AW695" s="197">
        <f t="shared" si="952"/>
        <v>80.622</v>
      </c>
      <c r="AX695" s="197">
        <f t="shared" si="952"/>
        <v>121.71999999999997</v>
      </c>
      <c r="AY695" s="672">
        <f t="shared" si="952"/>
        <v>324.91399999999999</v>
      </c>
      <c r="AZ695" s="197">
        <f t="shared" si="952"/>
        <v>69.531000000000006</v>
      </c>
      <c r="BA695" s="197">
        <f t="shared" si="952"/>
        <v>98.79</v>
      </c>
      <c r="BB695" s="197">
        <f t="shared" si="952"/>
        <v>88.28</v>
      </c>
      <c r="BC695" s="197">
        <f t="shared" si="952"/>
        <v>116.17700000000002</v>
      </c>
      <c r="BD695" s="672">
        <f t="shared" si="952"/>
        <v>372.77800000000002</v>
      </c>
      <c r="BE695" s="197">
        <f t="shared" si="952"/>
        <v>48.444000000000003</v>
      </c>
      <c r="BF695" s="197">
        <f>BF647</f>
        <v>73.376000000000005</v>
      </c>
      <c r="BG695" s="197">
        <f>BG647</f>
        <v>84.974000000000004</v>
      </c>
      <c r="BH695" s="197">
        <f>BH647</f>
        <v>116.79900000000001</v>
      </c>
      <c r="BI695" s="672">
        <f>BI647</f>
        <v>323.59300000000002</v>
      </c>
      <c r="BJ695" s="1273">
        <f>BJ647</f>
        <v>74.215000000000003</v>
      </c>
      <c r="BK695" s="295"/>
      <c r="BL695" s="295"/>
      <c r="BM695" s="295"/>
      <c r="BN695" s="397"/>
      <c r="BO695" s="295"/>
      <c r="BP695" s="295"/>
      <c r="BQ695" s="295"/>
      <c r="BR695" s="295"/>
      <c r="BS695" s="397"/>
      <c r="BT695" s="397"/>
      <c r="BU695" s="397"/>
      <c r="BV695" s="397"/>
      <c r="BW695" s="197"/>
    </row>
    <row r="696" spans="1:75" s="123" customFormat="1" hidden="1" outlineLevel="1" x14ac:dyDescent="0.5">
      <c r="A696" s="464" t="s">
        <v>2081</v>
      </c>
      <c r="B696" s="513"/>
      <c r="C696" s="674">
        <f>C682-SUM(C711:C726)</f>
        <v>16.008209999999998</v>
      </c>
      <c r="D696" s="674">
        <f>D682-SUM(D711:D726)</f>
        <v>8.2983599999999971</v>
      </c>
      <c r="E696" s="674">
        <f>E682-SUM(E711:E726)</f>
        <v>0.86836000000000002</v>
      </c>
      <c r="F696" s="401"/>
      <c r="G696" s="118"/>
      <c r="H696" s="118"/>
      <c r="I696" s="118"/>
      <c r="J696" s="118"/>
      <c r="K696" s="401"/>
      <c r="L696" s="118"/>
      <c r="M696" s="118"/>
      <c r="N696" s="118"/>
      <c r="O696" s="122">
        <f>O682-O711</f>
        <v>-2.7319499999999994</v>
      </c>
      <c r="P696" s="674">
        <f>P682-P711</f>
        <v>-3.6059999999999994</v>
      </c>
      <c r="Q696" s="118"/>
      <c r="R696" s="118"/>
      <c r="S696" s="118"/>
      <c r="T696" s="118"/>
      <c r="U696" s="401"/>
      <c r="V696" s="118"/>
      <c r="W696" s="118"/>
      <c r="X696" s="118"/>
      <c r="Y696" s="118"/>
      <c r="Z696" s="401"/>
      <c r="AA696" s="118"/>
      <c r="AB696" s="118"/>
      <c r="AC696" s="118"/>
      <c r="AD696" s="118"/>
      <c r="AE696" s="401"/>
      <c r="AF696" s="118"/>
      <c r="AG696" s="118"/>
      <c r="AH696" s="118"/>
      <c r="AI696" s="118"/>
      <c r="AJ696" s="401"/>
      <c r="AK696" s="118"/>
      <c r="AL696" s="118"/>
      <c r="AM696" s="118"/>
      <c r="AN696" s="118"/>
      <c r="AO696" s="401"/>
      <c r="AP696" s="118"/>
      <c r="AQ696" s="118"/>
      <c r="AR696" s="118"/>
      <c r="AS696" s="118"/>
      <c r="AT696" s="401"/>
      <c r="AU696" s="118"/>
      <c r="AV696" s="118"/>
      <c r="AW696" s="118"/>
      <c r="AX696" s="118"/>
      <c r="AY696" s="401"/>
      <c r="AZ696" s="118"/>
      <c r="BA696" s="118"/>
      <c r="BB696" s="118"/>
      <c r="BC696" s="118"/>
      <c r="BD696" s="401"/>
      <c r="BE696" s="118"/>
      <c r="BF696" s="118"/>
      <c r="BG696" s="118"/>
      <c r="BH696" s="118"/>
      <c r="BI696" s="401"/>
      <c r="BJ696" s="971"/>
      <c r="BK696" s="118"/>
      <c r="BL696" s="118"/>
      <c r="BM696" s="118"/>
      <c r="BN696" s="401"/>
      <c r="BO696" s="118"/>
      <c r="BP696" s="118"/>
      <c r="BQ696" s="118"/>
      <c r="BR696" s="118"/>
      <c r="BS696" s="401"/>
      <c r="BT696" s="401"/>
      <c r="BU696" s="401"/>
      <c r="BV696" s="401"/>
      <c r="BW696" s="122"/>
    </row>
    <row r="697" spans="1:75" s="123" customFormat="1" hidden="1" outlineLevel="1" x14ac:dyDescent="0.5">
      <c r="A697" s="464" t="s">
        <v>2072</v>
      </c>
      <c r="B697" s="513"/>
      <c r="C697" s="401"/>
      <c r="D697" s="401"/>
      <c r="E697" s="401"/>
      <c r="F697" s="401"/>
      <c r="G697" s="118"/>
      <c r="H697" s="118"/>
      <c r="I697" s="118"/>
      <c r="J697" s="118"/>
      <c r="K697" s="401"/>
      <c r="L697" s="118"/>
      <c r="M697" s="118"/>
      <c r="N697" s="118"/>
      <c r="O697" s="118"/>
      <c r="P697" s="401"/>
      <c r="Q697" s="118"/>
      <c r="R697" s="118"/>
      <c r="S697" s="118"/>
      <c r="T697" s="118"/>
      <c r="U697" s="401"/>
      <c r="V697" s="118"/>
      <c r="W697" s="118"/>
      <c r="X697" s="118"/>
      <c r="Y697" s="118"/>
      <c r="Z697" s="401"/>
      <c r="AA697" s="118"/>
      <c r="AB697" s="118"/>
      <c r="AC697" s="118"/>
      <c r="AD697" s="302">
        <v>1.8420000000000001</v>
      </c>
      <c r="AE697" s="403">
        <v>1.8420000000000001</v>
      </c>
      <c r="AF697" s="302">
        <v>1.4670000000000001</v>
      </c>
      <c r="AG697" s="302">
        <v>1.0549999999999999</v>
      </c>
      <c r="AH697" s="302">
        <v>1.3</v>
      </c>
      <c r="AI697" s="302">
        <v>0.84599999999999997</v>
      </c>
      <c r="AJ697" s="403">
        <v>4.6680000000000001</v>
      </c>
      <c r="AK697" s="302">
        <v>1.4279999999999999</v>
      </c>
      <c r="AL697" s="302">
        <v>1.536</v>
      </c>
      <c r="AM697" s="302">
        <v>1.5109999999999999</v>
      </c>
      <c r="AN697" s="302">
        <v>1.484</v>
      </c>
      <c r="AO697" s="403">
        <v>5.9589999999999996</v>
      </c>
      <c r="AP697" s="302">
        <v>0.74099999999999999</v>
      </c>
      <c r="AQ697" s="302">
        <v>0.45100000000000001</v>
      </c>
      <c r="AR697" s="302">
        <v>0.47299999999999998</v>
      </c>
      <c r="AS697" s="302">
        <v>0.248</v>
      </c>
      <c r="AT697" s="403">
        <v>1.913</v>
      </c>
      <c r="AU697" s="302">
        <v>0.51100000000000001</v>
      </c>
      <c r="AV697" s="302">
        <v>0.46200000000000002</v>
      </c>
      <c r="AW697" s="302">
        <v>0.47299999999999998</v>
      </c>
      <c r="AX697" s="302">
        <v>-4.9000000000000002E-2</v>
      </c>
      <c r="AY697" s="403">
        <v>1.397</v>
      </c>
      <c r="AZ697" s="118"/>
      <c r="BA697" s="118"/>
      <c r="BB697" s="118"/>
      <c r="BC697" s="118"/>
      <c r="BD697" s="401"/>
      <c r="BE697" s="118"/>
      <c r="BF697" s="118"/>
      <c r="BG697" s="118"/>
      <c r="BH697" s="118"/>
      <c r="BI697" s="401"/>
      <c r="BJ697" s="971"/>
      <c r="BK697" s="118"/>
      <c r="BL697" s="118"/>
      <c r="BM697" s="118"/>
      <c r="BN697" s="401"/>
      <c r="BO697" s="118"/>
      <c r="BP697" s="118"/>
      <c r="BQ697" s="118"/>
      <c r="BR697" s="118"/>
      <c r="BS697" s="401"/>
      <c r="BT697" s="401"/>
      <c r="BU697" s="401"/>
      <c r="BV697" s="401"/>
      <c r="BW697" s="122"/>
    </row>
    <row r="698" spans="1:75" s="123" customFormat="1" hidden="1" outlineLevel="1" x14ac:dyDescent="0.5">
      <c r="A698" s="464" t="s">
        <v>2075</v>
      </c>
      <c r="B698" s="513"/>
      <c r="C698" s="401"/>
      <c r="D698" s="401"/>
      <c r="E698" s="401"/>
      <c r="F698" s="401"/>
      <c r="G698" s="118"/>
      <c r="H698" s="118"/>
      <c r="I698" s="118"/>
      <c r="J698" s="118"/>
      <c r="K698" s="401"/>
      <c r="L698" s="118"/>
      <c r="M698" s="118"/>
      <c r="N698" s="118"/>
      <c r="O698" s="118"/>
      <c r="P698" s="401"/>
      <c r="Q698" s="118"/>
      <c r="R698" s="118"/>
      <c r="S698" s="118"/>
      <c r="T698" s="118"/>
      <c r="U698" s="401"/>
      <c r="V698" s="118"/>
      <c r="W698" s="118"/>
      <c r="X698" s="118"/>
      <c r="Y698" s="118"/>
      <c r="Z698" s="401"/>
      <c r="AA698" s="118"/>
      <c r="AB698" s="118"/>
      <c r="AC698" s="118"/>
      <c r="AD698" s="118"/>
      <c r="AE698" s="401"/>
      <c r="AF698" s="118"/>
      <c r="AG698" s="118"/>
      <c r="AH698" s="118"/>
      <c r="AI698" s="118"/>
      <c r="AJ698" s="401"/>
      <c r="AK698" s="118"/>
      <c r="AL698" s="118"/>
      <c r="AM698" s="118"/>
      <c r="AN698" s="118"/>
      <c r="AO698" s="401"/>
      <c r="AP698" s="118"/>
      <c r="AQ698" s="118"/>
      <c r="AR698" s="118"/>
      <c r="AS698" s="118"/>
      <c r="AT698" s="401"/>
      <c r="AU698" s="118"/>
      <c r="AV698" s="118"/>
      <c r="AW698" s="118"/>
      <c r="AX698" s="118"/>
      <c r="AY698" s="401"/>
      <c r="AZ698" s="118"/>
      <c r="BA698" s="118"/>
      <c r="BB698" s="118"/>
      <c r="BC698" s="118"/>
      <c r="BD698" s="401"/>
      <c r="BE698" s="302">
        <v>4.6900000000000004</v>
      </c>
      <c r="BF698" s="118"/>
      <c r="BG698" s="118"/>
      <c r="BH698" s="118"/>
      <c r="BI698" s="403">
        <v>4.6900000000000004</v>
      </c>
      <c r="BJ698" s="971"/>
      <c r="BK698" s="118"/>
      <c r="BL698" s="118"/>
      <c r="BM698" s="118"/>
      <c r="BN698" s="401"/>
      <c r="BO698" s="118"/>
      <c r="BP698" s="118"/>
      <c r="BQ698" s="118"/>
      <c r="BR698" s="118"/>
      <c r="BS698" s="401"/>
      <c r="BT698" s="401"/>
      <c r="BU698" s="401"/>
      <c r="BV698" s="401"/>
      <c r="BW698" s="122"/>
    </row>
    <row r="699" spans="1:75" s="123" customFormat="1" hidden="1" outlineLevel="1" x14ac:dyDescent="0.5">
      <c r="A699" s="464" t="s">
        <v>2082</v>
      </c>
      <c r="B699" s="513"/>
      <c r="C699" s="401"/>
      <c r="D699" s="401"/>
      <c r="E699" s="401"/>
      <c r="F699" s="401"/>
      <c r="G699" s="118"/>
      <c r="H699" s="118"/>
      <c r="I699" s="118"/>
      <c r="J699" s="118"/>
      <c r="K699" s="401"/>
      <c r="L699" s="118"/>
      <c r="M699" s="118"/>
      <c r="N699" s="118"/>
      <c r="O699" s="118"/>
      <c r="P699" s="401"/>
      <c r="Q699" s="118"/>
      <c r="R699" s="118"/>
      <c r="S699" s="118"/>
      <c r="T699" s="118"/>
      <c r="U699" s="401"/>
      <c r="V699" s="118"/>
      <c r="W699" s="118"/>
      <c r="X699" s="118"/>
      <c r="Y699" s="118"/>
      <c r="Z699" s="401"/>
      <c r="AA699" s="118"/>
      <c r="AB699" s="118"/>
      <c r="AC699" s="118"/>
      <c r="AD699" s="118"/>
      <c r="AE699" s="401"/>
      <c r="AF699" s="118"/>
      <c r="AG699" s="118"/>
      <c r="AH699" s="118"/>
      <c r="AI699" s="118"/>
      <c r="AJ699" s="401"/>
      <c r="AK699" s="118"/>
      <c r="AL699" s="118"/>
      <c r="AM699" s="118"/>
      <c r="AN699" s="118"/>
      <c r="AO699" s="401"/>
      <c r="AP699" s="118"/>
      <c r="AQ699" s="118"/>
      <c r="AR699" s="118"/>
      <c r="AS699" s="118"/>
      <c r="AT699" s="401"/>
      <c r="AU699" s="118"/>
      <c r="AV699" s="118"/>
      <c r="AW699" s="118"/>
      <c r="AX699" s="118"/>
      <c r="AY699" s="401"/>
      <c r="AZ699" s="118"/>
      <c r="BA699" s="118"/>
      <c r="BB699" s="118"/>
      <c r="BC699" s="118"/>
      <c r="BD699" s="401"/>
      <c r="BE699" s="302">
        <v>2.1739999999999999</v>
      </c>
      <c r="BF699" s="118"/>
      <c r="BG699" s="118"/>
      <c r="BH699" s="118"/>
      <c r="BI699" s="403">
        <v>2.1739999999999999</v>
      </c>
      <c r="BJ699" s="971"/>
      <c r="BK699" s="118"/>
      <c r="BL699" s="118"/>
      <c r="BM699" s="118"/>
      <c r="BN699" s="401"/>
      <c r="BO699" s="118"/>
      <c r="BP699" s="118"/>
      <c r="BQ699" s="118"/>
      <c r="BR699" s="118"/>
      <c r="BS699" s="401"/>
      <c r="BT699" s="401"/>
      <c r="BU699" s="401"/>
      <c r="BV699" s="401"/>
      <c r="BW699" s="122"/>
    </row>
    <row r="700" spans="1:75" s="123" customFormat="1" hidden="1" outlineLevel="1" x14ac:dyDescent="0.5">
      <c r="A700" s="464" t="s">
        <v>2077</v>
      </c>
      <c r="B700" s="513"/>
      <c r="C700" s="401"/>
      <c r="D700" s="401"/>
      <c r="E700" s="401"/>
      <c r="F700" s="401"/>
      <c r="G700" s="118"/>
      <c r="H700" s="118"/>
      <c r="I700" s="118"/>
      <c r="J700" s="118"/>
      <c r="K700" s="401"/>
      <c r="L700" s="118"/>
      <c r="M700" s="118"/>
      <c r="N700" s="118"/>
      <c r="O700" s="118"/>
      <c r="P700" s="401"/>
      <c r="Q700" s="118"/>
      <c r="R700" s="118"/>
      <c r="S700" s="118"/>
      <c r="T700" s="118"/>
      <c r="U700" s="401"/>
      <c r="V700" s="122">
        <f>V686-V715</f>
        <v>5.0747400000000003</v>
      </c>
      <c r="W700" s="122">
        <f>W686-W715</f>
        <v>0</v>
      </c>
      <c r="X700" s="122">
        <f>X686-X715</f>
        <v>0.29355999999999993</v>
      </c>
      <c r="Y700" s="122">
        <f>Y686-Y715</f>
        <v>0</v>
      </c>
      <c r="Z700" s="674">
        <f>Z686-Z715</f>
        <v>5.4597999999999995</v>
      </c>
      <c r="AA700" s="302">
        <v>1.9710000000000001</v>
      </c>
      <c r="AB700" s="118"/>
      <c r="AC700" s="118"/>
      <c r="AD700" s="302">
        <v>0.86199999999999999</v>
      </c>
      <c r="AE700" s="403">
        <v>2.8330000000000002</v>
      </c>
      <c r="AF700" s="302">
        <v>0.40200000000000002</v>
      </c>
      <c r="AG700" s="302">
        <v>0.46800000000000003</v>
      </c>
      <c r="AH700" s="302">
        <v>0.47899999999999998</v>
      </c>
      <c r="AI700" s="302">
        <v>0.58399999999999996</v>
      </c>
      <c r="AJ700" s="403">
        <v>1.9330000000000001</v>
      </c>
      <c r="AK700" s="302">
        <v>-0.28899999999999998</v>
      </c>
      <c r="AL700" s="302">
        <v>-0.49299999999999999</v>
      </c>
      <c r="AM700" s="302">
        <v>0.48</v>
      </c>
      <c r="AN700" s="302">
        <v>-0.2</v>
      </c>
      <c r="AO700" s="403">
        <v>-0.502</v>
      </c>
      <c r="AP700" s="118"/>
      <c r="AQ700" s="118"/>
      <c r="AR700" s="118"/>
      <c r="AS700" s="118"/>
      <c r="AT700" s="401"/>
      <c r="AU700" s="118"/>
      <c r="AV700" s="118"/>
      <c r="AW700" s="118"/>
      <c r="AX700" s="118"/>
      <c r="AY700" s="401"/>
      <c r="AZ700" s="118"/>
      <c r="BA700" s="118"/>
      <c r="BB700" s="118"/>
      <c r="BC700" s="118"/>
      <c r="BD700" s="401"/>
      <c r="BE700" s="118"/>
      <c r="BF700" s="118"/>
      <c r="BG700" s="118"/>
      <c r="BH700" s="118"/>
      <c r="BI700" s="401"/>
      <c r="BJ700" s="971"/>
      <c r="BK700" s="118"/>
      <c r="BL700" s="118"/>
      <c r="BM700" s="118"/>
      <c r="BN700" s="401"/>
      <c r="BO700" s="118"/>
      <c r="BP700" s="118"/>
      <c r="BQ700" s="118"/>
      <c r="BR700" s="118"/>
      <c r="BS700" s="401"/>
      <c r="BT700" s="401"/>
      <c r="BU700" s="401"/>
      <c r="BV700" s="401"/>
      <c r="BW700" s="122"/>
    </row>
    <row r="701" spans="1:75" s="123" customFormat="1" hidden="1" outlineLevel="1" x14ac:dyDescent="0.5">
      <c r="A701" s="464" t="s">
        <v>2078</v>
      </c>
      <c r="B701" s="513"/>
      <c r="C701" s="401"/>
      <c r="D701" s="401"/>
      <c r="E701" s="401"/>
      <c r="F701" s="401"/>
      <c r="G701" s="118"/>
      <c r="H701" s="118"/>
      <c r="I701" s="118"/>
      <c r="J701" s="118"/>
      <c r="K701" s="401"/>
      <c r="L701" s="118"/>
      <c r="M701" s="118"/>
      <c r="N701" s="118"/>
      <c r="O701" s="118"/>
      <c r="P701" s="401"/>
      <c r="Q701" s="118"/>
      <c r="R701" s="118"/>
      <c r="S701" s="118"/>
      <c r="T701" s="118"/>
      <c r="U701" s="401"/>
      <c r="V701" s="118"/>
      <c r="W701" s="118"/>
      <c r="X701" s="118"/>
      <c r="Y701" s="118"/>
      <c r="Z701" s="401"/>
      <c r="AA701" s="118"/>
      <c r="AB701" s="118"/>
      <c r="AC701" s="118"/>
      <c r="AD701" s="118"/>
      <c r="AE701" s="401"/>
      <c r="AF701" s="118"/>
      <c r="AG701" s="302">
        <v>1.2889999999999999</v>
      </c>
      <c r="AH701" s="302">
        <v>0.30299999999999999</v>
      </c>
      <c r="AI701" s="302">
        <v>1.5880000000000001</v>
      </c>
      <c r="AJ701" s="403">
        <v>3.18</v>
      </c>
      <c r="AK701" s="118"/>
      <c r="AL701" s="118"/>
      <c r="AM701" s="118"/>
      <c r="AN701" s="118"/>
      <c r="AO701" s="401"/>
      <c r="AP701" s="118"/>
      <c r="AQ701" s="118"/>
      <c r="AR701" s="118"/>
      <c r="AS701" s="118"/>
      <c r="AT701" s="401"/>
      <c r="AU701" s="118"/>
      <c r="AV701" s="118"/>
      <c r="AW701" s="118"/>
      <c r="AX701" s="118"/>
      <c r="AY701" s="401"/>
      <c r="AZ701" s="118"/>
      <c r="BA701" s="118"/>
      <c r="BB701" s="118"/>
      <c r="BC701" s="302">
        <v>2.84</v>
      </c>
      <c r="BD701" s="403">
        <v>2.84</v>
      </c>
      <c r="BE701" s="118"/>
      <c r="BF701" s="118"/>
      <c r="BG701" s="118"/>
      <c r="BH701" s="118"/>
      <c r="BI701" s="401"/>
      <c r="BJ701" s="971"/>
      <c r="BK701" s="118"/>
      <c r="BL701" s="118"/>
      <c r="BM701" s="118"/>
      <c r="BN701" s="401"/>
      <c r="BO701" s="118"/>
      <c r="BP701" s="118"/>
      <c r="BQ701" s="118"/>
      <c r="BR701" s="118"/>
      <c r="BS701" s="401"/>
      <c r="BT701" s="401"/>
      <c r="BU701" s="401"/>
      <c r="BV701" s="401"/>
      <c r="BW701" s="122"/>
    </row>
    <row r="702" spans="1:75" s="123" customFormat="1" hidden="1" outlineLevel="1" x14ac:dyDescent="0.5">
      <c r="A702" s="464" t="s">
        <v>2079</v>
      </c>
      <c r="B702" s="513"/>
      <c r="C702" s="401"/>
      <c r="D702" s="401"/>
      <c r="E702" s="401"/>
      <c r="F702" s="674">
        <f t="shared" ref="F702:K702" si="953">F688-F719</f>
        <v>2.9479600000000001</v>
      </c>
      <c r="G702" s="122">
        <f t="shared" si="953"/>
        <v>0.94569999999999999</v>
      </c>
      <c r="H702" s="122">
        <f t="shared" si="953"/>
        <v>0</v>
      </c>
      <c r="I702" s="122">
        <f t="shared" si="953"/>
        <v>0</v>
      </c>
      <c r="J702" s="122">
        <f t="shared" si="953"/>
        <v>0</v>
      </c>
      <c r="K702" s="674">
        <f t="shared" si="953"/>
        <v>0.96069999999999989</v>
      </c>
      <c r="L702" s="118"/>
      <c r="M702" s="118"/>
      <c r="N702" s="118"/>
      <c r="O702" s="118"/>
      <c r="P702" s="401"/>
      <c r="Q702" s="118"/>
      <c r="R702" s="118"/>
      <c r="S702" s="118"/>
      <c r="T702" s="118"/>
      <c r="U702" s="401"/>
      <c r="V702" s="118"/>
      <c r="W702" s="118"/>
      <c r="X702" s="118"/>
      <c r="Y702" s="118"/>
      <c r="Z702" s="401"/>
      <c r="AA702" s="118"/>
      <c r="AB702" s="118"/>
      <c r="AC702" s="118"/>
      <c r="AD702" s="118"/>
      <c r="AE702" s="401"/>
      <c r="AF702" s="118"/>
      <c r="AG702" s="118"/>
      <c r="AH702" s="118"/>
      <c r="AI702" s="118"/>
      <c r="AJ702" s="401"/>
      <c r="AK702" s="118"/>
      <c r="AL702" s="118"/>
      <c r="AM702" s="118"/>
      <c r="AN702" s="118"/>
      <c r="AO702" s="401"/>
      <c r="AP702" s="302">
        <v>2.94</v>
      </c>
      <c r="AQ702" s="118"/>
      <c r="AR702" s="118"/>
      <c r="AS702" s="118"/>
      <c r="AT702" s="403">
        <v>2.94</v>
      </c>
      <c r="AU702" s="118"/>
      <c r="AV702" s="118"/>
      <c r="AW702" s="118"/>
      <c r="AX702" s="118"/>
      <c r="AY702" s="401"/>
      <c r="AZ702" s="118"/>
      <c r="BA702" s="118"/>
      <c r="BB702" s="118"/>
      <c r="BC702" s="118"/>
      <c r="BD702" s="401"/>
      <c r="BE702" s="118"/>
      <c r="BF702" s="118"/>
      <c r="BG702" s="118"/>
      <c r="BH702" s="118"/>
      <c r="BI702" s="401"/>
      <c r="BJ702" s="971"/>
      <c r="BK702" s="118"/>
      <c r="BL702" s="118"/>
      <c r="BM702" s="118"/>
      <c r="BN702" s="401"/>
      <c r="BO702" s="118"/>
      <c r="BP702" s="118"/>
      <c r="BQ702" s="118"/>
      <c r="BR702" s="118"/>
      <c r="BS702" s="401"/>
      <c r="BT702" s="401"/>
      <c r="BU702" s="401"/>
      <c r="BV702" s="401"/>
      <c r="BW702" s="122"/>
    </row>
    <row r="703" spans="1:75" s="123" customFormat="1" hidden="1" outlineLevel="1" x14ac:dyDescent="0.5">
      <c r="A703" s="464" t="s">
        <v>2084</v>
      </c>
      <c r="B703" s="513"/>
      <c r="C703" s="401"/>
      <c r="D703" s="401"/>
      <c r="E703" s="401"/>
      <c r="F703" s="401"/>
      <c r="G703" s="118"/>
      <c r="H703" s="118"/>
      <c r="I703" s="118"/>
      <c r="J703" s="118"/>
      <c r="K703" s="401"/>
      <c r="L703" s="118"/>
      <c r="M703" s="118"/>
      <c r="N703" s="118"/>
      <c r="O703" s="118"/>
      <c r="P703" s="401"/>
      <c r="Q703" s="118"/>
      <c r="R703" s="118"/>
      <c r="S703" s="118"/>
      <c r="T703" s="118"/>
      <c r="U703" s="401"/>
      <c r="V703" s="118"/>
      <c r="W703" s="118"/>
      <c r="X703" s="118"/>
      <c r="Y703" s="118"/>
      <c r="Z703" s="401"/>
      <c r="AA703" s="118"/>
      <c r="AB703" s="118"/>
      <c r="AC703" s="118"/>
      <c r="AD703" s="302">
        <v>-41.530999999999999</v>
      </c>
      <c r="AE703" s="403">
        <v>-41.530999999999999</v>
      </c>
      <c r="AF703" s="302">
        <v>-3.298</v>
      </c>
      <c r="AG703" s="302">
        <v>-2.8879999999999999</v>
      </c>
      <c r="AH703" s="302">
        <v>10.564</v>
      </c>
      <c r="AI703" s="302">
        <v>-0.254</v>
      </c>
      <c r="AJ703" s="403">
        <v>4.1239999999999997</v>
      </c>
      <c r="AK703" s="118"/>
      <c r="AL703" s="118"/>
      <c r="AM703" s="302">
        <v>-9.8000000000000004E-2</v>
      </c>
      <c r="AN703" s="302">
        <v>-6.4000000000000001E-2</v>
      </c>
      <c r="AO703" s="403">
        <v>-0.16200000000000001</v>
      </c>
      <c r="AP703" s="118"/>
      <c r="AQ703" s="118"/>
      <c r="AR703" s="302">
        <v>0</v>
      </c>
      <c r="AS703" s="118"/>
      <c r="AT703" s="401"/>
      <c r="AU703" s="118"/>
      <c r="AV703" s="118"/>
      <c r="AW703" s="118"/>
      <c r="AX703" s="118"/>
      <c r="AY703" s="401"/>
      <c r="AZ703" s="118"/>
      <c r="BA703" s="118"/>
      <c r="BB703" s="118"/>
      <c r="BC703" s="118"/>
      <c r="BD703" s="401"/>
      <c r="BE703" s="118"/>
      <c r="BF703" s="118"/>
      <c r="BG703" s="118"/>
      <c r="BH703" s="118"/>
      <c r="BI703" s="401"/>
      <c r="BJ703" s="971"/>
      <c r="BK703" s="118"/>
      <c r="BL703" s="118"/>
      <c r="BM703" s="118"/>
      <c r="BN703" s="401"/>
      <c r="BO703" s="118"/>
      <c r="BP703" s="118"/>
      <c r="BQ703" s="118"/>
      <c r="BR703" s="118"/>
      <c r="BS703" s="401"/>
      <c r="BT703" s="401"/>
      <c r="BU703" s="401"/>
      <c r="BV703" s="401"/>
      <c r="BW703" s="122"/>
    </row>
    <row r="704" spans="1:75" s="123" customFormat="1" hidden="1" outlineLevel="1" x14ac:dyDescent="0.5">
      <c r="A704" s="464" t="s">
        <v>2085</v>
      </c>
      <c r="B704" s="513"/>
      <c r="C704" s="401"/>
      <c r="D704" s="401"/>
      <c r="E704" s="401"/>
      <c r="F704" s="401"/>
      <c r="G704" s="118"/>
      <c r="H704" s="118"/>
      <c r="I704" s="118"/>
      <c r="J704" s="118"/>
      <c r="K704" s="401"/>
      <c r="L704" s="118"/>
      <c r="M704" s="118"/>
      <c r="N704" s="118"/>
      <c r="O704" s="118"/>
      <c r="P704" s="401"/>
      <c r="Q704" s="118"/>
      <c r="R704" s="118"/>
      <c r="S704" s="118"/>
      <c r="T704" s="118"/>
      <c r="U704" s="401"/>
      <c r="V704" s="118"/>
      <c r="W704" s="118"/>
      <c r="X704" s="118"/>
      <c r="Y704" s="118"/>
      <c r="Z704" s="401"/>
      <c r="AA704" s="118"/>
      <c r="AB704" s="118"/>
      <c r="AC704" s="118"/>
      <c r="AD704" s="118"/>
      <c r="AE704" s="401"/>
      <c r="AF704" s="118"/>
      <c r="AG704" s="118"/>
      <c r="AH704" s="118"/>
      <c r="AI704" s="118"/>
      <c r="AJ704" s="401"/>
      <c r="AK704" s="118"/>
      <c r="AL704" s="118"/>
      <c r="AM704" s="118"/>
      <c r="AN704" s="118"/>
      <c r="AO704" s="401"/>
      <c r="AP704" s="302">
        <v>4.0369999999999999</v>
      </c>
      <c r="AQ704" s="302">
        <v>1.2869999999999999</v>
      </c>
      <c r="AR704" s="118"/>
      <c r="AS704" s="302">
        <v>1.2689999999999999</v>
      </c>
      <c r="AT704" s="403">
        <v>6.593</v>
      </c>
      <c r="AU704" s="118"/>
      <c r="AV704" s="118"/>
      <c r="AW704" s="118"/>
      <c r="AX704" s="118"/>
      <c r="AY704" s="401"/>
      <c r="AZ704" s="118"/>
      <c r="BA704" s="118"/>
      <c r="BB704" s="118"/>
      <c r="BC704" s="118"/>
      <c r="BD704" s="401"/>
      <c r="BE704" s="118"/>
      <c r="BF704" s="118"/>
      <c r="BG704" s="118"/>
      <c r="BH704" s="118"/>
      <c r="BI704" s="401"/>
      <c r="BJ704" s="971"/>
      <c r="BK704" s="118"/>
      <c r="BL704" s="118"/>
      <c r="BM704" s="118"/>
      <c r="BN704" s="401"/>
      <c r="BO704" s="118"/>
      <c r="BP704" s="118"/>
      <c r="BQ704" s="118"/>
      <c r="BR704" s="118"/>
      <c r="BS704" s="401"/>
      <c r="BT704" s="401"/>
      <c r="BU704" s="401"/>
      <c r="BV704" s="401"/>
      <c r="BW704" s="122"/>
    </row>
    <row r="705" spans="1:75" s="123" customFormat="1" hidden="1" outlineLevel="1" x14ac:dyDescent="0.5">
      <c r="A705" s="464" t="s">
        <v>2090</v>
      </c>
      <c r="B705" s="513"/>
      <c r="C705" s="401"/>
      <c r="D705" s="401"/>
      <c r="E705" s="401"/>
      <c r="F705" s="401"/>
      <c r="G705" s="118"/>
      <c r="H705" s="118"/>
      <c r="I705" s="118"/>
      <c r="J705" s="118"/>
      <c r="K705" s="401"/>
      <c r="L705" s="118"/>
      <c r="M705" s="118"/>
      <c r="N705" s="118"/>
      <c r="O705" s="118"/>
      <c r="P705" s="401"/>
      <c r="Q705" s="118"/>
      <c r="R705" s="118"/>
      <c r="S705" s="118"/>
      <c r="T705" s="118"/>
      <c r="U705" s="401"/>
      <c r="V705" s="118">
        <f t="shared" ref="V705:Z705" si="954">-V724</f>
        <v>0</v>
      </c>
      <c r="W705" s="118">
        <f t="shared" si="954"/>
        <v>0</v>
      </c>
      <c r="X705" s="118">
        <f t="shared" si="954"/>
        <v>0</v>
      </c>
      <c r="Y705" s="118">
        <f t="shared" si="954"/>
        <v>7.0906399999999996</v>
      </c>
      <c r="Z705" s="401">
        <f t="shared" si="954"/>
        <v>7.1569600000000007</v>
      </c>
      <c r="AA705" s="118"/>
      <c r="AB705" s="118"/>
      <c r="AC705" s="118"/>
      <c r="AD705" s="118"/>
      <c r="AE705" s="401"/>
      <c r="AF705" s="118"/>
      <c r="AG705" s="118"/>
      <c r="AH705" s="118"/>
      <c r="AI705" s="118"/>
      <c r="AJ705" s="401"/>
      <c r="AK705" s="118"/>
      <c r="AL705" s="118"/>
      <c r="AM705" s="118"/>
      <c r="AN705" s="118"/>
      <c r="AO705" s="401"/>
      <c r="AP705" s="118"/>
      <c r="AQ705" s="118"/>
      <c r="AR705" s="118"/>
      <c r="AS705" s="118"/>
      <c r="AT705" s="401"/>
      <c r="AU705" s="118"/>
      <c r="AV705" s="118"/>
      <c r="AW705" s="118"/>
      <c r="AX705" s="118"/>
      <c r="AY705" s="401"/>
      <c r="AZ705" s="118"/>
      <c r="BA705" s="118"/>
      <c r="BB705" s="118"/>
      <c r="BC705" s="118"/>
      <c r="BD705" s="401"/>
      <c r="BE705" s="118"/>
      <c r="BF705" s="118"/>
      <c r="BG705" s="118"/>
      <c r="BH705" s="118"/>
      <c r="BI705" s="401"/>
      <c r="BJ705" s="971"/>
      <c r="BK705" s="118"/>
      <c r="BL705" s="118"/>
      <c r="BM705" s="118"/>
      <c r="BN705" s="401"/>
      <c r="BO705" s="118"/>
      <c r="BP705" s="118"/>
      <c r="BQ705" s="118"/>
      <c r="BR705" s="118"/>
      <c r="BS705" s="401"/>
      <c r="BT705" s="401"/>
      <c r="BU705" s="401"/>
      <c r="BV705" s="401"/>
      <c r="BW705" s="122"/>
    </row>
    <row r="706" spans="1:75" s="123" customFormat="1" hidden="1" outlineLevel="1" x14ac:dyDescent="0.5">
      <c r="A706" s="464" t="s">
        <v>2091</v>
      </c>
      <c r="B706" s="513"/>
      <c r="C706" s="401"/>
      <c r="D706" s="401"/>
      <c r="E706" s="401"/>
      <c r="F706" s="401"/>
      <c r="G706" s="118"/>
      <c r="H706" s="118"/>
      <c r="I706" s="118"/>
      <c r="J706" s="118"/>
      <c r="K706" s="401"/>
      <c r="L706" s="118"/>
      <c r="M706" s="118"/>
      <c r="N706" s="118"/>
      <c r="O706" s="118"/>
      <c r="P706" s="401"/>
      <c r="Q706" s="118"/>
      <c r="R706" s="118"/>
      <c r="S706" s="118"/>
      <c r="T706" s="118"/>
      <c r="U706" s="401"/>
      <c r="V706" s="118"/>
      <c r="W706" s="118"/>
      <c r="X706" s="118"/>
      <c r="Y706" s="118"/>
      <c r="Z706" s="401"/>
      <c r="AA706" s="118"/>
      <c r="AB706" s="118"/>
      <c r="AC706" s="118"/>
      <c r="AD706" s="118"/>
      <c r="AE706" s="401"/>
      <c r="AF706" s="118"/>
      <c r="AG706" s="118"/>
      <c r="AH706" s="118"/>
      <c r="AI706" s="118"/>
      <c r="AJ706" s="401"/>
      <c r="AK706" s="118"/>
      <c r="AL706" s="118"/>
      <c r="AM706" s="118"/>
      <c r="AN706" s="302">
        <v>6.0460000000000003</v>
      </c>
      <c r="AO706" s="403">
        <v>6.0460000000000003</v>
      </c>
      <c r="AP706" s="118"/>
      <c r="AQ706" s="118"/>
      <c r="AR706" s="302">
        <v>0.64700000000000002</v>
      </c>
      <c r="AS706" s="302">
        <v>4.383</v>
      </c>
      <c r="AT706" s="403">
        <v>5.03</v>
      </c>
      <c r="AU706" s="118"/>
      <c r="AV706" s="118"/>
      <c r="AW706" s="118"/>
      <c r="AX706" s="118"/>
      <c r="AY706" s="401"/>
      <c r="AZ706" s="118"/>
      <c r="BA706" s="118"/>
      <c r="BB706" s="118"/>
      <c r="BC706" s="118"/>
      <c r="BD706" s="401"/>
      <c r="BE706" s="118"/>
      <c r="BF706" s="118"/>
      <c r="BG706" s="118"/>
      <c r="BH706" s="118"/>
      <c r="BI706" s="401"/>
      <c r="BJ706" s="971"/>
      <c r="BK706" s="118"/>
      <c r="BL706" s="118"/>
      <c r="BM706" s="118"/>
      <c r="BN706" s="401"/>
      <c r="BO706" s="118"/>
      <c r="BP706" s="118"/>
      <c r="BQ706" s="118"/>
      <c r="BR706" s="118"/>
      <c r="BS706" s="401"/>
      <c r="BT706" s="401"/>
      <c r="BU706" s="401"/>
      <c r="BV706" s="401"/>
      <c r="BW706" s="122"/>
    </row>
    <row r="707" spans="1:75" s="123" customFormat="1" hidden="1" outlineLevel="1" x14ac:dyDescent="0.5">
      <c r="A707" s="464" t="s">
        <v>2092</v>
      </c>
      <c r="B707" s="513"/>
      <c r="C707" s="401"/>
      <c r="D707" s="401"/>
      <c r="E707" s="401"/>
      <c r="F707" s="401"/>
      <c r="G707" s="118"/>
      <c r="H707" s="118"/>
      <c r="I707" s="118"/>
      <c r="J707" s="118"/>
      <c r="K707" s="401"/>
      <c r="L707" s="118"/>
      <c r="M707" s="118"/>
      <c r="N707" s="118"/>
      <c r="O707" s="118"/>
      <c r="P707" s="401"/>
      <c r="Q707" s="118"/>
      <c r="R707" s="118"/>
      <c r="S707" s="118"/>
      <c r="T707" s="118"/>
      <c r="U707" s="401"/>
      <c r="V707" s="118"/>
      <c r="W707" s="118"/>
      <c r="X707" s="118"/>
      <c r="Y707" s="118"/>
      <c r="Z707" s="401"/>
      <c r="AA707" s="302">
        <v>-1.429</v>
      </c>
      <c r="AB707" s="118"/>
      <c r="AC707" s="118"/>
      <c r="AD707" s="302">
        <v>1.6859999999999999</v>
      </c>
      <c r="AE707" s="403">
        <v>0.25700000000000001</v>
      </c>
      <c r="AF707" s="302">
        <v>-1.1459999999999999</v>
      </c>
      <c r="AG707" s="118"/>
      <c r="AH707" s="118"/>
      <c r="AI707" s="118"/>
      <c r="AJ707" s="403">
        <v>-1.1459999999999999</v>
      </c>
      <c r="AK707" s="118"/>
      <c r="AL707" s="118"/>
      <c r="AM707" s="118"/>
      <c r="AN707" s="118"/>
      <c r="AO707" s="401"/>
      <c r="AP707" s="118"/>
      <c r="AQ707" s="118"/>
      <c r="AR707" s="118"/>
      <c r="AS707" s="118"/>
      <c r="AT707" s="401"/>
      <c r="AU707" s="118"/>
      <c r="AV707" s="118"/>
      <c r="AW707" s="118"/>
      <c r="AX707" s="118"/>
      <c r="AY707" s="401"/>
      <c r="AZ707" s="118"/>
      <c r="BA707" s="118"/>
      <c r="BB707" s="118"/>
      <c r="BC707" s="118"/>
      <c r="BD707" s="401"/>
      <c r="BE707" s="118"/>
      <c r="BF707" s="118"/>
      <c r="BG707" s="118"/>
      <c r="BH707" s="118"/>
      <c r="BI707" s="401"/>
      <c r="BJ707" s="971"/>
      <c r="BK707" s="118"/>
      <c r="BL707" s="118"/>
      <c r="BM707" s="118"/>
      <c r="BN707" s="401"/>
      <c r="BO707" s="118"/>
      <c r="BP707" s="118"/>
      <c r="BQ707" s="118"/>
      <c r="BR707" s="118"/>
      <c r="BS707" s="401"/>
      <c r="BT707" s="401"/>
      <c r="BU707" s="401"/>
      <c r="BV707" s="401"/>
      <c r="BW707" s="122"/>
    </row>
    <row r="708" spans="1:75" s="198" customFormat="1" ht="14.25" hidden="1" outlineLevel="1" x14ac:dyDescent="0.45">
      <c r="A708" s="516" t="s">
        <v>2093</v>
      </c>
      <c r="B708" s="517"/>
      <c r="C708" s="519">
        <f t="shared" ref="C708:AH708" si="955">C695+SUM(C696:C707)</f>
        <v>58.85521</v>
      </c>
      <c r="D708" s="519">
        <f t="shared" si="955"/>
        <v>131.13136</v>
      </c>
      <c r="E708" s="519">
        <f t="shared" si="955"/>
        <v>145.76736</v>
      </c>
      <c r="F708" s="519">
        <f t="shared" si="955"/>
        <v>156.17395999999999</v>
      </c>
      <c r="G708" s="520">
        <f t="shared" si="955"/>
        <v>25.451699999999999</v>
      </c>
      <c r="H708" s="520">
        <f t="shared" si="955"/>
        <v>29.292000000000002</v>
      </c>
      <c r="I708" s="520">
        <f t="shared" si="955"/>
        <v>35.878</v>
      </c>
      <c r="J708" s="520">
        <f t="shared" si="955"/>
        <v>84.103999999999999</v>
      </c>
      <c r="K708" s="519">
        <f t="shared" si="955"/>
        <v>174.7407</v>
      </c>
      <c r="L708" s="520">
        <f t="shared" si="955"/>
        <v>28.233000000000001</v>
      </c>
      <c r="M708" s="520">
        <f t="shared" si="955"/>
        <v>34.548999999999999</v>
      </c>
      <c r="N708" s="520">
        <f t="shared" si="955"/>
        <v>39.695</v>
      </c>
      <c r="O708" s="520">
        <f t="shared" si="955"/>
        <v>88.140050000000002</v>
      </c>
      <c r="P708" s="519">
        <f t="shared" si="955"/>
        <v>189.74299999999999</v>
      </c>
      <c r="Q708" s="520">
        <f t="shared" si="955"/>
        <v>27.13</v>
      </c>
      <c r="R708" s="520">
        <f t="shared" si="955"/>
        <v>29.4</v>
      </c>
      <c r="S708" s="520">
        <f t="shared" si="955"/>
        <v>39.859000000000002</v>
      </c>
      <c r="T708" s="520">
        <f t="shared" si="955"/>
        <v>81.55</v>
      </c>
      <c r="U708" s="519">
        <f t="shared" si="955"/>
        <v>177.93899999999999</v>
      </c>
      <c r="V708" s="520">
        <f t="shared" si="955"/>
        <v>29.070740000000001</v>
      </c>
      <c r="W708" s="520">
        <f t="shared" si="955"/>
        <v>31.324000000000002</v>
      </c>
      <c r="X708" s="520">
        <f t="shared" si="955"/>
        <v>40.406559999999999</v>
      </c>
      <c r="Y708" s="520">
        <f t="shared" si="955"/>
        <v>78.181639999999987</v>
      </c>
      <c r="Z708" s="519">
        <f t="shared" si="955"/>
        <v>179.14076</v>
      </c>
      <c r="AA708" s="520">
        <f t="shared" si="955"/>
        <v>23.564</v>
      </c>
      <c r="AB708" s="520">
        <f t="shared" si="955"/>
        <v>28.184000000000001</v>
      </c>
      <c r="AC708" s="520">
        <f t="shared" si="955"/>
        <v>38.905999999999999</v>
      </c>
      <c r="AD708" s="520">
        <f t="shared" si="955"/>
        <v>65.640999999999991</v>
      </c>
      <c r="AE708" s="519">
        <f t="shared" si="955"/>
        <v>156.29500000000002</v>
      </c>
      <c r="AF708" s="520">
        <f t="shared" si="955"/>
        <v>17.606000000000002</v>
      </c>
      <c r="AG708" s="520">
        <f t="shared" si="955"/>
        <v>20.792999999999999</v>
      </c>
      <c r="AH708" s="520">
        <f t="shared" si="955"/>
        <v>23.277000000000001</v>
      </c>
      <c r="AI708" s="520">
        <f t="shared" ref="AI708:BB708" si="956">AI695+SUM(AI696:AI707)</f>
        <v>46.646000000000008</v>
      </c>
      <c r="AJ708" s="519">
        <f t="shared" si="956"/>
        <v>108.322</v>
      </c>
      <c r="AK708" s="520">
        <f t="shared" si="956"/>
        <v>20.361999999999998</v>
      </c>
      <c r="AL708" s="520">
        <f t="shared" si="956"/>
        <v>21.890999999999998</v>
      </c>
      <c r="AM708" s="520">
        <f t="shared" si="956"/>
        <v>26.507000000000001</v>
      </c>
      <c r="AN708" s="520">
        <f t="shared" si="956"/>
        <v>43.54</v>
      </c>
      <c r="AO708" s="519">
        <f t="shared" si="956"/>
        <v>112.30000000000001</v>
      </c>
      <c r="AP708" s="520">
        <f t="shared" si="956"/>
        <v>18.780999999999999</v>
      </c>
      <c r="AQ708" s="520">
        <f t="shared" si="956"/>
        <v>46.070999999999998</v>
      </c>
      <c r="AR708" s="520">
        <f t="shared" si="956"/>
        <v>68.608000000000004</v>
      </c>
      <c r="AS708" s="520">
        <f t="shared" si="956"/>
        <v>96.768000000000015</v>
      </c>
      <c r="AT708" s="519">
        <f t="shared" si="956"/>
        <v>230.22800000000001</v>
      </c>
      <c r="AU708" s="520">
        <f t="shared" si="956"/>
        <v>46.014000000000003</v>
      </c>
      <c r="AV708" s="520">
        <f t="shared" si="956"/>
        <v>77.531000000000006</v>
      </c>
      <c r="AW708" s="520">
        <f t="shared" si="956"/>
        <v>81.094999999999999</v>
      </c>
      <c r="AX708" s="520">
        <f t="shared" si="956"/>
        <v>121.67099999999996</v>
      </c>
      <c r="AY708" s="519">
        <f t="shared" si="956"/>
        <v>326.31099999999998</v>
      </c>
      <c r="AZ708" s="520">
        <f t="shared" si="956"/>
        <v>69.531000000000006</v>
      </c>
      <c r="BA708" s="520">
        <f t="shared" si="956"/>
        <v>98.79</v>
      </c>
      <c r="BB708" s="520">
        <f t="shared" si="956"/>
        <v>88.28</v>
      </c>
      <c r="BC708" s="520">
        <f t="shared" ref="BC708:BI708" si="957">BC695+SUM(BC696:BC707)</f>
        <v>119.01700000000002</v>
      </c>
      <c r="BD708" s="519">
        <f t="shared" si="957"/>
        <v>375.61799999999999</v>
      </c>
      <c r="BE708" s="520">
        <f t="shared" si="957"/>
        <v>55.308000000000007</v>
      </c>
      <c r="BF708" s="520">
        <f t="shared" si="957"/>
        <v>73.376000000000005</v>
      </c>
      <c r="BG708" s="520">
        <f t="shared" si="957"/>
        <v>84.974000000000004</v>
      </c>
      <c r="BH708" s="520">
        <f t="shared" si="957"/>
        <v>116.79900000000001</v>
      </c>
      <c r="BI708" s="519">
        <f t="shared" si="957"/>
        <v>330.45699999999999</v>
      </c>
      <c r="BJ708" s="1270">
        <f>BJ695+SUM(BJ696:BJ707)</f>
        <v>74.215000000000003</v>
      </c>
      <c r="BK708" s="327"/>
      <c r="BL708" s="327"/>
      <c r="BM708" s="327"/>
      <c r="BN708" s="518"/>
      <c r="BO708" s="327"/>
      <c r="BP708" s="327"/>
      <c r="BQ708" s="327"/>
      <c r="BR708" s="327"/>
      <c r="BS708" s="518"/>
      <c r="BT708" s="518"/>
      <c r="BU708" s="518"/>
      <c r="BV708" s="518"/>
      <c r="BW708" s="197"/>
    </row>
    <row r="709" spans="1:75" s="198" customFormat="1" ht="14.25" hidden="1" outlineLevel="1" x14ac:dyDescent="0.45">
      <c r="A709" s="206"/>
      <c r="B709" s="522"/>
      <c r="C709" s="397"/>
      <c r="D709" s="397"/>
      <c r="E709" s="397"/>
      <c r="F709" s="397"/>
      <c r="G709" s="295"/>
      <c r="H709" s="295"/>
      <c r="I709" s="295"/>
      <c r="J709" s="295"/>
      <c r="K709" s="397"/>
      <c r="L709" s="295"/>
      <c r="M709" s="295"/>
      <c r="N709" s="295"/>
      <c r="O709" s="295"/>
      <c r="P709" s="397"/>
      <c r="Q709" s="295"/>
      <c r="R709" s="295"/>
      <c r="S709" s="295"/>
      <c r="T709" s="295"/>
      <c r="U709" s="397"/>
      <c r="V709" s="295"/>
      <c r="W709" s="295"/>
      <c r="X709" s="295"/>
      <c r="Y709" s="295"/>
      <c r="Z709" s="397"/>
      <c r="AA709" s="295"/>
      <c r="AB709" s="295"/>
      <c r="AC709" s="295"/>
      <c r="AD709" s="295"/>
      <c r="AE709" s="397"/>
      <c r="AF709" s="295"/>
      <c r="AG709" s="295"/>
      <c r="AH709" s="295"/>
      <c r="AI709" s="295"/>
      <c r="AJ709" s="397"/>
      <c r="AK709" s="295"/>
      <c r="AL709" s="295"/>
      <c r="AM709" s="295"/>
      <c r="AN709" s="295"/>
      <c r="AO709" s="397"/>
      <c r="AP709" s="295"/>
      <c r="AQ709" s="295"/>
      <c r="AR709" s="295"/>
      <c r="AS709" s="295"/>
      <c r="AT709" s="397"/>
      <c r="AU709" s="295"/>
      <c r="AV709" s="295"/>
      <c r="AW709" s="295"/>
      <c r="AX709" s="295"/>
      <c r="AY709" s="397"/>
      <c r="AZ709" s="295"/>
      <c r="BA709" s="295"/>
      <c r="BB709" s="295"/>
      <c r="BC709" s="295"/>
      <c r="BD709" s="397"/>
      <c r="BE709" s="295"/>
      <c r="BF709" s="295"/>
      <c r="BG709" s="295"/>
      <c r="BH709" s="295"/>
      <c r="BI709" s="397"/>
      <c r="BJ709" s="1030"/>
      <c r="BK709" s="295"/>
      <c r="BL709" s="295"/>
      <c r="BM709" s="295"/>
      <c r="BN709" s="397"/>
      <c r="BO709" s="295"/>
      <c r="BP709" s="295"/>
      <c r="BQ709" s="295"/>
      <c r="BR709" s="295"/>
      <c r="BS709" s="397"/>
      <c r="BT709" s="397"/>
      <c r="BU709" s="397"/>
      <c r="BV709" s="397"/>
      <c r="BW709" s="197"/>
    </row>
    <row r="710" spans="1:75" s="198" customFormat="1" ht="14.25" hidden="1" outlineLevel="1" x14ac:dyDescent="0.45">
      <c r="A710" s="463" t="s">
        <v>1109</v>
      </c>
      <c r="B710" s="522"/>
      <c r="C710" s="672">
        <f t="shared" ref="C710:BE710" si="958">C648</f>
        <v>77.442000000000121</v>
      </c>
      <c r="D710" s="672">
        <f t="shared" si="958"/>
        <v>200.227</v>
      </c>
      <c r="E710" s="672">
        <f t="shared" si="958"/>
        <v>236.93099999999976</v>
      </c>
      <c r="F710" s="672">
        <f t="shared" si="958"/>
        <v>256.73</v>
      </c>
      <c r="G710" s="197">
        <f t="shared" si="958"/>
        <v>39.465999999999958</v>
      </c>
      <c r="H710" s="197">
        <f t="shared" si="958"/>
        <v>48.918999999999954</v>
      </c>
      <c r="I710" s="197">
        <f t="shared" si="958"/>
        <v>56.719000000000023</v>
      </c>
      <c r="J710" s="197">
        <f t="shared" si="958"/>
        <v>133.79800000000006</v>
      </c>
      <c r="K710" s="672">
        <f t="shared" si="958"/>
        <v>278.90200000000038</v>
      </c>
      <c r="L710" s="197">
        <f t="shared" si="958"/>
        <v>46.16200000000002</v>
      </c>
      <c r="M710" s="197">
        <f t="shared" si="958"/>
        <v>50.747000000000064</v>
      </c>
      <c r="N710" s="197">
        <f t="shared" si="958"/>
        <v>64.908000000000015</v>
      </c>
      <c r="O710" s="197">
        <f t="shared" si="958"/>
        <v>147.03699999999998</v>
      </c>
      <c r="P710" s="672">
        <f t="shared" si="958"/>
        <v>308.85399999999987</v>
      </c>
      <c r="Q710" s="197">
        <f t="shared" si="958"/>
        <v>44.789999999999893</v>
      </c>
      <c r="R710" s="197">
        <f t="shared" si="958"/>
        <v>53.668000000000013</v>
      </c>
      <c r="S710" s="197">
        <f t="shared" si="958"/>
        <v>70.482000000000113</v>
      </c>
      <c r="T710" s="197">
        <f t="shared" si="958"/>
        <v>141.12800000000004</v>
      </c>
      <c r="U710" s="672">
        <f t="shared" si="958"/>
        <v>310.06799999999998</v>
      </c>
      <c r="V710" s="197">
        <f t="shared" si="958"/>
        <v>39.597000000000037</v>
      </c>
      <c r="W710" s="197">
        <f t="shared" si="958"/>
        <v>51.785000000000011</v>
      </c>
      <c r="X710" s="197">
        <f t="shared" si="958"/>
        <v>69.377999999999929</v>
      </c>
      <c r="Y710" s="197">
        <f t="shared" si="958"/>
        <v>144.62699999999995</v>
      </c>
      <c r="Z710" s="672">
        <f t="shared" si="958"/>
        <v>305.38699999999994</v>
      </c>
      <c r="AA710" s="197">
        <f t="shared" si="958"/>
        <v>39.555000000000106</v>
      </c>
      <c r="AB710" s="197">
        <f t="shared" si="958"/>
        <v>52.917000000000002</v>
      </c>
      <c r="AC710" s="197">
        <f t="shared" si="958"/>
        <v>71.312999999999988</v>
      </c>
      <c r="AD710" s="197">
        <f t="shared" si="958"/>
        <v>95.76</v>
      </c>
      <c r="AE710" s="672">
        <f t="shared" si="958"/>
        <v>259.54500000000013</v>
      </c>
      <c r="AF710" s="197">
        <f t="shared" si="958"/>
        <v>45.168000000000021</v>
      </c>
      <c r="AG710" s="197">
        <f t="shared" si="958"/>
        <v>51.712999999999994</v>
      </c>
      <c r="AH710" s="197">
        <f t="shared" si="958"/>
        <v>81.464999999999904</v>
      </c>
      <c r="AI710" s="197">
        <f t="shared" si="958"/>
        <v>155.33799999999982</v>
      </c>
      <c r="AJ710" s="672">
        <f t="shared" si="958"/>
        <v>333.68399999999997</v>
      </c>
      <c r="AK710" s="197">
        <f t="shared" si="958"/>
        <v>52.656000000000006</v>
      </c>
      <c r="AL710" s="197">
        <f t="shared" si="958"/>
        <v>62.648000000000081</v>
      </c>
      <c r="AM710" s="197">
        <f t="shared" si="958"/>
        <v>74.713000000000022</v>
      </c>
      <c r="AN710" s="197">
        <f t="shared" si="958"/>
        <v>166.04499999999993</v>
      </c>
      <c r="AO710" s="672">
        <f t="shared" si="958"/>
        <v>356.06199999999956</v>
      </c>
      <c r="AP710" s="197">
        <f t="shared" si="958"/>
        <v>35.422999999999981</v>
      </c>
      <c r="AQ710" s="197">
        <f t="shared" si="958"/>
        <v>134.56399999999999</v>
      </c>
      <c r="AR710" s="197">
        <f t="shared" si="958"/>
        <v>201.77200000000011</v>
      </c>
      <c r="AS710" s="197">
        <f t="shared" si="958"/>
        <v>308.95500000000067</v>
      </c>
      <c r="AT710" s="672">
        <f t="shared" si="958"/>
        <v>680.7140000000004</v>
      </c>
      <c r="AU710" s="197">
        <f t="shared" si="958"/>
        <v>227.80199999999996</v>
      </c>
      <c r="AV710" s="197">
        <f t="shared" si="958"/>
        <v>246.06999999999988</v>
      </c>
      <c r="AW710" s="197">
        <f t="shared" si="958"/>
        <v>249.52399999999994</v>
      </c>
      <c r="AX710" s="197">
        <f t="shared" si="958"/>
        <v>402.94099999999929</v>
      </c>
      <c r="AY710" s="672">
        <f t="shared" si="958"/>
        <v>1126.3369999999995</v>
      </c>
      <c r="AZ710" s="197">
        <f t="shared" si="958"/>
        <v>254.113</v>
      </c>
      <c r="BA710" s="197">
        <f t="shared" si="958"/>
        <v>267.0749999999997</v>
      </c>
      <c r="BB710" s="197">
        <f t="shared" si="958"/>
        <v>251.72300000000004</v>
      </c>
      <c r="BC710" s="197">
        <f t="shared" si="958"/>
        <v>354.99299999999931</v>
      </c>
      <c r="BD710" s="672">
        <f t="shared" si="958"/>
        <v>1127.9039999999991</v>
      </c>
      <c r="BE710" s="197">
        <f t="shared" si="958"/>
        <v>156.53099999999995</v>
      </c>
      <c r="BF710" s="197">
        <f>BF648</f>
        <v>201.50699999999998</v>
      </c>
      <c r="BG710" s="197">
        <f>BG648</f>
        <v>237.28500000000014</v>
      </c>
      <c r="BH710" s="197">
        <f>BH648</f>
        <v>354.43899999999985</v>
      </c>
      <c r="BI710" s="672">
        <f>BI648</f>
        <v>949.76199999999972</v>
      </c>
      <c r="BJ710" s="1273">
        <f>BJ648</f>
        <v>265.66599999999994</v>
      </c>
      <c r="BK710" s="295"/>
      <c r="BL710" s="295"/>
      <c r="BM710" s="295"/>
      <c r="BN710" s="397"/>
      <c r="BO710" s="295"/>
      <c r="BP710" s="295"/>
      <c r="BQ710" s="295"/>
      <c r="BR710" s="295"/>
      <c r="BS710" s="397"/>
      <c r="BT710" s="397"/>
      <c r="BU710" s="397"/>
      <c r="BV710" s="397"/>
      <c r="BW710" s="197"/>
    </row>
    <row r="711" spans="1:75" s="123" customFormat="1" hidden="1" outlineLevel="1" x14ac:dyDescent="0.5">
      <c r="A711" s="464" t="s">
        <v>2081</v>
      </c>
      <c r="B711" s="513"/>
      <c r="C711" s="674">
        <f t="shared" ref="C711:Z712" si="959">C730*C$815</f>
        <v>-1.0737300000000001</v>
      </c>
      <c r="D711" s="674">
        <f t="shared" si="959"/>
        <v>0</v>
      </c>
      <c r="E711" s="674">
        <f t="shared" si="959"/>
        <v>0</v>
      </c>
      <c r="F711" s="674">
        <f t="shared" si="959"/>
        <v>0</v>
      </c>
      <c r="G711" s="122">
        <f t="shared" si="959"/>
        <v>0</v>
      </c>
      <c r="H711" s="122">
        <f t="shared" si="959"/>
        <v>0</v>
      </c>
      <c r="I711" s="122">
        <f t="shared" si="959"/>
        <v>0</v>
      </c>
      <c r="J711" s="122">
        <f t="shared" si="959"/>
        <v>0</v>
      </c>
      <c r="K711" s="674">
        <f t="shared" si="959"/>
        <v>0</v>
      </c>
      <c r="L711" s="122">
        <f t="shared" si="959"/>
        <v>0</v>
      </c>
      <c r="M711" s="122">
        <f t="shared" si="959"/>
        <v>0</v>
      </c>
      <c r="N711" s="122">
        <f t="shared" si="959"/>
        <v>0</v>
      </c>
      <c r="O711" s="122">
        <f t="shared" si="959"/>
        <v>-4.6820500000000003</v>
      </c>
      <c r="P711" s="674">
        <f t="shared" si="959"/>
        <v>-3.8080000000000003</v>
      </c>
      <c r="Q711" s="122">
        <f t="shared" si="959"/>
        <v>0</v>
      </c>
      <c r="R711" s="122">
        <f t="shared" si="959"/>
        <v>0</v>
      </c>
      <c r="S711" s="122">
        <f t="shared" si="959"/>
        <v>0</v>
      </c>
      <c r="T711" s="122">
        <f t="shared" si="959"/>
        <v>0</v>
      </c>
      <c r="U711" s="674">
        <f t="shared" si="959"/>
        <v>0</v>
      </c>
      <c r="V711" s="122">
        <f t="shared" si="959"/>
        <v>0</v>
      </c>
      <c r="W711" s="122">
        <f t="shared" si="959"/>
        <v>0</v>
      </c>
      <c r="X711" s="122">
        <f t="shared" si="959"/>
        <v>0</v>
      </c>
      <c r="Y711" s="122">
        <f t="shared" si="959"/>
        <v>0</v>
      </c>
      <c r="Z711" s="674">
        <f t="shared" si="959"/>
        <v>0</v>
      </c>
      <c r="AA711" s="118"/>
      <c r="AB711" s="118"/>
      <c r="AC711" s="118"/>
      <c r="AD711" s="118"/>
      <c r="AE711" s="401"/>
      <c r="AF711" s="118"/>
      <c r="AG711" s="118"/>
      <c r="AH711" s="118"/>
      <c r="AI711" s="118"/>
      <c r="AJ711" s="401"/>
      <c r="AK711" s="118"/>
      <c r="AL711" s="118"/>
      <c r="AM711" s="118"/>
      <c r="AN711" s="118"/>
      <c r="AO711" s="401"/>
      <c r="AP711" s="118"/>
      <c r="AQ711" s="118"/>
      <c r="AR711" s="118"/>
      <c r="AS711" s="118"/>
      <c r="AT711" s="401"/>
      <c r="AU711" s="118"/>
      <c r="AV711" s="118"/>
      <c r="AW711" s="118"/>
      <c r="AX711" s="118"/>
      <c r="AY711" s="401"/>
      <c r="AZ711" s="118"/>
      <c r="BA711" s="118"/>
      <c r="BB711" s="118"/>
      <c r="BC711" s="118"/>
      <c r="BD711" s="401"/>
      <c r="BE711" s="118"/>
      <c r="BF711" s="118"/>
      <c r="BG711" s="118"/>
      <c r="BH711" s="118"/>
      <c r="BI711" s="401"/>
      <c r="BJ711" s="971"/>
      <c r="BK711" s="118"/>
      <c r="BL711" s="118"/>
      <c r="BM711" s="118"/>
      <c r="BN711" s="401"/>
      <c r="BO711" s="118"/>
      <c r="BP711" s="118"/>
      <c r="BQ711" s="118"/>
      <c r="BR711" s="118"/>
      <c r="BS711" s="401"/>
      <c r="BT711" s="401"/>
      <c r="BU711" s="401"/>
      <c r="BV711" s="401"/>
      <c r="BW711" s="122"/>
    </row>
    <row r="712" spans="1:75" s="123" customFormat="1" hidden="1" outlineLevel="1" x14ac:dyDescent="0.5">
      <c r="A712" s="464" t="s">
        <v>2072</v>
      </c>
      <c r="B712" s="513"/>
      <c r="C712" s="674">
        <f t="shared" si="959"/>
        <v>0</v>
      </c>
      <c r="D712" s="674">
        <f t="shared" si="959"/>
        <v>0</v>
      </c>
      <c r="E712" s="674">
        <f t="shared" si="959"/>
        <v>0</v>
      </c>
      <c r="F712" s="674">
        <f t="shared" si="959"/>
        <v>0</v>
      </c>
      <c r="G712" s="122">
        <f t="shared" si="959"/>
        <v>0</v>
      </c>
      <c r="H712" s="122">
        <f t="shared" si="959"/>
        <v>0</v>
      </c>
      <c r="I712" s="122">
        <f t="shared" si="959"/>
        <v>0</v>
      </c>
      <c r="J712" s="122">
        <f t="shared" si="959"/>
        <v>0</v>
      </c>
      <c r="K712" s="674">
        <f t="shared" si="959"/>
        <v>0</v>
      </c>
      <c r="L712" s="122">
        <f t="shared" si="959"/>
        <v>0</v>
      </c>
      <c r="M712" s="122">
        <f t="shared" si="959"/>
        <v>0</v>
      </c>
      <c r="N712" s="122">
        <f t="shared" si="959"/>
        <v>0</v>
      </c>
      <c r="O712" s="122">
        <f t="shared" si="959"/>
        <v>0</v>
      </c>
      <c r="P712" s="674">
        <f t="shared" si="959"/>
        <v>0</v>
      </c>
      <c r="Q712" s="122">
        <f t="shared" si="959"/>
        <v>0</v>
      </c>
      <c r="R712" s="122">
        <f t="shared" si="959"/>
        <v>0</v>
      </c>
      <c r="S712" s="122">
        <f t="shared" si="959"/>
        <v>0</v>
      </c>
      <c r="T712" s="122">
        <f t="shared" si="959"/>
        <v>0</v>
      </c>
      <c r="U712" s="674">
        <f t="shared" si="959"/>
        <v>0</v>
      </c>
      <c r="V712" s="122">
        <f t="shared" si="959"/>
        <v>0</v>
      </c>
      <c r="W712" s="122">
        <f t="shared" si="959"/>
        <v>0</v>
      </c>
      <c r="X712" s="122">
        <f t="shared" si="959"/>
        <v>0</v>
      </c>
      <c r="Y712" s="122">
        <f t="shared" si="959"/>
        <v>0</v>
      </c>
      <c r="Z712" s="674">
        <f t="shared" si="959"/>
        <v>0</v>
      </c>
      <c r="AA712" s="118"/>
      <c r="AB712" s="118"/>
      <c r="AC712" s="118"/>
      <c r="AD712" s="302">
        <v>4.367</v>
      </c>
      <c r="AE712" s="403">
        <v>4.367</v>
      </c>
      <c r="AF712" s="302">
        <v>5.4630000000000001</v>
      </c>
      <c r="AG712" s="302">
        <v>3.9369999999999998</v>
      </c>
      <c r="AH712" s="302">
        <v>4.7069999999999999</v>
      </c>
      <c r="AI712" s="302">
        <v>6.399</v>
      </c>
      <c r="AJ712" s="403">
        <v>20.506</v>
      </c>
      <c r="AK712" s="122">
        <f t="shared" ref="AK712:BG714" si="960">AK683-AK697</f>
        <v>4.984</v>
      </c>
      <c r="AL712" s="122">
        <f t="shared" si="960"/>
        <v>5.6940000000000008</v>
      </c>
      <c r="AM712" s="122">
        <f t="shared" si="960"/>
        <v>5.851</v>
      </c>
      <c r="AN712" s="122">
        <f t="shared" si="960"/>
        <v>7.6169999999999991</v>
      </c>
      <c r="AO712" s="674">
        <f t="shared" si="960"/>
        <v>24.146000000000001</v>
      </c>
      <c r="AP712" s="122">
        <f t="shared" si="960"/>
        <v>2.617</v>
      </c>
      <c r="AQ712" s="122">
        <f t="shared" si="960"/>
        <v>2.89</v>
      </c>
      <c r="AR712" s="122">
        <f t="shared" si="960"/>
        <v>1.746</v>
      </c>
      <c r="AS712" s="122">
        <f t="shared" si="960"/>
        <v>2.9260000000000002</v>
      </c>
      <c r="AT712" s="674">
        <f t="shared" si="960"/>
        <v>10.179</v>
      </c>
      <c r="AU712" s="122">
        <f t="shared" si="960"/>
        <v>2.3279999999999998</v>
      </c>
      <c r="AV712" s="122">
        <f t="shared" si="960"/>
        <v>2.2949999999999999</v>
      </c>
      <c r="AW712" s="122">
        <f t="shared" si="960"/>
        <v>2.2789999999999999</v>
      </c>
      <c r="AX712" s="122">
        <f t="shared" si="960"/>
        <v>0.8610000000000001</v>
      </c>
      <c r="AY712" s="674">
        <f t="shared" si="960"/>
        <v>7.7629999999999999</v>
      </c>
      <c r="AZ712" s="122">
        <f t="shared" si="960"/>
        <v>0</v>
      </c>
      <c r="BA712" s="122">
        <f t="shared" si="960"/>
        <v>0</v>
      </c>
      <c r="BB712" s="122">
        <f t="shared" si="960"/>
        <v>0</v>
      </c>
      <c r="BC712" s="122">
        <f t="shared" si="960"/>
        <v>0</v>
      </c>
      <c r="BD712" s="674">
        <f t="shared" si="960"/>
        <v>0</v>
      </c>
      <c r="BE712" s="122">
        <f t="shared" si="960"/>
        <v>0</v>
      </c>
      <c r="BF712" s="122">
        <f t="shared" si="960"/>
        <v>0</v>
      </c>
      <c r="BG712" s="122">
        <f t="shared" si="960"/>
        <v>0</v>
      </c>
      <c r="BH712" s="122">
        <f>BH683-BH697</f>
        <v>0</v>
      </c>
      <c r="BI712" s="674">
        <f>BI683-BI697</f>
        <v>0</v>
      </c>
      <c r="BJ712" s="1274">
        <f>BJ683-BJ697</f>
        <v>0</v>
      </c>
      <c r="BK712" s="118"/>
      <c r="BL712" s="118"/>
      <c r="BM712" s="118"/>
      <c r="BN712" s="401"/>
      <c r="BO712" s="118"/>
      <c r="BP712" s="118"/>
      <c r="BQ712" s="118"/>
      <c r="BR712" s="118"/>
      <c r="BS712" s="401"/>
      <c r="BT712" s="401"/>
      <c r="BU712" s="401"/>
      <c r="BV712" s="401"/>
      <c r="BW712" s="122"/>
    </row>
    <row r="713" spans="1:75" s="123" customFormat="1" hidden="1" outlineLevel="1" x14ac:dyDescent="0.5">
      <c r="A713" s="464" t="s">
        <v>2075</v>
      </c>
      <c r="B713" s="513"/>
      <c r="C713" s="401"/>
      <c r="D713" s="401"/>
      <c r="E713" s="401"/>
      <c r="F713" s="401"/>
      <c r="G713" s="118"/>
      <c r="H713" s="118"/>
      <c r="I713" s="118"/>
      <c r="J713" s="118"/>
      <c r="K713" s="401"/>
      <c r="L713" s="118"/>
      <c r="M713" s="118"/>
      <c r="N713" s="118"/>
      <c r="O713" s="118"/>
      <c r="P713" s="401"/>
      <c r="Q713" s="118"/>
      <c r="R713" s="118"/>
      <c r="S713" s="118"/>
      <c r="T713" s="118"/>
      <c r="U713" s="401"/>
      <c r="V713" s="118"/>
      <c r="W713" s="118"/>
      <c r="X713" s="118"/>
      <c r="Y713" s="118"/>
      <c r="Z713" s="401"/>
      <c r="AA713" s="118"/>
      <c r="AB713" s="118"/>
      <c r="AC713" s="118"/>
      <c r="AD713" s="118"/>
      <c r="AE713" s="401"/>
      <c r="AF713" s="118"/>
      <c r="AG713" s="118"/>
      <c r="AH713" s="118"/>
      <c r="AI713" s="118"/>
      <c r="AJ713" s="401"/>
      <c r="AK713" s="118"/>
      <c r="AL713" s="118"/>
      <c r="AM713" s="118"/>
      <c r="AN713" s="118"/>
      <c r="AO713" s="401"/>
      <c r="AP713" s="118"/>
      <c r="AQ713" s="118"/>
      <c r="AR713" s="118"/>
      <c r="AS713" s="118"/>
      <c r="AT713" s="401"/>
      <c r="AU713" s="118"/>
      <c r="AV713" s="118"/>
      <c r="AW713" s="118"/>
      <c r="AX713" s="118"/>
      <c r="AY713" s="401"/>
      <c r="AZ713" s="118"/>
      <c r="BA713" s="118"/>
      <c r="BB713" s="118"/>
      <c r="BC713" s="118"/>
      <c r="BD713" s="401"/>
      <c r="BE713" s="118">
        <f>BE684-BE698</f>
        <v>13.240999999999996</v>
      </c>
      <c r="BF713" s="118">
        <f t="shared" si="960"/>
        <v>0</v>
      </c>
      <c r="BG713" s="118">
        <f t="shared" si="960"/>
        <v>0</v>
      </c>
      <c r="BH713" s="118">
        <f t="shared" ref="BH713:BK714" si="961">BH684-BH698</f>
        <v>0</v>
      </c>
      <c r="BI713" s="401">
        <f t="shared" si="961"/>
        <v>13.240999999999996</v>
      </c>
      <c r="BJ713" s="971">
        <f>BJ684-BJ698</f>
        <v>0</v>
      </c>
      <c r="BK713" s="118"/>
      <c r="BL713" s="118"/>
      <c r="BM713" s="118"/>
      <c r="BN713" s="401"/>
      <c r="BO713" s="118"/>
      <c r="BP713" s="118"/>
      <c r="BQ713" s="118"/>
      <c r="BR713" s="118"/>
      <c r="BS713" s="401"/>
      <c r="BT713" s="401"/>
      <c r="BU713" s="401"/>
      <c r="BV713" s="401"/>
      <c r="BW713" s="122"/>
    </row>
    <row r="714" spans="1:75" s="123" customFormat="1" hidden="1" outlineLevel="1" x14ac:dyDescent="0.5">
      <c r="A714" s="464" t="s">
        <v>2082</v>
      </c>
      <c r="B714" s="513"/>
      <c r="C714" s="401"/>
      <c r="D714" s="401"/>
      <c r="E714" s="401"/>
      <c r="F714" s="401"/>
      <c r="G714" s="118"/>
      <c r="H714" s="118"/>
      <c r="I714" s="118"/>
      <c r="J714" s="118"/>
      <c r="K714" s="401"/>
      <c r="L714" s="118"/>
      <c r="M714" s="118"/>
      <c r="N714" s="118"/>
      <c r="O714" s="118"/>
      <c r="P714" s="401"/>
      <c r="Q714" s="118"/>
      <c r="R714" s="118"/>
      <c r="S714" s="118"/>
      <c r="T714" s="118"/>
      <c r="U714" s="401"/>
      <c r="V714" s="118"/>
      <c r="W714" s="118"/>
      <c r="X714" s="118"/>
      <c r="Y714" s="118"/>
      <c r="Z714" s="401"/>
      <c r="AA714" s="118"/>
      <c r="AB714" s="118"/>
      <c r="AC714" s="118"/>
      <c r="AD714" s="118"/>
      <c r="AE714" s="401"/>
      <c r="AF714" s="118"/>
      <c r="AG714" s="118"/>
      <c r="AH714" s="118"/>
      <c r="AI714" s="118"/>
      <c r="AJ714" s="401"/>
      <c r="AK714" s="118"/>
      <c r="AL714" s="118"/>
      <c r="AM714" s="118"/>
      <c r="AN714" s="118"/>
      <c r="AO714" s="401"/>
      <c r="AP714" s="118"/>
      <c r="AQ714" s="118"/>
      <c r="AR714" s="118"/>
      <c r="AS714" s="118"/>
      <c r="AT714" s="401"/>
      <c r="AU714" s="118"/>
      <c r="AV714" s="118"/>
      <c r="AW714" s="118"/>
      <c r="AX714" s="118"/>
      <c r="AY714" s="401"/>
      <c r="AZ714" s="118"/>
      <c r="BA714" s="118"/>
      <c r="BB714" s="118"/>
      <c r="BC714" s="118"/>
      <c r="BD714" s="401"/>
      <c r="BE714" s="118">
        <f>BE685-BE699</f>
        <v>6.1420000000000012</v>
      </c>
      <c r="BF714" s="118">
        <f t="shared" si="960"/>
        <v>0</v>
      </c>
      <c r="BG714" s="118">
        <f t="shared" si="960"/>
        <v>0</v>
      </c>
      <c r="BH714" s="118">
        <f t="shared" si="961"/>
        <v>0</v>
      </c>
      <c r="BI714" s="401">
        <f t="shared" si="961"/>
        <v>6.1420000000000012</v>
      </c>
      <c r="BJ714" s="971">
        <f>BJ685-BJ699</f>
        <v>0</v>
      </c>
      <c r="BK714" s="118"/>
      <c r="BL714" s="118"/>
      <c r="BM714" s="118"/>
      <c r="BN714" s="401"/>
      <c r="BO714" s="118"/>
      <c r="BP714" s="118"/>
      <c r="BQ714" s="118"/>
      <c r="BR714" s="118"/>
      <c r="BS714" s="401"/>
      <c r="BT714" s="401"/>
      <c r="BU714" s="401"/>
      <c r="BV714" s="401"/>
      <c r="BW714" s="122"/>
    </row>
    <row r="715" spans="1:75" s="123" customFormat="1" hidden="1" outlineLevel="1" x14ac:dyDescent="0.5">
      <c r="A715" s="464" t="s">
        <v>2094</v>
      </c>
      <c r="B715" s="513"/>
      <c r="C715" s="674">
        <f t="shared" ref="C715:Z718" si="962">C734*C$815</f>
        <v>0</v>
      </c>
      <c r="D715" s="674">
        <f t="shared" si="962"/>
        <v>0</v>
      </c>
      <c r="E715" s="674">
        <f t="shared" si="962"/>
        <v>0</v>
      </c>
      <c r="F715" s="674">
        <f t="shared" si="962"/>
        <v>0</v>
      </c>
      <c r="G715" s="122">
        <f t="shared" si="962"/>
        <v>0</v>
      </c>
      <c r="H715" s="122">
        <f t="shared" si="962"/>
        <v>0</v>
      </c>
      <c r="I715" s="122">
        <f t="shared" si="962"/>
        <v>0</v>
      </c>
      <c r="J715" s="122">
        <f t="shared" si="962"/>
        <v>0</v>
      </c>
      <c r="K715" s="674">
        <f t="shared" si="962"/>
        <v>0</v>
      </c>
      <c r="L715" s="122">
        <f t="shared" si="962"/>
        <v>0</v>
      </c>
      <c r="M715" s="122">
        <f t="shared" si="962"/>
        <v>0</v>
      </c>
      <c r="N715" s="122">
        <f t="shared" si="962"/>
        <v>0</v>
      </c>
      <c r="O715" s="122">
        <f t="shared" si="962"/>
        <v>0</v>
      </c>
      <c r="P715" s="674">
        <f t="shared" si="962"/>
        <v>0</v>
      </c>
      <c r="Q715" s="122">
        <f t="shared" si="962"/>
        <v>0</v>
      </c>
      <c r="R715" s="122">
        <f t="shared" si="962"/>
        <v>0</v>
      </c>
      <c r="S715" s="122">
        <f t="shared" si="962"/>
        <v>0</v>
      </c>
      <c r="T715" s="122">
        <f t="shared" si="962"/>
        <v>0</v>
      </c>
      <c r="U715" s="674">
        <f t="shared" si="962"/>
        <v>0</v>
      </c>
      <c r="V715" s="122">
        <f t="shared" si="962"/>
        <v>8.1462599999999998</v>
      </c>
      <c r="W715" s="122">
        <f t="shared" si="962"/>
        <v>0</v>
      </c>
      <c r="X715" s="122">
        <f t="shared" si="962"/>
        <v>0.89144000000000012</v>
      </c>
      <c r="Y715" s="122">
        <f t="shared" si="962"/>
        <v>0</v>
      </c>
      <c r="Z715" s="674">
        <f t="shared" si="962"/>
        <v>8.946200000000001</v>
      </c>
      <c r="AA715" s="302">
        <v>3.734</v>
      </c>
      <c r="AB715" s="118"/>
      <c r="AC715" s="118"/>
      <c r="AD715" s="302">
        <v>2.0449999999999999</v>
      </c>
      <c r="AE715" s="403">
        <v>5.7789999999999999</v>
      </c>
      <c r="AF715" s="118"/>
      <c r="AG715" s="118"/>
      <c r="AH715" s="118"/>
      <c r="AI715" s="118"/>
      <c r="AJ715" s="401"/>
      <c r="AK715" s="118"/>
      <c r="AL715" s="118"/>
      <c r="AM715" s="118"/>
      <c r="AN715" s="118"/>
      <c r="AO715" s="401"/>
      <c r="AP715" s="118"/>
      <c r="AQ715" s="118"/>
      <c r="AR715" s="118"/>
      <c r="AS715" s="118"/>
      <c r="AT715" s="401"/>
      <c r="AU715" s="118"/>
      <c r="AV715" s="118"/>
      <c r="AW715" s="118"/>
      <c r="AX715" s="118"/>
      <c r="AY715" s="401"/>
      <c r="AZ715" s="118"/>
      <c r="BA715" s="118"/>
      <c r="BB715" s="118"/>
      <c r="BC715" s="118"/>
      <c r="BD715" s="401"/>
      <c r="BE715" s="118"/>
      <c r="BF715" s="118"/>
      <c r="BG715" s="118"/>
      <c r="BH715" s="118"/>
      <c r="BI715" s="401"/>
      <c r="BJ715" s="971"/>
      <c r="BK715" s="118"/>
      <c r="BL715" s="118"/>
      <c r="BM715" s="118"/>
      <c r="BN715" s="401"/>
      <c r="BO715" s="118"/>
      <c r="BP715" s="118"/>
      <c r="BQ715" s="118"/>
      <c r="BR715" s="118"/>
      <c r="BS715" s="401"/>
      <c r="BT715" s="401"/>
      <c r="BU715" s="401"/>
      <c r="BV715" s="401"/>
      <c r="BW715" s="122"/>
    </row>
    <row r="716" spans="1:75" s="123" customFormat="1" hidden="1" outlineLevel="1" x14ac:dyDescent="0.5">
      <c r="A716" s="1275" t="s">
        <v>2077</v>
      </c>
      <c r="B716" s="513"/>
      <c r="C716" s="674">
        <f t="shared" si="962"/>
        <v>0</v>
      </c>
      <c r="D716" s="674">
        <f t="shared" si="962"/>
        <v>0</v>
      </c>
      <c r="E716" s="674">
        <f t="shared" si="962"/>
        <v>0</v>
      </c>
      <c r="F716" s="401"/>
      <c r="G716" s="118"/>
      <c r="H716" s="118"/>
      <c r="I716" s="118"/>
      <c r="J716" s="118"/>
      <c r="K716" s="401"/>
      <c r="L716" s="118"/>
      <c r="M716" s="118"/>
      <c r="N716" s="118"/>
      <c r="O716" s="118"/>
      <c r="P716" s="401"/>
      <c r="Q716" s="118"/>
      <c r="R716" s="118"/>
      <c r="S716" s="118"/>
      <c r="T716" s="118"/>
      <c r="U716" s="401"/>
      <c r="V716" s="118"/>
      <c r="W716" s="118"/>
      <c r="X716" s="118"/>
      <c r="Y716" s="118"/>
      <c r="Z716" s="401"/>
      <c r="AA716" s="118"/>
      <c r="AB716" s="118"/>
      <c r="AC716" s="118"/>
      <c r="AD716" s="118"/>
      <c r="AE716" s="401"/>
      <c r="AF716" s="302">
        <v>1.3</v>
      </c>
      <c r="AG716" s="302">
        <v>1.4059999999999999</v>
      </c>
      <c r="AH716" s="302">
        <v>1.39</v>
      </c>
      <c r="AI716" s="302">
        <v>1.9590000000000001</v>
      </c>
      <c r="AJ716" s="403">
        <v>6.0549999999999997</v>
      </c>
      <c r="AK716" s="122">
        <f t="shared" ref="AK716:BE716" si="963">AK687-AK700</f>
        <v>6.8150000000000004</v>
      </c>
      <c r="AL716" s="122">
        <f t="shared" si="963"/>
        <v>1.1160000000000001</v>
      </c>
      <c r="AM716" s="122">
        <f t="shared" si="963"/>
        <v>0.14300000000000002</v>
      </c>
      <c r="AN716" s="122">
        <f t="shared" si="963"/>
        <v>0.82400000000000007</v>
      </c>
      <c r="AO716" s="674">
        <f t="shared" si="963"/>
        <v>8.8979999999999997</v>
      </c>
      <c r="AP716" s="118">
        <f t="shared" si="963"/>
        <v>0</v>
      </c>
      <c r="AQ716" s="118">
        <f t="shared" si="963"/>
        <v>0</v>
      </c>
      <c r="AR716" s="118">
        <f t="shared" si="963"/>
        <v>0</v>
      </c>
      <c r="AS716" s="122">
        <f t="shared" si="963"/>
        <v>0</v>
      </c>
      <c r="AT716" s="674">
        <f t="shared" si="963"/>
        <v>0</v>
      </c>
      <c r="AU716" s="118">
        <f t="shared" si="963"/>
        <v>0</v>
      </c>
      <c r="AV716" s="118">
        <f t="shared" si="963"/>
        <v>0</v>
      </c>
      <c r="AW716" s="118">
        <f t="shared" si="963"/>
        <v>0</v>
      </c>
      <c r="AX716" s="122">
        <f t="shared" si="963"/>
        <v>0</v>
      </c>
      <c r="AY716" s="674">
        <f t="shared" si="963"/>
        <v>0</v>
      </c>
      <c r="AZ716" s="118">
        <f t="shared" si="963"/>
        <v>0</v>
      </c>
      <c r="BA716" s="118">
        <f t="shared" si="963"/>
        <v>0</v>
      </c>
      <c r="BB716" s="118">
        <f t="shared" si="963"/>
        <v>0</v>
      </c>
      <c r="BC716" s="122">
        <f t="shared" si="963"/>
        <v>0</v>
      </c>
      <c r="BD716" s="674">
        <f t="shared" si="963"/>
        <v>0</v>
      </c>
      <c r="BE716" s="118">
        <f t="shared" si="963"/>
        <v>0</v>
      </c>
      <c r="BF716" s="118">
        <f>BF687-BF700</f>
        <v>0</v>
      </c>
      <c r="BG716" s="118">
        <f>BG687-BG700</f>
        <v>0</v>
      </c>
      <c r="BH716" s="122">
        <f>BH687-BH700</f>
        <v>0</v>
      </c>
      <c r="BI716" s="674">
        <f>BI687-BI700</f>
        <v>0</v>
      </c>
      <c r="BJ716" s="971">
        <f>BJ687-BJ700</f>
        <v>0</v>
      </c>
      <c r="BK716" s="118"/>
      <c r="BL716" s="118"/>
      <c r="BM716" s="118"/>
      <c r="BN716" s="401"/>
      <c r="BO716" s="118"/>
      <c r="BP716" s="118"/>
      <c r="BQ716" s="118"/>
      <c r="BR716" s="118"/>
      <c r="BS716" s="401"/>
      <c r="BT716" s="401"/>
      <c r="BU716" s="401"/>
      <c r="BV716" s="401"/>
      <c r="BW716" s="122"/>
    </row>
    <row r="717" spans="1:75" s="123" customFormat="1" hidden="1" outlineLevel="1" x14ac:dyDescent="0.5">
      <c r="A717" s="1275" t="s">
        <v>2078</v>
      </c>
      <c r="B717" s="513"/>
      <c r="C717" s="674">
        <f t="shared" si="962"/>
        <v>21.474600000000002</v>
      </c>
      <c r="D717" s="674">
        <f t="shared" si="962"/>
        <v>10.952200000000001</v>
      </c>
      <c r="E717" s="674">
        <f t="shared" si="962"/>
        <v>2.13164</v>
      </c>
      <c r="F717" s="401"/>
      <c r="G717" s="118"/>
      <c r="H717" s="118"/>
      <c r="I717" s="118"/>
      <c r="J717" s="118"/>
      <c r="K717" s="401"/>
      <c r="L717" s="118"/>
      <c r="M717" s="118"/>
      <c r="N717" s="118"/>
      <c r="O717" s="118"/>
      <c r="P717" s="401"/>
      <c r="Q717" s="118"/>
      <c r="R717" s="118"/>
      <c r="S717" s="118"/>
      <c r="T717" s="118"/>
      <c r="U717" s="401"/>
      <c r="V717" s="118"/>
      <c r="W717" s="118"/>
      <c r="X717" s="118"/>
      <c r="Y717" s="118"/>
      <c r="Z717" s="401"/>
      <c r="AA717" s="118"/>
      <c r="AB717" s="118"/>
      <c r="AC717" s="118"/>
      <c r="AD717" s="118"/>
      <c r="AE717" s="401"/>
      <c r="AF717" s="118"/>
      <c r="AG717" s="302">
        <v>4.008</v>
      </c>
      <c r="AH717" s="302">
        <v>0.82399999999999995</v>
      </c>
      <c r="AI717" s="302">
        <v>5.1740000000000004</v>
      </c>
      <c r="AJ717" s="403">
        <v>10.006</v>
      </c>
      <c r="AK717" s="118"/>
      <c r="AL717" s="118"/>
      <c r="AM717" s="118"/>
      <c r="AN717" s="118"/>
      <c r="AO717" s="401"/>
      <c r="AP717" s="118"/>
      <c r="AQ717" s="118"/>
      <c r="AR717" s="118"/>
      <c r="AS717" s="118"/>
      <c r="AT717" s="401"/>
      <c r="AU717" s="118"/>
      <c r="AV717" s="118"/>
      <c r="AW717" s="118"/>
      <c r="AX717" s="118"/>
      <c r="AY717" s="401"/>
      <c r="AZ717" s="118"/>
      <c r="BA717" s="118"/>
      <c r="BB717" s="118"/>
      <c r="BC717" s="118">
        <f>BC689-BC701</f>
        <v>14.847000000000001</v>
      </c>
      <c r="BD717" s="401">
        <f t="shared" ref="BD717:BI717" si="964">BD689-BD701</f>
        <v>14.847000000000001</v>
      </c>
      <c r="BE717" s="118">
        <f t="shared" si="964"/>
        <v>0</v>
      </c>
      <c r="BF717" s="118">
        <f t="shared" si="964"/>
        <v>0</v>
      </c>
      <c r="BG717" s="118">
        <f t="shared" si="964"/>
        <v>0</v>
      </c>
      <c r="BH717" s="118">
        <f t="shared" si="964"/>
        <v>0</v>
      </c>
      <c r="BI717" s="401">
        <f t="shared" si="964"/>
        <v>0</v>
      </c>
      <c r="BJ717" s="971">
        <f>BJ689-BJ701</f>
        <v>0</v>
      </c>
      <c r="BK717" s="118"/>
      <c r="BL717" s="118"/>
      <c r="BM717" s="118"/>
      <c r="BN717" s="401"/>
      <c r="BO717" s="118"/>
      <c r="BP717" s="118"/>
      <c r="BQ717" s="118"/>
      <c r="BR717" s="118"/>
      <c r="BS717" s="401"/>
      <c r="BT717" s="401"/>
      <c r="BU717" s="401"/>
      <c r="BV717" s="401"/>
      <c r="BW717" s="122"/>
    </row>
    <row r="718" spans="1:75" s="123" customFormat="1" hidden="1" outlineLevel="1" x14ac:dyDescent="0.5">
      <c r="A718" s="464" t="s">
        <v>2095</v>
      </c>
      <c r="B718" s="513"/>
      <c r="C718" s="674">
        <f t="shared" si="962"/>
        <v>0</v>
      </c>
      <c r="D718" s="674">
        <f t="shared" si="962"/>
        <v>2.1904400000000002</v>
      </c>
      <c r="E718" s="674">
        <f t="shared" si="962"/>
        <v>0</v>
      </c>
      <c r="F718" s="401"/>
      <c r="G718" s="118"/>
      <c r="H718" s="118"/>
      <c r="I718" s="118"/>
      <c r="J718" s="118"/>
      <c r="K718" s="401"/>
      <c r="L718" s="118"/>
      <c r="M718" s="118"/>
      <c r="N718" s="118"/>
      <c r="O718" s="118"/>
      <c r="P718" s="401"/>
      <c r="Q718" s="118"/>
      <c r="R718" s="118"/>
      <c r="S718" s="118"/>
      <c r="T718" s="118"/>
      <c r="U718" s="401"/>
      <c r="V718" s="118"/>
      <c r="W718" s="118"/>
      <c r="X718" s="118"/>
      <c r="Y718" s="118"/>
      <c r="Z718" s="401"/>
      <c r="AA718" s="118"/>
      <c r="AB718" s="118"/>
      <c r="AC718" s="118"/>
      <c r="AD718" s="118"/>
      <c r="AE718" s="401"/>
      <c r="AF718" s="118"/>
      <c r="AG718" s="118"/>
      <c r="AH718" s="118"/>
      <c r="AI718" s="118"/>
      <c r="AJ718" s="401"/>
      <c r="AK718" s="118"/>
      <c r="AL718" s="118"/>
      <c r="AM718" s="118"/>
      <c r="AN718" s="118"/>
      <c r="AO718" s="401"/>
      <c r="AP718" s="118"/>
      <c r="AQ718" s="118"/>
      <c r="AR718" s="118"/>
      <c r="AS718" s="118"/>
      <c r="AT718" s="401"/>
      <c r="AU718" s="118"/>
      <c r="AV718" s="118"/>
      <c r="AW718" s="118"/>
      <c r="AX718" s="118"/>
      <c r="AY718" s="401"/>
      <c r="AZ718" s="118"/>
      <c r="BA718" s="118"/>
      <c r="BB718" s="118"/>
      <c r="BC718" s="118"/>
      <c r="BD718" s="401"/>
      <c r="BE718" s="118"/>
      <c r="BF718" s="118"/>
      <c r="BG718" s="118"/>
      <c r="BH718" s="118"/>
      <c r="BI718" s="401"/>
      <c r="BJ718" s="971"/>
      <c r="BK718" s="118"/>
      <c r="BL718" s="118"/>
      <c r="BM718" s="118"/>
      <c r="BN718" s="401"/>
      <c r="BO718" s="118"/>
      <c r="BP718" s="118"/>
      <c r="BQ718" s="118"/>
      <c r="BR718" s="118"/>
      <c r="BS718" s="401"/>
      <c r="BT718" s="401"/>
      <c r="BU718" s="401"/>
      <c r="BV718" s="401"/>
      <c r="BW718" s="122"/>
    </row>
    <row r="719" spans="1:75" s="123" customFormat="1" hidden="1" outlineLevel="1" x14ac:dyDescent="0.5">
      <c r="A719" s="464" t="s">
        <v>2087</v>
      </c>
      <c r="B719" s="513"/>
      <c r="C719" s="401"/>
      <c r="D719" s="401"/>
      <c r="E719" s="401"/>
      <c r="F719" s="674">
        <f t="shared" ref="F719:Z719" si="965">F738*F$815</f>
        <v>4.0420400000000001</v>
      </c>
      <c r="G719" s="122">
        <f t="shared" si="965"/>
        <v>1.9903</v>
      </c>
      <c r="H719" s="122">
        <f t="shared" si="965"/>
        <v>0</v>
      </c>
      <c r="I719" s="122">
        <f t="shared" si="965"/>
        <v>0</v>
      </c>
      <c r="J719" s="122">
        <f t="shared" si="965"/>
        <v>0</v>
      </c>
      <c r="K719" s="674">
        <f t="shared" si="965"/>
        <v>1.9753000000000001</v>
      </c>
      <c r="L719" s="122">
        <f t="shared" si="965"/>
        <v>0</v>
      </c>
      <c r="M719" s="122">
        <f t="shared" si="965"/>
        <v>0</v>
      </c>
      <c r="N719" s="122">
        <f t="shared" si="965"/>
        <v>0</v>
      </c>
      <c r="O719" s="122">
        <f t="shared" si="965"/>
        <v>0</v>
      </c>
      <c r="P719" s="674">
        <f t="shared" si="965"/>
        <v>0</v>
      </c>
      <c r="Q719" s="122">
        <f t="shared" si="965"/>
        <v>0</v>
      </c>
      <c r="R719" s="122">
        <f t="shared" si="965"/>
        <v>0</v>
      </c>
      <c r="S719" s="122">
        <f t="shared" si="965"/>
        <v>0</v>
      </c>
      <c r="T719" s="122">
        <f t="shared" si="965"/>
        <v>0</v>
      </c>
      <c r="U719" s="674">
        <f t="shared" si="965"/>
        <v>0</v>
      </c>
      <c r="V719" s="122">
        <f t="shared" si="965"/>
        <v>0</v>
      </c>
      <c r="W719" s="122">
        <f t="shared" si="965"/>
        <v>0</v>
      </c>
      <c r="X719" s="122">
        <f t="shared" si="965"/>
        <v>0</v>
      </c>
      <c r="Y719" s="122">
        <f t="shared" si="965"/>
        <v>0</v>
      </c>
      <c r="Z719" s="674">
        <f t="shared" si="965"/>
        <v>0</v>
      </c>
      <c r="AA719" s="118"/>
      <c r="AB719" s="118"/>
      <c r="AC719" s="118"/>
      <c r="AD719" s="118"/>
      <c r="AE719" s="401"/>
      <c r="AF719" s="118"/>
      <c r="AG719" s="118"/>
      <c r="AH719" s="118"/>
      <c r="AI719" s="118"/>
      <c r="AJ719" s="401"/>
      <c r="AK719" s="118"/>
      <c r="AL719" s="118"/>
      <c r="AM719" s="118"/>
      <c r="AN719" s="118"/>
      <c r="AO719" s="401"/>
      <c r="AP719" s="118"/>
      <c r="AQ719" s="118"/>
      <c r="AR719" s="118"/>
      <c r="AS719" s="118"/>
      <c r="AT719" s="401"/>
      <c r="AU719" s="118"/>
      <c r="AV719" s="118"/>
      <c r="AW719" s="118"/>
      <c r="AX719" s="118"/>
      <c r="AY719" s="401"/>
      <c r="AZ719" s="118"/>
      <c r="BA719" s="118"/>
      <c r="BB719" s="118"/>
      <c r="BC719" s="118"/>
      <c r="BD719" s="401"/>
      <c r="BE719" s="118"/>
      <c r="BF719" s="118"/>
      <c r="BG719" s="118"/>
      <c r="BH719" s="118"/>
      <c r="BI719" s="401"/>
      <c r="BJ719" s="971"/>
      <c r="BK719" s="118"/>
      <c r="BL719" s="118"/>
      <c r="BM719" s="118"/>
      <c r="BN719" s="401"/>
      <c r="BO719" s="118"/>
      <c r="BP719" s="118"/>
      <c r="BQ719" s="118"/>
      <c r="BR719" s="118"/>
      <c r="BS719" s="401"/>
      <c r="BT719" s="401"/>
      <c r="BU719" s="401"/>
      <c r="BV719" s="401"/>
      <c r="BW719" s="122"/>
    </row>
    <row r="720" spans="1:75" s="123" customFormat="1" hidden="1" outlineLevel="1" x14ac:dyDescent="0.5">
      <c r="A720" s="464" t="s">
        <v>2079</v>
      </c>
      <c r="B720" s="513"/>
      <c r="C720" s="401"/>
      <c r="D720" s="401"/>
      <c r="E720" s="401"/>
      <c r="F720" s="401"/>
      <c r="G720" s="118"/>
      <c r="H720" s="118"/>
      <c r="I720" s="118"/>
      <c r="J720" s="118"/>
      <c r="K720" s="401"/>
      <c r="L720" s="118"/>
      <c r="M720" s="118"/>
      <c r="N720" s="118"/>
      <c r="O720" s="118"/>
      <c r="P720" s="401"/>
      <c r="Q720" s="118"/>
      <c r="R720" s="118"/>
      <c r="S720" s="118"/>
      <c r="T720" s="118"/>
      <c r="U720" s="401"/>
      <c r="V720" s="118"/>
      <c r="W720" s="118"/>
      <c r="X720" s="118"/>
      <c r="Y720" s="118"/>
      <c r="Z720" s="401"/>
      <c r="AA720" s="118"/>
      <c r="AB720" s="118"/>
      <c r="AC720" s="118"/>
      <c r="AD720" s="118"/>
      <c r="AE720" s="401"/>
      <c r="AF720" s="118"/>
      <c r="AG720" s="118"/>
      <c r="AH720" s="118"/>
      <c r="AI720" s="118"/>
      <c r="AJ720" s="401"/>
      <c r="AK720" s="118"/>
      <c r="AL720" s="118"/>
      <c r="AM720" s="118"/>
      <c r="AN720" s="118"/>
      <c r="AO720" s="401"/>
      <c r="AP720" s="122">
        <f t="shared" ref="AP720:BE720" si="966">AP690-AP702</f>
        <v>8.4380000000000006</v>
      </c>
      <c r="AQ720" s="122">
        <f t="shared" si="966"/>
        <v>0</v>
      </c>
      <c r="AR720" s="122">
        <f t="shared" si="966"/>
        <v>0</v>
      </c>
      <c r="AS720" s="122">
        <f t="shared" si="966"/>
        <v>0</v>
      </c>
      <c r="AT720" s="674">
        <f t="shared" si="966"/>
        <v>8.4380000000000006</v>
      </c>
      <c r="AU720" s="122">
        <f t="shared" si="966"/>
        <v>0</v>
      </c>
      <c r="AV720" s="122">
        <f t="shared" si="966"/>
        <v>0</v>
      </c>
      <c r="AW720" s="122">
        <f t="shared" si="966"/>
        <v>0</v>
      </c>
      <c r="AX720" s="122">
        <f t="shared" si="966"/>
        <v>0</v>
      </c>
      <c r="AY720" s="674">
        <f t="shared" si="966"/>
        <v>0</v>
      </c>
      <c r="AZ720" s="122">
        <f t="shared" si="966"/>
        <v>0</v>
      </c>
      <c r="BA720" s="122">
        <f t="shared" si="966"/>
        <v>0</v>
      </c>
      <c r="BB720" s="122">
        <f t="shared" si="966"/>
        <v>0</v>
      </c>
      <c r="BC720" s="122">
        <f t="shared" si="966"/>
        <v>0</v>
      </c>
      <c r="BD720" s="674">
        <f t="shared" si="966"/>
        <v>0</v>
      </c>
      <c r="BE720" s="122">
        <f t="shared" si="966"/>
        <v>0</v>
      </c>
      <c r="BF720" s="122">
        <f>BF690-BF702</f>
        <v>0</v>
      </c>
      <c r="BG720" s="122">
        <f>BG690-BG702</f>
        <v>0</v>
      </c>
      <c r="BH720" s="122">
        <f>BH690-BH702</f>
        <v>0</v>
      </c>
      <c r="BI720" s="674">
        <f>BI690-BI702</f>
        <v>0</v>
      </c>
      <c r="BJ720" s="1274">
        <f>BJ690-BJ702</f>
        <v>0</v>
      </c>
      <c r="BK720" s="118"/>
      <c r="BL720" s="118"/>
      <c r="BM720" s="118"/>
      <c r="BN720" s="401"/>
      <c r="BO720" s="118"/>
      <c r="BP720" s="118"/>
      <c r="BQ720" s="118"/>
      <c r="BR720" s="118"/>
      <c r="BS720" s="401"/>
      <c r="BT720" s="401"/>
      <c r="BU720" s="401"/>
      <c r="BV720" s="401"/>
      <c r="BW720" s="122"/>
    </row>
    <row r="721" spans="1:75" s="123" customFormat="1" hidden="1" outlineLevel="1" x14ac:dyDescent="0.5">
      <c r="A721" s="464" t="s">
        <v>2096</v>
      </c>
      <c r="B721" s="513"/>
      <c r="C721" s="674">
        <f t="shared" ref="C721:Z721" si="967">C740*C$815</f>
        <v>0</v>
      </c>
      <c r="D721" s="674">
        <f t="shared" si="967"/>
        <v>0</v>
      </c>
      <c r="E721" s="674">
        <f t="shared" si="967"/>
        <v>0</v>
      </c>
      <c r="F721" s="674">
        <f t="shared" si="967"/>
        <v>0</v>
      </c>
      <c r="G721" s="122">
        <f t="shared" si="967"/>
        <v>0</v>
      </c>
      <c r="H721" s="122">
        <f t="shared" si="967"/>
        <v>0</v>
      </c>
      <c r="I721" s="122">
        <f t="shared" si="967"/>
        <v>0</v>
      </c>
      <c r="J721" s="122">
        <f t="shared" si="967"/>
        <v>0</v>
      </c>
      <c r="K721" s="674">
        <f t="shared" si="967"/>
        <v>0</v>
      </c>
      <c r="L721" s="122">
        <f t="shared" si="967"/>
        <v>0</v>
      </c>
      <c r="M721" s="122">
        <f t="shared" si="967"/>
        <v>0</v>
      </c>
      <c r="N721" s="122">
        <f t="shared" si="967"/>
        <v>0</v>
      </c>
      <c r="O721" s="122">
        <f t="shared" si="967"/>
        <v>0</v>
      </c>
      <c r="P721" s="674">
        <f t="shared" si="967"/>
        <v>0</v>
      </c>
      <c r="Q721" s="122">
        <f t="shared" si="967"/>
        <v>0</v>
      </c>
      <c r="R721" s="122">
        <f t="shared" si="967"/>
        <v>0</v>
      </c>
      <c r="S721" s="122">
        <f t="shared" si="967"/>
        <v>0</v>
      </c>
      <c r="T721" s="122">
        <f t="shared" si="967"/>
        <v>0</v>
      </c>
      <c r="U721" s="674">
        <f t="shared" si="967"/>
        <v>0</v>
      </c>
      <c r="V721" s="122">
        <f t="shared" si="967"/>
        <v>0</v>
      </c>
      <c r="W721" s="122">
        <f t="shared" si="967"/>
        <v>0</v>
      </c>
      <c r="X721" s="122">
        <f t="shared" si="967"/>
        <v>0</v>
      </c>
      <c r="Y721" s="122">
        <f t="shared" si="967"/>
        <v>0</v>
      </c>
      <c r="Z721" s="674">
        <f t="shared" si="967"/>
        <v>0</v>
      </c>
      <c r="AA721" s="118"/>
      <c r="AB721" s="118"/>
      <c r="AC721" s="118"/>
      <c r="AD721" s="302">
        <v>41.530999999999999</v>
      </c>
      <c r="AE721" s="403">
        <v>41.530999999999999</v>
      </c>
      <c r="AF721" s="302">
        <v>3.298</v>
      </c>
      <c r="AG721" s="302">
        <v>2.8879999999999999</v>
      </c>
      <c r="AH721" s="302">
        <v>-10.564</v>
      </c>
      <c r="AI721" s="302">
        <v>0.52300000000000002</v>
      </c>
      <c r="AJ721" s="403">
        <v>-3.855</v>
      </c>
      <c r="AK721" s="118"/>
      <c r="AL721" s="118"/>
      <c r="AM721" s="122">
        <f t="shared" ref="AM721:BE721" si="968">-AM703</f>
        <v>9.8000000000000004E-2</v>
      </c>
      <c r="AN721" s="122">
        <f t="shared" si="968"/>
        <v>6.4000000000000001E-2</v>
      </c>
      <c r="AO721" s="674">
        <f t="shared" si="968"/>
        <v>0.16200000000000001</v>
      </c>
      <c r="AP721" s="118">
        <f t="shared" si="968"/>
        <v>0</v>
      </c>
      <c r="AQ721" s="118">
        <f t="shared" si="968"/>
        <v>0</v>
      </c>
      <c r="AR721" s="118">
        <f t="shared" si="968"/>
        <v>0</v>
      </c>
      <c r="AS721" s="122">
        <f t="shared" si="968"/>
        <v>0</v>
      </c>
      <c r="AT721" s="674">
        <f t="shared" si="968"/>
        <v>0</v>
      </c>
      <c r="AU721" s="118">
        <f t="shared" si="968"/>
        <v>0</v>
      </c>
      <c r="AV721" s="118">
        <f t="shared" si="968"/>
        <v>0</v>
      </c>
      <c r="AW721" s="118">
        <f t="shared" si="968"/>
        <v>0</v>
      </c>
      <c r="AX721" s="122">
        <f t="shared" si="968"/>
        <v>0</v>
      </c>
      <c r="AY721" s="674">
        <f t="shared" si="968"/>
        <v>0</v>
      </c>
      <c r="AZ721" s="118">
        <f t="shared" si="968"/>
        <v>0</v>
      </c>
      <c r="BA721" s="118">
        <f t="shared" si="968"/>
        <v>0</v>
      </c>
      <c r="BB721" s="118">
        <f t="shared" si="968"/>
        <v>0</v>
      </c>
      <c r="BC721" s="122">
        <f t="shared" si="968"/>
        <v>0</v>
      </c>
      <c r="BD721" s="674">
        <f t="shared" si="968"/>
        <v>0</v>
      </c>
      <c r="BE721" s="118">
        <f t="shared" si="968"/>
        <v>0</v>
      </c>
      <c r="BF721" s="118">
        <f>-BF703</f>
        <v>0</v>
      </c>
      <c r="BG721" s="118">
        <f>-BG703</f>
        <v>0</v>
      </c>
      <c r="BH721" s="122">
        <f>-BH703</f>
        <v>0</v>
      </c>
      <c r="BI721" s="674">
        <f>-BI703</f>
        <v>0</v>
      </c>
      <c r="BJ721" s="971">
        <f>-BJ703</f>
        <v>0</v>
      </c>
      <c r="BK721" s="118"/>
      <c r="BL721" s="118"/>
      <c r="BM721" s="118"/>
      <c r="BN721" s="401"/>
      <c r="BO721" s="118"/>
      <c r="BP721" s="118"/>
      <c r="BQ721" s="118"/>
      <c r="BR721" s="118"/>
      <c r="BS721" s="401"/>
      <c r="BT721" s="401"/>
      <c r="BU721" s="401"/>
      <c r="BV721" s="401"/>
      <c r="BW721" s="122"/>
    </row>
    <row r="722" spans="1:75" s="123" customFormat="1" hidden="1" outlineLevel="1" x14ac:dyDescent="0.5">
      <c r="A722" s="1275" t="s">
        <v>2085</v>
      </c>
      <c r="B722" s="513"/>
      <c r="C722" s="401"/>
      <c r="D722" s="401"/>
      <c r="E722" s="401"/>
      <c r="F722" s="401"/>
      <c r="G722" s="118"/>
      <c r="H722" s="118"/>
      <c r="I722" s="118"/>
      <c r="J722" s="118"/>
      <c r="K722" s="401"/>
      <c r="L722" s="118"/>
      <c r="M722" s="118"/>
      <c r="N722" s="118"/>
      <c r="O722" s="118"/>
      <c r="P722" s="401"/>
      <c r="Q722" s="118"/>
      <c r="R722" s="118"/>
      <c r="S722" s="118"/>
      <c r="T722" s="118"/>
      <c r="U722" s="401"/>
      <c r="V722" s="118"/>
      <c r="W722" s="118"/>
      <c r="X722" s="118"/>
      <c r="Y722" s="118"/>
      <c r="Z722" s="401"/>
      <c r="AA722" s="118"/>
      <c r="AB722" s="118"/>
      <c r="AC722" s="118"/>
      <c r="AD722" s="118"/>
      <c r="AE722" s="401"/>
      <c r="AF722" s="118"/>
      <c r="AG722" s="118"/>
      <c r="AH722" s="118"/>
      <c r="AI722" s="118"/>
      <c r="AJ722" s="401"/>
      <c r="AK722" s="118"/>
      <c r="AL722" s="118"/>
      <c r="AM722" s="118"/>
      <c r="AN722" s="118"/>
      <c r="AO722" s="401"/>
      <c r="AP722" s="122">
        <f t="shared" ref="AP722:BE722" si="969">AP692-AP704</f>
        <v>11.582999999999998</v>
      </c>
      <c r="AQ722" s="122">
        <f t="shared" si="969"/>
        <v>5.0680000000000005</v>
      </c>
      <c r="AR722" s="122">
        <f t="shared" si="969"/>
        <v>0</v>
      </c>
      <c r="AS722" s="122">
        <f t="shared" si="969"/>
        <v>3.8250000000000002</v>
      </c>
      <c r="AT722" s="674">
        <f t="shared" si="969"/>
        <v>20.475999999999999</v>
      </c>
      <c r="AU722" s="122">
        <f t="shared" si="969"/>
        <v>0</v>
      </c>
      <c r="AV722" s="122">
        <f t="shared" si="969"/>
        <v>0</v>
      </c>
      <c r="AW722" s="122">
        <f t="shared" si="969"/>
        <v>0</v>
      </c>
      <c r="AX722" s="122">
        <f t="shared" si="969"/>
        <v>0</v>
      </c>
      <c r="AY722" s="674">
        <f t="shared" si="969"/>
        <v>0</v>
      </c>
      <c r="AZ722" s="122">
        <f t="shared" si="969"/>
        <v>0</v>
      </c>
      <c r="BA722" s="122">
        <f t="shared" si="969"/>
        <v>0</v>
      </c>
      <c r="BB722" s="122">
        <f t="shared" si="969"/>
        <v>0</v>
      </c>
      <c r="BC722" s="122">
        <f t="shared" si="969"/>
        <v>0</v>
      </c>
      <c r="BD722" s="674">
        <f t="shared" si="969"/>
        <v>0</v>
      </c>
      <c r="BE722" s="122">
        <f t="shared" si="969"/>
        <v>0</v>
      </c>
      <c r="BF722" s="122">
        <f>BF692-BF704</f>
        <v>0</v>
      </c>
      <c r="BG722" s="122">
        <f>BG692-BG704</f>
        <v>0</v>
      </c>
      <c r="BH722" s="122">
        <f>BH692-BH704</f>
        <v>0</v>
      </c>
      <c r="BI722" s="674">
        <f>BI692-BI704</f>
        <v>0</v>
      </c>
      <c r="BJ722" s="1274">
        <f>BJ692-BJ704</f>
        <v>0</v>
      </c>
      <c r="BK722" s="118"/>
      <c r="BL722" s="118"/>
      <c r="BM722" s="118"/>
      <c r="BN722" s="401"/>
      <c r="BO722" s="118"/>
      <c r="BP722" s="118"/>
      <c r="BQ722" s="118"/>
      <c r="BR722" s="118"/>
      <c r="BS722" s="401"/>
      <c r="BT722" s="401"/>
      <c r="BU722" s="401"/>
      <c r="BV722" s="401"/>
      <c r="BW722" s="122"/>
    </row>
    <row r="723" spans="1:75" s="123" customFormat="1" hidden="1" outlineLevel="1" x14ac:dyDescent="0.5">
      <c r="A723" s="1275" t="s">
        <v>2097</v>
      </c>
      <c r="B723" s="513"/>
      <c r="C723" s="674">
        <f>C742*C$815</f>
        <v>4.2949200000000003</v>
      </c>
      <c r="D723" s="674">
        <f>D742*D$815</f>
        <v>0</v>
      </c>
      <c r="E723" s="674">
        <f>E742*E$815</f>
        <v>0</v>
      </c>
      <c r="F723" s="401"/>
      <c r="G723" s="118"/>
      <c r="H723" s="118"/>
      <c r="I723" s="118"/>
      <c r="J723" s="118"/>
      <c r="K723" s="401"/>
      <c r="L723" s="118"/>
      <c r="M723" s="118"/>
      <c r="N723" s="118"/>
      <c r="O723" s="118"/>
      <c r="P723" s="401"/>
      <c r="Q723" s="118"/>
      <c r="R723" s="118"/>
      <c r="S723" s="118"/>
      <c r="T723" s="118"/>
      <c r="U723" s="401"/>
      <c r="V723" s="118"/>
      <c r="W723" s="118"/>
      <c r="X723" s="118"/>
      <c r="Y723" s="118"/>
      <c r="Z723" s="401"/>
      <c r="AA723" s="118"/>
      <c r="AB723" s="118"/>
      <c r="AC723" s="118"/>
      <c r="AD723" s="118"/>
      <c r="AE723" s="401"/>
      <c r="AF723" s="118"/>
      <c r="AG723" s="118"/>
      <c r="AH723" s="118"/>
      <c r="AI723" s="118"/>
      <c r="AJ723" s="401"/>
      <c r="AK723" s="118"/>
      <c r="AL723" s="118"/>
      <c r="AM723" s="118"/>
      <c r="AN723" s="118"/>
      <c r="AO723" s="401"/>
      <c r="AP723" s="118"/>
      <c r="AQ723" s="118"/>
      <c r="AR723" s="118"/>
      <c r="AS723" s="118"/>
      <c r="AT723" s="401"/>
      <c r="AU723" s="118"/>
      <c r="AV723" s="118"/>
      <c r="AW723" s="118"/>
      <c r="AX723" s="118"/>
      <c r="AY723" s="401"/>
      <c r="AZ723" s="118"/>
      <c r="BA723" s="118"/>
      <c r="BB723" s="118"/>
      <c r="BC723" s="118"/>
      <c r="BD723" s="401"/>
      <c r="BE723" s="118"/>
      <c r="BF723" s="118"/>
      <c r="BG723" s="118"/>
      <c r="BH723" s="118"/>
      <c r="BI723" s="401"/>
      <c r="BJ723" s="971"/>
      <c r="BK723" s="118"/>
      <c r="BL723" s="118"/>
      <c r="BM723" s="118"/>
      <c r="BN723" s="401"/>
      <c r="BO723" s="118"/>
      <c r="BP723" s="118"/>
      <c r="BQ723" s="118"/>
      <c r="BR723" s="118"/>
      <c r="BS723" s="401"/>
      <c r="BT723" s="401"/>
      <c r="BU723" s="401"/>
      <c r="BV723" s="401"/>
      <c r="BW723" s="122"/>
    </row>
    <row r="724" spans="1:75" s="123" customFormat="1" hidden="1" outlineLevel="1" x14ac:dyDescent="0.5">
      <c r="A724" s="1275" t="s">
        <v>2090</v>
      </c>
      <c r="B724" s="513"/>
      <c r="C724" s="401"/>
      <c r="D724" s="401"/>
      <c r="E724" s="401"/>
      <c r="F724" s="674">
        <f t="shared" ref="F724:Z724" si="970">F743*F$815</f>
        <v>0</v>
      </c>
      <c r="G724" s="122">
        <f t="shared" si="970"/>
        <v>0</v>
      </c>
      <c r="H724" s="122">
        <f t="shared" si="970"/>
        <v>0</v>
      </c>
      <c r="I724" s="122">
        <f t="shared" si="970"/>
        <v>0</v>
      </c>
      <c r="J724" s="122">
        <f t="shared" si="970"/>
        <v>0</v>
      </c>
      <c r="K724" s="674">
        <f t="shared" si="970"/>
        <v>0</v>
      </c>
      <c r="L724" s="122">
        <f t="shared" si="970"/>
        <v>0</v>
      </c>
      <c r="M724" s="122">
        <f t="shared" si="970"/>
        <v>0</v>
      </c>
      <c r="N724" s="122">
        <f t="shared" si="970"/>
        <v>0</v>
      </c>
      <c r="O724" s="122">
        <f t="shared" si="970"/>
        <v>0</v>
      </c>
      <c r="P724" s="674">
        <f t="shared" si="970"/>
        <v>0</v>
      </c>
      <c r="Q724" s="122">
        <f t="shared" si="970"/>
        <v>0</v>
      </c>
      <c r="R724" s="122">
        <f t="shared" si="970"/>
        <v>0</v>
      </c>
      <c r="S724" s="122">
        <f t="shared" si="970"/>
        <v>0</v>
      </c>
      <c r="T724" s="122">
        <f t="shared" si="970"/>
        <v>0</v>
      </c>
      <c r="U724" s="674">
        <f t="shared" si="970"/>
        <v>0</v>
      </c>
      <c r="V724" s="122">
        <f t="shared" si="970"/>
        <v>0</v>
      </c>
      <c r="W724" s="122">
        <f t="shared" si="970"/>
        <v>0</v>
      </c>
      <c r="X724" s="122">
        <f t="shared" si="970"/>
        <v>0</v>
      </c>
      <c r="Y724" s="122">
        <f t="shared" si="970"/>
        <v>-7.0906399999999996</v>
      </c>
      <c r="Z724" s="674">
        <f t="shared" si="970"/>
        <v>-7.1569600000000007</v>
      </c>
      <c r="AA724" s="118"/>
      <c r="AB724" s="118"/>
      <c r="AC724" s="118"/>
      <c r="AD724" s="118"/>
      <c r="AE724" s="401"/>
      <c r="AF724" s="118"/>
      <c r="AG724" s="118"/>
      <c r="AH724" s="118"/>
      <c r="AI724" s="118"/>
      <c r="AJ724" s="401"/>
      <c r="AK724" s="118"/>
      <c r="AL724" s="118"/>
      <c r="AM724" s="118"/>
      <c r="AN724" s="118"/>
      <c r="AO724" s="401"/>
      <c r="AP724" s="118"/>
      <c r="AQ724" s="118"/>
      <c r="AR724" s="118"/>
      <c r="AS724" s="118"/>
      <c r="AT724" s="401"/>
      <c r="AU724" s="118"/>
      <c r="AV724" s="118"/>
      <c r="AW724" s="118"/>
      <c r="AX724" s="118"/>
      <c r="AY724" s="401"/>
      <c r="AZ724" s="118"/>
      <c r="BA724" s="118"/>
      <c r="BB724" s="118"/>
      <c r="BC724" s="118"/>
      <c r="BD724" s="401"/>
      <c r="BE724" s="118"/>
      <c r="BF724" s="118"/>
      <c r="BG724" s="118"/>
      <c r="BH724" s="118"/>
      <c r="BI724" s="401"/>
      <c r="BJ724" s="971"/>
      <c r="BK724" s="118"/>
      <c r="BL724" s="118"/>
      <c r="BM724" s="118"/>
      <c r="BN724" s="401"/>
      <c r="BO724" s="118"/>
      <c r="BP724" s="118"/>
      <c r="BQ724" s="118"/>
      <c r="BR724" s="118"/>
      <c r="BS724" s="401"/>
      <c r="BT724" s="401"/>
      <c r="BU724" s="401"/>
      <c r="BV724" s="401"/>
      <c r="BW724" s="122"/>
    </row>
    <row r="725" spans="1:75" s="123" customFormat="1" hidden="1" outlineLevel="1" x14ac:dyDescent="0.5">
      <c r="A725" s="464" t="s">
        <v>2091</v>
      </c>
      <c r="B725" s="513"/>
      <c r="C725" s="401"/>
      <c r="D725" s="401"/>
      <c r="E725" s="401"/>
      <c r="F725" s="401"/>
      <c r="G725" s="118"/>
      <c r="H725" s="118"/>
      <c r="I725" s="118"/>
      <c r="J725" s="118"/>
      <c r="K725" s="401"/>
      <c r="L725" s="118"/>
      <c r="M725" s="118"/>
      <c r="N725" s="118"/>
      <c r="O725" s="118"/>
      <c r="P725" s="401"/>
      <c r="Q725" s="118"/>
      <c r="R725" s="118"/>
      <c r="S725" s="118"/>
      <c r="T725" s="118"/>
      <c r="U725" s="401"/>
      <c r="V725" s="118"/>
      <c r="W725" s="118"/>
      <c r="X725" s="118"/>
      <c r="Y725" s="118"/>
      <c r="Z725" s="401"/>
      <c r="AA725" s="118"/>
      <c r="AB725" s="118"/>
      <c r="AC725" s="118"/>
      <c r="AD725" s="118"/>
      <c r="AE725" s="401"/>
      <c r="AF725" s="118"/>
      <c r="AG725" s="118"/>
      <c r="AH725" s="118"/>
      <c r="AI725" s="118"/>
      <c r="AJ725" s="401"/>
      <c r="AK725" s="118"/>
      <c r="AL725" s="118"/>
      <c r="AM725" s="118"/>
      <c r="AN725" s="122">
        <f t="shared" ref="AN725:BE725" si="971">-AN706</f>
        <v>-6.0460000000000003</v>
      </c>
      <c r="AO725" s="674">
        <f t="shared" si="971"/>
        <v>-6.0460000000000003</v>
      </c>
      <c r="AP725" s="118">
        <f t="shared" si="971"/>
        <v>0</v>
      </c>
      <c r="AQ725" s="118">
        <f t="shared" si="971"/>
        <v>0</v>
      </c>
      <c r="AR725" s="122">
        <f t="shared" si="971"/>
        <v>-0.64700000000000002</v>
      </c>
      <c r="AS725" s="122">
        <f t="shared" si="971"/>
        <v>-4.383</v>
      </c>
      <c r="AT725" s="674">
        <f t="shared" si="971"/>
        <v>-5.03</v>
      </c>
      <c r="AU725" s="118">
        <f t="shared" si="971"/>
        <v>0</v>
      </c>
      <c r="AV725" s="118">
        <f t="shared" si="971"/>
        <v>0</v>
      </c>
      <c r="AW725" s="122">
        <f t="shared" si="971"/>
        <v>0</v>
      </c>
      <c r="AX725" s="122">
        <f t="shared" si="971"/>
        <v>0</v>
      </c>
      <c r="AY725" s="674">
        <f t="shared" si="971"/>
        <v>0</v>
      </c>
      <c r="AZ725" s="118">
        <f t="shared" si="971"/>
        <v>0</v>
      </c>
      <c r="BA725" s="118">
        <f t="shared" si="971"/>
        <v>0</v>
      </c>
      <c r="BB725" s="122">
        <f t="shared" si="971"/>
        <v>0</v>
      </c>
      <c r="BC725" s="122">
        <f t="shared" si="971"/>
        <v>0</v>
      </c>
      <c r="BD725" s="674">
        <f t="shared" si="971"/>
        <v>0</v>
      </c>
      <c r="BE725" s="118">
        <f t="shared" si="971"/>
        <v>0</v>
      </c>
      <c r="BF725" s="118">
        <f>-BF706</f>
        <v>0</v>
      </c>
      <c r="BG725" s="122">
        <f>-BG706</f>
        <v>0</v>
      </c>
      <c r="BH725" s="122">
        <f>-BH706</f>
        <v>0</v>
      </c>
      <c r="BI725" s="674">
        <f>-BI706</f>
        <v>0</v>
      </c>
      <c r="BJ725" s="971">
        <f>-BJ706</f>
        <v>0</v>
      </c>
      <c r="BK725" s="118"/>
      <c r="BL725" s="118"/>
      <c r="BM725" s="118"/>
      <c r="BN725" s="401"/>
      <c r="BO725" s="118"/>
      <c r="BP725" s="118"/>
      <c r="BQ725" s="118"/>
      <c r="BR725" s="118"/>
      <c r="BS725" s="401"/>
      <c r="BT725" s="401"/>
      <c r="BU725" s="401"/>
      <c r="BV725" s="401"/>
      <c r="BW725" s="122"/>
    </row>
    <row r="726" spans="1:75" s="123" customFormat="1" hidden="1" outlineLevel="1" x14ac:dyDescent="0.5">
      <c r="A726" s="464" t="s">
        <v>2098</v>
      </c>
      <c r="B726" s="513"/>
      <c r="C726" s="674">
        <f t="shared" ref="C726:Z726" si="972">C745*C$815</f>
        <v>0</v>
      </c>
      <c r="D726" s="674">
        <f t="shared" si="972"/>
        <v>0</v>
      </c>
      <c r="E726" s="674">
        <f t="shared" si="972"/>
        <v>0</v>
      </c>
      <c r="F726" s="674">
        <f t="shared" si="972"/>
        <v>0</v>
      </c>
      <c r="G726" s="122">
        <f t="shared" si="972"/>
        <v>0</v>
      </c>
      <c r="H726" s="122">
        <f t="shared" si="972"/>
        <v>0</v>
      </c>
      <c r="I726" s="122">
        <f t="shared" si="972"/>
        <v>0</v>
      </c>
      <c r="J726" s="122">
        <f t="shared" si="972"/>
        <v>0</v>
      </c>
      <c r="K726" s="674">
        <f t="shared" si="972"/>
        <v>0</v>
      </c>
      <c r="L726" s="122">
        <f t="shared" si="972"/>
        <v>0</v>
      </c>
      <c r="M726" s="122">
        <f t="shared" si="972"/>
        <v>0</v>
      </c>
      <c r="N726" s="122">
        <f t="shared" si="972"/>
        <v>0</v>
      </c>
      <c r="O726" s="122">
        <f t="shared" si="972"/>
        <v>0</v>
      </c>
      <c r="P726" s="674">
        <f t="shared" si="972"/>
        <v>0</v>
      </c>
      <c r="Q726" s="122">
        <f t="shared" si="972"/>
        <v>0</v>
      </c>
      <c r="R726" s="122">
        <f t="shared" si="972"/>
        <v>0</v>
      </c>
      <c r="S726" s="122">
        <f t="shared" si="972"/>
        <v>0</v>
      </c>
      <c r="T726" s="122">
        <f t="shared" si="972"/>
        <v>0</v>
      </c>
      <c r="U726" s="674">
        <f t="shared" si="972"/>
        <v>0</v>
      </c>
      <c r="V726" s="122">
        <f t="shared" si="972"/>
        <v>0</v>
      </c>
      <c r="W726" s="122">
        <f t="shared" si="972"/>
        <v>0</v>
      </c>
      <c r="X726" s="122">
        <f t="shared" si="972"/>
        <v>0</v>
      </c>
      <c r="Y726" s="122">
        <f t="shared" si="972"/>
        <v>0</v>
      </c>
      <c r="Z726" s="674">
        <f t="shared" si="972"/>
        <v>0</v>
      </c>
      <c r="AA726" s="302">
        <v>1.429</v>
      </c>
      <c r="AB726" s="118"/>
      <c r="AC726" s="118"/>
      <c r="AD726" s="302">
        <v>-1.6859999999999999</v>
      </c>
      <c r="AE726" s="403">
        <v>-0.25700000000000001</v>
      </c>
      <c r="AF726" s="302">
        <v>1.1459999999999999</v>
      </c>
      <c r="AG726" s="118"/>
      <c r="AH726" s="118"/>
      <c r="AI726" s="118"/>
      <c r="AJ726" s="403">
        <v>1.1459999999999999</v>
      </c>
      <c r="AK726" s="118"/>
      <c r="AL726" s="118"/>
      <c r="AM726" s="118"/>
      <c r="AN726" s="118"/>
      <c r="AO726" s="401"/>
      <c r="AP726" s="118"/>
      <c r="AQ726" s="118"/>
      <c r="AR726" s="118"/>
      <c r="AS726" s="118"/>
      <c r="AT726" s="401"/>
      <c r="AU726" s="118"/>
      <c r="AV726" s="118"/>
      <c r="AW726" s="118"/>
      <c r="AX726" s="118"/>
      <c r="AY726" s="401"/>
      <c r="AZ726" s="118"/>
      <c r="BA726" s="118"/>
      <c r="BB726" s="118"/>
      <c r="BC726" s="118"/>
      <c r="BD726" s="401"/>
      <c r="BE726" s="118"/>
      <c r="BF726" s="118"/>
      <c r="BG726" s="118"/>
      <c r="BH726" s="118"/>
      <c r="BI726" s="401"/>
      <c r="BJ726" s="971"/>
      <c r="BK726" s="118"/>
      <c r="BL726" s="118"/>
      <c r="BM726" s="118"/>
      <c r="BN726" s="401"/>
      <c r="BO726" s="118"/>
      <c r="BP726" s="118"/>
      <c r="BQ726" s="118"/>
      <c r="BR726" s="118"/>
      <c r="BS726" s="401"/>
      <c r="BT726" s="401"/>
      <c r="BU726" s="401"/>
      <c r="BV726" s="401"/>
      <c r="BW726" s="122"/>
    </row>
    <row r="727" spans="1:75" s="198" customFormat="1" ht="14.25" hidden="1" outlineLevel="1" x14ac:dyDescent="0.45">
      <c r="A727" s="516" t="s">
        <v>1118</v>
      </c>
      <c r="B727" s="517"/>
      <c r="C727" s="519">
        <f t="shared" ref="C727:AH727" si="973">SUM(C710:C726)</f>
        <v>102.13779000000012</v>
      </c>
      <c r="D727" s="519">
        <f t="shared" si="973"/>
        <v>213.36964</v>
      </c>
      <c r="E727" s="519">
        <f t="shared" si="973"/>
        <v>239.06263999999976</v>
      </c>
      <c r="F727" s="519">
        <f t="shared" si="973"/>
        <v>260.77204</v>
      </c>
      <c r="G727" s="520">
        <f t="shared" si="973"/>
        <v>41.456299999999956</v>
      </c>
      <c r="H727" s="520">
        <f t="shared" si="973"/>
        <v>48.918999999999954</v>
      </c>
      <c r="I727" s="520">
        <f t="shared" si="973"/>
        <v>56.719000000000023</v>
      </c>
      <c r="J727" s="520">
        <f t="shared" si="973"/>
        <v>133.79800000000006</v>
      </c>
      <c r="K727" s="519">
        <f t="shared" si="973"/>
        <v>280.87730000000039</v>
      </c>
      <c r="L727" s="520">
        <f t="shared" si="973"/>
        <v>46.16200000000002</v>
      </c>
      <c r="M727" s="520">
        <f t="shared" si="973"/>
        <v>50.747000000000064</v>
      </c>
      <c r="N727" s="520">
        <f t="shared" si="973"/>
        <v>64.908000000000015</v>
      </c>
      <c r="O727" s="520">
        <f t="shared" si="973"/>
        <v>142.35494999999997</v>
      </c>
      <c r="P727" s="519">
        <f t="shared" si="973"/>
        <v>305.04599999999988</v>
      </c>
      <c r="Q727" s="520">
        <f t="shared" si="973"/>
        <v>44.789999999999893</v>
      </c>
      <c r="R727" s="520">
        <f t="shared" si="973"/>
        <v>53.668000000000013</v>
      </c>
      <c r="S727" s="520">
        <f t="shared" si="973"/>
        <v>70.482000000000113</v>
      </c>
      <c r="T727" s="520">
        <f t="shared" si="973"/>
        <v>141.12800000000004</v>
      </c>
      <c r="U727" s="519">
        <f t="shared" si="973"/>
        <v>310.06799999999998</v>
      </c>
      <c r="V727" s="520">
        <f t="shared" si="973"/>
        <v>47.743260000000035</v>
      </c>
      <c r="W727" s="520">
        <f t="shared" si="973"/>
        <v>51.785000000000011</v>
      </c>
      <c r="X727" s="520">
        <f t="shared" si="973"/>
        <v>70.269439999999932</v>
      </c>
      <c r="Y727" s="520">
        <f t="shared" si="973"/>
        <v>137.53635999999995</v>
      </c>
      <c r="Z727" s="519">
        <f t="shared" si="973"/>
        <v>307.17623999999989</v>
      </c>
      <c r="AA727" s="520">
        <f t="shared" si="973"/>
        <v>44.71800000000011</v>
      </c>
      <c r="AB727" s="520">
        <f t="shared" si="973"/>
        <v>52.917000000000002</v>
      </c>
      <c r="AC727" s="520">
        <f t="shared" si="973"/>
        <v>71.312999999999988</v>
      </c>
      <c r="AD727" s="520">
        <f t="shared" si="973"/>
        <v>142.017</v>
      </c>
      <c r="AE727" s="519">
        <f t="shared" si="973"/>
        <v>310.96500000000015</v>
      </c>
      <c r="AF727" s="520">
        <f t="shared" si="973"/>
        <v>56.375000000000021</v>
      </c>
      <c r="AG727" s="520">
        <f t="shared" si="973"/>
        <v>63.951999999999991</v>
      </c>
      <c r="AH727" s="520">
        <f t="shared" si="973"/>
        <v>77.821999999999889</v>
      </c>
      <c r="AI727" s="520">
        <f t="shared" ref="AI727:BE727" si="974">SUM(AI710:AI726)</f>
        <v>169.39299999999983</v>
      </c>
      <c r="AJ727" s="519">
        <f t="shared" si="974"/>
        <v>367.54199999999997</v>
      </c>
      <c r="AK727" s="520">
        <f t="shared" si="974"/>
        <v>64.455000000000013</v>
      </c>
      <c r="AL727" s="520">
        <f t="shared" si="974"/>
        <v>69.458000000000084</v>
      </c>
      <c r="AM727" s="520">
        <f t="shared" si="974"/>
        <v>80.805000000000021</v>
      </c>
      <c r="AN727" s="520">
        <f t="shared" si="974"/>
        <v>168.50399999999993</v>
      </c>
      <c r="AO727" s="519">
        <f t="shared" si="974"/>
        <v>383.22199999999958</v>
      </c>
      <c r="AP727" s="520">
        <f t="shared" si="974"/>
        <v>58.060999999999979</v>
      </c>
      <c r="AQ727" s="520">
        <f t="shared" si="974"/>
        <v>142.52199999999999</v>
      </c>
      <c r="AR727" s="520">
        <f t="shared" si="974"/>
        <v>202.87100000000012</v>
      </c>
      <c r="AS727" s="520">
        <f t="shared" si="974"/>
        <v>311.32300000000066</v>
      </c>
      <c r="AT727" s="519">
        <f t="shared" si="974"/>
        <v>714.77700000000038</v>
      </c>
      <c r="AU727" s="520">
        <f t="shared" si="974"/>
        <v>230.12999999999997</v>
      </c>
      <c r="AV727" s="520">
        <f t="shared" si="974"/>
        <v>248.36499999999987</v>
      </c>
      <c r="AW727" s="520">
        <f t="shared" si="974"/>
        <v>251.80299999999994</v>
      </c>
      <c r="AX727" s="520">
        <f t="shared" si="974"/>
        <v>403.80199999999928</v>
      </c>
      <c r="AY727" s="519">
        <f t="shared" si="974"/>
        <v>1134.0999999999995</v>
      </c>
      <c r="AZ727" s="520">
        <f t="shared" si="974"/>
        <v>254.113</v>
      </c>
      <c r="BA727" s="520">
        <f t="shared" si="974"/>
        <v>267.0749999999997</v>
      </c>
      <c r="BB727" s="520">
        <f t="shared" si="974"/>
        <v>251.72300000000004</v>
      </c>
      <c r="BC727" s="520">
        <f t="shared" si="974"/>
        <v>369.83999999999929</v>
      </c>
      <c r="BD727" s="519">
        <f t="shared" si="974"/>
        <v>1142.7509999999991</v>
      </c>
      <c r="BE727" s="520">
        <f t="shared" si="974"/>
        <v>175.91399999999993</v>
      </c>
      <c r="BF727" s="520">
        <f>SUM(BF710:BF726)</f>
        <v>201.50699999999998</v>
      </c>
      <c r="BG727" s="520">
        <f>SUM(BG710:BG726)</f>
        <v>237.28500000000014</v>
      </c>
      <c r="BH727" s="520">
        <f>SUM(BH710:BH726)</f>
        <v>354.43899999999985</v>
      </c>
      <c r="BI727" s="519">
        <f>SUM(BI710:BI726)</f>
        <v>969.14499999999975</v>
      </c>
      <c r="BJ727" s="1270">
        <f>SUM(BJ710:BJ726)</f>
        <v>265.66599999999994</v>
      </c>
      <c r="BK727" s="327"/>
      <c r="BL727" s="327"/>
      <c r="BM727" s="327"/>
      <c r="BN727" s="518"/>
      <c r="BO727" s="327"/>
      <c r="BP727" s="327"/>
      <c r="BQ727" s="327"/>
      <c r="BR727" s="327"/>
      <c r="BS727" s="518"/>
      <c r="BT727" s="518"/>
      <c r="BU727" s="518"/>
      <c r="BV727" s="518"/>
      <c r="BW727" s="197"/>
    </row>
    <row r="728" spans="1:75" s="123" customFormat="1" hidden="1" outlineLevel="1" x14ac:dyDescent="0.5">
      <c r="A728" s="184"/>
      <c r="B728" s="513"/>
      <c r="C728" s="401"/>
      <c r="D728" s="401"/>
      <c r="E728" s="401"/>
      <c r="F728" s="401"/>
      <c r="G728" s="118"/>
      <c r="H728" s="118"/>
      <c r="I728" s="118"/>
      <c r="J728" s="118"/>
      <c r="K728" s="401"/>
      <c r="L728" s="118"/>
      <c r="M728" s="118"/>
      <c r="N728" s="118"/>
      <c r="O728" s="118"/>
      <c r="P728" s="401"/>
      <c r="Q728" s="118"/>
      <c r="R728" s="118"/>
      <c r="S728" s="118"/>
      <c r="T728" s="118"/>
      <c r="U728" s="401"/>
      <c r="V728" s="118"/>
      <c r="W728" s="118"/>
      <c r="X728" s="118"/>
      <c r="Y728" s="118"/>
      <c r="Z728" s="401"/>
      <c r="AA728" s="118"/>
      <c r="AB728" s="118"/>
      <c r="AC728" s="118"/>
      <c r="AD728" s="118"/>
      <c r="AE728" s="401"/>
      <c r="AF728" s="118"/>
      <c r="AG728" s="118"/>
      <c r="AH728" s="118"/>
      <c r="AI728" s="118"/>
      <c r="AJ728" s="401"/>
      <c r="AK728" s="118"/>
      <c r="AL728" s="118"/>
      <c r="AM728" s="118"/>
      <c r="AN728" s="118"/>
      <c r="AO728" s="401"/>
      <c r="AP728" s="118"/>
      <c r="AQ728" s="118"/>
      <c r="AR728" s="118"/>
      <c r="AS728" s="118"/>
      <c r="AT728" s="401"/>
      <c r="AU728" s="118"/>
      <c r="AV728" s="118"/>
      <c r="AW728" s="118"/>
      <c r="AX728" s="118"/>
      <c r="AY728" s="401"/>
      <c r="AZ728" s="118"/>
      <c r="BA728" s="118"/>
      <c r="BB728" s="118"/>
      <c r="BC728" s="118"/>
      <c r="BD728" s="401"/>
      <c r="BE728" s="118"/>
      <c r="BF728" s="118"/>
      <c r="BG728" s="118"/>
      <c r="BH728" s="118"/>
      <c r="BI728" s="401"/>
      <c r="BJ728" s="971"/>
      <c r="BK728" s="118"/>
      <c r="BL728" s="118"/>
      <c r="BM728" s="118"/>
      <c r="BN728" s="401"/>
      <c r="BO728" s="118"/>
      <c r="BP728" s="118"/>
      <c r="BQ728" s="118"/>
      <c r="BR728" s="118"/>
      <c r="BS728" s="401"/>
      <c r="BT728" s="401"/>
      <c r="BU728" s="401"/>
      <c r="BV728" s="401"/>
      <c r="BW728" s="122"/>
    </row>
    <row r="729" spans="1:75" s="741" customFormat="1" ht="14.25" hidden="1" outlineLevel="1" x14ac:dyDescent="0.45">
      <c r="A729" s="1242" t="s">
        <v>2099</v>
      </c>
      <c r="B729" s="737"/>
      <c r="C729" s="1243">
        <f t="shared" ref="C729:BJ729" si="975">C810</f>
        <v>0.72124277052890395</v>
      </c>
      <c r="D729" s="1243">
        <f t="shared" si="975"/>
        <v>1.8281897700918557</v>
      </c>
      <c r="E729" s="1243">
        <f t="shared" si="975"/>
        <v>2.2229926253964041</v>
      </c>
      <c r="F729" s="1243">
        <f t="shared" si="975"/>
        <v>2.5405983117435751</v>
      </c>
      <c r="G729" s="742">
        <f t="shared" si="975"/>
        <v>0.39658342963372256</v>
      </c>
      <c r="H729" s="742">
        <f t="shared" si="975"/>
        <v>0.49434602908333825</v>
      </c>
      <c r="I729" s="742">
        <f t="shared" si="975"/>
        <v>0.57957552905592535</v>
      </c>
      <c r="J729" s="742">
        <f t="shared" si="975"/>
        <v>1.3797448774401133</v>
      </c>
      <c r="K729" s="1243">
        <f t="shared" si="975"/>
        <v>2.8238951045410863</v>
      </c>
      <c r="L729" s="742">
        <f t="shared" si="975"/>
        <v>0.48277520968855259</v>
      </c>
      <c r="M729" s="742">
        <f t="shared" si="975"/>
        <v>0.5295026033243253</v>
      </c>
      <c r="N729" s="742">
        <f t="shared" si="975"/>
        <v>0.68381795195954498</v>
      </c>
      <c r="O729" s="742">
        <f t="shared" si="975"/>
        <v>1.5702203094798222</v>
      </c>
      <c r="P729" s="1243">
        <f t="shared" si="975"/>
        <v>3.2442647058823564</v>
      </c>
      <c r="Q729" s="742">
        <f t="shared" si="975"/>
        <v>0.48006430868167088</v>
      </c>
      <c r="R729" s="742">
        <f t="shared" si="975"/>
        <v>0.57979344021433898</v>
      </c>
      <c r="S729" s="742">
        <f t="shared" si="975"/>
        <v>0.76776941427653533</v>
      </c>
      <c r="T729" s="742">
        <f t="shared" si="975"/>
        <v>1.5510616784630946</v>
      </c>
      <c r="U729" s="1243">
        <f t="shared" si="975"/>
        <v>3.3665718442596249</v>
      </c>
      <c r="V729" s="742">
        <f t="shared" si="975"/>
        <v>0.43746823695781972</v>
      </c>
      <c r="W729" s="742">
        <f t="shared" si="975"/>
        <v>0.57708166176339559</v>
      </c>
      <c r="X729" s="742">
        <f t="shared" si="975"/>
        <v>0.77826886834784215</v>
      </c>
      <c r="Y729" s="742">
        <f t="shared" si="975"/>
        <v>1.6317511536335221</v>
      </c>
      <c r="Z729" s="1243">
        <f t="shared" si="975"/>
        <v>3.4135945988240834</v>
      </c>
      <c r="AA729" s="742">
        <f t="shared" si="975"/>
        <v>0.45097480332915479</v>
      </c>
      <c r="AB729" s="742">
        <f t="shared" si="975"/>
        <v>0.60930591378039867</v>
      </c>
      <c r="AC729" s="742">
        <f t="shared" si="975"/>
        <v>0.83520331678065995</v>
      </c>
      <c r="AD729" s="742">
        <f t="shared" si="975"/>
        <v>1.130204890945143</v>
      </c>
      <c r="AE729" s="1243">
        <f t="shared" si="975"/>
        <v>3.0151603159851263</v>
      </c>
      <c r="AF729" s="742">
        <f t="shared" si="975"/>
        <v>0.53660275144343816</v>
      </c>
      <c r="AG729" s="742">
        <f t="shared" si="975"/>
        <v>0.62179710702562241</v>
      </c>
      <c r="AH729" s="742">
        <f t="shared" si="975"/>
        <v>0.99784422042845855</v>
      </c>
      <c r="AI729" s="742">
        <f t="shared" si="975"/>
        <v>1.9253355808678603</v>
      </c>
      <c r="AJ729" s="1243">
        <f t="shared" si="975"/>
        <v>4.0525139664804515</v>
      </c>
      <c r="AK729" s="742">
        <f t="shared" si="975"/>
        <v>0.65929607973255611</v>
      </c>
      <c r="AL729" s="742">
        <f t="shared" si="975"/>
        <v>0.78832263747326281</v>
      </c>
      <c r="AM729" s="742">
        <f t="shared" si="975"/>
        <v>0.9434531701834814</v>
      </c>
      <c r="AN729" s="742">
        <f t="shared" si="975"/>
        <v>2.1041793390105425</v>
      </c>
      <c r="AO729" s="1243">
        <f t="shared" si="975"/>
        <v>4.4943136636162802</v>
      </c>
      <c r="AP729" s="742">
        <f t="shared" si="975"/>
        <v>0.45182974272631005</v>
      </c>
      <c r="AQ729" s="742">
        <f t="shared" si="975"/>
        <v>1.6976685506661269</v>
      </c>
      <c r="AR729" s="742">
        <f t="shared" si="975"/>
        <v>2.543387283819897</v>
      </c>
      <c r="AS729" s="742">
        <f t="shared" si="975"/>
        <v>3.9185110026000465</v>
      </c>
      <c r="AT729" s="1243">
        <f t="shared" si="975"/>
        <v>8.6106381633040296</v>
      </c>
      <c r="AU729" s="742">
        <f t="shared" si="975"/>
        <v>2.9024909218321961</v>
      </c>
      <c r="AV729" s="742">
        <f t="shared" si="975"/>
        <v>3.2130732267836608</v>
      </c>
      <c r="AW729" s="742">
        <f t="shared" si="975"/>
        <v>3.2856747824025923</v>
      </c>
      <c r="AX729" s="742">
        <f t="shared" si="975"/>
        <v>5.4083862394802802</v>
      </c>
      <c r="AY729" s="1243">
        <f t="shared" si="975"/>
        <v>14.751512690887184</v>
      </c>
      <c r="AZ729" s="742">
        <f t="shared" si="975"/>
        <v>3.4976738424269116</v>
      </c>
      <c r="BA729" s="742">
        <f t="shared" si="975"/>
        <v>3.8661136926217003</v>
      </c>
      <c r="BB729" s="742">
        <f t="shared" si="975"/>
        <v>3.7227768164810628</v>
      </c>
      <c r="BC729" s="742">
        <f t="shared" si="975"/>
        <v>5.2825553191172654</v>
      </c>
      <c r="BD729" s="1243">
        <f t="shared" si="975"/>
        <v>16.32277858176554</v>
      </c>
      <c r="BE729" s="742">
        <f t="shared" si="975"/>
        <v>2.3469323497661003</v>
      </c>
      <c r="BF729" s="742">
        <f t="shared" si="975"/>
        <v>3.122880699253014</v>
      </c>
      <c r="BG729" s="742">
        <f t="shared" si="975"/>
        <v>3.6632753882730764</v>
      </c>
      <c r="BH729" s="742">
        <f t="shared" si="975"/>
        <v>5.4406035581070471</v>
      </c>
      <c r="BI729" s="1243">
        <f t="shared" si="975"/>
        <v>14.55083343547002</v>
      </c>
      <c r="BJ729" s="1276">
        <f t="shared" si="975"/>
        <v>4.0674577049682297</v>
      </c>
      <c r="BK729" s="739"/>
      <c r="BL729" s="739"/>
      <c r="BM729" s="739"/>
      <c r="BN729" s="738"/>
      <c r="BO729" s="739"/>
      <c r="BP729" s="739"/>
      <c r="BQ729" s="739"/>
      <c r="BR729" s="739"/>
      <c r="BS729" s="738"/>
      <c r="BT729" s="738"/>
      <c r="BU729" s="738"/>
      <c r="BV729" s="738"/>
      <c r="BW729" s="742"/>
    </row>
    <row r="730" spans="1:75" s="1284" customFormat="1" hidden="1" outlineLevel="1" x14ac:dyDescent="0.5">
      <c r="A730" s="1275" t="s">
        <v>2081</v>
      </c>
      <c r="B730" s="1277"/>
      <c r="C730" s="1278">
        <v>-0.01</v>
      </c>
      <c r="D730" s="1279"/>
      <c r="E730" s="1279"/>
      <c r="F730" s="1279"/>
      <c r="G730" s="1280"/>
      <c r="H730" s="1280"/>
      <c r="I730" s="1280"/>
      <c r="J730" s="1280"/>
      <c r="K730" s="1279"/>
      <c r="L730" s="1280"/>
      <c r="M730" s="1280"/>
      <c r="N730" s="1280"/>
      <c r="O730" s="1281">
        <v>-0.05</v>
      </c>
      <c r="P730" s="1278">
        <v>-0.04</v>
      </c>
      <c r="Q730" s="1280"/>
      <c r="R730" s="1280"/>
      <c r="S730" s="1280"/>
      <c r="T730" s="1280"/>
      <c r="U730" s="1279"/>
      <c r="V730" s="1280"/>
      <c r="W730" s="1280"/>
      <c r="X730" s="1280"/>
      <c r="Y730" s="1280"/>
      <c r="Z730" s="1279"/>
      <c r="AA730" s="1280"/>
      <c r="AB730" s="1280"/>
      <c r="AC730" s="1280"/>
      <c r="AD730" s="1280"/>
      <c r="AE730" s="1279"/>
      <c r="AF730" s="1280"/>
      <c r="AG730" s="1280"/>
      <c r="AH730" s="1280"/>
      <c r="AI730" s="1280"/>
      <c r="AJ730" s="1279"/>
      <c r="AK730" s="1280"/>
      <c r="AL730" s="1280"/>
      <c r="AM730" s="1280"/>
      <c r="AN730" s="1280"/>
      <c r="AO730" s="1279"/>
      <c r="AP730" s="1280"/>
      <c r="AQ730" s="1280"/>
      <c r="AR730" s="1280"/>
      <c r="AS730" s="1280"/>
      <c r="AT730" s="1279"/>
      <c r="AU730" s="1280"/>
      <c r="AV730" s="1280"/>
      <c r="AW730" s="1280"/>
      <c r="AX730" s="1280"/>
      <c r="AY730" s="1279"/>
      <c r="AZ730" s="1280"/>
      <c r="BA730" s="1280"/>
      <c r="BB730" s="1280"/>
      <c r="BC730" s="1280"/>
      <c r="BD730" s="1279"/>
      <c r="BE730" s="1280"/>
      <c r="BF730" s="1280"/>
      <c r="BG730" s="1280"/>
      <c r="BH730" s="1280"/>
      <c r="BI730" s="1279"/>
      <c r="BJ730" s="1282"/>
      <c r="BK730" s="1280"/>
      <c r="BL730" s="1280"/>
      <c r="BM730" s="1280"/>
      <c r="BN730" s="1279"/>
      <c r="BO730" s="1280"/>
      <c r="BP730" s="1280"/>
      <c r="BQ730" s="1280"/>
      <c r="BR730" s="1280"/>
      <c r="BS730" s="1279"/>
      <c r="BT730" s="1279"/>
      <c r="BU730" s="1279"/>
      <c r="BV730" s="1279"/>
      <c r="BW730" s="1283"/>
    </row>
    <row r="731" spans="1:75" s="1284" customFormat="1" hidden="1" outlineLevel="1" x14ac:dyDescent="0.5">
      <c r="A731" s="1275" t="s">
        <v>2072</v>
      </c>
      <c r="B731" s="1277"/>
      <c r="C731" s="1279"/>
      <c r="D731" s="1279"/>
      <c r="E731" s="1279"/>
      <c r="F731" s="1279"/>
      <c r="G731" s="1280"/>
      <c r="H731" s="1280"/>
      <c r="I731" s="1280"/>
      <c r="J731" s="1280"/>
      <c r="K731" s="1279"/>
      <c r="L731" s="1280"/>
      <c r="M731" s="1280"/>
      <c r="N731" s="1280"/>
      <c r="O731" s="1280"/>
      <c r="P731" s="1279"/>
      <c r="Q731" s="1280"/>
      <c r="R731" s="1280"/>
      <c r="S731" s="1280"/>
      <c r="T731" s="1280"/>
      <c r="U731" s="1279"/>
      <c r="V731" s="1280"/>
      <c r="W731" s="1280"/>
      <c r="X731" s="1280"/>
      <c r="Y731" s="1280"/>
      <c r="Z731" s="1279"/>
      <c r="AA731" s="1280"/>
      <c r="AB731" s="1280"/>
      <c r="AC731" s="1280"/>
      <c r="AD731" s="1281">
        <v>0.05</v>
      </c>
      <c r="AE731" s="1278">
        <v>0.05</v>
      </c>
      <c r="AF731" s="1281">
        <v>0.06</v>
      </c>
      <c r="AG731" s="1281">
        <v>0.05</v>
      </c>
      <c r="AH731" s="1281">
        <v>0.06</v>
      </c>
      <c r="AI731" s="1281">
        <v>0.08</v>
      </c>
      <c r="AJ731" s="1278">
        <v>0.25</v>
      </c>
      <c r="AK731" s="1281">
        <v>0.06</v>
      </c>
      <c r="AL731" s="1281">
        <v>7.0000000000000007E-2</v>
      </c>
      <c r="AM731" s="1281">
        <v>7.0000000000000007E-2</v>
      </c>
      <c r="AN731" s="1281">
        <v>0.1</v>
      </c>
      <c r="AO731" s="1278">
        <v>0.3</v>
      </c>
      <c r="AP731" s="1281">
        <v>0.03</v>
      </c>
      <c r="AQ731" s="1281">
        <v>0.04</v>
      </c>
      <c r="AR731" s="1281">
        <v>0.02</v>
      </c>
      <c r="AS731" s="1281">
        <v>0.04</v>
      </c>
      <c r="AT731" s="1278">
        <v>0.13</v>
      </c>
      <c r="AU731" s="1281">
        <v>0.03</v>
      </c>
      <c r="AV731" s="1281">
        <v>0.03</v>
      </c>
      <c r="AW731" s="1281">
        <v>0.03</v>
      </c>
      <c r="AX731" s="1281">
        <v>0.01</v>
      </c>
      <c r="AY731" s="1278">
        <v>0.1</v>
      </c>
      <c r="AZ731" s="1280"/>
      <c r="BA731" s="1280"/>
      <c r="BB731" s="1280"/>
      <c r="BC731" s="1280"/>
      <c r="BD731" s="1279"/>
      <c r="BE731" s="1280"/>
      <c r="BF731" s="1280"/>
      <c r="BG731" s="1280"/>
      <c r="BH731" s="1280"/>
      <c r="BI731" s="1279"/>
      <c r="BJ731" s="1282"/>
      <c r="BK731" s="1280"/>
      <c r="BL731" s="1280"/>
      <c r="BM731" s="1280"/>
      <c r="BN731" s="1279"/>
      <c r="BO731" s="1280"/>
      <c r="BP731" s="1280"/>
      <c r="BQ731" s="1280"/>
      <c r="BR731" s="1280"/>
      <c r="BS731" s="1279"/>
      <c r="BT731" s="1279"/>
      <c r="BU731" s="1279"/>
      <c r="BV731" s="1279"/>
      <c r="BW731" s="1283"/>
    </row>
    <row r="732" spans="1:75" s="1284" customFormat="1" hidden="1" outlineLevel="1" x14ac:dyDescent="0.5">
      <c r="A732" s="464" t="s">
        <v>2075</v>
      </c>
      <c r="B732" s="1277"/>
      <c r="C732" s="1279"/>
      <c r="D732" s="1279"/>
      <c r="E732" s="1279"/>
      <c r="F732" s="1279"/>
      <c r="G732" s="1280"/>
      <c r="H732" s="1280"/>
      <c r="I732" s="1280"/>
      <c r="J732" s="1280"/>
      <c r="K732" s="1279"/>
      <c r="L732" s="1280"/>
      <c r="M732" s="1280"/>
      <c r="N732" s="1280"/>
      <c r="O732" s="1280"/>
      <c r="P732" s="1279"/>
      <c r="Q732" s="1280"/>
      <c r="R732" s="1280"/>
      <c r="S732" s="1280"/>
      <c r="T732" s="1280"/>
      <c r="U732" s="1279"/>
      <c r="V732" s="1280"/>
      <c r="W732" s="1280"/>
      <c r="X732" s="1280"/>
      <c r="Y732" s="1280"/>
      <c r="Z732" s="1279"/>
      <c r="AA732" s="1280"/>
      <c r="AB732" s="1280"/>
      <c r="AC732" s="1280"/>
      <c r="AD732" s="1280"/>
      <c r="AE732" s="1279"/>
      <c r="AF732" s="1280"/>
      <c r="AG732" s="1280"/>
      <c r="AH732" s="1280"/>
      <c r="AI732" s="1280"/>
      <c r="AJ732" s="1279"/>
      <c r="AK732" s="1280"/>
      <c r="AL732" s="1280"/>
      <c r="AM732" s="1280"/>
      <c r="AN732" s="1280"/>
      <c r="AO732" s="1279"/>
      <c r="AP732" s="1280"/>
      <c r="AQ732" s="1280"/>
      <c r="AR732" s="1280"/>
      <c r="AS732" s="1280"/>
      <c r="AT732" s="1279"/>
      <c r="AU732" s="1280"/>
      <c r="AV732" s="1280"/>
      <c r="AW732" s="1280"/>
      <c r="AX732" s="1280"/>
      <c r="AY732" s="1279"/>
      <c r="AZ732" s="1280"/>
      <c r="BA732" s="1280"/>
      <c r="BB732" s="1280"/>
      <c r="BC732" s="1280"/>
      <c r="BD732" s="1279"/>
      <c r="BE732" s="1281">
        <v>0.2</v>
      </c>
      <c r="BF732" s="1280"/>
      <c r="BG732" s="1280"/>
      <c r="BH732" s="1280"/>
      <c r="BI732" s="1278">
        <v>0.2</v>
      </c>
      <c r="BJ732" s="1282"/>
      <c r="BK732" s="1280"/>
      <c r="BL732" s="1280"/>
      <c r="BM732" s="1280"/>
      <c r="BN732" s="1279"/>
      <c r="BO732" s="1280"/>
      <c r="BP732" s="1280"/>
      <c r="BQ732" s="1280"/>
      <c r="BR732" s="1280"/>
      <c r="BS732" s="1279"/>
      <c r="BT732" s="1279"/>
      <c r="BU732" s="1279"/>
      <c r="BV732" s="1279"/>
      <c r="BW732" s="1283"/>
    </row>
    <row r="733" spans="1:75" s="1284" customFormat="1" hidden="1" outlineLevel="1" x14ac:dyDescent="0.5">
      <c r="A733" s="464" t="s">
        <v>2082</v>
      </c>
      <c r="B733" s="1277"/>
      <c r="C733" s="1279"/>
      <c r="D733" s="1279"/>
      <c r="E733" s="1279"/>
      <c r="F733" s="1279"/>
      <c r="G733" s="1280"/>
      <c r="H733" s="1280"/>
      <c r="I733" s="1280"/>
      <c r="J733" s="1280"/>
      <c r="K733" s="1279"/>
      <c r="L733" s="1280"/>
      <c r="M733" s="1280"/>
      <c r="N733" s="1280"/>
      <c r="O733" s="1280"/>
      <c r="P733" s="1279"/>
      <c r="Q733" s="1280"/>
      <c r="R733" s="1280"/>
      <c r="S733" s="1280"/>
      <c r="T733" s="1280"/>
      <c r="U733" s="1279"/>
      <c r="V733" s="1280"/>
      <c r="W733" s="1280"/>
      <c r="X733" s="1280"/>
      <c r="Y733" s="1280"/>
      <c r="Z733" s="1279"/>
      <c r="AA733" s="1280"/>
      <c r="AB733" s="1280"/>
      <c r="AC733" s="1280"/>
      <c r="AD733" s="1280"/>
      <c r="AE733" s="1279"/>
      <c r="AF733" s="1280"/>
      <c r="AG733" s="1280"/>
      <c r="AH733" s="1280"/>
      <c r="AI733" s="1280"/>
      <c r="AJ733" s="1279"/>
      <c r="AK733" s="1280"/>
      <c r="AL733" s="1280"/>
      <c r="AM733" s="1280"/>
      <c r="AN733" s="1280"/>
      <c r="AO733" s="1279"/>
      <c r="AP733" s="1280"/>
      <c r="AQ733" s="1280"/>
      <c r="AR733" s="1280"/>
      <c r="AS733" s="1280"/>
      <c r="AT733" s="1279"/>
      <c r="AU733" s="1280"/>
      <c r="AV733" s="1280"/>
      <c r="AW733" s="1280"/>
      <c r="AX733" s="1280"/>
      <c r="AY733" s="1279"/>
      <c r="AZ733" s="1280"/>
      <c r="BA733" s="1280"/>
      <c r="BB733" s="1280"/>
      <c r="BC733" s="1280"/>
      <c r="BD733" s="1279"/>
      <c r="BE733" s="1281">
        <v>0.09</v>
      </c>
      <c r="BF733" s="1280"/>
      <c r="BG733" s="1280"/>
      <c r="BH733" s="1280"/>
      <c r="BI733" s="1278">
        <v>0.09</v>
      </c>
      <c r="BJ733" s="1282"/>
      <c r="BK733" s="1280"/>
      <c r="BL733" s="1280"/>
      <c r="BM733" s="1280"/>
      <c r="BN733" s="1279"/>
      <c r="BO733" s="1280"/>
      <c r="BP733" s="1280"/>
      <c r="BQ733" s="1280"/>
      <c r="BR733" s="1280"/>
      <c r="BS733" s="1279"/>
      <c r="BT733" s="1279"/>
      <c r="BU733" s="1279"/>
      <c r="BV733" s="1279"/>
      <c r="BW733" s="1283"/>
    </row>
    <row r="734" spans="1:75" s="1284" customFormat="1" hidden="1" outlineLevel="1" x14ac:dyDescent="0.5">
      <c r="A734" s="1275" t="s">
        <v>2094</v>
      </c>
      <c r="B734" s="1277"/>
      <c r="C734" s="1279"/>
      <c r="D734" s="1279"/>
      <c r="E734" s="1279"/>
      <c r="F734" s="1279"/>
      <c r="G734" s="1280"/>
      <c r="H734" s="1280"/>
      <c r="I734" s="1280"/>
      <c r="J734" s="1280"/>
      <c r="K734" s="1279"/>
      <c r="L734" s="1280"/>
      <c r="M734" s="1280"/>
      <c r="N734" s="1280"/>
      <c r="O734" s="1280"/>
      <c r="P734" s="1279"/>
      <c r="Q734" s="1280"/>
      <c r="R734" s="1280"/>
      <c r="S734" s="1280"/>
      <c r="T734" s="1280"/>
      <c r="U734" s="1279"/>
      <c r="V734" s="1281">
        <v>0.09</v>
      </c>
      <c r="W734" s="1280"/>
      <c r="X734" s="1281">
        <v>0.01</v>
      </c>
      <c r="Y734" s="1280"/>
      <c r="Z734" s="1278">
        <v>0.1</v>
      </c>
      <c r="AA734" s="1281">
        <v>0.04</v>
      </c>
      <c r="AB734" s="1280"/>
      <c r="AC734" s="1280"/>
      <c r="AD734" s="1281">
        <v>0.02</v>
      </c>
      <c r="AE734" s="1278">
        <v>7.0000000000000007E-2</v>
      </c>
      <c r="AF734" s="1281">
        <v>0.02</v>
      </c>
      <c r="AG734" s="1280"/>
      <c r="AH734" s="1280"/>
      <c r="AI734" s="1280"/>
      <c r="AJ734" s="1279"/>
      <c r="AK734" s="1280"/>
      <c r="AL734" s="1280"/>
      <c r="AM734" s="1280"/>
      <c r="AN734" s="1280"/>
      <c r="AO734" s="1279"/>
      <c r="AP734" s="1280"/>
      <c r="AQ734" s="1280"/>
      <c r="AR734" s="1280"/>
      <c r="AS734" s="1280"/>
      <c r="AT734" s="1279"/>
      <c r="AU734" s="1280"/>
      <c r="AV734" s="1280"/>
      <c r="AW734" s="1280"/>
      <c r="AX734" s="1280"/>
      <c r="AY734" s="1279"/>
      <c r="AZ734" s="1280"/>
      <c r="BA734" s="1280"/>
      <c r="BB734" s="1280"/>
      <c r="BC734" s="1280"/>
      <c r="BD734" s="1279"/>
      <c r="BE734" s="1280"/>
      <c r="BF734" s="1280"/>
      <c r="BG734" s="1280"/>
      <c r="BH734" s="1280"/>
      <c r="BI734" s="1279"/>
      <c r="BJ734" s="1282"/>
      <c r="BK734" s="1280"/>
      <c r="BL734" s="1280"/>
      <c r="BM734" s="1280"/>
      <c r="BN734" s="1279"/>
      <c r="BO734" s="1280"/>
      <c r="BP734" s="1280"/>
      <c r="BQ734" s="1280"/>
      <c r="BR734" s="1280"/>
      <c r="BS734" s="1279"/>
      <c r="BT734" s="1279"/>
      <c r="BU734" s="1279"/>
      <c r="BV734" s="1279"/>
      <c r="BW734" s="1283"/>
    </row>
    <row r="735" spans="1:75" s="1284" customFormat="1" hidden="1" outlineLevel="1" x14ac:dyDescent="0.5">
      <c r="A735" s="1275" t="s">
        <v>2077</v>
      </c>
      <c r="B735" s="1277"/>
      <c r="C735" s="1279"/>
      <c r="D735" s="1279"/>
      <c r="E735" s="1279"/>
      <c r="F735" s="1279"/>
      <c r="G735" s="1280"/>
      <c r="H735" s="1280"/>
      <c r="I735" s="1280"/>
      <c r="J735" s="1280"/>
      <c r="K735" s="1279"/>
      <c r="L735" s="1280"/>
      <c r="M735" s="1280"/>
      <c r="N735" s="1280"/>
      <c r="O735" s="1280"/>
      <c r="P735" s="1279"/>
      <c r="Q735" s="1280"/>
      <c r="R735" s="1280"/>
      <c r="S735" s="1280"/>
      <c r="T735" s="1280"/>
      <c r="U735" s="1279"/>
      <c r="V735" s="1280"/>
      <c r="W735" s="1280"/>
      <c r="X735" s="1280"/>
      <c r="Y735" s="1280"/>
      <c r="Z735" s="1279"/>
      <c r="AA735" s="1280"/>
      <c r="AB735" s="1280"/>
      <c r="AC735" s="1280"/>
      <c r="AD735" s="1280"/>
      <c r="AE735" s="1279"/>
      <c r="AF735" s="1280"/>
      <c r="AG735" s="1281">
        <v>0.02</v>
      </c>
      <c r="AH735" s="1281">
        <v>0.02</v>
      </c>
      <c r="AI735" s="1281">
        <v>0.02</v>
      </c>
      <c r="AJ735" s="1278">
        <v>7.0000000000000007E-2</v>
      </c>
      <c r="AK735" s="1281">
        <v>0.09</v>
      </c>
      <c r="AL735" s="1281">
        <v>0.01</v>
      </c>
      <c r="AM735" s="1280"/>
      <c r="AN735" s="1281">
        <v>0.01</v>
      </c>
      <c r="AO735" s="1278">
        <v>0.11</v>
      </c>
      <c r="AP735" s="1280"/>
      <c r="AQ735" s="1280"/>
      <c r="AR735" s="1280"/>
      <c r="AS735" s="1280"/>
      <c r="AT735" s="1279"/>
      <c r="AU735" s="1280"/>
      <c r="AV735" s="1280"/>
      <c r="AW735" s="1280"/>
      <c r="AX735" s="1280"/>
      <c r="AY735" s="1279"/>
      <c r="AZ735" s="1280"/>
      <c r="BA735" s="1280"/>
      <c r="BB735" s="1280"/>
      <c r="BC735" s="1280"/>
      <c r="BD735" s="1279"/>
      <c r="BE735" s="1280"/>
      <c r="BF735" s="1280"/>
      <c r="BG735" s="1280"/>
      <c r="BH735" s="1280"/>
      <c r="BI735" s="1279"/>
      <c r="BJ735" s="1282"/>
      <c r="BK735" s="1280"/>
      <c r="BL735" s="1280"/>
      <c r="BM735" s="1280"/>
      <c r="BN735" s="1279"/>
      <c r="BO735" s="1280"/>
      <c r="BP735" s="1280"/>
      <c r="BQ735" s="1280"/>
      <c r="BR735" s="1280"/>
      <c r="BS735" s="1279"/>
      <c r="BT735" s="1279"/>
      <c r="BU735" s="1279"/>
      <c r="BV735" s="1279"/>
      <c r="BW735" s="1283"/>
    </row>
    <row r="736" spans="1:75" s="1284" customFormat="1" hidden="1" outlineLevel="1" x14ac:dyDescent="0.5">
      <c r="A736" s="1275" t="s">
        <v>2078</v>
      </c>
      <c r="B736" s="1277"/>
      <c r="C736" s="1278">
        <v>0.2</v>
      </c>
      <c r="D736" s="1278">
        <v>0.1</v>
      </c>
      <c r="E736" s="1278">
        <v>0.02</v>
      </c>
      <c r="F736" s="1279"/>
      <c r="G736" s="1280"/>
      <c r="H736" s="1280"/>
      <c r="I736" s="1280"/>
      <c r="J736" s="1280"/>
      <c r="K736" s="1279"/>
      <c r="L736" s="1280"/>
      <c r="M736" s="1280"/>
      <c r="N736" s="1280"/>
      <c r="O736" s="1280"/>
      <c r="P736" s="1279"/>
      <c r="Q736" s="1280"/>
      <c r="R736" s="1280"/>
      <c r="S736" s="1280"/>
      <c r="T736" s="1280"/>
      <c r="U736" s="1279"/>
      <c r="V736" s="1280"/>
      <c r="W736" s="1280"/>
      <c r="X736" s="1280"/>
      <c r="Y736" s="1280"/>
      <c r="Z736" s="1279"/>
      <c r="AA736" s="1280"/>
      <c r="AB736" s="1280"/>
      <c r="AC736" s="1280"/>
      <c r="AD736" s="1280"/>
      <c r="AE736" s="1279"/>
      <c r="AF736" s="1280"/>
      <c r="AG736" s="1281">
        <v>0.05</v>
      </c>
      <c r="AH736" s="1281">
        <v>0.01</v>
      </c>
      <c r="AI736" s="1281">
        <v>0.06</v>
      </c>
      <c r="AJ736" s="1278">
        <v>0.12</v>
      </c>
      <c r="AK736" s="1280"/>
      <c r="AL736" s="1280"/>
      <c r="AM736" s="1280"/>
      <c r="AN736" s="1280"/>
      <c r="AO736" s="1279"/>
      <c r="AP736" s="1280"/>
      <c r="AQ736" s="1280"/>
      <c r="AR736" s="1280"/>
      <c r="AS736" s="1280"/>
      <c r="AT736" s="1279"/>
      <c r="AU736" s="1280"/>
      <c r="AV736" s="1280"/>
      <c r="AW736" s="1280"/>
      <c r="AX736" s="1280"/>
      <c r="AY736" s="1279"/>
      <c r="AZ736" s="1280"/>
      <c r="BA736" s="1280"/>
      <c r="BB736" s="1280"/>
      <c r="BC736" s="1281">
        <v>0.22</v>
      </c>
      <c r="BD736" s="1278">
        <v>0.21</v>
      </c>
      <c r="BE736" s="1280"/>
      <c r="BF736" s="1280"/>
      <c r="BG736" s="1280"/>
      <c r="BH736" s="1280"/>
      <c r="BI736" s="1279"/>
      <c r="BJ736" s="1282"/>
      <c r="BK736" s="1280"/>
      <c r="BL736" s="1280"/>
      <c r="BM736" s="1280"/>
      <c r="BN736" s="1279"/>
      <c r="BO736" s="1280"/>
      <c r="BP736" s="1280"/>
      <c r="BQ736" s="1280"/>
      <c r="BR736" s="1280"/>
      <c r="BS736" s="1279"/>
      <c r="BT736" s="1279"/>
      <c r="BU736" s="1279"/>
      <c r="BV736" s="1279"/>
      <c r="BW736" s="1283"/>
    </row>
    <row r="737" spans="1:75" s="1284" customFormat="1" hidden="1" outlineLevel="1" x14ac:dyDescent="0.5">
      <c r="A737" s="1275" t="s">
        <v>2095</v>
      </c>
      <c r="B737" s="1277"/>
      <c r="C737" s="1279"/>
      <c r="D737" s="1278">
        <v>0.02</v>
      </c>
      <c r="E737" s="1279"/>
      <c r="F737" s="1279"/>
      <c r="G737" s="1280"/>
      <c r="H737" s="1280"/>
      <c r="I737" s="1280"/>
      <c r="J737" s="1280"/>
      <c r="K737" s="1279"/>
      <c r="L737" s="1280"/>
      <c r="M737" s="1280"/>
      <c r="N737" s="1280"/>
      <c r="O737" s="1280"/>
      <c r="P737" s="1279"/>
      <c r="Q737" s="1280"/>
      <c r="R737" s="1280"/>
      <c r="S737" s="1280"/>
      <c r="T737" s="1280"/>
      <c r="U737" s="1279"/>
      <c r="V737" s="1280"/>
      <c r="W737" s="1280"/>
      <c r="X737" s="1280"/>
      <c r="Y737" s="1280"/>
      <c r="Z737" s="1279"/>
      <c r="AA737" s="1280"/>
      <c r="AB737" s="1280"/>
      <c r="AC737" s="1280"/>
      <c r="AD737" s="1280"/>
      <c r="AE737" s="1279"/>
      <c r="AF737" s="1280"/>
      <c r="AG737" s="1280"/>
      <c r="AH737" s="1280"/>
      <c r="AI737" s="1280"/>
      <c r="AJ737" s="1279"/>
      <c r="AK737" s="1280"/>
      <c r="AL737" s="1280"/>
      <c r="AM737" s="1280"/>
      <c r="AN737" s="1280"/>
      <c r="AO737" s="1279"/>
      <c r="AP737" s="1280"/>
      <c r="AQ737" s="1280"/>
      <c r="AR737" s="1280"/>
      <c r="AS737" s="1280"/>
      <c r="AT737" s="1279"/>
      <c r="AU737" s="1280"/>
      <c r="AV737" s="1280"/>
      <c r="AW737" s="1280"/>
      <c r="AX737" s="1280"/>
      <c r="AY737" s="1279"/>
      <c r="AZ737" s="1280"/>
      <c r="BA737" s="1280"/>
      <c r="BB737" s="1280"/>
      <c r="BC737" s="1280"/>
      <c r="BD737" s="1279"/>
      <c r="BE737" s="1280"/>
      <c r="BF737" s="1280"/>
      <c r="BG737" s="1280"/>
      <c r="BH737" s="1280"/>
      <c r="BI737" s="1279"/>
      <c r="BJ737" s="1282"/>
      <c r="BK737" s="1280"/>
      <c r="BL737" s="1280"/>
      <c r="BM737" s="1280"/>
      <c r="BN737" s="1279"/>
      <c r="BO737" s="1280"/>
      <c r="BP737" s="1280"/>
      <c r="BQ737" s="1280"/>
      <c r="BR737" s="1280"/>
      <c r="BS737" s="1279"/>
      <c r="BT737" s="1279"/>
      <c r="BU737" s="1279"/>
      <c r="BV737" s="1279"/>
      <c r="BW737" s="1283"/>
    </row>
    <row r="738" spans="1:75" s="1284" customFormat="1" hidden="1" outlineLevel="1" x14ac:dyDescent="0.5">
      <c r="A738" s="1275" t="s">
        <v>2087</v>
      </c>
      <c r="B738" s="1277"/>
      <c r="C738" s="1279"/>
      <c r="D738" s="1279"/>
      <c r="E738" s="1279"/>
      <c r="F738" s="1278">
        <v>0.04</v>
      </c>
      <c r="G738" s="1281">
        <v>0.02</v>
      </c>
      <c r="H738" s="1280"/>
      <c r="I738" s="1280"/>
      <c r="J738" s="1280"/>
      <c r="K738" s="1278">
        <v>0.02</v>
      </c>
      <c r="L738" s="1280"/>
      <c r="M738" s="1280"/>
      <c r="N738" s="1280"/>
      <c r="O738" s="1280"/>
      <c r="P738" s="1279"/>
      <c r="Q738" s="1280"/>
      <c r="R738" s="1280"/>
      <c r="S738" s="1280"/>
      <c r="T738" s="1280"/>
      <c r="U738" s="1279"/>
      <c r="V738" s="1280"/>
      <c r="W738" s="1280"/>
      <c r="X738" s="1280"/>
      <c r="Y738" s="1280"/>
      <c r="Z738" s="1279"/>
      <c r="AA738" s="1280"/>
      <c r="AB738" s="1280"/>
      <c r="AC738" s="1280"/>
      <c r="AD738" s="1280"/>
      <c r="AE738" s="1279"/>
      <c r="AF738" s="1280"/>
      <c r="AG738" s="1280"/>
      <c r="AH738" s="1280"/>
      <c r="AI738" s="1280"/>
      <c r="AJ738" s="1279"/>
      <c r="AK738" s="1280"/>
      <c r="AL738" s="1280"/>
      <c r="AM738" s="1280"/>
      <c r="AN738" s="1280"/>
      <c r="AO738" s="1279"/>
      <c r="AP738" s="1280"/>
      <c r="AQ738" s="1280"/>
      <c r="AR738" s="1280"/>
      <c r="AS738" s="1280"/>
      <c r="AT738" s="1279"/>
      <c r="AU738" s="1280"/>
      <c r="AV738" s="1280"/>
      <c r="AW738" s="1280"/>
      <c r="AX738" s="1280"/>
      <c r="AY738" s="1279"/>
      <c r="AZ738" s="1280"/>
      <c r="BA738" s="1280"/>
      <c r="BB738" s="1280"/>
      <c r="BC738" s="1280"/>
      <c r="BD738" s="1279"/>
      <c r="BE738" s="1280"/>
      <c r="BF738" s="1280"/>
      <c r="BG738" s="1280"/>
      <c r="BH738" s="1280"/>
      <c r="BI738" s="1279"/>
      <c r="BJ738" s="1282"/>
      <c r="BK738" s="1280"/>
      <c r="BL738" s="1280"/>
      <c r="BM738" s="1280"/>
      <c r="BN738" s="1279"/>
      <c r="BO738" s="1280"/>
      <c r="BP738" s="1280"/>
      <c r="BQ738" s="1280"/>
      <c r="BR738" s="1280"/>
      <c r="BS738" s="1279"/>
      <c r="BT738" s="1279"/>
      <c r="BU738" s="1279"/>
      <c r="BV738" s="1279"/>
      <c r="BW738" s="1283"/>
    </row>
    <row r="739" spans="1:75" s="1284" customFormat="1" hidden="1" outlineLevel="1" x14ac:dyDescent="0.5">
      <c r="A739" s="1275" t="s">
        <v>2079</v>
      </c>
      <c r="B739" s="1277"/>
      <c r="C739" s="1279"/>
      <c r="D739" s="1279"/>
      <c r="E739" s="1279"/>
      <c r="F739" s="1279"/>
      <c r="G739" s="1280"/>
      <c r="H739" s="1280"/>
      <c r="I739" s="1280"/>
      <c r="J739" s="1280"/>
      <c r="K739" s="1279"/>
      <c r="L739" s="1280"/>
      <c r="M739" s="1280"/>
      <c r="N739" s="1280"/>
      <c r="O739" s="1280"/>
      <c r="P739" s="1279"/>
      <c r="Q739" s="1280"/>
      <c r="R739" s="1280"/>
      <c r="S739" s="1280"/>
      <c r="T739" s="1280"/>
      <c r="U739" s="1279"/>
      <c r="V739" s="1280"/>
      <c r="W739" s="1280"/>
      <c r="X739" s="1280"/>
      <c r="Y739" s="1280"/>
      <c r="Z739" s="1279"/>
      <c r="AA739" s="1280"/>
      <c r="AB739" s="1280"/>
      <c r="AC739" s="1280"/>
      <c r="AD739" s="1280"/>
      <c r="AE739" s="1279"/>
      <c r="AF739" s="1280"/>
      <c r="AG739" s="1280"/>
      <c r="AH739" s="1280"/>
      <c r="AI739" s="1280"/>
      <c r="AJ739" s="1279"/>
      <c r="AK739" s="1280"/>
      <c r="AL739" s="1280"/>
      <c r="AM739" s="1280"/>
      <c r="AN739" s="1280"/>
      <c r="AO739" s="1279"/>
      <c r="AP739" s="1281">
        <v>0.11</v>
      </c>
      <c r="AQ739" s="1280"/>
      <c r="AR739" s="1280"/>
      <c r="AS739" s="1280"/>
      <c r="AT739" s="1278">
        <v>0.11</v>
      </c>
      <c r="AU739" s="1280"/>
      <c r="AV739" s="1280"/>
      <c r="AW739" s="1280"/>
      <c r="AX739" s="1280"/>
      <c r="AY739" s="1279"/>
      <c r="AZ739" s="1280"/>
      <c r="BA739" s="1280"/>
      <c r="BB739" s="1280"/>
      <c r="BC739" s="1280"/>
      <c r="BD739" s="1279"/>
      <c r="BE739" s="1280"/>
      <c r="BF739" s="1280"/>
      <c r="BG739" s="1280"/>
      <c r="BH739" s="1280"/>
      <c r="BI739" s="1279"/>
      <c r="BJ739" s="1282"/>
      <c r="BK739" s="1280"/>
      <c r="BL739" s="1280"/>
      <c r="BM739" s="1280"/>
      <c r="BN739" s="1279"/>
      <c r="BO739" s="1280"/>
      <c r="BP739" s="1280"/>
      <c r="BQ739" s="1280"/>
      <c r="BR739" s="1280"/>
      <c r="BS739" s="1279"/>
      <c r="BT739" s="1279"/>
      <c r="BU739" s="1279"/>
      <c r="BV739" s="1279"/>
      <c r="BW739" s="1283"/>
    </row>
    <row r="740" spans="1:75" s="1284" customFormat="1" hidden="1" outlineLevel="1" x14ac:dyDescent="0.5">
      <c r="A740" s="1275" t="s">
        <v>2096</v>
      </c>
      <c r="B740" s="1277"/>
      <c r="C740" s="1279"/>
      <c r="D740" s="1279"/>
      <c r="E740" s="1279"/>
      <c r="F740" s="1279"/>
      <c r="G740" s="1280"/>
      <c r="H740" s="1280"/>
      <c r="I740" s="1280"/>
      <c r="J740" s="1280"/>
      <c r="K740" s="1279"/>
      <c r="L740" s="1280"/>
      <c r="M740" s="1280"/>
      <c r="N740" s="1280"/>
      <c r="O740" s="1280"/>
      <c r="P740" s="1279"/>
      <c r="Q740" s="1280"/>
      <c r="R740" s="1280"/>
      <c r="S740" s="1280"/>
      <c r="T740" s="1280"/>
      <c r="U740" s="1279"/>
      <c r="V740" s="1280"/>
      <c r="W740" s="1280"/>
      <c r="X740" s="1280"/>
      <c r="Y740" s="1280"/>
      <c r="Z740" s="1279"/>
      <c r="AA740" s="1280"/>
      <c r="AB740" s="1280"/>
      <c r="AC740" s="1280"/>
      <c r="AD740" s="1281">
        <v>0.49</v>
      </c>
      <c r="AE740" s="1278">
        <v>0.48</v>
      </c>
      <c r="AF740" s="1281">
        <v>0.04</v>
      </c>
      <c r="AG740" s="1281">
        <v>0.03</v>
      </c>
      <c r="AH740" s="1281">
        <v>-0.13</v>
      </c>
      <c r="AI740" s="1281">
        <v>0.01</v>
      </c>
      <c r="AJ740" s="1278">
        <v>-0.05</v>
      </c>
      <c r="AK740" s="1280"/>
      <c r="AL740" s="1280"/>
      <c r="AM740" s="1280"/>
      <c r="AN740" s="1280"/>
      <c r="AO740" s="1279"/>
      <c r="AP740" s="1280"/>
      <c r="AQ740" s="1280"/>
      <c r="AR740" s="1280"/>
      <c r="AS740" s="1280"/>
      <c r="AT740" s="1279"/>
      <c r="AU740" s="1280"/>
      <c r="AV740" s="1280"/>
      <c r="AW740" s="1280"/>
      <c r="AX740" s="1280"/>
      <c r="AY740" s="1279"/>
      <c r="AZ740" s="1280"/>
      <c r="BA740" s="1280"/>
      <c r="BB740" s="1280"/>
      <c r="BC740" s="1280"/>
      <c r="BD740" s="1279"/>
      <c r="BE740" s="1280"/>
      <c r="BF740" s="1280"/>
      <c r="BG740" s="1280"/>
      <c r="BH740" s="1280"/>
      <c r="BI740" s="1279"/>
      <c r="BJ740" s="1282"/>
      <c r="BK740" s="1280"/>
      <c r="BL740" s="1280"/>
      <c r="BM740" s="1280"/>
      <c r="BN740" s="1279"/>
      <c r="BO740" s="1280"/>
      <c r="BP740" s="1280"/>
      <c r="BQ740" s="1280"/>
      <c r="BR740" s="1280"/>
      <c r="BS740" s="1279"/>
      <c r="BT740" s="1279"/>
      <c r="BU740" s="1279"/>
      <c r="BV740" s="1279"/>
      <c r="BW740" s="1283"/>
    </row>
    <row r="741" spans="1:75" s="1284" customFormat="1" hidden="1" outlineLevel="1" x14ac:dyDescent="0.5">
      <c r="A741" s="1275" t="s">
        <v>2085</v>
      </c>
      <c r="B741" s="1277"/>
      <c r="C741" s="1279"/>
      <c r="D741" s="1279"/>
      <c r="E741" s="1279"/>
      <c r="F741" s="1279"/>
      <c r="G741" s="1280"/>
      <c r="H741" s="1280"/>
      <c r="I741" s="1280"/>
      <c r="J741" s="1280"/>
      <c r="K741" s="1279"/>
      <c r="L741" s="1280"/>
      <c r="M741" s="1280"/>
      <c r="N741" s="1280"/>
      <c r="O741" s="1280"/>
      <c r="P741" s="1279"/>
      <c r="Q741" s="1280"/>
      <c r="R741" s="1280"/>
      <c r="S741" s="1280"/>
      <c r="T741" s="1280"/>
      <c r="U741" s="1279"/>
      <c r="V741" s="1280"/>
      <c r="W741" s="1280"/>
      <c r="X741" s="1280"/>
      <c r="Y741" s="1280"/>
      <c r="Z741" s="1279"/>
      <c r="AA741" s="1280"/>
      <c r="AB741" s="1280"/>
      <c r="AC741" s="1280"/>
      <c r="AD741" s="1280"/>
      <c r="AE741" s="1279"/>
      <c r="AF741" s="1280"/>
      <c r="AG741" s="1280"/>
      <c r="AH741" s="1280"/>
      <c r="AI741" s="1280"/>
      <c r="AJ741" s="1279"/>
      <c r="AK741" s="1280"/>
      <c r="AL741" s="1280"/>
      <c r="AM741" s="1280"/>
      <c r="AN741" s="1280"/>
      <c r="AO741" s="1279"/>
      <c r="AP741" s="1281">
        <v>0.15</v>
      </c>
      <c r="AQ741" s="1281">
        <v>0.06</v>
      </c>
      <c r="AR741" s="1280"/>
      <c r="AS741" s="1281">
        <v>0.05</v>
      </c>
      <c r="AT741" s="1278">
        <v>0.26</v>
      </c>
      <c r="AU741" s="1280"/>
      <c r="AV741" s="1280"/>
      <c r="AW741" s="1280"/>
      <c r="AX741" s="1280"/>
      <c r="AY741" s="1279"/>
      <c r="AZ741" s="1280"/>
      <c r="BA741" s="1280"/>
      <c r="BB741" s="1280"/>
      <c r="BC741" s="1280"/>
      <c r="BD741" s="1279"/>
      <c r="BE741" s="1280"/>
      <c r="BF741" s="1280"/>
      <c r="BG741" s="1280"/>
      <c r="BH741" s="1280"/>
      <c r="BI741" s="1279"/>
      <c r="BJ741" s="1282"/>
      <c r="BK741" s="1280"/>
      <c r="BL741" s="1280"/>
      <c r="BM741" s="1280"/>
      <c r="BN741" s="1279"/>
      <c r="BO741" s="1280"/>
      <c r="BP741" s="1280"/>
      <c r="BQ741" s="1280"/>
      <c r="BR741" s="1280"/>
      <c r="BS741" s="1279"/>
      <c r="BT741" s="1279"/>
      <c r="BU741" s="1279"/>
      <c r="BV741" s="1279"/>
      <c r="BW741" s="1283"/>
    </row>
    <row r="742" spans="1:75" s="1284" customFormat="1" hidden="1" outlineLevel="1" x14ac:dyDescent="0.5">
      <c r="A742" s="1275" t="s">
        <v>2097</v>
      </c>
      <c r="B742" s="1277"/>
      <c r="C742" s="1278">
        <v>0.04</v>
      </c>
      <c r="D742" s="1279"/>
      <c r="E742" s="1279"/>
      <c r="F742" s="1279"/>
      <c r="G742" s="1280"/>
      <c r="H742" s="1280"/>
      <c r="I742" s="1280"/>
      <c r="J742" s="1280"/>
      <c r="K742" s="1279"/>
      <c r="L742" s="1280"/>
      <c r="M742" s="1280"/>
      <c r="N742" s="1280"/>
      <c r="O742" s="1280"/>
      <c r="P742" s="1279"/>
      <c r="Q742" s="1280"/>
      <c r="R742" s="1280"/>
      <c r="S742" s="1280"/>
      <c r="T742" s="1280"/>
      <c r="U742" s="1279"/>
      <c r="V742" s="1280"/>
      <c r="W742" s="1280"/>
      <c r="X742" s="1280"/>
      <c r="Y742" s="1280"/>
      <c r="Z742" s="1279"/>
      <c r="AA742" s="1280"/>
      <c r="AB742" s="1280"/>
      <c r="AC742" s="1280"/>
      <c r="AD742" s="1280"/>
      <c r="AE742" s="1279"/>
      <c r="AF742" s="1280"/>
      <c r="AG742" s="1280"/>
      <c r="AH742" s="1280"/>
      <c r="AI742" s="1280"/>
      <c r="AJ742" s="1279"/>
      <c r="AK742" s="1280"/>
      <c r="AL742" s="1280"/>
      <c r="AM742" s="1280"/>
      <c r="AN742" s="1280"/>
      <c r="AO742" s="1279"/>
      <c r="AP742" s="1280"/>
      <c r="AQ742" s="1280"/>
      <c r="AR742" s="1280"/>
      <c r="AS742" s="1280"/>
      <c r="AT742" s="1279"/>
      <c r="AU742" s="1280"/>
      <c r="AV742" s="1280"/>
      <c r="AW742" s="1280"/>
      <c r="AX742" s="1280"/>
      <c r="AY742" s="1279"/>
      <c r="AZ742" s="1280"/>
      <c r="BA742" s="1280"/>
      <c r="BB742" s="1280"/>
      <c r="BC742" s="1280"/>
      <c r="BD742" s="1279"/>
      <c r="BE742" s="1280"/>
      <c r="BF742" s="1280"/>
      <c r="BG742" s="1280"/>
      <c r="BH742" s="1280"/>
      <c r="BI742" s="1279"/>
      <c r="BJ742" s="1282"/>
      <c r="BK742" s="1280"/>
      <c r="BL742" s="1280"/>
      <c r="BM742" s="1280"/>
      <c r="BN742" s="1279"/>
      <c r="BO742" s="1280"/>
      <c r="BP742" s="1280"/>
      <c r="BQ742" s="1280"/>
      <c r="BR742" s="1280"/>
      <c r="BS742" s="1279"/>
      <c r="BT742" s="1279"/>
      <c r="BU742" s="1279"/>
      <c r="BV742" s="1279"/>
      <c r="BW742" s="1283"/>
    </row>
    <row r="743" spans="1:75" s="1284" customFormat="1" hidden="1" outlineLevel="1" x14ac:dyDescent="0.5">
      <c r="A743" s="1275" t="s">
        <v>2090</v>
      </c>
      <c r="B743" s="1277"/>
      <c r="C743" s="1279"/>
      <c r="D743" s="1279"/>
      <c r="E743" s="1279"/>
      <c r="F743" s="1279"/>
      <c r="G743" s="1280"/>
      <c r="H743" s="1280"/>
      <c r="I743" s="1280"/>
      <c r="J743" s="1280"/>
      <c r="K743" s="1279"/>
      <c r="L743" s="1280"/>
      <c r="M743" s="1280"/>
      <c r="N743" s="1280"/>
      <c r="O743" s="1280"/>
      <c r="P743" s="1279"/>
      <c r="Q743" s="1280"/>
      <c r="R743" s="1280"/>
      <c r="S743" s="1280"/>
      <c r="T743" s="1280"/>
      <c r="U743" s="1279"/>
      <c r="V743" s="1280"/>
      <c r="W743" s="1280"/>
      <c r="X743" s="1280"/>
      <c r="Y743" s="1281">
        <v>-0.08</v>
      </c>
      <c r="Z743" s="1278">
        <v>-0.08</v>
      </c>
      <c r="AA743" s="1280"/>
      <c r="AB743" s="1280"/>
      <c r="AC743" s="1280"/>
      <c r="AD743" s="1280"/>
      <c r="AE743" s="1279"/>
      <c r="AF743" s="1280"/>
      <c r="AG743" s="1280"/>
      <c r="AH743" s="1280"/>
      <c r="AI743" s="1280"/>
      <c r="AJ743" s="1279"/>
      <c r="AK743" s="1280"/>
      <c r="AL743" s="1280"/>
      <c r="AM743" s="1280"/>
      <c r="AN743" s="1280"/>
      <c r="AO743" s="1279"/>
      <c r="AP743" s="1280"/>
      <c r="AQ743" s="1280"/>
      <c r="AR743" s="1280"/>
      <c r="AS743" s="1280"/>
      <c r="AT743" s="1279"/>
      <c r="AU743" s="1280"/>
      <c r="AV743" s="1280"/>
      <c r="AW743" s="1280"/>
      <c r="AX743" s="1280"/>
      <c r="AY743" s="1279"/>
      <c r="AZ743" s="1280"/>
      <c r="BA743" s="1280"/>
      <c r="BB743" s="1280"/>
      <c r="BC743" s="1280"/>
      <c r="BD743" s="1279"/>
      <c r="BE743" s="1280"/>
      <c r="BF743" s="1280"/>
      <c r="BG743" s="1280"/>
      <c r="BH743" s="1280"/>
      <c r="BI743" s="1279"/>
      <c r="BJ743" s="1282"/>
      <c r="BK743" s="1280"/>
      <c r="BL743" s="1280"/>
      <c r="BM743" s="1280"/>
      <c r="BN743" s="1279"/>
      <c r="BO743" s="1280"/>
      <c r="BP743" s="1280"/>
      <c r="BQ743" s="1280"/>
      <c r="BR743" s="1280"/>
      <c r="BS743" s="1279"/>
      <c r="BT743" s="1279"/>
      <c r="BU743" s="1279"/>
      <c r="BV743" s="1279"/>
      <c r="BW743" s="1283"/>
    </row>
    <row r="744" spans="1:75" s="1284" customFormat="1" hidden="1" outlineLevel="1" x14ac:dyDescent="0.5">
      <c r="A744" s="1275" t="s">
        <v>2091</v>
      </c>
      <c r="B744" s="1277"/>
      <c r="C744" s="1279"/>
      <c r="D744" s="1279"/>
      <c r="E744" s="1279"/>
      <c r="F744" s="1279"/>
      <c r="G744" s="1280"/>
      <c r="H744" s="1280"/>
      <c r="I744" s="1280"/>
      <c r="J744" s="1280"/>
      <c r="K744" s="1279"/>
      <c r="L744" s="1280"/>
      <c r="M744" s="1280"/>
      <c r="N744" s="1280"/>
      <c r="O744" s="1280"/>
      <c r="P744" s="1279"/>
      <c r="Q744" s="1280"/>
      <c r="R744" s="1280"/>
      <c r="S744" s="1280"/>
      <c r="T744" s="1280"/>
      <c r="U744" s="1279"/>
      <c r="V744" s="1280"/>
      <c r="W744" s="1280"/>
      <c r="X744" s="1280"/>
      <c r="Y744" s="1280"/>
      <c r="Z744" s="1279"/>
      <c r="AA744" s="1280"/>
      <c r="AB744" s="1280"/>
      <c r="AC744" s="1280"/>
      <c r="AD744" s="1280"/>
      <c r="AE744" s="1279"/>
      <c r="AF744" s="1280"/>
      <c r="AG744" s="1280"/>
      <c r="AH744" s="1280"/>
      <c r="AI744" s="1280"/>
      <c r="AJ744" s="1279"/>
      <c r="AK744" s="1280"/>
      <c r="AL744" s="1280"/>
      <c r="AM744" s="1280"/>
      <c r="AN744" s="1281">
        <v>-0.08</v>
      </c>
      <c r="AO744" s="1278">
        <v>-0.08</v>
      </c>
      <c r="AP744" s="1280"/>
      <c r="AQ744" s="1280"/>
      <c r="AR744" s="1281">
        <v>-0.01</v>
      </c>
      <c r="AS744" s="1281">
        <v>-0.06</v>
      </c>
      <c r="AT744" s="1278">
        <v>-0.06</v>
      </c>
      <c r="AU744" s="1280"/>
      <c r="AV744" s="1280"/>
      <c r="AW744" s="1280"/>
      <c r="AX744" s="1280"/>
      <c r="AY744" s="1279"/>
      <c r="AZ744" s="1280"/>
      <c r="BA744" s="1280"/>
      <c r="BB744" s="1280"/>
      <c r="BC744" s="1280"/>
      <c r="BD744" s="1279"/>
      <c r="BE744" s="1280"/>
      <c r="BF744" s="1280"/>
      <c r="BG744" s="1280"/>
      <c r="BH744" s="1280"/>
      <c r="BI744" s="1279"/>
      <c r="BJ744" s="1282"/>
      <c r="BK744" s="1280"/>
      <c r="BL744" s="1280"/>
      <c r="BM744" s="1280"/>
      <c r="BN744" s="1279"/>
      <c r="BO744" s="1280"/>
      <c r="BP744" s="1280"/>
      <c r="BQ744" s="1280"/>
      <c r="BR744" s="1280"/>
      <c r="BS744" s="1279"/>
      <c r="BT744" s="1279"/>
      <c r="BU744" s="1279"/>
      <c r="BV744" s="1279"/>
      <c r="BW744" s="1283"/>
    </row>
    <row r="745" spans="1:75" s="1284" customFormat="1" hidden="1" outlineLevel="1" x14ac:dyDescent="0.5">
      <c r="A745" s="1275" t="s">
        <v>2098</v>
      </c>
      <c r="B745" s="1277"/>
      <c r="C745" s="1279"/>
      <c r="D745" s="1279"/>
      <c r="E745" s="1279"/>
      <c r="F745" s="1279"/>
      <c r="G745" s="1280"/>
      <c r="H745" s="1280"/>
      <c r="I745" s="1280"/>
      <c r="J745" s="1280"/>
      <c r="K745" s="1279"/>
      <c r="L745" s="1280"/>
      <c r="M745" s="1280"/>
      <c r="N745" s="1280"/>
      <c r="O745" s="1280"/>
      <c r="P745" s="1279"/>
      <c r="Q745" s="1280"/>
      <c r="R745" s="1280"/>
      <c r="S745" s="1280"/>
      <c r="T745" s="1280"/>
      <c r="U745" s="1279"/>
      <c r="V745" s="1280"/>
      <c r="W745" s="1280"/>
      <c r="X745" s="1280"/>
      <c r="Y745" s="1280"/>
      <c r="Z745" s="1279"/>
      <c r="AA745" s="1281">
        <v>0.02</v>
      </c>
      <c r="AB745" s="1280"/>
      <c r="AC745" s="1280"/>
      <c r="AD745" s="1281">
        <v>-0.02</v>
      </c>
      <c r="AE745" s="1279"/>
      <c r="AF745" s="1281">
        <v>0.01</v>
      </c>
      <c r="AG745" s="1280"/>
      <c r="AH745" s="1281">
        <v>0</v>
      </c>
      <c r="AI745" s="1280"/>
      <c r="AJ745" s="1278">
        <v>0.01</v>
      </c>
      <c r="AK745" s="1280"/>
      <c r="AL745" s="1280"/>
      <c r="AM745" s="1280"/>
      <c r="AN745" s="1280"/>
      <c r="AO745" s="1279"/>
      <c r="AP745" s="1280"/>
      <c r="AQ745" s="1280"/>
      <c r="AR745" s="1280"/>
      <c r="AS745" s="1280"/>
      <c r="AT745" s="1279"/>
      <c r="AU745" s="1280"/>
      <c r="AV745" s="1280"/>
      <c r="AW745" s="1280"/>
      <c r="AX745" s="1280"/>
      <c r="AY745" s="1279"/>
      <c r="AZ745" s="1280"/>
      <c r="BA745" s="1280"/>
      <c r="BB745" s="1280"/>
      <c r="BC745" s="1280"/>
      <c r="BD745" s="1279"/>
      <c r="BE745" s="1280"/>
      <c r="BF745" s="1280"/>
      <c r="BG745" s="1280"/>
      <c r="BH745" s="1280"/>
      <c r="BI745" s="1279"/>
      <c r="BJ745" s="1282"/>
      <c r="BK745" s="1280"/>
      <c r="BL745" s="1280"/>
      <c r="BM745" s="1280"/>
      <c r="BN745" s="1279"/>
      <c r="BO745" s="1280"/>
      <c r="BP745" s="1280"/>
      <c r="BQ745" s="1280"/>
      <c r="BR745" s="1280"/>
      <c r="BS745" s="1279"/>
      <c r="BT745" s="1279"/>
      <c r="BU745" s="1279"/>
      <c r="BV745" s="1279"/>
      <c r="BW745" s="1283"/>
    </row>
    <row r="746" spans="1:75" s="741" customFormat="1" ht="14.25" hidden="1" outlineLevel="1" x14ac:dyDescent="0.45">
      <c r="A746" s="1285" t="s">
        <v>2100</v>
      </c>
      <c r="B746" s="1286"/>
      <c r="C746" s="1287">
        <f t="shared" ref="C746:BI746" si="976">SUM(C729:C745)</f>
        <v>0.95124277052890394</v>
      </c>
      <c r="D746" s="1287">
        <f t="shared" si="976"/>
        <v>1.9481897700918558</v>
      </c>
      <c r="E746" s="1287">
        <f t="shared" si="976"/>
        <v>2.2429926253964041</v>
      </c>
      <c r="F746" s="1287">
        <f t="shared" si="976"/>
        <v>2.5805983117435751</v>
      </c>
      <c r="G746" s="1288">
        <f t="shared" si="976"/>
        <v>0.41658342963372258</v>
      </c>
      <c r="H746" s="1288">
        <f t="shared" si="976"/>
        <v>0.49434602908333825</v>
      </c>
      <c r="I746" s="1288">
        <f t="shared" si="976"/>
        <v>0.57957552905592535</v>
      </c>
      <c r="J746" s="1288">
        <f t="shared" si="976"/>
        <v>1.3797448774401133</v>
      </c>
      <c r="K746" s="1287">
        <f t="shared" si="976"/>
        <v>2.8438951045410863</v>
      </c>
      <c r="L746" s="1288">
        <f t="shared" si="976"/>
        <v>0.48277520968855259</v>
      </c>
      <c r="M746" s="1288">
        <f t="shared" si="976"/>
        <v>0.5295026033243253</v>
      </c>
      <c r="N746" s="1288">
        <f t="shared" si="976"/>
        <v>0.68381795195954498</v>
      </c>
      <c r="O746" s="1288">
        <f t="shared" si="976"/>
        <v>1.5202203094798221</v>
      </c>
      <c r="P746" s="1287">
        <f t="shared" si="976"/>
        <v>3.2042647058823563</v>
      </c>
      <c r="Q746" s="1288">
        <f t="shared" si="976"/>
        <v>0.48006430868167088</v>
      </c>
      <c r="R746" s="1288">
        <f t="shared" si="976"/>
        <v>0.57979344021433898</v>
      </c>
      <c r="S746" s="1288">
        <f t="shared" si="976"/>
        <v>0.76776941427653533</v>
      </c>
      <c r="T746" s="1288">
        <f t="shared" si="976"/>
        <v>1.5510616784630946</v>
      </c>
      <c r="U746" s="1287">
        <f t="shared" si="976"/>
        <v>3.3665718442596249</v>
      </c>
      <c r="V746" s="1288">
        <f t="shared" si="976"/>
        <v>0.52746823695781975</v>
      </c>
      <c r="W746" s="1288">
        <f t="shared" si="976"/>
        <v>0.57708166176339559</v>
      </c>
      <c r="X746" s="1288">
        <f t="shared" si="976"/>
        <v>0.78826886834784216</v>
      </c>
      <c r="Y746" s="1288">
        <f t="shared" si="976"/>
        <v>1.551751153633522</v>
      </c>
      <c r="Z746" s="1287">
        <f t="shared" si="976"/>
        <v>3.4335945988240835</v>
      </c>
      <c r="AA746" s="1288">
        <f t="shared" si="976"/>
        <v>0.51097480332915479</v>
      </c>
      <c r="AB746" s="1288">
        <f t="shared" si="976"/>
        <v>0.60930591378039867</v>
      </c>
      <c r="AC746" s="1288">
        <f t="shared" si="976"/>
        <v>0.83520331678065995</v>
      </c>
      <c r="AD746" s="1288">
        <f t="shared" si="976"/>
        <v>1.670204890945143</v>
      </c>
      <c r="AE746" s="1287">
        <f t="shared" si="976"/>
        <v>3.615160315985126</v>
      </c>
      <c r="AF746" s="1288">
        <f t="shared" si="976"/>
        <v>0.66660275144343828</v>
      </c>
      <c r="AG746" s="1288">
        <f t="shared" si="976"/>
        <v>0.77179710702562254</v>
      </c>
      <c r="AH746" s="1288">
        <f t="shared" si="976"/>
        <v>0.95784422042845863</v>
      </c>
      <c r="AI746" s="1288">
        <f t="shared" si="976"/>
        <v>2.09533558086786</v>
      </c>
      <c r="AJ746" s="1287">
        <f t="shared" si="976"/>
        <v>4.4525139664804518</v>
      </c>
      <c r="AK746" s="1288">
        <f t="shared" si="976"/>
        <v>0.80929607973255602</v>
      </c>
      <c r="AL746" s="1288">
        <f t="shared" si="976"/>
        <v>0.86832263747326288</v>
      </c>
      <c r="AM746" s="1288">
        <f t="shared" si="976"/>
        <v>1.0134531701834815</v>
      </c>
      <c r="AN746" s="1288">
        <f t="shared" si="976"/>
        <v>2.1341793390105424</v>
      </c>
      <c r="AO746" s="1287">
        <f t="shared" si="976"/>
        <v>4.8243136636162802</v>
      </c>
      <c r="AP746" s="1288">
        <f t="shared" si="976"/>
        <v>0.74182974272631008</v>
      </c>
      <c r="AQ746" s="1288">
        <f t="shared" si="976"/>
        <v>1.797668550666127</v>
      </c>
      <c r="AR746" s="1288">
        <f t="shared" si="976"/>
        <v>2.5533872838198972</v>
      </c>
      <c r="AS746" s="1288">
        <f t="shared" si="976"/>
        <v>3.9485110026000467</v>
      </c>
      <c r="AT746" s="1287">
        <f t="shared" si="976"/>
        <v>9.0506381633040291</v>
      </c>
      <c r="AU746" s="1288">
        <f t="shared" si="976"/>
        <v>2.932490921832196</v>
      </c>
      <c r="AV746" s="1288">
        <f t="shared" si="976"/>
        <v>3.2430732267836606</v>
      </c>
      <c r="AW746" s="1288">
        <f t="shared" si="976"/>
        <v>3.3156747824025921</v>
      </c>
      <c r="AX746" s="1288">
        <f t="shared" si="976"/>
        <v>5.41838623948028</v>
      </c>
      <c r="AY746" s="1287">
        <f t="shared" si="976"/>
        <v>14.851512690887184</v>
      </c>
      <c r="AZ746" s="1288">
        <f t="shared" si="976"/>
        <v>3.4976738424269116</v>
      </c>
      <c r="BA746" s="1288">
        <f t="shared" si="976"/>
        <v>3.8661136926217003</v>
      </c>
      <c r="BB746" s="1288">
        <f t="shared" si="976"/>
        <v>3.7227768164810628</v>
      </c>
      <c r="BC746" s="1288">
        <f t="shared" si="976"/>
        <v>5.5025553191172651</v>
      </c>
      <c r="BD746" s="1287">
        <f t="shared" si="976"/>
        <v>16.532778581765541</v>
      </c>
      <c r="BE746" s="1288">
        <f t="shared" si="976"/>
        <v>2.6369323497661004</v>
      </c>
      <c r="BF746" s="1288">
        <f t="shared" si="976"/>
        <v>3.122880699253014</v>
      </c>
      <c r="BG746" s="1288">
        <f t="shared" si="976"/>
        <v>3.6632753882730764</v>
      </c>
      <c r="BH746" s="1288">
        <f t="shared" si="976"/>
        <v>5.4406035581070471</v>
      </c>
      <c r="BI746" s="1287">
        <f t="shared" si="976"/>
        <v>14.840833435470019</v>
      </c>
      <c r="BJ746" s="1289">
        <f>SUM(BJ729:BJ745)</f>
        <v>4.0674577049682297</v>
      </c>
      <c r="BK746" s="1290"/>
      <c r="BL746" s="1290"/>
      <c r="BM746" s="1290"/>
      <c r="BN746" s="1291"/>
      <c r="BO746" s="1290"/>
      <c r="BP746" s="1290"/>
      <c r="BQ746" s="1290"/>
      <c r="BR746" s="1290"/>
      <c r="BS746" s="1291"/>
      <c r="BT746" s="1291"/>
      <c r="BU746" s="1291"/>
      <c r="BV746" s="1291"/>
      <c r="BW746" s="742"/>
    </row>
    <row r="747" spans="1:75" s="198" customFormat="1" ht="14.25" collapsed="1" x14ac:dyDescent="0.45">
      <c r="A747" s="206"/>
      <c r="B747" s="522"/>
      <c r="C747" s="397"/>
      <c r="D747" s="397"/>
      <c r="E747" s="397"/>
      <c r="F747" s="397"/>
      <c r="G747" s="295"/>
      <c r="H747" s="295"/>
      <c r="I747" s="295"/>
      <c r="J747" s="295"/>
      <c r="K747" s="397"/>
      <c r="L747" s="295"/>
      <c r="M747" s="295"/>
      <c r="N747" s="295"/>
      <c r="O747" s="295"/>
      <c r="P747" s="397"/>
      <c r="Q747" s="295"/>
      <c r="R747" s="295"/>
      <c r="S747" s="295"/>
      <c r="T747" s="295"/>
      <c r="U747" s="397"/>
      <c r="V747" s="295"/>
      <c r="W747" s="295"/>
      <c r="X747" s="295"/>
      <c r="Y747" s="295"/>
      <c r="Z747" s="397"/>
      <c r="AA747" s="295"/>
      <c r="AB747" s="295"/>
      <c r="AC747" s="295"/>
      <c r="AD747" s="295"/>
      <c r="AE747" s="397"/>
      <c r="AF747" s="295"/>
      <c r="AG747" s="295"/>
      <c r="AH747" s="295"/>
      <c r="AI747" s="295"/>
      <c r="AJ747" s="397"/>
      <c r="AK747" s="295"/>
      <c r="AL747" s="295"/>
      <c r="AM747" s="295"/>
      <c r="AN747" s="295"/>
      <c r="AO747" s="397"/>
      <c r="AP747" s="295"/>
      <c r="AQ747" s="295"/>
      <c r="AR747" s="295"/>
      <c r="AS747" s="295"/>
      <c r="AT747" s="397"/>
      <c r="AU747" s="295"/>
      <c r="AV747" s="295"/>
      <c r="AW747" s="295"/>
      <c r="AX747" s="295"/>
      <c r="AY747" s="397"/>
      <c r="AZ747" s="295"/>
      <c r="BA747" s="295"/>
      <c r="BB747" s="295"/>
      <c r="BC747" s="295"/>
      <c r="BD747" s="397"/>
      <c r="BE747" s="295"/>
      <c r="BF747" s="295"/>
      <c r="BG747" s="295"/>
      <c r="BH747" s="295"/>
      <c r="BI747" s="397"/>
      <c r="BJ747" s="1030"/>
      <c r="BK747" s="295"/>
      <c r="BL747" s="295"/>
      <c r="BM747" s="295"/>
      <c r="BN747" s="397"/>
      <c r="BO747" s="295"/>
      <c r="BP747" s="295"/>
      <c r="BQ747" s="295"/>
      <c r="BR747" s="295"/>
      <c r="BS747" s="397"/>
      <c r="BT747" s="397"/>
      <c r="BU747" s="397"/>
      <c r="BV747" s="397"/>
      <c r="BW747" s="197"/>
    </row>
    <row r="748" spans="1:75" s="198" customFormat="1" ht="14.25" x14ac:dyDescent="0.45">
      <c r="A748" s="239" t="s">
        <v>1149</v>
      </c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  <c r="AK748" s="239"/>
      <c r="AL748" s="239"/>
      <c r="AM748" s="239"/>
      <c r="AN748" s="239"/>
      <c r="AO748" s="239"/>
      <c r="AP748" s="239"/>
      <c r="AQ748" s="239"/>
      <c r="AR748" s="239"/>
      <c r="AS748" s="239"/>
      <c r="AT748" s="239"/>
      <c r="AU748" s="239"/>
      <c r="AV748" s="239"/>
      <c r="AW748" s="239"/>
      <c r="AX748" s="239"/>
      <c r="AY748" s="239"/>
      <c r="AZ748" s="239"/>
      <c r="BA748" s="239"/>
      <c r="BB748" s="239"/>
      <c r="BC748" s="239"/>
      <c r="BD748" s="239"/>
      <c r="BE748" s="239"/>
      <c r="BF748" s="239"/>
      <c r="BG748" s="239"/>
      <c r="BH748" s="239"/>
      <c r="BI748" s="239"/>
      <c r="BJ748" s="241"/>
      <c r="BK748" s="239"/>
      <c r="BL748" s="239"/>
      <c r="BM748" s="239"/>
      <c r="BN748" s="239"/>
      <c r="BO748" s="239"/>
      <c r="BP748" s="239"/>
      <c r="BQ748" s="239"/>
      <c r="BR748" s="239"/>
      <c r="BS748" s="239"/>
      <c r="BT748" s="239"/>
      <c r="BU748" s="239"/>
      <c r="BV748" s="239"/>
      <c r="BW748" s="197"/>
    </row>
    <row r="749" spans="1:75" s="198" customFormat="1" ht="14.25" hidden="1" outlineLevel="1" x14ac:dyDescent="0.45">
      <c r="A749" s="463" t="s">
        <v>1047</v>
      </c>
      <c r="B749" s="522"/>
      <c r="C749" s="672">
        <f t="shared" ref="C749:BE749" si="977">C640</f>
        <v>3102.7040000000002</v>
      </c>
      <c r="D749" s="672">
        <f t="shared" si="977"/>
        <v>3504.1579999999999</v>
      </c>
      <c r="E749" s="672">
        <f t="shared" si="977"/>
        <v>3720.895</v>
      </c>
      <c r="F749" s="672">
        <f t="shared" si="977"/>
        <v>4042.87</v>
      </c>
      <c r="G749" s="197">
        <f t="shared" si="977"/>
        <v>887.80799999999999</v>
      </c>
      <c r="H749" s="197">
        <f t="shared" si="977"/>
        <v>982.20899999999995</v>
      </c>
      <c r="I749" s="197">
        <f t="shared" si="977"/>
        <v>1051.548</v>
      </c>
      <c r="J749" s="197">
        <f t="shared" si="977"/>
        <v>1466.3240000000001</v>
      </c>
      <c r="K749" s="672">
        <f t="shared" si="977"/>
        <v>4387.8890000000001</v>
      </c>
      <c r="L749" s="197">
        <f t="shared" si="977"/>
        <v>974.33</v>
      </c>
      <c r="M749" s="197">
        <f t="shared" si="977"/>
        <v>1039.1020000000001</v>
      </c>
      <c r="N749" s="197">
        <f t="shared" si="977"/>
        <v>1143.162</v>
      </c>
      <c r="O749" s="197">
        <f t="shared" si="977"/>
        <v>1542.125</v>
      </c>
      <c r="P749" s="672">
        <f t="shared" si="977"/>
        <v>4698.7190000000001</v>
      </c>
      <c r="Q749" s="197">
        <f t="shared" si="977"/>
        <v>1030.6759999999999</v>
      </c>
      <c r="R749" s="197">
        <f t="shared" si="977"/>
        <v>1127.028</v>
      </c>
      <c r="S749" s="197">
        <f t="shared" si="977"/>
        <v>1232.0820000000001</v>
      </c>
      <c r="T749" s="197">
        <f t="shared" si="977"/>
        <v>1586.3040000000001</v>
      </c>
      <c r="U749" s="672">
        <f t="shared" si="977"/>
        <v>4976.09</v>
      </c>
      <c r="V749" s="197">
        <f t="shared" si="977"/>
        <v>1097.817</v>
      </c>
      <c r="W749" s="197">
        <f t="shared" si="977"/>
        <v>1159.029</v>
      </c>
      <c r="X749" s="197">
        <f t="shared" si="977"/>
        <v>1245.385</v>
      </c>
      <c r="Y749" s="197">
        <f t="shared" si="977"/>
        <v>1581.5809999999999</v>
      </c>
      <c r="Z749" s="672">
        <f t="shared" si="977"/>
        <v>5083.8119999999999</v>
      </c>
      <c r="AA749" s="197">
        <f t="shared" si="977"/>
        <v>1111.5070000000001</v>
      </c>
      <c r="AB749" s="197">
        <f t="shared" si="977"/>
        <v>1201.606</v>
      </c>
      <c r="AC749" s="197">
        <f t="shared" si="977"/>
        <v>1299.336</v>
      </c>
      <c r="AD749" s="197">
        <f t="shared" si="977"/>
        <v>1679.91</v>
      </c>
      <c r="AE749" s="672">
        <f t="shared" si="977"/>
        <v>5292.3590000000004</v>
      </c>
      <c r="AF749" s="197">
        <f t="shared" si="977"/>
        <v>1203</v>
      </c>
      <c r="AG749" s="197">
        <f t="shared" si="977"/>
        <v>1275.174</v>
      </c>
      <c r="AH749" s="197">
        <f t="shared" si="977"/>
        <v>1356.9829999999999</v>
      </c>
      <c r="AI749" s="197">
        <f t="shared" si="977"/>
        <v>1836.4359999999997</v>
      </c>
      <c r="AJ749" s="672">
        <f t="shared" si="977"/>
        <v>5671.5929999999998</v>
      </c>
      <c r="AK749" s="197">
        <f t="shared" si="977"/>
        <v>1241.1320000000001</v>
      </c>
      <c r="AL749" s="197">
        <f t="shared" si="977"/>
        <v>1370.8140000000001</v>
      </c>
      <c r="AM749" s="197">
        <f t="shared" si="977"/>
        <v>1442.472</v>
      </c>
      <c r="AN749" s="197">
        <f t="shared" si="977"/>
        <v>1843.5900000000001</v>
      </c>
      <c r="AO749" s="672">
        <f t="shared" si="977"/>
        <v>5898.0079999999998</v>
      </c>
      <c r="AP749" s="197">
        <f t="shared" si="977"/>
        <v>1235.203</v>
      </c>
      <c r="AQ749" s="197">
        <f t="shared" si="977"/>
        <v>1490.777</v>
      </c>
      <c r="AR749" s="197">
        <f t="shared" si="977"/>
        <v>1764.5360000000001</v>
      </c>
      <c r="AS749" s="197">
        <f t="shared" si="977"/>
        <v>2292.6730000000007</v>
      </c>
      <c r="AT749" s="672">
        <f t="shared" si="977"/>
        <v>6783.1890000000003</v>
      </c>
      <c r="AU749" s="197">
        <f t="shared" si="977"/>
        <v>1749.029</v>
      </c>
      <c r="AV749" s="197">
        <f t="shared" si="977"/>
        <v>1948.3389999999999</v>
      </c>
      <c r="AW749" s="197">
        <f t="shared" si="977"/>
        <v>2047.539</v>
      </c>
      <c r="AX749" s="197">
        <f t="shared" si="977"/>
        <v>2501.0289999999995</v>
      </c>
      <c r="AY749" s="672">
        <f t="shared" si="977"/>
        <v>8245.9359999999997</v>
      </c>
      <c r="AZ749" s="197">
        <f t="shared" si="977"/>
        <v>1891.2270000000001</v>
      </c>
      <c r="BA749" s="197">
        <f t="shared" si="977"/>
        <v>2137.5369999999998</v>
      </c>
      <c r="BB749" s="197">
        <f t="shared" si="977"/>
        <v>2192.5740000000001</v>
      </c>
      <c r="BC749" s="197">
        <f t="shared" si="977"/>
        <v>2453.0789999999997</v>
      </c>
      <c r="BD749" s="672">
        <f t="shared" si="977"/>
        <v>8674.4169999999995</v>
      </c>
      <c r="BE749" s="197">
        <f t="shared" si="977"/>
        <v>1755.451</v>
      </c>
      <c r="BF749" s="197">
        <f>BF640</f>
        <v>1862.614</v>
      </c>
      <c r="BG749" s="197">
        <f>BG640</f>
        <v>1853.65</v>
      </c>
      <c r="BH749" s="197">
        <f>BH640</f>
        <v>2278.9369999999999</v>
      </c>
      <c r="BI749" s="672">
        <f>BI640</f>
        <v>7750.652</v>
      </c>
      <c r="BJ749" s="1273">
        <f>BJ640</f>
        <v>1660.348</v>
      </c>
      <c r="BK749" s="295">
        <f>BK291</f>
        <v>1848.8693661915622</v>
      </c>
      <c r="BL749" s="295">
        <f>BL291</f>
        <v>1831.1608887139548</v>
      </c>
      <c r="BM749" s="295">
        <f>BM291</f>
        <v>2383.6962406606276</v>
      </c>
      <c r="BN749" s="397">
        <f>SUM(BJ749,BK749,BL749,BM749)</f>
        <v>7724.0744955661448</v>
      </c>
      <c r="BO749" s="295">
        <f>BO291</f>
        <v>1738.1860565485274</v>
      </c>
      <c r="BP749" s="295">
        <f>BP291</f>
        <v>1933.4025273877753</v>
      </c>
      <c r="BQ749" s="295">
        <f>BQ291</f>
        <v>1907.2110214273439</v>
      </c>
      <c r="BR749" s="295">
        <f>BR291</f>
        <v>2338.313228119287</v>
      </c>
      <c r="BS749" s="397">
        <f>SUM(BO749,BP749,BQ749,BR749)</f>
        <v>7917.1128334829336</v>
      </c>
      <c r="BT749" s="397">
        <f>BT291</f>
        <v>8429.2975574342017</v>
      </c>
      <c r="BU749" s="397">
        <f>BU291</f>
        <v>9034.9707388991592</v>
      </c>
      <c r="BV749" s="397">
        <f>BV291</f>
        <v>9685.510592576069</v>
      </c>
      <c r="BW749" s="197"/>
    </row>
    <row r="750" spans="1:75" s="123" customFormat="1" hidden="1" outlineLevel="1" x14ac:dyDescent="0.5">
      <c r="A750" s="1292" t="s">
        <v>1150</v>
      </c>
      <c r="B750" s="677"/>
      <c r="C750" s="1293">
        <f t="shared" ref="C750:BM750" si="978">C304</f>
        <v>0</v>
      </c>
      <c r="D750" s="1293">
        <f t="shared" si="978"/>
        <v>0</v>
      </c>
      <c r="E750" s="1293">
        <f t="shared" si="978"/>
        <v>0</v>
      </c>
      <c r="F750" s="1293">
        <f t="shared" si="978"/>
        <v>0</v>
      </c>
      <c r="G750" s="431">
        <f t="shared" si="978"/>
        <v>0</v>
      </c>
      <c r="H750" s="431">
        <f t="shared" si="978"/>
        <v>0</v>
      </c>
      <c r="I750" s="431">
        <f t="shared" si="978"/>
        <v>0</v>
      </c>
      <c r="J750" s="431">
        <f t="shared" si="978"/>
        <v>0</v>
      </c>
      <c r="K750" s="1293">
        <f t="shared" si="978"/>
        <v>0</v>
      </c>
      <c r="L750" s="431">
        <f t="shared" si="978"/>
        <v>0</v>
      </c>
      <c r="M750" s="431">
        <f t="shared" si="978"/>
        <v>0</v>
      </c>
      <c r="N750" s="431">
        <f t="shared" si="978"/>
        <v>0</v>
      </c>
      <c r="O750" s="431">
        <f t="shared" si="978"/>
        <v>0</v>
      </c>
      <c r="P750" s="1293">
        <f t="shared" si="978"/>
        <v>0</v>
      </c>
      <c r="Q750" s="431">
        <f t="shared" si="978"/>
        <v>0</v>
      </c>
      <c r="R750" s="431">
        <f t="shared" si="978"/>
        <v>0</v>
      </c>
      <c r="S750" s="431">
        <f t="shared" si="978"/>
        <v>0</v>
      </c>
      <c r="T750" s="431">
        <f t="shared" si="978"/>
        <v>0</v>
      </c>
      <c r="U750" s="1293">
        <f t="shared" si="978"/>
        <v>0</v>
      </c>
      <c r="V750" s="431">
        <f t="shared" si="978"/>
        <v>0</v>
      </c>
      <c r="W750" s="431">
        <f t="shared" si="978"/>
        <v>0</v>
      </c>
      <c r="X750" s="431">
        <f t="shared" si="978"/>
        <v>0</v>
      </c>
      <c r="Y750" s="431">
        <f t="shared" si="978"/>
        <v>0</v>
      </c>
      <c r="Z750" s="1293">
        <f t="shared" si="978"/>
        <v>0</v>
      </c>
      <c r="AA750" s="431">
        <f t="shared" si="978"/>
        <v>0</v>
      </c>
      <c r="AB750" s="431">
        <f t="shared" si="978"/>
        <v>0</v>
      </c>
      <c r="AC750" s="431">
        <f t="shared" si="978"/>
        <v>0</v>
      </c>
      <c r="AD750" s="431">
        <f t="shared" si="978"/>
        <v>-0.40799999999999997</v>
      </c>
      <c r="AE750" s="1293">
        <f t="shared" si="978"/>
        <v>-0.40799999999999997</v>
      </c>
      <c r="AF750" s="431">
        <f t="shared" si="978"/>
        <v>-0.69399999999999995</v>
      </c>
      <c r="AG750" s="431">
        <f t="shared" si="978"/>
        <v>-0.70699999999999996</v>
      </c>
      <c r="AH750" s="431">
        <f t="shared" si="978"/>
        <v>-1.1100000000000001</v>
      </c>
      <c r="AI750" s="431">
        <f t="shared" si="978"/>
        <v>-0.84199999999999997</v>
      </c>
      <c r="AJ750" s="1293">
        <f t="shared" si="978"/>
        <v>-3.3530000000000002</v>
      </c>
      <c r="AK750" s="431">
        <f t="shared" si="978"/>
        <v>0</v>
      </c>
      <c r="AL750" s="431">
        <f t="shared" si="978"/>
        <v>0</v>
      </c>
      <c r="AM750" s="431">
        <f t="shared" si="978"/>
        <v>0</v>
      </c>
      <c r="AN750" s="431">
        <f t="shared" si="978"/>
        <v>0</v>
      </c>
      <c r="AO750" s="1293">
        <f t="shared" si="978"/>
        <v>0</v>
      </c>
      <c r="AP750" s="431">
        <f t="shared" si="978"/>
        <v>0</v>
      </c>
      <c r="AQ750" s="431">
        <f t="shared" si="978"/>
        <v>0</v>
      </c>
      <c r="AR750" s="431">
        <f t="shared" si="978"/>
        <v>0</v>
      </c>
      <c r="AS750" s="431">
        <f t="shared" si="978"/>
        <v>0</v>
      </c>
      <c r="AT750" s="1293">
        <f t="shared" si="978"/>
        <v>0</v>
      </c>
      <c r="AU750" s="431">
        <f t="shared" si="978"/>
        <v>0</v>
      </c>
      <c r="AV750" s="431">
        <f t="shared" si="978"/>
        <v>0</v>
      </c>
      <c r="AW750" s="431">
        <f t="shared" si="978"/>
        <v>0</v>
      </c>
      <c r="AX750" s="431">
        <f t="shared" si="978"/>
        <v>0</v>
      </c>
      <c r="AY750" s="1293">
        <f t="shared" si="978"/>
        <v>0</v>
      </c>
      <c r="AZ750" s="431">
        <f t="shared" si="978"/>
        <v>0</v>
      </c>
      <c r="BA750" s="431">
        <f t="shared" si="978"/>
        <v>0</v>
      </c>
      <c r="BB750" s="431">
        <f t="shared" si="978"/>
        <v>0</v>
      </c>
      <c r="BC750" s="431">
        <f t="shared" si="978"/>
        <v>0</v>
      </c>
      <c r="BD750" s="1293">
        <f t="shared" si="978"/>
        <v>0</v>
      </c>
      <c r="BE750" s="431">
        <f t="shared" si="978"/>
        <v>0</v>
      </c>
      <c r="BF750" s="431">
        <f t="shared" si="978"/>
        <v>0</v>
      </c>
      <c r="BG750" s="431">
        <f t="shared" si="978"/>
        <v>0</v>
      </c>
      <c r="BH750" s="431">
        <f t="shared" si="978"/>
        <v>0</v>
      </c>
      <c r="BI750" s="1293">
        <f t="shared" si="978"/>
        <v>0</v>
      </c>
      <c r="BJ750" s="1294">
        <f>BJ304</f>
        <v>0</v>
      </c>
      <c r="BK750" s="723">
        <f t="shared" si="978"/>
        <v>0</v>
      </c>
      <c r="BL750" s="723">
        <f t="shared" si="978"/>
        <v>0</v>
      </c>
      <c r="BM750" s="723">
        <f t="shared" si="978"/>
        <v>0</v>
      </c>
      <c r="BN750" s="406">
        <f>SUM(BJ750,BK750,BL750,BM750)</f>
        <v>0</v>
      </c>
      <c r="BO750" s="723">
        <f>BO304</f>
        <v>0</v>
      </c>
      <c r="BP750" s="723">
        <f>BP304</f>
        <v>0</v>
      </c>
      <c r="BQ750" s="723">
        <f>BQ304</f>
        <v>0</v>
      </c>
      <c r="BR750" s="723">
        <f>BR304</f>
        <v>0</v>
      </c>
      <c r="BS750" s="406">
        <f>SUM(BO750,BP750,BQ750,BR750)</f>
        <v>0</v>
      </c>
      <c r="BT750" s="406">
        <f>BT304</f>
        <v>0</v>
      </c>
      <c r="BU750" s="406">
        <f>BU304</f>
        <v>0</v>
      </c>
      <c r="BV750" s="406">
        <f>BV304</f>
        <v>0</v>
      </c>
      <c r="BW750" s="122"/>
    </row>
    <row r="751" spans="1:75" s="198" customFormat="1" ht="14.25" collapsed="1" x14ac:dyDescent="0.45">
      <c r="A751" s="463" t="s">
        <v>1075</v>
      </c>
      <c r="B751" s="522"/>
      <c r="C751" s="672">
        <f t="shared" ref="C751:BN751" si="979">C749+C750</f>
        <v>3102.7040000000002</v>
      </c>
      <c r="D751" s="672">
        <f t="shared" si="979"/>
        <v>3504.1579999999999</v>
      </c>
      <c r="E751" s="672">
        <f t="shared" si="979"/>
        <v>3720.895</v>
      </c>
      <c r="F751" s="672">
        <f t="shared" si="979"/>
        <v>4042.87</v>
      </c>
      <c r="G751" s="197">
        <f t="shared" si="979"/>
        <v>887.80799999999999</v>
      </c>
      <c r="H751" s="197">
        <f t="shared" si="979"/>
        <v>982.20899999999995</v>
      </c>
      <c r="I751" s="197">
        <f t="shared" si="979"/>
        <v>1051.548</v>
      </c>
      <c r="J751" s="197">
        <f t="shared" si="979"/>
        <v>1466.3240000000001</v>
      </c>
      <c r="K751" s="672">
        <f t="shared" si="979"/>
        <v>4387.8890000000001</v>
      </c>
      <c r="L751" s="197">
        <f t="shared" si="979"/>
        <v>974.33</v>
      </c>
      <c r="M751" s="197">
        <f t="shared" si="979"/>
        <v>1039.1020000000001</v>
      </c>
      <c r="N751" s="197">
        <f t="shared" si="979"/>
        <v>1143.162</v>
      </c>
      <c r="O751" s="197">
        <f t="shared" si="979"/>
        <v>1542.125</v>
      </c>
      <c r="P751" s="672">
        <f t="shared" si="979"/>
        <v>4698.7190000000001</v>
      </c>
      <c r="Q751" s="197">
        <f t="shared" si="979"/>
        <v>1030.6759999999999</v>
      </c>
      <c r="R751" s="197">
        <f t="shared" si="979"/>
        <v>1127.028</v>
      </c>
      <c r="S751" s="197">
        <f t="shared" si="979"/>
        <v>1232.0820000000001</v>
      </c>
      <c r="T751" s="197">
        <f t="shared" si="979"/>
        <v>1586.3040000000001</v>
      </c>
      <c r="U751" s="672">
        <f t="shared" si="979"/>
        <v>4976.09</v>
      </c>
      <c r="V751" s="197">
        <f t="shared" si="979"/>
        <v>1097.817</v>
      </c>
      <c r="W751" s="197">
        <f t="shared" si="979"/>
        <v>1159.029</v>
      </c>
      <c r="X751" s="197">
        <f t="shared" si="979"/>
        <v>1245.385</v>
      </c>
      <c r="Y751" s="197">
        <f t="shared" si="979"/>
        <v>1581.5809999999999</v>
      </c>
      <c r="Z751" s="672">
        <f t="shared" si="979"/>
        <v>5083.8119999999999</v>
      </c>
      <c r="AA751" s="197">
        <f t="shared" si="979"/>
        <v>1111.5070000000001</v>
      </c>
      <c r="AB751" s="197">
        <f t="shared" si="979"/>
        <v>1201.606</v>
      </c>
      <c r="AC751" s="197">
        <f t="shared" si="979"/>
        <v>1299.336</v>
      </c>
      <c r="AD751" s="197">
        <f t="shared" si="979"/>
        <v>1679.5020000000002</v>
      </c>
      <c r="AE751" s="672">
        <f t="shared" si="979"/>
        <v>5291.951</v>
      </c>
      <c r="AF751" s="197">
        <f t="shared" si="979"/>
        <v>1202.306</v>
      </c>
      <c r="AG751" s="197">
        <f t="shared" si="979"/>
        <v>1274.4669999999999</v>
      </c>
      <c r="AH751" s="197">
        <f t="shared" si="979"/>
        <v>1355.873</v>
      </c>
      <c r="AI751" s="197">
        <f t="shared" si="979"/>
        <v>1835.5939999999996</v>
      </c>
      <c r="AJ751" s="672">
        <f t="shared" si="979"/>
        <v>5668.24</v>
      </c>
      <c r="AK751" s="197">
        <f t="shared" si="979"/>
        <v>1241.1320000000001</v>
      </c>
      <c r="AL751" s="197">
        <f t="shared" si="979"/>
        <v>1370.8140000000001</v>
      </c>
      <c r="AM751" s="197">
        <f t="shared" si="979"/>
        <v>1442.472</v>
      </c>
      <c r="AN751" s="197">
        <f t="shared" si="979"/>
        <v>1843.5900000000001</v>
      </c>
      <c r="AO751" s="672">
        <f t="shared" si="979"/>
        <v>5898.0079999999998</v>
      </c>
      <c r="AP751" s="197">
        <f t="shared" si="979"/>
        <v>1235.203</v>
      </c>
      <c r="AQ751" s="197">
        <f t="shared" si="979"/>
        <v>1490.777</v>
      </c>
      <c r="AR751" s="197">
        <f t="shared" si="979"/>
        <v>1764.5360000000001</v>
      </c>
      <c r="AS751" s="197">
        <f t="shared" si="979"/>
        <v>2292.6730000000007</v>
      </c>
      <c r="AT751" s="672">
        <f t="shared" si="979"/>
        <v>6783.1890000000003</v>
      </c>
      <c r="AU751" s="197">
        <f t="shared" si="979"/>
        <v>1749.029</v>
      </c>
      <c r="AV751" s="197">
        <f t="shared" si="979"/>
        <v>1948.3389999999999</v>
      </c>
      <c r="AW751" s="197">
        <f t="shared" si="979"/>
        <v>2047.539</v>
      </c>
      <c r="AX751" s="197">
        <f t="shared" si="979"/>
        <v>2501.0289999999995</v>
      </c>
      <c r="AY751" s="672">
        <f t="shared" si="979"/>
        <v>8245.9359999999997</v>
      </c>
      <c r="AZ751" s="197">
        <f t="shared" si="979"/>
        <v>1891.2270000000001</v>
      </c>
      <c r="BA751" s="197">
        <f t="shared" si="979"/>
        <v>2137.5369999999998</v>
      </c>
      <c r="BB751" s="197">
        <f t="shared" si="979"/>
        <v>2192.5740000000001</v>
      </c>
      <c r="BC751" s="197">
        <f t="shared" si="979"/>
        <v>2453.0789999999997</v>
      </c>
      <c r="BD751" s="672">
        <f t="shared" si="979"/>
        <v>8674.4169999999995</v>
      </c>
      <c r="BE751" s="197">
        <f t="shared" si="979"/>
        <v>1755.451</v>
      </c>
      <c r="BF751" s="197">
        <f t="shared" si="979"/>
        <v>1862.614</v>
      </c>
      <c r="BG751" s="197">
        <f t="shared" si="979"/>
        <v>1853.65</v>
      </c>
      <c r="BH751" s="197">
        <f t="shared" si="979"/>
        <v>2278.9369999999999</v>
      </c>
      <c r="BI751" s="672">
        <f t="shared" si="979"/>
        <v>7750.652</v>
      </c>
      <c r="BJ751" s="1273">
        <f>BJ749+BJ750</f>
        <v>1660.348</v>
      </c>
      <c r="BK751" s="295">
        <f t="shared" si="979"/>
        <v>1848.8693661915622</v>
      </c>
      <c r="BL751" s="295">
        <f t="shared" si="979"/>
        <v>1831.1608887139548</v>
      </c>
      <c r="BM751" s="295">
        <f t="shared" si="979"/>
        <v>2383.6962406606276</v>
      </c>
      <c r="BN751" s="397">
        <f t="shared" si="979"/>
        <v>7724.0744955661448</v>
      </c>
      <c r="BO751" s="295">
        <f t="shared" ref="BO751:CF751" si="980">BO749+BO750</f>
        <v>1738.1860565485274</v>
      </c>
      <c r="BP751" s="295">
        <f t="shared" si="980"/>
        <v>1933.4025273877753</v>
      </c>
      <c r="BQ751" s="295">
        <f t="shared" si="980"/>
        <v>1907.2110214273439</v>
      </c>
      <c r="BR751" s="295">
        <f t="shared" si="980"/>
        <v>2338.313228119287</v>
      </c>
      <c r="BS751" s="397">
        <f t="shared" si="980"/>
        <v>7917.1128334829336</v>
      </c>
      <c r="BT751" s="397">
        <f t="shared" si="980"/>
        <v>8429.2975574342017</v>
      </c>
      <c r="BU751" s="397">
        <f t="shared" si="980"/>
        <v>9034.9707388991592</v>
      </c>
      <c r="BV751" s="397">
        <f t="shared" si="980"/>
        <v>9685.510592576069</v>
      </c>
      <c r="BW751" s="197"/>
    </row>
    <row r="752" spans="1:75" s="722" customFormat="1" ht="14.25" x14ac:dyDescent="0.45">
      <c r="A752" s="719" t="s">
        <v>188</v>
      </c>
      <c r="B752" s="720"/>
      <c r="C752" s="414"/>
      <c r="D752" s="414"/>
      <c r="E752" s="414"/>
      <c r="F752" s="414"/>
      <c r="G752" s="413"/>
      <c r="H752" s="413"/>
      <c r="I752" s="413"/>
      <c r="J752" s="413"/>
      <c r="K752" s="414"/>
      <c r="L752" s="413"/>
      <c r="M752" s="413"/>
      <c r="N752" s="413"/>
      <c r="O752" s="413"/>
      <c r="P752" s="414"/>
      <c r="Q752" s="413"/>
      <c r="R752" s="413"/>
      <c r="S752" s="413"/>
      <c r="T752" s="413"/>
      <c r="U752" s="414"/>
      <c r="V752" s="413"/>
      <c r="W752" s="413"/>
      <c r="X752" s="413"/>
      <c r="Y752" s="413"/>
      <c r="Z752" s="414"/>
      <c r="AA752" s="413"/>
      <c r="AB752" s="413"/>
      <c r="AC752" s="413"/>
      <c r="AD752" s="413"/>
      <c r="AE752" s="414"/>
      <c r="AF752" s="413"/>
      <c r="AG752" s="413"/>
      <c r="AH752" s="413"/>
      <c r="AI752" s="413"/>
      <c r="AJ752" s="414"/>
      <c r="AK752" s="413"/>
      <c r="AL752" s="413"/>
      <c r="AM752" s="413"/>
      <c r="AN752" s="413"/>
      <c r="AO752" s="414"/>
      <c r="AP752" s="413"/>
      <c r="AQ752" s="413"/>
      <c r="AR752" s="413"/>
      <c r="AS752" s="413"/>
      <c r="AT752" s="414"/>
      <c r="AU752" s="413"/>
      <c r="AV752" s="413"/>
      <c r="AW752" s="413"/>
      <c r="AX752" s="413"/>
      <c r="AY752" s="414"/>
      <c r="AZ752" s="413"/>
      <c r="BA752" s="413"/>
      <c r="BB752" s="413"/>
      <c r="BC752" s="413"/>
      <c r="BD752" s="414"/>
      <c r="BE752" s="413"/>
      <c r="BF752" s="413"/>
      <c r="BG752" s="413"/>
      <c r="BH752" s="413"/>
      <c r="BI752" s="414"/>
      <c r="BJ752" s="1216"/>
      <c r="BK752" s="202" t="str">
        <f t="shared" ref="BK752:BS752" ca="1" si="981">IFERROR(VLOOKUP($A752,tb_ConsensusEstimate,MATCH(BK$5,OFFSET(tb_ConsensusEstimate,0,0,1,COLUMNS(tb_ConsensusEstimate)),0),FALSE),"-")</f>
        <v>N/A</v>
      </c>
      <c r="BL752" s="202" t="str">
        <f t="shared" ca="1" si="981"/>
        <v>N/A</v>
      </c>
      <c r="BM752" s="202" t="str">
        <f t="shared" ca="1" si="981"/>
        <v>N/A</v>
      </c>
      <c r="BN752" s="201" t="str">
        <f t="shared" ca="1" si="981"/>
        <v>N/A</v>
      </c>
      <c r="BO752" s="202" t="str">
        <f t="shared" ca="1" si="981"/>
        <v>N/A</v>
      </c>
      <c r="BP752" s="202" t="str">
        <f t="shared" ca="1" si="981"/>
        <v>N/A</v>
      </c>
      <c r="BQ752" s="202" t="str">
        <f t="shared" ca="1" si="981"/>
        <v>N/A</v>
      </c>
      <c r="BR752" s="202" t="str">
        <f t="shared" ca="1" si="981"/>
        <v>N/A</v>
      </c>
      <c r="BS752" s="201" t="str">
        <f t="shared" ca="1" si="981"/>
        <v>N/A</v>
      </c>
      <c r="BT752" s="201" t="str">
        <f ca="1">IFERROR(VLOOKUP($A752,tb_ConsensusEstimate,MATCH(BT5,OFFSET(tb_ConsensusEstimate,0,0,1,COLUMNS(tb_ConsensusEstimate)),0),FALSE),"-")</f>
        <v>N/A</v>
      </c>
      <c r="BU752" s="201" t="str">
        <f ca="1">IFERROR(VLOOKUP($A752,tb_ConsensusEstimate,MATCH(BU5,OFFSET(tb_ConsensusEstimate,0,0,1,COLUMNS(tb_ConsensusEstimate)),0),FALSE),"-")</f>
        <v>N/A</v>
      </c>
      <c r="BV752" s="201" t="str">
        <f ca="1">IFERROR(VLOOKUP($A752,tb_ConsensusEstimate,MATCH(BV5,OFFSET(tb_ConsensusEstimate,0,0,1,COLUMNS(tb_ConsensusEstimate)),0),FALSE),"-")</f>
        <v>N/A</v>
      </c>
      <c r="BW752" s="413"/>
    </row>
    <row r="753" spans="1:75" s="198" customFormat="1" ht="15" customHeight="1" x14ac:dyDescent="0.45">
      <c r="A753" s="206"/>
      <c r="B753" s="522"/>
      <c r="C753" s="397"/>
      <c r="D753" s="397"/>
      <c r="E753" s="397"/>
      <c r="F753" s="397"/>
      <c r="G753" s="295"/>
      <c r="H753" s="295"/>
      <c r="I753" s="295"/>
      <c r="J753" s="295"/>
      <c r="K753" s="397"/>
      <c r="L753" s="295"/>
      <c r="M753" s="295"/>
      <c r="N753" s="295"/>
      <c r="O753" s="295"/>
      <c r="P753" s="397"/>
      <c r="Q753" s="295"/>
      <c r="R753" s="295"/>
      <c r="S753" s="295"/>
      <c r="T753" s="295"/>
      <c r="U753" s="397"/>
      <c r="V753" s="295"/>
      <c r="W753" s="295"/>
      <c r="X753" s="295"/>
      <c r="Y753" s="295"/>
      <c r="Z753" s="397"/>
      <c r="AA753" s="295"/>
      <c r="AB753" s="295"/>
      <c r="AC753" s="295"/>
      <c r="AD753" s="295"/>
      <c r="AE753" s="397"/>
      <c r="AF753" s="295"/>
      <c r="AG753" s="295"/>
      <c r="AH753" s="295"/>
      <c r="AI753" s="295"/>
      <c r="AJ753" s="397"/>
      <c r="AK753" s="295"/>
      <c r="AL753" s="295"/>
      <c r="AM753" s="295"/>
      <c r="AN753" s="295"/>
      <c r="AO753" s="397"/>
      <c r="AP753" s="295"/>
      <c r="AQ753" s="295"/>
      <c r="AR753" s="295"/>
      <c r="AS753" s="295"/>
      <c r="AT753" s="397"/>
      <c r="AU753" s="295"/>
      <c r="AV753" s="295"/>
      <c r="AW753" s="295"/>
      <c r="AX753" s="295"/>
      <c r="AY753" s="397"/>
      <c r="AZ753" s="295"/>
      <c r="BA753" s="295"/>
      <c r="BB753" s="295"/>
      <c r="BC753" s="295"/>
      <c r="BD753" s="397"/>
      <c r="BE753" s="295"/>
      <c r="BF753" s="295"/>
      <c r="BG753" s="295"/>
      <c r="BH753" s="295"/>
      <c r="BI753" s="397"/>
      <c r="BJ753" s="1030"/>
      <c r="BK753" s="295"/>
      <c r="BL753" s="295"/>
      <c r="BM753" s="295"/>
      <c r="BN753" s="397"/>
      <c r="BO753" s="295"/>
      <c r="BP753" s="295"/>
      <c r="BQ753" s="295"/>
      <c r="BR753" s="295"/>
      <c r="BS753" s="397"/>
      <c r="BT753" s="397"/>
      <c r="BU753" s="397"/>
      <c r="BV753" s="397"/>
      <c r="BW753" s="197"/>
    </row>
    <row r="754" spans="1:75" s="123" customFormat="1" hidden="1" outlineLevel="1" x14ac:dyDescent="0.5">
      <c r="A754" s="184" t="s">
        <v>1151</v>
      </c>
      <c r="B754" s="513"/>
      <c r="C754" s="401">
        <f t="shared" ref="C754:BE754" si="982">C641</f>
        <v>1999.4670000000001</v>
      </c>
      <c r="D754" s="401">
        <f t="shared" si="982"/>
        <v>2130.299</v>
      </c>
      <c r="E754" s="401">
        <f t="shared" si="982"/>
        <v>2261.0390000000002</v>
      </c>
      <c r="F754" s="401">
        <f t="shared" si="982"/>
        <v>2450.3939999999998</v>
      </c>
      <c r="G754" s="118">
        <f t="shared" si="982"/>
        <v>553.62300000000005</v>
      </c>
      <c r="H754" s="118">
        <f t="shared" si="982"/>
        <v>613.28499999999997</v>
      </c>
      <c r="I754" s="118">
        <f t="shared" si="982"/>
        <v>646.16</v>
      </c>
      <c r="J754" s="118">
        <f t="shared" si="982"/>
        <v>870.60500000000002</v>
      </c>
      <c r="K754" s="401">
        <f t="shared" si="982"/>
        <v>2683.6729999999998</v>
      </c>
      <c r="L754" s="118">
        <f t="shared" si="982"/>
        <v>605.92200000000003</v>
      </c>
      <c r="M754" s="118">
        <f t="shared" si="982"/>
        <v>657.00400000000002</v>
      </c>
      <c r="N754" s="118">
        <f t="shared" si="982"/>
        <v>711.755</v>
      </c>
      <c r="O754" s="118">
        <f t="shared" si="982"/>
        <v>923.53399999999999</v>
      </c>
      <c r="P754" s="401">
        <f t="shared" si="982"/>
        <v>2898.2150000000001</v>
      </c>
      <c r="Q754" s="118">
        <f t="shared" si="982"/>
        <v>651.83500000000004</v>
      </c>
      <c r="R754" s="118">
        <f t="shared" si="982"/>
        <v>720.40300000000002</v>
      </c>
      <c r="S754" s="118">
        <f t="shared" si="982"/>
        <v>780.89400000000001</v>
      </c>
      <c r="T754" s="118">
        <f t="shared" si="982"/>
        <v>978.74400000000003</v>
      </c>
      <c r="U754" s="401">
        <f t="shared" si="982"/>
        <v>3131.8760000000002</v>
      </c>
      <c r="V754" s="118">
        <f t="shared" si="982"/>
        <v>705.3</v>
      </c>
      <c r="W754" s="118">
        <f t="shared" si="982"/>
        <v>748.49</v>
      </c>
      <c r="X754" s="118">
        <f t="shared" si="982"/>
        <v>787.16200000000003</v>
      </c>
      <c r="Y754" s="118">
        <f t="shared" si="982"/>
        <v>959.55</v>
      </c>
      <c r="Z754" s="401">
        <f t="shared" si="982"/>
        <v>3200.502</v>
      </c>
      <c r="AA754" s="118">
        <f t="shared" si="982"/>
        <v>715.74699999999996</v>
      </c>
      <c r="AB754" s="118">
        <f t="shared" si="982"/>
        <v>778.89499999999998</v>
      </c>
      <c r="AC754" s="118">
        <f t="shared" si="982"/>
        <v>832.26900000000001</v>
      </c>
      <c r="AD754" s="118">
        <f t="shared" si="982"/>
        <v>1033.7370000000001</v>
      </c>
      <c r="AE754" s="401">
        <f t="shared" si="982"/>
        <v>3360.6480000000001</v>
      </c>
      <c r="AF754" s="118">
        <f t="shared" si="982"/>
        <v>770.83600000000001</v>
      </c>
      <c r="AG754" s="118">
        <f t="shared" si="982"/>
        <v>811.23199999999997</v>
      </c>
      <c r="AH754" s="118">
        <f t="shared" si="982"/>
        <v>861.99900000000002</v>
      </c>
      <c r="AI754" s="118">
        <f t="shared" si="982"/>
        <v>1126.5129999999999</v>
      </c>
      <c r="AJ754" s="401">
        <f t="shared" si="982"/>
        <v>3570.58</v>
      </c>
      <c r="AK754" s="118">
        <f t="shared" si="982"/>
        <v>796.80100000000004</v>
      </c>
      <c r="AL754" s="118">
        <f t="shared" si="982"/>
        <v>886.95299999999997</v>
      </c>
      <c r="AM754" s="118">
        <f t="shared" si="982"/>
        <v>924.3</v>
      </c>
      <c r="AN754" s="118">
        <f t="shared" si="982"/>
        <v>1150.8620000000001</v>
      </c>
      <c r="AO754" s="401">
        <f t="shared" si="982"/>
        <v>3758.9160000000002</v>
      </c>
      <c r="AP754" s="118">
        <f t="shared" si="982"/>
        <v>820.94299999999998</v>
      </c>
      <c r="AQ754" s="118">
        <f t="shared" si="982"/>
        <v>939.57500000000005</v>
      </c>
      <c r="AR754" s="118">
        <f t="shared" si="982"/>
        <v>1058.953</v>
      </c>
      <c r="AS754" s="118">
        <f t="shared" si="982"/>
        <v>1327.4490000000001</v>
      </c>
      <c r="AT754" s="401">
        <f t="shared" si="982"/>
        <v>4146.92</v>
      </c>
      <c r="AU754" s="118">
        <f t="shared" si="982"/>
        <v>996.17600000000004</v>
      </c>
      <c r="AV754" s="118">
        <f t="shared" si="982"/>
        <v>1089.951</v>
      </c>
      <c r="AW754" s="118">
        <f t="shared" si="982"/>
        <v>1152.0540000000001</v>
      </c>
      <c r="AX754" s="118">
        <f t="shared" si="982"/>
        <v>1375.7919999999999</v>
      </c>
      <c r="AY754" s="401">
        <f t="shared" si="982"/>
        <v>4613.973</v>
      </c>
      <c r="AZ754" s="118">
        <f t="shared" si="982"/>
        <v>1062.6790000000001</v>
      </c>
      <c r="BA754" s="118">
        <f t="shared" si="982"/>
        <v>1208.7280000000001</v>
      </c>
      <c r="BB754" s="118">
        <f t="shared" si="982"/>
        <v>1282.048</v>
      </c>
      <c r="BC754" s="118">
        <f t="shared" si="982"/>
        <v>1443.2290000000003</v>
      </c>
      <c r="BD754" s="401">
        <f t="shared" si="982"/>
        <v>4996.6840000000002</v>
      </c>
      <c r="BE754" s="118">
        <f t="shared" si="982"/>
        <v>1080.3920000000001</v>
      </c>
      <c r="BF754" s="118">
        <f>BF641</f>
        <v>1105.047</v>
      </c>
      <c r="BG754" s="118">
        <f>BG641</f>
        <v>1031.29</v>
      </c>
      <c r="BH754" s="118">
        <f>BH641</f>
        <v>1230.3220000000001</v>
      </c>
      <c r="BI754" s="401">
        <f>BI641</f>
        <v>4447.0510000000004</v>
      </c>
      <c r="BJ754" s="971">
        <f>BJ641</f>
        <v>857.83299999999997</v>
      </c>
      <c r="BK754" s="118">
        <f>BK751-BK756-BK755</f>
        <v>1073.7805915549927</v>
      </c>
      <c r="BL754" s="118">
        <f>BL751-BL756-BL755</f>
        <v>991.46438876775596</v>
      </c>
      <c r="BM754" s="118">
        <f>BM751-BM756-BM755</f>
        <v>1256.4892358630395</v>
      </c>
      <c r="BN754" s="401">
        <f>SUM(BJ754,BK754,BL754,BM754)</f>
        <v>4179.5672161857883</v>
      </c>
      <c r="BO754" s="118">
        <f>BO751-BO756-BO755</f>
        <v>936.26011303039945</v>
      </c>
      <c r="BP754" s="118">
        <f>BP751-BP756-BP755</f>
        <v>1113.9677251926282</v>
      </c>
      <c r="BQ754" s="118">
        <f>BQ751-BQ756-BQ755</f>
        <v>1018.8689878190085</v>
      </c>
      <c r="BR754" s="118">
        <f>BR751-BR756-BR755</f>
        <v>1235.6934930174505</v>
      </c>
      <c r="BS754" s="401">
        <f>SUM(BO754,BP754,BQ754,BR754)</f>
        <v>4304.790319059487</v>
      </c>
      <c r="BT754" s="401">
        <f>BT751-BT756-BT755</f>
        <v>4551.0884710427135</v>
      </c>
      <c r="BU754" s="401">
        <f>BU751-BU756-BU755</f>
        <v>4838.8165256264738</v>
      </c>
      <c r="BV754" s="401">
        <f>BV751-BV756-BV755</f>
        <v>5146.4444369842204</v>
      </c>
      <c r="BW754" s="118"/>
    </row>
    <row r="755" spans="1:75" s="123" customFormat="1" hidden="1" outlineLevel="1" x14ac:dyDescent="0.5">
      <c r="A755" s="497" t="s">
        <v>1152</v>
      </c>
      <c r="B755" s="677"/>
      <c r="C755" s="406">
        <f t="shared" ref="C755:AH755" si="983">C304-SUM(C317:C322)</f>
        <v>0</v>
      </c>
      <c r="D755" s="406">
        <f t="shared" si="983"/>
        <v>0</v>
      </c>
      <c r="E755" s="406">
        <f t="shared" si="983"/>
        <v>0</v>
      </c>
      <c r="F755" s="406">
        <f t="shared" si="983"/>
        <v>0</v>
      </c>
      <c r="G755" s="723">
        <f t="shared" si="983"/>
        <v>0</v>
      </c>
      <c r="H755" s="723">
        <f t="shared" si="983"/>
        <v>0</v>
      </c>
      <c r="I755" s="723">
        <f t="shared" si="983"/>
        <v>0</v>
      </c>
      <c r="J755" s="723">
        <f t="shared" si="983"/>
        <v>0</v>
      </c>
      <c r="K755" s="406">
        <f t="shared" si="983"/>
        <v>0</v>
      </c>
      <c r="L755" s="723">
        <f t="shared" si="983"/>
        <v>0</v>
      </c>
      <c r="M755" s="723">
        <f t="shared" si="983"/>
        <v>0</v>
      </c>
      <c r="N755" s="723">
        <f t="shared" si="983"/>
        <v>0</v>
      </c>
      <c r="O755" s="723">
        <f t="shared" si="983"/>
        <v>0</v>
      </c>
      <c r="P755" s="406">
        <f t="shared" si="983"/>
        <v>0</v>
      </c>
      <c r="Q755" s="723">
        <f t="shared" si="983"/>
        <v>0</v>
      </c>
      <c r="R755" s="723">
        <f t="shared" si="983"/>
        <v>0</v>
      </c>
      <c r="S755" s="723">
        <f t="shared" si="983"/>
        <v>0</v>
      </c>
      <c r="T755" s="723">
        <f t="shared" si="983"/>
        <v>0</v>
      </c>
      <c r="U755" s="406">
        <f t="shared" si="983"/>
        <v>0</v>
      </c>
      <c r="V755" s="723">
        <f t="shared" si="983"/>
        <v>0</v>
      </c>
      <c r="W755" s="723">
        <f t="shared" si="983"/>
        <v>0</v>
      </c>
      <c r="X755" s="723">
        <f t="shared" si="983"/>
        <v>0</v>
      </c>
      <c r="Y755" s="723">
        <f t="shared" si="983"/>
        <v>0</v>
      </c>
      <c r="Z755" s="406">
        <f t="shared" si="983"/>
        <v>0</v>
      </c>
      <c r="AA755" s="723">
        <f t="shared" si="983"/>
        <v>0</v>
      </c>
      <c r="AB755" s="723">
        <f t="shared" si="983"/>
        <v>0</v>
      </c>
      <c r="AC755" s="723">
        <f t="shared" si="983"/>
        <v>0</v>
      </c>
      <c r="AD755" s="723">
        <f t="shared" si="983"/>
        <v>-0.75799999999999956</v>
      </c>
      <c r="AE755" s="406">
        <f t="shared" si="983"/>
        <v>-0.75799999999999956</v>
      </c>
      <c r="AF755" s="723">
        <f t="shared" si="983"/>
        <v>-1.2759999999999998</v>
      </c>
      <c r="AG755" s="723">
        <f t="shared" si="983"/>
        <v>-1.6949999999999998</v>
      </c>
      <c r="AH755" s="723">
        <f t="shared" si="983"/>
        <v>-1.1760000000000002</v>
      </c>
      <c r="AI755" s="723">
        <f t="shared" ref="AI755:BM755" si="984">AI304-SUM(AI317:AI322)</f>
        <v>-1.9329999999999998</v>
      </c>
      <c r="AJ755" s="406">
        <f t="shared" si="984"/>
        <v>-6.08</v>
      </c>
      <c r="AK755" s="723">
        <f t="shared" si="984"/>
        <v>-0.56500000000000006</v>
      </c>
      <c r="AL755" s="723">
        <f t="shared" si="984"/>
        <v>-0.879</v>
      </c>
      <c r="AM755" s="723">
        <f t="shared" si="984"/>
        <v>-0.72599999999999998</v>
      </c>
      <c r="AN755" s="723">
        <f t="shared" si="984"/>
        <v>-0.89500000000000002</v>
      </c>
      <c r="AO755" s="406">
        <f t="shared" si="984"/>
        <v>-3.0649999999999999</v>
      </c>
      <c r="AP755" s="723">
        <f t="shared" si="984"/>
        <v>-11.378</v>
      </c>
      <c r="AQ755" s="723">
        <f t="shared" si="984"/>
        <v>0</v>
      </c>
      <c r="AR755" s="723">
        <f t="shared" si="984"/>
        <v>0</v>
      </c>
      <c r="AS755" s="723">
        <f t="shared" si="984"/>
        <v>0</v>
      </c>
      <c r="AT755" s="406">
        <f t="shared" si="984"/>
        <v>-11.378</v>
      </c>
      <c r="AU755" s="723">
        <f t="shared" si="984"/>
        <v>0</v>
      </c>
      <c r="AV755" s="723">
        <f t="shared" si="984"/>
        <v>0</v>
      </c>
      <c r="AW755" s="723">
        <f t="shared" si="984"/>
        <v>0</v>
      </c>
      <c r="AX755" s="723">
        <f t="shared" si="984"/>
        <v>0</v>
      </c>
      <c r="AY755" s="406">
        <f t="shared" si="984"/>
        <v>0</v>
      </c>
      <c r="AZ755" s="723">
        <f t="shared" si="984"/>
        <v>0</v>
      </c>
      <c r="BA755" s="723">
        <f t="shared" si="984"/>
        <v>0</v>
      </c>
      <c r="BB755" s="723">
        <f t="shared" si="984"/>
        <v>0</v>
      </c>
      <c r="BC755" s="723">
        <f t="shared" si="984"/>
        <v>0</v>
      </c>
      <c r="BD755" s="406">
        <f t="shared" si="984"/>
        <v>0</v>
      </c>
      <c r="BE755" s="723">
        <f t="shared" si="984"/>
        <v>-2.141</v>
      </c>
      <c r="BF755" s="723">
        <f t="shared" si="984"/>
        <v>0</v>
      </c>
      <c r="BG755" s="723">
        <f t="shared" si="984"/>
        <v>0</v>
      </c>
      <c r="BH755" s="723">
        <f t="shared" si="984"/>
        <v>0</v>
      </c>
      <c r="BI755" s="406">
        <f t="shared" si="984"/>
        <v>-2.141</v>
      </c>
      <c r="BJ755" s="1049">
        <f>BJ304-SUM(BJ317:BJ322)</f>
        <v>0</v>
      </c>
      <c r="BK755" s="723">
        <f t="shared" si="984"/>
        <v>0</v>
      </c>
      <c r="BL755" s="723">
        <f t="shared" si="984"/>
        <v>0</v>
      </c>
      <c r="BM755" s="723">
        <f t="shared" si="984"/>
        <v>0</v>
      </c>
      <c r="BN755" s="406">
        <f>SUM(BJ755,BK755,BL755,BM755)</f>
        <v>0</v>
      </c>
      <c r="BO755" s="723">
        <f>BO304-SUM(BO317:BO322)</f>
        <v>0</v>
      </c>
      <c r="BP755" s="723">
        <f>BP304-SUM(BP317:BP322)</f>
        <v>0</v>
      </c>
      <c r="BQ755" s="723">
        <f>BQ304-SUM(BQ317:BQ322)</f>
        <v>0</v>
      </c>
      <c r="BR755" s="723">
        <f>BR304-SUM(BR317:BR322)</f>
        <v>0</v>
      </c>
      <c r="BS755" s="406">
        <f>SUM(BO755,BP755,BQ755,BR755)</f>
        <v>0</v>
      </c>
      <c r="BT755" s="406">
        <f>BT304-SUM(BT317:BT322)</f>
        <v>0</v>
      </c>
      <c r="BU755" s="406">
        <f>BU304-SUM(BU317:BU322)</f>
        <v>0</v>
      </c>
      <c r="BV755" s="406">
        <f>BV304-SUM(BV317:BV322)</f>
        <v>0</v>
      </c>
      <c r="BW755" s="118"/>
    </row>
    <row r="756" spans="1:75" s="123" customFormat="1" collapsed="1" x14ac:dyDescent="0.5">
      <c r="A756" s="206" t="s">
        <v>1083</v>
      </c>
      <c r="B756" s="522"/>
      <c r="C756" s="397">
        <f t="shared" ref="C756:BI756" si="985">C751-C754-C755</f>
        <v>1103.2370000000001</v>
      </c>
      <c r="D756" s="397">
        <f t="shared" si="985"/>
        <v>1373.8589999999999</v>
      </c>
      <c r="E756" s="397">
        <f t="shared" si="985"/>
        <v>1459.8559999999998</v>
      </c>
      <c r="F756" s="397">
        <f t="shared" si="985"/>
        <v>1592.4760000000001</v>
      </c>
      <c r="G756" s="295">
        <f t="shared" si="985"/>
        <v>334.18499999999995</v>
      </c>
      <c r="H756" s="295">
        <f t="shared" si="985"/>
        <v>368.92399999999998</v>
      </c>
      <c r="I756" s="295">
        <f t="shared" si="985"/>
        <v>405.38800000000003</v>
      </c>
      <c r="J756" s="295">
        <f t="shared" si="985"/>
        <v>595.71900000000005</v>
      </c>
      <c r="K756" s="397">
        <f t="shared" si="985"/>
        <v>1704.2160000000003</v>
      </c>
      <c r="L756" s="295">
        <f t="shared" si="985"/>
        <v>368.40800000000002</v>
      </c>
      <c r="M756" s="295">
        <f t="shared" si="985"/>
        <v>382.09800000000007</v>
      </c>
      <c r="N756" s="295">
        <f t="shared" si="985"/>
        <v>431.40700000000004</v>
      </c>
      <c r="O756" s="295">
        <f t="shared" si="985"/>
        <v>618.59100000000001</v>
      </c>
      <c r="P756" s="397">
        <f t="shared" si="985"/>
        <v>1800.5039999999999</v>
      </c>
      <c r="Q756" s="295">
        <f t="shared" si="985"/>
        <v>378.84099999999989</v>
      </c>
      <c r="R756" s="295">
        <f t="shared" si="985"/>
        <v>406.625</v>
      </c>
      <c r="S756" s="295">
        <f t="shared" si="985"/>
        <v>451.1880000000001</v>
      </c>
      <c r="T756" s="295">
        <f t="shared" si="985"/>
        <v>607.56000000000006</v>
      </c>
      <c r="U756" s="397">
        <f t="shared" si="985"/>
        <v>1844.2139999999999</v>
      </c>
      <c r="V756" s="295">
        <f t="shared" si="985"/>
        <v>392.51700000000005</v>
      </c>
      <c r="W756" s="295">
        <f t="shared" si="985"/>
        <v>410.53899999999999</v>
      </c>
      <c r="X756" s="295">
        <f t="shared" si="985"/>
        <v>458.22299999999996</v>
      </c>
      <c r="Y756" s="295">
        <f t="shared" si="985"/>
        <v>622.03099999999995</v>
      </c>
      <c r="Z756" s="397">
        <f t="shared" si="985"/>
        <v>1883.31</v>
      </c>
      <c r="AA756" s="295">
        <f t="shared" si="985"/>
        <v>395.7600000000001</v>
      </c>
      <c r="AB756" s="295">
        <f t="shared" si="985"/>
        <v>422.71100000000001</v>
      </c>
      <c r="AC756" s="295">
        <f t="shared" si="985"/>
        <v>467.06700000000001</v>
      </c>
      <c r="AD756" s="295">
        <f t="shared" si="985"/>
        <v>646.52300000000014</v>
      </c>
      <c r="AE756" s="397">
        <f t="shared" si="985"/>
        <v>1932.0609999999999</v>
      </c>
      <c r="AF756" s="295">
        <f t="shared" si="985"/>
        <v>432.74600000000004</v>
      </c>
      <c r="AG756" s="295">
        <f t="shared" si="985"/>
        <v>464.92999999999989</v>
      </c>
      <c r="AH756" s="295">
        <f t="shared" si="985"/>
        <v>495.05</v>
      </c>
      <c r="AI756" s="295">
        <f t="shared" si="985"/>
        <v>711.01399999999967</v>
      </c>
      <c r="AJ756" s="397">
        <f t="shared" si="985"/>
        <v>2103.7399999999998</v>
      </c>
      <c r="AK756" s="295">
        <f t="shared" si="985"/>
        <v>444.89600000000002</v>
      </c>
      <c r="AL756" s="295">
        <f t="shared" si="985"/>
        <v>484.74000000000012</v>
      </c>
      <c r="AM756" s="295">
        <f t="shared" si="985"/>
        <v>518.89800000000002</v>
      </c>
      <c r="AN756" s="295">
        <f t="shared" si="985"/>
        <v>693.62300000000005</v>
      </c>
      <c r="AO756" s="397">
        <f t="shared" si="985"/>
        <v>2142.1569999999997</v>
      </c>
      <c r="AP756" s="295">
        <f t="shared" si="985"/>
        <v>425.63799999999998</v>
      </c>
      <c r="AQ756" s="295">
        <f t="shared" si="985"/>
        <v>551.202</v>
      </c>
      <c r="AR756" s="295">
        <f t="shared" si="985"/>
        <v>705.58300000000008</v>
      </c>
      <c r="AS756" s="295">
        <f t="shared" si="985"/>
        <v>965.22400000000061</v>
      </c>
      <c r="AT756" s="397">
        <f t="shared" si="985"/>
        <v>2647.6470000000004</v>
      </c>
      <c r="AU756" s="295">
        <f t="shared" si="985"/>
        <v>752.85299999999995</v>
      </c>
      <c r="AV756" s="295">
        <f t="shared" si="985"/>
        <v>858.38799999999992</v>
      </c>
      <c r="AW756" s="295">
        <f t="shared" si="985"/>
        <v>895.4849999999999</v>
      </c>
      <c r="AX756" s="295">
        <f t="shared" si="985"/>
        <v>1125.2369999999996</v>
      </c>
      <c r="AY756" s="397">
        <f t="shared" si="985"/>
        <v>3631.9629999999997</v>
      </c>
      <c r="AZ756" s="295">
        <f t="shared" si="985"/>
        <v>828.548</v>
      </c>
      <c r="BA756" s="295">
        <f t="shared" si="985"/>
        <v>928.80899999999974</v>
      </c>
      <c r="BB756" s="295">
        <f t="shared" si="985"/>
        <v>910.52600000000007</v>
      </c>
      <c r="BC756" s="295">
        <f t="shared" si="985"/>
        <v>1009.8499999999995</v>
      </c>
      <c r="BD756" s="397">
        <f t="shared" si="985"/>
        <v>3677.7329999999993</v>
      </c>
      <c r="BE756" s="295">
        <f t="shared" si="985"/>
        <v>677.19999999999993</v>
      </c>
      <c r="BF756" s="295">
        <f t="shared" si="985"/>
        <v>757.56700000000001</v>
      </c>
      <c r="BG756" s="295">
        <f t="shared" si="985"/>
        <v>822.36000000000013</v>
      </c>
      <c r="BH756" s="295">
        <f t="shared" si="985"/>
        <v>1048.6149999999998</v>
      </c>
      <c r="BI756" s="397">
        <f t="shared" si="985"/>
        <v>3305.7419999999997</v>
      </c>
      <c r="BJ756" s="1030">
        <f>BJ751-BJ754-BJ755</f>
        <v>802.51499999999999</v>
      </c>
      <c r="BK756" s="295">
        <f t="shared" ref="BK756:BV756" si="986">BK323</f>
        <v>775.0887746365695</v>
      </c>
      <c r="BL756" s="295">
        <f t="shared" si="986"/>
        <v>839.69649994619886</v>
      </c>
      <c r="BM756" s="295">
        <f t="shared" si="986"/>
        <v>1127.2070047975881</v>
      </c>
      <c r="BN756" s="397">
        <f t="shared" si="986"/>
        <v>3544.5072793803565</v>
      </c>
      <c r="BO756" s="295">
        <f t="shared" si="986"/>
        <v>801.92594351812795</v>
      </c>
      <c r="BP756" s="295">
        <f t="shared" si="986"/>
        <v>819.4348021951472</v>
      </c>
      <c r="BQ756" s="295">
        <f t="shared" si="986"/>
        <v>888.34203360833544</v>
      </c>
      <c r="BR756" s="295">
        <f t="shared" si="986"/>
        <v>1102.6197351018366</v>
      </c>
      <c r="BS756" s="397">
        <f t="shared" si="986"/>
        <v>3612.3225144234466</v>
      </c>
      <c r="BT756" s="397">
        <f t="shared" si="986"/>
        <v>3878.2090863914882</v>
      </c>
      <c r="BU756" s="397">
        <f t="shared" si="986"/>
        <v>4196.1542132726854</v>
      </c>
      <c r="BV756" s="397">
        <f t="shared" si="986"/>
        <v>4539.0661555918487</v>
      </c>
      <c r="BW756" s="118"/>
    </row>
    <row r="757" spans="1:75" s="123" customFormat="1" x14ac:dyDescent="0.5">
      <c r="A757" s="184"/>
      <c r="B757" s="513"/>
      <c r="C757" s="401"/>
      <c r="D757" s="401"/>
      <c r="E757" s="401"/>
      <c r="F757" s="401"/>
      <c r="G757" s="118"/>
      <c r="H757" s="118"/>
      <c r="I757" s="118"/>
      <c r="J757" s="118"/>
      <c r="K757" s="401"/>
      <c r="L757" s="118"/>
      <c r="M757" s="118"/>
      <c r="N757" s="118"/>
      <c r="O757" s="118"/>
      <c r="P757" s="401"/>
      <c r="Q757" s="118"/>
      <c r="R757" s="118"/>
      <c r="S757" s="118"/>
      <c r="T757" s="118"/>
      <c r="U757" s="401"/>
      <c r="V757" s="118"/>
      <c r="W757" s="118"/>
      <c r="X757" s="118"/>
      <c r="Y757" s="118"/>
      <c r="Z757" s="401"/>
      <c r="AA757" s="118"/>
      <c r="AB757" s="118"/>
      <c r="AC757" s="118"/>
      <c r="AD757" s="118"/>
      <c r="AE757" s="401"/>
      <c r="AF757" s="118"/>
      <c r="AG757" s="118"/>
      <c r="AH757" s="118"/>
      <c r="AI757" s="118"/>
      <c r="AJ757" s="401"/>
      <c r="AK757" s="118"/>
      <c r="AL757" s="118"/>
      <c r="AM757" s="118"/>
      <c r="AN757" s="118"/>
      <c r="AO757" s="401"/>
      <c r="AP757" s="118"/>
      <c r="AQ757" s="118"/>
      <c r="AR757" s="118"/>
      <c r="AS757" s="118"/>
      <c r="AT757" s="401"/>
      <c r="AU757" s="118"/>
      <c r="AV757" s="118"/>
      <c r="AW757" s="118"/>
      <c r="AX757" s="118"/>
      <c r="AY757" s="401"/>
      <c r="AZ757" s="118"/>
      <c r="BA757" s="118"/>
      <c r="BB757" s="118"/>
      <c r="BC757" s="118"/>
      <c r="BD757" s="401"/>
      <c r="BE757" s="118"/>
      <c r="BF757" s="118"/>
      <c r="BG757" s="118"/>
      <c r="BH757" s="118"/>
      <c r="BI757" s="401"/>
      <c r="BJ757" s="971"/>
      <c r="BK757" s="118"/>
      <c r="BL757" s="118"/>
      <c r="BM757" s="118"/>
      <c r="BN757" s="401"/>
      <c r="BO757" s="118"/>
      <c r="BP757" s="118"/>
      <c r="BQ757" s="118"/>
      <c r="BR757" s="118"/>
      <c r="BS757" s="401"/>
      <c r="BT757" s="401"/>
      <c r="BU757" s="401"/>
      <c r="BV757" s="401"/>
      <c r="BW757" s="122"/>
    </row>
    <row r="758" spans="1:75" s="123" customFormat="1" hidden="1" outlineLevel="1" x14ac:dyDescent="0.5">
      <c r="A758" s="184" t="s">
        <v>0</v>
      </c>
      <c r="B758" s="513"/>
      <c r="C758" s="401">
        <f t="shared" ref="C758:BE758" si="987">C643</f>
        <v>981.79499999999996</v>
      </c>
      <c r="D758" s="401">
        <f t="shared" si="987"/>
        <v>1050.4449999999999</v>
      </c>
      <c r="E758" s="401">
        <f t="shared" si="987"/>
        <v>1078.124</v>
      </c>
      <c r="F758" s="401">
        <f t="shared" si="987"/>
        <v>1183.3130000000001</v>
      </c>
      <c r="G758" s="118">
        <f t="shared" si="987"/>
        <v>270.40199999999999</v>
      </c>
      <c r="H758" s="118">
        <f t="shared" si="987"/>
        <v>290.83800000000002</v>
      </c>
      <c r="I758" s="118">
        <f t="shared" si="987"/>
        <v>312.89400000000001</v>
      </c>
      <c r="J758" s="118">
        <f t="shared" si="987"/>
        <v>377.98399999999998</v>
      </c>
      <c r="K758" s="401">
        <f t="shared" si="987"/>
        <v>1252.1179999999999</v>
      </c>
      <c r="L758" s="118">
        <f t="shared" si="987"/>
        <v>294.08199999999999</v>
      </c>
      <c r="M758" s="118">
        <f t="shared" si="987"/>
        <v>296.762</v>
      </c>
      <c r="N758" s="118">
        <f t="shared" si="987"/>
        <v>326.68700000000001</v>
      </c>
      <c r="O758" s="118">
        <f t="shared" si="987"/>
        <v>380.70800000000003</v>
      </c>
      <c r="P758" s="401">
        <f t="shared" si="987"/>
        <v>1298.239</v>
      </c>
      <c r="Q758" s="118">
        <f t="shared" si="987"/>
        <v>306.91300000000001</v>
      </c>
      <c r="R758" s="118">
        <f t="shared" si="987"/>
        <v>323.28199999999998</v>
      </c>
      <c r="S758" s="118">
        <f t="shared" si="987"/>
        <v>340.505</v>
      </c>
      <c r="T758" s="118">
        <f t="shared" si="987"/>
        <v>384.88</v>
      </c>
      <c r="U758" s="401">
        <f t="shared" si="987"/>
        <v>1355.58</v>
      </c>
      <c r="V758" s="118">
        <f t="shared" si="987"/>
        <v>328.99200000000002</v>
      </c>
      <c r="W758" s="118">
        <f t="shared" si="987"/>
        <v>327.26299999999998</v>
      </c>
      <c r="X758" s="118">
        <f t="shared" si="987"/>
        <v>348.24400000000003</v>
      </c>
      <c r="Y758" s="118">
        <f t="shared" si="987"/>
        <v>406.21199999999999</v>
      </c>
      <c r="Z758" s="401">
        <f t="shared" si="987"/>
        <v>1410.711</v>
      </c>
      <c r="AA758" s="118">
        <f t="shared" si="987"/>
        <v>333.286</v>
      </c>
      <c r="AB758" s="118">
        <f t="shared" si="987"/>
        <v>341.12700000000001</v>
      </c>
      <c r="AC758" s="118">
        <f t="shared" si="987"/>
        <v>356.25400000000002</v>
      </c>
      <c r="AD758" s="118">
        <f t="shared" si="987"/>
        <v>447.233</v>
      </c>
      <c r="AE758" s="401">
        <f t="shared" si="987"/>
        <v>1477.9</v>
      </c>
      <c r="AF758" s="118">
        <f t="shared" si="987"/>
        <v>365.61399999999998</v>
      </c>
      <c r="AG758" s="118">
        <f t="shared" si="987"/>
        <v>389.77600000000001</v>
      </c>
      <c r="AH758" s="118">
        <f t="shared" si="987"/>
        <v>400.6</v>
      </c>
      <c r="AI758" s="118">
        <f t="shared" si="987"/>
        <v>509.06999999999994</v>
      </c>
      <c r="AJ758" s="401">
        <f t="shared" si="987"/>
        <v>1665.06</v>
      </c>
      <c r="AK758" s="118">
        <f t="shared" si="987"/>
        <v>370.19900000000001</v>
      </c>
      <c r="AL758" s="118">
        <f t="shared" si="987"/>
        <v>397.69600000000003</v>
      </c>
      <c r="AM758" s="118">
        <f t="shared" si="987"/>
        <v>416.28100000000001</v>
      </c>
      <c r="AN758" s="118">
        <f t="shared" si="987"/>
        <v>489.04200000000014</v>
      </c>
      <c r="AO758" s="401">
        <f t="shared" si="987"/>
        <v>1673.2180000000001</v>
      </c>
      <c r="AP758" s="118">
        <f t="shared" si="987"/>
        <v>365.61500000000001</v>
      </c>
      <c r="AQ758" s="118">
        <f t="shared" si="987"/>
        <v>365.84100000000001</v>
      </c>
      <c r="AR758" s="118">
        <f t="shared" si="987"/>
        <v>430.97899999999998</v>
      </c>
      <c r="AS758" s="118">
        <f t="shared" si="987"/>
        <v>563.13699999999994</v>
      </c>
      <c r="AT758" s="401">
        <f t="shared" si="987"/>
        <v>1725.5719999999999</v>
      </c>
      <c r="AU758" s="118">
        <f t="shared" si="987"/>
        <v>477.67599999999999</v>
      </c>
      <c r="AV758" s="118">
        <f t="shared" si="987"/>
        <v>535.28800000000001</v>
      </c>
      <c r="AW758" s="118">
        <f t="shared" si="987"/>
        <v>565.21799999999996</v>
      </c>
      <c r="AX758" s="118">
        <f t="shared" si="987"/>
        <v>600.66500000000042</v>
      </c>
      <c r="AY758" s="401">
        <f t="shared" si="987"/>
        <v>2178.8470000000002</v>
      </c>
      <c r="AZ758" s="118">
        <f t="shared" si="987"/>
        <v>505.06700000000001</v>
      </c>
      <c r="BA758" s="118">
        <f t="shared" si="987"/>
        <v>563.28800000000001</v>
      </c>
      <c r="BB758" s="118">
        <f t="shared" si="987"/>
        <v>570.89300000000003</v>
      </c>
      <c r="BC758" s="118">
        <f t="shared" si="987"/>
        <v>540.0630000000001</v>
      </c>
      <c r="BD758" s="401">
        <f t="shared" si="987"/>
        <v>2179.3110000000001</v>
      </c>
      <c r="BE758" s="118">
        <f t="shared" si="987"/>
        <v>475.58199999999999</v>
      </c>
      <c r="BF758" s="118">
        <f>BF643</f>
        <v>486.01900000000001</v>
      </c>
      <c r="BG758" s="118">
        <f>BG643</f>
        <v>507.28300000000002</v>
      </c>
      <c r="BH758" s="118">
        <f>BH643</f>
        <v>590.52399999999989</v>
      </c>
      <c r="BI758" s="401">
        <f>BI643</f>
        <v>2059.4079999999999</v>
      </c>
      <c r="BJ758" s="971">
        <f>BJ643</f>
        <v>478.68700000000001</v>
      </c>
      <c r="BK758" s="118">
        <f>BK334</f>
        <v>519.40994741790178</v>
      </c>
      <c r="BL758" s="118">
        <f>BL334</f>
        <v>528.59588370509562</v>
      </c>
      <c r="BM758" s="118">
        <f>BM334</f>
        <v>641.50644551205244</v>
      </c>
      <c r="BN758" s="401">
        <f>SUM(BJ758,BK758,BL758,BM758)</f>
        <v>2168.19927663505</v>
      </c>
      <c r="BO758" s="118">
        <f>BO334</f>
        <v>532.41546725034345</v>
      </c>
      <c r="BP758" s="118">
        <f>BP334</f>
        <v>552.82518457242111</v>
      </c>
      <c r="BQ758" s="118">
        <f>BQ334</f>
        <v>548.64184313160001</v>
      </c>
      <c r="BR758" s="118">
        <f>BR334</f>
        <v>640.98441892828578</v>
      </c>
      <c r="BS758" s="401">
        <f>SUM(BO758,BP758,BQ758,BR758)</f>
        <v>2274.8669138826504</v>
      </c>
      <c r="BT758" s="401">
        <f>BT334</f>
        <v>2447.3236175620686</v>
      </c>
      <c r="BU758" s="401">
        <f>BU334</f>
        <v>2650.276905212595</v>
      </c>
      <c r="BV758" s="401">
        <f>BV334</f>
        <v>2870.159815951055</v>
      </c>
      <c r="BW758" s="118"/>
    </row>
    <row r="759" spans="1:75" s="123" customFormat="1" hidden="1" outlineLevel="1" x14ac:dyDescent="0.5">
      <c r="A759" s="497" t="s">
        <v>1153</v>
      </c>
      <c r="B759" s="677"/>
      <c r="C759" s="406">
        <f t="shared" ref="C759:AH759" si="988">SUM(C335:C345)</f>
        <v>40.704000000000001</v>
      </c>
      <c r="D759" s="406">
        <f t="shared" si="988"/>
        <v>21.440999999999999</v>
      </c>
      <c r="E759" s="406">
        <f t="shared" si="988"/>
        <v>3</v>
      </c>
      <c r="F759" s="406">
        <f t="shared" si="988"/>
        <v>6.99</v>
      </c>
      <c r="G759" s="723">
        <f t="shared" si="988"/>
        <v>2.9359999999999999</v>
      </c>
      <c r="H759" s="723">
        <f t="shared" si="988"/>
        <v>0</v>
      </c>
      <c r="I759" s="723">
        <f t="shared" si="988"/>
        <v>0</v>
      </c>
      <c r="J759" s="723">
        <f t="shared" si="988"/>
        <v>0</v>
      </c>
      <c r="K759" s="406">
        <f t="shared" si="988"/>
        <v>2.9359999999999999</v>
      </c>
      <c r="L759" s="723">
        <f t="shared" si="988"/>
        <v>0</v>
      </c>
      <c r="M759" s="723">
        <f t="shared" si="988"/>
        <v>0</v>
      </c>
      <c r="N759" s="723">
        <f t="shared" si="988"/>
        <v>0</v>
      </c>
      <c r="O759" s="723">
        <f t="shared" si="988"/>
        <v>-7.4139999999999997</v>
      </c>
      <c r="P759" s="406">
        <f t="shared" si="988"/>
        <v>-7.4139999999999997</v>
      </c>
      <c r="Q759" s="723">
        <f t="shared" si="988"/>
        <v>0</v>
      </c>
      <c r="R759" s="723">
        <f t="shared" si="988"/>
        <v>0</v>
      </c>
      <c r="S759" s="723">
        <f t="shared" si="988"/>
        <v>0</v>
      </c>
      <c r="T759" s="723">
        <f t="shared" si="988"/>
        <v>0</v>
      </c>
      <c r="U759" s="406">
        <f t="shared" si="988"/>
        <v>0</v>
      </c>
      <c r="V759" s="723">
        <f t="shared" si="988"/>
        <v>13.221</v>
      </c>
      <c r="W759" s="723">
        <f t="shared" si="988"/>
        <v>0</v>
      </c>
      <c r="X759" s="723">
        <f t="shared" si="988"/>
        <v>1.1850000000000001</v>
      </c>
      <c r="Y759" s="723">
        <f t="shared" si="988"/>
        <v>0</v>
      </c>
      <c r="Z759" s="406">
        <f t="shared" si="988"/>
        <v>14.406000000000001</v>
      </c>
      <c r="AA759" s="723">
        <f t="shared" si="988"/>
        <v>5.7050000000000001</v>
      </c>
      <c r="AB759" s="723">
        <f t="shared" si="988"/>
        <v>0</v>
      </c>
      <c r="AC759" s="723">
        <f t="shared" si="988"/>
        <v>0</v>
      </c>
      <c r="AD759" s="723">
        <f t="shared" si="988"/>
        <v>8.766</v>
      </c>
      <c r="AE759" s="406">
        <f t="shared" si="988"/>
        <v>14.471</v>
      </c>
      <c r="AF759" s="723">
        <f t="shared" si="988"/>
        <v>8.0459999999999994</v>
      </c>
      <c r="AG759" s="723">
        <f t="shared" si="988"/>
        <v>11.172000000000001</v>
      </c>
      <c r="AH759" s="723">
        <f t="shared" si="988"/>
        <v>8.9339999999999993</v>
      </c>
      <c r="AI759" s="723">
        <f t="shared" ref="AI759:BM759" si="989">SUM(AI335:AI345)</f>
        <v>15.725</v>
      </c>
      <c r="AJ759" s="406">
        <f t="shared" si="989"/>
        <v>43.876999999999995</v>
      </c>
      <c r="AK759" s="723">
        <f t="shared" si="989"/>
        <v>12.373000000000001</v>
      </c>
      <c r="AL759" s="723">
        <f t="shared" si="989"/>
        <v>6.9740000000000002</v>
      </c>
      <c r="AM759" s="723">
        <f t="shared" si="989"/>
        <v>7.2590000000000003</v>
      </c>
      <c r="AN759" s="723">
        <f t="shared" si="989"/>
        <v>8.83</v>
      </c>
      <c r="AO759" s="406">
        <f t="shared" si="989"/>
        <v>35.436</v>
      </c>
      <c r="AP759" s="723">
        <f t="shared" si="989"/>
        <v>18.977999999999998</v>
      </c>
      <c r="AQ759" s="723">
        <f t="shared" si="989"/>
        <v>9.6960000000000015</v>
      </c>
      <c r="AR759" s="723">
        <f t="shared" si="989"/>
        <v>2.2189999999999999</v>
      </c>
      <c r="AS759" s="723">
        <f t="shared" si="989"/>
        <v>8.2680000000000007</v>
      </c>
      <c r="AT759" s="406">
        <f t="shared" si="989"/>
        <v>39.161000000000001</v>
      </c>
      <c r="AU759" s="723">
        <f t="shared" si="989"/>
        <v>2.839</v>
      </c>
      <c r="AV759" s="723">
        <f t="shared" si="989"/>
        <v>2.7570000000000001</v>
      </c>
      <c r="AW759" s="723">
        <f t="shared" si="989"/>
        <v>2.7519999999999998</v>
      </c>
      <c r="AX759" s="723">
        <f t="shared" si="989"/>
        <v>0.81200000000000006</v>
      </c>
      <c r="AY759" s="406">
        <f t="shared" si="989"/>
        <v>9.16</v>
      </c>
      <c r="AZ759" s="723">
        <f t="shared" si="989"/>
        <v>0</v>
      </c>
      <c r="BA759" s="723">
        <f t="shared" si="989"/>
        <v>0</v>
      </c>
      <c r="BB759" s="723">
        <f t="shared" si="989"/>
        <v>0</v>
      </c>
      <c r="BC759" s="723">
        <f t="shared" si="989"/>
        <v>17.687000000000001</v>
      </c>
      <c r="BD759" s="406">
        <f t="shared" si="989"/>
        <v>17.687000000000001</v>
      </c>
      <c r="BE759" s="723">
        <f t="shared" si="989"/>
        <v>24.106000000000002</v>
      </c>
      <c r="BF759" s="723">
        <f t="shared" si="989"/>
        <v>0</v>
      </c>
      <c r="BG759" s="723">
        <f t="shared" si="989"/>
        <v>0</v>
      </c>
      <c r="BH759" s="723">
        <f t="shared" si="989"/>
        <v>0</v>
      </c>
      <c r="BI759" s="406">
        <f t="shared" si="989"/>
        <v>24.106000000000002</v>
      </c>
      <c r="BJ759" s="1049">
        <f>SUM(BJ335:BJ345)</f>
        <v>0</v>
      </c>
      <c r="BK759" s="723">
        <f t="shared" si="989"/>
        <v>0</v>
      </c>
      <c r="BL759" s="723">
        <f t="shared" si="989"/>
        <v>0</v>
      </c>
      <c r="BM759" s="723">
        <f t="shared" si="989"/>
        <v>0</v>
      </c>
      <c r="BN759" s="406">
        <f>SUM(BJ759,BK759,BL759,BM759)</f>
        <v>0</v>
      </c>
      <c r="BO759" s="723">
        <f>SUM(BO335:BO345)</f>
        <v>0</v>
      </c>
      <c r="BP759" s="723">
        <f>SUM(BP335:BP345)</f>
        <v>0</v>
      </c>
      <c r="BQ759" s="723">
        <f>SUM(BQ335:BQ345)</f>
        <v>0</v>
      </c>
      <c r="BR759" s="723">
        <f>SUM(BR335:BR345)</f>
        <v>0</v>
      </c>
      <c r="BS759" s="406">
        <f>SUM(BO759,BP759,BQ759,BR759)</f>
        <v>0</v>
      </c>
      <c r="BT759" s="406">
        <f>SUM(BT335:BT345)</f>
        <v>0</v>
      </c>
      <c r="BU759" s="406">
        <f>SUM(BU335:BU345)</f>
        <v>0</v>
      </c>
      <c r="BV759" s="406">
        <f>SUM(BV335:BV345)</f>
        <v>0</v>
      </c>
      <c r="BW759" s="118"/>
    </row>
    <row r="760" spans="1:75" s="123" customFormat="1" collapsed="1" x14ac:dyDescent="0.5">
      <c r="A760" s="184" t="s">
        <v>1154</v>
      </c>
      <c r="B760" s="513"/>
      <c r="C760" s="401">
        <f t="shared" ref="C760:BN760" si="990">C758-C759</f>
        <v>941.09100000000001</v>
      </c>
      <c r="D760" s="401">
        <f t="shared" si="990"/>
        <v>1029.0039999999999</v>
      </c>
      <c r="E760" s="401">
        <f t="shared" si="990"/>
        <v>1075.124</v>
      </c>
      <c r="F760" s="401">
        <f t="shared" si="990"/>
        <v>1176.3230000000001</v>
      </c>
      <c r="G760" s="118">
        <f t="shared" si="990"/>
        <v>267.46600000000001</v>
      </c>
      <c r="H760" s="118">
        <f t="shared" si="990"/>
        <v>290.83800000000002</v>
      </c>
      <c r="I760" s="118">
        <f t="shared" si="990"/>
        <v>312.89400000000001</v>
      </c>
      <c r="J760" s="118">
        <f t="shared" si="990"/>
        <v>377.98399999999998</v>
      </c>
      <c r="K760" s="401">
        <f t="shared" si="990"/>
        <v>1249.182</v>
      </c>
      <c r="L760" s="118">
        <f t="shared" si="990"/>
        <v>294.08199999999999</v>
      </c>
      <c r="M760" s="118">
        <f t="shared" si="990"/>
        <v>296.762</v>
      </c>
      <c r="N760" s="118">
        <f t="shared" si="990"/>
        <v>326.68700000000001</v>
      </c>
      <c r="O760" s="118">
        <f t="shared" si="990"/>
        <v>388.12200000000001</v>
      </c>
      <c r="P760" s="401">
        <f t="shared" si="990"/>
        <v>1305.653</v>
      </c>
      <c r="Q760" s="118">
        <f t="shared" si="990"/>
        <v>306.91300000000001</v>
      </c>
      <c r="R760" s="118">
        <f t="shared" si="990"/>
        <v>323.28199999999998</v>
      </c>
      <c r="S760" s="118">
        <f t="shared" si="990"/>
        <v>340.505</v>
      </c>
      <c r="T760" s="118">
        <f t="shared" si="990"/>
        <v>384.88</v>
      </c>
      <c r="U760" s="401">
        <f t="shared" si="990"/>
        <v>1355.58</v>
      </c>
      <c r="V760" s="118">
        <f t="shared" si="990"/>
        <v>315.77100000000002</v>
      </c>
      <c r="W760" s="118">
        <f t="shared" si="990"/>
        <v>327.26299999999998</v>
      </c>
      <c r="X760" s="118">
        <f t="shared" si="990"/>
        <v>347.05900000000003</v>
      </c>
      <c r="Y760" s="118">
        <f t="shared" si="990"/>
        <v>406.21199999999999</v>
      </c>
      <c r="Z760" s="401">
        <f t="shared" si="990"/>
        <v>1396.3050000000001</v>
      </c>
      <c r="AA760" s="118">
        <f t="shared" si="990"/>
        <v>327.58100000000002</v>
      </c>
      <c r="AB760" s="118">
        <f t="shared" si="990"/>
        <v>341.12700000000001</v>
      </c>
      <c r="AC760" s="118">
        <f t="shared" si="990"/>
        <v>356.25400000000002</v>
      </c>
      <c r="AD760" s="118">
        <f t="shared" si="990"/>
        <v>438.46699999999998</v>
      </c>
      <c r="AE760" s="401">
        <f t="shared" si="990"/>
        <v>1463.4290000000001</v>
      </c>
      <c r="AF760" s="118">
        <f t="shared" si="990"/>
        <v>357.56799999999998</v>
      </c>
      <c r="AG760" s="118">
        <f t="shared" si="990"/>
        <v>378.60399999999998</v>
      </c>
      <c r="AH760" s="118">
        <f t="shared" si="990"/>
        <v>391.666</v>
      </c>
      <c r="AI760" s="118">
        <f t="shared" si="990"/>
        <v>493.34499999999991</v>
      </c>
      <c r="AJ760" s="401">
        <f t="shared" si="990"/>
        <v>1621.183</v>
      </c>
      <c r="AK760" s="118">
        <f t="shared" si="990"/>
        <v>357.82600000000002</v>
      </c>
      <c r="AL760" s="118">
        <f t="shared" si="990"/>
        <v>390.72200000000004</v>
      </c>
      <c r="AM760" s="118">
        <f t="shared" si="990"/>
        <v>409.02199999999999</v>
      </c>
      <c r="AN760" s="118">
        <f t="shared" si="990"/>
        <v>480.21200000000016</v>
      </c>
      <c r="AO760" s="401">
        <f t="shared" si="990"/>
        <v>1637.7820000000002</v>
      </c>
      <c r="AP760" s="118">
        <f t="shared" si="990"/>
        <v>346.637</v>
      </c>
      <c r="AQ760" s="118">
        <f t="shared" si="990"/>
        <v>356.14499999999998</v>
      </c>
      <c r="AR760" s="118">
        <f t="shared" si="990"/>
        <v>428.76</v>
      </c>
      <c r="AS760" s="118">
        <f t="shared" si="990"/>
        <v>554.86899999999991</v>
      </c>
      <c r="AT760" s="401">
        <f t="shared" si="990"/>
        <v>1686.4109999999998</v>
      </c>
      <c r="AU760" s="118">
        <f t="shared" si="990"/>
        <v>474.83699999999999</v>
      </c>
      <c r="AV760" s="118">
        <f t="shared" si="990"/>
        <v>532.53100000000006</v>
      </c>
      <c r="AW760" s="118">
        <f t="shared" si="990"/>
        <v>562.46600000000001</v>
      </c>
      <c r="AX760" s="118">
        <f t="shared" si="990"/>
        <v>599.85300000000041</v>
      </c>
      <c r="AY760" s="401">
        <f t="shared" si="990"/>
        <v>2169.6870000000004</v>
      </c>
      <c r="AZ760" s="118">
        <f t="shared" si="990"/>
        <v>505.06700000000001</v>
      </c>
      <c r="BA760" s="118">
        <f t="shared" si="990"/>
        <v>563.28800000000001</v>
      </c>
      <c r="BB760" s="118">
        <f t="shared" si="990"/>
        <v>570.89300000000003</v>
      </c>
      <c r="BC760" s="118">
        <f t="shared" si="990"/>
        <v>522.37600000000009</v>
      </c>
      <c r="BD760" s="401">
        <f t="shared" si="990"/>
        <v>2161.6240000000003</v>
      </c>
      <c r="BE760" s="118">
        <f t="shared" si="990"/>
        <v>451.476</v>
      </c>
      <c r="BF760" s="118">
        <f t="shared" si="990"/>
        <v>486.01900000000001</v>
      </c>
      <c r="BG760" s="118">
        <f t="shared" si="990"/>
        <v>507.28300000000002</v>
      </c>
      <c r="BH760" s="118">
        <f t="shared" si="990"/>
        <v>590.52399999999989</v>
      </c>
      <c r="BI760" s="401">
        <f t="shared" si="990"/>
        <v>2035.3019999999999</v>
      </c>
      <c r="BJ760" s="971">
        <f>BJ758-BJ759</f>
        <v>478.68700000000001</v>
      </c>
      <c r="BK760" s="118">
        <f t="shared" si="990"/>
        <v>519.40994741790178</v>
      </c>
      <c r="BL760" s="118">
        <f t="shared" si="990"/>
        <v>528.59588370509562</v>
      </c>
      <c r="BM760" s="118">
        <f t="shared" si="990"/>
        <v>641.50644551205244</v>
      </c>
      <c r="BN760" s="401">
        <f t="shared" si="990"/>
        <v>2168.19927663505</v>
      </c>
      <c r="BO760" s="118">
        <f t="shared" ref="BO760:CF760" si="991">BO758-BO759</f>
        <v>532.41546725034345</v>
      </c>
      <c r="BP760" s="118">
        <f t="shared" si="991"/>
        <v>552.82518457242111</v>
      </c>
      <c r="BQ760" s="118">
        <f t="shared" si="991"/>
        <v>548.64184313160001</v>
      </c>
      <c r="BR760" s="118">
        <f t="shared" si="991"/>
        <v>640.98441892828578</v>
      </c>
      <c r="BS760" s="401">
        <f t="shared" si="991"/>
        <v>2274.8669138826504</v>
      </c>
      <c r="BT760" s="401">
        <f t="shared" si="991"/>
        <v>2447.3236175620686</v>
      </c>
      <c r="BU760" s="401">
        <f t="shared" si="991"/>
        <v>2650.276905212595</v>
      </c>
      <c r="BV760" s="401">
        <f t="shared" si="991"/>
        <v>2870.159815951055</v>
      </c>
      <c r="BW760" s="118"/>
    </row>
    <row r="761" spans="1:75" s="123" customFormat="1" x14ac:dyDescent="0.5">
      <c r="A761" s="445" t="s">
        <v>1155</v>
      </c>
      <c r="B761" s="677"/>
      <c r="C761" s="406">
        <f t="shared" ref="C761:BM761" si="992">-C373</f>
        <v>0</v>
      </c>
      <c r="D761" s="406">
        <f t="shared" si="992"/>
        <v>0</v>
      </c>
      <c r="E761" s="406">
        <f t="shared" si="992"/>
        <v>0</v>
      </c>
      <c r="F761" s="406">
        <f t="shared" si="992"/>
        <v>0</v>
      </c>
      <c r="G761" s="723">
        <f t="shared" si="992"/>
        <v>0</v>
      </c>
      <c r="H761" s="723">
        <f t="shared" si="992"/>
        <v>0</v>
      </c>
      <c r="I761" s="723">
        <f t="shared" si="992"/>
        <v>0</v>
      </c>
      <c r="J761" s="723">
        <f t="shared" si="992"/>
        <v>0</v>
      </c>
      <c r="K761" s="406">
        <f t="shared" si="992"/>
        <v>0</v>
      </c>
      <c r="L761" s="723">
        <f t="shared" si="992"/>
        <v>0</v>
      </c>
      <c r="M761" s="723">
        <f t="shared" si="992"/>
        <v>0</v>
      </c>
      <c r="N761" s="723">
        <f t="shared" si="992"/>
        <v>0</v>
      </c>
      <c r="O761" s="723">
        <f t="shared" si="992"/>
        <v>0</v>
      </c>
      <c r="P761" s="406">
        <f t="shared" si="992"/>
        <v>0</v>
      </c>
      <c r="Q761" s="723">
        <f t="shared" si="992"/>
        <v>0</v>
      </c>
      <c r="R761" s="723">
        <f t="shared" si="992"/>
        <v>0</v>
      </c>
      <c r="S761" s="723">
        <f t="shared" si="992"/>
        <v>0</v>
      </c>
      <c r="T761" s="723">
        <f t="shared" si="992"/>
        <v>0</v>
      </c>
      <c r="U761" s="406">
        <f t="shared" si="992"/>
        <v>0</v>
      </c>
      <c r="V761" s="723">
        <f t="shared" si="992"/>
        <v>0</v>
      </c>
      <c r="W761" s="723">
        <f t="shared" si="992"/>
        <v>0</v>
      </c>
      <c r="X761" s="723">
        <f t="shared" si="992"/>
        <v>0</v>
      </c>
      <c r="Y761" s="723">
        <f t="shared" si="992"/>
        <v>0</v>
      </c>
      <c r="Z761" s="406">
        <f t="shared" si="992"/>
        <v>0</v>
      </c>
      <c r="AA761" s="723">
        <f t="shared" si="992"/>
        <v>0</v>
      </c>
      <c r="AB761" s="723">
        <f t="shared" si="992"/>
        <v>0</v>
      </c>
      <c r="AC761" s="723">
        <f t="shared" si="992"/>
        <v>0</v>
      </c>
      <c r="AD761" s="723">
        <f t="shared" si="992"/>
        <v>0</v>
      </c>
      <c r="AE761" s="406">
        <f t="shared" si="992"/>
        <v>0</v>
      </c>
      <c r="AF761" s="723">
        <f t="shared" si="992"/>
        <v>0</v>
      </c>
      <c r="AG761" s="723">
        <f t="shared" si="992"/>
        <v>0</v>
      </c>
      <c r="AH761" s="723">
        <f t="shared" si="992"/>
        <v>0</v>
      </c>
      <c r="AI761" s="723">
        <f t="shared" si="992"/>
        <v>0</v>
      </c>
      <c r="AJ761" s="406">
        <f t="shared" si="992"/>
        <v>0</v>
      </c>
      <c r="AK761" s="723">
        <f t="shared" si="992"/>
        <v>0</v>
      </c>
      <c r="AL761" s="723">
        <f t="shared" si="992"/>
        <v>0</v>
      </c>
      <c r="AM761" s="723">
        <f t="shared" si="992"/>
        <v>0</v>
      </c>
      <c r="AN761" s="723">
        <f t="shared" si="992"/>
        <v>0</v>
      </c>
      <c r="AO761" s="406">
        <f t="shared" si="992"/>
        <v>0</v>
      </c>
      <c r="AP761" s="723">
        <f t="shared" si="992"/>
        <v>0</v>
      </c>
      <c r="AQ761" s="723">
        <f t="shared" si="992"/>
        <v>0</v>
      </c>
      <c r="AR761" s="723">
        <f t="shared" si="992"/>
        <v>0</v>
      </c>
      <c r="AS761" s="723">
        <f t="shared" si="992"/>
        <v>0</v>
      </c>
      <c r="AT761" s="406">
        <f t="shared" si="992"/>
        <v>0</v>
      </c>
      <c r="AU761" s="723">
        <f t="shared" si="992"/>
        <v>0</v>
      </c>
      <c r="AV761" s="723">
        <f t="shared" si="992"/>
        <v>0</v>
      </c>
      <c r="AW761" s="723">
        <f t="shared" si="992"/>
        <v>0</v>
      </c>
      <c r="AX761" s="723">
        <f t="shared" si="992"/>
        <v>0</v>
      </c>
      <c r="AY761" s="406">
        <f t="shared" si="992"/>
        <v>0</v>
      </c>
      <c r="AZ761" s="723">
        <f t="shared" si="992"/>
        <v>0</v>
      </c>
      <c r="BA761" s="723">
        <f t="shared" si="992"/>
        <v>0</v>
      </c>
      <c r="BB761" s="723">
        <f t="shared" si="992"/>
        <v>0</v>
      </c>
      <c r="BC761" s="723">
        <f t="shared" si="992"/>
        <v>0</v>
      </c>
      <c r="BD761" s="406">
        <f t="shared" si="992"/>
        <v>0</v>
      </c>
      <c r="BE761" s="723">
        <f t="shared" si="992"/>
        <v>0</v>
      </c>
      <c r="BF761" s="723">
        <f t="shared" si="992"/>
        <v>0</v>
      </c>
      <c r="BG761" s="723">
        <f t="shared" si="992"/>
        <v>0</v>
      </c>
      <c r="BH761" s="723">
        <f t="shared" si="992"/>
        <v>0</v>
      </c>
      <c r="BI761" s="406">
        <f t="shared" si="992"/>
        <v>0</v>
      </c>
      <c r="BJ761" s="1049">
        <f>-BJ373</f>
        <v>0</v>
      </c>
      <c r="BK761" s="723">
        <f t="shared" si="992"/>
        <v>0</v>
      </c>
      <c r="BL761" s="723">
        <f t="shared" si="992"/>
        <v>0</v>
      </c>
      <c r="BM761" s="723">
        <f t="shared" si="992"/>
        <v>0</v>
      </c>
      <c r="BN761" s="406">
        <f>SUM(BJ761,BK761,BL761,BM761)</f>
        <v>0</v>
      </c>
      <c r="BO761" s="723">
        <f>-BO373</f>
        <v>0</v>
      </c>
      <c r="BP761" s="723">
        <f>-BP373</f>
        <v>0</v>
      </c>
      <c r="BQ761" s="723">
        <f>-BQ373</f>
        <v>0</v>
      </c>
      <c r="BR761" s="723">
        <f>-BR373</f>
        <v>0</v>
      </c>
      <c r="BS761" s="406">
        <f>SUM(BO761,BP761,BQ761,BR761)</f>
        <v>0</v>
      </c>
      <c r="BT761" s="406">
        <f>-BT373</f>
        <v>0</v>
      </c>
      <c r="BU761" s="406">
        <f>-BU373</f>
        <v>0</v>
      </c>
      <c r="BV761" s="406">
        <f>-BV373</f>
        <v>0</v>
      </c>
      <c r="BW761" s="118"/>
    </row>
    <row r="762" spans="1:75" s="198" customFormat="1" ht="14.25" hidden="1" outlineLevel="1" x14ac:dyDescent="0.45">
      <c r="A762" s="192" t="s">
        <v>1156</v>
      </c>
      <c r="B762" s="517"/>
      <c r="C762" s="518">
        <f t="shared" ref="C762:BN762" si="993">C749-SUM(C754,C758)</f>
        <v>121.44200000000001</v>
      </c>
      <c r="D762" s="518">
        <f t="shared" si="993"/>
        <v>323.41400000000021</v>
      </c>
      <c r="E762" s="518">
        <f t="shared" si="993"/>
        <v>381.73199999999952</v>
      </c>
      <c r="F762" s="518">
        <f t="shared" si="993"/>
        <v>409.16300000000001</v>
      </c>
      <c r="G762" s="327">
        <f t="shared" si="993"/>
        <v>63.782999999999902</v>
      </c>
      <c r="H762" s="327">
        <f t="shared" si="993"/>
        <v>78.085999999999899</v>
      </c>
      <c r="I762" s="327">
        <f t="shared" si="993"/>
        <v>92.494000000000028</v>
      </c>
      <c r="J762" s="327">
        <f t="shared" si="993"/>
        <v>217.73500000000013</v>
      </c>
      <c r="K762" s="518">
        <f t="shared" si="993"/>
        <v>452.09800000000041</v>
      </c>
      <c r="L762" s="327">
        <f t="shared" si="993"/>
        <v>74.326000000000022</v>
      </c>
      <c r="M762" s="327">
        <f t="shared" si="993"/>
        <v>85.336000000000013</v>
      </c>
      <c r="N762" s="327">
        <f t="shared" si="993"/>
        <v>104.72000000000003</v>
      </c>
      <c r="O762" s="327">
        <f t="shared" si="993"/>
        <v>237.88300000000004</v>
      </c>
      <c r="P762" s="518">
        <f t="shared" si="993"/>
        <v>502.26500000000033</v>
      </c>
      <c r="Q762" s="327">
        <f t="shared" si="993"/>
        <v>71.927999999999884</v>
      </c>
      <c r="R762" s="327">
        <f t="shared" si="993"/>
        <v>83.343000000000075</v>
      </c>
      <c r="S762" s="327">
        <f t="shared" si="993"/>
        <v>110.68300000000022</v>
      </c>
      <c r="T762" s="327">
        <f t="shared" si="993"/>
        <v>222.68000000000006</v>
      </c>
      <c r="U762" s="518">
        <f t="shared" si="993"/>
        <v>488.63400000000001</v>
      </c>
      <c r="V762" s="327">
        <f t="shared" si="993"/>
        <v>63.525000000000091</v>
      </c>
      <c r="W762" s="327">
        <f t="shared" si="993"/>
        <v>83.276000000000067</v>
      </c>
      <c r="X762" s="327">
        <f t="shared" si="993"/>
        <v>109.97900000000004</v>
      </c>
      <c r="Y762" s="327">
        <f t="shared" si="993"/>
        <v>215.81899999999996</v>
      </c>
      <c r="Z762" s="518">
        <f t="shared" si="993"/>
        <v>472.59900000000016</v>
      </c>
      <c r="AA762" s="327">
        <f t="shared" si="993"/>
        <v>62.47400000000016</v>
      </c>
      <c r="AB762" s="327">
        <f t="shared" si="993"/>
        <v>81.58400000000006</v>
      </c>
      <c r="AC762" s="327">
        <f t="shared" si="993"/>
        <v>110.81299999999987</v>
      </c>
      <c r="AD762" s="327">
        <f t="shared" si="993"/>
        <v>198.94000000000005</v>
      </c>
      <c r="AE762" s="518">
        <f t="shared" si="993"/>
        <v>453.81099999999969</v>
      </c>
      <c r="AF762" s="327">
        <f t="shared" si="993"/>
        <v>66.549999999999955</v>
      </c>
      <c r="AG762" s="327">
        <f t="shared" si="993"/>
        <v>74.16599999999994</v>
      </c>
      <c r="AH762" s="327">
        <f t="shared" si="993"/>
        <v>94.383999999999787</v>
      </c>
      <c r="AI762" s="327">
        <f t="shared" si="993"/>
        <v>200.85299999999984</v>
      </c>
      <c r="AJ762" s="518">
        <f t="shared" si="993"/>
        <v>435.95300000000043</v>
      </c>
      <c r="AK762" s="327">
        <f t="shared" si="993"/>
        <v>74.132000000000062</v>
      </c>
      <c r="AL762" s="327">
        <f t="shared" si="993"/>
        <v>86.165000000000191</v>
      </c>
      <c r="AM762" s="327">
        <f t="shared" si="993"/>
        <v>101.89100000000008</v>
      </c>
      <c r="AN762" s="327">
        <f t="shared" si="993"/>
        <v>203.68599999999992</v>
      </c>
      <c r="AO762" s="518">
        <f t="shared" si="993"/>
        <v>465.8739999999998</v>
      </c>
      <c r="AP762" s="327">
        <f t="shared" si="993"/>
        <v>48.644999999999982</v>
      </c>
      <c r="AQ762" s="327">
        <f t="shared" si="993"/>
        <v>185.36099999999988</v>
      </c>
      <c r="AR762" s="327">
        <f t="shared" si="993"/>
        <v>274.60400000000004</v>
      </c>
      <c r="AS762" s="327">
        <f t="shared" si="993"/>
        <v>402.08700000000067</v>
      </c>
      <c r="AT762" s="518">
        <f t="shared" si="993"/>
        <v>910.69700000000012</v>
      </c>
      <c r="AU762" s="327">
        <f t="shared" si="993"/>
        <v>275.17699999999991</v>
      </c>
      <c r="AV762" s="327">
        <f t="shared" si="993"/>
        <v>323.09999999999991</v>
      </c>
      <c r="AW762" s="327">
        <f t="shared" si="993"/>
        <v>330.26700000000005</v>
      </c>
      <c r="AX762" s="327">
        <f t="shared" si="993"/>
        <v>524.57199999999921</v>
      </c>
      <c r="AY762" s="518">
        <f t="shared" si="993"/>
        <v>1453.116</v>
      </c>
      <c r="AZ762" s="327">
        <f t="shared" si="993"/>
        <v>323.48099999999999</v>
      </c>
      <c r="BA762" s="327">
        <f t="shared" si="993"/>
        <v>365.52099999999973</v>
      </c>
      <c r="BB762" s="327">
        <f t="shared" si="993"/>
        <v>339.63300000000004</v>
      </c>
      <c r="BC762" s="327">
        <f t="shared" si="993"/>
        <v>469.78699999999935</v>
      </c>
      <c r="BD762" s="518">
        <f t="shared" si="993"/>
        <v>1498.4219999999987</v>
      </c>
      <c r="BE762" s="327">
        <f t="shared" si="993"/>
        <v>199.47699999999986</v>
      </c>
      <c r="BF762" s="327">
        <f t="shared" si="993"/>
        <v>271.548</v>
      </c>
      <c r="BG762" s="327">
        <f t="shared" si="993"/>
        <v>315.07700000000023</v>
      </c>
      <c r="BH762" s="327">
        <f t="shared" si="993"/>
        <v>458.09099999999989</v>
      </c>
      <c r="BI762" s="518">
        <f t="shared" si="993"/>
        <v>1244.1929999999993</v>
      </c>
      <c r="BJ762" s="1026">
        <f>BJ749-SUM(BJ754,BJ758)</f>
        <v>323.82799999999997</v>
      </c>
      <c r="BK762" s="327">
        <f t="shared" si="993"/>
        <v>255.67882721866772</v>
      </c>
      <c r="BL762" s="327">
        <f t="shared" si="993"/>
        <v>311.10061624110335</v>
      </c>
      <c r="BM762" s="327">
        <f t="shared" si="993"/>
        <v>485.70055928553575</v>
      </c>
      <c r="BN762" s="518">
        <f t="shared" si="993"/>
        <v>1376.308002745307</v>
      </c>
      <c r="BO762" s="327">
        <f t="shared" ref="BO762:CF762" si="994">BO749-SUM(BO754,BO758)</f>
        <v>269.5104762677845</v>
      </c>
      <c r="BP762" s="327">
        <f t="shared" si="994"/>
        <v>266.60961762272586</v>
      </c>
      <c r="BQ762" s="327">
        <f t="shared" si="994"/>
        <v>339.70019047673532</v>
      </c>
      <c r="BR762" s="327">
        <f t="shared" si="994"/>
        <v>461.63531617355079</v>
      </c>
      <c r="BS762" s="518">
        <f t="shared" si="994"/>
        <v>1337.4556005407958</v>
      </c>
      <c r="BT762" s="518">
        <f t="shared" si="994"/>
        <v>1430.8854688294196</v>
      </c>
      <c r="BU762" s="518">
        <f t="shared" si="994"/>
        <v>1545.8773080600904</v>
      </c>
      <c r="BV762" s="518">
        <f t="shared" si="994"/>
        <v>1668.9063396407937</v>
      </c>
      <c r="BW762" s="295"/>
    </row>
    <row r="763" spans="1:75" s="198" customFormat="1" ht="14.25" collapsed="1" x14ac:dyDescent="0.45">
      <c r="A763" s="206" t="str">
        <f>CONCATENATE("Adjusted ",A762,IF(AND(ROUND(SUM(C762:BT762)-SUM(C763:BT763),6)=0)," (No Adjustments)",""))</f>
        <v>Adjusted EBIT</v>
      </c>
      <c r="B763" s="522"/>
      <c r="C763" s="397">
        <f t="shared" ref="C763:BN763" si="995">C756-C760+C761</f>
        <v>162.14600000000007</v>
      </c>
      <c r="D763" s="397">
        <f t="shared" si="995"/>
        <v>344.85500000000002</v>
      </c>
      <c r="E763" s="397">
        <f t="shared" si="995"/>
        <v>384.73199999999974</v>
      </c>
      <c r="F763" s="397">
        <f t="shared" si="995"/>
        <v>416.15300000000002</v>
      </c>
      <c r="G763" s="295">
        <f t="shared" si="995"/>
        <v>66.718999999999937</v>
      </c>
      <c r="H763" s="295">
        <f t="shared" si="995"/>
        <v>78.085999999999956</v>
      </c>
      <c r="I763" s="295">
        <f t="shared" si="995"/>
        <v>92.494000000000028</v>
      </c>
      <c r="J763" s="295">
        <f t="shared" si="995"/>
        <v>217.73500000000007</v>
      </c>
      <c r="K763" s="397">
        <f t="shared" si="995"/>
        <v>455.03400000000033</v>
      </c>
      <c r="L763" s="295">
        <f t="shared" si="995"/>
        <v>74.326000000000022</v>
      </c>
      <c r="M763" s="295">
        <f t="shared" si="995"/>
        <v>85.33600000000007</v>
      </c>
      <c r="N763" s="295">
        <f t="shared" si="995"/>
        <v>104.72000000000003</v>
      </c>
      <c r="O763" s="295">
        <f t="shared" si="995"/>
        <v>230.46899999999999</v>
      </c>
      <c r="P763" s="397">
        <f t="shared" si="995"/>
        <v>494.85099999999989</v>
      </c>
      <c r="Q763" s="295">
        <f t="shared" si="995"/>
        <v>71.927999999999884</v>
      </c>
      <c r="R763" s="295">
        <f t="shared" si="995"/>
        <v>83.343000000000018</v>
      </c>
      <c r="S763" s="295">
        <f t="shared" si="995"/>
        <v>110.68300000000011</v>
      </c>
      <c r="T763" s="295">
        <f t="shared" si="995"/>
        <v>222.68000000000006</v>
      </c>
      <c r="U763" s="397">
        <f t="shared" si="995"/>
        <v>488.63400000000001</v>
      </c>
      <c r="V763" s="295">
        <f t="shared" si="995"/>
        <v>76.746000000000038</v>
      </c>
      <c r="W763" s="295">
        <f t="shared" si="995"/>
        <v>83.27600000000001</v>
      </c>
      <c r="X763" s="295">
        <f t="shared" si="995"/>
        <v>111.16399999999993</v>
      </c>
      <c r="Y763" s="295">
        <f t="shared" si="995"/>
        <v>215.81899999999996</v>
      </c>
      <c r="Z763" s="397">
        <f t="shared" si="995"/>
        <v>487.00499999999988</v>
      </c>
      <c r="AA763" s="295">
        <f t="shared" si="995"/>
        <v>68.179000000000087</v>
      </c>
      <c r="AB763" s="295">
        <f t="shared" si="995"/>
        <v>81.584000000000003</v>
      </c>
      <c r="AC763" s="295">
        <f t="shared" si="995"/>
        <v>110.81299999999999</v>
      </c>
      <c r="AD763" s="295">
        <f t="shared" si="995"/>
        <v>208.05600000000015</v>
      </c>
      <c r="AE763" s="397">
        <f t="shared" si="995"/>
        <v>468.63199999999983</v>
      </c>
      <c r="AF763" s="295">
        <f t="shared" si="995"/>
        <v>75.178000000000054</v>
      </c>
      <c r="AG763" s="295">
        <f t="shared" si="995"/>
        <v>86.325999999999908</v>
      </c>
      <c r="AH763" s="295">
        <f t="shared" si="995"/>
        <v>103.38400000000001</v>
      </c>
      <c r="AI763" s="295">
        <f t="shared" si="995"/>
        <v>217.66899999999976</v>
      </c>
      <c r="AJ763" s="397">
        <f t="shared" si="995"/>
        <v>482.55699999999979</v>
      </c>
      <c r="AK763" s="295">
        <f t="shared" si="995"/>
        <v>87.07</v>
      </c>
      <c r="AL763" s="295">
        <f t="shared" si="995"/>
        <v>94.018000000000086</v>
      </c>
      <c r="AM763" s="295">
        <f t="shared" si="995"/>
        <v>109.87600000000003</v>
      </c>
      <c r="AN763" s="295">
        <f t="shared" si="995"/>
        <v>213.41099999999989</v>
      </c>
      <c r="AO763" s="397">
        <f t="shared" si="995"/>
        <v>504.37499999999955</v>
      </c>
      <c r="AP763" s="295">
        <f t="shared" si="995"/>
        <v>79.000999999999976</v>
      </c>
      <c r="AQ763" s="295">
        <f t="shared" si="995"/>
        <v>195.05700000000002</v>
      </c>
      <c r="AR763" s="295">
        <f t="shared" si="995"/>
        <v>276.82300000000009</v>
      </c>
      <c r="AS763" s="295">
        <f t="shared" si="995"/>
        <v>410.3550000000007</v>
      </c>
      <c r="AT763" s="397">
        <f t="shared" si="995"/>
        <v>961.23600000000056</v>
      </c>
      <c r="AU763" s="295">
        <f t="shared" si="995"/>
        <v>278.01599999999996</v>
      </c>
      <c r="AV763" s="295">
        <f t="shared" si="995"/>
        <v>325.85699999999986</v>
      </c>
      <c r="AW763" s="295">
        <f t="shared" si="995"/>
        <v>333.01899999999989</v>
      </c>
      <c r="AX763" s="295">
        <f t="shared" si="995"/>
        <v>525.38399999999922</v>
      </c>
      <c r="AY763" s="397">
        <f t="shared" si="995"/>
        <v>1462.2759999999994</v>
      </c>
      <c r="AZ763" s="295">
        <f t="shared" si="995"/>
        <v>323.48099999999999</v>
      </c>
      <c r="BA763" s="295">
        <f t="shared" si="995"/>
        <v>365.52099999999973</v>
      </c>
      <c r="BB763" s="295">
        <f t="shared" si="995"/>
        <v>339.63300000000004</v>
      </c>
      <c r="BC763" s="295">
        <f t="shared" si="995"/>
        <v>487.47399999999936</v>
      </c>
      <c r="BD763" s="397">
        <f t="shared" si="995"/>
        <v>1516.108999999999</v>
      </c>
      <c r="BE763" s="295">
        <f t="shared" si="995"/>
        <v>225.72399999999993</v>
      </c>
      <c r="BF763" s="295">
        <f t="shared" si="995"/>
        <v>271.548</v>
      </c>
      <c r="BG763" s="295">
        <f t="shared" si="995"/>
        <v>315.07700000000011</v>
      </c>
      <c r="BH763" s="295">
        <f t="shared" si="995"/>
        <v>458.09099999999989</v>
      </c>
      <c r="BI763" s="397">
        <f t="shared" si="995"/>
        <v>1270.4399999999998</v>
      </c>
      <c r="BJ763" s="1030">
        <f>BJ756-BJ760+BJ761</f>
        <v>323.82799999999997</v>
      </c>
      <c r="BK763" s="295">
        <f t="shared" si="995"/>
        <v>255.67882721866772</v>
      </c>
      <c r="BL763" s="295">
        <f t="shared" si="995"/>
        <v>311.10061624110324</v>
      </c>
      <c r="BM763" s="295">
        <f t="shared" si="995"/>
        <v>485.70055928553563</v>
      </c>
      <c r="BN763" s="397">
        <f t="shared" si="995"/>
        <v>1376.3080027453066</v>
      </c>
      <c r="BO763" s="295">
        <f t="shared" ref="BO763:CF763" si="996">BO756-BO760+BO761</f>
        <v>269.5104762677845</v>
      </c>
      <c r="BP763" s="295">
        <f t="shared" si="996"/>
        <v>266.60961762272609</v>
      </c>
      <c r="BQ763" s="295">
        <f t="shared" si="996"/>
        <v>339.70019047673543</v>
      </c>
      <c r="BR763" s="295">
        <f t="shared" si="996"/>
        <v>461.63531617355079</v>
      </c>
      <c r="BS763" s="397">
        <f t="shared" si="996"/>
        <v>1337.4556005407962</v>
      </c>
      <c r="BT763" s="397">
        <f t="shared" si="996"/>
        <v>1430.8854688294196</v>
      </c>
      <c r="BU763" s="397">
        <f t="shared" si="996"/>
        <v>1545.8773080600904</v>
      </c>
      <c r="BV763" s="397">
        <f t="shared" si="996"/>
        <v>1668.9063396407937</v>
      </c>
      <c r="BW763" s="295"/>
    </row>
    <row r="764" spans="1:75" s="205" customFormat="1" ht="14.25" x14ac:dyDescent="0.45">
      <c r="A764" s="1295" t="s">
        <v>198</v>
      </c>
      <c r="B764" s="720"/>
      <c r="C764" s="414"/>
      <c r="D764" s="414"/>
      <c r="E764" s="414"/>
      <c r="F764" s="414"/>
      <c r="G764" s="413"/>
      <c r="H764" s="413"/>
      <c r="I764" s="413"/>
      <c r="J764" s="413"/>
      <c r="K764" s="414"/>
      <c r="L764" s="413"/>
      <c r="M764" s="413"/>
      <c r="N764" s="413"/>
      <c r="O764" s="413"/>
      <c r="P764" s="414"/>
      <c r="Q764" s="413"/>
      <c r="R764" s="413"/>
      <c r="S764" s="413"/>
      <c r="T764" s="413"/>
      <c r="U764" s="414"/>
      <c r="V764" s="413"/>
      <c r="W764" s="413"/>
      <c r="X764" s="413"/>
      <c r="Y764" s="413"/>
      <c r="Z764" s="414"/>
      <c r="AA764" s="413"/>
      <c r="AB764" s="413"/>
      <c r="AC764" s="413"/>
      <c r="AD764" s="413"/>
      <c r="AE764" s="414"/>
      <c r="AF764" s="413"/>
      <c r="AG764" s="413"/>
      <c r="AH764" s="413"/>
      <c r="AI764" s="413"/>
      <c r="AJ764" s="414"/>
      <c r="AK764" s="413"/>
      <c r="AL764" s="413"/>
      <c r="AM764" s="413"/>
      <c r="AN764" s="413"/>
      <c r="AO764" s="414"/>
      <c r="AP764" s="413"/>
      <c r="AQ764" s="413"/>
      <c r="AR764" s="413"/>
      <c r="AS764" s="413"/>
      <c r="AT764" s="414"/>
      <c r="AU764" s="413"/>
      <c r="AV764" s="413"/>
      <c r="AW764" s="413"/>
      <c r="AX764" s="413"/>
      <c r="AY764" s="414"/>
      <c r="AZ764" s="413"/>
      <c r="BA764" s="413"/>
      <c r="BB764" s="413"/>
      <c r="BC764" s="413"/>
      <c r="BD764" s="414"/>
      <c r="BE764" s="413"/>
      <c r="BF764" s="413"/>
      <c r="BG764" s="413"/>
      <c r="BH764" s="413"/>
      <c r="BI764" s="414"/>
      <c r="BJ764" s="1216"/>
      <c r="BK764" s="202" t="str">
        <f t="shared" ref="BK764:BV764" ca="1" si="997">IFERROR(VLOOKUP($A764,tb_ConsensusEstimate,MATCH(BK$5,OFFSET(tb_ConsensusEstimate,0,0,1,COLUMNS(tb_ConsensusEstimate)),0),FALSE),"-")</f>
        <v>N/A</v>
      </c>
      <c r="BL764" s="202" t="str">
        <f t="shared" ca="1" si="997"/>
        <v>N/A</v>
      </c>
      <c r="BM764" s="202" t="str">
        <f t="shared" ca="1" si="997"/>
        <v>N/A</v>
      </c>
      <c r="BN764" s="201" t="str">
        <f t="shared" ca="1" si="997"/>
        <v>N/A</v>
      </c>
      <c r="BO764" s="202" t="str">
        <f t="shared" ca="1" si="997"/>
        <v>N/A</v>
      </c>
      <c r="BP764" s="202" t="str">
        <f t="shared" ca="1" si="997"/>
        <v>N/A</v>
      </c>
      <c r="BQ764" s="202" t="str">
        <f t="shared" ca="1" si="997"/>
        <v>N/A</v>
      </c>
      <c r="BR764" s="202" t="str">
        <f t="shared" ca="1" si="997"/>
        <v>N/A</v>
      </c>
      <c r="BS764" s="201" t="str">
        <f t="shared" ca="1" si="997"/>
        <v>N/A</v>
      </c>
      <c r="BT764" s="201" t="str">
        <f t="shared" ca="1" si="997"/>
        <v>N/A</v>
      </c>
      <c r="BU764" s="201" t="str">
        <f t="shared" ca="1" si="997"/>
        <v>N/A</v>
      </c>
      <c r="BV764" s="201" t="str">
        <f t="shared" ca="1" si="997"/>
        <v>N/A</v>
      </c>
      <c r="BW764" s="204"/>
    </row>
    <row r="765" spans="1:75" s="205" customFormat="1" ht="14.25" x14ac:dyDescent="0.45">
      <c r="A765" s="199"/>
      <c r="B765" s="720"/>
      <c r="C765" s="414"/>
      <c r="D765" s="414"/>
      <c r="E765" s="414"/>
      <c r="F765" s="414"/>
      <c r="G765" s="413"/>
      <c r="H765" s="413"/>
      <c r="I765" s="413"/>
      <c r="J765" s="413"/>
      <c r="K765" s="414"/>
      <c r="L765" s="413"/>
      <c r="M765" s="413"/>
      <c r="N765" s="413"/>
      <c r="O765" s="413"/>
      <c r="P765" s="414"/>
      <c r="Q765" s="413"/>
      <c r="R765" s="413"/>
      <c r="S765" s="413"/>
      <c r="T765" s="413"/>
      <c r="U765" s="414"/>
      <c r="V765" s="413"/>
      <c r="W765" s="413"/>
      <c r="X765" s="413"/>
      <c r="Y765" s="413"/>
      <c r="Z765" s="414"/>
      <c r="AA765" s="413"/>
      <c r="AB765" s="413"/>
      <c r="AC765" s="413"/>
      <c r="AD765" s="413"/>
      <c r="AE765" s="414"/>
      <c r="AF765" s="413"/>
      <c r="AG765" s="413"/>
      <c r="AH765" s="413"/>
      <c r="AI765" s="413"/>
      <c r="AJ765" s="414"/>
      <c r="AK765" s="413"/>
      <c r="AL765" s="413"/>
      <c r="AM765" s="413"/>
      <c r="AN765" s="413"/>
      <c r="AO765" s="414"/>
      <c r="AP765" s="413"/>
      <c r="AQ765" s="413"/>
      <c r="AR765" s="413"/>
      <c r="AS765" s="413"/>
      <c r="AT765" s="414"/>
      <c r="AU765" s="413"/>
      <c r="AV765" s="413"/>
      <c r="AW765" s="413"/>
      <c r="AX765" s="413"/>
      <c r="AY765" s="414"/>
      <c r="AZ765" s="413"/>
      <c r="BA765" s="413"/>
      <c r="BB765" s="413"/>
      <c r="BC765" s="413"/>
      <c r="BD765" s="414"/>
      <c r="BE765" s="413"/>
      <c r="BF765" s="413"/>
      <c r="BG765" s="413"/>
      <c r="BH765" s="413"/>
      <c r="BI765" s="414"/>
      <c r="BJ765" s="1216"/>
      <c r="BK765" s="413"/>
      <c r="BL765" s="413"/>
      <c r="BM765" s="413"/>
      <c r="BN765" s="414"/>
      <c r="BO765" s="413"/>
      <c r="BP765" s="413"/>
      <c r="BQ765" s="413"/>
      <c r="BR765" s="413"/>
      <c r="BS765" s="414"/>
      <c r="BT765" s="414"/>
      <c r="BU765" s="414"/>
      <c r="BV765" s="414"/>
      <c r="BW765" s="204"/>
    </row>
    <row r="766" spans="1:75" s="123" customFormat="1" x14ac:dyDescent="0.5">
      <c r="A766" s="184" t="s">
        <v>1158</v>
      </c>
      <c r="B766" s="513"/>
      <c r="C766" s="401">
        <f t="shared" ref="C766:BJ766" si="998">C1009</f>
        <v>151.79599999999999</v>
      </c>
      <c r="D766" s="401">
        <f t="shared" si="998"/>
        <v>144.63</v>
      </c>
      <c r="E766" s="401">
        <f t="shared" si="998"/>
        <v>130.553</v>
      </c>
      <c r="F766" s="401">
        <f t="shared" si="998"/>
        <v>134.453</v>
      </c>
      <c r="G766" s="118">
        <f t="shared" si="998"/>
        <v>36.609000000000002</v>
      </c>
      <c r="H766" s="118">
        <f t="shared" si="998"/>
        <v>37.222999999999992</v>
      </c>
      <c r="I766" s="118">
        <f t="shared" si="998"/>
        <v>37.580000000000013</v>
      </c>
      <c r="J766" s="118">
        <f t="shared" si="998"/>
        <v>38.382999999999981</v>
      </c>
      <c r="K766" s="401">
        <f t="shared" si="998"/>
        <v>149.79499999999999</v>
      </c>
      <c r="L766" s="118">
        <f t="shared" si="998"/>
        <v>38.630000000000003</v>
      </c>
      <c r="M766" s="118">
        <f t="shared" si="998"/>
        <v>40.701999999999991</v>
      </c>
      <c r="N766" s="118">
        <f t="shared" si="998"/>
        <v>41.803000000000011</v>
      </c>
      <c r="O766" s="118">
        <f t="shared" si="998"/>
        <v>41.137999999999991</v>
      </c>
      <c r="P766" s="401">
        <f t="shared" si="998"/>
        <v>162.273</v>
      </c>
      <c r="Q766" s="118">
        <f t="shared" si="998"/>
        <v>41.478000000000002</v>
      </c>
      <c r="R766" s="118">
        <f t="shared" si="998"/>
        <v>41.755000000000003</v>
      </c>
      <c r="S766" s="118">
        <f t="shared" si="998"/>
        <v>41.86</v>
      </c>
      <c r="T766" s="118">
        <f t="shared" si="998"/>
        <v>42.666999999999987</v>
      </c>
      <c r="U766" s="401">
        <f t="shared" si="998"/>
        <v>167.76</v>
      </c>
      <c r="V766" s="118">
        <f t="shared" si="998"/>
        <v>41.24</v>
      </c>
      <c r="W766" s="118">
        <f t="shared" si="998"/>
        <v>42.128999999999998</v>
      </c>
      <c r="X766" s="118">
        <f t="shared" si="998"/>
        <v>44.376000000000005</v>
      </c>
      <c r="Y766" s="118">
        <f t="shared" si="998"/>
        <v>45.449999999999989</v>
      </c>
      <c r="Z766" s="401">
        <f t="shared" si="998"/>
        <v>173.19499999999999</v>
      </c>
      <c r="AA766" s="118">
        <f t="shared" si="998"/>
        <v>44.95</v>
      </c>
      <c r="AB766" s="118">
        <f t="shared" si="998"/>
        <v>45.097999999999999</v>
      </c>
      <c r="AC766" s="118">
        <f t="shared" si="998"/>
        <v>45.425000000000011</v>
      </c>
      <c r="AD766" s="118">
        <f t="shared" si="998"/>
        <v>47.603999999999985</v>
      </c>
      <c r="AE766" s="401">
        <f t="shared" si="998"/>
        <v>183.077</v>
      </c>
      <c r="AF766" s="118">
        <f t="shared" si="998"/>
        <v>47.872999999999998</v>
      </c>
      <c r="AG766" s="118">
        <f t="shared" si="998"/>
        <v>45.936</v>
      </c>
      <c r="AH766" s="118">
        <f t="shared" si="998"/>
        <v>47.358000000000004</v>
      </c>
      <c r="AI766" s="118">
        <f t="shared" si="998"/>
        <v>47.640999999999991</v>
      </c>
      <c r="AJ766" s="401">
        <f t="shared" si="998"/>
        <v>188.80799999999999</v>
      </c>
      <c r="AK766" s="118">
        <f t="shared" si="998"/>
        <v>46.838000000000001</v>
      </c>
      <c r="AL766" s="118">
        <f t="shared" si="998"/>
        <v>46.905999999999999</v>
      </c>
      <c r="AM766" s="118">
        <f t="shared" si="998"/>
        <v>46.751000000000005</v>
      </c>
      <c r="AN766" s="118">
        <f t="shared" si="998"/>
        <v>47.263999999999982</v>
      </c>
      <c r="AO766" s="401">
        <f t="shared" si="998"/>
        <v>187.75899999999999</v>
      </c>
      <c r="AP766" s="118">
        <f t="shared" si="998"/>
        <v>46.223999999999997</v>
      </c>
      <c r="AQ766" s="118">
        <f t="shared" si="998"/>
        <v>46.896000000000008</v>
      </c>
      <c r="AR766" s="118">
        <f t="shared" si="998"/>
        <v>47.22</v>
      </c>
      <c r="AS766" s="118">
        <f t="shared" si="998"/>
        <v>48.314999999999998</v>
      </c>
      <c r="AT766" s="401">
        <f t="shared" si="998"/>
        <v>188.655</v>
      </c>
      <c r="AU766" s="118">
        <f t="shared" si="998"/>
        <v>47.921999999999997</v>
      </c>
      <c r="AV766" s="118">
        <f t="shared" si="998"/>
        <v>48.765000000000001</v>
      </c>
      <c r="AW766" s="118">
        <f t="shared" si="998"/>
        <v>49.209999999999994</v>
      </c>
      <c r="AX766" s="118">
        <f t="shared" si="998"/>
        <v>50.19</v>
      </c>
      <c r="AY766" s="401">
        <f t="shared" si="998"/>
        <v>196.08699999999999</v>
      </c>
      <c r="AZ766" s="118">
        <f t="shared" si="998"/>
        <v>50.250999999999998</v>
      </c>
      <c r="BA766" s="118">
        <f t="shared" si="998"/>
        <v>52.204000000000001</v>
      </c>
      <c r="BB766" s="118">
        <f t="shared" si="998"/>
        <v>54.954999999999998</v>
      </c>
      <c r="BC766" s="118">
        <f t="shared" si="998"/>
        <v>56.742999999999995</v>
      </c>
      <c r="BD766" s="401">
        <f t="shared" si="998"/>
        <v>214.15299999999999</v>
      </c>
      <c r="BE766" s="118">
        <f t="shared" si="998"/>
        <v>55.601999999999997</v>
      </c>
      <c r="BF766" s="118">
        <f t="shared" si="998"/>
        <v>55.241000000000007</v>
      </c>
      <c r="BG766" s="118">
        <f t="shared" si="998"/>
        <v>55.183999999999983</v>
      </c>
      <c r="BH766" s="118">
        <f t="shared" si="998"/>
        <v>66.563000000000017</v>
      </c>
      <c r="BI766" s="401">
        <f t="shared" si="998"/>
        <v>232.59</v>
      </c>
      <c r="BJ766" s="971">
        <f t="shared" si="998"/>
        <v>56.996000000000002</v>
      </c>
      <c r="BK766" s="118">
        <f>-BK1084-BK1090</f>
        <v>53.431599245283024</v>
      </c>
      <c r="BL766" s="118">
        <f>-BL1084-BL1090</f>
        <v>53.246422380348889</v>
      </c>
      <c r="BM766" s="118">
        <f>-BM1084-BM1090</f>
        <v>58.02533912062367</v>
      </c>
      <c r="BN766" s="401">
        <f>SUM(BJ766,BK766,BL766,BM766)</f>
        <v>221.69936074625559</v>
      </c>
      <c r="BO766" s="118">
        <f>-BO1084-BO1090</f>
        <v>55.60294515895594</v>
      </c>
      <c r="BP766" s="118">
        <f>-BP1084-BP1090</f>
        <v>56.944783175213374</v>
      </c>
      <c r="BQ766" s="118">
        <f>-BQ1084-BQ1090</f>
        <v>58.762820100576619</v>
      </c>
      <c r="BR766" s="118">
        <f>-BR1084-BR1090</f>
        <v>60.755864995044917</v>
      </c>
      <c r="BS766" s="401">
        <f>SUM(BO766,BP766,BQ766,BR766)</f>
        <v>232.06641342979083</v>
      </c>
      <c r="BT766" s="401">
        <f>-BT1084-BT1090</f>
        <v>253.85716968126977</v>
      </c>
      <c r="BU766" s="401">
        <f>-BU1084-BU1090</f>
        <v>286.0085923513904</v>
      </c>
      <c r="BV766" s="401">
        <f>-BV1084-BV1090</f>
        <v>311.08670203408451</v>
      </c>
      <c r="BW766" s="122"/>
    </row>
    <row r="767" spans="1:75" s="123" customFormat="1" x14ac:dyDescent="0.5">
      <c r="A767" s="445" t="s">
        <v>1160</v>
      </c>
      <c r="B767" s="677"/>
      <c r="C767" s="406">
        <f t="shared" ref="C767:BM767" si="999">C890</f>
        <v>24.989000000000001</v>
      </c>
      <c r="D767" s="406">
        <f t="shared" si="999"/>
        <v>26.63</v>
      </c>
      <c r="E767" s="406">
        <f t="shared" si="999"/>
        <v>24.335999999999999</v>
      </c>
      <c r="F767" s="406">
        <f t="shared" si="999"/>
        <v>31.042000000000002</v>
      </c>
      <c r="G767" s="723">
        <f t="shared" si="999"/>
        <v>8.9909999999999997</v>
      </c>
      <c r="H767" s="723">
        <f t="shared" si="999"/>
        <v>9.4810000000000016</v>
      </c>
      <c r="I767" s="723">
        <f t="shared" si="999"/>
        <v>9.968</v>
      </c>
      <c r="J767" s="723">
        <f t="shared" si="999"/>
        <v>10.347999999999995</v>
      </c>
      <c r="K767" s="406">
        <f t="shared" si="999"/>
        <v>38.787999999999997</v>
      </c>
      <c r="L767" s="723">
        <f t="shared" si="999"/>
        <v>12.368</v>
      </c>
      <c r="M767" s="723">
        <f t="shared" si="999"/>
        <v>9.8229999999999986</v>
      </c>
      <c r="N767" s="723">
        <f t="shared" si="999"/>
        <v>12.538</v>
      </c>
      <c r="O767" s="723">
        <f t="shared" si="999"/>
        <v>9.9029999999999987</v>
      </c>
      <c r="P767" s="406">
        <f t="shared" si="999"/>
        <v>44.631999999999998</v>
      </c>
      <c r="Q767" s="723">
        <f t="shared" si="999"/>
        <v>14.01</v>
      </c>
      <c r="R767" s="723">
        <f t="shared" si="999"/>
        <v>10.903</v>
      </c>
      <c r="S767" s="723">
        <f t="shared" si="999"/>
        <v>11.269000000000002</v>
      </c>
      <c r="T767" s="723">
        <f t="shared" si="999"/>
        <v>5.1749999999999972</v>
      </c>
      <c r="U767" s="406">
        <f t="shared" si="999"/>
        <v>41.356999999999999</v>
      </c>
      <c r="V767" s="723">
        <f t="shared" si="999"/>
        <v>15.731999999999999</v>
      </c>
      <c r="W767" s="723">
        <f t="shared" si="999"/>
        <v>11.744</v>
      </c>
      <c r="X767" s="723">
        <f t="shared" si="999"/>
        <v>10.499000000000002</v>
      </c>
      <c r="Y767" s="723">
        <f t="shared" si="999"/>
        <v>13.140999999999998</v>
      </c>
      <c r="Z767" s="406">
        <f t="shared" si="999"/>
        <v>51.116</v>
      </c>
      <c r="AA767" s="723">
        <f t="shared" si="999"/>
        <v>9.8170000000000002</v>
      </c>
      <c r="AB767" s="723">
        <f t="shared" si="999"/>
        <v>13.012</v>
      </c>
      <c r="AC767" s="723">
        <f t="shared" si="999"/>
        <v>7.3350000000000009</v>
      </c>
      <c r="AD767" s="723">
        <f t="shared" si="999"/>
        <v>12.823999999999998</v>
      </c>
      <c r="AE767" s="406">
        <f t="shared" si="999"/>
        <v>42.988</v>
      </c>
      <c r="AF767" s="723">
        <f t="shared" si="999"/>
        <v>12.888999999999999</v>
      </c>
      <c r="AG767" s="723">
        <f t="shared" si="999"/>
        <v>13.637</v>
      </c>
      <c r="AH767" s="723">
        <f t="shared" si="999"/>
        <v>14.427000000000003</v>
      </c>
      <c r="AI767" s="723">
        <f t="shared" si="999"/>
        <v>18.848999999999997</v>
      </c>
      <c r="AJ767" s="406">
        <f t="shared" si="999"/>
        <v>59.802</v>
      </c>
      <c r="AK767" s="723">
        <f t="shared" si="999"/>
        <v>18.529</v>
      </c>
      <c r="AL767" s="723">
        <f t="shared" si="999"/>
        <v>16.872000000000003</v>
      </c>
      <c r="AM767" s="723">
        <f t="shared" si="999"/>
        <v>14.114999999999995</v>
      </c>
      <c r="AN767" s="723">
        <f t="shared" si="999"/>
        <v>14.646999999999998</v>
      </c>
      <c r="AO767" s="406">
        <f t="shared" si="999"/>
        <v>64.162999999999997</v>
      </c>
      <c r="AP767" s="723">
        <f t="shared" si="999"/>
        <v>19.702999999999999</v>
      </c>
      <c r="AQ767" s="723">
        <f t="shared" si="999"/>
        <v>13.692000000000004</v>
      </c>
      <c r="AR767" s="723">
        <f t="shared" si="999"/>
        <v>21.275999999999996</v>
      </c>
      <c r="AS767" s="723">
        <f t="shared" si="999"/>
        <v>18.514000000000003</v>
      </c>
      <c r="AT767" s="406">
        <f t="shared" si="999"/>
        <v>73.185000000000002</v>
      </c>
      <c r="AU767" s="723">
        <f t="shared" si="999"/>
        <v>26.33</v>
      </c>
      <c r="AV767" s="723">
        <f t="shared" si="999"/>
        <v>19.93</v>
      </c>
      <c r="AW767" s="723">
        <f t="shared" si="999"/>
        <v>24.306000000000004</v>
      </c>
      <c r="AX767" s="723">
        <f t="shared" si="999"/>
        <v>24.673999999999992</v>
      </c>
      <c r="AY767" s="406">
        <f t="shared" si="999"/>
        <v>95.24</v>
      </c>
      <c r="AZ767" s="723">
        <f t="shared" si="999"/>
        <v>28.542000000000002</v>
      </c>
      <c r="BA767" s="723">
        <f t="shared" si="999"/>
        <v>23.201000000000001</v>
      </c>
      <c r="BB767" s="723">
        <f t="shared" si="999"/>
        <v>16.053999999999995</v>
      </c>
      <c r="BC767" s="723">
        <f t="shared" si="999"/>
        <v>22.471000000000004</v>
      </c>
      <c r="BD767" s="406">
        <f t="shared" si="999"/>
        <v>90.268000000000001</v>
      </c>
      <c r="BE767" s="723">
        <f t="shared" si="999"/>
        <v>23.446000000000002</v>
      </c>
      <c r="BF767" s="723">
        <f t="shared" si="999"/>
        <v>20.712999999999997</v>
      </c>
      <c r="BG767" s="723">
        <f t="shared" si="999"/>
        <v>22.276000000000003</v>
      </c>
      <c r="BH767" s="723">
        <f t="shared" si="999"/>
        <v>18.319000000000003</v>
      </c>
      <c r="BI767" s="406">
        <f t="shared" si="999"/>
        <v>84.754000000000005</v>
      </c>
      <c r="BJ767" s="1049">
        <f>BJ890</f>
        <v>22.975000000000001</v>
      </c>
      <c r="BK767" s="723">
        <f t="shared" si="999"/>
        <v>20.337563028107184</v>
      </c>
      <c r="BL767" s="723">
        <f t="shared" si="999"/>
        <v>18.311608887139549</v>
      </c>
      <c r="BM767" s="723">
        <f t="shared" si="999"/>
        <v>19.06956992528502</v>
      </c>
      <c r="BN767" s="406">
        <f>SUM(BJ767,BK767,BL767,BM767)</f>
        <v>80.693741840531757</v>
      </c>
      <c r="BO767" s="723">
        <f>BO890</f>
        <v>24.334604791679386</v>
      </c>
      <c r="BP767" s="723">
        <f>BP890</f>
        <v>21.267427801265526</v>
      </c>
      <c r="BQ767" s="723">
        <f>BQ890</f>
        <v>19.07211021427344</v>
      </c>
      <c r="BR767" s="723">
        <f>BR890</f>
        <v>18.706505824954295</v>
      </c>
      <c r="BS767" s="406">
        <f>SUM(BO767,BP767,BQ767,BR767)</f>
        <v>83.380648632172637</v>
      </c>
      <c r="BT767" s="406">
        <f>BT890</f>
        <v>92.72227313177622</v>
      </c>
      <c r="BU767" s="406">
        <f>BU890</f>
        <v>99.384678127890751</v>
      </c>
      <c r="BV767" s="406">
        <f>BV890</f>
        <v>106.54061651833675</v>
      </c>
      <c r="BW767" s="122"/>
    </row>
    <row r="768" spans="1:75" s="198" customFormat="1" ht="14.25" hidden="1" outlineLevel="1" x14ac:dyDescent="0.45">
      <c r="A768" s="192" t="s">
        <v>1130</v>
      </c>
      <c r="B768" s="517"/>
      <c r="C768" s="518">
        <f t="shared" ref="C768:AH768" si="1000">C762+SUM(C766:C767)</f>
        <v>298.22699999999998</v>
      </c>
      <c r="D768" s="518">
        <f t="shared" si="1000"/>
        <v>494.67400000000021</v>
      </c>
      <c r="E768" s="518">
        <f t="shared" si="1000"/>
        <v>536.62099999999953</v>
      </c>
      <c r="F768" s="518">
        <f t="shared" si="1000"/>
        <v>574.65800000000002</v>
      </c>
      <c r="G768" s="327">
        <f t="shared" si="1000"/>
        <v>109.3829999999999</v>
      </c>
      <c r="H768" s="327">
        <f t="shared" si="1000"/>
        <v>124.78999999999989</v>
      </c>
      <c r="I768" s="327">
        <f t="shared" si="1000"/>
        <v>140.04200000000003</v>
      </c>
      <c r="J768" s="327">
        <f t="shared" si="1000"/>
        <v>266.46600000000012</v>
      </c>
      <c r="K768" s="518">
        <f t="shared" si="1000"/>
        <v>640.68100000000038</v>
      </c>
      <c r="L768" s="327">
        <f t="shared" si="1000"/>
        <v>125.32400000000003</v>
      </c>
      <c r="M768" s="327">
        <f t="shared" si="1000"/>
        <v>135.86099999999999</v>
      </c>
      <c r="N768" s="327">
        <f t="shared" si="1000"/>
        <v>159.06100000000004</v>
      </c>
      <c r="O768" s="327">
        <f t="shared" si="1000"/>
        <v>288.92400000000004</v>
      </c>
      <c r="P768" s="518">
        <f t="shared" si="1000"/>
        <v>709.1700000000003</v>
      </c>
      <c r="Q768" s="327">
        <f t="shared" si="1000"/>
        <v>127.41599999999988</v>
      </c>
      <c r="R768" s="327">
        <f t="shared" si="1000"/>
        <v>136.00100000000009</v>
      </c>
      <c r="S768" s="327">
        <f t="shared" si="1000"/>
        <v>163.81200000000024</v>
      </c>
      <c r="T768" s="327">
        <f t="shared" si="1000"/>
        <v>270.52200000000005</v>
      </c>
      <c r="U768" s="518">
        <f t="shared" si="1000"/>
        <v>697.75099999999998</v>
      </c>
      <c r="V768" s="327">
        <f t="shared" si="1000"/>
        <v>120.4970000000001</v>
      </c>
      <c r="W768" s="327">
        <f t="shared" si="1000"/>
        <v>137.14900000000006</v>
      </c>
      <c r="X768" s="327">
        <f t="shared" si="1000"/>
        <v>164.85400000000004</v>
      </c>
      <c r="Y768" s="327">
        <f t="shared" si="1000"/>
        <v>274.40999999999997</v>
      </c>
      <c r="Z768" s="518">
        <f t="shared" si="1000"/>
        <v>696.91000000000008</v>
      </c>
      <c r="AA768" s="327">
        <f t="shared" si="1000"/>
        <v>117.24100000000016</v>
      </c>
      <c r="AB768" s="327">
        <f t="shared" si="1000"/>
        <v>139.69400000000007</v>
      </c>
      <c r="AC768" s="327">
        <f t="shared" si="1000"/>
        <v>163.57299999999989</v>
      </c>
      <c r="AD768" s="327">
        <f t="shared" si="1000"/>
        <v>259.36800000000005</v>
      </c>
      <c r="AE768" s="518">
        <f t="shared" si="1000"/>
        <v>679.87599999999975</v>
      </c>
      <c r="AF768" s="327">
        <f t="shared" si="1000"/>
        <v>127.31199999999995</v>
      </c>
      <c r="AG768" s="327">
        <f t="shared" si="1000"/>
        <v>133.73899999999995</v>
      </c>
      <c r="AH768" s="327">
        <f t="shared" si="1000"/>
        <v>156.16899999999981</v>
      </c>
      <c r="AI768" s="327">
        <f t="shared" ref="AI768:BB768" si="1001">AI762+SUM(AI766:AI767)</f>
        <v>267.34299999999985</v>
      </c>
      <c r="AJ768" s="518">
        <f t="shared" si="1001"/>
        <v>684.56300000000044</v>
      </c>
      <c r="AK768" s="327">
        <f t="shared" si="1001"/>
        <v>139.49900000000008</v>
      </c>
      <c r="AL768" s="327">
        <f t="shared" si="1001"/>
        <v>149.94300000000021</v>
      </c>
      <c r="AM768" s="327">
        <f t="shared" si="1001"/>
        <v>162.75700000000006</v>
      </c>
      <c r="AN768" s="327">
        <f t="shared" si="1001"/>
        <v>265.59699999999992</v>
      </c>
      <c r="AO768" s="518">
        <f t="shared" si="1001"/>
        <v>717.79599999999982</v>
      </c>
      <c r="AP768" s="327">
        <f t="shared" si="1001"/>
        <v>114.57199999999997</v>
      </c>
      <c r="AQ768" s="327">
        <f t="shared" si="1001"/>
        <v>245.9489999999999</v>
      </c>
      <c r="AR768" s="327">
        <f t="shared" si="1001"/>
        <v>343.1</v>
      </c>
      <c r="AS768" s="327">
        <f t="shared" si="1001"/>
        <v>468.91600000000068</v>
      </c>
      <c r="AT768" s="518">
        <f t="shared" si="1001"/>
        <v>1172.5370000000003</v>
      </c>
      <c r="AU768" s="327">
        <f t="shared" si="1001"/>
        <v>349.42899999999992</v>
      </c>
      <c r="AV768" s="327">
        <f t="shared" si="1001"/>
        <v>391.7949999999999</v>
      </c>
      <c r="AW768" s="327">
        <f t="shared" si="1001"/>
        <v>403.78300000000002</v>
      </c>
      <c r="AX768" s="327">
        <f t="shared" si="1001"/>
        <v>599.43599999999924</v>
      </c>
      <c r="AY768" s="518">
        <f t="shared" si="1001"/>
        <v>1744.443</v>
      </c>
      <c r="AZ768" s="327">
        <f t="shared" si="1001"/>
        <v>402.274</v>
      </c>
      <c r="BA768" s="327">
        <f t="shared" si="1001"/>
        <v>440.9259999999997</v>
      </c>
      <c r="BB768" s="327">
        <f t="shared" si="1001"/>
        <v>410.64200000000005</v>
      </c>
      <c r="BC768" s="327">
        <f t="shared" ref="BC768:BV768" si="1002">BC762+SUM(BC766:BC767)</f>
        <v>549.00099999999929</v>
      </c>
      <c r="BD768" s="518">
        <f t="shared" si="1002"/>
        <v>1802.8429999999987</v>
      </c>
      <c r="BE768" s="327">
        <f t="shared" si="1002"/>
        <v>278.52499999999986</v>
      </c>
      <c r="BF768" s="327">
        <f t="shared" si="1002"/>
        <v>347.50200000000001</v>
      </c>
      <c r="BG768" s="327">
        <f t="shared" si="1002"/>
        <v>392.53700000000021</v>
      </c>
      <c r="BH768" s="327">
        <f t="shared" si="1002"/>
        <v>542.97299999999996</v>
      </c>
      <c r="BI768" s="518">
        <f t="shared" si="1002"/>
        <v>1561.5369999999994</v>
      </c>
      <c r="BJ768" s="1026">
        <f>BJ762+SUM(BJ766:BJ767)</f>
        <v>403.79899999999998</v>
      </c>
      <c r="BK768" s="327">
        <f t="shared" si="1002"/>
        <v>329.4479894920579</v>
      </c>
      <c r="BL768" s="327">
        <f t="shared" si="1002"/>
        <v>382.6586475085918</v>
      </c>
      <c r="BM768" s="327">
        <f t="shared" si="1002"/>
        <v>562.79546833144445</v>
      </c>
      <c r="BN768" s="518">
        <f t="shared" si="1002"/>
        <v>1678.7011053320944</v>
      </c>
      <c r="BO768" s="327">
        <f t="shared" si="1002"/>
        <v>349.44802621841984</v>
      </c>
      <c r="BP768" s="327">
        <f t="shared" si="1002"/>
        <v>344.82182859920476</v>
      </c>
      <c r="BQ768" s="327">
        <f t="shared" si="1002"/>
        <v>417.53512079158537</v>
      </c>
      <c r="BR768" s="327">
        <f t="shared" si="1002"/>
        <v>541.09768699355004</v>
      </c>
      <c r="BS768" s="518">
        <f t="shared" si="1002"/>
        <v>1652.9026626027594</v>
      </c>
      <c r="BT768" s="518">
        <f t="shared" si="1002"/>
        <v>1777.4649116424655</v>
      </c>
      <c r="BU768" s="518">
        <f t="shared" si="1002"/>
        <v>1931.2705785393716</v>
      </c>
      <c r="BV768" s="518">
        <f t="shared" si="1002"/>
        <v>2086.5336581932152</v>
      </c>
      <c r="BW768" s="197"/>
    </row>
    <row r="769" spans="1:75" s="198" customFormat="1" ht="14.25" collapsed="1" x14ac:dyDescent="0.45">
      <c r="A769" s="206" t="str">
        <f>CONCATENATE("Adjusted ",A768,IF(AND(ROUND(SUM(C768:BT768)-SUM(C769:BT769),6)=0)," (No Adjustments)",""))</f>
        <v>Adjusted EBITDA</v>
      </c>
      <c r="B769" s="522"/>
      <c r="C769" s="397">
        <f t="shared" ref="C769:AH769" si="1003">C763+SUM(C766:C767)</f>
        <v>338.93100000000004</v>
      </c>
      <c r="D769" s="397">
        <f t="shared" si="1003"/>
        <v>516.11500000000001</v>
      </c>
      <c r="E769" s="397">
        <f t="shared" si="1003"/>
        <v>539.62099999999975</v>
      </c>
      <c r="F769" s="397">
        <f t="shared" si="1003"/>
        <v>581.64800000000002</v>
      </c>
      <c r="G769" s="295">
        <f t="shared" si="1003"/>
        <v>112.31899999999993</v>
      </c>
      <c r="H769" s="295">
        <f t="shared" si="1003"/>
        <v>124.78999999999995</v>
      </c>
      <c r="I769" s="295">
        <f t="shared" si="1003"/>
        <v>140.04200000000003</v>
      </c>
      <c r="J769" s="295">
        <f t="shared" si="1003"/>
        <v>266.46600000000007</v>
      </c>
      <c r="K769" s="397">
        <f t="shared" si="1003"/>
        <v>643.6170000000003</v>
      </c>
      <c r="L769" s="295">
        <f t="shared" si="1003"/>
        <v>125.32400000000003</v>
      </c>
      <c r="M769" s="295">
        <f t="shared" si="1003"/>
        <v>135.86100000000005</v>
      </c>
      <c r="N769" s="295">
        <f t="shared" si="1003"/>
        <v>159.06100000000004</v>
      </c>
      <c r="O769" s="295">
        <f t="shared" si="1003"/>
        <v>281.51</v>
      </c>
      <c r="P769" s="397">
        <f t="shared" si="1003"/>
        <v>701.75599999999986</v>
      </c>
      <c r="Q769" s="295">
        <f t="shared" si="1003"/>
        <v>127.41599999999988</v>
      </c>
      <c r="R769" s="295">
        <f t="shared" si="1003"/>
        <v>136.00100000000003</v>
      </c>
      <c r="S769" s="295">
        <f t="shared" si="1003"/>
        <v>163.81200000000013</v>
      </c>
      <c r="T769" s="295">
        <f t="shared" si="1003"/>
        <v>270.52200000000005</v>
      </c>
      <c r="U769" s="397">
        <f t="shared" si="1003"/>
        <v>697.75099999999998</v>
      </c>
      <c r="V769" s="295">
        <f t="shared" si="1003"/>
        <v>133.71800000000005</v>
      </c>
      <c r="W769" s="295">
        <f t="shared" si="1003"/>
        <v>137.149</v>
      </c>
      <c r="X769" s="295">
        <f t="shared" si="1003"/>
        <v>166.03899999999993</v>
      </c>
      <c r="Y769" s="295">
        <f t="shared" si="1003"/>
        <v>274.40999999999997</v>
      </c>
      <c r="Z769" s="397">
        <f t="shared" si="1003"/>
        <v>711.3159999999998</v>
      </c>
      <c r="AA769" s="295">
        <f t="shared" si="1003"/>
        <v>122.94600000000008</v>
      </c>
      <c r="AB769" s="295">
        <f t="shared" si="1003"/>
        <v>139.69400000000002</v>
      </c>
      <c r="AC769" s="295">
        <f t="shared" si="1003"/>
        <v>163.57300000000001</v>
      </c>
      <c r="AD769" s="295">
        <f t="shared" si="1003"/>
        <v>268.48400000000015</v>
      </c>
      <c r="AE769" s="397">
        <f t="shared" si="1003"/>
        <v>694.69699999999989</v>
      </c>
      <c r="AF769" s="295">
        <f t="shared" si="1003"/>
        <v>135.94000000000005</v>
      </c>
      <c r="AG769" s="295">
        <f t="shared" si="1003"/>
        <v>145.89899999999992</v>
      </c>
      <c r="AH769" s="295">
        <f t="shared" si="1003"/>
        <v>165.16900000000004</v>
      </c>
      <c r="AI769" s="295">
        <f t="shared" ref="AI769:BB769" si="1004">AI763+SUM(AI766:AI767)</f>
        <v>284.15899999999976</v>
      </c>
      <c r="AJ769" s="397">
        <f t="shared" si="1004"/>
        <v>731.1669999999998</v>
      </c>
      <c r="AK769" s="295">
        <f t="shared" si="1004"/>
        <v>152.43700000000001</v>
      </c>
      <c r="AL769" s="295">
        <f t="shared" si="1004"/>
        <v>157.79600000000011</v>
      </c>
      <c r="AM769" s="295">
        <f t="shared" si="1004"/>
        <v>170.74200000000002</v>
      </c>
      <c r="AN769" s="295">
        <f t="shared" si="1004"/>
        <v>275.32199999999989</v>
      </c>
      <c r="AO769" s="397">
        <f t="shared" si="1004"/>
        <v>756.29699999999957</v>
      </c>
      <c r="AP769" s="295">
        <f t="shared" si="1004"/>
        <v>144.92799999999997</v>
      </c>
      <c r="AQ769" s="295">
        <f t="shared" si="1004"/>
        <v>255.64500000000004</v>
      </c>
      <c r="AR769" s="295">
        <f t="shared" si="1004"/>
        <v>345.31900000000007</v>
      </c>
      <c r="AS769" s="295">
        <f t="shared" si="1004"/>
        <v>477.18400000000071</v>
      </c>
      <c r="AT769" s="397">
        <f t="shared" si="1004"/>
        <v>1223.0760000000005</v>
      </c>
      <c r="AU769" s="295">
        <f t="shared" si="1004"/>
        <v>352.26799999999997</v>
      </c>
      <c r="AV769" s="295">
        <f t="shared" si="1004"/>
        <v>394.55199999999985</v>
      </c>
      <c r="AW769" s="295">
        <f t="shared" si="1004"/>
        <v>406.53499999999985</v>
      </c>
      <c r="AX769" s="295">
        <f>AX763+SUM(AX766:AX767)</f>
        <v>600.24799999999925</v>
      </c>
      <c r="AY769" s="397">
        <f t="shared" si="1004"/>
        <v>1753.6029999999994</v>
      </c>
      <c r="AZ769" s="295">
        <f t="shared" si="1004"/>
        <v>402.274</v>
      </c>
      <c r="BA769" s="295">
        <f t="shared" si="1004"/>
        <v>440.9259999999997</v>
      </c>
      <c r="BB769" s="295">
        <f t="shared" si="1004"/>
        <v>410.64200000000005</v>
      </c>
      <c r="BC769" s="295">
        <f t="shared" ref="BC769:BV769" si="1005">BC763+SUM(BC766:BC767)</f>
        <v>566.68799999999942</v>
      </c>
      <c r="BD769" s="397">
        <f t="shared" si="1005"/>
        <v>1820.5299999999991</v>
      </c>
      <c r="BE769" s="295">
        <f t="shared" si="1005"/>
        <v>304.77199999999993</v>
      </c>
      <c r="BF769" s="295">
        <f t="shared" si="1005"/>
        <v>347.50200000000001</v>
      </c>
      <c r="BG769" s="295">
        <f t="shared" si="1005"/>
        <v>392.53700000000009</v>
      </c>
      <c r="BH769" s="295">
        <f t="shared" si="1005"/>
        <v>542.97299999999996</v>
      </c>
      <c r="BI769" s="397">
        <f t="shared" si="1005"/>
        <v>1587.7839999999999</v>
      </c>
      <c r="BJ769" s="1030">
        <f>BJ763+SUM(BJ766:BJ767)</f>
        <v>403.79899999999998</v>
      </c>
      <c r="BK769" s="295">
        <f t="shared" si="1005"/>
        <v>329.4479894920579</v>
      </c>
      <c r="BL769" s="295">
        <f t="shared" si="1005"/>
        <v>382.65864750859168</v>
      </c>
      <c r="BM769" s="295">
        <f t="shared" si="1005"/>
        <v>562.79546833144434</v>
      </c>
      <c r="BN769" s="397">
        <f t="shared" si="1005"/>
        <v>1678.7011053320939</v>
      </c>
      <c r="BO769" s="295">
        <f t="shared" si="1005"/>
        <v>349.44802621841984</v>
      </c>
      <c r="BP769" s="295">
        <f t="shared" si="1005"/>
        <v>344.82182859920499</v>
      </c>
      <c r="BQ769" s="295">
        <f t="shared" si="1005"/>
        <v>417.53512079158548</v>
      </c>
      <c r="BR769" s="295">
        <f t="shared" si="1005"/>
        <v>541.09768699355004</v>
      </c>
      <c r="BS769" s="397">
        <f t="shared" si="1005"/>
        <v>1652.9026626027598</v>
      </c>
      <c r="BT769" s="397">
        <f t="shared" si="1005"/>
        <v>1777.4649116424655</v>
      </c>
      <c r="BU769" s="397">
        <f t="shared" si="1005"/>
        <v>1931.2705785393716</v>
      </c>
      <c r="BV769" s="397">
        <f t="shared" si="1005"/>
        <v>2086.5336581932152</v>
      </c>
      <c r="BW769" s="197"/>
    </row>
    <row r="770" spans="1:75" s="722" customFormat="1" ht="14.25" x14ac:dyDescent="0.45">
      <c r="A770" s="719" t="str">
        <f>CONCATENATE("Consensus Estimates - ",IFERROR(LEFT(A769,FIND("(",A769)-1),A769))</f>
        <v>Consensus Estimates - Adjusted EBITDA</v>
      </c>
      <c r="B770" s="720"/>
      <c r="C770" s="414"/>
      <c r="D770" s="414"/>
      <c r="E770" s="414"/>
      <c r="F770" s="414"/>
      <c r="G770" s="413"/>
      <c r="H770" s="413"/>
      <c r="I770" s="413"/>
      <c r="J770" s="413"/>
      <c r="K770" s="414"/>
      <c r="L770" s="413"/>
      <c r="M770" s="413"/>
      <c r="N770" s="413"/>
      <c r="O770" s="413"/>
      <c r="P770" s="414"/>
      <c r="Q770" s="413"/>
      <c r="R770" s="413"/>
      <c r="S770" s="413"/>
      <c r="T770" s="413"/>
      <c r="U770" s="414"/>
      <c r="V770" s="413"/>
      <c r="W770" s="413"/>
      <c r="X770" s="413"/>
      <c r="Y770" s="413"/>
      <c r="Z770" s="414"/>
      <c r="AA770" s="413"/>
      <c r="AB770" s="413"/>
      <c r="AC770" s="413"/>
      <c r="AD770" s="413"/>
      <c r="AE770" s="414"/>
      <c r="AF770" s="413"/>
      <c r="AG770" s="413"/>
      <c r="AH770" s="413"/>
      <c r="AI770" s="413"/>
      <c r="AJ770" s="414"/>
      <c r="AK770" s="413"/>
      <c r="AL770" s="413"/>
      <c r="AM770" s="413"/>
      <c r="AN770" s="413"/>
      <c r="AO770" s="414"/>
      <c r="AP770" s="413"/>
      <c r="AQ770" s="413"/>
      <c r="AR770" s="413"/>
      <c r="AS770" s="413"/>
      <c r="AT770" s="414"/>
      <c r="AU770" s="413"/>
      <c r="AV770" s="413"/>
      <c r="AW770" s="413"/>
      <c r="AX770" s="413"/>
      <c r="AY770" s="414"/>
      <c r="AZ770" s="413"/>
      <c r="BA770" s="413"/>
      <c r="BB770" s="413"/>
      <c r="BC770" s="413"/>
      <c r="BD770" s="414"/>
      <c r="BE770" s="413"/>
      <c r="BF770" s="413"/>
      <c r="BG770" s="413"/>
      <c r="BH770" s="413"/>
      <c r="BI770" s="414"/>
      <c r="BJ770" s="1216"/>
      <c r="BK770" s="202" t="str">
        <f t="shared" ref="BK770:BS770" ca="1" si="1006">IFERROR(VLOOKUP($A770,tb_ConsensusEstimate,MATCH(BK$5,OFFSET(tb_ConsensusEstimate,0,0,1,COLUMNS(tb_ConsensusEstimate)),0),FALSE),"-")</f>
        <v>N/A</v>
      </c>
      <c r="BL770" s="202" t="str">
        <f t="shared" ca="1" si="1006"/>
        <v>N/A</v>
      </c>
      <c r="BM770" s="202" t="str">
        <f t="shared" ca="1" si="1006"/>
        <v>N/A</v>
      </c>
      <c r="BN770" s="201" t="str">
        <f t="shared" ca="1" si="1006"/>
        <v>N/A</v>
      </c>
      <c r="BO770" s="202" t="str">
        <f t="shared" ca="1" si="1006"/>
        <v>N/A</v>
      </c>
      <c r="BP770" s="202" t="str">
        <f t="shared" ca="1" si="1006"/>
        <v>N/A</v>
      </c>
      <c r="BQ770" s="202" t="str">
        <f t="shared" ca="1" si="1006"/>
        <v>N/A</v>
      </c>
      <c r="BR770" s="202" t="str">
        <f t="shared" ca="1" si="1006"/>
        <v>N/A</v>
      </c>
      <c r="BS770" s="201" t="str">
        <f t="shared" ca="1" si="1006"/>
        <v>N/A</v>
      </c>
      <c r="BT770" s="201" t="str">
        <f ca="1">IFERROR(VLOOKUP($A770,tb_ConsensusEstimate,MATCH(BT5,OFFSET(tb_ConsensusEstimate,0,0,1,COLUMNS(tb_ConsensusEstimate)),0),FALSE),"-")</f>
        <v>N/A</v>
      </c>
      <c r="BU770" s="201" t="str">
        <f ca="1">IFERROR(VLOOKUP($A770,tb_ConsensusEstimate,MATCH(BU5,OFFSET(tb_ConsensusEstimate,0,0,1,COLUMNS(tb_ConsensusEstimate)),0),FALSE),"-")</f>
        <v>N/A</v>
      </c>
      <c r="BV770" s="201" t="str">
        <f ca="1">IFERROR(VLOOKUP($A770,tb_ConsensusEstimate,MATCH(BV5,OFFSET(tb_ConsensusEstimate,0,0,1,COLUMNS(tb_ConsensusEstimate)),0),FALSE),"-")</f>
        <v>N/A</v>
      </c>
      <c r="BW770" s="413"/>
    </row>
    <row r="771" spans="1:75" s="1299" customFormat="1" ht="14.25" x14ac:dyDescent="0.45">
      <c r="A771" s="743"/>
      <c r="B771" s="744"/>
      <c r="C771" s="745"/>
      <c r="D771" s="745"/>
      <c r="E771" s="745"/>
      <c r="F771" s="745"/>
      <c r="G771" s="746"/>
      <c r="H771" s="746"/>
      <c r="I771" s="746"/>
      <c r="J771" s="746"/>
      <c r="K771" s="745"/>
      <c r="L771" s="746"/>
      <c r="M771" s="746"/>
      <c r="N771" s="746"/>
      <c r="O771" s="746"/>
      <c r="P771" s="745"/>
      <c r="Q771" s="746"/>
      <c r="R771" s="746"/>
      <c r="S771" s="746"/>
      <c r="T771" s="746"/>
      <c r="U771" s="745"/>
      <c r="V771" s="746"/>
      <c r="W771" s="746"/>
      <c r="X771" s="746"/>
      <c r="Y771" s="746"/>
      <c r="Z771" s="745"/>
      <c r="AA771" s="746"/>
      <c r="AB771" s="746"/>
      <c r="AC771" s="746"/>
      <c r="AD771" s="746"/>
      <c r="AE771" s="745"/>
      <c r="AF771" s="746"/>
      <c r="AG771" s="746"/>
      <c r="AH771" s="746"/>
      <c r="AI771" s="746"/>
      <c r="AJ771" s="745"/>
      <c r="AK771" s="746"/>
      <c r="AL771" s="746"/>
      <c r="AM771" s="746"/>
      <c r="AN771" s="746"/>
      <c r="AO771" s="745"/>
      <c r="AP771" s="746"/>
      <c r="AQ771" s="746"/>
      <c r="AR771" s="746"/>
      <c r="AS771" s="746"/>
      <c r="AT771" s="745"/>
      <c r="AU771" s="746"/>
      <c r="AV771" s="746"/>
      <c r="AW771" s="746"/>
      <c r="AX771" s="746"/>
      <c r="AY771" s="745"/>
      <c r="AZ771" s="746"/>
      <c r="BA771" s="746"/>
      <c r="BB771" s="746"/>
      <c r="BC771" s="746"/>
      <c r="BD771" s="745"/>
      <c r="BE771" s="746"/>
      <c r="BF771" s="746"/>
      <c r="BG771" s="746"/>
      <c r="BH771" s="746"/>
      <c r="BI771" s="745"/>
      <c r="BJ771" s="1296"/>
      <c r="BK771" s="746"/>
      <c r="BL771" s="746"/>
      <c r="BM771" s="746"/>
      <c r="BN771" s="1297"/>
      <c r="BO771" s="746"/>
      <c r="BP771" s="746"/>
      <c r="BQ771" s="746"/>
      <c r="BR771" s="746"/>
      <c r="BS771" s="1297"/>
      <c r="BT771" s="1297"/>
      <c r="BU771" s="1297"/>
      <c r="BV771" s="1297"/>
      <c r="BW771" s="1298"/>
    </row>
    <row r="772" spans="1:75" s="123" customFormat="1" hidden="1" outlineLevel="1" x14ac:dyDescent="0.5">
      <c r="A772" s="354" t="s">
        <v>1163</v>
      </c>
      <c r="B772" s="513"/>
      <c r="C772" s="401">
        <f t="shared" ref="C772:BE772" si="1007">C645</f>
        <v>1.153</v>
      </c>
      <c r="D772" s="401">
        <f t="shared" si="1007"/>
        <v>0.35399999999999998</v>
      </c>
      <c r="E772" s="401">
        <f t="shared" si="1007"/>
        <v>-9.8000000000000004E-2</v>
      </c>
      <c r="F772" s="401">
        <f t="shared" si="1007"/>
        <v>-0.79300000000000004</v>
      </c>
      <c r="G772" s="118">
        <f t="shared" si="1007"/>
        <v>-0.189</v>
      </c>
      <c r="H772" s="118">
        <f t="shared" si="1007"/>
        <v>-0.125</v>
      </c>
      <c r="I772" s="118">
        <f t="shared" si="1007"/>
        <v>-0.10299999999999999</v>
      </c>
      <c r="J772" s="118">
        <f t="shared" si="1007"/>
        <v>-0.16700000000000001</v>
      </c>
      <c r="K772" s="401">
        <f t="shared" si="1007"/>
        <v>-0.58399999999999996</v>
      </c>
      <c r="L772" s="118">
        <f t="shared" si="1007"/>
        <v>-6.9000000000000006E-2</v>
      </c>
      <c r="M772" s="118">
        <f t="shared" si="1007"/>
        <v>0.04</v>
      </c>
      <c r="N772" s="118">
        <f t="shared" si="1007"/>
        <v>0.11700000000000001</v>
      </c>
      <c r="O772" s="118">
        <f t="shared" si="1007"/>
        <v>-2.5999999999999999E-2</v>
      </c>
      <c r="P772" s="401">
        <f t="shared" si="1007"/>
        <v>6.2E-2</v>
      </c>
      <c r="Q772" s="118">
        <f t="shared" si="1007"/>
        <v>8.0000000000000002E-3</v>
      </c>
      <c r="R772" s="118">
        <f t="shared" si="1007"/>
        <v>0.27500000000000002</v>
      </c>
      <c r="S772" s="118">
        <f t="shared" si="1007"/>
        <v>0.34200000000000003</v>
      </c>
      <c r="T772" s="118">
        <f t="shared" si="1007"/>
        <v>2E-3</v>
      </c>
      <c r="U772" s="401">
        <f t="shared" si="1007"/>
        <v>0.627</v>
      </c>
      <c r="V772" s="118">
        <f t="shared" si="1007"/>
        <v>-6.8000000000000005E-2</v>
      </c>
      <c r="W772" s="118">
        <f t="shared" si="1007"/>
        <v>0.16700000000000001</v>
      </c>
      <c r="X772" s="118">
        <f t="shared" si="1007"/>
        <v>0.48799999999999999</v>
      </c>
      <c r="Y772" s="118">
        <f t="shared" si="1007"/>
        <v>0.10100000000000001</v>
      </c>
      <c r="Z772" s="401">
        <f t="shared" si="1007"/>
        <v>0.68799999999999994</v>
      </c>
      <c r="AA772" s="118">
        <f t="shared" si="1007"/>
        <v>-0.10299999999999999</v>
      </c>
      <c r="AB772" s="118">
        <f t="shared" si="1007"/>
        <v>0.48299999999999998</v>
      </c>
      <c r="AC772" s="118">
        <f t="shared" si="1007"/>
        <v>0.59399999999999997</v>
      </c>
      <c r="AD772" s="118">
        <f t="shared" si="1007"/>
        <v>0.39800000000000002</v>
      </c>
      <c r="AE772" s="401">
        <f t="shared" si="1007"/>
        <v>1.3720000000000001</v>
      </c>
      <c r="AF772" s="118">
        <f t="shared" si="1007"/>
        <v>1.2010000000000001</v>
      </c>
      <c r="AG772" s="118">
        <f t="shared" si="1007"/>
        <v>1.5840000000000001</v>
      </c>
      <c r="AH772" s="118">
        <f t="shared" si="1007"/>
        <v>2.2879999999999998</v>
      </c>
      <c r="AI772" s="118">
        <f t="shared" si="1007"/>
        <v>1.633</v>
      </c>
      <c r="AJ772" s="401">
        <f t="shared" si="1007"/>
        <v>6.7060000000000004</v>
      </c>
      <c r="AK772" s="118">
        <f t="shared" si="1007"/>
        <v>2.2530000000000001</v>
      </c>
      <c r="AL772" s="118">
        <f t="shared" si="1007"/>
        <v>2.669</v>
      </c>
      <c r="AM772" s="118">
        <f t="shared" si="1007"/>
        <v>2.5640000000000001</v>
      </c>
      <c r="AN772" s="118">
        <f t="shared" si="1007"/>
        <v>1.3669999999999991</v>
      </c>
      <c r="AO772" s="401">
        <f t="shared" si="1007"/>
        <v>8.8529999999999998</v>
      </c>
      <c r="AP772" s="118">
        <f t="shared" si="1007"/>
        <v>2.1589999999999998</v>
      </c>
      <c r="AQ772" s="118">
        <f t="shared" si="1007"/>
        <v>6.4640000000000004</v>
      </c>
      <c r="AR772" s="118">
        <f t="shared" si="1007"/>
        <v>5.3440000000000003</v>
      </c>
      <c r="AS772" s="118">
        <f t="shared" si="1007"/>
        <v>2.2639999999999993</v>
      </c>
      <c r="AT772" s="401">
        <f t="shared" si="1007"/>
        <v>16.231000000000002</v>
      </c>
      <c r="AU772" s="118">
        <f t="shared" si="1007"/>
        <v>1.8720000000000001</v>
      </c>
      <c r="AV772" s="118">
        <f t="shared" si="1007"/>
        <v>-3.9E-2</v>
      </c>
      <c r="AW772" s="118">
        <f t="shared" si="1007"/>
        <v>0.121</v>
      </c>
      <c r="AX772" s="118">
        <f t="shared" si="1007"/>
        <v>-8.900000000000019E-2</v>
      </c>
      <c r="AY772" s="401">
        <f t="shared" si="1007"/>
        <v>1.865</v>
      </c>
      <c r="AZ772" s="118">
        <f t="shared" si="1007"/>
        <v>-0.16300000000000001</v>
      </c>
      <c r="BA772" s="118">
        <f t="shared" si="1007"/>
        <v>-0.34399999999999997</v>
      </c>
      <c r="BB772" s="118">
        <f t="shared" si="1007"/>
        <v>-0.37</v>
      </c>
      <c r="BC772" s="118">
        <f t="shared" si="1007"/>
        <v>-1.3829999999999998</v>
      </c>
      <c r="BD772" s="401">
        <f t="shared" si="1007"/>
        <v>-2.2599999999999998</v>
      </c>
      <c r="BE772" s="118">
        <f t="shared" si="1007"/>
        <v>-5.4980000000000002</v>
      </c>
      <c r="BF772" s="118">
        <f>BF645</f>
        <v>-3.335</v>
      </c>
      <c r="BG772" s="118">
        <f>BG645</f>
        <v>-7.1820000000000004</v>
      </c>
      <c r="BH772" s="118">
        <f>BH645</f>
        <v>-13.146999999999998</v>
      </c>
      <c r="BI772" s="401">
        <f>BI645</f>
        <v>-29.161999999999999</v>
      </c>
      <c r="BJ772" s="971">
        <f>BJ645</f>
        <v>-16.053000000000001</v>
      </c>
      <c r="BK772" s="118">
        <f>BK916</f>
        <v>-7.078887056603774</v>
      </c>
      <c r="BL772" s="118">
        <f ca="1">BL916</f>
        <v>-7.2806454548204318</v>
      </c>
      <c r="BM772" s="118">
        <f ca="1">BM916</f>
        <v>-9.1615055151246505</v>
      </c>
      <c r="BN772" s="724">
        <f ca="1">SUM(BJ772,BK772,BL772,BM772)</f>
        <v>-39.574038026548855</v>
      </c>
      <c r="BO772" s="118">
        <f ca="1">BO916</f>
        <v>-11.671838684190174</v>
      </c>
      <c r="BP772" s="118">
        <f ca="1">BP916</f>
        <v>-11.564247794944349</v>
      </c>
      <c r="BQ772" s="118">
        <f ca="1">BQ916</f>
        <v>-11.657704489073559</v>
      </c>
      <c r="BR772" s="118">
        <f ca="1">BR916</f>
        <v>-12.977729511104702</v>
      </c>
      <c r="BS772" s="724">
        <f ca="1">SUM(BO772,BP772,BQ772,BR772)</f>
        <v>-47.871520479312778</v>
      </c>
      <c r="BT772" s="724">
        <f ca="1">BT916</f>
        <v>-63.33255047244262</v>
      </c>
      <c r="BU772" s="724">
        <f ca="1">BU916</f>
        <v>-82.076191430493878</v>
      </c>
      <c r="BV772" s="724">
        <f ca="1">BV916</f>
        <v>-104.10119537601003</v>
      </c>
      <c r="BW772" s="118"/>
    </row>
    <row r="773" spans="1:75" s="123" customFormat="1" hidden="1" outlineLevel="1" x14ac:dyDescent="0.5">
      <c r="A773" s="355" t="s">
        <v>1164</v>
      </c>
      <c r="B773" s="677"/>
      <c r="C773" s="406">
        <f t="shared" ref="C773:BM773" si="1008">C377</f>
        <v>0</v>
      </c>
      <c r="D773" s="406">
        <f t="shared" si="1008"/>
        <v>0</v>
      </c>
      <c r="E773" s="406">
        <f t="shared" si="1008"/>
        <v>0</v>
      </c>
      <c r="F773" s="406">
        <f t="shared" si="1008"/>
        <v>0</v>
      </c>
      <c r="G773" s="723">
        <f t="shared" si="1008"/>
        <v>0</v>
      </c>
      <c r="H773" s="723">
        <f t="shared" si="1008"/>
        <v>0</v>
      </c>
      <c r="I773" s="723">
        <f t="shared" si="1008"/>
        <v>0</v>
      </c>
      <c r="J773" s="723">
        <f t="shared" si="1008"/>
        <v>0</v>
      </c>
      <c r="K773" s="406">
        <f t="shared" si="1008"/>
        <v>0</v>
      </c>
      <c r="L773" s="723">
        <f t="shared" si="1008"/>
        <v>0</v>
      </c>
      <c r="M773" s="723">
        <f t="shared" si="1008"/>
        <v>0</v>
      </c>
      <c r="N773" s="723">
        <f t="shared" si="1008"/>
        <v>0</v>
      </c>
      <c r="O773" s="723">
        <f t="shared" si="1008"/>
        <v>0</v>
      </c>
      <c r="P773" s="406">
        <f t="shared" si="1008"/>
        <v>0</v>
      </c>
      <c r="Q773" s="723">
        <f t="shared" si="1008"/>
        <v>0</v>
      </c>
      <c r="R773" s="723">
        <f t="shared" si="1008"/>
        <v>0</v>
      </c>
      <c r="S773" s="723">
        <f t="shared" si="1008"/>
        <v>0</v>
      </c>
      <c r="T773" s="723">
        <f t="shared" si="1008"/>
        <v>0</v>
      </c>
      <c r="U773" s="406">
        <f t="shared" si="1008"/>
        <v>0</v>
      </c>
      <c r="V773" s="723">
        <f t="shared" si="1008"/>
        <v>0</v>
      </c>
      <c r="W773" s="723">
        <f t="shared" si="1008"/>
        <v>0</v>
      </c>
      <c r="X773" s="723">
        <f t="shared" si="1008"/>
        <v>0</v>
      </c>
      <c r="Y773" s="723">
        <f t="shared" si="1008"/>
        <v>0</v>
      </c>
      <c r="Z773" s="406">
        <f t="shared" si="1008"/>
        <v>0</v>
      </c>
      <c r="AA773" s="723">
        <f t="shared" si="1008"/>
        <v>0</v>
      </c>
      <c r="AB773" s="723">
        <f t="shared" si="1008"/>
        <v>0</v>
      </c>
      <c r="AC773" s="723">
        <f t="shared" si="1008"/>
        <v>0</v>
      </c>
      <c r="AD773" s="723">
        <f t="shared" si="1008"/>
        <v>0</v>
      </c>
      <c r="AE773" s="406">
        <f t="shared" si="1008"/>
        <v>0</v>
      </c>
      <c r="AF773" s="723">
        <f t="shared" si="1008"/>
        <v>4.0000000000004476E-3</v>
      </c>
      <c r="AG773" s="723">
        <f t="shared" si="1008"/>
        <v>2.9999999999996696E-3</v>
      </c>
      <c r="AH773" s="723">
        <f t="shared" si="1008"/>
        <v>2.9999999999992255E-3</v>
      </c>
      <c r="AI773" s="723">
        <f t="shared" si="1008"/>
        <v>3.0000000000001137E-3</v>
      </c>
      <c r="AJ773" s="406">
        <f t="shared" si="1008"/>
        <v>1.3000000000001677E-2</v>
      </c>
      <c r="AK773" s="723">
        <f t="shared" si="1008"/>
        <v>0</v>
      </c>
      <c r="AL773" s="723">
        <f t="shared" si="1008"/>
        <v>0</v>
      </c>
      <c r="AM773" s="723">
        <f t="shared" si="1008"/>
        <v>0</v>
      </c>
      <c r="AN773" s="723">
        <f t="shared" si="1008"/>
        <v>0</v>
      </c>
      <c r="AO773" s="406">
        <f t="shared" si="1008"/>
        <v>0</v>
      </c>
      <c r="AP773" s="723">
        <f t="shared" si="1008"/>
        <v>0</v>
      </c>
      <c r="AQ773" s="723">
        <f t="shared" si="1008"/>
        <v>0</v>
      </c>
      <c r="AR773" s="723">
        <f t="shared" si="1008"/>
        <v>0</v>
      </c>
      <c r="AS773" s="723">
        <f t="shared" si="1008"/>
        <v>0</v>
      </c>
      <c r="AT773" s="406">
        <f t="shared" si="1008"/>
        <v>0</v>
      </c>
      <c r="AU773" s="723">
        <f t="shared" si="1008"/>
        <v>0</v>
      </c>
      <c r="AV773" s="723">
        <f t="shared" si="1008"/>
        <v>0</v>
      </c>
      <c r="AW773" s="723">
        <f t="shared" si="1008"/>
        <v>0</v>
      </c>
      <c r="AX773" s="723">
        <f t="shared" si="1008"/>
        <v>0</v>
      </c>
      <c r="AY773" s="406">
        <f t="shared" si="1008"/>
        <v>0</v>
      </c>
      <c r="AZ773" s="723">
        <f t="shared" si="1008"/>
        <v>0</v>
      </c>
      <c r="BA773" s="723">
        <f t="shared" si="1008"/>
        <v>0</v>
      </c>
      <c r="BB773" s="723">
        <f t="shared" si="1008"/>
        <v>0</v>
      </c>
      <c r="BC773" s="723">
        <f t="shared" si="1008"/>
        <v>0</v>
      </c>
      <c r="BD773" s="406">
        <f t="shared" si="1008"/>
        <v>0</v>
      </c>
      <c r="BE773" s="723">
        <f t="shared" si="1008"/>
        <v>0</v>
      </c>
      <c r="BF773" s="723">
        <f t="shared" si="1008"/>
        <v>0</v>
      </c>
      <c r="BG773" s="723">
        <f t="shared" si="1008"/>
        <v>0</v>
      </c>
      <c r="BH773" s="723">
        <f t="shared" si="1008"/>
        <v>0</v>
      </c>
      <c r="BI773" s="406">
        <f t="shared" si="1008"/>
        <v>0</v>
      </c>
      <c r="BJ773" s="1049">
        <f>BJ377</f>
        <v>0</v>
      </c>
      <c r="BK773" s="723">
        <f t="shared" si="1008"/>
        <v>0</v>
      </c>
      <c r="BL773" s="723">
        <f t="shared" si="1008"/>
        <v>0</v>
      </c>
      <c r="BM773" s="723">
        <f t="shared" si="1008"/>
        <v>0</v>
      </c>
      <c r="BN773" s="1300">
        <f>SUM(BJ773,BK773,BL773,BM773)</f>
        <v>0</v>
      </c>
      <c r="BO773" s="723">
        <f>BO377</f>
        <v>0</v>
      </c>
      <c r="BP773" s="723">
        <f>BP377</f>
        <v>0</v>
      </c>
      <c r="BQ773" s="723">
        <f>BQ377</f>
        <v>0</v>
      </c>
      <c r="BR773" s="723">
        <f>BR377</f>
        <v>0</v>
      </c>
      <c r="BS773" s="1300">
        <f>SUM(BO773,BP773,BQ773,BR773)</f>
        <v>0</v>
      </c>
      <c r="BT773" s="1300">
        <f>BT377</f>
        <v>0</v>
      </c>
      <c r="BU773" s="1300">
        <f>BU377</f>
        <v>0</v>
      </c>
      <c r="BV773" s="1300">
        <f>BV377</f>
        <v>0</v>
      </c>
      <c r="BW773" s="118"/>
    </row>
    <row r="774" spans="1:75" s="123" customFormat="1" collapsed="1" x14ac:dyDescent="0.5">
      <c r="A774" s="354" t="s">
        <v>1165</v>
      </c>
      <c r="B774" s="513"/>
      <c r="C774" s="401">
        <f t="shared" ref="C774:BN774" si="1009">C772-C773</f>
        <v>1.153</v>
      </c>
      <c r="D774" s="401">
        <f t="shared" si="1009"/>
        <v>0.35399999999999998</v>
      </c>
      <c r="E774" s="401">
        <f t="shared" si="1009"/>
        <v>-9.8000000000000004E-2</v>
      </c>
      <c r="F774" s="401">
        <f t="shared" si="1009"/>
        <v>-0.79300000000000004</v>
      </c>
      <c r="G774" s="118">
        <f t="shared" si="1009"/>
        <v>-0.189</v>
      </c>
      <c r="H774" s="118">
        <f t="shared" si="1009"/>
        <v>-0.125</v>
      </c>
      <c r="I774" s="118">
        <f t="shared" si="1009"/>
        <v>-0.10299999999999999</v>
      </c>
      <c r="J774" s="118">
        <f t="shared" si="1009"/>
        <v>-0.16700000000000001</v>
      </c>
      <c r="K774" s="401">
        <f t="shared" si="1009"/>
        <v>-0.58399999999999996</v>
      </c>
      <c r="L774" s="118">
        <f t="shared" si="1009"/>
        <v>-6.9000000000000006E-2</v>
      </c>
      <c r="M774" s="118">
        <f t="shared" si="1009"/>
        <v>0.04</v>
      </c>
      <c r="N774" s="118">
        <f t="shared" si="1009"/>
        <v>0.11700000000000001</v>
      </c>
      <c r="O774" s="118">
        <f t="shared" si="1009"/>
        <v>-2.5999999999999999E-2</v>
      </c>
      <c r="P774" s="401">
        <f t="shared" si="1009"/>
        <v>6.2E-2</v>
      </c>
      <c r="Q774" s="118">
        <f t="shared" si="1009"/>
        <v>8.0000000000000002E-3</v>
      </c>
      <c r="R774" s="118">
        <f t="shared" si="1009"/>
        <v>0.27500000000000002</v>
      </c>
      <c r="S774" s="118">
        <f t="shared" si="1009"/>
        <v>0.34200000000000003</v>
      </c>
      <c r="T774" s="118">
        <f t="shared" si="1009"/>
        <v>2E-3</v>
      </c>
      <c r="U774" s="401">
        <f t="shared" si="1009"/>
        <v>0.627</v>
      </c>
      <c r="V774" s="118">
        <f t="shared" si="1009"/>
        <v>-6.8000000000000005E-2</v>
      </c>
      <c r="W774" s="118">
        <f t="shared" si="1009"/>
        <v>0.16700000000000001</v>
      </c>
      <c r="X774" s="118">
        <f t="shared" si="1009"/>
        <v>0.48799999999999999</v>
      </c>
      <c r="Y774" s="118">
        <f t="shared" si="1009"/>
        <v>0.10100000000000001</v>
      </c>
      <c r="Z774" s="401">
        <f t="shared" si="1009"/>
        <v>0.68799999999999994</v>
      </c>
      <c r="AA774" s="118">
        <f t="shared" si="1009"/>
        <v>-0.10299999999999999</v>
      </c>
      <c r="AB774" s="118">
        <f t="shared" si="1009"/>
        <v>0.48299999999999998</v>
      </c>
      <c r="AC774" s="118">
        <f t="shared" si="1009"/>
        <v>0.59399999999999997</v>
      </c>
      <c r="AD774" s="118">
        <f t="shared" si="1009"/>
        <v>0.39800000000000002</v>
      </c>
      <c r="AE774" s="401">
        <f t="shared" si="1009"/>
        <v>1.3720000000000001</v>
      </c>
      <c r="AF774" s="118">
        <f t="shared" si="1009"/>
        <v>1.1969999999999996</v>
      </c>
      <c r="AG774" s="118">
        <f t="shared" si="1009"/>
        <v>1.5810000000000004</v>
      </c>
      <c r="AH774" s="118">
        <f t="shared" si="1009"/>
        <v>2.2850000000000006</v>
      </c>
      <c r="AI774" s="118">
        <f t="shared" si="1009"/>
        <v>1.63</v>
      </c>
      <c r="AJ774" s="401">
        <f t="shared" si="1009"/>
        <v>6.6929999999999987</v>
      </c>
      <c r="AK774" s="118">
        <f t="shared" si="1009"/>
        <v>2.2530000000000001</v>
      </c>
      <c r="AL774" s="118">
        <f t="shared" si="1009"/>
        <v>2.669</v>
      </c>
      <c r="AM774" s="118">
        <f t="shared" si="1009"/>
        <v>2.5640000000000001</v>
      </c>
      <c r="AN774" s="118">
        <f t="shared" si="1009"/>
        <v>1.3669999999999991</v>
      </c>
      <c r="AO774" s="401">
        <f t="shared" si="1009"/>
        <v>8.8529999999999998</v>
      </c>
      <c r="AP774" s="118">
        <f t="shared" si="1009"/>
        <v>2.1589999999999998</v>
      </c>
      <c r="AQ774" s="118">
        <f t="shared" si="1009"/>
        <v>6.4640000000000004</v>
      </c>
      <c r="AR774" s="118">
        <f t="shared" si="1009"/>
        <v>5.3440000000000003</v>
      </c>
      <c r="AS774" s="118">
        <f t="shared" si="1009"/>
        <v>2.2639999999999993</v>
      </c>
      <c r="AT774" s="401">
        <f t="shared" si="1009"/>
        <v>16.231000000000002</v>
      </c>
      <c r="AU774" s="118">
        <f t="shared" si="1009"/>
        <v>1.8720000000000001</v>
      </c>
      <c r="AV774" s="118">
        <f t="shared" si="1009"/>
        <v>-3.9E-2</v>
      </c>
      <c r="AW774" s="118">
        <f t="shared" si="1009"/>
        <v>0.121</v>
      </c>
      <c r="AX774" s="118">
        <f t="shared" si="1009"/>
        <v>-8.900000000000019E-2</v>
      </c>
      <c r="AY774" s="401">
        <f t="shared" si="1009"/>
        <v>1.865</v>
      </c>
      <c r="AZ774" s="118">
        <f t="shared" si="1009"/>
        <v>-0.16300000000000001</v>
      </c>
      <c r="BA774" s="118">
        <f t="shared" si="1009"/>
        <v>-0.34399999999999997</v>
      </c>
      <c r="BB774" s="118">
        <f t="shared" si="1009"/>
        <v>-0.37</v>
      </c>
      <c r="BC774" s="118">
        <f t="shared" si="1009"/>
        <v>-1.3829999999999998</v>
      </c>
      <c r="BD774" s="401">
        <f t="shared" si="1009"/>
        <v>-2.2599999999999998</v>
      </c>
      <c r="BE774" s="118">
        <f t="shared" si="1009"/>
        <v>-5.4980000000000002</v>
      </c>
      <c r="BF774" s="118">
        <f t="shared" si="1009"/>
        <v>-3.335</v>
      </c>
      <c r="BG774" s="118">
        <f t="shared" si="1009"/>
        <v>-7.1820000000000004</v>
      </c>
      <c r="BH774" s="118">
        <f t="shared" si="1009"/>
        <v>-13.146999999999998</v>
      </c>
      <c r="BI774" s="401">
        <f t="shared" si="1009"/>
        <v>-29.161999999999999</v>
      </c>
      <c r="BJ774" s="971">
        <f>BJ772-BJ773</f>
        <v>-16.053000000000001</v>
      </c>
      <c r="BK774" s="118">
        <f t="shared" si="1009"/>
        <v>-7.078887056603774</v>
      </c>
      <c r="BL774" s="118">
        <f t="shared" ca="1" si="1009"/>
        <v>-7.2806454548204318</v>
      </c>
      <c r="BM774" s="118">
        <f t="shared" ca="1" si="1009"/>
        <v>-9.1615055151246505</v>
      </c>
      <c r="BN774" s="724">
        <f t="shared" ca="1" si="1009"/>
        <v>-39.574038026548855</v>
      </c>
      <c r="BO774" s="118">
        <f t="shared" ref="BO774:CF774" ca="1" si="1010">BO772-BO773</f>
        <v>-11.671838684190174</v>
      </c>
      <c r="BP774" s="118">
        <f t="shared" ca="1" si="1010"/>
        <v>-11.564247794944349</v>
      </c>
      <c r="BQ774" s="118">
        <f t="shared" ca="1" si="1010"/>
        <v>-11.657704489073559</v>
      </c>
      <c r="BR774" s="118">
        <f t="shared" ca="1" si="1010"/>
        <v>-12.977729511104702</v>
      </c>
      <c r="BS774" s="724">
        <f t="shared" ca="1" si="1010"/>
        <v>-47.871520479312778</v>
      </c>
      <c r="BT774" s="724">
        <f t="shared" ca="1" si="1010"/>
        <v>-63.33255047244262</v>
      </c>
      <c r="BU774" s="724">
        <f t="shared" ca="1" si="1010"/>
        <v>-82.076191430493878</v>
      </c>
      <c r="BV774" s="724">
        <f t="shared" ca="1" si="1010"/>
        <v>-104.10119537601003</v>
      </c>
      <c r="BW774" s="118"/>
    </row>
    <row r="775" spans="1:75" s="123" customFormat="1" x14ac:dyDescent="0.5">
      <c r="A775" s="354" t="s">
        <v>1166</v>
      </c>
      <c r="B775" s="513"/>
      <c r="C775" s="401"/>
      <c r="D775" s="401"/>
      <c r="E775" s="401"/>
      <c r="F775" s="401"/>
      <c r="G775" s="118"/>
      <c r="H775" s="118"/>
      <c r="I775" s="118"/>
      <c r="J775" s="118"/>
      <c r="K775" s="401"/>
      <c r="L775" s="118"/>
      <c r="M775" s="118"/>
      <c r="N775" s="118"/>
      <c r="O775" s="118"/>
      <c r="P775" s="401"/>
      <c r="Q775" s="118"/>
      <c r="R775" s="118"/>
      <c r="S775" s="118"/>
      <c r="T775" s="118"/>
      <c r="U775" s="401"/>
      <c r="V775" s="118"/>
      <c r="W775" s="118"/>
      <c r="X775" s="118"/>
      <c r="Y775" s="118"/>
      <c r="Z775" s="401"/>
      <c r="AA775" s="118"/>
      <c r="AB775" s="118"/>
      <c r="AC775" s="118"/>
      <c r="AD775" s="118"/>
      <c r="AE775" s="401"/>
      <c r="AF775" s="118"/>
      <c r="AG775" s="118"/>
      <c r="AH775" s="118"/>
      <c r="AI775" s="118"/>
      <c r="AJ775" s="401"/>
      <c r="AK775" s="118"/>
      <c r="AL775" s="118"/>
      <c r="AM775" s="118"/>
      <c r="AN775" s="118"/>
      <c r="AO775" s="401"/>
      <c r="AP775" s="118"/>
      <c r="AQ775" s="118"/>
      <c r="AR775" s="118"/>
      <c r="AS775" s="118"/>
      <c r="AT775" s="401"/>
      <c r="AU775" s="118"/>
      <c r="AV775" s="118"/>
      <c r="AW775" s="118"/>
      <c r="AX775" s="118"/>
      <c r="AY775" s="401"/>
      <c r="AZ775" s="118"/>
      <c r="BA775" s="118"/>
      <c r="BB775" s="118"/>
      <c r="BC775" s="118"/>
      <c r="BD775" s="401"/>
      <c r="BE775" s="118"/>
      <c r="BF775" s="118"/>
      <c r="BG775" s="118"/>
      <c r="BH775" s="118"/>
      <c r="BI775" s="401"/>
      <c r="BJ775" s="971"/>
      <c r="BK775" s="118"/>
      <c r="BL775" s="118"/>
      <c r="BM775" s="118"/>
      <c r="BN775" s="724">
        <f>SUM(BJ775,BK775,BL775,BM775)</f>
        <v>0</v>
      </c>
      <c r="BO775" s="118"/>
      <c r="BP775" s="118"/>
      <c r="BQ775" s="118"/>
      <c r="BR775" s="118"/>
      <c r="BS775" s="724">
        <f>SUM(BO775,BP775,BQ775,BR775)</f>
        <v>0</v>
      </c>
      <c r="BT775" s="724"/>
      <c r="BU775" s="724"/>
      <c r="BV775" s="724"/>
      <c r="BW775" s="118"/>
    </row>
    <row r="776" spans="1:75" s="123" customFormat="1" x14ac:dyDescent="0.5">
      <c r="A776" s="354" t="s">
        <v>1169</v>
      </c>
      <c r="B776" s="513"/>
      <c r="C776" s="401"/>
      <c r="D776" s="401"/>
      <c r="E776" s="401"/>
      <c r="F776" s="401"/>
      <c r="G776" s="118"/>
      <c r="H776" s="118"/>
      <c r="I776" s="118"/>
      <c r="J776" s="118"/>
      <c r="K776" s="401"/>
      <c r="L776" s="118"/>
      <c r="M776" s="118"/>
      <c r="N776" s="118"/>
      <c r="O776" s="118"/>
      <c r="P776" s="401"/>
      <c r="Q776" s="118"/>
      <c r="R776" s="118"/>
      <c r="S776" s="118"/>
      <c r="T776" s="118"/>
      <c r="U776" s="401"/>
      <c r="V776" s="118"/>
      <c r="W776" s="118"/>
      <c r="X776" s="118"/>
      <c r="Y776" s="118"/>
      <c r="Z776" s="401"/>
      <c r="AA776" s="118"/>
      <c r="AB776" s="118"/>
      <c r="AC776" s="118"/>
      <c r="AD776" s="118"/>
      <c r="AE776" s="401"/>
      <c r="AF776" s="118"/>
      <c r="AG776" s="118"/>
      <c r="AH776" s="118"/>
      <c r="AI776" s="118"/>
      <c r="AJ776" s="401"/>
      <c r="AK776" s="118"/>
      <c r="AL776" s="118"/>
      <c r="AM776" s="118"/>
      <c r="AN776" s="118"/>
      <c r="AO776" s="401"/>
      <c r="AP776" s="118"/>
      <c r="AQ776" s="118"/>
      <c r="AR776" s="118"/>
      <c r="AS776" s="118"/>
      <c r="AT776" s="401"/>
      <c r="AU776" s="118"/>
      <c r="AV776" s="118"/>
      <c r="AW776" s="118"/>
      <c r="AX776" s="118"/>
      <c r="AY776" s="401"/>
      <c r="AZ776" s="118"/>
      <c r="BA776" s="118"/>
      <c r="BB776" s="118"/>
      <c r="BC776" s="118"/>
      <c r="BD776" s="401"/>
      <c r="BE776" s="118"/>
      <c r="BF776" s="118"/>
      <c r="BG776" s="118"/>
      <c r="BH776" s="118"/>
      <c r="BI776" s="401"/>
      <c r="BJ776" s="971"/>
      <c r="BK776" s="118"/>
      <c r="BL776" s="118"/>
      <c r="BM776" s="118"/>
      <c r="BN776" s="724">
        <f>SUM(BJ776,BK776,BL776,BM776)</f>
        <v>0</v>
      </c>
      <c r="BO776" s="118"/>
      <c r="BP776" s="118"/>
      <c r="BQ776" s="118"/>
      <c r="BR776" s="118"/>
      <c r="BS776" s="724">
        <f>SUM(BO776,BP776,BQ776,BR776)</f>
        <v>0</v>
      </c>
      <c r="BT776" s="724"/>
      <c r="BU776" s="724"/>
      <c r="BV776" s="724"/>
      <c r="BW776" s="118"/>
    </row>
    <row r="777" spans="1:75" s="123" customFormat="1" x14ac:dyDescent="0.5">
      <c r="A777" s="405" t="s">
        <v>1170</v>
      </c>
      <c r="B777" s="677"/>
      <c r="C777" s="406">
        <f t="shared" ref="C777:AH777" si="1011">SUM(C380:C380)</f>
        <v>0</v>
      </c>
      <c r="D777" s="406">
        <f t="shared" si="1011"/>
        <v>0</v>
      </c>
      <c r="E777" s="406">
        <f t="shared" si="1011"/>
        <v>0</v>
      </c>
      <c r="F777" s="406">
        <f t="shared" si="1011"/>
        <v>0</v>
      </c>
      <c r="G777" s="723">
        <f t="shared" si="1011"/>
        <v>0</v>
      </c>
      <c r="H777" s="723">
        <f t="shared" si="1011"/>
        <v>0</v>
      </c>
      <c r="I777" s="723">
        <f t="shared" si="1011"/>
        <v>0</v>
      </c>
      <c r="J777" s="723">
        <f t="shared" si="1011"/>
        <v>0</v>
      </c>
      <c r="K777" s="406">
        <f t="shared" si="1011"/>
        <v>0</v>
      </c>
      <c r="L777" s="723">
        <f t="shared" si="1011"/>
        <v>0</v>
      </c>
      <c r="M777" s="723">
        <f t="shared" si="1011"/>
        <v>0</v>
      </c>
      <c r="N777" s="723">
        <f t="shared" si="1011"/>
        <v>0</v>
      </c>
      <c r="O777" s="723">
        <f t="shared" si="1011"/>
        <v>0</v>
      </c>
      <c r="P777" s="406">
        <f t="shared" si="1011"/>
        <v>0</v>
      </c>
      <c r="Q777" s="723">
        <f t="shared" si="1011"/>
        <v>0</v>
      </c>
      <c r="R777" s="723">
        <f t="shared" si="1011"/>
        <v>0</v>
      </c>
      <c r="S777" s="723">
        <f t="shared" si="1011"/>
        <v>0</v>
      </c>
      <c r="T777" s="723">
        <f t="shared" si="1011"/>
        <v>0</v>
      </c>
      <c r="U777" s="406">
        <f t="shared" si="1011"/>
        <v>0</v>
      </c>
      <c r="V777" s="723">
        <f t="shared" si="1011"/>
        <v>0</v>
      </c>
      <c r="W777" s="723">
        <f t="shared" si="1011"/>
        <v>0</v>
      </c>
      <c r="X777" s="723">
        <f t="shared" si="1011"/>
        <v>0</v>
      </c>
      <c r="Y777" s="723">
        <f t="shared" si="1011"/>
        <v>0</v>
      </c>
      <c r="Z777" s="406">
        <f t="shared" si="1011"/>
        <v>0</v>
      </c>
      <c r="AA777" s="723">
        <f t="shared" si="1011"/>
        <v>0</v>
      </c>
      <c r="AB777" s="723">
        <f t="shared" si="1011"/>
        <v>0</v>
      </c>
      <c r="AC777" s="723">
        <f t="shared" si="1011"/>
        <v>0</v>
      </c>
      <c r="AD777" s="723">
        <f t="shared" si="1011"/>
        <v>0</v>
      </c>
      <c r="AE777" s="406">
        <f t="shared" si="1011"/>
        <v>0</v>
      </c>
      <c r="AF777" s="723">
        <f t="shared" si="1011"/>
        <v>0</v>
      </c>
      <c r="AG777" s="723">
        <f t="shared" si="1011"/>
        <v>0</v>
      </c>
      <c r="AH777" s="723">
        <f t="shared" si="1011"/>
        <v>0</v>
      </c>
      <c r="AI777" s="723">
        <f t="shared" ref="AI777:BM777" si="1012">SUM(AI380:AI380)</f>
        <v>0</v>
      </c>
      <c r="AJ777" s="406">
        <f t="shared" si="1012"/>
        <v>0</v>
      </c>
      <c r="AK777" s="723">
        <f t="shared" si="1012"/>
        <v>0</v>
      </c>
      <c r="AL777" s="723">
        <f t="shared" si="1012"/>
        <v>0</v>
      </c>
      <c r="AM777" s="723">
        <f t="shared" si="1012"/>
        <v>0</v>
      </c>
      <c r="AN777" s="723">
        <f t="shared" si="1012"/>
        <v>0</v>
      </c>
      <c r="AO777" s="406">
        <f t="shared" si="1012"/>
        <v>0</v>
      </c>
      <c r="AP777" s="723">
        <f t="shared" si="1012"/>
        <v>0</v>
      </c>
      <c r="AQ777" s="723">
        <f t="shared" si="1012"/>
        <v>0</v>
      </c>
      <c r="AR777" s="723">
        <f t="shared" si="1012"/>
        <v>0</v>
      </c>
      <c r="AS777" s="723">
        <f t="shared" si="1012"/>
        <v>0</v>
      </c>
      <c r="AT777" s="406">
        <f t="shared" si="1012"/>
        <v>0</v>
      </c>
      <c r="AU777" s="723">
        <f t="shared" si="1012"/>
        <v>0</v>
      </c>
      <c r="AV777" s="723">
        <f t="shared" si="1012"/>
        <v>0</v>
      </c>
      <c r="AW777" s="723">
        <f t="shared" si="1012"/>
        <v>0</v>
      </c>
      <c r="AX777" s="723">
        <f t="shared" si="1012"/>
        <v>0</v>
      </c>
      <c r="AY777" s="406">
        <f t="shared" si="1012"/>
        <v>0</v>
      </c>
      <c r="AZ777" s="723">
        <f t="shared" si="1012"/>
        <v>0</v>
      </c>
      <c r="BA777" s="723">
        <f t="shared" si="1012"/>
        <v>0</v>
      </c>
      <c r="BB777" s="723">
        <f t="shared" si="1012"/>
        <v>0</v>
      </c>
      <c r="BC777" s="723">
        <f t="shared" si="1012"/>
        <v>0</v>
      </c>
      <c r="BD777" s="406">
        <f t="shared" si="1012"/>
        <v>0</v>
      </c>
      <c r="BE777" s="723">
        <f t="shared" si="1012"/>
        <v>0</v>
      </c>
      <c r="BF777" s="723">
        <f t="shared" si="1012"/>
        <v>0</v>
      </c>
      <c r="BG777" s="723">
        <f t="shared" si="1012"/>
        <v>0</v>
      </c>
      <c r="BH777" s="723">
        <f t="shared" si="1012"/>
        <v>0</v>
      </c>
      <c r="BI777" s="406">
        <f t="shared" si="1012"/>
        <v>0</v>
      </c>
      <c r="BJ777" s="1049">
        <f>SUM(BJ380:BJ380)</f>
        <v>0</v>
      </c>
      <c r="BK777" s="723">
        <f t="shared" si="1012"/>
        <v>0</v>
      </c>
      <c r="BL777" s="723">
        <f t="shared" si="1012"/>
        <v>0</v>
      </c>
      <c r="BM777" s="723">
        <f t="shared" si="1012"/>
        <v>0</v>
      </c>
      <c r="BN777" s="1300">
        <f>SUM(BJ777,BK777,BL777,BM777)</f>
        <v>0</v>
      </c>
      <c r="BO777" s="723">
        <f>SUM(BO380:BO380)</f>
        <v>0</v>
      </c>
      <c r="BP777" s="723">
        <f>SUM(BP380:BP380)</f>
        <v>0</v>
      </c>
      <c r="BQ777" s="723">
        <f>SUM(BQ380:BQ380)</f>
        <v>0</v>
      </c>
      <c r="BR777" s="723">
        <f>SUM(BR380:BR380)</f>
        <v>0</v>
      </c>
      <c r="BS777" s="1300">
        <f>SUM(BO777,BP777,BQ777,BR777)</f>
        <v>0</v>
      </c>
      <c r="BT777" s="1300">
        <f>SUM(BT380:BT380)</f>
        <v>0</v>
      </c>
      <c r="BU777" s="1300">
        <f>SUM(BU380:BU380)</f>
        <v>0</v>
      </c>
      <c r="BV777" s="1300">
        <f>SUM(BV380:BV380)</f>
        <v>0</v>
      </c>
      <c r="BW777" s="118"/>
    </row>
    <row r="778" spans="1:75" s="198" customFormat="1" ht="14.25" hidden="1" outlineLevel="1" x14ac:dyDescent="0.45">
      <c r="A778" s="324" t="s">
        <v>1171</v>
      </c>
      <c r="B778" s="517"/>
      <c r="C778" s="518">
        <f t="shared" ref="C778:BN778" si="1013">C762-SUM(C772,C775,C776)</f>
        <v>120.289</v>
      </c>
      <c r="D778" s="518">
        <f t="shared" si="1013"/>
        <v>323.06000000000023</v>
      </c>
      <c r="E778" s="518">
        <f t="shared" si="1013"/>
        <v>381.82999999999953</v>
      </c>
      <c r="F778" s="518">
        <f t="shared" si="1013"/>
        <v>409.95600000000002</v>
      </c>
      <c r="G778" s="327">
        <f t="shared" si="1013"/>
        <v>63.971999999999902</v>
      </c>
      <c r="H778" s="327">
        <f t="shared" si="1013"/>
        <v>78.210999999999899</v>
      </c>
      <c r="I778" s="327">
        <f t="shared" si="1013"/>
        <v>92.597000000000023</v>
      </c>
      <c r="J778" s="327">
        <f t="shared" si="1013"/>
        <v>217.90200000000013</v>
      </c>
      <c r="K778" s="518">
        <f t="shared" si="1013"/>
        <v>452.68200000000041</v>
      </c>
      <c r="L778" s="327">
        <f t="shared" si="1013"/>
        <v>74.395000000000024</v>
      </c>
      <c r="M778" s="327">
        <f t="shared" si="1013"/>
        <v>85.296000000000006</v>
      </c>
      <c r="N778" s="327">
        <f t="shared" si="1013"/>
        <v>104.60300000000002</v>
      </c>
      <c r="O778" s="327">
        <f t="shared" si="1013"/>
        <v>237.90900000000005</v>
      </c>
      <c r="P778" s="518">
        <f t="shared" si="1013"/>
        <v>502.20300000000032</v>
      </c>
      <c r="Q778" s="327">
        <f t="shared" si="1013"/>
        <v>71.919999999999888</v>
      </c>
      <c r="R778" s="327">
        <f t="shared" si="1013"/>
        <v>83.068000000000069</v>
      </c>
      <c r="S778" s="327">
        <f t="shared" si="1013"/>
        <v>110.34100000000022</v>
      </c>
      <c r="T778" s="327">
        <f t="shared" si="1013"/>
        <v>222.67800000000005</v>
      </c>
      <c r="U778" s="518">
        <f t="shared" si="1013"/>
        <v>488.00700000000001</v>
      </c>
      <c r="V778" s="327">
        <f t="shared" si="1013"/>
        <v>63.593000000000089</v>
      </c>
      <c r="W778" s="327">
        <f t="shared" si="1013"/>
        <v>83.109000000000066</v>
      </c>
      <c r="X778" s="327">
        <f t="shared" si="1013"/>
        <v>109.49100000000004</v>
      </c>
      <c r="Y778" s="327">
        <f t="shared" si="1013"/>
        <v>215.71799999999996</v>
      </c>
      <c r="Z778" s="518">
        <f t="shared" si="1013"/>
        <v>471.91100000000017</v>
      </c>
      <c r="AA778" s="327">
        <f t="shared" si="1013"/>
        <v>62.577000000000162</v>
      </c>
      <c r="AB778" s="327">
        <f t="shared" si="1013"/>
        <v>81.101000000000056</v>
      </c>
      <c r="AC778" s="327">
        <f t="shared" si="1013"/>
        <v>110.21899999999988</v>
      </c>
      <c r="AD778" s="327">
        <f t="shared" si="1013"/>
        <v>198.54200000000006</v>
      </c>
      <c r="AE778" s="518">
        <f t="shared" si="1013"/>
        <v>452.43899999999968</v>
      </c>
      <c r="AF778" s="327">
        <f t="shared" si="1013"/>
        <v>65.348999999999961</v>
      </c>
      <c r="AG778" s="327">
        <f t="shared" si="1013"/>
        <v>72.581999999999937</v>
      </c>
      <c r="AH778" s="327">
        <f t="shared" si="1013"/>
        <v>92.09599999999979</v>
      </c>
      <c r="AI778" s="327">
        <f t="shared" si="1013"/>
        <v>199.21999999999983</v>
      </c>
      <c r="AJ778" s="518">
        <f t="shared" si="1013"/>
        <v>429.24700000000041</v>
      </c>
      <c r="AK778" s="327">
        <f t="shared" si="1013"/>
        <v>71.879000000000062</v>
      </c>
      <c r="AL778" s="327">
        <f t="shared" si="1013"/>
        <v>83.496000000000194</v>
      </c>
      <c r="AM778" s="327">
        <f t="shared" si="1013"/>
        <v>99.327000000000083</v>
      </c>
      <c r="AN778" s="327">
        <f t="shared" si="1013"/>
        <v>202.31899999999993</v>
      </c>
      <c r="AO778" s="518">
        <f t="shared" si="1013"/>
        <v>457.02099999999979</v>
      </c>
      <c r="AP778" s="327">
        <f t="shared" si="1013"/>
        <v>46.485999999999983</v>
      </c>
      <c r="AQ778" s="327">
        <f t="shared" si="1013"/>
        <v>178.89699999999988</v>
      </c>
      <c r="AR778" s="327">
        <f t="shared" si="1013"/>
        <v>269.26000000000005</v>
      </c>
      <c r="AS778" s="327">
        <f t="shared" si="1013"/>
        <v>399.82300000000066</v>
      </c>
      <c r="AT778" s="518">
        <f t="shared" si="1013"/>
        <v>894.46600000000012</v>
      </c>
      <c r="AU778" s="327">
        <f t="shared" si="1013"/>
        <v>273.30499999999989</v>
      </c>
      <c r="AV778" s="327">
        <f t="shared" si="1013"/>
        <v>323.1389999999999</v>
      </c>
      <c r="AW778" s="327">
        <f t="shared" si="1013"/>
        <v>330.14600000000007</v>
      </c>
      <c r="AX778" s="327">
        <f t="shared" si="1013"/>
        <v>524.66099999999926</v>
      </c>
      <c r="AY778" s="518">
        <f t="shared" si="1013"/>
        <v>1451.251</v>
      </c>
      <c r="AZ778" s="327">
        <f t="shared" si="1013"/>
        <v>323.64400000000001</v>
      </c>
      <c r="BA778" s="327">
        <f t="shared" si="1013"/>
        <v>365.86499999999972</v>
      </c>
      <c r="BB778" s="327">
        <f t="shared" si="1013"/>
        <v>340.00300000000004</v>
      </c>
      <c r="BC778" s="327">
        <f t="shared" si="1013"/>
        <v>471.16999999999933</v>
      </c>
      <c r="BD778" s="518">
        <f t="shared" si="1013"/>
        <v>1500.6819999999987</v>
      </c>
      <c r="BE778" s="327">
        <f t="shared" si="1013"/>
        <v>204.97499999999985</v>
      </c>
      <c r="BF778" s="327">
        <f t="shared" si="1013"/>
        <v>274.88299999999998</v>
      </c>
      <c r="BG778" s="327">
        <f t="shared" si="1013"/>
        <v>322.25900000000024</v>
      </c>
      <c r="BH778" s="327">
        <f t="shared" si="1013"/>
        <v>471.23799999999989</v>
      </c>
      <c r="BI778" s="518">
        <f t="shared" si="1013"/>
        <v>1273.3549999999993</v>
      </c>
      <c r="BJ778" s="1026">
        <f>BJ762-SUM(BJ772,BJ775,BJ776)</f>
        <v>339.88099999999997</v>
      </c>
      <c r="BK778" s="327">
        <f t="shared" si="1013"/>
        <v>262.7577142752715</v>
      </c>
      <c r="BL778" s="327">
        <f t="shared" ca="1" si="1013"/>
        <v>318.3812616959238</v>
      </c>
      <c r="BM778" s="327">
        <f t="shared" ca="1" si="1013"/>
        <v>494.86206480066039</v>
      </c>
      <c r="BN778" s="1301">
        <f t="shared" ca="1" si="1013"/>
        <v>1415.8820407718558</v>
      </c>
      <c r="BO778" s="327">
        <f t="shared" ref="BO778:CF778" ca="1" si="1014">BO762-SUM(BO772,BO775,BO776)</f>
        <v>281.18231495197466</v>
      </c>
      <c r="BP778" s="327">
        <f t="shared" ca="1" si="1014"/>
        <v>278.17386541767019</v>
      </c>
      <c r="BQ778" s="327">
        <f t="shared" ca="1" si="1014"/>
        <v>351.3578949658089</v>
      </c>
      <c r="BR778" s="327">
        <f t="shared" ca="1" si="1014"/>
        <v>474.6130456846555</v>
      </c>
      <c r="BS778" s="1301">
        <f t="shared" ca="1" si="1014"/>
        <v>1385.3271210201085</v>
      </c>
      <c r="BT778" s="1301">
        <f t="shared" ca="1" si="1014"/>
        <v>1494.2180193018621</v>
      </c>
      <c r="BU778" s="1301">
        <f t="shared" ca="1" si="1014"/>
        <v>1627.9534994905844</v>
      </c>
      <c r="BV778" s="1301">
        <f t="shared" ca="1" si="1014"/>
        <v>1773.0075350168038</v>
      </c>
      <c r="BW778" s="295"/>
    </row>
    <row r="779" spans="1:75" s="198" customFormat="1" ht="14.25" collapsed="1" x14ac:dyDescent="0.45">
      <c r="A779" s="292" t="s">
        <v>1172</v>
      </c>
      <c r="B779" s="522"/>
      <c r="C779" s="397">
        <f t="shared" ref="C779:BN779" si="1015">C763-SUM(C774,C775)+C777</f>
        <v>160.99300000000008</v>
      </c>
      <c r="D779" s="397">
        <f t="shared" si="1015"/>
        <v>344.50100000000003</v>
      </c>
      <c r="E779" s="397">
        <f t="shared" si="1015"/>
        <v>384.82999999999976</v>
      </c>
      <c r="F779" s="397">
        <f t="shared" si="1015"/>
        <v>416.94600000000003</v>
      </c>
      <c r="G779" s="295">
        <f t="shared" si="1015"/>
        <v>66.90799999999993</v>
      </c>
      <c r="H779" s="295">
        <f t="shared" si="1015"/>
        <v>78.210999999999956</v>
      </c>
      <c r="I779" s="295">
        <f t="shared" si="1015"/>
        <v>92.597000000000023</v>
      </c>
      <c r="J779" s="295">
        <f t="shared" si="1015"/>
        <v>217.90200000000007</v>
      </c>
      <c r="K779" s="397">
        <f t="shared" si="1015"/>
        <v>455.61800000000034</v>
      </c>
      <c r="L779" s="295">
        <f t="shared" si="1015"/>
        <v>74.395000000000024</v>
      </c>
      <c r="M779" s="295">
        <f t="shared" si="1015"/>
        <v>85.296000000000063</v>
      </c>
      <c r="N779" s="295">
        <f t="shared" si="1015"/>
        <v>104.60300000000002</v>
      </c>
      <c r="O779" s="295">
        <f t="shared" si="1015"/>
        <v>230.495</v>
      </c>
      <c r="P779" s="397">
        <f t="shared" si="1015"/>
        <v>494.78899999999987</v>
      </c>
      <c r="Q779" s="295">
        <f t="shared" si="1015"/>
        <v>71.919999999999888</v>
      </c>
      <c r="R779" s="295">
        <f t="shared" si="1015"/>
        <v>83.068000000000012</v>
      </c>
      <c r="S779" s="295">
        <f t="shared" si="1015"/>
        <v>110.34100000000011</v>
      </c>
      <c r="T779" s="295">
        <f t="shared" si="1015"/>
        <v>222.67800000000005</v>
      </c>
      <c r="U779" s="397">
        <f t="shared" si="1015"/>
        <v>488.00700000000001</v>
      </c>
      <c r="V779" s="295">
        <f t="shared" si="1015"/>
        <v>76.814000000000036</v>
      </c>
      <c r="W779" s="295">
        <f t="shared" si="1015"/>
        <v>83.109000000000009</v>
      </c>
      <c r="X779" s="295">
        <f t="shared" si="1015"/>
        <v>110.67599999999993</v>
      </c>
      <c r="Y779" s="295">
        <f t="shared" si="1015"/>
        <v>215.71799999999996</v>
      </c>
      <c r="Z779" s="397">
        <f t="shared" si="1015"/>
        <v>486.31699999999989</v>
      </c>
      <c r="AA779" s="295">
        <f t="shared" si="1015"/>
        <v>68.282000000000082</v>
      </c>
      <c r="AB779" s="295">
        <f t="shared" si="1015"/>
        <v>81.100999999999999</v>
      </c>
      <c r="AC779" s="295">
        <f t="shared" si="1015"/>
        <v>110.21899999999999</v>
      </c>
      <c r="AD779" s="295">
        <f t="shared" si="1015"/>
        <v>207.65800000000016</v>
      </c>
      <c r="AE779" s="397">
        <f t="shared" si="1015"/>
        <v>467.25999999999982</v>
      </c>
      <c r="AF779" s="295">
        <f t="shared" si="1015"/>
        <v>73.981000000000051</v>
      </c>
      <c r="AG779" s="295">
        <f t="shared" si="1015"/>
        <v>84.744999999999905</v>
      </c>
      <c r="AH779" s="295">
        <f t="shared" si="1015"/>
        <v>101.09900000000002</v>
      </c>
      <c r="AI779" s="295">
        <f t="shared" si="1015"/>
        <v>216.03899999999976</v>
      </c>
      <c r="AJ779" s="397">
        <f t="shared" si="1015"/>
        <v>475.86399999999981</v>
      </c>
      <c r="AK779" s="295">
        <f t="shared" si="1015"/>
        <v>84.816999999999993</v>
      </c>
      <c r="AL779" s="295">
        <f t="shared" si="1015"/>
        <v>91.349000000000089</v>
      </c>
      <c r="AM779" s="295">
        <f t="shared" si="1015"/>
        <v>107.31200000000004</v>
      </c>
      <c r="AN779" s="295">
        <f t="shared" si="1015"/>
        <v>212.0439999999999</v>
      </c>
      <c r="AO779" s="397">
        <f t="shared" si="1015"/>
        <v>495.52199999999954</v>
      </c>
      <c r="AP779" s="295">
        <f t="shared" si="1015"/>
        <v>76.84199999999997</v>
      </c>
      <c r="AQ779" s="295">
        <f t="shared" si="1015"/>
        <v>188.59300000000002</v>
      </c>
      <c r="AR779" s="295">
        <f t="shared" si="1015"/>
        <v>271.4790000000001</v>
      </c>
      <c r="AS779" s="295">
        <f t="shared" si="1015"/>
        <v>408.09100000000069</v>
      </c>
      <c r="AT779" s="397">
        <f t="shared" si="1015"/>
        <v>945.00500000000056</v>
      </c>
      <c r="AU779" s="295">
        <f t="shared" si="1015"/>
        <v>276.14399999999995</v>
      </c>
      <c r="AV779" s="295">
        <f t="shared" si="1015"/>
        <v>325.89599999999984</v>
      </c>
      <c r="AW779" s="295">
        <f t="shared" si="1015"/>
        <v>332.89799999999991</v>
      </c>
      <c r="AX779" s="295">
        <f t="shared" si="1015"/>
        <v>525.47299999999927</v>
      </c>
      <c r="AY779" s="397">
        <f t="shared" si="1015"/>
        <v>1460.4109999999994</v>
      </c>
      <c r="AZ779" s="295">
        <f t="shared" si="1015"/>
        <v>323.64400000000001</v>
      </c>
      <c r="BA779" s="295">
        <f t="shared" si="1015"/>
        <v>365.86499999999972</v>
      </c>
      <c r="BB779" s="295">
        <f t="shared" si="1015"/>
        <v>340.00300000000004</v>
      </c>
      <c r="BC779" s="295">
        <f t="shared" si="1015"/>
        <v>488.85699999999935</v>
      </c>
      <c r="BD779" s="397">
        <f t="shared" si="1015"/>
        <v>1518.368999999999</v>
      </c>
      <c r="BE779" s="295">
        <f t="shared" si="1015"/>
        <v>231.22199999999992</v>
      </c>
      <c r="BF779" s="295">
        <f t="shared" si="1015"/>
        <v>274.88299999999998</v>
      </c>
      <c r="BG779" s="295">
        <f t="shared" si="1015"/>
        <v>322.25900000000013</v>
      </c>
      <c r="BH779" s="295">
        <f t="shared" si="1015"/>
        <v>471.23799999999989</v>
      </c>
      <c r="BI779" s="397">
        <f t="shared" si="1015"/>
        <v>1299.6019999999999</v>
      </c>
      <c r="BJ779" s="1030">
        <f>BJ763-SUM(BJ774,BJ775)+BJ777</f>
        <v>339.88099999999997</v>
      </c>
      <c r="BK779" s="295">
        <f t="shared" si="1015"/>
        <v>262.7577142752715</v>
      </c>
      <c r="BL779" s="295">
        <f t="shared" ca="1" si="1015"/>
        <v>318.38126169592368</v>
      </c>
      <c r="BM779" s="295">
        <f t="shared" ca="1" si="1015"/>
        <v>494.86206480066028</v>
      </c>
      <c r="BN779" s="1302">
        <f t="shared" ca="1" si="1015"/>
        <v>1415.8820407718554</v>
      </c>
      <c r="BO779" s="295">
        <f t="shared" ref="BO779:CF779" ca="1" si="1016">BO763-SUM(BO774,BO775)+BO777</f>
        <v>281.18231495197466</v>
      </c>
      <c r="BP779" s="295">
        <f t="shared" ca="1" si="1016"/>
        <v>278.17386541767041</v>
      </c>
      <c r="BQ779" s="295">
        <f t="shared" ca="1" si="1016"/>
        <v>351.35789496580901</v>
      </c>
      <c r="BR779" s="295">
        <f t="shared" ca="1" si="1016"/>
        <v>474.6130456846555</v>
      </c>
      <c r="BS779" s="1302">
        <f t="shared" ca="1" si="1016"/>
        <v>1385.327121020109</v>
      </c>
      <c r="BT779" s="1302">
        <f t="shared" ca="1" si="1016"/>
        <v>1494.2180193018621</v>
      </c>
      <c r="BU779" s="1302">
        <f t="shared" ca="1" si="1016"/>
        <v>1627.9534994905844</v>
      </c>
      <c r="BV779" s="1302">
        <f t="shared" ca="1" si="1016"/>
        <v>1773.0075350168038</v>
      </c>
      <c r="BW779" s="295"/>
    </row>
    <row r="780" spans="1:75" s="123" customFormat="1" x14ac:dyDescent="0.5">
      <c r="A780" s="354"/>
      <c r="B780" s="513"/>
      <c r="C780" s="401"/>
      <c r="D780" s="401"/>
      <c r="E780" s="401"/>
      <c r="F780" s="401"/>
      <c r="G780" s="118"/>
      <c r="H780" s="118"/>
      <c r="I780" s="118"/>
      <c r="J780" s="118"/>
      <c r="K780" s="401"/>
      <c r="L780" s="118"/>
      <c r="M780" s="118"/>
      <c r="N780" s="118"/>
      <c r="O780" s="118"/>
      <c r="P780" s="401"/>
      <c r="Q780" s="118"/>
      <c r="R780" s="118"/>
      <c r="S780" s="118"/>
      <c r="T780" s="118"/>
      <c r="U780" s="401"/>
      <c r="V780" s="118"/>
      <c r="W780" s="118"/>
      <c r="X780" s="118"/>
      <c r="Y780" s="118"/>
      <c r="Z780" s="401"/>
      <c r="AA780" s="118"/>
      <c r="AB780" s="118"/>
      <c r="AC780" s="118"/>
      <c r="AD780" s="118"/>
      <c r="AE780" s="401"/>
      <c r="AF780" s="118"/>
      <c r="AG780" s="118"/>
      <c r="AH780" s="118"/>
      <c r="AI780" s="118"/>
      <c r="AJ780" s="401"/>
      <c r="AK780" s="118"/>
      <c r="AL780" s="118"/>
      <c r="AM780" s="118"/>
      <c r="AN780" s="118"/>
      <c r="AO780" s="401"/>
      <c r="AP780" s="118"/>
      <c r="AQ780" s="118"/>
      <c r="AR780" s="118"/>
      <c r="AS780" s="118"/>
      <c r="AT780" s="401"/>
      <c r="AU780" s="118"/>
      <c r="AV780" s="118"/>
      <c r="AW780" s="118"/>
      <c r="AX780" s="118"/>
      <c r="AY780" s="401"/>
      <c r="AZ780" s="118"/>
      <c r="BA780" s="118"/>
      <c r="BB780" s="118"/>
      <c r="BC780" s="118"/>
      <c r="BD780" s="401"/>
      <c r="BE780" s="118"/>
      <c r="BF780" s="118"/>
      <c r="BG780" s="118"/>
      <c r="BH780" s="118"/>
      <c r="BI780" s="401"/>
      <c r="BJ780" s="971"/>
      <c r="BK780" s="118"/>
      <c r="BL780" s="118"/>
      <c r="BM780" s="118"/>
      <c r="BN780" s="724"/>
      <c r="BO780" s="118"/>
      <c r="BP780" s="118"/>
      <c r="BQ780" s="118"/>
      <c r="BR780" s="118"/>
      <c r="BS780" s="724"/>
      <c r="BT780" s="724"/>
      <c r="BU780" s="724"/>
      <c r="BV780" s="724"/>
      <c r="BW780" s="122"/>
    </row>
    <row r="781" spans="1:75" s="123" customFormat="1" hidden="1" outlineLevel="1" x14ac:dyDescent="0.5">
      <c r="A781" s="315" t="s">
        <v>1173</v>
      </c>
      <c r="B781" s="513"/>
      <c r="C781" s="401">
        <f t="shared" ref="C781:BM781" si="1017">C783-C782</f>
        <v>66.442000000000007</v>
      </c>
      <c r="D781" s="401">
        <f t="shared" si="1017"/>
        <v>99.266999999999996</v>
      </c>
      <c r="E781" s="401">
        <f t="shared" si="1017"/>
        <v>130.68899999999999</v>
      </c>
      <c r="F781" s="401">
        <f t="shared" si="1017"/>
        <v>162.255</v>
      </c>
      <c r="G781" s="118">
        <f t="shared" si="1017"/>
        <v>27.937000000000001</v>
      </c>
      <c r="H781" s="118">
        <f t="shared" si="1017"/>
        <v>32.798000000000002</v>
      </c>
      <c r="I781" s="118">
        <f t="shared" si="1017"/>
        <v>39.662999999999997</v>
      </c>
      <c r="J781" s="118">
        <f t="shared" si="1017"/>
        <v>101.726</v>
      </c>
      <c r="K781" s="401">
        <f t="shared" si="1017"/>
        <v>202.124</v>
      </c>
      <c r="L781" s="118">
        <f t="shared" si="1017"/>
        <v>32.881999999999998</v>
      </c>
      <c r="M781" s="118">
        <f t="shared" si="1017"/>
        <v>38.225999999999999</v>
      </c>
      <c r="N781" s="118">
        <f t="shared" si="1017"/>
        <v>44.4</v>
      </c>
      <c r="O781" s="118">
        <f t="shared" si="1017"/>
        <v>78.088999999999999</v>
      </c>
      <c r="P781" s="401">
        <f t="shared" si="1017"/>
        <v>193.59699999999998</v>
      </c>
      <c r="Q781" s="118">
        <f t="shared" si="1017"/>
        <v>32.628</v>
      </c>
      <c r="R781" s="118">
        <f t="shared" si="1017"/>
        <v>32.434999999999995</v>
      </c>
      <c r="S781" s="118">
        <f t="shared" si="1017"/>
        <v>44.852000000000004</v>
      </c>
      <c r="T781" s="118">
        <f t="shared" si="1017"/>
        <v>75.459999999999994</v>
      </c>
      <c r="U781" s="401">
        <f t="shared" si="1017"/>
        <v>185.375</v>
      </c>
      <c r="V781" s="118">
        <f t="shared" si="1017"/>
        <v>29.791999999999998</v>
      </c>
      <c r="W781" s="118">
        <f t="shared" si="1017"/>
        <v>36</v>
      </c>
      <c r="X781" s="118">
        <f t="shared" si="1017"/>
        <v>44.102000000000004</v>
      </c>
      <c r="Y781" s="118">
        <f t="shared" si="1017"/>
        <v>49.515999999999991</v>
      </c>
      <c r="Z781" s="401">
        <f t="shared" si="1017"/>
        <v>159.41</v>
      </c>
      <c r="AA781" s="118">
        <f t="shared" si="1017"/>
        <v>26.869999999999997</v>
      </c>
      <c r="AB781" s="118">
        <f t="shared" si="1017"/>
        <v>33.273000000000003</v>
      </c>
      <c r="AC781" s="118">
        <f t="shared" si="1017"/>
        <v>41.853000000000002</v>
      </c>
      <c r="AD781" s="118">
        <f t="shared" si="1017"/>
        <v>27.516999999999996</v>
      </c>
      <c r="AE781" s="401">
        <f t="shared" si="1017"/>
        <v>129.51300000000001</v>
      </c>
      <c r="AF781" s="118">
        <f t="shared" si="1017"/>
        <v>23.422000000000001</v>
      </c>
      <c r="AG781" s="118">
        <f t="shared" si="1017"/>
        <v>22.042999999999999</v>
      </c>
      <c r="AH781" s="118">
        <f t="shared" si="1017"/>
        <v>-5.9540000000000006</v>
      </c>
      <c r="AI781" s="118">
        <f t="shared" si="1017"/>
        <v>32.413000000000004</v>
      </c>
      <c r="AJ781" s="401">
        <f t="shared" si="1017"/>
        <v>71.924000000000007</v>
      </c>
      <c r="AK781" s="118">
        <f t="shared" si="1017"/>
        <v>23.349</v>
      </c>
      <c r="AL781" s="118">
        <f t="shared" si="1017"/>
        <v>25.15</v>
      </c>
      <c r="AM781" s="118">
        <f t="shared" si="1017"/>
        <v>27.122999999999998</v>
      </c>
      <c r="AN781" s="118">
        <f t="shared" si="1017"/>
        <v>27.894000000000002</v>
      </c>
      <c r="AO781" s="401">
        <f t="shared" si="1017"/>
        <v>103.51600000000001</v>
      </c>
      <c r="AP781" s="118">
        <f t="shared" si="1017"/>
        <v>13.648</v>
      </c>
      <c r="AQ781" s="118">
        <f t="shared" si="1017"/>
        <v>43.976999999999997</v>
      </c>
      <c r="AR781" s="118">
        <f t="shared" si="1017"/>
        <v>72.227999999999994</v>
      </c>
      <c r="AS781" s="118">
        <f t="shared" si="1017"/>
        <v>96.960000000000008</v>
      </c>
      <c r="AT781" s="401">
        <f t="shared" si="1017"/>
        <v>226.81300000000002</v>
      </c>
      <c r="AU781" s="118">
        <f t="shared" si="1017"/>
        <v>49.484000000000002</v>
      </c>
      <c r="AV781" s="118">
        <f t="shared" si="1017"/>
        <v>80.125</v>
      </c>
      <c r="AW781" s="118">
        <f t="shared" si="1017"/>
        <v>85.025000000000006</v>
      </c>
      <c r="AX781" s="118">
        <f t="shared" si="1017"/>
        <v>107.74499999999998</v>
      </c>
      <c r="AY781" s="401">
        <f t="shared" si="1017"/>
        <v>322.37899999999996</v>
      </c>
      <c r="AZ781" s="118">
        <f t="shared" si="1017"/>
        <v>72.256</v>
      </c>
      <c r="BA781" s="118">
        <f t="shared" si="1017"/>
        <v>103.70100000000001</v>
      </c>
      <c r="BB781" s="118">
        <f t="shared" si="1017"/>
        <v>91.138000000000005</v>
      </c>
      <c r="BC781" s="118">
        <f t="shared" si="1017"/>
        <v>129.50600000000003</v>
      </c>
      <c r="BD781" s="401">
        <f t="shared" si="1017"/>
        <v>396.601</v>
      </c>
      <c r="BE781" s="118">
        <f t="shared" si="1017"/>
        <v>50.1</v>
      </c>
      <c r="BF781" s="118">
        <f t="shared" si="1017"/>
        <v>75.561000000000007</v>
      </c>
      <c r="BG781" s="118">
        <f t="shared" si="1017"/>
        <v>89.126000000000005</v>
      </c>
      <c r="BH781" s="118">
        <f t="shared" si="1017"/>
        <v>137.89100000000002</v>
      </c>
      <c r="BI781" s="401">
        <f t="shared" si="1017"/>
        <v>352.678</v>
      </c>
      <c r="BJ781" s="971">
        <f>BJ783-BJ782</f>
        <v>74.753</v>
      </c>
      <c r="BK781" s="118">
        <f t="shared" si="1017"/>
        <v>68.579763425845854</v>
      </c>
      <c r="BL781" s="118">
        <f t="shared" ca="1" si="1017"/>
        <v>83.097509302636112</v>
      </c>
      <c r="BM781" s="118">
        <f t="shared" ca="1" si="1017"/>
        <v>129.15899891297235</v>
      </c>
      <c r="BN781" s="724">
        <f ca="1">SUM(BJ781,BK781,BL781,BM781)</f>
        <v>355.58927164145427</v>
      </c>
      <c r="BO781" s="118">
        <f ca="1">BO783-BO782</f>
        <v>63.266020864194296</v>
      </c>
      <c r="BP781" s="118">
        <f ca="1">BP783-BP782</f>
        <v>62.589119718975795</v>
      </c>
      <c r="BQ781" s="118">
        <f ca="1">BQ783-BQ782</f>
        <v>79.055526367306996</v>
      </c>
      <c r="BR781" s="118">
        <f ca="1">BR783-BR782</f>
        <v>106.7879352790475</v>
      </c>
      <c r="BS781" s="724">
        <f ca="1">SUM(BO781,BP781,BQ781,BR781)</f>
        <v>311.69860222952457</v>
      </c>
      <c r="BT781" s="724">
        <f ca="1">BT783-BT782</f>
        <v>336.199054342919</v>
      </c>
      <c r="BU781" s="724">
        <f ca="1">BU783-BU782</f>
        <v>366.28953738538149</v>
      </c>
      <c r="BV781" s="724">
        <f ca="1">BV783-BV782</f>
        <v>398.92669537878089</v>
      </c>
      <c r="BW781" s="118"/>
    </row>
    <row r="782" spans="1:75" s="123" customFormat="1" hidden="1" outlineLevel="1" x14ac:dyDescent="0.5">
      <c r="A782" s="355" t="s">
        <v>1174</v>
      </c>
      <c r="B782" s="677"/>
      <c r="C782" s="406">
        <f t="shared" ref="C782:BG782" si="1018">C1014</f>
        <v>-23.594999999999999</v>
      </c>
      <c r="D782" s="406">
        <f t="shared" si="1018"/>
        <v>23.565999999999999</v>
      </c>
      <c r="E782" s="406">
        <f t="shared" si="1018"/>
        <v>14.21</v>
      </c>
      <c r="F782" s="406">
        <f t="shared" si="1018"/>
        <v>-9.0289999999999999</v>
      </c>
      <c r="G782" s="723">
        <f t="shared" si="1018"/>
        <v>-3.431</v>
      </c>
      <c r="H782" s="723">
        <f t="shared" si="1018"/>
        <v>-3.5060000000000002</v>
      </c>
      <c r="I782" s="723">
        <f t="shared" si="1018"/>
        <v>-3.7849999999999993</v>
      </c>
      <c r="J782" s="723">
        <f t="shared" si="1018"/>
        <v>-17.622</v>
      </c>
      <c r="K782" s="406">
        <f t="shared" si="1018"/>
        <v>-28.344000000000001</v>
      </c>
      <c r="L782" s="723">
        <f t="shared" si="1018"/>
        <v>-4.649</v>
      </c>
      <c r="M782" s="723">
        <f t="shared" si="1018"/>
        <v>-3.6770000000000005</v>
      </c>
      <c r="N782" s="723">
        <f t="shared" si="1018"/>
        <v>-4.7050000000000001</v>
      </c>
      <c r="O782" s="723">
        <f t="shared" si="1018"/>
        <v>12.783000000000001</v>
      </c>
      <c r="P782" s="406">
        <f t="shared" si="1018"/>
        <v>-0.248</v>
      </c>
      <c r="Q782" s="723">
        <f t="shared" si="1018"/>
        <v>-5.4980000000000002</v>
      </c>
      <c r="R782" s="723">
        <f t="shared" si="1018"/>
        <v>-3.0349999999999993</v>
      </c>
      <c r="S782" s="723">
        <f t="shared" si="1018"/>
        <v>-4.9930000000000003</v>
      </c>
      <c r="T782" s="723">
        <f t="shared" si="1018"/>
        <v>6.09</v>
      </c>
      <c r="U782" s="406">
        <f t="shared" si="1018"/>
        <v>-7.4359999999999999</v>
      </c>
      <c r="V782" s="723">
        <f t="shared" si="1018"/>
        <v>-5.7960000000000003</v>
      </c>
      <c r="W782" s="723">
        <f t="shared" si="1018"/>
        <v>-4.6759999999999993</v>
      </c>
      <c r="X782" s="723">
        <f t="shared" si="1018"/>
        <v>-3.9890000000000008</v>
      </c>
      <c r="Y782" s="723">
        <f t="shared" si="1018"/>
        <v>21.574999999999999</v>
      </c>
      <c r="Z782" s="406">
        <f t="shared" si="1018"/>
        <v>7.1139999999999999</v>
      </c>
      <c r="AA782" s="723">
        <f t="shared" si="1018"/>
        <v>-3.8479999999999999</v>
      </c>
      <c r="AB782" s="723">
        <f t="shared" si="1018"/>
        <v>-5.0889999999999995</v>
      </c>
      <c r="AC782" s="723">
        <f t="shared" si="1018"/>
        <v>-2.947000000000001</v>
      </c>
      <c r="AD782" s="723">
        <f t="shared" si="1018"/>
        <v>75.265000000000001</v>
      </c>
      <c r="AE782" s="406">
        <f t="shared" si="1018"/>
        <v>63.381</v>
      </c>
      <c r="AF782" s="723">
        <f t="shared" si="1018"/>
        <v>-3.2410000000000001</v>
      </c>
      <c r="AG782" s="723">
        <f t="shared" si="1018"/>
        <v>-1.1739999999999999</v>
      </c>
      <c r="AH782" s="723">
        <f t="shared" si="1018"/>
        <v>16.585000000000001</v>
      </c>
      <c r="AI782" s="723">
        <f t="shared" si="1018"/>
        <v>11.468999999999999</v>
      </c>
      <c r="AJ782" s="406">
        <f t="shared" si="1018"/>
        <v>23.638999999999999</v>
      </c>
      <c r="AK782" s="723">
        <f t="shared" si="1018"/>
        <v>-4.1260000000000003</v>
      </c>
      <c r="AL782" s="723">
        <f t="shared" si="1018"/>
        <v>-4.3020000000000005</v>
      </c>
      <c r="AM782" s="723">
        <f t="shared" si="1018"/>
        <v>-2.5089999999999986</v>
      </c>
      <c r="AN782" s="723">
        <f t="shared" si="1018"/>
        <v>8.379999999999999</v>
      </c>
      <c r="AO782" s="406">
        <f t="shared" si="1018"/>
        <v>-2.5569999999999999</v>
      </c>
      <c r="AP782" s="723">
        <f t="shared" si="1018"/>
        <v>-2.585</v>
      </c>
      <c r="AQ782" s="723">
        <f t="shared" si="1018"/>
        <v>0.35599999999999987</v>
      </c>
      <c r="AR782" s="723">
        <f t="shared" si="1018"/>
        <v>-4.74</v>
      </c>
      <c r="AS782" s="723">
        <f t="shared" si="1018"/>
        <v>-6.0919999999999996</v>
      </c>
      <c r="AT782" s="406">
        <f t="shared" si="1018"/>
        <v>-13.061</v>
      </c>
      <c r="AU782" s="723">
        <f t="shared" si="1018"/>
        <v>-3.9809999999999999</v>
      </c>
      <c r="AV782" s="723">
        <f t="shared" si="1018"/>
        <v>-3.056</v>
      </c>
      <c r="AW782" s="723">
        <f t="shared" si="1018"/>
        <v>-4.4029999999999996</v>
      </c>
      <c r="AX782" s="723">
        <f t="shared" si="1018"/>
        <v>13.975</v>
      </c>
      <c r="AY782" s="406">
        <f t="shared" si="1018"/>
        <v>2.5350000000000001</v>
      </c>
      <c r="AZ782" s="723">
        <f t="shared" si="1018"/>
        <v>-2.7250000000000001</v>
      </c>
      <c r="BA782" s="723">
        <f t="shared" si="1018"/>
        <v>-4.9109999999999996</v>
      </c>
      <c r="BB782" s="723">
        <f t="shared" si="1018"/>
        <v>-2.8579999999999997</v>
      </c>
      <c r="BC782" s="723">
        <f t="shared" si="1018"/>
        <v>-13.329000000000001</v>
      </c>
      <c r="BD782" s="406">
        <f t="shared" si="1018"/>
        <v>-23.823</v>
      </c>
      <c r="BE782" s="723">
        <f t="shared" si="1018"/>
        <v>-1.6559999999999999</v>
      </c>
      <c r="BF782" s="723">
        <f t="shared" si="1018"/>
        <v>-2.1850000000000005</v>
      </c>
      <c r="BG782" s="723">
        <f t="shared" si="1018"/>
        <v>-4.1520000000000001</v>
      </c>
      <c r="BH782" s="723">
        <f>BH1014</f>
        <v>-21.091999999999999</v>
      </c>
      <c r="BI782" s="406">
        <f>BI1014</f>
        <v>-29.085000000000001</v>
      </c>
      <c r="BJ782" s="1049">
        <f>BJ1014</f>
        <v>-0.53800000000000003</v>
      </c>
      <c r="BK782" s="723">
        <f>BK807*BK$778</f>
        <v>1.3137885713763575</v>
      </c>
      <c r="BL782" s="723">
        <f ca="1">BL807*BL$778</f>
        <v>1.591906308479619</v>
      </c>
      <c r="BM782" s="723">
        <f ca="1">BM807*BM$778</f>
        <v>2.474310324003302</v>
      </c>
      <c r="BN782" s="1300">
        <f ca="1">SUM(BJ782,BK782,BL782,BM782)</f>
        <v>4.8420052038592782</v>
      </c>
      <c r="BO782" s="723">
        <f ca="1">BO807*BO$778</f>
        <v>1.4059115747598734</v>
      </c>
      <c r="BP782" s="723">
        <f ca="1">BP807*BP$778</f>
        <v>1.390869327088351</v>
      </c>
      <c r="BQ782" s="723">
        <f ca="1">BQ807*BQ$778</f>
        <v>1.7567894748290445</v>
      </c>
      <c r="BR782" s="723">
        <f ca="1">BR807*BR$778</f>
        <v>2.3730652284232776</v>
      </c>
      <c r="BS782" s="1300">
        <f ca="1">SUM(BO782,BP782,BQ782,BR782)</f>
        <v>6.9266356051005467</v>
      </c>
      <c r="BT782" s="1300">
        <f ca="1">BT807*BT$778</f>
        <v>7.471090096509311</v>
      </c>
      <c r="BU782" s="1300">
        <f ca="1">BU807*BU$778</f>
        <v>8.1397674974529224</v>
      </c>
      <c r="BV782" s="1300">
        <f ca="1">BV807*BV$778</f>
        <v>8.8650376750840199</v>
      </c>
      <c r="BW782" s="118"/>
    </row>
    <row r="783" spans="1:75" s="123" customFormat="1" hidden="1" outlineLevel="1" x14ac:dyDescent="0.5">
      <c r="A783" s="354" t="s">
        <v>1067</v>
      </c>
      <c r="B783" s="513"/>
      <c r="C783" s="401">
        <f t="shared" ref="C783:BE783" si="1019">C647</f>
        <v>42.847000000000001</v>
      </c>
      <c r="D783" s="401">
        <f t="shared" si="1019"/>
        <v>122.833</v>
      </c>
      <c r="E783" s="401">
        <f t="shared" si="1019"/>
        <v>144.899</v>
      </c>
      <c r="F783" s="401">
        <f t="shared" si="1019"/>
        <v>153.226</v>
      </c>
      <c r="G783" s="118">
        <f t="shared" si="1019"/>
        <v>24.506</v>
      </c>
      <c r="H783" s="118">
        <f t="shared" si="1019"/>
        <v>29.292000000000002</v>
      </c>
      <c r="I783" s="118">
        <f t="shared" si="1019"/>
        <v>35.878</v>
      </c>
      <c r="J783" s="118">
        <f t="shared" si="1019"/>
        <v>84.103999999999999</v>
      </c>
      <c r="K783" s="401">
        <f t="shared" si="1019"/>
        <v>173.78</v>
      </c>
      <c r="L783" s="118">
        <f t="shared" si="1019"/>
        <v>28.233000000000001</v>
      </c>
      <c r="M783" s="118">
        <f t="shared" si="1019"/>
        <v>34.548999999999999</v>
      </c>
      <c r="N783" s="118">
        <f t="shared" si="1019"/>
        <v>39.695</v>
      </c>
      <c r="O783" s="118">
        <f t="shared" si="1019"/>
        <v>90.872</v>
      </c>
      <c r="P783" s="401">
        <f t="shared" si="1019"/>
        <v>193.34899999999999</v>
      </c>
      <c r="Q783" s="118">
        <f t="shared" si="1019"/>
        <v>27.13</v>
      </c>
      <c r="R783" s="118">
        <f t="shared" si="1019"/>
        <v>29.4</v>
      </c>
      <c r="S783" s="118">
        <f t="shared" si="1019"/>
        <v>39.859000000000002</v>
      </c>
      <c r="T783" s="118">
        <f t="shared" si="1019"/>
        <v>81.55</v>
      </c>
      <c r="U783" s="401">
        <f t="shared" si="1019"/>
        <v>177.93899999999999</v>
      </c>
      <c r="V783" s="118">
        <f t="shared" si="1019"/>
        <v>23.995999999999999</v>
      </c>
      <c r="W783" s="118">
        <f t="shared" si="1019"/>
        <v>31.324000000000002</v>
      </c>
      <c r="X783" s="118">
        <f t="shared" si="1019"/>
        <v>40.113</v>
      </c>
      <c r="Y783" s="118">
        <f t="shared" si="1019"/>
        <v>71.090999999999994</v>
      </c>
      <c r="Z783" s="401">
        <f t="shared" si="1019"/>
        <v>166.524</v>
      </c>
      <c r="AA783" s="118">
        <f t="shared" si="1019"/>
        <v>23.021999999999998</v>
      </c>
      <c r="AB783" s="118">
        <f t="shared" si="1019"/>
        <v>28.184000000000001</v>
      </c>
      <c r="AC783" s="118">
        <f t="shared" si="1019"/>
        <v>38.905999999999999</v>
      </c>
      <c r="AD783" s="118">
        <f t="shared" si="1019"/>
        <v>102.782</v>
      </c>
      <c r="AE783" s="401">
        <f t="shared" si="1019"/>
        <v>192.89400000000001</v>
      </c>
      <c r="AF783" s="118">
        <f t="shared" si="1019"/>
        <v>20.181000000000001</v>
      </c>
      <c r="AG783" s="118">
        <f t="shared" si="1019"/>
        <v>20.869</v>
      </c>
      <c r="AH783" s="118">
        <f t="shared" si="1019"/>
        <v>10.631</v>
      </c>
      <c r="AI783" s="118">
        <f t="shared" si="1019"/>
        <v>43.882000000000005</v>
      </c>
      <c r="AJ783" s="401">
        <f t="shared" si="1019"/>
        <v>95.563000000000002</v>
      </c>
      <c r="AK783" s="118">
        <f t="shared" si="1019"/>
        <v>19.222999999999999</v>
      </c>
      <c r="AL783" s="118">
        <f t="shared" si="1019"/>
        <v>20.847999999999999</v>
      </c>
      <c r="AM783" s="118">
        <f t="shared" si="1019"/>
        <v>24.614000000000001</v>
      </c>
      <c r="AN783" s="118">
        <f t="shared" si="1019"/>
        <v>36.274000000000001</v>
      </c>
      <c r="AO783" s="401">
        <f t="shared" si="1019"/>
        <v>100.959</v>
      </c>
      <c r="AP783" s="118">
        <f t="shared" si="1019"/>
        <v>11.063000000000001</v>
      </c>
      <c r="AQ783" s="118">
        <f t="shared" si="1019"/>
        <v>44.332999999999998</v>
      </c>
      <c r="AR783" s="118">
        <f t="shared" si="1019"/>
        <v>67.488</v>
      </c>
      <c r="AS783" s="118">
        <f t="shared" si="1019"/>
        <v>90.868000000000009</v>
      </c>
      <c r="AT783" s="401">
        <f t="shared" si="1019"/>
        <v>213.75200000000001</v>
      </c>
      <c r="AU783" s="118">
        <f t="shared" si="1019"/>
        <v>45.503</v>
      </c>
      <c r="AV783" s="118">
        <f t="shared" si="1019"/>
        <v>77.069000000000003</v>
      </c>
      <c r="AW783" s="118">
        <f t="shared" si="1019"/>
        <v>80.622</v>
      </c>
      <c r="AX783" s="118">
        <f t="shared" si="1019"/>
        <v>121.71999999999997</v>
      </c>
      <c r="AY783" s="401">
        <f t="shared" si="1019"/>
        <v>324.91399999999999</v>
      </c>
      <c r="AZ783" s="118">
        <f t="shared" si="1019"/>
        <v>69.531000000000006</v>
      </c>
      <c r="BA783" s="118">
        <f t="shared" si="1019"/>
        <v>98.79</v>
      </c>
      <c r="BB783" s="118">
        <f t="shared" si="1019"/>
        <v>88.28</v>
      </c>
      <c r="BC783" s="118">
        <f t="shared" si="1019"/>
        <v>116.17700000000002</v>
      </c>
      <c r="BD783" s="401">
        <f t="shared" si="1019"/>
        <v>372.77800000000002</v>
      </c>
      <c r="BE783" s="118">
        <f t="shared" si="1019"/>
        <v>48.444000000000003</v>
      </c>
      <c r="BF783" s="118">
        <f>BF647</f>
        <v>73.376000000000005</v>
      </c>
      <c r="BG783" s="118">
        <f>BG647</f>
        <v>84.974000000000004</v>
      </c>
      <c r="BH783" s="118">
        <f>BH647</f>
        <v>116.79900000000001</v>
      </c>
      <c r="BI783" s="401">
        <f>BI647</f>
        <v>323.59300000000002</v>
      </c>
      <c r="BJ783" s="971">
        <f>BJ647</f>
        <v>74.215000000000003</v>
      </c>
      <c r="BK783" s="118">
        <f>BK785-BK784</f>
        <v>69.893551997222218</v>
      </c>
      <c r="BL783" s="118">
        <f ca="1">BL785-BL784</f>
        <v>84.689415611115734</v>
      </c>
      <c r="BM783" s="118">
        <f ca="1">BM785-BM784</f>
        <v>131.63330923697566</v>
      </c>
      <c r="BN783" s="724">
        <f ca="1">SUM(BN781:BN782)</f>
        <v>360.43127684531356</v>
      </c>
      <c r="BO783" s="118">
        <f ca="1">BO785-BO784</f>
        <v>64.671932438954173</v>
      </c>
      <c r="BP783" s="118">
        <f ca="1">BP785-BP784</f>
        <v>63.979989046064148</v>
      </c>
      <c r="BQ783" s="118">
        <f ca="1">BQ785-BQ784</f>
        <v>80.812315842136044</v>
      </c>
      <c r="BR783" s="118">
        <f ca="1">BR785-BR784</f>
        <v>109.16100050747077</v>
      </c>
      <c r="BS783" s="724">
        <f ca="1">SUM(BS781:BS782)</f>
        <v>318.62523783462512</v>
      </c>
      <c r="BT783" s="724">
        <f ca="1">BT785-BT784</f>
        <v>343.67014443942833</v>
      </c>
      <c r="BU783" s="724">
        <f ca="1">BU785-BU784</f>
        <v>374.4293048828344</v>
      </c>
      <c r="BV783" s="724">
        <f ca="1">BV785-BV784</f>
        <v>407.7917330538649</v>
      </c>
      <c r="BW783" s="118"/>
    </row>
    <row r="784" spans="1:75" s="123" customFormat="1" hidden="1" outlineLevel="1" x14ac:dyDescent="0.5">
      <c r="A784" s="355" t="s">
        <v>1175</v>
      </c>
      <c r="B784" s="677"/>
      <c r="C784" s="406">
        <f t="shared" ref="C784:BE784" si="1020">(C779-C778)-(C727-C710)</f>
        <v>16.008210000000076</v>
      </c>
      <c r="D784" s="406">
        <f t="shared" si="1020"/>
        <v>8.2983599999998034</v>
      </c>
      <c r="E784" s="406">
        <f t="shared" si="1020"/>
        <v>0.86836000000022295</v>
      </c>
      <c r="F784" s="406">
        <f t="shared" si="1020"/>
        <v>2.9479600000000232</v>
      </c>
      <c r="G784" s="723">
        <f t="shared" si="1020"/>
        <v>0.94570000000003063</v>
      </c>
      <c r="H784" s="723">
        <f t="shared" si="1020"/>
        <v>5.6843418860808015E-14</v>
      </c>
      <c r="I784" s="723">
        <f t="shared" si="1020"/>
        <v>0</v>
      </c>
      <c r="J784" s="723">
        <f t="shared" si="1020"/>
        <v>-5.6843418860808015E-14</v>
      </c>
      <c r="K784" s="406">
        <f t="shared" si="1020"/>
        <v>0.96069999999991751</v>
      </c>
      <c r="L784" s="723">
        <f t="shared" si="1020"/>
        <v>0</v>
      </c>
      <c r="M784" s="723">
        <f t="shared" si="1020"/>
        <v>5.6843418860808015E-14</v>
      </c>
      <c r="N784" s="723">
        <f t="shared" si="1020"/>
        <v>0</v>
      </c>
      <c r="O784" s="723">
        <f t="shared" si="1020"/>
        <v>-2.7319500000000403</v>
      </c>
      <c r="P784" s="406">
        <f t="shared" si="1020"/>
        <v>-3.6060000000004493</v>
      </c>
      <c r="Q784" s="723">
        <f t="shared" si="1020"/>
        <v>0</v>
      </c>
      <c r="R784" s="723">
        <f t="shared" si="1020"/>
        <v>-5.6843418860808015E-14</v>
      </c>
      <c r="S784" s="723">
        <f t="shared" si="1020"/>
        <v>-1.1368683772161603E-13</v>
      </c>
      <c r="T784" s="723">
        <f t="shared" si="1020"/>
        <v>0</v>
      </c>
      <c r="U784" s="406">
        <f t="shared" si="1020"/>
        <v>0</v>
      </c>
      <c r="V784" s="723">
        <f t="shared" si="1020"/>
        <v>5.0747399999999487</v>
      </c>
      <c r="W784" s="723">
        <f t="shared" si="1020"/>
        <v>-5.6843418860808015E-14</v>
      </c>
      <c r="X784" s="723">
        <f t="shared" si="1020"/>
        <v>0.29355999999988569</v>
      </c>
      <c r="Y784" s="723">
        <f t="shared" si="1020"/>
        <v>7.0906400000000076</v>
      </c>
      <c r="Z784" s="406">
        <f t="shared" si="1020"/>
        <v>12.616759999999772</v>
      </c>
      <c r="AA784" s="723">
        <f t="shared" si="1020"/>
        <v>0.54199999999991633</v>
      </c>
      <c r="AB784" s="723">
        <f t="shared" si="1020"/>
        <v>-5.6843418860808015E-14</v>
      </c>
      <c r="AC784" s="723">
        <f t="shared" si="1020"/>
        <v>1.1368683772161603E-13</v>
      </c>
      <c r="AD784" s="723">
        <f t="shared" si="1020"/>
        <v>-37.140999999999892</v>
      </c>
      <c r="AE784" s="406">
        <f t="shared" si="1020"/>
        <v>-36.598999999999876</v>
      </c>
      <c r="AF784" s="723">
        <f t="shared" si="1020"/>
        <v>-2.5749999999999105</v>
      </c>
      <c r="AG784" s="723">
        <f t="shared" si="1020"/>
        <v>-7.6000000000028933E-2</v>
      </c>
      <c r="AH784" s="723">
        <f t="shared" si="1020"/>
        <v>12.646000000000242</v>
      </c>
      <c r="AI784" s="723">
        <f t="shared" si="1020"/>
        <v>2.7639999999999247</v>
      </c>
      <c r="AJ784" s="406">
        <f t="shared" si="1020"/>
        <v>12.758999999999389</v>
      </c>
      <c r="AK784" s="723">
        <f t="shared" si="1020"/>
        <v>1.1389999999999247</v>
      </c>
      <c r="AL784" s="723">
        <f t="shared" si="1020"/>
        <v>1.0429999999998927</v>
      </c>
      <c r="AM784" s="723">
        <f t="shared" si="1020"/>
        <v>1.892999999999958</v>
      </c>
      <c r="AN784" s="723">
        <f t="shared" si="1020"/>
        <v>7.2659999999999627</v>
      </c>
      <c r="AO784" s="406">
        <f t="shared" si="1020"/>
        <v>11.340999999999724</v>
      </c>
      <c r="AP784" s="723">
        <f t="shared" si="1020"/>
        <v>7.7179999999999893</v>
      </c>
      <c r="AQ784" s="723">
        <f t="shared" si="1020"/>
        <v>1.7380000000001417</v>
      </c>
      <c r="AR784" s="723">
        <f t="shared" si="1020"/>
        <v>1.120000000000033</v>
      </c>
      <c r="AS784" s="723">
        <f t="shared" si="1020"/>
        <v>5.9000000000000341</v>
      </c>
      <c r="AT784" s="406">
        <f t="shared" si="1020"/>
        <v>16.476000000000454</v>
      </c>
      <c r="AU784" s="723">
        <f t="shared" si="1020"/>
        <v>0.51100000000005252</v>
      </c>
      <c r="AV784" s="723">
        <f t="shared" si="1020"/>
        <v>0.46199999999996066</v>
      </c>
      <c r="AW784" s="723">
        <f t="shared" si="1020"/>
        <v>0.47299999999984266</v>
      </c>
      <c r="AX784" s="723">
        <f t="shared" si="1020"/>
        <v>-4.8999999999978172E-2</v>
      </c>
      <c r="AY784" s="406">
        <f t="shared" si="1020"/>
        <v>1.3969999999994798</v>
      </c>
      <c r="AZ784" s="723">
        <f t="shared" si="1020"/>
        <v>0</v>
      </c>
      <c r="BA784" s="723">
        <f t="shared" si="1020"/>
        <v>0</v>
      </c>
      <c r="BB784" s="723">
        <f t="shared" si="1020"/>
        <v>0</v>
      </c>
      <c r="BC784" s="723">
        <f t="shared" si="1020"/>
        <v>2.8400000000000318</v>
      </c>
      <c r="BD784" s="406">
        <f t="shared" si="1020"/>
        <v>2.8400000000003729</v>
      </c>
      <c r="BE784" s="723">
        <f t="shared" si="1020"/>
        <v>6.8640000000000896</v>
      </c>
      <c r="BF784" s="723">
        <f>(BF779-BF778)-(BF727-BF710)</f>
        <v>0</v>
      </c>
      <c r="BG784" s="723">
        <f>(BG779-BG778)-(BG727-BG710)</f>
        <v>-1.1368683772161603E-13</v>
      </c>
      <c r="BH784" s="723">
        <f>(BH779-BH778)-(BH727-BH710)</f>
        <v>0</v>
      </c>
      <c r="BI784" s="406">
        <f>(BI779-BI778)-(BI727-BI710)</f>
        <v>6.8640000000004875</v>
      </c>
      <c r="BJ784" s="1049">
        <f>(BJ779-BJ778)-(BJ727-BJ710)</f>
        <v>0</v>
      </c>
      <c r="BK784" s="723">
        <f>(BK779-BK778)*BK805</f>
        <v>0</v>
      </c>
      <c r="BL784" s="723">
        <f ca="1">(BL779-BL778)*BL805</f>
        <v>-3.0240698833949866E-14</v>
      </c>
      <c r="BM784" s="723">
        <f ca="1">(BM779-BM778)*BM805</f>
        <v>-3.0240698833949866E-14</v>
      </c>
      <c r="BN784" s="1300">
        <f ca="1">SUM(BJ784,BK784,BL784,BM784)</f>
        <v>-6.0481397667899731E-14</v>
      </c>
      <c r="BO784" s="723">
        <f ca="1">(BO779-BO778)*BO805</f>
        <v>0</v>
      </c>
      <c r="BP784" s="723">
        <f ca="1">(BP779-BP778)*BP805</f>
        <v>5.2295945351943376E-14</v>
      </c>
      <c r="BQ784" s="723">
        <f ca="1">(BQ779-BQ778)*BQ805</f>
        <v>2.6147972675971688E-14</v>
      </c>
      <c r="BR784" s="723">
        <f ca="1">(BR779-BR778)*BR805</f>
        <v>0</v>
      </c>
      <c r="BS784" s="1300">
        <f ca="1">SUM(BO784,BP784,BQ784,BR784)</f>
        <v>7.8443918027915067E-14</v>
      </c>
      <c r="BT784" s="1300">
        <f ca="1">(BT779-BT778)*BT805</f>
        <v>0</v>
      </c>
      <c r="BU784" s="1300">
        <f ca="1">(BU779-BU778)*BU805</f>
        <v>0</v>
      </c>
      <c r="BV784" s="1300">
        <f ca="1">(BV779-BV778)*BV805</f>
        <v>0</v>
      </c>
      <c r="BW784" s="118"/>
    </row>
    <row r="785" spans="1:75" s="123" customFormat="1" collapsed="1" x14ac:dyDescent="0.5">
      <c r="A785" s="405" t="s">
        <v>1176</v>
      </c>
      <c r="B785" s="677"/>
      <c r="C785" s="406">
        <f t="shared" ref="C785:BI785" si="1021">C783+C784</f>
        <v>58.855210000000078</v>
      </c>
      <c r="D785" s="406">
        <f t="shared" si="1021"/>
        <v>131.1313599999998</v>
      </c>
      <c r="E785" s="406">
        <f t="shared" si="1021"/>
        <v>145.76736000000022</v>
      </c>
      <c r="F785" s="406">
        <f t="shared" si="1021"/>
        <v>156.17396000000002</v>
      </c>
      <c r="G785" s="723">
        <f t="shared" si="1021"/>
        <v>25.451700000000031</v>
      </c>
      <c r="H785" s="723">
        <f t="shared" si="1021"/>
        <v>29.292000000000058</v>
      </c>
      <c r="I785" s="723">
        <f t="shared" si="1021"/>
        <v>35.878</v>
      </c>
      <c r="J785" s="723">
        <f t="shared" si="1021"/>
        <v>84.103999999999942</v>
      </c>
      <c r="K785" s="406">
        <f t="shared" si="1021"/>
        <v>174.74069999999992</v>
      </c>
      <c r="L785" s="723">
        <f t="shared" si="1021"/>
        <v>28.233000000000001</v>
      </c>
      <c r="M785" s="723">
        <f t="shared" si="1021"/>
        <v>34.549000000000056</v>
      </c>
      <c r="N785" s="723">
        <f t="shared" si="1021"/>
        <v>39.695</v>
      </c>
      <c r="O785" s="723">
        <f t="shared" si="1021"/>
        <v>88.14004999999996</v>
      </c>
      <c r="P785" s="406">
        <f t="shared" si="1021"/>
        <v>189.74299999999954</v>
      </c>
      <c r="Q785" s="723">
        <f t="shared" si="1021"/>
        <v>27.13</v>
      </c>
      <c r="R785" s="723">
        <f t="shared" si="1021"/>
        <v>29.399999999999942</v>
      </c>
      <c r="S785" s="723">
        <f t="shared" si="1021"/>
        <v>39.858999999999888</v>
      </c>
      <c r="T785" s="723">
        <f t="shared" si="1021"/>
        <v>81.55</v>
      </c>
      <c r="U785" s="406">
        <f t="shared" si="1021"/>
        <v>177.93899999999999</v>
      </c>
      <c r="V785" s="723">
        <f t="shared" si="1021"/>
        <v>29.070739999999947</v>
      </c>
      <c r="W785" s="723">
        <f t="shared" si="1021"/>
        <v>31.323999999999945</v>
      </c>
      <c r="X785" s="723">
        <f t="shared" si="1021"/>
        <v>40.406559999999885</v>
      </c>
      <c r="Y785" s="723">
        <f t="shared" si="1021"/>
        <v>78.181640000000002</v>
      </c>
      <c r="Z785" s="406">
        <f t="shared" si="1021"/>
        <v>179.14075999999977</v>
      </c>
      <c r="AA785" s="723">
        <f t="shared" si="1021"/>
        <v>23.563999999999915</v>
      </c>
      <c r="AB785" s="723">
        <f t="shared" si="1021"/>
        <v>28.183999999999944</v>
      </c>
      <c r="AC785" s="723">
        <f t="shared" si="1021"/>
        <v>38.906000000000112</v>
      </c>
      <c r="AD785" s="723">
        <f t="shared" si="1021"/>
        <v>65.641000000000105</v>
      </c>
      <c r="AE785" s="406">
        <f t="shared" si="1021"/>
        <v>156.29500000000013</v>
      </c>
      <c r="AF785" s="723">
        <f t="shared" si="1021"/>
        <v>17.60600000000009</v>
      </c>
      <c r="AG785" s="723">
        <f t="shared" si="1021"/>
        <v>20.792999999999971</v>
      </c>
      <c r="AH785" s="723">
        <f t="shared" si="1021"/>
        <v>23.277000000000243</v>
      </c>
      <c r="AI785" s="723">
        <f t="shared" si="1021"/>
        <v>46.64599999999993</v>
      </c>
      <c r="AJ785" s="406">
        <f t="shared" si="1021"/>
        <v>108.32199999999939</v>
      </c>
      <c r="AK785" s="723">
        <f t="shared" si="1021"/>
        <v>20.361999999999924</v>
      </c>
      <c r="AL785" s="723">
        <f t="shared" si="1021"/>
        <v>21.890999999999892</v>
      </c>
      <c r="AM785" s="723">
        <f t="shared" si="1021"/>
        <v>26.506999999999959</v>
      </c>
      <c r="AN785" s="723">
        <f t="shared" si="1021"/>
        <v>43.539999999999964</v>
      </c>
      <c r="AO785" s="406">
        <f t="shared" si="1021"/>
        <v>112.29999999999973</v>
      </c>
      <c r="AP785" s="723">
        <f t="shared" si="1021"/>
        <v>18.780999999999992</v>
      </c>
      <c r="AQ785" s="723">
        <f t="shared" si="1021"/>
        <v>46.07100000000014</v>
      </c>
      <c r="AR785" s="723">
        <f t="shared" si="1021"/>
        <v>68.608000000000033</v>
      </c>
      <c r="AS785" s="723">
        <f t="shared" si="1021"/>
        <v>96.768000000000043</v>
      </c>
      <c r="AT785" s="406">
        <f t="shared" si="1021"/>
        <v>230.22800000000046</v>
      </c>
      <c r="AU785" s="723">
        <f t="shared" si="1021"/>
        <v>46.014000000000053</v>
      </c>
      <c r="AV785" s="723">
        <f t="shared" si="1021"/>
        <v>77.530999999999963</v>
      </c>
      <c r="AW785" s="723">
        <f t="shared" si="1021"/>
        <v>81.094999999999843</v>
      </c>
      <c r="AX785" s="723">
        <f t="shared" si="1021"/>
        <v>121.67099999999999</v>
      </c>
      <c r="AY785" s="406">
        <f t="shared" si="1021"/>
        <v>326.31099999999947</v>
      </c>
      <c r="AZ785" s="723">
        <f t="shared" si="1021"/>
        <v>69.531000000000006</v>
      </c>
      <c r="BA785" s="723">
        <f t="shared" si="1021"/>
        <v>98.79</v>
      </c>
      <c r="BB785" s="723">
        <f t="shared" si="1021"/>
        <v>88.28</v>
      </c>
      <c r="BC785" s="723">
        <f t="shared" si="1021"/>
        <v>119.01700000000005</v>
      </c>
      <c r="BD785" s="406">
        <f t="shared" si="1021"/>
        <v>375.61800000000039</v>
      </c>
      <c r="BE785" s="723">
        <f t="shared" si="1021"/>
        <v>55.308000000000092</v>
      </c>
      <c r="BF785" s="723">
        <f t="shared" si="1021"/>
        <v>73.376000000000005</v>
      </c>
      <c r="BG785" s="723">
        <f t="shared" si="1021"/>
        <v>84.97399999999989</v>
      </c>
      <c r="BH785" s="723">
        <f t="shared" si="1021"/>
        <v>116.79900000000001</v>
      </c>
      <c r="BI785" s="406">
        <f t="shared" si="1021"/>
        <v>330.45700000000051</v>
      </c>
      <c r="BJ785" s="1049">
        <f>BJ783+BJ784</f>
        <v>74.215000000000003</v>
      </c>
      <c r="BK785" s="723">
        <f>BK804*BK779</f>
        <v>69.893551997222218</v>
      </c>
      <c r="BL785" s="723">
        <f ca="1">BL804*BL779</f>
        <v>84.689415611115706</v>
      </c>
      <c r="BM785" s="723">
        <f ca="1">BM804*BM779</f>
        <v>131.63330923697563</v>
      </c>
      <c r="BN785" s="1300">
        <f ca="1">BN783+BN784</f>
        <v>360.4312768453135</v>
      </c>
      <c r="BO785" s="723">
        <f ca="1">BO804*BO779</f>
        <v>64.671932438954173</v>
      </c>
      <c r="BP785" s="723">
        <f ca="1">BP804*BP779</f>
        <v>63.979989046064198</v>
      </c>
      <c r="BQ785" s="723">
        <f ca="1">BQ804*BQ779</f>
        <v>80.812315842136073</v>
      </c>
      <c r="BR785" s="723">
        <f ca="1">BR804*BR779</f>
        <v>109.16100050747077</v>
      </c>
      <c r="BS785" s="1300">
        <f ca="1">BS783+BS784</f>
        <v>318.62523783462518</v>
      </c>
      <c r="BT785" s="1300">
        <f ca="1">BT804*BT779</f>
        <v>343.67014443942833</v>
      </c>
      <c r="BU785" s="1300">
        <f ca="1">BU804*BU779</f>
        <v>374.4293048828344</v>
      </c>
      <c r="BV785" s="1300">
        <f ca="1">BV804*BV779</f>
        <v>407.7917330538649</v>
      </c>
      <c r="BW785" s="118"/>
    </row>
    <row r="786" spans="1:75" s="198" customFormat="1" ht="14.25" hidden="1" outlineLevel="1" x14ac:dyDescent="0.45">
      <c r="A786" s="292" t="s">
        <v>1178</v>
      </c>
      <c r="B786" s="522"/>
      <c r="C786" s="397">
        <f t="shared" ref="C786:BN786" si="1022">C778-C783</f>
        <v>77.442000000000007</v>
      </c>
      <c r="D786" s="397">
        <f t="shared" si="1022"/>
        <v>200.22700000000023</v>
      </c>
      <c r="E786" s="397">
        <f t="shared" si="1022"/>
        <v>236.93099999999953</v>
      </c>
      <c r="F786" s="397">
        <f t="shared" si="1022"/>
        <v>256.73</v>
      </c>
      <c r="G786" s="295">
        <f t="shared" si="1022"/>
        <v>39.465999999999902</v>
      </c>
      <c r="H786" s="295">
        <f t="shared" si="1022"/>
        <v>48.918999999999897</v>
      </c>
      <c r="I786" s="295">
        <f t="shared" si="1022"/>
        <v>56.719000000000023</v>
      </c>
      <c r="J786" s="295">
        <f t="shared" si="1022"/>
        <v>133.79800000000012</v>
      </c>
      <c r="K786" s="397">
        <f t="shared" si="1022"/>
        <v>278.90200000000038</v>
      </c>
      <c r="L786" s="295">
        <f t="shared" si="1022"/>
        <v>46.16200000000002</v>
      </c>
      <c r="M786" s="295">
        <f t="shared" si="1022"/>
        <v>50.747000000000007</v>
      </c>
      <c r="N786" s="295">
        <f t="shared" si="1022"/>
        <v>64.908000000000015</v>
      </c>
      <c r="O786" s="295">
        <f t="shared" si="1022"/>
        <v>147.03700000000003</v>
      </c>
      <c r="P786" s="397">
        <f t="shared" si="1022"/>
        <v>308.85400000000033</v>
      </c>
      <c r="Q786" s="295">
        <f t="shared" si="1022"/>
        <v>44.789999999999893</v>
      </c>
      <c r="R786" s="295">
        <f t="shared" si="1022"/>
        <v>53.66800000000007</v>
      </c>
      <c r="S786" s="295">
        <f t="shared" si="1022"/>
        <v>70.482000000000227</v>
      </c>
      <c r="T786" s="295">
        <f t="shared" si="1022"/>
        <v>141.12800000000004</v>
      </c>
      <c r="U786" s="397">
        <f t="shared" si="1022"/>
        <v>310.06799999999998</v>
      </c>
      <c r="V786" s="295">
        <f t="shared" si="1022"/>
        <v>39.597000000000094</v>
      </c>
      <c r="W786" s="295">
        <f t="shared" si="1022"/>
        <v>51.785000000000068</v>
      </c>
      <c r="X786" s="295">
        <f t="shared" si="1022"/>
        <v>69.378000000000043</v>
      </c>
      <c r="Y786" s="295">
        <f t="shared" si="1022"/>
        <v>144.62699999999995</v>
      </c>
      <c r="Z786" s="397">
        <f t="shared" si="1022"/>
        <v>305.38700000000017</v>
      </c>
      <c r="AA786" s="295">
        <f t="shared" si="1022"/>
        <v>39.555000000000163</v>
      </c>
      <c r="AB786" s="295">
        <f t="shared" si="1022"/>
        <v>52.917000000000058</v>
      </c>
      <c r="AC786" s="295">
        <f t="shared" si="1022"/>
        <v>71.312999999999874</v>
      </c>
      <c r="AD786" s="295">
        <f t="shared" si="1022"/>
        <v>95.760000000000062</v>
      </c>
      <c r="AE786" s="397">
        <f t="shared" si="1022"/>
        <v>259.54499999999967</v>
      </c>
      <c r="AF786" s="295">
        <f t="shared" si="1022"/>
        <v>45.167999999999964</v>
      </c>
      <c r="AG786" s="295">
        <f t="shared" si="1022"/>
        <v>51.712999999999937</v>
      </c>
      <c r="AH786" s="295">
        <f t="shared" si="1022"/>
        <v>81.46499999999979</v>
      </c>
      <c r="AI786" s="295">
        <f t="shared" si="1022"/>
        <v>155.33799999999982</v>
      </c>
      <c r="AJ786" s="397">
        <f t="shared" si="1022"/>
        <v>333.68400000000042</v>
      </c>
      <c r="AK786" s="295">
        <f t="shared" si="1022"/>
        <v>52.656000000000063</v>
      </c>
      <c r="AL786" s="295">
        <f t="shared" si="1022"/>
        <v>62.648000000000195</v>
      </c>
      <c r="AM786" s="295">
        <f t="shared" si="1022"/>
        <v>74.713000000000079</v>
      </c>
      <c r="AN786" s="295">
        <f t="shared" si="1022"/>
        <v>166.04499999999993</v>
      </c>
      <c r="AO786" s="397">
        <f t="shared" si="1022"/>
        <v>356.06199999999978</v>
      </c>
      <c r="AP786" s="295">
        <f t="shared" si="1022"/>
        <v>35.422999999999981</v>
      </c>
      <c r="AQ786" s="295">
        <f t="shared" si="1022"/>
        <v>134.56399999999988</v>
      </c>
      <c r="AR786" s="295">
        <f t="shared" si="1022"/>
        <v>201.77200000000005</v>
      </c>
      <c r="AS786" s="295">
        <f t="shared" si="1022"/>
        <v>308.95500000000067</v>
      </c>
      <c r="AT786" s="397">
        <f t="shared" si="1022"/>
        <v>680.71400000000017</v>
      </c>
      <c r="AU786" s="295">
        <f t="shared" si="1022"/>
        <v>227.80199999999991</v>
      </c>
      <c r="AV786" s="295">
        <f t="shared" si="1022"/>
        <v>246.06999999999988</v>
      </c>
      <c r="AW786" s="295">
        <f t="shared" si="1022"/>
        <v>249.52400000000006</v>
      </c>
      <c r="AX786" s="295">
        <f t="shared" si="1022"/>
        <v>402.94099999999929</v>
      </c>
      <c r="AY786" s="397">
        <f t="shared" si="1022"/>
        <v>1126.337</v>
      </c>
      <c r="AZ786" s="295">
        <f t="shared" si="1022"/>
        <v>254.113</v>
      </c>
      <c r="BA786" s="295">
        <f t="shared" si="1022"/>
        <v>267.0749999999997</v>
      </c>
      <c r="BB786" s="295">
        <f t="shared" si="1022"/>
        <v>251.72300000000004</v>
      </c>
      <c r="BC786" s="295">
        <f t="shared" si="1022"/>
        <v>354.99299999999931</v>
      </c>
      <c r="BD786" s="397">
        <f t="shared" si="1022"/>
        <v>1127.9039999999986</v>
      </c>
      <c r="BE786" s="295">
        <f t="shared" si="1022"/>
        <v>156.53099999999984</v>
      </c>
      <c r="BF786" s="295">
        <f t="shared" si="1022"/>
        <v>201.50699999999998</v>
      </c>
      <c r="BG786" s="295">
        <f t="shared" si="1022"/>
        <v>237.28500000000025</v>
      </c>
      <c r="BH786" s="295">
        <f t="shared" si="1022"/>
        <v>354.43899999999985</v>
      </c>
      <c r="BI786" s="397">
        <f t="shared" si="1022"/>
        <v>949.76199999999926</v>
      </c>
      <c r="BJ786" s="1030">
        <f>BJ778-BJ783</f>
        <v>265.66599999999994</v>
      </c>
      <c r="BK786" s="295">
        <f t="shared" si="1022"/>
        <v>192.86416227804926</v>
      </c>
      <c r="BL786" s="295">
        <f t="shared" ca="1" si="1022"/>
        <v>233.69184608480805</v>
      </c>
      <c r="BM786" s="295">
        <f t="shared" ca="1" si="1022"/>
        <v>363.22875556368473</v>
      </c>
      <c r="BN786" s="1302">
        <f t="shared" ca="1" si="1022"/>
        <v>1055.4507639265423</v>
      </c>
      <c r="BO786" s="295">
        <f t="shared" ref="BO786:CF786" ca="1" si="1023">BO778-BO783</f>
        <v>216.51038251302049</v>
      </c>
      <c r="BP786" s="295">
        <f t="shared" ca="1" si="1023"/>
        <v>214.19387637160605</v>
      </c>
      <c r="BQ786" s="295">
        <f t="shared" ca="1" si="1023"/>
        <v>270.54557912367284</v>
      </c>
      <c r="BR786" s="295">
        <f t="shared" ca="1" si="1023"/>
        <v>365.45204517718474</v>
      </c>
      <c r="BS786" s="1302">
        <f t="shared" ca="1" si="1023"/>
        <v>1066.7018831854834</v>
      </c>
      <c r="BT786" s="1302">
        <f t="shared" ca="1" si="1023"/>
        <v>1150.5478748624337</v>
      </c>
      <c r="BU786" s="1302">
        <f t="shared" ca="1" si="1023"/>
        <v>1253.5241946077499</v>
      </c>
      <c r="BV786" s="1302">
        <f t="shared" ca="1" si="1023"/>
        <v>1365.2158019629389</v>
      </c>
      <c r="BW786" s="295"/>
    </row>
    <row r="787" spans="1:75" s="198" customFormat="1" ht="14.25" collapsed="1" x14ac:dyDescent="0.45">
      <c r="A787" s="292" t="s">
        <v>1179</v>
      </c>
      <c r="B787" s="522"/>
      <c r="C787" s="397">
        <f t="shared" ref="C787:BN787" si="1024">C779-C785</f>
        <v>102.13779</v>
      </c>
      <c r="D787" s="397">
        <f t="shared" si="1024"/>
        <v>213.36964000000023</v>
      </c>
      <c r="E787" s="397">
        <f t="shared" si="1024"/>
        <v>239.06263999999953</v>
      </c>
      <c r="F787" s="397">
        <f t="shared" si="1024"/>
        <v>260.77204</v>
      </c>
      <c r="G787" s="295">
        <f t="shared" si="1024"/>
        <v>41.456299999999899</v>
      </c>
      <c r="H787" s="295">
        <f t="shared" si="1024"/>
        <v>48.918999999999897</v>
      </c>
      <c r="I787" s="295">
        <f t="shared" si="1024"/>
        <v>56.719000000000023</v>
      </c>
      <c r="J787" s="295">
        <f t="shared" si="1024"/>
        <v>133.79800000000012</v>
      </c>
      <c r="K787" s="397">
        <f t="shared" si="1024"/>
        <v>280.87730000000045</v>
      </c>
      <c r="L787" s="295">
        <f t="shared" si="1024"/>
        <v>46.16200000000002</v>
      </c>
      <c r="M787" s="295">
        <f t="shared" si="1024"/>
        <v>50.747000000000007</v>
      </c>
      <c r="N787" s="295">
        <f t="shared" si="1024"/>
        <v>64.908000000000015</v>
      </c>
      <c r="O787" s="295">
        <f t="shared" si="1024"/>
        <v>142.35495000000003</v>
      </c>
      <c r="P787" s="397">
        <f t="shared" si="1024"/>
        <v>305.04600000000033</v>
      </c>
      <c r="Q787" s="295">
        <f t="shared" si="1024"/>
        <v>44.789999999999893</v>
      </c>
      <c r="R787" s="295">
        <f t="shared" si="1024"/>
        <v>53.66800000000007</v>
      </c>
      <c r="S787" s="295">
        <f t="shared" si="1024"/>
        <v>70.482000000000227</v>
      </c>
      <c r="T787" s="295">
        <f t="shared" si="1024"/>
        <v>141.12800000000004</v>
      </c>
      <c r="U787" s="397">
        <f t="shared" si="1024"/>
        <v>310.06799999999998</v>
      </c>
      <c r="V787" s="295">
        <f t="shared" si="1024"/>
        <v>47.743260000000092</v>
      </c>
      <c r="W787" s="295">
        <f t="shared" si="1024"/>
        <v>51.785000000000068</v>
      </c>
      <c r="X787" s="295">
        <f t="shared" si="1024"/>
        <v>70.269440000000046</v>
      </c>
      <c r="Y787" s="295">
        <f t="shared" si="1024"/>
        <v>137.53635999999995</v>
      </c>
      <c r="Z787" s="397">
        <f t="shared" si="1024"/>
        <v>307.17624000000012</v>
      </c>
      <c r="AA787" s="295">
        <f t="shared" si="1024"/>
        <v>44.718000000000167</v>
      </c>
      <c r="AB787" s="295">
        <f t="shared" si="1024"/>
        <v>52.917000000000058</v>
      </c>
      <c r="AC787" s="295">
        <f t="shared" si="1024"/>
        <v>71.312999999999874</v>
      </c>
      <c r="AD787" s="295">
        <f t="shared" si="1024"/>
        <v>142.01700000000005</v>
      </c>
      <c r="AE787" s="397">
        <f t="shared" si="1024"/>
        <v>310.96499999999969</v>
      </c>
      <c r="AF787" s="295">
        <f t="shared" si="1024"/>
        <v>56.374999999999957</v>
      </c>
      <c r="AG787" s="295">
        <f t="shared" si="1024"/>
        <v>63.951999999999934</v>
      </c>
      <c r="AH787" s="295">
        <f t="shared" si="1024"/>
        <v>77.821999999999775</v>
      </c>
      <c r="AI787" s="295">
        <f t="shared" si="1024"/>
        <v>169.39299999999983</v>
      </c>
      <c r="AJ787" s="397">
        <f t="shared" si="1024"/>
        <v>367.54200000000043</v>
      </c>
      <c r="AK787" s="295">
        <f t="shared" si="1024"/>
        <v>64.455000000000069</v>
      </c>
      <c r="AL787" s="295">
        <f t="shared" si="1024"/>
        <v>69.458000000000197</v>
      </c>
      <c r="AM787" s="295">
        <f t="shared" si="1024"/>
        <v>80.805000000000078</v>
      </c>
      <c r="AN787" s="295">
        <f t="shared" si="1024"/>
        <v>168.50399999999993</v>
      </c>
      <c r="AO787" s="397">
        <f t="shared" si="1024"/>
        <v>383.22199999999981</v>
      </c>
      <c r="AP787" s="295">
        <f t="shared" si="1024"/>
        <v>58.060999999999979</v>
      </c>
      <c r="AQ787" s="295">
        <f t="shared" si="1024"/>
        <v>142.52199999999988</v>
      </c>
      <c r="AR787" s="295">
        <f t="shared" si="1024"/>
        <v>202.87100000000007</v>
      </c>
      <c r="AS787" s="295">
        <f t="shared" si="1024"/>
        <v>311.32300000000066</v>
      </c>
      <c r="AT787" s="397">
        <f t="shared" si="1024"/>
        <v>714.77700000000004</v>
      </c>
      <c r="AU787" s="295">
        <f t="shared" si="1024"/>
        <v>230.12999999999988</v>
      </c>
      <c r="AV787" s="295">
        <f t="shared" si="1024"/>
        <v>248.3649999999999</v>
      </c>
      <c r="AW787" s="295">
        <f t="shared" si="1024"/>
        <v>251.80300000000005</v>
      </c>
      <c r="AX787" s="295">
        <f t="shared" si="1024"/>
        <v>403.80199999999928</v>
      </c>
      <c r="AY787" s="397">
        <f t="shared" si="1024"/>
        <v>1134.0999999999999</v>
      </c>
      <c r="AZ787" s="295">
        <f t="shared" si="1024"/>
        <v>254.113</v>
      </c>
      <c r="BA787" s="295">
        <f t="shared" si="1024"/>
        <v>267.0749999999997</v>
      </c>
      <c r="BB787" s="295">
        <f t="shared" si="1024"/>
        <v>251.72300000000004</v>
      </c>
      <c r="BC787" s="295">
        <f t="shared" si="1024"/>
        <v>369.83999999999929</v>
      </c>
      <c r="BD787" s="397">
        <f t="shared" si="1024"/>
        <v>1142.7509999999986</v>
      </c>
      <c r="BE787" s="295">
        <f t="shared" si="1024"/>
        <v>175.91399999999982</v>
      </c>
      <c r="BF787" s="295">
        <f t="shared" si="1024"/>
        <v>201.50699999999998</v>
      </c>
      <c r="BG787" s="295">
        <f t="shared" si="1024"/>
        <v>237.28500000000025</v>
      </c>
      <c r="BH787" s="295">
        <f t="shared" si="1024"/>
        <v>354.43899999999985</v>
      </c>
      <c r="BI787" s="397">
        <f t="shared" si="1024"/>
        <v>969.1449999999993</v>
      </c>
      <c r="BJ787" s="1030">
        <f>BJ779-BJ785</f>
        <v>265.66599999999994</v>
      </c>
      <c r="BK787" s="295">
        <f t="shared" si="1024"/>
        <v>192.86416227804926</v>
      </c>
      <c r="BL787" s="295">
        <f t="shared" ca="1" si="1024"/>
        <v>233.69184608480799</v>
      </c>
      <c r="BM787" s="295">
        <f t="shared" ca="1" si="1024"/>
        <v>363.22875556368467</v>
      </c>
      <c r="BN787" s="1302">
        <f t="shared" ca="1" si="1024"/>
        <v>1055.4507639265419</v>
      </c>
      <c r="BO787" s="295">
        <f t="shared" ref="BO787:CF787" ca="1" si="1025">BO779-BO785</f>
        <v>216.51038251302049</v>
      </c>
      <c r="BP787" s="295">
        <f t="shared" ca="1" si="1025"/>
        <v>214.19387637160622</v>
      </c>
      <c r="BQ787" s="295">
        <f t="shared" ca="1" si="1025"/>
        <v>270.54557912367295</v>
      </c>
      <c r="BR787" s="295">
        <f t="shared" ca="1" si="1025"/>
        <v>365.45204517718474</v>
      </c>
      <c r="BS787" s="1302">
        <f t="shared" ca="1" si="1025"/>
        <v>1066.7018831854839</v>
      </c>
      <c r="BT787" s="1302">
        <f t="shared" ca="1" si="1025"/>
        <v>1150.5478748624337</v>
      </c>
      <c r="BU787" s="1302">
        <f t="shared" ca="1" si="1025"/>
        <v>1253.5241946077499</v>
      </c>
      <c r="BV787" s="1302">
        <f t="shared" ca="1" si="1025"/>
        <v>1365.2158019629389</v>
      </c>
      <c r="BW787" s="295"/>
    </row>
    <row r="788" spans="1:75" s="123" customFormat="1" hidden="1" outlineLevel="1" x14ac:dyDescent="0.5">
      <c r="A788" s="354" t="s">
        <v>1180</v>
      </c>
      <c r="B788" s="513"/>
      <c r="C788" s="401"/>
      <c r="D788" s="401"/>
      <c r="E788" s="401"/>
      <c r="F788" s="401"/>
      <c r="G788" s="118"/>
      <c r="H788" s="118"/>
      <c r="I788" s="118"/>
      <c r="J788" s="118"/>
      <c r="K788" s="401"/>
      <c r="L788" s="118"/>
      <c r="M788" s="118"/>
      <c r="N788" s="118"/>
      <c r="O788" s="118"/>
      <c r="P788" s="401"/>
      <c r="Q788" s="118"/>
      <c r="R788" s="118"/>
      <c r="S788" s="118"/>
      <c r="T788" s="118"/>
      <c r="U788" s="401"/>
      <c r="V788" s="118"/>
      <c r="W788" s="118"/>
      <c r="X788" s="118"/>
      <c r="Y788" s="118"/>
      <c r="Z788" s="401"/>
      <c r="AA788" s="118"/>
      <c r="AB788" s="118"/>
      <c r="AC788" s="118"/>
      <c r="AD788" s="118"/>
      <c r="AE788" s="401"/>
      <c r="AF788" s="118"/>
      <c r="AG788" s="118"/>
      <c r="AH788" s="118"/>
      <c r="AI788" s="118"/>
      <c r="AJ788" s="401"/>
      <c r="AK788" s="118"/>
      <c r="AL788" s="118"/>
      <c r="AM788" s="118"/>
      <c r="AN788" s="118"/>
      <c r="AO788" s="401"/>
      <c r="AP788" s="118"/>
      <c r="AQ788" s="118"/>
      <c r="AR788" s="118"/>
      <c r="AS788" s="118"/>
      <c r="AT788" s="401"/>
      <c r="AU788" s="118"/>
      <c r="AV788" s="118"/>
      <c r="AW788" s="118"/>
      <c r="AX788" s="118"/>
      <c r="AY788" s="401"/>
      <c r="AZ788" s="118"/>
      <c r="BA788" s="118"/>
      <c r="BB788" s="118"/>
      <c r="BC788" s="118"/>
      <c r="BD788" s="401"/>
      <c r="BE788" s="118"/>
      <c r="BF788" s="118"/>
      <c r="BG788" s="118"/>
      <c r="BH788" s="118"/>
      <c r="BI788" s="401"/>
      <c r="BJ788" s="971"/>
      <c r="BK788" s="118"/>
      <c r="BL788" s="118"/>
      <c r="BM788" s="118"/>
      <c r="BN788" s="724">
        <f>SUM(BJ788,BK788,BL788,BM788)</f>
        <v>0</v>
      </c>
      <c r="BO788" s="118"/>
      <c r="BP788" s="118"/>
      <c r="BQ788" s="118"/>
      <c r="BR788" s="118"/>
      <c r="BS788" s="724">
        <f>SUM(BO788,BP788,BQ788,BR788)</f>
        <v>0</v>
      </c>
      <c r="BT788" s="724"/>
      <c r="BU788" s="724"/>
      <c r="BV788" s="724"/>
      <c r="BW788" s="122"/>
    </row>
    <row r="789" spans="1:75" s="123" customFormat="1" hidden="1" outlineLevel="1" x14ac:dyDescent="0.5">
      <c r="A789" s="355" t="s">
        <v>1181</v>
      </c>
      <c r="B789" s="677"/>
      <c r="C789" s="406"/>
      <c r="D789" s="406"/>
      <c r="E789" s="406"/>
      <c r="F789" s="406"/>
      <c r="G789" s="723"/>
      <c r="H789" s="723"/>
      <c r="I789" s="723"/>
      <c r="J789" s="723"/>
      <c r="K789" s="406"/>
      <c r="L789" s="723"/>
      <c r="M789" s="723"/>
      <c r="N789" s="723"/>
      <c r="O789" s="723"/>
      <c r="P789" s="406"/>
      <c r="Q789" s="723"/>
      <c r="R789" s="723"/>
      <c r="S789" s="723"/>
      <c r="T789" s="723"/>
      <c r="U789" s="406"/>
      <c r="V789" s="723"/>
      <c r="W789" s="723"/>
      <c r="X789" s="723"/>
      <c r="Y789" s="723"/>
      <c r="Z789" s="406"/>
      <c r="AA789" s="723"/>
      <c r="AB789" s="723"/>
      <c r="AC789" s="723"/>
      <c r="AD789" s="723"/>
      <c r="AE789" s="406"/>
      <c r="AF789" s="723"/>
      <c r="AG789" s="723"/>
      <c r="AH789" s="723"/>
      <c r="AI789" s="723"/>
      <c r="AJ789" s="406"/>
      <c r="AK789" s="723"/>
      <c r="AL789" s="723"/>
      <c r="AM789" s="723"/>
      <c r="AN789" s="723"/>
      <c r="AO789" s="406"/>
      <c r="AP789" s="723"/>
      <c r="AQ789" s="723"/>
      <c r="AR789" s="723"/>
      <c r="AS789" s="723"/>
      <c r="AT789" s="406"/>
      <c r="AU789" s="723"/>
      <c r="AV789" s="723"/>
      <c r="AW789" s="723"/>
      <c r="AX789" s="723"/>
      <c r="AY789" s="406"/>
      <c r="AZ789" s="723"/>
      <c r="BA789" s="723"/>
      <c r="BB789" s="723"/>
      <c r="BC789" s="723"/>
      <c r="BD789" s="406"/>
      <c r="BE789" s="723"/>
      <c r="BF789" s="723"/>
      <c r="BG789" s="723"/>
      <c r="BH789" s="723"/>
      <c r="BI789" s="406"/>
      <c r="BJ789" s="1049"/>
      <c r="BK789" s="723"/>
      <c r="BL789" s="723"/>
      <c r="BM789" s="723"/>
      <c r="BN789" s="1300">
        <f>SUM(BJ789,BK789,BL789,BM789)</f>
        <v>0</v>
      </c>
      <c r="BO789" s="723"/>
      <c r="BP789" s="723"/>
      <c r="BQ789" s="723"/>
      <c r="BR789" s="723"/>
      <c r="BS789" s="1300">
        <f>SUM(BO789,BP789,BQ789,BR789)</f>
        <v>0</v>
      </c>
      <c r="BT789" s="1300"/>
      <c r="BU789" s="1300"/>
      <c r="BV789" s="1300"/>
      <c r="BW789" s="118"/>
    </row>
    <row r="790" spans="1:75" s="123" customFormat="1" collapsed="1" x14ac:dyDescent="0.5">
      <c r="A790" s="354" t="s">
        <v>1182</v>
      </c>
      <c r="B790" s="513"/>
      <c r="C790" s="401">
        <f t="shared" ref="C790:BN790" si="1026">C788-C789</f>
        <v>0</v>
      </c>
      <c r="D790" s="401">
        <f t="shared" si="1026"/>
        <v>0</v>
      </c>
      <c r="E790" s="401">
        <f t="shared" si="1026"/>
        <v>0</v>
      </c>
      <c r="F790" s="401">
        <f t="shared" si="1026"/>
        <v>0</v>
      </c>
      <c r="G790" s="118">
        <f t="shared" si="1026"/>
        <v>0</v>
      </c>
      <c r="H790" s="118">
        <f t="shared" si="1026"/>
        <v>0</v>
      </c>
      <c r="I790" s="118">
        <f t="shared" si="1026"/>
        <v>0</v>
      </c>
      <c r="J790" s="118">
        <f t="shared" si="1026"/>
        <v>0</v>
      </c>
      <c r="K790" s="401">
        <f t="shared" si="1026"/>
        <v>0</v>
      </c>
      <c r="L790" s="118">
        <f t="shared" si="1026"/>
        <v>0</v>
      </c>
      <c r="M790" s="118">
        <f t="shared" si="1026"/>
        <v>0</v>
      </c>
      <c r="N790" s="118">
        <f t="shared" si="1026"/>
        <v>0</v>
      </c>
      <c r="O790" s="118">
        <f t="shared" si="1026"/>
        <v>0</v>
      </c>
      <c r="P790" s="401">
        <f t="shared" si="1026"/>
        <v>0</v>
      </c>
      <c r="Q790" s="118">
        <f t="shared" si="1026"/>
        <v>0</v>
      </c>
      <c r="R790" s="118">
        <f t="shared" si="1026"/>
        <v>0</v>
      </c>
      <c r="S790" s="118">
        <f t="shared" si="1026"/>
        <v>0</v>
      </c>
      <c r="T790" s="118">
        <f t="shared" si="1026"/>
        <v>0</v>
      </c>
      <c r="U790" s="401">
        <f t="shared" si="1026"/>
        <v>0</v>
      </c>
      <c r="V790" s="118">
        <f t="shared" si="1026"/>
        <v>0</v>
      </c>
      <c r="W790" s="118">
        <f t="shared" si="1026"/>
        <v>0</v>
      </c>
      <c r="X790" s="118">
        <f t="shared" si="1026"/>
        <v>0</v>
      </c>
      <c r="Y790" s="118">
        <f t="shared" si="1026"/>
        <v>0</v>
      </c>
      <c r="Z790" s="401">
        <f t="shared" si="1026"/>
        <v>0</v>
      </c>
      <c r="AA790" s="118">
        <f t="shared" si="1026"/>
        <v>0</v>
      </c>
      <c r="AB790" s="118">
        <f t="shared" si="1026"/>
        <v>0</v>
      </c>
      <c r="AC790" s="118">
        <f t="shared" si="1026"/>
        <v>0</v>
      </c>
      <c r="AD790" s="118">
        <f t="shared" si="1026"/>
        <v>0</v>
      </c>
      <c r="AE790" s="401">
        <f t="shared" si="1026"/>
        <v>0</v>
      </c>
      <c r="AF790" s="118">
        <f t="shared" si="1026"/>
        <v>0</v>
      </c>
      <c r="AG790" s="118">
        <f t="shared" si="1026"/>
        <v>0</v>
      </c>
      <c r="AH790" s="118">
        <f t="shared" si="1026"/>
        <v>0</v>
      </c>
      <c r="AI790" s="118">
        <f t="shared" si="1026"/>
        <v>0</v>
      </c>
      <c r="AJ790" s="401">
        <f t="shared" si="1026"/>
        <v>0</v>
      </c>
      <c r="AK790" s="118">
        <f t="shared" si="1026"/>
        <v>0</v>
      </c>
      <c r="AL790" s="118">
        <f t="shared" si="1026"/>
        <v>0</v>
      </c>
      <c r="AM790" s="118">
        <f t="shared" si="1026"/>
        <v>0</v>
      </c>
      <c r="AN790" s="118">
        <f t="shared" si="1026"/>
        <v>0</v>
      </c>
      <c r="AO790" s="401">
        <f t="shared" si="1026"/>
        <v>0</v>
      </c>
      <c r="AP790" s="118">
        <f t="shared" si="1026"/>
        <v>0</v>
      </c>
      <c r="AQ790" s="118">
        <f t="shared" si="1026"/>
        <v>0</v>
      </c>
      <c r="AR790" s="118">
        <f t="shared" si="1026"/>
        <v>0</v>
      </c>
      <c r="AS790" s="118">
        <f t="shared" si="1026"/>
        <v>0</v>
      </c>
      <c r="AT790" s="401">
        <f t="shared" si="1026"/>
        <v>0</v>
      </c>
      <c r="AU790" s="118">
        <f t="shared" si="1026"/>
        <v>0</v>
      </c>
      <c r="AV790" s="118">
        <f t="shared" si="1026"/>
        <v>0</v>
      </c>
      <c r="AW790" s="118">
        <f t="shared" si="1026"/>
        <v>0</v>
      </c>
      <c r="AX790" s="118">
        <f t="shared" si="1026"/>
        <v>0</v>
      </c>
      <c r="AY790" s="401">
        <f t="shared" si="1026"/>
        <v>0</v>
      </c>
      <c r="AZ790" s="118">
        <f t="shared" si="1026"/>
        <v>0</v>
      </c>
      <c r="BA790" s="118">
        <f t="shared" si="1026"/>
        <v>0</v>
      </c>
      <c r="BB790" s="118">
        <f t="shared" si="1026"/>
        <v>0</v>
      </c>
      <c r="BC790" s="118">
        <f t="shared" si="1026"/>
        <v>0</v>
      </c>
      <c r="BD790" s="401">
        <f t="shared" si="1026"/>
        <v>0</v>
      </c>
      <c r="BE790" s="118">
        <f t="shared" si="1026"/>
        <v>0</v>
      </c>
      <c r="BF790" s="118">
        <f t="shared" si="1026"/>
        <v>0</v>
      </c>
      <c r="BG790" s="118">
        <f t="shared" si="1026"/>
        <v>0</v>
      </c>
      <c r="BH790" s="118">
        <f t="shared" si="1026"/>
        <v>0</v>
      </c>
      <c r="BI790" s="401">
        <f t="shared" si="1026"/>
        <v>0</v>
      </c>
      <c r="BJ790" s="971">
        <f>BJ788-BJ789</f>
        <v>0</v>
      </c>
      <c r="BK790" s="118">
        <f t="shared" si="1026"/>
        <v>0</v>
      </c>
      <c r="BL790" s="118">
        <f t="shared" si="1026"/>
        <v>0</v>
      </c>
      <c r="BM790" s="118">
        <f t="shared" si="1026"/>
        <v>0</v>
      </c>
      <c r="BN790" s="724">
        <f t="shared" si="1026"/>
        <v>0</v>
      </c>
      <c r="BO790" s="118">
        <f t="shared" ref="BO790:CF790" si="1027">BO788-BO789</f>
        <v>0</v>
      </c>
      <c r="BP790" s="118">
        <f t="shared" si="1027"/>
        <v>0</v>
      </c>
      <c r="BQ790" s="118">
        <f t="shared" si="1027"/>
        <v>0</v>
      </c>
      <c r="BR790" s="118">
        <f t="shared" si="1027"/>
        <v>0</v>
      </c>
      <c r="BS790" s="724">
        <f t="shared" si="1027"/>
        <v>0</v>
      </c>
      <c r="BT790" s="724">
        <f t="shared" si="1027"/>
        <v>0</v>
      </c>
      <c r="BU790" s="724">
        <f t="shared" si="1027"/>
        <v>0</v>
      </c>
      <c r="BV790" s="724">
        <f t="shared" si="1027"/>
        <v>0</v>
      </c>
      <c r="BW790" s="118"/>
    </row>
    <row r="791" spans="1:75" s="123" customFormat="1" hidden="1" outlineLevel="1" x14ac:dyDescent="0.5">
      <c r="A791" s="354" t="s">
        <v>1183</v>
      </c>
      <c r="B791" s="513"/>
      <c r="C791" s="401"/>
      <c r="D791" s="401"/>
      <c r="E791" s="401"/>
      <c r="F791" s="401"/>
      <c r="G791" s="118"/>
      <c r="H791" s="118"/>
      <c r="I791" s="118"/>
      <c r="J791" s="118"/>
      <c r="K791" s="401"/>
      <c r="L791" s="118"/>
      <c r="M791" s="118"/>
      <c r="N791" s="118"/>
      <c r="O791" s="118"/>
      <c r="P791" s="401"/>
      <c r="Q791" s="118"/>
      <c r="R791" s="118"/>
      <c r="S791" s="118"/>
      <c r="T791" s="118"/>
      <c r="U791" s="401"/>
      <c r="V791" s="118"/>
      <c r="W791" s="118"/>
      <c r="X791" s="118"/>
      <c r="Y791" s="118"/>
      <c r="Z791" s="401"/>
      <c r="AA791" s="118"/>
      <c r="AB791" s="118"/>
      <c r="AC791" s="118"/>
      <c r="AD791" s="118"/>
      <c r="AE791" s="401"/>
      <c r="AF791" s="118"/>
      <c r="AG791" s="118"/>
      <c r="AH791" s="118"/>
      <c r="AI791" s="118"/>
      <c r="AJ791" s="401"/>
      <c r="AK791" s="118"/>
      <c r="AL791" s="118"/>
      <c r="AM791" s="118"/>
      <c r="AN791" s="118"/>
      <c r="AO791" s="401"/>
      <c r="AP791" s="118"/>
      <c r="AQ791" s="118"/>
      <c r="AR791" s="118"/>
      <c r="AS791" s="118"/>
      <c r="AT791" s="401"/>
      <c r="AU791" s="118"/>
      <c r="AV791" s="118"/>
      <c r="AW791" s="118"/>
      <c r="AX791" s="118"/>
      <c r="AY791" s="401"/>
      <c r="AZ791" s="118"/>
      <c r="BA791" s="118"/>
      <c r="BB791" s="118"/>
      <c r="BC791" s="118"/>
      <c r="BD791" s="401"/>
      <c r="BE791" s="118"/>
      <c r="BF791" s="118"/>
      <c r="BG791" s="118"/>
      <c r="BH791" s="118"/>
      <c r="BI791" s="401"/>
      <c r="BJ791" s="971"/>
      <c r="BK791" s="118"/>
      <c r="BL791" s="118"/>
      <c r="BM791" s="118"/>
      <c r="BN791" s="724">
        <f>SUM(BJ791,BK791,BL791,BM791)</f>
        <v>0</v>
      </c>
      <c r="BO791" s="118"/>
      <c r="BP791" s="118"/>
      <c r="BQ791" s="118"/>
      <c r="BR791" s="118"/>
      <c r="BS791" s="724">
        <f>SUM(BO791,BP791,BQ791,BR791)</f>
        <v>0</v>
      </c>
      <c r="BT791" s="724"/>
      <c r="BU791" s="724"/>
      <c r="BV791" s="724"/>
      <c r="BW791" s="122"/>
    </row>
    <row r="792" spans="1:75" s="123" customFormat="1" hidden="1" outlineLevel="1" x14ac:dyDescent="0.5">
      <c r="A792" s="355" t="s">
        <v>1184</v>
      </c>
      <c r="B792" s="677"/>
      <c r="C792" s="406"/>
      <c r="D792" s="406"/>
      <c r="E792" s="406"/>
      <c r="F792" s="406"/>
      <c r="G792" s="723"/>
      <c r="H792" s="723"/>
      <c r="I792" s="723"/>
      <c r="J792" s="723"/>
      <c r="K792" s="406"/>
      <c r="L792" s="723"/>
      <c r="M792" s="723"/>
      <c r="N792" s="723"/>
      <c r="O792" s="723"/>
      <c r="P792" s="406"/>
      <c r="Q792" s="723"/>
      <c r="R792" s="723"/>
      <c r="S792" s="723"/>
      <c r="T792" s="723"/>
      <c r="U792" s="406"/>
      <c r="V792" s="723"/>
      <c r="W792" s="723"/>
      <c r="X792" s="723"/>
      <c r="Y792" s="723"/>
      <c r="Z792" s="406"/>
      <c r="AA792" s="723"/>
      <c r="AB792" s="723"/>
      <c r="AC792" s="723"/>
      <c r="AD792" s="723"/>
      <c r="AE792" s="406"/>
      <c r="AF792" s="723"/>
      <c r="AG792" s="723"/>
      <c r="AH792" s="723"/>
      <c r="AI792" s="723"/>
      <c r="AJ792" s="406"/>
      <c r="AK792" s="723"/>
      <c r="AL792" s="723"/>
      <c r="AM792" s="723"/>
      <c r="AN792" s="723"/>
      <c r="AO792" s="406"/>
      <c r="AP792" s="723"/>
      <c r="AQ792" s="723"/>
      <c r="AR792" s="723"/>
      <c r="AS792" s="723"/>
      <c r="AT792" s="406"/>
      <c r="AU792" s="723"/>
      <c r="AV792" s="723"/>
      <c r="AW792" s="723"/>
      <c r="AX792" s="723"/>
      <c r="AY792" s="406"/>
      <c r="AZ792" s="723"/>
      <c r="BA792" s="723"/>
      <c r="BB792" s="723"/>
      <c r="BC792" s="723"/>
      <c r="BD792" s="406"/>
      <c r="BE792" s="723"/>
      <c r="BF792" s="723"/>
      <c r="BG792" s="723"/>
      <c r="BH792" s="723"/>
      <c r="BI792" s="406"/>
      <c r="BJ792" s="1049"/>
      <c r="BK792" s="723"/>
      <c r="BL792" s="723"/>
      <c r="BM792" s="723"/>
      <c r="BN792" s="1300">
        <f>SUM(BJ792,BK792,BL792,BM792)</f>
        <v>0</v>
      </c>
      <c r="BO792" s="723"/>
      <c r="BP792" s="723"/>
      <c r="BQ792" s="723"/>
      <c r="BR792" s="723"/>
      <c r="BS792" s="1300">
        <f>SUM(BO792,BP792,BQ792,BR792)</f>
        <v>0</v>
      </c>
      <c r="BT792" s="1300"/>
      <c r="BU792" s="1300"/>
      <c r="BV792" s="1300"/>
      <c r="BW792" s="118"/>
    </row>
    <row r="793" spans="1:75" s="123" customFormat="1" collapsed="1" x14ac:dyDescent="0.5">
      <c r="A793" s="354" t="s">
        <v>1185</v>
      </c>
      <c r="B793" s="513"/>
      <c r="C793" s="401">
        <f t="shared" ref="C793:BN793" si="1028">C791-C792</f>
        <v>0</v>
      </c>
      <c r="D793" s="401">
        <f t="shared" si="1028"/>
        <v>0</v>
      </c>
      <c r="E793" s="401">
        <f t="shared" si="1028"/>
        <v>0</v>
      </c>
      <c r="F793" s="401">
        <f t="shared" si="1028"/>
        <v>0</v>
      </c>
      <c r="G793" s="118">
        <f t="shared" si="1028"/>
        <v>0</v>
      </c>
      <c r="H793" s="118">
        <f t="shared" si="1028"/>
        <v>0</v>
      </c>
      <c r="I793" s="118">
        <f t="shared" si="1028"/>
        <v>0</v>
      </c>
      <c r="J793" s="118">
        <f t="shared" si="1028"/>
        <v>0</v>
      </c>
      <c r="K793" s="401">
        <f t="shared" si="1028"/>
        <v>0</v>
      </c>
      <c r="L793" s="118">
        <f t="shared" si="1028"/>
        <v>0</v>
      </c>
      <c r="M793" s="118">
        <f t="shared" si="1028"/>
        <v>0</v>
      </c>
      <c r="N793" s="118">
        <f t="shared" si="1028"/>
        <v>0</v>
      </c>
      <c r="O793" s="118">
        <f t="shared" si="1028"/>
        <v>0</v>
      </c>
      <c r="P793" s="401">
        <f t="shared" si="1028"/>
        <v>0</v>
      </c>
      <c r="Q793" s="118">
        <f t="shared" si="1028"/>
        <v>0</v>
      </c>
      <c r="R793" s="118">
        <f t="shared" si="1028"/>
        <v>0</v>
      </c>
      <c r="S793" s="118">
        <f t="shared" si="1028"/>
        <v>0</v>
      </c>
      <c r="T793" s="118">
        <f t="shared" si="1028"/>
        <v>0</v>
      </c>
      <c r="U793" s="401">
        <f t="shared" si="1028"/>
        <v>0</v>
      </c>
      <c r="V793" s="118">
        <f t="shared" si="1028"/>
        <v>0</v>
      </c>
      <c r="W793" s="118">
        <f t="shared" si="1028"/>
        <v>0</v>
      </c>
      <c r="X793" s="118">
        <f t="shared" si="1028"/>
        <v>0</v>
      </c>
      <c r="Y793" s="118">
        <f t="shared" si="1028"/>
        <v>0</v>
      </c>
      <c r="Z793" s="401">
        <f t="shared" si="1028"/>
        <v>0</v>
      </c>
      <c r="AA793" s="118">
        <f t="shared" si="1028"/>
        <v>0</v>
      </c>
      <c r="AB793" s="118">
        <f t="shared" si="1028"/>
        <v>0</v>
      </c>
      <c r="AC793" s="118">
        <f t="shared" si="1028"/>
        <v>0</v>
      </c>
      <c r="AD793" s="118">
        <f t="shared" si="1028"/>
        <v>0</v>
      </c>
      <c r="AE793" s="401">
        <f t="shared" si="1028"/>
        <v>0</v>
      </c>
      <c r="AF793" s="118">
        <f t="shared" si="1028"/>
        <v>0</v>
      </c>
      <c r="AG793" s="118">
        <f t="shared" si="1028"/>
        <v>0</v>
      </c>
      <c r="AH793" s="118">
        <f t="shared" si="1028"/>
        <v>0</v>
      </c>
      <c r="AI793" s="118">
        <f t="shared" si="1028"/>
        <v>0</v>
      </c>
      <c r="AJ793" s="401">
        <f t="shared" si="1028"/>
        <v>0</v>
      </c>
      <c r="AK793" s="118">
        <f t="shared" si="1028"/>
        <v>0</v>
      </c>
      <c r="AL793" s="118">
        <f t="shared" si="1028"/>
        <v>0</v>
      </c>
      <c r="AM793" s="118">
        <f t="shared" si="1028"/>
        <v>0</v>
      </c>
      <c r="AN793" s="118">
        <f t="shared" si="1028"/>
        <v>0</v>
      </c>
      <c r="AO793" s="401">
        <f t="shared" si="1028"/>
        <v>0</v>
      </c>
      <c r="AP793" s="118">
        <f t="shared" si="1028"/>
        <v>0</v>
      </c>
      <c r="AQ793" s="118">
        <f t="shared" si="1028"/>
        <v>0</v>
      </c>
      <c r="AR793" s="118">
        <f t="shared" si="1028"/>
        <v>0</v>
      </c>
      <c r="AS793" s="118">
        <f t="shared" si="1028"/>
        <v>0</v>
      </c>
      <c r="AT793" s="401">
        <f t="shared" si="1028"/>
        <v>0</v>
      </c>
      <c r="AU793" s="118">
        <f t="shared" si="1028"/>
        <v>0</v>
      </c>
      <c r="AV793" s="118">
        <f t="shared" si="1028"/>
        <v>0</v>
      </c>
      <c r="AW793" s="118">
        <f t="shared" si="1028"/>
        <v>0</v>
      </c>
      <c r="AX793" s="118">
        <f t="shared" si="1028"/>
        <v>0</v>
      </c>
      <c r="AY793" s="401">
        <f t="shared" si="1028"/>
        <v>0</v>
      </c>
      <c r="AZ793" s="118">
        <f t="shared" si="1028"/>
        <v>0</v>
      </c>
      <c r="BA793" s="118">
        <f t="shared" si="1028"/>
        <v>0</v>
      </c>
      <c r="BB793" s="118">
        <f t="shared" si="1028"/>
        <v>0</v>
      </c>
      <c r="BC793" s="118">
        <f t="shared" si="1028"/>
        <v>0</v>
      </c>
      <c r="BD793" s="401">
        <f t="shared" si="1028"/>
        <v>0</v>
      </c>
      <c r="BE793" s="118">
        <f t="shared" si="1028"/>
        <v>0</v>
      </c>
      <c r="BF793" s="118">
        <f t="shared" si="1028"/>
        <v>0</v>
      </c>
      <c r="BG793" s="118">
        <f t="shared" si="1028"/>
        <v>0</v>
      </c>
      <c r="BH793" s="118">
        <f t="shared" si="1028"/>
        <v>0</v>
      </c>
      <c r="BI793" s="401">
        <f t="shared" si="1028"/>
        <v>0</v>
      </c>
      <c r="BJ793" s="971">
        <f>BJ791-BJ792</f>
        <v>0</v>
      </c>
      <c r="BK793" s="118">
        <f t="shared" si="1028"/>
        <v>0</v>
      </c>
      <c r="BL793" s="118">
        <f t="shared" si="1028"/>
        <v>0</v>
      </c>
      <c r="BM793" s="118">
        <f t="shared" si="1028"/>
        <v>0</v>
      </c>
      <c r="BN793" s="724">
        <f t="shared" si="1028"/>
        <v>0</v>
      </c>
      <c r="BO793" s="118">
        <f t="shared" ref="BO793:CF793" si="1029">BO791-BO792</f>
        <v>0</v>
      </c>
      <c r="BP793" s="118">
        <f t="shared" si="1029"/>
        <v>0</v>
      </c>
      <c r="BQ793" s="118">
        <f t="shared" si="1029"/>
        <v>0</v>
      </c>
      <c r="BR793" s="118">
        <f t="shared" si="1029"/>
        <v>0</v>
      </c>
      <c r="BS793" s="724">
        <f t="shared" si="1029"/>
        <v>0</v>
      </c>
      <c r="BT793" s="724">
        <f t="shared" si="1029"/>
        <v>0</v>
      </c>
      <c r="BU793" s="724">
        <f t="shared" si="1029"/>
        <v>0</v>
      </c>
      <c r="BV793" s="724">
        <f t="shared" si="1029"/>
        <v>0</v>
      </c>
      <c r="BW793" s="118"/>
    </row>
    <row r="794" spans="1:75" s="123" customFormat="1" x14ac:dyDescent="0.5">
      <c r="A794" s="405" t="s">
        <v>2101</v>
      </c>
      <c r="B794" s="677"/>
      <c r="C794" s="406"/>
      <c r="D794" s="406"/>
      <c r="E794" s="406"/>
      <c r="F794" s="406"/>
      <c r="G794" s="723"/>
      <c r="H794" s="723"/>
      <c r="I794" s="723"/>
      <c r="J794" s="723"/>
      <c r="K794" s="406"/>
      <c r="L794" s="723"/>
      <c r="M794" s="723"/>
      <c r="N794" s="723"/>
      <c r="O794" s="723"/>
      <c r="P794" s="406"/>
      <c r="Q794" s="723"/>
      <c r="R794" s="723"/>
      <c r="S794" s="723"/>
      <c r="T794" s="723"/>
      <c r="U794" s="406"/>
      <c r="V794" s="723"/>
      <c r="W794" s="723"/>
      <c r="X794" s="723"/>
      <c r="Y794" s="723"/>
      <c r="Z794" s="406"/>
      <c r="AA794" s="723"/>
      <c r="AB794" s="723"/>
      <c r="AC794" s="723"/>
      <c r="AD794" s="723"/>
      <c r="AE794" s="406"/>
      <c r="AF794" s="723"/>
      <c r="AG794" s="723"/>
      <c r="AH794" s="723"/>
      <c r="AI794" s="723"/>
      <c r="AJ794" s="406"/>
      <c r="AK794" s="723"/>
      <c r="AL794" s="723"/>
      <c r="AM794" s="723"/>
      <c r="AN794" s="723"/>
      <c r="AO794" s="406"/>
      <c r="AP794" s="723"/>
      <c r="AQ794" s="723"/>
      <c r="AR794" s="723"/>
      <c r="AS794" s="723"/>
      <c r="AT794" s="406"/>
      <c r="AU794" s="723"/>
      <c r="AV794" s="723"/>
      <c r="AW794" s="723"/>
      <c r="AX794" s="723"/>
      <c r="AY794" s="406"/>
      <c r="AZ794" s="723"/>
      <c r="BA794" s="723"/>
      <c r="BB794" s="723"/>
      <c r="BC794" s="723"/>
      <c r="BD794" s="406"/>
      <c r="BE794" s="723"/>
      <c r="BF794" s="723"/>
      <c r="BG794" s="723"/>
      <c r="BH794" s="723"/>
      <c r="BI794" s="406"/>
      <c r="BJ794" s="1049"/>
      <c r="BK794" s="723"/>
      <c r="BL794" s="723"/>
      <c r="BM794" s="723"/>
      <c r="BN794" s="1300">
        <f>SUM(BJ794,BK794,BL794,BM794)</f>
        <v>0</v>
      </c>
      <c r="BO794" s="723"/>
      <c r="BP794" s="723"/>
      <c r="BQ794" s="723"/>
      <c r="BR794" s="723"/>
      <c r="BS794" s="1300">
        <f>SUM(BO794,BP794,BQ794,BR794)</f>
        <v>0</v>
      </c>
      <c r="BT794" s="1300"/>
      <c r="BU794" s="1300"/>
      <c r="BV794" s="1300"/>
      <c r="BW794" s="122"/>
    </row>
    <row r="795" spans="1:75" s="198" customFormat="1" ht="14.25" hidden="1" outlineLevel="1" x14ac:dyDescent="0.45">
      <c r="A795" s="192" t="s">
        <v>1187</v>
      </c>
      <c r="B795" s="517"/>
      <c r="C795" s="518">
        <f t="shared" ref="C795:BN795" si="1030">C786-C788-C791-C794</f>
        <v>77.442000000000007</v>
      </c>
      <c r="D795" s="518">
        <f t="shared" si="1030"/>
        <v>200.22700000000023</v>
      </c>
      <c r="E795" s="518">
        <f t="shared" si="1030"/>
        <v>236.93099999999953</v>
      </c>
      <c r="F795" s="518">
        <f t="shared" si="1030"/>
        <v>256.73</v>
      </c>
      <c r="G795" s="327">
        <f t="shared" si="1030"/>
        <v>39.465999999999902</v>
      </c>
      <c r="H795" s="327">
        <f t="shared" si="1030"/>
        <v>48.918999999999897</v>
      </c>
      <c r="I795" s="327">
        <f t="shared" si="1030"/>
        <v>56.719000000000023</v>
      </c>
      <c r="J795" s="327">
        <f t="shared" si="1030"/>
        <v>133.79800000000012</v>
      </c>
      <c r="K795" s="518">
        <f t="shared" si="1030"/>
        <v>278.90200000000038</v>
      </c>
      <c r="L795" s="327">
        <f t="shared" si="1030"/>
        <v>46.16200000000002</v>
      </c>
      <c r="M795" s="327">
        <f t="shared" si="1030"/>
        <v>50.747000000000007</v>
      </c>
      <c r="N795" s="327">
        <f t="shared" si="1030"/>
        <v>64.908000000000015</v>
      </c>
      <c r="O795" s="327">
        <f t="shared" si="1030"/>
        <v>147.03700000000003</v>
      </c>
      <c r="P795" s="518">
        <f t="shared" si="1030"/>
        <v>308.85400000000033</v>
      </c>
      <c r="Q795" s="327">
        <f t="shared" si="1030"/>
        <v>44.789999999999893</v>
      </c>
      <c r="R795" s="327">
        <f t="shared" si="1030"/>
        <v>53.66800000000007</v>
      </c>
      <c r="S795" s="327">
        <f t="shared" si="1030"/>
        <v>70.482000000000227</v>
      </c>
      <c r="T795" s="327">
        <f t="shared" si="1030"/>
        <v>141.12800000000004</v>
      </c>
      <c r="U795" s="518">
        <f t="shared" si="1030"/>
        <v>310.06799999999998</v>
      </c>
      <c r="V795" s="327">
        <f t="shared" si="1030"/>
        <v>39.597000000000094</v>
      </c>
      <c r="W795" s="327">
        <f t="shared" si="1030"/>
        <v>51.785000000000068</v>
      </c>
      <c r="X795" s="327">
        <f t="shared" si="1030"/>
        <v>69.378000000000043</v>
      </c>
      <c r="Y795" s="327">
        <f t="shared" si="1030"/>
        <v>144.62699999999995</v>
      </c>
      <c r="Z795" s="518">
        <f t="shared" si="1030"/>
        <v>305.38700000000017</v>
      </c>
      <c r="AA795" s="327">
        <f t="shared" si="1030"/>
        <v>39.555000000000163</v>
      </c>
      <c r="AB795" s="327">
        <f t="shared" si="1030"/>
        <v>52.917000000000058</v>
      </c>
      <c r="AC795" s="327">
        <f t="shared" si="1030"/>
        <v>71.312999999999874</v>
      </c>
      <c r="AD795" s="327">
        <f t="shared" si="1030"/>
        <v>95.760000000000062</v>
      </c>
      <c r="AE795" s="518">
        <f t="shared" si="1030"/>
        <v>259.54499999999967</v>
      </c>
      <c r="AF795" s="327">
        <f t="shared" si="1030"/>
        <v>45.167999999999964</v>
      </c>
      <c r="AG795" s="327">
        <f t="shared" si="1030"/>
        <v>51.712999999999937</v>
      </c>
      <c r="AH795" s="327">
        <f t="shared" si="1030"/>
        <v>81.46499999999979</v>
      </c>
      <c r="AI795" s="327">
        <f t="shared" si="1030"/>
        <v>155.33799999999982</v>
      </c>
      <c r="AJ795" s="518">
        <f t="shared" si="1030"/>
        <v>333.68400000000042</v>
      </c>
      <c r="AK795" s="327">
        <f t="shared" si="1030"/>
        <v>52.656000000000063</v>
      </c>
      <c r="AL795" s="327">
        <f t="shared" si="1030"/>
        <v>62.648000000000195</v>
      </c>
      <c r="AM795" s="327">
        <f t="shared" si="1030"/>
        <v>74.713000000000079</v>
      </c>
      <c r="AN795" s="327">
        <f t="shared" si="1030"/>
        <v>166.04499999999993</v>
      </c>
      <c r="AO795" s="518">
        <f t="shared" si="1030"/>
        <v>356.06199999999978</v>
      </c>
      <c r="AP795" s="327">
        <f t="shared" si="1030"/>
        <v>35.422999999999981</v>
      </c>
      <c r="AQ795" s="327">
        <f t="shared" si="1030"/>
        <v>134.56399999999988</v>
      </c>
      <c r="AR795" s="327">
        <f t="shared" si="1030"/>
        <v>201.77200000000005</v>
      </c>
      <c r="AS795" s="327">
        <f t="shared" si="1030"/>
        <v>308.95500000000067</v>
      </c>
      <c r="AT795" s="518">
        <f t="shared" si="1030"/>
        <v>680.71400000000017</v>
      </c>
      <c r="AU795" s="327">
        <f t="shared" si="1030"/>
        <v>227.80199999999991</v>
      </c>
      <c r="AV795" s="327">
        <f t="shared" si="1030"/>
        <v>246.06999999999988</v>
      </c>
      <c r="AW795" s="327">
        <f t="shared" si="1030"/>
        <v>249.52400000000006</v>
      </c>
      <c r="AX795" s="327">
        <f t="shared" si="1030"/>
        <v>402.94099999999929</v>
      </c>
      <c r="AY795" s="518">
        <f t="shared" si="1030"/>
        <v>1126.337</v>
      </c>
      <c r="AZ795" s="327">
        <f t="shared" si="1030"/>
        <v>254.113</v>
      </c>
      <c r="BA795" s="327">
        <f t="shared" si="1030"/>
        <v>267.0749999999997</v>
      </c>
      <c r="BB795" s="327">
        <f t="shared" si="1030"/>
        <v>251.72300000000004</v>
      </c>
      <c r="BC795" s="327">
        <f t="shared" si="1030"/>
        <v>354.99299999999931</v>
      </c>
      <c r="BD795" s="518">
        <f t="shared" si="1030"/>
        <v>1127.9039999999986</v>
      </c>
      <c r="BE795" s="327">
        <f t="shared" si="1030"/>
        <v>156.53099999999984</v>
      </c>
      <c r="BF795" s="327">
        <f t="shared" si="1030"/>
        <v>201.50699999999998</v>
      </c>
      <c r="BG795" s="327">
        <f t="shared" si="1030"/>
        <v>237.28500000000025</v>
      </c>
      <c r="BH795" s="327">
        <f t="shared" si="1030"/>
        <v>354.43899999999985</v>
      </c>
      <c r="BI795" s="518">
        <f t="shared" si="1030"/>
        <v>949.76199999999926</v>
      </c>
      <c r="BJ795" s="1026">
        <f>BJ786-BJ788-BJ791-BJ794</f>
        <v>265.66599999999994</v>
      </c>
      <c r="BK795" s="327">
        <f t="shared" si="1030"/>
        <v>192.86416227804926</v>
      </c>
      <c r="BL795" s="327">
        <f t="shared" ca="1" si="1030"/>
        <v>233.69184608480805</v>
      </c>
      <c r="BM795" s="327">
        <f t="shared" ca="1" si="1030"/>
        <v>363.22875556368473</v>
      </c>
      <c r="BN795" s="518">
        <f t="shared" ca="1" si="1030"/>
        <v>1055.4507639265423</v>
      </c>
      <c r="BO795" s="327">
        <f t="shared" ref="BO795:CF795" ca="1" si="1031">BO786-BO788-BO791-BO794</f>
        <v>216.51038251302049</v>
      </c>
      <c r="BP795" s="327">
        <f t="shared" ca="1" si="1031"/>
        <v>214.19387637160605</v>
      </c>
      <c r="BQ795" s="327">
        <f t="shared" ca="1" si="1031"/>
        <v>270.54557912367284</v>
      </c>
      <c r="BR795" s="327">
        <f t="shared" ca="1" si="1031"/>
        <v>365.45204517718474</v>
      </c>
      <c r="BS795" s="518">
        <f t="shared" ca="1" si="1031"/>
        <v>1066.7018831854834</v>
      </c>
      <c r="BT795" s="518">
        <f t="shared" ca="1" si="1031"/>
        <v>1150.5478748624337</v>
      </c>
      <c r="BU795" s="518">
        <f t="shared" ca="1" si="1031"/>
        <v>1253.5241946077499</v>
      </c>
      <c r="BV795" s="518">
        <f t="shared" ca="1" si="1031"/>
        <v>1365.2158019629389</v>
      </c>
      <c r="BW795" s="295"/>
    </row>
    <row r="796" spans="1:75" s="123" customFormat="1" hidden="1" outlineLevel="1" x14ac:dyDescent="0.5">
      <c r="A796" s="405" t="s">
        <v>1188</v>
      </c>
      <c r="B796" s="677"/>
      <c r="C796" s="406">
        <f t="shared" ref="C796:BN796" si="1032">-C750+C755-C759-C761-C773-C776-C777+C784-C789-C792</f>
        <v>-24.695789999999924</v>
      </c>
      <c r="D796" s="406">
        <f t="shared" si="1032"/>
        <v>-13.142640000000195</v>
      </c>
      <c r="E796" s="406">
        <f t="shared" si="1032"/>
        <v>-2.131639999999777</v>
      </c>
      <c r="F796" s="406">
        <f t="shared" si="1032"/>
        <v>-4.042039999999977</v>
      </c>
      <c r="G796" s="723">
        <f t="shared" si="1032"/>
        <v>-1.9902999999999693</v>
      </c>
      <c r="H796" s="723">
        <f t="shared" si="1032"/>
        <v>5.6843418860808015E-14</v>
      </c>
      <c r="I796" s="723">
        <f t="shared" si="1032"/>
        <v>0</v>
      </c>
      <c r="J796" s="723">
        <f t="shared" si="1032"/>
        <v>-5.6843418860808015E-14</v>
      </c>
      <c r="K796" s="406">
        <f t="shared" si="1032"/>
        <v>-1.9753000000000824</v>
      </c>
      <c r="L796" s="723">
        <f t="shared" si="1032"/>
        <v>0</v>
      </c>
      <c r="M796" s="723">
        <f t="shared" si="1032"/>
        <v>5.6843418860808015E-14</v>
      </c>
      <c r="N796" s="723">
        <f t="shared" si="1032"/>
        <v>0</v>
      </c>
      <c r="O796" s="723">
        <f t="shared" si="1032"/>
        <v>4.6820499999999594</v>
      </c>
      <c r="P796" s="406">
        <f t="shared" si="1032"/>
        <v>3.8079999999995504</v>
      </c>
      <c r="Q796" s="723">
        <f t="shared" si="1032"/>
        <v>0</v>
      </c>
      <c r="R796" s="723">
        <f t="shared" si="1032"/>
        <v>-5.6843418860808015E-14</v>
      </c>
      <c r="S796" s="723">
        <f t="shared" si="1032"/>
        <v>-1.1368683772161603E-13</v>
      </c>
      <c r="T796" s="723">
        <f t="shared" si="1032"/>
        <v>0</v>
      </c>
      <c r="U796" s="406">
        <f t="shared" si="1032"/>
        <v>0</v>
      </c>
      <c r="V796" s="723">
        <f t="shared" si="1032"/>
        <v>-8.1462600000000513</v>
      </c>
      <c r="W796" s="723">
        <f t="shared" si="1032"/>
        <v>-5.6843418860808015E-14</v>
      </c>
      <c r="X796" s="723">
        <f t="shared" si="1032"/>
        <v>-0.89144000000011436</v>
      </c>
      <c r="Y796" s="723">
        <f t="shared" si="1032"/>
        <v>7.0906400000000076</v>
      </c>
      <c r="Z796" s="406">
        <f t="shared" si="1032"/>
        <v>-1.7892400000002286</v>
      </c>
      <c r="AA796" s="723">
        <f t="shared" si="1032"/>
        <v>-5.1630000000000837</v>
      </c>
      <c r="AB796" s="723">
        <f t="shared" si="1032"/>
        <v>-5.6843418860808015E-14</v>
      </c>
      <c r="AC796" s="723">
        <f t="shared" si="1032"/>
        <v>1.1368683772161603E-13</v>
      </c>
      <c r="AD796" s="723">
        <f t="shared" si="1032"/>
        <v>-46.256999999999891</v>
      </c>
      <c r="AE796" s="406">
        <f t="shared" si="1032"/>
        <v>-51.419999999999874</v>
      </c>
      <c r="AF796" s="723">
        <f t="shared" si="1032"/>
        <v>-11.206999999999912</v>
      </c>
      <c r="AG796" s="723">
        <f t="shared" si="1032"/>
        <v>-12.239000000000029</v>
      </c>
      <c r="AH796" s="723">
        <f t="shared" si="1032"/>
        <v>3.6430000000002423</v>
      </c>
      <c r="AI796" s="723">
        <f t="shared" si="1032"/>
        <v>-14.055000000000074</v>
      </c>
      <c r="AJ796" s="406">
        <f t="shared" si="1032"/>
        <v>-33.858000000000601</v>
      </c>
      <c r="AK796" s="723">
        <f t="shared" si="1032"/>
        <v>-11.799000000000076</v>
      </c>
      <c r="AL796" s="723">
        <f t="shared" si="1032"/>
        <v>-6.8100000000001071</v>
      </c>
      <c r="AM796" s="723">
        <f t="shared" si="1032"/>
        <v>-6.0920000000000423</v>
      </c>
      <c r="AN796" s="723">
        <f t="shared" si="1032"/>
        <v>-2.4590000000000369</v>
      </c>
      <c r="AO796" s="406">
        <f t="shared" si="1032"/>
        <v>-27.160000000000274</v>
      </c>
      <c r="AP796" s="723">
        <f t="shared" si="1032"/>
        <v>-22.638000000000009</v>
      </c>
      <c r="AQ796" s="723">
        <f t="shared" si="1032"/>
        <v>-7.9579999999998599</v>
      </c>
      <c r="AR796" s="723">
        <f t="shared" si="1032"/>
        <v>-1.0989999999999669</v>
      </c>
      <c r="AS796" s="723">
        <f t="shared" si="1032"/>
        <v>-2.3679999999999666</v>
      </c>
      <c r="AT796" s="406">
        <f t="shared" si="1032"/>
        <v>-34.062999999999548</v>
      </c>
      <c r="AU796" s="723">
        <f t="shared" si="1032"/>
        <v>-2.3279999999999474</v>
      </c>
      <c r="AV796" s="723">
        <f t="shared" si="1032"/>
        <v>-2.2950000000000395</v>
      </c>
      <c r="AW796" s="723">
        <f t="shared" si="1032"/>
        <v>-2.2790000000001571</v>
      </c>
      <c r="AX796" s="723">
        <f t="shared" si="1032"/>
        <v>-0.86099999999997823</v>
      </c>
      <c r="AY796" s="406">
        <f t="shared" si="1032"/>
        <v>-7.7630000000005204</v>
      </c>
      <c r="AZ796" s="723">
        <f t="shared" si="1032"/>
        <v>0</v>
      </c>
      <c r="BA796" s="723">
        <f t="shared" si="1032"/>
        <v>0</v>
      </c>
      <c r="BB796" s="723">
        <f t="shared" si="1032"/>
        <v>0</v>
      </c>
      <c r="BC796" s="723">
        <f t="shared" si="1032"/>
        <v>-14.846999999999969</v>
      </c>
      <c r="BD796" s="406">
        <f t="shared" si="1032"/>
        <v>-14.846999999999628</v>
      </c>
      <c r="BE796" s="723">
        <f t="shared" si="1032"/>
        <v>-19.38299999999991</v>
      </c>
      <c r="BF796" s="723">
        <f t="shared" si="1032"/>
        <v>0</v>
      </c>
      <c r="BG796" s="723">
        <f t="shared" si="1032"/>
        <v>-1.1368683772161603E-13</v>
      </c>
      <c r="BH796" s="723">
        <f t="shared" si="1032"/>
        <v>0</v>
      </c>
      <c r="BI796" s="406">
        <f t="shared" si="1032"/>
        <v>-19.382999999999512</v>
      </c>
      <c r="BJ796" s="1049">
        <f>-BJ750+BJ755-BJ759-BJ761-BJ773-BJ776-BJ777+BJ784-BJ789-BJ792</f>
        <v>0</v>
      </c>
      <c r="BK796" s="723">
        <f t="shared" si="1032"/>
        <v>0</v>
      </c>
      <c r="BL796" s="723">
        <f t="shared" ca="1" si="1032"/>
        <v>-3.0240698833949866E-14</v>
      </c>
      <c r="BM796" s="723">
        <f t="shared" ca="1" si="1032"/>
        <v>-3.0240698833949866E-14</v>
      </c>
      <c r="BN796" s="406">
        <f t="shared" ca="1" si="1032"/>
        <v>-6.0481397667899731E-14</v>
      </c>
      <c r="BO796" s="723">
        <f t="shared" ref="BO796:CF796" ca="1" si="1033">-BO750+BO755-BO759-BO761-BO773-BO776-BO777+BO784-BO789-BO792</f>
        <v>0</v>
      </c>
      <c r="BP796" s="723">
        <f t="shared" ca="1" si="1033"/>
        <v>5.2295945351943376E-14</v>
      </c>
      <c r="BQ796" s="723">
        <f t="shared" ca="1" si="1033"/>
        <v>2.6147972675971688E-14</v>
      </c>
      <c r="BR796" s="723">
        <f t="shared" ca="1" si="1033"/>
        <v>0</v>
      </c>
      <c r="BS796" s="406">
        <f t="shared" ca="1" si="1033"/>
        <v>7.8443918027915067E-14</v>
      </c>
      <c r="BT796" s="406">
        <f t="shared" ca="1" si="1033"/>
        <v>0</v>
      </c>
      <c r="BU796" s="406">
        <f t="shared" ca="1" si="1033"/>
        <v>0</v>
      </c>
      <c r="BV796" s="406">
        <f t="shared" ca="1" si="1033"/>
        <v>0</v>
      </c>
      <c r="BW796" s="118"/>
    </row>
    <row r="797" spans="1:75" s="123" customFormat="1" hidden="1" outlineLevel="1" x14ac:dyDescent="0.5">
      <c r="A797" s="292" t="s">
        <v>1189</v>
      </c>
      <c r="B797" s="522"/>
      <c r="C797" s="397">
        <f t="shared" ref="C797:BN797" si="1034">C795-C796</f>
        <v>102.13778999999994</v>
      </c>
      <c r="D797" s="397">
        <f t="shared" si="1034"/>
        <v>213.36964000000043</v>
      </c>
      <c r="E797" s="397">
        <f t="shared" si="1034"/>
        <v>239.06263999999931</v>
      </c>
      <c r="F797" s="397">
        <f t="shared" si="1034"/>
        <v>260.77204</v>
      </c>
      <c r="G797" s="295">
        <f t="shared" si="1034"/>
        <v>41.456299999999871</v>
      </c>
      <c r="H797" s="295">
        <f t="shared" si="1034"/>
        <v>48.918999999999841</v>
      </c>
      <c r="I797" s="295">
        <f t="shared" si="1034"/>
        <v>56.719000000000023</v>
      </c>
      <c r="J797" s="295">
        <f t="shared" si="1034"/>
        <v>133.79800000000017</v>
      </c>
      <c r="K797" s="397">
        <f t="shared" si="1034"/>
        <v>280.87730000000045</v>
      </c>
      <c r="L797" s="295">
        <f t="shared" si="1034"/>
        <v>46.16200000000002</v>
      </c>
      <c r="M797" s="295">
        <f t="shared" si="1034"/>
        <v>50.74699999999995</v>
      </c>
      <c r="N797" s="295">
        <f t="shared" si="1034"/>
        <v>64.908000000000015</v>
      </c>
      <c r="O797" s="295">
        <f t="shared" si="1034"/>
        <v>142.35495000000009</v>
      </c>
      <c r="P797" s="397">
        <f t="shared" si="1034"/>
        <v>305.04600000000079</v>
      </c>
      <c r="Q797" s="295">
        <f t="shared" si="1034"/>
        <v>44.789999999999893</v>
      </c>
      <c r="R797" s="295">
        <f t="shared" si="1034"/>
        <v>53.668000000000127</v>
      </c>
      <c r="S797" s="295">
        <f t="shared" si="1034"/>
        <v>70.48200000000034</v>
      </c>
      <c r="T797" s="295">
        <f t="shared" si="1034"/>
        <v>141.12800000000004</v>
      </c>
      <c r="U797" s="397">
        <f t="shared" si="1034"/>
        <v>310.06799999999998</v>
      </c>
      <c r="V797" s="295">
        <f t="shared" si="1034"/>
        <v>47.743260000000149</v>
      </c>
      <c r="W797" s="295">
        <f t="shared" si="1034"/>
        <v>51.785000000000124</v>
      </c>
      <c r="X797" s="295">
        <f t="shared" si="1034"/>
        <v>70.269440000000159</v>
      </c>
      <c r="Y797" s="295">
        <f t="shared" si="1034"/>
        <v>137.53635999999995</v>
      </c>
      <c r="Z797" s="397">
        <f t="shared" si="1034"/>
        <v>307.1762400000004</v>
      </c>
      <c r="AA797" s="295">
        <f t="shared" si="1034"/>
        <v>44.718000000000245</v>
      </c>
      <c r="AB797" s="295">
        <f t="shared" si="1034"/>
        <v>52.917000000000115</v>
      </c>
      <c r="AC797" s="295">
        <f t="shared" si="1034"/>
        <v>71.312999999999761</v>
      </c>
      <c r="AD797" s="295">
        <f t="shared" si="1034"/>
        <v>142.01699999999994</v>
      </c>
      <c r="AE797" s="397">
        <f t="shared" si="1034"/>
        <v>310.96499999999958</v>
      </c>
      <c r="AF797" s="295">
        <f t="shared" si="1034"/>
        <v>56.374999999999872</v>
      </c>
      <c r="AG797" s="295">
        <f t="shared" si="1034"/>
        <v>63.95199999999997</v>
      </c>
      <c r="AH797" s="295">
        <f t="shared" si="1034"/>
        <v>77.821999999999548</v>
      </c>
      <c r="AI797" s="295">
        <f t="shared" si="1034"/>
        <v>169.39299999999989</v>
      </c>
      <c r="AJ797" s="397">
        <f t="shared" si="1034"/>
        <v>367.54200000000105</v>
      </c>
      <c r="AK797" s="295">
        <f t="shared" si="1034"/>
        <v>64.45500000000014</v>
      </c>
      <c r="AL797" s="295">
        <f t="shared" si="1034"/>
        <v>69.458000000000297</v>
      </c>
      <c r="AM797" s="295">
        <f t="shared" si="1034"/>
        <v>80.805000000000121</v>
      </c>
      <c r="AN797" s="295">
        <f t="shared" si="1034"/>
        <v>168.50399999999996</v>
      </c>
      <c r="AO797" s="397">
        <f t="shared" si="1034"/>
        <v>383.22200000000004</v>
      </c>
      <c r="AP797" s="295">
        <f t="shared" si="1034"/>
        <v>58.060999999999993</v>
      </c>
      <c r="AQ797" s="295">
        <f t="shared" si="1034"/>
        <v>142.52199999999974</v>
      </c>
      <c r="AR797" s="295">
        <f t="shared" si="1034"/>
        <v>202.87100000000001</v>
      </c>
      <c r="AS797" s="295">
        <f t="shared" si="1034"/>
        <v>311.32300000000066</v>
      </c>
      <c r="AT797" s="397">
        <f t="shared" si="1034"/>
        <v>714.7769999999997</v>
      </c>
      <c r="AU797" s="295">
        <f t="shared" si="1034"/>
        <v>230.12999999999985</v>
      </c>
      <c r="AV797" s="295">
        <f t="shared" si="1034"/>
        <v>248.36499999999992</v>
      </c>
      <c r="AW797" s="295">
        <f t="shared" si="1034"/>
        <v>251.80300000000022</v>
      </c>
      <c r="AX797" s="295">
        <f t="shared" si="1034"/>
        <v>403.80199999999928</v>
      </c>
      <c r="AY797" s="397">
        <f t="shared" si="1034"/>
        <v>1134.1000000000006</v>
      </c>
      <c r="AZ797" s="295">
        <f t="shared" si="1034"/>
        <v>254.113</v>
      </c>
      <c r="BA797" s="295">
        <f t="shared" si="1034"/>
        <v>267.0749999999997</v>
      </c>
      <c r="BB797" s="295">
        <f t="shared" si="1034"/>
        <v>251.72300000000004</v>
      </c>
      <c r="BC797" s="295">
        <f t="shared" si="1034"/>
        <v>369.83999999999929</v>
      </c>
      <c r="BD797" s="397">
        <f t="shared" si="1034"/>
        <v>1142.7509999999982</v>
      </c>
      <c r="BE797" s="295">
        <f t="shared" si="1034"/>
        <v>175.91399999999976</v>
      </c>
      <c r="BF797" s="295">
        <f t="shared" si="1034"/>
        <v>201.50699999999998</v>
      </c>
      <c r="BG797" s="295">
        <f t="shared" si="1034"/>
        <v>237.28500000000037</v>
      </c>
      <c r="BH797" s="295">
        <f t="shared" si="1034"/>
        <v>354.43899999999985</v>
      </c>
      <c r="BI797" s="397">
        <f t="shared" si="1034"/>
        <v>969.14499999999873</v>
      </c>
      <c r="BJ797" s="1030">
        <f>BJ795-BJ796</f>
        <v>265.66599999999994</v>
      </c>
      <c r="BK797" s="295">
        <f t="shared" si="1034"/>
        <v>192.86416227804926</v>
      </c>
      <c r="BL797" s="295">
        <f t="shared" ca="1" si="1034"/>
        <v>233.69184608480808</v>
      </c>
      <c r="BM797" s="295">
        <f t="shared" ca="1" si="1034"/>
        <v>363.22875556368479</v>
      </c>
      <c r="BN797" s="397">
        <f t="shared" ca="1" si="1034"/>
        <v>1055.4507639265423</v>
      </c>
      <c r="BO797" s="295">
        <f t="shared" ref="BO797:CF797" ca="1" si="1035">BO795-BO796</f>
        <v>216.51038251302049</v>
      </c>
      <c r="BP797" s="295">
        <f t="shared" ca="1" si="1035"/>
        <v>214.193876371606</v>
      </c>
      <c r="BQ797" s="295">
        <f t="shared" ca="1" si="1035"/>
        <v>270.54557912367284</v>
      </c>
      <c r="BR797" s="295">
        <f t="shared" ca="1" si="1035"/>
        <v>365.45204517718474</v>
      </c>
      <c r="BS797" s="397">
        <f t="shared" ca="1" si="1035"/>
        <v>1066.7018831854834</v>
      </c>
      <c r="BT797" s="397">
        <f t="shared" ca="1" si="1035"/>
        <v>1150.5478748624337</v>
      </c>
      <c r="BU797" s="397">
        <f t="shared" ca="1" si="1035"/>
        <v>1253.5241946077499</v>
      </c>
      <c r="BV797" s="397">
        <f t="shared" ca="1" si="1035"/>
        <v>1365.2158019629389</v>
      </c>
      <c r="BW797" s="118"/>
    </row>
    <row r="798" spans="1:75" s="123" customFormat="1" hidden="1" outlineLevel="1" x14ac:dyDescent="0.5">
      <c r="A798" s="184" t="s">
        <v>1190</v>
      </c>
      <c r="B798" s="513"/>
      <c r="C798" s="401"/>
      <c r="D798" s="401"/>
      <c r="E798" s="401"/>
      <c r="F798" s="401"/>
      <c r="G798" s="118"/>
      <c r="H798" s="118"/>
      <c r="I798" s="118"/>
      <c r="J798" s="118"/>
      <c r="K798" s="401"/>
      <c r="L798" s="118"/>
      <c r="M798" s="118"/>
      <c r="N798" s="118"/>
      <c r="O798" s="118"/>
      <c r="P798" s="401"/>
      <c r="Q798" s="118"/>
      <c r="R798" s="118"/>
      <c r="S798" s="118"/>
      <c r="T798" s="118"/>
      <c r="U798" s="401"/>
      <c r="V798" s="118"/>
      <c r="W798" s="118"/>
      <c r="X798" s="118"/>
      <c r="Y798" s="118"/>
      <c r="Z798" s="401"/>
      <c r="AA798" s="118"/>
      <c r="AB798" s="118"/>
      <c r="AC798" s="118"/>
      <c r="AD798" s="118"/>
      <c r="AE798" s="401"/>
      <c r="AF798" s="118"/>
      <c r="AG798" s="118"/>
      <c r="AH798" s="118"/>
      <c r="AI798" s="118"/>
      <c r="AJ798" s="401"/>
      <c r="AK798" s="118"/>
      <c r="AL798" s="118"/>
      <c r="AM798" s="118"/>
      <c r="AN798" s="118"/>
      <c r="AO798" s="401"/>
      <c r="AP798" s="118"/>
      <c r="AQ798" s="118"/>
      <c r="AR798" s="118"/>
      <c r="AS798" s="118"/>
      <c r="AT798" s="401"/>
      <c r="AU798" s="118"/>
      <c r="AV798" s="118"/>
      <c r="AW798" s="118"/>
      <c r="AX798" s="118"/>
      <c r="AY798" s="401"/>
      <c r="AZ798" s="118"/>
      <c r="BA798" s="118"/>
      <c r="BB798" s="118"/>
      <c r="BC798" s="118"/>
      <c r="BD798" s="401"/>
      <c r="BE798" s="118"/>
      <c r="BF798" s="118"/>
      <c r="BG798" s="118"/>
      <c r="BH798" s="118"/>
      <c r="BI798" s="401"/>
      <c r="BJ798" s="971"/>
      <c r="BK798" s="118"/>
      <c r="BL798" s="118"/>
      <c r="BM798" s="118"/>
      <c r="BN798" s="401">
        <f>SUM(BJ798,BK798,BL798,BM798)</f>
        <v>0</v>
      </c>
      <c r="BO798" s="118"/>
      <c r="BP798" s="118"/>
      <c r="BQ798" s="118"/>
      <c r="BR798" s="118"/>
      <c r="BS798" s="401">
        <f>SUM(BO798,BP798,BQ798,BR798)</f>
        <v>0</v>
      </c>
      <c r="BT798" s="401"/>
      <c r="BU798" s="401"/>
      <c r="BV798" s="401"/>
      <c r="BW798" s="118"/>
    </row>
    <row r="799" spans="1:75" s="123" customFormat="1" hidden="1" outlineLevel="1" x14ac:dyDescent="0.5">
      <c r="A799" s="497" t="s">
        <v>1191</v>
      </c>
      <c r="B799" s="677"/>
      <c r="C799" s="406"/>
      <c r="D799" s="406"/>
      <c r="E799" s="406"/>
      <c r="F799" s="406"/>
      <c r="G799" s="723"/>
      <c r="H799" s="723"/>
      <c r="I799" s="723"/>
      <c r="J799" s="723"/>
      <c r="K799" s="406"/>
      <c r="L799" s="723"/>
      <c r="M799" s="723"/>
      <c r="N799" s="723"/>
      <c r="O799" s="723"/>
      <c r="P799" s="406"/>
      <c r="Q799" s="723"/>
      <c r="R799" s="723"/>
      <c r="S799" s="723"/>
      <c r="T799" s="723"/>
      <c r="U799" s="406"/>
      <c r="V799" s="723"/>
      <c r="W799" s="723"/>
      <c r="X799" s="723"/>
      <c r="Y799" s="723"/>
      <c r="Z799" s="406"/>
      <c r="AA799" s="723"/>
      <c r="AB799" s="723"/>
      <c r="AC799" s="723"/>
      <c r="AD799" s="723"/>
      <c r="AE799" s="406"/>
      <c r="AF799" s="723"/>
      <c r="AG799" s="723"/>
      <c r="AH799" s="723"/>
      <c r="AI799" s="723"/>
      <c r="AJ799" s="406"/>
      <c r="AK799" s="723"/>
      <c r="AL799" s="723"/>
      <c r="AM799" s="723"/>
      <c r="AN799" s="723"/>
      <c r="AO799" s="406"/>
      <c r="AP799" s="723"/>
      <c r="AQ799" s="723"/>
      <c r="AR799" s="723"/>
      <c r="AS799" s="723"/>
      <c r="AT799" s="406"/>
      <c r="AU799" s="723"/>
      <c r="AV799" s="723"/>
      <c r="AW799" s="723"/>
      <c r="AX799" s="723"/>
      <c r="AY799" s="406"/>
      <c r="AZ799" s="723"/>
      <c r="BA799" s="723"/>
      <c r="BB799" s="723"/>
      <c r="BC799" s="723"/>
      <c r="BD799" s="406"/>
      <c r="BE799" s="723"/>
      <c r="BF799" s="723"/>
      <c r="BG799" s="723"/>
      <c r="BH799" s="723"/>
      <c r="BI799" s="406"/>
      <c r="BJ799" s="1049"/>
      <c r="BK799" s="723"/>
      <c r="BL799" s="723"/>
      <c r="BM799" s="723"/>
      <c r="BN799" s="406">
        <f>SUM(BJ799,BK799,BL799,BM799)</f>
        <v>0</v>
      </c>
      <c r="BO799" s="723"/>
      <c r="BP799" s="723"/>
      <c r="BQ799" s="723"/>
      <c r="BR799" s="723"/>
      <c r="BS799" s="406">
        <f>SUM(BO799,BP799,BQ799,BR799)</f>
        <v>0</v>
      </c>
      <c r="BT799" s="406"/>
      <c r="BU799" s="406"/>
      <c r="BV799" s="406"/>
      <c r="BW799" s="118"/>
    </row>
    <row r="800" spans="1:75" s="123" customFormat="1" hidden="1" outlineLevel="1" x14ac:dyDescent="0.5">
      <c r="A800" s="1303" t="s">
        <v>1192</v>
      </c>
      <c r="B800" s="725"/>
      <c r="C800" s="726">
        <f t="shared" ref="C800:BN800" si="1036">C798-C799</f>
        <v>0</v>
      </c>
      <c r="D800" s="726">
        <f t="shared" si="1036"/>
        <v>0</v>
      </c>
      <c r="E800" s="726">
        <f t="shared" si="1036"/>
        <v>0</v>
      </c>
      <c r="F800" s="726">
        <f t="shared" si="1036"/>
        <v>0</v>
      </c>
      <c r="G800" s="727">
        <f t="shared" si="1036"/>
        <v>0</v>
      </c>
      <c r="H800" s="727">
        <f t="shared" si="1036"/>
        <v>0</v>
      </c>
      <c r="I800" s="727">
        <f t="shared" si="1036"/>
        <v>0</v>
      </c>
      <c r="J800" s="727">
        <f t="shared" si="1036"/>
        <v>0</v>
      </c>
      <c r="K800" s="726">
        <f t="shared" si="1036"/>
        <v>0</v>
      </c>
      <c r="L800" s="727">
        <f t="shared" si="1036"/>
        <v>0</v>
      </c>
      <c r="M800" s="727">
        <f t="shared" si="1036"/>
        <v>0</v>
      </c>
      <c r="N800" s="727">
        <f t="shared" si="1036"/>
        <v>0</v>
      </c>
      <c r="O800" s="727">
        <f t="shared" si="1036"/>
        <v>0</v>
      </c>
      <c r="P800" s="726">
        <f t="shared" si="1036"/>
        <v>0</v>
      </c>
      <c r="Q800" s="727">
        <f t="shared" si="1036"/>
        <v>0</v>
      </c>
      <c r="R800" s="727">
        <f t="shared" si="1036"/>
        <v>0</v>
      </c>
      <c r="S800" s="727">
        <f t="shared" si="1036"/>
        <v>0</v>
      </c>
      <c r="T800" s="727">
        <f t="shared" si="1036"/>
        <v>0</v>
      </c>
      <c r="U800" s="726">
        <f t="shared" si="1036"/>
        <v>0</v>
      </c>
      <c r="V800" s="727">
        <f t="shared" si="1036"/>
        <v>0</v>
      </c>
      <c r="W800" s="727">
        <f t="shared" si="1036"/>
        <v>0</v>
      </c>
      <c r="X800" s="727">
        <f t="shared" si="1036"/>
        <v>0</v>
      </c>
      <c r="Y800" s="727">
        <f t="shared" si="1036"/>
        <v>0</v>
      </c>
      <c r="Z800" s="726">
        <f t="shared" si="1036"/>
        <v>0</v>
      </c>
      <c r="AA800" s="727">
        <f t="shared" si="1036"/>
        <v>0</v>
      </c>
      <c r="AB800" s="727">
        <f t="shared" si="1036"/>
        <v>0</v>
      </c>
      <c r="AC800" s="727">
        <f t="shared" si="1036"/>
        <v>0</v>
      </c>
      <c r="AD800" s="727">
        <f t="shared" si="1036"/>
        <v>0</v>
      </c>
      <c r="AE800" s="726">
        <f t="shared" si="1036"/>
        <v>0</v>
      </c>
      <c r="AF800" s="727">
        <f t="shared" si="1036"/>
        <v>0</v>
      </c>
      <c r="AG800" s="727">
        <f t="shared" si="1036"/>
        <v>0</v>
      </c>
      <c r="AH800" s="727">
        <f t="shared" si="1036"/>
        <v>0</v>
      </c>
      <c r="AI800" s="727">
        <f t="shared" si="1036"/>
        <v>0</v>
      </c>
      <c r="AJ800" s="726">
        <f t="shared" si="1036"/>
        <v>0</v>
      </c>
      <c r="AK800" s="727">
        <f t="shared" si="1036"/>
        <v>0</v>
      </c>
      <c r="AL800" s="727">
        <f t="shared" si="1036"/>
        <v>0</v>
      </c>
      <c r="AM800" s="727">
        <f t="shared" si="1036"/>
        <v>0</v>
      </c>
      <c r="AN800" s="727">
        <f t="shared" si="1036"/>
        <v>0</v>
      </c>
      <c r="AO800" s="726">
        <f t="shared" si="1036"/>
        <v>0</v>
      </c>
      <c r="AP800" s="727">
        <f t="shared" si="1036"/>
        <v>0</v>
      </c>
      <c r="AQ800" s="727">
        <f t="shared" si="1036"/>
        <v>0</v>
      </c>
      <c r="AR800" s="727">
        <f t="shared" si="1036"/>
        <v>0</v>
      </c>
      <c r="AS800" s="727">
        <f t="shared" si="1036"/>
        <v>0</v>
      </c>
      <c r="AT800" s="726">
        <f t="shared" si="1036"/>
        <v>0</v>
      </c>
      <c r="AU800" s="727">
        <f t="shared" si="1036"/>
        <v>0</v>
      </c>
      <c r="AV800" s="727">
        <f t="shared" si="1036"/>
        <v>0</v>
      </c>
      <c r="AW800" s="727">
        <f t="shared" si="1036"/>
        <v>0</v>
      </c>
      <c r="AX800" s="727">
        <f t="shared" si="1036"/>
        <v>0</v>
      </c>
      <c r="AY800" s="726">
        <f t="shared" si="1036"/>
        <v>0</v>
      </c>
      <c r="AZ800" s="727">
        <f t="shared" si="1036"/>
        <v>0</v>
      </c>
      <c r="BA800" s="727">
        <f t="shared" si="1036"/>
        <v>0</v>
      </c>
      <c r="BB800" s="727">
        <f t="shared" si="1036"/>
        <v>0</v>
      </c>
      <c r="BC800" s="727">
        <f t="shared" si="1036"/>
        <v>0</v>
      </c>
      <c r="BD800" s="726">
        <f t="shared" si="1036"/>
        <v>0</v>
      </c>
      <c r="BE800" s="727">
        <f t="shared" si="1036"/>
        <v>0</v>
      </c>
      <c r="BF800" s="727">
        <f t="shared" si="1036"/>
        <v>0</v>
      </c>
      <c r="BG800" s="727">
        <f t="shared" si="1036"/>
        <v>0</v>
      </c>
      <c r="BH800" s="727">
        <f t="shared" si="1036"/>
        <v>0</v>
      </c>
      <c r="BI800" s="726">
        <f t="shared" si="1036"/>
        <v>0</v>
      </c>
      <c r="BJ800" s="1304">
        <f>BJ798-BJ799</f>
        <v>0</v>
      </c>
      <c r="BK800" s="727">
        <f t="shared" si="1036"/>
        <v>0</v>
      </c>
      <c r="BL800" s="727">
        <f t="shared" si="1036"/>
        <v>0</v>
      </c>
      <c r="BM800" s="727">
        <f t="shared" si="1036"/>
        <v>0</v>
      </c>
      <c r="BN800" s="726">
        <f t="shared" si="1036"/>
        <v>0</v>
      </c>
      <c r="BO800" s="727">
        <f t="shared" ref="BO800:CF800" si="1037">BO798-BO799</f>
        <v>0</v>
      </c>
      <c r="BP800" s="727">
        <f t="shared" si="1037"/>
        <v>0</v>
      </c>
      <c r="BQ800" s="727">
        <f t="shared" si="1037"/>
        <v>0</v>
      </c>
      <c r="BR800" s="727">
        <f t="shared" si="1037"/>
        <v>0</v>
      </c>
      <c r="BS800" s="726">
        <f t="shared" si="1037"/>
        <v>0</v>
      </c>
      <c r="BT800" s="726">
        <f t="shared" si="1037"/>
        <v>0</v>
      </c>
      <c r="BU800" s="726">
        <f t="shared" si="1037"/>
        <v>0</v>
      </c>
      <c r="BV800" s="726">
        <f t="shared" si="1037"/>
        <v>0</v>
      </c>
      <c r="BW800" s="118"/>
    </row>
    <row r="801" spans="1:75" s="198" customFormat="1" ht="14.25" hidden="1" outlineLevel="1" x14ac:dyDescent="0.45">
      <c r="A801" s="192" t="s">
        <v>1193</v>
      </c>
      <c r="B801" s="517"/>
      <c r="C801" s="518">
        <f t="shared" ref="C801:BN801" si="1038">C795-C798</f>
        <v>77.442000000000007</v>
      </c>
      <c r="D801" s="518">
        <f t="shared" si="1038"/>
        <v>200.22700000000023</v>
      </c>
      <c r="E801" s="518">
        <f t="shared" si="1038"/>
        <v>236.93099999999953</v>
      </c>
      <c r="F801" s="518">
        <f t="shared" si="1038"/>
        <v>256.73</v>
      </c>
      <c r="G801" s="327">
        <f t="shared" si="1038"/>
        <v>39.465999999999902</v>
      </c>
      <c r="H801" s="327">
        <f t="shared" si="1038"/>
        <v>48.918999999999897</v>
      </c>
      <c r="I801" s="327">
        <f t="shared" si="1038"/>
        <v>56.719000000000023</v>
      </c>
      <c r="J801" s="327">
        <f t="shared" si="1038"/>
        <v>133.79800000000012</v>
      </c>
      <c r="K801" s="518">
        <f t="shared" si="1038"/>
        <v>278.90200000000038</v>
      </c>
      <c r="L801" s="327">
        <f t="shared" si="1038"/>
        <v>46.16200000000002</v>
      </c>
      <c r="M801" s="327">
        <f t="shared" si="1038"/>
        <v>50.747000000000007</v>
      </c>
      <c r="N801" s="327">
        <f t="shared" si="1038"/>
        <v>64.908000000000015</v>
      </c>
      <c r="O801" s="327">
        <f t="shared" si="1038"/>
        <v>147.03700000000003</v>
      </c>
      <c r="P801" s="518">
        <f t="shared" si="1038"/>
        <v>308.85400000000033</v>
      </c>
      <c r="Q801" s="327">
        <f t="shared" si="1038"/>
        <v>44.789999999999893</v>
      </c>
      <c r="R801" s="327">
        <f t="shared" si="1038"/>
        <v>53.66800000000007</v>
      </c>
      <c r="S801" s="327">
        <f t="shared" si="1038"/>
        <v>70.482000000000227</v>
      </c>
      <c r="T801" s="327">
        <f t="shared" si="1038"/>
        <v>141.12800000000004</v>
      </c>
      <c r="U801" s="518">
        <f t="shared" si="1038"/>
        <v>310.06799999999998</v>
      </c>
      <c r="V801" s="327">
        <f t="shared" si="1038"/>
        <v>39.597000000000094</v>
      </c>
      <c r="W801" s="327">
        <f t="shared" si="1038"/>
        <v>51.785000000000068</v>
      </c>
      <c r="X801" s="327">
        <f t="shared" si="1038"/>
        <v>69.378000000000043</v>
      </c>
      <c r="Y801" s="327">
        <f t="shared" si="1038"/>
        <v>144.62699999999995</v>
      </c>
      <c r="Z801" s="518">
        <f t="shared" si="1038"/>
        <v>305.38700000000017</v>
      </c>
      <c r="AA801" s="327">
        <f t="shared" si="1038"/>
        <v>39.555000000000163</v>
      </c>
      <c r="AB801" s="327">
        <f t="shared" si="1038"/>
        <v>52.917000000000058</v>
      </c>
      <c r="AC801" s="327">
        <f t="shared" si="1038"/>
        <v>71.312999999999874</v>
      </c>
      <c r="AD801" s="327">
        <f t="shared" si="1038"/>
        <v>95.760000000000062</v>
      </c>
      <c r="AE801" s="518">
        <f t="shared" si="1038"/>
        <v>259.54499999999967</v>
      </c>
      <c r="AF801" s="327">
        <f t="shared" si="1038"/>
        <v>45.167999999999964</v>
      </c>
      <c r="AG801" s="327">
        <f t="shared" si="1038"/>
        <v>51.712999999999937</v>
      </c>
      <c r="AH801" s="327">
        <f t="shared" si="1038"/>
        <v>81.46499999999979</v>
      </c>
      <c r="AI801" s="327">
        <f t="shared" si="1038"/>
        <v>155.33799999999982</v>
      </c>
      <c r="AJ801" s="518">
        <f t="shared" si="1038"/>
        <v>333.68400000000042</v>
      </c>
      <c r="AK801" s="327">
        <f t="shared" si="1038"/>
        <v>52.656000000000063</v>
      </c>
      <c r="AL801" s="327">
        <f t="shared" si="1038"/>
        <v>62.648000000000195</v>
      </c>
      <c r="AM801" s="327">
        <f t="shared" si="1038"/>
        <v>74.713000000000079</v>
      </c>
      <c r="AN801" s="327">
        <f t="shared" si="1038"/>
        <v>166.04499999999993</v>
      </c>
      <c r="AO801" s="518">
        <f t="shared" si="1038"/>
        <v>356.06199999999978</v>
      </c>
      <c r="AP801" s="327">
        <f t="shared" si="1038"/>
        <v>35.422999999999981</v>
      </c>
      <c r="AQ801" s="327">
        <f t="shared" si="1038"/>
        <v>134.56399999999988</v>
      </c>
      <c r="AR801" s="327">
        <f t="shared" si="1038"/>
        <v>201.77200000000005</v>
      </c>
      <c r="AS801" s="327">
        <f t="shared" si="1038"/>
        <v>308.95500000000067</v>
      </c>
      <c r="AT801" s="518">
        <f t="shared" si="1038"/>
        <v>680.71400000000017</v>
      </c>
      <c r="AU801" s="327">
        <f t="shared" si="1038"/>
        <v>227.80199999999991</v>
      </c>
      <c r="AV801" s="327">
        <f t="shared" si="1038"/>
        <v>246.06999999999988</v>
      </c>
      <c r="AW801" s="327">
        <f t="shared" si="1038"/>
        <v>249.52400000000006</v>
      </c>
      <c r="AX801" s="327">
        <f t="shared" si="1038"/>
        <v>402.94099999999929</v>
      </c>
      <c r="AY801" s="518">
        <f t="shared" si="1038"/>
        <v>1126.337</v>
      </c>
      <c r="AZ801" s="327">
        <f t="shared" si="1038"/>
        <v>254.113</v>
      </c>
      <c r="BA801" s="327">
        <f t="shared" si="1038"/>
        <v>267.0749999999997</v>
      </c>
      <c r="BB801" s="327">
        <f t="shared" si="1038"/>
        <v>251.72300000000004</v>
      </c>
      <c r="BC801" s="327">
        <f t="shared" si="1038"/>
        <v>354.99299999999931</v>
      </c>
      <c r="BD801" s="518">
        <f t="shared" si="1038"/>
        <v>1127.9039999999986</v>
      </c>
      <c r="BE801" s="327">
        <f t="shared" si="1038"/>
        <v>156.53099999999984</v>
      </c>
      <c r="BF801" s="327">
        <f t="shared" si="1038"/>
        <v>201.50699999999998</v>
      </c>
      <c r="BG801" s="327">
        <f t="shared" si="1038"/>
        <v>237.28500000000025</v>
      </c>
      <c r="BH801" s="327">
        <f t="shared" si="1038"/>
        <v>354.43899999999985</v>
      </c>
      <c r="BI801" s="518">
        <f t="shared" si="1038"/>
        <v>949.76199999999926</v>
      </c>
      <c r="BJ801" s="1026">
        <f>BJ795-BJ798</f>
        <v>265.66599999999994</v>
      </c>
      <c r="BK801" s="327">
        <f t="shared" si="1038"/>
        <v>192.86416227804926</v>
      </c>
      <c r="BL801" s="327">
        <f t="shared" ca="1" si="1038"/>
        <v>233.69184608480805</v>
      </c>
      <c r="BM801" s="327">
        <f t="shared" ca="1" si="1038"/>
        <v>363.22875556368473</v>
      </c>
      <c r="BN801" s="518">
        <f t="shared" ca="1" si="1038"/>
        <v>1055.4507639265423</v>
      </c>
      <c r="BO801" s="327">
        <f t="shared" ref="BO801:CF801" ca="1" si="1039">BO795-BO798</f>
        <v>216.51038251302049</v>
      </c>
      <c r="BP801" s="327">
        <f t="shared" ca="1" si="1039"/>
        <v>214.19387637160605</v>
      </c>
      <c r="BQ801" s="327">
        <f t="shared" ca="1" si="1039"/>
        <v>270.54557912367284</v>
      </c>
      <c r="BR801" s="327">
        <f t="shared" ca="1" si="1039"/>
        <v>365.45204517718474</v>
      </c>
      <c r="BS801" s="518">
        <f t="shared" ca="1" si="1039"/>
        <v>1066.7018831854834</v>
      </c>
      <c r="BT801" s="518">
        <f t="shared" ca="1" si="1039"/>
        <v>1150.5478748624337</v>
      </c>
      <c r="BU801" s="518">
        <f t="shared" ca="1" si="1039"/>
        <v>1253.5241946077499</v>
      </c>
      <c r="BV801" s="518">
        <f t="shared" ca="1" si="1039"/>
        <v>1365.2158019629389</v>
      </c>
      <c r="BW801" s="295"/>
    </row>
    <row r="802" spans="1:75" s="198" customFormat="1" ht="14.25" collapsed="1" x14ac:dyDescent="0.45">
      <c r="A802" s="292" t="s">
        <v>1194</v>
      </c>
      <c r="B802" s="522"/>
      <c r="C802" s="397">
        <f t="shared" ref="C802:BN802" si="1040">C797-C800</f>
        <v>102.13778999999994</v>
      </c>
      <c r="D802" s="397">
        <f t="shared" si="1040"/>
        <v>213.36964000000043</v>
      </c>
      <c r="E802" s="397">
        <f t="shared" si="1040"/>
        <v>239.06263999999931</v>
      </c>
      <c r="F802" s="397">
        <f t="shared" si="1040"/>
        <v>260.77204</v>
      </c>
      <c r="G802" s="295">
        <f t="shared" si="1040"/>
        <v>41.456299999999871</v>
      </c>
      <c r="H802" s="295">
        <f t="shared" si="1040"/>
        <v>48.918999999999841</v>
      </c>
      <c r="I802" s="295">
        <f t="shared" si="1040"/>
        <v>56.719000000000023</v>
      </c>
      <c r="J802" s="295">
        <f t="shared" si="1040"/>
        <v>133.79800000000017</v>
      </c>
      <c r="K802" s="397">
        <f t="shared" si="1040"/>
        <v>280.87730000000045</v>
      </c>
      <c r="L802" s="295">
        <f t="shared" si="1040"/>
        <v>46.16200000000002</v>
      </c>
      <c r="M802" s="295">
        <f t="shared" si="1040"/>
        <v>50.74699999999995</v>
      </c>
      <c r="N802" s="295">
        <f t="shared" si="1040"/>
        <v>64.908000000000015</v>
      </c>
      <c r="O802" s="295">
        <f t="shared" si="1040"/>
        <v>142.35495000000009</v>
      </c>
      <c r="P802" s="397">
        <f t="shared" si="1040"/>
        <v>305.04600000000079</v>
      </c>
      <c r="Q802" s="295">
        <f t="shared" si="1040"/>
        <v>44.789999999999893</v>
      </c>
      <c r="R802" s="295">
        <f t="shared" si="1040"/>
        <v>53.668000000000127</v>
      </c>
      <c r="S802" s="295">
        <f t="shared" si="1040"/>
        <v>70.48200000000034</v>
      </c>
      <c r="T802" s="295">
        <f t="shared" si="1040"/>
        <v>141.12800000000004</v>
      </c>
      <c r="U802" s="397">
        <f t="shared" si="1040"/>
        <v>310.06799999999998</v>
      </c>
      <c r="V802" s="295">
        <f t="shared" si="1040"/>
        <v>47.743260000000149</v>
      </c>
      <c r="W802" s="295">
        <f t="shared" si="1040"/>
        <v>51.785000000000124</v>
      </c>
      <c r="X802" s="295">
        <f t="shared" si="1040"/>
        <v>70.269440000000159</v>
      </c>
      <c r="Y802" s="295">
        <f t="shared" si="1040"/>
        <v>137.53635999999995</v>
      </c>
      <c r="Z802" s="397">
        <f t="shared" si="1040"/>
        <v>307.1762400000004</v>
      </c>
      <c r="AA802" s="295">
        <f t="shared" si="1040"/>
        <v>44.718000000000245</v>
      </c>
      <c r="AB802" s="295">
        <f t="shared" si="1040"/>
        <v>52.917000000000115</v>
      </c>
      <c r="AC802" s="295">
        <f t="shared" si="1040"/>
        <v>71.312999999999761</v>
      </c>
      <c r="AD802" s="295">
        <f t="shared" si="1040"/>
        <v>142.01699999999994</v>
      </c>
      <c r="AE802" s="397">
        <f t="shared" si="1040"/>
        <v>310.96499999999958</v>
      </c>
      <c r="AF802" s="295">
        <f t="shared" si="1040"/>
        <v>56.374999999999872</v>
      </c>
      <c r="AG802" s="295">
        <f t="shared" si="1040"/>
        <v>63.95199999999997</v>
      </c>
      <c r="AH802" s="295">
        <f t="shared" si="1040"/>
        <v>77.821999999999548</v>
      </c>
      <c r="AI802" s="295">
        <f t="shared" si="1040"/>
        <v>169.39299999999989</v>
      </c>
      <c r="AJ802" s="397">
        <f t="shared" si="1040"/>
        <v>367.54200000000105</v>
      </c>
      <c r="AK802" s="295">
        <f t="shared" si="1040"/>
        <v>64.45500000000014</v>
      </c>
      <c r="AL802" s="295">
        <f t="shared" si="1040"/>
        <v>69.458000000000297</v>
      </c>
      <c r="AM802" s="295">
        <f t="shared" si="1040"/>
        <v>80.805000000000121</v>
      </c>
      <c r="AN802" s="295">
        <f t="shared" si="1040"/>
        <v>168.50399999999996</v>
      </c>
      <c r="AO802" s="397">
        <f t="shared" si="1040"/>
        <v>383.22200000000004</v>
      </c>
      <c r="AP802" s="295">
        <f t="shared" si="1040"/>
        <v>58.060999999999993</v>
      </c>
      <c r="AQ802" s="295">
        <f t="shared" si="1040"/>
        <v>142.52199999999974</v>
      </c>
      <c r="AR802" s="295">
        <f t="shared" si="1040"/>
        <v>202.87100000000001</v>
      </c>
      <c r="AS802" s="295">
        <f t="shared" si="1040"/>
        <v>311.32300000000066</v>
      </c>
      <c r="AT802" s="397">
        <f t="shared" si="1040"/>
        <v>714.7769999999997</v>
      </c>
      <c r="AU802" s="295">
        <f t="shared" si="1040"/>
        <v>230.12999999999985</v>
      </c>
      <c r="AV802" s="295">
        <f t="shared" si="1040"/>
        <v>248.36499999999992</v>
      </c>
      <c r="AW802" s="295">
        <f t="shared" si="1040"/>
        <v>251.80300000000022</v>
      </c>
      <c r="AX802" s="295">
        <f t="shared" si="1040"/>
        <v>403.80199999999928</v>
      </c>
      <c r="AY802" s="397">
        <f t="shared" si="1040"/>
        <v>1134.1000000000006</v>
      </c>
      <c r="AZ802" s="295">
        <f t="shared" si="1040"/>
        <v>254.113</v>
      </c>
      <c r="BA802" s="295">
        <f t="shared" si="1040"/>
        <v>267.0749999999997</v>
      </c>
      <c r="BB802" s="295">
        <f t="shared" si="1040"/>
        <v>251.72300000000004</v>
      </c>
      <c r="BC802" s="295">
        <f t="shared" si="1040"/>
        <v>369.83999999999929</v>
      </c>
      <c r="BD802" s="397">
        <f t="shared" si="1040"/>
        <v>1142.7509999999982</v>
      </c>
      <c r="BE802" s="295">
        <f t="shared" si="1040"/>
        <v>175.91399999999976</v>
      </c>
      <c r="BF802" s="295">
        <f t="shared" si="1040"/>
        <v>201.50699999999998</v>
      </c>
      <c r="BG802" s="295">
        <f t="shared" si="1040"/>
        <v>237.28500000000037</v>
      </c>
      <c r="BH802" s="295">
        <f t="shared" si="1040"/>
        <v>354.43899999999985</v>
      </c>
      <c r="BI802" s="397">
        <f t="shared" si="1040"/>
        <v>969.14499999999873</v>
      </c>
      <c r="BJ802" s="1030">
        <f>BJ797-BJ800</f>
        <v>265.66599999999994</v>
      </c>
      <c r="BK802" s="295">
        <f t="shared" si="1040"/>
        <v>192.86416227804926</v>
      </c>
      <c r="BL802" s="295">
        <f t="shared" ca="1" si="1040"/>
        <v>233.69184608480808</v>
      </c>
      <c r="BM802" s="295">
        <f t="shared" ca="1" si="1040"/>
        <v>363.22875556368479</v>
      </c>
      <c r="BN802" s="397">
        <f t="shared" ca="1" si="1040"/>
        <v>1055.4507639265423</v>
      </c>
      <c r="BO802" s="295">
        <f t="shared" ref="BO802:CF802" ca="1" si="1041">BO797-BO800</f>
        <v>216.51038251302049</v>
      </c>
      <c r="BP802" s="295">
        <f t="shared" ca="1" si="1041"/>
        <v>214.193876371606</v>
      </c>
      <c r="BQ802" s="295">
        <f t="shared" ca="1" si="1041"/>
        <v>270.54557912367284</v>
      </c>
      <c r="BR802" s="295">
        <f t="shared" ca="1" si="1041"/>
        <v>365.45204517718474</v>
      </c>
      <c r="BS802" s="397">
        <f t="shared" ca="1" si="1041"/>
        <v>1066.7018831854834</v>
      </c>
      <c r="BT802" s="397">
        <f t="shared" ca="1" si="1041"/>
        <v>1150.5478748624337</v>
      </c>
      <c r="BU802" s="397">
        <f t="shared" ca="1" si="1041"/>
        <v>1253.5241946077499</v>
      </c>
      <c r="BV802" s="397">
        <f t="shared" ca="1" si="1041"/>
        <v>1365.2158019629389</v>
      </c>
      <c r="BW802" s="295"/>
    </row>
    <row r="803" spans="1:75" s="198" customFormat="1" ht="14.25" x14ac:dyDescent="0.45">
      <c r="A803" s="292"/>
      <c r="B803" s="522"/>
      <c r="C803" s="397"/>
      <c r="D803" s="397"/>
      <c r="E803" s="397"/>
      <c r="F803" s="397"/>
      <c r="G803" s="295"/>
      <c r="H803" s="295"/>
      <c r="I803" s="295"/>
      <c r="J803" s="295"/>
      <c r="K803" s="397"/>
      <c r="L803" s="295"/>
      <c r="M803" s="295"/>
      <c r="N803" s="295"/>
      <c r="O803" s="295"/>
      <c r="P803" s="397"/>
      <c r="Q803" s="295"/>
      <c r="R803" s="295"/>
      <c r="S803" s="295"/>
      <c r="T803" s="295"/>
      <c r="U803" s="397"/>
      <c r="V803" s="295"/>
      <c r="W803" s="295"/>
      <c r="X803" s="295"/>
      <c r="Y803" s="295"/>
      <c r="Z803" s="397"/>
      <c r="AA803" s="295"/>
      <c r="AB803" s="295"/>
      <c r="AC803" s="295"/>
      <c r="AD803" s="295"/>
      <c r="AE803" s="397"/>
      <c r="AF803" s="295"/>
      <c r="AG803" s="295"/>
      <c r="AH803" s="295"/>
      <c r="AI803" s="295"/>
      <c r="AJ803" s="397"/>
      <c r="AK803" s="295"/>
      <c r="AL803" s="295"/>
      <c r="AM803" s="295"/>
      <c r="AN803" s="295"/>
      <c r="AO803" s="397"/>
      <c r="AP803" s="295"/>
      <c r="AQ803" s="295"/>
      <c r="AR803" s="295"/>
      <c r="AS803" s="295"/>
      <c r="AT803" s="397"/>
      <c r="AU803" s="295"/>
      <c r="AV803" s="295"/>
      <c r="AW803" s="295"/>
      <c r="AX803" s="295"/>
      <c r="AY803" s="397"/>
      <c r="AZ803" s="295"/>
      <c r="BA803" s="295"/>
      <c r="BB803" s="295"/>
      <c r="BC803" s="295"/>
      <c r="BD803" s="397"/>
      <c r="BE803" s="295"/>
      <c r="BF803" s="295"/>
      <c r="BG803" s="295"/>
      <c r="BH803" s="295"/>
      <c r="BI803" s="397"/>
      <c r="BJ803" s="1030"/>
      <c r="BK803" s="295"/>
      <c r="BL803" s="295"/>
      <c r="BM803" s="295"/>
      <c r="BN803" s="397"/>
      <c r="BO803" s="295"/>
      <c r="BP803" s="295"/>
      <c r="BQ803" s="295"/>
      <c r="BR803" s="295"/>
      <c r="BS803" s="397"/>
      <c r="BT803" s="397"/>
      <c r="BU803" s="397"/>
      <c r="BV803" s="397"/>
      <c r="BW803" s="197"/>
    </row>
    <row r="804" spans="1:75" s="198" customFormat="1" ht="14.25" x14ac:dyDescent="0.45">
      <c r="A804" s="469" t="s">
        <v>1195</v>
      </c>
      <c r="B804" s="729"/>
      <c r="C804" s="730">
        <f t="shared" ref="C804:BI804" si="1042">C785/C779</f>
        <v>0.36557620517662287</v>
      </c>
      <c r="D804" s="730">
        <f t="shared" si="1042"/>
        <v>0.38064144951683676</v>
      </c>
      <c r="E804" s="730">
        <f t="shared" si="1042"/>
        <v>0.37878377465374402</v>
      </c>
      <c r="F804" s="730">
        <f t="shared" si="1042"/>
        <v>0.37456639468900055</v>
      </c>
      <c r="G804" s="473">
        <f t="shared" si="1042"/>
        <v>0.3803984575835484</v>
      </c>
      <c r="H804" s="473">
        <f t="shared" si="1042"/>
        <v>0.37452532252496545</v>
      </c>
      <c r="I804" s="473">
        <f t="shared" si="1042"/>
        <v>0.38746395671566025</v>
      </c>
      <c r="J804" s="473">
        <f t="shared" si="1042"/>
        <v>0.3859716753402902</v>
      </c>
      <c r="K804" s="730">
        <f t="shared" si="1042"/>
        <v>0.38352457541185769</v>
      </c>
      <c r="L804" s="473">
        <f t="shared" si="1042"/>
        <v>0.37950131057194691</v>
      </c>
      <c r="M804" s="473">
        <f t="shared" si="1042"/>
        <v>0.40504830238229261</v>
      </c>
      <c r="N804" s="473">
        <f t="shared" si="1042"/>
        <v>0.37948242402225552</v>
      </c>
      <c r="O804" s="473">
        <f t="shared" si="1042"/>
        <v>0.38239462895073628</v>
      </c>
      <c r="P804" s="730">
        <f t="shared" si="1042"/>
        <v>0.38348265624336758</v>
      </c>
      <c r="Q804" s="473">
        <f t="shared" si="1042"/>
        <v>0.37722469410456122</v>
      </c>
      <c r="R804" s="473">
        <f t="shared" si="1042"/>
        <v>0.353926903259979</v>
      </c>
      <c r="S804" s="473">
        <f t="shared" si="1042"/>
        <v>0.36123471782927336</v>
      </c>
      <c r="T804" s="473">
        <f t="shared" si="1042"/>
        <v>0.36622387483271801</v>
      </c>
      <c r="U804" s="730">
        <f t="shared" si="1042"/>
        <v>0.36462386810025266</v>
      </c>
      <c r="V804" s="473">
        <f t="shared" si="1042"/>
        <v>0.3784562709922662</v>
      </c>
      <c r="W804" s="473">
        <f t="shared" si="1042"/>
        <v>0.37690262185804113</v>
      </c>
      <c r="X804" s="473">
        <f t="shared" si="1042"/>
        <v>0.36508872745671972</v>
      </c>
      <c r="Y804" s="473">
        <f t="shared" si="1042"/>
        <v>0.36242520327464567</v>
      </c>
      <c r="Z804" s="730">
        <f t="shared" si="1042"/>
        <v>0.36836211771334298</v>
      </c>
      <c r="AA804" s="473">
        <f t="shared" si="1042"/>
        <v>0.34509826894349738</v>
      </c>
      <c r="AB804" s="473">
        <f t="shared" si="1042"/>
        <v>0.34751729325162384</v>
      </c>
      <c r="AC804" s="473">
        <f t="shared" si="1042"/>
        <v>0.35298814179043647</v>
      </c>
      <c r="AD804" s="473">
        <f t="shared" si="1042"/>
        <v>0.3161014745398687</v>
      </c>
      <c r="AE804" s="730">
        <f t="shared" si="1042"/>
        <v>0.33449257372768948</v>
      </c>
      <c r="AF804" s="473">
        <f t="shared" si="1042"/>
        <v>0.23798002189751527</v>
      </c>
      <c r="AG804" s="473">
        <f t="shared" si="1042"/>
        <v>0.24535960823647407</v>
      </c>
      <c r="AH804" s="473">
        <f t="shared" si="1042"/>
        <v>0.23023966606989424</v>
      </c>
      <c r="AI804" s="473">
        <f t="shared" si="1042"/>
        <v>0.21591471910164359</v>
      </c>
      <c r="AJ804" s="730">
        <f t="shared" si="1042"/>
        <v>0.22763226468066389</v>
      </c>
      <c r="AK804" s="473">
        <f t="shared" si="1042"/>
        <v>0.24006979732836489</v>
      </c>
      <c r="AL804" s="473">
        <f t="shared" si="1042"/>
        <v>0.23964137538451291</v>
      </c>
      <c r="AM804" s="473">
        <f t="shared" si="1042"/>
        <v>0.24700872223050496</v>
      </c>
      <c r="AN804" s="473">
        <f t="shared" si="1042"/>
        <v>0.20533474184603187</v>
      </c>
      <c r="AO804" s="730">
        <f t="shared" si="1042"/>
        <v>0.2266296955533757</v>
      </c>
      <c r="AP804" s="473">
        <f t="shared" si="1042"/>
        <v>0.24441060878165585</v>
      </c>
      <c r="AQ804" s="473">
        <f t="shared" si="1042"/>
        <v>0.24428796402835809</v>
      </c>
      <c r="AR804" s="473">
        <f t="shared" si="1042"/>
        <v>0.25271936319199645</v>
      </c>
      <c r="AS804" s="473">
        <f t="shared" si="1042"/>
        <v>0.23712358273032211</v>
      </c>
      <c r="AT804" s="730">
        <f t="shared" si="1042"/>
        <v>0.24362622419987232</v>
      </c>
      <c r="AU804" s="473">
        <f t="shared" si="1042"/>
        <v>0.16663045367634299</v>
      </c>
      <c r="AV804" s="473">
        <f t="shared" si="1042"/>
        <v>0.23790104818715174</v>
      </c>
      <c r="AW804" s="473">
        <f t="shared" si="1042"/>
        <v>0.24360314570829464</v>
      </c>
      <c r="AX804" s="473">
        <f t="shared" si="1042"/>
        <v>0.23154567408791729</v>
      </c>
      <c r="AY804" s="730">
        <f t="shared" si="1042"/>
        <v>0.22343778566444625</v>
      </c>
      <c r="AZ804" s="473">
        <f t="shared" si="1042"/>
        <v>0.2148379083190172</v>
      </c>
      <c r="BA804" s="473">
        <f t="shared" si="1042"/>
        <v>0.27001762945348717</v>
      </c>
      <c r="BB804" s="473">
        <f t="shared" si="1042"/>
        <v>0.25964476784028373</v>
      </c>
      <c r="BC804" s="473">
        <f t="shared" si="1042"/>
        <v>0.24345974385147437</v>
      </c>
      <c r="BD804" s="730">
        <f t="shared" si="1042"/>
        <v>0.24738255325286584</v>
      </c>
      <c r="BE804" s="473">
        <f t="shared" si="1042"/>
        <v>0.23919869216597084</v>
      </c>
      <c r="BF804" s="473">
        <f t="shared" si="1042"/>
        <v>0.26693538705558367</v>
      </c>
      <c r="BG804" s="473">
        <f t="shared" si="1042"/>
        <v>0.26368231763891731</v>
      </c>
      <c r="BH804" s="473">
        <f t="shared" si="1042"/>
        <v>0.24785564831359108</v>
      </c>
      <c r="BI804" s="730">
        <f t="shared" si="1042"/>
        <v>0.25427553974216766</v>
      </c>
      <c r="BJ804" s="1246">
        <f>BJ785/BJ779</f>
        <v>0.21835583630741351</v>
      </c>
      <c r="BK804" s="732">
        <v>0.26600000000000001</v>
      </c>
      <c r="BL804" s="732">
        <v>0.26600000000000001</v>
      </c>
      <c r="BM804" s="732">
        <v>0.26600000000000001</v>
      </c>
      <c r="BN804" s="730">
        <f ca="1">BN785/BN779</f>
        <v>0.25456306843812188</v>
      </c>
      <c r="BO804" s="732">
        <v>0.23</v>
      </c>
      <c r="BP804" s="732">
        <v>0.23</v>
      </c>
      <c r="BQ804" s="732">
        <v>0.23</v>
      </c>
      <c r="BR804" s="732">
        <v>0.23</v>
      </c>
      <c r="BS804" s="730">
        <f ca="1">BS785/BS779</f>
        <v>0.23000000000000009</v>
      </c>
      <c r="BT804" s="733">
        <v>0.23</v>
      </c>
      <c r="BU804" s="733">
        <v>0.23</v>
      </c>
      <c r="BV804" s="733">
        <v>0.23</v>
      </c>
      <c r="BW804" s="295"/>
    </row>
    <row r="805" spans="1:75" s="198" customFormat="1" ht="14.25" x14ac:dyDescent="0.45">
      <c r="A805" s="469" t="s">
        <v>1196</v>
      </c>
      <c r="B805" s="729"/>
      <c r="C805" s="180">
        <f t="shared" ref="C805:BI805" si="1043">IFERROR(C784/ROUND(C779-C778,6),"n/a")</f>
        <v>0.39328346108490753</v>
      </c>
      <c r="D805" s="180">
        <f t="shared" si="1043"/>
        <v>0.38703232125366371</v>
      </c>
      <c r="E805" s="180">
        <f t="shared" si="1043"/>
        <v>0.28945333333340767</v>
      </c>
      <c r="F805" s="180">
        <f t="shared" si="1043"/>
        <v>0.42173962804006054</v>
      </c>
      <c r="G805" s="183">
        <f t="shared" si="1043"/>
        <v>0.32210490463216301</v>
      </c>
      <c r="H805" s="183" t="str">
        <f t="shared" si="1043"/>
        <v>n/a</v>
      </c>
      <c r="I805" s="183" t="str">
        <f t="shared" si="1043"/>
        <v>n/a</v>
      </c>
      <c r="J805" s="183" t="str">
        <f t="shared" si="1043"/>
        <v>n/a</v>
      </c>
      <c r="K805" s="180">
        <f t="shared" si="1043"/>
        <v>0.32721389645773757</v>
      </c>
      <c r="L805" s="183" t="str">
        <f t="shared" si="1043"/>
        <v>n/a</v>
      </c>
      <c r="M805" s="183" t="str">
        <f t="shared" si="1043"/>
        <v>n/a</v>
      </c>
      <c r="N805" s="183" t="str">
        <f t="shared" si="1043"/>
        <v>n/a</v>
      </c>
      <c r="O805" s="183">
        <f t="shared" si="1043"/>
        <v>0.36848529808471009</v>
      </c>
      <c r="P805" s="180">
        <f t="shared" si="1043"/>
        <v>0.48637712435938085</v>
      </c>
      <c r="Q805" s="183" t="str">
        <f t="shared" si="1043"/>
        <v>n/a</v>
      </c>
      <c r="R805" s="183" t="str">
        <f t="shared" si="1043"/>
        <v>n/a</v>
      </c>
      <c r="S805" s="183" t="str">
        <f t="shared" si="1043"/>
        <v>n/a</v>
      </c>
      <c r="T805" s="183" t="str">
        <f t="shared" si="1043"/>
        <v>n/a</v>
      </c>
      <c r="U805" s="180" t="str">
        <f t="shared" si="1043"/>
        <v>n/a</v>
      </c>
      <c r="V805" s="183">
        <f t="shared" si="1043"/>
        <v>0.38383934649420987</v>
      </c>
      <c r="W805" s="183" t="str">
        <f t="shared" si="1043"/>
        <v>n/a</v>
      </c>
      <c r="X805" s="183">
        <f t="shared" si="1043"/>
        <v>0.2477299578058107</v>
      </c>
      <c r="Y805" s="183" t="str">
        <f t="shared" si="1043"/>
        <v>n/a</v>
      </c>
      <c r="Z805" s="180">
        <f t="shared" si="1043"/>
        <v>0.87579897265026874</v>
      </c>
      <c r="AA805" s="183">
        <f t="shared" si="1043"/>
        <v>9.5004382120931874E-2</v>
      </c>
      <c r="AB805" s="183" t="str">
        <f t="shared" si="1043"/>
        <v>n/a</v>
      </c>
      <c r="AC805" s="183" t="str">
        <f t="shared" si="1043"/>
        <v>n/a</v>
      </c>
      <c r="AD805" s="183">
        <f t="shared" si="1043"/>
        <v>-4.0742650285212694</v>
      </c>
      <c r="AE805" s="180">
        <f t="shared" si="1043"/>
        <v>-2.4694015248633612</v>
      </c>
      <c r="AF805" s="183">
        <f t="shared" si="1043"/>
        <v>-0.29830861909174128</v>
      </c>
      <c r="AG805" s="183">
        <f t="shared" si="1043"/>
        <v>-6.2484584395321001E-3</v>
      </c>
      <c r="AH805" s="183">
        <f t="shared" si="1043"/>
        <v>1.4046428968122007</v>
      </c>
      <c r="AI805" s="183">
        <f t="shared" si="1043"/>
        <v>0.16433795112669747</v>
      </c>
      <c r="AJ805" s="180">
        <f t="shared" si="1043"/>
        <v>0.27369843619279211</v>
      </c>
      <c r="AK805" s="183">
        <f t="shared" si="1043"/>
        <v>8.8035245014679603E-2</v>
      </c>
      <c r="AL805" s="183">
        <f t="shared" si="1043"/>
        <v>0.13281548452819211</v>
      </c>
      <c r="AM805" s="183">
        <f t="shared" si="1043"/>
        <v>0.23706950532247439</v>
      </c>
      <c r="AN805" s="183">
        <f t="shared" si="1043"/>
        <v>0.74714652956297822</v>
      </c>
      <c r="AO805" s="180">
        <f t="shared" si="1043"/>
        <v>0.29456377756421198</v>
      </c>
      <c r="AP805" s="183">
        <f t="shared" si="1043"/>
        <v>0.25424957174858309</v>
      </c>
      <c r="AQ805" s="183">
        <f t="shared" si="1043"/>
        <v>0.17924917491750636</v>
      </c>
      <c r="AR805" s="183">
        <f t="shared" si="1043"/>
        <v>0.50473186119875302</v>
      </c>
      <c r="AS805" s="183">
        <f t="shared" si="1043"/>
        <v>0.71359458151911392</v>
      </c>
      <c r="AT805" s="180">
        <f t="shared" si="1043"/>
        <v>0.32600565899603184</v>
      </c>
      <c r="AU805" s="183">
        <f t="shared" si="1043"/>
        <v>0.17999295526595721</v>
      </c>
      <c r="AV805" s="183">
        <f t="shared" si="1043"/>
        <v>0.16757344940150912</v>
      </c>
      <c r="AW805" s="183">
        <f t="shared" si="1043"/>
        <v>0.17187499999994285</v>
      </c>
      <c r="AX805" s="183">
        <f t="shared" si="1043"/>
        <v>-6.0344827586180011E-2</v>
      </c>
      <c r="AY805" s="180">
        <f t="shared" si="1043"/>
        <v>0.1525109170305109</v>
      </c>
      <c r="AZ805" s="183" t="str">
        <f t="shared" si="1043"/>
        <v>n/a</v>
      </c>
      <c r="BA805" s="183" t="str">
        <f t="shared" si="1043"/>
        <v>n/a</v>
      </c>
      <c r="BB805" s="183" t="str">
        <f t="shared" si="1043"/>
        <v>n/a</v>
      </c>
      <c r="BC805" s="183">
        <f t="shared" si="1043"/>
        <v>0.16056991010346761</v>
      </c>
      <c r="BD805" s="180">
        <f t="shared" si="1043"/>
        <v>0.1605699101034869</v>
      </c>
      <c r="BE805" s="183">
        <f t="shared" si="1043"/>
        <v>0.26151560178306432</v>
      </c>
      <c r="BF805" s="183" t="str">
        <f t="shared" si="1043"/>
        <v>n/a</v>
      </c>
      <c r="BG805" s="183" t="str">
        <f t="shared" si="1043"/>
        <v>n/a</v>
      </c>
      <c r="BH805" s="183" t="str">
        <f t="shared" si="1043"/>
        <v>n/a</v>
      </c>
      <c r="BI805" s="180">
        <f t="shared" si="1043"/>
        <v>0.26151560178307948</v>
      </c>
      <c r="BJ805" s="1112" t="str">
        <f>IFERROR(BJ784/ROUND(BJ779-BJ778,6),"n/a")</f>
        <v>n/a</v>
      </c>
      <c r="BK805" s="183">
        <f>BK804</f>
        <v>0.26600000000000001</v>
      </c>
      <c r="BL805" s="183">
        <f>BL804</f>
        <v>0.26600000000000001</v>
      </c>
      <c r="BM805" s="183">
        <f>BM804</f>
        <v>0.26600000000000001</v>
      </c>
      <c r="BN805" s="180" t="str">
        <f ca="1">IFERROR(BN784/ROUND(BN779-BN778,6),"n/a")</f>
        <v>n/a</v>
      </c>
      <c r="BO805" s="183">
        <f>BO804</f>
        <v>0.23</v>
      </c>
      <c r="BP805" s="183">
        <f>BP804</f>
        <v>0.23</v>
      </c>
      <c r="BQ805" s="183">
        <f>BQ804</f>
        <v>0.23</v>
      </c>
      <c r="BR805" s="183">
        <f>BR804</f>
        <v>0.23</v>
      </c>
      <c r="BS805" s="180" t="str">
        <f ca="1">IFERROR(BS784/ROUND(BS779-BS778,6),"n/a")</f>
        <v>n/a</v>
      </c>
      <c r="BT805" s="180">
        <f>BT804</f>
        <v>0.23</v>
      </c>
      <c r="BU805" s="180">
        <f>BU804</f>
        <v>0.23</v>
      </c>
      <c r="BV805" s="180">
        <f>BV804</f>
        <v>0.23</v>
      </c>
      <c r="BW805" s="295"/>
    </row>
    <row r="806" spans="1:75" s="162" customFormat="1" ht="15" customHeight="1" x14ac:dyDescent="0.45">
      <c r="A806" s="211" t="s">
        <v>1197</v>
      </c>
      <c r="B806" s="734"/>
      <c r="C806" s="423">
        <f t="shared" ref="C806:BN806" si="1044">C781/C778</f>
        <v>0.55235308299179486</v>
      </c>
      <c r="D806" s="423">
        <f t="shared" si="1044"/>
        <v>0.30727109515260298</v>
      </c>
      <c r="E806" s="423">
        <f t="shared" si="1044"/>
        <v>0.3422701202105653</v>
      </c>
      <c r="F806" s="423">
        <f t="shared" si="1044"/>
        <v>0.39578637707461284</v>
      </c>
      <c r="G806" s="422">
        <f t="shared" si="1044"/>
        <v>0.43670668417432695</v>
      </c>
      <c r="H806" s="422">
        <f t="shared" si="1044"/>
        <v>0.41935277646366936</v>
      </c>
      <c r="I806" s="422">
        <f t="shared" si="1044"/>
        <v>0.42834001101547553</v>
      </c>
      <c r="J806" s="422">
        <f t="shared" si="1044"/>
        <v>0.46684289267652401</v>
      </c>
      <c r="K806" s="423">
        <f t="shared" si="1044"/>
        <v>0.44650328486663887</v>
      </c>
      <c r="L806" s="422">
        <f t="shared" si="1044"/>
        <v>0.44199206935949981</v>
      </c>
      <c r="M806" s="422">
        <f t="shared" si="1044"/>
        <v>0.44815700619020815</v>
      </c>
      <c r="N806" s="422">
        <f t="shared" si="1044"/>
        <v>0.42446201351777663</v>
      </c>
      <c r="O806" s="422">
        <f t="shared" si="1044"/>
        <v>0.32823054192989748</v>
      </c>
      <c r="P806" s="423">
        <f t="shared" si="1044"/>
        <v>0.38549550679705191</v>
      </c>
      <c r="Q806" s="422">
        <f t="shared" si="1044"/>
        <v>0.45367074527252571</v>
      </c>
      <c r="R806" s="422">
        <f t="shared" si="1044"/>
        <v>0.39046323494004875</v>
      </c>
      <c r="S806" s="422">
        <f t="shared" si="1044"/>
        <v>0.406485349960576</v>
      </c>
      <c r="T806" s="422">
        <f t="shared" si="1044"/>
        <v>0.33887496744177681</v>
      </c>
      <c r="U806" s="423">
        <f t="shared" si="1044"/>
        <v>0.37986135444778457</v>
      </c>
      <c r="V806" s="422">
        <f t="shared" si="1044"/>
        <v>0.46847923513594197</v>
      </c>
      <c r="W806" s="422">
        <f t="shared" si="1044"/>
        <v>0.43316608309569327</v>
      </c>
      <c r="X806" s="422">
        <f t="shared" si="1044"/>
        <v>0.40279109698514021</v>
      </c>
      <c r="Y806" s="422">
        <f t="shared" si="1044"/>
        <v>0.22954041850935017</v>
      </c>
      <c r="Z806" s="423">
        <f t="shared" si="1044"/>
        <v>0.33779674557278794</v>
      </c>
      <c r="AA806" s="422">
        <f t="shared" si="1044"/>
        <v>0.42939099029994932</v>
      </c>
      <c r="AB806" s="422">
        <f t="shared" si="1044"/>
        <v>0.41026621126743174</v>
      </c>
      <c r="AC806" s="422">
        <f t="shared" si="1044"/>
        <v>0.37972581859751992</v>
      </c>
      <c r="AD806" s="422">
        <f t="shared" si="1044"/>
        <v>0.13859536017568064</v>
      </c>
      <c r="AE806" s="423">
        <f t="shared" si="1044"/>
        <v>0.28625516367952386</v>
      </c>
      <c r="AF806" s="422">
        <f t="shared" si="1044"/>
        <v>0.35841405377281998</v>
      </c>
      <c r="AG806" s="422">
        <f t="shared" si="1044"/>
        <v>0.30369788652834062</v>
      </c>
      <c r="AH806" s="422">
        <f t="shared" si="1044"/>
        <v>-6.4649930507296893E-2</v>
      </c>
      <c r="AI806" s="422">
        <f t="shared" si="1044"/>
        <v>0.16269952815982347</v>
      </c>
      <c r="AJ806" s="423">
        <f t="shared" si="1044"/>
        <v>0.16755853855705441</v>
      </c>
      <c r="AK806" s="422">
        <f t="shared" si="1044"/>
        <v>0.32483757425673676</v>
      </c>
      <c r="AL806" s="422">
        <f t="shared" si="1044"/>
        <v>0.30121203410941771</v>
      </c>
      <c r="AM806" s="422">
        <f t="shared" si="1044"/>
        <v>0.27306774593010941</v>
      </c>
      <c r="AN806" s="422">
        <f t="shared" si="1044"/>
        <v>0.13787138133343885</v>
      </c>
      <c r="AO806" s="423">
        <f t="shared" si="1044"/>
        <v>0.22650162683990463</v>
      </c>
      <c r="AP806" s="422">
        <f t="shared" si="1044"/>
        <v>0.29359377016736232</v>
      </c>
      <c r="AQ806" s="422">
        <f t="shared" si="1044"/>
        <v>0.24582301547818033</v>
      </c>
      <c r="AR806" s="422">
        <f t="shared" si="1044"/>
        <v>0.26824630468691962</v>
      </c>
      <c r="AS806" s="422">
        <f t="shared" si="1044"/>
        <v>0.24250730948444649</v>
      </c>
      <c r="AT806" s="423">
        <f t="shared" si="1044"/>
        <v>0.25357364058555604</v>
      </c>
      <c r="AU806" s="422">
        <f t="shared" si="1044"/>
        <v>0.18105779257605978</v>
      </c>
      <c r="AV806" s="422">
        <f t="shared" si="1044"/>
        <v>0.24795830896301599</v>
      </c>
      <c r="AW806" s="422">
        <f t="shared" si="1044"/>
        <v>0.25753757428531615</v>
      </c>
      <c r="AX806" s="422">
        <f t="shared" si="1044"/>
        <v>0.20536117607369353</v>
      </c>
      <c r="AY806" s="423">
        <f t="shared" si="1044"/>
        <v>0.22213869275542272</v>
      </c>
      <c r="AZ806" s="422">
        <f t="shared" si="1044"/>
        <v>0.22325765347109788</v>
      </c>
      <c r="BA806" s="422">
        <f t="shared" si="1044"/>
        <v>0.28344061334098664</v>
      </c>
      <c r="BB806" s="422">
        <f t="shared" si="1044"/>
        <v>0.26805057602432919</v>
      </c>
      <c r="BC806" s="422">
        <f t="shared" si="1044"/>
        <v>0.27486045376403467</v>
      </c>
      <c r="BD806" s="423">
        <f t="shared" si="1044"/>
        <v>0.26428050712942541</v>
      </c>
      <c r="BE806" s="422">
        <f t="shared" si="1044"/>
        <v>0.24442005122575941</v>
      </c>
      <c r="BF806" s="422">
        <f t="shared" si="1044"/>
        <v>0.27488422346962166</v>
      </c>
      <c r="BG806" s="422">
        <f t="shared" si="1044"/>
        <v>0.27656636432186515</v>
      </c>
      <c r="BH806" s="422">
        <f t="shared" si="1044"/>
        <v>0.29261434773935902</v>
      </c>
      <c r="BI806" s="423">
        <f t="shared" si="1044"/>
        <v>0.27696753851047051</v>
      </c>
      <c r="BJ806" s="1034">
        <f>BJ781/BJ778</f>
        <v>0.21993874326602547</v>
      </c>
      <c r="BK806" s="422">
        <f t="shared" si="1044"/>
        <v>0.26099999999999995</v>
      </c>
      <c r="BL806" s="422">
        <f t="shared" ca="1" si="1044"/>
        <v>0.26100000000000001</v>
      </c>
      <c r="BM806" s="422">
        <f t="shared" ca="1" si="1044"/>
        <v>0.26099999999999995</v>
      </c>
      <c r="BN806" s="423">
        <f t="shared" ca="1" si="1044"/>
        <v>0.25114328835445066</v>
      </c>
      <c r="BO806" s="422">
        <f t="shared" ref="BO806:CF806" ca="1" si="1045">BO781/BO778</f>
        <v>0.22499999999999998</v>
      </c>
      <c r="BP806" s="422">
        <f t="shared" ca="1" si="1045"/>
        <v>0.22500000000000001</v>
      </c>
      <c r="BQ806" s="422">
        <f t="shared" ca="1" si="1045"/>
        <v>0.22499999999999998</v>
      </c>
      <c r="BR806" s="422">
        <f t="shared" ca="1" si="1045"/>
        <v>0.22500000000000003</v>
      </c>
      <c r="BS806" s="423">
        <f t="shared" ca="1" si="1045"/>
        <v>0.22500000000000012</v>
      </c>
      <c r="BT806" s="423">
        <f t="shared" ca="1" si="1045"/>
        <v>0.22500000000000001</v>
      </c>
      <c r="BU806" s="423">
        <f t="shared" ca="1" si="1045"/>
        <v>0.22500000000000001</v>
      </c>
      <c r="BV806" s="423">
        <f t="shared" ca="1" si="1045"/>
        <v>0.22500000000000003</v>
      </c>
      <c r="BW806" s="473"/>
    </row>
    <row r="807" spans="1:75" s="162" customFormat="1" ht="15" customHeight="1" x14ac:dyDescent="0.45">
      <c r="A807" s="211" t="s">
        <v>1198</v>
      </c>
      <c r="B807" s="734"/>
      <c r="C807" s="423">
        <f t="shared" ref="C807:BI807" si="1046">C782/C778</f>
        <v>-0.19615259915703015</v>
      </c>
      <c r="D807" s="423">
        <f t="shared" si="1046"/>
        <v>7.2946201943911299E-2</v>
      </c>
      <c r="E807" s="423">
        <f t="shared" si="1046"/>
        <v>3.7215514757876593E-2</v>
      </c>
      <c r="F807" s="423">
        <f t="shared" si="1046"/>
        <v>-2.2024314804515607E-2</v>
      </c>
      <c r="G807" s="422">
        <f t="shared" si="1046"/>
        <v>-5.3632839367223246E-2</v>
      </c>
      <c r="H807" s="422">
        <f t="shared" si="1046"/>
        <v>-4.4827453938704333E-2</v>
      </c>
      <c r="I807" s="422">
        <f t="shared" si="1046"/>
        <v>-4.0876054299815313E-2</v>
      </c>
      <c r="J807" s="422">
        <f t="shared" si="1046"/>
        <v>-8.0871217336233675E-2</v>
      </c>
      <c r="K807" s="423">
        <f t="shared" si="1046"/>
        <v>-6.261349026468907E-2</v>
      </c>
      <c r="L807" s="422">
        <f t="shared" si="1046"/>
        <v>-6.2490758787552905E-2</v>
      </c>
      <c r="M807" s="422">
        <f t="shared" si="1046"/>
        <v>-4.3108703807915968E-2</v>
      </c>
      <c r="N807" s="422">
        <f t="shared" si="1046"/>
        <v>-4.4979589495521152E-2</v>
      </c>
      <c r="O807" s="422">
        <f t="shared" si="1046"/>
        <v>5.37306280972977E-2</v>
      </c>
      <c r="P807" s="423">
        <f t="shared" si="1046"/>
        <v>-4.9382421052841146E-4</v>
      </c>
      <c r="Q807" s="422">
        <f t="shared" si="1046"/>
        <v>-7.6446051167964532E-2</v>
      </c>
      <c r="R807" s="422">
        <f t="shared" si="1046"/>
        <v>-3.6536331680069305E-2</v>
      </c>
      <c r="S807" s="422">
        <f t="shared" si="1046"/>
        <v>-4.5250632131301968E-2</v>
      </c>
      <c r="T807" s="422">
        <f t="shared" si="1046"/>
        <v>2.7348907390941174E-2</v>
      </c>
      <c r="U807" s="423">
        <f t="shared" si="1046"/>
        <v>-1.5237486347531901E-2</v>
      </c>
      <c r="V807" s="422">
        <f t="shared" si="1046"/>
        <v>-9.1142106835657891E-2</v>
      </c>
      <c r="W807" s="422">
        <f t="shared" si="1046"/>
        <v>-5.6263461237651705E-2</v>
      </c>
      <c r="X807" s="422">
        <f t="shared" si="1046"/>
        <v>-3.6432218173183178E-2</v>
      </c>
      <c r="Y807" s="422">
        <f t="shared" si="1046"/>
        <v>0.10001483418166311</v>
      </c>
      <c r="Z807" s="423">
        <f t="shared" si="1046"/>
        <v>1.5074876406780086E-2</v>
      </c>
      <c r="AA807" s="422">
        <f t="shared" si="1046"/>
        <v>-6.1492241558399892E-2</v>
      </c>
      <c r="AB807" s="422">
        <f t="shared" si="1046"/>
        <v>-6.2748918015807398E-2</v>
      </c>
      <c r="AC807" s="422">
        <f t="shared" si="1046"/>
        <v>-2.6737676807084117E-2</v>
      </c>
      <c r="AD807" s="422">
        <f t="shared" si="1046"/>
        <v>0.37908855557010596</v>
      </c>
      <c r="AE807" s="423">
        <f t="shared" si="1046"/>
        <v>0.14008739299662507</v>
      </c>
      <c r="AF807" s="422">
        <f t="shared" si="1046"/>
        <v>-4.9595250118594045E-2</v>
      </c>
      <c r="AG807" s="422">
        <f t="shared" si="1046"/>
        <v>-1.617480918133974E-2</v>
      </c>
      <c r="AH807" s="422">
        <f t="shared" si="1046"/>
        <v>0.18008382557331523</v>
      </c>
      <c r="AI807" s="422">
        <f t="shared" si="1046"/>
        <v>5.7569521132416472E-2</v>
      </c>
      <c r="AJ807" s="423">
        <f t="shared" si="1046"/>
        <v>5.5070856639650313E-2</v>
      </c>
      <c r="AK807" s="422">
        <f t="shared" si="1046"/>
        <v>-5.7402022843946028E-2</v>
      </c>
      <c r="AL807" s="422">
        <f t="shared" si="1046"/>
        <v>-5.1523426271917104E-2</v>
      </c>
      <c r="AM807" s="422">
        <f t="shared" si="1046"/>
        <v>-2.5259999798644843E-2</v>
      </c>
      <c r="AN807" s="422">
        <f t="shared" si="1046"/>
        <v>4.1419738136309503E-2</v>
      </c>
      <c r="AO807" s="423">
        <f t="shared" si="1046"/>
        <v>-5.5949288982344381E-3</v>
      </c>
      <c r="AP807" s="422">
        <f t="shared" si="1046"/>
        <v>-5.5608140085186955E-2</v>
      </c>
      <c r="AQ807" s="422">
        <f t="shared" si="1046"/>
        <v>1.9899718832624364E-3</v>
      </c>
      <c r="AR807" s="422">
        <f t="shared" si="1046"/>
        <v>-1.7603803015672582E-2</v>
      </c>
      <c r="AS807" s="422">
        <f t="shared" si="1046"/>
        <v>-1.5236742258449338E-2</v>
      </c>
      <c r="AT807" s="423">
        <f t="shared" si="1046"/>
        <v>-1.4602008349115559E-2</v>
      </c>
      <c r="AU807" s="422">
        <f t="shared" si="1046"/>
        <v>-1.456614405151754E-2</v>
      </c>
      <c r="AV807" s="422">
        <f t="shared" si="1046"/>
        <v>-9.4572304797625826E-3</v>
      </c>
      <c r="AW807" s="422">
        <f t="shared" si="1046"/>
        <v>-1.3336523840967325E-2</v>
      </c>
      <c r="AX807" s="422">
        <f t="shared" si="1046"/>
        <v>2.663624702426904E-2</v>
      </c>
      <c r="AY807" s="423">
        <f t="shared" si="1046"/>
        <v>1.7467688222092526E-3</v>
      </c>
      <c r="AZ807" s="422">
        <f t="shared" si="1046"/>
        <v>-8.4197451520806807E-3</v>
      </c>
      <c r="BA807" s="422">
        <f t="shared" si="1046"/>
        <v>-1.3422983887499497E-2</v>
      </c>
      <c r="BB807" s="422">
        <f t="shared" si="1046"/>
        <v>-8.4058081840454324E-3</v>
      </c>
      <c r="BC807" s="422">
        <f t="shared" si="1046"/>
        <v>-2.8289152535178427E-2</v>
      </c>
      <c r="BD807" s="423">
        <f t="shared" si="1046"/>
        <v>-1.5874782265663228E-2</v>
      </c>
      <c r="BE807" s="422">
        <f t="shared" si="1046"/>
        <v>-8.0790340285400719E-3</v>
      </c>
      <c r="BF807" s="422">
        <f t="shared" si="1046"/>
        <v>-7.9488364140379748E-3</v>
      </c>
      <c r="BG807" s="422">
        <f t="shared" si="1046"/>
        <v>-1.2884046682947558E-2</v>
      </c>
      <c r="BH807" s="422">
        <f t="shared" si="1046"/>
        <v>-4.4758699425767878E-2</v>
      </c>
      <c r="BI807" s="423">
        <f t="shared" si="1046"/>
        <v>-2.2841234376901977E-2</v>
      </c>
      <c r="BJ807" s="1034">
        <f>BJ782/BJ778</f>
        <v>-1.582906958611985E-3</v>
      </c>
      <c r="BK807" s="443">
        <v>5.0000000000000001E-3</v>
      </c>
      <c r="BL807" s="443">
        <v>5.0000000000000001E-3</v>
      </c>
      <c r="BM807" s="443">
        <v>5.0000000000000001E-3</v>
      </c>
      <c r="BN807" s="423">
        <f ca="1">BN782/BN778</f>
        <v>3.4197800836711658E-3</v>
      </c>
      <c r="BO807" s="443">
        <v>5.0000000000000001E-3</v>
      </c>
      <c r="BP807" s="443">
        <v>5.0000000000000001E-3</v>
      </c>
      <c r="BQ807" s="443">
        <v>5.0000000000000001E-3</v>
      </c>
      <c r="BR807" s="443">
        <v>5.0000000000000001E-3</v>
      </c>
      <c r="BS807" s="423">
        <f ca="1">BS782/BS778</f>
        <v>5.0000000000000027E-3</v>
      </c>
      <c r="BT807" s="735">
        <v>5.0000000000000001E-3</v>
      </c>
      <c r="BU807" s="735">
        <v>5.0000000000000001E-3</v>
      </c>
      <c r="BV807" s="735">
        <v>5.0000000000000001E-3</v>
      </c>
      <c r="BW807" s="473"/>
    </row>
    <row r="808" spans="1:75" s="123" customFormat="1" ht="15" customHeight="1" x14ac:dyDescent="0.5">
      <c r="A808" s="118"/>
      <c r="B808" s="513"/>
      <c r="C808" s="401"/>
      <c r="D808" s="401"/>
      <c r="E808" s="401"/>
      <c r="F808" s="401"/>
      <c r="G808" s="118"/>
      <c r="H808" s="118"/>
      <c r="I808" s="118"/>
      <c r="J808" s="118"/>
      <c r="K808" s="401"/>
      <c r="L808" s="118"/>
      <c r="M808" s="118"/>
      <c r="N808" s="118"/>
      <c r="O808" s="118"/>
      <c r="P808" s="401"/>
      <c r="Q808" s="118"/>
      <c r="R808" s="118"/>
      <c r="S808" s="118"/>
      <c r="T808" s="118"/>
      <c r="U808" s="401"/>
      <c r="V808" s="118"/>
      <c r="W808" s="118"/>
      <c r="X808" s="118"/>
      <c r="Y808" s="118"/>
      <c r="Z808" s="401"/>
      <c r="AA808" s="118"/>
      <c r="AB808" s="118"/>
      <c r="AC808" s="118"/>
      <c r="AD808" s="118"/>
      <c r="AE808" s="401"/>
      <c r="AF808" s="118"/>
      <c r="AG808" s="118"/>
      <c r="AH808" s="118"/>
      <c r="AI808" s="118"/>
      <c r="AJ808" s="401"/>
      <c r="AK808" s="118"/>
      <c r="AL808" s="118"/>
      <c r="AM808" s="118"/>
      <c r="AN808" s="118"/>
      <c r="AO808" s="401"/>
      <c r="AP808" s="118"/>
      <c r="AQ808" s="118"/>
      <c r="AR808" s="118"/>
      <c r="AS808" s="118"/>
      <c r="AT808" s="401"/>
      <c r="AU808" s="118"/>
      <c r="AV808" s="118"/>
      <c r="AW808" s="118"/>
      <c r="AX808" s="118"/>
      <c r="AY808" s="401"/>
      <c r="AZ808" s="118"/>
      <c r="BA808" s="118"/>
      <c r="BB808" s="118"/>
      <c r="BC808" s="118"/>
      <c r="BD808" s="401"/>
      <c r="BE808" s="118"/>
      <c r="BF808" s="118"/>
      <c r="BG808" s="118"/>
      <c r="BH808" s="118"/>
      <c r="BI808" s="401"/>
      <c r="BJ808" s="971"/>
      <c r="BK808" s="118"/>
      <c r="BL808" s="118"/>
      <c r="BM808" s="118"/>
      <c r="BN808" s="401"/>
      <c r="BO808" s="118"/>
      <c r="BP808" s="118"/>
      <c r="BQ808" s="118"/>
      <c r="BR808" s="118"/>
      <c r="BS808" s="401"/>
      <c r="BT808" s="401"/>
      <c r="BU808" s="401"/>
      <c r="BV808" s="401"/>
      <c r="BW808" s="122"/>
    </row>
    <row r="809" spans="1:75" s="231" customFormat="1" ht="14.25" hidden="1" outlineLevel="1" x14ac:dyDescent="0.45">
      <c r="A809" s="226" t="s">
        <v>1199</v>
      </c>
      <c r="B809" s="835"/>
      <c r="C809" s="762">
        <f t="shared" ref="C809:BN809" si="1047">C795/C814</f>
        <v>0.73222204362584276</v>
      </c>
      <c r="D809" s="762">
        <f t="shared" si="1047"/>
        <v>1.8720501888627119</v>
      </c>
      <c r="E809" s="762">
        <f t="shared" si="1047"/>
        <v>2.2704979300827919</v>
      </c>
      <c r="F809" s="762">
        <f t="shared" si="1047"/>
        <v>2.5862833195656116</v>
      </c>
      <c r="G809" s="763">
        <f t="shared" si="1047"/>
        <v>0.4039343322688928</v>
      </c>
      <c r="H809" s="763">
        <f t="shared" si="1047"/>
        <v>0.50488172398133901</v>
      </c>
      <c r="I809" s="763">
        <f t="shared" si="1047"/>
        <v>0.59420866814034157</v>
      </c>
      <c r="J809" s="763">
        <f t="shared" si="1047"/>
        <v>1.4192911924133627</v>
      </c>
      <c r="K809" s="762">
        <f t="shared" si="1047"/>
        <v>2.8851234625371154</v>
      </c>
      <c r="L809" s="763">
        <f t="shared" si="1047"/>
        <v>0.49112167927398875</v>
      </c>
      <c r="M809" s="763">
        <f t="shared" si="1047"/>
        <v>0.53998233647942628</v>
      </c>
      <c r="N809" s="763">
        <f t="shared" si="1047"/>
        <v>0.69743303211664731</v>
      </c>
      <c r="O809" s="763">
        <f t="shared" si="1047"/>
        <v>1.5967183207184514</v>
      </c>
      <c r="P809" s="762">
        <f t="shared" si="1047"/>
        <v>3.2985240404126741</v>
      </c>
      <c r="Q809" s="763">
        <f t="shared" si="1047"/>
        <v>0.48840328437305652</v>
      </c>
      <c r="R809" s="763">
        <f t="shared" si="1047"/>
        <v>0.58818758699297558</v>
      </c>
      <c r="S809" s="763">
        <f t="shared" si="1047"/>
        <v>0.77934916018886324</v>
      </c>
      <c r="T809" s="763">
        <f t="shared" si="1047"/>
        <v>1.5722816399286992</v>
      </c>
      <c r="U809" s="762">
        <f t="shared" si="1047"/>
        <v>3.4153347946291865</v>
      </c>
      <c r="V809" s="763">
        <f t="shared" si="1047"/>
        <v>0.44342538466707088</v>
      </c>
      <c r="W809" s="763">
        <f t="shared" si="1047"/>
        <v>0.58159907456283277</v>
      </c>
      <c r="X809" s="763">
        <f t="shared" si="1047"/>
        <v>0.78497884184562516</v>
      </c>
      <c r="Y809" s="763">
        <f t="shared" si="1047"/>
        <v>1.6496937343872973</v>
      </c>
      <c r="Z809" s="762">
        <f t="shared" si="1047"/>
        <v>3.447039302887331</v>
      </c>
      <c r="AA809" s="763">
        <f t="shared" si="1047"/>
        <v>0.45485384420781677</v>
      </c>
      <c r="AB809" s="763">
        <f t="shared" si="1047"/>
        <v>0.61225977391847708</v>
      </c>
      <c r="AC809" s="763">
        <f t="shared" si="1047"/>
        <v>0.83956910760536707</v>
      </c>
      <c r="AD809" s="763">
        <f t="shared" si="1047"/>
        <v>1.1394980782274482</v>
      </c>
      <c r="AE809" s="762">
        <f t="shared" si="1047"/>
        <v>3.0323511543134836</v>
      </c>
      <c r="AF809" s="763">
        <f t="shared" si="1047"/>
        <v>0.54163468917881774</v>
      </c>
      <c r="AG809" s="763">
        <f t="shared" si="1047"/>
        <v>0.62802700930266375</v>
      </c>
      <c r="AH809" s="763">
        <f t="shared" si="1047"/>
        <v>1.0123019571295409</v>
      </c>
      <c r="AI809" s="763">
        <f t="shared" si="1047"/>
        <v>1.951237281748522</v>
      </c>
      <c r="AJ809" s="762">
        <f t="shared" si="1047"/>
        <v>4.0983050847457676</v>
      </c>
      <c r="AK809" s="763">
        <f t="shared" si="1047"/>
        <v>0.66921698460912848</v>
      </c>
      <c r="AL809" s="763">
        <f t="shared" si="1047"/>
        <v>0.79818570991744209</v>
      </c>
      <c r="AM809" s="763">
        <f t="shared" si="1047"/>
        <v>0.95912551189391215</v>
      </c>
      <c r="AN809" s="763">
        <f t="shared" si="1047"/>
        <v>2.1462825086603576</v>
      </c>
      <c r="AO809" s="762">
        <f t="shared" si="1047"/>
        <v>4.5585855482152891</v>
      </c>
      <c r="AP809" s="763">
        <f t="shared" si="1047"/>
        <v>0.45847894178250603</v>
      </c>
      <c r="AQ809" s="763">
        <f t="shared" si="1047"/>
        <v>1.729992414795005</v>
      </c>
      <c r="AR809" s="763">
        <f t="shared" si="1047"/>
        <v>2.6039464684398683</v>
      </c>
      <c r="AS809" s="763">
        <f t="shared" si="1047"/>
        <v>4.0382579371822267</v>
      </c>
      <c r="AT809" s="762">
        <f t="shared" si="1047"/>
        <v>8.8106911726637342</v>
      </c>
      <c r="AU809" s="763">
        <f t="shared" si="1047"/>
        <v>3.0053034300791546</v>
      </c>
      <c r="AV809" s="763">
        <f t="shared" si="1047"/>
        <v>3.290321717968602</v>
      </c>
      <c r="AW809" s="763">
        <f t="shared" si="1047"/>
        <v>3.3714903391433597</v>
      </c>
      <c r="AX809" s="763">
        <f t="shared" si="1047"/>
        <v>5.5582668910530426</v>
      </c>
      <c r="AY809" s="762">
        <f t="shared" si="1047"/>
        <v>15.165028543731149</v>
      </c>
      <c r="AZ809" s="763">
        <f t="shared" si="1047"/>
        <v>3.5865831110358357</v>
      </c>
      <c r="BA809" s="763">
        <f t="shared" si="1047"/>
        <v>3.9172044587855628</v>
      </c>
      <c r="BB809" s="763">
        <f t="shared" si="1047"/>
        <v>3.7737317102422652</v>
      </c>
      <c r="BC809" s="763">
        <f t="shared" si="1047"/>
        <v>5.3503896064748417</v>
      </c>
      <c r="BD809" s="762">
        <f t="shared" si="1047"/>
        <v>16.581702709457353</v>
      </c>
      <c r="BE809" s="763">
        <f t="shared" si="1047"/>
        <v>2.3771203814788353</v>
      </c>
      <c r="BF809" s="763">
        <f t="shared" si="1047"/>
        <v>3.1405482910711777</v>
      </c>
      <c r="BG809" s="763">
        <f t="shared" si="1047"/>
        <v>3.6993701474852712</v>
      </c>
      <c r="BH809" s="763">
        <f t="shared" si="1047"/>
        <v>5.5257627488580177</v>
      </c>
      <c r="BI809" s="762">
        <f t="shared" si="1047"/>
        <v>14.708117818316959</v>
      </c>
      <c r="BJ809" s="1305">
        <f>BJ795/BJ814</f>
        <v>4.1377129863252646</v>
      </c>
      <c r="BK809" s="763">
        <f t="shared" ca="1" si="1047"/>
        <v>2.997717678443963</v>
      </c>
      <c r="BL809" s="763">
        <f t="shared" ca="1" si="1047"/>
        <v>3.6323087194741444</v>
      </c>
      <c r="BM809" s="763">
        <f t="shared" ca="1" si="1047"/>
        <v>5.6457210557483988</v>
      </c>
      <c r="BN809" s="762">
        <f t="shared" ca="1" si="1047"/>
        <v>16.413232745696277</v>
      </c>
      <c r="BO809" s="763">
        <f t="shared" ref="BO809:CF809" ca="1" si="1048">BO795/BO814</f>
        <v>3.3652545582327504</v>
      </c>
      <c r="BP809" s="763">
        <f t="shared" ca="1" si="1048"/>
        <v>3.3292487428945403</v>
      </c>
      <c r="BQ809" s="763">
        <f t="shared" ca="1" si="1048"/>
        <v>4.2051320254856899</v>
      </c>
      <c r="BR809" s="763">
        <f t="shared" ca="1" si="1048"/>
        <v>5.6802779920914048</v>
      </c>
      <c r="BS809" s="762">
        <f t="shared" ca="1" si="1048"/>
        <v>16.579913318704374</v>
      </c>
      <c r="BT809" s="762">
        <f t="shared" ca="1" si="1048"/>
        <v>17.883144611381223</v>
      </c>
      <c r="BU809" s="762">
        <f t="shared" ca="1" si="1048"/>
        <v>19.483721569357442</v>
      </c>
      <c r="BV809" s="762">
        <f t="shared" ca="1" si="1048"/>
        <v>21.219761598503798</v>
      </c>
      <c r="BW809" s="763"/>
    </row>
    <row r="810" spans="1:75" s="231" customFormat="1" ht="14.25" hidden="1" outlineLevel="1" x14ac:dyDescent="0.45">
      <c r="A810" s="226" t="s">
        <v>1200</v>
      </c>
      <c r="B810" s="835"/>
      <c r="C810" s="762">
        <f t="shared" ref="C810:BN811" si="1049">C801/C815</f>
        <v>0.72124277052890395</v>
      </c>
      <c r="D810" s="762">
        <f t="shared" si="1049"/>
        <v>1.8281897700918557</v>
      </c>
      <c r="E810" s="762">
        <f t="shared" si="1049"/>
        <v>2.2229926253964041</v>
      </c>
      <c r="F810" s="762">
        <f t="shared" si="1049"/>
        <v>2.5405983117435751</v>
      </c>
      <c r="G810" s="763">
        <f t="shared" si="1049"/>
        <v>0.39658342963372256</v>
      </c>
      <c r="H810" s="763">
        <f t="shared" si="1049"/>
        <v>0.49434602908333825</v>
      </c>
      <c r="I810" s="763">
        <f t="shared" si="1049"/>
        <v>0.57957552905592535</v>
      </c>
      <c r="J810" s="763">
        <f t="shared" si="1049"/>
        <v>1.3797448774401133</v>
      </c>
      <c r="K810" s="762">
        <f t="shared" si="1049"/>
        <v>2.8238951045410863</v>
      </c>
      <c r="L810" s="763">
        <f t="shared" si="1049"/>
        <v>0.48277520968855259</v>
      </c>
      <c r="M810" s="763">
        <f t="shared" si="1049"/>
        <v>0.5295026033243253</v>
      </c>
      <c r="N810" s="763">
        <f t="shared" si="1049"/>
        <v>0.68381795195954498</v>
      </c>
      <c r="O810" s="763">
        <f t="shared" si="1049"/>
        <v>1.5702203094798222</v>
      </c>
      <c r="P810" s="762">
        <f t="shared" si="1049"/>
        <v>3.2442647058823564</v>
      </c>
      <c r="Q810" s="763">
        <f t="shared" si="1049"/>
        <v>0.48006430868167088</v>
      </c>
      <c r="R810" s="763">
        <f t="shared" si="1049"/>
        <v>0.57979344021433898</v>
      </c>
      <c r="S810" s="763">
        <f t="shared" si="1049"/>
        <v>0.76776941427653533</v>
      </c>
      <c r="T810" s="763">
        <f t="shared" si="1049"/>
        <v>1.5510616784630946</v>
      </c>
      <c r="U810" s="762">
        <f t="shared" si="1049"/>
        <v>3.3665718442596249</v>
      </c>
      <c r="V810" s="763">
        <f t="shared" si="1049"/>
        <v>0.43746823695781972</v>
      </c>
      <c r="W810" s="763">
        <f t="shared" si="1049"/>
        <v>0.57708166176339559</v>
      </c>
      <c r="X810" s="763">
        <f t="shared" si="1049"/>
        <v>0.77826886834784215</v>
      </c>
      <c r="Y810" s="763">
        <f t="shared" si="1049"/>
        <v>1.6317511536335221</v>
      </c>
      <c r="Z810" s="762">
        <f t="shared" si="1049"/>
        <v>3.4135945988240834</v>
      </c>
      <c r="AA810" s="763">
        <f t="shared" si="1049"/>
        <v>0.45097480332915479</v>
      </c>
      <c r="AB810" s="763">
        <f t="shared" si="1049"/>
        <v>0.60930591378039867</v>
      </c>
      <c r="AC810" s="763">
        <f t="shared" si="1049"/>
        <v>0.83520331678065995</v>
      </c>
      <c r="AD810" s="763">
        <f t="shared" si="1049"/>
        <v>1.130204890945143</v>
      </c>
      <c r="AE810" s="762">
        <f t="shared" si="1049"/>
        <v>3.0151603159851263</v>
      </c>
      <c r="AF810" s="763">
        <f t="shared" si="1049"/>
        <v>0.53660275144343816</v>
      </c>
      <c r="AG810" s="763">
        <f t="shared" si="1049"/>
        <v>0.62179710702562241</v>
      </c>
      <c r="AH810" s="763">
        <f t="shared" si="1049"/>
        <v>0.99784422042845855</v>
      </c>
      <c r="AI810" s="763">
        <f t="shared" si="1049"/>
        <v>1.9253355808678603</v>
      </c>
      <c r="AJ810" s="762">
        <f t="shared" si="1049"/>
        <v>4.0525139664804515</v>
      </c>
      <c r="AK810" s="763">
        <f t="shared" si="1049"/>
        <v>0.65929607973255611</v>
      </c>
      <c r="AL810" s="763">
        <f t="shared" si="1049"/>
        <v>0.78832263747326281</v>
      </c>
      <c r="AM810" s="763">
        <f t="shared" si="1049"/>
        <v>0.9434531701834814</v>
      </c>
      <c r="AN810" s="763">
        <f t="shared" si="1049"/>
        <v>2.1041793390105425</v>
      </c>
      <c r="AO810" s="762">
        <f t="shared" si="1049"/>
        <v>4.4943136636162802</v>
      </c>
      <c r="AP810" s="763">
        <f t="shared" si="1049"/>
        <v>0.45182974272631005</v>
      </c>
      <c r="AQ810" s="763">
        <f t="shared" si="1049"/>
        <v>1.6976685506661269</v>
      </c>
      <c r="AR810" s="763">
        <f t="shared" si="1049"/>
        <v>2.543387283819897</v>
      </c>
      <c r="AS810" s="763">
        <f t="shared" si="1049"/>
        <v>3.9185110026000465</v>
      </c>
      <c r="AT810" s="762">
        <f t="shared" si="1049"/>
        <v>8.6106381633040296</v>
      </c>
      <c r="AU810" s="763">
        <f t="shared" si="1049"/>
        <v>2.9024909218321961</v>
      </c>
      <c r="AV810" s="763">
        <f t="shared" si="1049"/>
        <v>3.2130732267836608</v>
      </c>
      <c r="AW810" s="763">
        <f t="shared" si="1049"/>
        <v>3.2856747824025923</v>
      </c>
      <c r="AX810" s="763">
        <f t="shared" si="1049"/>
        <v>5.4083862394802802</v>
      </c>
      <c r="AY810" s="762">
        <f t="shared" si="1049"/>
        <v>14.751512690887184</v>
      </c>
      <c r="AZ810" s="763">
        <f t="shared" si="1049"/>
        <v>3.4976738424269116</v>
      </c>
      <c r="BA810" s="763">
        <f t="shared" si="1049"/>
        <v>3.8661136926217003</v>
      </c>
      <c r="BB810" s="763">
        <f t="shared" si="1049"/>
        <v>3.7227768164810628</v>
      </c>
      <c r="BC810" s="763">
        <f t="shared" si="1049"/>
        <v>5.2825553191172654</v>
      </c>
      <c r="BD810" s="762">
        <f t="shared" si="1049"/>
        <v>16.32277858176554</v>
      </c>
      <c r="BE810" s="763">
        <f t="shared" si="1049"/>
        <v>2.3469323497661003</v>
      </c>
      <c r="BF810" s="763">
        <f t="shared" si="1049"/>
        <v>3.122880699253014</v>
      </c>
      <c r="BG810" s="763">
        <f t="shared" si="1049"/>
        <v>3.6632753882730764</v>
      </c>
      <c r="BH810" s="763">
        <f t="shared" si="1049"/>
        <v>5.4406035581070471</v>
      </c>
      <c r="BI810" s="762">
        <f t="shared" si="1049"/>
        <v>14.55083343547002</v>
      </c>
      <c r="BJ810" s="1305">
        <f>BJ801/BJ815</f>
        <v>4.0674577049682297</v>
      </c>
      <c r="BK810" s="763">
        <f t="shared" ca="1" si="1049"/>
        <v>2.9429243130878153</v>
      </c>
      <c r="BL810" s="763">
        <f t="shared" ca="1" si="1049"/>
        <v>3.5610869798766127</v>
      </c>
      <c r="BM810" s="763">
        <f t="shared" ca="1" si="1049"/>
        <v>5.5350206428905873</v>
      </c>
      <c r="BN810" s="762">
        <f t="shared" ca="1" si="1049"/>
        <v>16.108180310030896</v>
      </c>
      <c r="BO810" s="763">
        <f t="shared" ref="BO810:BV811" ca="1" si="1050">BO801/BO815</f>
        <v>3.299269174737991</v>
      </c>
      <c r="BP810" s="763">
        <f t="shared" ca="1" si="1050"/>
        <v>3.2639693557789613</v>
      </c>
      <c r="BQ810" s="763">
        <f t="shared" ca="1" si="1050"/>
        <v>4.1226784563585195</v>
      </c>
      <c r="BR810" s="763">
        <f t="shared" ca="1" si="1050"/>
        <v>5.5688999922464761</v>
      </c>
      <c r="BS810" s="762">
        <f t="shared" ca="1" si="1050"/>
        <v>16.254816979121937</v>
      </c>
      <c r="BT810" s="762">
        <f t="shared" ca="1" si="1050"/>
        <v>17.532494717040414</v>
      </c>
      <c r="BU810" s="762">
        <f t="shared" ca="1" si="1050"/>
        <v>19.101687813095534</v>
      </c>
      <c r="BV810" s="762">
        <f t="shared" ca="1" si="1050"/>
        <v>20.803687841670392</v>
      </c>
      <c r="BW810" s="763"/>
    </row>
    <row r="811" spans="1:75" s="231" customFormat="1" ht="14.25" collapsed="1" x14ac:dyDescent="0.45">
      <c r="A811" s="1306" t="s">
        <v>1201</v>
      </c>
      <c r="B811" s="835"/>
      <c r="C811" s="1307">
        <f t="shared" si="1049"/>
        <v>0.95124277052890327</v>
      </c>
      <c r="D811" s="1307">
        <f t="shared" si="1049"/>
        <v>1.9481897700918576</v>
      </c>
      <c r="E811" s="1307">
        <f t="shared" si="1049"/>
        <v>2.2429926253964019</v>
      </c>
      <c r="F811" s="1307">
        <f t="shared" si="1049"/>
        <v>2.5805983117435751</v>
      </c>
      <c r="G811" s="230">
        <f t="shared" si="1049"/>
        <v>0.41658342963372225</v>
      </c>
      <c r="H811" s="230">
        <f t="shared" si="1049"/>
        <v>0.49434602908333763</v>
      </c>
      <c r="I811" s="230">
        <f t="shared" si="1049"/>
        <v>0.57957552905592535</v>
      </c>
      <c r="J811" s="230">
        <f t="shared" si="1049"/>
        <v>1.379744877440114</v>
      </c>
      <c r="K811" s="1307">
        <f t="shared" si="1049"/>
        <v>2.8438951045410867</v>
      </c>
      <c r="L811" s="230">
        <f t="shared" si="1049"/>
        <v>0.48277520968855259</v>
      </c>
      <c r="M811" s="230">
        <f t="shared" si="1049"/>
        <v>0.52950260332432464</v>
      </c>
      <c r="N811" s="230">
        <f t="shared" si="1049"/>
        <v>0.68381795195954498</v>
      </c>
      <c r="O811" s="230">
        <f t="shared" si="1049"/>
        <v>1.5202203094798228</v>
      </c>
      <c r="P811" s="1307">
        <f t="shared" si="1049"/>
        <v>3.2042647058823612</v>
      </c>
      <c r="Q811" s="230">
        <f t="shared" si="1049"/>
        <v>0.48006430868167088</v>
      </c>
      <c r="R811" s="230">
        <f t="shared" si="1049"/>
        <v>0.57979344021433965</v>
      </c>
      <c r="S811" s="230">
        <f t="shared" si="1049"/>
        <v>0.76776941427653667</v>
      </c>
      <c r="T811" s="230">
        <f t="shared" si="1049"/>
        <v>1.5510616784630946</v>
      </c>
      <c r="U811" s="1307">
        <f t="shared" si="1049"/>
        <v>3.3665718442596249</v>
      </c>
      <c r="V811" s="230">
        <f t="shared" si="1049"/>
        <v>0.5274682369578203</v>
      </c>
      <c r="W811" s="230">
        <f t="shared" si="1049"/>
        <v>0.57708166176339626</v>
      </c>
      <c r="X811" s="230">
        <f t="shared" si="1049"/>
        <v>0.78826886834784349</v>
      </c>
      <c r="Y811" s="230">
        <f t="shared" si="1049"/>
        <v>1.551751153633522</v>
      </c>
      <c r="Z811" s="1307">
        <f t="shared" si="1049"/>
        <v>3.4335945988240861</v>
      </c>
      <c r="AA811" s="230">
        <f t="shared" si="1049"/>
        <v>0.50983924295975658</v>
      </c>
      <c r="AB811" s="230">
        <f t="shared" si="1049"/>
        <v>0.60930591378039922</v>
      </c>
      <c r="AC811" s="230">
        <f t="shared" si="1049"/>
        <v>0.83520331678065862</v>
      </c>
      <c r="AD811" s="230">
        <f t="shared" si="1049"/>
        <v>1.6761519214427338</v>
      </c>
      <c r="AE811" s="1307">
        <f t="shared" si="1049"/>
        <v>3.6125116171003668</v>
      </c>
      <c r="AF811" s="230">
        <f t="shared" si="1049"/>
        <v>0.66974362629790518</v>
      </c>
      <c r="AG811" s="230">
        <f t="shared" si="1049"/>
        <v>0.76895884184832886</v>
      </c>
      <c r="AH811" s="230">
        <f t="shared" si="1049"/>
        <v>0.95322203304711528</v>
      </c>
      <c r="AI811" s="230">
        <f t="shared" si="1049"/>
        <v>2.099540164350961</v>
      </c>
      <c r="AJ811" s="1307">
        <f t="shared" si="1049"/>
        <v>4.4637114403692131</v>
      </c>
      <c r="AK811" s="230">
        <f t="shared" si="1049"/>
        <v>0.80702918602176288</v>
      </c>
      <c r="AL811" s="230">
        <f t="shared" si="1049"/>
        <v>0.87401535170504963</v>
      </c>
      <c r="AM811" s="230">
        <f t="shared" si="1049"/>
        <v>1.020381103913325</v>
      </c>
      <c r="AN811" s="230">
        <f t="shared" si="1049"/>
        <v>2.1353406326034059</v>
      </c>
      <c r="AO811" s="1307">
        <f t="shared" si="1049"/>
        <v>4.83713474282108</v>
      </c>
      <c r="AP811" s="230">
        <f t="shared" si="1049"/>
        <v>0.7405834258090026</v>
      </c>
      <c r="AQ811" s="230">
        <f t="shared" si="1049"/>
        <v>1.7980672184093629</v>
      </c>
      <c r="AR811" s="230">
        <f t="shared" si="1049"/>
        <v>2.5572404578228207</v>
      </c>
      <c r="AS811" s="230">
        <f t="shared" si="1049"/>
        <v>3.9485446128480013</v>
      </c>
      <c r="AT811" s="1307">
        <f t="shared" si="1049"/>
        <v>9.0415154006704146</v>
      </c>
      <c r="AU811" s="230">
        <f t="shared" si="1049"/>
        <v>2.932152640631966</v>
      </c>
      <c r="AV811" s="230">
        <f t="shared" si="1049"/>
        <v>3.2430403217382211</v>
      </c>
      <c r="AW811" s="230">
        <f t="shared" si="1049"/>
        <v>3.3156841315196957</v>
      </c>
      <c r="AX811" s="230">
        <f t="shared" si="1049"/>
        <v>5.4199428210944429</v>
      </c>
      <c r="AY811" s="1307">
        <f t="shared" si="1049"/>
        <v>14.853183854153032</v>
      </c>
      <c r="AZ811" s="230">
        <f t="shared" si="1049"/>
        <v>3.4976738424269116</v>
      </c>
      <c r="BA811" s="230">
        <f t="shared" si="1049"/>
        <v>3.8661136926217003</v>
      </c>
      <c r="BB811" s="230">
        <f>BB802/BB816</f>
        <v>3.7227768164810628</v>
      </c>
      <c r="BC811" s="230">
        <f t="shared" si="1049"/>
        <v>5.5034895314057728</v>
      </c>
      <c r="BD811" s="1307">
        <f t="shared" si="1049"/>
        <v>16.537641099855257</v>
      </c>
      <c r="BE811" s="230">
        <f t="shared" si="1049"/>
        <v>2.6375494782295754</v>
      </c>
      <c r="BF811" s="230">
        <f t="shared" si="1049"/>
        <v>3.122880699253014</v>
      </c>
      <c r="BG811" s="230">
        <f t="shared" si="1049"/>
        <v>3.6632753882730782</v>
      </c>
      <c r="BH811" s="230">
        <f t="shared" si="1049"/>
        <v>5.4406035581070471</v>
      </c>
      <c r="BI811" s="1307">
        <f t="shared" si="1049"/>
        <v>14.847790783184193</v>
      </c>
      <c r="BJ811" s="1308">
        <f>BJ802/BJ816</f>
        <v>4.0674577049682297</v>
      </c>
      <c r="BK811" s="763">
        <f t="shared" ca="1" si="1049"/>
        <v>2.9429243130878153</v>
      </c>
      <c r="BL811" s="763">
        <f t="shared" ca="1" si="1049"/>
        <v>3.5610869798766132</v>
      </c>
      <c r="BM811" s="763">
        <f t="shared" ca="1" si="1049"/>
        <v>5.5350206428905881</v>
      </c>
      <c r="BN811" s="762">
        <f t="shared" ca="1" si="1049"/>
        <v>16.108180310030896</v>
      </c>
      <c r="BO811" s="763">
        <f t="shared" ca="1" si="1050"/>
        <v>3.299269174737991</v>
      </c>
      <c r="BP811" s="763">
        <f t="shared" ca="1" si="1050"/>
        <v>3.2639693557789604</v>
      </c>
      <c r="BQ811" s="763">
        <f t="shared" ca="1" si="1050"/>
        <v>4.1226784563585195</v>
      </c>
      <c r="BR811" s="763">
        <f t="shared" ca="1" si="1050"/>
        <v>5.5688999922464761</v>
      </c>
      <c r="BS811" s="762">
        <f t="shared" ca="1" si="1050"/>
        <v>16.254816979121937</v>
      </c>
      <c r="BT811" s="762">
        <f t="shared" ca="1" si="1050"/>
        <v>17.532494717040414</v>
      </c>
      <c r="BU811" s="762">
        <f t="shared" ca="1" si="1050"/>
        <v>19.101687813095534</v>
      </c>
      <c r="BV811" s="762">
        <f t="shared" ca="1" si="1050"/>
        <v>20.803687841670392</v>
      </c>
      <c r="BW811" s="230"/>
    </row>
    <row r="812" spans="1:75" s="750" customFormat="1" ht="14.25" x14ac:dyDescent="0.45">
      <c r="A812" s="1309" t="str">
        <f>CONCATENATE("Consensus Estimates - ",IFERROR(LEFT(A811,FIND("(",A811)-1),A811))</f>
        <v>Consensus Estimates - Adjusted Earnings Per Share - WAD</v>
      </c>
      <c r="B812" s="1310"/>
      <c r="C812" s="1311"/>
      <c r="D812" s="1311"/>
      <c r="E812" s="1311"/>
      <c r="F812" s="1311"/>
      <c r="G812" s="1312"/>
      <c r="H812" s="1312"/>
      <c r="I812" s="1312"/>
      <c r="J812" s="1312"/>
      <c r="K812" s="1311"/>
      <c r="L812" s="1312"/>
      <c r="M812" s="1312"/>
      <c r="N812" s="1312"/>
      <c r="O812" s="1312"/>
      <c r="P812" s="1311"/>
      <c r="Q812" s="1312"/>
      <c r="R812" s="1312"/>
      <c r="S812" s="1312"/>
      <c r="T812" s="1312"/>
      <c r="U812" s="1311"/>
      <c r="V812" s="1312"/>
      <c r="W812" s="1312"/>
      <c r="X812" s="1312"/>
      <c r="Y812" s="1312"/>
      <c r="Z812" s="1311"/>
      <c r="AA812" s="1312"/>
      <c r="AB812" s="1312"/>
      <c r="AC812" s="1312"/>
      <c r="AD812" s="1312"/>
      <c r="AE812" s="1311"/>
      <c r="AF812" s="1312"/>
      <c r="AG812" s="1312"/>
      <c r="AH812" s="1312"/>
      <c r="AI812" s="1312"/>
      <c r="AJ812" s="1311"/>
      <c r="AK812" s="1312"/>
      <c r="AL812" s="1312"/>
      <c r="AM812" s="1312"/>
      <c r="AN812" s="1312"/>
      <c r="AO812" s="1311"/>
      <c r="AP812" s="1312"/>
      <c r="AQ812" s="1312"/>
      <c r="AR812" s="1312"/>
      <c r="AS812" s="1312"/>
      <c r="AT812" s="1311"/>
      <c r="AU812" s="1312"/>
      <c r="AV812" s="1312"/>
      <c r="AW812" s="1312"/>
      <c r="AX812" s="1312"/>
      <c r="AY812" s="1311"/>
      <c r="AZ812" s="1312"/>
      <c r="BA812" s="1312"/>
      <c r="BB812" s="1312"/>
      <c r="BC812" s="1312"/>
      <c r="BD812" s="1311"/>
      <c r="BE812" s="1312"/>
      <c r="BF812" s="1312"/>
      <c r="BG812" s="1312"/>
      <c r="BH812" s="1312"/>
      <c r="BI812" s="1311"/>
      <c r="BJ812" s="1313"/>
      <c r="BK812" s="235" t="str">
        <f t="shared" ref="BK812:BS812" ca="1" si="1051">IFERROR(VLOOKUP($A812,tb_ConsensusEstimate,MATCH(BK$5,OFFSET(tb_ConsensusEstimate,0,0,1,COLUMNS(tb_ConsensusEstimate)),0),FALSE),"-")</f>
        <v>N/A</v>
      </c>
      <c r="BL812" s="235" t="str">
        <f t="shared" ca="1" si="1051"/>
        <v>N/A</v>
      </c>
      <c r="BM812" s="235" t="str">
        <f t="shared" ca="1" si="1051"/>
        <v>N/A</v>
      </c>
      <c r="BN812" s="234" t="str">
        <f t="shared" ca="1" si="1051"/>
        <v>N/A</v>
      </c>
      <c r="BO812" s="235" t="str">
        <f t="shared" ca="1" si="1051"/>
        <v>N/A</v>
      </c>
      <c r="BP812" s="235" t="str">
        <f t="shared" ca="1" si="1051"/>
        <v>N/A</v>
      </c>
      <c r="BQ812" s="235" t="str">
        <f t="shared" ca="1" si="1051"/>
        <v>N/A</v>
      </c>
      <c r="BR812" s="235" t="str">
        <f t="shared" ca="1" si="1051"/>
        <v>N/A</v>
      </c>
      <c r="BS812" s="234" t="str">
        <f t="shared" ca="1" si="1051"/>
        <v>N/A</v>
      </c>
      <c r="BT812" s="234" t="str">
        <f ca="1">IFERROR(VLOOKUP($A812,tb_ConsensusEstimate,MATCH(BT5,OFFSET(tb_ConsensusEstimate,0,0,1,COLUMNS(tb_ConsensusEstimate)),0),FALSE),"-")</f>
        <v>N/A</v>
      </c>
      <c r="BU812" s="234" t="str">
        <f ca="1">IFERROR(VLOOKUP($A812,tb_ConsensusEstimate,MATCH(BU5,OFFSET(tb_ConsensusEstimate,0,0,1,COLUMNS(tb_ConsensusEstimate)),0),FALSE),"-")</f>
        <v>N/A</v>
      </c>
      <c r="BV812" s="234" t="str">
        <f ca="1">IFERROR(VLOOKUP($A812,tb_ConsensusEstimate,MATCH(BV5,OFFSET(tb_ConsensusEstimate,0,0,1,COLUMNS(tb_ConsensusEstimate)),0),FALSE),"-")</f>
        <v>N/A</v>
      </c>
      <c r="BW812" s="746"/>
    </row>
    <row r="813" spans="1:75" s="123" customFormat="1" x14ac:dyDescent="0.5">
      <c r="A813" s="118"/>
      <c r="B813" s="513"/>
      <c r="C813" s="401"/>
      <c r="D813" s="401"/>
      <c r="E813" s="401"/>
      <c r="F813" s="401"/>
      <c r="G813" s="118"/>
      <c r="H813" s="118"/>
      <c r="I813" s="118"/>
      <c r="J813" s="118"/>
      <c r="K813" s="401"/>
      <c r="L813" s="118"/>
      <c r="M813" s="118"/>
      <c r="N813" s="118"/>
      <c r="O813" s="118"/>
      <c r="P813" s="401"/>
      <c r="Q813" s="118"/>
      <c r="R813" s="118"/>
      <c r="S813" s="118"/>
      <c r="T813" s="118"/>
      <c r="U813" s="401"/>
      <c r="V813" s="118"/>
      <c r="W813" s="118"/>
      <c r="X813" s="118"/>
      <c r="Y813" s="118"/>
      <c r="Z813" s="401"/>
      <c r="AA813" s="118"/>
      <c r="AB813" s="118"/>
      <c r="AC813" s="118"/>
      <c r="AD813" s="118"/>
      <c r="AE813" s="401"/>
      <c r="AF813" s="118"/>
      <c r="AG813" s="118"/>
      <c r="AH813" s="118"/>
      <c r="AI813" s="118"/>
      <c r="AJ813" s="401"/>
      <c r="AK813" s="118"/>
      <c r="AL813" s="118"/>
      <c r="AM813" s="118"/>
      <c r="AN813" s="118"/>
      <c r="AO813" s="401"/>
      <c r="AP813" s="118"/>
      <c r="AQ813" s="118"/>
      <c r="AR813" s="118"/>
      <c r="AS813" s="118"/>
      <c r="AT813" s="401"/>
      <c r="AU813" s="118"/>
      <c r="AV813" s="118"/>
      <c r="AW813" s="118"/>
      <c r="AX813" s="118"/>
      <c r="AY813" s="401"/>
      <c r="AZ813" s="118"/>
      <c r="BA813" s="118"/>
      <c r="BB813" s="118"/>
      <c r="BC813" s="118"/>
      <c r="BD813" s="401"/>
      <c r="BE813" s="118"/>
      <c r="BF813" s="118"/>
      <c r="BG813" s="118"/>
      <c r="BH813" s="118"/>
      <c r="BI813" s="401"/>
      <c r="BJ813" s="971"/>
      <c r="BK813" s="118"/>
      <c r="BL813" s="118"/>
      <c r="BM813" s="118"/>
      <c r="BN813" s="401"/>
      <c r="BO813" s="118"/>
      <c r="BP813" s="118"/>
      <c r="BQ813" s="118"/>
      <c r="BR813" s="118"/>
      <c r="BS813" s="401"/>
      <c r="BT813" s="401"/>
      <c r="BU813" s="401"/>
      <c r="BV813" s="401"/>
      <c r="BW813" s="122"/>
    </row>
    <row r="814" spans="1:75" s="751" customFormat="1" ht="14.25" x14ac:dyDescent="0.45">
      <c r="A814" s="118" t="s">
        <v>1202</v>
      </c>
      <c r="B814" s="513"/>
      <c r="C814" s="403">
        <v>105.76300000000001</v>
      </c>
      <c r="D814" s="403">
        <v>106.956</v>
      </c>
      <c r="E814" s="403">
        <v>104.352</v>
      </c>
      <c r="F814" s="403">
        <v>99.266000000000005</v>
      </c>
      <c r="G814" s="302">
        <v>97.703999999999994</v>
      </c>
      <c r="H814" s="302">
        <v>96.891999999999996</v>
      </c>
      <c r="I814" s="302">
        <v>95.453000000000003</v>
      </c>
      <c r="J814" s="302">
        <v>94.271000000000001</v>
      </c>
      <c r="K814" s="403">
        <v>96.668999999999997</v>
      </c>
      <c r="L814" s="302">
        <v>93.992999999999995</v>
      </c>
      <c r="M814" s="302">
        <v>93.978999999999999</v>
      </c>
      <c r="N814" s="302">
        <v>93.066999999999993</v>
      </c>
      <c r="O814" s="302">
        <v>92.087000000000003</v>
      </c>
      <c r="P814" s="403">
        <v>93.634</v>
      </c>
      <c r="Q814" s="302">
        <v>91.706999999999994</v>
      </c>
      <c r="R814" s="302">
        <v>91.242999999999995</v>
      </c>
      <c r="S814" s="302">
        <v>90.436999999999998</v>
      </c>
      <c r="T814" s="302">
        <v>89.76</v>
      </c>
      <c r="U814" s="403">
        <v>90.787000000000006</v>
      </c>
      <c r="V814" s="302">
        <v>89.298000000000002</v>
      </c>
      <c r="W814" s="302">
        <v>89.039000000000001</v>
      </c>
      <c r="X814" s="302">
        <v>88.382000000000005</v>
      </c>
      <c r="Y814" s="302">
        <v>87.668999999999997</v>
      </c>
      <c r="Z814" s="403">
        <v>88.593999999999994</v>
      </c>
      <c r="AA814" s="302">
        <v>86.962000000000003</v>
      </c>
      <c r="AB814" s="302">
        <v>86.429000000000002</v>
      </c>
      <c r="AC814" s="302">
        <v>84.94</v>
      </c>
      <c r="AD814" s="302">
        <v>84.037000000000006</v>
      </c>
      <c r="AE814" s="403">
        <v>85.591999999999999</v>
      </c>
      <c r="AF814" s="302">
        <v>83.391999999999996</v>
      </c>
      <c r="AG814" s="302">
        <v>82.341999999999999</v>
      </c>
      <c r="AH814" s="302">
        <v>80.474999999999994</v>
      </c>
      <c r="AI814" s="302">
        <v>79.61</v>
      </c>
      <c r="AJ814" s="403">
        <v>81.42</v>
      </c>
      <c r="AK814" s="302">
        <v>78.683000000000007</v>
      </c>
      <c r="AL814" s="302">
        <v>78.488</v>
      </c>
      <c r="AM814" s="302">
        <v>77.897000000000006</v>
      </c>
      <c r="AN814" s="302">
        <v>77.364000000000004</v>
      </c>
      <c r="AO814" s="403">
        <v>78.108000000000004</v>
      </c>
      <c r="AP814" s="302">
        <v>77.262</v>
      </c>
      <c r="AQ814" s="302">
        <v>77.783000000000001</v>
      </c>
      <c r="AR814" s="302">
        <v>77.486999999999995</v>
      </c>
      <c r="AS814" s="302">
        <v>76.507000000000005</v>
      </c>
      <c r="AT814" s="403">
        <v>77.260000000000005</v>
      </c>
      <c r="AU814" s="302">
        <v>75.8</v>
      </c>
      <c r="AV814" s="302">
        <v>74.786000000000001</v>
      </c>
      <c r="AW814" s="302">
        <v>74.010000000000005</v>
      </c>
      <c r="AX814" s="302">
        <v>72.494</v>
      </c>
      <c r="AY814" s="403">
        <v>74.272000000000006</v>
      </c>
      <c r="AZ814" s="302">
        <v>70.850999999999999</v>
      </c>
      <c r="BA814" s="302">
        <v>68.180000000000007</v>
      </c>
      <c r="BB814" s="302">
        <v>66.703999999999994</v>
      </c>
      <c r="BC814" s="302">
        <v>66.349000000000004</v>
      </c>
      <c r="BD814" s="403">
        <v>68.021000000000001</v>
      </c>
      <c r="BE814" s="302">
        <v>65.849000000000004</v>
      </c>
      <c r="BF814" s="302">
        <v>64.162999999999997</v>
      </c>
      <c r="BG814" s="302">
        <v>64.141999999999996</v>
      </c>
      <c r="BH814" s="302">
        <v>64.143000000000001</v>
      </c>
      <c r="BI814" s="403">
        <v>64.573999999999998</v>
      </c>
      <c r="BJ814" s="1207">
        <v>64.206000000000003</v>
      </c>
      <c r="BK814" s="118">
        <f ca="1">AVERAGE(BJ819,BK819)</f>
        <v>64.337000000000003</v>
      </c>
      <c r="BL814" s="118">
        <f ca="1">AVERAGE(BK819,BL819)</f>
        <v>64.337000000000003</v>
      </c>
      <c r="BM814" s="118">
        <f ca="1">AVERAGE(BL819,BM819)</f>
        <v>64.337000000000003</v>
      </c>
      <c r="BN814" s="401">
        <f ca="1">SUM(BJ814*BJ3,BK814*BK3,BL814*BL3,BM814*BM3)/BN3</f>
        <v>64.30486792452831</v>
      </c>
      <c r="BO814" s="118">
        <f ca="1">AVERAGE(BN819,BO819)</f>
        <v>64.337000000000003</v>
      </c>
      <c r="BP814" s="118">
        <f ca="1">AVERAGE(BO819,BP819)</f>
        <v>64.337000000000003</v>
      </c>
      <c r="BQ814" s="118">
        <f ca="1">AVERAGE(BP819,BQ819)</f>
        <v>64.337000000000003</v>
      </c>
      <c r="BR814" s="118">
        <f ca="1">AVERAGE(BQ819,BR819)</f>
        <v>64.337000000000003</v>
      </c>
      <c r="BS814" s="401">
        <f ca="1">SUM(BO814*BO3,BP814*BP3,BQ814*BQ3,BR814*BR3)/BS3</f>
        <v>64.337000000000003</v>
      </c>
      <c r="BT814" s="401">
        <f ca="1">AVERAGE(BS819,BT819)</f>
        <v>64.337000000000003</v>
      </c>
      <c r="BU814" s="401">
        <f ca="1">AVERAGE(BT819,BU819)</f>
        <v>64.337000000000003</v>
      </c>
      <c r="BV814" s="401">
        <f ca="1">AVERAGE(BU819,BV819)</f>
        <v>64.337000000000003</v>
      </c>
      <c r="BW814" s="118"/>
    </row>
    <row r="815" spans="1:75" s="751" customFormat="1" ht="14.25" x14ac:dyDescent="0.45">
      <c r="A815" s="118" t="s">
        <v>1203</v>
      </c>
      <c r="B815" s="513"/>
      <c r="C815" s="403">
        <v>107.373</v>
      </c>
      <c r="D815" s="403">
        <v>109.52200000000001</v>
      </c>
      <c r="E815" s="403">
        <v>106.58199999999999</v>
      </c>
      <c r="F815" s="403">
        <v>101.051</v>
      </c>
      <c r="G815" s="302">
        <v>99.515000000000001</v>
      </c>
      <c r="H815" s="302">
        <v>98.956999999999994</v>
      </c>
      <c r="I815" s="302">
        <v>97.863</v>
      </c>
      <c r="J815" s="302">
        <v>96.972999999999999</v>
      </c>
      <c r="K815" s="403">
        <v>98.765000000000001</v>
      </c>
      <c r="L815" s="302">
        <v>95.617999999999995</v>
      </c>
      <c r="M815" s="302">
        <v>95.838999999999999</v>
      </c>
      <c r="N815" s="302">
        <v>94.92</v>
      </c>
      <c r="O815" s="302">
        <v>93.641000000000005</v>
      </c>
      <c r="P815" s="403">
        <v>95.2</v>
      </c>
      <c r="Q815" s="302">
        <v>93.3</v>
      </c>
      <c r="R815" s="302">
        <v>92.563999999999993</v>
      </c>
      <c r="S815" s="302">
        <v>91.801000000000002</v>
      </c>
      <c r="T815" s="302">
        <v>90.988</v>
      </c>
      <c r="U815" s="403">
        <v>92.102000000000004</v>
      </c>
      <c r="V815" s="302">
        <v>90.513999999999996</v>
      </c>
      <c r="W815" s="302">
        <v>89.736000000000004</v>
      </c>
      <c r="X815" s="302">
        <v>89.144000000000005</v>
      </c>
      <c r="Y815" s="302">
        <v>88.632999999999996</v>
      </c>
      <c r="Z815" s="403">
        <v>89.462000000000003</v>
      </c>
      <c r="AA815" s="302">
        <v>87.71</v>
      </c>
      <c r="AB815" s="302">
        <v>86.847999999999999</v>
      </c>
      <c r="AC815" s="302">
        <v>85.384</v>
      </c>
      <c r="AD815" s="302">
        <v>84.727999999999994</v>
      </c>
      <c r="AE815" s="403">
        <v>86.08</v>
      </c>
      <c r="AF815" s="302">
        <v>84.174000000000007</v>
      </c>
      <c r="AG815" s="302">
        <v>83.167000000000002</v>
      </c>
      <c r="AH815" s="302">
        <v>81.641000000000005</v>
      </c>
      <c r="AI815" s="302">
        <v>80.680999999999997</v>
      </c>
      <c r="AJ815" s="403">
        <v>82.34</v>
      </c>
      <c r="AK815" s="302">
        <v>79.867000000000004</v>
      </c>
      <c r="AL815" s="302">
        <v>79.47</v>
      </c>
      <c r="AM815" s="302">
        <v>79.191000000000003</v>
      </c>
      <c r="AN815" s="302">
        <v>78.912000000000006</v>
      </c>
      <c r="AO815" s="403">
        <v>79.224999999999994</v>
      </c>
      <c r="AP815" s="302">
        <v>78.399000000000001</v>
      </c>
      <c r="AQ815" s="302">
        <v>79.263999999999996</v>
      </c>
      <c r="AR815" s="302">
        <v>79.331999999999994</v>
      </c>
      <c r="AS815" s="302">
        <v>78.844999999999999</v>
      </c>
      <c r="AT815" s="403">
        <v>79.055000000000007</v>
      </c>
      <c r="AU815" s="302">
        <v>78.484999999999999</v>
      </c>
      <c r="AV815" s="302">
        <v>76.584000000000003</v>
      </c>
      <c r="AW815" s="302">
        <v>75.942999999999998</v>
      </c>
      <c r="AX815" s="302">
        <v>74.503</v>
      </c>
      <c r="AY815" s="403">
        <v>76.353999999999999</v>
      </c>
      <c r="AZ815" s="302">
        <v>72.652000000000001</v>
      </c>
      <c r="BA815" s="302">
        <v>69.081000000000003</v>
      </c>
      <c r="BB815" s="302">
        <v>67.617000000000004</v>
      </c>
      <c r="BC815" s="302">
        <v>67.200999999999993</v>
      </c>
      <c r="BD815" s="403">
        <v>69.099999999999994</v>
      </c>
      <c r="BE815" s="302">
        <v>66.695999999999998</v>
      </c>
      <c r="BF815" s="302">
        <v>64.525999999999996</v>
      </c>
      <c r="BG815" s="302">
        <v>64.774000000000001</v>
      </c>
      <c r="BH815" s="302">
        <v>65.147000000000006</v>
      </c>
      <c r="BI815" s="403">
        <v>65.272000000000006</v>
      </c>
      <c r="BJ815" s="1207">
        <v>65.314999999999998</v>
      </c>
      <c r="BK815" s="118">
        <f ca="1">IF(BK801&lt;0,BK814,AVERAGE(BJ833,BK833))</f>
        <v>65.534869999999998</v>
      </c>
      <c r="BL815" s="118">
        <f ca="1">IF(BL801&lt;0,BL814,AVERAGE(BK833,BL833))</f>
        <v>65.623739999999998</v>
      </c>
      <c r="BM815" s="118">
        <f ca="1">IF(BM801&lt;0,BM814,AVERAGE(BL833,BM833))</f>
        <v>65.623739999999998</v>
      </c>
      <c r="BN815" s="401">
        <f ca="1">IF(BN801&lt;0,BN814,SUM(AVERAGE(BI833,BJ833)*BJ3,AVERAGE(BJ833,BK833)*BK3,AVERAGE(BK833,BL833)*BL3,AVERAGE(BL833,BM833)*BM3)/BN3)</f>
        <v>65.522656415094346</v>
      </c>
      <c r="BO815" s="118">
        <f ca="1">IF(BO801&lt;0,BO814,AVERAGE(BN833,BO833))</f>
        <v>65.623739999999998</v>
      </c>
      <c r="BP815" s="118">
        <f ca="1">IF(BP801&lt;0,BP814,AVERAGE(BO833,BP833))</f>
        <v>65.623739999999998</v>
      </c>
      <c r="BQ815" s="118">
        <f ca="1">IF(BQ801&lt;0,BQ814,AVERAGE(BP833,BQ833))</f>
        <v>65.623739999999998</v>
      </c>
      <c r="BR815" s="118">
        <f ca="1">IF(BR801&lt;0,BR814,AVERAGE(BQ833,BR833))</f>
        <v>65.623739999999998</v>
      </c>
      <c r="BS815" s="401">
        <f ca="1">IF(BS801&lt;0,BS814,SUM(AVERAGE(BN833,BO833)*BO3,AVERAGE(BO833,BP833)*BP3,AVERAGE(BP833,BQ833)*BQ3,AVERAGE(BQ833,BR833)*BR3)/BS3)</f>
        <v>65.623739999999998</v>
      </c>
      <c r="BT815" s="401">
        <f ca="1">IF(BT801&lt;0,BT814,AVERAGE(BS833,BT833))</f>
        <v>65.623739999999998</v>
      </c>
      <c r="BU815" s="401">
        <f ca="1">IF(BU801&lt;0,BU814,AVERAGE(BT833,BU833))</f>
        <v>65.623739999999998</v>
      </c>
      <c r="BV815" s="401">
        <f ca="1">IF(BV801&lt;0,BV814,AVERAGE(BU833,BV833))</f>
        <v>65.623739999999998</v>
      </c>
      <c r="BW815" s="118"/>
    </row>
    <row r="816" spans="1:75" s="751" customFormat="1" ht="14.25" x14ac:dyDescent="0.45">
      <c r="A816" s="118" t="s">
        <v>1204</v>
      </c>
      <c r="B816" s="513"/>
      <c r="C816" s="401">
        <f t="shared" ref="C816:BJ816" si="1052">C815</f>
        <v>107.373</v>
      </c>
      <c r="D816" s="401">
        <f t="shared" si="1052"/>
        <v>109.52200000000001</v>
      </c>
      <c r="E816" s="401">
        <f t="shared" si="1052"/>
        <v>106.58199999999999</v>
      </c>
      <c r="F816" s="401">
        <f t="shared" si="1052"/>
        <v>101.051</v>
      </c>
      <c r="G816" s="118">
        <f t="shared" si="1052"/>
        <v>99.515000000000001</v>
      </c>
      <c r="H816" s="118">
        <f t="shared" si="1052"/>
        <v>98.956999999999994</v>
      </c>
      <c r="I816" s="118">
        <f t="shared" si="1052"/>
        <v>97.863</v>
      </c>
      <c r="J816" s="118">
        <f t="shared" si="1052"/>
        <v>96.972999999999999</v>
      </c>
      <c r="K816" s="401">
        <f t="shared" si="1052"/>
        <v>98.765000000000001</v>
      </c>
      <c r="L816" s="118">
        <f t="shared" si="1052"/>
        <v>95.617999999999995</v>
      </c>
      <c r="M816" s="118">
        <f t="shared" si="1052"/>
        <v>95.838999999999999</v>
      </c>
      <c r="N816" s="118">
        <f t="shared" si="1052"/>
        <v>94.92</v>
      </c>
      <c r="O816" s="118">
        <f t="shared" si="1052"/>
        <v>93.641000000000005</v>
      </c>
      <c r="P816" s="401">
        <f t="shared" si="1052"/>
        <v>95.2</v>
      </c>
      <c r="Q816" s="118">
        <f t="shared" si="1052"/>
        <v>93.3</v>
      </c>
      <c r="R816" s="118">
        <f t="shared" si="1052"/>
        <v>92.563999999999993</v>
      </c>
      <c r="S816" s="118">
        <f t="shared" si="1052"/>
        <v>91.801000000000002</v>
      </c>
      <c r="T816" s="118">
        <f t="shared" si="1052"/>
        <v>90.988</v>
      </c>
      <c r="U816" s="401">
        <f t="shared" si="1052"/>
        <v>92.102000000000004</v>
      </c>
      <c r="V816" s="118">
        <f t="shared" si="1052"/>
        <v>90.513999999999996</v>
      </c>
      <c r="W816" s="118">
        <f t="shared" si="1052"/>
        <v>89.736000000000004</v>
      </c>
      <c r="X816" s="118">
        <f t="shared" si="1052"/>
        <v>89.144000000000005</v>
      </c>
      <c r="Y816" s="118">
        <f t="shared" si="1052"/>
        <v>88.632999999999996</v>
      </c>
      <c r="Z816" s="401">
        <f t="shared" si="1052"/>
        <v>89.462000000000003</v>
      </c>
      <c r="AA816" s="118">
        <f t="shared" si="1052"/>
        <v>87.71</v>
      </c>
      <c r="AB816" s="118">
        <f t="shared" si="1052"/>
        <v>86.847999999999999</v>
      </c>
      <c r="AC816" s="118">
        <f t="shared" si="1052"/>
        <v>85.384</v>
      </c>
      <c r="AD816" s="118">
        <f t="shared" si="1052"/>
        <v>84.727999999999994</v>
      </c>
      <c r="AE816" s="401">
        <f t="shared" si="1052"/>
        <v>86.08</v>
      </c>
      <c r="AF816" s="118">
        <f t="shared" si="1052"/>
        <v>84.174000000000007</v>
      </c>
      <c r="AG816" s="118">
        <f t="shared" si="1052"/>
        <v>83.167000000000002</v>
      </c>
      <c r="AH816" s="118">
        <f t="shared" si="1052"/>
        <v>81.641000000000005</v>
      </c>
      <c r="AI816" s="118">
        <f t="shared" si="1052"/>
        <v>80.680999999999997</v>
      </c>
      <c r="AJ816" s="401">
        <f t="shared" si="1052"/>
        <v>82.34</v>
      </c>
      <c r="AK816" s="118">
        <f t="shared" si="1052"/>
        <v>79.867000000000004</v>
      </c>
      <c r="AL816" s="118">
        <f t="shared" si="1052"/>
        <v>79.47</v>
      </c>
      <c r="AM816" s="118">
        <f t="shared" si="1052"/>
        <v>79.191000000000003</v>
      </c>
      <c r="AN816" s="118">
        <f t="shared" si="1052"/>
        <v>78.912000000000006</v>
      </c>
      <c r="AO816" s="401">
        <f t="shared" si="1052"/>
        <v>79.224999999999994</v>
      </c>
      <c r="AP816" s="118">
        <f t="shared" si="1052"/>
        <v>78.399000000000001</v>
      </c>
      <c r="AQ816" s="118">
        <f t="shared" si="1052"/>
        <v>79.263999999999996</v>
      </c>
      <c r="AR816" s="118">
        <f t="shared" si="1052"/>
        <v>79.331999999999994</v>
      </c>
      <c r="AS816" s="118">
        <f t="shared" si="1052"/>
        <v>78.844999999999999</v>
      </c>
      <c r="AT816" s="401">
        <f t="shared" si="1052"/>
        <v>79.055000000000007</v>
      </c>
      <c r="AU816" s="118">
        <f t="shared" si="1052"/>
        <v>78.484999999999999</v>
      </c>
      <c r="AV816" s="118">
        <f t="shared" si="1052"/>
        <v>76.584000000000003</v>
      </c>
      <c r="AW816" s="118">
        <f t="shared" si="1052"/>
        <v>75.942999999999998</v>
      </c>
      <c r="AX816" s="118">
        <f t="shared" si="1052"/>
        <v>74.503</v>
      </c>
      <c r="AY816" s="401">
        <f t="shared" si="1052"/>
        <v>76.353999999999999</v>
      </c>
      <c r="AZ816" s="118">
        <f t="shared" si="1052"/>
        <v>72.652000000000001</v>
      </c>
      <c r="BA816" s="118">
        <f t="shared" si="1052"/>
        <v>69.081000000000003</v>
      </c>
      <c r="BB816" s="118">
        <f t="shared" si="1052"/>
        <v>67.617000000000004</v>
      </c>
      <c r="BC816" s="118">
        <f t="shared" si="1052"/>
        <v>67.200999999999993</v>
      </c>
      <c r="BD816" s="401">
        <f t="shared" si="1052"/>
        <v>69.099999999999994</v>
      </c>
      <c r="BE816" s="118">
        <f t="shared" si="1052"/>
        <v>66.695999999999998</v>
      </c>
      <c r="BF816" s="118">
        <f t="shared" si="1052"/>
        <v>64.525999999999996</v>
      </c>
      <c r="BG816" s="118">
        <f t="shared" si="1052"/>
        <v>64.774000000000001</v>
      </c>
      <c r="BH816" s="118">
        <f t="shared" si="1052"/>
        <v>65.147000000000006</v>
      </c>
      <c r="BI816" s="401">
        <f t="shared" si="1052"/>
        <v>65.272000000000006</v>
      </c>
      <c r="BJ816" s="971">
        <f t="shared" si="1052"/>
        <v>65.314999999999998</v>
      </c>
      <c r="BK816" s="118">
        <f ca="1">IF(BK802&lt;0,BK814,AVERAGE(BJ833,BK833))</f>
        <v>65.534869999999998</v>
      </c>
      <c r="BL816" s="118">
        <f ca="1">IF(BL802&lt;0,BL814,AVERAGE(BK833,BL833))</f>
        <v>65.623739999999998</v>
      </c>
      <c r="BM816" s="118">
        <f ca="1">IF(BM802&lt;0,BM814,AVERAGE(BL833,BM833))</f>
        <v>65.623739999999998</v>
      </c>
      <c r="BN816" s="401">
        <f ca="1">IF(BN802&lt;0,BN814,SUM(AVERAGE(BI833,BJ833)*BJ3,AVERAGE(BJ833,BK833)*BK3,AVERAGE(BK833,BL833)*BL3,AVERAGE(BL833,BM833)*BM3)/BN3)</f>
        <v>65.522656415094346</v>
      </c>
      <c r="BO816" s="118">
        <f ca="1">IF(BO802&lt;0,BO814,AVERAGE(BN833,BO833))</f>
        <v>65.623739999999998</v>
      </c>
      <c r="BP816" s="118">
        <f ca="1">IF(BP802&lt;0,BP814,AVERAGE(BO833,BP833))</f>
        <v>65.623739999999998</v>
      </c>
      <c r="BQ816" s="118">
        <f ca="1">IF(BQ802&lt;0,BQ814,AVERAGE(BP833,BQ833))</f>
        <v>65.623739999999998</v>
      </c>
      <c r="BR816" s="118">
        <f ca="1">IF(BR802&lt;0,BR814,AVERAGE(BQ833,BR833))</f>
        <v>65.623739999999998</v>
      </c>
      <c r="BS816" s="401">
        <f ca="1">IF(BS802&lt;0,BS814,SUM(AVERAGE(BN833,BO833)*BO3,AVERAGE(BO833,BP833)*BP3,AVERAGE(BP833,BQ833)*BQ3,AVERAGE(BQ833,BR833)*BR3)/BS3)</f>
        <v>65.623739999999998</v>
      </c>
      <c r="BT816" s="401">
        <f ca="1">IF(BT802&lt;0,BT814,AVERAGE(BS833,BT833))</f>
        <v>65.623739999999998</v>
      </c>
      <c r="BU816" s="401">
        <f ca="1">IF(BU802&lt;0,BU814,AVERAGE(BT833,BU833))</f>
        <v>65.623739999999998</v>
      </c>
      <c r="BV816" s="401">
        <f ca="1">IF(BV802&lt;0,BV814,AVERAGE(BU833,BV833))</f>
        <v>65.623739999999998</v>
      </c>
      <c r="BW816" s="118"/>
    </row>
    <row r="817" spans="1:75" s="123" customFormat="1" x14ac:dyDescent="0.5">
      <c r="A817" s="752"/>
      <c r="B817" s="513"/>
      <c r="C817" s="401"/>
      <c r="D817" s="401"/>
      <c r="E817" s="401"/>
      <c r="F817" s="401"/>
      <c r="G817" s="118"/>
      <c r="H817" s="118"/>
      <c r="I817" s="118"/>
      <c r="J817" s="118"/>
      <c r="K817" s="401"/>
      <c r="L817" s="118"/>
      <c r="M817" s="118"/>
      <c r="N817" s="118"/>
      <c r="O817" s="118"/>
      <c r="P817" s="401"/>
      <c r="Q817" s="118"/>
      <c r="R817" s="118"/>
      <c r="S817" s="118"/>
      <c r="T817" s="118"/>
      <c r="U817" s="401"/>
      <c r="V817" s="118"/>
      <c r="W817" s="118"/>
      <c r="X817" s="118"/>
      <c r="Y817" s="118"/>
      <c r="Z817" s="401"/>
      <c r="AA817" s="118"/>
      <c r="AB817" s="118"/>
      <c r="AC817" s="118"/>
      <c r="AD817" s="118"/>
      <c r="AE817" s="401"/>
      <c r="AF817" s="118"/>
      <c r="AG817" s="118"/>
      <c r="AH817" s="118"/>
      <c r="AI817" s="118"/>
      <c r="AJ817" s="401"/>
      <c r="AK817" s="118"/>
      <c r="AL817" s="118"/>
      <c r="AM817" s="118"/>
      <c r="AN817" s="118"/>
      <c r="AO817" s="401"/>
      <c r="AP817" s="118"/>
      <c r="AQ817" s="118"/>
      <c r="AR817" s="118"/>
      <c r="AS817" s="118"/>
      <c r="AT817" s="401"/>
      <c r="AU817" s="118"/>
      <c r="AV817" s="118"/>
      <c r="AW817" s="118"/>
      <c r="AX817" s="118"/>
      <c r="AY817" s="401"/>
      <c r="AZ817" s="118"/>
      <c r="BA817" s="118"/>
      <c r="BB817" s="118"/>
      <c r="BC817" s="118"/>
      <c r="BD817" s="401"/>
      <c r="BE817" s="118"/>
      <c r="BF817" s="118"/>
      <c r="BG817" s="118"/>
      <c r="BH817" s="118"/>
      <c r="BI817" s="401"/>
      <c r="BJ817" s="971"/>
      <c r="BK817" s="118"/>
      <c r="BL817" s="118"/>
      <c r="BM817" s="118"/>
      <c r="BN817" s="401"/>
      <c r="BO817" s="118"/>
      <c r="BP817" s="118"/>
      <c r="BQ817" s="118"/>
      <c r="BR817" s="118"/>
      <c r="BS817" s="401"/>
      <c r="BT817" s="401"/>
      <c r="BU817" s="401"/>
      <c r="BV817" s="401"/>
      <c r="BW817" s="122"/>
    </row>
    <row r="818" spans="1:75" s="123" customFormat="1" x14ac:dyDescent="0.5">
      <c r="A818" s="753" t="s">
        <v>1205</v>
      </c>
      <c r="B818" s="754"/>
      <c r="C818" s="755"/>
      <c r="D818" s="755"/>
      <c r="E818" s="755"/>
      <c r="F818" s="755"/>
      <c r="G818" s="755"/>
      <c r="H818" s="755"/>
      <c r="I818" s="755"/>
      <c r="J818" s="755"/>
      <c r="K818" s="755"/>
      <c r="L818" s="755"/>
      <c r="M818" s="755"/>
      <c r="N818" s="755"/>
      <c r="O818" s="755"/>
      <c r="P818" s="755"/>
      <c r="Q818" s="755"/>
      <c r="R818" s="755"/>
      <c r="S818" s="755"/>
      <c r="T818" s="755"/>
      <c r="U818" s="755"/>
      <c r="V818" s="755"/>
      <c r="W818" s="755"/>
      <c r="X818" s="755"/>
      <c r="Y818" s="755"/>
      <c r="Z818" s="755"/>
      <c r="AA818" s="755"/>
      <c r="AB818" s="755"/>
      <c r="AC818" s="755"/>
      <c r="AD818" s="755"/>
      <c r="AE818" s="755"/>
      <c r="AF818" s="755"/>
      <c r="AG818" s="755"/>
      <c r="AH818" s="755"/>
      <c r="AI818" s="755"/>
      <c r="AJ818" s="755"/>
      <c r="AK818" s="755"/>
      <c r="AL818" s="755"/>
      <c r="AM818" s="755"/>
      <c r="AN818" s="755"/>
      <c r="AO818" s="755"/>
      <c r="AP818" s="755"/>
      <c r="AQ818" s="755"/>
      <c r="AR818" s="755"/>
      <c r="AS818" s="755"/>
      <c r="AT818" s="755"/>
      <c r="AU818" s="755"/>
      <c r="AV818" s="755"/>
      <c r="AW818" s="755"/>
      <c r="AX818" s="755"/>
      <c r="AY818" s="755"/>
      <c r="AZ818" s="755"/>
      <c r="BA818" s="755"/>
      <c r="BB818" s="755"/>
      <c r="BC818" s="755"/>
      <c r="BD818" s="755"/>
      <c r="BE818" s="755"/>
      <c r="BF818" s="755"/>
      <c r="BG818" s="755"/>
      <c r="BH818" s="755"/>
      <c r="BI818" s="755"/>
      <c r="BJ818" s="756"/>
      <c r="BK818" s="755"/>
      <c r="BL818" s="755"/>
      <c r="BM818" s="755"/>
      <c r="BN818" s="755"/>
      <c r="BO818" s="755"/>
      <c r="BP818" s="755"/>
      <c r="BQ818" s="755"/>
      <c r="BR818" s="755"/>
      <c r="BS818" s="755"/>
      <c r="BT818" s="755"/>
      <c r="BU818" s="755"/>
      <c r="BV818" s="755"/>
      <c r="BW818" s="122"/>
    </row>
    <row r="819" spans="1:75" s="123" customFormat="1" ht="15" hidden="1" customHeight="1" outlineLevel="1" x14ac:dyDescent="0.5">
      <c r="A819" s="588" t="s">
        <v>2102</v>
      </c>
      <c r="B819" s="513"/>
      <c r="C819" s="403">
        <v>106.962</v>
      </c>
      <c r="D819" s="403">
        <v>104.88800000000001</v>
      </c>
      <c r="E819" s="403">
        <v>100.45099999999999</v>
      </c>
      <c r="F819" s="403">
        <v>97.733999999999995</v>
      </c>
      <c r="G819" s="302">
        <v>97.308999999999997</v>
      </c>
      <c r="H819" s="302">
        <v>95.838999999999999</v>
      </c>
      <c r="I819" s="302">
        <v>94.379000000000005</v>
      </c>
      <c r="J819" s="118">
        <f>K819</f>
        <v>94.049000000000007</v>
      </c>
      <c r="K819" s="403">
        <v>94.049000000000007</v>
      </c>
      <c r="L819" s="302">
        <v>94.183999999999997</v>
      </c>
      <c r="M819" s="302">
        <v>93.414000000000001</v>
      </c>
      <c r="N819" s="302">
        <v>92.218999999999994</v>
      </c>
      <c r="O819" s="118">
        <f>P819</f>
        <v>91.891000000000005</v>
      </c>
      <c r="P819" s="403">
        <v>91.891000000000005</v>
      </c>
      <c r="Q819" s="302">
        <v>91.644000000000005</v>
      </c>
      <c r="R819" s="302">
        <v>90.86</v>
      </c>
      <c r="S819" s="302">
        <v>90.01</v>
      </c>
      <c r="T819" s="118">
        <f>U819</f>
        <v>89.563000000000002</v>
      </c>
      <c r="U819" s="403">
        <v>89.563000000000002</v>
      </c>
      <c r="V819" s="302">
        <v>89.35</v>
      </c>
      <c r="W819" s="302">
        <v>88.738</v>
      </c>
      <c r="X819" s="302">
        <v>88.013999999999996</v>
      </c>
      <c r="Y819" s="118">
        <f>Z819</f>
        <v>87.325000000000003</v>
      </c>
      <c r="Z819" s="403">
        <v>87.325000000000003</v>
      </c>
      <c r="AA819" s="302">
        <v>86.882999999999996</v>
      </c>
      <c r="AB819" s="302">
        <v>85.754000000000005</v>
      </c>
      <c r="AC819" s="302">
        <v>84.477999999999994</v>
      </c>
      <c r="AD819" s="118">
        <f>AE819</f>
        <v>83.725999999999999</v>
      </c>
      <c r="AE819" s="403">
        <v>83.725999999999999</v>
      </c>
      <c r="AF819" s="302">
        <v>83.221999999999994</v>
      </c>
      <c r="AG819" s="302">
        <v>80.988</v>
      </c>
      <c r="AH819" s="302">
        <v>80.281999999999996</v>
      </c>
      <c r="AI819" s="118">
        <f>AJ819</f>
        <v>78.813000000000002</v>
      </c>
      <c r="AJ819" s="403">
        <v>78.813000000000002</v>
      </c>
      <c r="AK819" s="302">
        <v>78.808000000000007</v>
      </c>
      <c r="AL819" s="302">
        <v>78.203000000000003</v>
      </c>
      <c r="AM819" s="302">
        <v>77.611999999999995</v>
      </c>
      <c r="AN819" s="118">
        <f>AO819</f>
        <v>77.137</v>
      </c>
      <c r="AO819" s="403">
        <v>77.137</v>
      </c>
      <c r="AP819" s="302">
        <v>77.759</v>
      </c>
      <c r="AQ819" s="302">
        <v>77.796000000000006</v>
      </c>
      <c r="AR819" s="302">
        <v>76.697000000000003</v>
      </c>
      <c r="AS819" s="118">
        <f>AT819</f>
        <v>76.34</v>
      </c>
      <c r="AT819" s="403">
        <v>76.34</v>
      </c>
      <c r="AU819" s="302">
        <v>75.234999999999999</v>
      </c>
      <c r="AV819" s="302">
        <v>74.426000000000002</v>
      </c>
      <c r="AW819" s="302">
        <v>73.325999999999993</v>
      </c>
      <c r="AX819" s="118">
        <f>AY819</f>
        <v>71.981999999999999</v>
      </c>
      <c r="AY819" s="403">
        <v>71.981999999999999</v>
      </c>
      <c r="AZ819" s="302">
        <v>69.218999999999994</v>
      </c>
      <c r="BA819" s="302">
        <v>67.057000000000002</v>
      </c>
      <c r="BB819" s="302">
        <v>66.555999999999997</v>
      </c>
      <c r="BC819" s="118">
        <f>BD819</f>
        <v>66.225999999999999</v>
      </c>
      <c r="BD819" s="403">
        <v>66.225999999999999</v>
      </c>
      <c r="BE819" s="302">
        <v>64.221999999999994</v>
      </c>
      <c r="BF819" s="302">
        <v>64.144999999999996</v>
      </c>
      <c r="BG819" s="302">
        <v>64.135000000000005</v>
      </c>
      <c r="BH819" s="118">
        <f>BI819</f>
        <v>64.150999999999996</v>
      </c>
      <c r="BI819" s="403">
        <v>64.150999999999996</v>
      </c>
      <c r="BJ819" s="1207">
        <v>64.337000000000003</v>
      </c>
      <c r="BK819" s="118">
        <f ca="1">BJ819*(1+BK820)+BK887/(BK888/BK938)</f>
        <v>64.337000000000003</v>
      </c>
      <c r="BL819" s="118">
        <f ca="1">BK819*(1+BL820)+BL887/(BL888/BL938)</f>
        <v>64.337000000000003</v>
      </c>
      <c r="BM819" s="118">
        <f ca="1">BL819*(1+BM820)+BM887/(BM888/BM938)</f>
        <v>64.337000000000003</v>
      </c>
      <c r="BN819" s="401">
        <f ca="1">BM819</f>
        <v>64.337000000000003</v>
      </c>
      <c r="BO819" s="118">
        <f ca="1">BN819*(1+BO820)+BO887/(BO888/BO938)</f>
        <v>64.337000000000003</v>
      </c>
      <c r="BP819" s="118">
        <f ca="1">BO819*(1+BP820)+BP887/(BP888/BP938)</f>
        <v>64.337000000000003</v>
      </c>
      <c r="BQ819" s="118">
        <f ca="1">BP819*(1+BQ820)+BQ887/(BQ888/BQ938)</f>
        <v>64.337000000000003</v>
      </c>
      <c r="BR819" s="118">
        <f ca="1">BQ819*(1+BR820)+BR887/(BR888/BR938)</f>
        <v>64.337000000000003</v>
      </c>
      <c r="BS819" s="401">
        <f ca="1">BR819</f>
        <v>64.337000000000003</v>
      </c>
      <c r="BT819" s="401">
        <f ca="1">BS819*(1+BT821)+BT887/(BT888/BT938)</f>
        <v>64.337000000000003</v>
      </c>
      <c r="BU819" s="401">
        <f ca="1">BT819*(1+BU821)+BU887/(BU888/BU938)</f>
        <v>64.337000000000003</v>
      </c>
      <c r="BV819" s="401">
        <f ca="1">BU819*(1+BV821)+BV887/(BV888/BV938)</f>
        <v>64.337000000000003</v>
      </c>
      <c r="BW819" s="122"/>
    </row>
    <row r="820" spans="1:75" s="123" customFormat="1" ht="15" hidden="1" customHeight="1" outlineLevel="1" x14ac:dyDescent="0.5">
      <c r="A820" s="765" t="s">
        <v>1209</v>
      </c>
      <c r="B820" s="720"/>
      <c r="C820" s="417"/>
      <c r="D820" s="417"/>
      <c r="E820" s="417"/>
      <c r="F820" s="417"/>
      <c r="G820" s="378"/>
      <c r="H820" s="378"/>
      <c r="I820" s="378"/>
      <c r="J820" s="378"/>
      <c r="K820" s="417"/>
      <c r="L820" s="378"/>
      <c r="M820" s="378"/>
      <c r="N820" s="378"/>
      <c r="O820" s="378"/>
      <c r="P820" s="417"/>
      <c r="Q820" s="378"/>
      <c r="R820" s="378"/>
      <c r="S820" s="378"/>
      <c r="T820" s="378"/>
      <c r="U820" s="417"/>
      <c r="V820" s="378"/>
      <c r="W820" s="378"/>
      <c r="X820" s="378"/>
      <c r="Y820" s="378"/>
      <c r="Z820" s="417"/>
      <c r="AA820" s="378"/>
      <c r="AB820" s="378"/>
      <c r="AC820" s="378"/>
      <c r="AD820" s="378"/>
      <c r="AE820" s="417"/>
      <c r="AF820" s="378"/>
      <c r="AG820" s="378"/>
      <c r="AH820" s="378"/>
      <c r="AI820" s="378"/>
      <c r="AJ820" s="417"/>
      <c r="AK820" s="378"/>
      <c r="AL820" s="378"/>
      <c r="AM820" s="378"/>
      <c r="AN820" s="378"/>
      <c r="AO820" s="417"/>
      <c r="AP820" s="378"/>
      <c r="AQ820" s="378"/>
      <c r="AR820" s="378"/>
      <c r="AS820" s="378"/>
      <c r="AT820" s="417"/>
      <c r="AU820" s="378"/>
      <c r="AV820" s="378"/>
      <c r="AW820" s="378"/>
      <c r="AX820" s="378"/>
      <c r="AY820" s="417"/>
      <c r="AZ820" s="378"/>
      <c r="BA820" s="378"/>
      <c r="BB820" s="378"/>
      <c r="BC820" s="378"/>
      <c r="BD820" s="417"/>
      <c r="BE820" s="378"/>
      <c r="BF820" s="378"/>
      <c r="BG820" s="378"/>
      <c r="BH820" s="378"/>
      <c r="BI820" s="417"/>
      <c r="BJ820" s="1130"/>
      <c r="BK820" s="766">
        <v>0</v>
      </c>
      <c r="BL820" s="766">
        <v>0</v>
      </c>
      <c r="BM820" s="766">
        <v>0</v>
      </c>
      <c r="BN820" s="417"/>
      <c r="BO820" s="766">
        <v>0</v>
      </c>
      <c r="BP820" s="766">
        <v>0</v>
      </c>
      <c r="BQ820" s="766">
        <v>0</v>
      </c>
      <c r="BR820" s="766">
        <v>0</v>
      </c>
      <c r="BS820" s="417"/>
      <c r="BT820" s="417"/>
      <c r="BU820" s="417"/>
      <c r="BV820" s="417"/>
      <c r="BW820" s="122"/>
    </row>
    <row r="821" spans="1:75" s="123" customFormat="1" ht="15" hidden="1" customHeight="1" outlineLevel="1" x14ac:dyDescent="0.5">
      <c r="A821" s="765" t="s">
        <v>1210</v>
      </c>
      <c r="B821" s="720"/>
      <c r="C821" s="417"/>
      <c r="D821" s="417"/>
      <c r="E821" s="417"/>
      <c r="F821" s="417"/>
      <c r="G821" s="378"/>
      <c r="H821" s="378"/>
      <c r="I821" s="378"/>
      <c r="J821" s="378"/>
      <c r="K821" s="417"/>
      <c r="L821" s="378"/>
      <c r="M821" s="378"/>
      <c r="N821" s="378"/>
      <c r="O821" s="378"/>
      <c r="P821" s="417"/>
      <c r="Q821" s="378"/>
      <c r="R821" s="378"/>
      <c r="S821" s="378"/>
      <c r="T821" s="378"/>
      <c r="U821" s="417"/>
      <c r="V821" s="378"/>
      <c r="W821" s="378"/>
      <c r="X821" s="378"/>
      <c r="Y821" s="378"/>
      <c r="Z821" s="417"/>
      <c r="AA821" s="378"/>
      <c r="AB821" s="378"/>
      <c r="AC821" s="378"/>
      <c r="AD821" s="378"/>
      <c r="AE821" s="417"/>
      <c r="AF821" s="378"/>
      <c r="AG821" s="378"/>
      <c r="AH821" s="378"/>
      <c r="AI821" s="378"/>
      <c r="AJ821" s="417"/>
      <c r="AK821" s="378"/>
      <c r="AL821" s="378"/>
      <c r="AM821" s="378"/>
      <c r="AN821" s="378"/>
      <c r="AO821" s="417"/>
      <c r="AP821" s="378"/>
      <c r="AQ821" s="378"/>
      <c r="AR821" s="378"/>
      <c r="AS821" s="378"/>
      <c r="AT821" s="417"/>
      <c r="AU821" s="378"/>
      <c r="AV821" s="378"/>
      <c r="AW821" s="378"/>
      <c r="AX821" s="378"/>
      <c r="AY821" s="417"/>
      <c r="AZ821" s="378"/>
      <c r="BA821" s="378"/>
      <c r="BB821" s="378"/>
      <c r="BC821" s="378"/>
      <c r="BD821" s="417"/>
      <c r="BE821" s="378"/>
      <c r="BF821" s="378"/>
      <c r="BG821" s="378"/>
      <c r="BH821" s="378"/>
      <c r="BI821" s="417"/>
      <c r="BJ821" s="1130"/>
      <c r="BK821" s="378"/>
      <c r="BL821" s="378"/>
      <c r="BM821" s="378"/>
      <c r="BN821" s="417"/>
      <c r="BO821" s="378"/>
      <c r="BP821" s="378"/>
      <c r="BQ821" s="378"/>
      <c r="BR821" s="378"/>
      <c r="BS821" s="417"/>
      <c r="BT821" s="767">
        <v>0</v>
      </c>
      <c r="BU821" s="767">
        <v>0</v>
      </c>
      <c r="BV821" s="767">
        <v>0</v>
      </c>
      <c r="BW821" s="122"/>
    </row>
    <row r="822" spans="1:75" s="123" customFormat="1" ht="15" hidden="1" customHeight="1" outlineLevel="2" x14ac:dyDescent="0.5">
      <c r="A822" s="765" t="s">
        <v>1211</v>
      </c>
      <c r="B822" s="720"/>
      <c r="C822" s="417"/>
      <c r="D822" s="417"/>
      <c r="E822" s="417"/>
      <c r="F822" s="417"/>
      <c r="G822" s="378"/>
      <c r="H822" s="378"/>
      <c r="I822" s="378"/>
      <c r="J822" s="378"/>
      <c r="K822" s="417"/>
      <c r="L822" s="378"/>
      <c r="M822" s="378"/>
      <c r="N822" s="378"/>
      <c r="O822" s="378"/>
      <c r="P822" s="417"/>
      <c r="Q822" s="378"/>
      <c r="R822" s="378"/>
      <c r="S822" s="378"/>
      <c r="T822" s="378"/>
      <c r="U822" s="417"/>
      <c r="V822" s="378"/>
      <c r="W822" s="378"/>
      <c r="X822" s="378"/>
      <c r="Y822" s="378"/>
      <c r="Z822" s="417"/>
      <c r="AA822" s="378"/>
      <c r="AB822" s="378"/>
      <c r="AC822" s="378"/>
      <c r="AD822" s="378"/>
      <c r="AE822" s="417"/>
      <c r="AF822" s="378"/>
      <c r="AG822" s="378"/>
      <c r="AH822" s="378"/>
      <c r="AI822" s="378"/>
      <c r="AJ822" s="417"/>
      <c r="AK822" s="378"/>
      <c r="AL822" s="378"/>
      <c r="AM822" s="378"/>
      <c r="AN822" s="378"/>
      <c r="AO822" s="417"/>
      <c r="AP822" s="378"/>
      <c r="AQ822" s="378"/>
      <c r="AR822" s="378"/>
      <c r="AS822" s="378"/>
      <c r="AT822" s="417"/>
      <c r="AU822" s="378"/>
      <c r="AV822" s="378"/>
      <c r="AW822" s="378"/>
      <c r="AX822" s="378"/>
      <c r="AY822" s="417"/>
      <c r="AZ822" s="378"/>
      <c r="BA822" s="378"/>
      <c r="BB822" s="378"/>
      <c r="BC822" s="378"/>
      <c r="BD822" s="417"/>
      <c r="BE822" s="378"/>
      <c r="BF822" s="378"/>
      <c r="BG822" s="378"/>
      <c r="BH822" s="378"/>
      <c r="BI822" s="417"/>
      <c r="BJ822" s="1130"/>
      <c r="BK822" s="378">
        <f ca="1">BK887/(BK888/BK938)/BJ819</f>
        <v>0</v>
      </c>
      <c r="BL822" s="378">
        <f ca="1">BL887/(BL888/BL938)/BK819</f>
        <v>0</v>
      </c>
      <c r="BM822" s="378">
        <f ca="1">BM887/(BM888/BM938)/BL819</f>
        <v>0</v>
      </c>
      <c r="BN822" s="417"/>
      <c r="BO822" s="378">
        <f ca="1">BO887/(BO888/BO938)/BM819</f>
        <v>0</v>
      </c>
      <c r="BP822" s="378">
        <f ca="1">BP887/(BP888/BP938)/BO819</f>
        <v>0</v>
      </c>
      <c r="BQ822" s="378">
        <f ca="1">BQ887/(BQ888/BQ938)/BP819</f>
        <v>0</v>
      </c>
      <c r="BR822" s="378">
        <f ca="1">BR887/(BR888/BR938)/BQ819</f>
        <v>0</v>
      </c>
      <c r="BS822" s="417"/>
      <c r="BT822" s="417"/>
      <c r="BU822" s="417"/>
      <c r="BV822" s="417"/>
      <c r="BW822" s="122"/>
    </row>
    <row r="823" spans="1:75" s="123" customFormat="1" ht="15" hidden="1" customHeight="1" outlineLevel="2" x14ac:dyDescent="0.5">
      <c r="A823" s="768" t="s">
        <v>1212</v>
      </c>
      <c r="B823" s="769"/>
      <c r="C823" s="770"/>
      <c r="D823" s="770"/>
      <c r="E823" s="770"/>
      <c r="F823" s="770"/>
      <c r="G823" s="771"/>
      <c r="H823" s="771"/>
      <c r="I823" s="771"/>
      <c r="J823" s="771"/>
      <c r="K823" s="770"/>
      <c r="L823" s="771"/>
      <c r="M823" s="771"/>
      <c r="N823" s="771"/>
      <c r="O823" s="771"/>
      <c r="P823" s="770"/>
      <c r="Q823" s="771"/>
      <c r="R823" s="771"/>
      <c r="S823" s="771"/>
      <c r="T823" s="771"/>
      <c r="U823" s="770"/>
      <c r="V823" s="771"/>
      <c r="W823" s="771"/>
      <c r="X823" s="771"/>
      <c r="Y823" s="771"/>
      <c r="Z823" s="770"/>
      <c r="AA823" s="771"/>
      <c r="AB823" s="771"/>
      <c r="AC823" s="771"/>
      <c r="AD823" s="771"/>
      <c r="AE823" s="770"/>
      <c r="AF823" s="771"/>
      <c r="AG823" s="771"/>
      <c r="AH823" s="771"/>
      <c r="AI823" s="771"/>
      <c r="AJ823" s="770"/>
      <c r="AK823" s="771"/>
      <c r="AL823" s="771"/>
      <c r="AM823" s="771"/>
      <c r="AN823" s="771"/>
      <c r="AO823" s="770"/>
      <c r="AP823" s="771"/>
      <c r="AQ823" s="771"/>
      <c r="AR823" s="771"/>
      <c r="AS823" s="771"/>
      <c r="AT823" s="770"/>
      <c r="AU823" s="771"/>
      <c r="AV823" s="771"/>
      <c r="AW823" s="771"/>
      <c r="AX823" s="771"/>
      <c r="AY823" s="770"/>
      <c r="AZ823" s="771"/>
      <c r="BA823" s="771"/>
      <c r="BB823" s="771"/>
      <c r="BC823" s="771"/>
      <c r="BD823" s="770"/>
      <c r="BE823" s="771"/>
      <c r="BF823" s="771"/>
      <c r="BG823" s="771"/>
      <c r="BH823" s="771"/>
      <c r="BI823" s="770"/>
      <c r="BJ823" s="1314"/>
      <c r="BK823" s="771"/>
      <c r="BL823" s="771"/>
      <c r="BM823" s="771"/>
      <c r="BN823" s="770"/>
      <c r="BO823" s="771"/>
      <c r="BP823" s="771"/>
      <c r="BQ823" s="771"/>
      <c r="BR823" s="771"/>
      <c r="BS823" s="770">
        <f ca="1">BS887/(BS888/BS938)/BN819</f>
        <v>0</v>
      </c>
      <c r="BT823" s="770">
        <f ca="1">BT887/(BT888/BT938)/BS819</f>
        <v>0</v>
      </c>
      <c r="BU823" s="770">
        <f ca="1">BU887/(BU888/BU938)/BT819</f>
        <v>0</v>
      </c>
      <c r="BV823" s="770">
        <f ca="1">BV887/(BV888/BV938)/BU819</f>
        <v>0</v>
      </c>
      <c r="BW823" s="122"/>
    </row>
    <row r="824" spans="1:75" s="123" customFormat="1" ht="15" hidden="1" customHeight="1" outlineLevel="1" collapsed="1" x14ac:dyDescent="0.5">
      <c r="A824" s="773" t="s">
        <v>1213</v>
      </c>
      <c r="B824" s="720"/>
      <c r="C824" s="417"/>
      <c r="D824" s="417"/>
      <c r="E824" s="417"/>
      <c r="F824" s="417"/>
      <c r="G824" s="378"/>
      <c r="H824" s="378">
        <f>H819/G819-1</f>
        <v>-1.5106516355116173E-2</v>
      </c>
      <c r="I824" s="378">
        <f>I819/H819-1</f>
        <v>-1.5233881822639961E-2</v>
      </c>
      <c r="J824" s="378">
        <f>J819/I819-1</f>
        <v>-3.496540543976967E-3</v>
      </c>
      <c r="K824" s="417"/>
      <c r="L824" s="378">
        <f>L819/J819-1</f>
        <v>1.4354219608925245E-3</v>
      </c>
      <c r="M824" s="378">
        <f>M819/L819-1</f>
        <v>-8.1754862821710184E-3</v>
      </c>
      <c r="N824" s="378">
        <f>N819/M819-1</f>
        <v>-1.2792515040572106E-2</v>
      </c>
      <c r="O824" s="378">
        <f>O819/N819-1</f>
        <v>-3.556750778039075E-3</v>
      </c>
      <c r="P824" s="417"/>
      <c r="Q824" s="378">
        <f>Q819/O819-1</f>
        <v>-2.6879672655646392E-3</v>
      </c>
      <c r="R824" s="378">
        <f>R819/Q819-1</f>
        <v>-8.5548426520012377E-3</v>
      </c>
      <c r="S824" s="378">
        <f>S819/R819-1</f>
        <v>-9.3550517279330503E-3</v>
      </c>
      <c r="T824" s="378">
        <f>T819/S819-1</f>
        <v>-4.9661148761248608E-3</v>
      </c>
      <c r="U824" s="417"/>
      <c r="V824" s="378">
        <f>V819/T819-1</f>
        <v>-2.3782142179249455E-3</v>
      </c>
      <c r="W824" s="378">
        <f>W819/V819-1</f>
        <v>-6.8494683827643454E-3</v>
      </c>
      <c r="X824" s="378">
        <f>X819/W819-1</f>
        <v>-8.1588496472763117E-3</v>
      </c>
      <c r="Y824" s="378">
        <f>Y819/X819-1</f>
        <v>-7.8283000431749183E-3</v>
      </c>
      <c r="Z824" s="417"/>
      <c r="AA824" s="378">
        <f>AA819/Y819-1</f>
        <v>-5.0615516747781752E-3</v>
      </c>
      <c r="AB824" s="378">
        <f>AB819/AA819-1</f>
        <v>-1.2994486838621921E-2</v>
      </c>
      <c r="AC824" s="378">
        <f>AC819/AB819-1</f>
        <v>-1.4879772372134337E-2</v>
      </c>
      <c r="AD824" s="378">
        <f>AD819/AC819-1</f>
        <v>-8.9017258931318732E-3</v>
      </c>
      <c r="AE824" s="417"/>
      <c r="AF824" s="378">
        <f>AF819/AD819-1</f>
        <v>-6.0196354776295147E-3</v>
      </c>
      <c r="AG824" s="378">
        <f>AG819/AF819-1</f>
        <v>-2.6843863401504353E-2</v>
      </c>
      <c r="AH824" s="378">
        <f>AH819/AG819-1</f>
        <v>-8.7173408406183706E-3</v>
      </c>
      <c r="AI824" s="378">
        <f>AI819/AH819-1</f>
        <v>-1.8297999551580624E-2</v>
      </c>
      <c r="AJ824" s="417"/>
      <c r="AK824" s="378">
        <f>AK819/AI819-1</f>
        <v>-6.3441310443668186E-5</v>
      </c>
      <c r="AL824" s="378">
        <f>AL819/AK819-1</f>
        <v>-7.6768855953710524E-3</v>
      </c>
      <c r="AM824" s="378">
        <f>AM819/AL819-1</f>
        <v>-7.5572548367710546E-3</v>
      </c>
      <c r="AN824" s="378">
        <f>AN819/AM819-1</f>
        <v>-6.1201875998556643E-3</v>
      </c>
      <c r="AO824" s="417"/>
      <c r="AP824" s="378">
        <f>AP819/AN819-1</f>
        <v>8.063575197376105E-3</v>
      </c>
      <c r="AQ824" s="378">
        <f>AQ819/AP819-1</f>
        <v>4.7582916446975432E-4</v>
      </c>
      <c r="AR824" s="378">
        <f>AR819/AQ819-1</f>
        <v>-1.4126690318268298E-2</v>
      </c>
      <c r="AS824" s="378">
        <f>AS819/AR819-1</f>
        <v>-4.6546801048280573E-3</v>
      </c>
      <c r="AT824" s="417"/>
      <c r="AU824" s="378">
        <f>AU819/AS819-1</f>
        <v>-1.4474718365208306E-2</v>
      </c>
      <c r="AV824" s="378">
        <f>AV819/AU819-1</f>
        <v>-1.0752974014753724E-2</v>
      </c>
      <c r="AW824" s="378">
        <f>AW819/AV819-1</f>
        <v>-1.4779781259237512E-2</v>
      </c>
      <c r="AX824" s="378">
        <f>AX819/AW819-1</f>
        <v>-1.8329105637836407E-2</v>
      </c>
      <c r="AY824" s="417"/>
      <c r="AZ824" s="378">
        <f>AZ819/AX819-1</f>
        <v>-3.8384596149037331E-2</v>
      </c>
      <c r="BA824" s="378">
        <f>BA819/AZ819-1</f>
        <v>-3.1234198702668192E-2</v>
      </c>
      <c r="BB824" s="378">
        <f>BB819/BA819-1</f>
        <v>-7.4712557973067861E-3</v>
      </c>
      <c r="BC824" s="378">
        <f>BC819/BB819-1</f>
        <v>-4.9582306629003536E-3</v>
      </c>
      <c r="BD824" s="417"/>
      <c r="BE824" s="378">
        <f>BE819/BC819-1</f>
        <v>-3.0260018723764159E-2</v>
      </c>
      <c r="BF824" s="378">
        <f>BF819/BE819-1</f>
        <v>-1.1989660863878093E-3</v>
      </c>
      <c r="BG824" s="378">
        <f>BG819/BF819-1</f>
        <v>-1.5589679632066478E-4</v>
      </c>
      <c r="BH824" s="378">
        <f>BH819/BG819-1</f>
        <v>2.494737662741553E-4</v>
      </c>
      <c r="BI824" s="417"/>
      <c r="BJ824" s="1130">
        <f>BJ819/BH819-1</f>
        <v>2.8994092064038579E-3</v>
      </c>
      <c r="BK824" s="378">
        <f ca="1">BK819/BJ819-1</f>
        <v>0</v>
      </c>
      <c r="BL824" s="378">
        <f ca="1">BL819/BK819-1</f>
        <v>0</v>
      </c>
      <c r="BM824" s="378">
        <f ca="1">BM819/BL819-1</f>
        <v>0</v>
      </c>
      <c r="BN824" s="417"/>
      <c r="BO824" s="378">
        <f ca="1">BO819/BM819-1</f>
        <v>0</v>
      </c>
      <c r="BP824" s="378">
        <f ca="1">BP819/BO819-1</f>
        <v>0</v>
      </c>
      <c r="BQ824" s="378">
        <f ca="1">BQ819/BP819-1</f>
        <v>0</v>
      </c>
      <c r="BR824" s="378">
        <f ca="1">BR819/BQ819-1</f>
        <v>0</v>
      </c>
      <c r="BS824" s="417"/>
      <c r="BT824" s="417"/>
      <c r="BU824" s="417"/>
      <c r="BV824" s="417"/>
      <c r="BW824" s="122"/>
    </row>
    <row r="825" spans="1:75" s="123" customFormat="1" ht="15" hidden="1" customHeight="1" outlineLevel="1" x14ac:dyDescent="0.5">
      <c r="A825" s="773" t="s">
        <v>1214</v>
      </c>
      <c r="B825" s="720"/>
      <c r="C825" s="417"/>
      <c r="D825" s="417">
        <f>D819/C819-1</f>
        <v>-1.9390063760961862E-2</v>
      </c>
      <c r="E825" s="417">
        <f>E819/D819-1</f>
        <v>-4.2302265273434614E-2</v>
      </c>
      <c r="F825" s="417">
        <f>F819/E819-1</f>
        <v>-2.7048013459298526E-2</v>
      </c>
      <c r="G825" s="378"/>
      <c r="H825" s="378"/>
      <c r="I825" s="378"/>
      <c r="J825" s="378"/>
      <c r="K825" s="417">
        <f t="shared" ref="K825:BN825" si="1053">K819/F819-1</f>
        <v>-3.7704381279800137E-2</v>
      </c>
      <c r="L825" s="378">
        <f t="shared" si="1053"/>
        <v>-3.2114192931794627E-2</v>
      </c>
      <c r="M825" s="378">
        <f t="shared" si="1053"/>
        <v>-2.5302851657467151E-2</v>
      </c>
      <c r="N825" s="378">
        <f t="shared" si="1053"/>
        <v>-2.2886447196940107E-2</v>
      </c>
      <c r="O825" s="378">
        <f t="shared" si="1053"/>
        <v>-2.2945485863751891E-2</v>
      </c>
      <c r="P825" s="417">
        <f t="shared" si="1053"/>
        <v>-2.2945485863751891E-2</v>
      </c>
      <c r="Q825" s="378">
        <f t="shared" si="1053"/>
        <v>-2.6968487216512238E-2</v>
      </c>
      <c r="R825" s="378">
        <f t="shared" si="1053"/>
        <v>-2.7340655576251982E-2</v>
      </c>
      <c r="S825" s="378">
        <f t="shared" si="1053"/>
        <v>-2.395384898990438E-2</v>
      </c>
      <c r="T825" s="378">
        <f t="shared" si="1053"/>
        <v>-2.5334363539410876E-2</v>
      </c>
      <c r="U825" s="417">
        <f t="shared" si="1053"/>
        <v>-2.5334363539410876E-2</v>
      </c>
      <c r="V825" s="378">
        <f t="shared" si="1053"/>
        <v>-2.5031644188381219E-2</v>
      </c>
      <c r="W825" s="378">
        <f t="shared" si="1053"/>
        <v>-2.335461149020468E-2</v>
      </c>
      <c r="X825" s="378">
        <f t="shared" si="1053"/>
        <v>-2.2175313854016276E-2</v>
      </c>
      <c r="Y825" s="378">
        <f t="shared" si="1053"/>
        <v>-2.4987997275660701E-2</v>
      </c>
      <c r="Z825" s="417">
        <f t="shared" si="1053"/>
        <v>-2.4987997275660701E-2</v>
      </c>
      <c r="AA825" s="378">
        <f t="shared" si="1053"/>
        <v>-2.7610520425293772E-2</v>
      </c>
      <c r="AB825" s="378">
        <f t="shared" si="1053"/>
        <v>-3.3627081971646766E-2</v>
      </c>
      <c r="AC825" s="378">
        <f t="shared" si="1053"/>
        <v>-4.0175426636671507E-2</v>
      </c>
      <c r="AD825" s="378">
        <f t="shared" si="1053"/>
        <v>-4.1213856283996653E-2</v>
      </c>
      <c r="AE825" s="417">
        <f t="shared" si="1053"/>
        <v>-4.1213856283996653E-2</v>
      </c>
      <c r="AF825" s="378">
        <f t="shared" si="1053"/>
        <v>-4.2137126940828495E-2</v>
      </c>
      <c r="AG825" s="378">
        <f t="shared" si="1053"/>
        <v>-5.5577582386827529E-2</v>
      </c>
      <c r="AH825" s="378">
        <f t="shared" si="1053"/>
        <v>-4.9669736499443617E-2</v>
      </c>
      <c r="AI825" s="378">
        <f t="shared" si="1053"/>
        <v>-5.8679502185700949E-2</v>
      </c>
      <c r="AJ825" s="417">
        <f t="shared" si="1053"/>
        <v>-5.8679502185700949E-2</v>
      </c>
      <c r="AK825" s="378">
        <f t="shared" si="1053"/>
        <v>-5.3038859916848757E-2</v>
      </c>
      <c r="AL825" s="378">
        <f t="shared" si="1053"/>
        <v>-3.4387810539832975E-2</v>
      </c>
      <c r="AM825" s="378">
        <f t="shared" si="1053"/>
        <v>-3.3257766373533282E-2</v>
      </c>
      <c r="AN825" s="378">
        <f t="shared" si="1053"/>
        <v>-2.1265527260731165E-2</v>
      </c>
      <c r="AO825" s="417">
        <f t="shared" si="1053"/>
        <v>-2.1265527260731165E-2</v>
      </c>
      <c r="AP825" s="378">
        <f t="shared" si="1053"/>
        <v>-1.3310831387676414E-2</v>
      </c>
      <c r="AQ825" s="378">
        <f t="shared" si="1053"/>
        <v>-5.2044039231231576E-3</v>
      </c>
      <c r="AR825" s="378">
        <f t="shared" si="1053"/>
        <v>-1.1789414008142929E-2</v>
      </c>
      <c r="AS825" s="378">
        <f t="shared" si="1053"/>
        <v>-1.0332265968342025E-2</v>
      </c>
      <c r="AT825" s="417">
        <f t="shared" si="1053"/>
        <v>-1.0332265968342025E-2</v>
      </c>
      <c r="AU825" s="378">
        <f t="shared" si="1053"/>
        <v>-3.245926516544706E-2</v>
      </c>
      <c r="AV825" s="378">
        <f t="shared" si="1053"/>
        <v>-4.3318422541004709E-2</v>
      </c>
      <c r="AW825" s="378">
        <f t="shared" si="1053"/>
        <v>-4.3952175443628949E-2</v>
      </c>
      <c r="AX825" s="378">
        <f t="shared" si="1053"/>
        <v>-5.708671731726489E-2</v>
      </c>
      <c r="AY825" s="417">
        <f t="shared" si="1053"/>
        <v>-5.708671731726489E-2</v>
      </c>
      <c r="AZ825" s="378">
        <f t="shared" si="1053"/>
        <v>-7.9962783279059035E-2</v>
      </c>
      <c r="BA825" s="378">
        <f t="shared" si="1053"/>
        <v>-9.9011098272109188E-2</v>
      </c>
      <c r="BB825" s="378">
        <f t="shared" si="1053"/>
        <v>-9.2327414559637777E-2</v>
      </c>
      <c r="BC825" s="378">
        <f t="shared" si="1053"/>
        <v>-7.9964435553332769E-2</v>
      </c>
      <c r="BD825" s="417">
        <f t="shared" si="1053"/>
        <v>-7.9964435553332769E-2</v>
      </c>
      <c r="BE825" s="378">
        <f t="shared" si="1053"/>
        <v>-7.2191161386324532E-2</v>
      </c>
      <c r="BF825" s="378">
        <f t="shared" si="1053"/>
        <v>-4.3425742278956792E-2</v>
      </c>
      <c r="BG825" s="378">
        <f t="shared" si="1053"/>
        <v>-3.6375383136005635E-2</v>
      </c>
      <c r="BH825" s="378">
        <f t="shared" si="1053"/>
        <v>-3.133210521547436E-2</v>
      </c>
      <c r="BI825" s="417">
        <f t="shared" si="1053"/>
        <v>-3.133210521547436E-2</v>
      </c>
      <c r="BJ825" s="1130">
        <f>BJ819/BE819-1</f>
        <v>1.7906636355145E-3</v>
      </c>
      <c r="BK825" s="378">
        <f t="shared" ca="1" si="1053"/>
        <v>2.9932184893601832E-3</v>
      </c>
      <c r="BL825" s="378">
        <f t="shared" ca="1" si="1053"/>
        <v>3.1496062992124596E-3</v>
      </c>
      <c r="BM825" s="378">
        <f t="shared" ca="1" si="1053"/>
        <v>2.8994092064038579E-3</v>
      </c>
      <c r="BN825" s="417">
        <f t="shared" ca="1" si="1053"/>
        <v>2.8994092064038579E-3</v>
      </c>
      <c r="BO825" s="378">
        <f ca="1">BO819/BJ819-1</f>
        <v>0</v>
      </c>
      <c r="BP825" s="378">
        <f ca="1">BP819/BK819-1</f>
        <v>0</v>
      </c>
      <c r="BQ825" s="378">
        <f ca="1">BQ819/BL819-1</f>
        <v>0</v>
      </c>
      <c r="BR825" s="378">
        <f ca="1">BR819/BM819-1</f>
        <v>0</v>
      </c>
      <c r="BS825" s="417">
        <f ca="1">BS819/BN819-1</f>
        <v>0</v>
      </c>
      <c r="BT825" s="417">
        <f ca="1">BT819/BS819-1</f>
        <v>0</v>
      </c>
      <c r="BU825" s="417">
        <f ca="1">BU819/BT819-1</f>
        <v>0</v>
      </c>
      <c r="BV825" s="417">
        <f ca="1">BV819/BU819-1</f>
        <v>0</v>
      </c>
      <c r="BW825" s="122"/>
    </row>
    <row r="826" spans="1:75" s="123" customFormat="1" ht="15" hidden="1" customHeight="1" outlineLevel="1" x14ac:dyDescent="0.5">
      <c r="A826" s="588"/>
      <c r="B826" s="513"/>
      <c r="C826" s="401"/>
      <c r="D826" s="401"/>
      <c r="E826" s="401"/>
      <c r="F826" s="401"/>
      <c r="G826" s="118"/>
      <c r="H826" s="118"/>
      <c r="I826" s="118"/>
      <c r="J826" s="118"/>
      <c r="K826" s="401"/>
      <c r="L826" s="118"/>
      <c r="M826" s="118"/>
      <c r="N826" s="118"/>
      <c r="O826" s="118"/>
      <c r="P826" s="401"/>
      <c r="Q826" s="118"/>
      <c r="R826" s="118"/>
      <c r="S826" s="118"/>
      <c r="T826" s="118"/>
      <c r="U826" s="401"/>
      <c r="V826" s="118"/>
      <c r="W826" s="118"/>
      <c r="X826" s="118"/>
      <c r="Y826" s="118"/>
      <c r="Z826" s="401"/>
      <c r="AA826" s="118"/>
      <c r="AB826" s="118"/>
      <c r="AC826" s="118"/>
      <c r="AD826" s="118"/>
      <c r="AE826" s="401"/>
      <c r="AF826" s="118"/>
      <c r="AG826" s="118"/>
      <c r="AH826" s="118"/>
      <c r="AI826" s="118"/>
      <c r="AJ826" s="401"/>
      <c r="AK826" s="118"/>
      <c r="AL826" s="118"/>
      <c r="AM826" s="118"/>
      <c r="AN826" s="118"/>
      <c r="AO826" s="401"/>
      <c r="AP826" s="118"/>
      <c r="AQ826" s="118"/>
      <c r="AR826" s="118"/>
      <c r="AS826" s="118"/>
      <c r="AT826" s="401"/>
      <c r="AU826" s="118"/>
      <c r="AV826" s="118"/>
      <c r="AW826" s="118"/>
      <c r="AX826" s="118"/>
      <c r="AY826" s="401"/>
      <c r="AZ826" s="118"/>
      <c r="BA826" s="118"/>
      <c r="BB826" s="118"/>
      <c r="BC826" s="118"/>
      <c r="BD826" s="401"/>
      <c r="BE826" s="118"/>
      <c r="BF826" s="118"/>
      <c r="BG826" s="118"/>
      <c r="BH826" s="118"/>
      <c r="BI826" s="401"/>
      <c r="BJ826" s="971"/>
      <c r="BK826" s="118"/>
      <c r="BL826" s="118"/>
      <c r="BM826" s="118"/>
      <c r="BN826" s="401"/>
      <c r="BO826" s="118"/>
      <c r="BP826" s="118"/>
      <c r="BQ826" s="118"/>
      <c r="BR826" s="118"/>
      <c r="BS826" s="401"/>
      <c r="BT826" s="401"/>
      <c r="BU826" s="401"/>
      <c r="BV826" s="401"/>
      <c r="BW826" s="122"/>
    </row>
    <row r="827" spans="1:75" s="123" customFormat="1" ht="15" hidden="1" customHeight="1" outlineLevel="1" x14ac:dyDescent="0.5">
      <c r="A827" s="588" t="s">
        <v>1243</v>
      </c>
      <c r="B827" s="513"/>
      <c r="C827" s="403">
        <v>107.45215</v>
      </c>
      <c r="D827" s="403">
        <v>104.98087599999999</v>
      </c>
      <c r="E827" s="403">
        <v>99.584007</v>
      </c>
      <c r="F827" s="403">
        <v>97.696301000000005</v>
      </c>
      <c r="G827" s="302">
        <v>97.183888999999994</v>
      </c>
      <c r="H827" s="302">
        <v>95.704002000000003</v>
      </c>
      <c r="I827" s="302">
        <v>94.296474000000003</v>
      </c>
      <c r="J827" s="118">
        <f>K827</f>
        <v>94.125832000000003</v>
      </c>
      <c r="K827" s="403">
        <v>94.125832000000003</v>
      </c>
      <c r="L827" s="302">
        <v>94.115303999999995</v>
      </c>
      <c r="M827" s="302">
        <v>93.299192000000005</v>
      </c>
      <c r="N827" s="302">
        <v>92.089110000000005</v>
      </c>
      <c r="O827" s="118">
        <f>P827</f>
        <v>91.64237</v>
      </c>
      <c r="P827" s="403">
        <v>91.64237</v>
      </c>
      <c r="Q827" s="302">
        <v>91.553769000000003</v>
      </c>
      <c r="R827" s="302">
        <v>90.742939000000007</v>
      </c>
      <c r="S827" s="302">
        <v>89.843783000000002</v>
      </c>
      <c r="T827" s="118">
        <f>U827</f>
        <v>89.158789999999996</v>
      </c>
      <c r="U827" s="403">
        <v>89.158789999999996</v>
      </c>
      <c r="V827" s="302">
        <v>89.154535999999993</v>
      </c>
      <c r="W827" s="302">
        <v>88.528171999999998</v>
      </c>
      <c r="X827" s="302">
        <v>87.845737999999997</v>
      </c>
      <c r="Y827" s="118">
        <f>Z827</f>
        <v>86.840277999999998</v>
      </c>
      <c r="Z827" s="403">
        <v>86.840277999999998</v>
      </c>
      <c r="AA827" s="302">
        <v>86.636792999999997</v>
      </c>
      <c r="AB827" s="302">
        <v>85.103702999999996</v>
      </c>
      <c r="AC827" s="302">
        <v>84.175179999999997</v>
      </c>
      <c r="AD827" s="118">
        <f>AE827</f>
        <v>83.310319000000007</v>
      </c>
      <c r="AE827" s="403">
        <v>83.310319000000007</v>
      </c>
      <c r="AF827" s="302">
        <v>83.104613000000001</v>
      </c>
      <c r="AG827" s="302">
        <v>80.554866000000004</v>
      </c>
      <c r="AH827" s="302">
        <v>80.155276000000001</v>
      </c>
      <c r="AI827" s="118">
        <f>AJ827</f>
        <v>78.563968000000003</v>
      </c>
      <c r="AJ827" s="403">
        <v>78.563968000000003</v>
      </c>
      <c r="AK827" s="302">
        <v>78.603365999999994</v>
      </c>
      <c r="AL827" s="302">
        <v>78.022212999999994</v>
      </c>
      <c r="AM827" s="302">
        <v>77.467381000000003</v>
      </c>
      <c r="AN827" s="118">
        <f>AO827</f>
        <v>77.197681000000003</v>
      </c>
      <c r="AO827" s="403">
        <v>77.197681000000003</v>
      </c>
      <c r="AP827" s="302">
        <v>77.758981000000006</v>
      </c>
      <c r="AQ827" s="302">
        <v>77.799853999999996</v>
      </c>
      <c r="AR827" s="302">
        <v>76.587716</v>
      </c>
      <c r="AS827" s="118">
        <f>AT827</f>
        <v>76.192972999999995</v>
      </c>
      <c r="AT827" s="403">
        <v>76.192972999999995</v>
      </c>
      <c r="AU827" s="302">
        <v>75.119077000000004</v>
      </c>
      <c r="AV827" s="302">
        <v>74.365545999999995</v>
      </c>
      <c r="AW827" s="302">
        <v>72.954519000000005</v>
      </c>
      <c r="AX827" s="118">
        <f>AY827</f>
        <v>71.558874000000003</v>
      </c>
      <c r="AY827" s="403">
        <v>71.558874000000003</v>
      </c>
      <c r="AZ827" s="302">
        <v>68.763017000000005</v>
      </c>
      <c r="BA827" s="302">
        <v>66.711363000000006</v>
      </c>
      <c r="BB827" s="302">
        <v>66.567436000000001</v>
      </c>
      <c r="BC827" s="118">
        <f>BD827</f>
        <v>66.228239000000002</v>
      </c>
      <c r="BD827" s="403">
        <v>66.228239000000002</v>
      </c>
      <c r="BE827" s="302">
        <v>64.222369999999998</v>
      </c>
      <c r="BF827" s="302">
        <v>64.144949999999994</v>
      </c>
      <c r="BG827" s="302">
        <v>64.144519000000003</v>
      </c>
      <c r="BH827" s="118">
        <f t="shared" ref="BH827:BH828" si="1054">BI827</f>
        <v>64.112264999999994</v>
      </c>
      <c r="BI827" s="403">
        <v>64.112264999999994</v>
      </c>
      <c r="BJ827" s="1207">
        <v>64.308082999999996</v>
      </c>
      <c r="BK827" s="118"/>
      <c r="BL827" s="118"/>
      <c r="BM827" s="118"/>
      <c r="BN827" s="401"/>
      <c r="BO827" s="118"/>
      <c r="BP827" s="118"/>
      <c r="BQ827" s="118"/>
      <c r="BR827" s="118"/>
      <c r="BS827" s="401"/>
      <c r="BT827" s="401"/>
      <c r="BU827" s="401"/>
      <c r="BV827" s="401"/>
      <c r="BW827" s="122"/>
    </row>
    <row r="828" spans="1:75" s="123" customFormat="1" ht="15" hidden="1" customHeight="1" outlineLevel="1" x14ac:dyDescent="0.5">
      <c r="A828" s="588" t="s">
        <v>1244</v>
      </c>
      <c r="B828" s="513"/>
      <c r="C828" s="818">
        <v>40266</v>
      </c>
      <c r="D828" s="818">
        <v>40630</v>
      </c>
      <c r="E828" s="818">
        <v>40994</v>
      </c>
      <c r="F828" s="818">
        <v>41365</v>
      </c>
      <c r="G828" s="819">
        <v>41427</v>
      </c>
      <c r="H828" s="819">
        <v>41518</v>
      </c>
      <c r="I828" s="819">
        <v>41609</v>
      </c>
      <c r="J828" s="780">
        <f>K828</f>
        <v>41729</v>
      </c>
      <c r="K828" s="818">
        <v>41729</v>
      </c>
      <c r="L828" s="819">
        <v>41791</v>
      </c>
      <c r="M828" s="819">
        <v>41882</v>
      </c>
      <c r="N828" s="819">
        <v>41973</v>
      </c>
      <c r="O828" s="780">
        <f>P828</f>
        <v>42093</v>
      </c>
      <c r="P828" s="818">
        <v>42093</v>
      </c>
      <c r="Q828" s="819">
        <v>42155</v>
      </c>
      <c r="R828" s="819">
        <v>42246</v>
      </c>
      <c r="S828" s="819">
        <v>42337</v>
      </c>
      <c r="T828" s="780">
        <f>U828</f>
        <v>42456</v>
      </c>
      <c r="U828" s="818">
        <v>42456</v>
      </c>
      <c r="V828" s="819">
        <v>42519</v>
      </c>
      <c r="W828" s="819">
        <v>42610</v>
      </c>
      <c r="X828" s="819">
        <v>42701</v>
      </c>
      <c r="Y828" s="780">
        <f>Z828</f>
        <v>42820</v>
      </c>
      <c r="Z828" s="818">
        <v>42820</v>
      </c>
      <c r="AA828" s="819">
        <v>42883</v>
      </c>
      <c r="AB828" s="819">
        <v>42974</v>
      </c>
      <c r="AC828" s="819">
        <v>43065</v>
      </c>
      <c r="AD828" s="780">
        <f>AE828</f>
        <v>43184</v>
      </c>
      <c r="AE828" s="818">
        <v>43184</v>
      </c>
      <c r="AF828" s="819">
        <v>43247</v>
      </c>
      <c r="AG828" s="819">
        <v>43338</v>
      </c>
      <c r="AH828" s="819">
        <v>43429</v>
      </c>
      <c r="AI828" s="780">
        <f>AJ828</f>
        <v>43555</v>
      </c>
      <c r="AJ828" s="818">
        <v>43555</v>
      </c>
      <c r="AK828" s="819">
        <v>43618</v>
      </c>
      <c r="AL828" s="819">
        <v>43709</v>
      </c>
      <c r="AM828" s="819">
        <v>43800</v>
      </c>
      <c r="AN828" s="780">
        <f>AO828</f>
        <v>43912</v>
      </c>
      <c r="AO828" s="818">
        <v>43912</v>
      </c>
      <c r="AP828" s="819">
        <v>43982</v>
      </c>
      <c r="AQ828" s="819">
        <v>44073</v>
      </c>
      <c r="AR828" s="819">
        <v>44164</v>
      </c>
      <c r="AS828" s="780">
        <f>AT828</f>
        <v>44276</v>
      </c>
      <c r="AT828" s="818">
        <v>44276</v>
      </c>
      <c r="AU828" s="819">
        <v>44346</v>
      </c>
      <c r="AV828" s="819">
        <v>44437</v>
      </c>
      <c r="AW828" s="819">
        <v>44528</v>
      </c>
      <c r="AX828" s="780">
        <f>AY828</f>
        <v>44640</v>
      </c>
      <c r="AY828" s="818">
        <v>44640</v>
      </c>
      <c r="AZ828" s="819">
        <v>44710</v>
      </c>
      <c r="BA828" s="819">
        <v>44801</v>
      </c>
      <c r="BB828" s="819">
        <v>44892</v>
      </c>
      <c r="BC828" s="780">
        <f>BD828</f>
        <v>45004</v>
      </c>
      <c r="BD828" s="818">
        <v>45004</v>
      </c>
      <c r="BE828" s="819">
        <v>45067</v>
      </c>
      <c r="BF828" s="819">
        <v>45165</v>
      </c>
      <c r="BG828" s="819">
        <v>45256</v>
      </c>
      <c r="BH828" s="780">
        <f t="shared" si="1054"/>
        <v>45368</v>
      </c>
      <c r="BI828" s="818">
        <v>45368</v>
      </c>
      <c r="BJ828" s="1315">
        <v>45431</v>
      </c>
      <c r="BK828" s="780"/>
      <c r="BL828" s="780"/>
      <c r="BM828" s="780"/>
      <c r="BN828" s="779"/>
      <c r="BO828" s="780"/>
      <c r="BP828" s="780"/>
      <c r="BQ828" s="780"/>
      <c r="BR828" s="780"/>
      <c r="BS828" s="779"/>
      <c r="BT828" s="779"/>
      <c r="BU828" s="779"/>
      <c r="BV828" s="779"/>
      <c r="BW828" s="122"/>
    </row>
    <row r="829" spans="1:75" s="123" customFormat="1" ht="15" hidden="1" customHeight="1" outlineLevel="1" x14ac:dyDescent="0.5">
      <c r="A829" s="588"/>
      <c r="B829" s="513"/>
      <c r="C829" s="779"/>
      <c r="D829" s="779"/>
      <c r="E829" s="779"/>
      <c r="F829" s="779"/>
      <c r="G829" s="780"/>
      <c r="H829" s="780"/>
      <c r="I829" s="780"/>
      <c r="J829" s="780"/>
      <c r="K829" s="779"/>
      <c r="L829" s="780"/>
      <c r="M829" s="780"/>
      <c r="N829" s="780"/>
      <c r="O829" s="780"/>
      <c r="P829" s="779"/>
      <c r="Q829" s="780"/>
      <c r="R829" s="780"/>
      <c r="S829" s="780"/>
      <c r="T829" s="780"/>
      <c r="U829" s="779"/>
      <c r="V829" s="780"/>
      <c r="W829" s="780"/>
      <c r="X829" s="780"/>
      <c r="Y829" s="780"/>
      <c r="Z829" s="779"/>
      <c r="AA829" s="780"/>
      <c r="AB829" s="780"/>
      <c r="AC829" s="780"/>
      <c r="AD829" s="780"/>
      <c r="AE829" s="779"/>
      <c r="AF829" s="780"/>
      <c r="AG829" s="780"/>
      <c r="AH829" s="780"/>
      <c r="AI829" s="780"/>
      <c r="AJ829" s="779"/>
      <c r="AK829" s="780"/>
      <c r="AL829" s="780"/>
      <c r="AM829" s="780"/>
      <c r="AN829" s="780"/>
      <c r="AO829" s="779"/>
      <c r="AP829" s="780"/>
      <c r="AQ829" s="780"/>
      <c r="AR829" s="780"/>
      <c r="AS829" s="780"/>
      <c r="AT829" s="779"/>
      <c r="AU829" s="780"/>
      <c r="AV829" s="780"/>
      <c r="AW829" s="780"/>
      <c r="AX829" s="780"/>
      <c r="AY829" s="779"/>
      <c r="AZ829" s="780"/>
      <c r="BA829" s="780"/>
      <c r="BB829" s="780"/>
      <c r="BC829" s="780"/>
      <c r="BD829" s="779"/>
      <c r="BE829" s="780"/>
      <c r="BF829" s="780"/>
      <c r="BG829" s="780"/>
      <c r="BH829" s="780"/>
      <c r="BI829" s="779"/>
      <c r="BJ829" s="1316"/>
      <c r="BK829" s="780"/>
      <c r="BL829" s="780"/>
      <c r="BM829" s="780"/>
      <c r="BN829" s="779"/>
      <c r="BO829" s="780"/>
      <c r="BP829" s="780"/>
      <c r="BQ829" s="780"/>
      <c r="BR829" s="780"/>
      <c r="BS829" s="779"/>
      <c r="BT829" s="779"/>
      <c r="BU829" s="779"/>
      <c r="BV829" s="779"/>
      <c r="BW829" s="122"/>
    </row>
    <row r="830" spans="1:75" s="123" customFormat="1" ht="15" hidden="1" customHeight="1" outlineLevel="1" x14ac:dyDescent="0.5">
      <c r="A830" s="588" t="s">
        <v>1215</v>
      </c>
      <c r="B830" s="513"/>
      <c r="C830" s="401">
        <f>C815-C814</f>
        <v>1.6099999999999994</v>
      </c>
      <c r="D830" s="401">
        <f t="shared" ref="D830:J830" si="1055">IF(D801&gt;0,(D815-D814),C830)</f>
        <v>2.5660000000000025</v>
      </c>
      <c r="E830" s="401">
        <f t="shared" si="1055"/>
        <v>2.2299999999999898</v>
      </c>
      <c r="F830" s="401">
        <f t="shared" si="1055"/>
        <v>1.7849999999999966</v>
      </c>
      <c r="G830" s="118">
        <f t="shared" si="1055"/>
        <v>1.811000000000007</v>
      </c>
      <c r="H830" s="118">
        <f t="shared" si="1055"/>
        <v>2.0649999999999977</v>
      </c>
      <c r="I830" s="118">
        <f t="shared" si="1055"/>
        <v>2.4099999999999966</v>
      </c>
      <c r="J830" s="118">
        <f t="shared" si="1055"/>
        <v>2.7019999999999982</v>
      </c>
      <c r="K830" s="401">
        <f>J830</f>
        <v>2.7019999999999982</v>
      </c>
      <c r="L830" s="118">
        <f>IF(L801&gt;0,(L815-L814),K830)</f>
        <v>1.625</v>
      </c>
      <c r="M830" s="118">
        <f>IF(M801&gt;0,(M815-M814),L830)</f>
        <v>1.8599999999999994</v>
      </c>
      <c r="N830" s="118">
        <f>IF(N801&gt;0,(N815-N814),M830)</f>
        <v>1.8530000000000086</v>
      </c>
      <c r="O830" s="118">
        <f>IF(O801&gt;0,(O815-O814),N830)</f>
        <v>1.554000000000002</v>
      </c>
      <c r="P830" s="401">
        <f>O830</f>
        <v>1.554000000000002</v>
      </c>
      <c r="Q830" s="118">
        <f>IF(Q801&gt;0,(Q815-Q814),P830)</f>
        <v>1.5930000000000035</v>
      </c>
      <c r="R830" s="118">
        <f>IF(R801&gt;0,(R815-R814),Q830)</f>
        <v>1.320999999999998</v>
      </c>
      <c r="S830" s="118">
        <f>IF(S801&gt;0,(S815-S814),R830)</f>
        <v>1.3640000000000043</v>
      </c>
      <c r="T830" s="118">
        <f>IF(T801&gt;0,(T815-T814),S830)</f>
        <v>1.2279999999999944</v>
      </c>
      <c r="U830" s="401">
        <f>T830</f>
        <v>1.2279999999999944</v>
      </c>
      <c r="V830" s="118">
        <f>IF(V801&gt;0,(V815-V814),U830)</f>
        <v>1.215999999999994</v>
      </c>
      <c r="W830" s="118">
        <f>IF(W801&gt;0,(W815-W814),V830)</f>
        <v>0.69700000000000273</v>
      </c>
      <c r="X830" s="118">
        <f>IF(X801&gt;0,(X815-X814),W830)</f>
        <v>0.76200000000000045</v>
      </c>
      <c r="Y830" s="118">
        <f>IF(Y801&gt;0,(Y815-Y814),X830)</f>
        <v>0.96399999999999864</v>
      </c>
      <c r="Z830" s="401">
        <f>Y830</f>
        <v>0.96399999999999864</v>
      </c>
      <c r="AA830" s="118">
        <f>IF(AA801&gt;0,(AA815-AA814),Z830)</f>
        <v>0.74799999999999045</v>
      </c>
      <c r="AB830" s="118">
        <f>IF(AB801&gt;0,(AB815-AB814),AA830)</f>
        <v>0.41899999999999693</v>
      </c>
      <c r="AC830" s="118">
        <f>IF(AC801&gt;0,(AC815-AC814),AB830)</f>
        <v>0.44400000000000261</v>
      </c>
      <c r="AD830" s="118">
        <f>IF(AD801&gt;0,(AD815-AD814),AC830)</f>
        <v>0.69099999999998829</v>
      </c>
      <c r="AE830" s="401">
        <f>AD830</f>
        <v>0.69099999999998829</v>
      </c>
      <c r="AF830" s="118">
        <f>IF(AF801&gt;0,(AF815-AF814),AE830)</f>
        <v>0.78200000000001069</v>
      </c>
      <c r="AG830" s="118">
        <f>IF(AG801&gt;0,(AG815-AG814),AF830)</f>
        <v>0.82500000000000284</v>
      </c>
      <c r="AH830" s="118">
        <f>IF(AH801&gt;0,(AH815-AH814),AG830)</f>
        <v>1.166000000000011</v>
      </c>
      <c r="AI830" s="118">
        <f>IF(AI801&gt;0,(AI815-AI814),AH830)</f>
        <v>1.070999999999998</v>
      </c>
      <c r="AJ830" s="401">
        <f>AI830</f>
        <v>1.070999999999998</v>
      </c>
      <c r="AK830" s="118">
        <f>IF(AK801&gt;0,(AK815-AK814),AJ830)</f>
        <v>1.1839999999999975</v>
      </c>
      <c r="AL830" s="118">
        <f>IF(AL801&gt;0,(AL815-AL814),AK830)</f>
        <v>0.98199999999999932</v>
      </c>
      <c r="AM830" s="118">
        <f>IF(AM801&gt;0,(AM815-AM814),AL830)</f>
        <v>1.2939999999999969</v>
      </c>
      <c r="AN830" s="118">
        <f>IF(AN801&gt;0,(AN815-AN814),AM830)</f>
        <v>1.5480000000000018</v>
      </c>
      <c r="AO830" s="401">
        <f>AN830</f>
        <v>1.5480000000000018</v>
      </c>
      <c r="AP830" s="118">
        <f>IF(AP801&gt;0,(AP815-AP814),AO830)</f>
        <v>1.1370000000000005</v>
      </c>
      <c r="AQ830" s="118">
        <f>IF(AQ801&gt;0,(AQ815-AQ814),AP830)</f>
        <v>1.4809999999999945</v>
      </c>
      <c r="AR830" s="118">
        <f>IF(AR801&gt;0,(AR815-AR814),AQ830)</f>
        <v>1.8449999999999989</v>
      </c>
      <c r="AS830" s="118">
        <f>IF(AS801&gt;0,(AS815-AS814),AR830)</f>
        <v>2.3379999999999939</v>
      </c>
      <c r="AT830" s="401">
        <f>AS830</f>
        <v>2.3379999999999939</v>
      </c>
      <c r="AU830" s="118">
        <f>IF(AU801&gt;0,(AU815-AU814),AT830)</f>
        <v>2.6850000000000023</v>
      </c>
      <c r="AV830" s="118">
        <f>IF(AV801&gt;0,(AV815-AV814),AU830)</f>
        <v>1.7980000000000018</v>
      </c>
      <c r="AW830" s="118">
        <f>IF(AW801&gt;0,(AW815-AW814),AV830)</f>
        <v>1.9329999999999927</v>
      </c>
      <c r="AX830" s="118">
        <f>IF(AX801&gt;0,(AX815-AX814),AW830)</f>
        <v>2.0090000000000003</v>
      </c>
      <c r="AY830" s="401">
        <f>AX830</f>
        <v>2.0090000000000003</v>
      </c>
      <c r="AZ830" s="118">
        <f>IF(AZ801&gt;0,(AZ815-AZ814),AY830)</f>
        <v>1.8010000000000019</v>
      </c>
      <c r="BA830" s="118">
        <f>IF(BA801&gt;0,(BA815-BA814),AZ830)</f>
        <v>0.90099999999999625</v>
      </c>
      <c r="BB830" s="118">
        <f>IF(BB801&gt;0,(BB815-BB814),BA830)</f>
        <v>0.91300000000001091</v>
      </c>
      <c r="BC830" s="118">
        <f>IF(BC801&gt;0,(BC815-BC814),BB830)</f>
        <v>0.85199999999998965</v>
      </c>
      <c r="BD830" s="401">
        <f>BC830</f>
        <v>0.85199999999998965</v>
      </c>
      <c r="BE830" s="118">
        <f>IF(BE801&gt;0,(BE815-BE814),BD830)</f>
        <v>0.8469999999999942</v>
      </c>
      <c r="BF830" s="118">
        <f>IF(BF801&gt;0,(BF815-BF814),BE830)</f>
        <v>0.36299999999999955</v>
      </c>
      <c r="BG830" s="118">
        <f>IF(BG801&gt;0,(BG815-BG814),BF830)</f>
        <v>0.632000000000005</v>
      </c>
      <c r="BH830" s="118">
        <f>IF(BH801&gt;0,(BH815-BH814),BG830)</f>
        <v>1.0040000000000049</v>
      </c>
      <c r="BI830" s="401">
        <f>BH830</f>
        <v>1.0040000000000049</v>
      </c>
      <c r="BJ830" s="971">
        <f>IF(BJ801&gt;0,(BJ815-BJ814),BI830)</f>
        <v>1.1089999999999947</v>
      </c>
      <c r="BK830" s="118">
        <f ca="1">BK819*BK831-BK819</f>
        <v>1.2867399999999947</v>
      </c>
      <c r="BL830" s="118">
        <f ca="1">BL819*BL831-BL819</f>
        <v>1.2867399999999947</v>
      </c>
      <c r="BM830" s="118">
        <f ca="1">BM819*BM831-BM819</f>
        <v>1.2867399999999947</v>
      </c>
      <c r="BN830" s="401">
        <f ca="1">BM830</f>
        <v>1.2867399999999947</v>
      </c>
      <c r="BO830" s="118">
        <f ca="1">BO819*BO831-BO819</f>
        <v>1.2867399999999947</v>
      </c>
      <c r="BP830" s="118">
        <f ca="1">BP819*BP831-BP819</f>
        <v>1.2867399999999947</v>
      </c>
      <c r="BQ830" s="118">
        <f ca="1">BQ819*BQ831-BQ819</f>
        <v>1.2867399999999947</v>
      </c>
      <c r="BR830" s="118">
        <f ca="1">BR819*BR831-BR819</f>
        <v>1.2867399999999947</v>
      </c>
      <c r="BS830" s="401">
        <f ca="1">BR830</f>
        <v>1.2867399999999947</v>
      </c>
      <c r="BT830" s="401">
        <f ca="1">BT819*BT831-BT819</f>
        <v>1.2867399999999947</v>
      </c>
      <c r="BU830" s="401">
        <f ca="1">BU819*BU831-BU819</f>
        <v>1.2867399999999947</v>
      </c>
      <c r="BV830" s="401">
        <f ca="1">BV819*BV831-BV819</f>
        <v>1.2867399999999947</v>
      </c>
      <c r="BW830" s="122"/>
    </row>
    <row r="831" spans="1:75" s="123" customFormat="1" ht="15" hidden="1" customHeight="1" outlineLevel="1" x14ac:dyDescent="0.5">
      <c r="A831" s="765" t="s">
        <v>1216</v>
      </c>
      <c r="B831" s="720"/>
      <c r="C831" s="1317">
        <f t="shared" ref="C831:BF831" si="1056">(C830+C819)/C819</f>
        <v>1.0150520745685383</v>
      </c>
      <c r="D831" s="1317">
        <f t="shared" si="1056"/>
        <v>1.0244641903744947</v>
      </c>
      <c r="E831" s="1317">
        <f t="shared" si="1056"/>
        <v>1.0221998785477495</v>
      </c>
      <c r="F831" s="1317">
        <f t="shared" si="1056"/>
        <v>1.0182638590459818</v>
      </c>
      <c r="G831" s="1318">
        <f t="shared" si="1056"/>
        <v>1.0186108170878336</v>
      </c>
      <c r="H831" s="1318">
        <f t="shared" si="1056"/>
        <v>1.0215465520299669</v>
      </c>
      <c r="I831" s="1318">
        <f t="shared" si="1056"/>
        <v>1.0255353415484376</v>
      </c>
      <c r="J831" s="1318">
        <f t="shared" si="1056"/>
        <v>1.0287297047283863</v>
      </c>
      <c r="K831" s="1317">
        <f t="shared" si="1056"/>
        <v>1.0287297047283863</v>
      </c>
      <c r="L831" s="1318">
        <f t="shared" si="1056"/>
        <v>1.0172534613097766</v>
      </c>
      <c r="M831" s="1318">
        <f t="shared" si="1056"/>
        <v>1.019911362322564</v>
      </c>
      <c r="N831" s="1318">
        <f t="shared" si="1056"/>
        <v>1.0200934731454474</v>
      </c>
      <c r="O831" s="1318">
        <f t="shared" si="1056"/>
        <v>1.0169113406100707</v>
      </c>
      <c r="P831" s="1317">
        <f t="shared" si="1056"/>
        <v>1.0169113406100707</v>
      </c>
      <c r="Q831" s="1318">
        <f t="shared" si="1056"/>
        <v>1.017382480031426</v>
      </c>
      <c r="R831" s="1318">
        <f t="shared" si="1056"/>
        <v>1.014538850979529</v>
      </c>
      <c r="S831" s="1318">
        <f t="shared" si="1056"/>
        <v>1.0151538717920232</v>
      </c>
      <c r="T831" s="1318">
        <f t="shared" si="1056"/>
        <v>1.0137110190592096</v>
      </c>
      <c r="U831" s="1317">
        <f t="shared" si="1056"/>
        <v>1.0137110190592096</v>
      </c>
      <c r="V831" s="1318">
        <f t="shared" si="1056"/>
        <v>1.0136094012311134</v>
      </c>
      <c r="W831" s="1318">
        <f t="shared" si="1056"/>
        <v>1.0078545831549055</v>
      </c>
      <c r="X831" s="1318">
        <f t="shared" si="1056"/>
        <v>1.0086577135455723</v>
      </c>
      <c r="Y831" s="1318">
        <f t="shared" si="1056"/>
        <v>1.0110392212997423</v>
      </c>
      <c r="Z831" s="1317">
        <f t="shared" si="1056"/>
        <v>1.0110392212997423</v>
      </c>
      <c r="AA831" s="1318">
        <f t="shared" si="1056"/>
        <v>1.0086092791455175</v>
      </c>
      <c r="AB831" s="1318">
        <f t="shared" si="1056"/>
        <v>1.0048860694544861</v>
      </c>
      <c r="AC831" s="1318">
        <f t="shared" si="1056"/>
        <v>1.0052558062454131</v>
      </c>
      <c r="AD831" s="1318">
        <f t="shared" si="1056"/>
        <v>1.0082531113393687</v>
      </c>
      <c r="AE831" s="1317">
        <f t="shared" si="1056"/>
        <v>1.0082531113393687</v>
      </c>
      <c r="AF831" s="1318">
        <f t="shared" si="1056"/>
        <v>1.0093965537958713</v>
      </c>
      <c r="AG831" s="1318">
        <f t="shared" si="1056"/>
        <v>1.0101866943250852</v>
      </c>
      <c r="AH831" s="1318">
        <f t="shared" si="1056"/>
        <v>1.0145238035923372</v>
      </c>
      <c r="AI831" s="1318">
        <f t="shared" si="1056"/>
        <v>1.0135891286970424</v>
      </c>
      <c r="AJ831" s="1317">
        <f t="shared" si="1056"/>
        <v>1.0135891286970424</v>
      </c>
      <c r="AK831" s="1318">
        <f t="shared" si="1056"/>
        <v>1.0150238554461475</v>
      </c>
      <c r="AL831" s="1318">
        <f t="shared" si="1056"/>
        <v>1.0125570630282725</v>
      </c>
      <c r="AM831" s="1318">
        <f t="shared" si="1056"/>
        <v>1.0166726794825542</v>
      </c>
      <c r="AN831" s="1318">
        <f t="shared" si="1056"/>
        <v>1.0200681903626017</v>
      </c>
      <c r="AO831" s="1317">
        <f t="shared" si="1056"/>
        <v>1.0200681903626017</v>
      </c>
      <c r="AP831" s="1318">
        <f t="shared" si="1056"/>
        <v>1.0146221016216772</v>
      </c>
      <c r="AQ831" s="1318">
        <f t="shared" si="1056"/>
        <v>1.01903696848167</v>
      </c>
      <c r="AR831" s="1318">
        <f t="shared" si="1056"/>
        <v>1.0240556997014225</v>
      </c>
      <c r="AS831" s="1318">
        <f t="shared" si="1056"/>
        <v>1.0306261461881057</v>
      </c>
      <c r="AT831" s="1317">
        <f t="shared" si="1056"/>
        <v>1.0306261461881057</v>
      </c>
      <c r="AU831" s="1318">
        <f t="shared" si="1056"/>
        <v>1.0356881770452582</v>
      </c>
      <c r="AV831" s="1318">
        <f t="shared" si="1056"/>
        <v>1.0241582242764626</v>
      </c>
      <c r="AW831" s="1318">
        <f t="shared" si="1056"/>
        <v>1.0263617270817991</v>
      </c>
      <c r="AX831" s="1318">
        <f t="shared" si="1056"/>
        <v>1.0279097552165819</v>
      </c>
      <c r="AY831" s="1317">
        <f t="shared" si="1056"/>
        <v>1.0279097552165819</v>
      </c>
      <c r="AZ831" s="1318">
        <f t="shared" si="1056"/>
        <v>1.0260188676519453</v>
      </c>
      <c r="BA831" s="1318">
        <f t="shared" si="1056"/>
        <v>1.0134363302861744</v>
      </c>
      <c r="BB831" s="1318">
        <f t="shared" si="1056"/>
        <v>1.0137177715006913</v>
      </c>
      <c r="BC831" s="1318">
        <f t="shared" si="1056"/>
        <v>1.0128650379005224</v>
      </c>
      <c r="BD831" s="1317">
        <f t="shared" si="1056"/>
        <v>1.0128650379005224</v>
      </c>
      <c r="BE831" s="1318">
        <f t="shared" si="1056"/>
        <v>1.0131886269502661</v>
      </c>
      <c r="BF831" s="1318">
        <f t="shared" si="1056"/>
        <v>1.0056590537064463</v>
      </c>
      <c r="BG831" s="1318">
        <f>(BG830+BG819)/BG819</f>
        <v>1.0098542137678335</v>
      </c>
      <c r="BH831" s="1318">
        <f>(BH830+BH819)/BH819</f>
        <v>1.0156505744259638</v>
      </c>
      <c r="BI831" s="1317">
        <f>(BI830+BI819)/BI819</f>
        <v>1.0156505744259638</v>
      </c>
      <c r="BJ831" s="1319">
        <f>(BJ830+BJ819)/BJ819</f>
        <v>1.0172373595287314</v>
      </c>
      <c r="BK831" s="1320">
        <v>1.02</v>
      </c>
      <c r="BL831" s="1320">
        <v>1.02</v>
      </c>
      <c r="BM831" s="1320">
        <v>1.02</v>
      </c>
      <c r="BN831" s="1317">
        <f ca="1">(BN830+BN819)/BN819</f>
        <v>1.02</v>
      </c>
      <c r="BO831" s="1320">
        <v>1.02</v>
      </c>
      <c r="BP831" s="1320">
        <v>1.02</v>
      </c>
      <c r="BQ831" s="1320">
        <v>1.02</v>
      </c>
      <c r="BR831" s="1320">
        <v>1.02</v>
      </c>
      <c r="BS831" s="1317">
        <f ca="1">(BS830+BS819)/BS819</f>
        <v>1.02</v>
      </c>
      <c r="BT831" s="1321">
        <v>1.02</v>
      </c>
      <c r="BU831" s="1321">
        <v>1.02</v>
      </c>
      <c r="BV831" s="1321">
        <v>1.02</v>
      </c>
      <c r="BW831" s="122"/>
    </row>
    <row r="832" spans="1:75" s="123" customFormat="1" ht="15" hidden="1" customHeight="1" outlineLevel="1" x14ac:dyDescent="0.5">
      <c r="A832" s="588"/>
      <c r="B832" s="513"/>
      <c r="C832" s="779"/>
      <c r="D832" s="779"/>
      <c r="E832" s="779"/>
      <c r="F832" s="779"/>
      <c r="G832" s="780"/>
      <c r="H832" s="780"/>
      <c r="I832" s="780"/>
      <c r="J832" s="780"/>
      <c r="K832" s="779"/>
      <c r="L832" s="780"/>
      <c r="M832" s="780"/>
      <c r="N832" s="780"/>
      <c r="O832" s="780"/>
      <c r="P832" s="779"/>
      <c r="Q832" s="780"/>
      <c r="R832" s="780"/>
      <c r="S832" s="780"/>
      <c r="T832" s="780"/>
      <c r="U832" s="779"/>
      <c r="V832" s="780"/>
      <c r="W832" s="780"/>
      <c r="X832" s="780"/>
      <c r="Y832" s="780"/>
      <c r="Z832" s="779"/>
      <c r="AA832" s="780"/>
      <c r="AB832" s="780"/>
      <c r="AC832" s="780"/>
      <c r="AD832" s="780"/>
      <c r="AE832" s="779"/>
      <c r="AF832" s="780"/>
      <c r="AG832" s="780"/>
      <c r="AH832" s="780"/>
      <c r="AI832" s="780"/>
      <c r="AJ832" s="779"/>
      <c r="AK832" s="780"/>
      <c r="AL832" s="780"/>
      <c r="AM832" s="780"/>
      <c r="AN832" s="780"/>
      <c r="AO832" s="779"/>
      <c r="AP832" s="780"/>
      <c r="AQ832" s="780"/>
      <c r="AR832" s="780"/>
      <c r="AS832" s="780"/>
      <c r="AT832" s="779"/>
      <c r="AU832" s="780"/>
      <c r="AV832" s="780"/>
      <c r="AW832" s="780"/>
      <c r="AX832" s="780"/>
      <c r="AY832" s="779"/>
      <c r="AZ832" s="780"/>
      <c r="BA832" s="780"/>
      <c r="BB832" s="780"/>
      <c r="BC832" s="780"/>
      <c r="BD832" s="779"/>
      <c r="BE832" s="780"/>
      <c r="BF832" s="780"/>
      <c r="BG832" s="780"/>
      <c r="BH832" s="780"/>
      <c r="BI832" s="779"/>
      <c r="BJ832" s="1316"/>
      <c r="BK832" s="780"/>
      <c r="BL832" s="780"/>
      <c r="BM832" s="780"/>
      <c r="BN832" s="779"/>
      <c r="BO832" s="780"/>
      <c r="BP832" s="780"/>
      <c r="BQ832" s="780"/>
      <c r="BR832" s="780"/>
      <c r="BS832" s="779"/>
      <c r="BT832" s="779"/>
      <c r="BU832" s="779"/>
      <c r="BV832" s="779"/>
      <c r="BW832" s="122"/>
    </row>
    <row r="833" spans="1:75" s="123" customFormat="1" ht="15" hidden="1" customHeight="1" outlineLevel="1" x14ac:dyDescent="0.5">
      <c r="A833" s="588" t="s">
        <v>2103</v>
      </c>
      <c r="B833" s="513"/>
      <c r="C833" s="401">
        <f t="shared" ref="C833:BN833" si="1057">C819+C830</f>
        <v>108.572</v>
      </c>
      <c r="D833" s="401">
        <f t="shared" si="1057"/>
        <v>107.45400000000001</v>
      </c>
      <c r="E833" s="401">
        <f t="shared" si="1057"/>
        <v>102.68099999999998</v>
      </c>
      <c r="F833" s="401">
        <f t="shared" si="1057"/>
        <v>99.518999999999991</v>
      </c>
      <c r="G833" s="118">
        <f t="shared" si="1057"/>
        <v>99.12</v>
      </c>
      <c r="H833" s="118">
        <f t="shared" si="1057"/>
        <v>97.903999999999996</v>
      </c>
      <c r="I833" s="118">
        <f t="shared" si="1057"/>
        <v>96.789000000000001</v>
      </c>
      <c r="J833" s="118">
        <f t="shared" si="1057"/>
        <v>96.751000000000005</v>
      </c>
      <c r="K833" s="401">
        <f t="shared" si="1057"/>
        <v>96.751000000000005</v>
      </c>
      <c r="L833" s="118">
        <f t="shared" si="1057"/>
        <v>95.808999999999997</v>
      </c>
      <c r="M833" s="118">
        <f t="shared" si="1057"/>
        <v>95.274000000000001</v>
      </c>
      <c r="N833" s="118">
        <f t="shared" si="1057"/>
        <v>94.072000000000003</v>
      </c>
      <c r="O833" s="118">
        <f t="shared" si="1057"/>
        <v>93.445000000000007</v>
      </c>
      <c r="P833" s="401">
        <f t="shared" si="1057"/>
        <v>93.445000000000007</v>
      </c>
      <c r="Q833" s="118">
        <f t="shared" si="1057"/>
        <v>93.237000000000009</v>
      </c>
      <c r="R833" s="118">
        <f t="shared" si="1057"/>
        <v>92.180999999999997</v>
      </c>
      <c r="S833" s="118">
        <f t="shared" si="1057"/>
        <v>91.374000000000009</v>
      </c>
      <c r="T833" s="118">
        <f t="shared" si="1057"/>
        <v>90.790999999999997</v>
      </c>
      <c r="U833" s="401">
        <f t="shared" si="1057"/>
        <v>90.790999999999997</v>
      </c>
      <c r="V833" s="118">
        <f t="shared" si="1057"/>
        <v>90.565999999999988</v>
      </c>
      <c r="W833" s="118">
        <f t="shared" si="1057"/>
        <v>89.435000000000002</v>
      </c>
      <c r="X833" s="118">
        <f t="shared" si="1057"/>
        <v>88.775999999999996</v>
      </c>
      <c r="Y833" s="118">
        <f t="shared" si="1057"/>
        <v>88.289000000000001</v>
      </c>
      <c r="Z833" s="401">
        <f t="shared" si="1057"/>
        <v>88.289000000000001</v>
      </c>
      <c r="AA833" s="118">
        <f t="shared" si="1057"/>
        <v>87.630999999999986</v>
      </c>
      <c r="AB833" s="118">
        <f t="shared" si="1057"/>
        <v>86.173000000000002</v>
      </c>
      <c r="AC833" s="118">
        <f t="shared" si="1057"/>
        <v>84.921999999999997</v>
      </c>
      <c r="AD833" s="118">
        <f t="shared" si="1057"/>
        <v>84.416999999999987</v>
      </c>
      <c r="AE833" s="401">
        <f t="shared" si="1057"/>
        <v>84.416999999999987</v>
      </c>
      <c r="AF833" s="118">
        <f t="shared" si="1057"/>
        <v>84.004000000000005</v>
      </c>
      <c r="AG833" s="118">
        <f t="shared" si="1057"/>
        <v>81.813000000000002</v>
      </c>
      <c r="AH833" s="118">
        <f t="shared" si="1057"/>
        <v>81.448000000000008</v>
      </c>
      <c r="AI833" s="118">
        <f t="shared" si="1057"/>
        <v>79.884</v>
      </c>
      <c r="AJ833" s="401">
        <f t="shared" si="1057"/>
        <v>79.884</v>
      </c>
      <c r="AK833" s="118">
        <f t="shared" si="1057"/>
        <v>79.992000000000004</v>
      </c>
      <c r="AL833" s="118">
        <f t="shared" si="1057"/>
        <v>79.185000000000002</v>
      </c>
      <c r="AM833" s="118">
        <f t="shared" si="1057"/>
        <v>78.905999999999992</v>
      </c>
      <c r="AN833" s="118">
        <f t="shared" si="1057"/>
        <v>78.685000000000002</v>
      </c>
      <c r="AO833" s="401">
        <f t="shared" si="1057"/>
        <v>78.685000000000002</v>
      </c>
      <c r="AP833" s="118">
        <f t="shared" si="1057"/>
        <v>78.896000000000001</v>
      </c>
      <c r="AQ833" s="118">
        <f t="shared" si="1057"/>
        <v>79.277000000000001</v>
      </c>
      <c r="AR833" s="118">
        <f t="shared" si="1057"/>
        <v>78.542000000000002</v>
      </c>
      <c r="AS833" s="118">
        <f t="shared" si="1057"/>
        <v>78.677999999999997</v>
      </c>
      <c r="AT833" s="401">
        <f t="shared" si="1057"/>
        <v>78.677999999999997</v>
      </c>
      <c r="AU833" s="118">
        <f t="shared" si="1057"/>
        <v>77.92</v>
      </c>
      <c r="AV833" s="118">
        <f t="shared" si="1057"/>
        <v>76.224000000000004</v>
      </c>
      <c r="AW833" s="118">
        <f t="shared" si="1057"/>
        <v>75.258999999999986</v>
      </c>
      <c r="AX833" s="118">
        <f t="shared" si="1057"/>
        <v>73.991</v>
      </c>
      <c r="AY833" s="401">
        <f t="shared" si="1057"/>
        <v>73.991</v>
      </c>
      <c r="AZ833" s="118">
        <f t="shared" si="1057"/>
        <v>71.02</v>
      </c>
      <c r="BA833" s="118">
        <f t="shared" si="1057"/>
        <v>67.957999999999998</v>
      </c>
      <c r="BB833" s="118">
        <f t="shared" si="1057"/>
        <v>67.469000000000008</v>
      </c>
      <c r="BC833" s="118">
        <f t="shared" si="1057"/>
        <v>67.077999999999989</v>
      </c>
      <c r="BD833" s="401">
        <f t="shared" si="1057"/>
        <v>67.077999999999989</v>
      </c>
      <c r="BE833" s="118">
        <f t="shared" si="1057"/>
        <v>65.068999999999988</v>
      </c>
      <c r="BF833" s="118">
        <f t="shared" si="1057"/>
        <v>64.507999999999996</v>
      </c>
      <c r="BG833" s="118">
        <f t="shared" si="1057"/>
        <v>64.76700000000001</v>
      </c>
      <c r="BH833" s="118">
        <f t="shared" si="1057"/>
        <v>65.155000000000001</v>
      </c>
      <c r="BI833" s="401">
        <f t="shared" si="1057"/>
        <v>65.155000000000001</v>
      </c>
      <c r="BJ833" s="971">
        <f>BJ819+BJ830</f>
        <v>65.445999999999998</v>
      </c>
      <c r="BK833" s="118">
        <f t="shared" ca="1" si="1057"/>
        <v>65.623739999999998</v>
      </c>
      <c r="BL833" s="118">
        <f t="shared" ca="1" si="1057"/>
        <v>65.623739999999998</v>
      </c>
      <c r="BM833" s="118">
        <f t="shared" ca="1" si="1057"/>
        <v>65.623739999999998</v>
      </c>
      <c r="BN833" s="401">
        <f t="shared" ca="1" si="1057"/>
        <v>65.623739999999998</v>
      </c>
      <c r="BO833" s="118">
        <f t="shared" ref="BO833:BV833" ca="1" si="1058">BO819+BO830</f>
        <v>65.623739999999998</v>
      </c>
      <c r="BP833" s="118">
        <f t="shared" ca="1" si="1058"/>
        <v>65.623739999999998</v>
      </c>
      <c r="BQ833" s="118">
        <f t="shared" ca="1" si="1058"/>
        <v>65.623739999999998</v>
      </c>
      <c r="BR833" s="118">
        <f t="shared" ca="1" si="1058"/>
        <v>65.623739999999998</v>
      </c>
      <c r="BS833" s="401">
        <f t="shared" ca="1" si="1058"/>
        <v>65.623739999999998</v>
      </c>
      <c r="BT833" s="401">
        <f t="shared" ca="1" si="1058"/>
        <v>65.623739999999998</v>
      </c>
      <c r="BU833" s="401">
        <f t="shared" ca="1" si="1058"/>
        <v>65.623739999999998</v>
      </c>
      <c r="BV833" s="401">
        <f t="shared" ca="1" si="1058"/>
        <v>65.623739999999998</v>
      </c>
      <c r="BW833" s="122"/>
    </row>
    <row r="834" spans="1:75" s="123" customFormat="1" ht="15" hidden="1" customHeight="1" outlineLevel="1" x14ac:dyDescent="0.5">
      <c r="A834" s="588"/>
      <c r="B834" s="513"/>
      <c r="C834" s="401"/>
      <c r="D834" s="401"/>
      <c r="E834" s="401"/>
      <c r="F834" s="401"/>
      <c r="G834" s="118"/>
      <c r="H834" s="118"/>
      <c r="I834" s="118"/>
      <c r="J834" s="118"/>
      <c r="K834" s="401"/>
      <c r="L834" s="118"/>
      <c r="M834" s="118"/>
      <c r="N834" s="118"/>
      <c r="O834" s="118"/>
      <c r="P834" s="401"/>
      <c r="Q834" s="118"/>
      <c r="R834" s="118"/>
      <c r="S834" s="118"/>
      <c r="T834" s="118"/>
      <c r="U834" s="401"/>
      <c r="V834" s="118"/>
      <c r="W834" s="118"/>
      <c r="X834" s="118"/>
      <c r="Y834" s="118"/>
      <c r="Z834" s="401"/>
      <c r="AA834" s="118"/>
      <c r="AB834" s="118"/>
      <c r="AC834" s="118"/>
      <c r="AD834" s="118"/>
      <c r="AE834" s="401"/>
      <c r="AF834" s="118"/>
      <c r="AG834" s="118"/>
      <c r="AH834" s="118"/>
      <c r="AI834" s="118"/>
      <c r="AJ834" s="401"/>
      <c r="AK834" s="118"/>
      <c r="AL834" s="118"/>
      <c r="AM834" s="118"/>
      <c r="AN834" s="118"/>
      <c r="AO834" s="401"/>
      <c r="AP834" s="118"/>
      <c r="AQ834" s="118"/>
      <c r="AR834" s="118"/>
      <c r="AS834" s="118"/>
      <c r="AT834" s="401"/>
      <c r="AU834" s="118"/>
      <c r="AV834" s="118"/>
      <c r="AW834" s="118"/>
      <c r="AX834" s="118"/>
      <c r="AY834" s="401"/>
      <c r="AZ834" s="118"/>
      <c r="BA834" s="118"/>
      <c r="BB834" s="118"/>
      <c r="BC834" s="118"/>
      <c r="BD834" s="401"/>
      <c r="BE834" s="118"/>
      <c r="BF834" s="118"/>
      <c r="BG834" s="118"/>
      <c r="BH834" s="118"/>
      <c r="BI834" s="401"/>
      <c r="BJ834" s="971"/>
      <c r="BK834" s="118"/>
      <c r="BL834" s="118"/>
      <c r="BM834" s="118"/>
      <c r="BN834" s="401"/>
      <c r="BO834" s="118"/>
      <c r="BP834" s="118"/>
      <c r="BQ834" s="118"/>
      <c r="BR834" s="118"/>
      <c r="BS834" s="401"/>
      <c r="BT834" s="401"/>
      <c r="BU834" s="401"/>
      <c r="BV834" s="401"/>
      <c r="BW834" s="122"/>
    </row>
    <row r="835" spans="1:75" s="123" customFormat="1" ht="15" hidden="1" customHeight="1" outlineLevel="2" x14ac:dyDescent="0.5">
      <c r="A835" s="184" t="s">
        <v>1246</v>
      </c>
      <c r="B835" s="522"/>
      <c r="C835" s="397"/>
      <c r="D835" s="397"/>
      <c r="E835" s="401"/>
      <c r="F835" s="401"/>
      <c r="G835" s="118"/>
      <c r="H835" s="302">
        <v>180.91</v>
      </c>
      <c r="I835" s="302">
        <v>135.56100000000001</v>
      </c>
      <c r="J835" s="302">
        <v>102.569</v>
      </c>
      <c r="K835" s="401"/>
      <c r="L835" s="302">
        <v>133.886</v>
      </c>
      <c r="M835" s="302">
        <v>115.83</v>
      </c>
      <c r="N835" s="302">
        <v>121.30500000000001</v>
      </c>
      <c r="O835" s="302">
        <v>181.12899999999999</v>
      </c>
      <c r="P835" s="401"/>
      <c r="Q835" s="302">
        <v>104.1</v>
      </c>
      <c r="R835" s="302">
        <v>170.63499999999999</v>
      </c>
      <c r="S835" s="302">
        <v>117.47799999999999</v>
      </c>
      <c r="T835" s="302">
        <v>178.815</v>
      </c>
      <c r="U835" s="401"/>
      <c r="V835" s="302">
        <v>203.767</v>
      </c>
      <c r="W835" s="302">
        <v>230.267</v>
      </c>
      <c r="X835" s="302">
        <v>224.03100000000001</v>
      </c>
      <c r="Y835" s="302">
        <v>179.05199999999999</v>
      </c>
      <c r="Z835" s="401"/>
      <c r="AA835" s="302">
        <v>241.97</v>
      </c>
      <c r="AB835" s="302">
        <v>249.732</v>
      </c>
      <c r="AC835" s="302">
        <v>651.16899999999998</v>
      </c>
      <c r="AD835" s="302">
        <v>316.7</v>
      </c>
      <c r="AE835" s="401"/>
      <c r="AF835" s="302">
        <v>217.4</v>
      </c>
      <c r="AG835" s="302">
        <v>245.13399999999999</v>
      </c>
      <c r="AH835" s="302">
        <v>433.27199999999999</v>
      </c>
      <c r="AI835" s="302">
        <v>141.67099999999999</v>
      </c>
      <c r="AJ835" s="401"/>
      <c r="AK835" s="302">
        <v>156.93</v>
      </c>
      <c r="AL835" s="302">
        <v>223.92500000000001</v>
      </c>
      <c r="AM835" s="302">
        <v>193.94200000000001</v>
      </c>
      <c r="AN835" s="302">
        <v>160.91800000000001</v>
      </c>
      <c r="AO835" s="401"/>
      <c r="AP835" s="118"/>
      <c r="AQ835" s="118"/>
      <c r="AR835" s="118"/>
      <c r="AS835" s="302">
        <v>125.31</v>
      </c>
      <c r="AT835" s="401"/>
      <c r="AU835" s="302">
        <v>85.932000000000002</v>
      </c>
      <c r="AV835" s="302">
        <v>116.095</v>
      </c>
      <c r="AW835" s="302">
        <v>60.448</v>
      </c>
      <c r="AX835" s="302">
        <v>384.31900000000002</v>
      </c>
      <c r="AY835" s="401"/>
      <c r="AZ835" s="302">
        <v>432.84100000000001</v>
      </c>
      <c r="BA835" s="302">
        <v>457.4</v>
      </c>
      <c r="BB835" s="302">
        <v>345.8</v>
      </c>
      <c r="BC835" s="118"/>
      <c r="BD835" s="401"/>
      <c r="BE835" s="118"/>
      <c r="BF835" s="302">
        <v>89.709000000000003</v>
      </c>
      <c r="BG835" s="118"/>
      <c r="BH835" s="118"/>
      <c r="BI835" s="401"/>
      <c r="BJ835" s="971"/>
      <c r="BK835" s="118"/>
      <c r="BL835" s="118"/>
      <c r="BM835" s="118"/>
      <c r="BN835" s="401"/>
      <c r="BO835" s="118"/>
      <c r="BP835" s="118"/>
      <c r="BQ835" s="118"/>
      <c r="BR835" s="118"/>
      <c r="BS835" s="401"/>
      <c r="BT835" s="401"/>
      <c r="BU835" s="401"/>
      <c r="BV835" s="401"/>
      <c r="BW835" s="122"/>
    </row>
    <row r="836" spans="1:75" s="123" customFormat="1" ht="15" hidden="1" customHeight="1" outlineLevel="2" x14ac:dyDescent="0.5">
      <c r="A836" s="184" t="s">
        <v>1247</v>
      </c>
      <c r="B836" s="513"/>
      <c r="C836" s="401"/>
      <c r="D836" s="401"/>
      <c r="E836" s="401"/>
      <c r="F836" s="401"/>
      <c r="G836" s="302">
        <v>195.31700000000001</v>
      </c>
      <c r="H836" s="302">
        <v>926.85199999999998</v>
      </c>
      <c r="I836" s="302">
        <v>851.09900000000005</v>
      </c>
      <c r="J836" s="302">
        <v>144.48699999999999</v>
      </c>
      <c r="K836" s="401"/>
      <c r="L836" s="302">
        <v>371.7</v>
      </c>
      <c r="M836" s="302">
        <v>451.95299999999997</v>
      </c>
      <c r="N836" s="302">
        <v>706.36699999999996</v>
      </c>
      <c r="O836" s="302">
        <v>106.16800000000001</v>
      </c>
      <c r="P836" s="401"/>
      <c r="Q836" s="302">
        <v>214.499</v>
      </c>
      <c r="R836" s="302">
        <v>477.81799999999998</v>
      </c>
      <c r="S836" s="302">
        <v>518.00099999999998</v>
      </c>
      <c r="T836" s="302">
        <v>142.852</v>
      </c>
      <c r="U836" s="401"/>
      <c r="V836" s="302">
        <v>234.202</v>
      </c>
      <c r="W836" s="302">
        <v>170.286</v>
      </c>
      <c r="X836" s="302">
        <v>235.98</v>
      </c>
      <c r="Y836" s="302">
        <v>256.72300000000001</v>
      </c>
      <c r="Z836" s="401"/>
      <c r="AA836" s="302">
        <v>250.684</v>
      </c>
      <c r="AB836" s="302">
        <v>294.88200000000001</v>
      </c>
      <c r="AC836" s="302">
        <v>357.46199999999999</v>
      </c>
      <c r="AD836" s="302">
        <v>263</v>
      </c>
      <c r="AE836" s="401"/>
      <c r="AF836" s="302">
        <v>226.29300000000001</v>
      </c>
      <c r="AG836" s="302">
        <v>1133.7</v>
      </c>
      <c r="AH836" s="302">
        <v>124.27800000000001</v>
      </c>
      <c r="AI836" s="302">
        <v>1074.046</v>
      </c>
      <c r="AJ836" s="401"/>
      <c r="AK836" s="302">
        <v>179.34899999999999</v>
      </c>
      <c r="AL836" s="302">
        <v>188.10599999999999</v>
      </c>
      <c r="AM836" s="302">
        <v>186.285</v>
      </c>
      <c r="AN836" s="302">
        <v>158.78</v>
      </c>
      <c r="AO836" s="401"/>
      <c r="AP836" s="118"/>
      <c r="AQ836" s="118"/>
      <c r="AR836" s="118"/>
      <c r="AS836" s="302">
        <v>116.8</v>
      </c>
      <c r="AT836" s="401"/>
      <c r="AU836" s="302">
        <v>361.80700000000002</v>
      </c>
      <c r="AV836" s="302">
        <v>644.96600000000001</v>
      </c>
      <c r="AW836" s="302">
        <v>431.02300000000002</v>
      </c>
      <c r="AX836" s="302">
        <v>973.53800000000001</v>
      </c>
      <c r="AY836" s="401"/>
      <c r="AZ836" s="302">
        <v>443.23399999999998</v>
      </c>
      <c r="BA836" s="302">
        <v>745.64700000000005</v>
      </c>
      <c r="BB836" s="302">
        <v>13.34</v>
      </c>
      <c r="BC836" s="302">
        <v>341.935</v>
      </c>
      <c r="BD836" s="401"/>
      <c r="BE836" s="302">
        <v>8.3770000000000007</v>
      </c>
      <c r="BF836" s="118"/>
      <c r="BG836" s="302">
        <v>21.434000000000001</v>
      </c>
      <c r="BH836" s="118"/>
      <c r="BI836" s="401"/>
      <c r="BJ836" s="1207">
        <v>39.628999999999998</v>
      </c>
      <c r="BK836" s="118"/>
      <c r="BL836" s="118"/>
      <c r="BM836" s="118"/>
      <c r="BN836" s="401"/>
      <c r="BO836" s="118"/>
      <c r="BP836" s="118"/>
      <c r="BQ836" s="118"/>
      <c r="BR836" s="118"/>
      <c r="BS836" s="401"/>
      <c r="BT836" s="401"/>
      <c r="BU836" s="401"/>
      <c r="BV836" s="401"/>
      <c r="BW836" s="122"/>
    </row>
    <row r="837" spans="1:75" s="123" customFormat="1" ht="15" hidden="1" customHeight="1" outlineLevel="2" x14ac:dyDescent="0.5">
      <c r="A837" s="445" t="s">
        <v>1248</v>
      </c>
      <c r="B837" s="677"/>
      <c r="C837" s="406"/>
      <c r="D837" s="406"/>
      <c r="E837" s="406"/>
      <c r="F837" s="406"/>
      <c r="G837" s="357">
        <v>605.56500000000005</v>
      </c>
      <c r="H837" s="357">
        <v>506.18099999999998</v>
      </c>
      <c r="I837" s="357">
        <v>540.66700000000003</v>
      </c>
      <c r="J837" s="357">
        <v>155.75399999999999</v>
      </c>
      <c r="K837" s="406"/>
      <c r="L837" s="357">
        <v>335.17500000000001</v>
      </c>
      <c r="M837" s="357">
        <v>280.16300000000001</v>
      </c>
      <c r="N837" s="357">
        <v>419.37400000000002</v>
      </c>
      <c r="O837" s="357">
        <v>108.50700000000001</v>
      </c>
      <c r="P837" s="406"/>
      <c r="Q837" s="357">
        <v>345.803</v>
      </c>
      <c r="R837" s="357">
        <v>250.84800000000001</v>
      </c>
      <c r="S837" s="357">
        <v>286.64800000000002</v>
      </c>
      <c r="T837" s="357">
        <v>142.941</v>
      </c>
      <c r="U837" s="406"/>
      <c r="V837" s="357">
        <v>289.66000000000003</v>
      </c>
      <c r="W837" s="357">
        <v>264.964</v>
      </c>
      <c r="X837" s="357">
        <v>311.31599999999997</v>
      </c>
      <c r="Y837" s="357">
        <v>271.23200000000003</v>
      </c>
      <c r="Z837" s="406"/>
      <c r="AA837" s="357">
        <v>271.88900000000001</v>
      </c>
      <c r="AB837" s="357">
        <v>615.76700000000005</v>
      </c>
      <c r="AC837" s="357">
        <v>292.74200000000002</v>
      </c>
      <c r="AD837" s="357">
        <v>244.7</v>
      </c>
      <c r="AE837" s="406"/>
      <c r="AF837" s="357">
        <v>288.23700000000002</v>
      </c>
      <c r="AG837" s="357">
        <v>1030.6030000000001</v>
      </c>
      <c r="AH837" s="357">
        <v>184.958</v>
      </c>
      <c r="AI837" s="357">
        <v>273.45499999999998</v>
      </c>
      <c r="AJ837" s="406"/>
      <c r="AK837" s="357">
        <v>256.81700000000001</v>
      </c>
      <c r="AL837" s="357">
        <v>223.495</v>
      </c>
      <c r="AM837" s="357">
        <v>230.12200000000001</v>
      </c>
      <c r="AN837" s="357">
        <v>183.262</v>
      </c>
      <c r="AO837" s="406"/>
      <c r="AP837" s="723"/>
      <c r="AQ837" s="723"/>
      <c r="AR837" s="357">
        <v>1119.335</v>
      </c>
      <c r="AS837" s="357">
        <v>134.655</v>
      </c>
      <c r="AT837" s="406"/>
      <c r="AU837" s="357">
        <v>1342.9860000000001</v>
      </c>
      <c r="AV837" s="357">
        <v>73.233000000000004</v>
      </c>
      <c r="AW837" s="357">
        <v>628.27700000000004</v>
      </c>
      <c r="AX837" s="723"/>
      <c r="AY837" s="406"/>
      <c r="AZ837" s="357">
        <v>2503.6559999999999</v>
      </c>
      <c r="BA837" s="357">
        <v>984.99</v>
      </c>
      <c r="BB837" s="357">
        <v>154.80000000000001</v>
      </c>
      <c r="BC837" s="723"/>
      <c r="BD837" s="406"/>
      <c r="BE837" s="357">
        <v>2502.3409999999999</v>
      </c>
      <c r="BF837" s="723"/>
      <c r="BG837" s="723"/>
      <c r="BH837" s="723"/>
      <c r="BI837" s="406"/>
      <c r="BJ837" s="1208">
        <v>117.27</v>
      </c>
      <c r="BK837" s="723"/>
      <c r="BL837" s="723"/>
      <c r="BM837" s="723"/>
      <c r="BN837" s="406"/>
      <c r="BO837" s="723"/>
      <c r="BP837" s="723"/>
      <c r="BQ837" s="723"/>
      <c r="BR837" s="723"/>
      <c r="BS837" s="406"/>
      <c r="BT837" s="406"/>
      <c r="BU837" s="406"/>
      <c r="BV837" s="406"/>
      <c r="BW837" s="122"/>
    </row>
    <row r="838" spans="1:75" s="198" customFormat="1" ht="15" hidden="1" customHeight="1" outlineLevel="1" collapsed="1" x14ac:dyDescent="0.45">
      <c r="A838" s="206" t="s">
        <v>2104</v>
      </c>
      <c r="B838" s="522"/>
      <c r="C838" s="397"/>
      <c r="D838" s="397"/>
      <c r="E838" s="397"/>
      <c r="F838" s="397"/>
      <c r="G838" s="295">
        <f t="shared" ref="G838" si="1059">SUM(G835:G837)</f>
        <v>800.88200000000006</v>
      </c>
      <c r="H838" s="295">
        <f t="shared" ref="H838:J838" si="1060">SUM(H835:H837)</f>
        <v>1613.943</v>
      </c>
      <c r="I838" s="295">
        <f t="shared" si="1060"/>
        <v>1527.3270000000002</v>
      </c>
      <c r="J838" s="295">
        <f t="shared" si="1060"/>
        <v>402.80999999999995</v>
      </c>
      <c r="K838" s="397">
        <f>SUM(G838,H838,I838,J838)</f>
        <v>4344.9619999999995</v>
      </c>
      <c r="L838" s="295">
        <f t="shared" ref="L838" si="1061">SUM(L835:L837)</f>
        <v>840.76099999999997</v>
      </c>
      <c r="M838" s="295">
        <f t="shared" ref="M838:O838" si="1062">SUM(M835:M837)</f>
        <v>847.94600000000003</v>
      </c>
      <c r="N838" s="295">
        <f t="shared" si="1062"/>
        <v>1247.046</v>
      </c>
      <c r="O838" s="295">
        <f t="shared" si="1062"/>
        <v>395.80400000000003</v>
      </c>
      <c r="P838" s="397">
        <f>SUM(L838,M838,N838,O838)</f>
        <v>3331.5569999999998</v>
      </c>
      <c r="Q838" s="295">
        <f t="shared" ref="Q838" si="1063">SUM(Q835:Q837)</f>
        <v>664.40200000000004</v>
      </c>
      <c r="R838" s="295">
        <f t="shared" ref="R838:T838" si="1064">SUM(R835:R837)</f>
        <v>899.30099999999993</v>
      </c>
      <c r="S838" s="295">
        <f t="shared" si="1064"/>
        <v>922.12699999999995</v>
      </c>
      <c r="T838" s="295">
        <f t="shared" si="1064"/>
        <v>464.60800000000006</v>
      </c>
      <c r="U838" s="397">
        <f>SUM(Q838,R838,S838,T838)</f>
        <v>2950.4380000000001</v>
      </c>
      <c r="V838" s="295">
        <f t="shared" ref="V838" si="1065">SUM(V835:V837)</f>
        <v>727.62900000000002</v>
      </c>
      <c r="W838" s="295">
        <f t="shared" ref="W838:Y838" si="1066">SUM(W835:W837)</f>
        <v>665.51700000000005</v>
      </c>
      <c r="X838" s="295">
        <f t="shared" si="1066"/>
        <v>771.327</v>
      </c>
      <c r="Y838" s="295">
        <f t="shared" si="1066"/>
        <v>707.00700000000006</v>
      </c>
      <c r="Z838" s="397">
        <f>SUM(V838,W838,X838,Y838)</f>
        <v>2871.48</v>
      </c>
      <c r="AA838" s="295">
        <f t="shared" ref="AA838" si="1067">SUM(AA835:AA837)</f>
        <v>764.54300000000001</v>
      </c>
      <c r="AB838" s="295">
        <f t="shared" ref="AB838:AD838" si="1068">SUM(AB835:AB837)</f>
        <v>1160.3810000000001</v>
      </c>
      <c r="AC838" s="295">
        <f t="shared" si="1068"/>
        <v>1301.373</v>
      </c>
      <c r="AD838" s="295">
        <f t="shared" si="1068"/>
        <v>824.40000000000009</v>
      </c>
      <c r="AE838" s="397">
        <f>SUM(AA838,AB838,AC838,AD838)</f>
        <v>4050.6970000000001</v>
      </c>
      <c r="AF838" s="295">
        <f t="shared" ref="AF838" si="1069">SUM(AF835:AF837)</f>
        <v>731.93000000000006</v>
      </c>
      <c r="AG838" s="295">
        <f t="shared" ref="AG838:AI838" si="1070">SUM(AG835:AG837)</f>
        <v>2409.4369999999999</v>
      </c>
      <c r="AH838" s="295">
        <f t="shared" si="1070"/>
        <v>742.50799999999992</v>
      </c>
      <c r="AI838" s="295">
        <f t="shared" si="1070"/>
        <v>1489.172</v>
      </c>
      <c r="AJ838" s="397">
        <f>SUM(AF838,AG838,AH838,AI838)</f>
        <v>5373.0470000000005</v>
      </c>
      <c r="AK838" s="295">
        <f t="shared" ref="AK838" si="1071">SUM(AK835:AK837)</f>
        <v>593.096</v>
      </c>
      <c r="AL838" s="295">
        <f t="shared" ref="AL838:AN838" si="1072">SUM(AL835:AL837)</f>
        <v>635.52600000000007</v>
      </c>
      <c r="AM838" s="295">
        <f t="shared" si="1072"/>
        <v>610.34899999999993</v>
      </c>
      <c r="AN838" s="295">
        <f t="shared" si="1072"/>
        <v>502.96</v>
      </c>
      <c r="AO838" s="397">
        <f>SUM(AK838,AL838,AM838,AN838)</f>
        <v>2341.931</v>
      </c>
      <c r="AP838" s="295">
        <f t="shared" ref="AP838" si="1073">SUM(AP835:AP837)</f>
        <v>0</v>
      </c>
      <c r="AQ838" s="295">
        <f t="shared" ref="AQ838:AS838" si="1074">SUM(AQ835:AQ837)</f>
        <v>0</v>
      </c>
      <c r="AR838" s="295">
        <f t="shared" si="1074"/>
        <v>1119.335</v>
      </c>
      <c r="AS838" s="295">
        <f t="shared" si="1074"/>
        <v>376.76499999999999</v>
      </c>
      <c r="AT838" s="397">
        <f>SUM(AP838,AQ838,AR838,AS838)</f>
        <v>1496.1</v>
      </c>
      <c r="AU838" s="295">
        <f t="shared" ref="AU838" si="1075">SUM(AU835:AU837)</f>
        <v>1790.7250000000001</v>
      </c>
      <c r="AV838" s="295">
        <f t="shared" ref="AV838:AX838" si="1076">SUM(AV835:AV837)</f>
        <v>834.2940000000001</v>
      </c>
      <c r="AW838" s="295">
        <f t="shared" si="1076"/>
        <v>1119.748</v>
      </c>
      <c r="AX838" s="295">
        <f t="shared" si="1076"/>
        <v>1357.857</v>
      </c>
      <c r="AY838" s="397">
        <f>SUM(AU838,AV838,AW838,AX838)</f>
        <v>5102.6239999999998</v>
      </c>
      <c r="AZ838" s="295">
        <f t="shared" ref="AZ838:BC838" si="1077">SUM(AZ835:AZ837)</f>
        <v>3379.7309999999998</v>
      </c>
      <c r="BA838" s="295">
        <f t="shared" si="1077"/>
        <v>2188.0370000000003</v>
      </c>
      <c r="BB838" s="295">
        <f t="shared" si="1077"/>
        <v>513.94000000000005</v>
      </c>
      <c r="BC838" s="295">
        <f t="shared" si="1077"/>
        <v>341.935</v>
      </c>
      <c r="BD838" s="397">
        <f>SUM(AZ838,BA838,BB838,BC838)</f>
        <v>6423.6430000000009</v>
      </c>
      <c r="BE838" s="295">
        <f t="shared" ref="BE838:BF838" si="1078">SUM(BE835:BE837)</f>
        <v>2510.7179999999998</v>
      </c>
      <c r="BF838" s="295">
        <f t="shared" si="1078"/>
        <v>89.709000000000003</v>
      </c>
      <c r="BG838" s="295">
        <f t="shared" ref="BG838:BJ838" si="1079">SUM(BG835:BG837)</f>
        <v>21.434000000000001</v>
      </c>
      <c r="BH838" s="295">
        <f t="shared" si="1079"/>
        <v>0</v>
      </c>
      <c r="BI838" s="397">
        <f>SUM(BE838,BF838,BG838,BH838)</f>
        <v>2621.8609999999999</v>
      </c>
      <c r="BJ838" s="1030">
        <f t="shared" si="1079"/>
        <v>156.899</v>
      </c>
      <c r="BK838" s="295"/>
      <c r="BL838" s="295"/>
      <c r="BM838" s="295"/>
      <c r="BN838" s="397"/>
      <c r="BO838" s="295"/>
      <c r="BP838" s="295"/>
      <c r="BQ838" s="295"/>
      <c r="BR838" s="295"/>
      <c r="BS838" s="397"/>
      <c r="BT838" s="397"/>
      <c r="BU838" s="397"/>
      <c r="BV838" s="397"/>
      <c r="BW838" s="197"/>
    </row>
    <row r="839" spans="1:75" s="123" customFormat="1" ht="15" hidden="1" customHeight="1" outlineLevel="2" x14ac:dyDescent="0.5">
      <c r="A839" s="752"/>
      <c r="B839" s="513"/>
      <c r="C839" s="401"/>
      <c r="D839" s="401"/>
      <c r="E839" s="401"/>
      <c r="F839" s="401"/>
      <c r="G839" s="118"/>
      <c r="H839" s="118"/>
      <c r="I839" s="118"/>
      <c r="J839" s="118"/>
      <c r="K839" s="401"/>
      <c r="L839" s="118"/>
      <c r="M839" s="118"/>
      <c r="N839" s="118"/>
      <c r="O839" s="118"/>
      <c r="P839" s="401"/>
      <c r="Q839" s="118"/>
      <c r="R839" s="118"/>
      <c r="S839" s="118"/>
      <c r="T839" s="118"/>
      <c r="U839" s="401"/>
      <c r="V839" s="118"/>
      <c r="W839" s="118"/>
      <c r="X839" s="118"/>
      <c r="Y839" s="118"/>
      <c r="Z839" s="401"/>
      <c r="AA839" s="118"/>
      <c r="AB839" s="118"/>
      <c r="AC839" s="118"/>
      <c r="AD839" s="118"/>
      <c r="AE839" s="401"/>
      <c r="AF839" s="118"/>
      <c r="AG839" s="118"/>
      <c r="AH839" s="118"/>
      <c r="AI839" s="118"/>
      <c r="AJ839" s="401"/>
      <c r="AK839" s="118"/>
      <c r="AL839" s="118"/>
      <c r="AM839" s="118"/>
      <c r="AN839" s="118"/>
      <c r="AO839" s="401"/>
      <c r="AP839" s="118"/>
      <c r="AQ839" s="118"/>
      <c r="AR839" s="118"/>
      <c r="AS839" s="118"/>
      <c r="AT839" s="401"/>
      <c r="AU839" s="118"/>
      <c r="AV839" s="118"/>
      <c r="AW839" s="118"/>
      <c r="AX839" s="118"/>
      <c r="AY839" s="401"/>
      <c r="AZ839" s="118"/>
      <c r="BA839" s="118"/>
      <c r="BB839" s="118"/>
      <c r="BC839" s="118"/>
      <c r="BD839" s="401"/>
      <c r="BE839" s="118"/>
      <c r="BF839" s="118"/>
      <c r="BG839" s="118"/>
      <c r="BH839" s="118"/>
      <c r="BI839" s="401"/>
      <c r="BJ839" s="971"/>
      <c r="BK839" s="118"/>
      <c r="BL839" s="118"/>
      <c r="BM839" s="118"/>
      <c r="BN839" s="401"/>
      <c r="BO839" s="118"/>
      <c r="BP839" s="118"/>
      <c r="BQ839" s="118"/>
      <c r="BR839" s="118"/>
      <c r="BS839" s="401"/>
      <c r="BT839" s="401"/>
      <c r="BU839" s="401"/>
      <c r="BV839" s="401"/>
      <c r="BW839" s="122"/>
    </row>
    <row r="840" spans="1:75" s="828" customFormat="1" ht="15" hidden="1" customHeight="1" outlineLevel="2" x14ac:dyDescent="0.5">
      <c r="A840" s="821" t="s">
        <v>1250</v>
      </c>
      <c r="B840" s="822"/>
      <c r="C840" s="823"/>
      <c r="D840" s="823"/>
      <c r="E840" s="823"/>
      <c r="F840" s="823"/>
      <c r="G840" s="824"/>
      <c r="H840" s="825">
        <v>55.47</v>
      </c>
      <c r="I840" s="825">
        <v>59.17</v>
      </c>
      <c r="J840" s="825">
        <v>55.43</v>
      </c>
      <c r="K840" s="823"/>
      <c r="L840" s="825">
        <v>55.13</v>
      </c>
      <c r="M840" s="825">
        <v>64.569999999999993</v>
      </c>
      <c r="N840" s="825">
        <v>70.89</v>
      </c>
      <c r="O840" s="825">
        <v>71.790000000000006</v>
      </c>
      <c r="P840" s="823"/>
      <c r="Q840" s="825">
        <v>80.209999999999994</v>
      </c>
      <c r="R840" s="825">
        <v>77.88</v>
      </c>
      <c r="S840" s="825">
        <v>83.87</v>
      </c>
      <c r="T840" s="825">
        <v>66.73</v>
      </c>
      <c r="U840" s="823"/>
      <c r="V840" s="825">
        <v>53.44</v>
      </c>
      <c r="W840" s="825">
        <v>53.68</v>
      </c>
      <c r="X840" s="825">
        <v>52.82</v>
      </c>
      <c r="Y840" s="825">
        <v>49.33</v>
      </c>
      <c r="Z840" s="823"/>
      <c r="AA840" s="825">
        <v>47.74</v>
      </c>
      <c r="AB840" s="825">
        <v>51.22</v>
      </c>
      <c r="AC840" s="825">
        <v>44.94</v>
      </c>
      <c r="AD840" s="825">
        <v>48.32</v>
      </c>
      <c r="AE840" s="823"/>
      <c r="AF840" s="825">
        <v>52.23</v>
      </c>
      <c r="AG840" s="825">
        <v>48.95</v>
      </c>
      <c r="AH840" s="825">
        <v>58.7</v>
      </c>
      <c r="AI840" s="825">
        <v>59.12</v>
      </c>
      <c r="AJ840" s="823"/>
      <c r="AK840" s="825">
        <v>55.86</v>
      </c>
      <c r="AL840" s="825">
        <v>53.61</v>
      </c>
      <c r="AM840" s="825">
        <v>65.14</v>
      </c>
      <c r="AN840" s="825">
        <v>69.900000000000006</v>
      </c>
      <c r="AO840" s="823"/>
      <c r="AP840" s="824"/>
      <c r="AQ840" s="824"/>
      <c r="AR840" s="824"/>
      <c r="AS840" s="825">
        <v>98.91</v>
      </c>
      <c r="AT840" s="823"/>
      <c r="AU840" s="825">
        <v>127.37</v>
      </c>
      <c r="AV840" s="825">
        <v>171.91</v>
      </c>
      <c r="AW840" s="825">
        <v>162.96</v>
      </c>
      <c r="AX840" s="825">
        <v>207.47</v>
      </c>
      <c r="AY840" s="823"/>
      <c r="AZ840" s="825">
        <v>161.72</v>
      </c>
      <c r="BA840" s="825">
        <v>122.3</v>
      </c>
      <c r="BB840" s="825">
        <v>156.03</v>
      </c>
      <c r="BC840" s="824"/>
      <c r="BD840" s="823"/>
      <c r="BE840" s="824"/>
      <c r="BF840" s="825">
        <v>111.47</v>
      </c>
      <c r="BG840" s="824"/>
      <c r="BH840" s="824"/>
      <c r="BI840" s="823"/>
      <c r="BJ840" s="1322"/>
      <c r="BK840" s="824"/>
      <c r="BL840" s="824"/>
      <c r="BM840" s="824"/>
      <c r="BN840" s="823"/>
      <c r="BO840" s="824"/>
      <c r="BP840" s="824"/>
      <c r="BQ840" s="824"/>
      <c r="BR840" s="824"/>
      <c r="BS840" s="823"/>
      <c r="BT840" s="823"/>
      <c r="BU840" s="823"/>
      <c r="BV840" s="823"/>
      <c r="BW840" s="827"/>
    </row>
    <row r="841" spans="1:75" s="828" customFormat="1" ht="15" hidden="1" customHeight="1" outlineLevel="2" x14ac:dyDescent="0.5">
      <c r="A841" s="821" t="s">
        <v>1251</v>
      </c>
      <c r="B841" s="822"/>
      <c r="C841" s="823"/>
      <c r="D841" s="823"/>
      <c r="E841" s="823"/>
      <c r="F841" s="823"/>
      <c r="G841" s="825">
        <v>50.78</v>
      </c>
      <c r="H841" s="825">
        <v>54.43</v>
      </c>
      <c r="I841" s="825">
        <v>56.32</v>
      </c>
      <c r="J841" s="825">
        <v>58.59</v>
      </c>
      <c r="K841" s="823"/>
      <c r="L841" s="825">
        <v>65.31</v>
      </c>
      <c r="M841" s="825">
        <v>69.33</v>
      </c>
      <c r="N841" s="825">
        <v>66.42</v>
      </c>
      <c r="O841" s="825">
        <v>73.38</v>
      </c>
      <c r="P841" s="823"/>
      <c r="Q841" s="825">
        <v>79.84</v>
      </c>
      <c r="R841" s="825">
        <v>80.2</v>
      </c>
      <c r="S841" s="825">
        <v>76.73</v>
      </c>
      <c r="T841" s="825">
        <v>61.46</v>
      </c>
      <c r="U841" s="823"/>
      <c r="V841" s="825">
        <v>55.98</v>
      </c>
      <c r="W841" s="825">
        <v>52.85</v>
      </c>
      <c r="X841" s="825">
        <v>50.85</v>
      </c>
      <c r="Y841" s="825">
        <v>54.46</v>
      </c>
      <c r="Z841" s="823"/>
      <c r="AA841" s="825">
        <v>48.57</v>
      </c>
      <c r="AB841" s="825">
        <v>47.69</v>
      </c>
      <c r="AC841" s="825">
        <v>46.87</v>
      </c>
      <c r="AD841" s="825">
        <v>51.01</v>
      </c>
      <c r="AE841" s="823"/>
      <c r="AF841" s="825">
        <v>52.85</v>
      </c>
      <c r="AG841" s="825">
        <v>56.04</v>
      </c>
      <c r="AH841" s="825">
        <v>68.790000000000006</v>
      </c>
      <c r="AI841" s="825">
        <v>48.96</v>
      </c>
      <c r="AJ841" s="823"/>
      <c r="AK841" s="825">
        <v>57.44</v>
      </c>
      <c r="AL841" s="825">
        <v>60.55</v>
      </c>
      <c r="AM841" s="825">
        <v>66.37</v>
      </c>
      <c r="AN841" s="825">
        <v>70.849999999999994</v>
      </c>
      <c r="AO841" s="823"/>
      <c r="AP841" s="824"/>
      <c r="AQ841" s="824"/>
      <c r="AR841" s="824"/>
      <c r="AS841" s="825">
        <v>108.75</v>
      </c>
      <c r="AT841" s="823"/>
      <c r="AU841" s="825">
        <v>167.29</v>
      </c>
      <c r="AV841" s="825">
        <v>161.66999999999999</v>
      </c>
      <c r="AW841" s="825">
        <v>182.73</v>
      </c>
      <c r="AX841" s="825">
        <v>171.54</v>
      </c>
      <c r="AY841" s="823"/>
      <c r="AZ841" s="825">
        <v>151.01</v>
      </c>
      <c r="BA841" s="825">
        <v>120.56</v>
      </c>
      <c r="BB841" s="825">
        <v>156.21</v>
      </c>
      <c r="BC841" s="825">
        <v>114.3</v>
      </c>
      <c r="BD841" s="823"/>
      <c r="BE841" s="825">
        <v>119.36</v>
      </c>
      <c r="BF841" s="824"/>
      <c r="BG841" s="825">
        <v>140.01</v>
      </c>
      <c r="BH841" s="824"/>
      <c r="BI841" s="823"/>
      <c r="BJ841" s="1323">
        <v>279.92</v>
      </c>
      <c r="BK841" s="824"/>
      <c r="BL841" s="824"/>
      <c r="BM841" s="824"/>
      <c r="BN841" s="823"/>
      <c r="BO841" s="824"/>
      <c r="BP841" s="824"/>
      <c r="BQ841" s="824"/>
      <c r="BR841" s="824"/>
      <c r="BS841" s="823"/>
      <c r="BT841" s="823"/>
      <c r="BU841" s="823"/>
      <c r="BV841" s="823"/>
      <c r="BW841" s="827"/>
    </row>
    <row r="842" spans="1:75" s="828" customFormat="1" ht="15" hidden="1" customHeight="1" outlineLevel="2" x14ac:dyDescent="0.5">
      <c r="A842" s="829" t="s">
        <v>1252</v>
      </c>
      <c r="B842" s="830"/>
      <c r="C842" s="831"/>
      <c r="D842" s="831"/>
      <c r="E842" s="831"/>
      <c r="F842" s="831"/>
      <c r="G842" s="833">
        <v>51.61</v>
      </c>
      <c r="H842" s="833">
        <v>57.98</v>
      </c>
      <c r="I842" s="833">
        <v>54.39</v>
      </c>
      <c r="J842" s="833">
        <v>56.21</v>
      </c>
      <c r="K842" s="831"/>
      <c r="L842" s="833">
        <v>64.599999999999994</v>
      </c>
      <c r="M842" s="833">
        <v>71.150000000000006</v>
      </c>
      <c r="N842" s="833">
        <v>65.959999999999994</v>
      </c>
      <c r="O842" s="833">
        <v>76.94</v>
      </c>
      <c r="P842" s="831"/>
      <c r="Q842" s="833">
        <v>78.33</v>
      </c>
      <c r="R842" s="833">
        <v>83.04</v>
      </c>
      <c r="S842" s="833">
        <v>76.400000000000006</v>
      </c>
      <c r="T842" s="833">
        <v>54.47</v>
      </c>
      <c r="U842" s="831"/>
      <c r="V842" s="833">
        <v>57.44</v>
      </c>
      <c r="W842" s="833">
        <v>53.47</v>
      </c>
      <c r="X842" s="833">
        <v>48.72</v>
      </c>
      <c r="Y842" s="833">
        <v>49.01</v>
      </c>
      <c r="Z842" s="831"/>
      <c r="AA842" s="833">
        <v>53.78</v>
      </c>
      <c r="AB842" s="833">
        <v>45.73</v>
      </c>
      <c r="AC842" s="833">
        <v>51.05</v>
      </c>
      <c r="AD842" s="833">
        <v>53.7</v>
      </c>
      <c r="AE842" s="831"/>
      <c r="AF842" s="833">
        <v>49.96</v>
      </c>
      <c r="AG842" s="833">
        <v>59.74</v>
      </c>
      <c r="AH842" s="833">
        <v>61.75</v>
      </c>
      <c r="AI842" s="833">
        <v>51.63</v>
      </c>
      <c r="AJ842" s="831"/>
      <c r="AK842" s="833">
        <v>57.56</v>
      </c>
      <c r="AL842" s="833">
        <v>66.62</v>
      </c>
      <c r="AM842" s="833">
        <v>67.73</v>
      </c>
      <c r="AN842" s="833">
        <v>74.33</v>
      </c>
      <c r="AO842" s="831"/>
      <c r="AP842" s="832"/>
      <c r="AQ842" s="832"/>
      <c r="AR842" s="833">
        <v>97.42</v>
      </c>
      <c r="AS842" s="833">
        <v>117.75</v>
      </c>
      <c r="AT842" s="831"/>
      <c r="AU842" s="833">
        <v>181.73</v>
      </c>
      <c r="AV842" s="833">
        <v>158.82</v>
      </c>
      <c r="AW842" s="833">
        <v>179.38</v>
      </c>
      <c r="AX842" s="832"/>
      <c r="AY842" s="831"/>
      <c r="AZ842" s="833">
        <v>145.44</v>
      </c>
      <c r="BA842" s="833">
        <v>121.33</v>
      </c>
      <c r="BB842" s="833">
        <v>119.45</v>
      </c>
      <c r="BC842" s="832"/>
      <c r="BD842" s="831"/>
      <c r="BE842" s="833">
        <v>119.49</v>
      </c>
      <c r="BF842" s="832"/>
      <c r="BG842" s="832"/>
      <c r="BH842" s="832"/>
      <c r="BI842" s="831"/>
      <c r="BJ842" s="1324">
        <v>278.75</v>
      </c>
      <c r="BK842" s="832"/>
      <c r="BL842" s="832"/>
      <c r="BM842" s="832"/>
      <c r="BN842" s="831"/>
      <c r="BO842" s="832"/>
      <c r="BP842" s="832"/>
      <c r="BQ842" s="832"/>
      <c r="BR842" s="832"/>
      <c r="BS842" s="831"/>
      <c r="BT842" s="831"/>
      <c r="BU842" s="831"/>
      <c r="BV842" s="831"/>
      <c r="BW842" s="827"/>
    </row>
    <row r="843" spans="1:75" s="231" customFormat="1" ht="15" hidden="1" customHeight="1" outlineLevel="1" collapsed="1" x14ac:dyDescent="0.45">
      <c r="A843" s="225" t="s">
        <v>1253</v>
      </c>
      <c r="B843" s="835"/>
      <c r="C843" s="762"/>
      <c r="D843" s="762"/>
      <c r="E843" s="762"/>
      <c r="F843" s="762"/>
      <c r="G843" s="763">
        <f t="shared" ref="G843:J843" si="1080">IFERROR((G840*G835+G841*G836+G842*G837)/G838,"N/A")</f>
        <v>51.407581778589105</v>
      </c>
      <c r="H843" s="763">
        <f t="shared" si="1080"/>
        <v>55.659962241541365</v>
      </c>
      <c r="I843" s="763">
        <f t="shared" si="1080"/>
        <v>55.889746059619185</v>
      </c>
      <c r="J843" s="763">
        <f t="shared" si="1080"/>
        <v>56.865086120006957</v>
      </c>
      <c r="K843" s="762">
        <f>IFERROR(K848*1000/K838,"N/A")</f>
        <v>55.068641997329337</v>
      </c>
      <c r="L843" s="763">
        <f t="shared" ref="L843:O843" si="1081">IFERROR((L840*L835+L841*L836+L842*L837)/L838,"N/A")</f>
        <v>63.405851579699828</v>
      </c>
      <c r="M843" s="763">
        <f t="shared" si="1081"/>
        <v>69.281112287810771</v>
      </c>
      <c r="N843" s="763">
        <f t="shared" si="1081"/>
        <v>66.700119025280543</v>
      </c>
      <c r="O843" s="763">
        <f t="shared" si="1081"/>
        <v>73.628329501470418</v>
      </c>
      <c r="P843" s="762">
        <f>IFERROR(P848*1000/P838,"N/A")</f>
        <v>67.348784121058102</v>
      </c>
      <c r="Q843" s="763">
        <f t="shared" ref="Q843:T843" si="1082">IFERROR((Q840*Q835+Q841*Q836+Q842*Q837)/Q838,"N/A")</f>
        <v>79.112058889046082</v>
      </c>
      <c r="R843" s="763">
        <f t="shared" si="1082"/>
        <v>80.551979059291625</v>
      </c>
      <c r="S843" s="763">
        <f t="shared" si="1082"/>
        <v>77.537046187781087</v>
      </c>
      <c r="T843" s="763">
        <f t="shared" si="1082"/>
        <v>61.337740934292981</v>
      </c>
      <c r="U843" s="762">
        <f>IFERROR(U848*1000/U838,"N/A")</f>
        <v>76.259760211873626</v>
      </c>
      <c r="V843" s="763">
        <f t="shared" ref="V843:Y843" si="1083">IFERROR((V840*V835+V841*V836+V842*V837)/V838,"N/A")</f>
        <v>55.849899935269214</v>
      </c>
      <c r="W843" s="763">
        <f t="shared" si="1083"/>
        <v>53.38401985223517</v>
      </c>
      <c r="X843" s="763">
        <f t="shared" si="1083"/>
        <v>50.562492872672685</v>
      </c>
      <c r="Y843" s="763">
        <f t="shared" si="1083"/>
        <v>51.070003635041807</v>
      </c>
      <c r="Z843" s="762">
        <f>IFERROR(Z848*1000/Z838,"N/A")</f>
        <v>52.681211633025477</v>
      </c>
      <c r="AA843" s="763">
        <f t="shared" ref="AA843:AD843" si="1084">IFERROR((AA840*AA835+AA841*AA836+AA842*AA837)/AA838,"N/A")</f>
        <v>50.160108849338755</v>
      </c>
      <c r="AB843" s="763">
        <f t="shared" si="1084"/>
        <v>47.409618504611842</v>
      </c>
      <c r="AC843" s="763">
        <f t="shared" si="1084"/>
        <v>46.844569466248338</v>
      </c>
      <c r="AD843" s="763">
        <f t="shared" si="1084"/>
        <v>50.775065502183402</v>
      </c>
      <c r="AE843" s="762">
        <f>IFERROR(AE848*1000/AE838,"N/A")</f>
        <v>48.432159337022739</v>
      </c>
      <c r="AF843" s="763">
        <f t="shared" ref="AF843:AI843" si="1085">IFERROR((AF840*AF835+AF841*AF836+AF842*AF837)/AF838,"N/A")</f>
        <v>51.527752066454433</v>
      </c>
      <c r="AG843" s="763">
        <f t="shared" si="1085"/>
        <v>56.901292924446672</v>
      </c>
      <c r="AH843" s="763">
        <f t="shared" si="1085"/>
        <v>61.148575530499336</v>
      </c>
      <c r="AI843" s="763">
        <f t="shared" si="1085"/>
        <v>50.416851330806651</v>
      </c>
      <c r="AJ843" s="762">
        <f>IFERROR(AJ848*1000/AJ838,"N/A")</f>
        <v>54.959031242421659</v>
      </c>
      <c r="AK843" s="763">
        <f t="shared" ref="AK843:AN843" si="1086">IFERROR((AK840*AK835+AK841*AK836+AK842*AK837)/AK838,"N/A")</f>
        <v>57.073901830395087</v>
      </c>
      <c r="AL843" s="763">
        <f t="shared" si="1086"/>
        <v>60.23935204853931</v>
      </c>
      <c r="AM843" s="763">
        <f t="shared" si="1086"/>
        <v>66.491925750677083</v>
      </c>
      <c r="AN843" s="763">
        <f t="shared" si="1086"/>
        <v>71.814052131382212</v>
      </c>
      <c r="AO843" s="762">
        <f>IFERROR(AO848*1000/AO838,"N/A")</f>
        <v>63.553048053080978</v>
      </c>
      <c r="AP843" s="763" t="str">
        <f t="shared" ref="AP843:AS843" si="1087">IFERROR((AP840*AP835+AP841*AP836+AP842*AP837)/AP838,"N/A")</f>
        <v>N/A</v>
      </c>
      <c r="AQ843" s="763" t="str">
        <f t="shared" si="1087"/>
        <v>N/A</v>
      </c>
      <c r="AR843" s="763">
        <f t="shared" si="1087"/>
        <v>97.42</v>
      </c>
      <c r="AS843" s="763">
        <f t="shared" si="1087"/>
        <v>108.69384987989862</v>
      </c>
      <c r="AT843" s="762">
        <f>IFERROR(AT848*1000/AT838,"N/A")</f>
        <v>100.25910971860171</v>
      </c>
      <c r="AU843" s="763">
        <f t="shared" ref="AU843:AX843" si="1088">IFERROR((AU840*AU835+AU841*AU836+AU842*AU837)/AU838,"N/A")</f>
        <v>176.20388258945397</v>
      </c>
      <c r="AV843" s="763">
        <f t="shared" si="1088"/>
        <v>162.84476423179356</v>
      </c>
      <c r="AW843" s="763">
        <f t="shared" si="1088"/>
        <v>179.78310042080895</v>
      </c>
      <c r="AX843" s="763">
        <f t="shared" si="1088"/>
        <v>181.70939314670099</v>
      </c>
      <c r="AY843" s="762">
        <f>IFERROR(AY848*1000/AY838,"N/A")</f>
        <v>176.27013982609731</v>
      </c>
      <c r="AZ843" s="763">
        <f t="shared" ref="AZ843:BC843" si="1089">IFERROR((AZ840*AZ835+AZ841*AZ836+AZ842*AZ837)/AZ838,"N/A")</f>
        <v>148.25545035980676</v>
      </c>
      <c r="BA843" s="763">
        <f t="shared" si="1089"/>
        <v>121.27037112260896</v>
      </c>
      <c r="BB843" s="763">
        <f t="shared" si="1089"/>
        <v>145.01668560532354</v>
      </c>
      <c r="BC843" s="763">
        <f t="shared" si="1089"/>
        <v>114.3</v>
      </c>
      <c r="BD843" s="762">
        <f>IFERROR(BD848*1000/BD838,"N/A")</f>
        <v>136.99712864180029</v>
      </c>
      <c r="BE843" s="763">
        <f>IFERROR((BE840*BE835+BE841*BE836+BE842*BE837)/BE838,"N/A")</f>
        <v>119.48956625554919</v>
      </c>
      <c r="BF843" s="763">
        <f t="shared" ref="BF843:BH843" si="1090">IFERROR((BF840*BF835+BF841*BF836+BF842*BF837)/BF838,"N/A")</f>
        <v>111.47</v>
      </c>
      <c r="BG843" s="763">
        <f t="shared" si="1090"/>
        <v>140.01</v>
      </c>
      <c r="BH843" s="763" t="str">
        <f t="shared" si="1090"/>
        <v>N/A</v>
      </c>
      <c r="BI843" s="762">
        <f>IFERROR(BI848*1000/BI838,"N/A")</f>
        <v>119.38292738631074</v>
      </c>
      <c r="BJ843" s="1305">
        <f>IFERROR((BJ840*BJ835+BJ841*BJ836+BJ842*BJ837)/BJ838,"N/A")</f>
        <v>279.04551450296049</v>
      </c>
      <c r="BK843" s="763"/>
      <c r="BL843" s="763"/>
      <c r="BM843" s="763"/>
      <c r="BN843" s="762"/>
      <c r="BO843" s="763"/>
      <c r="BP843" s="763"/>
      <c r="BQ843" s="763"/>
      <c r="BR843" s="763"/>
      <c r="BS843" s="762"/>
      <c r="BT843" s="762"/>
      <c r="BU843" s="762"/>
      <c r="BV843" s="762"/>
      <c r="BW843" s="230"/>
    </row>
    <row r="844" spans="1:75" s="123" customFormat="1" ht="15" hidden="1" customHeight="1" outlineLevel="2" x14ac:dyDescent="0.5">
      <c r="A844" s="588"/>
      <c r="B844" s="513"/>
      <c r="C844" s="401"/>
      <c r="D844" s="401"/>
      <c r="E844" s="401"/>
      <c r="F844" s="401"/>
      <c r="G844" s="118"/>
      <c r="H844" s="118"/>
      <c r="I844" s="118"/>
      <c r="J844" s="118"/>
      <c r="K844" s="401"/>
      <c r="L844" s="118"/>
      <c r="M844" s="118"/>
      <c r="N844" s="118"/>
      <c r="O844" s="118"/>
      <c r="P844" s="401"/>
      <c r="Q844" s="118"/>
      <c r="R844" s="118"/>
      <c r="S844" s="118"/>
      <c r="T844" s="118"/>
      <c r="U844" s="401"/>
      <c r="V844" s="118"/>
      <c r="W844" s="118"/>
      <c r="X844" s="118"/>
      <c r="Y844" s="118"/>
      <c r="Z844" s="401"/>
      <c r="AA844" s="118"/>
      <c r="AB844" s="118"/>
      <c r="AC844" s="118"/>
      <c r="AD844" s="118"/>
      <c r="AE844" s="401"/>
      <c r="AF844" s="118"/>
      <c r="AG844" s="118"/>
      <c r="AH844" s="118"/>
      <c r="AI844" s="118"/>
      <c r="AJ844" s="401"/>
      <c r="AK844" s="118"/>
      <c r="AL844" s="118"/>
      <c r="AM844" s="118"/>
      <c r="AN844" s="118"/>
      <c r="AO844" s="401"/>
      <c r="AP844" s="118"/>
      <c r="AQ844" s="118"/>
      <c r="AR844" s="118"/>
      <c r="AS844" s="118"/>
      <c r="AT844" s="401"/>
      <c r="AU844" s="118"/>
      <c r="AV844" s="118"/>
      <c r="AW844" s="118"/>
      <c r="AX844" s="118"/>
      <c r="AY844" s="401"/>
      <c r="AZ844" s="118"/>
      <c r="BA844" s="118"/>
      <c r="BB844" s="118"/>
      <c r="BC844" s="118"/>
      <c r="BD844" s="401"/>
      <c r="BE844" s="118"/>
      <c r="BF844" s="118"/>
      <c r="BG844" s="118"/>
      <c r="BH844" s="118"/>
      <c r="BI844" s="401"/>
      <c r="BJ844" s="971"/>
      <c r="BK844" s="118"/>
      <c r="BL844" s="118"/>
      <c r="BM844" s="118"/>
      <c r="BN844" s="401"/>
      <c r="BO844" s="118"/>
      <c r="BP844" s="118"/>
      <c r="BQ844" s="118"/>
      <c r="BR844" s="118"/>
      <c r="BS844" s="401"/>
      <c r="BT844" s="401"/>
      <c r="BU844" s="401"/>
      <c r="BV844" s="401"/>
      <c r="BW844" s="122"/>
    </row>
    <row r="845" spans="1:75" s="123" customFormat="1" ht="15" hidden="1" customHeight="1" outlineLevel="2" x14ac:dyDescent="0.5">
      <c r="A845" s="184" t="s">
        <v>1254</v>
      </c>
      <c r="B845" s="513"/>
      <c r="C845" s="401"/>
      <c r="D845" s="401"/>
      <c r="E845" s="401"/>
      <c r="F845" s="401"/>
      <c r="G845" s="118">
        <f t="shared" ref="G845:BH847" si="1091">G835*G840/1000</f>
        <v>0</v>
      </c>
      <c r="H845" s="118">
        <f t="shared" si="1091"/>
        <v>10.0350777</v>
      </c>
      <c r="I845" s="118">
        <f t="shared" si="1091"/>
        <v>8.02114437</v>
      </c>
      <c r="J845" s="118">
        <f t="shared" si="1091"/>
        <v>5.6853996699999998</v>
      </c>
      <c r="K845" s="401"/>
      <c r="L845" s="118">
        <f t="shared" si="1091"/>
        <v>7.3811351800000002</v>
      </c>
      <c r="M845" s="118">
        <f t="shared" si="1091"/>
        <v>7.479143099999999</v>
      </c>
      <c r="N845" s="118">
        <f t="shared" si="1091"/>
        <v>8.5993114500000019</v>
      </c>
      <c r="O845" s="118">
        <f t="shared" si="1091"/>
        <v>13.00325091</v>
      </c>
      <c r="P845" s="401"/>
      <c r="Q845" s="118">
        <f t="shared" si="1091"/>
        <v>8.3498609999999989</v>
      </c>
      <c r="R845" s="118">
        <f t="shared" si="1091"/>
        <v>13.289053799999998</v>
      </c>
      <c r="S845" s="118">
        <f t="shared" si="1091"/>
        <v>9.8528798600000016</v>
      </c>
      <c r="T845" s="118">
        <f t="shared" si="1091"/>
        <v>11.93232495</v>
      </c>
      <c r="U845" s="401"/>
      <c r="V845" s="118">
        <f t="shared" si="1091"/>
        <v>10.88930848</v>
      </c>
      <c r="W845" s="118">
        <f t="shared" si="1091"/>
        <v>12.360732560000001</v>
      </c>
      <c r="X845" s="118">
        <f t="shared" si="1091"/>
        <v>11.833317420000002</v>
      </c>
      <c r="Y845" s="118">
        <f t="shared" si="1091"/>
        <v>8.8326351600000006</v>
      </c>
      <c r="Z845" s="401"/>
      <c r="AA845" s="118">
        <f t="shared" si="1091"/>
        <v>11.551647800000001</v>
      </c>
      <c r="AB845" s="118">
        <f t="shared" si="1091"/>
        <v>12.79127304</v>
      </c>
      <c r="AC845" s="118">
        <f t="shared" si="1091"/>
        <v>29.263534859999996</v>
      </c>
      <c r="AD845" s="118">
        <f t="shared" si="1091"/>
        <v>15.302944</v>
      </c>
      <c r="AE845" s="401"/>
      <c r="AF845" s="118">
        <f t="shared" si="1091"/>
        <v>11.354801999999999</v>
      </c>
      <c r="AG845" s="118">
        <f t="shared" si="1091"/>
        <v>11.9993093</v>
      </c>
      <c r="AH845" s="118">
        <f t="shared" si="1091"/>
        <v>25.433066400000001</v>
      </c>
      <c r="AI845" s="118">
        <f t="shared" si="1091"/>
        <v>8.3755895200000001</v>
      </c>
      <c r="AJ845" s="401"/>
      <c r="AK845" s="118">
        <f t="shared" si="1091"/>
        <v>8.7661098000000006</v>
      </c>
      <c r="AL845" s="118">
        <f t="shared" si="1091"/>
        <v>12.004619249999999</v>
      </c>
      <c r="AM845" s="118">
        <f t="shared" si="1091"/>
        <v>12.63338188</v>
      </c>
      <c r="AN845" s="118">
        <f t="shared" si="1091"/>
        <v>11.248168200000002</v>
      </c>
      <c r="AO845" s="401"/>
      <c r="AP845" s="118">
        <f t="shared" si="1091"/>
        <v>0</v>
      </c>
      <c r="AQ845" s="118">
        <f t="shared" si="1091"/>
        <v>0</v>
      </c>
      <c r="AR845" s="118">
        <f t="shared" si="1091"/>
        <v>0</v>
      </c>
      <c r="AS845" s="118">
        <f t="shared" si="1091"/>
        <v>12.3944121</v>
      </c>
      <c r="AT845" s="401"/>
      <c r="AU845" s="118">
        <f t="shared" si="1091"/>
        <v>10.94515884</v>
      </c>
      <c r="AV845" s="118">
        <f t="shared" si="1091"/>
        <v>19.957891449999998</v>
      </c>
      <c r="AW845" s="118">
        <f t="shared" si="1091"/>
        <v>9.8506060800000022</v>
      </c>
      <c r="AX845" s="118">
        <f t="shared" si="1091"/>
        <v>79.734662929999999</v>
      </c>
      <c r="AY845" s="401"/>
      <c r="AZ845" s="118">
        <f t="shared" si="1091"/>
        <v>69.999046520000007</v>
      </c>
      <c r="BA845" s="118">
        <f t="shared" si="1091"/>
        <v>55.940019999999997</v>
      </c>
      <c r="BB845" s="118">
        <f t="shared" si="1091"/>
        <v>53.955174</v>
      </c>
      <c r="BC845" s="118">
        <f>BC835*BC840/1000</f>
        <v>0</v>
      </c>
      <c r="BD845" s="401"/>
      <c r="BE845" s="118">
        <f t="shared" si="1091"/>
        <v>0</v>
      </c>
      <c r="BF845" s="118">
        <f t="shared" si="1091"/>
        <v>9.9998622300000015</v>
      </c>
      <c r="BG845" s="118">
        <f t="shared" si="1091"/>
        <v>0</v>
      </c>
      <c r="BH845" s="118">
        <f t="shared" si="1091"/>
        <v>0</v>
      </c>
      <c r="BI845" s="401"/>
      <c r="BJ845" s="971">
        <f t="shared" ref="BJ845:BJ847" si="1092">BJ835*BJ840/1000</f>
        <v>0</v>
      </c>
      <c r="BK845" s="118"/>
      <c r="BL845" s="118"/>
      <c r="BM845" s="118"/>
      <c r="BN845" s="401"/>
      <c r="BO845" s="118"/>
      <c r="BP845" s="118"/>
      <c r="BQ845" s="118"/>
      <c r="BR845" s="118"/>
      <c r="BS845" s="401"/>
      <c r="BT845" s="401"/>
      <c r="BU845" s="401"/>
      <c r="BV845" s="401"/>
      <c r="BW845" s="122"/>
    </row>
    <row r="846" spans="1:75" s="123" customFormat="1" ht="15" hidden="1" customHeight="1" outlineLevel="2" x14ac:dyDescent="0.5">
      <c r="A846" s="184" t="s">
        <v>1255</v>
      </c>
      <c r="B846" s="513"/>
      <c r="C846" s="401"/>
      <c r="D846" s="401"/>
      <c r="E846" s="401"/>
      <c r="F846" s="401"/>
      <c r="G846" s="118">
        <f t="shared" si="1091"/>
        <v>9.9181972600000012</v>
      </c>
      <c r="H846" s="118">
        <f t="shared" si="1091"/>
        <v>50.448554360000003</v>
      </c>
      <c r="I846" s="118">
        <f t="shared" si="1091"/>
        <v>47.933895679999999</v>
      </c>
      <c r="J846" s="118">
        <f t="shared" si="1091"/>
        <v>8.4654933299999993</v>
      </c>
      <c r="K846" s="401"/>
      <c r="L846" s="118">
        <f t="shared" si="1091"/>
        <v>24.275727</v>
      </c>
      <c r="M846" s="118">
        <f t="shared" si="1091"/>
        <v>31.333901489999995</v>
      </c>
      <c r="N846" s="118">
        <f t="shared" si="1091"/>
        <v>46.916896139999999</v>
      </c>
      <c r="O846" s="118">
        <f t="shared" si="1091"/>
        <v>7.7906078399999998</v>
      </c>
      <c r="P846" s="401"/>
      <c r="Q846" s="118">
        <f t="shared" si="1091"/>
        <v>17.125600160000001</v>
      </c>
      <c r="R846" s="118">
        <f t="shared" si="1091"/>
        <v>38.321003600000004</v>
      </c>
      <c r="S846" s="118">
        <f t="shared" si="1091"/>
        <v>39.74621673</v>
      </c>
      <c r="T846" s="118">
        <f t="shared" si="1091"/>
        <v>8.7796839200000001</v>
      </c>
      <c r="U846" s="401"/>
      <c r="V846" s="118">
        <f t="shared" si="1091"/>
        <v>13.11062796</v>
      </c>
      <c r="W846" s="118">
        <f t="shared" si="1091"/>
        <v>8.9996151000000015</v>
      </c>
      <c r="X846" s="118">
        <f t="shared" si="1091"/>
        <v>11.999583000000001</v>
      </c>
      <c r="Y846" s="118">
        <f t="shared" si="1091"/>
        <v>13.981134580000001</v>
      </c>
      <c r="Z846" s="401"/>
      <c r="AA846" s="118">
        <f t="shared" si="1091"/>
        <v>12.175721879999999</v>
      </c>
      <c r="AB846" s="118">
        <f t="shared" si="1091"/>
        <v>14.06292258</v>
      </c>
      <c r="AC846" s="118">
        <f t="shared" si="1091"/>
        <v>16.754243940000002</v>
      </c>
      <c r="AD846" s="118">
        <f t="shared" si="1091"/>
        <v>13.415629999999998</v>
      </c>
      <c r="AE846" s="401"/>
      <c r="AF846" s="118">
        <f t="shared" si="1091"/>
        <v>11.959585050000001</v>
      </c>
      <c r="AG846" s="118">
        <f t="shared" si="1091"/>
        <v>63.532548000000006</v>
      </c>
      <c r="AH846" s="118">
        <f t="shared" si="1091"/>
        <v>8.5490836200000011</v>
      </c>
      <c r="AI846" s="118">
        <f t="shared" si="1091"/>
        <v>52.585292160000002</v>
      </c>
      <c r="AJ846" s="401"/>
      <c r="AK846" s="118">
        <f t="shared" si="1091"/>
        <v>10.301806559999999</v>
      </c>
      <c r="AL846" s="118">
        <f t="shared" si="1091"/>
        <v>11.389818299999998</v>
      </c>
      <c r="AM846" s="118">
        <f t="shared" si="1091"/>
        <v>12.36373545</v>
      </c>
      <c r="AN846" s="118">
        <f t="shared" si="1091"/>
        <v>11.249562999999998</v>
      </c>
      <c r="AO846" s="401"/>
      <c r="AP846" s="118">
        <f t="shared" si="1091"/>
        <v>0</v>
      </c>
      <c r="AQ846" s="118">
        <f t="shared" si="1091"/>
        <v>0</v>
      </c>
      <c r="AR846" s="118">
        <f t="shared" si="1091"/>
        <v>0</v>
      </c>
      <c r="AS846" s="118">
        <f t="shared" si="1091"/>
        <v>12.702</v>
      </c>
      <c r="AT846" s="401"/>
      <c r="AU846" s="118">
        <f t="shared" si="1091"/>
        <v>60.526693030000004</v>
      </c>
      <c r="AV846" s="118">
        <f t="shared" si="1091"/>
        <v>104.27165321999999</v>
      </c>
      <c r="AW846" s="118">
        <f t="shared" si="1091"/>
        <v>78.760832789999995</v>
      </c>
      <c r="AX846" s="118">
        <f t="shared" si="1091"/>
        <v>167.00070851999999</v>
      </c>
      <c r="AY846" s="401"/>
      <c r="AZ846" s="118">
        <f t="shared" si="1091"/>
        <v>66.932766339999986</v>
      </c>
      <c r="BA846" s="118">
        <f t="shared" si="1091"/>
        <v>89.89520232000001</v>
      </c>
      <c r="BB846" s="118">
        <f t="shared" si="1091"/>
        <v>2.0838414000000003</v>
      </c>
      <c r="BC846" s="118">
        <f>BC836*BC841/1000</f>
        <v>39.083170500000001</v>
      </c>
      <c r="BD846" s="401"/>
      <c r="BE846" s="118">
        <f t="shared" si="1091"/>
        <v>0.99987872</v>
      </c>
      <c r="BF846" s="118">
        <f t="shared" si="1091"/>
        <v>0</v>
      </c>
      <c r="BG846" s="118">
        <f t="shared" si="1091"/>
        <v>3.00097434</v>
      </c>
      <c r="BH846" s="118">
        <f t="shared" si="1091"/>
        <v>0</v>
      </c>
      <c r="BI846" s="401"/>
      <c r="BJ846" s="971">
        <f t="shared" si="1092"/>
        <v>11.09294968</v>
      </c>
      <c r="BK846" s="118"/>
      <c r="BL846" s="118"/>
      <c r="BM846" s="118"/>
      <c r="BN846" s="401"/>
      <c r="BO846" s="118"/>
      <c r="BP846" s="118"/>
      <c r="BQ846" s="118"/>
      <c r="BR846" s="118"/>
      <c r="BS846" s="401"/>
      <c r="BT846" s="401"/>
      <c r="BU846" s="401"/>
      <c r="BV846" s="401"/>
      <c r="BW846" s="122"/>
    </row>
    <row r="847" spans="1:75" s="123" customFormat="1" ht="15" hidden="1" customHeight="1" outlineLevel="2" x14ac:dyDescent="0.5">
      <c r="A847" s="445" t="s">
        <v>1256</v>
      </c>
      <c r="B847" s="677"/>
      <c r="C847" s="406"/>
      <c r="D847" s="406"/>
      <c r="E847" s="406"/>
      <c r="F847" s="406"/>
      <c r="G847" s="723">
        <f t="shared" si="1091"/>
        <v>31.253209650000002</v>
      </c>
      <c r="H847" s="723">
        <f t="shared" si="1091"/>
        <v>29.348374379999999</v>
      </c>
      <c r="I847" s="723">
        <f t="shared" si="1091"/>
        <v>29.406878130000003</v>
      </c>
      <c r="J847" s="723">
        <f t="shared" si="1091"/>
        <v>8.7549323399999999</v>
      </c>
      <c r="K847" s="406"/>
      <c r="L847" s="723">
        <f t="shared" si="1091"/>
        <v>21.652305000000002</v>
      </c>
      <c r="M847" s="723">
        <f t="shared" si="1091"/>
        <v>19.933597450000001</v>
      </c>
      <c r="N847" s="723">
        <f t="shared" si="1091"/>
        <v>27.661909039999998</v>
      </c>
      <c r="O847" s="723">
        <f t="shared" si="1091"/>
        <v>8.34852858</v>
      </c>
      <c r="P847" s="406"/>
      <c r="Q847" s="723">
        <f t="shared" si="1091"/>
        <v>27.08674899</v>
      </c>
      <c r="R847" s="723">
        <f t="shared" si="1091"/>
        <v>20.830417920000002</v>
      </c>
      <c r="S847" s="723">
        <f t="shared" si="1091"/>
        <v>21.899907200000005</v>
      </c>
      <c r="T847" s="723">
        <f t="shared" si="1091"/>
        <v>7.7859962700000001</v>
      </c>
      <c r="U847" s="406"/>
      <c r="V847" s="723">
        <f t="shared" si="1091"/>
        <v>16.6380704</v>
      </c>
      <c r="W847" s="723">
        <f t="shared" si="1091"/>
        <v>14.167625080000001</v>
      </c>
      <c r="X847" s="723">
        <f t="shared" si="1091"/>
        <v>15.167315519999999</v>
      </c>
      <c r="Y847" s="723">
        <f t="shared" si="1091"/>
        <v>13.293080320000001</v>
      </c>
      <c r="Z847" s="406"/>
      <c r="AA847" s="723">
        <f t="shared" si="1091"/>
        <v>14.622190420000001</v>
      </c>
      <c r="AB847" s="723">
        <f t="shared" si="1091"/>
        <v>28.159024909999999</v>
      </c>
      <c r="AC847" s="723">
        <f t="shared" si="1091"/>
        <v>14.944479100000001</v>
      </c>
      <c r="AD847" s="723">
        <f t="shared" si="1091"/>
        <v>13.14039</v>
      </c>
      <c r="AE847" s="406"/>
      <c r="AF847" s="723">
        <f t="shared" si="1091"/>
        <v>14.400320520000001</v>
      </c>
      <c r="AG847" s="723">
        <f t="shared" si="1091"/>
        <v>61.568223220000007</v>
      </c>
      <c r="AH847" s="723">
        <f t="shared" si="1091"/>
        <v>11.421156499999999</v>
      </c>
      <c r="AI847" s="723">
        <f t="shared" si="1091"/>
        <v>14.11848165</v>
      </c>
      <c r="AJ847" s="406"/>
      <c r="AK847" s="723">
        <f t="shared" si="1091"/>
        <v>14.782386520000001</v>
      </c>
      <c r="AL847" s="723">
        <f t="shared" si="1091"/>
        <v>14.889236900000002</v>
      </c>
      <c r="AM847" s="723">
        <f t="shared" si="1091"/>
        <v>15.586163060000002</v>
      </c>
      <c r="AN847" s="723">
        <f t="shared" si="1091"/>
        <v>13.621864459999999</v>
      </c>
      <c r="AO847" s="406"/>
      <c r="AP847" s="723">
        <f t="shared" si="1091"/>
        <v>0</v>
      </c>
      <c r="AQ847" s="723">
        <f t="shared" si="1091"/>
        <v>0</v>
      </c>
      <c r="AR847" s="723">
        <f t="shared" si="1091"/>
        <v>109.04561570000001</v>
      </c>
      <c r="AS847" s="723">
        <f t="shared" si="1091"/>
        <v>15.855626249999998</v>
      </c>
      <c r="AT847" s="406"/>
      <c r="AU847" s="723">
        <f t="shared" si="1091"/>
        <v>244.06084577999999</v>
      </c>
      <c r="AV847" s="723">
        <f t="shared" si="1091"/>
        <v>11.63086506</v>
      </c>
      <c r="AW847" s="723">
        <f t="shared" si="1091"/>
        <v>112.70032826000001</v>
      </c>
      <c r="AX847" s="723">
        <f t="shared" si="1091"/>
        <v>0</v>
      </c>
      <c r="AY847" s="406"/>
      <c r="AZ847" s="723">
        <f t="shared" si="1091"/>
        <v>364.13172864000001</v>
      </c>
      <c r="BA847" s="723">
        <f t="shared" si="1091"/>
        <v>119.5088367</v>
      </c>
      <c r="BB847" s="723">
        <f t="shared" si="1091"/>
        <v>18.490860000000001</v>
      </c>
      <c r="BC847" s="723">
        <f>BC837*BC842/1000</f>
        <v>0</v>
      </c>
      <c r="BD847" s="406"/>
      <c r="BE847" s="723">
        <f t="shared" si="1091"/>
        <v>299.00472608999996</v>
      </c>
      <c r="BF847" s="723">
        <f t="shared" si="1091"/>
        <v>0</v>
      </c>
      <c r="BG847" s="723">
        <f t="shared" si="1091"/>
        <v>0</v>
      </c>
      <c r="BH847" s="723">
        <f t="shared" si="1091"/>
        <v>0</v>
      </c>
      <c r="BI847" s="406"/>
      <c r="BJ847" s="1049">
        <f t="shared" si="1092"/>
        <v>32.689012499999997</v>
      </c>
      <c r="BK847" s="723"/>
      <c r="BL847" s="723"/>
      <c r="BM847" s="723"/>
      <c r="BN847" s="406"/>
      <c r="BO847" s="723"/>
      <c r="BP847" s="723"/>
      <c r="BQ847" s="723"/>
      <c r="BR847" s="723"/>
      <c r="BS847" s="406"/>
      <c r="BT847" s="406"/>
      <c r="BU847" s="406"/>
      <c r="BV847" s="406"/>
      <c r="BW847" s="122"/>
    </row>
    <row r="848" spans="1:75" s="198" customFormat="1" ht="15" hidden="1" customHeight="1" outlineLevel="1" collapsed="1" x14ac:dyDescent="0.45">
      <c r="A848" s="206" t="s">
        <v>2105</v>
      </c>
      <c r="B848" s="522"/>
      <c r="C848" s="397"/>
      <c r="D848" s="397"/>
      <c r="E848" s="397"/>
      <c r="F848" s="397"/>
      <c r="G848" s="295">
        <f t="shared" ref="G848:BF848" si="1093">SUM(G845:G847)</f>
        <v>41.171406910000002</v>
      </c>
      <c r="H848" s="295">
        <f t="shared" si="1093"/>
        <v>89.832006440000001</v>
      </c>
      <c r="I848" s="295">
        <f t="shared" si="1093"/>
        <v>85.361918180000004</v>
      </c>
      <c r="J848" s="295">
        <f t="shared" si="1093"/>
        <v>22.90582534</v>
      </c>
      <c r="K848" s="397">
        <f>SUM(G848,H848,I848,J848)</f>
        <v>239.27115687000003</v>
      </c>
      <c r="L848" s="295">
        <f t="shared" si="1093"/>
        <v>53.309167180000003</v>
      </c>
      <c r="M848" s="295">
        <f t="shared" si="1093"/>
        <v>58.746642039999998</v>
      </c>
      <c r="N848" s="295">
        <f t="shared" si="1093"/>
        <v>83.178116630000005</v>
      </c>
      <c r="O848" s="295">
        <f t="shared" si="1093"/>
        <v>29.142387329999998</v>
      </c>
      <c r="P848" s="397">
        <f>SUM(L848,M848,N848,O848)</f>
        <v>224.37631317999998</v>
      </c>
      <c r="Q848" s="295">
        <f t="shared" si="1093"/>
        <v>52.562210149999999</v>
      </c>
      <c r="R848" s="295">
        <f t="shared" si="1093"/>
        <v>72.440475320000004</v>
      </c>
      <c r="S848" s="295">
        <f t="shared" si="1093"/>
        <v>71.499003790000003</v>
      </c>
      <c r="T848" s="295">
        <f t="shared" si="1093"/>
        <v>28.498005139999997</v>
      </c>
      <c r="U848" s="397">
        <f>SUM(Q848,R848,S848,T848)</f>
        <v>224.99969440000001</v>
      </c>
      <c r="V848" s="295">
        <f t="shared" si="1093"/>
        <v>40.638006840000003</v>
      </c>
      <c r="W848" s="295">
        <f t="shared" si="1093"/>
        <v>35.527972740000003</v>
      </c>
      <c r="X848" s="295">
        <f t="shared" si="1093"/>
        <v>39.000215940000004</v>
      </c>
      <c r="Y848" s="295">
        <f t="shared" si="1093"/>
        <v>36.106850059999999</v>
      </c>
      <c r="Z848" s="397">
        <f>SUM(V848,W848,X848,Y848)</f>
        <v>151.27304558</v>
      </c>
      <c r="AA848" s="295">
        <f t="shared" si="1093"/>
        <v>38.349560100000005</v>
      </c>
      <c r="AB848" s="295">
        <f t="shared" si="1093"/>
        <v>55.013220529999998</v>
      </c>
      <c r="AC848" s="295">
        <f t="shared" si="1093"/>
        <v>60.962257900000004</v>
      </c>
      <c r="AD848" s="295">
        <f t="shared" si="1093"/>
        <v>41.858964</v>
      </c>
      <c r="AE848" s="397">
        <f>SUM(AA848,AB848,AC848,AD848)</f>
        <v>196.18400252999999</v>
      </c>
      <c r="AF848" s="295">
        <f t="shared" si="1093"/>
        <v>37.714707570000002</v>
      </c>
      <c r="AG848" s="295">
        <f t="shared" si="1093"/>
        <v>137.10008052000001</v>
      </c>
      <c r="AH848" s="295">
        <f t="shared" si="1093"/>
        <v>45.403306520000001</v>
      </c>
      <c r="AI848" s="295">
        <f t="shared" si="1093"/>
        <v>75.079363330000007</v>
      </c>
      <c r="AJ848" s="397">
        <f>SUM(AF848,AG848,AH848,AI848)</f>
        <v>295.29745794000002</v>
      </c>
      <c r="AK848" s="295">
        <f t="shared" si="1093"/>
        <v>33.850302880000001</v>
      </c>
      <c r="AL848" s="295">
        <f t="shared" si="1093"/>
        <v>38.283674449999999</v>
      </c>
      <c r="AM848" s="295">
        <f t="shared" si="1093"/>
        <v>40.583280390000006</v>
      </c>
      <c r="AN848" s="295">
        <f t="shared" si="1093"/>
        <v>36.119595660000002</v>
      </c>
      <c r="AO848" s="397">
        <f>SUM(AK848,AL848,AM848,AN848)</f>
        <v>148.83685337999998</v>
      </c>
      <c r="AP848" s="295">
        <f t="shared" si="1093"/>
        <v>0</v>
      </c>
      <c r="AQ848" s="295">
        <f t="shared" ref="AQ848" si="1094">SUM(AQ845:AQ847)</f>
        <v>0</v>
      </c>
      <c r="AR848" s="295">
        <f t="shared" si="1093"/>
        <v>109.04561570000001</v>
      </c>
      <c r="AS848" s="295">
        <f t="shared" si="1093"/>
        <v>40.952038350000002</v>
      </c>
      <c r="AT848" s="397">
        <f>SUM(AP848,AQ848,AR848,AS848)</f>
        <v>149.99765405000002</v>
      </c>
      <c r="AU848" s="295">
        <f t="shared" si="1093"/>
        <v>315.53269764999999</v>
      </c>
      <c r="AV848" s="295">
        <f t="shared" si="1093"/>
        <v>135.86040972999999</v>
      </c>
      <c r="AW848" s="295">
        <f t="shared" si="1093"/>
        <v>201.31176713000002</v>
      </c>
      <c r="AX848" s="295">
        <f t="shared" si="1093"/>
        <v>246.73537145</v>
      </c>
      <c r="AY848" s="397">
        <f>SUM(AU848,AV848,AW848,AX848)</f>
        <v>899.44024595999997</v>
      </c>
      <c r="AZ848" s="295">
        <f t="shared" si="1093"/>
        <v>501.06354149999999</v>
      </c>
      <c r="BA848" s="295">
        <f t="shared" si="1093"/>
        <v>265.34405902000003</v>
      </c>
      <c r="BB848" s="295">
        <f t="shared" si="1093"/>
        <v>74.529875399999995</v>
      </c>
      <c r="BC848" s="295">
        <f>SUM(BC845:BC847)</f>
        <v>39.083170500000001</v>
      </c>
      <c r="BD848" s="397">
        <f>SUM(AZ848,BA848,BB848,BC848)</f>
        <v>880.02064642000005</v>
      </c>
      <c r="BE848" s="295">
        <f t="shared" si="1093"/>
        <v>300.00460480999999</v>
      </c>
      <c r="BF848" s="295">
        <f t="shared" si="1093"/>
        <v>9.9998622300000015</v>
      </c>
      <c r="BG848" s="295">
        <f t="shared" ref="BG848" si="1095">SUM(BG845:BG847)</f>
        <v>3.00097434</v>
      </c>
      <c r="BH848" s="295">
        <f>SUM(BH845:BH847)</f>
        <v>0</v>
      </c>
      <c r="BI848" s="397">
        <f>SUM(BE848,BF848,BG848,BH848)</f>
        <v>313.00544138000004</v>
      </c>
      <c r="BJ848" s="1030">
        <f t="shared" ref="BJ848" si="1096">SUM(BJ845:BJ847)</f>
        <v>43.781962179999994</v>
      </c>
      <c r="BK848" s="295"/>
      <c r="BL848" s="295"/>
      <c r="BM848" s="295"/>
      <c r="BN848" s="397"/>
      <c r="BO848" s="295"/>
      <c r="BP848" s="295"/>
      <c r="BQ848" s="295"/>
      <c r="BR848" s="295"/>
      <c r="BS848" s="397"/>
      <c r="BT848" s="397"/>
      <c r="BU848" s="397"/>
      <c r="BV848" s="397"/>
      <c r="BW848" s="197"/>
    </row>
    <row r="849" spans="1:75" s="123" customFormat="1" ht="15" hidden="1" customHeight="1" outlineLevel="2" x14ac:dyDescent="0.5">
      <c r="A849" s="752"/>
      <c r="B849" s="513"/>
      <c r="C849" s="401"/>
      <c r="D849" s="401"/>
      <c r="E849" s="401"/>
      <c r="F849" s="401"/>
      <c r="G849" s="118"/>
      <c r="H849" s="118"/>
      <c r="I849" s="118"/>
      <c r="J849" s="118"/>
      <c r="K849" s="401"/>
      <c r="L849" s="118"/>
      <c r="M849" s="118"/>
      <c r="N849" s="118"/>
      <c r="O849" s="118"/>
      <c r="P849" s="401"/>
      <c r="Q849" s="118"/>
      <c r="R849" s="118"/>
      <c r="S849" s="118"/>
      <c r="T849" s="118"/>
      <c r="U849" s="401"/>
      <c r="V849" s="118"/>
      <c r="W849" s="118"/>
      <c r="X849" s="118"/>
      <c r="Y849" s="118"/>
      <c r="Z849" s="401"/>
      <c r="AA849" s="118"/>
      <c r="AB849" s="118"/>
      <c r="AC849" s="118"/>
      <c r="AD849" s="118"/>
      <c r="AE849" s="401"/>
      <c r="AF849" s="118"/>
      <c r="AG849" s="118"/>
      <c r="AH849" s="118"/>
      <c r="AI849" s="118"/>
      <c r="AJ849" s="401"/>
      <c r="AK849" s="118"/>
      <c r="AL849" s="118"/>
      <c r="AM849" s="118"/>
      <c r="AN849" s="118"/>
      <c r="AO849" s="401"/>
      <c r="AP849" s="118"/>
      <c r="AQ849" s="118"/>
      <c r="AR849" s="118"/>
      <c r="AS849" s="118"/>
      <c r="AT849" s="401"/>
      <c r="AU849" s="118"/>
      <c r="AV849" s="118"/>
      <c r="AW849" s="118"/>
      <c r="AX849" s="118"/>
      <c r="AY849" s="401"/>
      <c r="AZ849" s="118"/>
      <c r="BA849" s="118"/>
      <c r="BB849" s="118"/>
      <c r="BC849" s="118"/>
      <c r="BD849" s="401"/>
      <c r="BE849" s="118"/>
      <c r="BF849" s="118"/>
      <c r="BG849" s="118"/>
      <c r="BH849" s="118"/>
      <c r="BI849" s="401"/>
      <c r="BJ849" s="971"/>
      <c r="BK849" s="118"/>
      <c r="BL849" s="118"/>
      <c r="BM849" s="118"/>
      <c r="BN849" s="401"/>
      <c r="BO849" s="118"/>
      <c r="BP849" s="118"/>
      <c r="BQ849" s="118"/>
      <c r="BR849" s="118"/>
      <c r="BS849" s="401"/>
      <c r="BT849" s="401"/>
      <c r="BU849" s="401"/>
      <c r="BV849" s="401"/>
      <c r="BW849" s="122"/>
    </row>
    <row r="850" spans="1:75" s="123" customFormat="1" ht="15" hidden="1" customHeight="1" outlineLevel="2" x14ac:dyDescent="0.5">
      <c r="A850" s="184" t="s">
        <v>1258</v>
      </c>
      <c r="B850" s="513"/>
      <c r="C850" s="401"/>
      <c r="D850" s="401"/>
      <c r="E850" s="401"/>
      <c r="F850" s="401"/>
      <c r="G850" s="302">
        <v>750.49599999999998</v>
      </c>
      <c r="H850" s="302">
        <v>699.28650500000003</v>
      </c>
      <c r="I850" s="302">
        <v>611.46873900000003</v>
      </c>
      <c r="J850" s="302">
        <v>528.44200000000001</v>
      </c>
      <c r="K850" s="401"/>
      <c r="L850" s="302">
        <v>503.84100000000001</v>
      </c>
      <c r="M850" s="302">
        <v>450.43400000000003</v>
      </c>
      <c r="N850" s="302">
        <v>390.56900000000002</v>
      </c>
      <c r="O850" s="302">
        <v>302.98399999999998</v>
      </c>
      <c r="P850" s="401"/>
      <c r="Q850" s="302">
        <v>278.495</v>
      </c>
      <c r="R850" s="302">
        <v>220.994</v>
      </c>
      <c r="S850" s="302">
        <v>151.99299999999999</v>
      </c>
      <c r="T850" s="302">
        <v>78.415999999999997</v>
      </c>
      <c r="U850" s="401"/>
      <c r="V850" s="302">
        <v>50.960999999999999</v>
      </c>
      <c r="W850" s="302">
        <v>508.85</v>
      </c>
      <c r="X850" s="302">
        <v>473.851</v>
      </c>
      <c r="Y850" s="302">
        <v>437.851</v>
      </c>
      <c r="Z850" s="401"/>
      <c r="AA850" s="302">
        <v>399.02600000000001</v>
      </c>
      <c r="AB850" s="302">
        <v>359.435</v>
      </c>
      <c r="AC850" s="302">
        <v>287.95299999999997</v>
      </c>
      <c r="AD850" s="302">
        <v>240.95400000000001</v>
      </c>
      <c r="AE850" s="401"/>
      <c r="AF850" s="302">
        <v>203.04499999999999</v>
      </c>
      <c r="AG850" s="302">
        <v>469.40699999999998</v>
      </c>
      <c r="AH850" s="302">
        <v>318.86900000000003</v>
      </c>
      <c r="AI850" s="302">
        <v>290.52199999999999</v>
      </c>
      <c r="AJ850" s="401"/>
      <c r="AK850" s="302">
        <v>215.05</v>
      </c>
      <c r="AL850" s="302">
        <v>677.96299999999997</v>
      </c>
      <c r="AM850" s="302">
        <v>639.04999999999995</v>
      </c>
      <c r="AN850" s="302">
        <v>599.85299999999995</v>
      </c>
      <c r="AO850" s="401"/>
      <c r="AP850" s="302">
        <v>574.98199999999997</v>
      </c>
      <c r="AQ850" s="302">
        <v>574.98199999999997</v>
      </c>
      <c r="AR850" s="302">
        <v>574.98199999999997</v>
      </c>
      <c r="AS850" s="302">
        <v>453.53899999999999</v>
      </c>
      <c r="AT850" s="401"/>
      <c r="AU850" s="302">
        <v>414.036</v>
      </c>
      <c r="AV850" s="302">
        <v>683.875</v>
      </c>
      <c r="AW850" s="302">
        <v>1248.9459999999999</v>
      </c>
      <c r="AX850" s="302">
        <v>977.75099999999998</v>
      </c>
      <c r="AY850" s="401"/>
      <c r="AZ850" s="302">
        <v>740.75099999999998</v>
      </c>
      <c r="BA850" s="302">
        <v>1012.987</v>
      </c>
      <c r="BB850" s="302">
        <v>749.62</v>
      </c>
      <c r="BC850" s="302">
        <v>729.04399999999998</v>
      </c>
      <c r="BD850" s="401"/>
      <c r="BE850" s="302">
        <v>689.96199999999999</v>
      </c>
      <c r="BF850" s="302">
        <v>690</v>
      </c>
      <c r="BG850" s="302">
        <v>690</v>
      </c>
      <c r="BH850" s="302">
        <v>686.99900000000002</v>
      </c>
      <c r="BI850" s="401"/>
      <c r="BJ850" s="1207">
        <v>686.99900000000002</v>
      </c>
      <c r="BK850" s="118"/>
      <c r="BL850" s="118"/>
      <c r="BM850" s="118"/>
      <c r="BN850" s="401"/>
      <c r="BO850" s="118"/>
      <c r="BP850" s="118"/>
      <c r="BQ850" s="118"/>
      <c r="BR850" s="118"/>
      <c r="BS850" s="401"/>
      <c r="BT850" s="401"/>
      <c r="BU850" s="401"/>
      <c r="BV850" s="401"/>
      <c r="BW850" s="122"/>
    </row>
    <row r="851" spans="1:75" s="123" customFormat="1" ht="15" hidden="1" customHeight="1" outlineLevel="2" x14ac:dyDescent="0.5">
      <c r="A851" s="184" t="s">
        <v>1259</v>
      </c>
      <c r="B851" s="513"/>
      <c r="C851" s="401"/>
      <c r="D851" s="401"/>
      <c r="E851" s="401"/>
      <c r="F851" s="401"/>
      <c r="G851" s="302">
        <v>740.57698400000004</v>
      </c>
      <c r="H851" s="302">
        <v>648.83821</v>
      </c>
      <c r="I851" s="302">
        <v>563.53328299999998</v>
      </c>
      <c r="J851" s="302">
        <v>519.97699999999998</v>
      </c>
      <c r="K851" s="401"/>
      <c r="L851" s="302">
        <v>479.56700000000001</v>
      </c>
      <c r="M851" s="302">
        <v>419.101</v>
      </c>
      <c r="N851" s="302">
        <v>343.649</v>
      </c>
      <c r="O851" s="302">
        <v>295.19299999999998</v>
      </c>
      <c r="P851" s="401"/>
      <c r="Q851" s="302">
        <v>261.36900000000003</v>
      </c>
      <c r="R851" s="302">
        <v>182.67500000000001</v>
      </c>
      <c r="S851" s="302">
        <v>112.247</v>
      </c>
      <c r="T851" s="302">
        <v>69.637</v>
      </c>
      <c r="U851" s="401"/>
      <c r="V851" s="302">
        <v>537.85</v>
      </c>
      <c r="W851" s="302">
        <v>499.85</v>
      </c>
      <c r="X851" s="302">
        <v>461.851</v>
      </c>
      <c r="Y851" s="302">
        <v>423.87099999999998</v>
      </c>
      <c r="Z851" s="401"/>
      <c r="AA851" s="302">
        <v>386.851</v>
      </c>
      <c r="AB851" s="302">
        <v>345.37299999999999</v>
      </c>
      <c r="AC851" s="302">
        <v>271.2</v>
      </c>
      <c r="AD851" s="302">
        <v>227.53899999999999</v>
      </c>
      <c r="AE851" s="401"/>
      <c r="AF851" s="302">
        <v>495.80599999999998</v>
      </c>
      <c r="AG851" s="302">
        <v>405.86900000000003</v>
      </c>
      <c r="AH851" s="302">
        <v>310.32</v>
      </c>
      <c r="AI851" s="302">
        <v>237.934</v>
      </c>
      <c r="AJ851" s="401"/>
      <c r="AK851" s="302">
        <v>704.74900000000002</v>
      </c>
      <c r="AL851" s="302">
        <v>666.57299999999998</v>
      </c>
      <c r="AM851" s="302">
        <v>626.68700000000001</v>
      </c>
      <c r="AN851" s="302">
        <v>588.60400000000004</v>
      </c>
      <c r="AO851" s="401"/>
      <c r="AP851" s="302">
        <v>574.98199999999997</v>
      </c>
      <c r="AQ851" s="302">
        <v>574.98199999999997</v>
      </c>
      <c r="AR851" s="302">
        <v>574.98199999999997</v>
      </c>
      <c r="AS851" s="302">
        <v>440.83699999999999</v>
      </c>
      <c r="AT851" s="401"/>
      <c r="AU851" s="302">
        <v>947.88900000000001</v>
      </c>
      <c r="AV851" s="302">
        <v>579.60500000000002</v>
      </c>
      <c r="AW851" s="302">
        <v>1170.183</v>
      </c>
      <c r="AX851" s="302">
        <v>810.75099999999998</v>
      </c>
      <c r="AY851" s="401"/>
      <c r="AZ851" s="302">
        <v>1433.068</v>
      </c>
      <c r="BA851" s="302">
        <v>923.08799999999997</v>
      </c>
      <c r="BB851" s="302">
        <v>747.53599999999994</v>
      </c>
      <c r="BC851" s="302">
        <v>689.96199999999999</v>
      </c>
      <c r="BD851" s="401"/>
      <c r="BE851" s="302">
        <v>999</v>
      </c>
      <c r="BF851" s="302">
        <v>690</v>
      </c>
      <c r="BG851" s="302">
        <v>686.99900000000002</v>
      </c>
      <c r="BH851" s="302">
        <v>686.99900000000002</v>
      </c>
      <c r="BI851" s="401"/>
      <c r="BJ851" s="1207">
        <v>988.90700000000004</v>
      </c>
      <c r="BK851" s="118"/>
      <c r="BL851" s="118"/>
      <c r="BM851" s="118"/>
      <c r="BN851" s="401"/>
      <c r="BO851" s="118"/>
      <c r="BP851" s="118"/>
      <c r="BQ851" s="118"/>
      <c r="BR851" s="118"/>
      <c r="BS851" s="401"/>
      <c r="BT851" s="401"/>
      <c r="BU851" s="401"/>
      <c r="BV851" s="401"/>
      <c r="BW851" s="122"/>
    </row>
    <row r="852" spans="1:75" s="123" customFormat="1" ht="15" hidden="1" customHeight="1" outlineLevel="2" x14ac:dyDescent="0.5">
      <c r="A852" s="445" t="s">
        <v>1260</v>
      </c>
      <c r="B852" s="677"/>
      <c r="C852" s="406"/>
      <c r="D852" s="406"/>
      <c r="E852" s="406"/>
      <c r="F852" s="406"/>
      <c r="G852" s="357">
        <v>709.32246199999997</v>
      </c>
      <c r="H852" s="357">
        <v>619.49012000000005</v>
      </c>
      <c r="I852" s="357">
        <v>534.12737000000004</v>
      </c>
      <c r="J852" s="357">
        <v>511.22199999999998</v>
      </c>
      <c r="K852" s="406"/>
      <c r="L852" s="357">
        <v>457.91300000000001</v>
      </c>
      <c r="M852" s="357">
        <v>399.16800000000001</v>
      </c>
      <c r="N852" s="357">
        <v>315.98700000000002</v>
      </c>
      <c r="O852" s="357">
        <v>286.84500000000003</v>
      </c>
      <c r="P852" s="406"/>
      <c r="Q852" s="357">
        <v>234.28299999999999</v>
      </c>
      <c r="R852" s="357">
        <v>161.846</v>
      </c>
      <c r="S852" s="357">
        <v>90.347999999999999</v>
      </c>
      <c r="T852" s="357">
        <v>61.85</v>
      </c>
      <c r="U852" s="406"/>
      <c r="V852" s="357">
        <v>521.21100000000001</v>
      </c>
      <c r="W852" s="357">
        <v>485.68400000000003</v>
      </c>
      <c r="X852" s="357">
        <v>446.68299999999999</v>
      </c>
      <c r="Y852" s="357">
        <v>410.57799999999997</v>
      </c>
      <c r="Z852" s="406"/>
      <c r="AA852" s="357">
        <v>372.22699999999998</v>
      </c>
      <c r="AB852" s="357">
        <v>317.21699999999998</v>
      </c>
      <c r="AC852" s="357">
        <v>256.25700000000001</v>
      </c>
      <c r="AD852" s="357">
        <v>214.399</v>
      </c>
      <c r="AE852" s="406"/>
      <c r="AF852" s="357">
        <v>481.40600000000001</v>
      </c>
      <c r="AG852" s="357">
        <v>344.30200000000002</v>
      </c>
      <c r="AH852" s="357">
        <v>298.89800000000002</v>
      </c>
      <c r="AI852" s="357">
        <v>223.815</v>
      </c>
      <c r="AJ852" s="406"/>
      <c r="AK852" s="357">
        <v>689.96699999999998</v>
      </c>
      <c r="AL852" s="357">
        <v>651.68499999999995</v>
      </c>
      <c r="AM852" s="357">
        <v>611.101</v>
      </c>
      <c r="AN852" s="357">
        <v>574.98199999999997</v>
      </c>
      <c r="AO852" s="406"/>
      <c r="AP852" s="357">
        <v>574.98199999999997</v>
      </c>
      <c r="AQ852" s="357">
        <v>574.98199999999997</v>
      </c>
      <c r="AR852" s="357">
        <v>465.93400000000003</v>
      </c>
      <c r="AS852" s="357">
        <v>424.98200000000003</v>
      </c>
      <c r="AT852" s="406"/>
      <c r="AU852" s="357">
        <v>703.83299999999997</v>
      </c>
      <c r="AV852" s="357">
        <v>567.97400000000005</v>
      </c>
      <c r="AW852" s="357">
        <v>1057.4849999999999</v>
      </c>
      <c r="AX852" s="357">
        <v>810.75099999999998</v>
      </c>
      <c r="AY852" s="406"/>
      <c r="AZ852" s="357">
        <v>1068.925</v>
      </c>
      <c r="BA852" s="357">
        <v>803.57600000000002</v>
      </c>
      <c r="BB852" s="357">
        <v>729.04399999999998</v>
      </c>
      <c r="BC852" s="357">
        <v>689.96199999999999</v>
      </c>
      <c r="BD852" s="406"/>
      <c r="BE852" s="357">
        <v>700</v>
      </c>
      <c r="BF852" s="357">
        <v>690</v>
      </c>
      <c r="BG852" s="357">
        <v>686.99900000000002</v>
      </c>
      <c r="BH852" s="357">
        <v>686.99900000000002</v>
      </c>
      <c r="BI852" s="406"/>
      <c r="BJ852" s="1208">
        <v>956.21900000000005</v>
      </c>
      <c r="BK852" s="723"/>
      <c r="BL852" s="723"/>
      <c r="BM852" s="723"/>
      <c r="BN852" s="406"/>
      <c r="BO852" s="723"/>
      <c r="BP852" s="723"/>
      <c r="BQ852" s="723"/>
      <c r="BR852" s="723"/>
      <c r="BS852" s="406"/>
      <c r="BT852" s="406"/>
      <c r="BU852" s="406"/>
      <c r="BV852" s="406"/>
      <c r="BW852" s="122"/>
    </row>
    <row r="853" spans="1:75" s="198" customFormat="1" ht="15" hidden="1" customHeight="1" outlineLevel="1" collapsed="1" x14ac:dyDescent="0.45">
      <c r="A853" s="206" t="s">
        <v>1261</v>
      </c>
      <c r="B853" s="522"/>
      <c r="C853" s="397"/>
      <c r="D853" s="397"/>
      <c r="E853" s="397"/>
      <c r="F853" s="397"/>
      <c r="G853" s="295">
        <f t="shared" ref="G853:J853" si="1097">G852</f>
        <v>709.32246199999997</v>
      </c>
      <c r="H853" s="295">
        <f t="shared" si="1097"/>
        <v>619.49012000000005</v>
      </c>
      <c r="I853" s="295">
        <f t="shared" si="1097"/>
        <v>534.12737000000004</v>
      </c>
      <c r="J853" s="295">
        <f t="shared" si="1097"/>
        <v>511.22199999999998</v>
      </c>
      <c r="K853" s="397">
        <f>J853</f>
        <v>511.22199999999998</v>
      </c>
      <c r="L853" s="295">
        <f t="shared" ref="L853:O853" si="1098">L852</f>
        <v>457.91300000000001</v>
      </c>
      <c r="M853" s="295">
        <f t="shared" si="1098"/>
        <v>399.16800000000001</v>
      </c>
      <c r="N853" s="295">
        <f t="shared" si="1098"/>
        <v>315.98700000000002</v>
      </c>
      <c r="O853" s="295">
        <f t="shared" si="1098"/>
        <v>286.84500000000003</v>
      </c>
      <c r="P853" s="397">
        <f>O853</f>
        <v>286.84500000000003</v>
      </c>
      <c r="Q853" s="295">
        <f t="shared" ref="Q853:T853" si="1099">Q852</f>
        <v>234.28299999999999</v>
      </c>
      <c r="R853" s="295">
        <f t="shared" si="1099"/>
        <v>161.846</v>
      </c>
      <c r="S853" s="295">
        <f t="shared" si="1099"/>
        <v>90.347999999999999</v>
      </c>
      <c r="T853" s="295">
        <f t="shared" si="1099"/>
        <v>61.85</v>
      </c>
      <c r="U853" s="397">
        <f>T853</f>
        <v>61.85</v>
      </c>
      <c r="V853" s="295">
        <f t="shared" ref="V853:Y853" si="1100">V852</f>
        <v>521.21100000000001</v>
      </c>
      <c r="W853" s="295">
        <f t="shared" si="1100"/>
        <v>485.68400000000003</v>
      </c>
      <c r="X853" s="295">
        <f t="shared" si="1100"/>
        <v>446.68299999999999</v>
      </c>
      <c r="Y853" s="295">
        <f t="shared" si="1100"/>
        <v>410.57799999999997</v>
      </c>
      <c r="Z853" s="397">
        <f>Y853</f>
        <v>410.57799999999997</v>
      </c>
      <c r="AA853" s="295">
        <f t="shared" ref="AA853:AD853" si="1101">AA852</f>
        <v>372.22699999999998</v>
      </c>
      <c r="AB853" s="295">
        <f t="shared" si="1101"/>
        <v>317.21699999999998</v>
      </c>
      <c r="AC853" s="295">
        <f t="shared" si="1101"/>
        <v>256.25700000000001</v>
      </c>
      <c r="AD853" s="295">
        <f t="shared" si="1101"/>
        <v>214.399</v>
      </c>
      <c r="AE853" s="397">
        <f>AD853</f>
        <v>214.399</v>
      </c>
      <c r="AF853" s="295">
        <f t="shared" ref="AF853:AI853" si="1102">AF852</f>
        <v>481.40600000000001</v>
      </c>
      <c r="AG853" s="295">
        <f t="shared" si="1102"/>
        <v>344.30200000000002</v>
      </c>
      <c r="AH853" s="295">
        <f t="shared" si="1102"/>
        <v>298.89800000000002</v>
      </c>
      <c r="AI853" s="295">
        <f t="shared" si="1102"/>
        <v>223.815</v>
      </c>
      <c r="AJ853" s="397">
        <f>AI853</f>
        <v>223.815</v>
      </c>
      <c r="AK853" s="295">
        <f t="shared" ref="AK853:AN853" si="1103">AK852</f>
        <v>689.96699999999998</v>
      </c>
      <c r="AL853" s="295">
        <f t="shared" si="1103"/>
        <v>651.68499999999995</v>
      </c>
      <c r="AM853" s="295">
        <f t="shared" si="1103"/>
        <v>611.101</v>
      </c>
      <c r="AN853" s="295">
        <f t="shared" si="1103"/>
        <v>574.98199999999997</v>
      </c>
      <c r="AO853" s="397">
        <f>AN853</f>
        <v>574.98199999999997</v>
      </c>
      <c r="AP853" s="295">
        <f t="shared" ref="AP853:AS853" si="1104">AP852</f>
        <v>574.98199999999997</v>
      </c>
      <c r="AQ853" s="295">
        <f t="shared" si="1104"/>
        <v>574.98199999999997</v>
      </c>
      <c r="AR853" s="295">
        <f t="shared" si="1104"/>
        <v>465.93400000000003</v>
      </c>
      <c r="AS853" s="295">
        <f t="shared" si="1104"/>
        <v>424.98200000000003</v>
      </c>
      <c r="AT853" s="397">
        <f>AS853</f>
        <v>424.98200000000003</v>
      </c>
      <c r="AU853" s="295">
        <f t="shared" ref="AU853:AX853" si="1105">AU852</f>
        <v>703.83299999999997</v>
      </c>
      <c r="AV853" s="295">
        <f t="shared" si="1105"/>
        <v>567.97400000000005</v>
      </c>
      <c r="AW853" s="295">
        <f t="shared" si="1105"/>
        <v>1057.4849999999999</v>
      </c>
      <c r="AX853" s="295">
        <f t="shared" si="1105"/>
        <v>810.75099999999998</v>
      </c>
      <c r="AY853" s="397">
        <f>AX853</f>
        <v>810.75099999999998</v>
      </c>
      <c r="AZ853" s="295">
        <f>AZ852</f>
        <v>1068.925</v>
      </c>
      <c r="BA853" s="295">
        <f t="shared" ref="BA853:BC853" si="1106">BA852</f>
        <v>803.57600000000002</v>
      </c>
      <c r="BB853" s="295">
        <f t="shared" si="1106"/>
        <v>729.04399999999998</v>
      </c>
      <c r="BC853" s="295">
        <f t="shared" si="1106"/>
        <v>689.96199999999999</v>
      </c>
      <c r="BD853" s="397">
        <f>BC853</f>
        <v>689.96199999999999</v>
      </c>
      <c r="BE853" s="295">
        <f t="shared" ref="BE853:BH853" si="1107">BE852</f>
        <v>700</v>
      </c>
      <c r="BF853" s="295">
        <f t="shared" si="1107"/>
        <v>690</v>
      </c>
      <c r="BG853" s="295">
        <f t="shared" si="1107"/>
        <v>686.99900000000002</v>
      </c>
      <c r="BH853" s="295">
        <f t="shared" si="1107"/>
        <v>686.99900000000002</v>
      </c>
      <c r="BI853" s="397">
        <f>BH853</f>
        <v>686.99900000000002</v>
      </c>
      <c r="BJ853" s="1030">
        <f>BJ852</f>
        <v>956.21900000000005</v>
      </c>
      <c r="BK853" s="295"/>
      <c r="BL853" s="295"/>
      <c r="BM853" s="295"/>
      <c r="BN853" s="397"/>
      <c r="BO853" s="295"/>
      <c r="BP853" s="295"/>
      <c r="BQ853" s="295"/>
      <c r="BR853" s="295"/>
      <c r="BS853" s="397"/>
      <c r="BT853" s="397"/>
      <c r="BU853" s="397"/>
      <c r="BV853" s="397"/>
      <c r="BW853" s="197"/>
    </row>
    <row r="854" spans="1:75" s="123" customFormat="1" ht="15" hidden="1" customHeight="1" outlineLevel="1" x14ac:dyDescent="0.5">
      <c r="A854" s="588"/>
      <c r="B854" s="513"/>
      <c r="C854" s="401"/>
      <c r="D854" s="401"/>
      <c r="E854" s="401"/>
      <c r="F854" s="401"/>
      <c r="G854" s="118"/>
      <c r="H854" s="118"/>
      <c r="I854" s="118"/>
      <c r="J854" s="118"/>
      <c r="K854" s="401"/>
      <c r="L854" s="118"/>
      <c r="M854" s="118"/>
      <c r="N854" s="118"/>
      <c r="O854" s="118"/>
      <c r="P854" s="401"/>
      <c r="Q854" s="118"/>
      <c r="R854" s="118"/>
      <c r="S854" s="118"/>
      <c r="T854" s="118"/>
      <c r="U854" s="401"/>
      <c r="V854" s="118"/>
      <c r="W854" s="118"/>
      <c r="X854" s="118"/>
      <c r="Y854" s="118"/>
      <c r="Z854" s="401"/>
      <c r="AA854" s="118"/>
      <c r="AB854" s="118"/>
      <c r="AC854" s="118"/>
      <c r="AD854" s="118"/>
      <c r="AE854" s="401"/>
      <c r="AF854" s="118"/>
      <c r="AG854" s="118"/>
      <c r="AH854" s="118"/>
      <c r="AI854" s="118"/>
      <c r="AJ854" s="401"/>
      <c r="AK854" s="118"/>
      <c r="AL854" s="118"/>
      <c r="AM854" s="118"/>
      <c r="AN854" s="118"/>
      <c r="AO854" s="401"/>
      <c r="AP854" s="118"/>
      <c r="AQ854" s="118"/>
      <c r="AR854" s="118"/>
      <c r="AS854" s="118"/>
      <c r="AT854" s="401"/>
      <c r="AU854" s="118"/>
      <c r="AV854" s="118"/>
      <c r="AW854" s="118"/>
      <c r="AX854" s="118"/>
      <c r="AY854" s="401"/>
      <c r="AZ854" s="118"/>
      <c r="BA854" s="118"/>
      <c r="BB854" s="118"/>
      <c r="BC854" s="118"/>
      <c r="BD854" s="401"/>
      <c r="BE854" s="118"/>
      <c r="BF854" s="118"/>
      <c r="BG854" s="118"/>
      <c r="BH854" s="118"/>
      <c r="BI854" s="401"/>
      <c r="BJ854" s="971"/>
      <c r="BK854" s="118"/>
      <c r="BL854" s="118"/>
      <c r="BM854" s="118"/>
      <c r="BN854" s="401"/>
      <c r="BO854" s="118"/>
      <c r="BP854" s="118"/>
      <c r="BQ854" s="118"/>
      <c r="BR854" s="118"/>
      <c r="BS854" s="401"/>
      <c r="BT854" s="401"/>
      <c r="BU854" s="401"/>
      <c r="BV854" s="401"/>
      <c r="BW854" s="122"/>
    </row>
    <row r="855" spans="1:75" s="123" customFormat="1" ht="15" hidden="1" customHeight="1" outlineLevel="1" x14ac:dyDescent="0.5">
      <c r="A855" s="752" t="s">
        <v>1262</v>
      </c>
      <c r="B855" s="513"/>
      <c r="C855" s="401"/>
      <c r="D855" s="401"/>
      <c r="E855" s="401"/>
      <c r="F855" s="401"/>
      <c r="G855" s="302">
        <v>750</v>
      </c>
      <c r="H855" s="118"/>
      <c r="I855" s="118"/>
      <c r="J855" s="118"/>
      <c r="K855" s="401"/>
      <c r="L855" s="118"/>
      <c r="M855" s="118"/>
      <c r="N855" s="118"/>
      <c r="O855" s="118"/>
      <c r="P855" s="401"/>
      <c r="Q855" s="118"/>
      <c r="R855" s="118"/>
      <c r="S855" s="118"/>
      <c r="T855" s="118"/>
      <c r="U855" s="401"/>
      <c r="V855" s="302">
        <v>500</v>
      </c>
      <c r="W855" s="118"/>
      <c r="X855" s="118"/>
      <c r="Y855" s="118"/>
      <c r="Z855" s="401">
        <f>SUM(V855,W855,X855,Y855)</f>
        <v>500</v>
      </c>
      <c r="AA855" s="118"/>
      <c r="AB855" s="118"/>
      <c r="AC855" s="118"/>
      <c r="AD855" s="118"/>
      <c r="AE855" s="401">
        <f>SUM(AA855,AB855,AC855,AD855)</f>
        <v>0</v>
      </c>
      <c r="AF855" s="118">
        <f>AF851+AF846-AF850</f>
        <v>304.72058504999995</v>
      </c>
      <c r="AG855" s="118"/>
      <c r="AH855" s="118"/>
      <c r="AI855" s="118"/>
      <c r="AJ855" s="401">
        <f>SUM(AF855,AG855,AH855,AI855)</f>
        <v>304.72058504999995</v>
      </c>
      <c r="AK855" s="302">
        <v>500</v>
      </c>
      <c r="AL855" s="118"/>
      <c r="AM855" s="118"/>
      <c r="AN855" s="118"/>
      <c r="AO855" s="401">
        <f>SUM(AK855,AL855,AM855,AN855)</f>
        <v>500</v>
      </c>
      <c r="AP855" s="118"/>
      <c r="AQ855" s="118"/>
      <c r="AR855" s="118"/>
      <c r="AS855" s="118"/>
      <c r="AT855" s="401">
        <f>SUM(AP855,AQ855,AR855,AS855)</f>
        <v>0</v>
      </c>
      <c r="AU855" s="118">
        <f>AU851+AU846-AU850</f>
        <v>594.37969303</v>
      </c>
      <c r="AV855" s="118"/>
      <c r="AW855" s="118">
        <f>AW850+AW845-AV853</f>
        <v>690.8226060799999</v>
      </c>
      <c r="AX855" s="118"/>
      <c r="AY855" s="401">
        <f>SUM(AU855,AV855,AW855,AX855)</f>
        <v>1285.2022991099998</v>
      </c>
      <c r="AZ855" s="118">
        <f>AZ851+AZ846-AZ850</f>
        <v>759.24976633999995</v>
      </c>
      <c r="BA855" s="118"/>
      <c r="BB855" s="118"/>
      <c r="BC855" s="118"/>
      <c r="BD855" s="401">
        <f>SUM(AZ855,BA855,BB855,BC855)</f>
        <v>759.24976633999995</v>
      </c>
      <c r="BE855" s="118">
        <f>BE851+BE846-BE850</f>
        <v>310.03787871999998</v>
      </c>
      <c r="BF855" s="118"/>
      <c r="BG855" s="118"/>
      <c r="BH855" s="118"/>
      <c r="BI855" s="401">
        <f>SUM(BE855,BF855,BG855,BH855)</f>
        <v>310.03787871999998</v>
      </c>
      <c r="BJ855" s="971">
        <f>BJ851+BJ846-BJ850</f>
        <v>313.00094967999996</v>
      </c>
      <c r="BK855" s="118"/>
      <c r="BL855" s="118"/>
      <c r="BM855" s="118"/>
      <c r="BN855" s="401"/>
      <c r="BO855" s="118"/>
      <c r="BP855" s="118"/>
      <c r="BQ855" s="118"/>
      <c r="BR855" s="118"/>
      <c r="BS855" s="401"/>
      <c r="BT855" s="401"/>
      <c r="BU855" s="401"/>
      <c r="BV855" s="401"/>
      <c r="BW855" s="122"/>
    </row>
    <row r="856" spans="1:75" s="123" customFormat="1" ht="15" hidden="1" customHeight="1" outlineLevel="1" x14ac:dyDescent="0.5">
      <c r="A856" s="752"/>
      <c r="B856" s="513"/>
      <c r="C856" s="401"/>
      <c r="D856" s="401"/>
      <c r="E856" s="401"/>
      <c r="F856" s="401"/>
      <c r="G856" s="118"/>
      <c r="H856" s="118"/>
      <c r="I856" s="118"/>
      <c r="J856" s="118"/>
      <c r="K856" s="401"/>
      <c r="L856" s="118"/>
      <c r="M856" s="118"/>
      <c r="N856" s="118"/>
      <c r="O856" s="118"/>
      <c r="P856" s="401"/>
      <c r="Q856" s="118"/>
      <c r="R856" s="118"/>
      <c r="S856" s="118"/>
      <c r="T856" s="118"/>
      <c r="U856" s="401"/>
      <c r="V856" s="118"/>
      <c r="W856" s="118"/>
      <c r="X856" s="118"/>
      <c r="Y856" s="118"/>
      <c r="Z856" s="401"/>
      <c r="AA856" s="118"/>
      <c r="AB856" s="118"/>
      <c r="AC856" s="118"/>
      <c r="AD856" s="118"/>
      <c r="AE856" s="401"/>
      <c r="AF856" s="118"/>
      <c r="AG856" s="118"/>
      <c r="AH856" s="118"/>
      <c r="AI856" s="118"/>
      <c r="AJ856" s="401"/>
      <c r="AK856" s="118"/>
      <c r="AL856" s="118"/>
      <c r="AM856" s="118"/>
      <c r="AN856" s="118"/>
      <c r="AO856" s="401"/>
      <c r="AP856" s="118"/>
      <c r="AQ856" s="118"/>
      <c r="AR856" s="118"/>
      <c r="AS856" s="118"/>
      <c r="AT856" s="401"/>
      <c r="AU856" s="118"/>
      <c r="AV856" s="118"/>
      <c r="AW856" s="118"/>
      <c r="AX856" s="118"/>
      <c r="AY856" s="401"/>
      <c r="AZ856" s="118"/>
      <c r="BA856" s="118"/>
      <c r="BB856" s="118"/>
      <c r="BC856" s="118"/>
      <c r="BD856" s="401"/>
      <c r="BE856" s="118"/>
      <c r="BF856" s="118"/>
      <c r="BG856" s="118"/>
      <c r="BH856" s="118"/>
      <c r="BI856" s="401"/>
      <c r="BJ856" s="971"/>
      <c r="BK856" s="118"/>
      <c r="BL856" s="118"/>
      <c r="BM856" s="118"/>
      <c r="BN856" s="401"/>
      <c r="BO856" s="118"/>
      <c r="BP856" s="118"/>
      <c r="BQ856" s="118"/>
      <c r="BR856" s="118"/>
      <c r="BS856" s="401"/>
      <c r="BT856" s="401"/>
      <c r="BU856" s="401"/>
      <c r="BV856" s="401"/>
      <c r="BW856" s="122"/>
    </row>
    <row r="857" spans="1:75" s="123" customFormat="1" ht="15" hidden="1" customHeight="1" outlineLevel="2" x14ac:dyDescent="0.5">
      <c r="A857" s="184" t="s">
        <v>1263</v>
      </c>
      <c r="B857" s="513"/>
      <c r="C857" s="401"/>
      <c r="D857" s="401"/>
      <c r="E857" s="401"/>
      <c r="F857" s="401"/>
      <c r="G857" s="118"/>
      <c r="H857" s="302">
        <v>180.91</v>
      </c>
      <c r="I857" s="302">
        <v>135.56100000000001</v>
      </c>
      <c r="J857" s="302">
        <v>102.569</v>
      </c>
      <c r="K857" s="401"/>
      <c r="L857" s="302">
        <v>133.886</v>
      </c>
      <c r="M857" s="302">
        <v>115.83</v>
      </c>
      <c r="N857" s="302">
        <v>121.30500000000001</v>
      </c>
      <c r="O857" s="302">
        <v>181.12899999999999</v>
      </c>
      <c r="P857" s="401"/>
      <c r="Q857" s="302">
        <v>104.1</v>
      </c>
      <c r="R857" s="302">
        <v>170.63499999999999</v>
      </c>
      <c r="S857" s="302">
        <v>117.47799999999999</v>
      </c>
      <c r="T857" s="302">
        <v>178.815</v>
      </c>
      <c r="U857" s="401"/>
      <c r="V857" s="302">
        <v>203.767</v>
      </c>
      <c r="W857" s="302">
        <v>230.267</v>
      </c>
      <c r="X857" s="302">
        <v>224.03100000000001</v>
      </c>
      <c r="Y857" s="302">
        <v>179.05199999999999</v>
      </c>
      <c r="Z857" s="401"/>
      <c r="AA857" s="302">
        <v>241.97</v>
      </c>
      <c r="AB857" s="302">
        <v>249.732</v>
      </c>
      <c r="AC857" s="302">
        <v>651.16899999999998</v>
      </c>
      <c r="AD857" s="302">
        <v>316.7</v>
      </c>
      <c r="AE857" s="401"/>
      <c r="AF857" s="302">
        <v>217.4</v>
      </c>
      <c r="AG857" s="302">
        <v>245.13399999999999</v>
      </c>
      <c r="AH857" s="302">
        <v>433.27199999999999</v>
      </c>
      <c r="AI857" s="302">
        <v>141.67099999999999</v>
      </c>
      <c r="AJ857" s="401"/>
      <c r="AK857" s="302">
        <v>156.93</v>
      </c>
      <c r="AL857" s="302">
        <v>223.92500000000001</v>
      </c>
      <c r="AM857" s="302">
        <v>193.94200000000001</v>
      </c>
      <c r="AN857" s="302">
        <v>160.91800000000001</v>
      </c>
      <c r="AO857" s="401"/>
      <c r="AP857" s="118"/>
      <c r="AQ857" s="118"/>
      <c r="AR857" s="118"/>
      <c r="AS857" s="302">
        <v>125.31</v>
      </c>
      <c r="AT857" s="401"/>
      <c r="AU857" s="302">
        <v>85.932000000000002</v>
      </c>
      <c r="AV857" s="302">
        <v>116.095</v>
      </c>
      <c r="AW857" s="302">
        <v>60.448</v>
      </c>
      <c r="AX857" s="302">
        <v>384.31900000000002</v>
      </c>
      <c r="AY857" s="401"/>
      <c r="AZ857" s="302">
        <v>432.84100000000001</v>
      </c>
      <c r="BA857" s="302">
        <v>457.4</v>
      </c>
      <c r="BB857" s="302">
        <v>345.8</v>
      </c>
      <c r="BC857" s="118"/>
      <c r="BD857" s="401"/>
      <c r="BE857" s="118"/>
      <c r="BF857" s="302">
        <v>89.709000000000003</v>
      </c>
      <c r="BG857" s="118"/>
      <c r="BH857" s="118"/>
      <c r="BI857" s="401"/>
      <c r="BJ857" s="971"/>
      <c r="BK857" s="118"/>
      <c r="BL857" s="118"/>
      <c r="BM857" s="118"/>
      <c r="BN857" s="401"/>
      <c r="BO857" s="118"/>
      <c r="BP857" s="118"/>
      <c r="BQ857" s="118"/>
      <c r="BR857" s="118"/>
      <c r="BS857" s="401"/>
      <c r="BT857" s="401"/>
      <c r="BU857" s="401"/>
      <c r="BV857" s="401"/>
      <c r="BW857" s="122"/>
    </row>
    <row r="858" spans="1:75" s="123" customFormat="1" ht="15" hidden="1" customHeight="1" outlineLevel="2" x14ac:dyDescent="0.5">
      <c r="A858" s="184" t="s">
        <v>1264</v>
      </c>
      <c r="B858" s="513"/>
      <c r="C858" s="401"/>
      <c r="D858" s="401"/>
      <c r="E858" s="401"/>
      <c r="F858" s="401"/>
      <c r="G858" s="302">
        <v>195.31700000000001</v>
      </c>
      <c r="H858" s="302">
        <v>926.85199999999998</v>
      </c>
      <c r="I858" s="302">
        <v>851.09900000000005</v>
      </c>
      <c r="J858" s="302">
        <v>144.48699999999999</v>
      </c>
      <c r="K858" s="401"/>
      <c r="L858" s="302">
        <v>371.7</v>
      </c>
      <c r="M858" s="302">
        <v>451.95299999999997</v>
      </c>
      <c r="N858" s="302">
        <v>706.36699999999996</v>
      </c>
      <c r="O858" s="302">
        <v>106.16800000000001</v>
      </c>
      <c r="P858" s="401"/>
      <c r="Q858" s="302">
        <v>214.499</v>
      </c>
      <c r="R858" s="302">
        <v>477.81799999999998</v>
      </c>
      <c r="S858" s="302">
        <v>518.00099999999998</v>
      </c>
      <c r="T858" s="302">
        <v>142.852</v>
      </c>
      <c r="U858" s="401"/>
      <c r="V858" s="302">
        <v>234.202</v>
      </c>
      <c r="W858" s="302">
        <v>170.286</v>
      </c>
      <c r="X858" s="302">
        <v>235.98</v>
      </c>
      <c r="Y858" s="302">
        <v>256.72300000000001</v>
      </c>
      <c r="Z858" s="401"/>
      <c r="AA858" s="302">
        <v>250.684</v>
      </c>
      <c r="AB858" s="302">
        <v>294.88200000000001</v>
      </c>
      <c r="AC858" s="302">
        <v>357.46199999999999</v>
      </c>
      <c r="AD858" s="302">
        <v>263</v>
      </c>
      <c r="AE858" s="401"/>
      <c r="AF858" s="302">
        <v>226.29300000000001</v>
      </c>
      <c r="AG858" s="302">
        <v>1133.7</v>
      </c>
      <c r="AH858" s="302">
        <v>124.27800000000001</v>
      </c>
      <c r="AI858" s="302">
        <v>1074.046</v>
      </c>
      <c r="AJ858" s="401"/>
      <c r="AK858" s="302">
        <v>179.34899999999999</v>
      </c>
      <c r="AL858" s="302">
        <v>188.10599999999999</v>
      </c>
      <c r="AM858" s="302">
        <v>186.285</v>
      </c>
      <c r="AN858" s="302">
        <v>158.78</v>
      </c>
      <c r="AO858" s="401"/>
      <c r="AP858" s="118"/>
      <c r="AQ858" s="118"/>
      <c r="AR858" s="118"/>
      <c r="AS858" s="302">
        <v>116.8</v>
      </c>
      <c r="AT858" s="401"/>
      <c r="AU858" s="302">
        <v>361.80700000000002</v>
      </c>
      <c r="AV858" s="302">
        <v>644.96600000000001</v>
      </c>
      <c r="AW858" s="302">
        <v>431.02300000000002</v>
      </c>
      <c r="AX858" s="302">
        <v>973.53800000000001</v>
      </c>
      <c r="AY858" s="401"/>
      <c r="AZ858" s="302">
        <v>443.23399999999998</v>
      </c>
      <c r="BA858" s="302">
        <v>745.64700000000005</v>
      </c>
      <c r="BB858" s="302">
        <v>13.34</v>
      </c>
      <c r="BC858" s="302">
        <v>341.935</v>
      </c>
      <c r="BD858" s="401"/>
      <c r="BE858" s="302">
        <v>8.3770000000000007</v>
      </c>
      <c r="BF858" s="118"/>
      <c r="BG858" s="302">
        <v>21.434000000000001</v>
      </c>
      <c r="BH858" s="118"/>
      <c r="BI858" s="401"/>
      <c r="BJ858" s="1207">
        <v>39.628999999999998</v>
      </c>
      <c r="BK858" s="118"/>
      <c r="BL858" s="118"/>
      <c r="BM858" s="118"/>
      <c r="BN858" s="401"/>
      <c r="BO858" s="118"/>
      <c r="BP858" s="118"/>
      <c r="BQ858" s="118"/>
      <c r="BR858" s="118"/>
      <c r="BS858" s="401"/>
      <c r="BT858" s="401"/>
      <c r="BU858" s="401"/>
      <c r="BV858" s="401"/>
      <c r="BW858" s="122"/>
    </row>
    <row r="859" spans="1:75" s="123" customFormat="1" ht="15" hidden="1" customHeight="1" outlineLevel="2" x14ac:dyDescent="0.5">
      <c r="A859" s="445" t="s">
        <v>1265</v>
      </c>
      <c r="B859" s="677"/>
      <c r="C859" s="406"/>
      <c r="D859" s="406"/>
      <c r="E859" s="406"/>
      <c r="F859" s="406"/>
      <c r="G859" s="357">
        <v>605.56500000000005</v>
      </c>
      <c r="H859" s="357">
        <v>506.18099999999998</v>
      </c>
      <c r="I859" s="357">
        <v>540.66700000000003</v>
      </c>
      <c r="J859" s="357">
        <v>155.75399999999999</v>
      </c>
      <c r="K859" s="406"/>
      <c r="L859" s="357">
        <v>335.17500000000001</v>
      </c>
      <c r="M859" s="357">
        <v>280.16300000000001</v>
      </c>
      <c r="N859" s="357">
        <v>419.37400000000002</v>
      </c>
      <c r="O859" s="357">
        <v>108.50700000000001</v>
      </c>
      <c r="P859" s="406"/>
      <c r="Q859" s="357">
        <v>345.803</v>
      </c>
      <c r="R859" s="357">
        <v>250.84800000000001</v>
      </c>
      <c r="S859" s="357">
        <v>286.64800000000002</v>
      </c>
      <c r="T859" s="357">
        <v>142.941</v>
      </c>
      <c r="U859" s="406"/>
      <c r="V859" s="357">
        <v>289.66000000000003</v>
      </c>
      <c r="W859" s="357">
        <v>264.964</v>
      </c>
      <c r="X859" s="357">
        <v>311.31599999999997</v>
      </c>
      <c r="Y859" s="357">
        <v>271.23200000000003</v>
      </c>
      <c r="Z859" s="406"/>
      <c r="AA859" s="357">
        <v>271.88900000000001</v>
      </c>
      <c r="AB859" s="357">
        <v>615.76700000000005</v>
      </c>
      <c r="AC859" s="357">
        <v>292.74200000000002</v>
      </c>
      <c r="AD859" s="357">
        <v>244.7</v>
      </c>
      <c r="AE859" s="406"/>
      <c r="AF859" s="357">
        <v>288.23700000000002</v>
      </c>
      <c r="AG859" s="357">
        <v>1030.6030000000001</v>
      </c>
      <c r="AH859" s="357">
        <v>184.958</v>
      </c>
      <c r="AI859" s="357">
        <v>273.45499999999998</v>
      </c>
      <c r="AJ859" s="406"/>
      <c r="AK859" s="357">
        <v>256.81700000000001</v>
      </c>
      <c r="AL859" s="357">
        <v>223.495</v>
      </c>
      <c r="AM859" s="357">
        <v>230.12200000000001</v>
      </c>
      <c r="AN859" s="357">
        <v>183.262</v>
      </c>
      <c r="AO859" s="406"/>
      <c r="AP859" s="723"/>
      <c r="AQ859" s="723"/>
      <c r="AR859" s="357">
        <v>1119.335</v>
      </c>
      <c r="AS859" s="357">
        <v>134.655</v>
      </c>
      <c r="AT859" s="406"/>
      <c r="AU859" s="357">
        <v>1342.9860000000001</v>
      </c>
      <c r="AV859" s="357">
        <v>73.233000000000004</v>
      </c>
      <c r="AW859" s="357">
        <v>628.27700000000004</v>
      </c>
      <c r="AX859" s="723"/>
      <c r="AY859" s="406"/>
      <c r="AZ859" s="357">
        <v>2503.6559999999999</v>
      </c>
      <c r="BA859" s="357">
        <v>984.99</v>
      </c>
      <c r="BB859" s="357">
        <v>154.80000000000001</v>
      </c>
      <c r="BC859" s="723"/>
      <c r="BD859" s="406"/>
      <c r="BE859" s="357">
        <v>2502.3409999999999</v>
      </c>
      <c r="BF859" s="723"/>
      <c r="BG859" s="723"/>
      <c r="BH859" s="723"/>
      <c r="BI859" s="406"/>
      <c r="BJ859" s="1208">
        <v>117.27</v>
      </c>
      <c r="BK859" s="723"/>
      <c r="BL859" s="723"/>
      <c r="BM859" s="723"/>
      <c r="BN859" s="406"/>
      <c r="BO859" s="723"/>
      <c r="BP859" s="723"/>
      <c r="BQ859" s="723"/>
      <c r="BR859" s="723"/>
      <c r="BS859" s="406"/>
      <c r="BT859" s="406"/>
      <c r="BU859" s="406"/>
      <c r="BV859" s="406"/>
      <c r="BW859" s="122"/>
    </row>
    <row r="860" spans="1:75" s="198" customFormat="1" ht="15" hidden="1" customHeight="1" outlineLevel="1" collapsed="1" x14ac:dyDescent="0.45">
      <c r="A860" s="206" t="s">
        <v>1266</v>
      </c>
      <c r="B860" s="522"/>
      <c r="C860" s="397"/>
      <c r="D860" s="397"/>
      <c r="E860" s="397"/>
      <c r="F860" s="397"/>
      <c r="G860" s="295">
        <f t="shared" ref="G860" si="1108">SUM(G857:G859)</f>
        <v>800.88200000000006</v>
      </c>
      <c r="H860" s="295">
        <f t="shared" ref="H860:J860" si="1109">SUM(H857:H859)</f>
        <v>1613.943</v>
      </c>
      <c r="I860" s="295">
        <f t="shared" si="1109"/>
        <v>1527.3270000000002</v>
      </c>
      <c r="J860" s="295">
        <f t="shared" si="1109"/>
        <v>402.80999999999995</v>
      </c>
      <c r="K860" s="397">
        <f>SUM(G860,H860,I860,J860)</f>
        <v>4344.9619999999995</v>
      </c>
      <c r="L860" s="295">
        <f t="shared" ref="L860" si="1110">SUM(L857:L859)</f>
        <v>840.76099999999997</v>
      </c>
      <c r="M860" s="295">
        <f t="shared" ref="M860:O860" si="1111">SUM(M857:M859)</f>
        <v>847.94600000000003</v>
      </c>
      <c r="N860" s="295">
        <f t="shared" si="1111"/>
        <v>1247.046</v>
      </c>
      <c r="O860" s="295">
        <f t="shared" si="1111"/>
        <v>395.80400000000003</v>
      </c>
      <c r="P860" s="397">
        <f>SUM(L860,M860,N860,O860)</f>
        <v>3331.5569999999998</v>
      </c>
      <c r="Q860" s="295">
        <f t="shared" ref="Q860" si="1112">SUM(Q857:Q859)</f>
        <v>664.40200000000004</v>
      </c>
      <c r="R860" s="295">
        <f t="shared" ref="R860:T860" si="1113">SUM(R857:R859)</f>
        <v>899.30099999999993</v>
      </c>
      <c r="S860" s="295">
        <f t="shared" si="1113"/>
        <v>922.12699999999995</v>
      </c>
      <c r="T860" s="295">
        <f t="shared" si="1113"/>
        <v>464.60800000000006</v>
      </c>
      <c r="U860" s="397">
        <f>SUM(Q860,R860,S860,T860)</f>
        <v>2950.4380000000001</v>
      </c>
      <c r="V860" s="295">
        <f t="shared" ref="V860" si="1114">SUM(V857:V859)</f>
        <v>727.62900000000002</v>
      </c>
      <c r="W860" s="295">
        <f t="shared" ref="W860:Y860" si="1115">SUM(W857:W859)</f>
        <v>665.51700000000005</v>
      </c>
      <c r="X860" s="295">
        <f t="shared" si="1115"/>
        <v>771.327</v>
      </c>
      <c r="Y860" s="295">
        <f t="shared" si="1115"/>
        <v>707.00700000000006</v>
      </c>
      <c r="Z860" s="397">
        <f>SUM(V860,W860,X860,Y860)</f>
        <v>2871.48</v>
      </c>
      <c r="AA860" s="295">
        <f t="shared" ref="AA860" si="1116">SUM(AA857:AA859)</f>
        <v>764.54300000000001</v>
      </c>
      <c r="AB860" s="295">
        <f t="shared" ref="AB860:AD860" si="1117">SUM(AB857:AB859)</f>
        <v>1160.3810000000001</v>
      </c>
      <c r="AC860" s="295">
        <f t="shared" si="1117"/>
        <v>1301.373</v>
      </c>
      <c r="AD860" s="295">
        <f t="shared" si="1117"/>
        <v>824.40000000000009</v>
      </c>
      <c r="AE860" s="397">
        <f>SUM(AA860,AB860,AC860,AD860)</f>
        <v>4050.6970000000001</v>
      </c>
      <c r="AF860" s="295">
        <f t="shared" ref="AF860" si="1118">SUM(AF857:AF859)</f>
        <v>731.93000000000006</v>
      </c>
      <c r="AG860" s="295">
        <f t="shared" ref="AG860:AI860" si="1119">SUM(AG857:AG859)</f>
        <v>2409.4369999999999</v>
      </c>
      <c r="AH860" s="295">
        <f t="shared" si="1119"/>
        <v>742.50799999999992</v>
      </c>
      <c r="AI860" s="295">
        <f t="shared" si="1119"/>
        <v>1489.172</v>
      </c>
      <c r="AJ860" s="397">
        <f>SUM(AF860,AG860,AH860,AI860)</f>
        <v>5373.0470000000005</v>
      </c>
      <c r="AK860" s="295">
        <f t="shared" ref="AK860" si="1120">SUM(AK857:AK859)</f>
        <v>593.096</v>
      </c>
      <c r="AL860" s="295">
        <f t="shared" ref="AL860:AN860" si="1121">SUM(AL857:AL859)</f>
        <v>635.52600000000007</v>
      </c>
      <c r="AM860" s="295">
        <f t="shared" si="1121"/>
        <v>610.34899999999993</v>
      </c>
      <c r="AN860" s="295">
        <f t="shared" si="1121"/>
        <v>502.96</v>
      </c>
      <c r="AO860" s="397">
        <f>SUM(AK860,AL860,AM860,AN860)</f>
        <v>2341.931</v>
      </c>
      <c r="AP860" s="295">
        <f t="shared" ref="AP860" si="1122">SUM(AP857:AP859)</f>
        <v>0</v>
      </c>
      <c r="AQ860" s="295">
        <f t="shared" ref="AQ860:AS860" si="1123">SUM(AQ857:AQ859)</f>
        <v>0</v>
      </c>
      <c r="AR860" s="295">
        <f t="shared" si="1123"/>
        <v>1119.335</v>
      </c>
      <c r="AS860" s="295">
        <f t="shared" si="1123"/>
        <v>376.76499999999999</v>
      </c>
      <c r="AT860" s="397">
        <f>SUM(AP860,AQ860,AR860,AS860)</f>
        <v>1496.1</v>
      </c>
      <c r="AU860" s="295">
        <f t="shared" ref="AU860" si="1124">SUM(AU857:AU859)</f>
        <v>1790.7250000000001</v>
      </c>
      <c r="AV860" s="295">
        <f t="shared" ref="AV860:AX860" si="1125">SUM(AV857:AV859)</f>
        <v>834.2940000000001</v>
      </c>
      <c r="AW860" s="295">
        <f t="shared" si="1125"/>
        <v>1119.748</v>
      </c>
      <c r="AX860" s="295">
        <f t="shared" si="1125"/>
        <v>1357.857</v>
      </c>
      <c r="AY860" s="397">
        <f>SUM(AU860,AV860,AW860,AX860)</f>
        <v>5102.6239999999998</v>
      </c>
      <c r="AZ860" s="295">
        <f t="shared" ref="AZ860" si="1126">SUM(AZ857:AZ859)</f>
        <v>3379.7309999999998</v>
      </c>
      <c r="BA860" s="295">
        <f t="shared" ref="BA860:BC860" si="1127">SUM(BA857:BA859)</f>
        <v>2188.0370000000003</v>
      </c>
      <c r="BB860" s="295">
        <f t="shared" si="1127"/>
        <v>513.94000000000005</v>
      </c>
      <c r="BC860" s="295">
        <f t="shared" si="1127"/>
        <v>341.935</v>
      </c>
      <c r="BD860" s="397">
        <f>SUM(AZ860,BA860,BB860,BC860)</f>
        <v>6423.6430000000009</v>
      </c>
      <c r="BE860" s="295">
        <f t="shared" ref="BE860" si="1128">SUM(BE857:BE859)</f>
        <v>2510.7179999999998</v>
      </c>
      <c r="BF860" s="295">
        <f t="shared" ref="BF860:BH860" si="1129">SUM(BF857:BF859)</f>
        <v>89.709000000000003</v>
      </c>
      <c r="BG860" s="295">
        <f t="shared" si="1129"/>
        <v>21.434000000000001</v>
      </c>
      <c r="BH860" s="295">
        <f t="shared" si="1129"/>
        <v>0</v>
      </c>
      <c r="BI860" s="397">
        <f>SUM(BE860,BF860,BG860,BH860)</f>
        <v>2621.8609999999999</v>
      </c>
      <c r="BJ860" s="1030">
        <f t="shared" ref="BJ860" si="1130">SUM(BJ857:BJ859)</f>
        <v>156.899</v>
      </c>
      <c r="BK860" s="295"/>
      <c r="BL860" s="295"/>
      <c r="BM860" s="295"/>
      <c r="BN860" s="397"/>
      <c r="BO860" s="295"/>
      <c r="BP860" s="295"/>
      <c r="BQ860" s="295"/>
      <c r="BR860" s="295"/>
      <c r="BS860" s="397"/>
      <c r="BT860" s="397"/>
      <c r="BU860" s="397"/>
      <c r="BV860" s="397"/>
      <c r="BW860" s="197"/>
    </row>
    <row r="861" spans="1:75" s="123" customFormat="1" ht="15" hidden="1" customHeight="1" outlineLevel="2" x14ac:dyDescent="0.5">
      <c r="A861" s="752"/>
      <c r="B861" s="513"/>
      <c r="C861" s="401"/>
      <c r="D861" s="401"/>
      <c r="E861" s="401"/>
      <c r="F861" s="401"/>
      <c r="G861" s="118"/>
      <c r="H861" s="118"/>
      <c r="I861" s="118"/>
      <c r="J861" s="118"/>
      <c r="K861" s="401"/>
      <c r="L861" s="118"/>
      <c r="M861" s="118"/>
      <c r="N861" s="118"/>
      <c r="O861" s="118"/>
      <c r="P861" s="401"/>
      <c r="Q861" s="118"/>
      <c r="R861" s="118"/>
      <c r="S861" s="118"/>
      <c r="T861" s="118"/>
      <c r="U861" s="401"/>
      <c r="V861" s="118"/>
      <c r="W861" s="118"/>
      <c r="X861" s="118"/>
      <c r="Y861" s="118"/>
      <c r="Z861" s="401"/>
      <c r="AA861" s="118"/>
      <c r="AB861" s="118"/>
      <c r="AC861" s="118"/>
      <c r="AD861" s="118"/>
      <c r="AE861" s="401"/>
      <c r="AF861" s="118"/>
      <c r="AG861" s="118"/>
      <c r="AH861" s="118"/>
      <c r="AI861" s="118"/>
      <c r="AJ861" s="401"/>
      <c r="AK861" s="118"/>
      <c r="AL861" s="118"/>
      <c r="AM861" s="118"/>
      <c r="AN861" s="118"/>
      <c r="AO861" s="401"/>
      <c r="AP861" s="118"/>
      <c r="AQ861" s="118"/>
      <c r="AR861" s="118"/>
      <c r="AS861" s="118"/>
      <c r="AT861" s="401"/>
      <c r="AU861" s="118"/>
      <c r="AV861" s="118"/>
      <c r="AW861" s="118"/>
      <c r="AX861" s="118"/>
      <c r="AY861" s="401"/>
      <c r="AZ861" s="118"/>
      <c r="BA861" s="118"/>
      <c r="BB861" s="118"/>
      <c r="BC861" s="118"/>
      <c r="BD861" s="401"/>
      <c r="BE861" s="118"/>
      <c r="BF861" s="118"/>
      <c r="BG861" s="118"/>
      <c r="BH861" s="118"/>
      <c r="BI861" s="401"/>
      <c r="BJ861" s="971"/>
      <c r="BK861" s="118"/>
      <c r="BL861" s="118"/>
      <c r="BM861" s="118"/>
      <c r="BN861" s="401"/>
      <c r="BO861" s="118"/>
      <c r="BP861" s="118"/>
      <c r="BQ861" s="118"/>
      <c r="BR861" s="118"/>
      <c r="BS861" s="401"/>
      <c r="BT861" s="401"/>
      <c r="BU861" s="401"/>
      <c r="BV861" s="401"/>
      <c r="BW861" s="122"/>
    </row>
    <row r="862" spans="1:75" s="828" customFormat="1" ht="15" hidden="1" customHeight="1" outlineLevel="2" x14ac:dyDescent="0.5">
      <c r="A862" s="821" t="s">
        <v>1267</v>
      </c>
      <c r="B862" s="822"/>
      <c r="C862" s="823"/>
      <c r="D862" s="823"/>
      <c r="E862" s="823"/>
      <c r="F862" s="823"/>
      <c r="G862" s="824"/>
      <c r="H862" s="825">
        <v>55.47</v>
      </c>
      <c r="I862" s="825">
        <v>59.17</v>
      </c>
      <c r="J862" s="825">
        <v>55.43</v>
      </c>
      <c r="K862" s="823"/>
      <c r="L862" s="825">
        <v>55.13</v>
      </c>
      <c r="M862" s="825">
        <v>64.569999999999993</v>
      </c>
      <c r="N862" s="825">
        <v>70.89</v>
      </c>
      <c r="O862" s="825">
        <v>71.790000000000006</v>
      </c>
      <c r="P862" s="823"/>
      <c r="Q862" s="825">
        <v>80.209999999999994</v>
      </c>
      <c r="R862" s="825">
        <v>77.88</v>
      </c>
      <c r="S862" s="825">
        <v>83.87</v>
      </c>
      <c r="T862" s="825">
        <v>66.73</v>
      </c>
      <c r="U862" s="823"/>
      <c r="V862" s="825">
        <v>53.44</v>
      </c>
      <c r="W862" s="825">
        <v>53.68</v>
      </c>
      <c r="X862" s="825">
        <v>52.82</v>
      </c>
      <c r="Y862" s="825">
        <v>49.33</v>
      </c>
      <c r="Z862" s="823"/>
      <c r="AA862" s="825">
        <v>47.74</v>
      </c>
      <c r="AB862" s="825">
        <v>51.22</v>
      </c>
      <c r="AC862" s="825">
        <v>44.94</v>
      </c>
      <c r="AD862" s="825">
        <v>48.32</v>
      </c>
      <c r="AE862" s="823"/>
      <c r="AF862" s="825">
        <v>52.23</v>
      </c>
      <c r="AG862" s="825">
        <v>48.95</v>
      </c>
      <c r="AH862" s="825">
        <v>58.7</v>
      </c>
      <c r="AI862" s="825">
        <v>59.12</v>
      </c>
      <c r="AJ862" s="823"/>
      <c r="AK862" s="825">
        <v>55.86</v>
      </c>
      <c r="AL862" s="825">
        <v>53.61</v>
      </c>
      <c r="AM862" s="825">
        <v>65.14</v>
      </c>
      <c r="AN862" s="825">
        <v>69.900000000000006</v>
      </c>
      <c r="AO862" s="823"/>
      <c r="AP862" s="824"/>
      <c r="AQ862" s="824"/>
      <c r="AR862" s="824"/>
      <c r="AS862" s="825">
        <v>98.91</v>
      </c>
      <c r="AT862" s="823"/>
      <c r="AU862" s="825">
        <v>127.37</v>
      </c>
      <c r="AV862" s="825">
        <v>171.91</v>
      </c>
      <c r="AW862" s="825">
        <v>162.96</v>
      </c>
      <c r="AX862" s="825">
        <v>207.47</v>
      </c>
      <c r="AY862" s="823"/>
      <c r="AZ862" s="825">
        <v>161.72</v>
      </c>
      <c r="BA862" s="825">
        <v>122.3</v>
      </c>
      <c r="BB862" s="825">
        <v>156.03</v>
      </c>
      <c r="BC862" s="824"/>
      <c r="BD862" s="823"/>
      <c r="BE862" s="824"/>
      <c r="BF862" s="825">
        <v>111.47</v>
      </c>
      <c r="BG862" s="824"/>
      <c r="BH862" s="824"/>
      <c r="BI862" s="823"/>
      <c r="BJ862" s="1322"/>
      <c r="BK862" s="824"/>
      <c r="BL862" s="824"/>
      <c r="BM862" s="824"/>
      <c r="BN862" s="823"/>
      <c r="BO862" s="824"/>
      <c r="BP862" s="824"/>
      <c r="BQ862" s="824"/>
      <c r="BR862" s="824"/>
      <c r="BS862" s="823"/>
      <c r="BT862" s="823"/>
      <c r="BU862" s="823"/>
      <c r="BV862" s="823"/>
      <c r="BW862" s="827"/>
    </row>
    <row r="863" spans="1:75" s="828" customFormat="1" ht="15" hidden="1" customHeight="1" outlineLevel="2" x14ac:dyDescent="0.5">
      <c r="A863" s="821" t="s">
        <v>1268</v>
      </c>
      <c r="B863" s="822"/>
      <c r="C863" s="823"/>
      <c r="D863" s="823"/>
      <c r="E863" s="823"/>
      <c r="F863" s="823"/>
      <c r="G863" s="825">
        <v>50.78</v>
      </c>
      <c r="H863" s="825">
        <v>54.43</v>
      </c>
      <c r="I863" s="825">
        <v>56.32</v>
      </c>
      <c r="J863" s="825">
        <v>58.59</v>
      </c>
      <c r="K863" s="823"/>
      <c r="L863" s="825">
        <v>65.31</v>
      </c>
      <c r="M863" s="825">
        <v>69.33</v>
      </c>
      <c r="N863" s="825">
        <v>66.42</v>
      </c>
      <c r="O863" s="825">
        <v>73.38</v>
      </c>
      <c r="P863" s="823"/>
      <c r="Q863" s="825">
        <v>79.84</v>
      </c>
      <c r="R863" s="825">
        <v>80.2</v>
      </c>
      <c r="S863" s="825">
        <v>76.73</v>
      </c>
      <c r="T863" s="825">
        <v>61.46</v>
      </c>
      <c r="U863" s="823"/>
      <c r="V863" s="825">
        <v>55.98</v>
      </c>
      <c r="W863" s="825">
        <v>52.85</v>
      </c>
      <c r="X863" s="825">
        <v>50.85</v>
      </c>
      <c r="Y863" s="825">
        <v>54.46</v>
      </c>
      <c r="Z863" s="823"/>
      <c r="AA863" s="825">
        <v>48.57</v>
      </c>
      <c r="AB863" s="825">
        <v>47.69</v>
      </c>
      <c r="AC863" s="825">
        <v>46.87</v>
      </c>
      <c r="AD863" s="825">
        <v>51.01</v>
      </c>
      <c r="AE863" s="823"/>
      <c r="AF863" s="825">
        <v>52.85</v>
      </c>
      <c r="AG863" s="825">
        <v>56.04</v>
      </c>
      <c r="AH863" s="825">
        <v>68.790000000000006</v>
      </c>
      <c r="AI863" s="825">
        <v>48.96</v>
      </c>
      <c r="AJ863" s="823"/>
      <c r="AK863" s="825">
        <v>57.44</v>
      </c>
      <c r="AL863" s="825">
        <v>60.55</v>
      </c>
      <c r="AM863" s="825">
        <v>66.37</v>
      </c>
      <c r="AN863" s="825">
        <v>70.849999999999994</v>
      </c>
      <c r="AO863" s="823"/>
      <c r="AP863" s="824"/>
      <c r="AQ863" s="824"/>
      <c r="AR863" s="824"/>
      <c r="AS863" s="825">
        <v>108.75</v>
      </c>
      <c r="AT863" s="823"/>
      <c r="AU863" s="825">
        <v>167.29</v>
      </c>
      <c r="AV863" s="825">
        <v>161.66999999999999</v>
      </c>
      <c r="AW863" s="825">
        <v>182.73</v>
      </c>
      <c r="AX863" s="825">
        <v>171.54</v>
      </c>
      <c r="AY863" s="823"/>
      <c r="AZ863" s="825">
        <v>151.01</v>
      </c>
      <c r="BA863" s="825">
        <v>120.56</v>
      </c>
      <c r="BB863" s="825">
        <v>156.21</v>
      </c>
      <c r="BC863" s="825">
        <v>114.3</v>
      </c>
      <c r="BD863" s="823"/>
      <c r="BE863" s="825">
        <v>119.36</v>
      </c>
      <c r="BF863" s="824"/>
      <c r="BG863" s="825">
        <v>140.01</v>
      </c>
      <c r="BH863" s="824"/>
      <c r="BI863" s="823"/>
      <c r="BJ863" s="1323">
        <v>279.92</v>
      </c>
      <c r="BK863" s="824"/>
      <c r="BL863" s="824"/>
      <c r="BM863" s="824"/>
      <c r="BN863" s="823"/>
      <c r="BO863" s="824"/>
      <c r="BP863" s="824"/>
      <c r="BQ863" s="824"/>
      <c r="BR863" s="824"/>
      <c r="BS863" s="823"/>
      <c r="BT863" s="823"/>
      <c r="BU863" s="823"/>
      <c r="BV863" s="823"/>
      <c r="BW863" s="827"/>
    </row>
    <row r="864" spans="1:75" s="828" customFormat="1" ht="15" hidden="1" customHeight="1" outlineLevel="2" x14ac:dyDescent="0.5">
      <c r="A864" s="829" t="s">
        <v>1269</v>
      </c>
      <c r="B864" s="830"/>
      <c r="C864" s="831"/>
      <c r="D864" s="831"/>
      <c r="E864" s="831"/>
      <c r="F864" s="831"/>
      <c r="G864" s="833">
        <v>51.61</v>
      </c>
      <c r="H864" s="833">
        <v>57.98</v>
      </c>
      <c r="I864" s="833">
        <v>54.39</v>
      </c>
      <c r="J864" s="833">
        <v>56.21</v>
      </c>
      <c r="K864" s="831"/>
      <c r="L864" s="833">
        <v>64.599999999999994</v>
      </c>
      <c r="M864" s="833">
        <v>71.150000000000006</v>
      </c>
      <c r="N864" s="833">
        <v>65.959999999999994</v>
      </c>
      <c r="O864" s="833">
        <v>76.94</v>
      </c>
      <c r="P864" s="831"/>
      <c r="Q864" s="833">
        <v>78.33</v>
      </c>
      <c r="R864" s="833">
        <v>83.04</v>
      </c>
      <c r="S864" s="833">
        <v>76.400000000000006</v>
      </c>
      <c r="T864" s="833">
        <v>54.47</v>
      </c>
      <c r="U864" s="831"/>
      <c r="V864" s="833">
        <v>57.44</v>
      </c>
      <c r="W864" s="833">
        <v>53.47</v>
      </c>
      <c r="X864" s="833">
        <v>48.72</v>
      </c>
      <c r="Y864" s="833">
        <v>49.01</v>
      </c>
      <c r="Z864" s="831"/>
      <c r="AA864" s="833">
        <v>53.78</v>
      </c>
      <c r="AB864" s="833">
        <v>45.73</v>
      </c>
      <c r="AC864" s="833">
        <v>51.05</v>
      </c>
      <c r="AD864" s="833">
        <v>53.7</v>
      </c>
      <c r="AE864" s="831"/>
      <c r="AF864" s="833">
        <v>49.96</v>
      </c>
      <c r="AG864" s="833">
        <v>59.74</v>
      </c>
      <c r="AH864" s="833">
        <v>61.75</v>
      </c>
      <c r="AI864" s="833">
        <v>51.63</v>
      </c>
      <c r="AJ864" s="831"/>
      <c r="AK864" s="833">
        <v>57.56</v>
      </c>
      <c r="AL864" s="833">
        <v>66.62</v>
      </c>
      <c r="AM864" s="833">
        <v>67.73</v>
      </c>
      <c r="AN864" s="833">
        <v>74.33</v>
      </c>
      <c r="AO864" s="831"/>
      <c r="AP864" s="832"/>
      <c r="AQ864" s="832"/>
      <c r="AR864" s="833">
        <v>97.42</v>
      </c>
      <c r="AS864" s="833">
        <v>117.75</v>
      </c>
      <c r="AT864" s="831"/>
      <c r="AU864" s="833">
        <v>181.73</v>
      </c>
      <c r="AV864" s="833">
        <v>158.82</v>
      </c>
      <c r="AW864" s="833">
        <v>179.38</v>
      </c>
      <c r="AX864" s="832"/>
      <c r="AY864" s="831"/>
      <c r="AZ864" s="833">
        <v>145.44</v>
      </c>
      <c r="BA864" s="833">
        <v>121.33</v>
      </c>
      <c r="BB864" s="833">
        <v>119.45</v>
      </c>
      <c r="BC864" s="832"/>
      <c r="BD864" s="831"/>
      <c r="BE864" s="833">
        <v>119.49</v>
      </c>
      <c r="BF864" s="832"/>
      <c r="BG864" s="832"/>
      <c r="BH864" s="832"/>
      <c r="BI864" s="831"/>
      <c r="BJ864" s="1324">
        <v>278.75</v>
      </c>
      <c r="BK864" s="832"/>
      <c r="BL864" s="832"/>
      <c r="BM864" s="832"/>
      <c r="BN864" s="831"/>
      <c r="BO864" s="832"/>
      <c r="BP864" s="832"/>
      <c r="BQ864" s="832"/>
      <c r="BR864" s="832"/>
      <c r="BS864" s="831"/>
      <c r="BT864" s="831"/>
      <c r="BU864" s="831"/>
      <c r="BV864" s="831"/>
      <c r="BW864" s="827"/>
    </row>
    <row r="865" spans="1:75" s="231" customFormat="1" ht="15" hidden="1" customHeight="1" outlineLevel="1" collapsed="1" x14ac:dyDescent="0.45">
      <c r="A865" s="225" t="s">
        <v>1270</v>
      </c>
      <c r="B865" s="835"/>
      <c r="C865" s="762"/>
      <c r="D865" s="762"/>
      <c r="E865" s="762"/>
      <c r="F865" s="762"/>
      <c r="G865" s="763">
        <f t="shared" ref="G865:J865" si="1131">IFERROR((G862*G857+G863*G858+G864*G859)/G860,"N/A")</f>
        <v>51.407581778589105</v>
      </c>
      <c r="H865" s="763">
        <f t="shared" si="1131"/>
        <v>55.659962241541365</v>
      </c>
      <c r="I865" s="763">
        <f t="shared" si="1131"/>
        <v>55.889746059619185</v>
      </c>
      <c r="J865" s="763">
        <f t="shared" si="1131"/>
        <v>56.865086120006957</v>
      </c>
      <c r="K865" s="762">
        <f>IFERROR(K870*1000/K860,"N/A")</f>
        <v>55.068641997329337</v>
      </c>
      <c r="L865" s="763">
        <f t="shared" ref="L865:O865" si="1132">IFERROR((L862*L857+L863*L858+L864*L859)/L860,"N/A")</f>
        <v>63.405851579699828</v>
      </c>
      <c r="M865" s="763">
        <f t="shared" si="1132"/>
        <v>69.281112287810771</v>
      </c>
      <c r="N865" s="763">
        <f t="shared" si="1132"/>
        <v>66.700119025280543</v>
      </c>
      <c r="O865" s="763">
        <f t="shared" si="1132"/>
        <v>73.628329501470418</v>
      </c>
      <c r="P865" s="762">
        <f>IFERROR(P870*1000/P860,"N/A")</f>
        <v>67.348784121058102</v>
      </c>
      <c r="Q865" s="763">
        <f t="shared" ref="Q865:T865" si="1133">IFERROR((Q862*Q857+Q863*Q858+Q864*Q859)/Q860,"N/A")</f>
        <v>79.112058889046082</v>
      </c>
      <c r="R865" s="763">
        <f t="shared" si="1133"/>
        <v>80.551979059291625</v>
      </c>
      <c r="S865" s="763">
        <f t="shared" si="1133"/>
        <v>77.537046187781087</v>
      </c>
      <c r="T865" s="763">
        <f t="shared" si="1133"/>
        <v>61.337740934292981</v>
      </c>
      <c r="U865" s="762">
        <f>IFERROR(U870*1000/U860,"N/A")</f>
        <v>76.259760211873626</v>
      </c>
      <c r="V865" s="763">
        <f t="shared" ref="V865:Y865" si="1134">IFERROR((V862*V857+V863*V858+V864*V859)/V860,"N/A")</f>
        <v>55.849899935269214</v>
      </c>
      <c r="W865" s="763">
        <f t="shared" si="1134"/>
        <v>53.38401985223517</v>
      </c>
      <c r="X865" s="763">
        <f t="shared" si="1134"/>
        <v>50.562492872672685</v>
      </c>
      <c r="Y865" s="763">
        <f t="shared" si="1134"/>
        <v>51.070003635041807</v>
      </c>
      <c r="Z865" s="762">
        <f>IFERROR(Z870*1000/Z860,"N/A")</f>
        <v>52.681211633025477</v>
      </c>
      <c r="AA865" s="763">
        <f t="shared" ref="AA865:AD865" si="1135">IFERROR((AA862*AA857+AA863*AA858+AA864*AA859)/AA860,"N/A")</f>
        <v>50.160108849338755</v>
      </c>
      <c r="AB865" s="763">
        <f t="shared" si="1135"/>
        <v>47.409618504611842</v>
      </c>
      <c r="AC865" s="763">
        <f t="shared" si="1135"/>
        <v>46.844569466248338</v>
      </c>
      <c r="AD865" s="763">
        <f t="shared" si="1135"/>
        <v>50.775065502183402</v>
      </c>
      <c r="AE865" s="762">
        <f>IFERROR(AE870*1000/AE860,"N/A")</f>
        <v>48.432159337022739</v>
      </c>
      <c r="AF865" s="763">
        <f t="shared" ref="AF865:AI865" si="1136">IFERROR((AF862*AF857+AF863*AF858+AF864*AF859)/AF860,"N/A")</f>
        <v>51.527752066454433</v>
      </c>
      <c r="AG865" s="763">
        <f t="shared" si="1136"/>
        <v>56.901292924446672</v>
      </c>
      <c r="AH865" s="763">
        <f t="shared" si="1136"/>
        <v>61.148575530499336</v>
      </c>
      <c r="AI865" s="763">
        <f t="shared" si="1136"/>
        <v>50.416851330806651</v>
      </c>
      <c r="AJ865" s="762">
        <f>IFERROR(AJ870*1000/AJ860,"N/A")</f>
        <v>54.959031242421659</v>
      </c>
      <c r="AK865" s="763">
        <f t="shared" ref="AK865:AN865" si="1137">IFERROR((AK862*AK857+AK863*AK858+AK864*AK859)/AK860,"N/A")</f>
        <v>57.073901830395087</v>
      </c>
      <c r="AL865" s="763">
        <f t="shared" si="1137"/>
        <v>60.23935204853931</v>
      </c>
      <c r="AM865" s="763">
        <f t="shared" si="1137"/>
        <v>66.491925750677083</v>
      </c>
      <c r="AN865" s="763">
        <f t="shared" si="1137"/>
        <v>71.814052131382212</v>
      </c>
      <c r="AO865" s="762">
        <f>IFERROR(AO870*1000/AO860,"N/A")</f>
        <v>63.553048053080978</v>
      </c>
      <c r="AP865" s="763" t="str">
        <f t="shared" ref="AP865:AS865" si="1138">IFERROR((AP862*AP857+AP863*AP858+AP864*AP859)/AP860,"N/A")</f>
        <v>N/A</v>
      </c>
      <c r="AQ865" s="763" t="str">
        <f t="shared" si="1138"/>
        <v>N/A</v>
      </c>
      <c r="AR865" s="763">
        <f t="shared" si="1138"/>
        <v>97.42</v>
      </c>
      <c r="AS865" s="763">
        <f t="shared" si="1138"/>
        <v>108.69384987989862</v>
      </c>
      <c r="AT865" s="762">
        <f>IFERROR(AT870*1000/AT860,"N/A")</f>
        <v>100.25910971860171</v>
      </c>
      <c r="AU865" s="763">
        <f t="shared" ref="AU865:AX865" si="1139">IFERROR((AU862*AU857+AU863*AU858+AU864*AU859)/AU860,"N/A")</f>
        <v>176.20388258945397</v>
      </c>
      <c r="AV865" s="763">
        <f t="shared" si="1139"/>
        <v>162.84476423179356</v>
      </c>
      <c r="AW865" s="763">
        <f t="shared" si="1139"/>
        <v>179.78310042080895</v>
      </c>
      <c r="AX865" s="763">
        <f t="shared" si="1139"/>
        <v>181.70939314670099</v>
      </c>
      <c r="AY865" s="762">
        <f>IFERROR(AY870*1000/AY860,"N/A")</f>
        <v>176.27013982609731</v>
      </c>
      <c r="AZ865" s="763">
        <f t="shared" ref="AZ865:BC865" si="1140">IFERROR((AZ862*AZ857+AZ863*AZ858+AZ864*AZ859)/AZ860,"N/A")</f>
        <v>148.25545035980676</v>
      </c>
      <c r="BA865" s="763">
        <f t="shared" si="1140"/>
        <v>121.27037112260896</v>
      </c>
      <c r="BB865" s="763">
        <f t="shared" si="1140"/>
        <v>145.01668560532354</v>
      </c>
      <c r="BC865" s="763">
        <f t="shared" si="1140"/>
        <v>114.3</v>
      </c>
      <c r="BD865" s="762">
        <f>IFERROR(BD870*1000/BD860,"N/A")</f>
        <v>136.99712864180029</v>
      </c>
      <c r="BE865" s="763">
        <f t="shared" ref="BE865:BH865" si="1141">IFERROR((BE862*BE857+BE863*BE858+BE864*BE859)/BE860,"N/A")</f>
        <v>119.48956625554919</v>
      </c>
      <c r="BF865" s="763">
        <f t="shared" si="1141"/>
        <v>111.47</v>
      </c>
      <c r="BG865" s="763">
        <f t="shared" si="1141"/>
        <v>140.01</v>
      </c>
      <c r="BH865" s="763" t="str">
        <f t="shared" si="1141"/>
        <v>N/A</v>
      </c>
      <c r="BI865" s="762">
        <f>IFERROR(BI870*1000/BI860,"N/A")</f>
        <v>119.38292738631074</v>
      </c>
      <c r="BJ865" s="1305">
        <f>IFERROR((BJ862*BJ857+BJ863*BJ858+BJ864*BJ859)/BJ860,"N/A")</f>
        <v>279.04551450296049</v>
      </c>
      <c r="BK865" s="763"/>
      <c r="BL865" s="763"/>
      <c r="BM865" s="763"/>
      <c r="BN865" s="762"/>
      <c r="BO865" s="763"/>
      <c r="BP865" s="763"/>
      <c r="BQ865" s="763"/>
      <c r="BR865" s="763"/>
      <c r="BS865" s="762"/>
      <c r="BT865" s="762"/>
      <c r="BU865" s="762"/>
      <c r="BV865" s="762"/>
      <c r="BW865" s="230"/>
    </row>
    <row r="866" spans="1:75" s="123" customFormat="1" ht="15" hidden="1" customHeight="1" outlineLevel="2" x14ac:dyDescent="0.5">
      <c r="A866" s="752"/>
      <c r="B866" s="513"/>
      <c r="C866" s="401"/>
      <c r="D866" s="401"/>
      <c r="E866" s="401"/>
      <c r="F866" s="401"/>
      <c r="G866" s="118"/>
      <c r="H866" s="118"/>
      <c r="I866" s="118"/>
      <c r="J866" s="118"/>
      <c r="K866" s="401"/>
      <c r="L866" s="118"/>
      <c r="M866" s="118"/>
      <c r="N866" s="118"/>
      <c r="O866" s="118"/>
      <c r="P866" s="401"/>
      <c r="Q866" s="118"/>
      <c r="R866" s="118"/>
      <c r="S866" s="118"/>
      <c r="T866" s="118"/>
      <c r="U866" s="401"/>
      <c r="V866" s="118"/>
      <c r="W866" s="118"/>
      <c r="X866" s="118"/>
      <c r="Y866" s="118"/>
      <c r="Z866" s="401"/>
      <c r="AA866" s="118"/>
      <c r="AB866" s="118"/>
      <c r="AC866" s="118"/>
      <c r="AD866" s="118"/>
      <c r="AE866" s="401"/>
      <c r="AF866" s="118"/>
      <c r="AG866" s="118"/>
      <c r="AH866" s="118"/>
      <c r="AI866" s="118"/>
      <c r="AJ866" s="401"/>
      <c r="AK866" s="118"/>
      <c r="AL866" s="118"/>
      <c r="AM866" s="118"/>
      <c r="AN866" s="118"/>
      <c r="AO866" s="401"/>
      <c r="AP866" s="118"/>
      <c r="AQ866" s="118"/>
      <c r="AR866" s="118"/>
      <c r="AS866" s="118"/>
      <c r="AT866" s="401"/>
      <c r="AU866" s="118"/>
      <c r="AV866" s="118"/>
      <c r="AW866" s="118"/>
      <c r="AX866" s="118"/>
      <c r="AY866" s="401"/>
      <c r="AZ866" s="118"/>
      <c r="BA866" s="118"/>
      <c r="BB866" s="118"/>
      <c r="BC866" s="118"/>
      <c r="BD866" s="401"/>
      <c r="BE866" s="118"/>
      <c r="BF866" s="118"/>
      <c r="BG866" s="118"/>
      <c r="BH866" s="118"/>
      <c r="BI866" s="401"/>
      <c r="BJ866" s="971"/>
      <c r="BK866" s="118"/>
      <c r="BL866" s="118"/>
      <c r="BM866" s="118"/>
      <c r="BN866" s="401"/>
      <c r="BO866" s="118"/>
      <c r="BP866" s="118"/>
      <c r="BQ866" s="118"/>
      <c r="BR866" s="118"/>
      <c r="BS866" s="401"/>
      <c r="BT866" s="401"/>
      <c r="BU866" s="401"/>
      <c r="BV866" s="401"/>
      <c r="BW866" s="122"/>
    </row>
    <row r="867" spans="1:75" s="123" customFormat="1" ht="15" hidden="1" customHeight="1" outlineLevel="2" x14ac:dyDescent="0.5">
      <c r="A867" s="184" t="s">
        <v>1271</v>
      </c>
      <c r="B867" s="513"/>
      <c r="C867" s="401"/>
      <c r="D867" s="401"/>
      <c r="E867" s="401"/>
      <c r="F867" s="401"/>
      <c r="G867" s="118">
        <f t="shared" ref="G867:BH869" si="1142">G857*G862/1000</f>
        <v>0</v>
      </c>
      <c r="H867" s="118">
        <f t="shared" si="1142"/>
        <v>10.0350777</v>
      </c>
      <c r="I867" s="118">
        <f t="shared" si="1142"/>
        <v>8.02114437</v>
      </c>
      <c r="J867" s="118">
        <f t="shared" si="1142"/>
        <v>5.6853996699999998</v>
      </c>
      <c r="K867" s="401"/>
      <c r="L867" s="118">
        <f t="shared" si="1142"/>
        <v>7.3811351800000002</v>
      </c>
      <c r="M867" s="118">
        <f t="shared" si="1142"/>
        <v>7.479143099999999</v>
      </c>
      <c r="N867" s="118">
        <f t="shared" si="1142"/>
        <v>8.5993114500000019</v>
      </c>
      <c r="O867" s="118">
        <f t="shared" si="1142"/>
        <v>13.00325091</v>
      </c>
      <c r="P867" s="401"/>
      <c r="Q867" s="118">
        <f t="shared" si="1142"/>
        <v>8.3498609999999989</v>
      </c>
      <c r="R867" s="118">
        <f t="shared" si="1142"/>
        <v>13.289053799999998</v>
      </c>
      <c r="S867" s="118">
        <f t="shared" si="1142"/>
        <v>9.8528798600000016</v>
      </c>
      <c r="T867" s="118">
        <f t="shared" si="1142"/>
        <v>11.93232495</v>
      </c>
      <c r="U867" s="401"/>
      <c r="V867" s="118">
        <f t="shared" si="1142"/>
        <v>10.88930848</v>
      </c>
      <c r="W867" s="118">
        <f t="shared" si="1142"/>
        <v>12.360732560000001</v>
      </c>
      <c r="X867" s="118">
        <f t="shared" si="1142"/>
        <v>11.833317420000002</v>
      </c>
      <c r="Y867" s="118">
        <f t="shared" si="1142"/>
        <v>8.8326351600000006</v>
      </c>
      <c r="Z867" s="401"/>
      <c r="AA867" s="118">
        <f t="shared" si="1142"/>
        <v>11.551647800000001</v>
      </c>
      <c r="AB867" s="118">
        <f t="shared" si="1142"/>
        <v>12.79127304</v>
      </c>
      <c r="AC867" s="118">
        <f t="shared" si="1142"/>
        <v>29.263534859999996</v>
      </c>
      <c r="AD867" s="118">
        <f t="shared" si="1142"/>
        <v>15.302944</v>
      </c>
      <c r="AE867" s="401"/>
      <c r="AF867" s="118">
        <f t="shared" si="1142"/>
        <v>11.354801999999999</v>
      </c>
      <c r="AG867" s="118">
        <f t="shared" si="1142"/>
        <v>11.9993093</v>
      </c>
      <c r="AH867" s="118">
        <f t="shared" si="1142"/>
        <v>25.433066400000001</v>
      </c>
      <c r="AI867" s="118">
        <f t="shared" si="1142"/>
        <v>8.3755895200000001</v>
      </c>
      <c r="AJ867" s="401"/>
      <c r="AK867" s="118">
        <f t="shared" si="1142"/>
        <v>8.7661098000000006</v>
      </c>
      <c r="AL867" s="118">
        <f t="shared" si="1142"/>
        <v>12.004619249999999</v>
      </c>
      <c r="AM867" s="118">
        <f t="shared" si="1142"/>
        <v>12.63338188</v>
      </c>
      <c r="AN867" s="118">
        <f t="shared" si="1142"/>
        <v>11.248168200000002</v>
      </c>
      <c r="AO867" s="401"/>
      <c r="AP867" s="118">
        <f t="shared" si="1142"/>
        <v>0</v>
      </c>
      <c r="AQ867" s="118">
        <f t="shared" si="1142"/>
        <v>0</v>
      </c>
      <c r="AR867" s="118">
        <f t="shared" si="1142"/>
        <v>0</v>
      </c>
      <c r="AS867" s="118">
        <f t="shared" si="1142"/>
        <v>12.3944121</v>
      </c>
      <c r="AT867" s="401"/>
      <c r="AU867" s="118">
        <f t="shared" si="1142"/>
        <v>10.94515884</v>
      </c>
      <c r="AV867" s="118">
        <f t="shared" si="1142"/>
        <v>19.957891449999998</v>
      </c>
      <c r="AW867" s="118">
        <f t="shared" si="1142"/>
        <v>9.8506060800000022</v>
      </c>
      <c r="AX867" s="118">
        <f t="shared" si="1142"/>
        <v>79.734662929999999</v>
      </c>
      <c r="AY867" s="401"/>
      <c r="AZ867" s="118">
        <f t="shared" si="1142"/>
        <v>69.999046520000007</v>
      </c>
      <c r="BA867" s="118">
        <f t="shared" si="1142"/>
        <v>55.940019999999997</v>
      </c>
      <c r="BB867" s="118">
        <f t="shared" si="1142"/>
        <v>53.955174</v>
      </c>
      <c r="BC867" s="118">
        <f t="shared" si="1142"/>
        <v>0</v>
      </c>
      <c r="BD867" s="401"/>
      <c r="BE867" s="118">
        <f t="shared" si="1142"/>
        <v>0</v>
      </c>
      <c r="BF867" s="118">
        <f t="shared" si="1142"/>
        <v>9.9998622300000015</v>
      </c>
      <c r="BG867" s="118">
        <f t="shared" si="1142"/>
        <v>0</v>
      </c>
      <c r="BH867" s="118">
        <f t="shared" si="1142"/>
        <v>0</v>
      </c>
      <c r="BI867" s="401"/>
      <c r="BJ867" s="971">
        <f t="shared" ref="BJ867:BJ869" si="1143">BJ857*BJ862/1000</f>
        <v>0</v>
      </c>
      <c r="BK867" s="118"/>
      <c r="BL867" s="118"/>
      <c r="BM867" s="118"/>
      <c r="BN867" s="401"/>
      <c r="BO867" s="118"/>
      <c r="BP867" s="118"/>
      <c r="BQ867" s="118"/>
      <c r="BR867" s="118"/>
      <c r="BS867" s="401"/>
      <c r="BT867" s="401"/>
      <c r="BU867" s="401"/>
      <c r="BV867" s="401"/>
      <c r="BW867" s="122"/>
    </row>
    <row r="868" spans="1:75" s="123" customFormat="1" ht="15" hidden="1" customHeight="1" outlineLevel="2" x14ac:dyDescent="0.5">
      <c r="A868" s="184" t="s">
        <v>1272</v>
      </c>
      <c r="B868" s="513"/>
      <c r="C868" s="401"/>
      <c r="D868" s="401"/>
      <c r="E868" s="401"/>
      <c r="F868" s="401"/>
      <c r="G868" s="118">
        <f t="shared" si="1142"/>
        <v>9.9181972600000012</v>
      </c>
      <c r="H868" s="118">
        <f t="shared" si="1142"/>
        <v>50.448554360000003</v>
      </c>
      <c r="I868" s="118">
        <f t="shared" si="1142"/>
        <v>47.933895679999999</v>
      </c>
      <c r="J868" s="118">
        <f t="shared" si="1142"/>
        <v>8.4654933299999993</v>
      </c>
      <c r="K868" s="401"/>
      <c r="L868" s="118">
        <f t="shared" si="1142"/>
        <v>24.275727</v>
      </c>
      <c r="M868" s="118">
        <f t="shared" si="1142"/>
        <v>31.333901489999995</v>
      </c>
      <c r="N868" s="118">
        <f t="shared" si="1142"/>
        <v>46.916896139999999</v>
      </c>
      <c r="O868" s="118">
        <f t="shared" si="1142"/>
        <v>7.7906078399999998</v>
      </c>
      <c r="P868" s="401"/>
      <c r="Q868" s="118">
        <f t="shared" si="1142"/>
        <v>17.125600160000001</v>
      </c>
      <c r="R868" s="118">
        <f t="shared" si="1142"/>
        <v>38.321003600000004</v>
      </c>
      <c r="S868" s="118">
        <f t="shared" si="1142"/>
        <v>39.74621673</v>
      </c>
      <c r="T868" s="118">
        <f t="shared" si="1142"/>
        <v>8.7796839200000001</v>
      </c>
      <c r="U868" s="401"/>
      <c r="V868" s="118">
        <f t="shared" si="1142"/>
        <v>13.11062796</v>
      </c>
      <c r="W868" s="118">
        <f t="shared" si="1142"/>
        <v>8.9996151000000015</v>
      </c>
      <c r="X868" s="118">
        <f t="shared" si="1142"/>
        <v>11.999583000000001</v>
      </c>
      <c r="Y868" s="118">
        <f t="shared" si="1142"/>
        <v>13.981134580000001</v>
      </c>
      <c r="Z868" s="401"/>
      <c r="AA868" s="118">
        <f t="shared" si="1142"/>
        <v>12.175721879999999</v>
      </c>
      <c r="AB868" s="118">
        <f t="shared" si="1142"/>
        <v>14.06292258</v>
      </c>
      <c r="AC868" s="118">
        <f t="shared" si="1142"/>
        <v>16.754243940000002</v>
      </c>
      <c r="AD868" s="118">
        <f t="shared" si="1142"/>
        <v>13.415629999999998</v>
      </c>
      <c r="AE868" s="401"/>
      <c r="AF868" s="118">
        <f t="shared" si="1142"/>
        <v>11.959585050000001</v>
      </c>
      <c r="AG868" s="118">
        <f t="shared" si="1142"/>
        <v>63.532548000000006</v>
      </c>
      <c r="AH868" s="118">
        <f t="shared" si="1142"/>
        <v>8.5490836200000011</v>
      </c>
      <c r="AI868" s="118">
        <f t="shared" si="1142"/>
        <v>52.585292160000002</v>
      </c>
      <c r="AJ868" s="401"/>
      <c r="AK868" s="118">
        <f t="shared" si="1142"/>
        <v>10.301806559999999</v>
      </c>
      <c r="AL868" s="118">
        <f t="shared" si="1142"/>
        <v>11.389818299999998</v>
      </c>
      <c r="AM868" s="118">
        <f t="shared" si="1142"/>
        <v>12.36373545</v>
      </c>
      <c r="AN868" s="118">
        <f t="shared" si="1142"/>
        <v>11.249562999999998</v>
      </c>
      <c r="AO868" s="401"/>
      <c r="AP868" s="118">
        <f t="shared" si="1142"/>
        <v>0</v>
      </c>
      <c r="AQ868" s="118">
        <f t="shared" si="1142"/>
        <v>0</v>
      </c>
      <c r="AR868" s="118">
        <f t="shared" si="1142"/>
        <v>0</v>
      </c>
      <c r="AS868" s="118">
        <f t="shared" si="1142"/>
        <v>12.702</v>
      </c>
      <c r="AT868" s="401"/>
      <c r="AU868" s="118">
        <f t="shared" si="1142"/>
        <v>60.526693030000004</v>
      </c>
      <c r="AV868" s="118">
        <f t="shared" si="1142"/>
        <v>104.27165321999999</v>
      </c>
      <c r="AW868" s="118">
        <f t="shared" si="1142"/>
        <v>78.760832789999995</v>
      </c>
      <c r="AX868" s="118">
        <f t="shared" si="1142"/>
        <v>167.00070851999999</v>
      </c>
      <c r="AY868" s="401"/>
      <c r="AZ868" s="118">
        <f t="shared" si="1142"/>
        <v>66.932766339999986</v>
      </c>
      <c r="BA868" s="118">
        <f t="shared" si="1142"/>
        <v>89.89520232000001</v>
      </c>
      <c r="BB868" s="118">
        <f t="shared" si="1142"/>
        <v>2.0838414000000003</v>
      </c>
      <c r="BC868" s="118">
        <f t="shared" si="1142"/>
        <v>39.083170500000001</v>
      </c>
      <c r="BD868" s="401"/>
      <c r="BE868" s="118">
        <f t="shared" si="1142"/>
        <v>0.99987872</v>
      </c>
      <c r="BF868" s="118">
        <f t="shared" si="1142"/>
        <v>0</v>
      </c>
      <c r="BG868" s="118">
        <f t="shared" si="1142"/>
        <v>3.00097434</v>
      </c>
      <c r="BH868" s="118">
        <f t="shared" si="1142"/>
        <v>0</v>
      </c>
      <c r="BI868" s="401"/>
      <c r="BJ868" s="971">
        <f t="shared" si="1143"/>
        <v>11.09294968</v>
      </c>
      <c r="BK868" s="118"/>
      <c r="BL868" s="118"/>
      <c r="BM868" s="118"/>
      <c r="BN868" s="401"/>
      <c r="BO868" s="118"/>
      <c r="BP868" s="118"/>
      <c r="BQ868" s="118"/>
      <c r="BR868" s="118"/>
      <c r="BS868" s="401"/>
      <c r="BT868" s="401"/>
      <c r="BU868" s="401"/>
      <c r="BV868" s="401"/>
      <c r="BW868" s="122"/>
    </row>
    <row r="869" spans="1:75" s="123" customFormat="1" ht="15" hidden="1" customHeight="1" outlineLevel="2" x14ac:dyDescent="0.5">
      <c r="A869" s="445" t="s">
        <v>1273</v>
      </c>
      <c r="B869" s="677"/>
      <c r="C869" s="406"/>
      <c r="D869" s="406"/>
      <c r="E869" s="406"/>
      <c r="F869" s="406"/>
      <c r="G869" s="723">
        <f t="shared" si="1142"/>
        <v>31.253209650000002</v>
      </c>
      <c r="H869" s="723">
        <f t="shared" si="1142"/>
        <v>29.348374379999999</v>
      </c>
      <c r="I869" s="723">
        <f t="shared" si="1142"/>
        <v>29.406878130000003</v>
      </c>
      <c r="J869" s="723">
        <f t="shared" si="1142"/>
        <v>8.7549323399999999</v>
      </c>
      <c r="K869" s="406"/>
      <c r="L869" s="723">
        <f t="shared" si="1142"/>
        <v>21.652305000000002</v>
      </c>
      <c r="M869" s="723">
        <f t="shared" si="1142"/>
        <v>19.933597450000001</v>
      </c>
      <c r="N869" s="723">
        <f t="shared" si="1142"/>
        <v>27.661909039999998</v>
      </c>
      <c r="O869" s="723">
        <f t="shared" si="1142"/>
        <v>8.34852858</v>
      </c>
      <c r="P869" s="406"/>
      <c r="Q869" s="723">
        <f t="shared" si="1142"/>
        <v>27.08674899</v>
      </c>
      <c r="R869" s="723">
        <f t="shared" si="1142"/>
        <v>20.830417920000002</v>
      </c>
      <c r="S869" s="723">
        <f t="shared" si="1142"/>
        <v>21.899907200000005</v>
      </c>
      <c r="T869" s="723">
        <f t="shared" si="1142"/>
        <v>7.7859962700000001</v>
      </c>
      <c r="U869" s="406"/>
      <c r="V869" s="723">
        <f t="shared" si="1142"/>
        <v>16.6380704</v>
      </c>
      <c r="W869" s="723">
        <f t="shared" si="1142"/>
        <v>14.167625080000001</v>
      </c>
      <c r="X869" s="723">
        <f t="shared" si="1142"/>
        <v>15.167315519999999</v>
      </c>
      <c r="Y869" s="723">
        <f t="shared" si="1142"/>
        <v>13.293080320000001</v>
      </c>
      <c r="Z869" s="406"/>
      <c r="AA869" s="723">
        <f t="shared" si="1142"/>
        <v>14.622190420000001</v>
      </c>
      <c r="AB869" s="723">
        <f t="shared" si="1142"/>
        <v>28.159024909999999</v>
      </c>
      <c r="AC869" s="723">
        <f t="shared" si="1142"/>
        <v>14.944479100000001</v>
      </c>
      <c r="AD869" s="723">
        <f t="shared" si="1142"/>
        <v>13.14039</v>
      </c>
      <c r="AE869" s="406"/>
      <c r="AF869" s="723">
        <f t="shared" si="1142"/>
        <v>14.400320520000001</v>
      </c>
      <c r="AG869" s="723">
        <f t="shared" si="1142"/>
        <v>61.568223220000007</v>
      </c>
      <c r="AH869" s="723">
        <f t="shared" si="1142"/>
        <v>11.421156499999999</v>
      </c>
      <c r="AI869" s="723">
        <f t="shared" si="1142"/>
        <v>14.11848165</v>
      </c>
      <c r="AJ869" s="406"/>
      <c r="AK869" s="723">
        <f t="shared" si="1142"/>
        <v>14.782386520000001</v>
      </c>
      <c r="AL869" s="723">
        <f t="shared" si="1142"/>
        <v>14.889236900000002</v>
      </c>
      <c r="AM869" s="723">
        <f t="shared" si="1142"/>
        <v>15.586163060000002</v>
      </c>
      <c r="AN869" s="723">
        <f t="shared" si="1142"/>
        <v>13.621864459999999</v>
      </c>
      <c r="AO869" s="406"/>
      <c r="AP869" s="723">
        <f t="shared" si="1142"/>
        <v>0</v>
      </c>
      <c r="AQ869" s="723">
        <f t="shared" si="1142"/>
        <v>0</v>
      </c>
      <c r="AR869" s="723">
        <f t="shared" si="1142"/>
        <v>109.04561570000001</v>
      </c>
      <c r="AS869" s="723">
        <f t="shared" si="1142"/>
        <v>15.855626249999998</v>
      </c>
      <c r="AT869" s="406"/>
      <c r="AU869" s="723">
        <f t="shared" si="1142"/>
        <v>244.06084577999999</v>
      </c>
      <c r="AV869" s="723">
        <f t="shared" si="1142"/>
        <v>11.63086506</v>
      </c>
      <c r="AW869" s="723">
        <f t="shared" si="1142"/>
        <v>112.70032826000001</v>
      </c>
      <c r="AX869" s="723">
        <f t="shared" si="1142"/>
        <v>0</v>
      </c>
      <c r="AY869" s="406"/>
      <c r="AZ869" s="723">
        <f t="shared" si="1142"/>
        <v>364.13172864000001</v>
      </c>
      <c r="BA869" s="723">
        <f t="shared" si="1142"/>
        <v>119.5088367</v>
      </c>
      <c r="BB869" s="723">
        <f t="shared" si="1142"/>
        <v>18.490860000000001</v>
      </c>
      <c r="BC869" s="723">
        <f t="shared" si="1142"/>
        <v>0</v>
      </c>
      <c r="BD869" s="406"/>
      <c r="BE869" s="723">
        <f t="shared" si="1142"/>
        <v>299.00472608999996</v>
      </c>
      <c r="BF869" s="723">
        <f t="shared" si="1142"/>
        <v>0</v>
      </c>
      <c r="BG869" s="723">
        <f t="shared" si="1142"/>
        <v>0</v>
      </c>
      <c r="BH869" s="723">
        <f t="shared" si="1142"/>
        <v>0</v>
      </c>
      <c r="BI869" s="406"/>
      <c r="BJ869" s="1049">
        <f t="shared" si="1143"/>
        <v>32.689012499999997</v>
      </c>
      <c r="BK869" s="723"/>
      <c r="BL869" s="723"/>
      <c r="BM869" s="723"/>
      <c r="BN869" s="406"/>
      <c r="BO869" s="723"/>
      <c r="BP869" s="723"/>
      <c r="BQ869" s="723"/>
      <c r="BR869" s="723"/>
      <c r="BS869" s="406"/>
      <c r="BT869" s="406"/>
      <c r="BU869" s="406"/>
      <c r="BV869" s="406"/>
      <c r="BW869" s="122"/>
    </row>
    <row r="870" spans="1:75" s="198" customFormat="1" ht="15" hidden="1" customHeight="1" outlineLevel="1" collapsed="1" x14ac:dyDescent="0.45">
      <c r="A870" s="206" t="s">
        <v>1274</v>
      </c>
      <c r="B870" s="522"/>
      <c r="C870" s="397"/>
      <c r="D870" s="397"/>
      <c r="E870" s="397"/>
      <c r="F870" s="397"/>
      <c r="G870" s="295">
        <f t="shared" ref="G870:BF870" si="1144">SUM(G867:G869)</f>
        <v>41.171406910000002</v>
      </c>
      <c r="H870" s="295">
        <f t="shared" si="1144"/>
        <v>89.832006440000001</v>
      </c>
      <c r="I870" s="295">
        <f t="shared" si="1144"/>
        <v>85.361918180000004</v>
      </c>
      <c r="J870" s="295">
        <f t="shared" si="1144"/>
        <v>22.90582534</v>
      </c>
      <c r="K870" s="397">
        <f>SUM(G870,H870,I870,J870)</f>
        <v>239.27115687000003</v>
      </c>
      <c r="L870" s="295">
        <f t="shared" si="1144"/>
        <v>53.309167180000003</v>
      </c>
      <c r="M870" s="295">
        <f t="shared" si="1144"/>
        <v>58.746642039999998</v>
      </c>
      <c r="N870" s="295">
        <f t="shared" si="1144"/>
        <v>83.178116630000005</v>
      </c>
      <c r="O870" s="295">
        <f t="shared" si="1144"/>
        <v>29.142387329999998</v>
      </c>
      <c r="P870" s="397">
        <f>SUM(L870,M870,N870,O870)</f>
        <v>224.37631317999998</v>
      </c>
      <c r="Q870" s="295">
        <f t="shared" si="1144"/>
        <v>52.562210149999999</v>
      </c>
      <c r="R870" s="295">
        <f t="shared" si="1144"/>
        <v>72.440475320000004</v>
      </c>
      <c r="S870" s="295">
        <f t="shared" si="1144"/>
        <v>71.499003790000003</v>
      </c>
      <c r="T870" s="295">
        <f t="shared" si="1144"/>
        <v>28.498005139999997</v>
      </c>
      <c r="U870" s="397">
        <f>SUM(Q870,R870,S870,T870)</f>
        <v>224.99969440000001</v>
      </c>
      <c r="V870" s="295">
        <f t="shared" si="1144"/>
        <v>40.638006840000003</v>
      </c>
      <c r="W870" s="295">
        <f t="shared" si="1144"/>
        <v>35.527972740000003</v>
      </c>
      <c r="X870" s="295">
        <f t="shared" si="1144"/>
        <v>39.000215940000004</v>
      </c>
      <c r="Y870" s="295">
        <f t="shared" si="1144"/>
        <v>36.106850059999999</v>
      </c>
      <c r="Z870" s="397">
        <f>SUM(V870,W870,X870,Y870)</f>
        <v>151.27304558</v>
      </c>
      <c r="AA870" s="295">
        <f t="shared" si="1144"/>
        <v>38.349560100000005</v>
      </c>
      <c r="AB870" s="295">
        <f t="shared" si="1144"/>
        <v>55.013220529999998</v>
      </c>
      <c r="AC870" s="295">
        <f t="shared" si="1144"/>
        <v>60.962257900000004</v>
      </c>
      <c r="AD870" s="295">
        <f t="shared" si="1144"/>
        <v>41.858964</v>
      </c>
      <c r="AE870" s="397">
        <f>SUM(AA870,AB870,AC870,AD870)</f>
        <v>196.18400252999999</v>
      </c>
      <c r="AF870" s="295">
        <f t="shared" si="1144"/>
        <v>37.714707570000002</v>
      </c>
      <c r="AG870" s="295">
        <f t="shared" si="1144"/>
        <v>137.10008052000001</v>
      </c>
      <c r="AH870" s="295">
        <f t="shared" si="1144"/>
        <v>45.403306520000001</v>
      </c>
      <c r="AI870" s="295">
        <f t="shared" si="1144"/>
        <v>75.079363330000007</v>
      </c>
      <c r="AJ870" s="397">
        <f>SUM(AF870,AG870,AH870,AI870)</f>
        <v>295.29745794000002</v>
      </c>
      <c r="AK870" s="295">
        <f t="shared" si="1144"/>
        <v>33.850302880000001</v>
      </c>
      <c r="AL870" s="295">
        <f t="shared" si="1144"/>
        <v>38.283674449999999</v>
      </c>
      <c r="AM870" s="295">
        <f t="shared" si="1144"/>
        <v>40.583280390000006</v>
      </c>
      <c r="AN870" s="295">
        <f t="shared" si="1144"/>
        <v>36.119595660000002</v>
      </c>
      <c r="AO870" s="397">
        <f>SUM(AK870,AL870,AM870,AN870)</f>
        <v>148.83685337999998</v>
      </c>
      <c r="AP870" s="295">
        <f t="shared" si="1144"/>
        <v>0</v>
      </c>
      <c r="AQ870" s="295">
        <f t="shared" si="1144"/>
        <v>0</v>
      </c>
      <c r="AR870" s="295">
        <f t="shared" si="1144"/>
        <v>109.04561570000001</v>
      </c>
      <c r="AS870" s="295">
        <f t="shared" si="1144"/>
        <v>40.952038350000002</v>
      </c>
      <c r="AT870" s="397">
        <f>SUM(AP870,AQ870,AR870,AS870)</f>
        <v>149.99765405000002</v>
      </c>
      <c r="AU870" s="295">
        <f t="shared" si="1144"/>
        <v>315.53269764999999</v>
      </c>
      <c r="AV870" s="295">
        <f t="shared" si="1144"/>
        <v>135.86040972999999</v>
      </c>
      <c r="AW870" s="295">
        <f t="shared" si="1144"/>
        <v>201.31176713000002</v>
      </c>
      <c r="AX870" s="295">
        <f t="shared" si="1144"/>
        <v>246.73537145</v>
      </c>
      <c r="AY870" s="397">
        <f>SUM(AU870,AV870,AW870,AX870)</f>
        <v>899.44024595999997</v>
      </c>
      <c r="AZ870" s="295">
        <f t="shared" si="1144"/>
        <v>501.06354149999999</v>
      </c>
      <c r="BA870" s="295">
        <f t="shared" si="1144"/>
        <v>265.34405902000003</v>
      </c>
      <c r="BB870" s="295">
        <f t="shared" si="1144"/>
        <v>74.529875399999995</v>
      </c>
      <c r="BC870" s="295">
        <f t="shared" si="1144"/>
        <v>39.083170500000001</v>
      </c>
      <c r="BD870" s="397">
        <f>SUM(AZ870,BA870,BB870,BC870)</f>
        <v>880.02064642000005</v>
      </c>
      <c r="BE870" s="295">
        <f t="shared" si="1144"/>
        <v>300.00460480999999</v>
      </c>
      <c r="BF870" s="295">
        <f t="shared" si="1144"/>
        <v>9.9998622300000015</v>
      </c>
      <c r="BG870" s="295">
        <f t="shared" ref="BG870:BH870" si="1145">SUM(BG867:BG869)</f>
        <v>3.00097434</v>
      </c>
      <c r="BH870" s="295">
        <f t="shared" si="1145"/>
        <v>0</v>
      </c>
      <c r="BI870" s="397">
        <f>SUM(BE870,BF870,BG870,BH870)</f>
        <v>313.00544138000004</v>
      </c>
      <c r="BJ870" s="1030">
        <f t="shared" ref="BJ870" si="1146">SUM(BJ867:BJ869)</f>
        <v>43.781962179999994</v>
      </c>
      <c r="BK870" s="295"/>
      <c r="BL870" s="295"/>
      <c r="BM870" s="295"/>
      <c r="BN870" s="397"/>
      <c r="BO870" s="295"/>
      <c r="BP870" s="295"/>
      <c r="BQ870" s="295"/>
      <c r="BR870" s="295"/>
      <c r="BS870" s="397"/>
      <c r="BT870" s="397"/>
      <c r="BU870" s="397"/>
      <c r="BV870" s="397"/>
      <c r="BW870" s="197"/>
    </row>
    <row r="871" spans="1:75" s="123" customFormat="1" ht="15" customHeight="1" collapsed="1" x14ac:dyDescent="0.5">
      <c r="A871" s="752"/>
      <c r="B871" s="513"/>
      <c r="C871" s="401"/>
      <c r="D871" s="401"/>
      <c r="E871" s="401"/>
      <c r="F871" s="401"/>
      <c r="G871" s="118"/>
      <c r="H871" s="118"/>
      <c r="I871" s="118"/>
      <c r="J871" s="118"/>
      <c r="K871" s="401"/>
      <c r="L871" s="118"/>
      <c r="M871" s="118"/>
      <c r="N871" s="118"/>
      <c r="O871" s="118"/>
      <c r="P871" s="401"/>
      <c r="Q871" s="118"/>
      <c r="R871" s="118"/>
      <c r="S871" s="118"/>
      <c r="T871" s="118"/>
      <c r="U871" s="401"/>
      <c r="V871" s="118"/>
      <c r="W871" s="118"/>
      <c r="X871" s="118"/>
      <c r="Y871" s="118"/>
      <c r="Z871" s="401"/>
      <c r="AA871" s="118"/>
      <c r="AB871" s="118"/>
      <c r="AC871" s="118"/>
      <c r="AD871" s="118"/>
      <c r="AE871" s="401"/>
      <c r="AF871" s="118"/>
      <c r="AG871" s="118"/>
      <c r="AH871" s="118"/>
      <c r="AI871" s="118"/>
      <c r="AJ871" s="401"/>
      <c r="AK871" s="118"/>
      <c r="AL871" s="118"/>
      <c r="AM871" s="118"/>
      <c r="AN871" s="118"/>
      <c r="AO871" s="401"/>
      <c r="AP871" s="118"/>
      <c r="AQ871" s="118"/>
      <c r="AR871" s="118"/>
      <c r="AS871" s="118"/>
      <c r="AT871" s="401"/>
      <c r="AU871" s="118"/>
      <c r="AV871" s="118"/>
      <c r="AW871" s="118"/>
      <c r="AX871" s="118"/>
      <c r="AY871" s="401"/>
      <c r="AZ871" s="118"/>
      <c r="BA871" s="118"/>
      <c r="BB871" s="118"/>
      <c r="BC871" s="118"/>
      <c r="BD871" s="401"/>
      <c r="BE871" s="118"/>
      <c r="BF871" s="118"/>
      <c r="BG871" s="118"/>
      <c r="BH871" s="118"/>
      <c r="BI871" s="401"/>
      <c r="BJ871" s="971"/>
      <c r="BK871" s="118"/>
      <c r="BL871" s="118"/>
      <c r="BM871" s="118"/>
      <c r="BN871" s="401"/>
      <c r="BO871" s="118"/>
      <c r="BP871" s="118"/>
      <c r="BQ871" s="118"/>
      <c r="BR871" s="118"/>
      <c r="BS871" s="401"/>
      <c r="BT871" s="401"/>
      <c r="BU871" s="401"/>
      <c r="BV871" s="401"/>
      <c r="BW871" s="122"/>
    </row>
    <row r="872" spans="1:75" s="198" customFormat="1" ht="14.25" x14ac:dyDescent="0.45">
      <c r="A872" s="239" t="s">
        <v>1275</v>
      </c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  <c r="AK872" s="239"/>
      <c r="AL872" s="239"/>
      <c r="AM872" s="239"/>
      <c r="AN872" s="239"/>
      <c r="AO872" s="239"/>
      <c r="AP872" s="239"/>
      <c r="AQ872" s="239"/>
      <c r="AR872" s="239"/>
      <c r="AS872" s="239"/>
      <c r="AT872" s="239"/>
      <c r="AU872" s="239"/>
      <c r="AV872" s="239"/>
      <c r="AW872" s="239"/>
      <c r="AX872" s="239"/>
      <c r="AY872" s="239"/>
      <c r="AZ872" s="239"/>
      <c r="BA872" s="239"/>
      <c r="BB872" s="239"/>
      <c r="BC872" s="239"/>
      <c r="BD872" s="239"/>
      <c r="BE872" s="239"/>
      <c r="BF872" s="239"/>
      <c r="BG872" s="239"/>
      <c r="BH872" s="239"/>
      <c r="BI872" s="239"/>
      <c r="BJ872" s="241"/>
      <c r="BK872" s="239"/>
      <c r="BL872" s="239"/>
      <c r="BM872" s="239"/>
      <c r="BN872" s="239"/>
      <c r="BO872" s="239"/>
      <c r="BP872" s="239"/>
      <c r="BQ872" s="239"/>
      <c r="BR872" s="239"/>
      <c r="BS872" s="239"/>
      <c r="BT872" s="239"/>
      <c r="BU872" s="239"/>
      <c r="BV872" s="239"/>
      <c r="BW872" s="197"/>
    </row>
    <row r="873" spans="1:75" s="123" customFormat="1" hidden="1" outlineLevel="1" x14ac:dyDescent="0.5">
      <c r="A873" s="122" t="s">
        <v>1276</v>
      </c>
      <c r="B873" s="513"/>
      <c r="C873" s="674">
        <f t="shared" ref="C873:BD873" si="1147">C1019</f>
        <v>227.68300000000002</v>
      </c>
      <c r="D873" s="674">
        <f t="shared" si="1147"/>
        <v>361.46299999999991</v>
      </c>
      <c r="E873" s="674">
        <f t="shared" si="1147"/>
        <v>381.87399999999997</v>
      </c>
      <c r="F873" s="674">
        <f t="shared" si="1147"/>
        <v>394.93200000000002</v>
      </c>
      <c r="G873" s="122">
        <f t="shared" si="1147"/>
        <v>80.78100000000002</v>
      </c>
      <c r="H873" s="122">
        <f t="shared" si="1147"/>
        <v>88.143000000000001</v>
      </c>
      <c r="I873" s="122">
        <f t="shared" si="1147"/>
        <v>95.768000000000029</v>
      </c>
      <c r="J873" s="122">
        <f t="shared" si="1147"/>
        <v>151.90499999999994</v>
      </c>
      <c r="K873" s="674">
        <f t="shared" si="1147"/>
        <v>416.59700000000004</v>
      </c>
      <c r="L873" s="122">
        <f t="shared" si="1147"/>
        <v>109.39800000000001</v>
      </c>
      <c r="M873" s="122">
        <f t="shared" si="1147"/>
        <v>92.745000000000005</v>
      </c>
      <c r="N873" s="122">
        <f t="shared" si="1147"/>
        <v>110.90600000000001</v>
      </c>
      <c r="O873" s="122">
        <f t="shared" si="1147"/>
        <v>181.44</v>
      </c>
      <c r="P873" s="674">
        <f t="shared" si="1147"/>
        <v>494.48900000000003</v>
      </c>
      <c r="Q873" s="122">
        <f t="shared" si="1147"/>
        <v>102.37400000000001</v>
      </c>
      <c r="R873" s="122">
        <f t="shared" si="1147"/>
        <v>99.875000000000014</v>
      </c>
      <c r="S873" s="122">
        <f t="shared" si="1147"/>
        <v>115.08300000000001</v>
      </c>
      <c r="T873" s="122">
        <f t="shared" si="1147"/>
        <v>174.28199999999993</v>
      </c>
      <c r="U873" s="674">
        <f t="shared" si="1147"/>
        <v>491.61399999999992</v>
      </c>
      <c r="V873" s="122">
        <f t="shared" si="1147"/>
        <v>101.511</v>
      </c>
      <c r="W873" s="122">
        <f t="shared" si="1147"/>
        <v>95.484999999999999</v>
      </c>
      <c r="X873" s="122">
        <f t="shared" si="1147"/>
        <v>116.19299999999996</v>
      </c>
      <c r="Y873" s="122">
        <f t="shared" si="1147"/>
        <v>200.12999999999997</v>
      </c>
      <c r="Z873" s="674">
        <f t="shared" si="1147"/>
        <v>513.31899999999996</v>
      </c>
      <c r="AA873" s="122">
        <f t="shared" si="1147"/>
        <v>98.182000000000016</v>
      </c>
      <c r="AB873" s="122">
        <f t="shared" si="1147"/>
        <v>101.00799999999998</v>
      </c>
      <c r="AC873" s="122">
        <f t="shared" si="1147"/>
        <v>115.68299999999999</v>
      </c>
      <c r="AD873" s="122">
        <f t="shared" si="1147"/>
        <v>210.5</v>
      </c>
      <c r="AE873" s="674">
        <f t="shared" si="1147"/>
        <v>525.37300000000005</v>
      </c>
      <c r="AF873" s="122">
        <f t="shared" si="1147"/>
        <v>102.56899999999999</v>
      </c>
      <c r="AG873" s="122">
        <f t="shared" si="1147"/>
        <v>111.36499999999999</v>
      </c>
      <c r="AH873" s="122">
        <f t="shared" si="1147"/>
        <v>154.23600000000002</v>
      </c>
      <c r="AI873" s="122">
        <f t="shared" si="1147"/>
        <v>221.19400000000002</v>
      </c>
      <c r="AJ873" s="674">
        <f t="shared" si="1147"/>
        <v>589.36399999999992</v>
      </c>
      <c r="AK873" s="122">
        <f t="shared" si="1147"/>
        <v>177.83099999999999</v>
      </c>
      <c r="AL873" s="122">
        <f t="shared" si="1147"/>
        <v>173.595</v>
      </c>
      <c r="AM873" s="122">
        <f t="shared" si="1147"/>
        <v>186.16200000000001</v>
      </c>
      <c r="AN873" s="122">
        <f t="shared" si="1147"/>
        <v>277.66399999999993</v>
      </c>
      <c r="AO873" s="674">
        <f t="shared" si="1147"/>
        <v>815.25200000000007</v>
      </c>
      <c r="AP873" s="122">
        <f t="shared" si="1147"/>
        <v>179.97499999999997</v>
      </c>
      <c r="AQ873" s="122">
        <f t="shared" si="1147"/>
        <v>258.12799999999999</v>
      </c>
      <c r="AR873" s="122">
        <f t="shared" si="1147"/>
        <v>319.28100000000006</v>
      </c>
      <c r="AS873" s="122">
        <f t="shared" si="1147"/>
        <v>414.79500000000007</v>
      </c>
      <c r="AT873" s="674">
        <f t="shared" si="1147"/>
        <v>1172.1790000000001</v>
      </c>
      <c r="AU873" s="122">
        <f t="shared" si="1147"/>
        <v>360.03799999999995</v>
      </c>
      <c r="AV873" s="122">
        <f t="shared" si="1147"/>
        <v>363.71200000000005</v>
      </c>
      <c r="AW873" s="122">
        <f t="shared" si="1147"/>
        <v>372.80999999999995</v>
      </c>
      <c r="AX873" s="122">
        <f t="shared" si="1147"/>
        <v>537.548</v>
      </c>
      <c r="AY873" s="674">
        <f t="shared" si="1147"/>
        <v>1634.1080000000002</v>
      </c>
      <c r="AZ873" s="122">
        <f t="shared" si="1147"/>
        <v>394.39899999999994</v>
      </c>
      <c r="BA873" s="122">
        <f t="shared" si="1147"/>
        <v>398.62200000000001</v>
      </c>
      <c r="BB873" s="122">
        <f t="shared" si="1147"/>
        <v>378.94499999999988</v>
      </c>
      <c r="BC873" s="122">
        <f t="shared" si="1147"/>
        <v>490.66300000000001</v>
      </c>
      <c r="BD873" s="674">
        <f t="shared" si="1147"/>
        <v>1662.6289999999999</v>
      </c>
      <c r="BE873" s="122">
        <f>BE1019</f>
        <v>319.45000000000005</v>
      </c>
      <c r="BF873" s="122">
        <f>BF1019</f>
        <v>341.60199999999998</v>
      </c>
      <c r="BG873" s="122">
        <f t="shared" ref="BG873:BV873" si="1148">BG1019</f>
        <v>374.69099999999997</v>
      </c>
      <c r="BH873" s="122">
        <f t="shared" si="1148"/>
        <v>476.637</v>
      </c>
      <c r="BI873" s="674">
        <f t="shared" si="1148"/>
        <v>1512.3799999999997</v>
      </c>
      <c r="BJ873" s="1274">
        <f>BJ1019</f>
        <v>421.27899999999994</v>
      </c>
      <c r="BK873" s="118">
        <f t="shared" si="1148"/>
        <v>267.94711312281584</v>
      </c>
      <c r="BL873" s="118">
        <f t="shared" ca="1" si="1148"/>
        <v>306.84178366077612</v>
      </c>
      <c r="BM873" s="118">
        <f t="shared" ca="1" si="1148"/>
        <v>442.79797493359666</v>
      </c>
      <c r="BN873" s="401">
        <f t="shared" ca="1" si="1148"/>
        <v>1438.8658717171886</v>
      </c>
      <c r="BO873" s="118">
        <f t="shared" ca="1" si="1148"/>
        <v>297.85384403841573</v>
      </c>
      <c r="BP873" s="118">
        <f t="shared" ca="1" si="1148"/>
        <v>293.79695667517331</v>
      </c>
      <c r="BQ873" s="118">
        <f t="shared" ca="1" si="1148"/>
        <v>350.13729891335191</v>
      </c>
      <c r="BR873" s="118">
        <f t="shared" ca="1" si="1148"/>
        <v>447.28748122560728</v>
      </c>
      <c r="BS873" s="401">
        <f t="shared" ca="1" si="1148"/>
        <v>1389.075580852548</v>
      </c>
      <c r="BT873" s="401">
        <f t="shared" ca="1" si="1148"/>
        <v>1504.5984077719891</v>
      </c>
      <c r="BU873" s="401">
        <f t="shared" ca="1" si="1148"/>
        <v>1647.0572325844842</v>
      </c>
      <c r="BV873" s="401">
        <f t="shared" ca="1" si="1148"/>
        <v>1791.7081581904442</v>
      </c>
      <c r="BW873" s="122"/>
    </row>
    <row r="874" spans="1:75" s="123" customFormat="1" hidden="1" outlineLevel="1" x14ac:dyDescent="0.5">
      <c r="A874" s="445" t="s">
        <v>1277</v>
      </c>
      <c r="B874" s="677"/>
      <c r="C874" s="406">
        <f t="shared" ref="C874:BD874" si="1149">C875-C873</f>
        <v>263.03499999999997</v>
      </c>
      <c r="D874" s="406">
        <f t="shared" si="1149"/>
        <v>-5.4740000000000464</v>
      </c>
      <c r="E874" s="406">
        <f t="shared" si="1149"/>
        <v>-90.54000000000002</v>
      </c>
      <c r="F874" s="406">
        <f t="shared" si="1149"/>
        <v>-30.805000000000064</v>
      </c>
      <c r="G874" s="723">
        <f t="shared" si="1149"/>
        <v>-140.60300000000001</v>
      </c>
      <c r="H874" s="723">
        <f t="shared" si="1149"/>
        <v>35.741999999999976</v>
      </c>
      <c r="I874" s="723">
        <f t="shared" si="1149"/>
        <v>-11.155999999999921</v>
      </c>
      <c r="J874" s="723">
        <f t="shared" si="1149"/>
        <v>153.18899999999994</v>
      </c>
      <c r="K874" s="406">
        <f t="shared" si="1149"/>
        <v>37.171999999999969</v>
      </c>
      <c r="L874" s="723">
        <f t="shared" si="1149"/>
        <v>-179.72700000000003</v>
      </c>
      <c r="M874" s="723">
        <f t="shared" si="1149"/>
        <v>-12.199000000000012</v>
      </c>
      <c r="N874" s="723">
        <f t="shared" si="1149"/>
        <v>0.67799999999999727</v>
      </c>
      <c r="O874" s="723">
        <f t="shared" si="1149"/>
        <v>158.45599999999996</v>
      </c>
      <c r="P874" s="406">
        <f t="shared" si="1149"/>
        <v>-32.791999999999973</v>
      </c>
      <c r="Q874" s="723">
        <f t="shared" si="1149"/>
        <v>-169.44499999999999</v>
      </c>
      <c r="R874" s="723">
        <f t="shared" si="1149"/>
        <v>4.001000000000019</v>
      </c>
      <c r="S874" s="723">
        <f t="shared" si="1149"/>
        <v>-58.843000000000011</v>
      </c>
      <c r="T874" s="723">
        <f t="shared" si="1149"/>
        <v>276.69899999999996</v>
      </c>
      <c r="U874" s="406">
        <f t="shared" si="1149"/>
        <v>52.412000000000035</v>
      </c>
      <c r="V874" s="723">
        <f t="shared" si="1149"/>
        <v>-174.17099999999999</v>
      </c>
      <c r="W874" s="723">
        <f t="shared" si="1149"/>
        <v>10.62299999999999</v>
      </c>
      <c r="X874" s="723">
        <f t="shared" si="1149"/>
        <v>-27.176999999999978</v>
      </c>
      <c r="Y874" s="723">
        <f t="shared" si="1149"/>
        <v>202.11499999999998</v>
      </c>
      <c r="Z874" s="406">
        <f t="shared" si="1149"/>
        <v>11.389999999999986</v>
      </c>
      <c r="AA874" s="723">
        <f t="shared" si="1149"/>
        <v>-144.55799999999999</v>
      </c>
      <c r="AB874" s="723">
        <f t="shared" si="1149"/>
        <v>-19.497000000000014</v>
      </c>
      <c r="AC874" s="723">
        <f t="shared" si="1149"/>
        <v>-37.888000000000005</v>
      </c>
      <c r="AD874" s="723">
        <f t="shared" si="1149"/>
        <v>176.274</v>
      </c>
      <c r="AE874" s="406">
        <f t="shared" si="1149"/>
        <v>-25.66900000000004</v>
      </c>
      <c r="AF874" s="723">
        <f t="shared" si="1149"/>
        <v>-91.799999999999983</v>
      </c>
      <c r="AG874" s="723">
        <f t="shared" si="1149"/>
        <v>-2.0110000000000099</v>
      </c>
      <c r="AH874" s="723">
        <f t="shared" si="1149"/>
        <v>-94.858000000000018</v>
      </c>
      <c r="AI874" s="723">
        <f t="shared" si="1149"/>
        <v>185.29099999999994</v>
      </c>
      <c r="AJ874" s="406">
        <f t="shared" si="1149"/>
        <v>-3.3779999999999291</v>
      </c>
      <c r="AK874" s="723">
        <f t="shared" si="1149"/>
        <v>-275.911</v>
      </c>
      <c r="AL874" s="723">
        <f t="shared" si="1149"/>
        <v>-102.15099999999998</v>
      </c>
      <c r="AM874" s="723">
        <f t="shared" si="1149"/>
        <v>-69.576000000000008</v>
      </c>
      <c r="AN874" s="723">
        <f t="shared" si="1149"/>
        <v>239.67999999999989</v>
      </c>
      <c r="AO874" s="406">
        <f t="shared" si="1149"/>
        <v>-207.95799999999986</v>
      </c>
      <c r="AP874" s="723">
        <f t="shared" si="1149"/>
        <v>-126.10199999999999</v>
      </c>
      <c r="AQ874" s="723">
        <f t="shared" si="1149"/>
        <v>-95.601000000000028</v>
      </c>
      <c r="AR874" s="723">
        <f t="shared" si="1149"/>
        <v>190.94700000000012</v>
      </c>
      <c r="AS874" s="723">
        <f t="shared" si="1149"/>
        <v>133.42499999999995</v>
      </c>
      <c r="AT874" s="406">
        <f t="shared" si="1149"/>
        <v>102.6690000000001</v>
      </c>
      <c r="AU874" s="723">
        <f t="shared" si="1149"/>
        <v>-121.15699999999998</v>
      </c>
      <c r="AV874" s="723">
        <f t="shared" si="1149"/>
        <v>-126.92500000000001</v>
      </c>
      <c r="AW874" s="723">
        <f t="shared" si="1149"/>
        <v>-60.13900000000001</v>
      </c>
      <c r="AX874" s="723">
        <f t="shared" si="1149"/>
        <v>45.259999999999991</v>
      </c>
      <c r="AY874" s="406">
        <f t="shared" si="1149"/>
        <v>-262.96100000000001</v>
      </c>
      <c r="AZ874" s="723">
        <f t="shared" si="1149"/>
        <v>-209.87999999999997</v>
      </c>
      <c r="BA874" s="723">
        <f t="shared" si="1149"/>
        <v>-199.54899999999998</v>
      </c>
      <c r="BB874" s="723">
        <f t="shared" si="1149"/>
        <v>-174.01199999999992</v>
      </c>
      <c r="BC874" s="723">
        <f t="shared" si="1149"/>
        <v>-26.366000000000042</v>
      </c>
      <c r="BD874" s="406">
        <f t="shared" si="1149"/>
        <v>-609.80700000000002</v>
      </c>
      <c r="BE874" s="723">
        <f>BE875-BE873</f>
        <v>23.076000000000022</v>
      </c>
      <c r="BF874" s="723">
        <f>BF875-BF873</f>
        <v>30.856999999999971</v>
      </c>
      <c r="BG874" s="723">
        <f t="shared" ref="BG874:BV874" si="1150">BG875-BG873</f>
        <v>-84.263000000000034</v>
      </c>
      <c r="BH874" s="723">
        <f t="shared" si="1150"/>
        <v>198.22300000000013</v>
      </c>
      <c r="BI874" s="406">
        <f t="shared" si="1150"/>
        <v>167.89300000000003</v>
      </c>
      <c r="BJ874" s="1049">
        <f>BJ875-BJ873</f>
        <v>-194.49099999999999</v>
      </c>
      <c r="BK874" s="723">
        <f t="shared" si="1150"/>
        <v>-109.48310879009716</v>
      </c>
      <c r="BL874" s="723">
        <f t="shared" ca="1" si="1150"/>
        <v>48.259497539444567</v>
      </c>
      <c r="BM874" s="723">
        <f t="shared" ca="1" si="1150"/>
        <v>222.33815808827688</v>
      </c>
      <c r="BN874" s="406">
        <f t="shared" ca="1" si="1150"/>
        <v>-33.37645316237581</v>
      </c>
      <c r="BO874" s="723">
        <f t="shared" ca="1" si="1150"/>
        <v>-163.86449303768984</v>
      </c>
      <c r="BP874" s="723">
        <f t="shared" ca="1" si="1150"/>
        <v>-114.84280856574514</v>
      </c>
      <c r="BQ874" s="723">
        <f t="shared" ca="1" si="1150"/>
        <v>47.13308013554223</v>
      </c>
      <c r="BR874" s="723">
        <f t="shared" ca="1" si="1150"/>
        <v>232.0060430362978</v>
      </c>
      <c r="BS874" s="406">
        <f t="shared" ca="1" si="1150"/>
        <v>0.43182156840498465</v>
      </c>
      <c r="BT874" s="406">
        <f t="shared" ca="1" si="1150"/>
        <v>1.1457434476308208</v>
      </c>
      <c r="BU874" s="406">
        <f t="shared" ca="1" si="1150"/>
        <v>1.3548746118699455</v>
      </c>
      <c r="BV874" s="406">
        <f t="shared" ca="1" si="1150"/>
        <v>1.4552401505127364</v>
      </c>
      <c r="BW874" s="122"/>
    </row>
    <row r="875" spans="1:75" s="123" customFormat="1" collapsed="1" x14ac:dyDescent="0.5">
      <c r="A875" s="206" t="s">
        <v>1278</v>
      </c>
      <c r="B875" s="522"/>
      <c r="C875" s="397">
        <f t="shared" ref="C875:BD875" si="1151">C1030</f>
        <v>490.71799999999996</v>
      </c>
      <c r="D875" s="397">
        <f t="shared" si="1151"/>
        <v>355.98899999999986</v>
      </c>
      <c r="E875" s="397">
        <f t="shared" si="1151"/>
        <v>291.33399999999995</v>
      </c>
      <c r="F875" s="397">
        <f t="shared" si="1151"/>
        <v>364.12699999999995</v>
      </c>
      <c r="G875" s="295">
        <f t="shared" si="1151"/>
        <v>-59.821999999999974</v>
      </c>
      <c r="H875" s="295">
        <f t="shared" si="1151"/>
        <v>123.88499999999998</v>
      </c>
      <c r="I875" s="295">
        <f t="shared" si="1151"/>
        <v>84.612000000000108</v>
      </c>
      <c r="J875" s="295">
        <f t="shared" si="1151"/>
        <v>305.09399999999988</v>
      </c>
      <c r="K875" s="397">
        <f t="shared" si="1151"/>
        <v>453.76900000000001</v>
      </c>
      <c r="L875" s="295">
        <f t="shared" si="1151"/>
        <v>-70.329000000000008</v>
      </c>
      <c r="M875" s="295">
        <f t="shared" si="1151"/>
        <v>80.545999999999992</v>
      </c>
      <c r="N875" s="295">
        <f t="shared" si="1151"/>
        <v>111.584</v>
      </c>
      <c r="O875" s="295">
        <f t="shared" si="1151"/>
        <v>339.89599999999996</v>
      </c>
      <c r="P875" s="397">
        <f t="shared" si="1151"/>
        <v>461.69700000000006</v>
      </c>
      <c r="Q875" s="295">
        <f t="shared" si="1151"/>
        <v>-67.070999999999998</v>
      </c>
      <c r="R875" s="295">
        <f t="shared" si="1151"/>
        <v>103.87600000000003</v>
      </c>
      <c r="S875" s="295">
        <f t="shared" si="1151"/>
        <v>56.24</v>
      </c>
      <c r="T875" s="295">
        <f t="shared" si="1151"/>
        <v>450.98099999999988</v>
      </c>
      <c r="U875" s="397">
        <f t="shared" si="1151"/>
        <v>544.02599999999995</v>
      </c>
      <c r="V875" s="295">
        <f t="shared" si="1151"/>
        <v>-72.66</v>
      </c>
      <c r="W875" s="295">
        <f t="shared" si="1151"/>
        <v>106.10799999999999</v>
      </c>
      <c r="X875" s="295">
        <f t="shared" si="1151"/>
        <v>89.015999999999977</v>
      </c>
      <c r="Y875" s="295">
        <f t="shared" si="1151"/>
        <v>402.24499999999995</v>
      </c>
      <c r="Z875" s="397">
        <f t="shared" si="1151"/>
        <v>524.70899999999995</v>
      </c>
      <c r="AA875" s="295">
        <f t="shared" si="1151"/>
        <v>-46.375999999999983</v>
      </c>
      <c r="AB875" s="295">
        <f t="shared" si="1151"/>
        <v>81.510999999999967</v>
      </c>
      <c r="AC875" s="295">
        <f t="shared" si="1151"/>
        <v>77.794999999999987</v>
      </c>
      <c r="AD875" s="295">
        <f t="shared" si="1151"/>
        <v>386.774</v>
      </c>
      <c r="AE875" s="397">
        <f t="shared" si="1151"/>
        <v>499.70400000000001</v>
      </c>
      <c r="AF875" s="295">
        <f t="shared" si="1151"/>
        <v>10.769000000000005</v>
      </c>
      <c r="AG875" s="295">
        <f t="shared" si="1151"/>
        <v>109.35399999999998</v>
      </c>
      <c r="AH875" s="295">
        <f t="shared" si="1151"/>
        <v>59.378</v>
      </c>
      <c r="AI875" s="295">
        <f t="shared" si="1151"/>
        <v>406.48499999999996</v>
      </c>
      <c r="AJ875" s="397">
        <f t="shared" si="1151"/>
        <v>585.98599999999999</v>
      </c>
      <c r="AK875" s="295">
        <f t="shared" si="1151"/>
        <v>-98.08</v>
      </c>
      <c r="AL875" s="295">
        <f t="shared" si="1151"/>
        <v>71.444000000000017</v>
      </c>
      <c r="AM875" s="295">
        <f t="shared" si="1151"/>
        <v>116.586</v>
      </c>
      <c r="AN875" s="295">
        <f t="shared" si="1151"/>
        <v>517.34399999999982</v>
      </c>
      <c r="AO875" s="397">
        <f t="shared" si="1151"/>
        <v>607.29400000000021</v>
      </c>
      <c r="AP875" s="295">
        <f t="shared" si="1151"/>
        <v>53.872999999999976</v>
      </c>
      <c r="AQ875" s="295">
        <f t="shared" si="1151"/>
        <v>162.52699999999996</v>
      </c>
      <c r="AR875" s="295">
        <f t="shared" si="1151"/>
        <v>510.22800000000018</v>
      </c>
      <c r="AS875" s="295">
        <f t="shared" si="1151"/>
        <v>548.22</v>
      </c>
      <c r="AT875" s="397">
        <f t="shared" si="1151"/>
        <v>1274.8480000000002</v>
      </c>
      <c r="AU875" s="295">
        <f t="shared" si="1151"/>
        <v>238.88099999999997</v>
      </c>
      <c r="AV875" s="295">
        <f t="shared" si="1151"/>
        <v>236.78700000000003</v>
      </c>
      <c r="AW875" s="295">
        <f t="shared" si="1151"/>
        <v>312.67099999999994</v>
      </c>
      <c r="AX875" s="295">
        <f t="shared" si="1151"/>
        <v>582.80799999999999</v>
      </c>
      <c r="AY875" s="397">
        <f t="shared" si="1151"/>
        <v>1371.1470000000002</v>
      </c>
      <c r="AZ875" s="295">
        <f t="shared" si="1151"/>
        <v>184.51899999999998</v>
      </c>
      <c r="BA875" s="295">
        <f t="shared" si="1151"/>
        <v>199.07300000000004</v>
      </c>
      <c r="BB875" s="295">
        <f t="shared" si="1151"/>
        <v>204.93299999999996</v>
      </c>
      <c r="BC875" s="295">
        <f t="shared" si="1151"/>
        <v>464.29699999999997</v>
      </c>
      <c r="BD875" s="397">
        <f t="shared" si="1151"/>
        <v>1052.8219999999999</v>
      </c>
      <c r="BE875" s="295">
        <f>BE1030</f>
        <v>342.52600000000007</v>
      </c>
      <c r="BF875" s="295">
        <f>BF1030</f>
        <v>372.45899999999995</v>
      </c>
      <c r="BG875" s="295">
        <f t="shared" ref="BG875:BV875" si="1152">BG1030</f>
        <v>290.42799999999994</v>
      </c>
      <c r="BH875" s="295">
        <f t="shared" si="1152"/>
        <v>674.86000000000013</v>
      </c>
      <c r="BI875" s="397">
        <f t="shared" si="1152"/>
        <v>1680.2729999999997</v>
      </c>
      <c r="BJ875" s="1030">
        <f>BJ1030</f>
        <v>226.78799999999995</v>
      </c>
      <c r="BK875" s="295">
        <f t="shared" si="1152"/>
        <v>158.46400433271867</v>
      </c>
      <c r="BL875" s="295">
        <f t="shared" ca="1" si="1152"/>
        <v>355.10128120022068</v>
      </c>
      <c r="BM875" s="295">
        <f t="shared" ca="1" si="1152"/>
        <v>665.13613302187355</v>
      </c>
      <c r="BN875" s="397">
        <f t="shared" ca="1" si="1152"/>
        <v>1405.4894185548128</v>
      </c>
      <c r="BO875" s="295">
        <f t="shared" ca="1" si="1152"/>
        <v>133.98935100072589</v>
      </c>
      <c r="BP875" s="295">
        <f t="shared" ca="1" si="1152"/>
        <v>178.95414810942816</v>
      </c>
      <c r="BQ875" s="295">
        <f t="shared" ca="1" si="1152"/>
        <v>397.27037904889414</v>
      </c>
      <c r="BR875" s="295">
        <f t="shared" ca="1" si="1152"/>
        <v>679.29352426190508</v>
      </c>
      <c r="BS875" s="397">
        <f t="shared" ca="1" si="1152"/>
        <v>1389.507402420953</v>
      </c>
      <c r="BT875" s="397">
        <f t="shared" ca="1" si="1152"/>
        <v>1505.7441512196199</v>
      </c>
      <c r="BU875" s="397">
        <f t="shared" ca="1" si="1152"/>
        <v>1648.4121071963541</v>
      </c>
      <c r="BV875" s="397">
        <f t="shared" ca="1" si="1152"/>
        <v>1793.163398340957</v>
      </c>
      <c r="BW875" s="122"/>
    </row>
    <row r="876" spans="1:75" s="741" customFormat="1" ht="14.25" hidden="1" outlineLevel="1" x14ac:dyDescent="0.45">
      <c r="A876" s="843" t="s">
        <v>1279</v>
      </c>
      <c r="B876" s="737"/>
      <c r="C876" s="844">
        <f t="shared" ref="C876:BN876" si="1153">C873/C815</f>
        <v>2.1204865282706082</v>
      </c>
      <c r="D876" s="844">
        <f t="shared" si="1153"/>
        <v>3.3003688756596836</v>
      </c>
      <c r="E876" s="845">
        <f t="shared" si="1153"/>
        <v>3.5829126869452628</v>
      </c>
      <c r="F876" s="845">
        <f t="shared" si="1153"/>
        <v>3.908244351861931</v>
      </c>
      <c r="G876" s="846">
        <f t="shared" si="1153"/>
        <v>0.81174697281816832</v>
      </c>
      <c r="H876" s="846">
        <f t="shared" si="1153"/>
        <v>0.89072021180916972</v>
      </c>
      <c r="I876" s="846">
        <f t="shared" si="1153"/>
        <v>0.97859252219940152</v>
      </c>
      <c r="J876" s="846">
        <f t="shared" si="1153"/>
        <v>1.5664669547193544</v>
      </c>
      <c r="K876" s="845">
        <f t="shared" si="1153"/>
        <v>4.2180630790259714</v>
      </c>
      <c r="L876" s="846">
        <f t="shared" si="1153"/>
        <v>1.1441151247673034</v>
      </c>
      <c r="M876" s="846">
        <f t="shared" si="1153"/>
        <v>0.96771669153476148</v>
      </c>
      <c r="N876" s="846">
        <f t="shared" si="1153"/>
        <v>1.1684155077960388</v>
      </c>
      <c r="O876" s="846">
        <f t="shared" si="1153"/>
        <v>1.9376127978129236</v>
      </c>
      <c r="P876" s="845">
        <f t="shared" si="1153"/>
        <v>5.1942121848739502</v>
      </c>
      <c r="Q876" s="846">
        <f t="shared" si="1153"/>
        <v>1.097256162915327</v>
      </c>
      <c r="R876" s="846">
        <f t="shared" si="1153"/>
        <v>1.0789831900090749</v>
      </c>
      <c r="S876" s="846">
        <f t="shared" si="1153"/>
        <v>1.2536137950566988</v>
      </c>
      <c r="T876" s="846">
        <f t="shared" si="1153"/>
        <v>1.9154393986020126</v>
      </c>
      <c r="U876" s="845">
        <f t="shared" si="1153"/>
        <v>5.3377125361012778</v>
      </c>
      <c r="V876" s="846">
        <f t="shared" si="1153"/>
        <v>1.121495017345383</v>
      </c>
      <c r="W876" s="846">
        <f t="shared" si="1153"/>
        <v>1.064065703842382</v>
      </c>
      <c r="X876" s="846">
        <f t="shared" si="1153"/>
        <v>1.3034304047384002</v>
      </c>
      <c r="Y876" s="846">
        <f t="shared" si="1153"/>
        <v>2.2579626098631431</v>
      </c>
      <c r="Z876" s="845">
        <f t="shared" si="1153"/>
        <v>5.7378440008048104</v>
      </c>
      <c r="AA876" s="846">
        <f t="shared" si="1153"/>
        <v>1.1193934557063052</v>
      </c>
      <c r="AB876" s="846">
        <f t="shared" si="1153"/>
        <v>1.1630434782608694</v>
      </c>
      <c r="AC876" s="846">
        <f t="shared" si="1153"/>
        <v>1.3548557106717884</v>
      </c>
      <c r="AD876" s="846">
        <f t="shared" si="1153"/>
        <v>2.4844207345859695</v>
      </c>
      <c r="AE876" s="845">
        <f t="shared" si="1153"/>
        <v>6.1033108736059489</v>
      </c>
      <c r="AF876" s="846">
        <f t="shared" si="1153"/>
        <v>1.2185354147361416</v>
      </c>
      <c r="AG876" s="846">
        <f t="shared" si="1153"/>
        <v>1.3390527492875779</v>
      </c>
      <c r="AH876" s="846">
        <f t="shared" si="1153"/>
        <v>1.8891978295219314</v>
      </c>
      <c r="AI876" s="846">
        <f t="shared" si="1153"/>
        <v>2.7415872386311526</v>
      </c>
      <c r="AJ876" s="845">
        <f t="shared" si="1153"/>
        <v>7.1576876366286122</v>
      </c>
      <c r="AK876" s="846">
        <f t="shared" si="1153"/>
        <v>2.2265892045525684</v>
      </c>
      <c r="AL876" s="846">
        <f t="shared" si="1153"/>
        <v>2.1844092110230275</v>
      </c>
      <c r="AM876" s="846">
        <f t="shared" si="1153"/>
        <v>2.3507974391029283</v>
      </c>
      <c r="AN876" s="846">
        <f t="shared" si="1153"/>
        <v>3.518653690186536</v>
      </c>
      <c r="AO876" s="845">
        <f t="shared" si="1153"/>
        <v>10.290337645945094</v>
      </c>
      <c r="AP876" s="846">
        <f t="shared" si="1153"/>
        <v>2.2956287707751368</v>
      </c>
      <c r="AQ876" s="846">
        <f t="shared" si="1153"/>
        <v>3.2565603552684701</v>
      </c>
      <c r="AR876" s="846">
        <f t="shared" si="1153"/>
        <v>4.0246180608077458</v>
      </c>
      <c r="AS876" s="846">
        <f t="shared" si="1153"/>
        <v>5.2608916228042375</v>
      </c>
      <c r="AT876" s="845">
        <f t="shared" si="1153"/>
        <v>14.827385997090634</v>
      </c>
      <c r="AU876" s="846">
        <f t="shared" si="1153"/>
        <v>4.5873479008727776</v>
      </c>
      <c r="AV876" s="846">
        <f t="shared" si="1153"/>
        <v>4.7491904314217077</v>
      </c>
      <c r="AW876" s="846">
        <f t="shared" si="1153"/>
        <v>4.9090765442502926</v>
      </c>
      <c r="AX876" s="846">
        <f t="shared" si="1153"/>
        <v>7.2151188542743245</v>
      </c>
      <c r="AY876" s="845">
        <f t="shared" si="1153"/>
        <v>21.401734028341675</v>
      </c>
      <c r="AZ876" s="846">
        <f t="shared" si="1153"/>
        <v>5.4286048560259861</v>
      </c>
      <c r="BA876" s="846">
        <f t="shared" si="1153"/>
        <v>5.7703565379771575</v>
      </c>
      <c r="BB876" s="846">
        <f t="shared" si="1153"/>
        <v>5.6042859044323148</v>
      </c>
      <c r="BC876" s="846">
        <f t="shared" si="1153"/>
        <v>7.301424085951103</v>
      </c>
      <c r="BD876" s="845">
        <f t="shared" si="1153"/>
        <v>24.061201157742403</v>
      </c>
      <c r="BE876" s="846">
        <f t="shared" si="1153"/>
        <v>4.7896425572748003</v>
      </c>
      <c r="BF876" s="846">
        <f t="shared" si="1153"/>
        <v>5.2940210147847377</v>
      </c>
      <c r="BG876" s="846">
        <f t="shared" si="1153"/>
        <v>5.7845894957853456</v>
      </c>
      <c r="BH876" s="846">
        <f t="shared" si="1153"/>
        <v>7.3163307596665996</v>
      </c>
      <c r="BI876" s="845">
        <f t="shared" si="1153"/>
        <v>23.17042529721779</v>
      </c>
      <c r="BJ876" s="1325">
        <f>BJ873/BJ815</f>
        <v>6.4499578963484643</v>
      </c>
      <c r="BK876" s="846">
        <f t="shared" ca="1" si="1153"/>
        <v>4.0886189767800847</v>
      </c>
      <c r="BL876" s="846">
        <f t="shared" ca="1" si="1153"/>
        <v>4.6757740973125905</v>
      </c>
      <c r="BM876" s="846">
        <f t="shared" ca="1" si="1153"/>
        <v>6.7475272657973573</v>
      </c>
      <c r="BN876" s="845">
        <f t="shared" ca="1" si="1153"/>
        <v>21.959821998085527</v>
      </c>
      <c r="BO876" s="846">
        <f t="shared" ref="BO876:BV876" ca="1" si="1154">BO873/BO815</f>
        <v>4.5388123876879884</v>
      </c>
      <c r="BP876" s="846">
        <f t="shared" ca="1" si="1154"/>
        <v>4.4769919647245544</v>
      </c>
      <c r="BQ876" s="846">
        <f t="shared" ca="1" si="1154"/>
        <v>5.3355279493877052</v>
      </c>
      <c r="BR876" s="846">
        <f t="shared" ca="1" si="1154"/>
        <v>6.8159401037735323</v>
      </c>
      <c r="BS876" s="845">
        <f t="shared" ca="1" si="1154"/>
        <v>21.167272405573776</v>
      </c>
      <c r="BT876" s="845">
        <f t="shared" ca="1" si="1154"/>
        <v>22.927654043673662</v>
      </c>
      <c r="BU876" s="845">
        <f t="shared" ca="1" si="1154"/>
        <v>25.098496863855736</v>
      </c>
      <c r="BV876" s="845">
        <f t="shared" ca="1" si="1154"/>
        <v>27.302743766058509</v>
      </c>
      <c r="BW876" s="742"/>
    </row>
    <row r="877" spans="1:75" s="741" customFormat="1" ht="14.25" collapsed="1" x14ac:dyDescent="0.45">
      <c r="A877" s="843" t="s">
        <v>1280</v>
      </c>
      <c r="B877" s="737"/>
      <c r="C877" s="844">
        <f t="shared" ref="C877:BN877" si="1155">C875/C815</f>
        <v>4.5702178387490333</v>
      </c>
      <c r="D877" s="844">
        <f t="shared" si="1155"/>
        <v>3.2503880498895183</v>
      </c>
      <c r="E877" s="845">
        <f t="shared" si="1155"/>
        <v>2.7334259068135327</v>
      </c>
      <c r="F877" s="845">
        <f t="shared" si="1155"/>
        <v>3.6033982840347938</v>
      </c>
      <c r="G877" s="846">
        <f t="shared" si="1155"/>
        <v>-0.60113550720996811</v>
      </c>
      <c r="H877" s="846">
        <f t="shared" si="1155"/>
        <v>1.2519073941206784</v>
      </c>
      <c r="I877" s="846">
        <f t="shared" si="1155"/>
        <v>0.86459642561540229</v>
      </c>
      <c r="J877" s="846">
        <f t="shared" si="1155"/>
        <v>3.146174708423993</v>
      </c>
      <c r="K877" s="845">
        <f t="shared" si="1155"/>
        <v>4.5944312256366118</v>
      </c>
      <c r="L877" s="846">
        <f t="shared" si="1155"/>
        <v>-0.73552050869083241</v>
      </c>
      <c r="M877" s="846">
        <f t="shared" si="1155"/>
        <v>0.8404303049906614</v>
      </c>
      <c r="N877" s="846">
        <f t="shared" si="1155"/>
        <v>1.1755583649388959</v>
      </c>
      <c r="O877" s="846">
        <f t="shared" si="1155"/>
        <v>3.6297775547036015</v>
      </c>
      <c r="P877" s="845">
        <f t="shared" si="1155"/>
        <v>4.8497584033613448</v>
      </c>
      <c r="Q877" s="846">
        <f t="shared" si="1155"/>
        <v>-0.7188745980707395</v>
      </c>
      <c r="R877" s="846">
        <f t="shared" si="1155"/>
        <v>1.1222073376258592</v>
      </c>
      <c r="S877" s="846">
        <f t="shared" si="1155"/>
        <v>0.61262949205346351</v>
      </c>
      <c r="T877" s="846">
        <f t="shared" si="1155"/>
        <v>4.9564887677495921</v>
      </c>
      <c r="U877" s="845">
        <f t="shared" si="1155"/>
        <v>5.9067772686803757</v>
      </c>
      <c r="V877" s="846">
        <f t="shared" si="1155"/>
        <v>-0.80274874605033475</v>
      </c>
      <c r="W877" s="846">
        <f t="shared" si="1155"/>
        <v>1.1824462868859764</v>
      </c>
      <c r="X877" s="846">
        <f t="shared" si="1155"/>
        <v>0.99856412097280767</v>
      </c>
      <c r="Y877" s="846">
        <f t="shared" si="1155"/>
        <v>4.5383209414100838</v>
      </c>
      <c r="Z877" s="845">
        <f t="shared" si="1155"/>
        <v>5.8651606268583301</v>
      </c>
      <c r="AA877" s="846">
        <f t="shared" si="1155"/>
        <v>-0.52874244669935</v>
      </c>
      <c r="AB877" s="846">
        <f t="shared" si="1155"/>
        <v>0.93854780766396428</v>
      </c>
      <c r="AC877" s="846">
        <f t="shared" si="1155"/>
        <v>0.91111917923732766</v>
      </c>
      <c r="AD877" s="846">
        <f t="shared" si="1155"/>
        <v>4.5648900009441986</v>
      </c>
      <c r="AE877" s="845">
        <f t="shared" si="1155"/>
        <v>5.8051115241635687</v>
      </c>
      <c r="AF877" s="846">
        <f t="shared" si="1155"/>
        <v>0.12793736783329776</v>
      </c>
      <c r="AG877" s="846">
        <f t="shared" si="1155"/>
        <v>1.3148724854810199</v>
      </c>
      <c r="AH877" s="846">
        <f t="shared" si="1155"/>
        <v>0.72730613294790603</v>
      </c>
      <c r="AI877" s="846">
        <f t="shared" si="1155"/>
        <v>5.0381750350144392</v>
      </c>
      <c r="AJ877" s="845">
        <f t="shared" si="1155"/>
        <v>7.1166626184114641</v>
      </c>
      <c r="AK877" s="846">
        <f t="shared" si="1155"/>
        <v>-1.2280416191919064</v>
      </c>
      <c r="AL877" s="846">
        <f t="shared" si="1155"/>
        <v>0.89900591418145237</v>
      </c>
      <c r="AM877" s="846">
        <f t="shared" si="1155"/>
        <v>1.4722127514490282</v>
      </c>
      <c r="AN877" s="846">
        <f t="shared" si="1155"/>
        <v>6.5559610705596079</v>
      </c>
      <c r="AO877" s="845">
        <f t="shared" si="1155"/>
        <v>7.6654338908172956</v>
      </c>
      <c r="AP877" s="846">
        <f t="shared" si="1155"/>
        <v>0.68716437709664635</v>
      </c>
      <c r="AQ877" s="846">
        <f t="shared" si="1155"/>
        <v>2.0504516552280982</v>
      </c>
      <c r="AR877" s="846">
        <f t="shared" si="1155"/>
        <v>6.4315534714869189</v>
      </c>
      <c r="AS877" s="846">
        <f t="shared" si="1155"/>
        <v>6.9531358995497499</v>
      </c>
      <c r="AT877" s="845">
        <f t="shared" si="1155"/>
        <v>16.126089431408513</v>
      </c>
      <c r="AU877" s="846">
        <f t="shared" si="1155"/>
        <v>3.0436516531821365</v>
      </c>
      <c r="AV877" s="846">
        <f t="shared" si="1155"/>
        <v>3.0918599185208402</v>
      </c>
      <c r="AW877" s="846">
        <f t="shared" si="1155"/>
        <v>4.117179990255849</v>
      </c>
      <c r="AX877" s="846">
        <f t="shared" si="1155"/>
        <v>7.8226111700199992</v>
      </c>
      <c r="AY877" s="845">
        <f t="shared" si="1155"/>
        <v>17.957762527176051</v>
      </c>
      <c r="AZ877" s="846">
        <f t="shared" si="1155"/>
        <v>2.5397649066784118</v>
      </c>
      <c r="BA877" s="846">
        <f t="shared" si="1155"/>
        <v>2.8817330380278228</v>
      </c>
      <c r="BB877" s="846">
        <f t="shared" si="1155"/>
        <v>3.0307910732508088</v>
      </c>
      <c r="BC877" s="846">
        <f t="shared" si="1155"/>
        <v>6.9090787339474113</v>
      </c>
      <c r="BD877" s="845">
        <f t="shared" si="1155"/>
        <v>15.236208393632417</v>
      </c>
      <c r="BE877" s="846">
        <f t="shared" si="1155"/>
        <v>5.1356303226580318</v>
      </c>
      <c r="BF877" s="846">
        <f t="shared" si="1155"/>
        <v>5.7722313486036629</v>
      </c>
      <c r="BG877" s="846">
        <f t="shared" si="1155"/>
        <v>4.4837126007348616</v>
      </c>
      <c r="BH877" s="846">
        <f t="shared" si="1155"/>
        <v>10.359034184229513</v>
      </c>
      <c r="BI877" s="845">
        <f t="shared" si="1155"/>
        <v>25.742630837112383</v>
      </c>
      <c r="BJ877" s="1325">
        <f>BJ875/BJ815</f>
        <v>3.4722192451963556</v>
      </c>
      <c r="BK877" s="846">
        <f t="shared" ca="1" si="1155"/>
        <v>2.4180105084929395</v>
      </c>
      <c r="BL877" s="846">
        <f t="shared" ca="1" si="1155"/>
        <v>5.4111710365825036</v>
      </c>
      <c r="BM877" s="846">
        <f t="shared" ca="1" si="1155"/>
        <v>10.135602344850714</v>
      </c>
      <c r="BN877" s="845">
        <f t="shared" ca="1" si="1155"/>
        <v>21.450434024696111</v>
      </c>
      <c r="BO877" s="846">
        <f t="shared" ref="BO877:BV877" ca="1" si="1156">BO875/BO815</f>
        <v>2.0417816936481508</v>
      </c>
      <c r="BP877" s="846">
        <f t="shared" ca="1" si="1156"/>
        <v>2.7269727100196999</v>
      </c>
      <c r="BQ877" s="846">
        <f t="shared" ca="1" si="1156"/>
        <v>6.0537601034152297</v>
      </c>
      <c r="BR877" s="846">
        <f t="shared" ca="1" si="1156"/>
        <v>10.351338163016997</v>
      </c>
      <c r="BS877" s="845">
        <f t="shared" ca="1" si="1156"/>
        <v>21.173852670100075</v>
      </c>
      <c r="BT877" s="845">
        <f t="shared" ca="1" si="1156"/>
        <v>22.945113326665318</v>
      </c>
      <c r="BU877" s="845">
        <f t="shared" ca="1" si="1156"/>
        <v>25.1191429686323</v>
      </c>
      <c r="BV877" s="845">
        <f t="shared" ca="1" si="1156"/>
        <v>27.324919279836184</v>
      </c>
      <c r="BW877" s="742"/>
    </row>
    <row r="878" spans="1:75" s="750" customFormat="1" ht="14.25" x14ac:dyDescent="0.45">
      <c r="A878" s="743" t="s">
        <v>1281</v>
      </c>
      <c r="B878" s="744"/>
      <c r="C878" s="745"/>
      <c r="D878" s="745"/>
      <c r="E878" s="745"/>
      <c r="F878" s="745"/>
      <c r="G878" s="746"/>
      <c r="H878" s="746"/>
      <c r="I878" s="746"/>
      <c r="J878" s="746"/>
      <c r="K878" s="745"/>
      <c r="L878" s="746"/>
      <c r="M878" s="746"/>
      <c r="N878" s="746"/>
      <c r="O878" s="746"/>
      <c r="P878" s="745"/>
      <c r="Q878" s="746"/>
      <c r="R878" s="746"/>
      <c r="S878" s="746"/>
      <c r="T878" s="746"/>
      <c r="U878" s="745"/>
      <c r="V878" s="746"/>
      <c r="W878" s="746"/>
      <c r="X878" s="746"/>
      <c r="Y878" s="746"/>
      <c r="Z878" s="745"/>
      <c r="AA878" s="746"/>
      <c r="AB878" s="746"/>
      <c r="AC878" s="746"/>
      <c r="AD878" s="746"/>
      <c r="AE878" s="745"/>
      <c r="AF878" s="746"/>
      <c r="AG878" s="746"/>
      <c r="AH878" s="746"/>
      <c r="AI878" s="746"/>
      <c r="AJ878" s="745"/>
      <c r="AK878" s="746"/>
      <c r="AL878" s="746"/>
      <c r="AM878" s="746"/>
      <c r="AN878" s="746"/>
      <c r="AO878" s="745"/>
      <c r="AP878" s="746"/>
      <c r="AQ878" s="746"/>
      <c r="AR878" s="746"/>
      <c r="AS878" s="746"/>
      <c r="AT878" s="745"/>
      <c r="AU878" s="746"/>
      <c r="AV878" s="746"/>
      <c r="AW878" s="746"/>
      <c r="AX878" s="746"/>
      <c r="AY878" s="745"/>
      <c r="AZ878" s="746"/>
      <c r="BA878" s="746"/>
      <c r="BB878" s="746"/>
      <c r="BC878" s="746"/>
      <c r="BD878" s="745"/>
      <c r="BE878" s="746"/>
      <c r="BF878" s="746"/>
      <c r="BG878" s="746"/>
      <c r="BH878" s="746"/>
      <c r="BI878" s="745"/>
      <c r="BJ878" s="1296"/>
      <c r="BK878" s="1326" t="str">
        <f t="shared" ref="BK878:BS878" ca="1" si="1157">IFERROR(VLOOKUP($A878,tb_ConsensusEstimate,MATCH(BK$5,OFFSET(tb_ConsensusEstimate,0,0,1,COLUMNS(tb_ConsensusEstimate)),0),FALSE),"-")</f>
        <v>N/A</v>
      </c>
      <c r="BL878" s="1326" t="str">
        <f t="shared" ca="1" si="1157"/>
        <v>N/A</v>
      </c>
      <c r="BM878" s="1326" t="str">
        <f t="shared" ca="1" si="1157"/>
        <v>N/A</v>
      </c>
      <c r="BN878" s="1327" t="str">
        <f t="shared" ca="1" si="1157"/>
        <v>N/A</v>
      </c>
      <c r="BO878" s="1326" t="str">
        <f t="shared" ca="1" si="1157"/>
        <v>N/A</v>
      </c>
      <c r="BP878" s="1326" t="str">
        <f t="shared" ca="1" si="1157"/>
        <v>N/A</v>
      </c>
      <c r="BQ878" s="1326" t="str">
        <f t="shared" ca="1" si="1157"/>
        <v>N/A</v>
      </c>
      <c r="BR878" s="1326" t="str">
        <f t="shared" ca="1" si="1157"/>
        <v>N/A</v>
      </c>
      <c r="BS878" s="1327" t="str">
        <f t="shared" ca="1" si="1157"/>
        <v>N/A</v>
      </c>
      <c r="BT878" s="1327" t="str">
        <f ca="1">IFERROR(VLOOKUP($A878,tb_ConsensusEstimate,MATCH(BT5,OFFSET(tb_ConsensusEstimate,0,0,1,COLUMNS(tb_ConsensusEstimate)),0),FALSE),"-")</f>
        <v>N/A</v>
      </c>
      <c r="BU878" s="1327" t="str">
        <f ca="1">IFERROR(VLOOKUP($A878,tb_ConsensusEstimate,MATCH(BU5,OFFSET(tb_ConsensusEstimate,0,0,1,COLUMNS(tb_ConsensusEstimate)),0),FALSE),"-")</f>
        <v>N/A</v>
      </c>
      <c r="BV878" s="1327" t="str">
        <f ca="1">IFERROR(VLOOKUP($A878,tb_ConsensusEstimate,MATCH(BV5,OFFSET(tb_ConsensusEstimate,0,0,1,COLUMNS(tb_ConsensusEstimate)),0),FALSE),"-")</f>
        <v>N/A</v>
      </c>
      <c r="BW878" s="746"/>
    </row>
    <row r="879" spans="1:75" s="198" customFormat="1" ht="14.25" x14ac:dyDescent="0.45">
      <c r="A879" s="670" t="s">
        <v>1282</v>
      </c>
      <c r="B879" s="522"/>
      <c r="C879" s="672">
        <f t="shared" ref="C879:BD879" si="1158">C1033</f>
        <v>-72.263000000000005</v>
      </c>
      <c r="D879" s="672">
        <f t="shared" si="1158"/>
        <v>-61.905999999999999</v>
      </c>
      <c r="E879" s="672">
        <f t="shared" si="1158"/>
        <v>-130.35300000000001</v>
      </c>
      <c r="F879" s="672">
        <f t="shared" si="1158"/>
        <v>-205.404</v>
      </c>
      <c r="G879" s="197">
        <f t="shared" si="1158"/>
        <v>-47.444000000000003</v>
      </c>
      <c r="H879" s="197">
        <f t="shared" si="1158"/>
        <v>-50.332999999999998</v>
      </c>
      <c r="I879" s="197">
        <f t="shared" si="1158"/>
        <v>-47.458999999999989</v>
      </c>
      <c r="J879" s="197">
        <f t="shared" si="1158"/>
        <v>-48.717000000000013</v>
      </c>
      <c r="K879" s="672">
        <f t="shared" si="1158"/>
        <v>-193.953</v>
      </c>
      <c r="L879" s="197">
        <f t="shared" si="1158"/>
        <v>-38.119</v>
      </c>
      <c r="M879" s="197">
        <f t="shared" si="1158"/>
        <v>-45.400000000000006</v>
      </c>
      <c r="N879" s="197">
        <f t="shared" si="1158"/>
        <v>-48.150999999999982</v>
      </c>
      <c r="O879" s="197">
        <f t="shared" si="1158"/>
        <v>-73.130000000000024</v>
      </c>
      <c r="P879" s="672">
        <f t="shared" si="1158"/>
        <v>-204.8</v>
      </c>
      <c r="Q879" s="197">
        <f t="shared" si="1158"/>
        <v>-40.384</v>
      </c>
      <c r="R879" s="197">
        <f t="shared" si="1158"/>
        <v>-46.465000000000003</v>
      </c>
      <c r="S879" s="197">
        <f t="shared" si="1158"/>
        <v>-49.219999999999985</v>
      </c>
      <c r="T879" s="197">
        <f t="shared" si="1158"/>
        <v>-66.866000000000014</v>
      </c>
      <c r="U879" s="672">
        <f t="shared" si="1158"/>
        <v>-202.935</v>
      </c>
      <c r="V879" s="197">
        <f t="shared" si="1158"/>
        <v>-28.149000000000001</v>
      </c>
      <c r="W879" s="197">
        <f t="shared" si="1158"/>
        <v>-49.727999999999994</v>
      </c>
      <c r="X879" s="197">
        <f t="shared" si="1158"/>
        <v>-49.292000000000002</v>
      </c>
      <c r="Y879" s="197">
        <f t="shared" si="1158"/>
        <v>-70.24499999999999</v>
      </c>
      <c r="Z879" s="672">
        <f t="shared" si="1158"/>
        <v>-197.41399999999999</v>
      </c>
      <c r="AA879" s="197">
        <f t="shared" si="1158"/>
        <v>-32.152999999999999</v>
      </c>
      <c r="AB879" s="197">
        <f t="shared" si="1158"/>
        <v>-50.574000000000005</v>
      </c>
      <c r="AC879" s="197">
        <f t="shared" si="1158"/>
        <v>-53.093999999999994</v>
      </c>
      <c r="AD879" s="197">
        <f t="shared" si="1158"/>
        <v>-53.890999999999991</v>
      </c>
      <c r="AE879" s="672">
        <f t="shared" si="1158"/>
        <v>-189.71199999999999</v>
      </c>
      <c r="AF879" s="197">
        <f t="shared" si="1158"/>
        <v>-34.029000000000003</v>
      </c>
      <c r="AG879" s="197">
        <f t="shared" si="1158"/>
        <v>-45.991999999999997</v>
      </c>
      <c r="AH879" s="197">
        <f t="shared" si="1158"/>
        <v>-48.304999999999993</v>
      </c>
      <c r="AI879" s="197">
        <f t="shared" si="1158"/>
        <v>-61.77600000000001</v>
      </c>
      <c r="AJ879" s="672">
        <f t="shared" si="1158"/>
        <v>-190.102</v>
      </c>
      <c r="AK879" s="197">
        <f t="shared" si="1158"/>
        <v>-36.148000000000003</v>
      </c>
      <c r="AL879" s="197">
        <f t="shared" si="1158"/>
        <v>-41.04099999999999</v>
      </c>
      <c r="AM879" s="197">
        <f t="shared" si="1158"/>
        <v>-43.965000000000003</v>
      </c>
      <c r="AN879" s="197">
        <f t="shared" si="1158"/>
        <v>-65.122000000000014</v>
      </c>
      <c r="AO879" s="672">
        <f t="shared" si="1158"/>
        <v>-186.27600000000001</v>
      </c>
      <c r="AP879" s="197">
        <f t="shared" si="1158"/>
        <v>-42.320999999999998</v>
      </c>
      <c r="AQ879" s="197">
        <f t="shared" si="1158"/>
        <v>-33.802000000000007</v>
      </c>
      <c r="AR879" s="197">
        <f t="shared" si="1158"/>
        <v>-48.762</v>
      </c>
      <c r="AS879" s="197">
        <f t="shared" si="1158"/>
        <v>-44.628</v>
      </c>
      <c r="AT879" s="672">
        <f t="shared" si="1158"/>
        <v>-169.51300000000001</v>
      </c>
      <c r="AU879" s="197">
        <f t="shared" si="1158"/>
        <v>-42.36</v>
      </c>
      <c r="AV879" s="197">
        <f t="shared" si="1158"/>
        <v>-35.921000000000006</v>
      </c>
      <c r="AW879" s="295">
        <f t="shared" si="1158"/>
        <v>-62.728999999999985</v>
      </c>
      <c r="AX879" s="197">
        <f t="shared" si="1158"/>
        <v>-85.507000000000005</v>
      </c>
      <c r="AY879" s="672">
        <f t="shared" si="1158"/>
        <v>-226.517</v>
      </c>
      <c r="AZ879" s="197">
        <f t="shared" si="1158"/>
        <v>-71.186000000000007</v>
      </c>
      <c r="BA879" s="197">
        <f t="shared" si="1158"/>
        <v>-77.361999999999995</v>
      </c>
      <c r="BB879" s="295">
        <f t="shared" si="1158"/>
        <v>-85.829999999999984</v>
      </c>
      <c r="BC879" s="197">
        <f t="shared" si="1158"/>
        <v>-119.73900000000003</v>
      </c>
      <c r="BD879" s="672">
        <f t="shared" si="1158"/>
        <v>-354.11700000000002</v>
      </c>
      <c r="BE879" s="197">
        <f>BE1033</f>
        <v>-50.029000000000003</v>
      </c>
      <c r="BF879" s="197">
        <f>BF1033</f>
        <v>-42.850999999999992</v>
      </c>
      <c r="BG879" s="295">
        <f t="shared" ref="BG879" si="1159">BG1033</f>
        <v>-41.950000000000017</v>
      </c>
      <c r="BH879" s="197">
        <f>BH1033</f>
        <v>-53.627999999999986</v>
      </c>
      <c r="BI879" s="672">
        <f>BI1033</f>
        <v>-188.458</v>
      </c>
      <c r="BJ879" s="1273">
        <f>BJ1033</f>
        <v>-39.512999999999998</v>
      </c>
      <c r="BK879" s="638">
        <v>-50</v>
      </c>
      <c r="BL879" s="638">
        <v>-65</v>
      </c>
      <c r="BM879" s="638">
        <v>-70.5</v>
      </c>
      <c r="BN879" s="397">
        <f>BN1033</f>
        <v>-225.01300000000001</v>
      </c>
      <c r="BO879" s="638">
        <v>-80</v>
      </c>
      <c r="BP879" s="638">
        <v>-90</v>
      </c>
      <c r="BQ879" s="638">
        <v>-95</v>
      </c>
      <c r="BR879" s="638">
        <v>-110</v>
      </c>
      <c r="BS879" s="397">
        <f>BS1033</f>
        <v>-375</v>
      </c>
      <c r="BT879" s="671">
        <v>-400</v>
      </c>
      <c r="BU879" s="671">
        <v>-400</v>
      </c>
      <c r="BV879" s="671">
        <v>-400</v>
      </c>
      <c r="BW879" s="197"/>
    </row>
    <row r="880" spans="1:75" s="722" customFormat="1" ht="14.25" x14ac:dyDescent="0.45">
      <c r="A880" s="719" t="str">
        <f>CONCATENATE("Consensus Estimates - ",IFERROR(LEFT(A879,FIND("(",A879)-1),A879))</f>
        <v>Consensus Estimates - Capex</v>
      </c>
      <c r="B880" s="720"/>
      <c r="C880" s="414"/>
      <c r="D880" s="414"/>
      <c r="E880" s="414"/>
      <c r="F880" s="414"/>
      <c r="G880" s="413"/>
      <c r="H880" s="413"/>
      <c r="I880" s="413"/>
      <c r="J880" s="413"/>
      <c r="K880" s="414"/>
      <c r="L880" s="413"/>
      <c r="M880" s="413"/>
      <c r="N880" s="413"/>
      <c r="O880" s="413"/>
      <c r="P880" s="414"/>
      <c r="Q880" s="413"/>
      <c r="R880" s="413"/>
      <c r="S880" s="413"/>
      <c r="T880" s="413"/>
      <c r="U880" s="414"/>
      <c r="V880" s="413"/>
      <c r="W880" s="413"/>
      <c r="X880" s="413"/>
      <c r="Y880" s="413"/>
      <c r="Z880" s="414"/>
      <c r="AA880" s="413"/>
      <c r="AB880" s="413"/>
      <c r="AC880" s="413"/>
      <c r="AD880" s="413"/>
      <c r="AE880" s="414"/>
      <c r="AF880" s="413"/>
      <c r="AG880" s="413"/>
      <c r="AH880" s="413"/>
      <c r="AI880" s="413"/>
      <c r="AJ880" s="414"/>
      <c r="AK880" s="413"/>
      <c r="AL880" s="413"/>
      <c r="AM880" s="413"/>
      <c r="AN880" s="413"/>
      <c r="AO880" s="414"/>
      <c r="AP880" s="413"/>
      <c r="AQ880" s="413"/>
      <c r="AR880" s="413"/>
      <c r="AS880" s="413"/>
      <c r="AT880" s="414"/>
      <c r="AU880" s="413"/>
      <c r="AV880" s="413"/>
      <c r="AW880" s="413"/>
      <c r="AX880" s="413"/>
      <c r="AY880" s="414"/>
      <c r="AZ880" s="413"/>
      <c r="BA880" s="413"/>
      <c r="BB880" s="413"/>
      <c r="BC880" s="413"/>
      <c r="BD880" s="414"/>
      <c r="BE880" s="413"/>
      <c r="BF880" s="413"/>
      <c r="BG880" s="413"/>
      <c r="BH880" s="413"/>
      <c r="BI880" s="414"/>
      <c r="BJ880" s="1216"/>
      <c r="BK880" s="202" t="str">
        <f t="shared" ref="BK880:BS880" ca="1" si="1160">IFERROR(VLOOKUP($A880,tb_ConsensusEstimate,MATCH(BK$5,OFFSET(tb_ConsensusEstimate,0,0,1,COLUMNS(tb_ConsensusEstimate)),0),FALSE),"-")</f>
        <v>N/A</v>
      </c>
      <c r="BL880" s="202" t="str">
        <f t="shared" ca="1" si="1160"/>
        <v>N/A</v>
      </c>
      <c r="BM880" s="202" t="str">
        <f t="shared" ca="1" si="1160"/>
        <v>N/A</v>
      </c>
      <c r="BN880" s="1328" t="str">
        <f t="shared" ca="1" si="1160"/>
        <v>N/A</v>
      </c>
      <c r="BO880" s="202" t="str">
        <f t="shared" ca="1" si="1160"/>
        <v>N/A</v>
      </c>
      <c r="BP880" s="202" t="str">
        <f t="shared" ca="1" si="1160"/>
        <v>N/A</v>
      </c>
      <c r="BQ880" s="202" t="str">
        <f t="shared" ca="1" si="1160"/>
        <v>N/A</v>
      </c>
      <c r="BR880" s="202" t="str">
        <f t="shared" ca="1" si="1160"/>
        <v>N/A</v>
      </c>
      <c r="BS880" s="1328" t="str">
        <f t="shared" ca="1" si="1160"/>
        <v>N/A</v>
      </c>
      <c r="BT880" s="1328" t="str">
        <f ca="1">IFERROR(VLOOKUP($A880,tb_ConsensusEstimate,MATCH(BT5,OFFSET(tb_ConsensusEstimate,0,0,1,COLUMNS(tb_ConsensusEstimate)),0),FALSE),"-")</f>
        <v>N/A</v>
      </c>
      <c r="BU880" s="1328" t="str">
        <f ca="1">IFERROR(VLOOKUP($A880,tb_ConsensusEstimate,MATCH(BU5,OFFSET(tb_ConsensusEstimate,0,0,1,COLUMNS(tb_ConsensusEstimate)),0),FALSE),"-")</f>
        <v>N/A</v>
      </c>
      <c r="BV880" s="1328" t="str">
        <f ca="1">IFERROR(VLOOKUP($A880,tb_ConsensusEstimate,MATCH(BV5,OFFSET(tb_ConsensusEstimate,0,0,1,COLUMNS(tb_ConsensusEstimate)),0),FALSE),"-")</f>
        <v>N/A</v>
      </c>
      <c r="BW880" s="413"/>
    </row>
    <row r="881" spans="1:75" s="123" customFormat="1" x14ac:dyDescent="0.5">
      <c r="A881" s="122" t="s">
        <v>1284</v>
      </c>
      <c r="B881" s="513"/>
      <c r="C881" s="674">
        <f t="shared" ref="C881:BD881" si="1161">C1036</f>
        <v>0</v>
      </c>
      <c r="D881" s="674">
        <f t="shared" si="1161"/>
        <v>0</v>
      </c>
      <c r="E881" s="674">
        <f t="shared" si="1161"/>
        <v>-25.363</v>
      </c>
      <c r="F881" s="674">
        <f t="shared" si="1161"/>
        <v>0</v>
      </c>
      <c r="G881" s="122">
        <f t="shared" si="1161"/>
        <v>0</v>
      </c>
      <c r="H881" s="122">
        <f t="shared" si="1161"/>
        <v>0</v>
      </c>
      <c r="I881" s="122">
        <f t="shared" si="1161"/>
        <v>0</v>
      </c>
      <c r="J881" s="122">
        <f t="shared" si="1161"/>
        <v>0</v>
      </c>
      <c r="K881" s="674">
        <f t="shared" si="1161"/>
        <v>0</v>
      </c>
      <c r="L881" s="122">
        <f t="shared" si="1161"/>
        <v>0</v>
      </c>
      <c r="M881" s="122">
        <f t="shared" si="1161"/>
        <v>0</v>
      </c>
      <c r="N881" s="122">
        <f t="shared" si="1161"/>
        <v>0</v>
      </c>
      <c r="O881" s="122">
        <f t="shared" si="1161"/>
        <v>0</v>
      </c>
      <c r="P881" s="674">
        <f t="shared" si="1161"/>
        <v>0</v>
      </c>
      <c r="Q881" s="122">
        <f t="shared" si="1161"/>
        <v>0</v>
      </c>
      <c r="R881" s="122">
        <f t="shared" si="1161"/>
        <v>0</v>
      </c>
      <c r="S881" s="122">
        <f t="shared" si="1161"/>
        <v>0</v>
      </c>
      <c r="T881" s="122">
        <f t="shared" si="1161"/>
        <v>0</v>
      </c>
      <c r="U881" s="674">
        <f t="shared" si="1161"/>
        <v>0</v>
      </c>
      <c r="V881" s="122">
        <f t="shared" si="1161"/>
        <v>0</v>
      </c>
      <c r="W881" s="122">
        <f t="shared" si="1161"/>
        <v>0</v>
      </c>
      <c r="X881" s="122">
        <f t="shared" si="1161"/>
        <v>0</v>
      </c>
      <c r="Y881" s="122">
        <f t="shared" si="1161"/>
        <v>0</v>
      </c>
      <c r="Z881" s="674">
        <f t="shared" si="1161"/>
        <v>0</v>
      </c>
      <c r="AA881" s="122">
        <f t="shared" si="1161"/>
        <v>0</v>
      </c>
      <c r="AB881" s="122">
        <f t="shared" si="1161"/>
        <v>0</v>
      </c>
      <c r="AC881" s="122">
        <f t="shared" si="1161"/>
        <v>0</v>
      </c>
      <c r="AD881" s="122">
        <f t="shared" si="1161"/>
        <v>-80.528000000000006</v>
      </c>
      <c r="AE881" s="674">
        <f t="shared" si="1161"/>
        <v>-80.528000000000006</v>
      </c>
      <c r="AF881" s="122">
        <f t="shared" si="1161"/>
        <v>0</v>
      </c>
      <c r="AG881" s="122">
        <f t="shared" si="1161"/>
        <v>0</v>
      </c>
      <c r="AH881" s="122">
        <f t="shared" si="1161"/>
        <v>0</v>
      </c>
      <c r="AI881" s="122">
        <f t="shared" si="1161"/>
        <v>0</v>
      </c>
      <c r="AJ881" s="674">
        <f t="shared" si="1161"/>
        <v>0</v>
      </c>
      <c r="AK881" s="122">
        <f t="shared" si="1161"/>
        <v>0</v>
      </c>
      <c r="AL881" s="122">
        <f t="shared" si="1161"/>
        <v>0</v>
      </c>
      <c r="AM881" s="122">
        <f t="shared" si="1161"/>
        <v>0</v>
      </c>
      <c r="AN881" s="122">
        <f t="shared" si="1161"/>
        <v>0</v>
      </c>
      <c r="AO881" s="674">
        <f t="shared" si="1161"/>
        <v>0</v>
      </c>
      <c r="AP881" s="122">
        <f t="shared" si="1161"/>
        <v>0</v>
      </c>
      <c r="AQ881" s="122">
        <f t="shared" si="1161"/>
        <v>0</v>
      </c>
      <c r="AR881" s="122">
        <f t="shared" si="1161"/>
        <v>0</v>
      </c>
      <c r="AS881" s="122">
        <f t="shared" si="1161"/>
        <v>0</v>
      </c>
      <c r="AT881" s="674">
        <f t="shared" si="1161"/>
        <v>0</v>
      </c>
      <c r="AU881" s="122">
        <f t="shared" si="1161"/>
        <v>0</v>
      </c>
      <c r="AV881" s="122">
        <f t="shared" si="1161"/>
        <v>0</v>
      </c>
      <c r="AW881" s="122">
        <f t="shared" si="1161"/>
        <v>0</v>
      </c>
      <c r="AX881" s="122">
        <f t="shared" si="1161"/>
        <v>0</v>
      </c>
      <c r="AY881" s="674">
        <f t="shared" si="1161"/>
        <v>0</v>
      </c>
      <c r="AZ881" s="122">
        <f t="shared" si="1161"/>
        <v>0</v>
      </c>
      <c r="BA881" s="122">
        <f t="shared" si="1161"/>
        <v>0</v>
      </c>
      <c r="BB881" s="122">
        <f t="shared" si="1161"/>
        <v>0</v>
      </c>
      <c r="BC881" s="122">
        <f t="shared" si="1161"/>
        <v>0</v>
      </c>
      <c r="BD881" s="674">
        <f t="shared" si="1161"/>
        <v>0</v>
      </c>
      <c r="BE881" s="122">
        <f>BE1036</f>
        <v>0</v>
      </c>
      <c r="BF881" s="122">
        <f>BF1036</f>
        <v>0</v>
      </c>
      <c r="BG881" s="122">
        <f t="shared" ref="BG881" si="1162">BG1036</f>
        <v>0</v>
      </c>
      <c r="BH881" s="122">
        <f>BH1036</f>
        <v>0</v>
      </c>
      <c r="BI881" s="674">
        <f>BI1036</f>
        <v>0</v>
      </c>
      <c r="BJ881" s="1274">
        <f>BJ1036</f>
        <v>0</v>
      </c>
      <c r="BK881" s="302">
        <v>0</v>
      </c>
      <c r="BL881" s="302">
        <v>0</v>
      </c>
      <c r="BM881" s="302">
        <v>0</v>
      </c>
      <c r="BN881" s="401">
        <f>BN1036</f>
        <v>0</v>
      </c>
      <c r="BO881" s="302">
        <v>0</v>
      </c>
      <c r="BP881" s="302">
        <v>0</v>
      </c>
      <c r="BQ881" s="302">
        <v>0</v>
      </c>
      <c r="BR881" s="302">
        <v>0</v>
      </c>
      <c r="BS881" s="401">
        <f>BS1036</f>
        <v>0</v>
      </c>
      <c r="BT881" s="403">
        <v>0</v>
      </c>
      <c r="BU881" s="403">
        <v>0</v>
      </c>
      <c r="BV881" s="403">
        <v>0</v>
      </c>
      <c r="BW881" s="122"/>
    </row>
    <row r="882" spans="1:75" s="123" customFormat="1" x14ac:dyDescent="0.5">
      <c r="A882" s="122" t="s">
        <v>1285</v>
      </c>
      <c r="B882" s="513"/>
      <c r="C882" s="674">
        <f t="shared" ref="C882:BD882" si="1163">C1035</f>
        <v>1.0329999999999999</v>
      </c>
      <c r="D882" s="674">
        <f t="shared" si="1163"/>
        <v>10.823</v>
      </c>
      <c r="E882" s="674">
        <f t="shared" si="1163"/>
        <v>8.1000000000000003E-2</v>
      </c>
      <c r="F882" s="674">
        <f t="shared" si="1163"/>
        <v>0</v>
      </c>
      <c r="G882" s="122">
        <f t="shared" si="1163"/>
        <v>0</v>
      </c>
      <c r="H882" s="122">
        <f t="shared" si="1163"/>
        <v>0</v>
      </c>
      <c r="I882" s="122">
        <f t="shared" si="1163"/>
        <v>0</v>
      </c>
      <c r="J882" s="122">
        <f t="shared" si="1163"/>
        <v>0</v>
      </c>
      <c r="K882" s="674">
        <f t="shared" si="1163"/>
        <v>0</v>
      </c>
      <c r="L882" s="122">
        <f t="shared" si="1163"/>
        <v>0</v>
      </c>
      <c r="M882" s="122">
        <f t="shared" si="1163"/>
        <v>0</v>
      </c>
      <c r="N882" s="122">
        <f t="shared" si="1163"/>
        <v>0</v>
      </c>
      <c r="O882" s="122">
        <f t="shared" si="1163"/>
        <v>0</v>
      </c>
      <c r="P882" s="674">
        <f t="shared" si="1163"/>
        <v>0</v>
      </c>
      <c r="Q882" s="122">
        <f t="shared" si="1163"/>
        <v>0</v>
      </c>
      <c r="R882" s="122">
        <f t="shared" si="1163"/>
        <v>0</v>
      </c>
      <c r="S882" s="122">
        <f t="shared" si="1163"/>
        <v>0</v>
      </c>
      <c r="T882" s="122">
        <f t="shared" si="1163"/>
        <v>0</v>
      </c>
      <c r="U882" s="674">
        <f t="shared" si="1163"/>
        <v>0</v>
      </c>
      <c r="V882" s="122">
        <f t="shared" si="1163"/>
        <v>0</v>
      </c>
      <c r="W882" s="122">
        <f t="shared" si="1163"/>
        <v>0</v>
      </c>
      <c r="X882" s="122">
        <f t="shared" si="1163"/>
        <v>0</v>
      </c>
      <c r="Y882" s="122">
        <f t="shared" si="1163"/>
        <v>0</v>
      </c>
      <c r="Z882" s="674">
        <f t="shared" si="1163"/>
        <v>0</v>
      </c>
      <c r="AA882" s="122">
        <f t="shared" si="1163"/>
        <v>0</v>
      </c>
      <c r="AB882" s="122">
        <f t="shared" si="1163"/>
        <v>0</v>
      </c>
      <c r="AC882" s="122">
        <f t="shared" si="1163"/>
        <v>0</v>
      </c>
      <c r="AD882" s="122">
        <f t="shared" si="1163"/>
        <v>0</v>
      </c>
      <c r="AE882" s="674">
        <f t="shared" si="1163"/>
        <v>0</v>
      </c>
      <c r="AF882" s="122">
        <f t="shared" si="1163"/>
        <v>0</v>
      </c>
      <c r="AG882" s="122">
        <f t="shared" si="1163"/>
        <v>0</v>
      </c>
      <c r="AH882" s="122">
        <f t="shared" si="1163"/>
        <v>0</v>
      </c>
      <c r="AI882" s="122">
        <f t="shared" si="1163"/>
        <v>0</v>
      </c>
      <c r="AJ882" s="674">
        <f t="shared" si="1163"/>
        <v>0</v>
      </c>
      <c r="AK882" s="122">
        <f t="shared" si="1163"/>
        <v>0</v>
      </c>
      <c r="AL882" s="122">
        <f t="shared" si="1163"/>
        <v>0</v>
      </c>
      <c r="AM882" s="122">
        <f t="shared" si="1163"/>
        <v>0</v>
      </c>
      <c r="AN882" s="122">
        <f t="shared" si="1163"/>
        <v>0</v>
      </c>
      <c r="AO882" s="674">
        <f t="shared" si="1163"/>
        <v>0</v>
      </c>
      <c r="AP882" s="122">
        <f t="shared" si="1163"/>
        <v>0</v>
      </c>
      <c r="AQ882" s="122">
        <f t="shared" si="1163"/>
        <v>0</v>
      </c>
      <c r="AR882" s="122">
        <f t="shared" si="1163"/>
        <v>0</v>
      </c>
      <c r="AS882" s="122">
        <f t="shared" si="1163"/>
        <v>0</v>
      </c>
      <c r="AT882" s="674">
        <f t="shared" si="1163"/>
        <v>0</v>
      </c>
      <c r="AU882" s="122">
        <f t="shared" si="1163"/>
        <v>0</v>
      </c>
      <c r="AV882" s="122">
        <f t="shared" si="1163"/>
        <v>0</v>
      </c>
      <c r="AW882" s="122">
        <f t="shared" si="1163"/>
        <v>0</v>
      </c>
      <c r="AX882" s="122">
        <f t="shared" si="1163"/>
        <v>0</v>
      </c>
      <c r="AY882" s="674">
        <f t="shared" si="1163"/>
        <v>0</v>
      </c>
      <c r="AZ882" s="122">
        <f t="shared" si="1163"/>
        <v>0</v>
      </c>
      <c r="BA882" s="122">
        <f t="shared" si="1163"/>
        <v>0</v>
      </c>
      <c r="BB882" s="122">
        <f t="shared" si="1163"/>
        <v>0</v>
      </c>
      <c r="BC882" s="122">
        <f t="shared" si="1163"/>
        <v>0</v>
      </c>
      <c r="BD882" s="674">
        <f t="shared" si="1163"/>
        <v>0</v>
      </c>
      <c r="BE882" s="122">
        <f>BE1035</f>
        <v>0</v>
      </c>
      <c r="BF882" s="122">
        <f>BF1035</f>
        <v>0</v>
      </c>
      <c r="BG882" s="122">
        <f t="shared" ref="BG882" si="1164">BG1035</f>
        <v>0</v>
      </c>
      <c r="BH882" s="122">
        <f>BH1035</f>
        <v>0</v>
      </c>
      <c r="BI882" s="674">
        <f>BI1035</f>
        <v>0</v>
      </c>
      <c r="BJ882" s="1274">
        <f>BJ1035</f>
        <v>0</v>
      </c>
      <c r="BK882" s="302">
        <v>0</v>
      </c>
      <c r="BL882" s="302">
        <v>0</v>
      </c>
      <c r="BM882" s="302">
        <v>0</v>
      </c>
      <c r="BN882" s="401">
        <f>BN1035</f>
        <v>0</v>
      </c>
      <c r="BO882" s="302">
        <v>0</v>
      </c>
      <c r="BP882" s="302">
        <v>0</v>
      </c>
      <c r="BQ882" s="302">
        <v>0</v>
      </c>
      <c r="BR882" s="302">
        <v>0</v>
      </c>
      <c r="BS882" s="401">
        <f>BS1035</f>
        <v>0</v>
      </c>
      <c r="BT882" s="403">
        <v>0</v>
      </c>
      <c r="BU882" s="403">
        <v>0</v>
      </c>
      <c r="BV882" s="403">
        <v>0</v>
      </c>
      <c r="BW882" s="122"/>
    </row>
    <row r="883" spans="1:75" s="123" customFormat="1" x14ac:dyDescent="0.5">
      <c r="A883" s="122" t="s">
        <v>1286</v>
      </c>
      <c r="B883" s="513"/>
      <c r="C883" s="674">
        <f t="shared" ref="C883:BD883" si="1165">C1047</f>
        <v>-51.131999999999998</v>
      </c>
      <c r="D883" s="674">
        <f t="shared" si="1165"/>
        <v>-59.16</v>
      </c>
      <c r="E883" s="674">
        <f t="shared" si="1165"/>
        <v>-68.876999999999995</v>
      </c>
      <c r="F883" s="674">
        <f t="shared" si="1165"/>
        <v>-87.846999999999994</v>
      </c>
      <c r="G883" s="122">
        <f t="shared" si="1165"/>
        <v>-21.984999999999999</v>
      </c>
      <c r="H883" s="122">
        <f t="shared" si="1165"/>
        <v>-30.210999999999999</v>
      </c>
      <c r="I883" s="122">
        <f t="shared" si="1165"/>
        <v>-29.834000000000003</v>
      </c>
      <c r="J883" s="122">
        <f t="shared" si="1165"/>
        <v>-29.551000000000002</v>
      </c>
      <c r="K883" s="674">
        <f t="shared" si="1165"/>
        <v>-111.581</v>
      </c>
      <c r="L883" s="122">
        <f t="shared" si="1165"/>
        <v>-32.890999999999998</v>
      </c>
      <c r="M883" s="122">
        <f t="shared" si="1165"/>
        <v>-31.105000000000004</v>
      </c>
      <c r="N883" s="122">
        <f t="shared" si="1165"/>
        <v>-31.270999999999994</v>
      </c>
      <c r="O883" s="122">
        <f t="shared" si="1165"/>
        <v>-30.491</v>
      </c>
      <c r="P883" s="674">
        <f t="shared" si="1165"/>
        <v>-125.758</v>
      </c>
      <c r="Q883" s="122">
        <f t="shared" si="1165"/>
        <v>-31.934000000000001</v>
      </c>
      <c r="R883" s="122">
        <f t="shared" si="1165"/>
        <v>-32.11</v>
      </c>
      <c r="S883" s="122">
        <f t="shared" si="1165"/>
        <v>-31.975999999999999</v>
      </c>
      <c r="T883" s="122">
        <f t="shared" si="1165"/>
        <v>-31.616</v>
      </c>
      <c r="U883" s="674">
        <f t="shared" si="1165"/>
        <v>-127.636</v>
      </c>
      <c r="V883" s="122">
        <f t="shared" si="1165"/>
        <v>-34.423000000000002</v>
      </c>
      <c r="W883" s="122">
        <f t="shared" si="1165"/>
        <v>-33.147999999999996</v>
      </c>
      <c r="X883" s="122">
        <f t="shared" si="1165"/>
        <v>-33.283000000000001</v>
      </c>
      <c r="Y883" s="122">
        <f t="shared" si="1165"/>
        <v>-32.684999999999988</v>
      </c>
      <c r="Z883" s="674">
        <f t="shared" si="1165"/>
        <v>-133.53899999999999</v>
      </c>
      <c r="AA883" s="122">
        <f t="shared" si="1165"/>
        <v>-34.189</v>
      </c>
      <c r="AB883" s="122">
        <f t="shared" si="1165"/>
        <v>-34.008000000000003</v>
      </c>
      <c r="AC883" s="122">
        <f t="shared" si="1165"/>
        <v>-33.730999999999995</v>
      </c>
      <c r="AD883" s="122">
        <f t="shared" si="1165"/>
        <v>-33.081999999999994</v>
      </c>
      <c r="AE883" s="674">
        <f t="shared" si="1165"/>
        <v>-135.01</v>
      </c>
      <c r="AF883" s="122">
        <f t="shared" si="1165"/>
        <v>-34.081000000000003</v>
      </c>
      <c r="AG883" s="122">
        <f t="shared" si="1165"/>
        <v>-36.25</v>
      </c>
      <c r="AH883" s="122">
        <f t="shared" si="1165"/>
        <v>-35.322999999999993</v>
      </c>
      <c r="AI883" s="122">
        <f t="shared" si="1165"/>
        <v>-34.670999999999992</v>
      </c>
      <c r="AJ883" s="674">
        <f t="shared" si="1165"/>
        <v>-140.32499999999999</v>
      </c>
      <c r="AK883" s="122">
        <f t="shared" si="1165"/>
        <v>-36.868000000000002</v>
      </c>
      <c r="AL883" s="122">
        <f t="shared" si="1165"/>
        <v>-38.585000000000001</v>
      </c>
      <c r="AM883" s="122">
        <f t="shared" si="1165"/>
        <v>-37.706000000000003</v>
      </c>
      <c r="AN883" s="122">
        <f t="shared" si="1165"/>
        <v>-37.48099999999998</v>
      </c>
      <c r="AO883" s="674">
        <f t="shared" si="1165"/>
        <v>-150.63999999999999</v>
      </c>
      <c r="AP883" s="122">
        <f t="shared" si="1165"/>
        <v>-39.390999999999998</v>
      </c>
      <c r="AQ883" s="122">
        <f t="shared" si="1165"/>
        <v>-39.883000000000003</v>
      </c>
      <c r="AR883" s="122">
        <f t="shared" si="1165"/>
        <v>-37.486999999999995</v>
      </c>
      <c r="AS883" s="122">
        <f t="shared" si="1165"/>
        <v>-40.884000000000015</v>
      </c>
      <c r="AT883" s="674">
        <f t="shared" si="1165"/>
        <v>-157.64500000000001</v>
      </c>
      <c r="AU883" s="122">
        <f t="shared" si="1165"/>
        <v>-45.576000000000001</v>
      </c>
      <c r="AV883" s="122">
        <f t="shared" si="1165"/>
        <v>-45.493000000000002</v>
      </c>
      <c r="AW883" s="122">
        <f t="shared" si="1165"/>
        <v>-44.131999999999991</v>
      </c>
      <c r="AX883" s="122">
        <f t="shared" si="1165"/>
        <v>-52.337999999999994</v>
      </c>
      <c r="AY883" s="674">
        <f t="shared" si="1165"/>
        <v>-187.53899999999999</v>
      </c>
      <c r="AZ883" s="122">
        <f t="shared" si="1165"/>
        <v>-58.15</v>
      </c>
      <c r="BA883" s="122">
        <f t="shared" si="1165"/>
        <v>-54.524000000000008</v>
      </c>
      <c r="BB883" s="122">
        <f t="shared" si="1165"/>
        <v>-52.579999999999984</v>
      </c>
      <c r="BC883" s="122">
        <f t="shared" si="1165"/>
        <v>-52.091000000000008</v>
      </c>
      <c r="BD883" s="674">
        <f t="shared" si="1165"/>
        <v>-217.345</v>
      </c>
      <c r="BE883" s="122">
        <f>BE1047</f>
        <v>-58.079000000000001</v>
      </c>
      <c r="BF883" s="122">
        <f>BF1047</f>
        <v>-58.564</v>
      </c>
      <c r="BG883" s="122">
        <f t="shared" ref="BG883" si="1166">BG1047</f>
        <v>-57.927999999999997</v>
      </c>
      <c r="BH883" s="122">
        <f>BH1047</f>
        <v>-57.903999999999996</v>
      </c>
      <c r="BI883" s="674">
        <f>BI1047</f>
        <v>-232.47499999999999</v>
      </c>
      <c r="BJ883" s="1274">
        <f>BJ1047</f>
        <v>-62.862000000000002</v>
      </c>
      <c r="BK883" s="118">
        <f ca="1">BK884*-BK814</f>
        <v>-72.70080999999999</v>
      </c>
      <c r="BL883" s="118">
        <f ca="1">BL884*-BL814</f>
        <v>-72.70080999999999</v>
      </c>
      <c r="BM883" s="118">
        <f ca="1">BM884*-BM814</f>
        <v>-72.70080999999999</v>
      </c>
      <c r="BN883" s="401">
        <f ca="1">BN1047</f>
        <v>-280.96442999999999</v>
      </c>
      <c r="BO883" s="118">
        <f ca="1">BO884*-BO814</f>
        <v>-72.70080999999999</v>
      </c>
      <c r="BP883" s="118">
        <f ca="1">BP884*-BP814</f>
        <v>-72.70080999999999</v>
      </c>
      <c r="BQ883" s="118">
        <f ca="1">BQ884*-BQ814</f>
        <v>-72.70080999999999</v>
      </c>
      <c r="BR883" s="118">
        <f ca="1">BR884*-BR814</f>
        <v>-72.70080999999999</v>
      </c>
      <c r="BS883" s="401">
        <f ca="1">BS1047</f>
        <v>-290.80323999999996</v>
      </c>
      <c r="BT883" s="401">
        <f ca="1">BT884*-BT814</f>
        <v>-290.80323999999996</v>
      </c>
      <c r="BU883" s="401">
        <f ca="1">BU884*-BU814</f>
        <v>-290.80323999999996</v>
      </c>
      <c r="BV883" s="401">
        <f ca="1">BV884*-BV814</f>
        <v>-290.80323999999996</v>
      </c>
      <c r="BW883" s="122"/>
    </row>
    <row r="884" spans="1:75" s="858" customFormat="1" x14ac:dyDescent="0.5">
      <c r="A884" s="850" t="s">
        <v>1287</v>
      </c>
      <c r="B884" s="851"/>
      <c r="C884" s="852">
        <v>0.48</v>
      </c>
      <c r="D884" s="852">
        <v>0.57999999999999996</v>
      </c>
      <c r="E884" s="852">
        <v>0.73</v>
      </c>
      <c r="F884" s="852">
        <v>0.88</v>
      </c>
      <c r="G884" s="853">
        <v>0.22</v>
      </c>
      <c r="H884" s="853">
        <v>0.31</v>
      </c>
      <c r="I884" s="853">
        <v>0.31</v>
      </c>
      <c r="J884" s="853">
        <v>0.31</v>
      </c>
      <c r="K884" s="854">
        <f>SUM(G884,H884,I884,J884)</f>
        <v>1.1500000000000001</v>
      </c>
      <c r="L884" s="853">
        <v>0.31</v>
      </c>
      <c r="M884" s="853">
        <v>0.33</v>
      </c>
      <c r="N884" s="853">
        <v>0.33</v>
      </c>
      <c r="O884" s="853">
        <v>0.33</v>
      </c>
      <c r="P884" s="854">
        <f>SUM(L884,M884,N884,O884)</f>
        <v>1.3</v>
      </c>
      <c r="Q884" s="853">
        <v>0.33</v>
      </c>
      <c r="R884" s="853">
        <v>0.35</v>
      </c>
      <c r="S884" s="853">
        <v>0.35</v>
      </c>
      <c r="T884" s="853">
        <v>0.35</v>
      </c>
      <c r="U884" s="854">
        <f>SUM(Q884,R884,S884,T884)</f>
        <v>1.38</v>
      </c>
      <c r="V884" s="853">
        <v>0.35</v>
      </c>
      <c r="W884" s="853">
        <v>0.37</v>
      </c>
      <c r="X884" s="853">
        <v>0.37</v>
      </c>
      <c r="Y884" s="853">
        <v>0.37</v>
      </c>
      <c r="Z884" s="854">
        <f>SUM(V884,W884,X884,Y884)</f>
        <v>1.46</v>
      </c>
      <c r="AA884" s="853">
        <v>0.37</v>
      </c>
      <c r="AB884" s="853">
        <v>0.39</v>
      </c>
      <c r="AC884" s="853">
        <v>0.39</v>
      </c>
      <c r="AD884" s="853">
        <v>0.39</v>
      </c>
      <c r="AE884" s="854">
        <f>SUM(AA884,AB884,AC884,AD884)</f>
        <v>1.54</v>
      </c>
      <c r="AF884" s="853">
        <v>0.39</v>
      </c>
      <c r="AG884" s="853">
        <v>0.43</v>
      </c>
      <c r="AH884" s="853">
        <v>0.43</v>
      </c>
      <c r="AI884" s="853">
        <v>0.43</v>
      </c>
      <c r="AJ884" s="854">
        <f>SUM(AF884,AG884,AH884,AI884)</f>
        <v>1.68</v>
      </c>
      <c r="AK884" s="853">
        <v>0.43</v>
      </c>
      <c r="AL884" s="853">
        <v>0.48</v>
      </c>
      <c r="AM884" s="853">
        <v>0.48</v>
      </c>
      <c r="AN884" s="853">
        <v>0.48</v>
      </c>
      <c r="AO884" s="854">
        <f>SUM(AK884,AL884,AM884,AN884)</f>
        <v>1.8699999999999999</v>
      </c>
      <c r="AP884" s="853">
        <v>0.48</v>
      </c>
      <c r="AQ884" s="853">
        <v>0.48</v>
      </c>
      <c r="AR884" s="853">
        <v>0.48</v>
      </c>
      <c r="AS884" s="853">
        <v>0.53</v>
      </c>
      <c r="AT884" s="854">
        <f>SUM(AP884,AQ884,AR884,AS884)</f>
        <v>1.97</v>
      </c>
      <c r="AU884" s="853">
        <v>0.53</v>
      </c>
      <c r="AV884" s="853">
        <v>0.59</v>
      </c>
      <c r="AW884" s="853">
        <v>0.59</v>
      </c>
      <c r="AX884" s="853">
        <v>0.71</v>
      </c>
      <c r="AY884" s="854">
        <f>SUM(AU884,AV884,AW884,AX884)</f>
        <v>2.42</v>
      </c>
      <c r="AZ884" s="853">
        <v>0.71</v>
      </c>
      <c r="BA884" s="853">
        <v>0.78</v>
      </c>
      <c r="BB884" s="853">
        <v>0.78</v>
      </c>
      <c r="BC884" s="853">
        <v>0.78</v>
      </c>
      <c r="BD884" s="854">
        <f>SUM(AZ884,BA884,BB884,BC884)</f>
        <v>3.05</v>
      </c>
      <c r="BE884" s="853">
        <v>0.78</v>
      </c>
      <c r="BF884" s="853">
        <v>0.9</v>
      </c>
      <c r="BG884" s="853">
        <v>0.9</v>
      </c>
      <c r="BH884" s="853">
        <v>0.9</v>
      </c>
      <c r="BI884" s="854">
        <f>SUM(BE884,BF884,BG884,BH884)</f>
        <v>3.48</v>
      </c>
      <c r="BJ884" s="1329">
        <v>0.9</v>
      </c>
      <c r="BK884" s="853">
        <v>1.1299999999999999</v>
      </c>
      <c r="BL884" s="853">
        <v>1.1299999999999999</v>
      </c>
      <c r="BM884" s="853">
        <v>1.1299999999999999</v>
      </c>
      <c r="BN884" s="856">
        <f>SUM(BJ884,BK884,BL884,BM884)</f>
        <v>4.2899999999999991</v>
      </c>
      <c r="BO884" s="853">
        <v>1.1299999999999999</v>
      </c>
      <c r="BP884" s="853">
        <v>1.1299999999999999</v>
      </c>
      <c r="BQ884" s="853">
        <v>1.1299999999999999</v>
      </c>
      <c r="BR884" s="853">
        <v>1.1299999999999999</v>
      </c>
      <c r="BS884" s="856">
        <f>SUM(BO884,BP884,BQ884,BR884)</f>
        <v>4.5199999999999996</v>
      </c>
      <c r="BT884" s="852">
        <v>4.5199999999999996</v>
      </c>
      <c r="BU884" s="852">
        <v>4.5199999999999996</v>
      </c>
      <c r="BV884" s="852">
        <v>4.5199999999999996</v>
      </c>
      <c r="BW884" s="857"/>
    </row>
    <row r="885" spans="1:75" s="858" customFormat="1" x14ac:dyDescent="0.5">
      <c r="A885" s="859"/>
      <c r="B885" s="851"/>
      <c r="C885" s="856"/>
      <c r="D885" s="856"/>
      <c r="E885" s="856"/>
      <c r="F885" s="856"/>
      <c r="G885" s="860"/>
      <c r="H885" s="860"/>
      <c r="I885" s="860"/>
      <c r="J885" s="860"/>
      <c r="K885" s="856"/>
      <c r="L885" s="860"/>
      <c r="M885" s="860"/>
      <c r="N885" s="860"/>
      <c r="O885" s="860"/>
      <c r="P885" s="856"/>
      <c r="Q885" s="860"/>
      <c r="R885" s="860"/>
      <c r="S885" s="860"/>
      <c r="T885" s="860"/>
      <c r="U885" s="856"/>
      <c r="V885" s="860"/>
      <c r="W885" s="860"/>
      <c r="X885" s="860"/>
      <c r="Y885" s="860"/>
      <c r="Z885" s="856"/>
      <c r="AA885" s="860"/>
      <c r="AB885" s="860"/>
      <c r="AC885" s="860"/>
      <c r="AD885" s="860"/>
      <c r="AE885" s="856"/>
      <c r="AF885" s="860"/>
      <c r="AG885" s="860"/>
      <c r="AH885" s="860"/>
      <c r="AI885" s="860"/>
      <c r="AJ885" s="856"/>
      <c r="AK885" s="860"/>
      <c r="AL885" s="860"/>
      <c r="AM885" s="860"/>
      <c r="AN885" s="860"/>
      <c r="AO885" s="856"/>
      <c r="AP885" s="860"/>
      <c r="AQ885" s="860"/>
      <c r="AR885" s="860"/>
      <c r="AS885" s="860"/>
      <c r="AT885" s="856"/>
      <c r="AU885" s="860"/>
      <c r="AV885" s="860"/>
      <c r="AW885" s="860"/>
      <c r="AX885" s="860"/>
      <c r="AY885" s="856"/>
      <c r="AZ885" s="860"/>
      <c r="BA885" s="860"/>
      <c r="BB885" s="860"/>
      <c r="BC885" s="860"/>
      <c r="BD885" s="856"/>
      <c r="BE885" s="860"/>
      <c r="BF885" s="860"/>
      <c r="BG885" s="860"/>
      <c r="BH885" s="860"/>
      <c r="BI885" s="856"/>
      <c r="BJ885" s="1330"/>
      <c r="BK885" s="860"/>
      <c r="BL885" s="860"/>
      <c r="BM885" s="860"/>
      <c r="BN885" s="856"/>
      <c r="BO885" s="860"/>
      <c r="BP885" s="860"/>
      <c r="BQ885" s="860"/>
      <c r="BR885" s="860"/>
      <c r="BS885" s="856"/>
      <c r="BT885" s="856"/>
      <c r="BU885" s="856"/>
      <c r="BV885" s="856"/>
      <c r="BW885" s="857"/>
    </row>
    <row r="886" spans="1:75" s="858" customFormat="1" x14ac:dyDescent="0.5">
      <c r="A886" s="850" t="s">
        <v>1288</v>
      </c>
      <c r="B886" s="851"/>
      <c r="C886" s="674">
        <f t="shared" ref="C886:BB886" si="1167">C1042+C1043+C1051+C1044+C1052+C1046</f>
        <v>-14.702</v>
      </c>
      <c r="D886" s="674">
        <f t="shared" si="1167"/>
        <v>-1.587</v>
      </c>
      <c r="E886" s="674">
        <f t="shared" si="1167"/>
        <v>-1.6259999999999999</v>
      </c>
      <c r="F886" s="674">
        <f t="shared" si="1167"/>
        <v>-1.796</v>
      </c>
      <c r="G886" s="122">
        <f t="shared" si="1167"/>
        <v>-2.8000000000000001E-2</v>
      </c>
      <c r="H886" s="122">
        <f t="shared" si="1167"/>
        <v>-1.6639999999999999</v>
      </c>
      <c r="I886" s="122">
        <f t="shared" si="1167"/>
        <v>-2.4000000000000021E-2</v>
      </c>
      <c r="J886" s="122">
        <f t="shared" si="1167"/>
        <v>-8.0000000000000071E-3</v>
      </c>
      <c r="K886" s="674">
        <f t="shared" si="1167"/>
        <v>-1.724</v>
      </c>
      <c r="L886" s="122">
        <f t="shared" si="1167"/>
        <v>0</v>
      </c>
      <c r="M886" s="122">
        <f t="shared" si="1167"/>
        <v>-1.7849999999999999</v>
      </c>
      <c r="N886" s="122">
        <f t="shared" si="1167"/>
        <v>90</v>
      </c>
      <c r="O886" s="122">
        <f t="shared" si="1167"/>
        <v>-90</v>
      </c>
      <c r="P886" s="674">
        <f t="shared" si="1167"/>
        <v>-1.7849999999999999</v>
      </c>
      <c r="Q886" s="122">
        <f t="shared" si="1167"/>
        <v>60</v>
      </c>
      <c r="R886" s="122">
        <f t="shared" si="1167"/>
        <v>88.031999999999996</v>
      </c>
      <c r="S886" s="122">
        <f t="shared" si="1167"/>
        <v>50</v>
      </c>
      <c r="T886" s="122">
        <f t="shared" si="1167"/>
        <v>-200</v>
      </c>
      <c r="U886" s="674">
        <f t="shared" si="1167"/>
        <v>-1.968</v>
      </c>
      <c r="V886" s="122">
        <f t="shared" si="1167"/>
        <v>100</v>
      </c>
      <c r="W886" s="122">
        <f t="shared" si="1167"/>
        <v>25</v>
      </c>
      <c r="X886" s="122">
        <f t="shared" si="1167"/>
        <v>0</v>
      </c>
      <c r="Y886" s="122">
        <f t="shared" si="1167"/>
        <v>-125</v>
      </c>
      <c r="Z886" s="674">
        <f t="shared" si="1167"/>
        <v>0</v>
      </c>
      <c r="AA886" s="122">
        <f t="shared" si="1167"/>
        <v>45</v>
      </c>
      <c r="AB886" s="122">
        <f t="shared" si="1167"/>
        <v>70</v>
      </c>
      <c r="AC886" s="122">
        <f t="shared" si="1167"/>
        <v>55</v>
      </c>
      <c r="AD886" s="122">
        <f t="shared" si="1167"/>
        <v>128.809</v>
      </c>
      <c r="AE886" s="674">
        <f t="shared" si="1167"/>
        <v>298.80900000000003</v>
      </c>
      <c r="AF886" s="122">
        <f t="shared" si="1167"/>
        <v>0</v>
      </c>
      <c r="AG886" s="122">
        <f t="shared" si="1167"/>
        <v>0</v>
      </c>
      <c r="AH886" s="122">
        <f t="shared" si="1167"/>
        <v>60</v>
      </c>
      <c r="AI886" s="122">
        <f t="shared" si="1167"/>
        <v>-60</v>
      </c>
      <c r="AJ886" s="674">
        <f t="shared" si="1167"/>
        <v>0</v>
      </c>
      <c r="AK886" s="122">
        <f t="shared" si="1167"/>
        <v>0</v>
      </c>
      <c r="AL886" s="122">
        <f t="shared" si="1167"/>
        <v>60</v>
      </c>
      <c r="AM886" s="122">
        <f t="shared" si="1167"/>
        <v>40</v>
      </c>
      <c r="AN886" s="122">
        <f t="shared" si="1167"/>
        <v>-100</v>
      </c>
      <c r="AO886" s="674">
        <f t="shared" si="1167"/>
        <v>0</v>
      </c>
      <c r="AP886" s="122">
        <f t="shared" si="1167"/>
        <v>487.82299999999998</v>
      </c>
      <c r="AQ886" s="122">
        <f t="shared" si="1167"/>
        <v>-1.05</v>
      </c>
      <c r="AR886" s="122">
        <f t="shared" si="1167"/>
        <v>-490.41800000000001</v>
      </c>
      <c r="AS886" s="122">
        <f t="shared" si="1167"/>
        <v>0</v>
      </c>
      <c r="AT886" s="674">
        <f t="shared" si="1167"/>
        <v>-3.645</v>
      </c>
      <c r="AU886" s="122">
        <f t="shared" si="1167"/>
        <v>-300</v>
      </c>
      <c r="AV886" s="122">
        <f t="shared" si="1167"/>
        <v>0</v>
      </c>
      <c r="AW886" s="122">
        <f t="shared" si="1167"/>
        <v>-0.77700000000000002</v>
      </c>
      <c r="AX886" s="122">
        <f t="shared" si="1167"/>
        <v>-1.0000000000000009E-3</v>
      </c>
      <c r="AY886" s="674">
        <f t="shared" si="1167"/>
        <v>-300.77800000000002</v>
      </c>
      <c r="AZ886" s="122">
        <f t="shared" si="1167"/>
        <v>0</v>
      </c>
      <c r="BA886" s="122">
        <f t="shared" si="1167"/>
        <v>0</v>
      </c>
      <c r="BB886" s="122">
        <f t="shared" si="1167"/>
        <v>0</v>
      </c>
      <c r="BC886" s="122">
        <f>BC1042+BC1043+BC1051+BC1044+BC1052+BC1046</f>
        <v>0</v>
      </c>
      <c r="BD886" s="674">
        <f>BD1042+BD1043+BD1051+BD1044+BD1052+BD1046</f>
        <v>0</v>
      </c>
      <c r="BE886" s="122">
        <f>BE1042+BE1043+BE1051+BE1044+BE1052+BE1046</f>
        <v>0</v>
      </c>
      <c r="BF886" s="122">
        <f>BF1042+BF1043+BF1051+BF1044+BF1052+BF1046</f>
        <v>0</v>
      </c>
      <c r="BG886" s="122">
        <f t="shared" ref="BG886" si="1168">BG1042+BG1043+BG1051+BG1044+BG1052+BG1046</f>
        <v>0</v>
      </c>
      <c r="BH886" s="122">
        <f>BH1042+BH1043+BH1051+BH1044+BH1052+BH1046</f>
        <v>0</v>
      </c>
      <c r="BI886" s="674">
        <f>BI1042+BI1043+BI1051+BI1044+BI1052+BI1046</f>
        <v>0</v>
      </c>
      <c r="BJ886" s="1274">
        <f>BJ1042+BJ1043+BJ1051+BJ1044+BJ1052+BJ1046</f>
        <v>0</v>
      </c>
      <c r="BK886" s="302">
        <v>0</v>
      </c>
      <c r="BL886" s="302">
        <v>0</v>
      </c>
      <c r="BM886" s="302">
        <v>0</v>
      </c>
      <c r="BN886" s="401">
        <f>BN1042+BN1043+BN1051+BN1044+BN1052+BN1046</f>
        <v>0</v>
      </c>
      <c r="BO886" s="302">
        <v>0</v>
      </c>
      <c r="BP886" s="302">
        <v>0</v>
      </c>
      <c r="BQ886" s="302">
        <v>0</v>
      </c>
      <c r="BR886" s="302">
        <v>0</v>
      </c>
      <c r="BS886" s="401">
        <f>BS1042+BS1043+BS1051+BS1044+BS1052+BS1046</f>
        <v>0</v>
      </c>
      <c r="BT886" s="403">
        <v>0</v>
      </c>
      <c r="BU886" s="403">
        <v>0</v>
      </c>
      <c r="BV886" s="403">
        <v>0</v>
      </c>
      <c r="BW886" s="857"/>
    </row>
    <row r="887" spans="1:75" s="858" customFormat="1" x14ac:dyDescent="0.5">
      <c r="A887" s="850" t="s">
        <v>1289</v>
      </c>
      <c r="B887" s="851"/>
      <c r="C887" s="674">
        <f t="shared" ref="C887:BG887" si="1169">C1045+C1048+C1049+C1050</f>
        <v>10.371</v>
      </c>
      <c r="D887" s="674">
        <f t="shared" si="1169"/>
        <v>-115.943</v>
      </c>
      <c r="E887" s="674">
        <f t="shared" si="1169"/>
        <v>-188.45000000000002</v>
      </c>
      <c r="F887" s="674">
        <f t="shared" si="1169"/>
        <v>-146.39700000000002</v>
      </c>
      <c r="G887" s="122">
        <f t="shared" si="1169"/>
        <v>-42.744</v>
      </c>
      <c r="H887" s="122">
        <f t="shared" si="1169"/>
        <v>-87.682999999999993</v>
      </c>
      <c r="I887" s="122">
        <f t="shared" si="1169"/>
        <v>-86.945999999999998</v>
      </c>
      <c r="J887" s="122">
        <f t="shared" si="1169"/>
        <v>-24.639999999999997</v>
      </c>
      <c r="K887" s="674">
        <f t="shared" si="1169"/>
        <v>-242.01300000000001</v>
      </c>
      <c r="L887" s="122">
        <f t="shared" si="1169"/>
        <v>-75.670999999999992</v>
      </c>
      <c r="M887" s="122">
        <f t="shared" si="1169"/>
        <v>-59.435000000000002</v>
      </c>
      <c r="N887" s="122">
        <f t="shared" si="1169"/>
        <v>-85.65</v>
      </c>
      <c r="O887" s="122">
        <f t="shared" si="1169"/>
        <v>-29.960999999999999</v>
      </c>
      <c r="P887" s="674">
        <f t="shared" si="1169"/>
        <v>-250.71699999999998</v>
      </c>
      <c r="Q887" s="122">
        <f t="shared" si="1169"/>
        <v>-63.73599999999999</v>
      </c>
      <c r="R887" s="122">
        <f t="shared" si="1169"/>
        <v>-73.985000000000014</v>
      </c>
      <c r="S887" s="122">
        <f t="shared" si="1169"/>
        <v>-72.865000000000009</v>
      </c>
      <c r="T887" s="122">
        <f t="shared" si="1169"/>
        <v>-29.057999999999993</v>
      </c>
      <c r="U887" s="674">
        <f t="shared" si="1169"/>
        <v>-239.64400000000003</v>
      </c>
      <c r="V887" s="122">
        <f t="shared" si="1169"/>
        <v>-58.724000000000011</v>
      </c>
      <c r="W887" s="122">
        <f t="shared" si="1169"/>
        <v>-35.817999999999998</v>
      </c>
      <c r="X887" s="122">
        <f t="shared" si="1169"/>
        <v>-40.793999999999997</v>
      </c>
      <c r="Y887" s="122">
        <f t="shared" si="1169"/>
        <v>-36.571999999999989</v>
      </c>
      <c r="Z887" s="674">
        <f t="shared" si="1169"/>
        <v>-171.90799999999999</v>
      </c>
      <c r="AA887" s="122">
        <f t="shared" si="1169"/>
        <v>-52.13</v>
      </c>
      <c r="AB887" s="122">
        <f t="shared" si="1169"/>
        <v>-55.348000000000006</v>
      </c>
      <c r="AC887" s="122">
        <f t="shared" si="1169"/>
        <v>-61.678999999999995</v>
      </c>
      <c r="AD887" s="122">
        <f t="shared" si="1169"/>
        <v>-45.152000000000001</v>
      </c>
      <c r="AE887" s="674">
        <f t="shared" si="1169"/>
        <v>-214.309</v>
      </c>
      <c r="AF887" s="122">
        <f t="shared" si="1169"/>
        <v>-45.151000000000003</v>
      </c>
      <c r="AG887" s="122">
        <f t="shared" si="1169"/>
        <v>-142.00200000000001</v>
      </c>
      <c r="AH887" s="122">
        <f t="shared" si="1169"/>
        <v>-46.97399999999999</v>
      </c>
      <c r="AI887" s="122">
        <f t="shared" si="1169"/>
        <v>-75.613999999999976</v>
      </c>
      <c r="AJ887" s="674">
        <f t="shared" si="1169"/>
        <v>-309.74099999999999</v>
      </c>
      <c r="AK887" s="122">
        <f t="shared" si="1169"/>
        <v>-59.253999999999998</v>
      </c>
      <c r="AL887" s="122">
        <f t="shared" si="1169"/>
        <v>-38.764000000000003</v>
      </c>
      <c r="AM887" s="122">
        <f t="shared" si="1169"/>
        <v>-41.319000000000003</v>
      </c>
      <c r="AN887" s="122">
        <f t="shared" si="1169"/>
        <v>-37.249000000000002</v>
      </c>
      <c r="AO887" s="674">
        <f t="shared" si="1169"/>
        <v>-176.58600000000001</v>
      </c>
      <c r="AP887" s="122">
        <f t="shared" si="1169"/>
        <v>-28.911999999999999</v>
      </c>
      <c r="AQ887" s="122">
        <f t="shared" si="1169"/>
        <v>-0.6769999999999996</v>
      </c>
      <c r="AR887" s="122">
        <f t="shared" si="1169"/>
        <v>-110.01400000000001</v>
      </c>
      <c r="AS887" s="122">
        <f t="shared" si="1169"/>
        <v>-42.125999999999998</v>
      </c>
      <c r="AT887" s="674">
        <f t="shared" si="1169"/>
        <v>-181.72899999999998</v>
      </c>
      <c r="AU887" s="122">
        <f t="shared" si="1169"/>
        <v>-413.98</v>
      </c>
      <c r="AV887" s="122">
        <f t="shared" si="1169"/>
        <v>-137.56799999999998</v>
      </c>
      <c r="AW887" s="122">
        <f t="shared" si="1169"/>
        <v>-203.63299999999998</v>
      </c>
      <c r="AX887" s="122">
        <f t="shared" si="1169"/>
        <v>-248.48700000000002</v>
      </c>
      <c r="AY887" s="674">
        <f t="shared" si="1169"/>
        <v>-1003.668</v>
      </c>
      <c r="AZ887" s="122">
        <f t="shared" si="1169"/>
        <v>-579.58299999999997</v>
      </c>
      <c r="BA887" s="122">
        <f t="shared" si="1169"/>
        <v>-266.11599999999999</v>
      </c>
      <c r="BB887" s="122">
        <f t="shared" si="1169"/>
        <v>-75.687000000000054</v>
      </c>
      <c r="BC887" s="122">
        <f t="shared" si="1169"/>
        <v>-39.941999999999979</v>
      </c>
      <c r="BD887" s="674">
        <f t="shared" si="1169"/>
        <v>-961.32799999999997</v>
      </c>
      <c r="BE887" s="122">
        <f t="shared" si="1169"/>
        <v>-304.34800000000001</v>
      </c>
      <c r="BF887" s="122">
        <f t="shared" si="1169"/>
        <v>-55.602000000000004</v>
      </c>
      <c r="BG887" s="122">
        <f t="shared" si="1169"/>
        <v>-4.1589999999999705</v>
      </c>
      <c r="BH887" s="122">
        <f>BH1045+BH1048+BH1049+BH1050</f>
        <v>-1.7230000000000061</v>
      </c>
      <c r="BI887" s="674">
        <f>BI1045+BI1048+BI1049+BI1050</f>
        <v>-365.83199999999999</v>
      </c>
      <c r="BJ887" s="1274">
        <f>BJ1045+BJ1048+BJ1049+BJ1050</f>
        <v>-130.78899999999999</v>
      </c>
      <c r="BK887" s="302">
        <v>0</v>
      </c>
      <c r="BL887" s="302">
        <v>0</v>
      </c>
      <c r="BM887" s="302">
        <v>0</v>
      </c>
      <c r="BN887" s="401">
        <f>BN1045+BN1048+BN1049+BN1050</f>
        <v>-130.78899999999999</v>
      </c>
      <c r="BO887" s="302">
        <v>0</v>
      </c>
      <c r="BP887" s="302">
        <v>0</v>
      </c>
      <c r="BQ887" s="302">
        <v>0</v>
      </c>
      <c r="BR887" s="302">
        <v>0</v>
      </c>
      <c r="BS887" s="401">
        <f>BS1045+BS1048+BS1049+BS1050</f>
        <v>0</v>
      </c>
      <c r="BT887" s="403">
        <v>0</v>
      </c>
      <c r="BU887" s="403">
        <v>0</v>
      </c>
      <c r="BV887" s="403">
        <v>0</v>
      </c>
      <c r="BW887" s="857"/>
    </row>
    <row r="888" spans="1:75" s="858" customFormat="1" x14ac:dyDescent="0.5">
      <c r="A888" s="862" t="s">
        <v>1290</v>
      </c>
      <c r="B888" s="863"/>
      <c r="C888" s="864"/>
      <c r="D888" s="864"/>
      <c r="E888" s="864"/>
      <c r="F888" s="864"/>
      <c r="G888" s="865"/>
      <c r="H888" s="865"/>
      <c r="I888" s="865"/>
      <c r="J888" s="865"/>
      <c r="K888" s="864"/>
      <c r="L888" s="865"/>
      <c r="M888" s="865"/>
      <c r="N888" s="865"/>
      <c r="O888" s="865"/>
      <c r="P888" s="864"/>
      <c r="Q888" s="865"/>
      <c r="R888" s="865"/>
      <c r="S888" s="865"/>
      <c r="T888" s="865"/>
      <c r="U888" s="864"/>
      <c r="V888" s="865"/>
      <c r="W888" s="865"/>
      <c r="X888" s="865"/>
      <c r="Y888" s="865"/>
      <c r="Z888" s="864"/>
      <c r="AA888" s="865"/>
      <c r="AB888" s="865"/>
      <c r="AC888" s="865"/>
      <c r="AD888" s="865"/>
      <c r="AE888" s="864"/>
      <c r="AF888" s="865"/>
      <c r="AG888" s="865"/>
      <c r="AH888" s="865"/>
      <c r="AI888" s="865"/>
      <c r="AJ888" s="864"/>
      <c r="AK888" s="865"/>
      <c r="AL888" s="865"/>
      <c r="AM888" s="865"/>
      <c r="AN888" s="865"/>
      <c r="AO888" s="864"/>
      <c r="AP888" s="865"/>
      <c r="AQ888" s="865"/>
      <c r="AR888" s="865"/>
      <c r="AS888" s="865"/>
      <c r="AT888" s="864"/>
      <c r="AU888" s="865"/>
      <c r="AV888" s="865"/>
      <c r="AW888" s="865"/>
      <c r="AX888" s="865"/>
      <c r="AY888" s="864"/>
      <c r="AZ888" s="865"/>
      <c r="BA888" s="865"/>
      <c r="BB888" s="865"/>
      <c r="BC888" s="865"/>
      <c r="BD888" s="864"/>
      <c r="BE888" s="865"/>
      <c r="BF888" s="865"/>
      <c r="BG888" s="865"/>
      <c r="BH888" s="865"/>
      <c r="BI888" s="864"/>
      <c r="BJ888" s="1331"/>
      <c r="BK888" s="867">
        <v>293</v>
      </c>
      <c r="BL888" s="867">
        <v>293</v>
      </c>
      <c r="BM888" s="867">
        <v>293</v>
      </c>
      <c r="BN888" s="864">
        <f>AVERAGE(BJ888,BK888,BL888,BM888)</f>
        <v>293</v>
      </c>
      <c r="BO888" s="867">
        <v>322</v>
      </c>
      <c r="BP888" s="867">
        <v>322</v>
      </c>
      <c r="BQ888" s="867">
        <v>322</v>
      </c>
      <c r="BR888" s="867">
        <v>322</v>
      </c>
      <c r="BS888" s="864">
        <f>AVERAGE(BO888,BP888,BQ888,BR888)</f>
        <v>322</v>
      </c>
      <c r="BT888" s="868">
        <v>354</v>
      </c>
      <c r="BU888" s="868">
        <v>389</v>
      </c>
      <c r="BV888" s="868">
        <v>428</v>
      </c>
      <c r="BW888" s="857"/>
    </row>
    <row r="889" spans="1:75" s="858" customFormat="1" x14ac:dyDescent="0.5">
      <c r="A889" s="1332"/>
      <c r="B889" s="863"/>
      <c r="C889" s="864"/>
      <c r="D889" s="864"/>
      <c r="E889" s="864"/>
      <c r="F889" s="864"/>
      <c r="G889" s="865"/>
      <c r="H889" s="865"/>
      <c r="I889" s="865"/>
      <c r="J889" s="865"/>
      <c r="K889" s="864"/>
      <c r="L889" s="865"/>
      <c r="M889" s="865"/>
      <c r="N889" s="865"/>
      <c r="O889" s="865"/>
      <c r="P889" s="864"/>
      <c r="Q889" s="865"/>
      <c r="R889" s="865"/>
      <c r="S889" s="865"/>
      <c r="T889" s="865"/>
      <c r="U889" s="864"/>
      <c r="V889" s="865"/>
      <c r="W889" s="865"/>
      <c r="X889" s="865"/>
      <c r="Y889" s="865"/>
      <c r="Z889" s="864"/>
      <c r="AA889" s="865"/>
      <c r="AB889" s="865"/>
      <c r="AC889" s="865"/>
      <c r="AD889" s="865"/>
      <c r="AE889" s="864"/>
      <c r="AF889" s="865"/>
      <c r="AG889" s="865"/>
      <c r="AH889" s="865"/>
      <c r="AI889" s="865"/>
      <c r="AJ889" s="864"/>
      <c r="AK889" s="865"/>
      <c r="AL889" s="865"/>
      <c r="AM889" s="865"/>
      <c r="AN889" s="865"/>
      <c r="AO889" s="864"/>
      <c r="AP889" s="865"/>
      <c r="AQ889" s="865"/>
      <c r="AR889" s="865"/>
      <c r="AS889" s="865"/>
      <c r="AT889" s="864"/>
      <c r="AU889" s="865"/>
      <c r="AV889" s="865"/>
      <c r="AW889" s="865"/>
      <c r="AX889" s="865"/>
      <c r="AY889" s="864"/>
      <c r="AZ889" s="865"/>
      <c r="BA889" s="865"/>
      <c r="BB889" s="865"/>
      <c r="BC889" s="865"/>
      <c r="BD889" s="864"/>
      <c r="BE889" s="865"/>
      <c r="BF889" s="865"/>
      <c r="BG889" s="865"/>
      <c r="BH889" s="865"/>
      <c r="BI889" s="864"/>
      <c r="BJ889" s="1331"/>
      <c r="BK889" s="865"/>
      <c r="BL889" s="865"/>
      <c r="BM889" s="865"/>
      <c r="BN889" s="864"/>
      <c r="BO889" s="865"/>
      <c r="BP889" s="865"/>
      <c r="BQ889" s="865"/>
      <c r="BR889" s="865"/>
      <c r="BS889" s="864"/>
      <c r="BT889" s="864"/>
      <c r="BU889" s="864"/>
      <c r="BV889" s="864"/>
      <c r="BW889" s="857"/>
    </row>
    <row r="890" spans="1:75" s="123" customFormat="1" x14ac:dyDescent="0.5">
      <c r="A890" s="185" t="s">
        <v>2106</v>
      </c>
      <c r="B890" s="513"/>
      <c r="C890" s="401">
        <f t="shared" ref="C890:BG890" si="1170">C1017</f>
        <v>24.989000000000001</v>
      </c>
      <c r="D890" s="401">
        <f t="shared" si="1170"/>
        <v>26.63</v>
      </c>
      <c r="E890" s="401">
        <f t="shared" si="1170"/>
        <v>24.335999999999999</v>
      </c>
      <c r="F890" s="401">
        <f t="shared" si="1170"/>
        <v>31.042000000000002</v>
      </c>
      <c r="G890" s="118">
        <f t="shared" si="1170"/>
        <v>8.9909999999999997</v>
      </c>
      <c r="H890" s="118">
        <f t="shared" si="1170"/>
        <v>9.4810000000000016</v>
      </c>
      <c r="I890" s="118">
        <f t="shared" si="1170"/>
        <v>9.968</v>
      </c>
      <c r="J890" s="118">
        <f t="shared" si="1170"/>
        <v>10.347999999999995</v>
      </c>
      <c r="K890" s="401">
        <f t="shared" si="1170"/>
        <v>38.787999999999997</v>
      </c>
      <c r="L890" s="118">
        <f t="shared" si="1170"/>
        <v>12.368</v>
      </c>
      <c r="M890" s="118">
        <f t="shared" si="1170"/>
        <v>9.8229999999999986</v>
      </c>
      <c r="N890" s="118">
        <f t="shared" si="1170"/>
        <v>12.538</v>
      </c>
      <c r="O890" s="118">
        <f t="shared" si="1170"/>
        <v>9.9029999999999987</v>
      </c>
      <c r="P890" s="401">
        <f t="shared" si="1170"/>
        <v>44.631999999999998</v>
      </c>
      <c r="Q890" s="118">
        <f t="shared" si="1170"/>
        <v>14.01</v>
      </c>
      <c r="R890" s="118">
        <f t="shared" si="1170"/>
        <v>10.903</v>
      </c>
      <c r="S890" s="118">
        <f t="shared" si="1170"/>
        <v>11.269000000000002</v>
      </c>
      <c r="T890" s="118">
        <f t="shared" si="1170"/>
        <v>5.1749999999999972</v>
      </c>
      <c r="U890" s="401">
        <f t="shared" si="1170"/>
        <v>41.356999999999999</v>
      </c>
      <c r="V890" s="118">
        <f t="shared" si="1170"/>
        <v>15.731999999999999</v>
      </c>
      <c r="W890" s="118">
        <f t="shared" si="1170"/>
        <v>11.744</v>
      </c>
      <c r="X890" s="118">
        <f t="shared" si="1170"/>
        <v>10.499000000000002</v>
      </c>
      <c r="Y890" s="118">
        <f t="shared" si="1170"/>
        <v>13.140999999999998</v>
      </c>
      <c r="Z890" s="401">
        <f t="shared" si="1170"/>
        <v>51.116</v>
      </c>
      <c r="AA890" s="118">
        <f t="shared" si="1170"/>
        <v>9.8170000000000002</v>
      </c>
      <c r="AB890" s="118">
        <f t="shared" si="1170"/>
        <v>13.012</v>
      </c>
      <c r="AC890" s="118">
        <f t="shared" si="1170"/>
        <v>7.3350000000000009</v>
      </c>
      <c r="AD890" s="118">
        <f t="shared" si="1170"/>
        <v>12.823999999999998</v>
      </c>
      <c r="AE890" s="401">
        <f t="shared" si="1170"/>
        <v>42.988</v>
      </c>
      <c r="AF890" s="118">
        <f t="shared" si="1170"/>
        <v>12.888999999999999</v>
      </c>
      <c r="AG890" s="118">
        <f t="shared" si="1170"/>
        <v>13.637</v>
      </c>
      <c r="AH890" s="118">
        <f t="shared" si="1170"/>
        <v>14.427000000000003</v>
      </c>
      <c r="AI890" s="118">
        <f t="shared" si="1170"/>
        <v>18.848999999999997</v>
      </c>
      <c r="AJ890" s="401">
        <f t="shared" si="1170"/>
        <v>59.802</v>
      </c>
      <c r="AK890" s="118">
        <f t="shared" si="1170"/>
        <v>18.529</v>
      </c>
      <c r="AL890" s="118">
        <f t="shared" si="1170"/>
        <v>16.872000000000003</v>
      </c>
      <c r="AM890" s="118">
        <f t="shared" si="1170"/>
        <v>14.114999999999995</v>
      </c>
      <c r="AN890" s="118">
        <f t="shared" si="1170"/>
        <v>14.646999999999998</v>
      </c>
      <c r="AO890" s="401">
        <f t="shared" si="1170"/>
        <v>64.162999999999997</v>
      </c>
      <c r="AP890" s="118">
        <f t="shared" si="1170"/>
        <v>19.702999999999999</v>
      </c>
      <c r="AQ890" s="118">
        <f t="shared" si="1170"/>
        <v>13.692000000000004</v>
      </c>
      <c r="AR890" s="118">
        <f t="shared" si="1170"/>
        <v>21.275999999999996</v>
      </c>
      <c r="AS890" s="118">
        <f t="shared" si="1170"/>
        <v>18.514000000000003</v>
      </c>
      <c r="AT890" s="401">
        <f t="shared" si="1170"/>
        <v>73.185000000000002</v>
      </c>
      <c r="AU890" s="118">
        <f t="shared" si="1170"/>
        <v>26.33</v>
      </c>
      <c r="AV890" s="118">
        <f t="shared" si="1170"/>
        <v>19.93</v>
      </c>
      <c r="AW890" s="118">
        <f t="shared" si="1170"/>
        <v>24.306000000000004</v>
      </c>
      <c r="AX890" s="118">
        <f t="shared" si="1170"/>
        <v>24.673999999999992</v>
      </c>
      <c r="AY890" s="401">
        <f t="shared" si="1170"/>
        <v>95.24</v>
      </c>
      <c r="AZ890" s="118">
        <f t="shared" si="1170"/>
        <v>28.542000000000002</v>
      </c>
      <c r="BA890" s="118">
        <f t="shared" si="1170"/>
        <v>23.201000000000001</v>
      </c>
      <c r="BB890" s="118">
        <f t="shared" si="1170"/>
        <v>16.053999999999995</v>
      </c>
      <c r="BC890" s="118">
        <f t="shared" si="1170"/>
        <v>22.471000000000004</v>
      </c>
      <c r="BD890" s="401">
        <f t="shared" si="1170"/>
        <v>90.268000000000001</v>
      </c>
      <c r="BE890" s="118">
        <f t="shared" si="1170"/>
        <v>23.446000000000002</v>
      </c>
      <c r="BF890" s="118">
        <f t="shared" si="1170"/>
        <v>20.712999999999997</v>
      </c>
      <c r="BG890" s="118">
        <f t="shared" si="1170"/>
        <v>22.276000000000003</v>
      </c>
      <c r="BH890" s="118">
        <f>BH1017</f>
        <v>18.319000000000003</v>
      </c>
      <c r="BI890" s="401">
        <f>BI1017</f>
        <v>84.754000000000005</v>
      </c>
      <c r="BJ890" s="971">
        <f>BJ1017</f>
        <v>22.975000000000001</v>
      </c>
      <c r="BK890" s="118">
        <f>BK891*BK749</f>
        <v>20.337563028107184</v>
      </c>
      <c r="BL890" s="118">
        <f>BL891*BL749</f>
        <v>18.311608887139549</v>
      </c>
      <c r="BM890" s="118">
        <f>BM891*BM749</f>
        <v>19.06956992528502</v>
      </c>
      <c r="BN890" s="401">
        <f>BN1017</f>
        <v>80.693741840531757</v>
      </c>
      <c r="BO890" s="118">
        <f>BO891*BO749</f>
        <v>24.334604791679386</v>
      </c>
      <c r="BP890" s="118">
        <f>BP891*BP749</f>
        <v>21.267427801265526</v>
      </c>
      <c r="BQ890" s="118">
        <f>BQ891*BQ749</f>
        <v>19.07211021427344</v>
      </c>
      <c r="BR890" s="118">
        <f>BR891*BR749</f>
        <v>18.706505824954295</v>
      </c>
      <c r="BS890" s="401">
        <f>BS1017</f>
        <v>83.380648632172637</v>
      </c>
      <c r="BT890" s="401">
        <f>BT891*BT749</f>
        <v>92.72227313177622</v>
      </c>
      <c r="BU890" s="401">
        <f>BU891*BU749</f>
        <v>99.384678127890751</v>
      </c>
      <c r="BV890" s="401">
        <f>BV891*BV749</f>
        <v>106.54061651833675</v>
      </c>
      <c r="BW890" s="122"/>
    </row>
    <row r="891" spans="1:75" s="177" customFormat="1" ht="14.25" x14ac:dyDescent="0.45">
      <c r="A891" s="666" t="s">
        <v>2107</v>
      </c>
      <c r="B891" s="660"/>
      <c r="C891" s="417">
        <f t="shared" ref="C891:BG891" si="1171">C890/C749</f>
        <v>8.0539426255292149E-3</v>
      </c>
      <c r="D891" s="417">
        <f t="shared" si="1171"/>
        <v>7.599543171283943E-3</v>
      </c>
      <c r="E891" s="417">
        <f t="shared" si="1171"/>
        <v>6.5403619290520156E-3</v>
      </c>
      <c r="F891" s="417">
        <f t="shared" si="1171"/>
        <v>7.67820879721584E-3</v>
      </c>
      <c r="G891" s="378">
        <f t="shared" si="1171"/>
        <v>1.0127189662629758E-2</v>
      </c>
      <c r="H891" s="378">
        <f t="shared" si="1171"/>
        <v>9.6527317505744718E-3</v>
      </c>
      <c r="I891" s="378">
        <f t="shared" si="1171"/>
        <v>9.4793580511778816E-3</v>
      </c>
      <c r="J891" s="378">
        <f t="shared" si="1171"/>
        <v>7.0571033414170365E-3</v>
      </c>
      <c r="K891" s="417">
        <f t="shared" si="1171"/>
        <v>8.8397860565752676E-3</v>
      </c>
      <c r="L891" s="378">
        <f t="shared" si="1171"/>
        <v>1.2693851159258156E-2</v>
      </c>
      <c r="M891" s="378">
        <f t="shared" si="1171"/>
        <v>9.453354916071759E-3</v>
      </c>
      <c r="N891" s="378">
        <f t="shared" si="1171"/>
        <v>1.096782433285921E-2</v>
      </c>
      <c r="O891" s="378">
        <f t="shared" si="1171"/>
        <v>6.421658425873388E-3</v>
      </c>
      <c r="P891" s="417">
        <f t="shared" si="1171"/>
        <v>9.4987591298819948E-3</v>
      </c>
      <c r="Q891" s="378">
        <f t="shared" si="1171"/>
        <v>1.3593020503048486E-2</v>
      </c>
      <c r="R891" s="378">
        <f t="shared" si="1171"/>
        <v>9.6741163484846873E-3</v>
      </c>
      <c r="S891" s="378">
        <f t="shared" si="1171"/>
        <v>9.1463068204875979E-3</v>
      </c>
      <c r="T891" s="378">
        <f t="shared" si="1171"/>
        <v>3.2623002904865629E-3</v>
      </c>
      <c r="U891" s="417">
        <f t="shared" si="1171"/>
        <v>8.3111438900823741E-3</v>
      </c>
      <c r="V891" s="378">
        <f t="shared" si="1171"/>
        <v>1.4330257228663794E-2</v>
      </c>
      <c r="W891" s="378">
        <f t="shared" si="1171"/>
        <v>1.0132619632468212E-2</v>
      </c>
      <c r="X891" s="378">
        <f t="shared" si="1171"/>
        <v>8.4303247590102673E-3</v>
      </c>
      <c r="Y891" s="378">
        <f t="shared" si="1171"/>
        <v>8.3087745743025479E-3</v>
      </c>
      <c r="Z891" s="417">
        <f t="shared" si="1171"/>
        <v>1.005465977105369E-2</v>
      </c>
      <c r="AA891" s="378">
        <f t="shared" si="1171"/>
        <v>8.8321531038490983E-3</v>
      </c>
      <c r="AB891" s="378">
        <f t="shared" si="1171"/>
        <v>1.0828840734816571E-2</v>
      </c>
      <c r="AC891" s="378">
        <f t="shared" si="1171"/>
        <v>5.6451910822143004E-3</v>
      </c>
      <c r="AD891" s="378">
        <f t="shared" si="1171"/>
        <v>7.633742283812822E-3</v>
      </c>
      <c r="AE891" s="417">
        <f t="shared" si="1171"/>
        <v>8.122653810899827E-3</v>
      </c>
      <c r="AF891" s="378">
        <f t="shared" si="1171"/>
        <v>1.0714048212801329E-2</v>
      </c>
      <c r="AG891" s="378">
        <f t="shared" si="1171"/>
        <v>1.0694226827083991E-2</v>
      </c>
      <c r="AH891" s="378">
        <f t="shared" si="1171"/>
        <v>1.0631673351840077E-2</v>
      </c>
      <c r="AI891" s="378">
        <f t="shared" si="1171"/>
        <v>1.0263902471961996E-2</v>
      </c>
      <c r="AJ891" s="417">
        <f t="shared" si="1171"/>
        <v>1.0544127549349892E-2</v>
      </c>
      <c r="AK891" s="378">
        <f t="shared" si="1171"/>
        <v>1.4929113099976472E-2</v>
      </c>
      <c r="AL891" s="378">
        <f t="shared" si="1171"/>
        <v>1.230801552945914E-2</v>
      </c>
      <c r="AM891" s="378">
        <f t="shared" si="1171"/>
        <v>9.7852852603031431E-3</v>
      </c>
      <c r="AN891" s="378">
        <f t="shared" si="1171"/>
        <v>7.9448250424443596E-3</v>
      </c>
      <c r="AO891" s="417">
        <f t="shared" si="1171"/>
        <v>1.0878757709382557E-2</v>
      </c>
      <c r="AP891" s="378">
        <f t="shared" si="1171"/>
        <v>1.5951224211728759E-2</v>
      </c>
      <c r="AQ891" s="378">
        <f t="shared" si="1171"/>
        <v>9.1844722584263124E-3</v>
      </c>
      <c r="AR891" s="378">
        <f t="shared" si="1171"/>
        <v>1.2057560741180681E-2</v>
      </c>
      <c r="AS891" s="378">
        <f t="shared" si="1171"/>
        <v>8.0752902834377149E-3</v>
      </c>
      <c r="AT891" s="417">
        <f t="shared" si="1171"/>
        <v>1.078917305709748E-2</v>
      </c>
      <c r="AU891" s="378">
        <f t="shared" si="1171"/>
        <v>1.5054067142397294E-2</v>
      </c>
      <c r="AV891" s="378">
        <f t="shared" si="1171"/>
        <v>1.0229226022781457E-2</v>
      </c>
      <c r="AW891" s="378">
        <f t="shared" si="1171"/>
        <v>1.1870836159897324E-2</v>
      </c>
      <c r="AX891" s="378">
        <f t="shared" si="1171"/>
        <v>9.8655393440060055E-3</v>
      </c>
      <c r="AY891" s="417">
        <f t="shared" si="1171"/>
        <v>1.154993199074065E-2</v>
      </c>
      <c r="AZ891" s="378">
        <f t="shared" si="1171"/>
        <v>1.5091789615947742E-2</v>
      </c>
      <c r="BA891" s="378">
        <f t="shared" si="1171"/>
        <v>1.0854081122338469E-2</v>
      </c>
      <c r="BB891" s="378">
        <f t="shared" si="1171"/>
        <v>7.3219877641529972E-3</v>
      </c>
      <c r="BC891" s="378">
        <f t="shared" si="1171"/>
        <v>9.1603246369154866E-3</v>
      </c>
      <c r="BD891" s="417">
        <f t="shared" si="1171"/>
        <v>1.0406232488016198E-2</v>
      </c>
      <c r="BE891" s="378">
        <f t="shared" si="1171"/>
        <v>1.3356111905145743E-2</v>
      </c>
      <c r="BF891" s="378">
        <f t="shared" si="1171"/>
        <v>1.1120393167881267E-2</v>
      </c>
      <c r="BG891" s="378">
        <f t="shared" si="1171"/>
        <v>1.2017371132630216E-2</v>
      </c>
      <c r="BH891" s="378">
        <f>BH890/BH749</f>
        <v>8.03839684905726E-3</v>
      </c>
      <c r="BI891" s="417">
        <f>BI890/BI749</f>
        <v>1.0935080042298378E-2</v>
      </c>
      <c r="BJ891" s="1130">
        <f>BJ890/BJ749</f>
        <v>1.3837460580552994E-2</v>
      </c>
      <c r="BK891" s="766">
        <v>1.0999999999999999E-2</v>
      </c>
      <c r="BL891" s="766">
        <v>0.01</v>
      </c>
      <c r="BM891" s="766">
        <v>8.0000000000000002E-3</v>
      </c>
      <c r="BN891" s="417">
        <f>BN890/BN749</f>
        <v>1.0447043446674735E-2</v>
      </c>
      <c r="BO891" s="766">
        <v>1.4E-2</v>
      </c>
      <c r="BP891" s="766">
        <v>1.0999999999999999E-2</v>
      </c>
      <c r="BQ891" s="766">
        <v>0.01</v>
      </c>
      <c r="BR891" s="766">
        <v>8.0000000000000002E-3</v>
      </c>
      <c r="BS891" s="417">
        <f>BS890/BS749</f>
        <v>1.0531698914222931E-2</v>
      </c>
      <c r="BT891" s="767">
        <v>1.0999999999999999E-2</v>
      </c>
      <c r="BU891" s="767">
        <v>1.0999999999999999E-2</v>
      </c>
      <c r="BV891" s="767">
        <v>1.0999999999999999E-2</v>
      </c>
      <c r="BW891" s="176"/>
    </row>
    <row r="892" spans="1:75" s="205" customFormat="1" ht="14.25" x14ac:dyDescent="0.45">
      <c r="A892" s="719"/>
      <c r="B892" s="720"/>
      <c r="C892" s="414"/>
      <c r="D892" s="414"/>
      <c r="E892" s="414"/>
      <c r="F892" s="414"/>
      <c r="G892" s="413"/>
      <c r="H892" s="413"/>
      <c r="I892" s="413"/>
      <c r="J892" s="413"/>
      <c r="K892" s="414"/>
      <c r="L892" s="413"/>
      <c r="M892" s="413"/>
      <c r="N892" s="413"/>
      <c r="O892" s="413"/>
      <c r="P892" s="414"/>
      <c r="Q892" s="413"/>
      <c r="R892" s="413"/>
      <c r="S892" s="413"/>
      <c r="T892" s="413"/>
      <c r="U892" s="414"/>
      <c r="V892" s="413"/>
      <c r="W892" s="413"/>
      <c r="X892" s="413"/>
      <c r="Y892" s="413"/>
      <c r="Z892" s="414"/>
      <c r="AA892" s="413"/>
      <c r="AB892" s="413"/>
      <c r="AC892" s="413"/>
      <c r="AD892" s="413"/>
      <c r="AE892" s="414"/>
      <c r="AF892" s="413"/>
      <c r="AG892" s="413"/>
      <c r="AH892" s="413"/>
      <c r="AI892" s="413"/>
      <c r="AJ892" s="414"/>
      <c r="AK892" s="413"/>
      <c r="AL892" s="413"/>
      <c r="AM892" s="413"/>
      <c r="AN892" s="413"/>
      <c r="AO892" s="414"/>
      <c r="AP892" s="413"/>
      <c r="AQ892" s="413"/>
      <c r="AR892" s="413"/>
      <c r="AS892" s="413"/>
      <c r="AT892" s="414"/>
      <c r="AU892" s="413"/>
      <c r="AV892" s="413"/>
      <c r="AW892" s="413"/>
      <c r="AX892" s="413"/>
      <c r="AY892" s="414"/>
      <c r="AZ892" s="413"/>
      <c r="BA892" s="413"/>
      <c r="BB892" s="413"/>
      <c r="BC892" s="413"/>
      <c r="BD892" s="414"/>
      <c r="BE892" s="413"/>
      <c r="BF892" s="413"/>
      <c r="BG892" s="413"/>
      <c r="BH892" s="413"/>
      <c r="BI892" s="414"/>
      <c r="BJ892" s="1216"/>
      <c r="BK892" s="413"/>
      <c r="BL892" s="413"/>
      <c r="BM892" s="413"/>
      <c r="BN892" s="414"/>
      <c r="BO892" s="413"/>
      <c r="BP892" s="413"/>
      <c r="BQ892" s="413"/>
      <c r="BR892" s="413"/>
      <c r="BS892" s="414"/>
      <c r="BT892" s="414"/>
      <c r="BU892" s="414"/>
      <c r="BV892" s="414"/>
      <c r="BW892" s="204"/>
    </row>
    <row r="893" spans="1:75" s="123" customFormat="1" hidden="1" outlineLevel="1" x14ac:dyDescent="0.5">
      <c r="A893" s="118" t="s">
        <v>1293</v>
      </c>
      <c r="B893" s="513"/>
      <c r="C893" s="401">
        <f t="shared" ref="C893:BD893" si="1172">C873+C879</f>
        <v>155.42000000000002</v>
      </c>
      <c r="D893" s="401">
        <f t="shared" si="1172"/>
        <v>299.5569999999999</v>
      </c>
      <c r="E893" s="401">
        <f t="shared" si="1172"/>
        <v>251.52099999999996</v>
      </c>
      <c r="F893" s="401">
        <f t="shared" si="1172"/>
        <v>189.52800000000002</v>
      </c>
      <c r="G893" s="118">
        <f t="shared" si="1172"/>
        <v>33.337000000000018</v>
      </c>
      <c r="H893" s="118">
        <f t="shared" si="1172"/>
        <v>37.81</v>
      </c>
      <c r="I893" s="118">
        <f t="shared" si="1172"/>
        <v>48.30900000000004</v>
      </c>
      <c r="J893" s="118">
        <f t="shared" si="1172"/>
        <v>103.18799999999993</v>
      </c>
      <c r="K893" s="401">
        <f t="shared" si="1172"/>
        <v>222.64400000000003</v>
      </c>
      <c r="L893" s="118">
        <f t="shared" si="1172"/>
        <v>71.279000000000011</v>
      </c>
      <c r="M893" s="118">
        <f t="shared" si="1172"/>
        <v>47.344999999999999</v>
      </c>
      <c r="N893" s="118">
        <f t="shared" si="1172"/>
        <v>62.755000000000024</v>
      </c>
      <c r="O893" s="118">
        <f t="shared" si="1172"/>
        <v>108.30999999999997</v>
      </c>
      <c r="P893" s="401">
        <f t="shared" si="1172"/>
        <v>289.68900000000002</v>
      </c>
      <c r="Q893" s="118">
        <f t="shared" si="1172"/>
        <v>61.990000000000009</v>
      </c>
      <c r="R893" s="118">
        <f t="shared" si="1172"/>
        <v>53.410000000000011</v>
      </c>
      <c r="S893" s="118">
        <f t="shared" si="1172"/>
        <v>65.863000000000028</v>
      </c>
      <c r="T893" s="118">
        <f t="shared" si="1172"/>
        <v>107.41599999999991</v>
      </c>
      <c r="U893" s="401">
        <f t="shared" si="1172"/>
        <v>288.67899999999992</v>
      </c>
      <c r="V893" s="118">
        <f t="shared" si="1172"/>
        <v>73.361999999999995</v>
      </c>
      <c r="W893" s="118">
        <f t="shared" si="1172"/>
        <v>45.757000000000005</v>
      </c>
      <c r="X893" s="118">
        <f t="shared" si="1172"/>
        <v>66.900999999999954</v>
      </c>
      <c r="Y893" s="118">
        <f t="shared" si="1172"/>
        <v>129.88499999999999</v>
      </c>
      <c r="Z893" s="401">
        <f t="shared" si="1172"/>
        <v>315.90499999999997</v>
      </c>
      <c r="AA893" s="118">
        <f t="shared" si="1172"/>
        <v>66.029000000000025</v>
      </c>
      <c r="AB893" s="118">
        <f t="shared" si="1172"/>
        <v>50.433999999999976</v>
      </c>
      <c r="AC893" s="118">
        <f t="shared" si="1172"/>
        <v>62.588999999999999</v>
      </c>
      <c r="AD893" s="118">
        <f t="shared" si="1172"/>
        <v>156.60900000000001</v>
      </c>
      <c r="AE893" s="401">
        <f t="shared" si="1172"/>
        <v>335.66100000000006</v>
      </c>
      <c r="AF893" s="118">
        <f t="shared" si="1172"/>
        <v>68.539999999999992</v>
      </c>
      <c r="AG893" s="118">
        <f t="shared" si="1172"/>
        <v>65.37299999999999</v>
      </c>
      <c r="AH893" s="118">
        <f t="shared" si="1172"/>
        <v>105.93100000000003</v>
      </c>
      <c r="AI893" s="118">
        <f t="shared" si="1172"/>
        <v>159.41800000000001</v>
      </c>
      <c r="AJ893" s="401">
        <f t="shared" si="1172"/>
        <v>399.26199999999994</v>
      </c>
      <c r="AK893" s="118">
        <f t="shared" si="1172"/>
        <v>141.68299999999999</v>
      </c>
      <c r="AL893" s="118">
        <f t="shared" si="1172"/>
        <v>132.554</v>
      </c>
      <c r="AM893" s="118">
        <f t="shared" si="1172"/>
        <v>142.197</v>
      </c>
      <c r="AN893" s="118">
        <f t="shared" si="1172"/>
        <v>212.54199999999992</v>
      </c>
      <c r="AO893" s="401">
        <f t="shared" si="1172"/>
        <v>628.97600000000011</v>
      </c>
      <c r="AP893" s="118">
        <f t="shared" si="1172"/>
        <v>137.65399999999997</v>
      </c>
      <c r="AQ893" s="118">
        <f t="shared" si="1172"/>
        <v>224.32599999999996</v>
      </c>
      <c r="AR893" s="118">
        <f t="shared" si="1172"/>
        <v>270.51900000000006</v>
      </c>
      <c r="AS893" s="118">
        <f t="shared" si="1172"/>
        <v>370.16700000000009</v>
      </c>
      <c r="AT893" s="401">
        <f t="shared" si="1172"/>
        <v>1002.6660000000001</v>
      </c>
      <c r="AU893" s="118">
        <f t="shared" si="1172"/>
        <v>317.67799999999994</v>
      </c>
      <c r="AV893" s="118">
        <f t="shared" si="1172"/>
        <v>327.79100000000005</v>
      </c>
      <c r="AW893" s="118">
        <f t="shared" si="1172"/>
        <v>310.08099999999996</v>
      </c>
      <c r="AX893" s="118">
        <f t="shared" si="1172"/>
        <v>452.041</v>
      </c>
      <c r="AY893" s="401">
        <f t="shared" si="1172"/>
        <v>1407.5910000000001</v>
      </c>
      <c r="AZ893" s="118">
        <f t="shared" si="1172"/>
        <v>323.21299999999997</v>
      </c>
      <c r="BA893" s="118">
        <f t="shared" si="1172"/>
        <v>321.26</v>
      </c>
      <c r="BB893" s="118">
        <f t="shared" si="1172"/>
        <v>293.1149999999999</v>
      </c>
      <c r="BC893" s="118">
        <f t="shared" si="1172"/>
        <v>370.92399999999998</v>
      </c>
      <c r="BD893" s="401">
        <f t="shared" si="1172"/>
        <v>1308.5119999999999</v>
      </c>
      <c r="BE893" s="118">
        <f>BE873+BE879</f>
        <v>269.42100000000005</v>
      </c>
      <c r="BF893" s="118">
        <f>BF873+BF879</f>
        <v>298.75099999999998</v>
      </c>
      <c r="BG893" s="118">
        <f t="shared" ref="BG893:BV893" si="1173">BG873+BG879</f>
        <v>332.74099999999999</v>
      </c>
      <c r="BH893" s="118">
        <f t="shared" si="1173"/>
        <v>423.00900000000001</v>
      </c>
      <c r="BI893" s="401">
        <f t="shared" si="1173"/>
        <v>1323.9219999999996</v>
      </c>
      <c r="BJ893" s="971">
        <f>BJ873+BJ879</f>
        <v>381.76599999999996</v>
      </c>
      <c r="BK893" s="118">
        <f t="shared" si="1173"/>
        <v>217.94711312281584</v>
      </c>
      <c r="BL893" s="118">
        <f t="shared" ca="1" si="1173"/>
        <v>241.84178366077612</v>
      </c>
      <c r="BM893" s="118">
        <f t="shared" ca="1" si="1173"/>
        <v>372.29797493359666</v>
      </c>
      <c r="BN893" s="401">
        <f t="shared" ca="1" si="1173"/>
        <v>1213.8528717171887</v>
      </c>
      <c r="BO893" s="118">
        <f t="shared" ca="1" si="1173"/>
        <v>217.85384403841573</v>
      </c>
      <c r="BP893" s="118">
        <f t="shared" ca="1" si="1173"/>
        <v>203.79695667517331</v>
      </c>
      <c r="BQ893" s="118">
        <f t="shared" ca="1" si="1173"/>
        <v>255.13729891335191</v>
      </c>
      <c r="BR893" s="118">
        <f t="shared" ca="1" si="1173"/>
        <v>337.28748122560728</v>
      </c>
      <c r="BS893" s="401">
        <f t="shared" ca="1" si="1173"/>
        <v>1014.075580852548</v>
      </c>
      <c r="BT893" s="401">
        <f t="shared" ca="1" si="1173"/>
        <v>1104.5984077719891</v>
      </c>
      <c r="BU893" s="401">
        <f t="shared" ca="1" si="1173"/>
        <v>1247.0572325844842</v>
      </c>
      <c r="BV893" s="401">
        <f t="shared" ca="1" si="1173"/>
        <v>1391.7081581904442</v>
      </c>
      <c r="BW893" s="118"/>
    </row>
    <row r="894" spans="1:75" s="123" customFormat="1" hidden="1" outlineLevel="1" x14ac:dyDescent="0.5">
      <c r="A894" s="118" t="s">
        <v>1294</v>
      </c>
      <c r="B894" s="513"/>
      <c r="C894" s="401">
        <f t="shared" ref="C894:BD894" si="1174">C893+C883</f>
        <v>104.28800000000001</v>
      </c>
      <c r="D894" s="401">
        <f t="shared" si="1174"/>
        <v>240.39699999999991</v>
      </c>
      <c r="E894" s="401">
        <f t="shared" si="1174"/>
        <v>182.64399999999995</v>
      </c>
      <c r="F894" s="401">
        <f t="shared" si="1174"/>
        <v>101.68100000000003</v>
      </c>
      <c r="G894" s="118">
        <f t="shared" si="1174"/>
        <v>11.352000000000018</v>
      </c>
      <c r="H894" s="118">
        <f t="shared" si="1174"/>
        <v>7.5990000000000038</v>
      </c>
      <c r="I894" s="118">
        <f t="shared" si="1174"/>
        <v>18.475000000000037</v>
      </c>
      <c r="J894" s="118">
        <f t="shared" si="1174"/>
        <v>73.636999999999929</v>
      </c>
      <c r="K894" s="401">
        <f t="shared" si="1174"/>
        <v>111.06300000000003</v>
      </c>
      <c r="L894" s="118">
        <f t="shared" si="1174"/>
        <v>38.388000000000012</v>
      </c>
      <c r="M894" s="118">
        <f t="shared" si="1174"/>
        <v>16.239999999999995</v>
      </c>
      <c r="N894" s="118">
        <f t="shared" si="1174"/>
        <v>31.48400000000003</v>
      </c>
      <c r="O894" s="118">
        <f t="shared" si="1174"/>
        <v>77.818999999999974</v>
      </c>
      <c r="P894" s="401">
        <f t="shared" si="1174"/>
        <v>163.93100000000004</v>
      </c>
      <c r="Q894" s="118">
        <f t="shared" si="1174"/>
        <v>30.056000000000008</v>
      </c>
      <c r="R894" s="118">
        <f t="shared" si="1174"/>
        <v>21.300000000000011</v>
      </c>
      <c r="S894" s="118">
        <f t="shared" si="1174"/>
        <v>33.887000000000029</v>
      </c>
      <c r="T894" s="118">
        <f t="shared" si="1174"/>
        <v>75.799999999999912</v>
      </c>
      <c r="U894" s="401">
        <f t="shared" si="1174"/>
        <v>161.04299999999992</v>
      </c>
      <c r="V894" s="118">
        <f t="shared" si="1174"/>
        <v>38.938999999999993</v>
      </c>
      <c r="W894" s="118">
        <f t="shared" si="1174"/>
        <v>12.609000000000009</v>
      </c>
      <c r="X894" s="118">
        <f t="shared" si="1174"/>
        <v>33.617999999999952</v>
      </c>
      <c r="Y894" s="118">
        <f t="shared" si="1174"/>
        <v>97.2</v>
      </c>
      <c r="Z894" s="401">
        <f t="shared" si="1174"/>
        <v>182.36599999999999</v>
      </c>
      <c r="AA894" s="118">
        <f t="shared" si="1174"/>
        <v>31.840000000000025</v>
      </c>
      <c r="AB894" s="118">
        <f t="shared" si="1174"/>
        <v>16.425999999999974</v>
      </c>
      <c r="AC894" s="118">
        <f t="shared" si="1174"/>
        <v>28.858000000000004</v>
      </c>
      <c r="AD894" s="118">
        <f t="shared" si="1174"/>
        <v>123.52700000000002</v>
      </c>
      <c r="AE894" s="401">
        <f t="shared" si="1174"/>
        <v>200.65100000000007</v>
      </c>
      <c r="AF894" s="118">
        <f t="shared" si="1174"/>
        <v>34.458999999999989</v>
      </c>
      <c r="AG894" s="118">
        <f t="shared" si="1174"/>
        <v>29.12299999999999</v>
      </c>
      <c r="AH894" s="118">
        <f t="shared" si="1174"/>
        <v>70.608000000000033</v>
      </c>
      <c r="AI894" s="118">
        <f t="shared" si="1174"/>
        <v>124.74700000000001</v>
      </c>
      <c r="AJ894" s="401">
        <f t="shared" si="1174"/>
        <v>258.93699999999995</v>
      </c>
      <c r="AK894" s="118">
        <f t="shared" si="1174"/>
        <v>104.815</v>
      </c>
      <c r="AL894" s="118">
        <f t="shared" si="1174"/>
        <v>93.968999999999994</v>
      </c>
      <c r="AM894" s="118">
        <f t="shared" si="1174"/>
        <v>104.491</v>
      </c>
      <c r="AN894" s="118">
        <f t="shared" si="1174"/>
        <v>175.06099999999992</v>
      </c>
      <c r="AO894" s="401">
        <f t="shared" si="1174"/>
        <v>478.33600000000013</v>
      </c>
      <c r="AP894" s="118">
        <f t="shared" si="1174"/>
        <v>98.262999999999977</v>
      </c>
      <c r="AQ894" s="118">
        <f t="shared" si="1174"/>
        <v>184.44299999999996</v>
      </c>
      <c r="AR894" s="118">
        <f t="shared" si="1174"/>
        <v>233.03200000000007</v>
      </c>
      <c r="AS894" s="118">
        <f t="shared" si="1174"/>
        <v>329.28300000000007</v>
      </c>
      <c r="AT894" s="401">
        <f t="shared" si="1174"/>
        <v>845.02100000000007</v>
      </c>
      <c r="AU894" s="118">
        <f t="shared" si="1174"/>
        <v>272.10199999999992</v>
      </c>
      <c r="AV894" s="118">
        <f t="shared" si="1174"/>
        <v>282.29800000000006</v>
      </c>
      <c r="AW894" s="118">
        <f t="shared" si="1174"/>
        <v>265.94899999999996</v>
      </c>
      <c r="AX894" s="118">
        <f t="shared" si="1174"/>
        <v>399.70299999999997</v>
      </c>
      <c r="AY894" s="401">
        <f t="shared" si="1174"/>
        <v>1220.0520000000001</v>
      </c>
      <c r="AZ894" s="118">
        <f t="shared" si="1174"/>
        <v>265.06299999999999</v>
      </c>
      <c r="BA894" s="118">
        <f t="shared" si="1174"/>
        <v>266.73599999999999</v>
      </c>
      <c r="BB894" s="118">
        <f t="shared" si="1174"/>
        <v>240.53499999999991</v>
      </c>
      <c r="BC894" s="118">
        <f t="shared" si="1174"/>
        <v>318.83299999999997</v>
      </c>
      <c r="BD894" s="401">
        <f t="shared" si="1174"/>
        <v>1091.1669999999999</v>
      </c>
      <c r="BE894" s="118">
        <f>BE893+BE883</f>
        <v>211.34200000000004</v>
      </c>
      <c r="BF894" s="118">
        <f>BF893+BF883</f>
        <v>240.18699999999998</v>
      </c>
      <c r="BG894" s="118">
        <f t="shared" ref="BG894:BV894" si="1175">BG893+BG883</f>
        <v>274.81299999999999</v>
      </c>
      <c r="BH894" s="118">
        <f t="shared" si="1175"/>
        <v>365.10500000000002</v>
      </c>
      <c r="BI894" s="401">
        <f t="shared" si="1175"/>
        <v>1091.4469999999997</v>
      </c>
      <c r="BJ894" s="971">
        <f>BJ893+BJ883</f>
        <v>318.90399999999994</v>
      </c>
      <c r="BK894" s="118">
        <f t="shared" ca="1" si="1175"/>
        <v>145.24630312281585</v>
      </c>
      <c r="BL894" s="118">
        <f t="shared" ca="1" si="1175"/>
        <v>169.14097366077613</v>
      </c>
      <c r="BM894" s="118">
        <f t="shared" ca="1" si="1175"/>
        <v>299.59716493359667</v>
      </c>
      <c r="BN894" s="401">
        <f t="shared" ca="1" si="1175"/>
        <v>932.8884417171887</v>
      </c>
      <c r="BO894" s="118">
        <f t="shared" ca="1" si="1175"/>
        <v>145.15303403841574</v>
      </c>
      <c r="BP894" s="118">
        <f t="shared" ca="1" si="1175"/>
        <v>131.09614667517332</v>
      </c>
      <c r="BQ894" s="118">
        <f t="shared" ca="1" si="1175"/>
        <v>182.43648891335192</v>
      </c>
      <c r="BR894" s="118">
        <f t="shared" ca="1" si="1175"/>
        <v>264.58667122560729</v>
      </c>
      <c r="BS894" s="401">
        <f t="shared" ca="1" si="1175"/>
        <v>723.27234085254804</v>
      </c>
      <c r="BT894" s="401">
        <f t="shared" ca="1" si="1175"/>
        <v>813.7951677719891</v>
      </c>
      <c r="BU894" s="401">
        <f t="shared" ca="1" si="1175"/>
        <v>956.25399258448419</v>
      </c>
      <c r="BV894" s="401">
        <f t="shared" ca="1" si="1175"/>
        <v>1100.9049181904443</v>
      </c>
      <c r="BW894" s="118"/>
    </row>
    <row r="895" spans="1:75" s="123" customFormat="1" hidden="1" outlineLevel="1" x14ac:dyDescent="0.5">
      <c r="A895" s="118" t="s">
        <v>1295</v>
      </c>
      <c r="B895" s="513"/>
      <c r="C895" s="401">
        <f t="shared" ref="C895:BD895" si="1176">C894+C881+C882</f>
        <v>105.32100000000001</v>
      </c>
      <c r="D895" s="401">
        <f t="shared" si="1176"/>
        <v>251.21999999999991</v>
      </c>
      <c r="E895" s="401">
        <f t="shared" si="1176"/>
        <v>157.36199999999994</v>
      </c>
      <c r="F895" s="401">
        <f t="shared" si="1176"/>
        <v>101.68100000000003</v>
      </c>
      <c r="G895" s="118">
        <f t="shared" si="1176"/>
        <v>11.352000000000018</v>
      </c>
      <c r="H895" s="118">
        <f t="shared" si="1176"/>
        <v>7.5990000000000038</v>
      </c>
      <c r="I895" s="118">
        <f t="shared" si="1176"/>
        <v>18.475000000000037</v>
      </c>
      <c r="J895" s="118">
        <f t="shared" si="1176"/>
        <v>73.636999999999929</v>
      </c>
      <c r="K895" s="401">
        <f t="shared" si="1176"/>
        <v>111.06300000000003</v>
      </c>
      <c r="L895" s="118">
        <f t="shared" si="1176"/>
        <v>38.388000000000012</v>
      </c>
      <c r="M895" s="118">
        <f t="shared" si="1176"/>
        <v>16.239999999999995</v>
      </c>
      <c r="N895" s="118">
        <f t="shared" si="1176"/>
        <v>31.48400000000003</v>
      </c>
      <c r="O895" s="118">
        <f t="shared" si="1176"/>
        <v>77.818999999999974</v>
      </c>
      <c r="P895" s="401">
        <f t="shared" si="1176"/>
        <v>163.93100000000004</v>
      </c>
      <c r="Q895" s="118">
        <f t="shared" si="1176"/>
        <v>30.056000000000008</v>
      </c>
      <c r="R895" s="118">
        <f t="shared" si="1176"/>
        <v>21.300000000000011</v>
      </c>
      <c r="S895" s="118">
        <f t="shared" si="1176"/>
        <v>33.887000000000029</v>
      </c>
      <c r="T895" s="118">
        <f t="shared" si="1176"/>
        <v>75.799999999999912</v>
      </c>
      <c r="U895" s="401">
        <f t="shared" si="1176"/>
        <v>161.04299999999992</v>
      </c>
      <c r="V895" s="118">
        <f t="shared" si="1176"/>
        <v>38.938999999999993</v>
      </c>
      <c r="W895" s="118">
        <f t="shared" si="1176"/>
        <v>12.609000000000009</v>
      </c>
      <c r="X895" s="118">
        <f t="shared" si="1176"/>
        <v>33.617999999999952</v>
      </c>
      <c r="Y895" s="118">
        <f t="shared" si="1176"/>
        <v>97.2</v>
      </c>
      <c r="Z895" s="401">
        <f t="shared" si="1176"/>
        <v>182.36599999999999</v>
      </c>
      <c r="AA895" s="118">
        <f t="shared" si="1176"/>
        <v>31.840000000000025</v>
      </c>
      <c r="AB895" s="118">
        <f t="shared" si="1176"/>
        <v>16.425999999999974</v>
      </c>
      <c r="AC895" s="118">
        <f t="shared" si="1176"/>
        <v>28.858000000000004</v>
      </c>
      <c r="AD895" s="118">
        <f t="shared" si="1176"/>
        <v>42.999000000000009</v>
      </c>
      <c r="AE895" s="401">
        <f t="shared" si="1176"/>
        <v>120.12300000000006</v>
      </c>
      <c r="AF895" s="118">
        <f t="shared" si="1176"/>
        <v>34.458999999999989</v>
      </c>
      <c r="AG895" s="118">
        <f t="shared" si="1176"/>
        <v>29.12299999999999</v>
      </c>
      <c r="AH895" s="118">
        <f t="shared" si="1176"/>
        <v>70.608000000000033</v>
      </c>
      <c r="AI895" s="118">
        <f t="shared" si="1176"/>
        <v>124.74700000000001</v>
      </c>
      <c r="AJ895" s="401">
        <f t="shared" si="1176"/>
        <v>258.93699999999995</v>
      </c>
      <c r="AK895" s="118">
        <f t="shared" si="1176"/>
        <v>104.815</v>
      </c>
      <c r="AL895" s="118">
        <f t="shared" si="1176"/>
        <v>93.968999999999994</v>
      </c>
      <c r="AM895" s="118">
        <f t="shared" si="1176"/>
        <v>104.491</v>
      </c>
      <c r="AN895" s="118">
        <f t="shared" si="1176"/>
        <v>175.06099999999992</v>
      </c>
      <c r="AO895" s="401">
        <f t="shared" si="1176"/>
        <v>478.33600000000013</v>
      </c>
      <c r="AP895" s="118">
        <f t="shared" si="1176"/>
        <v>98.262999999999977</v>
      </c>
      <c r="AQ895" s="118">
        <f t="shared" si="1176"/>
        <v>184.44299999999996</v>
      </c>
      <c r="AR895" s="118">
        <f t="shared" si="1176"/>
        <v>233.03200000000007</v>
      </c>
      <c r="AS895" s="118">
        <f t="shared" si="1176"/>
        <v>329.28300000000007</v>
      </c>
      <c r="AT895" s="401">
        <f t="shared" si="1176"/>
        <v>845.02100000000007</v>
      </c>
      <c r="AU895" s="118">
        <f t="shared" si="1176"/>
        <v>272.10199999999992</v>
      </c>
      <c r="AV895" s="118">
        <f t="shared" si="1176"/>
        <v>282.29800000000006</v>
      </c>
      <c r="AW895" s="118">
        <f t="shared" si="1176"/>
        <v>265.94899999999996</v>
      </c>
      <c r="AX895" s="118">
        <f t="shared" si="1176"/>
        <v>399.70299999999997</v>
      </c>
      <c r="AY895" s="401">
        <f t="shared" si="1176"/>
        <v>1220.0520000000001</v>
      </c>
      <c r="AZ895" s="118">
        <f t="shared" si="1176"/>
        <v>265.06299999999999</v>
      </c>
      <c r="BA895" s="118">
        <f t="shared" si="1176"/>
        <v>266.73599999999999</v>
      </c>
      <c r="BB895" s="118">
        <f t="shared" si="1176"/>
        <v>240.53499999999991</v>
      </c>
      <c r="BC895" s="118">
        <f t="shared" si="1176"/>
        <v>318.83299999999997</v>
      </c>
      <c r="BD895" s="401">
        <f t="shared" si="1176"/>
        <v>1091.1669999999999</v>
      </c>
      <c r="BE895" s="118">
        <f>BE894+BE881+BE882</f>
        <v>211.34200000000004</v>
      </c>
      <c r="BF895" s="118">
        <f>BF894+BF881+BF882</f>
        <v>240.18699999999998</v>
      </c>
      <c r="BG895" s="118">
        <f t="shared" ref="BG895:BV895" si="1177">BG894+BG881+BG882</f>
        <v>274.81299999999999</v>
      </c>
      <c r="BH895" s="118">
        <f t="shared" si="1177"/>
        <v>365.10500000000002</v>
      </c>
      <c r="BI895" s="401">
        <f t="shared" si="1177"/>
        <v>1091.4469999999997</v>
      </c>
      <c r="BJ895" s="971">
        <f>BJ894+BJ881+BJ882</f>
        <v>318.90399999999994</v>
      </c>
      <c r="BK895" s="118">
        <f t="shared" ca="1" si="1177"/>
        <v>145.24630312281585</v>
      </c>
      <c r="BL895" s="118">
        <f t="shared" ca="1" si="1177"/>
        <v>169.14097366077613</v>
      </c>
      <c r="BM895" s="118">
        <f t="shared" ca="1" si="1177"/>
        <v>299.59716493359667</v>
      </c>
      <c r="BN895" s="401">
        <f t="shared" ca="1" si="1177"/>
        <v>932.8884417171887</v>
      </c>
      <c r="BO895" s="118">
        <f t="shared" ca="1" si="1177"/>
        <v>145.15303403841574</v>
      </c>
      <c r="BP895" s="118">
        <f t="shared" ca="1" si="1177"/>
        <v>131.09614667517332</v>
      </c>
      <c r="BQ895" s="118">
        <f t="shared" ca="1" si="1177"/>
        <v>182.43648891335192</v>
      </c>
      <c r="BR895" s="118">
        <f t="shared" ca="1" si="1177"/>
        <v>264.58667122560729</v>
      </c>
      <c r="BS895" s="401">
        <f t="shared" ca="1" si="1177"/>
        <v>723.27234085254804</v>
      </c>
      <c r="BT895" s="401">
        <f t="shared" ca="1" si="1177"/>
        <v>813.7951677719891</v>
      </c>
      <c r="BU895" s="401">
        <f t="shared" ca="1" si="1177"/>
        <v>956.25399258448419</v>
      </c>
      <c r="BV895" s="401">
        <f t="shared" ca="1" si="1177"/>
        <v>1100.9049181904443</v>
      </c>
      <c r="BW895" s="118"/>
    </row>
    <row r="896" spans="1:75" s="123" customFormat="1" hidden="1" outlineLevel="1" x14ac:dyDescent="0.5">
      <c r="A896" s="295" t="s">
        <v>1296</v>
      </c>
      <c r="B896" s="522"/>
      <c r="C896" s="397">
        <f t="shared" ref="C896:BD896" si="1178">C895+C886+C887</f>
        <v>100.99000000000001</v>
      </c>
      <c r="D896" s="397">
        <f t="shared" si="1178"/>
        <v>133.68999999999994</v>
      </c>
      <c r="E896" s="397">
        <f t="shared" si="1178"/>
        <v>-32.714000000000084</v>
      </c>
      <c r="F896" s="397">
        <f t="shared" si="1178"/>
        <v>-46.512</v>
      </c>
      <c r="G896" s="295">
        <f t="shared" si="1178"/>
        <v>-31.41999999999998</v>
      </c>
      <c r="H896" s="295">
        <f t="shared" si="1178"/>
        <v>-81.74799999999999</v>
      </c>
      <c r="I896" s="295">
        <f t="shared" si="1178"/>
        <v>-68.494999999999962</v>
      </c>
      <c r="J896" s="295">
        <f t="shared" si="1178"/>
        <v>48.988999999999933</v>
      </c>
      <c r="K896" s="397">
        <f t="shared" si="1178"/>
        <v>-132.67399999999998</v>
      </c>
      <c r="L896" s="295">
        <f t="shared" si="1178"/>
        <v>-37.28299999999998</v>
      </c>
      <c r="M896" s="295">
        <f t="shared" si="1178"/>
        <v>-44.980000000000004</v>
      </c>
      <c r="N896" s="295">
        <f t="shared" si="1178"/>
        <v>35.834000000000032</v>
      </c>
      <c r="O896" s="295">
        <f t="shared" si="1178"/>
        <v>-42.142000000000024</v>
      </c>
      <c r="P896" s="397">
        <f t="shared" si="1178"/>
        <v>-88.570999999999941</v>
      </c>
      <c r="Q896" s="295">
        <f t="shared" si="1178"/>
        <v>26.320000000000022</v>
      </c>
      <c r="R896" s="295">
        <f t="shared" si="1178"/>
        <v>35.346999999999994</v>
      </c>
      <c r="S896" s="295">
        <f t="shared" si="1178"/>
        <v>11.02200000000002</v>
      </c>
      <c r="T896" s="295">
        <f t="shared" si="1178"/>
        <v>-153.2580000000001</v>
      </c>
      <c r="U896" s="397">
        <f t="shared" si="1178"/>
        <v>-80.569000000000102</v>
      </c>
      <c r="V896" s="295">
        <f t="shared" si="1178"/>
        <v>80.214999999999975</v>
      </c>
      <c r="W896" s="295">
        <f t="shared" si="1178"/>
        <v>1.791000000000011</v>
      </c>
      <c r="X896" s="295">
        <f t="shared" si="1178"/>
        <v>-7.1760000000000446</v>
      </c>
      <c r="Y896" s="295">
        <f t="shared" si="1178"/>
        <v>-64.371999999999986</v>
      </c>
      <c r="Z896" s="397">
        <f t="shared" si="1178"/>
        <v>10.457999999999998</v>
      </c>
      <c r="AA896" s="295">
        <f t="shared" si="1178"/>
        <v>24.710000000000029</v>
      </c>
      <c r="AB896" s="295">
        <f t="shared" si="1178"/>
        <v>31.077999999999967</v>
      </c>
      <c r="AC896" s="295">
        <f t="shared" si="1178"/>
        <v>22.179000000000009</v>
      </c>
      <c r="AD896" s="295">
        <f t="shared" si="1178"/>
        <v>126.65599999999999</v>
      </c>
      <c r="AE896" s="397">
        <f t="shared" si="1178"/>
        <v>204.62300000000008</v>
      </c>
      <c r="AF896" s="295">
        <f t="shared" si="1178"/>
        <v>-10.692000000000014</v>
      </c>
      <c r="AG896" s="295">
        <f t="shared" si="1178"/>
        <v>-112.87900000000002</v>
      </c>
      <c r="AH896" s="295">
        <f t="shared" si="1178"/>
        <v>83.634000000000043</v>
      </c>
      <c r="AI896" s="295">
        <f t="shared" si="1178"/>
        <v>-10.866999999999962</v>
      </c>
      <c r="AJ896" s="397">
        <f t="shared" si="1178"/>
        <v>-50.80400000000003</v>
      </c>
      <c r="AK896" s="295">
        <f t="shared" si="1178"/>
        <v>45.561</v>
      </c>
      <c r="AL896" s="295">
        <f t="shared" si="1178"/>
        <v>115.20499999999998</v>
      </c>
      <c r="AM896" s="295">
        <f t="shared" si="1178"/>
        <v>103.17199999999998</v>
      </c>
      <c r="AN896" s="295">
        <f t="shared" si="1178"/>
        <v>37.811999999999919</v>
      </c>
      <c r="AO896" s="397">
        <f t="shared" si="1178"/>
        <v>301.75000000000011</v>
      </c>
      <c r="AP896" s="295">
        <f t="shared" si="1178"/>
        <v>557.17399999999998</v>
      </c>
      <c r="AQ896" s="295">
        <f t="shared" si="1178"/>
        <v>182.71599999999995</v>
      </c>
      <c r="AR896" s="295">
        <f t="shared" si="1178"/>
        <v>-367.4</v>
      </c>
      <c r="AS896" s="295">
        <f t="shared" si="1178"/>
        <v>287.1570000000001</v>
      </c>
      <c r="AT896" s="397">
        <f t="shared" si="1178"/>
        <v>659.64700000000016</v>
      </c>
      <c r="AU896" s="295">
        <f t="shared" si="1178"/>
        <v>-441.8780000000001</v>
      </c>
      <c r="AV896" s="295">
        <f t="shared" si="1178"/>
        <v>144.73000000000008</v>
      </c>
      <c r="AW896" s="295">
        <f t="shared" si="1178"/>
        <v>61.538999999999987</v>
      </c>
      <c r="AX896" s="295">
        <f t="shared" si="1178"/>
        <v>151.21499999999997</v>
      </c>
      <c r="AY896" s="397">
        <f t="shared" si="1178"/>
        <v>-84.393999999999892</v>
      </c>
      <c r="AZ896" s="295">
        <f t="shared" si="1178"/>
        <v>-314.52</v>
      </c>
      <c r="BA896" s="295">
        <f t="shared" si="1178"/>
        <v>0.62000000000000455</v>
      </c>
      <c r="BB896" s="295">
        <f t="shared" si="1178"/>
        <v>164.84799999999984</v>
      </c>
      <c r="BC896" s="295">
        <f t="shared" si="1178"/>
        <v>278.89099999999996</v>
      </c>
      <c r="BD896" s="397">
        <f t="shared" si="1178"/>
        <v>129.83899999999994</v>
      </c>
      <c r="BE896" s="295">
        <f>BE895+BE886+BE887</f>
        <v>-93.005999999999972</v>
      </c>
      <c r="BF896" s="295">
        <f>BF895+BF886+BF887</f>
        <v>184.58499999999998</v>
      </c>
      <c r="BG896" s="295">
        <f t="shared" ref="BG896:BV896" si="1179">BG895+BG886+BG887</f>
        <v>270.654</v>
      </c>
      <c r="BH896" s="295">
        <f t="shared" si="1179"/>
        <v>363.38200000000001</v>
      </c>
      <c r="BI896" s="397">
        <f t="shared" si="1179"/>
        <v>725.61499999999967</v>
      </c>
      <c r="BJ896" s="1030">
        <f>BJ895+BJ886+BJ887</f>
        <v>188.11499999999995</v>
      </c>
      <c r="BK896" s="295">
        <f t="shared" ca="1" si="1179"/>
        <v>145.24630312281585</v>
      </c>
      <c r="BL896" s="295">
        <f t="shared" ca="1" si="1179"/>
        <v>169.14097366077613</v>
      </c>
      <c r="BM896" s="295">
        <f t="shared" ca="1" si="1179"/>
        <v>299.59716493359667</v>
      </c>
      <c r="BN896" s="397">
        <f t="shared" ca="1" si="1179"/>
        <v>802.09944171718871</v>
      </c>
      <c r="BO896" s="295">
        <f t="shared" ca="1" si="1179"/>
        <v>145.15303403841574</v>
      </c>
      <c r="BP896" s="295">
        <f t="shared" ca="1" si="1179"/>
        <v>131.09614667517332</v>
      </c>
      <c r="BQ896" s="295">
        <f t="shared" ca="1" si="1179"/>
        <v>182.43648891335192</v>
      </c>
      <c r="BR896" s="295">
        <f t="shared" ca="1" si="1179"/>
        <v>264.58667122560729</v>
      </c>
      <c r="BS896" s="397">
        <f t="shared" ca="1" si="1179"/>
        <v>723.27234085254804</v>
      </c>
      <c r="BT896" s="397">
        <f t="shared" ca="1" si="1179"/>
        <v>813.7951677719891</v>
      </c>
      <c r="BU896" s="397">
        <f t="shared" ca="1" si="1179"/>
        <v>956.25399258448419</v>
      </c>
      <c r="BV896" s="397">
        <f t="shared" ca="1" si="1179"/>
        <v>1100.9049181904443</v>
      </c>
      <c r="BW896" s="118"/>
    </row>
    <row r="897" spans="1:75" s="123" customFormat="1" collapsed="1" x14ac:dyDescent="0.5">
      <c r="A897" s="118" t="s">
        <v>1297</v>
      </c>
      <c r="B897" s="513"/>
      <c r="C897" s="401">
        <f t="shared" ref="C897:BD897" si="1180">C875+C879</f>
        <v>418.45499999999993</v>
      </c>
      <c r="D897" s="401">
        <f t="shared" si="1180"/>
        <v>294.08299999999986</v>
      </c>
      <c r="E897" s="401">
        <f t="shared" si="1180"/>
        <v>160.98099999999994</v>
      </c>
      <c r="F897" s="401">
        <f t="shared" si="1180"/>
        <v>158.72299999999996</v>
      </c>
      <c r="G897" s="118">
        <f t="shared" si="1180"/>
        <v>-107.26599999999998</v>
      </c>
      <c r="H897" s="118">
        <f t="shared" si="1180"/>
        <v>73.551999999999978</v>
      </c>
      <c r="I897" s="118">
        <f t="shared" si="1180"/>
        <v>37.153000000000119</v>
      </c>
      <c r="J897" s="118">
        <f t="shared" si="1180"/>
        <v>256.37699999999984</v>
      </c>
      <c r="K897" s="401">
        <f t="shared" si="1180"/>
        <v>259.81600000000003</v>
      </c>
      <c r="L897" s="118">
        <f t="shared" si="1180"/>
        <v>-108.44800000000001</v>
      </c>
      <c r="M897" s="118">
        <f t="shared" si="1180"/>
        <v>35.145999999999987</v>
      </c>
      <c r="N897" s="118">
        <f t="shared" si="1180"/>
        <v>63.433000000000021</v>
      </c>
      <c r="O897" s="118">
        <f t="shared" si="1180"/>
        <v>266.76599999999996</v>
      </c>
      <c r="P897" s="401">
        <f t="shared" si="1180"/>
        <v>256.89700000000005</v>
      </c>
      <c r="Q897" s="118">
        <f t="shared" si="1180"/>
        <v>-107.455</v>
      </c>
      <c r="R897" s="118">
        <f t="shared" si="1180"/>
        <v>57.41100000000003</v>
      </c>
      <c r="S897" s="118">
        <f t="shared" si="1180"/>
        <v>7.0200000000000173</v>
      </c>
      <c r="T897" s="118">
        <f t="shared" si="1180"/>
        <v>384.1149999999999</v>
      </c>
      <c r="U897" s="401">
        <f t="shared" si="1180"/>
        <v>341.09099999999995</v>
      </c>
      <c r="V897" s="118">
        <f t="shared" si="1180"/>
        <v>-100.809</v>
      </c>
      <c r="W897" s="118">
        <f t="shared" si="1180"/>
        <v>56.379999999999995</v>
      </c>
      <c r="X897" s="118">
        <f t="shared" si="1180"/>
        <v>39.723999999999975</v>
      </c>
      <c r="Y897" s="118">
        <f t="shared" si="1180"/>
        <v>331.99999999999994</v>
      </c>
      <c r="Z897" s="401">
        <f t="shared" si="1180"/>
        <v>327.29499999999996</v>
      </c>
      <c r="AA897" s="118">
        <f t="shared" si="1180"/>
        <v>-78.528999999999982</v>
      </c>
      <c r="AB897" s="118">
        <f t="shared" si="1180"/>
        <v>30.936999999999962</v>
      </c>
      <c r="AC897" s="118">
        <f t="shared" si="1180"/>
        <v>24.700999999999993</v>
      </c>
      <c r="AD897" s="118">
        <f t="shared" si="1180"/>
        <v>332.88300000000004</v>
      </c>
      <c r="AE897" s="401">
        <f t="shared" si="1180"/>
        <v>309.99200000000002</v>
      </c>
      <c r="AF897" s="118">
        <f t="shared" si="1180"/>
        <v>-23.259999999999998</v>
      </c>
      <c r="AG897" s="118">
        <f t="shared" si="1180"/>
        <v>63.361999999999988</v>
      </c>
      <c r="AH897" s="118">
        <f t="shared" si="1180"/>
        <v>11.073000000000008</v>
      </c>
      <c r="AI897" s="118">
        <f t="shared" si="1180"/>
        <v>344.70899999999995</v>
      </c>
      <c r="AJ897" s="401">
        <f t="shared" si="1180"/>
        <v>395.88400000000001</v>
      </c>
      <c r="AK897" s="118">
        <f t="shared" si="1180"/>
        <v>-134.22800000000001</v>
      </c>
      <c r="AL897" s="118">
        <f t="shared" si="1180"/>
        <v>30.403000000000027</v>
      </c>
      <c r="AM897" s="118">
        <f t="shared" si="1180"/>
        <v>72.620999999999995</v>
      </c>
      <c r="AN897" s="118">
        <f t="shared" si="1180"/>
        <v>452.22199999999981</v>
      </c>
      <c r="AO897" s="401">
        <f t="shared" si="1180"/>
        <v>421.0180000000002</v>
      </c>
      <c r="AP897" s="118">
        <f t="shared" si="1180"/>
        <v>11.551999999999978</v>
      </c>
      <c r="AQ897" s="118">
        <f t="shared" si="1180"/>
        <v>128.72499999999997</v>
      </c>
      <c r="AR897" s="118">
        <f t="shared" si="1180"/>
        <v>461.46600000000018</v>
      </c>
      <c r="AS897" s="118">
        <f t="shared" si="1180"/>
        <v>503.59200000000004</v>
      </c>
      <c r="AT897" s="401">
        <f t="shared" si="1180"/>
        <v>1105.3350000000003</v>
      </c>
      <c r="AU897" s="118">
        <f t="shared" si="1180"/>
        <v>196.52099999999996</v>
      </c>
      <c r="AV897" s="118">
        <f t="shared" si="1180"/>
        <v>200.86600000000004</v>
      </c>
      <c r="AW897" s="118">
        <f t="shared" si="1180"/>
        <v>249.94199999999995</v>
      </c>
      <c r="AX897" s="118">
        <f t="shared" si="1180"/>
        <v>497.30099999999999</v>
      </c>
      <c r="AY897" s="401">
        <f t="shared" si="1180"/>
        <v>1144.6300000000001</v>
      </c>
      <c r="AZ897" s="118">
        <f t="shared" si="1180"/>
        <v>113.33299999999997</v>
      </c>
      <c r="BA897" s="118">
        <f t="shared" si="1180"/>
        <v>121.71100000000004</v>
      </c>
      <c r="BB897" s="118">
        <f t="shared" si="1180"/>
        <v>119.10299999999998</v>
      </c>
      <c r="BC897" s="118">
        <f t="shared" si="1180"/>
        <v>344.55799999999994</v>
      </c>
      <c r="BD897" s="401">
        <f t="shared" si="1180"/>
        <v>698.70499999999993</v>
      </c>
      <c r="BE897" s="118">
        <f>BE875+BE879</f>
        <v>292.49700000000007</v>
      </c>
      <c r="BF897" s="118">
        <f>BF875+BF879</f>
        <v>329.60799999999995</v>
      </c>
      <c r="BG897" s="118">
        <f t="shared" ref="BG897:BV897" si="1181">BG875+BG879</f>
        <v>248.47799999999992</v>
      </c>
      <c r="BH897" s="118">
        <f t="shared" si="1181"/>
        <v>621.2320000000002</v>
      </c>
      <c r="BI897" s="401">
        <f t="shared" si="1181"/>
        <v>1491.8149999999996</v>
      </c>
      <c r="BJ897" s="971">
        <f>BJ875+BJ879</f>
        <v>187.27499999999995</v>
      </c>
      <c r="BK897" s="118">
        <f t="shared" si="1181"/>
        <v>108.46400433271867</v>
      </c>
      <c r="BL897" s="118">
        <f t="shared" ca="1" si="1181"/>
        <v>290.10128120022068</v>
      </c>
      <c r="BM897" s="118">
        <f t="shared" ca="1" si="1181"/>
        <v>594.63613302187355</v>
      </c>
      <c r="BN897" s="401">
        <f t="shared" ca="1" si="1181"/>
        <v>1180.4764185548129</v>
      </c>
      <c r="BO897" s="118">
        <f t="shared" ca="1" si="1181"/>
        <v>53.98935100072589</v>
      </c>
      <c r="BP897" s="118">
        <f t="shared" ca="1" si="1181"/>
        <v>88.954148109428161</v>
      </c>
      <c r="BQ897" s="118">
        <f t="shared" ca="1" si="1181"/>
        <v>302.27037904889414</v>
      </c>
      <c r="BR897" s="118">
        <f t="shared" ca="1" si="1181"/>
        <v>569.29352426190508</v>
      </c>
      <c r="BS897" s="401">
        <f t="shared" ca="1" si="1181"/>
        <v>1014.507402420953</v>
      </c>
      <c r="BT897" s="401">
        <f t="shared" ca="1" si="1181"/>
        <v>1105.7441512196199</v>
      </c>
      <c r="BU897" s="401">
        <f t="shared" ca="1" si="1181"/>
        <v>1248.4121071963541</v>
      </c>
      <c r="BV897" s="401">
        <f t="shared" ca="1" si="1181"/>
        <v>1393.163398340957</v>
      </c>
      <c r="BW897" s="118"/>
    </row>
    <row r="898" spans="1:75" s="123" customFormat="1" x14ac:dyDescent="0.5">
      <c r="A898" s="118" t="s">
        <v>1298</v>
      </c>
      <c r="B898" s="513"/>
      <c r="C898" s="401">
        <f t="shared" ref="C898:BD898" si="1182">C897+C883</f>
        <v>367.32299999999992</v>
      </c>
      <c r="D898" s="401">
        <f t="shared" si="1182"/>
        <v>234.92299999999986</v>
      </c>
      <c r="E898" s="401">
        <f t="shared" si="1182"/>
        <v>92.103999999999942</v>
      </c>
      <c r="F898" s="401">
        <f t="shared" si="1182"/>
        <v>70.875999999999962</v>
      </c>
      <c r="G898" s="118">
        <f t="shared" si="1182"/>
        <v>-129.25099999999998</v>
      </c>
      <c r="H898" s="118">
        <f t="shared" si="1182"/>
        <v>43.34099999999998</v>
      </c>
      <c r="I898" s="118">
        <f t="shared" si="1182"/>
        <v>7.3190000000001163</v>
      </c>
      <c r="J898" s="118">
        <f t="shared" si="1182"/>
        <v>226.82599999999985</v>
      </c>
      <c r="K898" s="401">
        <f t="shared" si="1182"/>
        <v>148.23500000000001</v>
      </c>
      <c r="L898" s="118">
        <f t="shared" si="1182"/>
        <v>-141.339</v>
      </c>
      <c r="M898" s="118">
        <f t="shared" si="1182"/>
        <v>4.0409999999999826</v>
      </c>
      <c r="N898" s="118">
        <f t="shared" si="1182"/>
        <v>32.162000000000027</v>
      </c>
      <c r="O898" s="118">
        <f t="shared" si="1182"/>
        <v>236.27499999999998</v>
      </c>
      <c r="P898" s="401">
        <f t="shared" si="1182"/>
        <v>131.13900000000007</v>
      </c>
      <c r="Q898" s="118">
        <f t="shared" si="1182"/>
        <v>-139.38900000000001</v>
      </c>
      <c r="R898" s="118">
        <f t="shared" si="1182"/>
        <v>25.30100000000003</v>
      </c>
      <c r="S898" s="118">
        <f t="shared" si="1182"/>
        <v>-24.955999999999982</v>
      </c>
      <c r="T898" s="118">
        <f t="shared" si="1182"/>
        <v>352.49899999999991</v>
      </c>
      <c r="U898" s="401">
        <f t="shared" si="1182"/>
        <v>213.45499999999996</v>
      </c>
      <c r="V898" s="118">
        <f t="shared" si="1182"/>
        <v>-135.232</v>
      </c>
      <c r="W898" s="118">
        <f t="shared" si="1182"/>
        <v>23.231999999999999</v>
      </c>
      <c r="X898" s="118">
        <f t="shared" si="1182"/>
        <v>6.4409999999999741</v>
      </c>
      <c r="Y898" s="118">
        <f t="shared" si="1182"/>
        <v>299.31499999999994</v>
      </c>
      <c r="Z898" s="401">
        <f t="shared" si="1182"/>
        <v>193.75599999999997</v>
      </c>
      <c r="AA898" s="118">
        <f t="shared" si="1182"/>
        <v>-112.71799999999999</v>
      </c>
      <c r="AB898" s="118">
        <f t="shared" si="1182"/>
        <v>-3.0710000000000406</v>
      </c>
      <c r="AC898" s="118">
        <f t="shared" si="1182"/>
        <v>-9.0300000000000011</v>
      </c>
      <c r="AD898" s="118">
        <f t="shared" si="1182"/>
        <v>299.80100000000004</v>
      </c>
      <c r="AE898" s="401">
        <f t="shared" si="1182"/>
        <v>174.98200000000003</v>
      </c>
      <c r="AF898" s="118">
        <f t="shared" si="1182"/>
        <v>-57.341000000000001</v>
      </c>
      <c r="AG898" s="118">
        <f t="shared" si="1182"/>
        <v>27.111999999999988</v>
      </c>
      <c r="AH898" s="118">
        <f t="shared" si="1182"/>
        <v>-24.249999999999986</v>
      </c>
      <c r="AI898" s="118">
        <f t="shared" si="1182"/>
        <v>310.03799999999995</v>
      </c>
      <c r="AJ898" s="401">
        <f t="shared" si="1182"/>
        <v>255.55900000000003</v>
      </c>
      <c r="AK898" s="118">
        <f t="shared" si="1182"/>
        <v>-171.096</v>
      </c>
      <c r="AL898" s="118">
        <f t="shared" si="1182"/>
        <v>-8.1819999999999737</v>
      </c>
      <c r="AM898" s="118">
        <f t="shared" si="1182"/>
        <v>34.914999999999992</v>
      </c>
      <c r="AN898" s="118">
        <f t="shared" si="1182"/>
        <v>414.74099999999981</v>
      </c>
      <c r="AO898" s="401">
        <f t="shared" si="1182"/>
        <v>270.37800000000021</v>
      </c>
      <c r="AP898" s="118">
        <f t="shared" si="1182"/>
        <v>-27.83900000000002</v>
      </c>
      <c r="AQ898" s="118">
        <f t="shared" si="1182"/>
        <v>88.841999999999956</v>
      </c>
      <c r="AR898" s="118">
        <f t="shared" si="1182"/>
        <v>423.97900000000016</v>
      </c>
      <c r="AS898" s="118">
        <f t="shared" si="1182"/>
        <v>462.70800000000003</v>
      </c>
      <c r="AT898" s="401">
        <f t="shared" si="1182"/>
        <v>947.69000000000028</v>
      </c>
      <c r="AU898" s="118">
        <f t="shared" si="1182"/>
        <v>150.94499999999996</v>
      </c>
      <c r="AV898" s="118">
        <f t="shared" si="1182"/>
        <v>155.37300000000005</v>
      </c>
      <c r="AW898" s="118">
        <f t="shared" si="1182"/>
        <v>205.80999999999995</v>
      </c>
      <c r="AX898" s="118">
        <f t="shared" si="1182"/>
        <v>444.96299999999997</v>
      </c>
      <c r="AY898" s="401">
        <f t="shared" si="1182"/>
        <v>957.09100000000012</v>
      </c>
      <c r="AZ898" s="118">
        <f t="shared" si="1182"/>
        <v>55.182999999999971</v>
      </c>
      <c r="BA898" s="118">
        <f t="shared" si="1182"/>
        <v>67.18700000000004</v>
      </c>
      <c r="BB898" s="118">
        <f t="shared" si="1182"/>
        <v>66.522999999999996</v>
      </c>
      <c r="BC898" s="118">
        <f t="shared" si="1182"/>
        <v>292.46699999999993</v>
      </c>
      <c r="BD898" s="401">
        <f t="shared" si="1182"/>
        <v>481.3599999999999</v>
      </c>
      <c r="BE898" s="118">
        <f>BE897+BE883</f>
        <v>234.41800000000006</v>
      </c>
      <c r="BF898" s="118">
        <f>BF897+BF883</f>
        <v>271.04399999999993</v>
      </c>
      <c r="BG898" s="118">
        <f t="shared" ref="BG898:BV898" si="1183">BG897+BG883</f>
        <v>190.54999999999993</v>
      </c>
      <c r="BH898" s="118">
        <f t="shared" si="1183"/>
        <v>563.3280000000002</v>
      </c>
      <c r="BI898" s="401">
        <f t="shared" si="1183"/>
        <v>1259.3399999999997</v>
      </c>
      <c r="BJ898" s="971">
        <f>BJ897+BJ883</f>
        <v>124.41299999999995</v>
      </c>
      <c r="BK898" s="118">
        <f t="shared" ca="1" si="1183"/>
        <v>35.763194332718683</v>
      </c>
      <c r="BL898" s="118">
        <f t="shared" ca="1" si="1183"/>
        <v>217.40047120022069</v>
      </c>
      <c r="BM898" s="118">
        <f t="shared" ca="1" si="1183"/>
        <v>521.9353230218735</v>
      </c>
      <c r="BN898" s="401">
        <f t="shared" ca="1" si="1183"/>
        <v>899.51198855481289</v>
      </c>
      <c r="BO898" s="118">
        <f t="shared" ca="1" si="1183"/>
        <v>-18.7114589992741</v>
      </c>
      <c r="BP898" s="118">
        <f t="shared" ca="1" si="1183"/>
        <v>16.253338109428171</v>
      </c>
      <c r="BQ898" s="118">
        <f t="shared" ca="1" si="1183"/>
        <v>229.56956904889415</v>
      </c>
      <c r="BR898" s="118">
        <f t="shared" ca="1" si="1183"/>
        <v>496.59271426190509</v>
      </c>
      <c r="BS898" s="401">
        <f t="shared" ca="1" si="1183"/>
        <v>723.70416242095303</v>
      </c>
      <c r="BT898" s="401">
        <f t="shared" ca="1" si="1183"/>
        <v>814.94091121961992</v>
      </c>
      <c r="BU898" s="401">
        <f t="shared" ca="1" si="1183"/>
        <v>957.60886719635414</v>
      </c>
      <c r="BV898" s="401">
        <f t="shared" ca="1" si="1183"/>
        <v>1102.360158340957</v>
      </c>
      <c r="BW898" s="118"/>
    </row>
    <row r="899" spans="1:75" s="123" customFormat="1" x14ac:dyDescent="0.5">
      <c r="A899" s="118" t="s">
        <v>1299</v>
      </c>
      <c r="B899" s="513"/>
      <c r="C899" s="401">
        <f t="shared" ref="C899:BD899" si="1184">C898+C881+C882</f>
        <v>368.35599999999994</v>
      </c>
      <c r="D899" s="401">
        <f t="shared" si="1184"/>
        <v>245.74599999999987</v>
      </c>
      <c r="E899" s="401">
        <f t="shared" si="1184"/>
        <v>66.821999999999946</v>
      </c>
      <c r="F899" s="401">
        <f t="shared" si="1184"/>
        <v>70.875999999999962</v>
      </c>
      <c r="G899" s="118">
        <f t="shared" si="1184"/>
        <v>-129.25099999999998</v>
      </c>
      <c r="H899" s="118">
        <f t="shared" si="1184"/>
        <v>43.34099999999998</v>
      </c>
      <c r="I899" s="118">
        <f t="shared" si="1184"/>
        <v>7.3190000000001163</v>
      </c>
      <c r="J899" s="118">
        <f t="shared" si="1184"/>
        <v>226.82599999999985</v>
      </c>
      <c r="K899" s="401">
        <f t="shared" si="1184"/>
        <v>148.23500000000001</v>
      </c>
      <c r="L899" s="118">
        <f t="shared" si="1184"/>
        <v>-141.339</v>
      </c>
      <c r="M899" s="118">
        <f t="shared" si="1184"/>
        <v>4.0409999999999826</v>
      </c>
      <c r="N899" s="118">
        <f t="shared" si="1184"/>
        <v>32.162000000000027</v>
      </c>
      <c r="O899" s="118">
        <f t="shared" si="1184"/>
        <v>236.27499999999998</v>
      </c>
      <c r="P899" s="401">
        <f t="shared" si="1184"/>
        <v>131.13900000000007</v>
      </c>
      <c r="Q899" s="118">
        <f t="shared" si="1184"/>
        <v>-139.38900000000001</v>
      </c>
      <c r="R899" s="118">
        <f t="shared" si="1184"/>
        <v>25.30100000000003</v>
      </c>
      <c r="S899" s="118">
        <f t="shared" si="1184"/>
        <v>-24.955999999999982</v>
      </c>
      <c r="T899" s="118">
        <f t="shared" si="1184"/>
        <v>352.49899999999991</v>
      </c>
      <c r="U899" s="401">
        <f t="shared" si="1184"/>
        <v>213.45499999999996</v>
      </c>
      <c r="V899" s="118">
        <f t="shared" si="1184"/>
        <v>-135.232</v>
      </c>
      <c r="W899" s="118">
        <f t="shared" si="1184"/>
        <v>23.231999999999999</v>
      </c>
      <c r="X899" s="118">
        <f t="shared" si="1184"/>
        <v>6.4409999999999741</v>
      </c>
      <c r="Y899" s="118">
        <f t="shared" si="1184"/>
        <v>299.31499999999994</v>
      </c>
      <c r="Z899" s="401">
        <f t="shared" si="1184"/>
        <v>193.75599999999997</v>
      </c>
      <c r="AA899" s="118">
        <f t="shared" si="1184"/>
        <v>-112.71799999999999</v>
      </c>
      <c r="AB899" s="118">
        <f t="shared" si="1184"/>
        <v>-3.0710000000000406</v>
      </c>
      <c r="AC899" s="118">
        <f t="shared" si="1184"/>
        <v>-9.0300000000000011</v>
      </c>
      <c r="AD899" s="118">
        <f t="shared" si="1184"/>
        <v>219.27300000000002</v>
      </c>
      <c r="AE899" s="401">
        <f t="shared" si="1184"/>
        <v>94.454000000000022</v>
      </c>
      <c r="AF899" s="118">
        <f t="shared" si="1184"/>
        <v>-57.341000000000001</v>
      </c>
      <c r="AG899" s="118">
        <f t="shared" si="1184"/>
        <v>27.111999999999988</v>
      </c>
      <c r="AH899" s="118">
        <f t="shared" si="1184"/>
        <v>-24.249999999999986</v>
      </c>
      <c r="AI899" s="118">
        <f t="shared" si="1184"/>
        <v>310.03799999999995</v>
      </c>
      <c r="AJ899" s="401">
        <f t="shared" si="1184"/>
        <v>255.55900000000003</v>
      </c>
      <c r="AK899" s="118">
        <f t="shared" si="1184"/>
        <v>-171.096</v>
      </c>
      <c r="AL899" s="118">
        <f t="shared" si="1184"/>
        <v>-8.1819999999999737</v>
      </c>
      <c r="AM899" s="118">
        <f t="shared" si="1184"/>
        <v>34.914999999999992</v>
      </c>
      <c r="AN899" s="118">
        <f t="shared" si="1184"/>
        <v>414.74099999999981</v>
      </c>
      <c r="AO899" s="401">
        <f t="shared" si="1184"/>
        <v>270.37800000000021</v>
      </c>
      <c r="AP899" s="118">
        <f t="shared" si="1184"/>
        <v>-27.83900000000002</v>
      </c>
      <c r="AQ899" s="118">
        <f t="shared" si="1184"/>
        <v>88.841999999999956</v>
      </c>
      <c r="AR899" s="118">
        <f t="shared" si="1184"/>
        <v>423.97900000000016</v>
      </c>
      <c r="AS899" s="118">
        <f t="shared" si="1184"/>
        <v>462.70800000000003</v>
      </c>
      <c r="AT899" s="401">
        <f t="shared" si="1184"/>
        <v>947.69000000000028</v>
      </c>
      <c r="AU899" s="118">
        <f t="shared" si="1184"/>
        <v>150.94499999999996</v>
      </c>
      <c r="AV899" s="118">
        <f t="shared" si="1184"/>
        <v>155.37300000000005</v>
      </c>
      <c r="AW899" s="118">
        <f t="shared" si="1184"/>
        <v>205.80999999999995</v>
      </c>
      <c r="AX899" s="118">
        <f t="shared" si="1184"/>
        <v>444.96299999999997</v>
      </c>
      <c r="AY899" s="401">
        <f t="shared" si="1184"/>
        <v>957.09100000000012</v>
      </c>
      <c r="AZ899" s="118">
        <f t="shared" si="1184"/>
        <v>55.182999999999971</v>
      </c>
      <c r="BA899" s="118">
        <f t="shared" si="1184"/>
        <v>67.18700000000004</v>
      </c>
      <c r="BB899" s="118">
        <f t="shared" si="1184"/>
        <v>66.522999999999996</v>
      </c>
      <c r="BC899" s="118">
        <f t="shared" si="1184"/>
        <v>292.46699999999993</v>
      </c>
      <c r="BD899" s="401">
        <f t="shared" si="1184"/>
        <v>481.3599999999999</v>
      </c>
      <c r="BE899" s="118">
        <f>BE898+BE881+BE882</f>
        <v>234.41800000000006</v>
      </c>
      <c r="BF899" s="118">
        <f>BF898+BF881+BF882</f>
        <v>271.04399999999993</v>
      </c>
      <c r="BG899" s="118">
        <f t="shared" ref="BG899:BV899" si="1185">BG898+BG881+BG882</f>
        <v>190.54999999999993</v>
      </c>
      <c r="BH899" s="118">
        <f t="shared" si="1185"/>
        <v>563.3280000000002</v>
      </c>
      <c r="BI899" s="401">
        <f t="shared" si="1185"/>
        <v>1259.3399999999997</v>
      </c>
      <c r="BJ899" s="971">
        <f>BJ898+BJ881+BJ882</f>
        <v>124.41299999999995</v>
      </c>
      <c r="BK899" s="118">
        <f t="shared" ca="1" si="1185"/>
        <v>35.763194332718683</v>
      </c>
      <c r="BL899" s="118">
        <f t="shared" ca="1" si="1185"/>
        <v>217.40047120022069</v>
      </c>
      <c r="BM899" s="118">
        <f t="shared" ca="1" si="1185"/>
        <v>521.9353230218735</v>
      </c>
      <c r="BN899" s="401">
        <f t="shared" ca="1" si="1185"/>
        <v>899.51198855481289</v>
      </c>
      <c r="BO899" s="118">
        <f t="shared" ca="1" si="1185"/>
        <v>-18.7114589992741</v>
      </c>
      <c r="BP899" s="118">
        <f t="shared" ca="1" si="1185"/>
        <v>16.253338109428171</v>
      </c>
      <c r="BQ899" s="118">
        <f t="shared" ca="1" si="1185"/>
        <v>229.56956904889415</v>
      </c>
      <c r="BR899" s="118">
        <f t="shared" ca="1" si="1185"/>
        <v>496.59271426190509</v>
      </c>
      <c r="BS899" s="401">
        <f t="shared" ca="1" si="1185"/>
        <v>723.70416242095303</v>
      </c>
      <c r="BT899" s="401">
        <f t="shared" ca="1" si="1185"/>
        <v>814.94091121961992</v>
      </c>
      <c r="BU899" s="401">
        <f t="shared" ca="1" si="1185"/>
        <v>957.60886719635414</v>
      </c>
      <c r="BV899" s="401">
        <f t="shared" ca="1" si="1185"/>
        <v>1102.360158340957</v>
      </c>
      <c r="BW899" s="118"/>
    </row>
    <row r="900" spans="1:75" s="123" customFormat="1" x14ac:dyDescent="0.5">
      <c r="A900" s="295" t="s">
        <v>1300</v>
      </c>
      <c r="B900" s="522"/>
      <c r="C900" s="397">
        <f t="shared" ref="C900:BD900" si="1186">C899+C886+C887</f>
        <v>364.02499999999992</v>
      </c>
      <c r="D900" s="397">
        <f t="shared" si="1186"/>
        <v>128.21599999999989</v>
      </c>
      <c r="E900" s="397">
        <f t="shared" si="1186"/>
        <v>-123.25400000000008</v>
      </c>
      <c r="F900" s="397">
        <f t="shared" si="1186"/>
        <v>-77.317000000000064</v>
      </c>
      <c r="G900" s="295">
        <f t="shared" si="1186"/>
        <v>-172.02299999999997</v>
      </c>
      <c r="H900" s="295">
        <f t="shared" si="1186"/>
        <v>-46.006000000000014</v>
      </c>
      <c r="I900" s="295">
        <f t="shared" si="1186"/>
        <v>-79.650999999999883</v>
      </c>
      <c r="J900" s="295">
        <f t="shared" si="1186"/>
        <v>202.17799999999986</v>
      </c>
      <c r="K900" s="397">
        <f t="shared" si="1186"/>
        <v>-95.501999999999981</v>
      </c>
      <c r="L900" s="295">
        <f t="shared" si="1186"/>
        <v>-217.01</v>
      </c>
      <c r="M900" s="295">
        <f t="shared" si="1186"/>
        <v>-57.179000000000016</v>
      </c>
      <c r="N900" s="295">
        <f t="shared" si="1186"/>
        <v>36.512000000000029</v>
      </c>
      <c r="O900" s="295">
        <f t="shared" si="1186"/>
        <v>116.31399999999998</v>
      </c>
      <c r="P900" s="397">
        <f t="shared" si="1186"/>
        <v>-121.36299999999991</v>
      </c>
      <c r="Q900" s="295">
        <f t="shared" si="1186"/>
        <v>-143.125</v>
      </c>
      <c r="R900" s="295">
        <f t="shared" si="1186"/>
        <v>39.348000000000013</v>
      </c>
      <c r="S900" s="295">
        <f t="shared" si="1186"/>
        <v>-47.820999999999991</v>
      </c>
      <c r="T900" s="295">
        <f t="shared" si="1186"/>
        <v>123.44099999999992</v>
      </c>
      <c r="U900" s="397">
        <f t="shared" si="1186"/>
        <v>-28.157000000000068</v>
      </c>
      <c r="V900" s="295">
        <f t="shared" si="1186"/>
        <v>-93.956000000000017</v>
      </c>
      <c r="W900" s="295">
        <f t="shared" si="1186"/>
        <v>12.414000000000001</v>
      </c>
      <c r="X900" s="295">
        <f t="shared" si="1186"/>
        <v>-34.353000000000023</v>
      </c>
      <c r="Y900" s="295">
        <f t="shared" si="1186"/>
        <v>137.74299999999994</v>
      </c>
      <c r="Z900" s="397">
        <f t="shared" si="1186"/>
        <v>21.847999999999985</v>
      </c>
      <c r="AA900" s="295">
        <f t="shared" si="1186"/>
        <v>-119.84799999999998</v>
      </c>
      <c r="AB900" s="295">
        <f t="shared" si="1186"/>
        <v>11.580999999999953</v>
      </c>
      <c r="AC900" s="295">
        <f t="shared" si="1186"/>
        <v>-15.708999999999996</v>
      </c>
      <c r="AD900" s="295">
        <f t="shared" si="1186"/>
        <v>302.93</v>
      </c>
      <c r="AE900" s="397">
        <f t="shared" si="1186"/>
        <v>178.95400000000004</v>
      </c>
      <c r="AF900" s="295">
        <f t="shared" si="1186"/>
        <v>-102.492</v>
      </c>
      <c r="AG900" s="295">
        <f t="shared" si="1186"/>
        <v>-114.89000000000001</v>
      </c>
      <c r="AH900" s="295">
        <f t="shared" si="1186"/>
        <v>-11.223999999999975</v>
      </c>
      <c r="AI900" s="295">
        <f t="shared" si="1186"/>
        <v>174.42399999999998</v>
      </c>
      <c r="AJ900" s="397">
        <f t="shared" si="1186"/>
        <v>-54.18199999999996</v>
      </c>
      <c r="AK900" s="295">
        <f t="shared" si="1186"/>
        <v>-230.35</v>
      </c>
      <c r="AL900" s="295">
        <f t="shared" si="1186"/>
        <v>13.054000000000023</v>
      </c>
      <c r="AM900" s="295">
        <f t="shared" si="1186"/>
        <v>33.595999999999989</v>
      </c>
      <c r="AN900" s="295">
        <f t="shared" si="1186"/>
        <v>277.49199999999979</v>
      </c>
      <c r="AO900" s="397">
        <f t="shared" si="1186"/>
        <v>93.792000000000201</v>
      </c>
      <c r="AP900" s="295">
        <f t="shared" si="1186"/>
        <v>431.072</v>
      </c>
      <c r="AQ900" s="295">
        <f t="shared" si="1186"/>
        <v>87.114999999999952</v>
      </c>
      <c r="AR900" s="295">
        <f t="shared" si="1186"/>
        <v>-176.45299999999986</v>
      </c>
      <c r="AS900" s="295">
        <f t="shared" si="1186"/>
        <v>420.58200000000005</v>
      </c>
      <c r="AT900" s="397">
        <f t="shared" si="1186"/>
        <v>762.31600000000026</v>
      </c>
      <c r="AU900" s="295">
        <f t="shared" si="1186"/>
        <v>-563.03500000000008</v>
      </c>
      <c r="AV900" s="295">
        <f t="shared" si="1186"/>
        <v>17.805000000000064</v>
      </c>
      <c r="AW900" s="295">
        <f t="shared" si="1186"/>
        <v>1.3999999999999773</v>
      </c>
      <c r="AX900" s="295">
        <f t="shared" si="1186"/>
        <v>196.47499999999997</v>
      </c>
      <c r="AY900" s="397">
        <f t="shared" si="1186"/>
        <v>-347.3549999999999</v>
      </c>
      <c r="AZ900" s="295">
        <f t="shared" si="1186"/>
        <v>-524.4</v>
      </c>
      <c r="BA900" s="295">
        <f t="shared" si="1186"/>
        <v>-198.92899999999995</v>
      </c>
      <c r="BB900" s="295">
        <f t="shared" si="1186"/>
        <v>-9.1640000000000583</v>
      </c>
      <c r="BC900" s="295">
        <f t="shared" si="1186"/>
        <v>252.52499999999995</v>
      </c>
      <c r="BD900" s="397">
        <f t="shared" si="1186"/>
        <v>-479.96800000000007</v>
      </c>
      <c r="BE900" s="295">
        <f>BE899+BE886+BE887</f>
        <v>-69.92999999999995</v>
      </c>
      <c r="BF900" s="295">
        <f>BF899+BF886+BF887</f>
        <v>215.44199999999992</v>
      </c>
      <c r="BG900" s="295">
        <f t="shared" ref="BG900:BV900" si="1187">BG899+BG886+BG887</f>
        <v>186.39099999999996</v>
      </c>
      <c r="BH900" s="295">
        <f t="shared" si="1187"/>
        <v>561.60500000000025</v>
      </c>
      <c r="BI900" s="397">
        <f t="shared" si="1187"/>
        <v>893.5079999999997</v>
      </c>
      <c r="BJ900" s="1030">
        <f>BJ899+BJ886+BJ887</f>
        <v>-6.3760000000000332</v>
      </c>
      <c r="BK900" s="295">
        <f t="shared" ca="1" si="1187"/>
        <v>35.763194332718683</v>
      </c>
      <c r="BL900" s="295">
        <f t="shared" ca="1" si="1187"/>
        <v>217.40047120022069</v>
      </c>
      <c r="BM900" s="295">
        <f t="shared" ca="1" si="1187"/>
        <v>521.9353230218735</v>
      </c>
      <c r="BN900" s="397">
        <f t="shared" ca="1" si="1187"/>
        <v>768.7229885548129</v>
      </c>
      <c r="BO900" s="295">
        <f t="shared" ca="1" si="1187"/>
        <v>-18.7114589992741</v>
      </c>
      <c r="BP900" s="295">
        <f t="shared" ca="1" si="1187"/>
        <v>16.253338109428171</v>
      </c>
      <c r="BQ900" s="295">
        <f t="shared" ca="1" si="1187"/>
        <v>229.56956904889415</v>
      </c>
      <c r="BR900" s="295">
        <f t="shared" ca="1" si="1187"/>
        <v>496.59271426190509</v>
      </c>
      <c r="BS900" s="397">
        <f t="shared" ca="1" si="1187"/>
        <v>723.70416242095303</v>
      </c>
      <c r="BT900" s="397">
        <f t="shared" ca="1" si="1187"/>
        <v>814.94091121961992</v>
      </c>
      <c r="BU900" s="397">
        <f t="shared" ca="1" si="1187"/>
        <v>957.60886719635414</v>
      </c>
      <c r="BV900" s="397">
        <f t="shared" ca="1" si="1187"/>
        <v>1102.360158340957</v>
      </c>
      <c r="BW900" s="118"/>
    </row>
    <row r="901" spans="1:75" s="123" customFormat="1" x14ac:dyDescent="0.5">
      <c r="A901" s="118"/>
      <c r="B901" s="513"/>
      <c r="C901" s="401"/>
      <c r="D901" s="401"/>
      <c r="E901" s="401"/>
      <c r="F901" s="401"/>
      <c r="G901" s="118"/>
      <c r="H901" s="118"/>
      <c r="I901" s="118"/>
      <c r="J901" s="118"/>
      <c r="K901" s="401"/>
      <c r="L901" s="118"/>
      <c r="M901" s="118"/>
      <c r="N901" s="118"/>
      <c r="O901" s="118"/>
      <c r="P901" s="401"/>
      <c r="Q901" s="118"/>
      <c r="R901" s="118"/>
      <c r="S901" s="118"/>
      <c r="T901" s="118"/>
      <c r="U901" s="401"/>
      <c r="V901" s="118"/>
      <c r="W901" s="118"/>
      <c r="X901" s="118"/>
      <c r="Y901" s="118"/>
      <c r="Z901" s="401"/>
      <c r="AA901" s="118"/>
      <c r="AB901" s="118"/>
      <c r="AC901" s="118"/>
      <c r="AD901" s="118"/>
      <c r="AE901" s="401"/>
      <c r="AF901" s="118"/>
      <c r="AG901" s="118"/>
      <c r="AH901" s="118"/>
      <c r="AI901" s="118"/>
      <c r="AJ901" s="401"/>
      <c r="AK901" s="118"/>
      <c r="AL901" s="118"/>
      <c r="AM901" s="118"/>
      <c r="AN901" s="118"/>
      <c r="AO901" s="401"/>
      <c r="AP901" s="118"/>
      <c r="AQ901" s="118"/>
      <c r="AR901" s="118"/>
      <c r="AS901" s="118"/>
      <c r="AT901" s="401"/>
      <c r="AU901" s="118"/>
      <c r="AV901" s="118"/>
      <c r="AW901" s="118"/>
      <c r="AX901" s="118"/>
      <c r="AY901" s="401"/>
      <c r="AZ901" s="118"/>
      <c r="BA901" s="118"/>
      <c r="BB901" s="118"/>
      <c r="BC901" s="118"/>
      <c r="BD901" s="401"/>
      <c r="BE901" s="118"/>
      <c r="BF901" s="118"/>
      <c r="BG901" s="118"/>
      <c r="BH901" s="118"/>
      <c r="BI901" s="401"/>
      <c r="BJ901" s="971"/>
      <c r="BK901" s="118"/>
      <c r="BL901" s="118"/>
      <c r="BM901" s="118"/>
      <c r="BN901" s="401"/>
      <c r="BO901" s="118"/>
      <c r="BP901" s="118"/>
      <c r="BQ901" s="118"/>
      <c r="BR901" s="118"/>
      <c r="BS901" s="401"/>
      <c r="BT901" s="401"/>
      <c r="BU901" s="401"/>
      <c r="BV901" s="401"/>
      <c r="BW901" s="122"/>
    </row>
    <row r="902" spans="1:75" s="198" customFormat="1" ht="14.25" x14ac:dyDescent="0.45">
      <c r="A902" s="239" t="s">
        <v>1301</v>
      </c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  <c r="AA902" s="239"/>
      <c r="AB902" s="239"/>
      <c r="AC902" s="239"/>
      <c r="AD902" s="239"/>
      <c r="AE902" s="239"/>
      <c r="AF902" s="239"/>
      <c r="AG902" s="239"/>
      <c r="AH902" s="239"/>
      <c r="AI902" s="239"/>
      <c r="AJ902" s="239"/>
      <c r="AK902" s="239"/>
      <c r="AL902" s="239"/>
      <c r="AM902" s="239"/>
      <c r="AN902" s="239"/>
      <c r="AO902" s="239"/>
      <c r="AP902" s="239"/>
      <c r="AQ902" s="239"/>
      <c r="AR902" s="239"/>
      <c r="AS902" s="239"/>
      <c r="AT902" s="239"/>
      <c r="AU902" s="239"/>
      <c r="AV902" s="239"/>
      <c r="AW902" s="239"/>
      <c r="AX902" s="239"/>
      <c r="AY902" s="239"/>
      <c r="AZ902" s="239"/>
      <c r="BA902" s="239"/>
      <c r="BB902" s="239"/>
      <c r="BC902" s="239"/>
      <c r="BD902" s="239"/>
      <c r="BE902" s="239"/>
      <c r="BF902" s="239"/>
      <c r="BG902" s="239"/>
      <c r="BH902" s="239"/>
      <c r="BI902" s="239"/>
      <c r="BJ902" s="241"/>
      <c r="BK902" s="239"/>
      <c r="BL902" s="239"/>
      <c r="BM902" s="239"/>
      <c r="BN902" s="239"/>
      <c r="BO902" s="239"/>
      <c r="BP902" s="239"/>
      <c r="BQ902" s="239"/>
      <c r="BR902" s="239"/>
      <c r="BS902" s="239"/>
      <c r="BT902" s="239"/>
      <c r="BU902" s="239"/>
      <c r="BV902" s="239"/>
      <c r="BW902" s="197"/>
    </row>
    <row r="903" spans="1:75" s="123" customFormat="1" x14ac:dyDescent="0.5">
      <c r="A903" s="122" t="s">
        <v>1302</v>
      </c>
      <c r="B903" s="513"/>
      <c r="C903" s="674">
        <f t="shared" ref="C903:BD903" si="1188">C1106+C1107</f>
        <v>513.94299999999998</v>
      </c>
      <c r="D903" s="674">
        <f t="shared" si="1188"/>
        <v>640.91499999999996</v>
      </c>
      <c r="E903" s="674">
        <f t="shared" si="1188"/>
        <v>517.48900000000003</v>
      </c>
      <c r="F903" s="674">
        <f t="shared" si="1188"/>
        <v>440.61</v>
      </c>
      <c r="G903" s="122">
        <f t="shared" si="1188"/>
        <v>268.59699999999998</v>
      </c>
      <c r="H903" s="122">
        <f t="shared" si="1188"/>
        <v>222.33100000000002</v>
      </c>
      <c r="I903" s="122">
        <f t="shared" si="1188"/>
        <v>143.04199999999997</v>
      </c>
      <c r="J903" s="122">
        <f t="shared" si="1188"/>
        <v>344.40999999999997</v>
      </c>
      <c r="K903" s="674">
        <f t="shared" si="1188"/>
        <v>344.40999999999997</v>
      </c>
      <c r="L903" s="122">
        <f t="shared" si="1188"/>
        <v>127.16500000000001</v>
      </c>
      <c r="M903" s="122">
        <f t="shared" si="1188"/>
        <v>70.573999999999998</v>
      </c>
      <c r="N903" s="122">
        <f t="shared" si="1188"/>
        <v>107.703</v>
      </c>
      <c r="O903" s="122">
        <f t="shared" si="1188"/>
        <v>222.92699999999999</v>
      </c>
      <c r="P903" s="674">
        <f t="shared" si="1188"/>
        <v>222.92699999999999</v>
      </c>
      <c r="Q903" s="122">
        <f t="shared" si="1188"/>
        <v>78.850999999999999</v>
      </c>
      <c r="R903" s="122">
        <f t="shared" si="1188"/>
        <v>119.776</v>
      </c>
      <c r="S903" s="122">
        <f t="shared" si="1188"/>
        <v>72.263999999999996</v>
      </c>
      <c r="T903" s="122">
        <f t="shared" si="1188"/>
        <v>193.64699999999999</v>
      </c>
      <c r="U903" s="674">
        <f t="shared" si="1188"/>
        <v>193.64699999999999</v>
      </c>
      <c r="V903" s="122">
        <f t="shared" si="1188"/>
        <v>99.216999999999999</v>
      </c>
      <c r="W903" s="122">
        <f t="shared" si="1188"/>
        <v>111.122</v>
      </c>
      <c r="X903" s="122">
        <f t="shared" si="1188"/>
        <v>75.381</v>
      </c>
      <c r="Y903" s="122">
        <f t="shared" si="1188"/>
        <v>213.71299999999999</v>
      </c>
      <c r="Z903" s="674">
        <f t="shared" si="1188"/>
        <v>213.71299999999999</v>
      </c>
      <c r="AA903" s="122">
        <f t="shared" si="1188"/>
        <v>93.974999999999994</v>
      </c>
      <c r="AB903" s="122">
        <f t="shared" si="1188"/>
        <v>103.10899999999999</v>
      </c>
      <c r="AC903" s="122">
        <f t="shared" si="1188"/>
        <v>90.778999999999996</v>
      </c>
      <c r="AD903" s="122">
        <f t="shared" si="1188"/>
        <v>390.13600000000002</v>
      </c>
      <c r="AE903" s="674">
        <f t="shared" si="1188"/>
        <v>390.13600000000002</v>
      </c>
      <c r="AF903" s="122">
        <f t="shared" si="1188"/>
        <v>290.24400000000003</v>
      </c>
      <c r="AG903" s="122">
        <f t="shared" si="1188"/>
        <v>174.58</v>
      </c>
      <c r="AH903" s="122">
        <f t="shared" si="1188"/>
        <v>164.41399999999999</v>
      </c>
      <c r="AI903" s="122">
        <f t="shared" si="1188"/>
        <v>338.95400000000001</v>
      </c>
      <c r="AJ903" s="674">
        <f t="shared" si="1188"/>
        <v>338.95400000000001</v>
      </c>
      <c r="AK903" s="122">
        <f t="shared" si="1188"/>
        <v>107.68300000000001</v>
      </c>
      <c r="AL903" s="122">
        <f t="shared" si="1188"/>
        <v>120.467</v>
      </c>
      <c r="AM903" s="122">
        <f t="shared" si="1188"/>
        <v>155.02500000000001</v>
      </c>
      <c r="AN903" s="122">
        <f t="shared" si="1188"/>
        <v>432.16199999999998</v>
      </c>
      <c r="AO903" s="674">
        <f t="shared" si="1188"/>
        <v>432.16199999999998</v>
      </c>
      <c r="AP903" s="122">
        <f t="shared" si="1188"/>
        <v>861.00199999999995</v>
      </c>
      <c r="AQ903" s="122">
        <f t="shared" si="1188"/>
        <v>947.76</v>
      </c>
      <c r="AR903" s="122">
        <f t="shared" si="1188"/>
        <v>773.17</v>
      </c>
      <c r="AS903" s="122">
        <f t="shared" si="1188"/>
        <v>1200.337</v>
      </c>
      <c r="AT903" s="674">
        <f t="shared" si="1188"/>
        <v>1200.337</v>
      </c>
      <c r="AU903" s="122">
        <f t="shared" si="1188"/>
        <v>639.66999999999996</v>
      </c>
      <c r="AV903" s="122">
        <f t="shared" si="1188"/>
        <v>655.21100000000001</v>
      </c>
      <c r="AW903" s="122">
        <f t="shared" si="1188"/>
        <v>656.89800000000002</v>
      </c>
      <c r="AX903" s="122">
        <f t="shared" si="1188"/>
        <v>850.33799999999997</v>
      </c>
      <c r="AY903" s="674">
        <f t="shared" si="1188"/>
        <v>850.33799999999997</v>
      </c>
      <c r="AZ903" s="122">
        <f t="shared" si="1188"/>
        <v>324.83499999999998</v>
      </c>
      <c r="BA903" s="122">
        <f t="shared" si="1188"/>
        <v>124.944</v>
      </c>
      <c r="BB903" s="122">
        <f t="shared" si="1188"/>
        <v>113.05800000000001</v>
      </c>
      <c r="BC903" s="122">
        <f t="shared" si="1188"/>
        <v>367.34399999999999</v>
      </c>
      <c r="BD903" s="674">
        <f t="shared" si="1188"/>
        <v>367.34399999999999</v>
      </c>
      <c r="BE903" s="122">
        <f>BE1106+BE1107</f>
        <v>297.291</v>
      </c>
      <c r="BF903" s="122">
        <f>BF1106+BF1107</f>
        <v>514.43499999999995</v>
      </c>
      <c r="BG903" s="122">
        <f t="shared" ref="BG903:BV903" si="1189">BG1106+BG1107</f>
        <v>698.80700000000002</v>
      </c>
      <c r="BH903" s="122">
        <f t="shared" si="1189"/>
        <v>1262.0070000000001</v>
      </c>
      <c r="BI903" s="674">
        <f t="shared" si="1189"/>
        <v>1262.0070000000001</v>
      </c>
      <c r="BJ903" s="1274">
        <f>BJ1106+BJ1107</f>
        <v>1254.7860000000001</v>
      </c>
      <c r="BK903" s="118">
        <f t="shared" ca="1" si="1189"/>
        <v>1290.5491943327188</v>
      </c>
      <c r="BL903" s="118">
        <f t="shared" ca="1" si="1189"/>
        <v>1507.9496655329394</v>
      </c>
      <c r="BM903" s="118">
        <f t="shared" ca="1" si="1189"/>
        <v>2029.8849885548129</v>
      </c>
      <c r="BN903" s="401">
        <f t="shared" ca="1" si="1189"/>
        <v>2029.8849885548129</v>
      </c>
      <c r="BO903" s="118">
        <f t="shared" ca="1" si="1189"/>
        <v>2011.1735295555388</v>
      </c>
      <c r="BP903" s="118">
        <f t="shared" ca="1" si="1189"/>
        <v>2027.4268676649669</v>
      </c>
      <c r="BQ903" s="118">
        <f t="shared" ca="1" si="1189"/>
        <v>2256.9964367138609</v>
      </c>
      <c r="BR903" s="118">
        <f t="shared" ca="1" si="1189"/>
        <v>2753.5891509757662</v>
      </c>
      <c r="BS903" s="401">
        <f t="shared" ca="1" si="1189"/>
        <v>2753.5891509757662</v>
      </c>
      <c r="BT903" s="401">
        <f t="shared" ca="1" si="1189"/>
        <v>3568.5300621953861</v>
      </c>
      <c r="BU903" s="401">
        <f t="shared" ca="1" si="1189"/>
        <v>4526.13892939174</v>
      </c>
      <c r="BV903" s="401">
        <f t="shared" ca="1" si="1189"/>
        <v>5628.4990877326973</v>
      </c>
      <c r="BW903" s="122"/>
    </row>
    <row r="904" spans="1:75" s="123" customFormat="1" x14ac:dyDescent="0.5">
      <c r="A904" s="464" t="s">
        <v>1303</v>
      </c>
      <c r="B904" s="513"/>
      <c r="C904" s="674">
        <f t="shared" ref="C904:BD904" si="1190">C1132+C1129</f>
        <v>1.587</v>
      </c>
      <c r="D904" s="674">
        <f t="shared" si="1190"/>
        <v>1.542</v>
      </c>
      <c r="E904" s="674">
        <f t="shared" si="1190"/>
        <v>1.7949999999999999</v>
      </c>
      <c r="F904" s="674">
        <f t="shared" si="1190"/>
        <v>1.724</v>
      </c>
      <c r="G904" s="122">
        <f t="shared" si="1190"/>
        <v>1.696</v>
      </c>
      <c r="H904" s="122">
        <f t="shared" si="1190"/>
        <v>1.8169999999999999</v>
      </c>
      <c r="I904" s="122">
        <f t="shared" si="1190"/>
        <v>1.7929999999999999</v>
      </c>
      <c r="J904" s="122">
        <f t="shared" si="1190"/>
        <v>1.7849999999999999</v>
      </c>
      <c r="K904" s="674">
        <f t="shared" si="1190"/>
        <v>1.7849999999999999</v>
      </c>
      <c r="L904" s="122">
        <f t="shared" si="1190"/>
        <v>1.7849999999999999</v>
      </c>
      <c r="M904" s="122">
        <f t="shared" si="1190"/>
        <v>1.968</v>
      </c>
      <c r="N904" s="122">
        <f t="shared" si="1190"/>
        <v>91.968000000000004</v>
      </c>
      <c r="O904" s="122">
        <f t="shared" si="1190"/>
        <v>1.968</v>
      </c>
      <c r="P904" s="674">
        <f t="shared" si="1190"/>
        <v>1.968</v>
      </c>
      <c r="Q904" s="122">
        <f t="shared" si="1190"/>
        <v>61.968000000000004</v>
      </c>
      <c r="R904" s="122">
        <f t="shared" si="1190"/>
        <v>150</v>
      </c>
      <c r="S904" s="122">
        <f t="shared" si="1190"/>
        <v>200</v>
      </c>
      <c r="T904" s="122">
        <f t="shared" si="1190"/>
        <v>0</v>
      </c>
      <c r="U904" s="674">
        <f t="shared" si="1190"/>
        <v>0</v>
      </c>
      <c r="V904" s="122">
        <f t="shared" si="1190"/>
        <v>100</v>
      </c>
      <c r="W904" s="122">
        <f t="shared" si="1190"/>
        <v>125</v>
      </c>
      <c r="X904" s="122">
        <f t="shared" si="1190"/>
        <v>125</v>
      </c>
      <c r="Y904" s="122">
        <f t="shared" si="1190"/>
        <v>0</v>
      </c>
      <c r="Z904" s="674">
        <f t="shared" si="1190"/>
        <v>0</v>
      </c>
      <c r="AA904" s="122">
        <f t="shared" si="1190"/>
        <v>45</v>
      </c>
      <c r="AB904" s="122">
        <f t="shared" si="1190"/>
        <v>115</v>
      </c>
      <c r="AC904" s="122">
        <f t="shared" si="1190"/>
        <v>170</v>
      </c>
      <c r="AD904" s="122">
        <f t="shared" si="1190"/>
        <v>0</v>
      </c>
      <c r="AE904" s="674">
        <f t="shared" si="1190"/>
        <v>0</v>
      </c>
      <c r="AF904" s="122">
        <f t="shared" si="1190"/>
        <v>0</v>
      </c>
      <c r="AG904" s="122">
        <f t="shared" si="1190"/>
        <v>0</v>
      </c>
      <c r="AH904" s="122">
        <f t="shared" si="1190"/>
        <v>60</v>
      </c>
      <c r="AI904" s="122">
        <f t="shared" si="1190"/>
        <v>0</v>
      </c>
      <c r="AJ904" s="674">
        <f t="shared" si="1190"/>
        <v>0</v>
      </c>
      <c r="AK904" s="122">
        <f t="shared" si="1190"/>
        <v>0</v>
      </c>
      <c r="AL904" s="122">
        <f t="shared" si="1190"/>
        <v>60</v>
      </c>
      <c r="AM904" s="122">
        <f t="shared" si="1190"/>
        <v>100</v>
      </c>
      <c r="AN904" s="122">
        <f t="shared" si="1190"/>
        <v>299.81799999999998</v>
      </c>
      <c r="AO904" s="674">
        <f t="shared" si="1190"/>
        <v>299.81799999999998</v>
      </c>
      <c r="AP904" s="122">
        <f t="shared" si="1190"/>
        <v>487.82299999999998</v>
      </c>
      <c r="AQ904" s="122">
        <f t="shared" si="1190"/>
        <v>487.82299999999998</v>
      </c>
      <c r="AR904" s="122">
        <f t="shared" si="1190"/>
        <v>0</v>
      </c>
      <c r="AS904" s="122">
        <f t="shared" si="1190"/>
        <v>299.35000000000002</v>
      </c>
      <c r="AT904" s="674">
        <f t="shared" si="1190"/>
        <v>299.35000000000002</v>
      </c>
      <c r="AU904" s="122">
        <f t="shared" si="1190"/>
        <v>0</v>
      </c>
      <c r="AV904" s="122">
        <f t="shared" si="1190"/>
        <v>0</v>
      </c>
      <c r="AW904" s="122">
        <f t="shared" si="1190"/>
        <v>0</v>
      </c>
      <c r="AX904" s="122">
        <f t="shared" si="1190"/>
        <v>0</v>
      </c>
      <c r="AY904" s="674">
        <f t="shared" si="1190"/>
        <v>0</v>
      </c>
      <c r="AZ904" s="122">
        <f t="shared" si="1190"/>
        <v>0</v>
      </c>
      <c r="BA904" s="122">
        <f t="shared" si="1190"/>
        <v>0</v>
      </c>
      <c r="BB904" s="122">
        <f t="shared" si="1190"/>
        <v>0</v>
      </c>
      <c r="BC904" s="122">
        <f t="shared" si="1190"/>
        <v>0</v>
      </c>
      <c r="BD904" s="674">
        <f t="shared" si="1190"/>
        <v>0</v>
      </c>
      <c r="BE904" s="122">
        <f>BE1132+BE1129</f>
        <v>0</v>
      </c>
      <c r="BF904" s="122">
        <f>BF1132+BF1129</f>
        <v>0</v>
      </c>
      <c r="BG904" s="122">
        <f t="shared" ref="BG904" si="1191">BG1132+BG1129</f>
        <v>0</v>
      </c>
      <c r="BH904" s="122">
        <f>BH1132+BH1129</f>
        <v>0</v>
      </c>
      <c r="BI904" s="674">
        <f>BI1132+BI1129</f>
        <v>0</v>
      </c>
      <c r="BJ904" s="1274">
        <f>BJ1132+BJ1129</f>
        <v>0</v>
      </c>
      <c r="BK904" s="118">
        <f>BK906-BK905</f>
        <v>0</v>
      </c>
      <c r="BL904" s="118">
        <f>BL906-BL905</f>
        <v>0</v>
      </c>
      <c r="BM904" s="118">
        <f>BM906-BM905</f>
        <v>0</v>
      </c>
      <c r="BN904" s="401">
        <f>BN1132+BN1129</f>
        <v>0</v>
      </c>
      <c r="BO904" s="118">
        <f>BO906-BO905</f>
        <v>0</v>
      </c>
      <c r="BP904" s="118">
        <f>BP906-BP905</f>
        <v>0</v>
      </c>
      <c r="BQ904" s="118">
        <f>BQ906-BQ905</f>
        <v>0</v>
      </c>
      <c r="BR904" s="118">
        <f>BR906-BR905</f>
        <v>0</v>
      </c>
      <c r="BS904" s="401">
        <f>BS1132+BS1129</f>
        <v>0</v>
      </c>
      <c r="BT904" s="401">
        <f>BT906-BT905</f>
        <v>0</v>
      </c>
      <c r="BU904" s="401">
        <f>BU906-BU905</f>
        <v>0</v>
      </c>
      <c r="BV904" s="401">
        <f>BV906-BV905</f>
        <v>0</v>
      </c>
      <c r="BW904" s="122"/>
    </row>
    <row r="905" spans="1:75" s="123" customFormat="1" x14ac:dyDescent="0.5">
      <c r="A905" s="1333" t="s">
        <v>1304</v>
      </c>
      <c r="B905" s="870"/>
      <c r="C905" s="1334">
        <f t="shared" ref="C905:BD905" si="1192">C1138</f>
        <v>8.6720000000000006</v>
      </c>
      <c r="D905" s="1334">
        <f t="shared" si="1192"/>
        <v>7.13</v>
      </c>
      <c r="E905" s="1334">
        <f t="shared" si="1192"/>
        <v>5.4779999999999998</v>
      </c>
      <c r="F905" s="1334">
        <f t="shared" si="1192"/>
        <v>3.7530000000000001</v>
      </c>
      <c r="G905" s="1335">
        <f t="shared" si="1192"/>
        <v>3.7530000000000001</v>
      </c>
      <c r="H905" s="1335">
        <f t="shared" si="1192"/>
        <v>1.968</v>
      </c>
      <c r="I905" s="1335">
        <f t="shared" si="1192"/>
        <v>1.968</v>
      </c>
      <c r="J905" s="1335">
        <f t="shared" si="1192"/>
        <v>1.968</v>
      </c>
      <c r="K905" s="1334">
        <f t="shared" si="1192"/>
        <v>1.968</v>
      </c>
      <c r="L905" s="1335">
        <f t="shared" si="1192"/>
        <v>1.968</v>
      </c>
      <c r="M905" s="1335">
        <f t="shared" si="1192"/>
        <v>0</v>
      </c>
      <c r="N905" s="1335">
        <f t="shared" si="1192"/>
        <v>0</v>
      </c>
      <c r="O905" s="1335">
        <f t="shared" si="1192"/>
        <v>0</v>
      </c>
      <c r="P905" s="1334">
        <f t="shared" si="1192"/>
        <v>0</v>
      </c>
      <c r="Q905" s="1335">
        <f t="shared" si="1192"/>
        <v>0</v>
      </c>
      <c r="R905" s="1335">
        <f t="shared" si="1192"/>
        <v>0</v>
      </c>
      <c r="S905" s="1335">
        <f t="shared" si="1192"/>
        <v>0</v>
      </c>
      <c r="T905" s="1335">
        <f t="shared" si="1192"/>
        <v>0</v>
      </c>
      <c r="U905" s="1334">
        <f t="shared" si="1192"/>
        <v>0</v>
      </c>
      <c r="V905" s="1335">
        <f t="shared" si="1192"/>
        <v>0</v>
      </c>
      <c r="W905" s="1335">
        <f t="shared" si="1192"/>
        <v>0</v>
      </c>
      <c r="X905" s="1335">
        <f t="shared" si="1192"/>
        <v>0</v>
      </c>
      <c r="Y905" s="1335">
        <f t="shared" si="1192"/>
        <v>0</v>
      </c>
      <c r="Z905" s="1334">
        <f t="shared" si="1192"/>
        <v>0</v>
      </c>
      <c r="AA905" s="1335">
        <f t="shared" si="1192"/>
        <v>0</v>
      </c>
      <c r="AB905" s="1335">
        <f t="shared" si="1192"/>
        <v>0</v>
      </c>
      <c r="AC905" s="1335">
        <f t="shared" si="1192"/>
        <v>0</v>
      </c>
      <c r="AD905" s="1335">
        <f t="shared" si="1192"/>
        <v>299.42200000000003</v>
      </c>
      <c r="AE905" s="1334">
        <f t="shared" si="1192"/>
        <v>299.42200000000003</v>
      </c>
      <c r="AF905" s="1335">
        <f t="shared" si="1192"/>
        <v>299.47199999999998</v>
      </c>
      <c r="AG905" s="1335">
        <f t="shared" si="1192"/>
        <v>299.52100000000002</v>
      </c>
      <c r="AH905" s="1335">
        <f t="shared" si="1192"/>
        <v>299.57100000000003</v>
      </c>
      <c r="AI905" s="1335">
        <f t="shared" si="1192"/>
        <v>299.62</v>
      </c>
      <c r="AJ905" s="1334">
        <f t="shared" si="1192"/>
        <v>299.62</v>
      </c>
      <c r="AK905" s="1335">
        <f t="shared" si="1192"/>
        <v>299.67</v>
      </c>
      <c r="AL905" s="1335">
        <f t="shared" si="1192"/>
        <v>299.71899999999999</v>
      </c>
      <c r="AM905" s="1335">
        <f t="shared" si="1192"/>
        <v>299.76900000000001</v>
      </c>
      <c r="AN905" s="1335">
        <f t="shared" si="1192"/>
        <v>0</v>
      </c>
      <c r="AO905" s="1334">
        <f t="shared" si="1192"/>
        <v>0</v>
      </c>
      <c r="AP905" s="1335">
        <f t="shared" si="1192"/>
        <v>299.86799999999999</v>
      </c>
      <c r="AQ905" s="1335">
        <f t="shared" si="1192"/>
        <v>298.995</v>
      </c>
      <c r="AR905" s="1335">
        <f t="shared" si="1192"/>
        <v>299.173</v>
      </c>
      <c r="AS905" s="1335">
        <f t="shared" si="1192"/>
        <v>0</v>
      </c>
      <c r="AT905" s="1334">
        <f t="shared" si="1192"/>
        <v>0</v>
      </c>
      <c r="AU905" s="1335">
        <f t="shared" si="1192"/>
        <v>0</v>
      </c>
      <c r="AV905" s="1335">
        <f t="shared" si="1192"/>
        <v>0</v>
      </c>
      <c r="AW905" s="1335">
        <f t="shared" si="1192"/>
        <v>0</v>
      </c>
      <c r="AX905" s="1335">
        <f t="shared" si="1192"/>
        <v>0</v>
      </c>
      <c r="AY905" s="1334">
        <f t="shared" si="1192"/>
        <v>0</v>
      </c>
      <c r="AZ905" s="1335">
        <f t="shared" si="1192"/>
        <v>0</v>
      </c>
      <c r="BA905" s="1335">
        <f t="shared" si="1192"/>
        <v>0</v>
      </c>
      <c r="BB905" s="1335">
        <f t="shared" si="1192"/>
        <v>0</v>
      </c>
      <c r="BC905" s="1335">
        <f t="shared" si="1192"/>
        <v>0</v>
      </c>
      <c r="BD905" s="1334">
        <f t="shared" si="1192"/>
        <v>0</v>
      </c>
      <c r="BE905" s="1335">
        <f>BE1138</f>
        <v>0</v>
      </c>
      <c r="BF905" s="1335">
        <f>BF1138</f>
        <v>0</v>
      </c>
      <c r="BG905" s="1335">
        <f t="shared" ref="BG905" si="1193">BG1138</f>
        <v>0</v>
      </c>
      <c r="BH905" s="1335">
        <f>BH1138</f>
        <v>0</v>
      </c>
      <c r="BI905" s="1334">
        <f>BI1138</f>
        <v>0</v>
      </c>
      <c r="BJ905" s="1336">
        <f>BJ1138</f>
        <v>0</v>
      </c>
      <c r="BK905" s="872">
        <f>MAX(0,BJ905+BK886)</f>
        <v>0</v>
      </c>
      <c r="BL905" s="872">
        <f>MAX(0,BK905+BL886)</f>
        <v>0</v>
      </c>
      <c r="BM905" s="872">
        <f>MAX(0,BL905+BM886)</f>
        <v>0</v>
      </c>
      <c r="BN905" s="871">
        <f>BN1138</f>
        <v>0</v>
      </c>
      <c r="BO905" s="872">
        <f>MAX(0,BN905+BO886)</f>
        <v>0</v>
      </c>
      <c r="BP905" s="872">
        <f>MAX(0,BO905+BP886)</f>
        <v>0</v>
      </c>
      <c r="BQ905" s="872">
        <f>MAX(0,BP905+BQ886)</f>
        <v>0</v>
      </c>
      <c r="BR905" s="872">
        <f>MAX(0,BQ905+BR886)</f>
        <v>0</v>
      </c>
      <c r="BS905" s="871">
        <f>BS1138</f>
        <v>0</v>
      </c>
      <c r="BT905" s="871">
        <f>MAX(0,BS905+BT886)</f>
        <v>0</v>
      </c>
      <c r="BU905" s="871">
        <f>MAX(0,BT905+BU886)</f>
        <v>0</v>
      </c>
      <c r="BV905" s="871">
        <f>MAX(0,BU905+BV886)</f>
        <v>0</v>
      </c>
      <c r="BW905" s="122"/>
    </row>
    <row r="906" spans="1:75" s="123" customFormat="1" x14ac:dyDescent="0.5">
      <c r="A906" s="122" t="s">
        <v>1305</v>
      </c>
      <c r="B906" s="513"/>
      <c r="C906" s="674">
        <f t="shared" ref="C906:BD906" si="1194">C1132+C1138+C1129</f>
        <v>10.259</v>
      </c>
      <c r="D906" s="674">
        <f t="shared" si="1194"/>
        <v>8.6720000000000006</v>
      </c>
      <c r="E906" s="674">
        <f t="shared" si="1194"/>
        <v>7.2729999999999997</v>
      </c>
      <c r="F906" s="674">
        <f t="shared" si="1194"/>
        <v>5.4770000000000003</v>
      </c>
      <c r="G906" s="122">
        <f t="shared" si="1194"/>
        <v>5.4489999999999998</v>
      </c>
      <c r="H906" s="122">
        <f t="shared" si="1194"/>
        <v>3.7850000000000001</v>
      </c>
      <c r="I906" s="122">
        <f t="shared" si="1194"/>
        <v>3.7610000000000001</v>
      </c>
      <c r="J906" s="122">
        <f t="shared" si="1194"/>
        <v>3.7530000000000001</v>
      </c>
      <c r="K906" s="674">
        <f t="shared" si="1194"/>
        <v>3.7530000000000001</v>
      </c>
      <c r="L906" s="122">
        <f t="shared" si="1194"/>
        <v>3.7530000000000001</v>
      </c>
      <c r="M906" s="122">
        <f t="shared" si="1194"/>
        <v>1.968</v>
      </c>
      <c r="N906" s="122">
        <f t="shared" si="1194"/>
        <v>91.968000000000004</v>
      </c>
      <c r="O906" s="122">
        <f t="shared" si="1194"/>
        <v>1.968</v>
      </c>
      <c r="P906" s="674">
        <f t="shared" si="1194"/>
        <v>1.968</v>
      </c>
      <c r="Q906" s="122">
        <f t="shared" si="1194"/>
        <v>61.968000000000004</v>
      </c>
      <c r="R906" s="122">
        <f t="shared" si="1194"/>
        <v>150</v>
      </c>
      <c r="S906" s="122">
        <f t="shared" si="1194"/>
        <v>200</v>
      </c>
      <c r="T906" s="122">
        <f t="shared" si="1194"/>
        <v>0</v>
      </c>
      <c r="U906" s="674">
        <f t="shared" si="1194"/>
        <v>0</v>
      </c>
      <c r="V906" s="122">
        <f t="shared" si="1194"/>
        <v>100</v>
      </c>
      <c r="W906" s="122">
        <f t="shared" si="1194"/>
        <v>125</v>
      </c>
      <c r="X906" s="122">
        <f t="shared" si="1194"/>
        <v>125</v>
      </c>
      <c r="Y906" s="122">
        <f t="shared" si="1194"/>
        <v>0</v>
      </c>
      <c r="Z906" s="674">
        <f t="shared" si="1194"/>
        <v>0</v>
      </c>
      <c r="AA906" s="122">
        <f t="shared" si="1194"/>
        <v>45</v>
      </c>
      <c r="AB906" s="122">
        <f t="shared" si="1194"/>
        <v>115</v>
      </c>
      <c r="AC906" s="122">
        <f t="shared" si="1194"/>
        <v>170</v>
      </c>
      <c r="AD906" s="122">
        <f t="shared" si="1194"/>
        <v>299.42200000000003</v>
      </c>
      <c r="AE906" s="674">
        <f t="shared" si="1194"/>
        <v>299.42200000000003</v>
      </c>
      <c r="AF906" s="122">
        <f t="shared" si="1194"/>
        <v>299.47199999999998</v>
      </c>
      <c r="AG906" s="122">
        <f t="shared" si="1194"/>
        <v>299.52100000000002</v>
      </c>
      <c r="AH906" s="122">
        <f t="shared" si="1194"/>
        <v>359.57100000000003</v>
      </c>
      <c r="AI906" s="122">
        <f t="shared" si="1194"/>
        <v>299.62</v>
      </c>
      <c r="AJ906" s="674">
        <f t="shared" si="1194"/>
        <v>299.62</v>
      </c>
      <c r="AK906" s="122">
        <f t="shared" si="1194"/>
        <v>299.67</v>
      </c>
      <c r="AL906" s="122">
        <f t="shared" si="1194"/>
        <v>359.71899999999999</v>
      </c>
      <c r="AM906" s="122">
        <f t="shared" si="1194"/>
        <v>399.76900000000001</v>
      </c>
      <c r="AN906" s="122">
        <f t="shared" si="1194"/>
        <v>299.81799999999998</v>
      </c>
      <c r="AO906" s="674">
        <f t="shared" si="1194"/>
        <v>299.81799999999998</v>
      </c>
      <c r="AP906" s="122">
        <f t="shared" si="1194"/>
        <v>787.69100000000003</v>
      </c>
      <c r="AQ906" s="122">
        <f t="shared" si="1194"/>
        <v>786.81799999999998</v>
      </c>
      <c r="AR906" s="122">
        <f t="shared" si="1194"/>
        <v>299.173</v>
      </c>
      <c r="AS906" s="122">
        <f t="shared" si="1194"/>
        <v>299.35000000000002</v>
      </c>
      <c r="AT906" s="674">
        <f t="shared" si="1194"/>
        <v>299.35000000000002</v>
      </c>
      <c r="AU906" s="122">
        <f t="shared" si="1194"/>
        <v>0</v>
      </c>
      <c r="AV906" s="122">
        <f t="shared" si="1194"/>
        <v>0</v>
      </c>
      <c r="AW906" s="122">
        <f t="shared" si="1194"/>
        <v>0</v>
      </c>
      <c r="AX906" s="122">
        <f t="shared" si="1194"/>
        <v>0</v>
      </c>
      <c r="AY906" s="674">
        <f t="shared" si="1194"/>
        <v>0</v>
      </c>
      <c r="AZ906" s="122">
        <f t="shared" si="1194"/>
        <v>0</v>
      </c>
      <c r="BA906" s="122">
        <f t="shared" si="1194"/>
        <v>0</v>
      </c>
      <c r="BB906" s="122">
        <f t="shared" si="1194"/>
        <v>0</v>
      </c>
      <c r="BC906" s="122">
        <f t="shared" si="1194"/>
        <v>0</v>
      </c>
      <c r="BD906" s="674">
        <f t="shared" si="1194"/>
        <v>0</v>
      </c>
      <c r="BE906" s="122">
        <f>BE1132+BE1138+BE1129</f>
        <v>0</v>
      </c>
      <c r="BF906" s="122">
        <f>BF1132+BF1138+BF1129</f>
        <v>0</v>
      </c>
      <c r="BG906" s="122">
        <f t="shared" ref="BG906" si="1195">BG1132+BG1138+BG1129</f>
        <v>0</v>
      </c>
      <c r="BH906" s="122">
        <f>BH1132+BH1138+BH1129</f>
        <v>0</v>
      </c>
      <c r="BI906" s="674">
        <f>BI1132+BI1138+BI1129</f>
        <v>0</v>
      </c>
      <c r="BJ906" s="1274">
        <f>BJ1132+BJ1138+BJ1129</f>
        <v>0</v>
      </c>
      <c r="BK906" s="118">
        <f>BJ906+BK886</f>
        <v>0</v>
      </c>
      <c r="BL906" s="118">
        <f>BK906+BL886</f>
        <v>0</v>
      </c>
      <c r="BM906" s="118">
        <f>BL906+BM886</f>
        <v>0</v>
      </c>
      <c r="BN906" s="401">
        <f>BN1132+BN1138+BN1129</f>
        <v>0</v>
      </c>
      <c r="BO906" s="118">
        <f>BN906+BO886</f>
        <v>0</v>
      </c>
      <c r="BP906" s="118">
        <f>BO906+BP886</f>
        <v>0</v>
      </c>
      <c r="BQ906" s="118">
        <f>BP906+BQ886</f>
        <v>0</v>
      </c>
      <c r="BR906" s="118">
        <f>BQ906+BR886</f>
        <v>0</v>
      </c>
      <c r="BS906" s="401">
        <f>BS1132+BS1138+BS1129</f>
        <v>0</v>
      </c>
      <c r="BT906" s="401">
        <f>BS906+BT886</f>
        <v>0</v>
      </c>
      <c r="BU906" s="401">
        <f>BT906+BU886</f>
        <v>0</v>
      </c>
      <c r="BV906" s="401">
        <f>BU906+BV886</f>
        <v>0</v>
      </c>
      <c r="BW906" s="122"/>
    </row>
    <row r="907" spans="1:75" s="123" customFormat="1" x14ac:dyDescent="0.5">
      <c r="A907" s="122" t="s">
        <v>1306</v>
      </c>
      <c r="B907" s="513"/>
      <c r="C907" s="674">
        <f t="shared" ref="C907:BD907" si="1196">C1139+C1131</f>
        <v>0</v>
      </c>
      <c r="D907" s="674">
        <f t="shared" si="1196"/>
        <v>0</v>
      </c>
      <c r="E907" s="674">
        <f t="shared" si="1196"/>
        <v>0</v>
      </c>
      <c r="F907" s="674">
        <f t="shared" si="1196"/>
        <v>0</v>
      </c>
      <c r="G907" s="122">
        <f t="shared" si="1196"/>
        <v>0</v>
      </c>
      <c r="H907" s="122">
        <f t="shared" si="1196"/>
        <v>0</v>
      </c>
      <c r="I907" s="122">
        <f t="shared" si="1196"/>
        <v>0</v>
      </c>
      <c r="J907" s="122">
        <f t="shared" si="1196"/>
        <v>0</v>
      </c>
      <c r="K907" s="674">
        <f t="shared" si="1196"/>
        <v>0</v>
      </c>
      <c r="L907" s="122">
        <f t="shared" si="1196"/>
        <v>0</v>
      </c>
      <c r="M907" s="122">
        <f t="shared" si="1196"/>
        <v>0</v>
      </c>
      <c r="N907" s="122">
        <f t="shared" si="1196"/>
        <v>0</v>
      </c>
      <c r="O907" s="122">
        <f t="shared" si="1196"/>
        <v>0</v>
      </c>
      <c r="P907" s="674">
        <f t="shared" si="1196"/>
        <v>0</v>
      </c>
      <c r="Q907" s="122">
        <f t="shared" si="1196"/>
        <v>0</v>
      </c>
      <c r="R907" s="122">
        <f t="shared" si="1196"/>
        <v>0</v>
      </c>
      <c r="S907" s="122">
        <f t="shared" si="1196"/>
        <v>0</v>
      </c>
      <c r="T907" s="122">
        <f t="shared" si="1196"/>
        <v>0</v>
      </c>
      <c r="U907" s="674">
        <f t="shared" si="1196"/>
        <v>0</v>
      </c>
      <c r="V907" s="122">
        <f t="shared" si="1196"/>
        <v>0</v>
      </c>
      <c r="W907" s="122">
        <f t="shared" si="1196"/>
        <v>0</v>
      </c>
      <c r="X907" s="122">
        <f t="shared" si="1196"/>
        <v>0</v>
      </c>
      <c r="Y907" s="122">
        <f t="shared" si="1196"/>
        <v>0</v>
      </c>
      <c r="Z907" s="674">
        <f t="shared" si="1196"/>
        <v>0</v>
      </c>
      <c r="AA907" s="122">
        <f t="shared" si="1196"/>
        <v>0</v>
      </c>
      <c r="AB907" s="122">
        <f t="shared" si="1196"/>
        <v>0</v>
      </c>
      <c r="AC907" s="122">
        <f t="shared" si="1196"/>
        <v>0</v>
      </c>
      <c r="AD907" s="122">
        <f t="shared" si="1196"/>
        <v>0</v>
      </c>
      <c r="AE907" s="674">
        <f t="shared" si="1196"/>
        <v>0</v>
      </c>
      <c r="AF907" s="122">
        <f t="shared" si="1196"/>
        <v>0</v>
      </c>
      <c r="AG907" s="122">
        <f t="shared" si="1196"/>
        <v>0</v>
      </c>
      <c r="AH907" s="122">
        <f t="shared" si="1196"/>
        <v>0</v>
      </c>
      <c r="AI907" s="122">
        <f t="shared" si="1196"/>
        <v>0</v>
      </c>
      <c r="AJ907" s="674">
        <f t="shared" si="1196"/>
        <v>0</v>
      </c>
      <c r="AK907" s="122">
        <f t="shared" si="1196"/>
        <v>1367.0519999999999</v>
      </c>
      <c r="AL907" s="122">
        <f t="shared" si="1196"/>
        <v>1371.009</v>
      </c>
      <c r="AM907" s="122">
        <f t="shared" si="1196"/>
        <v>1352.933</v>
      </c>
      <c r="AN907" s="122">
        <f t="shared" si="1196"/>
        <v>1322.502</v>
      </c>
      <c r="AO907" s="674">
        <f t="shared" si="1196"/>
        <v>1322.502</v>
      </c>
      <c r="AP907" s="122">
        <f t="shared" si="1196"/>
        <v>1334.0139999999999</v>
      </c>
      <c r="AQ907" s="122">
        <f t="shared" si="1196"/>
        <v>1302.1970000000001</v>
      </c>
      <c r="AR907" s="122">
        <f t="shared" si="1196"/>
        <v>1244.5900000000001</v>
      </c>
      <c r="AS907" s="122">
        <f t="shared" si="1196"/>
        <v>1234.8109999999999</v>
      </c>
      <c r="AT907" s="674">
        <f t="shared" si="1196"/>
        <v>1234.8109999999999</v>
      </c>
      <c r="AU907" s="122">
        <f t="shared" si="1196"/>
        <v>1208.027</v>
      </c>
      <c r="AV907" s="122">
        <f t="shared" si="1196"/>
        <v>1207.9490000000001</v>
      </c>
      <c r="AW907" s="122">
        <f t="shared" si="1196"/>
        <v>1313.6379999999999</v>
      </c>
      <c r="AX907" s="122">
        <f t="shared" si="1196"/>
        <v>1284.248</v>
      </c>
      <c r="AY907" s="674">
        <f t="shared" si="1196"/>
        <v>1284.248</v>
      </c>
      <c r="AZ907" s="122">
        <f t="shared" si="1196"/>
        <v>1249.8630000000001</v>
      </c>
      <c r="BA907" s="122">
        <f t="shared" si="1196"/>
        <v>1322.432</v>
      </c>
      <c r="BB907" s="122">
        <f t="shared" si="1196"/>
        <v>1428.086</v>
      </c>
      <c r="BC907" s="122">
        <f t="shared" si="1196"/>
        <v>1443.6579999999999</v>
      </c>
      <c r="BD907" s="674">
        <f t="shared" si="1196"/>
        <v>1443.6579999999999</v>
      </c>
      <c r="BE907" s="122">
        <f>BE1139+BE1131</f>
        <v>1415.982</v>
      </c>
      <c r="BF907" s="122">
        <f>BF1139+BF1131</f>
        <v>1390.376</v>
      </c>
      <c r="BG907" s="122">
        <f t="shared" ref="BG907:BV907" si="1197">BG1139+BG1131</f>
        <v>1394.8670000000002</v>
      </c>
      <c r="BH907" s="122">
        <f t="shared" si="1197"/>
        <v>1390.6210000000001</v>
      </c>
      <c r="BI907" s="674">
        <f t="shared" si="1197"/>
        <v>1390.6210000000001</v>
      </c>
      <c r="BJ907" s="1274">
        <f>BJ1139+BJ1131</f>
        <v>1341.884</v>
      </c>
      <c r="BK907" s="118">
        <f t="shared" si="1197"/>
        <v>1341.884</v>
      </c>
      <c r="BL907" s="118">
        <f t="shared" si="1197"/>
        <v>1341.884</v>
      </c>
      <c r="BM907" s="118">
        <f t="shared" si="1197"/>
        <v>1341.884</v>
      </c>
      <c r="BN907" s="401">
        <f t="shared" si="1197"/>
        <v>1341.884</v>
      </c>
      <c r="BO907" s="118">
        <f t="shared" si="1197"/>
        <v>1341.884</v>
      </c>
      <c r="BP907" s="118">
        <f t="shared" si="1197"/>
        <v>1341.884</v>
      </c>
      <c r="BQ907" s="118">
        <f t="shared" si="1197"/>
        <v>1341.884</v>
      </c>
      <c r="BR907" s="118">
        <f t="shared" si="1197"/>
        <v>1341.884</v>
      </c>
      <c r="BS907" s="401">
        <f t="shared" si="1197"/>
        <v>1341.884</v>
      </c>
      <c r="BT907" s="401">
        <f t="shared" si="1197"/>
        <v>1341.884</v>
      </c>
      <c r="BU907" s="401">
        <f t="shared" si="1197"/>
        <v>1341.884</v>
      </c>
      <c r="BV907" s="401">
        <f t="shared" si="1197"/>
        <v>1341.884</v>
      </c>
      <c r="BW907" s="122"/>
    </row>
    <row r="908" spans="1:75" s="123" customFormat="1" x14ac:dyDescent="0.5">
      <c r="A908" s="122" t="s">
        <v>1307</v>
      </c>
      <c r="B908" s="513"/>
      <c r="C908" s="674">
        <f t="shared" ref="C908:BD908" si="1198">C906+C907-C903</f>
        <v>-503.68399999999997</v>
      </c>
      <c r="D908" s="674">
        <f t="shared" si="1198"/>
        <v>-632.24299999999994</v>
      </c>
      <c r="E908" s="674">
        <f t="shared" si="1198"/>
        <v>-510.21600000000001</v>
      </c>
      <c r="F908" s="674">
        <f t="shared" si="1198"/>
        <v>-435.13300000000004</v>
      </c>
      <c r="G908" s="122">
        <f t="shared" si="1198"/>
        <v>-263.14799999999997</v>
      </c>
      <c r="H908" s="122">
        <f t="shared" si="1198"/>
        <v>-218.54600000000002</v>
      </c>
      <c r="I908" s="122">
        <f t="shared" si="1198"/>
        <v>-139.28099999999998</v>
      </c>
      <c r="J908" s="122">
        <f t="shared" si="1198"/>
        <v>-340.65699999999998</v>
      </c>
      <c r="K908" s="674">
        <f t="shared" si="1198"/>
        <v>-340.65699999999998</v>
      </c>
      <c r="L908" s="122">
        <f t="shared" si="1198"/>
        <v>-123.41200000000001</v>
      </c>
      <c r="M908" s="122">
        <f t="shared" si="1198"/>
        <v>-68.605999999999995</v>
      </c>
      <c r="N908" s="122">
        <f t="shared" si="1198"/>
        <v>-15.734999999999999</v>
      </c>
      <c r="O908" s="122">
        <f t="shared" si="1198"/>
        <v>-220.959</v>
      </c>
      <c r="P908" s="674">
        <f t="shared" si="1198"/>
        <v>-220.959</v>
      </c>
      <c r="Q908" s="122">
        <f t="shared" si="1198"/>
        <v>-16.882999999999996</v>
      </c>
      <c r="R908" s="122">
        <f t="shared" si="1198"/>
        <v>30.224000000000004</v>
      </c>
      <c r="S908" s="122">
        <f t="shared" si="1198"/>
        <v>127.736</v>
      </c>
      <c r="T908" s="122">
        <f t="shared" si="1198"/>
        <v>-193.64699999999999</v>
      </c>
      <c r="U908" s="674">
        <f t="shared" si="1198"/>
        <v>-193.64699999999999</v>
      </c>
      <c r="V908" s="122">
        <f t="shared" si="1198"/>
        <v>0.78300000000000125</v>
      </c>
      <c r="W908" s="122">
        <f t="shared" si="1198"/>
        <v>13.878</v>
      </c>
      <c r="X908" s="122">
        <f t="shared" si="1198"/>
        <v>49.619</v>
      </c>
      <c r="Y908" s="122">
        <f t="shared" si="1198"/>
        <v>-213.71299999999999</v>
      </c>
      <c r="Z908" s="674">
        <f t="shared" si="1198"/>
        <v>-213.71299999999999</v>
      </c>
      <c r="AA908" s="122">
        <f t="shared" si="1198"/>
        <v>-48.974999999999994</v>
      </c>
      <c r="AB908" s="122">
        <f t="shared" si="1198"/>
        <v>11.891000000000005</v>
      </c>
      <c r="AC908" s="122">
        <f t="shared" si="1198"/>
        <v>79.221000000000004</v>
      </c>
      <c r="AD908" s="122">
        <f t="shared" si="1198"/>
        <v>-90.713999999999999</v>
      </c>
      <c r="AE908" s="674">
        <f t="shared" si="1198"/>
        <v>-90.713999999999999</v>
      </c>
      <c r="AF908" s="122">
        <f t="shared" si="1198"/>
        <v>9.2279999999999518</v>
      </c>
      <c r="AG908" s="122">
        <f t="shared" si="1198"/>
        <v>124.941</v>
      </c>
      <c r="AH908" s="122">
        <f t="shared" si="1198"/>
        <v>195.15700000000004</v>
      </c>
      <c r="AI908" s="122">
        <f t="shared" si="1198"/>
        <v>-39.334000000000003</v>
      </c>
      <c r="AJ908" s="674">
        <f t="shared" si="1198"/>
        <v>-39.334000000000003</v>
      </c>
      <c r="AK908" s="122">
        <f t="shared" si="1198"/>
        <v>1559.039</v>
      </c>
      <c r="AL908" s="122">
        <f t="shared" si="1198"/>
        <v>1610.261</v>
      </c>
      <c r="AM908" s="122">
        <f t="shared" si="1198"/>
        <v>1597.6769999999999</v>
      </c>
      <c r="AN908" s="122">
        <f t="shared" si="1198"/>
        <v>1190.1579999999999</v>
      </c>
      <c r="AO908" s="674">
        <f t="shared" si="1198"/>
        <v>1190.1579999999999</v>
      </c>
      <c r="AP908" s="122">
        <f t="shared" si="1198"/>
        <v>1260.703</v>
      </c>
      <c r="AQ908" s="122">
        <f t="shared" si="1198"/>
        <v>1141.2550000000003</v>
      </c>
      <c r="AR908" s="122">
        <f t="shared" si="1198"/>
        <v>770.59300000000019</v>
      </c>
      <c r="AS908" s="122">
        <f t="shared" si="1198"/>
        <v>333.82400000000007</v>
      </c>
      <c r="AT908" s="674">
        <f t="shared" si="1198"/>
        <v>333.82400000000007</v>
      </c>
      <c r="AU908" s="122">
        <f t="shared" si="1198"/>
        <v>568.35700000000008</v>
      </c>
      <c r="AV908" s="122">
        <f t="shared" si="1198"/>
        <v>552.73800000000006</v>
      </c>
      <c r="AW908" s="122">
        <f t="shared" si="1198"/>
        <v>656.7399999999999</v>
      </c>
      <c r="AX908" s="122">
        <f t="shared" si="1198"/>
        <v>433.91000000000008</v>
      </c>
      <c r="AY908" s="674">
        <f t="shared" si="1198"/>
        <v>433.91000000000008</v>
      </c>
      <c r="AZ908" s="122">
        <f t="shared" si="1198"/>
        <v>925.02800000000002</v>
      </c>
      <c r="BA908" s="122">
        <f t="shared" si="1198"/>
        <v>1197.4880000000001</v>
      </c>
      <c r="BB908" s="122">
        <f t="shared" si="1198"/>
        <v>1315.028</v>
      </c>
      <c r="BC908" s="122">
        <f t="shared" si="1198"/>
        <v>1076.3139999999999</v>
      </c>
      <c r="BD908" s="674">
        <f t="shared" si="1198"/>
        <v>1076.3139999999999</v>
      </c>
      <c r="BE908" s="122">
        <f>BE906+BE907-BE903</f>
        <v>1118.691</v>
      </c>
      <c r="BF908" s="122">
        <f>BF906+BF907-BF903</f>
        <v>875.94100000000003</v>
      </c>
      <c r="BG908" s="122">
        <f t="shared" ref="BG908:BV908" si="1199">BG906+BG907-BG903</f>
        <v>696.06000000000017</v>
      </c>
      <c r="BH908" s="122">
        <f t="shared" si="1199"/>
        <v>128.61400000000003</v>
      </c>
      <c r="BI908" s="674">
        <f t="shared" si="1199"/>
        <v>128.61400000000003</v>
      </c>
      <c r="BJ908" s="1274">
        <f>BJ906+BJ907-BJ903</f>
        <v>87.097999999999956</v>
      </c>
      <c r="BK908" s="118">
        <f t="shared" ca="1" si="1199"/>
        <v>51.334805667281216</v>
      </c>
      <c r="BL908" s="118">
        <f t="shared" ca="1" si="1199"/>
        <v>-166.06566553293942</v>
      </c>
      <c r="BM908" s="118">
        <f t="shared" ca="1" si="1199"/>
        <v>-688.00098855481292</v>
      </c>
      <c r="BN908" s="401">
        <f t="shared" ca="1" si="1199"/>
        <v>-688.00098855481292</v>
      </c>
      <c r="BO908" s="118">
        <f t="shared" ca="1" si="1199"/>
        <v>-669.28952955553882</v>
      </c>
      <c r="BP908" s="118">
        <f t="shared" ca="1" si="1199"/>
        <v>-685.54286766496693</v>
      </c>
      <c r="BQ908" s="118">
        <f t="shared" ca="1" si="1199"/>
        <v>-915.11243671386092</v>
      </c>
      <c r="BR908" s="118">
        <f t="shared" ca="1" si="1199"/>
        <v>-1411.7051509757662</v>
      </c>
      <c r="BS908" s="401">
        <f t="shared" ca="1" si="1199"/>
        <v>-1411.7051509757662</v>
      </c>
      <c r="BT908" s="401">
        <f t="shared" ca="1" si="1199"/>
        <v>-2226.6460621953861</v>
      </c>
      <c r="BU908" s="401">
        <f t="shared" ca="1" si="1199"/>
        <v>-3184.25492939174</v>
      </c>
      <c r="BV908" s="401">
        <f t="shared" ca="1" si="1199"/>
        <v>-4286.6150877326972</v>
      </c>
      <c r="BW908" s="122"/>
    </row>
    <row r="909" spans="1:75" s="123" customFormat="1" x14ac:dyDescent="0.5">
      <c r="A909" s="118"/>
      <c r="B909" s="513"/>
      <c r="C909" s="401"/>
      <c r="D909" s="401"/>
      <c r="E909" s="401"/>
      <c r="F909" s="401"/>
      <c r="G909" s="118"/>
      <c r="H909" s="118"/>
      <c r="I909" s="118"/>
      <c r="J909" s="118"/>
      <c r="K909" s="401"/>
      <c r="L909" s="118"/>
      <c r="M909" s="118"/>
      <c r="N909" s="118"/>
      <c r="O909" s="118"/>
      <c r="P909" s="401"/>
      <c r="Q909" s="118"/>
      <c r="R909" s="118"/>
      <c r="S909" s="118"/>
      <c r="T909" s="118"/>
      <c r="U909" s="401"/>
      <c r="V909" s="118"/>
      <c r="W909" s="118"/>
      <c r="X909" s="118"/>
      <c r="Y909" s="118"/>
      <c r="Z909" s="401"/>
      <c r="AA909" s="118"/>
      <c r="AB909" s="118"/>
      <c r="AC909" s="118"/>
      <c r="AD909" s="118"/>
      <c r="AE909" s="401"/>
      <c r="AF909" s="118"/>
      <c r="AG909" s="118"/>
      <c r="AH909" s="118"/>
      <c r="AI909" s="118"/>
      <c r="AJ909" s="401"/>
      <c r="AK909" s="118"/>
      <c r="AL909" s="118"/>
      <c r="AM909" s="118"/>
      <c r="AN909" s="118"/>
      <c r="AO909" s="401"/>
      <c r="AP909" s="118"/>
      <c r="AQ909" s="118"/>
      <c r="AR909" s="118"/>
      <c r="AS909" s="118"/>
      <c r="AT909" s="401"/>
      <c r="AU909" s="118"/>
      <c r="AV909" s="118"/>
      <c r="AW909" s="118"/>
      <c r="AX909" s="118"/>
      <c r="AY909" s="401"/>
      <c r="AZ909" s="118"/>
      <c r="BA909" s="118"/>
      <c r="BB909" s="118"/>
      <c r="BC909" s="118"/>
      <c r="BD909" s="401"/>
      <c r="BE909" s="118"/>
      <c r="BF909" s="118"/>
      <c r="BG909" s="118"/>
      <c r="BH909" s="118"/>
      <c r="BI909" s="401"/>
      <c r="BJ909" s="971"/>
      <c r="BK909" s="118"/>
      <c r="BL909" s="118"/>
      <c r="BM909" s="118"/>
      <c r="BN909" s="401"/>
      <c r="BO909" s="118"/>
      <c r="BP909" s="118"/>
      <c r="BQ909" s="118"/>
      <c r="BR909" s="118"/>
      <c r="BS909" s="401"/>
      <c r="BT909" s="401"/>
      <c r="BU909" s="401"/>
      <c r="BV909" s="401"/>
      <c r="BW909" s="122"/>
    </row>
    <row r="910" spans="1:75" s="123" customFormat="1" x14ac:dyDescent="0.5">
      <c r="A910" s="122" t="s">
        <v>2108</v>
      </c>
      <c r="B910" s="513"/>
      <c r="C910" s="186"/>
      <c r="D910" s="186"/>
      <c r="E910" s="186"/>
      <c r="F910" s="186"/>
      <c r="G910" s="187"/>
      <c r="H910" s="187"/>
      <c r="I910" s="187"/>
      <c r="J910" s="187"/>
      <c r="K910" s="186"/>
      <c r="L910" s="187"/>
      <c r="M910" s="187"/>
      <c r="N910" s="187"/>
      <c r="O910" s="187"/>
      <c r="P910" s="186"/>
      <c r="Q910" s="187"/>
      <c r="R910" s="187"/>
      <c r="S910" s="187"/>
      <c r="T910" s="187"/>
      <c r="U910" s="186"/>
      <c r="V910" s="187"/>
      <c r="W910" s="187"/>
      <c r="X910" s="187"/>
      <c r="Y910" s="187"/>
      <c r="Z910" s="186"/>
      <c r="AA910" s="187"/>
      <c r="AB910" s="187"/>
      <c r="AC910" s="187"/>
      <c r="AD910" s="187"/>
      <c r="AE910" s="186"/>
      <c r="AF910" s="187"/>
      <c r="AG910" s="187"/>
      <c r="AH910" s="187"/>
      <c r="AI910" s="187"/>
      <c r="AJ910" s="186"/>
      <c r="AK910" s="187"/>
      <c r="AL910" s="187"/>
      <c r="AM910" s="187"/>
      <c r="AN910" s="187"/>
      <c r="AO910" s="186"/>
      <c r="AP910" s="187"/>
      <c r="AQ910" s="187"/>
      <c r="AR910" s="187"/>
      <c r="AS910" s="187"/>
      <c r="AT910" s="186"/>
      <c r="AU910" s="187"/>
      <c r="AV910" s="187"/>
      <c r="AW910" s="187"/>
      <c r="AX910" s="187"/>
      <c r="AY910" s="186"/>
      <c r="AZ910" s="187"/>
      <c r="BA910" s="187"/>
      <c r="BB910" s="187"/>
      <c r="BC910" s="187"/>
      <c r="BD910" s="186"/>
      <c r="BE910" s="187"/>
      <c r="BF910" s="187"/>
      <c r="BG910" s="187"/>
      <c r="BH910" s="187"/>
      <c r="BI910" s="186"/>
      <c r="BJ910" s="1223"/>
      <c r="BK910" s="187">
        <f>BK912+BK911</f>
        <v>0</v>
      </c>
      <c r="BL910" s="187">
        <f>BL912+BL911</f>
        <v>0</v>
      </c>
      <c r="BM910" s="187">
        <f>BM912+BM911</f>
        <v>0</v>
      </c>
      <c r="BN910" s="186" t="str">
        <f>IF(OR(ISBLANK(BJ910),ISBLANK(BK910),ISBLANK(BL910),ISBLANK(BM910)),"n/a",SUM(BJ910,BK910,BL910,BM910))</f>
        <v>n/a</v>
      </c>
      <c r="BO910" s="187">
        <f>BO912+BO911</f>
        <v>0</v>
      </c>
      <c r="BP910" s="187">
        <f>BP912+BP911</f>
        <v>0</v>
      </c>
      <c r="BQ910" s="187">
        <f>BQ912+BQ911</f>
        <v>0</v>
      </c>
      <c r="BR910" s="187">
        <f>BR912+BR911</f>
        <v>0</v>
      </c>
      <c r="BS910" s="186">
        <f>IF(OR(ISBLANK(BO910),ISBLANK(BP910),ISBLANK(BQ910),ISBLANK(BR910)),"n/a",SUM(BO910,BP910,BQ910,BR910))</f>
        <v>0</v>
      </c>
      <c r="BT910" s="186">
        <f>BT912+BT911</f>
        <v>0</v>
      </c>
      <c r="BU910" s="186">
        <f>BU912+BU911</f>
        <v>0</v>
      </c>
      <c r="BV910" s="186">
        <f>BV912+BV911</f>
        <v>0</v>
      </c>
      <c r="BW910" s="122"/>
    </row>
    <row r="911" spans="1:75" s="123" customFormat="1" x14ac:dyDescent="0.5">
      <c r="A911" s="445" t="s">
        <v>1310</v>
      </c>
      <c r="B911" s="677"/>
      <c r="C911" s="874"/>
      <c r="D911" s="874"/>
      <c r="E911" s="874"/>
      <c r="F911" s="874"/>
      <c r="G911" s="875"/>
      <c r="H911" s="875"/>
      <c r="I911" s="875"/>
      <c r="J911" s="875"/>
      <c r="K911" s="874"/>
      <c r="L911" s="875"/>
      <c r="M911" s="875"/>
      <c r="N911" s="875"/>
      <c r="O911" s="875"/>
      <c r="P911" s="874"/>
      <c r="Q911" s="875"/>
      <c r="R911" s="875"/>
      <c r="S911" s="875"/>
      <c r="T911" s="875"/>
      <c r="U911" s="874"/>
      <c r="V911" s="875"/>
      <c r="W911" s="875"/>
      <c r="X911" s="875"/>
      <c r="Y911" s="875"/>
      <c r="Z911" s="874"/>
      <c r="AA911" s="875"/>
      <c r="AB911" s="875"/>
      <c r="AC911" s="875"/>
      <c r="AD911" s="875"/>
      <c r="AE911" s="874"/>
      <c r="AF911" s="875"/>
      <c r="AG911" s="875"/>
      <c r="AH911" s="875"/>
      <c r="AI911" s="875"/>
      <c r="AJ911" s="874"/>
      <c r="AK911" s="875"/>
      <c r="AL911" s="875"/>
      <c r="AM911" s="875"/>
      <c r="AN911" s="875"/>
      <c r="AO911" s="874"/>
      <c r="AP911" s="875"/>
      <c r="AQ911" s="875"/>
      <c r="AR911" s="875"/>
      <c r="AS911" s="875"/>
      <c r="AT911" s="874"/>
      <c r="AU911" s="875"/>
      <c r="AV911" s="875"/>
      <c r="AW911" s="875"/>
      <c r="AX911" s="875"/>
      <c r="AY911" s="874"/>
      <c r="AZ911" s="875"/>
      <c r="BA911" s="875"/>
      <c r="BB911" s="875"/>
      <c r="BC911" s="875"/>
      <c r="BD911" s="874"/>
      <c r="BE911" s="875"/>
      <c r="BF911" s="875"/>
      <c r="BG911" s="875"/>
      <c r="BH911" s="875"/>
      <c r="BI911" s="874"/>
      <c r="BJ911" s="1224"/>
      <c r="BK911" s="877">
        <v>0</v>
      </c>
      <c r="BL911" s="877">
        <v>0</v>
      </c>
      <c r="BM911" s="877">
        <v>0</v>
      </c>
      <c r="BN911" s="874" t="str">
        <f>IF(OR(ISBLANK(BJ911),ISBLANK(BK911),ISBLANK(BL911),ISBLANK(BM911)),"n/a",SUM(BJ911,BK911,BL911,BM911))</f>
        <v>n/a</v>
      </c>
      <c r="BO911" s="877">
        <v>0</v>
      </c>
      <c r="BP911" s="877">
        <v>0</v>
      </c>
      <c r="BQ911" s="877">
        <v>0</v>
      </c>
      <c r="BR911" s="877">
        <v>0</v>
      </c>
      <c r="BS911" s="874">
        <f>IF(OR(ISBLANK(BO911),ISBLANK(BP911),ISBLANK(BQ911),ISBLANK(BR911)),"n/a",SUM(BO911,BP911,BQ911,BR911))</f>
        <v>0</v>
      </c>
      <c r="BT911" s="878">
        <v>0</v>
      </c>
      <c r="BU911" s="878">
        <v>0</v>
      </c>
      <c r="BV911" s="878">
        <v>0</v>
      </c>
      <c r="BW911" s="118"/>
    </row>
    <row r="912" spans="1:75" s="123" customFormat="1" x14ac:dyDescent="0.5">
      <c r="A912" s="879" t="s">
        <v>1311</v>
      </c>
      <c r="B912" s="880"/>
      <c r="C912" s="612"/>
      <c r="D912" s="612"/>
      <c r="E912" s="612"/>
      <c r="F912" s="612"/>
      <c r="G912" s="613"/>
      <c r="H912" s="613"/>
      <c r="I912" s="613"/>
      <c r="J912" s="613"/>
      <c r="K912" s="612"/>
      <c r="L912" s="613"/>
      <c r="M912" s="613"/>
      <c r="N912" s="613"/>
      <c r="O912" s="613"/>
      <c r="P912" s="612"/>
      <c r="Q912" s="613"/>
      <c r="R912" s="613"/>
      <c r="S912" s="613"/>
      <c r="T912" s="613"/>
      <c r="U912" s="612"/>
      <c r="V912" s="613"/>
      <c r="W912" s="613"/>
      <c r="X912" s="613"/>
      <c r="Y912" s="613"/>
      <c r="Z912" s="612"/>
      <c r="AA912" s="613"/>
      <c r="AB912" s="613"/>
      <c r="AC912" s="613"/>
      <c r="AD912" s="613"/>
      <c r="AE912" s="612"/>
      <c r="AF912" s="613"/>
      <c r="AG912" s="613"/>
      <c r="AH912" s="613"/>
      <c r="AI912" s="613"/>
      <c r="AJ912" s="612"/>
      <c r="AK912" s="613"/>
      <c r="AL912" s="613"/>
      <c r="AM912" s="613"/>
      <c r="AN912" s="613"/>
      <c r="AO912" s="612"/>
      <c r="AP912" s="613"/>
      <c r="AQ912" s="613"/>
      <c r="AR912" s="613"/>
      <c r="AS912" s="613"/>
      <c r="AT912" s="612"/>
      <c r="AU912" s="613"/>
      <c r="AV912" s="613"/>
      <c r="AW912" s="613"/>
      <c r="AX912" s="613"/>
      <c r="AY912" s="612"/>
      <c r="AZ912" s="613"/>
      <c r="BA912" s="613"/>
      <c r="BB912" s="613"/>
      <c r="BC912" s="613"/>
      <c r="BD912" s="612"/>
      <c r="BE912" s="613"/>
      <c r="BF912" s="613"/>
      <c r="BG912" s="613"/>
      <c r="BH912" s="613"/>
      <c r="BI912" s="612"/>
      <c r="BJ912" s="1225"/>
      <c r="BK912" s="613">
        <f>MAX(0,BK913*AVERAGE(BJ906,BK906)*BK3/BN3)</f>
        <v>0</v>
      </c>
      <c r="BL912" s="613">
        <f>MAX(0,BL913*AVERAGE(BK906,BL906)*BL3/BN3)</f>
        <v>0</v>
      </c>
      <c r="BM912" s="613">
        <f>MAX(0,BM913*AVERAGE(BL906,BM906)*BM3/BN3)</f>
        <v>0</v>
      </c>
      <c r="BN912" s="612" t="str">
        <f>IF(OR(ISBLANK(BJ912),ISBLANK(BK912),ISBLANK(BL912),ISBLANK(BM912)),"n/a",SUM(BJ912,BK912,BL912,BM912))</f>
        <v>n/a</v>
      </c>
      <c r="BO912" s="613">
        <f>MAX(0,BO913*AVERAGE(BN906,BO906)*BO3/BS3)</f>
        <v>0</v>
      </c>
      <c r="BP912" s="613">
        <f>MAX(0,BP913*AVERAGE(BO906,BP906)*BP3/BS3)</f>
        <v>0</v>
      </c>
      <c r="BQ912" s="613">
        <f>MAX(0,BQ913*AVERAGE(BP906,BQ906)*BQ3/BS3)</f>
        <v>0</v>
      </c>
      <c r="BR912" s="613">
        <f>MAX(0,BR913*AVERAGE(BQ906,BR906)*BR3/BS3)</f>
        <v>0</v>
      </c>
      <c r="BS912" s="612">
        <f>IF(OR(ISBLANK(BO912),ISBLANK(BP912),ISBLANK(BQ912),ISBLANK(BR912)),"n/a",SUM(BO912,BP912,BQ912,BR912))</f>
        <v>0</v>
      </c>
      <c r="BT912" s="612">
        <f>BT913*AVERAGE(BS906,BT906)</f>
        <v>0</v>
      </c>
      <c r="BU912" s="612">
        <f>BU913*AVERAGE(BT906,BU906)</f>
        <v>0</v>
      </c>
      <c r="BV912" s="612">
        <f>BV913*AVERAGE(BU906,BV906)</f>
        <v>0</v>
      </c>
      <c r="BW912" s="118"/>
    </row>
    <row r="913" spans="1:75" s="123" customFormat="1" x14ac:dyDescent="0.5">
      <c r="A913" s="197" t="s">
        <v>1312</v>
      </c>
      <c r="B913" s="522"/>
      <c r="C913" s="180"/>
      <c r="D913" s="180"/>
      <c r="E913" s="180"/>
      <c r="F913" s="180"/>
      <c r="G913" s="183"/>
      <c r="H913" s="183"/>
      <c r="I913" s="183"/>
      <c r="J913" s="183"/>
      <c r="K913" s="180"/>
      <c r="L913" s="183"/>
      <c r="M913" s="183"/>
      <c r="N913" s="183"/>
      <c r="O913" s="183"/>
      <c r="P913" s="180"/>
      <c r="Q913" s="183"/>
      <c r="R913" s="183"/>
      <c r="S913" s="183"/>
      <c r="T913" s="183"/>
      <c r="U913" s="180"/>
      <c r="V913" s="183"/>
      <c r="W913" s="183"/>
      <c r="X913" s="183"/>
      <c r="Y913" s="183"/>
      <c r="Z913" s="180"/>
      <c r="AA913" s="183"/>
      <c r="AB913" s="183"/>
      <c r="AC913" s="183"/>
      <c r="AD913" s="183"/>
      <c r="AE913" s="180"/>
      <c r="AF913" s="183"/>
      <c r="AG913" s="183"/>
      <c r="AH913" s="183"/>
      <c r="AI913" s="183"/>
      <c r="AJ913" s="180"/>
      <c r="AK913" s="183"/>
      <c r="AL913" s="183"/>
      <c r="AM913" s="183"/>
      <c r="AN913" s="183"/>
      <c r="AO913" s="180"/>
      <c r="AP913" s="183"/>
      <c r="AQ913" s="183"/>
      <c r="AR913" s="183"/>
      <c r="AS913" s="183"/>
      <c r="AT913" s="180"/>
      <c r="AU913" s="183"/>
      <c r="AV913" s="183"/>
      <c r="AW913" s="183"/>
      <c r="AX913" s="183"/>
      <c r="AY913" s="180"/>
      <c r="AZ913" s="183"/>
      <c r="BA913" s="183"/>
      <c r="BB913" s="183"/>
      <c r="BC913" s="183"/>
      <c r="BD913" s="180"/>
      <c r="BE913" s="183"/>
      <c r="BF913" s="183"/>
      <c r="BG913" s="183"/>
      <c r="BH913" s="183"/>
      <c r="BI913" s="180"/>
      <c r="BJ913" s="1112"/>
      <c r="BK913" s="881">
        <v>0.04</v>
      </c>
      <c r="BL913" s="881">
        <v>0.04</v>
      </c>
      <c r="BM913" s="881">
        <v>0.04</v>
      </c>
      <c r="BN913" s="180" t="str">
        <f>IFERROR(BN912/AVERAGE(BJ906,BK906,BL906,BM906),"n/a")</f>
        <v>n/a</v>
      </c>
      <c r="BO913" s="881">
        <v>0.04</v>
      </c>
      <c r="BP913" s="881">
        <v>0.04</v>
      </c>
      <c r="BQ913" s="881">
        <v>0.04</v>
      </c>
      <c r="BR913" s="881">
        <v>0.04</v>
      </c>
      <c r="BS913" s="180" t="str">
        <f>IFERROR(BS912/AVERAGE(BO906,BP906,BQ906,BR906),"n/a")</f>
        <v>n/a</v>
      </c>
      <c r="BT913" s="882">
        <v>0.04</v>
      </c>
      <c r="BU913" s="882">
        <v>0.04</v>
      </c>
      <c r="BV913" s="882">
        <v>0.04</v>
      </c>
      <c r="BW913" s="122"/>
    </row>
    <row r="914" spans="1:75" s="123" customFormat="1" x14ac:dyDescent="0.5">
      <c r="A914" s="118" t="s">
        <v>1313</v>
      </c>
      <c r="B914" s="513"/>
      <c r="C914" s="186"/>
      <c r="D914" s="186"/>
      <c r="E914" s="186"/>
      <c r="F914" s="186"/>
      <c r="G914" s="187"/>
      <c r="H914" s="187"/>
      <c r="I914" s="187"/>
      <c r="J914" s="187"/>
      <c r="K914" s="186"/>
      <c r="L914" s="187"/>
      <c r="M914" s="187"/>
      <c r="N914" s="187"/>
      <c r="O914" s="187"/>
      <c r="P914" s="186"/>
      <c r="Q914" s="187"/>
      <c r="R914" s="187"/>
      <c r="S914" s="187"/>
      <c r="T914" s="187"/>
      <c r="U914" s="186"/>
      <c r="V914" s="187"/>
      <c r="W914" s="187"/>
      <c r="X914" s="187"/>
      <c r="Y914" s="187"/>
      <c r="Z914" s="186"/>
      <c r="AA914" s="187"/>
      <c r="AB914" s="187"/>
      <c r="AC914" s="187"/>
      <c r="AD914" s="187"/>
      <c r="AE914" s="186"/>
      <c r="AF914" s="187"/>
      <c r="AG914" s="187"/>
      <c r="AH914" s="187"/>
      <c r="AI914" s="187"/>
      <c r="AJ914" s="186"/>
      <c r="AK914" s="187"/>
      <c r="AL914" s="187"/>
      <c r="AM914" s="187"/>
      <c r="AN914" s="187"/>
      <c r="AO914" s="186"/>
      <c r="AP914" s="187"/>
      <c r="AQ914" s="187"/>
      <c r="AR914" s="187"/>
      <c r="AS914" s="187"/>
      <c r="AT914" s="186"/>
      <c r="AU914" s="187"/>
      <c r="AV914" s="187"/>
      <c r="AW914" s="187"/>
      <c r="AX914" s="187"/>
      <c r="AY914" s="186"/>
      <c r="AZ914" s="187"/>
      <c r="BA914" s="187"/>
      <c r="BB914" s="187"/>
      <c r="BC914" s="187"/>
      <c r="BD914" s="186"/>
      <c r="BE914" s="187"/>
      <c r="BF914" s="187"/>
      <c r="BG914" s="187"/>
      <c r="BH914" s="187"/>
      <c r="BI914" s="186"/>
      <c r="BJ914" s="1223"/>
      <c r="BK914" s="187">
        <f>MAX(0,BK915*BJ903*BK3/BN3)</f>
        <v>7.078887056603774</v>
      </c>
      <c r="BL914" s="187">
        <f ca="1">MAX(0,BL915*BK903*BL3/BN3)</f>
        <v>7.2806454548204318</v>
      </c>
      <c r="BM914" s="187">
        <f ca="1">MAX(0,BM915*BL903*BM3/BN3)</f>
        <v>9.1615055151246505</v>
      </c>
      <c r="BN914" s="186" t="str">
        <f ca="1">IF(OR(ISBLANK(BJ914),ISBLANK(BK914),ISBLANK(BL914),ISBLANK(BM914)),"n/a",SUM(BJ914,BK914,BL914,BM914))</f>
        <v>n/a</v>
      </c>
      <c r="BO914" s="187">
        <f ca="1">MAX(0,BO915*BN903*BO3/BS3)</f>
        <v>11.671838684190174</v>
      </c>
      <c r="BP914" s="187">
        <f ca="1">MAX(0,BP915*BO903*BP3/BS3)</f>
        <v>11.564247794944349</v>
      </c>
      <c r="BQ914" s="187">
        <f ca="1">MAX(0,BQ915*BP903*BQ3/BS3)</f>
        <v>11.657704489073559</v>
      </c>
      <c r="BR914" s="187">
        <f ca="1">MAX(0,BR915*BQ903*BR3/BS3)</f>
        <v>12.977729511104702</v>
      </c>
      <c r="BS914" s="186">
        <f ca="1">IF(OR(ISBLANK(BO914),ISBLANK(BP914),ISBLANK(BQ914),ISBLANK(BR914)),"n/a",SUM(BO914,BP914,BQ914,BR914))</f>
        <v>47.871520479312778</v>
      </c>
      <c r="BT914" s="186">
        <f ca="1">MAX(0,BT915*BS903)</f>
        <v>63.33255047244262</v>
      </c>
      <c r="BU914" s="186">
        <f ca="1">MAX(0,BU915*BT903)</f>
        <v>82.076191430493878</v>
      </c>
      <c r="BV914" s="186">
        <f ca="1">MAX(0,BV915*BU903)</f>
        <v>104.10119537601003</v>
      </c>
      <c r="BW914" s="122"/>
    </row>
    <row r="915" spans="1:75" s="123" customFormat="1" x14ac:dyDescent="0.5">
      <c r="A915" s="295" t="s">
        <v>1314</v>
      </c>
      <c r="B915" s="522"/>
      <c r="C915" s="180"/>
      <c r="D915" s="180"/>
      <c r="E915" s="180"/>
      <c r="F915" s="180"/>
      <c r="G915" s="183"/>
      <c r="H915" s="183"/>
      <c r="I915" s="183"/>
      <c r="J915" s="183"/>
      <c r="K915" s="180"/>
      <c r="L915" s="183"/>
      <c r="M915" s="183"/>
      <c r="N915" s="183"/>
      <c r="O915" s="183"/>
      <c r="P915" s="180"/>
      <c r="Q915" s="183"/>
      <c r="R915" s="183"/>
      <c r="S915" s="183"/>
      <c r="T915" s="183"/>
      <c r="U915" s="180"/>
      <c r="V915" s="183"/>
      <c r="W915" s="183"/>
      <c r="X915" s="183"/>
      <c r="Y915" s="183"/>
      <c r="Z915" s="180"/>
      <c r="AA915" s="183"/>
      <c r="AB915" s="183"/>
      <c r="AC915" s="183"/>
      <c r="AD915" s="183"/>
      <c r="AE915" s="180"/>
      <c r="AF915" s="183"/>
      <c r="AG915" s="183"/>
      <c r="AH915" s="183"/>
      <c r="AI915" s="183"/>
      <c r="AJ915" s="180"/>
      <c r="AK915" s="183"/>
      <c r="AL915" s="183"/>
      <c r="AM915" s="183"/>
      <c r="AN915" s="183"/>
      <c r="AO915" s="180"/>
      <c r="AP915" s="183"/>
      <c r="AQ915" s="183"/>
      <c r="AR915" s="183"/>
      <c r="AS915" s="183"/>
      <c r="AT915" s="180"/>
      <c r="AU915" s="183"/>
      <c r="AV915" s="183"/>
      <c r="AW915" s="183"/>
      <c r="AX915" s="183"/>
      <c r="AY915" s="180"/>
      <c r="AZ915" s="183"/>
      <c r="BA915" s="183"/>
      <c r="BB915" s="183"/>
      <c r="BC915" s="183"/>
      <c r="BD915" s="180"/>
      <c r="BE915" s="183"/>
      <c r="BF915" s="183"/>
      <c r="BG915" s="183"/>
      <c r="BH915" s="183"/>
      <c r="BI915" s="180"/>
      <c r="BJ915" s="1112"/>
      <c r="BK915" s="881">
        <v>2.3E-2</v>
      </c>
      <c r="BL915" s="881">
        <v>2.3E-2</v>
      </c>
      <c r="BM915" s="881">
        <v>2.3E-2</v>
      </c>
      <c r="BN915" s="180" t="str">
        <f ca="1">IFERROR(BN914/AVERAGE(BJ903,BK903,BL903,BM903),"n/a")</f>
        <v>n/a</v>
      </c>
      <c r="BO915" s="881">
        <v>2.3E-2</v>
      </c>
      <c r="BP915" s="881">
        <v>2.3E-2</v>
      </c>
      <c r="BQ915" s="881">
        <v>2.3E-2</v>
      </c>
      <c r="BR915" s="881">
        <v>2.3E-2</v>
      </c>
      <c r="BS915" s="180">
        <f ca="1">IFERROR(BS914/AVERAGE(BO903,BP903,BQ903,BR903),"n/a")</f>
        <v>2.1160586403745216E-2</v>
      </c>
      <c r="BT915" s="882">
        <v>2.3E-2</v>
      </c>
      <c r="BU915" s="882">
        <v>2.3E-2</v>
      </c>
      <c r="BV915" s="882">
        <v>2.3E-2</v>
      </c>
      <c r="BW915" s="122"/>
    </row>
    <row r="916" spans="1:75" s="123" customFormat="1" x14ac:dyDescent="0.5">
      <c r="A916" s="118" t="s">
        <v>1315</v>
      </c>
      <c r="B916" s="513"/>
      <c r="C916" s="186">
        <f t="shared" ref="C916:BG916" si="1200">C772</f>
        <v>1.153</v>
      </c>
      <c r="D916" s="186">
        <f t="shared" si="1200"/>
        <v>0.35399999999999998</v>
      </c>
      <c r="E916" s="186">
        <f t="shared" si="1200"/>
        <v>-9.8000000000000004E-2</v>
      </c>
      <c r="F916" s="186">
        <f t="shared" si="1200"/>
        <v>-0.79300000000000004</v>
      </c>
      <c r="G916" s="187">
        <f t="shared" si="1200"/>
        <v>-0.189</v>
      </c>
      <c r="H916" s="187">
        <f t="shared" si="1200"/>
        <v>-0.125</v>
      </c>
      <c r="I916" s="187">
        <f t="shared" si="1200"/>
        <v>-0.10299999999999999</v>
      </c>
      <c r="J916" s="187">
        <f t="shared" si="1200"/>
        <v>-0.16700000000000001</v>
      </c>
      <c r="K916" s="186">
        <f t="shared" si="1200"/>
        <v>-0.58399999999999996</v>
      </c>
      <c r="L916" s="187">
        <f t="shared" si="1200"/>
        <v>-6.9000000000000006E-2</v>
      </c>
      <c r="M916" s="187">
        <f t="shared" si="1200"/>
        <v>0.04</v>
      </c>
      <c r="N916" s="187">
        <f t="shared" si="1200"/>
        <v>0.11700000000000001</v>
      </c>
      <c r="O916" s="187">
        <f t="shared" si="1200"/>
        <v>-2.5999999999999999E-2</v>
      </c>
      <c r="P916" s="186">
        <f t="shared" si="1200"/>
        <v>6.2E-2</v>
      </c>
      <c r="Q916" s="187">
        <f t="shared" si="1200"/>
        <v>8.0000000000000002E-3</v>
      </c>
      <c r="R916" s="187">
        <f t="shared" si="1200"/>
        <v>0.27500000000000002</v>
      </c>
      <c r="S916" s="187">
        <f t="shared" si="1200"/>
        <v>0.34200000000000003</v>
      </c>
      <c r="T916" s="187">
        <f t="shared" si="1200"/>
        <v>2E-3</v>
      </c>
      <c r="U916" s="186">
        <f t="shared" si="1200"/>
        <v>0.627</v>
      </c>
      <c r="V916" s="187">
        <f t="shared" si="1200"/>
        <v>-6.8000000000000005E-2</v>
      </c>
      <c r="W916" s="187">
        <f t="shared" si="1200"/>
        <v>0.16700000000000001</v>
      </c>
      <c r="X916" s="187">
        <f t="shared" si="1200"/>
        <v>0.48799999999999999</v>
      </c>
      <c r="Y916" s="187">
        <f t="shared" si="1200"/>
        <v>0.10100000000000001</v>
      </c>
      <c r="Z916" s="186">
        <f t="shared" si="1200"/>
        <v>0.68799999999999994</v>
      </c>
      <c r="AA916" s="187">
        <f t="shared" si="1200"/>
        <v>-0.10299999999999999</v>
      </c>
      <c r="AB916" s="187">
        <f t="shared" si="1200"/>
        <v>0.48299999999999998</v>
      </c>
      <c r="AC916" s="187">
        <f t="shared" si="1200"/>
        <v>0.59399999999999997</v>
      </c>
      <c r="AD916" s="187">
        <f t="shared" si="1200"/>
        <v>0.39800000000000002</v>
      </c>
      <c r="AE916" s="186">
        <f t="shared" si="1200"/>
        <v>1.3720000000000001</v>
      </c>
      <c r="AF916" s="187">
        <f t="shared" si="1200"/>
        <v>1.2010000000000001</v>
      </c>
      <c r="AG916" s="187">
        <f t="shared" si="1200"/>
        <v>1.5840000000000001</v>
      </c>
      <c r="AH916" s="187">
        <f t="shared" si="1200"/>
        <v>2.2879999999999998</v>
      </c>
      <c r="AI916" s="187">
        <f t="shared" si="1200"/>
        <v>1.633</v>
      </c>
      <c r="AJ916" s="186">
        <f t="shared" si="1200"/>
        <v>6.7060000000000004</v>
      </c>
      <c r="AK916" s="187">
        <f t="shared" si="1200"/>
        <v>2.2530000000000001</v>
      </c>
      <c r="AL916" s="187">
        <f t="shared" si="1200"/>
        <v>2.669</v>
      </c>
      <c r="AM916" s="187">
        <f t="shared" si="1200"/>
        <v>2.5640000000000001</v>
      </c>
      <c r="AN916" s="187">
        <f t="shared" si="1200"/>
        <v>1.3669999999999991</v>
      </c>
      <c r="AO916" s="186">
        <f t="shared" si="1200"/>
        <v>8.8529999999999998</v>
      </c>
      <c r="AP916" s="187">
        <f t="shared" si="1200"/>
        <v>2.1589999999999998</v>
      </c>
      <c r="AQ916" s="187">
        <f t="shared" si="1200"/>
        <v>6.4640000000000004</v>
      </c>
      <c r="AR916" s="187">
        <f t="shared" si="1200"/>
        <v>5.3440000000000003</v>
      </c>
      <c r="AS916" s="187">
        <f t="shared" si="1200"/>
        <v>2.2639999999999993</v>
      </c>
      <c r="AT916" s="186">
        <f t="shared" si="1200"/>
        <v>16.231000000000002</v>
      </c>
      <c r="AU916" s="187">
        <f t="shared" si="1200"/>
        <v>1.8720000000000001</v>
      </c>
      <c r="AV916" s="187">
        <f t="shared" si="1200"/>
        <v>-3.9E-2</v>
      </c>
      <c r="AW916" s="187">
        <f t="shared" si="1200"/>
        <v>0.121</v>
      </c>
      <c r="AX916" s="187">
        <f t="shared" si="1200"/>
        <v>-8.900000000000019E-2</v>
      </c>
      <c r="AY916" s="186">
        <f t="shared" si="1200"/>
        <v>1.865</v>
      </c>
      <c r="AZ916" s="187">
        <f t="shared" si="1200"/>
        <v>-0.16300000000000001</v>
      </c>
      <c r="BA916" s="187">
        <f t="shared" si="1200"/>
        <v>-0.34399999999999997</v>
      </c>
      <c r="BB916" s="187">
        <f t="shared" si="1200"/>
        <v>-0.37</v>
      </c>
      <c r="BC916" s="187">
        <f t="shared" si="1200"/>
        <v>-1.3829999999999998</v>
      </c>
      <c r="BD916" s="186">
        <f t="shared" si="1200"/>
        <v>-2.2599999999999998</v>
      </c>
      <c r="BE916" s="187">
        <f t="shared" si="1200"/>
        <v>-5.4980000000000002</v>
      </c>
      <c r="BF916" s="187">
        <f t="shared" si="1200"/>
        <v>-3.335</v>
      </c>
      <c r="BG916" s="187">
        <f t="shared" si="1200"/>
        <v>-7.1820000000000004</v>
      </c>
      <c r="BH916" s="187">
        <f>BH772</f>
        <v>-13.146999999999998</v>
      </c>
      <c r="BI916" s="186">
        <f>BI772</f>
        <v>-29.161999999999999</v>
      </c>
      <c r="BJ916" s="1223">
        <f>BJ772</f>
        <v>-16.053000000000001</v>
      </c>
      <c r="BK916" s="187">
        <f>IFERROR(BK910-BK914,"n/a")</f>
        <v>-7.078887056603774</v>
      </c>
      <c r="BL916" s="187">
        <f ca="1">IFERROR(BL910-BL914,"n/a")</f>
        <v>-7.2806454548204318</v>
      </c>
      <c r="BM916" s="187">
        <f ca="1">IFERROR(BM910-BM914,"n/a")</f>
        <v>-9.1615055151246505</v>
      </c>
      <c r="BN916" s="186">
        <f ca="1">SUM(BJ916,BK916,BL916,BM916)</f>
        <v>-39.574038026548855</v>
      </c>
      <c r="BO916" s="187">
        <f ca="1">IFERROR(BO910-BO914,"n/a")</f>
        <v>-11.671838684190174</v>
      </c>
      <c r="BP916" s="187">
        <f ca="1">IFERROR(BP910-BP914,"n/a")</f>
        <v>-11.564247794944349</v>
      </c>
      <c r="BQ916" s="187">
        <f ca="1">IFERROR(BQ910-BQ914,"n/a")</f>
        <v>-11.657704489073559</v>
      </c>
      <c r="BR916" s="187">
        <f ca="1">IFERROR(BR910-BR914,"n/a")</f>
        <v>-12.977729511104702</v>
      </c>
      <c r="BS916" s="186">
        <f ca="1">SUM(BO916,BP916,BQ916,BR916)</f>
        <v>-47.871520479312778</v>
      </c>
      <c r="BT916" s="186">
        <f ca="1">IFERROR(BT910-BT914,"n/a")</f>
        <v>-63.33255047244262</v>
      </c>
      <c r="BU916" s="186">
        <f ca="1">IFERROR(BU910-BU914,"n/a")</f>
        <v>-82.076191430493878</v>
      </c>
      <c r="BV916" s="186">
        <f ca="1">IFERROR(BV910-BV914,"n/a")</f>
        <v>-104.10119537601003</v>
      </c>
      <c r="BW916" s="122"/>
    </row>
    <row r="917" spans="1:75" s="123" customFormat="1" x14ac:dyDescent="0.5">
      <c r="A917" s="295" t="s">
        <v>1316</v>
      </c>
      <c r="B917" s="522"/>
      <c r="C917" s="180"/>
      <c r="D917" s="180">
        <f>IFERROR(IF(D916/AVERAGE(C906,D906)&lt;0,"n/a",D916/AVERAGE(C906,D906)),"n/a")</f>
        <v>3.7398975225820079E-2</v>
      </c>
      <c r="E917" s="180" t="str">
        <f>IFERROR(IF(E916/AVERAGE(D906,E906)&lt;0,"n/a",E916/AVERAGE(D906,E906)),"n/a")</f>
        <v>n/a</v>
      </c>
      <c r="F917" s="180" t="str">
        <f>IFERROR(IF(F916/AVERAGE(E906,F906)&lt;0,"n/a",F916/AVERAGE(E906,F906)),"n/a")</f>
        <v>n/a</v>
      </c>
      <c r="G917" s="183" t="str">
        <f>IFERROR(IF(G916/AVERAGE(F906,G906)&lt;0,"n/a",G916/AVERAGE(F906,G906)*K3/G3),"n/a")</f>
        <v>n/a</v>
      </c>
      <c r="H917" s="183" t="str">
        <f>IFERROR(IF(H916/AVERAGE(G906,H906)&lt;0,"n/a",H916/AVERAGE(G906,H906)*K3/H3),"n/a")</f>
        <v>n/a</v>
      </c>
      <c r="I917" s="183" t="str">
        <f>IFERROR(IF(I916/AVERAGE(H906,I906)&lt;0,"n/a",I916/AVERAGE(H906,I906)*K3/I3),"n/a")</f>
        <v>n/a</v>
      </c>
      <c r="J917" s="183" t="str">
        <f>IFERROR(IF(J916/AVERAGE(I906,J906)&lt;0,"n/a",J916/AVERAGE(I906,J906)*K3/J3),"n/a")</f>
        <v>n/a</v>
      </c>
      <c r="K917" s="180" t="str">
        <f>IFERROR(IF(K916/AVERAGE(G906,H906,I906,J906)&lt;0,"n/a",K916/AVERAGE(G906,H906,I906,J906)),"n/a")</f>
        <v>n/a</v>
      </c>
      <c r="L917" s="183" t="str">
        <f>IFERROR(IF(L916/AVERAGE(K906,L906)&lt;0,"n/a",L916/AVERAGE(K906,L906)*P3/L3),"n/a")</f>
        <v>n/a</v>
      </c>
      <c r="M917" s="183">
        <f>IFERROR(IF(M916/AVERAGE(L906,M906)&lt;0,"n/a",M916/AVERAGE(L906,M906)*P3/M3),"n/a")</f>
        <v>5.5934277224261503E-2</v>
      </c>
      <c r="N917" s="183">
        <f>IFERROR(IF(N916/AVERAGE(M906,N906)&lt;0,"n/a",N916/AVERAGE(M906,N906)*P3/N3),"n/a")</f>
        <v>9.9642309657639247E-3</v>
      </c>
      <c r="O917" s="183" t="str">
        <f>IFERROR(IF(O916/AVERAGE(N906,O906)&lt;0,"n/a",O916/AVERAGE(N906,O906)*P3/O3),"n/a")</f>
        <v>n/a</v>
      </c>
      <c r="P917" s="180">
        <f>IFERROR(IF(P916/AVERAGE(L906,M906,N906,O906)&lt;0,"n/a",P916/AVERAGE(L906,M906,N906,O906)),"n/a")</f>
        <v>2.4885356773733905E-3</v>
      </c>
      <c r="Q917" s="183">
        <f>IFERROR(IF(Q916/AVERAGE(P906,Q906)&lt;0,"n/a",Q916/AVERAGE(P906,Q906)*U3/Q3),"n/a")</f>
        <v>1.001001001001001E-3</v>
      </c>
      <c r="R917" s="183">
        <f>IFERROR(IF(R916/AVERAGE(Q906,R906)&lt;0,"n/a",R916/AVERAGE(Q906,R906)*U3/R3),"n/a")</f>
        <v>1.0378925120772946E-2</v>
      </c>
      <c r="S917" s="183">
        <f>IFERROR(IF(S916/AVERAGE(R906,S906)&lt;0,"n/a",S916/AVERAGE(R906,S906)*U3/S3),"n/a")</f>
        <v>7.8171428571428576E-3</v>
      </c>
      <c r="T917" s="183">
        <f>IFERROR(IF(T916/AVERAGE(S906,T906)&lt;0,"n/a",T916/AVERAGE(S906,T906)*U3/T3),"n/a")</f>
        <v>8.0000000000000007E-5</v>
      </c>
      <c r="U917" s="180">
        <f>IFERROR(IF(U916/AVERAGE(Q906,R906,S906,T906)&lt;0,"n/a",U916/AVERAGE(Q906,R906,S906,T906)),"n/a")</f>
        <v>6.0878514836103775E-3</v>
      </c>
      <c r="V917" s="183" t="str">
        <f>IFERROR(IF(V916/AVERAGE(U906,V906)&lt;0,"n/a",V916/AVERAGE(U906,V906)*Z3/V3),"n/a")</f>
        <v>n/a</v>
      </c>
      <c r="W917" s="183">
        <f>IFERROR(IF(W916/AVERAGE(V906,W906)&lt;0,"n/a",W916/AVERAGE(V906,W906)*Z3/W3),"n/a")</f>
        <v>5.9377777777777779E-3</v>
      </c>
      <c r="X917" s="183">
        <f>IFERROR(IF(X916/AVERAGE(W906,X906)&lt;0,"n/a",X916/AVERAGE(W906,X906)*Z3/X3),"n/a")</f>
        <v>1.5615999999999998E-2</v>
      </c>
      <c r="Y917" s="183">
        <f>IFERROR(IF(Y916/AVERAGE(X906,Y906)&lt;0,"n/a",Y916/AVERAGE(X906,Y906)*Z3/Y3),"n/a")</f>
        <v>6.4639999999999993E-3</v>
      </c>
      <c r="Z917" s="180">
        <f>IFERROR(IF(Z916/AVERAGE(V906,W906,X906,Y906)&lt;0,"n/a",Z916/AVERAGE(V906,W906,X906,Y906)),"n/a")</f>
        <v>7.8628571428571419E-3</v>
      </c>
      <c r="AA917" s="183" t="str">
        <f>IFERROR(IF(AA916/AVERAGE(Z906,AA906)&lt;0,"n/a",AA916/AVERAGE(Z906,AA906)*AE3/AA3),"n/a")</f>
        <v>n/a</v>
      </c>
      <c r="AB917" s="183">
        <f>IFERROR(IF(AB916/AVERAGE(AA906,AB906)&lt;0,"n/a",AB916/AVERAGE(AA906,AB906)*AE3/AB3),"n/a")</f>
        <v>2.4149999999999998E-2</v>
      </c>
      <c r="AC917" s="183">
        <f>IFERROR(IF(AC916/AVERAGE(AB906,AC906)&lt;0,"n/a",AC916/AVERAGE(AB906,AC906)*AE3/AC3),"n/a")</f>
        <v>1.6673684210526316E-2</v>
      </c>
      <c r="AD917" s="183">
        <f>IFERROR(IF(AD916/AVERAGE(AC906,AD906)&lt;0,"n/a",AD916/AVERAGE(AC906,AD906)*AE3/AD3),"n/a")</f>
        <v>6.7828094976375214E-3</v>
      </c>
      <c r="AE917" s="180">
        <f>IFERROR(IF(AE916/AVERAGE(AA906,AB906,AC906,AD906)&lt;0,"n/a",AE916/AVERAGE(AA906,AB906,AC906,AD906)),"n/a")</f>
        <v>8.7191105490434084E-3</v>
      </c>
      <c r="AF917" s="183">
        <f>IFERROR(IF(AF916/AVERAGE(AE906,AF906)&lt;0,"n/a",AF916/AVERAGE(AE906,AF906)*AJ3/AF3),"n/a")</f>
        <v>1.6351423174667357E-2</v>
      </c>
      <c r="AG917" s="183">
        <f>IFERROR(IF(AG916/AVERAGE(AF906,AG906)&lt;0,"n/a",AG916/AVERAGE(AF906,AG906)*AJ3/AG3),"n/a")</f>
        <v>2.1562342644558967E-2</v>
      </c>
      <c r="AH917" s="183">
        <f>IFERROR(IF(AH916/AVERAGE(AG906,AH906)&lt;0,"n/a",AH916/AVERAGE(AG906,AH906)*AJ3/AH3),"n/a")</f>
        <v>2.8305608321751736E-2</v>
      </c>
      <c r="AI917" s="183">
        <f>IFERROR(IF(AI916/AVERAGE(AH906,AI906)&lt;0,"n/a",AI916/AVERAGE(AH906,AI906)*AJ3/AI3),"n/a")</f>
        <v>1.8756540755475812E-2</v>
      </c>
      <c r="AJ917" s="180">
        <f>IFERROR(IF(AJ916/AVERAGE(AF906,AG906,AH906,AI906)&lt;0,"n/a",AJ916/AVERAGE(AF906,AG906,AH906,AI906)),"n/a")</f>
        <v>2.1319616208758021E-2</v>
      </c>
      <c r="AK917" s="183">
        <f>IFERROR(IF(AK916/AVERAGE(AJ906,AK906)&lt;0,"n/a",AK916/AVERAGE(AJ906,AK906)*AO3/AK3),"n/a")</f>
        <v>3.0075589447512895E-2</v>
      </c>
      <c r="AL917" s="183">
        <f>IFERROR(IF(AL916/AVERAGE(AK906,AL906)&lt;0,"n/a",AL916/AVERAGE(AK906,AL906)*AO3/AL3),"n/a")</f>
        <v>3.2381492563570216E-2</v>
      </c>
      <c r="AM917" s="183">
        <f>IFERROR(IF(AM916/AVERAGE(AL906,AM906)&lt;0,"n/a",AM916/AVERAGE(AL906,AM906)*AO3/AM3),"n/a")</f>
        <v>2.7007668323923487E-2</v>
      </c>
      <c r="AN917" s="183">
        <f>IFERROR(IF(AN916/AVERAGE(AM906,AN906)&lt;0,"n/a",AN916/AVERAGE(AM906,AN906)*AO3/AN3),"n/a")</f>
        <v>1.5632080070098493E-2</v>
      </c>
      <c r="AO917" s="180">
        <f>IFERROR(IF(AO916/AVERAGE(AK906,AL906,AM906,AN906)&lt;0,"n/a",AO916/AVERAGE(AK906,AL906,AM906,AN906)),"n/a")</f>
        <v>2.6057855326363382E-2</v>
      </c>
      <c r="AP917" s="183">
        <f>IFERROR(IF(AP916/AVERAGE(AO906,AP906)&lt;0,"n/a",AP916/AVERAGE(AO906,AP906)*AT3/AP3),"n/a")</f>
        <v>1.5882167411947853E-2</v>
      </c>
      <c r="AQ917" s="183">
        <f>IFERROR(IF(AQ916/AVERAGE(AP906,AQ906)&lt;0,"n/a",AQ916/AVERAGE(AP906,AQ906)*AT3/AQ3),"n/a")</f>
        <v>3.2843254627315563E-2</v>
      </c>
      <c r="AR917" s="183">
        <f>IFERROR(IF(AR916/AVERAGE(AQ906,AR906)&lt;0,"n/a",AR916/AVERAGE(AQ906,AR906)*AT3/AR3),"n/a")</f>
        <v>3.9366808748875451E-2</v>
      </c>
      <c r="AS917" s="183">
        <f>IFERROR(IF(AS916/AVERAGE(AR906,AS906)&lt;0,"n/a",AS916/AVERAGE(AR906,AS906)*AT3/AS3),"n/a")</f>
        <v>3.0261159554436493E-2</v>
      </c>
      <c r="AT917" s="180">
        <f>IFERROR(IF(AT916/AVERAGE(AP906,AQ906,AR906,AS906)&lt;0,"n/a",AT916/AVERAGE(AP906,AQ906,AR906,AS906)),"n/a")</f>
        <v>2.9877148610788981E-2</v>
      </c>
      <c r="AU917" s="183">
        <f>IFERROR(IF(AU916/AVERAGE(AT906,AU906)&lt;0,"n/a",AU916/AVERAGE(AT906,AU906)*AY3/AU3),"n/a")</f>
        <v>5.002839485552029E-2</v>
      </c>
      <c r="AV917" s="183" t="str">
        <f>IFERROR(IF(AV916/AVERAGE(AU906,AV906)&lt;0,"n/a",AV916/AVERAGE(AU906,AV906)*AY3/AV3),"n/a")</f>
        <v>n/a</v>
      </c>
      <c r="AW917" s="183" t="str">
        <f>IFERROR(IF(AW916/AVERAGE(AV906,AW906)&lt;0,"n/a",AW916/AVERAGE(AV906,AW906)*AY3/AW3),"n/a")</f>
        <v>n/a</v>
      </c>
      <c r="AX917" s="183" t="str">
        <f>IFERROR(IF(AX916/AVERAGE(AW906,AX906)&lt;0,"n/a",AX916/AVERAGE(AW906,AX906)*AY3/AX3),"n/a")</f>
        <v>n/a</v>
      </c>
      <c r="AY917" s="180" t="str">
        <f>IFERROR(IF(AY916/AVERAGE(AU906,AV906,AW906,AX906)&lt;0,"n/a",AY916/AVERAGE(AU906,AV906,AW906,AX906)),"n/a")</f>
        <v>n/a</v>
      </c>
      <c r="AZ917" s="183" t="str">
        <f>IFERROR(IF(AZ916/AVERAGE(AY906,AZ906)&lt;0,"n/a",AZ916/AVERAGE(AY906,AZ906)*BD3/AZ3),"n/a")</f>
        <v>n/a</v>
      </c>
      <c r="BA917" s="183" t="str">
        <f>IFERROR(IF(BA916/AVERAGE(AZ906,BA906)&lt;0,"n/a",BA916/AVERAGE(AZ906,BA906)*BD3/BA3),"n/a")</f>
        <v>n/a</v>
      </c>
      <c r="BB917" s="183" t="str">
        <f>IFERROR(IF(BB916/AVERAGE(BA906,BB906)&lt;0,"n/a",BB916/AVERAGE(BA906,BB906)*BD3/BB3),"n/a")</f>
        <v>n/a</v>
      </c>
      <c r="BC917" s="183" t="str">
        <f>IFERROR(IF(BC916/AVERAGE(BB906,BC906)&lt;0,"n/a",BC916/AVERAGE(BB906,BC906)*BD3/BC3),"n/a")</f>
        <v>n/a</v>
      </c>
      <c r="BD917" s="180" t="str">
        <f>IFERROR(IF(BD916/AVERAGE(AZ906,BA906,BB906,BC906)&lt;0,"n/a",BD916/AVERAGE(AZ906,BA906,BB906,BC906)),"n/a")</f>
        <v>n/a</v>
      </c>
      <c r="BE917" s="183" t="str">
        <f>IFERROR(IF(BE916/AVERAGE(BD906,BE906)&lt;0,"n/a",BE916/AVERAGE(BD906,BE906)*BI3/BE3),"n/a")</f>
        <v>n/a</v>
      </c>
      <c r="BF917" s="183" t="str">
        <f>IFERROR(IF(BF916/AVERAGE(BE906,BF906)&lt;0,"n/a",BF916/AVERAGE(BE906,BF906)*BI3/BF3),"n/a")</f>
        <v>n/a</v>
      </c>
      <c r="BG917" s="183" t="str">
        <f>IFERROR(IF(BG916/AVERAGE(BF906,BG906)&lt;0,"n/a",BG916/AVERAGE(BF906,BG906)*BI3/BG3),"n/a")</f>
        <v>n/a</v>
      </c>
      <c r="BH917" s="183" t="str">
        <f>IFERROR(IF(BH916/AVERAGE(BG906,BH906)&lt;0,"n/a",BH916/AVERAGE(BG906,BH906)*BI3/BH3),"n/a")</f>
        <v>n/a</v>
      </c>
      <c r="BI917" s="180" t="str">
        <f>IFERROR(IF(BI916/AVERAGE(BE906,BF906,BG906,BH906)&lt;0,"n/a",BI916/AVERAGE(BE906,BF906,BG906,BH906)),"n/a")</f>
        <v>n/a</v>
      </c>
      <c r="BJ917" s="1112" t="str">
        <f>IFERROR(IF(BJ916/AVERAGE(BI906,BJ906)&lt;0,"n/a",BJ916/AVERAGE(BI906,BJ906)*BN3/BJ3),"n/a")</f>
        <v>n/a</v>
      </c>
      <c r="BK917" s="183" t="str">
        <f>IFERROR(IF(BK916/AVERAGE(BJ906,BK906)&lt;0,"n/a",BK916/AVERAGE(BJ906,BK906)*BN3/BK3),"n/a")</f>
        <v>n/a</v>
      </c>
      <c r="BL917" s="183" t="str">
        <f ca="1">IFERROR(IF(BL916/AVERAGE(BK906,BL906)&lt;0,"n/a",BL916/AVERAGE(BK906,BL906)*BN3/BL3),"n/a")</f>
        <v>n/a</v>
      </c>
      <c r="BM917" s="183" t="str">
        <f ca="1">IFERROR(IF(BM916/AVERAGE(BL906,BM906)&lt;0,"n/a",BM916/AVERAGE(BL906,BM906)*BN3/BM3),"n/a")</f>
        <v>n/a</v>
      </c>
      <c r="BN917" s="180" t="str">
        <f ca="1">IFERROR(IF(BN916/AVERAGE(BJ906,BK906,BL906,BM906)&lt;0,"n/a",BN916/AVERAGE(BJ906,BK906,BL906,BM906)),"n/a")</f>
        <v>n/a</v>
      </c>
      <c r="BO917" s="183" t="str">
        <f ca="1">IFERROR(IF(BO916/AVERAGE(BN906,BO906)&lt;0,"n/a",BO916/AVERAGE(BN906,BO906)*BS3/BO3),"n/a")</f>
        <v>n/a</v>
      </c>
      <c r="BP917" s="183" t="str">
        <f ca="1">IFERROR(IF(BP916/AVERAGE(BO906,BP906)&lt;0,"n/a",BP916/AVERAGE(BO906,BP906)*BS3/BP3),"n/a")</f>
        <v>n/a</v>
      </c>
      <c r="BQ917" s="183" t="str">
        <f ca="1">IFERROR(IF(BQ916/AVERAGE(BP906,BQ906)&lt;0,"n/a",BQ916/AVERAGE(BP906,BQ906)*BS3/BQ3),"n/a")</f>
        <v>n/a</v>
      </c>
      <c r="BR917" s="183" t="str">
        <f ca="1">IFERROR(IF(BR916/AVERAGE(BQ906,BR906)&lt;0,"n/a",BR916/AVERAGE(BQ906,BR906)*BS3/BR3),"n/a")</f>
        <v>n/a</v>
      </c>
      <c r="BS917" s="180" t="str">
        <f ca="1">IFERROR(IF(BS916/AVERAGE(BO906,BP906,BQ906,BR906)&lt;0,"n/a",BS916/AVERAGE(BO906,BP906,BQ906,BR906)),"n/a")</f>
        <v>n/a</v>
      </c>
      <c r="BT917" s="180" t="str">
        <f ca="1">IFERROR(IF(BT916/AVERAGE(BS906,BT906)&lt;0,"n/a",BT916/AVERAGE(BS906,BT906)),"n/a")</f>
        <v>n/a</v>
      </c>
      <c r="BU917" s="180" t="str">
        <f ca="1">IFERROR(IF(BU916/AVERAGE(BT906,BU906)&lt;0,"n/a",BU916/AVERAGE(BT906,BU906)),"n/a")</f>
        <v>n/a</v>
      </c>
      <c r="BV917" s="180" t="str">
        <f ca="1">IFERROR(IF(BV916/AVERAGE(BU906,BV906)&lt;0,"n/a",BV916/AVERAGE(BU906,BV906)),"n/a")</f>
        <v>n/a</v>
      </c>
      <c r="BW917" s="122"/>
    </row>
    <row r="918" spans="1:75" s="123" customFormat="1" x14ac:dyDescent="0.5">
      <c r="A918" s="295"/>
      <c r="B918" s="522"/>
      <c r="C918" s="180"/>
      <c r="D918" s="180"/>
      <c r="E918" s="180"/>
      <c r="F918" s="180"/>
      <c r="G918" s="183"/>
      <c r="H918" s="183"/>
      <c r="I918" s="183"/>
      <c r="J918" s="183"/>
      <c r="K918" s="180"/>
      <c r="L918" s="183"/>
      <c r="M918" s="183"/>
      <c r="N918" s="183"/>
      <c r="O918" s="183"/>
      <c r="P918" s="180"/>
      <c r="Q918" s="183"/>
      <c r="R918" s="183"/>
      <c r="S918" s="183"/>
      <c r="T918" s="183"/>
      <c r="U918" s="180"/>
      <c r="V918" s="183"/>
      <c r="W918" s="183"/>
      <c r="X918" s="183"/>
      <c r="Y918" s="183"/>
      <c r="Z918" s="180"/>
      <c r="AA918" s="183"/>
      <c r="AB918" s="183"/>
      <c r="AC918" s="183"/>
      <c r="AD918" s="183"/>
      <c r="AE918" s="180"/>
      <c r="AF918" s="183"/>
      <c r="AG918" s="183"/>
      <c r="AH918" s="183"/>
      <c r="AI918" s="183"/>
      <c r="AJ918" s="180"/>
      <c r="AK918" s="183"/>
      <c r="AL918" s="183"/>
      <c r="AM918" s="183"/>
      <c r="AN918" s="183"/>
      <c r="AO918" s="180"/>
      <c r="AP918" s="183"/>
      <c r="AQ918" s="183"/>
      <c r="AR918" s="183"/>
      <c r="AS918" s="183"/>
      <c r="AT918" s="180"/>
      <c r="AU918" s="183"/>
      <c r="AV918" s="183"/>
      <c r="AW918" s="183"/>
      <c r="AX918" s="183"/>
      <c r="AY918" s="180"/>
      <c r="AZ918" s="183"/>
      <c r="BA918" s="183"/>
      <c r="BB918" s="183"/>
      <c r="BC918" s="183"/>
      <c r="BD918" s="180"/>
      <c r="BE918" s="183"/>
      <c r="BF918" s="183"/>
      <c r="BG918" s="183"/>
      <c r="BH918" s="183"/>
      <c r="BI918" s="180"/>
      <c r="BJ918" s="1112"/>
      <c r="BK918" s="183"/>
      <c r="BL918" s="183"/>
      <c r="BM918" s="183"/>
      <c r="BN918" s="180"/>
      <c r="BO918" s="183"/>
      <c r="BP918" s="183"/>
      <c r="BQ918" s="183"/>
      <c r="BR918" s="183"/>
      <c r="BS918" s="180"/>
      <c r="BT918" s="180"/>
      <c r="BU918" s="180"/>
      <c r="BV918" s="180"/>
      <c r="BW918" s="122"/>
    </row>
    <row r="919" spans="1:75" s="123" customFormat="1" x14ac:dyDescent="0.5">
      <c r="A919" s="295" t="s">
        <v>1317</v>
      </c>
      <c r="B919" s="522"/>
      <c r="C919" s="883">
        <f t="shared" ref="C919:O919" si="1201">IFERROR(IF(OR(C769&lt;0,C916&lt;0),"n/a",C769/C916),"n/a")</f>
        <v>293.95576756287949</v>
      </c>
      <c r="D919" s="883">
        <f t="shared" si="1201"/>
        <v>1457.9519774011301</v>
      </c>
      <c r="E919" s="883" t="str">
        <f t="shared" si="1201"/>
        <v>n/a</v>
      </c>
      <c r="F919" s="883" t="str">
        <f t="shared" si="1201"/>
        <v>n/a</v>
      </c>
      <c r="G919" s="884" t="str">
        <f t="shared" si="1201"/>
        <v>n/a</v>
      </c>
      <c r="H919" s="884" t="str">
        <f t="shared" si="1201"/>
        <v>n/a</v>
      </c>
      <c r="I919" s="884" t="str">
        <f t="shared" si="1201"/>
        <v>n/a</v>
      </c>
      <c r="J919" s="884" t="str">
        <f t="shared" si="1201"/>
        <v>n/a</v>
      </c>
      <c r="K919" s="883" t="str">
        <f t="shared" si="1201"/>
        <v>n/a</v>
      </c>
      <c r="L919" s="884" t="str">
        <f t="shared" si="1201"/>
        <v>n/a</v>
      </c>
      <c r="M919" s="884">
        <f t="shared" si="1201"/>
        <v>3396.525000000001</v>
      </c>
      <c r="N919" s="884">
        <f t="shared" si="1201"/>
        <v>1359.4957264957268</v>
      </c>
      <c r="O919" s="884" t="str">
        <f t="shared" si="1201"/>
        <v>n/a</v>
      </c>
      <c r="P919" s="1337" t="s">
        <v>279</v>
      </c>
      <c r="Q919" s="1338" t="s">
        <v>279</v>
      </c>
      <c r="R919" s="884">
        <f>IFERROR(IF(OR(R769&lt;0,R916&lt;0),"n/a",R769/R916),"n/a")</f>
        <v>494.54909090909098</v>
      </c>
      <c r="S919" s="884">
        <f>IFERROR(IF(OR(S769&lt;0,S916&lt;0),"n/a",S769/S916),"n/a")</f>
        <v>478.98245614035119</v>
      </c>
      <c r="T919" s="1338" t="s">
        <v>279</v>
      </c>
      <c r="U919" s="883">
        <f t="shared" ref="U919:BV919" si="1202">IFERROR(IF(OR(U769&lt;0,U916&lt;0),"n/a",U769/U916),"n/a")</f>
        <v>1112.840510366826</v>
      </c>
      <c r="V919" s="884" t="str">
        <f t="shared" si="1202"/>
        <v>n/a</v>
      </c>
      <c r="W919" s="884">
        <f t="shared" si="1202"/>
        <v>821.25149700598797</v>
      </c>
      <c r="X919" s="884">
        <f t="shared" si="1202"/>
        <v>340.24385245901624</v>
      </c>
      <c r="Y919" s="884">
        <f t="shared" si="1202"/>
        <v>2716.9306930693065</v>
      </c>
      <c r="Z919" s="883">
        <f t="shared" si="1202"/>
        <v>1033.8895348837207</v>
      </c>
      <c r="AA919" s="884" t="str">
        <f t="shared" si="1202"/>
        <v>n/a</v>
      </c>
      <c r="AB919" s="884">
        <f t="shared" si="1202"/>
        <v>289.22153209109734</v>
      </c>
      <c r="AC919" s="884">
        <f t="shared" si="1202"/>
        <v>275.3754208754209</v>
      </c>
      <c r="AD919" s="884">
        <f t="shared" si="1202"/>
        <v>674.58291457286464</v>
      </c>
      <c r="AE919" s="883">
        <f t="shared" si="1202"/>
        <v>506.33892128279871</v>
      </c>
      <c r="AF919" s="884">
        <f t="shared" si="1202"/>
        <v>113.18900915903417</v>
      </c>
      <c r="AG919" s="884">
        <f t="shared" si="1202"/>
        <v>92.10795454545449</v>
      </c>
      <c r="AH919" s="884">
        <f t="shared" si="1202"/>
        <v>72.189248251748282</v>
      </c>
      <c r="AI919" s="884">
        <f t="shared" si="1202"/>
        <v>174.0104102878137</v>
      </c>
      <c r="AJ919" s="883">
        <f t="shared" si="1202"/>
        <v>109.03176260065609</v>
      </c>
      <c r="AK919" s="884">
        <f t="shared" si="1202"/>
        <v>67.65956502441189</v>
      </c>
      <c r="AL919" s="884">
        <f t="shared" si="1202"/>
        <v>59.121768452604009</v>
      </c>
      <c r="AM919" s="884">
        <f t="shared" si="1202"/>
        <v>66.592043681747271</v>
      </c>
      <c r="AN919" s="884">
        <f t="shared" si="1202"/>
        <v>201.40599853694226</v>
      </c>
      <c r="AO919" s="883">
        <f t="shared" si="1202"/>
        <v>85.428329379871187</v>
      </c>
      <c r="AP919" s="884">
        <f t="shared" si="1202"/>
        <v>67.127373784159332</v>
      </c>
      <c r="AQ919" s="884">
        <f t="shared" si="1202"/>
        <v>39.549040841584159</v>
      </c>
      <c r="AR919" s="884">
        <f t="shared" si="1202"/>
        <v>64.618076347305404</v>
      </c>
      <c r="AS919" s="884">
        <f t="shared" si="1202"/>
        <v>210.77031802120177</v>
      </c>
      <c r="AT919" s="883">
        <f t="shared" si="1202"/>
        <v>75.354321976464817</v>
      </c>
      <c r="AU919" s="884">
        <f t="shared" si="1202"/>
        <v>188.1773504273504</v>
      </c>
      <c r="AV919" s="884" t="str">
        <f t="shared" si="1202"/>
        <v>n/a</v>
      </c>
      <c r="AW919" s="884">
        <f t="shared" si="1202"/>
        <v>3359.7933884297508</v>
      </c>
      <c r="AX919" s="884" t="str">
        <f t="shared" si="1202"/>
        <v>n/a</v>
      </c>
      <c r="AY919" s="883">
        <f t="shared" si="1202"/>
        <v>940.26970509383341</v>
      </c>
      <c r="AZ919" s="884" t="str">
        <f t="shared" si="1202"/>
        <v>n/a</v>
      </c>
      <c r="BA919" s="884" t="str">
        <f t="shared" si="1202"/>
        <v>n/a</v>
      </c>
      <c r="BB919" s="884" t="str">
        <f t="shared" si="1202"/>
        <v>n/a</v>
      </c>
      <c r="BC919" s="884" t="str">
        <f t="shared" si="1202"/>
        <v>n/a</v>
      </c>
      <c r="BD919" s="883" t="str">
        <f t="shared" si="1202"/>
        <v>n/a</v>
      </c>
      <c r="BE919" s="884" t="str">
        <f t="shared" si="1202"/>
        <v>n/a</v>
      </c>
      <c r="BF919" s="884" t="str">
        <f t="shared" si="1202"/>
        <v>n/a</v>
      </c>
      <c r="BG919" s="884" t="str">
        <f t="shared" si="1202"/>
        <v>n/a</v>
      </c>
      <c r="BH919" s="884" t="str">
        <f t="shared" si="1202"/>
        <v>n/a</v>
      </c>
      <c r="BI919" s="883" t="str">
        <f t="shared" si="1202"/>
        <v>n/a</v>
      </c>
      <c r="BJ919" s="1339" t="str">
        <f>IFERROR(IF(OR(BJ769&lt;0,BJ916&lt;0),"n/a",BJ769/BJ916),"n/a")</f>
        <v>n/a</v>
      </c>
      <c r="BK919" s="884" t="str">
        <f t="shared" si="1202"/>
        <v>n/a</v>
      </c>
      <c r="BL919" s="884" t="str">
        <f t="shared" ca="1" si="1202"/>
        <v>n/a</v>
      </c>
      <c r="BM919" s="884" t="str">
        <f t="shared" ca="1" si="1202"/>
        <v>n/a</v>
      </c>
      <c r="BN919" s="883" t="str">
        <f t="shared" ca="1" si="1202"/>
        <v>n/a</v>
      </c>
      <c r="BO919" s="884" t="str">
        <f t="shared" ca="1" si="1202"/>
        <v>n/a</v>
      </c>
      <c r="BP919" s="884" t="str">
        <f t="shared" ca="1" si="1202"/>
        <v>n/a</v>
      </c>
      <c r="BQ919" s="884" t="str">
        <f t="shared" ca="1" si="1202"/>
        <v>n/a</v>
      </c>
      <c r="BR919" s="884" t="str">
        <f t="shared" ca="1" si="1202"/>
        <v>n/a</v>
      </c>
      <c r="BS919" s="883" t="str">
        <f t="shared" ca="1" si="1202"/>
        <v>n/a</v>
      </c>
      <c r="BT919" s="883" t="str">
        <f t="shared" ca="1" si="1202"/>
        <v>n/a</v>
      </c>
      <c r="BU919" s="883" t="str">
        <f t="shared" ca="1" si="1202"/>
        <v>n/a</v>
      </c>
      <c r="BV919" s="883" t="str">
        <f t="shared" ca="1" si="1202"/>
        <v>n/a</v>
      </c>
      <c r="BW919" s="122"/>
    </row>
    <row r="920" spans="1:75" s="890" customFormat="1" ht="14.25" x14ac:dyDescent="0.45">
      <c r="A920" s="1340" t="s">
        <v>1318</v>
      </c>
      <c r="B920" s="887"/>
      <c r="C920" s="1341" t="str">
        <f>IF(C908&lt;0,"n/a",C908/C769)</f>
        <v>n/a</v>
      </c>
      <c r="D920" s="1341" t="str">
        <f>IF(D908&lt;0,"n/a",D908/D769)</f>
        <v>n/a</v>
      </c>
      <c r="E920" s="1341" t="str">
        <f>IF(E908&lt;0,"n/a",E908/E769)</f>
        <v>n/a</v>
      </c>
      <c r="F920" s="1341" t="str">
        <f>IF(F908&lt;0,"n/a",F908/F769)</f>
        <v>n/a</v>
      </c>
      <c r="G920" s="884"/>
      <c r="H920" s="884"/>
      <c r="I920" s="884"/>
      <c r="J920" s="884"/>
      <c r="K920" s="1341" t="str">
        <f>IF(K908&lt;0,"n/a",K908/K769)</f>
        <v>n/a</v>
      </c>
      <c r="L920" s="884"/>
      <c r="M920" s="884"/>
      <c r="N920" s="884"/>
      <c r="O920" s="884"/>
      <c r="P920" s="1341" t="str">
        <f>IF(P908&lt;0,"n/a",P908/P769)</f>
        <v>n/a</v>
      </c>
      <c r="Q920" s="884"/>
      <c r="R920" s="884"/>
      <c r="S920" s="884"/>
      <c r="T920" s="884"/>
      <c r="U920" s="1341" t="str">
        <f>IF(U908&lt;0,"n/a",U908/U769)</f>
        <v>n/a</v>
      </c>
      <c r="V920" s="884"/>
      <c r="W920" s="884"/>
      <c r="X920" s="884"/>
      <c r="Y920" s="884"/>
      <c r="Z920" s="1341" t="str">
        <f>IF(Z908&lt;0,"n/a",Z908/Z769)</f>
        <v>n/a</v>
      </c>
      <c r="AA920" s="884"/>
      <c r="AB920" s="884"/>
      <c r="AC920" s="884"/>
      <c r="AD920" s="884"/>
      <c r="AE920" s="1341" t="str">
        <f>IF(AE908&lt;0,"n/a",AE908/AE769)</f>
        <v>n/a</v>
      </c>
      <c r="AF920" s="884"/>
      <c r="AG920" s="884"/>
      <c r="AH920" s="884"/>
      <c r="AI920" s="884"/>
      <c r="AJ920" s="1341" t="str">
        <f>IF(AJ908&lt;0,"n/a",AJ908/AJ769)</f>
        <v>n/a</v>
      </c>
      <c r="AK920" s="884"/>
      <c r="AL920" s="884"/>
      <c r="AM920" s="884"/>
      <c r="AN920" s="884"/>
      <c r="AO920" s="1341">
        <f>IF(AO908&lt;0,"n/a",AO908/AO769)</f>
        <v>1.5736648433089124</v>
      </c>
      <c r="AP920" s="884"/>
      <c r="AQ920" s="884"/>
      <c r="AR920" s="884"/>
      <c r="AS920" s="884"/>
      <c r="AT920" s="1341">
        <f>IF(AT908&lt;0,"n/a",AT908/AT769)</f>
        <v>0.27293806762621453</v>
      </c>
      <c r="AU920" s="884"/>
      <c r="AV920" s="884"/>
      <c r="AW920" s="884"/>
      <c r="AX920" s="884"/>
      <c r="AY920" s="1341">
        <f>IF(AY908&lt;0,"n/a",AY908/AY769)</f>
        <v>0.2474391296091534</v>
      </c>
      <c r="AZ920" s="884"/>
      <c r="BA920" s="884"/>
      <c r="BB920" s="884"/>
      <c r="BC920" s="884"/>
      <c r="BD920" s="1341">
        <f>IF(BD908&lt;0,"n/a",BD908/BD769)</f>
        <v>0.59120915337841196</v>
      </c>
      <c r="BE920" s="884"/>
      <c r="BF920" s="884"/>
      <c r="BG920" s="884"/>
      <c r="BH920" s="884"/>
      <c r="BI920" s="1341">
        <f>IF(BI908&lt;0,"n/a",BI908/BI769)</f>
        <v>8.100220181082568E-2</v>
      </c>
      <c r="BJ920" s="1339"/>
      <c r="BK920" s="888"/>
      <c r="BL920" s="888"/>
      <c r="BM920" s="888"/>
      <c r="BN920" s="883" t="str">
        <f ca="1">IF(BN908&lt;0,"n/a",BN908/BN769)</f>
        <v>n/a</v>
      </c>
      <c r="BO920" s="888"/>
      <c r="BP920" s="888"/>
      <c r="BQ920" s="888"/>
      <c r="BR920" s="888"/>
      <c r="BS920" s="883" t="str">
        <f ca="1">IF(BS908&lt;0,"n/a",BS908/BS769)</f>
        <v>n/a</v>
      </c>
      <c r="BT920" s="883" t="str">
        <f ca="1">IF(BT908&lt;0,"n/a",BT908/BT769)</f>
        <v>n/a</v>
      </c>
      <c r="BU920" s="883" t="str">
        <f ca="1">IF(BU908&lt;0,"n/a",BU908/BU769)</f>
        <v>n/a</v>
      </c>
      <c r="BV920" s="883" t="str">
        <f ca="1">IF(BV908&lt;0,"n/a",BV908/BV769)</f>
        <v>n/a</v>
      </c>
      <c r="BW920" s="889"/>
    </row>
    <row r="921" spans="1:75" s="890" customFormat="1" ht="14.25" x14ac:dyDescent="0.45">
      <c r="A921" s="1340" t="s">
        <v>1319</v>
      </c>
      <c r="B921" s="887"/>
      <c r="C921" s="1341" t="str">
        <f>IF(C908&lt;0,"n/a",C908/C875)</f>
        <v>n/a</v>
      </c>
      <c r="D921" s="1341" t="str">
        <f>IF(D908&lt;0,"n/a",D908/D875)</f>
        <v>n/a</v>
      </c>
      <c r="E921" s="1341" t="str">
        <f>IF(E908&lt;0,"n/a",E908/E875)</f>
        <v>n/a</v>
      </c>
      <c r="F921" s="1341" t="str">
        <f>IF(F908&lt;0,"n/a",F908/F875)</f>
        <v>n/a</v>
      </c>
      <c r="G921" s="884"/>
      <c r="H921" s="884"/>
      <c r="I921" s="884"/>
      <c r="J921" s="884"/>
      <c r="K921" s="1341" t="str">
        <f>IF(K908&lt;0,"n/a",K908/K875)</f>
        <v>n/a</v>
      </c>
      <c r="L921" s="884"/>
      <c r="M921" s="884"/>
      <c r="N921" s="884"/>
      <c r="O921" s="884"/>
      <c r="P921" s="1341" t="str">
        <f>IF(P908&lt;0,"n/a",P908/P875)</f>
        <v>n/a</v>
      </c>
      <c r="Q921" s="884"/>
      <c r="R921" s="884"/>
      <c r="S921" s="884"/>
      <c r="T921" s="884"/>
      <c r="U921" s="1341" t="str">
        <f>IF(U908&lt;0,"n/a",U908/U875)</f>
        <v>n/a</v>
      </c>
      <c r="V921" s="884"/>
      <c r="W921" s="884"/>
      <c r="X921" s="884"/>
      <c r="Y921" s="884"/>
      <c r="Z921" s="1341" t="str">
        <f>IF(Z908&lt;0,"n/a",Z908/Z875)</f>
        <v>n/a</v>
      </c>
      <c r="AA921" s="884"/>
      <c r="AB921" s="884"/>
      <c r="AC921" s="884"/>
      <c r="AD921" s="884"/>
      <c r="AE921" s="1341" t="str">
        <f>IF(AE908&lt;0,"n/a",AE908/AE875)</f>
        <v>n/a</v>
      </c>
      <c r="AF921" s="884"/>
      <c r="AG921" s="884"/>
      <c r="AH921" s="884"/>
      <c r="AI921" s="884"/>
      <c r="AJ921" s="1341" t="str">
        <f>IF(AJ908&lt;0,"n/a",AJ908/AJ875)</f>
        <v>n/a</v>
      </c>
      <c r="AK921" s="884"/>
      <c r="AL921" s="884"/>
      <c r="AM921" s="884"/>
      <c r="AN921" s="884"/>
      <c r="AO921" s="1341">
        <f>IF(AO908&lt;0,"n/a",AO908/AO875)</f>
        <v>1.9597723672553977</v>
      </c>
      <c r="AP921" s="884"/>
      <c r="AQ921" s="884"/>
      <c r="AR921" s="884"/>
      <c r="AS921" s="884"/>
      <c r="AT921" s="1341">
        <f>IF(AT908&lt;0,"n/a",AT908/AT875)</f>
        <v>0.26185396219784635</v>
      </c>
      <c r="AU921" s="884"/>
      <c r="AV921" s="884"/>
      <c r="AW921" s="884"/>
      <c r="AX921" s="884"/>
      <c r="AY921" s="1341">
        <f>IF(AY908&lt;0,"n/a",AY908/AY875)</f>
        <v>0.31645768105097416</v>
      </c>
      <c r="AZ921" s="884"/>
      <c r="BA921" s="884"/>
      <c r="BB921" s="884"/>
      <c r="BC921" s="884"/>
      <c r="BD921" s="1341">
        <f>IF(BD908&lt;0,"n/a",BD908/BD875)</f>
        <v>1.0223133635125405</v>
      </c>
      <c r="BE921" s="884"/>
      <c r="BF921" s="884"/>
      <c r="BG921" s="884"/>
      <c r="BH921" s="884"/>
      <c r="BI921" s="1341">
        <f>IF(BI908&lt;0,"n/a",BI908/BI875)</f>
        <v>7.6543514059917675E-2</v>
      </c>
      <c r="BJ921" s="1339"/>
      <c r="BK921" s="888"/>
      <c r="BL921" s="888"/>
      <c r="BM921" s="888"/>
      <c r="BN921" s="883" t="str">
        <f ca="1">IF(BN908&lt;0,"n/a",BN908/BN875)</f>
        <v>n/a</v>
      </c>
      <c r="BO921" s="888"/>
      <c r="BP921" s="888"/>
      <c r="BQ921" s="888"/>
      <c r="BR921" s="888"/>
      <c r="BS921" s="883" t="str">
        <f ca="1">IF(BS908&lt;0,"n/a",BS908/BS875)</f>
        <v>n/a</v>
      </c>
      <c r="BT921" s="883" t="str">
        <f ca="1">IF(BT908&lt;0,"n/a",BT908/BT875)</f>
        <v>n/a</v>
      </c>
      <c r="BU921" s="883" t="str">
        <f ca="1">IF(BU908&lt;0,"n/a",BU908/BU875)</f>
        <v>n/a</v>
      </c>
      <c r="BV921" s="883" t="str">
        <f ca="1">IF(BV908&lt;0,"n/a",BV908/BV875)</f>
        <v>n/a</v>
      </c>
      <c r="BW921" s="889"/>
    </row>
    <row r="922" spans="1:75" x14ac:dyDescent="0.5">
      <c r="A922" s="891"/>
      <c r="B922" s="891"/>
      <c r="C922" s="1342"/>
      <c r="D922" s="1342"/>
      <c r="E922" s="1342"/>
      <c r="F922" s="1342"/>
      <c r="G922" s="127"/>
      <c r="H922" s="127"/>
      <c r="I922" s="127"/>
      <c r="J922" s="127"/>
      <c r="K922" s="1342"/>
      <c r="L922" s="127"/>
      <c r="M922" s="127"/>
      <c r="N922" s="127"/>
      <c r="O922" s="127"/>
      <c r="P922" s="1342"/>
      <c r="Q922" s="127"/>
      <c r="R922" s="127"/>
      <c r="S922" s="127"/>
      <c r="T922" s="127"/>
      <c r="U922" s="1342"/>
      <c r="V922" s="127"/>
      <c r="W922" s="127"/>
      <c r="X922" s="127"/>
      <c r="Y922" s="127"/>
      <c r="Z922" s="1342"/>
      <c r="AA922" s="127"/>
      <c r="AB922" s="127"/>
      <c r="AC922" s="127"/>
      <c r="AD922" s="127"/>
      <c r="AE922" s="1342"/>
      <c r="AF922" s="127"/>
      <c r="AG922" s="127"/>
      <c r="AH922" s="127"/>
      <c r="AI922" s="127"/>
      <c r="AJ922" s="1342"/>
      <c r="AK922" s="127"/>
      <c r="AL922" s="127"/>
      <c r="AM922" s="127"/>
      <c r="AN922" s="127"/>
      <c r="AO922" s="1342"/>
      <c r="AP922" s="127"/>
      <c r="AQ922" s="127"/>
      <c r="AR922" s="127"/>
      <c r="AS922" s="127"/>
      <c r="AT922" s="1342"/>
      <c r="AU922" s="127"/>
      <c r="AV922" s="127"/>
      <c r="AW922" s="127"/>
      <c r="AX922" s="127"/>
      <c r="AY922" s="1342"/>
      <c r="AZ922" s="127"/>
      <c r="BA922" s="127"/>
      <c r="BB922" s="127"/>
      <c r="BC922" s="127"/>
      <c r="BD922" s="1342"/>
      <c r="BE922" s="127"/>
      <c r="BF922" s="127"/>
      <c r="BG922" s="127"/>
      <c r="BH922" s="127"/>
      <c r="BI922" s="1342"/>
      <c r="BJ922" s="1097"/>
      <c r="BK922" s="127"/>
      <c r="BL922" s="127"/>
      <c r="BM922" s="127"/>
      <c r="BN922" s="1342"/>
      <c r="BO922" s="127"/>
      <c r="BP922" s="127"/>
      <c r="BQ922" s="127"/>
      <c r="BR922" s="127"/>
      <c r="BS922" s="1342"/>
      <c r="BT922" s="1342"/>
      <c r="BU922" s="1342"/>
      <c r="BV922" s="1342"/>
      <c r="BW922" s="152"/>
    </row>
    <row r="923" spans="1:75" s="198" customFormat="1" ht="14.25" x14ac:dyDescent="0.45">
      <c r="A923" s="239" t="s">
        <v>1320</v>
      </c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  <c r="AA923" s="239"/>
      <c r="AB923" s="239"/>
      <c r="AC923" s="239"/>
      <c r="AD923" s="239"/>
      <c r="AE923" s="239"/>
      <c r="AF923" s="239"/>
      <c r="AG923" s="239"/>
      <c r="AH923" s="239"/>
      <c r="AI923" s="239"/>
      <c r="AJ923" s="239"/>
      <c r="AK923" s="239"/>
      <c r="AL923" s="239"/>
      <c r="AM923" s="239"/>
      <c r="AN923" s="239"/>
      <c r="AO923" s="239"/>
      <c r="AP923" s="239"/>
      <c r="AQ923" s="239"/>
      <c r="AR923" s="239"/>
      <c r="AS923" s="239"/>
      <c r="AT923" s="239"/>
      <c r="AU923" s="239"/>
      <c r="AV923" s="239"/>
      <c r="AW923" s="239"/>
      <c r="AX923" s="239"/>
      <c r="AY923" s="239"/>
      <c r="AZ923" s="239"/>
      <c r="BA923" s="239"/>
      <c r="BB923" s="239"/>
      <c r="BC923" s="239"/>
      <c r="BD923" s="239"/>
      <c r="BE923" s="239"/>
      <c r="BF923" s="239"/>
      <c r="BG923" s="239"/>
      <c r="BH923" s="239"/>
      <c r="BI923" s="239"/>
      <c r="BJ923" s="241"/>
      <c r="BK923" s="239"/>
      <c r="BL923" s="239"/>
      <c r="BM923" s="239"/>
      <c r="BN923" s="239"/>
      <c r="BO923" s="239"/>
      <c r="BP923" s="239"/>
      <c r="BQ923" s="239"/>
      <c r="BR923" s="239"/>
      <c r="BS923" s="239"/>
      <c r="BT923" s="239"/>
      <c r="BU923" s="239"/>
      <c r="BV923" s="239"/>
      <c r="BW923" s="197"/>
    </row>
    <row r="924" spans="1:75" s="902" customFormat="1" ht="14.25" x14ac:dyDescent="0.45">
      <c r="A924" s="895" t="str">
        <f>"Stock Price (Reporting Cur.) - "&amp;MO.ValuationToggle&amp;", "&amp;MO.ReportCurrency</f>
        <v>Stock Price (Reporting Cur.) - EoP, USD</v>
      </c>
      <c r="B924" s="896" t="s">
        <v>1322</v>
      </c>
      <c r="C924" s="898">
        <f t="shared" ref="C924:AH924" si="1203">IF(MO.ValuationToggle="EoP",INDEX(MO_VA_StockPrice_TradingCurrency,1,COLUMN())/INDEX(MO_VA_FX_EoP,1,COLUMN()),INDEX(MO_VA_StockPrice_TradingCurrency,1,COLUMN())/INDEX(MO_VA_FX_Average,1,COLUMN()))</f>
        <v>18.98</v>
      </c>
      <c r="D924" s="898">
        <f t="shared" si="1203"/>
        <v>32.340000000000003</v>
      </c>
      <c r="E924" s="898">
        <f t="shared" si="1203"/>
        <v>35.119999999999997</v>
      </c>
      <c r="F924" s="898">
        <f t="shared" si="1203"/>
        <v>45.02</v>
      </c>
      <c r="G924" s="899">
        <f t="shared" si="1203"/>
        <v>53.83</v>
      </c>
      <c r="H924" s="899">
        <f t="shared" si="1203"/>
        <v>60.6</v>
      </c>
      <c r="I924" s="899">
        <f t="shared" si="1203"/>
        <v>52</v>
      </c>
      <c r="J924" s="899">
        <f t="shared" si="1203"/>
        <v>54.52</v>
      </c>
      <c r="K924" s="898">
        <f t="shared" si="1203"/>
        <v>54.52</v>
      </c>
      <c r="L924" s="899">
        <f t="shared" si="1203"/>
        <v>63.06</v>
      </c>
      <c r="M924" s="899">
        <f t="shared" si="1203"/>
        <v>67.2</v>
      </c>
      <c r="N924" s="899">
        <f t="shared" si="1203"/>
        <v>65.03</v>
      </c>
      <c r="O924" s="899">
        <f t="shared" si="1203"/>
        <v>78.25</v>
      </c>
      <c r="P924" s="898">
        <f t="shared" si="1203"/>
        <v>78.25</v>
      </c>
      <c r="Q924" s="899">
        <f t="shared" si="1203"/>
        <v>75.010000000000005</v>
      </c>
      <c r="R924" s="899">
        <f t="shared" si="1203"/>
        <v>84.66</v>
      </c>
      <c r="S924" s="899">
        <f t="shared" si="1203"/>
        <v>73.75</v>
      </c>
      <c r="T924" s="899">
        <f t="shared" si="1203"/>
        <v>51.66</v>
      </c>
      <c r="U924" s="898">
        <f t="shared" si="1203"/>
        <v>51.66</v>
      </c>
      <c r="V924" s="899">
        <f t="shared" si="1203"/>
        <v>58.78</v>
      </c>
      <c r="W924" s="899">
        <f t="shared" si="1203"/>
        <v>54.08</v>
      </c>
      <c r="X924" s="899">
        <f t="shared" si="1203"/>
        <v>46.52</v>
      </c>
      <c r="Y924" s="899">
        <f t="shared" si="1203"/>
        <v>47.5</v>
      </c>
      <c r="Z924" s="898">
        <f t="shared" si="1203"/>
        <v>47.5</v>
      </c>
      <c r="AA924" s="899">
        <f t="shared" si="1203"/>
        <v>54.05</v>
      </c>
      <c r="AB924" s="899">
        <f t="shared" si="1203"/>
        <v>46.32</v>
      </c>
      <c r="AC924" s="899">
        <f t="shared" si="1203"/>
        <v>52.42</v>
      </c>
      <c r="AD924" s="899">
        <f t="shared" si="1203"/>
        <v>53.41</v>
      </c>
      <c r="AE924" s="898">
        <f t="shared" si="1203"/>
        <v>53.41</v>
      </c>
      <c r="AF924" s="899">
        <f t="shared" si="1203"/>
        <v>49.18</v>
      </c>
      <c r="AG924" s="899">
        <f t="shared" si="1203"/>
        <v>58.16</v>
      </c>
      <c r="AH924" s="899">
        <f t="shared" si="1203"/>
        <v>56.9</v>
      </c>
      <c r="AI924" s="899">
        <f t="shared" ref="AI924:BN924" si="1204">IF(MO.ValuationToggle="EoP",INDEX(MO_VA_StockPrice_TradingCurrency,1,COLUMN())/INDEX(MO_VA_FX_EoP,1,COLUMN()),INDEX(MO_VA_StockPrice_TradingCurrency,1,COLUMN())/INDEX(MO_VA_FX_Average,1,COLUMN()))</f>
        <v>54</v>
      </c>
      <c r="AJ924" s="898">
        <f t="shared" si="1204"/>
        <v>54</v>
      </c>
      <c r="AK924" s="899">
        <f t="shared" si="1204"/>
        <v>56.64</v>
      </c>
      <c r="AL924" s="899">
        <f t="shared" si="1204"/>
        <v>64.040000000000006</v>
      </c>
      <c r="AM924" s="899">
        <f t="shared" si="1204"/>
        <v>66.790000000000006</v>
      </c>
      <c r="AN924" s="899">
        <f t="shared" si="1204"/>
        <v>70.08</v>
      </c>
      <c r="AO924" s="898">
        <f t="shared" si="1204"/>
        <v>70.08</v>
      </c>
      <c r="AP924" s="899">
        <f t="shared" si="1204"/>
        <v>60.25</v>
      </c>
      <c r="AQ924" s="899">
        <f t="shared" si="1204"/>
        <v>87.12</v>
      </c>
      <c r="AR924" s="899">
        <f t="shared" si="1204"/>
        <v>91.21</v>
      </c>
      <c r="AS924" s="899">
        <f t="shared" si="1204"/>
        <v>128.91999999999999</v>
      </c>
      <c r="AT924" s="898">
        <f t="shared" si="1204"/>
        <v>128.91999999999999</v>
      </c>
      <c r="AU924" s="899">
        <f t="shared" si="1204"/>
        <v>170.75</v>
      </c>
      <c r="AV924" s="899">
        <f t="shared" si="1204"/>
        <v>151.69999999999999</v>
      </c>
      <c r="AW924" s="899">
        <f t="shared" si="1204"/>
        <v>185.73</v>
      </c>
      <c r="AX924" s="899">
        <f t="shared" si="1204"/>
        <v>154.81</v>
      </c>
      <c r="AY924" s="898">
        <f t="shared" si="1204"/>
        <v>154.81</v>
      </c>
      <c r="AZ924" s="899">
        <f t="shared" si="1204"/>
        <v>130.47999999999999</v>
      </c>
      <c r="BA924" s="899">
        <f t="shared" si="1204"/>
        <v>144.41999999999999</v>
      </c>
      <c r="BB924" s="899">
        <f t="shared" si="1204"/>
        <v>122.75</v>
      </c>
      <c r="BC924" s="899">
        <f t="shared" si="1204"/>
        <v>126.67</v>
      </c>
      <c r="BD924" s="898">
        <f t="shared" si="1204"/>
        <v>126.67</v>
      </c>
      <c r="BE924" s="899">
        <f t="shared" si="1204"/>
        <v>121.04</v>
      </c>
      <c r="BF924" s="899">
        <f t="shared" si="1204"/>
        <v>140.66</v>
      </c>
      <c r="BG924" s="899">
        <f t="shared" ref="BG924:BM924" si="1205">IF(MO.ValuationToggle="EoP",INDEX(MO_VA_StockPrice_TradingCurrency,1,COLUMN())/INDEX(MO_VA_FX_EoP,1,COLUMN()),INDEX(MO_VA_StockPrice_TradingCurrency,1,COLUMN())/INDEX(MO_VA_FX_Average,1,COLUMN()))</f>
        <v>145.82</v>
      </c>
      <c r="BH924" s="899">
        <f t="shared" si="1205"/>
        <v>208.55</v>
      </c>
      <c r="BI924" s="898">
        <f t="shared" si="1205"/>
        <v>208.55</v>
      </c>
      <c r="BJ924" s="1343">
        <f>IF(MO.ValuationToggle="EoP",INDEX(MO_VA_StockPrice_TradingCurrency,1,COLUMN())/INDEX(MO_VA_FX_EoP,1,COLUMN()),INDEX(MO_VA_StockPrice_TradingCurrency,1,COLUMN())/INDEX(MO_VA_FX_Average,1,COLUMN()))</f>
        <v>282.16000000000003</v>
      </c>
      <c r="BK924" s="900">
        <f t="shared" ca="1" si="1205"/>
        <v>292.52</v>
      </c>
      <c r="BL924" s="900">
        <f t="shared" ca="1" si="1205"/>
        <v>292.52</v>
      </c>
      <c r="BM924" s="900">
        <f t="shared" ca="1" si="1205"/>
        <v>292.52</v>
      </c>
      <c r="BN924" s="864">
        <f t="shared" ca="1" si="1204"/>
        <v>292.52</v>
      </c>
      <c r="BO924" s="900">
        <f t="shared" ref="BO924:BV924" ca="1" si="1206">IF(MO.ValuationToggle="EoP",INDEX(MO_VA_StockPrice_TradingCurrency,1,COLUMN())/INDEX(MO_VA_FX_EoP,1,COLUMN()),INDEX(MO_VA_StockPrice_TradingCurrency,1,COLUMN())/INDEX(MO_VA_FX_Average,1,COLUMN()))</f>
        <v>292.52</v>
      </c>
      <c r="BP924" s="900">
        <f t="shared" ca="1" si="1206"/>
        <v>292.52</v>
      </c>
      <c r="BQ924" s="900">
        <f t="shared" ca="1" si="1206"/>
        <v>292.52</v>
      </c>
      <c r="BR924" s="900">
        <f t="shared" ca="1" si="1206"/>
        <v>292.52</v>
      </c>
      <c r="BS924" s="864">
        <f t="shared" ca="1" si="1206"/>
        <v>292.52</v>
      </c>
      <c r="BT924" s="864">
        <f t="shared" ca="1" si="1206"/>
        <v>292.52</v>
      </c>
      <c r="BU924" s="864">
        <f t="shared" ca="1" si="1206"/>
        <v>292.52</v>
      </c>
      <c r="BV924" s="864">
        <f t="shared" ca="1" si="1206"/>
        <v>292.52</v>
      </c>
      <c r="BW924" s="901"/>
    </row>
    <row r="925" spans="1:75" s="123" customFormat="1" x14ac:dyDescent="0.5">
      <c r="A925" s="122" t="str">
        <f>"Market Cap - "&amp;MO.ValuationToggle</f>
        <v>Market Cap - EoP</v>
      </c>
      <c r="B925" s="513"/>
      <c r="C925" s="674">
        <f t="shared" ref="C925:AH925" si="1207">INDEX(MO_VA_StockPrice,0,COLUMN())*INDEX(MO_SCA_ShareCount_EoP_Diluted,0,COLUMN())</f>
        <v>2060.6965600000003</v>
      </c>
      <c r="D925" s="674">
        <f t="shared" si="1207"/>
        <v>3475.0623600000008</v>
      </c>
      <c r="E925" s="674">
        <f t="shared" si="1207"/>
        <v>3606.156719999999</v>
      </c>
      <c r="F925" s="674">
        <f t="shared" si="1207"/>
        <v>4480.3453799999997</v>
      </c>
      <c r="G925" s="122">
        <f t="shared" si="1207"/>
        <v>5335.6296000000002</v>
      </c>
      <c r="H925" s="122">
        <f t="shared" si="1207"/>
        <v>5932.9823999999999</v>
      </c>
      <c r="I925" s="122">
        <f t="shared" si="1207"/>
        <v>5033.0280000000002</v>
      </c>
      <c r="J925" s="122">
        <f t="shared" si="1207"/>
        <v>5274.864520000001</v>
      </c>
      <c r="K925" s="674">
        <f t="shared" si="1207"/>
        <v>5274.864520000001</v>
      </c>
      <c r="L925" s="122">
        <f t="shared" si="1207"/>
        <v>6041.7155400000001</v>
      </c>
      <c r="M925" s="122">
        <f t="shared" si="1207"/>
        <v>6402.4128000000001</v>
      </c>
      <c r="N925" s="122">
        <f t="shared" si="1207"/>
        <v>6117.50216</v>
      </c>
      <c r="O925" s="122">
        <f t="shared" si="1207"/>
        <v>7312.0712500000009</v>
      </c>
      <c r="P925" s="674">
        <f t="shared" si="1207"/>
        <v>7312.0712500000009</v>
      </c>
      <c r="Q925" s="122">
        <f t="shared" si="1207"/>
        <v>6993.707370000001</v>
      </c>
      <c r="R925" s="122">
        <f t="shared" si="1207"/>
        <v>7804.0434599999999</v>
      </c>
      <c r="S925" s="122">
        <f t="shared" si="1207"/>
        <v>6738.8325000000004</v>
      </c>
      <c r="T925" s="122">
        <f t="shared" si="1207"/>
        <v>4690.2630599999993</v>
      </c>
      <c r="U925" s="674">
        <f t="shared" si="1207"/>
        <v>4690.2630599999993</v>
      </c>
      <c r="V925" s="122">
        <f t="shared" si="1207"/>
        <v>5323.4694799999997</v>
      </c>
      <c r="W925" s="122">
        <f t="shared" si="1207"/>
        <v>4836.6448</v>
      </c>
      <c r="X925" s="122">
        <f t="shared" si="1207"/>
        <v>4129.85952</v>
      </c>
      <c r="Y925" s="122">
        <f t="shared" si="1207"/>
        <v>4193.7275</v>
      </c>
      <c r="Z925" s="674">
        <f t="shared" si="1207"/>
        <v>4193.7275</v>
      </c>
      <c r="AA925" s="122">
        <f t="shared" si="1207"/>
        <v>4736.4555499999988</v>
      </c>
      <c r="AB925" s="122">
        <f t="shared" si="1207"/>
        <v>3991.5333599999999</v>
      </c>
      <c r="AC925" s="122">
        <f t="shared" si="1207"/>
        <v>4451.6112400000002</v>
      </c>
      <c r="AD925" s="122">
        <f t="shared" si="1207"/>
        <v>4508.7119699999994</v>
      </c>
      <c r="AE925" s="674">
        <f t="shared" si="1207"/>
        <v>4508.7119699999994</v>
      </c>
      <c r="AF925" s="122">
        <f t="shared" si="1207"/>
        <v>4131.3167199999998</v>
      </c>
      <c r="AG925" s="122">
        <f t="shared" si="1207"/>
        <v>4758.2440799999995</v>
      </c>
      <c r="AH925" s="122">
        <f t="shared" si="1207"/>
        <v>4634.3912</v>
      </c>
      <c r="AI925" s="122">
        <f t="shared" ref="AI925:BN925" si="1208">INDEX(MO_VA_StockPrice,0,COLUMN())*INDEX(MO_SCA_ShareCount_EoP_Diluted,0,COLUMN())</f>
        <v>4313.7359999999999</v>
      </c>
      <c r="AJ925" s="674">
        <f t="shared" si="1208"/>
        <v>4313.7359999999999</v>
      </c>
      <c r="AK925" s="122">
        <f t="shared" si="1208"/>
        <v>4530.7468800000006</v>
      </c>
      <c r="AL925" s="122">
        <f t="shared" si="1208"/>
        <v>5071.0074000000004</v>
      </c>
      <c r="AM925" s="122">
        <f t="shared" si="1208"/>
        <v>5270.1317399999998</v>
      </c>
      <c r="AN925" s="122">
        <f t="shared" si="1208"/>
        <v>5514.2448000000004</v>
      </c>
      <c r="AO925" s="674">
        <f t="shared" si="1208"/>
        <v>5514.2448000000004</v>
      </c>
      <c r="AP925" s="122">
        <f t="shared" si="1208"/>
        <v>4753.4840000000004</v>
      </c>
      <c r="AQ925" s="122">
        <f t="shared" si="1208"/>
        <v>6906.6122400000004</v>
      </c>
      <c r="AR925" s="122">
        <f t="shared" si="1208"/>
        <v>7163.8158199999998</v>
      </c>
      <c r="AS925" s="122">
        <f t="shared" si="1208"/>
        <v>10143.167759999998</v>
      </c>
      <c r="AT925" s="674">
        <f t="shared" si="1208"/>
        <v>10143.167759999998</v>
      </c>
      <c r="AU925" s="122">
        <f t="shared" si="1208"/>
        <v>13304.84</v>
      </c>
      <c r="AV925" s="122">
        <f t="shared" si="1208"/>
        <v>11563.1808</v>
      </c>
      <c r="AW925" s="122">
        <f t="shared" si="1208"/>
        <v>13977.854069999996</v>
      </c>
      <c r="AX925" s="122">
        <f t="shared" si="1208"/>
        <v>11454.546710000001</v>
      </c>
      <c r="AY925" s="674">
        <f t="shared" si="1208"/>
        <v>11454.546710000001</v>
      </c>
      <c r="AZ925" s="122">
        <f t="shared" si="1208"/>
        <v>9266.6895999999979</v>
      </c>
      <c r="BA925" s="122">
        <f t="shared" si="1208"/>
        <v>9814.4943599999988</v>
      </c>
      <c r="BB925" s="122">
        <f t="shared" si="1208"/>
        <v>8281.8197500000006</v>
      </c>
      <c r="BC925" s="122">
        <f t="shared" si="1208"/>
        <v>8496.7702599999993</v>
      </c>
      <c r="BD925" s="674">
        <f t="shared" si="1208"/>
        <v>8496.7702599999993</v>
      </c>
      <c r="BE925" s="122">
        <f t="shared" si="1208"/>
        <v>7875.951759999999</v>
      </c>
      <c r="BF925" s="122">
        <f t="shared" si="1208"/>
        <v>9073.6952799999999</v>
      </c>
      <c r="BG925" s="122">
        <f t="shared" ref="BG925:BM925" si="1209">INDEX(MO_VA_StockPrice,0,COLUMN())*INDEX(MO_SCA_ShareCount_EoP_Diluted,0,COLUMN())</f>
        <v>9444.3239400000002</v>
      </c>
      <c r="BH925" s="122">
        <f t="shared" si="1209"/>
        <v>13588.075250000002</v>
      </c>
      <c r="BI925" s="674">
        <f t="shared" si="1209"/>
        <v>13588.075250000002</v>
      </c>
      <c r="BJ925" s="1274">
        <f>INDEX(MO_VA_StockPrice,0,COLUMN())*INDEX(MO_SCA_ShareCount_EoP_Diluted,0,COLUMN())</f>
        <v>18466.24336</v>
      </c>
      <c r="BK925" s="118">
        <f t="shared" ca="1" si="1209"/>
        <v>19196.256424799998</v>
      </c>
      <c r="BL925" s="118">
        <f t="shared" ca="1" si="1209"/>
        <v>19196.256424799998</v>
      </c>
      <c r="BM925" s="118">
        <f t="shared" ca="1" si="1209"/>
        <v>19196.256424799998</v>
      </c>
      <c r="BN925" s="401">
        <f t="shared" ca="1" si="1208"/>
        <v>19196.256424799998</v>
      </c>
      <c r="BO925" s="118">
        <f t="shared" ref="BO925:BV925" ca="1" si="1210">INDEX(MO_VA_StockPrice,0,COLUMN())*INDEX(MO_SCA_ShareCount_EoP_Diluted,0,COLUMN())</f>
        <v>19196.256424799998</v>
      </c>
      <c r="BP925" s="118">
        <f t="shared" ca="1" si="1210"/>
        <v>19196.256424799998</v>
      </c>
      <c r="BQ925" s="118">
        <f t="shared" ca="1" si="1210"/>
        <v>19196.256424799998</v>
      </c>
      <c r="BR925" s="118">
        <f t="shared" ca="1" si="1210"/>
        <v>19196.256424799998</v>
      </c>
      <c r="BS925" s="401">
        <f t="shared" ca="1" si="1210"/>
        <v>19196.256424799998</v>
      </c>
      <c r="BT925" s="401">
        <f t="shared" ca="1" si="1210"/>
        <v>19196.256424799998</v>
      </c>
      <c r="BU925" s="401">
        <f t="shared" ca="1" si="1210"/>
        <v>19196.256424799998</v>
      </c>
      <c r="BV925" s="401">
        <f t="shared" ca="1" si="1210"/>
        <v>19196.256424799998</v>
      </c>
      <c r="BW925" s="122"/>
    </row>
    <row r="926" spans="1:75" s="123" customFormat="1" x14ac:dyDescent="0.5">
      <c r="A926" s="122" t="str">
        <f>"Enterprise Value - "&amp;MO.ValuationToggle</f>
        <v>Enterprise Value - EoP</v>
      </c>
      <c r="B926" s="513"/>
      <c r="C926" s="674">
        <f t="shared" ref="C926:BN926" si="1211">C908+C925+C943+C944+C945</f>
        <v>1557.0125600000003</v>
      </c>
      <c r="D926" s="674">
        <f t="shared" si="1211"/>
        <v>2842.8193600000009</v>
      </c>
      <c r="E926" s="674">
        <f t="shared" si="1211"/>
        <v>3095.9407199999991</v>
      </c>
      <c r="F926" s="674">
        <f t="shared" si="1211"/>
        <v>4045.2123799999999</v>
      </c>
      <c r="G926" s="122">
        <f t="shared" si="1211"/>
        <v>5072.4816000000001</v>
      </c>
      <c r="H926" s="122">
        <f t="shared" si="1211"/>
        <v>5714.4363999999996</v>
      </c>
      <c r="I926" s="122">
        <f t="shared" si="1211"/>
        <v>4893.7470000000003</v>
      </c>
      <c r="J926" s="122">
        <f t="shared" si="1211"/>
        <v>4934.2075200000008</v>
      </c>
      <c r="K926" s="674">
        <f t="shared" si="1211"/>
        <v>4934.2075200000008</v>
      </c>
      <c r="L926" s="122">
        <f t="shared" si="1211"/>
        <v>5918.3035399999999</v>
      </c>
      <c r="M926" s="122">
        <f t="shared" si="1211"/>
        <v>6333.8068000000003</v>
      </c>
      <c r="N926" s="122">
        <f t="shared" si="1211"/>
        <v>6101.7671600000003</v>
      </c>
      <c r="O926" s="122">
        <f t="shared" si="1211"/>
        <v>7091.112250000001</v>
      </c>
      <c r="P926" s="674">
        <f t="shared" si="1211"/>
        <v>7091.112250000001</v>
      </c>
      <c r="Q926" s="122">
        <f t="shared" si="1211"/>
        <v>6976.8243700000012</v>
      </c>
      <c r="R926" s="122">
        <f t="shared" si="1211"/>
        <v>7834.26746</v>
      </c>
      <c r="S926" s="122">
        <f t="shared" si="1211"/>
        <v>6866.5685000000003</v>
      </c>
      <c r="T926" s="122">
        <f t="shared" si="1211"/>
        <v>4496.6160599999994</v>
      </c>
      <c r="U926" s="674">
        <f t="shared" si="1211"/>
        <v>4496.6160599999994</v>
      </c>
      <c r="V926" s="122">
        <f t="shared" si="1211"/>
        <v>5324.2524800000001</v>
      </c>
      <c r="W926" s="122">
        <f t="shared" si="1211"/>
        <v>4850.5227999999997</v>
      </c>
      <c r="X926" s="122">
        <f t="shared" si="1211"/>
        <v>4179.4785199999997</v>
      </c>
      <c r="Y926" s="122">
        <f t="shared" si="1211"/>
        <v>3980.0144999999998</v>
      </c>
      <c r="Z926" s="674">
        <f t="shared" si="1211"/>
        <v>3980.0144999999998</v>
      </c>
      <c r="AA926" s="122">
        <f t="shared" si="1211"/>
        <v>4687.4805499999984</v>
      </c>
      <c r="AB926" s="122">
        <f t="shared" si="1211"/>
        <v>4003.42436</v>
      </c>
      <c r="AC926" s="122">
        <f t="shared" si="1211"/>
        <v>4530.8322399999997</v>
      </c>
      <c r="AD926" s="122">
        <f t="shared" si="1211"/>
        <v>4417.9979699999994</v>
      </c>
      <c r="AE926" s="674">
        <f t="shared" si="1211"/>
        <v>4417.9979699999994</v>
      </c>
      <c r="AF926" s="122">
        <f t="shared" si="1211"/>
        <v>4140.5447199999999</v>
      </c>
      <c r="AG926" s="122">
        <f t="shared" si="1211"/>
        <v>4883.1850799999993</v>
      </c>
      <c r="AH926" s="122">
        <f t="shared" si="1211"/>
        <v>4829.5482000000002</v>
      </c>
      <c r="AI926" s="122">
        <f t="shared" si="1211"/>
        <v>4274.402</v>
      </c>
      <c r="AJ926" s="674">
        <f t="shared" si="1211"/>
        <v>4274.402</v>
      </c>
      <c r="AK926" s="122">
        <f t="shared" si="1211"/>
        <v>6089.7858800000004</v>
      </c>
      <c r="AL926" s="122">
        <f t="shared" si="1211"/>
        <v>6681.2684000000008</v>
      </c>
      <c r="AM926" s="122">
        <f t="shared" si="1211"/>
        <v>6867.8087399999995</v>
      </c>
      <c r="AN926" s="122">
        <f t="shared" si="1211"/>
        <v>6704.4027999999998</v>
      </c>
      <c r="AO926" s="674">
        <f t="shared" si="1211"/>
        <v>6704.4027999999998</v>
      </c>
      <c r="AP926" s="122">
        <f t="shared" si="1211"/>
        <v>6014.1869999999999</v>
      </c>
      <c r="AQ926" s="122">
        <f t="shared" si="1211"/>
        <v>8047.8672400000005</v>
      </c>
      <c r="AR926" s="122">
        <f t="shared" si="1211"/>
        <v>7934.4088199999997</v>
      </c>
      <c r="AS926" s="122">
        <f t="shared" si="1211"/>
        <v>10476.991759999999</v>
      </c>
      <c r="AT926" s="674">
        <f t="shared" si="1211"/>
        <v>10476.991759999999</v>
      </c>
      <c r="AU926" s="122">
        <f t="shared" si="1211"/>
        <v>13873.197</v>
      </c>
      <c r="AV926" s="122">
        <f t="shared" si="1211"/>
        <v>12115.918799999999</v>
      </c>
      <c r="AW926" s="122">
        <f t="shared" si="1211"/>
        <v>14634.594069999996</v>
      </c>
      <c r="AX926" s="122">
        <f t="shared" si="1211"/>
        <v>11888.45671</v>
      </c>
      <c r="AY926" s="674">
        <f t="shared" si="1211"/>
        <v>11888.45671</v>
      </c>
      <c r="AZ926" s="122">
        <f t="shared" si="1211"/>
        <v>10191.717599999998</v>
      </c>
      <c r="BA926" s="122">
        <f t="shared" si="1211"/>
        <v>11011.982359999998</v>
      </c>
      <c r="BB926" s="122">
        <f t="shared" si="1211"/>
        <v>9596.8477500000008</v>
      </c>
      <c r="BC926" s="122">
        <f t="shared" si="1211"/>
        <v>9573.0842599999996</v>
      </c>
      <c r="BD926" s="674">
        <f t="shared" si="1211"/>
        <v>9573.0842599999996</v>
      </c>
      <c r="BE926" s="122">
        <f t="shared" si="1211"/>
        <v>8994.6427599999988</v>
      </c>
      <c r="BF926" s="122">
        <f t="shared" si="1211"/>
        <v>9949.6362800000006</v>
      </c>
      <c r="BG926" s="122">
        <f t="shared" si="1211"/>
        <v>10140.38394</v>
      </c>
      <c r="BH926" s="122">
        <f t="shared" si="1211"/>
        <v>13716.689250000001</v>
      </c>
      <c r="BI926" s="674">
        <f t="shared" si="1211"/>
        <v>13716.689250000001</v>
      </c>
      <c r="BJ926" s="1274">
        <f>BJ908+BJ925+BJ943+BJ944+BJ945</f>
        <v>18553.341359999999</v>
      </c>
      <c r="BK926" s="118">
        <f t="shared" ca="1" si="1211"/>
        <v>19247.591230467278</v>
      </c>
      <c r="BL926" s="118">
        <f t="shared" ca="1" si="1211"/>
        <v>19030.190759267058</v>
      </c>
      <c r="BM926" s="118">
        <f t="shared" ca="1" si="1211"/>
        <v>18508.255436245185</v>
      </c>
      <c r="BN926" s="401">
        <f t="shared" ca="1" si="1211"/>
        <v>18508.255436245185</v>
      </c>
      <c r="BO926" s="118">
        <f t="shared" ref="BO926:CF926" ca="1" si="1212">BO908+BO925+BO943+BO944+BO945</f>
        <v>18526.966895244459</v>
      </c>
      <c r="BP926" s="118">
        <f t="shared" ca="1" si="1212"/>
        <v>18510.71355713503</v>
      </c>
      <c r="BQ926" s="118">
        <f t="shared" ca="1" si="1212"/>
        <v>18281.143988086136</v>
      </c>
      <c r="BR926" s="118">
        <f t="shared" ca="1" si="1212"/>
        <v>17784.551273824232</v>
      </c>
      <c r="BS926" s="401">
        <f t="shared" ca="1" si="1212"/>
        <v>17784.551273824232</v>
      </c>
      <c r="BT926" s="401">
        <f t="shared" ca="1" si="1212"/>
        <v>16969.610362604613</v>
      </c>
      <c r="BU926" s="401">
        <f t="shared" ca="1" si="1212"/>
        <v>16012.001495408258</v>
      </c>
      <c r="BV926" s="401">
        <f t="shared" ca="1" si="1212"/>
        <v>14909.6413370673</v>
      </c>
      <c r="BW926" s="122"/>
    </row>
    <row r="927" spans="1:75" s="910" customFormat="1" x14ac:dyDescent="0.5">
      <c r="A927" s="903"/>
      <c r="B927" s="904"/>
      <c r="C927" s="905"/>
      <c r="D927" s="905"/>
      <c r="E927" s="905"/>
      <c r="F927" s="905"/>
      <c r="G927" s="906"/>
      <c r="H927" s="906"/>
      <c r="I927" s="906"/>
      <c r="J927" s="906"/>
      <c r="K927" s="905"/>
      <c r="L927" s="906"/>
      <c r="M927" s="906"/>
      <c r="N927" s="906"/>
      <c r="O927" s="906"/>
      <c r="P927" s="905"/>
      <c r="Q927" s="906"/>
      <c r="R927" s="906"/>
      <c r="S927" s="906"/>
      <c r="T927" s="906"/>
      <c r="U927" s="905"/>
      <c r="V927" s="906"/>
      <c r="W927" s="906"/>
      <c r="X927" s="906"/>
      <c r="Y927" s="906"/>
      <c r="Z927" s="905"/>
      <c r="AA927" s="906"/>
      <c r="AB927" s="906"/>
      <c r="AC927" s="906"/>
      <c r="AD927" s="906"/>
      <c r="AE927" s="905"/>
      <c r="AF927" s="906"/>
      <c r="AG927" s="906"/>
      <c r="AH927" s="906"/>
      <c r="AI927" s="906"/>
      <c r="AJ927" s="905"/>
      <c r="AK927" s="906"/>
      <c r="AL927" s="906"/>
      <c r="AM927" s="906"/>
      <c r="AN927" s="906"/>
      <c r="AO927" s="905"/>
      <c r="AP927" s="906"/>
      <c r="AQ927" s="906"/>
      <c r="AR927" s="906"/>
      <c r="AS927" s="906"/>
      <c r="AT927" s="905"/>
      <c r="AU927" s="906"/>
      <c r="AV927" s="906"/>
      <c r="AW927" s="906"/>
      <c r="AX927" s="906"/>
      <c r="AY927" s="905"/>
      <c r="AZ927" s="906"/>
      <c r="BA927" s="906"/>
      <c r="BB927" s="906"/>
      <c r="BC927" s="906"/>
      <c r="BD927" s="905"/>
      <c r="BE927" s="906"/>
      <c r="BF927" s="906"/>
      <c r="BG927" s="906"/>
      <c r="BH927" s="906"/>
      <c r="BI927" s="905"/>
      <c r="BJ927" s="1344"/>
      <c r="BK927" s="907"/>
      <c r="BL927" s="907"/>
      <c r="BM927" s="907"/>
      <c r="BN927" s="905"/>
      <c r="BO927" s="907"/>
      <c r="BP927" s="907"/>
      <c r="BQ927" s="907"/>
      <c r="BR927" s="907"/>
      <c r="BS927" s="905"/>
      <c r="BT927" s="905"/>
      <c r="BU927" s="905"/>
      <c r="BV927" s="905"/>
      <c r="BW927" s="909"/>
    </row>
    <row r="928" spans="1:75" s="910" customFormat="1" x14ac:dyDescent="0.5">
      <c r="A928" s="911" t="str">
        <f>"P/E - "&amp;MO.ValuationToggle</f>
        <v>P/E - EoP</v>
      </c>
      <c r="B928" s="904"/>
      <c r="C928" s="912">
        <f>C924/C811</f>
        <v>19.952845464935177</v>
      </c>
      <c r="D928" s="912">
        <f>D924/D811</f>
        <v>16.600025570648164</v>
      </c>
      <c r="E928" s="912">
        <f>E924/E811</f>
        <v>15.657652906368016</v>
      </c>
      <c r="F928" s="912">
        <f>F924/F811</f>
        <v>17.445566710296088</v>
      </c>
      <c r="G928" s="906"/>
      <c r="H928" s="906"/>
      <c r="I928" s="906"/>
      <c r="J928" s="906"/>
      <c r="K928" s="912">
        <f>K924/K811</f>
        <v>19.17088992239669</v>
      </c>
      <c r="L928" s="906"/>
      <c r="M928" s="906"/>
      <c r="N928" s="906"/>
      <c r="O928" s="906"/>
      <c r="P928" s="912">
        <f>P924/P811</f>
        <v>24.420579191335015</v>
      </c>
      <c r="Q928" s="906"/>
      <c r="R928" s="906"/>
      <c r="S928" s="906"/>
      <c r="T928" s="906"/>
      <c r="U928" s="912">
        <f>U924/U811</f>
        <v>15.344986648090098</v>
      </c>
      <c r="V928" s="906"/>
      <c r="W928" s="906"/>
      <c r="X928" s="906"/>
      <c r="Y928" s="906"/>
      <c r="Z928" s="912">
        <f>Z924/Z811</f>
        <v>13.833898741647449</v>
      </c>
      <c r="AA928" s="906"/>
      <c r="AB928" s="906"/>
      <c r="AC928" s="906"/>
      <c r="AD928" s="906"/>
      <c r="AE928" s="912">
        <f>AE924/AE811</f>
        <v>14.784727541684775</v>
      </c>
      <c r="AF928" s="906"/>
      <c r="AG928" s="906"/>
      <c r="AH928" s="906"/>
      <c r="AI928" s="906"/>
      <c r="AJ928" s="912">
        <f>AJ924/AJ811</f>
        <v>12.09755619765901</v>
      </c>
      <c r="AK928" s="906"/>
      <c r="AL928" s="906"/>
      <c r="AM928" s="906"/>
      <c r="AN928" s="906"/>
      <c r="AO928" s="912">
        <f>AO924/AO811</f>
        <v>14.487915620710709</v>
      </c>
      <c r="AP928" s="906"/>
      <c r="AQ928" s="906"/>
      <c r="AR928" s="906"/>
      <c r="AS928" s="906"/>
      <c r="AT928" s="912">
        <f>AT924/AT811</f>
        <v>14.258671725587147</v>
      </c>
      <c r="AU928" s="906"/>
      <c r="AV928" s="906"/>
      <c r="AW928" s="906"/>
      <c r="AX928" s="906"/>
      <c r="AY928" s="912">
        <f>AY924/AY811</f>
        <v>10.422681192134727</v>
      </c>
      <c r="AZ928" s="906"/>
      <c r="BA928" s="906"/>
      <c r="BB928" s="906"/>
      <c r="BC928" s="906"/>
      <c r="BD928" s="912">
        <f>BD924/BD811</f>
        <v>7.6594962507142972</v>
      </c>
      <c r="BE928" s="906"/>
      <c r="BF928" s="906"/>
      <c r="BG928" s="906"/>
      <c r="BH928" s="906"/>
      <c r="BI928" s="912">
        <f>BI924/BI811</f>
        <v>14.045860629730349</v>
      </c>
      <c r="BJ928" s="1344"/>
      <c r="BK928" s="907"/>
      <c r="BL928" s="907"/>
      <c r="BM928" s="907"/>
      <c r="BN928" s="905">
        <f ca="1">BN924/BN811</f>
        <v>18.159717259797603</v>
      </c>
      <c r="BO928" s="907"/>
      <c r="BP928" s="907"/>
      <c r="BQ928" s="907"/>
      <c r="BR928" s="907"/>
      <c r="BS928" s="905">
        <f ca="1">BS924/BS811</f>
        <v>17.995896254982103</v>
      </c>
      <c r="BT928" s="905">
        <f ca="1">BT924/BT811</f>
        <v>16.684448204378473</v>
      </c>
      <c r="BU928" s="905">
        <f ca="1">BU924/BU811</f>
        <v>15.313830006134705</v>
      </c>
      <c r="BV928" s="905">
        <f ca="1">BV924/BV811</f>
        <v>14.060968527612394</v>
      </c>
      <c r="BW928" s="909"/>
    </row>
    <row r="929" spans="1:75" s="910" customFormat="1" x14ac:dyDescent="0.5">
      <c r="A929" s="911" t="str">
        <f>"EV/EBITDA - "&amp;MO.ValuationToggle</f>
        <v>EV/EBITDA - EoP</v>
      </c>
      <c r="B929" s="904"/>
      <c r="C929" s="912">
        <f>C926/C769</f>
        <v>4.5938924441848048</v>
      </c>
      <c r="D929" s="912">
        <f>D926/D769</f>
        <v>5.5081122618021192</v>
      </c>
      <c r="E929" s="912">
        <f>E926/E769</f>
        <v>5.737250255271757</v>
      </c>
      <c r="F929" s="912">
        <f>F926/F769</f>
        <v>6.9547430404643356</v>
      </c>
      <c r="G929" s="906"/>
      <c r="H929" s="906"/>
      <c r="I929" s="906"/>
      <c r="J929" s="906"/>
      <c r="K929" s="912">
        <f>K926/K769</f>
        <v>7.6663722679792459</v>
      </c>
      <c r="L929" s="906"/>
      <c r="M929" s="906"/>
      <c r="N929" s="906"/>
      <c r="O929" s="906"/>
      <c r="P929" s="912">
        <f>P926/P769</f>
        <v>10.104811715183059</v>
      </c>
      <c r="Q929" s="906"/>
      <c r="R929" s="906"/>
      <c r="S929" s="906"/>
      <c r="T929" s="906"/>
      <c r="U929" s="912">
        <f>U926/U769</f>
        <v>6.4444423010500875</v>
      </c>
      <c r="V929" s="906"/>
      <c r="W929" s="906"/>
      <c r="X929" s="906"/>
      <c r="Y929" s="906"/>
      <c r="Z929" s="912">
        <f>Z926/Z769</f>
        <v>5.5952832496386993</v>
      </c>
      <c r="AA929" s="906"/>
      <c r="AB929" s="906"/>
      <c r="AC929" s="906"/>
      <c r="AD929" s="906"/>
      <c r="AE929" s="912">
        <f>AE926/AE769</f>
        <v>6.3596042159387478</v>
      </c>
      <c r="AF929" s="906"/>
      <c r="AG929" s="906"/>
      <c r="AH929" s="906"/>
      <c r="AI929" s="906"/>
      <c r="AJ929" s="912">
        <f>AJ926/AJ769</f>
        <v>5.8459996143151995</v>
      </c>
      <c r="AK929" s="906"/>
      <c r="AL929" s="906"/>
      <c r="AM929" s="906"/>
      <c r="AN929" s="906"/>
      <c r="AO929" s="912">
        <f>AO926/AO769</f>
        <v>8.8647750817469912</v>
      </c>
      <c r="AP929" s="906"/>
      <c r="AQ929" s="906"/>
      <c r="AR929" s="906"/>
      <c r="AS929" s="906"/>
      <c r="AT929" s="912">
        <f>AT926/AT769</f>
        <v>8.5661003568052969</v>
      </c>
      <c r="AU929" s="906"/>
      <c r="AV929" s="906"/>
      <c r="AW929" s="906"/>
      <c r="AX929" s="906"/>
      <c r="AY929" s="912">
        <f>AY926/AY769</f>
        <v>6.7794459236212559</v>
      </c>
      <c r="AZ929" s="906"/>
      <c r="BA929" s="906"/>
      <c r="BB929" s="906"/>
      <c r="BC929" s="906"/>
      <c r="BD929" s="912">
        <f>BD926/BD769</f>
        <v>5.258405112796825</v>
      </c>
      <c r="BE929" s="906"/>
      <c r="BF929" s="906"/>
      <c r="BG929" s="906"/>
      <c r="BH929" s="906"/>
      <c r="BI929" s="912">
        <f>BI926/BI769</f>
        <v>8.6388886964473777</v>
      </c>
      <c r="BJ929" s="1344"/>
      <c r="BK929" s="907"/>
      <c r="BL929" s="907"/>
      <c r="BM929" s="907"/>
      <c r="BN929" s="905">
        <f ca="1">BN926/BN769</f>
        <v>11.025342973479329</v>
      </c>
      <c r="BO929" s="907"/>
      <c r="BP929" s="907"/>
      <c r="BQ929" s="907"/>
      <c r="BR929" s="907"/>
      <c r="BS929" s="905">
        <f ca="1">BS926/BS769</f>
        <v>10.759587770171299</v>
      </c>
      <c r="BT929" s="905">
        <f ca="1">BT926/BT769</f>
        <v>9.5470859939079489</v>
      </c>
      <c r="BU929" s="905">
        <f ca="1">BU926/BU769</f>
        <v>8.2909156662647465</v>
      </c>
      <c r="BV929" s="905">
        <f ca="1">BV926/BV769</f>
        <v>7.1456510076036608</v>
      </c>
      <c r="BW929" s="909"/>
    </row>
    <row r="930" spans="1:75" s="910" customFormat="1" x14ac:dyDescent="0.5">
      <c r="A930" s="911" t="str">
        <f>"P/CF - "&amp;MO.ValuationToggle</f>
        <v>P/CF - EoP</v>
      </c>
      <c r="B930" s="904"/>
      <c r="C930" s="912">
        <f>C924/C877</f>
        <v>4.1529749061579162</v>
      </c>
      <c r="D930" s="912">
        <f>D924/D877</f>
        <v>9.9495812511060802</v>
      </c>
      <c r="E930" s="912">
        <f>E924/E877</f>
        <v>12.8483453355942</v>
      </c>
      <c r="F930" s="912">
        <f>F924/F877</f>
        <v>12.493761846828169</v>
      </c>
      <c r="G930" s="906"/>
      <c r="H930" s="906"/>
      <c r="I930" s="906"/>
      <c r="J930" s="906"/>
      <c r="K930" s="912">
        <f>K924/K877</f>
        <v>11.866539582915538</v>
      </c>
      <c r="L930" s="906"/>
      <c r="M930" s="906"/>
      <c r="N930" s="906"/>
      <c r="O930" s="906"/>
      <c r="P930" s="912">
        <f>P924/P877</f>
        <v>16.134824354500896</v>
      </c>
      <c r="Q930" s="906"/>
      <c r="R930" s="906"/>
      <c r="S930" s="906"/>
      <c r="T930" s="906"/>
      <c r="U930" s="912">
        <f>U924/U877</f>
        <v>8.7458858951594234</v>
      </c>
      <c r="V930" s="906"/>
      <c r="W930" s="906"/>
      <c r="X930" s="906"/>
      <c r="Y930" s="906"/>
      <c r="Z930" s="912">
        <f>Z924/Z877</f>
        <v>8.098669929427551</v>
      </c>
      <c r="AA930" s="906"/>
      <c r="AB930" s="906"/>
      <c r="AC930" s="906"/>
      <c r="AD930" s="906"/>
      <c r="AE930" s="912">
        <f>AE924/AE877</f>
        <v>9.2005123032835439</v>
      </c>
      <c r="AF930" s="906"/>
      <c r="AG930" s="906"/>
      <c r="AH930" s="906"/>
      <c r="AI930" s="906"/>
      <c r="AJ930" s="912">
        <f>AJ924/AJ877</f>
        <v>7.5878263303218851</v>
      </c>
      <c r="AK930" s="906"/>
      <c r="AL930" s="906"/>
      <c r="AM930" s="906"/>
      <c r="AN930" s="906"/>
      <c r="AO930" s="912">
        <f>AO924/AO877</f>
        <v>9.142339624629912</v>
      </c>
      <c r="AP930" s="906"/>
      <c r="AQ930" s="906"/>
      <c r="AR930" s="906"/>
      <c r="AS930" s="906"/>
      <c r="AT930" s="912">
        <f>AT924/AT877</f>
        <v>7.9944986382690324</v>
      </c>
      <c r="AU930" s="906"/>
      <c r="AV930" s="906"/>
      <c r="AW930" s="906"/>
      <c r="AX930" s="906"/>
      <c r="AY930" s="912">
        <f>AY924/AY877</f>
        <v>8.6207844527246156</v>
      </c>
      <c r="AZ930" s="906"/>
      <c r="BA930" s="906"/>
      <c r="BB930" s="906"/>
      <c r="BC930" s="906"/>
      <c r="BD930" s="912">
        <f>BD924/BD877</f>
        <v>8.3137481929518948</v>
      </c>
      <c r="BE930" s="906"/>
      <c r="BF930" s="906"/>
      <c r="BG930" s="906"/>
      <c r="BH930" s="906"/>
      <c r="BI930" s="912">
        <f>BI924/BI877</f>
        <v>8.1013475786375224</v>
      </c>
      <c r="BJ930" s="1344"/>
      <c r="BK930" s="907"/>
      <c r="BL930" s="907"/>
      <c r="BM930" s="907"/>
      <c r="BN930" s="905">
        <f ca="1">BN924/BN877</f>
        <v>13.63702010240066</v>
      </c>
      <c r="BO930" s="907"/>
      <c r="BP930" s="907"/>
      <c r="BQ930" s="907"/>
      <c r="BR930" s="907"/>
      <c r="BS930" s="905">
        <f ca="1">BS924/BS877</f>
        <v>13.815152327619243</v>
      </c>
      <c r="BT930" s="905">
        <f ca="1">BT924/BT877</f>
        <v>12.748684037226012</v>
      </c>
      <c r="BU930" s="905">
        <f ca="1">BU924/BU877</f>
        <v>11.645301767074072</v>
      </c>
      <c r="BV930" s="905">
        <f ca="1">BV924/BV877</f>
        <v>10.705246628701246</v>
      </c>
      <c r="BW930" s="909"/>
    </row>
    <row r="931" spans="1:75" s="217" customFormat="1" x14ac:dyDescent="0.5">
      <c r="A931" s="913" t="str">
        <f>"FCF Yield % to "&amp;MO.ValuationToggle&amp;" Market Cap"</f>
        <v>FCF Yield % to EoP Market Cap</v>
      </c>
      <c r="B931" s="212"/>
      <c r="C931" s="914">
        <f>C897/C925</f>
        <v>0.20306483163149447</v>
      </c>
      <c r="D931" s="914">
        <f>D897/D925</f>
        <v>8.462668278562914E-2</v>
      </c>
      <c r="E931" s="914">
        <f>E897/E925</f>
        <v>4.4640600090170228E-2</v>
      </c>
      <c r="F931" s="914">
        <f>F897/F925</f>
        <v>3.5426509908930273E-2</v>
      </c>
      <c r="G931" s="214"/>
      <c r="H931" s="214"/>
      <c r="I931" s="214"/>
      <c r="J931" s="214"/>
      <c r="K931" s="914">
        <f>K897/K925</f>
        <v>4.9255483058359188E-2</v>
      </c>
      <c r="L931" s="214"/>
      <c r="M931" s="214"/>
      <c r="N931" s="214"/>
      <c r="O931" s="214"/>
      <c r="P931" s="914">
        <f>P897/P925</f>
        <v>3.513327362612885E-2</v>
      </c>
      <c r="Q931" s="214"/>
      <c r="R931" s="214"/>
      <c r="S931" s="214"/>
      <c r="T931" s="214"/>
      <c r="U931" s="914">
        <f>U897/U925</f>
        <v>7.2723213098414147E-2</v>
      </c>
      <c r="V931" s="214"/>
      <c r="W931" s="214"/>
      <c r="X931" s="214"/>
      <c r="Y931" s="214"/>
      <c r="Z931" s="914">
        <f>Z897/Z925</f>
        <v>7.8043935854201302E-2</v>
      </c>
      <c r="AA931" s="214"/>
      <c r="AB931" s="214"/>
      <c r="AC931" s="214"/>
      <c r="AD931" s="214"/>
      <c r="AE931" s="914">
        <f>AE897/AE925</f>
        <v>6.8754003818079348E-2</v>
      </c>
      <c r="AF931" s="214"/>
      <c r="AG931" s="214"/>
      <c r="AH931" s="214"/>
      <c r="AI931" s="214"/>
      <c r="AJ931" s="914">
        <f>AJ897/AJ925</f>
        <v>9.1772885498788065E-2</v>
      </c>
      <c r="AK931" s="214"/>
      <c r="AL931" s="214"/>
      <c r="AM931" s="214"/>
      <c r="AN931" s="214"/>
      <c r="AO931" s="914">
        <f>AO897/AO925</f>
        <v>7.6350981008315083E-2</v>
      </c>
      <c r="AP931" s="214"/>
      <c r="AQ931" s="214"/>
      <c r="AR931" s="214"/>
      <c r="AS931" s="214"/>
      <c r="AT931" s="914">
        <f>AT897/AT925</f>
        <v>0.10897335291632802</v>
      </c>
      <c r="AU931" s="214"/>
      <c r="AV931" s="214"/>
      <c r="AW931" s="214"/>
      <c r="AX931" s="214"/>
      <c r="AY931" s="914">
        <f>AY897/AY925</f>
        <v>9.99280049205893E-2</v>
      </c>
      <c r="AZ931" s="214"/>
      <c r="BA931" s="214"/>
      <c r="BB931" s="214"/>
      <c r="BC931" s="214"/>
      <c r="BD931" s="914">
        <f>BD897/BD925</f>
        <v>8.2231833816817826E-2</v>
      </c>
      <c r="BE931" s="214"/>
      <c r="BF931" s="214"/>
      <c r="BG931" s="214"/>
      <c r="BH931" s="214"/>
      <c r="BI931" s="914">
        <f>BI897/BI925</f>
        <v>0.10978854418693328</v>
      </c>
      <c r="BJ931" s="1117"/>
      <c r="BK931" s="214"/>
      <c r="BL931" s="214"/>
      <c r="BM931" s="214"/>
      <c r="BN931" s="213">
        <f ca="1">BN897/BN925</f>
        <v>6.1495136990863154E-2</v>
      </c>
      <c r="BO931" s="214"/>
      <c r="BP931" s="214"/>
      <c r="BQ931" s="214"/>
      <c r="BR931" s="214"/>
      <c r="BS931" s="213">
        <f ca="1">BS897/BS925</f>
        <v>5.284923164030525E-2</v>
      </c>
      <c r="BT931" s="213">
        <f ca="1">BT897/BT925</f>
        <v>5.7602072339015466E-2</v>
      </c>
      <c r="BU931" s="213">
        <f ca="1">BU897/BU925</f>
        <v>6.5034144135702812E-2</v>
      </c>
      <c r="BV931" s="213">
        <f ca="1">BV897/BV925</f>
        <v>7.2574744132981234E-2</v>
      </c>
      <c r="BW931" s="216"/>
    </row>
    <row r="932" spans="1:75" s="217" customFormat="1" x14ac:dyDescent="0.5">
      <c r="A932" s="913" t="str">
        <f>"FCF Yield % to "&amp;MO.ValuationToggle&amp;" Enterprise Value"</f>
        <v>FCF Yield % to EoP Enterprise Value</v>
      </c>
      <c r="B932" s="212"/>
      <c r="C932" s="914">
        <f>C897/C926</f>
        <v>0.26875505744154038</v>
      </c>
      <c r="D932" s="914">
        <f>D897/D926</f>
        <v>0.10344765627317233</v>
      </c>
      <c r="E932" s="914">
        <f>E897/E926</f>
        <v>5.1997442638371957E-2</v>
      </c>
      <c r="F932" s="914">
        <f>F897/F926</f>
        <v>3.9237247662136335E-2</v>
      </c>
      <c r="G932" s="214"/>
      <c r="H932" s="214"/>
      <c r="I932" s="214"/>
      <c r="J932" s="214"/>
      <c r="K932" s="914">
        <f>K897/K926</f>
        <v>5.2656074748959884E-2</v>
      </c>
      <c r="L932" s="214"/>
      <c r="M932" s="214"/>
      <c r="N932" s="214"/>
      <c r="O932" s="214"/>
      <c r="P932" s="914">
        <f>P897/P926</f>
        <v>3.6228026146391916E-2</v>
      </c>
      <c r="Q932" s="214"/>
      <c r="R932" s="214"/>
      <c r="S932" s="214"/>
      <c r="T932" s="214"/>
      <c r="U932" s="914">
        <f>U897/U926</f>
        <v>7.5855041980168528E-2</v>
      </c>
      <c r="V932" s="214"/>
      <c r="W932" s="214"/>
      <c r="X932" s="214"/>
      <c r="Y932" s="214"/>
      <c r="Z932" s="914">
        <f>Z897/Z926</f>
        <v>8.2234625024607322E-2</v>
      </c>
      <c r="AA932" s="214"/>
      <c r="AB932" s="214"/>
      <c r="AC932" s="214"/>
      <c r="AD932" s="214"/>
      <c r="AE932" s="914">
        <f>AE897/AE926</f>
        <v>7.0165718070712479E-2</v>
      </c>
      <c r="AF932" s="214"/>
      <c r="AG932" s="214"/>
      <c r="AH932" s="214"/>
      <c r="AI932" s="214"/>
      <c r="AJ932" s="914">
        <f>AJ897/AJ926</f>
        <v>9.2617400048006712E-2</v>
      </c>
      <c r="AK932" s="214"/>
      <c r="AL932" s="214"/>
      <c r="AM932" s="214"/>
      <c r="AN932" s="214"/>
      <c r="AO932" s="914">
        <f>AO897/AO926</f>
        <v>6.2797241239741772E-2</v>
      </c>
      <c r="AP932" s="214"/>
      <c r="AQ932" s="214"/>
      <c r="AR932" s="214"/>
      <c r="AS932" s="214"/>
      <c r="AT932" s="914">
        <f>AT897/AT926</f>
        <v>0.10550118061751729</v>
      </c>
      <c r="AU932" s="214"/>
      <c r="AV932" s="214"/>
      <c r="AW932" s="214"/>
      <c r="AX932" s="214"/>
      <c r="AY932" s="914">
        <f>AY897/AY926</f>
        <v>9.6280789670301958E-2</v>
      </c>
      <c r="AZ932" s="214"/>
      <c r="BA932" s="214"/>
      <c r="BB932" s="214"/>
      <c r="BC932" s="214"/>
      <c r="BD932" s="914">
        <f>BD897/BD926</f>
        <v>7.2986404488201997E-2</v>
      </c>
      <c r="BE932" s="214"/>
      <c r="BF932" s="214"/>
      <c r="BG932" s="214"/>
      <c r="BH932" s="214"/>
      <c r="BI932" s="914">
        <f>BI897/BI926</f>
        <v>0.10875911619853891</v>
      </c>
      <c r="BJ932" s="1117"/>
      <c r="BK932" s="214"/>
      <c r="BL932" s="214"/>
      <c r="BM932" s="214"/>
      <c r="BN932" s="213">
        <f ca="1">BN897/BN926</f>
        <v>6.3781074484365291E-2</v>
      </c>
      <c r="BO932" s="214"/>
      <c r="BP932" s="214"/>
      <c r="BQ932" s="214"/>
      <c r="BR932" s="214"/>
      <c r="BS932" s="213">
        <f ca="1">BS897/BS926</f>
        <v>5.7044306983113573E-2</v>
      </c>
      <c r="BT932" s="213">
        <f ca="1">BT897/BT926</f>
        <v>6.5160255750851701E-2</v>
      </c>
      <c r="BU932" s="213">
        <f ca="1">BU897/BU926</f>
        <v>7.7967273957247618E-2</v>
      </c>
      <c r="BV932" s="213">
        <f ca="1">BV897/BV926</f>
        <v>9.3440436751310196E-2</v>
      </c>
      <c r="BW932" s="216"/>
    </row>
    <row r="933" spans="1:75" s="217" customFormat="1" hidden="1" outlineLevel="1" x14ac:dyDescent="0.5">
      <c r="A933" s="211"/>
      <c r="B933" s="212"/>
      <c r="C933" s="213"/>
      <c r="D933" s="213"/>
      <c r="E933" s="213"/>
      <c r="F933" s="213"/>
      <c r="G933" s="214"/>
      <c r="H933" s="214"/>
      <c r="I933" s="214"/>
      <c r="J933" s="214"/>
      <c r="K933" s="213"/>
      <c r="L933" s="214"/>
      <c r="M933" s="214"/>
      <c r="N933" s="214"/>
      <c r="O933" s="214"/>
      <c r="P933" s="213"/>
      <c r="Q933" s="214"/>
      <c r="R933" s="214"/>
      <c r="S933" s="214"/>
      <c r="T933" s="214"/>
      <c r="U933" s="213"/>
      <c r="V933" s="214"/>
      <c r="W933" s="214"/>
      <c r="X933" s="214"/>
      <c r="Y933" s="214"/>
      <c r="Z933" s="213"/>
      <c r="AA933" s="214"/>
      <c r="AB933" s="214"/>
      <c r="AC933" s="214"/>
      <c r="AD933" s="214"/>
      <c r="AE933" s="213"/>
      <c r="AF933" s="214"/>
      <c r="AG933" s="214"/>
      <c r="AH933" s="214"/>
      <c r="AI933" s="214"/>
      <c r="AJ933" s="213"/>
      <c r="AK933" s="214"/>
      <c r="AL933" s="214"/>
      <c r="AM933" s="214"/>
      <c r="AN933" s="214"/>
      <c r="AO933" s="213"/>
      <c r="AP933" s="214"/>
      <c r="AQ933" s="214"/>
      <c r="AR933" s="214"/>
      <c r="AS933" s="214"/>
      <c r="AT933" s="213"/>
      <c r="AU933" s="214"/>
      <c r="AV933" s="214"/>
      <c r="AW933" s="214"/>
      <c r="AX933" s="214"/>
      <c r="AY933" s="213"/>
      <c r="AZ933" s="214"/>
      <c r="BA933" s="214"/>
      <c r="BB933" s="214"/>
      <c r="BC933" s="214"/>
      <c r="BD933" s="213"/>
      <c r="BE933" s="214"/>
      <c r="BF933" s="214"/>
      <c r="BG933" s="214"/>
      <c r="BH933" s="214"/>
      <c r="BI933" s="213"/>
      <c r="BJ933" s="1117"/>
      <c r="BK933" s="214"/>
      <c r="BL933" s="214"/>
      <c r="BM933" s="214"/>
      <c r="BN933" s="213"/>
      <c r="BO933" s="214"/>
      <c r="BP933" s="214"/>
      <c r="BQ933" s="214"/>
      <c r="BR933" s="214"/>
      <c r="BS933" s="213"/>
      <c r="BT933" s="213"/>
      <c r="BU933" s="213"/>
      <c r="BV933" s="213"/>
      <c r="BW933" s="216"/>
    </row>
    <row r="934" spans="1:75" s="921" customFormat="1" hidden="1" outlineLevel="1" x14ac:dyDescent="0.5">
      <c r="A934" s="915" t="str">
        <f ca="1">"Stock High, "&amp;HP.TradeCurrency</f>
        <v>Stock High, USD</v>
      </c>
      <c r="B934" s="916"/>
      <c r="C934" s="918">
        <f t="shared" ref="C934:AH934" ca="1" si="1213">IF(INDEX(MO_SNA_IsHistoricalPeriod,1,COLUMN())=FALSE,0,INDEX(MO_SPT_StockHigh,1,COLUMN()))</f>
        <v>23.23</v>
      </c>
      <c r="D934" s="918">
        <f t="shared" ca="1" si="1213"/>
        <v>36.82</v>
      </c>
      <c r="E934" s="918">
        <f t="shared" ca="1" si="1213"/>
        <v>45.48</v>
      </c>
      <c r="F934" s="918">
        <f t="shared" ca="1" si="1213"/>
        <v>48.07</v>
      </c>
      <c r="G934" s="919">
        <f t="shared" ca="1" si="1213"/>
        <v>54.57</v>
      </c>
      <c r="H934" s="919">
        <f t="shared" ca="1" si="1213"/>
        <v>60.72</v>
      </c>
      <c r="I934" s="919">
        <f t="shared" ca="1" si="1213"/>
        <v>61.56</v>
      </c>
      <c r="J934" s="919">
        <f t="shared" ca="1" si="1213"/>
        <v>60.07</v>
      </c>
      <c r="K934" s="918">
        <f t="shared" ca="1" si="1213"/>
        <v>61.56</v>
      </c>
      <c r="L934" s="919">
        <f t="shared" ca="1" si="1213"/>
        <v>68.05</v>
      </c>
      <c r="M934" s="919">
        <f t="shared" ca="1" si="1213"/>
        <v>73.45</v>
      </c>
      <c r="N934" s="919">
        <f t="shared" ca="1" si="1213"/>
        <v>75.69</v>
      </c>
      <c r="O934" s="919">
        <f t="shared" ca="1" si="1213"/>
        <v>80.989999999999995</v>
      </c>
      <c r="P934" s="918">
        <f t="shared" ca="1" si="1213"/>
        <v>80.989999999999995</v>
      </c>
      <c r="Q934" s="919">
        <f t="shared" ca="1" si="1213"/>
        <v>84.75</v>
      </c>
      <c r="R934" s="919">
        <f t="shared" ca="1" si="1213"/>
        <v>85.37</v>
      </c>
      <c r="S934" s="919">
        <f t="shared" ca="1" si="1213"/>
        <v>89.38</v>
      </c>
      <c r="T934" s="919">
        <f t="shared" ca="1" si="1213"/>
        <v>75.900000000000006</v>
      </c>
      <c r="U934" s="918">
        <f t="shared" ca="1" si="1213"/>
        <v>89.38</v>
      </c>
      <c r="V934" s="919">
        <f t="shared" ca="1" si="1213"/>
        <v>61.97</v>
      </c>
      <c r="W934" s="919">
        <f t="shared" ca="1" si="1213"/>
        <v>61.03</v>
      </c>
      <c r="X934" s="919">
        <f t="shared" ca="1" si="1213"/>
        <v>57.4</v>
      </c>
      <c r="Y934" s="919">
        <f t="shared" ca="1" si="1213"/>
        <v>56.94</v>
      </c>
      <c r="Z934" s="918">
        <f t="shared" ca="1" si="1213"/>
        <v>61.97</v>
      </c>
      <c r="AA934" s="919">
        <f t="shared" ca="1" si="1213"/>
        <v>55.89</v>
      </c>
      <c r="AB934" s="919">
        <f t="shared" ca="1" si="1213"/>
        <v>54.85</v>
      </c>
      <c r="AC934" s="919">
        <f t="shared" ca="1" si="1213"/>
        <v>54.18</v>
      </c>
      <c r="AD934" s="919">
        <f t="shared" ca="1" si="1213"/>
        <v>55.88</v>
      </c>
      <c r="AE934" s="918">
        <f t="shared" ca="1" si="1213"/>
        <v>55.89</v>
      </c>
      <c r="AF934" s="919">
        <f t="shared" ca="1" si="1213"/>
        <v>54.037100000000002</v>
      </c>
      <c r="AG934" s="919">
        <f t="shared" ca="1" si="1213"/>
        <v>63.609699999999997</v>
      </c>
      <c r="AH934" s="919">
        <f t="shared" ca="1" si="1213"/>
        <v>72.381500000000003</v>
      </c>
      <c r="AI934" s="919">
        <f t="shared" ref="AI934:AQ934" ca="1" si="1214">IF(INDEX(MO_SNA_IsHistoricalPeriod,1,COLUMN())=FALSE,0,INDEX(MO_SPT_StockHigh,1,COLUMN()))</f>
        <v>64.98</v>
      </c>
      <c r="AJ934" s="918">
        <f t="shared" ca="1" si="1214"/>
        <v>72.381500000000003</v>
      </c>
      <c r="AK934" s="919">
        <f t="shared" ca="1" si="1214"/>
        <v>60.24</v>
      </c>
      <c r="AL934" s="919">
        <f t="shared" ca="1" si="1214"/>
        <v>70.260000000000005</v>
      </c>
      <c r="AM934" s="919">
        <f t="shared" ca="1" si="1214"/>
        <v>71.23</v>
      </c>
      <c r="AN934" s="919">
        <f t="shared" ca="1" si="1214"/>
        <v>76.59</v>
      </c>
      <c r="AO934" s="918">
        <f t="shared" ca="1" si="1214"/>
        <v>76.59</v>
      </c>
      <c r="AP934" s="919">
        <f t="shared" ca="1" si="1214"/>
        <v>74.48</v>
      </c>
      <c r="AQ934" s="919">
        <f t="shared" ca="1" si="1214"/>
        <v>87.65</v>
      </c>
      <c r="AR934" s="919">
        <f t="shared" ref="AR934:AW934" ca="1" si="1215">IF(INDEX(MO_SNA_IsHistoricalPeriod,1,COLUMN())=FALSE,0,INDEX(MO_SPT_StockHigh,1,COLUMN()))</f>
        <v>105.76</v>
      </c>
      <c r="AS934" s="919">
        <f t="shared" ca="1" si="1215"/>
        <v>147.6</v>
      </c>
      <c r="AT934" s="918">
        <f t="shared" ca="1" si="1215"/>
        <v>147.6</v>
      </c>
      <c r="AU934" s="919">
        <f t="shared" ca="1" si="1215"/>
        <v>186.89</v>
      </c>
      <c r="AV934" s="919">
        <f t="shared" ca="1" si="1215"/>
        <v>187.04</v>
      </c>
      <c r="AW934" s="919">
        <f t="shared" ca="1" si="1215"/>
        <v>194.46</v>
      </c>
      <c r="AX934" s="919">
        <f t="shared" ref="AX934:AY934" ca="1" si="1216">IF(INDEX(MO_SNA_IsHistoricalPeriod,1,COLUMN())=FALSE,0,INDEX(MO_SPT_StockHigh,1,COLUMN()))</f>
        <v>221.63</v>
      </c>
      <c r="AY934" s="918">
        <f t="shared" ca="1" si="1216"/>
        <v>221.63</v>
      </c>
      <c r="AZ934" s="919">
        <f t="shared" ref="AZ934:BD934" ca="1" si="1217">IF(INDEX(MO_SNA_IsHistoricalPeriod,1,COLUMN())=FALSE,0,INDEX(MO_SPT_StockHigh,1,COLUMN()))</f>
        <v>164.8</v>
      </c>
      <c r="BA934" s="919">
        <f t="shared" ca="1" si="1217"/>
        <v>144.41999999999999</v>
      </c>
      <c r="BB934" s="919">
        <f t="shared" ca="1" si="1217"/>
        <v>168.87</v>
      </c>
      <c r="BC934" s="919">
        <f t="shared" ca="1" si="1217"/>
        <v>135.36000000000001</v>
      </c>
      <c r="BD934" s="918">
        <f t="shared" ca="1" si="1217"/>
        <v>168.87</v>
      </c>
      <c r="BE934" s="919">
        <f t="shared" ref="BE934:BV934" ca="1" si="1218">IF(INDEX(MO_SNA_IsHistoricalPeriod,1,COLUMN())=FALSE,0,INDEX(MO_SPT_StockHigh,1,COLUMN()))</f>
        <v>143.56</v>
      </c>
      <c r="BF934" s="919">
        <f t="shared" ca="1" si="1218"/>
        <v>140.66</v>
      </c>
      <c r="BG934" s="919">
        <f t="shared" ca="1" si="1218"/>
        <v>163.46</v>
      </c>
      <c r="BH934" s="919">
        <f t="shared" ca="1" si="1218"/>
        <v>210.59</v>
      </c>
      <c r="BI934" s="918">
        <f t="shared" ca="1" si="1218"/>
        <v>210.59</v>
      </c>
      <c r="BJ934" s="1345">
        <f ca="1">IF(INDEX(MO_SNA_IsHistoricalPeriod,1,COLUMN())=FALSE,0,INDEX(MO_SPT_StockHigh,1,COLUMN()))</f>
        <v>317.52999999999997</v>
      </c>
      <c r="BK934" s="920">
        <f t="shared" si="1218"/>
        <v>0</v>
      </c>
      <c r="BL934" s="920">
        <f t="shared" si="1218"/>
        <v>0</v>
      </c>
      <c r="BM934" s="920">
        <f t="shared" si="1218"/>
        <v>0</v>
      </c>
      <c r="BN934" s="784">
        <f t="shared" si="1218"/>
        <v>0</v>
      </c>
      <c r="BO934" s="920">
        <f t="shared" si="1218"/>
        <v>0</v>
      </c>
      <c r="BP934" s="920">
        <f t="shared" si="1218"/>
        <v>0</v>
      </c>
      <c r="BQ934" s="920">
        <f t="shared" si="1218"/>
        <v>0</v>
      </c>
      <c r="BR934" s="920">
        <f t="shared" si="1218"/>
        <v>0</v>
      </c>
      <c r="BS934" s="784">
        <f t="shared" si="1218"/>
        <v>0</v>
      </c>
      <c r="BT934" s="784">
        <f t="shared" si="1218"/>
        <v>0</v>
      </c>
      <c r="BU934" s="784">
        <f t="shared" si="1218"/>
        <v>0</v>
      </c>
      <c r="BV934" s="784">
        <f t="shared" si="1218"/>
        <v>0</v>
      </c>
      <c r="BW934" s="787"/>
    </row>
    <row r="935" spans="1:75" s="921" customFormat="1" hidden="1" outlineLevel="1" x14ac:dyDescent="0.5">
      <c r="A935" s="915" t="str">
        <f ca="1">"Stock Low, "&amp;HP.TradeCurrency</f>
        <v>Stock Low, USD</v>
      </c>
      <c r="B935" s="916"/>
      <c r="C935" s="918">
        <f t="shared" ref="C935:AH935" ca="1" si="1219">IF(INDEX(MO_SNA_IsHistoricalPeriod,1,COLUMN())=FALSE,0,INDEX(MO_SPT_StockLow,1,COLUMN()))</f>
        <v>7.55</v>
      </c>
      <c r="D935" s="918">
        <f t="shared" ca="1" si="1219"/>
        <v>18.420000000000002</v>
      </c>
      <c r="E935" s="918">
        <f t="shared" ca="1" si="1219"/>
        <v>27.9</v>
      </c>
      <c r="F935" s="918">
        <f t="shared" ca="1" si="1219"/>
        <v>32.67</v>
      </c>
      <c r="G935" s="919">
        <f t="shared" ca="1" si="1219"/>
        <v>43.63</v>
      </c>
      <c r="H935" s="919">
        <f t="shared" ca="1" si="1219"/>
        <v>51.98</v>
      </c>
      <c r="I935" s="919">
        <f t="shared" ca="1" si="1219"/>
        <v>51.7</v>
      </c>
      <c r="J935" s="919">
        <f t="shared" ca="1" si="1219"/>
        <v>51.91</v>
      </c>
      <c r="K935" s="918">
        <f t="shared" ca="1" si="1219"/>
        <v>43.63</v>
      </c>
      <c r="L935" s="919">
        <f t="shared" ca="1" si="1219"/>
        <v>52.46</v>
      </c>
      <c r="M935" s="919">
        <f t="shared" ca="1" si="1219"/>
        <v>60.47</v>
      </c>
      <c r="N935" s="919">
        <f t="shared" ca="1" si="1219"/>
        <v>62.35</v>
      </c>
      <c r="O935" s="919">
        <f t="shared" ca="1" si="1219"/>
        <v>64.17</v>
      </c>
      <c r="P935" s="918">
        <f t="shared" ca="1" si="1219"/>
        <v>52.46</v>
      </c>
      <c r="Q935" s="919">
        <f t="shared" ca="1" si="1219"/>
        <v>73.14</v>
      </c>
      <c r="R935" s="919">
        <f t="shared" ca="1" si="1219"/>
        <v>74.75</v>
      </c>
      <c r="S935" s="919">
        <f t="shared" ca="1" si="1219"/>
        <v>71.03</v>
      </c>
      <c r="T935" s="919">
        <f t="shared" ca="1" si="1219"/>
        <v>47.33</v>
      </c>
      <c r="U935" s="918">
        <f t="shared" ca="1" si="1219"/>
        <v>47.33</v>
      </c>
      <c r="V935" s="919">
        <f t="shared" ca="1" si="1219"/>
        <v>49.39</v>
      </c>
      <c r="W935" s="919">
        <f t="shared" ca="1" si="1219"/>
        <v>47.66</v>
      </c>
      <c r="X935" s="919">
        <f t="shared" ca="1" si="1219"/>
        <v>45.96</v>
      </c>
      <c r="Y935" s="919">
        <f t="shared" ca="1" si="1219"/>
        <v>45.98</v>
      </c>
      <c r="Z935" s="918">
        <f t="shared" ca="1" si="1219"/>
        <v>45.96</v>
      </c>
      <c r="AA935" s="919">
        <f t="shared" ca="1" si="1219"/>
        <v>46.44</v>
      </c>
      <c r="AB935" s="919">
        <f t="shared" ca="1" si="1219"/>
        <v>43.96</v>
      </c>
      <c r="AC935" s="919">
        <f t="shared" ca="1" si="1219"/>
        <v>42.68</v>
      </c>
      <c r="AD935" s="919">
        <f t="shared" ca="1" si="1219"/>
        <v>44.01</v>
      </c>
      <c r="AE935" s="918">
        <f t="shared" ca="1" si="1219"/>
        <v>42.68</v>
      </c>
      <c r="AF935" s="919">
        <f t="shared" ca="1" si="1219"/>
        <v>46.935699999999997</v>
      </c>
      <c r="AG935" s="919">
        <f t="shared" ca="1" si="1219"/>
        <v>46.610900000000001</v>
      </c>
      <c r="AH935" s="919">
        <f t="shared" ca="1" si="1219"/>
        <v>55.73</v>
      </c>
      <c r="AI935" s="919">
        <f t="shared" ref="AI935:AQ935" ca="1" si="1220">IF(INDEX(MO_SNA_IsHistoricalPeriod,1,COLUMN())=FALSE,0,INDEX(MO_SPT_StockLow,1,COLUMN()))</f>
        <v>45.54</v>
      </c>
      <c r="AJ935" s="918">
        <f t="shared" ca="1" si="1220"/>
        <v>45.54</v>
      </c>
      <c r="AK935" s="919">
        <f t="shared" ca="1" si="1220"/>
        <v>52.88</v>
      </c>
      <c r="AL935" s="919">
        <f t="shared" ca="1" si="1220"/>
        <v>51.13</v>
      </c>
      <c r="AM935" s="919">
        <f t="shared" ca="1" si="1220"/>
        <v>62.19</v>
      </c>
      <c r="AN935" s="919">
        <f t="shared" ca="1" si="1220"/>
        <v>67.42</v>
      </c>
      <c r="AO935" s="918">
        <f t="shared" ca="1" si="1220"/>
        <v>51.13</v>
      </c>
      <c r="AP935" s="919">
        <f t="shared" ca="1" si="1220"/>
        <v>30.66</v>
      </c>
      <c r="AQ935" s="919">
        <f t="shared" ca="1" si="1220"/>
        <v>62.61</v>
      </c>
      <c r="AR935" s="919">
        <f t="shared" ref="AR935:AW935" ca="1" si="1221">IF(INDEX(MO_SNA_IsHistoricalPeriod,1,COLUMN())=FALSE,0,INDEX(MO_SPT_StockLow,1,COLUMN()))</f>
        <v>84.56</v>
      </c>
      <c r="AS935" s="919">
        <f t="shared" ca="1" si="1221"/>
        <v>89.82</v>
      </c>
      <c r="AT935" s="918">
        <f t="shared" ca="1" si="1221"/>
        <v>30.66</v>
      </c>
      <c r="AU935" s="919">
        <f t="shared" ca="1" si="1221"/>
        <v>124.34</v>
      </c>
      <c r="AV935" s="919">
        <f t="shared" ca="1" si="1221"/>
        <v>150.93</v>
      </c>
      <c r="AW935" s="919">
        <f t="shared" ca="1" si="1221"/>
        <v>152.84</v>
      </c>
      <c r="AX935" s="919">
        <f t="shared" ref="AX935:AY935" ca="1" si="1222">IF(INDEX(MO_SNA_IsHistoricalPeriod,1,COLUMN())=FALSE,0,INDEX(MO_SPT_StockLow,1,COLUMN()))</f>
        <v>142.58000000000001</v>
      </c>
      <c r="AY935" s="918">
        <f t="shared" ca="1" si="1222"/>
        <v>124.34</v>
      </c>
      <c r="AZ935" s="919">
        <f t="shared" ref="AZ935:BD935" ca="1" si="1223">IF(INDEX(MO_SNA_IsHistoricalPeriod,1,COLUMN())=FALSE,0,INDEX(MO_SPT_StockLow,1,COLUMN()))</f>
        <v>130.47999999999999</v>
      </c>
      <c r="BA935" s="919">
        <f t="shared" ca="1" si="1223"/>
        <v>105.47</v>
      </c>
      <c r="BB935" s="919">
        <f t="shared" ca="1" si="1223"/>
        <v>113.51</v>
      </c>
      <c r="BC935" s="919">
        <f t="shared" ca="1" si="1223"/>
        <v>111.71</v>
      </c>
      <c r="BD935" s="918">
        <f t="shared" ca="1" si="1223"/>
        <v>105.47</v>
      </c>
      <c r="BE935" s="919">
        <f t="shared" ref="BE935:BV935" ca="1" si="1224">IF(INDEX(MO_SNA_IsHistoricalPeriod,1,COLUMN())=FALSE,0,INDEX(MO_SPT_StockLow,1,COLUMN()))</f>
        <v>116.86</v>
      </c>
      <c r="BF935" s="919">
        <f t="shared" ca="1" si="1224"/>
        <v>111.16</v>
      </c>
      <c r="BG935" s="919">
        <f t="shared" ca="1" si="1224"/>
        <v>125.15</v>
      </c>
      <c r="BH935" s="919">
        <f t="shared" ca="1" si="1224"/>
        <v>147.52000000000001</v>
      </c>
      <c r="BI935" s="918">
        <f t="shared" ca="1" si="1224"/>
        <v>111.16</v>
      </c>
      <c r="BJ935" s="1345">
        <f ca="1">IF(INDEX(MO_SNA_IsHistoricalPeriod,1,COLUMN())=FALSE,0,INDEX(MO_SPT_StockLow,1,COLUMN()))</f>
        <v>193.39</v>
      </c>
      <c r="BK935" s="920">
        <f t="shared" si="1224"/>
        <v>0</v>
      </c>
      <c r="BL935" s="920">
        <f t="shared" si="1224"/>
        <v>0</v>
      </c>
      <c r="BM935" s="920">
        <f t="shared" si="1224"/>
        <v>0</v>
      </c>
      <c r="BN935" s="784">
        <f t="shared" si="1224"/>
        <v>0</v>
      </c>
      <c r="BO935" s="920">
        <f t="shared" si="1224"/>
        <v>0</v>
      </c>
      <c r="BP935" s="920">
        <f t="shared" si="1224"/>
        <v>0</v>
      </c>
      <c r="BQ935" s="920">
        <f t="shared" si="1224"/>
        <v>0</v>
      </c>
      <c r="BR935" s="920">
        <f t="shared" si="1224"/>
        <v>0</v>
      </c>
      <c r="BS935" s="784">
        <f t="shared" si="1224"/>
        <v>0</v>
      </c>
      <c r="BT935" s="784">
        <f t="shared" si="1224"/>
        <v>0</v>
      </c>
      <c r="BU935" s="784">
        <f t="shared" si="1224"/>
        <v>0</v>
      </c>
      <c r="BV935" s="784">
        <f t="shared" si="1224"/>
        <v>0</v>
      </c>
      <c r="BW935" s="787"/>
    </row>
    <row r="936" spans="1:75" s="921" customFormat="1" hidden="1" outlineLevel="1" x14ac:dyDescent="0.5">
      <c r="A936" s="915" t="str">
        <f ca="1">"Stock Average, "&amp;HP.TradeCurrency</f>
        <v>Stock Average, USD</v>
      </c>
      <c r="B936" s="916"/>
      <c r="C936" s="918">
        <f t="shared" ref="C936:AH936" ca="1" si="1225">IF(INDEX(MO_SNA_IsHistoricalPeriod,1,COLUMN())=FALSE,0,INDEX(MO_SPT_StockAverage,1,COLUMN()))</f>
        <v>15.64625</v>
      </c>
      <c r="D936" s="918">
        <f t="shared" ca="1" si="1225"/>
        <v>29.028749999999999</v>
      </c>
      <c r="E936" s="918">
        <f t="shared" ca="1" si="1225"/>
        <v>37.136249999999997</v>
      </c>
      <c r="F936" s="918">
        <f t="shared" ca="1" si="1225"/>
        <v>39.962499999999999</v>
      </c>
      <c r="G936" s="919">
        <f t="shared" ca="1" si="1225"/>
        <v>49.1</v>
      </c>
      <c r="H936" s="919">
        <f t="shared" ca="1" si="1225"/>
        <v>56.35</v>
      </c>
      <c r="I936" s="919">
        <f t="shared" ca="1" si="1225"/>
        <v>56.63</v>
      </c>
      <c r="J936" s="919">
        <f t="shared" ca="1" si="1225"/>
        <v>55.99</v>
      </c>
      <c r="K936" s="918">
        <f t="shared" ca="1" si="1225"/>
        <v>54.517499999999998</v>
      </c>
      <c r="L936" s="919">
        <f t="shared" ca="1" si="1225"/>
        <v>60.255000000000003</v>
      </c>
      <c r="M936" s="919">
        <f t="shared" ca="1" si="1225"/>
        <v>66.959999999999994</v>
      </c>
      <c r="N936" s="919">
        <f t="shared" ca="1" si="1225"/>
        <v>69.02</v>
      </c>
      <c r="O936" s="919">
        <f t="shared" ca="1" si="1225"/>
        <v>72.58</v>
      </c>
      <c r="P936" s="918">
        <f t="shared" ca="1" si="1225"/>
        <v>67.203749999999999</v>
      </c>
      <c r="Q936" s="919">
        <f t="shared" ca="1" si="1225"/>
        <v>78.944999999999993</v>
      </c>
      <c r="R936" s="919">
        <f t="shared" ca="1" si="1225"/>
        <v>80.06</v>
      </c>
      <c r="S936" s="919">
        <f t="shared" ca="1" si="1225"/>
        <v>80.204999999999998</v>
      </c>
      <c r="T936" s="919">
        <f t="shared" ca="1" si="1225"/>
        <v>61.615000000000002</v>
      </c>
      <c r="U936" s="918">
        <f t="shared" ca="1" si="1225"/>
        <v>75.206249999999997</v>
      </c>
      <c r="V936" s="919">
        <f t="shared" ca="1" si="1225"/>
        <v>55.68</v>
      </c>
      <c r="W936" s="919">
        <f t="shared" ca="1" si="1225"/>
        <v>54.344999999999999</v>
      </c>
      <c r="X936" s="919">
        <f t="shared" ca="1" si="1225"/>
        <v>51.68</v>
      </c>
      <c r="Y936" s="919">
        <f t="shared" ca="1" si="1225"/>
        <v>51.46</v>
      </c>
      <c r="Z936" s="918">
        <f t="shared" ca="1" si="1225"/>
        <v>53.291249999999998</v>
      </c>
      <c r="AA936" s="919">
        <f t="shared" ca="1" si="1225"/>
        <v>51.164999999999999</v>
      </c>
      <c r="AB936" s="919">
        <f t="shared" ca="1" si="1225"/>
        <v>49.405000000000001</v>
      </c>
      <c r="AC936" s="919">
        <f t="shared" ca="1" si="1225"/>
        <v>48.43</v>
      </c>
      <c r="AD936" s="919">
        <f t="shared" ca="1" si="1225"/>
        <v>49.945</v>
      </c>
      <c r="AE936" s="918">
        <f t="shared" ca="1" si="1225"/>
        <v>49.736249999999998</v>
      </c>
      <c r="AF936" s="919">
        <f t="shared" ca="1" si="1225"/>
        <v>50.318453968253998</v>
      </c>
      <c r="AG936" s="919">
        <f t="shared" ca="1" si="1225"/>
        <v>56.250880952381003</v>
      </c>
      <c r="AH936" s="919">
        <f t="shared" ca="1" si="1225"/>
        <v>62.831870312500001</v>
      </c>
      <c r="AI936" s="919">
        <f t="shared" ref="AI936:AQ936" ca="1" si="1226">IF(INDEX(MO_SNA_IsHistoricalPeriod,1,COLUMN())=FALSE,0,INDEX(MO_SPT_StockAverage,1,COLUMN()))</f>
        <v>54.5011430769231</v>
      </c>
      <c r="AJ936" s="918">
        <f t="shared" ca="1" si="1226"/>
        <v>55.990910196078403</v>
      </c>
      <c r="AK936" s="919">
        <f t="shared" ca="1" si="1226"/>
        <v>57.009365079365097</v>
      </c>
      <c r="AL936" s="919">
        <f t="shared" ca="1" si="1226"/>
        <v>60.775238095238102</v>
      </c>
      <c r="AM936" s="919">
        <f t="shared" ca="1" si="1226"/>
        <v>66.632031249999997</v>
      </c>
      <c r="AN936" s="919">
        <f t="shared" ca="1" si="1226"/>
        <v>71.841147540983599</v>
      </c>
      <c r="AO936" s="918">
        <f t="shared" ca="1" si="1226"/>
        <v>64.012709163346699</v>
      </c>
      <c r="AP936" s="919">
        <f t="shared" ca="1" si="1226"/>
        <v>55.830317460317502</v>
      </c>
      <c r="AQ936" s="919">
        <f t="shared" ca="1" si="1226"/>
        <v>79.522698412698404</v>
      </c>
      <c r="AR936" s="919">
        <f t="shared" ref="AR936:AW936" ca="1" si="1227">IF(INDEX(MO_SNA_IsHistoricalPeriod,1,COLUMN())=FALSE,0,INDEX(MO_SPT_StockAverage,1,COLUMN()))</f>
        <v>93.781406250000003</v>
      </c>
      <c r="AS936" s="919">
        <f t="shared" ca="1" si="1227"/>
        <v>109.83196721311501</v>
      </c>
      <c r="AT936" s="918">
        <f t="shared" ca="1" si="1227"/>
        <v>84.577689243027905</v>
      </c>
      <c r="AU936" s="919">
        <f t="shared" ca="1" si="1227"/>
        <v>152.585079365079</v>
      </c>
      <c r="AV936" s="919">
        <f t="shared" ca="1" si="1227"/>
        <v>164.36666666666699</v>
      </c>
      <c r="AW936" s="919">
        <f t="shared" ca="1" si="1227"/>
        <v>175.89046875</v>
      </c>
      <c r="AX936" s="919">
        <f t="shared" ref="AX936:AY936" ca="1" si="1228">IF(INDEX(MO_SNA_IsHistoricalPeriod,1,COLUMN())=FALSE,0,INDEX(MO_SPT_StockAverage,1,COLUMN()))</f>
        <v>178.29516129032299</v>
      </c>
      <c r="AY936" s="918">
        <f t="shared" ca="1" si="1228"/>
        <v>167.77480158730199</v>
      </c>
      <c r="AZ936" s="919">
        <f t="shared" ref="AZ936:BD936" ca="1" si="1229">IF(INDEX(MO_SNA_IsHistoricalPeriod,1,COLUMN())=FALSE,0,INDEX(MO_SPT_StockAverage,1,COLUMN()))</f>
        <v>148.51015873015899</v>
      </c>
      <c r="BA936" s="919">
        <f t="shared" ca="1" si="1229"/>
        <v>125.76516129032299</v>
      </c>
      <c r="BB936" s="919">
        <f t="shared" ca="1" si="1229"/>
        <v>138.63234374999999</v>
      </c>
      <c r="BC936" s="919">
        <f t="shared" ca="1" si="1229"/>
        <v>120.66819672131101</v>
      </c>
      <c r="BD936" s="918">
        <f t="shared" ca="1" si="1229"/>
        <v>133.54723999999999</v>
      </c>
      <c r="BE936" s="919">
        <f t="shared" ref="BE936:BV936" ca="1" si="1230">IF(INDEX(MO_SNA_IsHistoricalPeriod,1,COLUMN())=FALSE,0,INDEX(MO_SPT_StockAverage,1,COLUMN()))</f>
        <v>123.663333333333</v>
      </c>
      <c r="BF936" s="919">
        <f t="shared" ca="1" si="1230"/>
        <v>122.361451612903</v>
      </c>
      <c r="BG936" s="919">
        <f t="shared" ca="1" si="1230"/>
        <v>145.87531250000001</v>
      </c>
      <c r="BH936" s="919">
        <f t="shared" ca="1" si="1230"/>
        <v>187.539344262295</v>
      </c>
      <c r="BI936" s="918">
        <f t="shared" ca="1" si="1230"/>
        <v>144.61248000000001</v>
      </c>
      <c r="BJ936" s="1345">
        <f ca="1">IF(INDEX(MO_SNA_IsHistoricalPeriod,1,COLUMN())=FALSE,0,INDEX(MO_SPT_StockAverage,1,COLUMN()))</f>
        <v>259.91349206349201</v>
      </c>
      <c r="BK936" s="920">
        <f t="shared" si="1230"/>
        <v>0</v>
      </c>
      <c r="BL936" s="920">
        <f t="shared" si="1230"/>
        <v>0</v>
      </c>
      <c r="BM936" s="920">
        <f t="shared" si="1230"/>
        <v>0</v>
      </c>
      <c r="BN936" s="784">
        <f t="shared" si="1230"/>
        <v>0</v>
      </c>
      <c r="BO936" s="920">
        <f t="shared" si="1230"/>
        <v>0</v>
      </c>
      <c r="BP936" s="920">
        <f t="shared" si="1230"/>
        <v>0</v>
      </c>
      <c r="BQ936" s="920">
        <f t="shared" si="1230"/>
        <v>0</v>
      </c>
      <c r="BR936" s="920">
        <f t="shared" si="1230"/>
        <v>0</v>
      </c>
      <c r="BS936" s="784">
        <f t="shared" si="1230"/>
        <v>0</v>
      </c>
      <c r="BT936" s="784">
        <f t="shared" si="1230"/>
        <v>0</v>
      </c>
      <c r="BU936" s="784">
        <f t="shared" si="1230"/>
        <v>0</v>
      </c>
      <c r="BV936" s="784">
        <f t="shared" si="1230"/>
        <v>0</v>
      </c>
      <c r="BW936" s="787"/>
    </row>
    <row r="937" spans="1:75" s="921" customFormat="1" hidden="1" outlineLevel="1" x14ac:dyDescent="0.5">
      <c r="A937" s="915" t="str">
        <f ca="1">"Stock EoP, "&amp;HP.TradeCurrency</f>
        <v>Stock EoP, USD</v>
      </c>
      <c r="B937" s="916"/>
      <c r="C937" s="923">
        <f t="shared" ref="C937:AH937" si="1231">IF(INDEX(MO_SNA_IsHistoricalPeriod,1,COLUMN())=FALSE,MO.LastPrice,INDEX(MO_SPT_StockEoP,1,COLUMN()))</f>
        <v>18.98</v>
      </c>
      <c r="D937" s="923">
        <f t="shared" si="1231"/>
        <v>32.340000000000003</v>
      </c>
      <c r="E937" s="923">
        <f t="shared" si="1231"/>
        <v>35.119999999999997</v>
      </c>
      <c r="F937" s="923">
        <f t="shared" si="1231"/>
        <v>45.02</v>
      </c>
      <c r="G937" s="924">
        <f t="shared" si="1231"/>
        <v>53.83</v>
      </c>
      <c r="H937" s="924">
        <f t="shared" si="1231"/>
        <v>60.6</v>
      </c>
      <c r="I937" s="924">
        <f t="shared" si="1231"/>
        <v>52</v>
      </c>
      <c r="J937" s="924">
        <f t="shared" si="1231"/>
        <v>54.52</v>
      </c>
      <c r="K937" s="923">
        <f t="shared" si="1231"/>
        <v>54.52</v>
      </c>
      <c r="L937" s="924">
        <f t="shared" si="1231"/>
        <v>63.06</v>
      </c>
      <c r="M937" s="924">
        <f t="shared" si="1231"/>
        <v>67.2</v>
      </c>
      <c r="N937" s="924">
        <f t="shared" si="1231"/>
        <v>65.03</v>
      </c>
      <c r="O937" s="924">
        <f t="shared" si="1231"/>
        <v>78.25</v>
      </c>
      <c r="P937" s="923">
        <f t="shared" si="1231"/>
        <v>78.25</v>
      </c>
      <c r="Q937" s="924">
        <f t="shared" si="1231"/>
        <v>75.010000000000005</v>
      </c>
      <c r="R937" s="924">
        <f t="shared" si="1231"/>
        <v>84.66</v>
      </c>
      <c r="S937" s="924">
        <f t="shared" si="1231"/>
        <v>73.75</v>
      </c>
      <c r="T937" s="924">
        <f t="shared" si="1231"/>
        <v>51.66</v>
      </c>
      <c r="U937" s="923">
        <f t="shared" si="1231"/>
        <v>51.66</v>
      </c>
      <c r="V937" s="924">
        <f t="shared" si="1231"/>
        <v>58.78</v>
      </c>
      <c r="W937" s="924">
        <f t="shared" si="1231"/>
        <v>54.08</v>
      </c>
      <c r="X937" s="924">
        <f t="shared" si="1231"/>
        <v>46.52</v>
      </c>
      <c r="Y937" s="924">
        <f t="shared" si="1231"/>
        <v>47.5</v>
      </c>
      <c r="Z937" s="923">
        <f t="shared" si="1231"/>
        <v>47.5</v>
      </c>
      <c r="AA937" s="924">
        <f t="shared" si="1231"/>
        <v>54.05</v>
      </c>
      <c r="AB937" s="924">
        <f t="shared" si="1231"/>
        <v>46.32</v>
      </c>
      <c r="AC937" s="924">
        <f t="shared" si="1231"/>
        <v>52.42</v>
      </c>
      <c r="AD937" s="924">
        <f t="shared" si="1231"/>
        <v>53.41</v>
      </c>
      <c r="AE937" s="923">
        <f t="shared" si="1231"/>
        <v>53.41</v>
      </c>
      <c r="AF937" s="924">
        <f t="shared" si="1231"/>
        <v>49.18</v>
      </c>
      <c r="AG937" s="924">
        <f t="shared" si="1231"/>
        <v>58.16</v>
      </c>
      <c r="AH937" s="924">
        <f t="shared" si="1231"/>
        <v>56.9</v>
      </c>
      <c r="AI937" s="924">
        <f t="shared" ref="AI937:AZ937" si="1232">IF(INDEX(MO_SNA_IsHistoricalPeriod,1,COLUMN())=FALSE,MO.LastPrice,INDEX(MO_SPT_StockEoP,1,COLUMN()))</f>
        <v>54</v>
      </c>
      <c r="AJ937" s="923">
        <f t="shared" si="1232"/>
        <v>54</v>
      </c>
      <c r="AK937" s="924">
        <f t="shared" si="1232"/>
        <v>56.64</v>
      </c>
      <c r="AL937" s="924">
        <f t="shared" si="1232"/>
        <v>64.040000000000006</v>
      </c>
      <c r="AM937" s="924">
        <f t="shared" si="1232"/>
        <v>66.790000000000006</v>
      </c>
      <c r="AN937" s="924">
        <f t="shared" si="1232"/>
        <v>70.08</v>
      </c>
      <c r="AO937" s="923">
        <f t="shared" si="1232"/>
        <v>70.08</v>
      </c>
      <c r="AP937" s="924">
        <f t="shared" si="1232"/>
        <v>60.25</v>
      </c>
      <c r="AQ937" s="924">
        <f t="shared" si="1232"/>
        <v>87.12</v>
      </c>
      <c r="AR937" s="924">
        <f t="shared" si="1232"/>
        <v>91.21</v>
      </c>
      <c r="AS937" s="924">
        <f t="shared" si="1232"/>
        <v>128.91999999999999</v>
      </c>
      <c r="AT937" s="923">
        <f t="shared" si="1232"/>
        <v>128.91999999999999</v>
      </c>
      <c r="AU937" s="924">
        <f t="shared" si="1232"/>
        <v>170.75</v>
      </c>
      <c r="AV937" s="924">
        <f t="shared" si="1232"/>
        <v>151.69999999999999</v>
      </c>
      <c r="AW937" s="924">
        <f t="shared" si="1232"/>
        <v>185.73</v>
      </c>
      <c r="AX937" s="924">
        <f t="shared" si="1232"/>
        <v>154.81</v>
      </c>
      <c r="AY937" s="923">
        <f t="shared" si="1232"/>
        <v>154.81</v>
      </c>
      <c r="AZ937" s="924">
        <f t="shared" si="1232"/>
        <v>130.47999999999999</v>
      </c>
      <c r="BA937" s="924">
        <f t="shared" ref="BA937:BD937" si="1233">IF(INDEX(MO_SNA_IsHistoricalPeriod,1,COLUMN())=FALSE,MO.LastPrice,INDEX(MO_SPT_StockEoP,1,COLUMN()))</f>
        <v>144.41999999999999</v>
      </c>
      <c r="BB937" s="924">
        <f t="shared" si="1233"/>
        <v>122.75</v>
      </c>
      <c r="BC937" s="924">
        <f t="shared" si="1233"/>
        <v>126.67</v>
      </c>
      <c r="BD937" s="923">
        <f t="shared" si="1233"/>
        <v>126.67</v>
      </c>
      <c r="BE937" s="924">
        <f t="shared" ref="BE937:BV937" si="1234">IF(INDEX(MO_SNA_IsHistoricalPeriod,1,COLUMN())=FALSE,MO.LastPrice,INDEX(MO_SPT_StockEoP,1,COLUMN()))</f>
        <v>121.04</v>
      </c>
      <c r="BF937" s="924">
        <f t="shared" si="1234"/>
        <v>140.66</v>
      </c>
      <c r="BG937" s="924">
        <f t="shared" si="1234"/>
        <v>145.82</v>
      </c>
      <c r="BH937" s="924">
        <f t="shared" si="1234"/>
        <v>208.55</v>
      </c>
      <c r="BI937" s="923">
        <f t="shared" si="1234"/>
        <v>208.55</v>
      </c>
      <c r="BJ937" s="1346">
        <f>IF(INDEX(MO_SNA_IsHistoricalPeriod,1,COLUMN())=FALSE,MO.LastPrice,INDEX(MO_SPT_StockEoP,1,COLUMN()))</f>
        <v>282.16000000000003</v>
      </c>
      <c r="BK937" s="925">
        <f t="shared" ca="1" si="1234"/>
        <v>292.52</v>
      </c>
      <c r="BL937" s="925">
        <f t="shared" ca="1" si="1234"/>
        <v>292.52</v>
      </c>
      <c r="BM937" s="925">
        <f t="shared" ca="1" si="1234"/>
        <v>292.52</v>
      </c>
      <c r="BN937" s="926">
        <f t="shared" ca="1" si="1234"/>
        <v>292.52</v>
      </c>
      <c r="BO937" s="925">
        <f t="shared" ca="1" si="1234"/>
        <v>292.52</v>
      </c>
      <c r="BP937" s="925">
        <f t="shared" ca="1" si="1234"/>
        <v>292.52</v>
      </c>
      <c r="BQ937" s="925">
        <f t="shared" ca="1" si="1234"/>
        <v>292.52</v>
      </c>
      <c r="BR937" s="925">
        <f t="shared" ca="1" si="1234"/>
        <v>292.52</v>
      </c>
      <c r="BS937" s="926">
        <f t="shared" ca="1" si="1234"/>
        <v>292.52</v>
      </c>
      <c r="BT937" s="926">
        <f t="shared" ca="1" si="1234"/>
        <v>292.52</v>
      </c>
      <c r="BU937" s="926">
        <f t="shared" ca="1" si="1234"/>
        <v>292.52</v>
      </c>
      <c r="BV937" s="926">
        <f t="shared" ca="1" si="1234"/>
        <v>292.52</v>
      </c>
      <c r="BW937" s="787"/>
    </row>
    <row r="938" spans="1:75" s="937" customFormat="1" hidden="1" outlineLevel="1" x14ac:dyDescent="0.5">
      <c r="A938" s="928" t="str">
        <f ca="1">"Average FX Rate, "&amp;HP.TradeCurrency&amp;"/"&amp;MO.ReportCurrency</f>
        <v>Average FX Rate, USD/USD</v>
      </c>
      <c r="B938" s="929"/>
      <c r="C938" s="931">
        <f t="shared" ref="C938:AH938" ca="1" si="1235">IF(INDEX(MO_SPT_FXAverage,1,COLUMN())=0,1,INDEX(MO_SPT_FXAverage,1,COLUMN()))</f>
        <v>1</v>
      </c>
      <c r="D938" s="931">
        <f t="shared" ca="1" si="1235"/>
        <v>1</v>
      </c>
      <c r="E938" s="931">
        <f t="shared" ca="1" si="1235"/>
        <v>1</v>
      </c>
      <c r="F938" s="931">
        <f t="shared" ca="1" si="1235"/>
        <v>1</v>
      </c>
      <c r="G938" s="932">
        <f t="shared" ca="1" si="1235"/>
        <v>1</v>
      </c>
      <c r="H938" s="932">
        <f t="shared" ca="1" si="1235"/>
        <v>1</v>
      </c>
      <c r="I938" s="932">
        <f t="shared" ca="1" si="1235"/>
        <v>1</v>
      </c>
      <c r="J938" s="932">
        <f t="shared" ca="1" si="1235"/>
        <v>1</v>
      </c>
      <c r="K938" s="931">
        <f t="shared" ca="1" si="1235"/>
        <v>1</v>
      </c>
      <c r="L938" s="932">
        <f t="shared" ca="1" si="1235"/>
        <v>1</v>
      </c>
      <c r="M938" s="932">
        <f t="shared" ca="1" si="1235"/>
        <v>1</v>
      </c>
      <c r="N938" s="932">
        <f t="shared" ca="1" si="1235"/>
        <v>1</v>
      </c>
      <c r="O938" s="932">
        <f t="shared" ca="1" si="1235"/>
        <v>1</v>
      </c>
      <c r="P938" s="931">
        <f t="shared" ca="1" si="1235"/>
        <v>1</v>
      </c>
      <c r="Q938" s="932">
        <f t="shared" ca="1" si="1235"/>
        <v>1</v>
      </c>
      <c r="R938" s="932">
        <f t="shared" ca="1" si="1235"/>
        <v>1</v>
      </c>
      <c r="S938" s="932">
        <f t="shared" ca="1" si="1235"/>
        <v>1</v>
      </c>
      <c r="T938" s="932">
        <f t="shared" ca="1" si="1235"/>
        <v>1</v>
      </c>
      <c r="U938" s="931">
        <f t="shared" ca="1" si="1235"/>
        <v>1</v>
      </c>
      <c r="V938" s="932">
        <f t="shared" ca="1" si="1235"/>
        <v>1</v>
      </c>
      <c r="W938" s="932">
        <f t="shared" ca="1" si="1235"/>
        <v>1</v>
      </c>
      <c r="X938" s="932">
        <f t="shared" ca="1" si="1235"/>
        <v>1</v>
      </c>
      <c r="Y938" s="932">
        <f t="shared" ca="1" si="1235"/>
        <v>1</v>
      </c>
      <c r="Z938" s="931">
        <f t="shared" ca="1" si="1235"/>
        <v>1</v>
      </c>
      <c r="AA938" s="932">
        <f t="shared" ca="1" si="1235"/>
        <v>1</v>
      </c>
      <c r="AB938" s="932">
        <f t="shared" ca="1" si="1235"/>
        <v>1</v>
      </c>
      <c r="AC938" s="932">
        <f t="shared" ca="1" si="1235"/>
        <v>1</v>
      </c>
      <c r="AD938" s="932">
        <f t="shared" ca="1" si="1235"/>
        <v>1</v>
      </c>
      <c r="AE938" s="931">
        <f t="shared" ca="1" si="1235"/>
        <v>1</v>
      </c>
      <c r="AF938" s="932">
        <f t="shared" ca="1" si="1235"/>
        <v>1</v>
      </c>
      <c r="AG938" s="932">
        <f t="shared" ca="1" si="1235"/>
        <v>1</v>
      </c>
      <c r="AH938" s="932">
        <f t="shared" ca="1" si="1235"/>
        <v>1</v>
      </c>
      <c r="AI938" s="932">
        <f t="shared" ref="AI938:AQ938" ca="1" si="1236">IF(INDEX(MO_SPT_FXAverage,1,COLUMN())=0,1,INDEX(MO_SPT_FXAverage,1,COLUMN()))</f>
        <v>1</v>
      </c>
      <c r="AJ938" s="931">
        <f t="shared" ca="1" si="1236"/>
        <v>1</v>
      </c>
      <c r="AK938" s="932">
        <f t="shared" ca="1" si="1236"/>
        <v>1</v>
      </c>
      <c r="AL938" s="932">
        <f t="shared" ca="1" si="1236"/>
        <v>1</v>
      </c>
      <c r="AM938" s="932">
        <f t="shared" ca="1" si="1236"/>
        <v>1</v>
      </c>
      <c r="AN938" s="932">
        <f t="shared" ca="1" si="1236"/>
        <v>1</v>
      </c>
      <c r="AO938" s="931">
        <f t="shared" ca="1" si="1236"/>
        <v>1</v>
      </c>
      <c r="AP938" s="932">
        <f t="shared" ca="1" si="1236"/>
        <v>1</v>
      </c>
      <c r="AQ938" s="932">
        <f t="shared" ca="1" si="1236"/>
        <v>1</v>
      </c>
      <c r="AR938" s="932">
        <f t="shared" ref="AR938:AW938" ca="1" si="1237">IF(INDEX(MO_SPT_FXAverage,1,COLUMN())=0,1,INDEX(MO_SPT_FXAverage,1,COLUMN()))</f>
        <v>1</v>
      </c>
      <c r="AS938" s="932">
        <f t="shared" ca="1" si="1237"/>
        <v>1</v>
      </c>
      <c r="AT938" s="931">
        <f t="shared" ca="1" si="1237"/>
        <v>1</v>
      </c>
      <c r="AU938" s="932">
        <f t="shared" ca="1" si="1237"/>
        <v>1</v>
      </c>
      <c r="AV938" s="932">
        <f t="shared" ca="1" si="1237"/>
        <v>1</v>
      </c>
      <c r="AW938" s="932">
        <f t="shared" ca="1" si="1237"/>
        <v>1</v>
      </c>
      <c r="AX938" s="932">
        <f t="shared" ref="AX938:AY938" ca="1" si="1238">IF(INDEX(MO_SPT_FXAverage,1,COLUMN())=0,1,INDEX(MO_SPT_FXAverage,1,COLUMN()))</f>
        <v>1</v>
      </c>
      <c r="AY938" s="931">
        <f t="shared" ca="1" si="1238"/>
        <v>1</v>
      </c>
      <c r="AZ938" s="932">
        <f t="shared" ref="AZ938:BD938" ca="1" si="1239">IF(INDEX(MO_SPT_FXAverage,1,COLUMN())=0,1,INDEX(MO_SPT_FXAverage,1,COLUMN()))</f>
        <v>1</v>
      </c>
      <c r="BA938" s="932">
        <f t="shared" ca="1" si="1239"/>
        <v>1</v>
      </c>
      <c r="BB938" s="932">
        <f t="shared" ca="1" si="1239"/>
        <v>1</v>
      </c>
      <c r="BC938" s="932">
        <f t="shared" ca="1" si="1239"/>
        <v>1</v>
      </c>
      <c r="BD938" s="931">
        <f t="shared" ca="1" si="1239"/>
        <v>1</v>
      </c>
      <c r="BE938" s="932">
        <f t="shared" ref="BE938:BV938" ca="1" si="1240">IF(INDEX(MO_SPT_FXAverage,1,COLUMN())=0,1,INDEX(MO_SPT_FXAverage,1,COLUMN()))</f>
        <v>1</v>
      </c>
      <c r="BF938" s="932">
        <f t="shared" ca="1" si="1240"/>
        <v>1</v>
      </c>
      <c r="BG938" s="932">
        <f t="shared" ca="1" si="1240"/>
        <v>1</v>
      </c>
      <c r="BH938" s="932">
        <f t="shared" ca="1" si="1240"/>
        <v>1</v>
      </c>
      <c r="BI938" s="931">
        <f t="shared" ca="1" si="1240"/>
        <v>1</v>
      </c>
      <c r="BJ938" s="1347">
        <f ca="1">IF(INDEX(MO_SPT_FXAverage,1,COLUMN())=0,1,INDEX(MO_SPT_FXAverage,1,COLUMN()))</f>
        <v>1</v>
      </c>
      <c r="BK938" s="933">
        <f t="shared" ca="1" si="1240"/>
        <v>1</v>
      </c>
      <c r="BL938" s="933">
        <f t="shared" ca="1" si="1240"/>
        <v>1</v>
      </c>
      <c r="BM938" s="933">
        <f t="shared" ca="1" si="1240"/>
        <v>1</v>
      </c>
      <c r="BN938" s="934">
        <f t="shared" ca="1" si="1240"/>
        <v>1</v>
      </c>
      <c r="BO938" s="933">
        <f t="shared" ca="1" si="1240"/>
        <v>1</v>
      </c>
      <c r="BP938" s="933">
        <f t="shared" ca="1" si="1240"/>
        <v>1</v>
      </c>
      <c r="BQ938" s="933">
        <f t="shared" ca="1" si="1240"/>
        <v>1</v>
      </c>
      <c r="BR938" s="933">
        <f t="shared" ca="1" si="1240"/>
        <v>1</v>
      </c>
      <c r="BS938" s="934">
        <f t="shared" ca="1" si="1240"/>
        <v>1</v>
      </c>
      <c r="BT938" s="934">
        <f t="shared" ca="1" si="1240"/>
        <v>1</v>
      </c>
      <c r="BU938" s="934">
        <f t="shared" ca="1" si="1240"/>
        <v>1</v>
      </c>
      <c r="BV938" s="934">
        <f t="shared" ca="1" si="1240"/>
        <v>1</v>
      </c>
      <c r="BW938" s="936"/>
    </row>
    <row r="939" spans="1:75" s="937" customFormat="1" hidden="1" outlineLevel="1" x14ac:dyDescent="0.5">
      <c r="A939" s="928" t="str">
        <f ca="1">"EoP FX Rate, "&amp;HP.TradeCurrency&amp;"/"&amp;MO.ReportCurrency</f>
        <v>EoP FX Rate, USD/USD</v>
      </c>
      <c r="B939" s="929"/>
      <c r="C939" s="931">
        <f t="shared" ref="C939:AH939" si="1241">IF(INDEX(MO_SNA_IsHistoricalPeriod,1,COLUMN())=FALSE,HP.MRFX,INDEX(MO_SPT_FXEoP,1,COLUMN()))</f>
        <v>1</v>
      </c>
      <c r="D939" s="931">
        <f t="shared" si="1241"/>
        <v>1</v>
      </c>
      <c r="E939" s="931">
        <f t="shared" si="1241"/>
        <v>1</v>
      </c>
      <c r="F939" s="931">
        <f t="shared" si="1241"/>
        <v>1</v>
      </c>
      <c r="G939" s="932">
        <f t="shared" si="1241"/>
        <v>1</v>
      </c>
      <c r="H939" s="932">
        <f t="shared" si="1241"/>
        <v>1</v>
      </c>
      <c r="I939" s="932">
        <f t="shared" si="1241"/>
        <v>1</v>
      </c>
      <c r="J939" s="932">
        <f t="shared" si="1241"/>
        <v>1</v>
      </c>
      <c r="K939" s="931">
        <f t="shared" si="1241"/>
        <v>1</v>
      </c>
      <c r="L939" s="932">
        <f t="shared" si="1241"/>
        <v>1</v>
      </c>
      <c r="M939" s="932">
        <f t="shared" si="1241"/>
        <v>1</v>
      </c>
      <c r="N939" s="932">
        <f t="shared" si="1241"/>
        <v>1</v>
      </c>
      <c r="O939" s="932">
        <f t="shared" si="1241"/>
        <v>1</v>
      </c>
      <c r="P939" s="931">
        <f t="shared" si="1241"/>
        <v>1</v>
      </c>
      <c r="Q939" s="932">
        <f t="shared" si="1241"/>
        <v>1</v>
      </c>
      <c r="R939" s="932">
        <f t="shared" si="1241"/>
        <v>1</v>
      </c>
      <c r="S939" s="932">
        <f t="shared" si="1241"/>
        <v>1</v>
      </c>
      <c r="T939" s="932">
        <f t="shared" si="1241"/>
        <v>1</v>
      </c>
      <c r="U939" s="931">
        <f t="shared" si="1241"/>
        <v>1</v>
      </c>
      <c r="V939" s="932">
        <f t="shared" si="1241"/>
        <v>1</v>
      </c>
      <c r="W939" s="932">
        <f t="shared" si="1241"/>
        <v>1</v>
      </c>
      <c r="X939" s="932">
        <f t="shared" si="1241"/>
        <v>1</v>
      </c>
      <c r="Y939" s="932">
        <f t="shared" si="1241"/>
        <v>1</v>
      </c>
      <c r="Z939" s="931">
        <f t="shared" si="1241"/>
        <v>1</v>
      </c>
      <c r="AA939" s="932">
        <f t="shared" si="1241"/>
        <v>1</v>
      </c>
      <c r="AB939" s="932">
        <f t="shared" si="1241"/>
        <v>1</v>
      </c>
      <c r="AC939" s="932">
        <f t="shared" si="1241"/>
        <v>1</v>
      </c>
      <c r="AD939" s="932">
        <f t="shared" si="1241"/>
        <v>1</v>
      </c>
      <c r="AE939" s="931">
        <f t="shared" si="1241"/>
        <v>1</v>
      </c>
      <c r="AF939" s="932">
        <f t="shared" si="1241"/>
        <v>1</v>
      </c>
      <c r="AG939" s="932">
        <f t="shared" si="1241"/>
        <v>1</v>
      </c>
      <c r="AH939" s="932">
        <f t="shared" si="1241"/>
        <v>1</v>
      </c>
      <c r="AI939" s="932">
        <f t="shared" ref="AI939:AZ939" si="1242">IF(INDEX(MO_SNA_IsHistoricalPeriod,1,COLUMN())=FALSE,HP.MRFX,INDEX(MO_SPT_FXEoP,1,COLUMN()))</f>
        <v>1</v>
      </c>
      <c r="AJ939" s="931">
        <f t="shared" si="1242"/>
        <v>1</v>
      </c>
      <c r="AK939" s="932">
        <f t="shared" si="1242"/>
        <v>1</v>
      </c>
      <c r="AL939" s="932">
        <f t="shared" si="1242"/>
        <v>1</v>
      </c>
      <c r="AM939" s="932">
        <f t="shared" si="1242"/>
        <v>1</v>
      </c>
      <c r="AN939" s="932">
        <f t="shared" si="1242"/>
        <v>1</v>
      </c>
      <c r="AO939" s="931">
        <f t="shared" si="1242"/>
        <v>1</v>
      </c>
      <c r="AP939" s="932">
        <f t="shared" si="1242"/>
        <v>1</v>
      </c>
      <c r="AQ939" s="932">
        <f t="shared" si="1242"/>
        <v>1</v>
      </c>
      <c r="AR939" s="932">
        <f t="shared" si="1242"/>
        <v>1</v>
      </c>
      <c r="AS939" s="932">
        <f t="shared" si="1242"/>
        <v>1</v>
      </c>
      <c r="AT939" s="931">
        <f t="shared" si="1242"/>
        <v>1</v>
      </c>
      <c r="AU939" s="932">
        <f t="shared" si="1242"/>
        <v>1</v>
      </c>
      <c r="AV939" s="932">
        <f t="shared" si="1242"/>
        <v>1</v>
      </c>
      <c r="AW939" s="932">
        <f t="shared" si="1242"/>
        <v>1</v>
      </c>
      <c r="AX939" s="932">
        <f t="shared" si="1242"/>
        <v>1</v>
      </c>
      <c r="AY939" s="931">
        <f t="shared" si="1242"/>
        <v>1</v>
      </c>
      <c r="AZ939" s="932">
        <f t="shared" si="1242"/>
        <v>1</v>
      </c>
      <c r="BA939" s="932">
        <f t="shared" ref="BA939:BD939" si="1243">IF(INDEX(MO_SNA_IsHistoricalPeriod,1,COLUMN())=FALSE,HP.MRFX,INDEX(MO_SPT_FXEoP,1,COLUMN()))</f>
        <v>1</v>
      </c>
      <c r="BB939" s="932">
        <f t="shared" si="1243"/>
        <v>1</v>
      </c>
      <c r="BC939" s="932">
        <f t="shared" si="1243"/>
        <v>1</v>
      </c>
      <c r="BD939" s="931">
        <f t="shared" si="1243"/>
        <v>1</v>
      </c>
      <c r="BE939" s="932">
        <f t="shared" ref="BE939:BV939" si="1244">IF(INDEX(MO_SNA_IsHistoricalPeriod,1,COLUMN())=FALSE,HP.MRFX,INDEX(MO_SPT_FXEoP,1,COLUMN()))</f>
        <v>1</v>
      </c>
      <c r="BF939" s="932">
        <f t="shared" si="1244"/>
        <v>1</v>
      </c>
      <c r="BG939" s="932">
        <f t="shared" si="1244"/>
        <v>1</v>
      </c>
      <c r="BH939" s="932">
        <f t="shared" si="1244"/>
        <v>1</v>
      </c>
      <c r="BI939" s="931">
        <f t="shared" si="1244"/>
        <v>1</v>
      </c>
      <c r="BJ939" s="1347">
        <f>IF(INDEX(MO_SNA_IsHistoricalPeriod,1,COLUMN())=FALSE,HP.MRFX,INDEX(MO_SPT_FXEoP,1,COLUMN()))</f>
        <v>1</v>
      </c>
      <c r="BK939" s="933">
        <f t="shared" ca="1" si="1244"/>
        <v>1</v>
      </c>
      <c r="BL939" s="933">
        <f t="shared" ca="1" si="1244"/>
        <v>1</v>
      </c>
      <c r="BM939" s="933">
        <f t="shared" ca="1" si="1244"/>
        <v>1</v>
      </c>
      <c r="BN939" s="934">
        <f t="shared" ca="1" si="1244"/>
        <v>1</v>
      </c>
      <c r="BO939" s="933">
        <f t="shared" ca="1" si="1244"/>
        <v>1</v>
      </c>
      <c r="BP939" s="933">
        <f t="shared" ca="1" si="1244"/>
        <v>1</v>
      </c>
      <c r="BQ939" s="933">
        <f t="shared" ca="1" si="1244"/>
        <v>1</v>
      </c>
      <c r="BR939" s="933">
        <f t="shared" ca="1" si="1244"/>
        <v>1</v>
      </c>
      <c r="BS939" s="934">
        <f t="shared" ca="1" si="1244"/>
        <v>1</v>
      </c>
      <c r="BT939" s="934">
        <f t="shared" ca="1" si="1244"/>
        <v>1</v>
      </c>
      <c r="BU939" s="934">
        <f t="shared" ca="1" si="1244"/>
        <v>1</v>
      </c>
      <c r="BV939" s="934">
        <f t="shared" ca="1" si="1244"/>
        <v>1</v>
      </c>
      <c r="BW939" s="936"/>
    </row>
    <row r="940" spans="1:75" s="921" customFormat="1" hidden="1" outlineLevel="1" x14ac:dyDescent="0.5">
      <c r="A940" s="915" t="str">
        <f ca="1">"Stock Price (Trading Cur.) - "&amp;MO.ValuationToggle&amp;", "&amp;HP.TradeCurrency</f>
        <v>Stock Price (Trading Cur.) - EoP, USD</v>
      </c>
      <c r="B940" s="916"/>
      <c r="C940" s="918">
        <f t="shared" ref="C940:AH940" si="1245">IF(INDEX(MO_SNA_IsHistoricalPeriod,1,COLUMN())=FALSE,MO.LastPrice,CHOOSE(VLOOKUP(MO.ValuationToggle,tb_ValuationToggle,COLUMNS(tb_ValuationToggle),FALSE),C934,C935,C936,C937))</f>
        <v>18.98</v>
      </c>
      <c r="D940" s="918">
        <f t="shared" si="1245"/>
        <v>32.340000000000003</v>
      </c>
      <c r="E940" s="918">
        <f t="shared" si="1245"/>
        <v>35.119999999999997</v>
      </c>
      <c r="F940" s="918">
        <f t="shared" si="1245"/>
        <v>45.02</v>
      </c>
      <c r="G940" s="919">
        <f t="shared" si="1245"/>
        <v>53.83</v>
      </c>
      <c r="H940" s="919">
        <f t="shared" si="1245"/>
        <v>60.6</v>
      </c>
      <c r="I940" s="919">
        <f t="shared" si="1245"/>
        <v>52</v>
      </c>
      <c r="J940" s="919">
        <f t="shared" si="1245"/>
        <v>54.52</v>
      </c>
      <c r="K940" s="918">
        <f t="shared" si="1245"/>
        <v>54.52</v>
      </c>
      <c r="L940" s="919">
        <f t="shared" si="1245"/>
        <v>63.06</v>
      </c>
      <c r="M940" s="919">
        <f t="shared" si="1245"/>
        <v>67.2</v>
      </c>
      <c r="N940" s="919">
        <f t="shared" si="1245"/>
        <v>65.03</v>
      </c>
      <c r="O940" s="919">
        <f t="shared" si="1245"/>
        <v>78.25</v>
      </c>
      <c r="P940" s="918">
        <f t="shared" si="1245"/>
        <v>78.25</v>
      </c>
      <c r="Q940" s="919">
        <f t="shared" si="1245"/>
        <v>75.010000000000005</v>
      </c>
      <c r="R940" s="919">
        <f t="shared" si="1245"/>
        <v>84.66</v>
      </c>
      <c r="S940" s="919">
        <f t="shared" si="1245"/>
        <v>73.75</v>
      </c>
      <c r="T940" s="919">
        <f t="shared" si="1245"/>
        <v>51.66</v>
      </c>
      <c r="U940" s="918">
        <f t="shared" si="1245"/>
        <v>51.66</v>
      </c>
      <c r="V940" s="919">
        <f t="shared" si="1245"/>
        <v>58.78</v>
      </c>
      <c r="W940" s="919">
        <f t="shared" si="1245"/>
        <v>54.08</v>
      </c>
      <c r="X940" s="919">
        <f t="shared" si="1245"/>
        <v>46.52</v>
      </c>
      <c r="Y940" s="919">
        <f t="shared" si="1245"/>
        <v>47.5</v>
      </c>
      <c r="Z940" s="918">
        <f t="shared" si="1245"/>
        <v>47.5</v>
      </c>
      <c r="AA940" s="919">
        <f t="shared" si="1245"/>
        <v>54.05</v>
      </c>
      <c r="AB940" s="919">
        <f t="shared" si="1245"/>
        <v>46.32</v>
      </c>
      <c r="AC940" s="919">
        <f t="shared" si="1245"/>
        <v>52.42</v>
      </c>
      <c r="AD940" s="919">
        <f t="shared" si="1245"/>
        <v>53.41</v>
      </c>
      <c r="AE940" s="918">
        <f t="shared" si="1245"/>
        <v>53.41</v>
      </c>
      <c r="AF940" s="919">
        <f t="shared" si="1245"/>
        <v>49.18</v>
      </c>
      <c r="AG940" s="919">
        <f t="shared" si="1245"/>
        <v>58.16</v>
      </c>
      <c r="AH940" s="919">
        <f t="shared" si="1245"/>
        <v>56.9</v>
      </c>
      <c r="AI940" s="919">
        <f t="shared" ref="AI940:BN940" si="1246">IF(INDEX(MO_SNA_IsHistoricalPeriod,1,COLUMN())=FALSE,MO.LastPrice,CHOOSE(VLOOKUP(MO.ValuationToggle,tb_ValuationToggle,COLUMNS(tb_ValuationToggle),FALSE),AI934,AI935,AI936,AI937))</f>
        <v>54</v>
      </c>
      <c r="AJ940" s="918">
        <f t="shared" si="1246"/>
        <v>54</v>
      </c>
      <c r="AK940" s="919">
        <f t="shared" si="1246"/>
        <v>56.64</v>
      </c>
      <c r="AL940" s="919">
        <f t="shared" si="1246"/>
        <v>64.040000000000006</v>
      </c>
      <c r="AM940" s="919">
        <f t="shared" si="1246"/>
        <v>66.790000000000006</v>
      </c>
      <c r="AN940" s="919">
        <f t="shared" si="1246"/>
        <v>70.08</v>
      </c>
      <c r="AO940" s="918">
        <f t="shared" si="1246"/>
        <v>70.08</v>
      </c>
      <c r="AP940" s="919">
        <f t="shared" si="1246"/>
        <v>60.25</v>
      </c>
      <c r="AQ940" s="919">
        <f t="shared" si="1246"/>
        <v>87.12</v>
      </c>
      <c r="AR940" s="919">
        <f t="shared" si="1246"/>
        <v>91.21</v>
      </c>
      <c r="AS940" s="919">
        <f t="shared" si="1246"/>
        <v>128.91999999999999</v>
      </c>
      <c r="AT940" s="918">
        <f t="shared" si="1246"/>
        <v>128.91999999999999</v>
      </c>
      <c r="AU940" s="919">
        <f t="shared" si="1246"/>
        <v>170.75</v>
      </c>
      <c r="AV940" s="919">
        <f t="shared" si="1246"/>
        <v>151.69999999999999</v>
      </c>
      <c r="AW940" s="919">
        <f t="shared" si="1246"/>
        <v>185.73</v>
      </c>
      <c r="AX940" s="919">
        <f t="shared" si="1246"/>
        <v>154.81</v>
      </c>
      <c r="AY940" s="918">
        <f t="shared" si="1246"/>
        <v>154.81</v>
      </c>
      <c r="AZ940" s="919">
        <f t="shared" si="1246"/>
        <v>130.47999999999999</v>
      </c>
      <c r="BA940" s="919">
        <f t="shared" si="1246"/>
        <v>144.41999999999999</v>
      </c>
      <c r="BB940" s="919">
        <f t="shared" si="1246"/>
        <v>122.75</v>
      </c>
      <c r="BC940" s="919">
        <f t="shared" si="1246"/>
        <v>126.67</v>
      </c>
      <c r="BD940" s="918">
        <f t="shared" si="1246"/>
        <v>126.67</v>
      </c>
      <c r="BE940" s="919">
        <f t="shared" si="1246"/>
        <v>121.04</v>
      </c>
      <c r="BF940" s="919">
        <f t="shared" si="1246"/>
        <v>140.66</v>
      </c>
      <c r="BG940" s="919">
        <f t="shared" ref="BG940:BM940" si="1247">IF(INDEX(MO_SNA_IsHistoricalPeriod,1,COLUMN())=FALSE,MO.LastPrice,CHOOSE(VLOOKUP(MO.ValuationToggle,tb_ValuationToggle,COLUMNS(tb_ValuationToggle),FALSE),BG934,BG935,BG936,BG937))</f>
        <v>145.82</v>
      </c>
      <c r="BH940" s="919">
        <f t="shared" si="1247"/>
        <v>208.55</v>
      </c>
      <c r="BI940" s="918">
        <f t="shared" si="1247"/>
        <v>208.55</v>
      </c>
      <c r="BJ940" s="1345">
        <f>IF(INDEX(MO_SNA_IsHistoricalPeriod,1,COLUMN())=FALSE,MO.LastPrice,CHOOSE(VLOOKUP(MO.ValuationToggle,tb_ValuationToggle,COLUMNS(tb_ValuationToggle),FALSE),BJ934,BJ935,BJ936,BJ937))</f>
        <v>282.16000000000003</v>
      </c>
      <c r="BK940" s="920">
        <f t="shared" ca="1" si="1247"/>
        <v>292.52</v>
      </c>
      <c r="BL940" s="920">
        <f t="shared" ca="1" si="1247"/>
        <v>292.52</v>
      </c>
      <c r="BM940" s="920">
        <f t="shared" ca="1" si="1247"/>
        <v>292.52</v>
      </c>
      <c r="BN940" s="784">
        <f t="shared" ca="1" si="1246"/>
        <v>292.52</v>
      </c>
      <c r="BO940" s="920">
        <f t="shared" ref="BO940:BV940" ca="1" si="1248">IF(INDEX(MO_SNA_IsHistoricalPeriod,1,COLUMN())=FALSE,MO.LastPrice,CHOOSE(VLOOKUP(MO.ValuationToggle,tb_ValuationToggle,COLUMNS(tb_ValuationToggle),FALSE),BO934,BO935,BO936,BO937))</f>
        <v>292.52</v>
      </c>
      <c r="BP940" s="920">
        <f t="shared" ca="1" si="1248"/>
        <v>292.52</v>
      </c>
      <c r="BQ940" s="920">
        <f t="shared" ca="1" si="1248"/>
        <v>292.52</v>
      </c>
      <c r="BR940" s="920">
        <f t="shared" ca="1" si="1248"/>
        <v>292.52</v>
      </c>
      <c r="BS940" s="784">
        <f t="shared" ca="1" si="1248"/>
        <v>292.52</v>
      </c>
      <c r="BT940" s="784">
        <f t="shared" ca="1" si="1248"/>
        <v>292.52</v>
      </c>
      <c r="BU940" s="784">
        <f t="shared" ca="1" si="1248"/>
        <v>292.52</v>
      </c>
      <c r="BV940" s="784">
        <f t="shared" ca="1" si="1248"/>
        <v>292.52</v>
      </c>
      <c r="BW940" s="787"/>
    </row>
    <row r="941" spans="1:75" s="123" customFormat="1" hidden="1" outlineLevel="1" x14ac:dyDescent="0.5">
      <c r="A941" s="184"/>
      <c r="B941" s="513"/>
      <c r="C941" s="401"/>
      <c r="D941" s="401"/>
      <c r="E941" s="401"/>
      <c r="F941" s="401"/>
      <c r="G941" s="118"/>
      <c r="H941" s="118"/>
      <c r="I941" s="118"/>
      <c r="J941" s="118"/>
      <c r="K941" s="401"/>
      <c r="L941" s="118"/>
      <c r="M941" s="118"/>
      <c r="N941" s="118"/>
      <c r="O941" s="118"/>
      <c r="P941" s="401"/>
      <c r="Q941" s="118"/>
      <c r="R941" s="118"/>
      <c r="S941" s="118"/>
      <c r="T941" s="118"/>
      <c r="U941" s="401"/>
      <c r="V941" s="118"/>
      <c r="W941" s="118"/>
      <c r="X941" s="118"/>
      <c r="Y941" s="118"/>
      <c r="Z941" s="401"/>
      <c r="AA941" s="118"/>
      <c r="AB941" s="118"/>
      <c r="AC941" s="118"/>
      <c r="AD941" s="118"/>
      <c r="AE941" s="401"/>
      <c r="AF941" s="118"/>
      <c r="AG941" s="118"/>
      <c r="AH941" s="118"/>
      <c r="AI941" s="118"/>
      <c r="AJ941" s="401"/>
      <c r="AK941" s="118"/>
      <c r="AL941" s="118"/>
      <c r="AM941" s="118"/>
      <c r="AN941" s="118"/>
      <c r="AO941" s="401"/>
      <c r="AP941" s="118"/>
      <c r="AQ941" s="118"/>
      <c r="AR941" s="118"/>
      <c r="AS941" s="118"/>
      <c r="AT941" s="401"/>
      <c r="AU941" s="118"/>
      <c r="AV941" s="118"/>
      <c r="AW941" s="118"/>
      <c r="AX941" s="118"/>
      <c r="AY941" s="401"/>
      <c r="AZ941" s="118"/>
      <c r="BA941" s="118"/>
      <c r="BB941" s="118"/>
      <c r="BC941" s="118"/>
      <c r="BD941" s="401"/>
      <c r="BE941" s="118"/>
      <c r="BF941" s="118"/>
      <c r="BG941" s="118"/>
      <c r="BH941" s="118"/>
      <c r="BI941" s="401"/>
      <c r="BJ941" s="971"/>
      <c r="BK941" s="118"/>
      <c r="BL941" s="118"/>
      <c r="BM941" s="118"/>
      <c r="BN941" s="401"/>
      <c r="BO941" s="118"/>
      <c r="BP941" s="118"/>
      <c r="BQ941" s="118"/>
      <c r="BR941" s="118"/>
      <c r="BS941" s="401"/>
      <c r="BT941" s="401"/>
      <c r="BU941" s="401"/>
      <c r="BV941" s="401"/>
      <c r="BW941" s="122"/>
    </row>
    <row r="942" spans="1:75" s="198" customFormat="1" ht="14.25" hidden="1" outlineLevel="1" x14ac:dyDescent="0.45">
      <c r="A942" s="635" t="s">
        <v>1337</v>
      </c>
      <c r="B942" s="522"/>
      <c r="C942" s="397"/>
      <c r="D942" s="397"/>
      <c r="E942" s="397"/>
      <c r="F942" s="397"/>
      <c r="G942" s="295"/>
      <c r="H942" s="295"/>
      <c r="I942" s="295"/>
      <c r="J942" s="295"/>
      <c r="K942" s="397"/>
      <c r="L942" s="295"/>
      <c r="M942" s="295"/>
      <c r="N942" s="295"/>
      <c r="O942" s="295"/>
      <c r="P942" s="397"/>
      <c r="Q942" s="295"/>
      <c r="R942" s="295"/>
      <c r="S942" s="295"/>
      <c r="T942" s="295"/>
      <c r="U942" s="397"/>
      <c r="V942" s="295"/>
      <c r="W942" s="295"/>
      <c r="X942" s="295"/>
      <c r="Y942" s="295"/>
      <c r="Z942" s="397"/>
      <c r="AA942" s="295"/>
      <c r="AB942" s="295"/>
      <c r="AC942" s="295"/>
      <c r="AD942" s="295"/>
      <c r="AE942" s="397"/>
      <c r="AF942" s="295"/>
      <c r="AG942" s="295"/>
      <c r="AH942" s="295"/>
      <c r="AI942" s="295"/>
      <c r="AJ942" s="397"/>
      <c r="AK942" s="295"/>
      <c r="AL942" s="295"/>
      <c r="AM942" s="295"/>
      <c r="AN942" s="295"/>
      <c r="AO942" s="397"/>
      <c r="AP942" s="295"/>
      <c r="AQ942" s="295"/>
      <c r="AR942" s="295"/>
      <c r="AS942" s="295"/>
      <c r="AT942" s="397"/>
      <c r="AU942" s="295"/>
      <c r="AV942" s="295"/>
      <c r="AW942" s="295"/>
      <c r="AX942" s="295"/>
      <c r="AY942" s="397"/>
      <c r="AZ942" s="295"/>
      <c r="BA942" s="295"/>
      <c r="BB942" s="295"/>
      <c r="BC942" s="295"/>
      <c r="BD942" s="397"/>
      <c r="BE942" s="295"/>
      <c r="BF942" s="295"/>
      <c r="BG942" s="295"/>
      <c r="BH942" s="295"/>
      <c r="BI942" s="397"/>
      <c r="BJ942" s="1030"/>
      <c r="BK942" s="295"/>
      <c r="BL942" s="295"/>
      <c r="BM942" s="295"/>
      <c r="BN942" s="397"/>
      <c r="BO942" s="295"/>
      <c r="BP942" s="295"/>
      <c r="BQ942" s="295"/>
      <c r="BR942" s="295"/>
      <c r="BS942" s="397"/>
      <c r="BT942" s="397"/>
      <c r="BU942" s="397"/>
      <c r="BV942" s="397"/>
      <c r="BW942" s="197"/>
    </row>
    <row r="943" spans="1:75" s="123" customFormat="1" hidden="1" outlineLevel="1" x14ac:dyDescent="0.5">
      <c r="A943" s="541" t="s">
        <v>1338</v>
      </c>
      <c r="B943" s="513"/>
      <c r="C943" s="674">
        <f t="shared" ref="C943:BN943" si="1249">C1153</f>
        <v>0</v>
      </c>
      <c r="D943" s="674">
        <f t="shared" si="1249"/>
        <v>0</v>
      </c>
      <c r="E943" s="674">
        <f t="shared" si="1249"/>
        <v>0</v>
      </c>
      <c r="F943" s="674">
        <f t="shared" si="1249"/>
        <v>0</v>
      </c>
      <c r="G943" s="122">
        <f t="shared" si="1249"/>
        <v>0</v>
      </c>
      <c r="H943" s="122">
        <f t="shared" si="1249"/>
        <v>0</v>
      </c>
      <c r="I943" s="122">
        <f t="shared" si="1249"/>
        <v>0</v>
      </c>
      <c r="J943" s="122">
        <f t="shared" si="1249"/>
        <v>0</v>
      </c>
      <c r="K943" s="674">
        <f t="shared" si="1249"/>
        <v>0</v>
      </c>
      <c r="L943" s="122">
        <f t="shared" si="1249"/>
        <v>0</v>
      </c>
      <c r="M943" s="122">
        <f t="shared" si="1249"/>
        <v>0</v>
      </c>
      <c r="N943" s="122">
        <f t="shared" si="1249"/>
        <v>0</v>
      </c>
      <c r="O943" s="122">
        <f t="shared" si="1249"/>
        <v>0</v>
      </c>
      <c r="P943" s="674">
        <f t="shared" si="1249"/>
        <v>0</v>
      </c>
      <c r="Q943" s="122">
        <f t="shared" si="1249"/>
        <v>0</v>
      </c>
      <c r="R943" s="122">
        <f t="shared" si="1249"/>
        <v>0</v>
      </c>
      <c r="S943" s="122">
        <f t="shared" si="1249"/>
        <v>0</v>
      </c>
      <c r="T943" s="122">
        <f t="shared" si="1249"/>
        <v>0</v>
      </c>
      <c r="U943" s="674">
        <f t="shared" si="1249"/>
        <v>0</v>
      </c>
      <c r="V943" s="122">
        <f t="shared" si="1249"/>
        <v>0</v>
      </c>
      <c r="W943" s="122">
        <f t="shared" si="1249"/>
        <v>0</v>
      </c>
      <c r="X943" s="122">
        <f t="shared" si="1249"/>
        <v>0</v>
      </c>
      <c r="Y943" s="122">
        <f t="shared" si="1249"/>
        <v>0</v>
      </c>
      <c r="Z943" s="674">
        <f t="shared" si="1249"/>
        <v>0</v>
      </c>
      <c r="AA943" s="122">
        <f t="shared" si="1249"/>
        <v>0</v>
      </c>
      <c r="AB943" s="122">
        <f t="shared" si="1249"/>
        <v>0</v>
      </c>
      <c r="AC943" s="122">
        <f t="shared" si="1249"/>
        <v>0</v>
      </c>
      <c r="AD943" s="122">
        <f t="shared" si="1249"/>
        <v>0</v>
      </c>
      <c r="AE943" s="674">
        <f t="shared" si="1249"/>
        <v>0</v>
      </c>
      <c r="AF943" s="122">
        <f t="shared" si="1249"/>
        <v>0</v>
      </c>
      <c r="AG943" s="122">
        <f t="shared" si="1249"/>
        <v>0</v>
      </c>
      <c r="AH943" s="122">
        <f t="shared" si="1249"/>
        <v>0</v>
      </c>
      <c r="AI943" s="122">
        <f t="shared" si="1249"/>
        <v>0</v>
      </c>
      <c r="AJ943" s="674">
        <f t="shared" si="1249"/>
        <v>0</v>
      </c>
      <c r="AK943" s="122">
        <f t="shared" si="1249"/>
        <v>0</v>
      </c>
      <c r="AL943" s="122">
        <f t="shared" si="1249"/>
        <v>0</v>
      </c>
      <c r="AM943" s="122">
        <f t="shared" si="1249"/>
        <v>0</v>
      </c>
      <c r="AN943" s="122">
        <f t="shared" si="1249"/>
        <v>0</v>
      </c>
      <c r="AO943" s="674">
        <f t="shared" si="1249"/>
        <v>0</v>
      </c>
      <c r="AP943" s="122">
        <f t="shared" si="1249"/>
        <v>0</v>
      </c>
      <c r="AQ943" s="122">
        <f t="shared" si="1249"/>
        <v>0</v>
      </c>
      <c r="AR943" s="122">
        <f t="shared" si="1249"/>
        <v>0</v>
      </c>
      <c r="AS943" s="122">
        <f t="shared" si="1249"/>
        <v>0</v>
      </c>
      <c r="AT943" s="674">
        <f t="shared" si="1249"/>
        <v>0</v>
      </c>
      <c r="AU943" s="122">
        <f t="shared" si="1249"/>
        <v>0</v>
      </c>
      <c r="AV943" s="122">
        <f t="shared" si="1249"/>
        <v>0</v>
      </c>
      <c r="AW943" s="122">
        <f t="shared" si="1249"/>
        <v>0</v>
      </c>
      <c r="AX943" s="122">
        <f t="shared" si="1249"/>
        <v>0</v>
      </c>
      <c r="AY943" s="674">
        <f t="shared" si="1249"/>
        <v>0</v>
      </c>
      <c r="AZ943" s="122">
        <f t="shared" si="1249"/>
        <v>0</v>
      </c>
      <c r="BA943" s="122">
        <f t="shared" si="1249"/>
        <v>0</v>
      </c>
      <c r="BB943" s="122">
        <f t="shared" si="1249"/>
        <v>0</v>
      </c>
      <c r="BC943" s="122">
        <f t="shared" si="1249"/>
        <v>0</v>
      </c>
      <c r="BD943" s="674">
        <f t="shared" si="1249"/>
        <v>0</v>
      </c>
      <c r="BE943" s="122">
        <f t="shared" si="1249"/>
        <v>0</v>
      </c>
      <c r="BF943" s="122">
        <f t="shared" si="1249"/>
        <v>0</v>
      </c>
      <c r="BG943" s="122">
        <f t="shared" si="1249"/>
        <v>0</v>
      </c>
      <c r="BH943" s="122">
        <f t="shared" si="1249"/>
        <v>0</v>
      </c>
      <c r="BI943" s="674">
        <f t="shared" si="1249"/>
        <v>0</v>
      </c>
      <c r="BJ943" s="1274">
        <f>BJ1153</f>
        <v>0</v>
      </c>
      <c r="BK943" s="118">
        <f t="shared" si="1249"/>
        <v>0</v>
      </c>
      <c r="BL943" s="118">
        <f t="shared" si="1249"/>
        <v>0</v>
      </c>
      <c r="BM943" s="118">
        <f t="shared" si="1249"/>
        <v>0</v>
      </c>
      <c r="BN943" s="401">
        <f t="shared" si="1249"/>
        <v>0</v>
      </c>
      <c r="BO943" s="118">
        <f t="shared" ref="BO943:CF943" si="1250">BO1153</f>
        <v>0</v>
      </c>
      <c r="BP943" s="118">
        <f t="shared" si="1250"/>
        <v>0</v>
      </c>
      <c r="BQ943" s="118">
        <f t="shared" si="1250"/>
        <v>0</v>
      </c>
      <c r="BR943" s="118">
        <f t="shared" si="1250"/>
        <v>0</v>
      </c>
      <c r="BS943" s="401">
        <f t="shared" si="1250"/>
        <v>0</v>
      </c>
      <c r="BT943" s="401">
        <f t="shared" si="1250"/>
        <v>0</v>
      </c>
      <c r="BU943" s="401">
        <f t="shared" si="1250"/>
        <v>0</v>
      </c>
      <c r="BV943" s="401">
        <f t="shared" si="1250"/>
        <v>0</v>
      </c>
      <c r="BW943" s="122"/>
    </row>
    <row r="944" spans="1:75" s="123" customFormat="1" hidden="1" outlineLevel="1" x14ac:dyDescent="0.5">
      <c r="A944" s="541" t="s">
        <v>1339</v>
      </c>
      <c r="B944" s="513"/>
      <c r="C944" s="401"/>
      <c r="D944" s="401"/>
      <c r="E944" s="401"/>
      <c r="F944" s="401"/>
      <c r="G944" s="118"/>
      <c r="H944" s="118"/>
      <c r="I944" s="118"/>
      <c r="J944" s="118"/>
      <c r="K944" s="401"/>
      <c r="L944" s="118"/>
      <c r="M944" s="118"/>
      <c r="N944" s="118"/>
      <c r="O944" s="118"/>
      <c r="P944" s="401"/>
      <c r="Q944" s="118"/>
      <c r="R944" s="118"/>
      <c r="S944" s="118"/>
      <c r="T944" s="118"/>
      <c r="U944" s="401"/>
      <c r="V944" s="118"/>
      <c r="W944" s="118"/>
      <c r="X944" s="118"/>
      <c r="Y944" s="118"/>
      <c r="Z944" s="401"/>
      <c r="AA944" s="118"/>
      <c r="AB944" s="118"/>
      <c r="AC944" s="118"/>
      <c r="AD944" s="118"/>
      <c r="AE944" s="401"/>
      <c r="AF944" s="118"/>
      <c r="AG944" s="118"/>
      <c r="AH944" s="118"/>
      <c r="AI944" s="118"/>
      <c r="AJ944" s="401"/>
      <c r="AK944" s="118"/>
      <c r="AL944" s="118"/>
      <c r="AM944" s="118"/>
      <c r="AN944" s="118"/>
      <c r="AO944" s="401"/>
      <c r="AP944" s="118"/>
      <c r="AQ944" s="118"/>
      <c r="AR944" s="118"/>
      <c r="AS944" s="118"/>
      <c r="AT944" s="401"/>
      <c r="AU944" s="118"/>
      <c r="AV944" s="118"/>
      <c r="AW944" s="118"/>
      <c r="AX944" s="118"/>
      <c r="AY944" s="401"/>
      <c r="AZ944" s="118"/>
      <c r="BA944" s="118"/>
      <c r="BB944" s="118"/>
      <c r="BC944" s="118"/>
      <c r="BD944" s="401"/>
      <c r="BE944" s="118"/>
      <c r="BF944" s="118"/>
      <c r="BG944" s="118"/>
      <c r="BH944" s="118"/>
      <c r="BI944" s="401"/>
      <c r="BJ944" s="971"/>
      <c r="BK944" s="118"/>
      <c r="BL944" s="118"/>
      <c r="BM944" s="118"/>
      <c r="BN944" s="401"/>
      <c r="BO944" s="118"/>
      <c r="BP944" s="118"/>
      <c r="BQ944" s="118"/>
      <c r="BR944" s="118"/>
      <c r="BS944" s="401"/>
      <c r="BT944" s="401"/>
      <c r="BU944" s="401"/>
      <c r="BV944" s="401"/>
      <c r="BW944" s="122"/>
    </row>
    <row r="945" spans="1:75" s="123" customFormat="1" hidden="1" outlineLevel="1" x14ac:dyDescent="0.5">
      <c r="A945" s="541" t="s">
        <v>1340</v>
      </c>
      <c r="B945" s="513"/>
      <c r="C945" s="401"/>
      <c r="D945" s="401"/>
      <c r="E945" s="401"/>
      <c r="F945" s="401"/>
      <c r="G945" s="118"/>
      <c r="H945" s="118"/>
      <c r="I945" s="118"/>
      <c r="J945" s="118"/>
      <c r="K945" s="401"/>
      <c r="L945" s="118"/>
      <c r="M945" s="118"/>
      <c r="N945" s="118"/>
      <c r="O945" s="118"/>
      <c r="P945" s="401"/>
      <c r="Q945" s="118"/>
      <c r="R945" s="118"/>
      <c r="S945" s="118"/>
      <c r="T945" s="118"/>
      <c r="U945" s="401"/>
      <c r="V945" s="118"/>
      <c r="W945" s="118"/>
      <c r="X945" s="118"/>
      <c r="Y945" s="118"/>
      <c r="Z945" s="401"/>
      <c r="AA945" s="118"/>
      <c r="AB945" s="118"/>
      <c r="AC945" s="118"/>
      <c r="AD945" s="118"/>
      <c r="AE945" s="401"/>
      <c r="AF945" s="118"/>
      <c r="AG945" s="118"/>
      <c r="AH945" s="118"/>
      <c r="AI945" s="118"/>
      <c r="AJ945" s="401"/>
      <c r="AK945" s="118"/>
      <c r="AL945" s="118"/>
      <c r="AM945" s="118"/>
      <c r="AN945" s="118"/>
      <c r="AO945" s="401"/>
      <c r="AP945" s="118"/>
      <c r="AQ945" s="118"/>
      <c r="AR945" s="118"/>
      <c r="AS945" s="118"/>
      <c r="AT945" s="401"/>
      <c r="AU945" s="118"/>
      <c r="AV945" s="118"/>
      <c r="AW945" s="118"/>
      <c r="AX945" s="118"/>
      <c r="AY945" s="401"/>
      <c r="AZ945" s="118"/>
      <c r="BA945" s="118"/>
      <c r="BB945" s="118"/>
      <c r="BC945" s="118"/>
      <c r="BD945" s="401"/>
      <c r="BE945" s="118"/>
      <c r="BF945" s="118"/>
      <c r="BG945" s="118"/>
      <c r="BH945" s="118"/>
      <c r="BI945" s="401"/>
      <c r="BJ945" s="971"/>
      <c r="BK945" s="118"/>
      <c r="BL945" s="118"/>
      <c r="BM945" s="118"/>
      <c r="BN945" s="401"/>
      <c r="BO945" s="118"/>
      <c r="BP945" s="118"/>
      <c r="BQ945" s="118"/>
      <c r="BR945" s="118"/>
      <c r="BS945" s="401"/>
      <c r="BT945" s="401"/>
      <c r="BU945" s="401"/>
      <c r="BV945" s="401"/>
      <c r="BW945" s="122"/>
    </row>
    <row r="946" spans="1:75" s="123" customFormat="1" collapsed="1" x14ac:dyDescent="0.5">
      <c r="A946" s="496"/>
      <c r="B946" s="513"/>
      <c r="C946" s="401"/>
      <c r="D946" s="401"/>
      <c r="E946" s="401"/>
      <c r="F946" s="401"/>
      <c r="G946" s="118"/>
      <c r="H946" s="118"/>
      <c r="I946" s="118"/>
      <c r="J946" s="118"/>
      <c r="K946" s="401"/>
      <c r="L946" s="118"/>
      <c r="M946" s="118"/>
      <c r="N946" s="118"/>
      <c r="O946" s="118"/>
      <c r="P946" s="401"/>
      <c r="Q946" s="118"/>
      <c r="R946" s="118"/>
      <c r="S946" s="118"/>
      <c r="T946" s="118"/>
      <c r="U946" s="401"/>
      <c r="V946" s="118"/>
      <c r="W946" s="118"/>
      <c r="X946" s="118"/>
      <c r="Y946" s="118"/>
      <c r="Z946" s="401"/>
      <c r="AA946" s="118"/>
      <c r="AB946" s="118"/>
      <c r="AC946" s="118"/>
      <c r="AD946" s="118"/>
      <c r="AE946" s="401"/>
      <c r="AF946" s="118"/>
      <c r="AG946" s="118"/>
      <c r="AH946" s="118"/>
      <c r="AI946" s="118"/>
      <c r="AJ946" s="401"/>
      <c r="AK946" s="118"/>
      <c r="AL946" s="118"/>
      <c r="AM946" s="118"/>
      <c r="AN946" s="118"/>
      <c r="AO946" s="401"/>
      <c r="AP946" s="118"/>
      <c r="AQ946" s="118"/>
      <c r="AR946" s="118"/>
      <c r="AS946" s="118"/>
      <c r="AT946" s="401"/>
      <c r="AU946" s="118"/>
      <c r="AV946" s="118"/>
      <c r="AW946" s="118"/>
      <c r="AX946" s="118"/>
      <c r="AY946" s="401"/>
      <c r="AZ946" s="118"/>
      <c r="BA946" s="118"/>
      <c r="BB946" s="118"/>
      <c r="BC946" s="118"/>
      <c r="BD946" s="401"/>
      <c r="BE946" s="118"/>
      <c r="BF946" s="118"/>
      <c r="BG946" s="118"/>
      <c r="BH946" s="118"/>
      <c r="BI946" s="401"/>
      <c r="BJ946" s="971"/>
      <c r="BK946" s="118"/>
      <c r="BL946" s="118"/>
      <c r="BM946" s="118"/>
      <c r="BN946" s="401"/>
      <c r="BO946" s="118"/>
      <c r="BP946" s="118"/>
      <c r="BQ946" s="118"/>
      <c r="BR946" s="118"/>
      <c r="BS946" s="401"/>
      <c r="BT946" s="401"/>
      <c r="BU946" s="401"/>
      <c r="BV946" s="401"/>
      <c r="BW946" s="122"/>
    </row>
    <row r="947" spans="1:75" s="198" customFormat="1" ht="14.25" x14ac:dyDescent="0.45">
      <c r="A947" s="239" t="s">
        <v>1341</v>
      </c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  <c r="AA947" s="239"/>
      <c r="AB947" s="239"/>
      <c r="AC947" s="239"/>
      <c r="AD947" s="239"/>
      <c r="AE947" s="239"/>
      <c r="AF947" s="239"/>
      <c r="AG947" s="239"/>
      <c r="AH947" s="239"/>
      <c r="AI947" s="239"/>
      <c r="AJ947" s="239"/>
      <c r="AK947" s="239"/>
      <c r="AL947" s="239"/>
      <c r="AM947" s="239"/>
      <c r="AN947" s="239"/>
      <c r="AO947" s="239"/>
      <c r="AP947" s="239"/>
      <c r="AQ947" s="239"/>
      <c r="AR947" s="239"/>
      <c r="AS947" s="239"/>
      <c r="AT947" s="239"/>
      <c r="AU947" s="239"/>
      <c r="AV947" s="239"/>
      <c r="AW947" s="239"/>
      <c r="AX947" s="239"/>
      <c r="AY947" s="239"/>
      <c r="AZ947" s="239"/>
      <c r="BA947" s="239"/>
      <c r="BB947" s="239"/>
      <c r="BC947" s="239"/>
      <c r="BD947" s="239"/>
      <c r="BE947" s="239"/>
      <c r="BF947" s="239"/>
      <c r="BG947" s="239"/>
      <c r="BH947" s="239"/>
      <c r="BI947" s="239"/>
      <c r="BJ947" s="241"/>
      <c r="BK947" s="239"/>
      <c r="BL947" s="239"/>
      <c r="BM947" s="239"/>
      <c r="BN947" s="239"/>
      <c r="BO947" s="239"/>
      <c r="BP947" s="239"/>
      <c r="BQ947" s="239"/>
      <c r="BR947" s="239"/>
      <c r="BS947" s="239"/>
      <c r="BT947" s="239"/>
      <c r="BU947" s="239"/>
      <c r="BV947" s="239"/>
      <c r="BW947" s="197"/>
    </row>
    <row r="948" spans="1:75" s="198" customFormat="1" ht="14.25" hidden="1" outlineLevel="1" x14ac:dyDescent="0.45">
      <c r="A948" s="463" t="s">
        <v>1342</v>
      </c>
      <c r="B948" s="522"/>
      <c r="C948" s="397"/>
      <c r="D948" s="397"/>
      <c r="E948" s="397"/>
      <c r="F948" s="397"/>
      <c r="G948" s="295"/>
      <c r="H948" s="295"/>
      <c r="I948" s="295"/>
      <c r="J948" s="295"/>
      <c r="K948" s="397"/>
      <c r="L948" s="295"/>
      <c r="M948" s="295"/>
      <c r="N948" s="295"/>
      <c r="O948" s="295"/>
      <c r="P948" s="397"/>
      <c r="Q948" s="295"/>
      <c r="R948" s="295"/>
      <c r="S948" s="295"/>
      <c r="T948" s="295"/>
      <c r="U948" s="397"/>
      <c r="V948" s="295"/>
      <c r="W948" s="295"/>
      <c r="X948" s="295"/>
      <c r="Y948" s="295"/>
      <c r="Z948" s="397"/>
      <c r="AA948" s="295"/>
      <c r="AB948" s="295"/>
      <c r="AC948" s="295"/>
      <c r="AD948" s="295"/>
      <c r="AE948" s="397"/>
      <c r="AF948" s="295"/>
      <c r="AG948" s="295"/>
      <c r="AH948" s="295"/>
      <c r="AI948" s="295"/>
      <c r="AJ948" s="397"/>
      <c r="AK948" s="295"/>
      <c r="AL948" s="295"/>
      <c r="AM948" s="295"/>
      <c r="AN948" s="295"/>
      <c r="AO948" s="397"/>
      <c r="AP948" s="295"/>
      <c r="AQ948" s="295"/>
      <c r="AR948" s="295"/>
      <c r="AS948" s="295"/>
      <c r="AT948" s="397"/>
      <c r="AU948" s="295"/>
      <c r="AV948" s="295"/>
      <c r="AW948" s="295"/>
      <c r="AX948" s="295"/>
      <c r="AY948" s="397"/>
      <c r="AZ948" s="295"/>
      <c r="BA948" s="295"/>
      <c r="BB948" s="295"/>
      <c r="BC948" s="295"/>
      <c r="BD948" s="397"/>
      <c r="BE948" s="295"/>
      <c r="BF948" s="295"/>
      <c r="BG948" s="295"/>
      <c r="BH948" s="295"/>
      <c r="BI948" s="397"/>
      <c r="BJ948" s="1030"/>
      <c r="BK948" s="295"/>
      <c r="BL948" s="295"/>
      <c r="BM948" s="295"/>
      <c r="BN948" s="397"/>
      <c r="BO948" s="295"/>
      <c r="BP948" s="295"/>
      <c r="BQ948" s="295"/>
      <c r="BR948" s="295"/>
      <c r="BS948" s="397"/>
      <c r="BT948" s="397"/>
      <c r="BU948" s="397"/>
      <c r="BV948" s="397"/>
      <c r="BW948" s="197"/>
    </row>
    <row r="949" spans="1:75" s="123" customFormat="1" hidden="1" outlineLevel="1" x14ac:dyDescent="0.5">
      <c r="A949" s="464" t="s">
        <v>2109</v>
      </c>
      <c r="B949" s="513"/>
      <c r="C949" s="403">
        <v>77.441999999999993</v>
      </c>
      <c r="D949" s="403">
        <v>200.227</v>
      </c>
      <c r="E949" s="403">
        <v>236.93100000000001</v>
      </c>
      <c r="F949" s="403">
        <v>256.73</v>
      </c>
      <c r="G949" s="302">
        <v>39.466000000000001</v>
      </c>
      <c r="H949" s="302">
        <v>88.385000000000005</v>
      </c>
      <c r="I949" s="302">
        <v>145.10400000000001</v>
      </c>
      <c r="J949" s="122">
        <f>K949</f>
        <v>278.90199999999999</v>
      </c>
      <c r="K949" s="403">
        <v>278.90199999999999</v>
      </c>
      <c r="L949" s="302">
        <v>46.161999999999999</v>
      </c>
      <c r="M949" s="302">
        <v>96.909000000000006</v>
      </c>
      <c r="N949" s="302">
        <v>161.81700000000001</v>
      </c>
      <c r="O949" s="122">
        <f>P949</f>
        <v>308.85399999999998</v>
      </c>
      <c r="P949" s="403">
        <v>308.85399999999998</v>
      </c>
      <c r="Q949" s="302">
        <v>44.79</v>
      </c>
      <c r="R949" s="302">
        <v>98.457999999999998</v>
      </c>
      <c r="S949" s="302">
        <v>168.94</v>
      </c>
      <c r="T949" s="122">
        <f>U949</f>
        <v>310.06799999999998</v>
      </c>
      <c r="U949" s="403">
        <v>310.06799999999998</v>
      </c>
      <c r="V949" s="302">
        <v>39.597000000000001</v>
      </c>
      <c r="W949" s="302">
        <v>91.382000000000005</v>
      </c>
      <c r="X949" s="302">
        <v>160.76</v>
      </c>
      <c r="Y949" s="122">
        <f>Z949</f>
        <v>305.387</v>
      </c>
      <c r="Z949" s="403">
        <v>305.387</v>
      </c>
      <c r="AA949" s="302">
        <v>39.555</v>
      </c>
      <c r="AB949" s="302">
        <v>92.471999999999994</v>
      </c>
      <c r="AC949" s="302">
        <v>163.785</v>
      </c>
      <c r="AD949" s="122">
        <f>AE949</f>
        <v>259.54500000000002</v>
      </c>
      <c r="AE949" s="403">
        <v>259.54500000000002</v>
      </c>
      <c r="AF949" s="302">
        <v>45.167999999999999</v>
      </c>
      <c r="AG949" s="302">
        <v>96.881</v>
      </c>
      <c r="AH949" s="302">
        <v>178.346</v>
      </c>
      <c r="AI949" s="122">
        <f>AJ949</f>
        <v>333.68400000000003</v>
      </c>
      <c r="AJ949" s="403">
        <v>333.68400000000003</v>
      </c>
      <c r="AK949" s="302">
        <v>52.655999999999999</v>
      </c>
      <c r="AL949" s="302">
        <v>115.304</v>
      </c>
      <c r="AM949" s="302">
        <v>190.017</v>
      </c>
      <c r="AN949" s="122">
        <f t="shared" ref="AN949:AN959" si="1251">AO949</f>
        <v>356.06200000000001</v>
      </c>
      <c r="AO949" s="403">
        <v>356.06200000000001</v>
      </c>
      <c r="AP949" s="302">
        <v>35.423000000000002</v>
      </c>
      <c r="AQ949" s="302">
        <v>169.98699999999999</v>
      </c>
      <c r="AR949" s="302">
        <v>371.75900000000001</v>
      </c>
      <c r="AS949" s="122">
        <f t="shared" ref="AS949:AS959" si="1252">AT949</f>
        <v>680.71400000000006</v>
      </c>
      <c r="AT949" s="403">
        <v>680.71400000000006</v>
      </c>
      <c r="AU949" s="302">
        <v>227.80199999999999</v>
      </c>
      <c r="AV949" s="302">
        <v>473.87200000000001</v>
      </c>
      <c r="AW949" s="302">
        <v>723.39599999999996</v>
      </c>
      <c r="AX949" s="122">
        <f t="shared" ref="AX949:AX959" si="1253">AY949</f>
        <v>1126.337</v>
      </c>
      <c r="AY949" s="403">
        <v>1126.337</v>
      </c>
      <c r="AZ949" s="302">
        <v>254.113</v>
      </c>
      <c r="BA949" s="302">
        <v>521.18799999999999</v>
      </c>
      <c r="BB949" s="302">
        <v>772.91099999999994</v>
      </c>
      <c r="BC949" s="122">
        <f t="shared" ref="BC949:BC959" si="1254">BD949</f>
        <v>1127.904</v>
      </c>
      <c r="BD949" s="403">
        <v>1127.904</v>
      </c>
      <c r="BE949" s="302">
        <v>156.53100000000001</v>
      </c>
      <c r="BF949" s="302">
        <v>358.03800000000001</v>
      </c>
      <c r="BG949" s="302">
        <v>595.32299999999998</v>
      </c>
      <c r="BH949" s="122">
        <f t="shared" ref="BH949:BH959" si="1255">BI949</f>
        <v>949.76199999999994</v>
      </c>
      <c r="BI949" s="403">
        <v>949.76199999999994</v>
      </c>
      <c r="BJ949" s="1207">
        <v>265.666</v>
      </c>
      <c r="BK949" s="118"/>
      <c r="BL949" s="118"/>
      <c r="BM949" s="118">
        <f t="shared" ref="BM949:BM959" si="1256">BN949</f>
        <v>0</v>
      </c>
      <c r="BN949" s="401"/>
      <c r="BO949" s="118"/>
      <c r="BP949" s="118"/>
      <c r="BQ949" s="118"/>
      <c r="BR949" s="118">
        <f t="shared" ref="BR949:BR959" si="1257">BS949</f>
        <v>0</v>
      </c>
      <c r="BS949" s="401"/>
      <c r="BT949" s="401"/>
      <c r="BU949" s="401"/>
      <c r="BV949" s="401"/>
      <c r="BW949" s="122"/>
    </row>
    <row r="950" spans="1:75" s="123" customFormat="1" hidden="1" outlineLevel="1" x14ac:dyDescent="0.5">
      <c r="A950" s="464" t="s">
        <v>1128</v>
      </c>
      <c r="B950" s="513"/>
      <c r="C950" s="403">
        <v>151.79599999999999</v>
      </c>
      <c r="D950" s="403">
        <v>144.63</v>
      </c>
      <c r="E950" s="403">
        <v>130.553</v>
      </c>
      <c r="F950" s="403">
        <v>134.453</v>
      </c>
      <c r="G950" s="302">
        <v>36.609000000000002</v>
      </c>
      <c r="H950" s="302">
        <v>73.831999999999994</v>
      </c>
      <c r="I950" s="302">
        <v>111.41200000000001</v>
      </c>
      <c r="J950" s="122">
        <f>K950</f>
        <v>149.79499999999999</v>
      </c>
      <c r="K950" s="403">
        <v>149.79499999999999</v>
      </c>
      <c r="L950" s="302">
        <v>38.630000000000003</v>
      </c>
      <c r="M950" s="302">
        <v>79.331999999999994</v>
      </c>
      <c r="N950" s="302">
        <v>121.13500000000001</v>
      </c>
      <c r="O950" s="122">
        <f>P950</f>
        <v>162.273</v>
      </c>
      <c r="P950" s="403">
        <v>162.273</v>
      </c>
      <c r="Q950" s="302">
        <v>41.478000000000002</v>
      </c>
      <c r="R950" s="302">
        <v>83.233000000000004</v>
      </c>
      <c r="S950" s="302">
        <v>125.093</v>
      </c>
      <c r="T950" s="122">
        <f>U950</f>
        <v>167.76</v>
      </c>
      <c r="U950" s="403">
        <v>167.76</v>
      </c>
      <c r="V950" s="302">
        <v>41.24</v>
      </c>
      <c r="W950" s="302">
        <v>83.369</v>
      </c>
      <c r="X950" s="302">
        <v>127.745</v>
      </c>
      <c r="Y950" s="122">
        <f>Z950</f>
        <v>173.19499999999999</v>
      </c>
      <c r="Z950" s="403">
        <v>173.19499999999999</v>
      </c>
      <c r="AA950" s="302">
        <v>44.95</v>
      </c>
      <c r="AB950" s="302">
        <v>90.048000000000002</v>
      </c>
      <c r="AC950" s="302">
        <v>135.47300000000001</v>
      </c>
      <c r="AD950" s="122">
        <f>AE950</f>
        <v>183.077</v>
      </c>
      <c r="AE950" s="403">
        <v>183.077</v>
      </c>
      <c r="AF950" s="302">
        <v>47.872999999999998</v>
      </c>
      <c r="AG950" s="302">
        <v>93.808999999999997</v>
      </c>
      <c r="AH950" s="302">
        <v>141.167</v>
      </c>
      <c r="AI950" s="122">
        <f>AJ950</f>
        <v>188.80799999999999</v>
      </c>
      <c r="AJ950" s="403">
        <v>188.80799999999999</v>
      </c>
      <c r="AK950" s="302">
        <v>46.838000000000001</v>
      </c>
      <c r="AL950" s="302">
        <v>93.744</v>
      </c>
      <c r="AM950" s="302">
        <v>140.495</v>
      </c>
      <c r="AN950" s="122">
        <f t="shared" si="1251"/>
        <v>187.75899999999999</v>
      </c>
      <c r="AO950" s="403">
        <v>187.75899999999999</v>
      </c>
      <c r="AP950" s="302">
        <v>46.223999999999997</v>
      </c>
      <c r="AQ950" s="302">
        <v>93.12</v>
      </c>
      <c r="AR950" s="302">
        <v>140.34</v>
      </c>
      <c r="AS950" s="122">
        <f t="shared" si="1252"/>
        <v>188.655</v>
      </c>
      <c r="AT950" s="403">
        <v>188.655</v>
      </c>
      <c r="AU950" s="302">
        <v>47.921999999999997</v>
      </c>
      <c r="AV950" s="302">
        <v>96.686999999999998</v>
      </c>
      <c r="AW950" s="302">
        <v>145.89699999999999</v>
      </c>
      <c r="AX950" s="122">
        <f t="shared" si="1253"/>
        <v>196.08699999999999</v>
      </c>
      <c r="AY950" s="403">
        <v>196.08699999999999</v>
      </c>
      <c r="AZ950" s="302">
        <v>50.250999999999998</v>
      </c>
      <c r="BA950" s="302">
        <v>102.455</v>
      </c>
      <c r="BB950" s="302">
        <v>157.41</v>
      </c>
      <c r="BC950" s="122">
        <f t="shared" si="1254"/>
        <v>214.15299999999999</v>
      </c>
      <c r="BD950" s="403">
        <v>214.15299999999999</v>
      </c>
      <c r="BE950" s="302">
        <v>55.601999999999997</v>
      </c>
      <c r="BF950" s="302">
        <v>110.843</v>
      </c>
      <c r="BG950" s="302">
        <v>166.02699999999999</v>
      </c>
      <c r="BH950" s="122">
        <f t="shared" si="1255"/>
        <v>232.59</v>
      </c>
      <c r="BI950" s="403">
        <v>232.59</v>
      </c>
      <c r="BJ950" s="1207">
        <v>56.996000000000002</v>
      </c>
      <c r="BK950" s="118"/>
      <c r="BL950" s="118"/>
      <c r="BM950" s="118">
        <f t="shared" si="1256"/>
        <v>0</v>
      </c>
      <c r="BN950" s="401"/>
      <c r="BO950" s="118"/>
      <c r="BP950" s="118"/>
      <c r="BQ950" s="118"/>
      <c r="BR950" s="118">
        <f t="shared" si="1257"/>
        <v>0</v>
      </c>
      <c r="BS950" s="401"/>
      <c r="BT950" s="401"/>
      <c r="BU950" s="401"/>
      <c r="BV950" s="401"/>
      <c r="BW950" s="122"/>
    </row>
    <row r="951" spans="1:75" s="123" customFormat="1" hidden="1" outlineLevel="1" x14ac:dyDescent="0.5">
      <c r="A951" s="464" t="s">
        <v>2110</v>
      </c>
      <c r="B951" s="513"/>
      <c r="C951" s="403">
        <v>2.6030000000000002</v>
      </c>
      <c r="D951" s="403">
        <v>-1.139</v>
      </c>
      <c r="E951" s="403">
        <v>2.04</v>
      </c>
      <c r="F951" s="403">
        <v>0</v>
      </c>
      <c r="G951" s="302">
        <v>0</v>
      </c>
      <c r="H951" s="302">
        <v>0</v>
      </c>
      <c r="I951" s="302">
        <v>0</v>
      </c>
      <c r="J951" s="122">
        <f>K951</f>
        <v>0</v>
      </c>
      <c r="K951" s="403">
        <v>0</v>
      </c>
      <c r="L951" s="302">
        <v>0</v>
      </c>
      <c r="M951" s="302">
        <v>0</v>
      </c>
      <c r="N951" s="302">
        <v>0</v>
      </c>
      <c r="O951" s="122">
        <f>P951</f>
        <v>0</v>
      </c>
      <c r="P951" s="403">
        <v>0</v>
      </c>
      <c r="Q951" s="302">
        <v>0</v>
      </c>
      <c r="R951" s="302">
        <v>0</v>
      </c>
      <c r="S951" s="302">
        <v>0</v>
      </c>
      <c r="T951" s="122">
        <f>U951</f>
        <v>0</v>
      </c>
      <c r="U951" s="403">
        <v>0</v>
      </c>
      <c r="V951" s="302">
        <v>0.88</v>
      </c>
      <c r="W951" s="302">
        <v>1.52</v>
      </c>
      <c r="X951" s="302">
        <v>1.8520000000000001</v>
      </c>
      <c r="Y951" s="122">
        <f>Z951</f>
        <v>3.806</v>
      </c>
      <c r="Z951" s="403">
        <v>3.806</v>
      </c>
      <c r="AA951" s="302">
        <v>0.51900000000000002</v>
      </c>
      <c r="AB951" s="302">
        <v>0.84499999999999997</v>
      </c>
      <c r="AC951" s="302">
        <v>1.2989999999999999</v>
      </c>
      <c r="AD951" s="122">
        <f>AE951</f>
        <v>1.889</v>
      </c>
      <c r="AE951" s="403">
        <v>1.889</v>
      </c>
      <c r="AF951" s="302">
        <v>0.41399999999999998</v>
      </c>
      <c r="AG951" s="302">
        <v>4.4660000000000002</v>
      </c>
      <c r="AH951" s="302">
        <v>5.29</v>
      </c>
      <c r="AI951" s="122">
        <f>AJ951</f>
        <v>10.209</v>
      </c>
      <c r="AJ951" s="403">
        <v>10.209</v>
      </c>
      <c r="AK951" s="302">
        <v>-0.32300000000000001</v>
      </c>
      <c r="AL951" s="302">
        <v>-6.0000000000000001E-3</v>
      </c>
      <c r="AM951" s="302">
        <v>0.68200000000000005</v>
      </c>
      <c r="AN951" s="122">
        <f t="shared" si="1251"/>
        <v>1.7549999999999999</v>
      </c>
      <c r="AO951" s="403">
        <v>1.7549999999999999</v>
      </c>
      <c r="AP951" s="302">
        <v>16.184999999999999</v>
      </c>
      <c r="AQ951" s="302">
        <v>25.408000000000001</v>
      </c>
      <c r="AR951" s="302">
        <v>26.22</v>
      </c>
      <c r="AS951" s="122">
        <f t="shared" si="1252"/>
        <v>32.365000000000002</v>
      </c>
      <c r="AT951" s="403">
        <v>32.365000000000002</v>
      </c>
      <c r="AU951" s="302">
        <v>0.19500000000000001</v>
      </c>
      <c r="AV951" s="302">
        <v>0.45500000000000002</v>
      </c>
      <c r="AW951" s="302">
        <v>0.88700000000000001</v>
      </c>
      <c r="AX951" s="122">
        <f t="shared" si="1253"/>
        <v>1.0149999999999999</v>
      </c>
      <c r="AY951" s="403">
        <v>1.0149999999999999</v>
      </c>
      <c r="AZ951" s="302">
        <v>0.159</v>
      </c>
      <c r="BA951" s="302">
        <v>5.4130000000000003</v>
      </c>
      <c r="BB951" s="302">
        <v>5.7380000000000004</v>
      </c>
      <c r="BC951" s="122">
        <f t="shared" si="1254"/>
        <v>25.116</v>
      </c>
      <c r="BD951" s="403">
        <v>25.116</v>
      </c>
      <c r="BE951" s="302">
        <v>10.374000000000001</v>
      </c>
      <c r="BF951" s="302">
        <v>14.185</v>
      </c>
      <c r="BG951" s="302">
        <v>19.143000000000001</v>
      </c>
      <c r="BH951" s="122">
        <f t="shared" si="1255"/>
        <v>21.869</v>
      </c>
      <c r="BI951" s="403">
        <v>21.869</v>
      </c>
      <c r="BJ951" s="1207">
        <v>1.264</v>
      </c>
      <c r="BK951" s="118"/>
      <c r="BL951" s="118"/>
      <c r="BM951" s="118">
        <f t="shared" si="1256"/>
        <v>0</v>
      </c>
      <c r="BN951" s="401"/>
      <c r="BO951" s="118"/>
      <c r="BP951" s="118"/>
      <c r="BQ951" s="118"/>
      <c r="BR951" s="118">
        <f t="shared" si="1257"/>
        <v>0</v>
      </c>
      <c r="BS951" s="401"/>
      <c r="BT951" s="401"/>
      <c r="BU951" s="401"/>
      <c r="BV951" s="401"/>
      <c r="BW951" s="122"/>
    </row>
    <row r="952" spans="1:75" s="123" customFormat="1" hidden="1" outlineLevel="1" x14ac:dyDescent="0.5">
      <c r="A952" s="464" t="s">
        <v>2111</v>
      </c>
      <c r="B952" s="513"/>
      <c r="C952" s="403">
        <v>30.533000000000001</v>
      </c>
      <c r="D952" s="403">
        <v>5.4530000000000003</v>
      </c>
      <c r="E952" s="403">
        <v>0.84</v>
      </c>
      <c r="F952" s="403">
        <v>8.3879999999999999</v>
      </c>
      <c r="G952" s="302">
        <v>0.36</v>
      </c>
      <c r="H952" s="302">
        <v>1.2330000000000001</v>
      </c>
      <c r="I952" s="302">
        <v>1.7370000000000001</v>
      </c>
      <c r="J952" s="122">
        <f>K952</f>
        <v>2.7639999999999998</v>
      </c>
      <c r="K952" s="403">
        <v>2.7639999999999998</v>
      </c>
      <c r="L952" s="302">
        <v>0.64400000000000002</v>
      </c>
      <c r="M952" s="302">
        <v>0.95199999999999996</v>
      </c>
      <c r="N952" s="302">
        <v>1.581</v>
      </c>
      <c r="O952" s="122">
        <f>P952</f>
        <v>2.41</v>
      </c>
      <c r="P952" s="403">
        <v>2.41</v>
      </c>
      <c r="Q952" s="302">
        <v>1.694</v>
      </c>
      <c r="R952" s="302">
        <v>2.0739999999999998</v>
      </c>
      <c r="S952" s="302">
        <v>3.5579999999999998</v>
      </c>
      <c r="T952" s="122">
        <f>U952</f>
        <v>4.3390000000000004</v>
      </c>
      <c r="U952" s="403">
        <v>4.3390000000000004</v>
      </c>
      <c r="V952" s="118"/>
      <c r="W952" s="118"/>
      <c r="X952" s="302">
        <v>0</v>
      </c>
      <c r="Y952" s="122">
        <f>Z952</f>
        <v>0</v>
      </c>
      <c r="Z952" s="403">
        <v>0</v>
      </c>
      <c r="AA952" s="118"/>
      <c r="AB952" s="118"/>
      <c r="AC952" s="118"/>
      <c r="AD952" s="122">
        <f>AE952</f>
        <v>0</v>
      </c>
      <c r="AE952" s="401"/>
      <c r="AF952" s="118"/>
      <c r="AG952" s="118"/>
      <c r="AH952" s="118"/>
      <c r="AI952" s="122">
        <f>AJ952</f>
        <v>0</v>
      </c>
      <c r="AJ952" s="401"/>
      <c r="AK952" s="118"/>
      <c r="AL952" s="118"/>
      <c r="AM952" s="118"/>
      <c r="AN952" s="122">
        <f t="shared" si="1251"/>
        <v>0</v>
      </c>
      <c r="AO952" s="401"/>
      <c r="AP952" s="118"/>
      <c r="AQ952" s="118"/>
      <c r="AR952" s="118"/>
      <c r="AS952" s="122">
        <f t="shared" si="1252"/>
        <v>0</v>
      </c>
      <c r="AT952" s="401"/>
      <c r="AU952" s="118"/>
      <c r="AV952" s="118"/>
      <c r="AW952" s="118"/>
      <c r="AX952" s="122">
        <f t="shared" si="1253"/>
        <v>0</v>
      </c>
      <c r="AY952" s="401"/>
      <c r="AZ952" s="118"/>
      <c r="BA952" s="118"/>
      <c r="BB952" s="118"/>
      <c r="BC952" s="122">
        <f t="shared" si="1254"/>
        <v>0</v>
      </c>
      <c r="BD952" s="401"/>
      <c r="BE952" s="118"/>
      <c r="BF952" s="118"/>
      <c r="BG952" s="118"/>
      <c r="BH952" s="122">
        <f t="shared" si="1255"/>
        <v>0</v>
      </c>
      <c r="BI952" s="401"/>
      <c r="BJ952" s="971"/>
      <c r="BK952" s="118"/>
      <c r="BL952" s="118"/>
      <c r="BM952" s="118">
        <f t="shared" si="1256"/>
        <v>0</v>
      </c>
      <c r="BN952" s="401"/>
      <c r="BO952" s="118"/>
      <c r="BP952" s="118"/>
      <c r="BQ952" s="118"/>
      <c r="BR952" s="118">
        <f t="shared" si="1257"/>
        <v>0</v>
      </c>
      <c r="BS952" s="401"/>
      <c r="BT952" s="401"/>
      <c r="BU952" s="401"/>
      <c r="BV952" s="401"/>
      <c r="BW952" s="122"/>
    </row>
    <row r="953" spans="1:75" s="123" customFormat="1" hidden="1" outlineLevel="1" x14ac:dyDescent="0.5">
      <c r="A953" s="464" t="s">
        <v>2112</v>
      </c>
      <c r="B953" s="513"/>
      <c r="C953" s="403">
        <v>-36.798999999999999</v>
      </c>
      <c r="D953" s="403">
        <v>-37.115000000000002</v>
      </c>
      <c r="E953" s="403">
        <v>-27.547000000000001</v>
      </c>
      <c r="F953" s="403">
        <v>-26.693999999999999</v>
      </c>
      <c r="G953" s="302">
        <v>-6.3529999999999998</v>
      </c>
      <c r="H953" s="302">
        <v>-12.621</v>
      </c>
      <c r="I953" s="302">
        <v>-19.055</v>
      </c>
      <c r="J953" s="122">
        <f>K953</f>
        <v>-25.382000000000001</v>
      </c>
      <c r="K953" s="403">
        <v>-25.382000000000001</v>
      </c>
      <c r="L953" s="302">
        <v>-5.782</v>
      </c>
      <c r="M953" s="302">
        <v>-12.483000000000001</v>
      </c>
      <c r="N953" s="302">
        <v>-18.577000000000002</v>
      </c>
      <c r="O953" s="122">
        <f>P953</f>
        <v>-24.419</v>
      </c>
      <c r="P953" s="403">
        <v>-24.419</v>
      </c>
      <c r="Q953" s="302">
        <v>-5.9989999999999997</v>
      </c>
      <c r="R953" s="302">
        <v>-12.074999999999999</v>
      </c>
      <c r="S953" s="302">
        <v>-18.326000000000001</v>
      </c>
      <c r="T953" s="122">
        <f>U953</f>
        <v>-24.721</v>
      </c>
      <c r="U953" s="403">
        <v>-24.721</v>
      </c>
      <c r="V953" s="302">
        <v>-5.9870000000000001</v>
      </c>
      <c r="W953" s="302">
        <v>-12.55</v>
      </c>
      <c r="X953" s="302">
        <v>-18.789000000000001</v>
      </c>
      <c r="Y953" s="122">
        <f>Z953</f>
        <v>-25.212</v>
      </c>
      <c r="Z953" s="403">
        <v>-25.212</v>
      </c>
      <c r="AA953" s="302">
        <v>-6.4770000000000003</v>
      </c>
      <c r="AB953" s="302">
        <v>-12.68</v>
      </c>
      <c r="AC953" s="302">
        <v>-18.986999999999998</v>
      </c>
      <c r="AD953" s="122">
        <f>AE953</f>
        <v>-25.372</v>
      </c>
      <c r="AE953" s="403">
        <v>-25.372</v>
      </c>
      <c r="AF953" s="302">
        <v>-6.7240000000000002</v>
      </c>
      <c r="AG953" s="302">
        <v>-13.21</v>
      </c>
      <c r="AH953" s="302">
        <v>-19.728000000000002</v>
      </c>
      <c r="AI953" s="122">
        <f>AJ953</f>
        <v>-26.199000000000002</v>
      </c>
      <c r="AJ953" s="403">
        <v>-26.199000000000002</v>
      </c>
      <c r="AK953" s="302">
        <v>-2.306</v>
      </c>
      <c r="AL953" s="302">
        <v>-4.2279999999999998</v>
      </c>
      <c r="AM953" s="302">
        <v>-5.9850000000000003</v>
      </c>
      <c r="AN953" s="122">
        <f t="shared" si="1251"/>
        <v>-7.7140000000000004</v>
      </c>
      <c r="AO953" s="403">
        <v>-7.7140000000000004</v>
      </c>
      <c r="AP953" s="302">
        <v>-1.405</v>
      </c>
      <c r="AQ953" s="302">
        <v>-2.9750000000000001</v>
      </c>
      <c r="AR953" s="302">
        <v>-4.5380000000000003</v>
      </c>
      <c r="AS953" s="122">
        <f t="shared" si="1252"/>
        <v>-5.7830000000000004</v>
      </c>
      <c r="AT953" s="403">
        <v>-5.7830000000000004</v>
      </c>
      <c r="AU953" s="302">
        <v>-1.1080000000000001</v>
      </c>
      <c r="AV953" s="302">
        <v>-2.254</v>
      </c>
      <c r="AW953" s="302">
        <v>-3.3450000000000002</v>
      </c>
      <c r="AX953" s="122">
        <f t="shared" si="1253"/>
        <v>-4.282</v>
      </c>
      <c r="AY953" s="403">
        <v>-4.282</v>
      </c>
      <c r="AZ953" s="302">
        <v>-0.78400000000000003</v>
      </c>
      <c r="BA953" s="302">
        <v>-1.635</v>
      </c>
      <c r="BB953" s="302">
        <v>-2.4420000000000002</v>
      </c>
      <c r="BC953" s="122">
        <f t="shared" si="1254"/>
        <v>-3.0190000000000001</v>
      </c>
      <c r="BD953" s="403">
        <v>-3.0190000000000001</v>
      </c>
      <c r="BE953" s="118"/>
      <c r="BF953" s="118"/>
      <c r="BG953" s="118"/>
      <c r="BH953" s="122">
        <f t="shared" si="1255"/>
        <v>0</v>
      </c>
      <c r="BI953" s="401"/>
      <c r="BJ953" s="971"/>
      <c r="BK953" s="118"/>
      <c r="BL953" s="118"/>
      <c r="BM953" s="118">
        <f t="shared" si="1256"/>
        <v>0</v>
      </c>
      <c r="BN953" s="401"/>
      <c r="BO953" s="118"/>
      <c r="BP953" s="118"/>
      <c r="BQ953" s="118"/>
      <c r="BR953" s="118">
        <f t="shared" si="1257"/>
        <v>0</v>
      </c>
      <c r="BS953" s="401"/>
      <c r="BT953" s="401"/>
      <c r="BU953" s="401"/>
      <c r="BV953" s="401"/>
      <c r="BW953" s="122"/>
    </row>
    <row r="954" spans="1:75" s="123" customFormat="1" hidden="1" outlineLevel="1" x14ac:dyDescent="0.5">
      <c r="A954" s="464" t="s">
        <v>2113</v>
      </c>
      <c r="B954" s="513"/>
      <c r="C954" s="401"/>
      <c r="D954" s="401"/>
      <c r="E954" s="401"/>
      <c r="F954" s="401"/>
      <c r="G954" s="118"/>
      <c r="H954" s="118"/>
      <c r="I954" s="118"/>
      <c r="J954" s="118"/>
      <c r="K954" s="401"/>
      <c r="L954" s="118"/>
      <c r="M954" s="118"/>
      <c r="N954" s="118"/>
      <c r="O954" s="118"/>
      <c r="P954" s="401"/>
      <c r="Q954" s="118"/>
      <c r="R954" s="118"/>
      <c r="S954" s="118"/>
      <c r="T954" s="118"/>
      <c r="U954" s="401"/>
      <c r="V954" s="118"/>
      <c r="W954" s="118"/>
      <c r="X954" s="118"/>
      <c r="Y954" s="118"/>
      <c r="Z954" s="401"/>
      <c r="AA954" s="118"/>
      <c r="AB954" s="118"/>
      <c r="AC954" s="118"/>
      <c r="AD954" s="118"/>
      <c r="AE954" s="401"/>
      <c r="AF954" s="118"/>
      <c r="AG954" s="118"/>
      <c r="AH954" s="118"/>
      <c r="AI954" s="118"/>
      <c r="AJ954" s="401"/>
      <c r="AK954" s="302">
        <v>51.595999999999997</v>
      </c>
      <c r="AL954" s="302">
        <v>105.437</v>
      </c>
      <c r="AM954" s="302">
        <v>160.13800000000001</v>
      </c>
      <c r="AN954" s="122">
        <f t="shared" si="1251"/>
        <v>215.81</v>
      </c>
      <c r="AO954" s="403">
        <v>215.81</v>
      </c>
      <c r="AP954" s="302">
        <v>54.262</v>
      </c>
      <c r="AQ954" s="302">
        <v>108.44799999999999</v>
      </c>
      <c r="AR954" s="302">
        <v>162.767</v>
      </c>
      <c r="AS954" s="122">
        <f t="shared" si="1252"/>
        <v>216.36799999999999</v>
      </c>
      <c r="AT954" s="403">
        <v>216.36799999999999</v>
      </c>
      <c r="AU954" s="302">
        <v>52.954999999999998</v>
      </c>
      <c r="AV954" s="302">
        <v>105.739</v>
      </c>
      <c r="AW954" s="302">
        <v>159.75700000000001</v>
      </c>
      <c r="AX954" s="122">
        <f t="shared" si="1253"/>
        <v>216.88800000000001</v>
      </c>
      <c r="AY954" s="403">
        <v>216.88800000000001</v>
      </c>
      <c r="AZ954" s="302">
        <v>54.338000000000001</v>
      </c>
      <c r="BA954" s="302">
        <v>110.511</v>
      </c>
      <c r="BB954" s="302">
        <v>169.602</v>
      </c>
      <c r="BC954" s="122">
        <f t="shared" si="1254"/>
        <v>231.35</v>
      </c>
      <c r="BD954" s="403">
        <v>231.35</v>
      </c>
      <c r="BE954" s="302">
        <v>64.173000000000002</v>
      </c>
      <c r="BF954" s="302">
        <v>126.98099999999999</v>
      </c>
      <c r="BG954" s="302">
        <v>186.76400000000001</v>
      </c>
      <c r="BH954" s="122">
        <f t="shared" si="1255"/>
        <v>255.286</v>
      </c>
      <c r="BI954" s="403">
        <v>255.286</v>
      </c>
      <c r="BJ954" s="1207">
        <v>66.820999999999998</v>
      </c>
      <c r="BK954" s="118"/>
      <c r="BL954" s="118"/>
      <c r="BM954" s="118">
        <f t="shared" si="1256"/>
        <v>0</v>
      </c>
      <c r="BN954" s="401"/>
      <c r="BO954" s="118"/>
      <c r="BP954" s="118"/>
      <c r="BQ954" s="118"/>
      <c r="BR954" s="118">
        <f t="shared" si="1257"/>
        <v>0</v>
      </c>
      <c r="BS954" s="401"/>
      <c r="BT954" s="401"/>
      <c r="BU954" s="401"/>
      <c r="BV954" s="401"/>
      <c r="BW954" s="122"/>
    </row>
    <row r="955" spans="1:75" s="123" customFormat="1" hidden="1" outlineLevel="1" x14ac:dyDescent="0.5">
      <c r="A955" s="464" t="s">
        <v>1360</v>
      </c>
      <c r="B955" s="513"/>
      <c r="C955" s="403">
        <v>-23.594999999999999</v>
      </c>
      <c r="D955" s="403">
        <v>23.565999999999999</v>
      </c>
      <c r="E955" s="403">
        <v>14.21</v>
      </c>
      <c r="F955" s="403">
        <v>-9.0289999999999999</v>
      </c>
      <c r="G955" s="302">
        <v>-3.431</v>
      </c>
      <c r="H955" s="302">
        <v>-6.9370000000000003</v>
      </c>
      <c r="I955" s="302">
        <v>-10.722</v>
      </c>
      <c r="J955" s="122">
        <f>K955</f>
        <v>-28.344000000000001</v>
      </c>
      <c r="K955" s="403">
        <v>-28.344000000000001</v>
      </c>
      <c r="L955" s="302">
        <v>-4.649</v>
      </c>
      <c r="M955" s="302">
        <v>-8.3260000000000005</v>
      </c>
      <c r="N955" s="302">
        <v>-13.031000000000001</v>
      </c>
      <c r="O955" s="122">
        <f>P955</f>
        <v>-0.248</v>
      </c>
      <c r="P955" s="403">
        <v>-0.248</v>
      </c>
      <c r="Q955" s="302">
        <v>-5.4980000000000002</v>
      </c>
      <c r="R955" s="302">
        <v>-8.5329999999999995</v>
      </c>
      <c r="S955" s="302">
        <v>-13.526</v>
      </c>
      <c r="T955" s="122">
        <f>U955</f>
        <v>-7.4359999999999999</v>
      </c>
      <c r="U955" s="403">
        <v>-7.4359999999999999</v>
      </c>
      <c r="V955" s="302">
        <v>-5.7960000000000003</v>
      </c>
      <c r="W955" s="302">
        <v>-10.472</v>
      </c>
      <c r="X955" s="302">
        <v>-14.461</v>
      </c>
      <c r="Y955" s="122">
        <f>Z955</f>
        <v>7.1139999999999999</v>
      </c>
      <c r="Z955" s="403">
        <v>7.1139999999999999</v>
      </c>
      <c r="AA955" s="302">
        <v>-3.8479999999999999</v>
      </c>
      <c r="AB955" s="302">
        <v>-8.9369999999999994</v>
      </c>
      <c r="AC955" s="302">
        <v>-11.884</v>
      </c>
      <c r="AD955" s="122">
        <f>AE955</f>
        <v>63.381</v>
      </c>
      <c r="AE955" s="403">
        <v>63.381</v>
      </c>
      <c r="AF955" s="302">
        <v>-3.2410000000000001</v>
      </c>
      <c r="AG955" s="302">
        <v>-4.415</v>
      </c>
      <c r="AH955" s="302">
        <v>12.17</v>
      </c>
      <c r="AI955" s="122">
        <f>AJ955</f>
        <v>23.638999999999999</v>
      </c>
      <c r="AJ955" s="403">
        <v>23.638999999999999</v>
      </c>
      <c r="AK955" s="302">
        <v>-4.1260000000000003</v>
      </c>
      <c r="AL955" s="302">
        <v>-8.4280000000000008</v>
      </c>
      <c r="AM955" s="302">
        <v>-10.936999999999999</v>
      </c>
      <c r="AN955" s="122">
        <f t="shared" si="1251"/>
        <v>-2.5569999999999999</v>
      </c>
      <c r="AO955" s="403">
        <v>-2.5569999999999999</v>
      </c>
      <c r="AP955" s="302">
        <v>-2.585</v>
      </c>
      <c r="AQ955" s="302">
        <v>-2.2290000000000001</v>
      </c>
      <c r="AR955" s="302">
        <v>-6.9690000000000003</v>
      </c>
      <c r="AS955" s="122">
        <f t="shared" si="1252"/>
        <v>-13.061</v>
      </c>
      <c r="AT955" s="403">
        <v>-13.061</v>
      </c>
      <c r="AU955" s="302">
        <v>-3.9809999999999999</v>
      </c>
      <c r="AV955" s="302">
        <v>-7.0369999999999999</v>
      </c>
      <c r="AW955" s="302">
        <v>-11.44</v>
      </c>
      <c r="AX955" s="122">
        <f t="shared" si="1253"/>
        <v>2.5350000000000001</v>
      </c>
      <c r="AY955" s="403">
        <v>2.5350000000000001</v>
      </c>
      <c r="AZ955" s="302">
        <v>-2.7250000000000001</v>
      </c>
      <c r="BA955" s="302">
        <v>-7.6360000000000001</v>
      </c>
      <c r="BB955" s="302">
        <v>-10.494</v>
      </c>
      <c r="BC955" s="122">
        <f t="shared" si="1254"/>
        <v>-23.823</v>
      </c>
      <c r="BD955" s="403">
        <v>-23.823</v>
      </c>
      <c r="BE955" s="302">
        <v>-1.6559999999999999</v>
      </c>
      <c r="BF955" s="302">
        <v>-3.8410000000000002</v>
      </c>
      <c r="BG955" s="302">
        <v>-7.9930000000000003</v>
      </c>
      <c r="BH955" s="122">
        <f t="shared" si="1255"/>
        <v>-29.085000000000001</v>
      </c>
      <c r="BI955" s="403">
        <v>-29.085000000000001</v>
      </c>
      <c r="BJ955" s="1207">
        <v>-0.53800000000000003</v>
      </c>
      <c r="BK955" s="118"/>
      <c r="BL955" s="118"/>
      <c r="BM955" s="118">
        <f t="shared" si="1256"/>
        <v>0</v>
      </c>
      <c r="BN955" s="401"/>
      <c r="BO955" s="118"/>
      <c r="BP955" s="118"/>
      <c r="BQ955" s="118"/>
      <c r="BR955" s="118">
        <f t="shared" si="1257"/>
        <v>0</v>
      </c>
      <c r="BS955" s="401"/>
      <c r="BT955" s="401"/>
      <c r="BU955" s="401"/>
      <c r="BV955" s="401"/>
      <c r="BW955" s="122"/>
    </row>
    <row r="956" spans="1:75" s="123" customFormat="1" hidden="1" outlineLevel="1" x14ac:dyDescent="0.5">
      <c r="A956" s="464" t="s">
        <v>2114</v>
      </c>
      <c r="B956" s="513"/>
      <c r="C956" s="403">
        <v>0.71399999999999997</v>
      </c>
      <c r="D956" s="403">
        <v>-0.78900000000000003</v>
      </c>
      <c r="E956" s="403">
        <v>8.5150000000000006</v>
      </c>
      <c r="F956" s="403">
        <v>12.725</v>
      </c>
      <c r="G956" s="302">
        <v>9.1859999999999999</v>
      </c>
      <c r="H956" s="302">
        <v>11.733000000000001</v>
      </c>
      <c r="I956" s="302">
        <v>14.393000000000001</v>
      </c>
      <c r="J956" s="122">
        <f>K956</f>
        <v>8.8170000000000002</v>
      </c>
      <c r="K956" s="403">
        <v>8.8170000000000002</v>
      </c>
      <c r="L956" s="302">
        <v>43.222999999999999</v>
      </c>
      <c r="M956" s="302">
        <v>46.173999999999999</v>
      </c>
      <c r="N956" s="302">
        <v>49.451000000000001</v>
      </c>
      <c r="O956" s="122">
        <f>P956</f>
        <v>26.952000000000002</v>
      </c>
      <c r="P956" s="403">
        <v>26.952000000000002</v>
      </c>
      <c r="Q956" s="302">
        <v>20.571999999999999</v>
      </c>
      <c r="R956" s="302">
        <v>25.917000000000002</v>
      </c>
      <c r="S956" s="302">
        <v>29.603000000000002</v>
      </c>
      <c r="T956" s="122">
        <f>U956</f>
        <v>14.592000000000001</v>
      </c>
      <c r="U956" s="403">
        <v>14.592000000000001</v>
      </c>
      <c r="V956" s="302">
        <v>20.087</v>
      </c>
      <c r="W956" s="302">
        <v>21.864000000000001</v>
      </c>
      <c r="X956" s="302">
        <v>23.571000000000002</v>
      </c>
      <c r="Y956" s="122">
        <f>Z956</f>
        <v>3.23</v>
      </c>
      <c r="Z956" s="403">
        <v>3.23</v>
      </c>
      <c r="AA956" s="302">
        <v>13.742000000000001</v>
      </c>
      <c r="AB956" s="302">
        <v>14.510999999999999</v>
      </c>
      <c r="AC956" s="302">
        <v>15.439</v>
      </c>
      <c r="AD956" s="122">
        <f>AE956</f>
        <v>0</v>
      </c>
      <c r="AE956" s="401"/>
      <c r="AF956" s="302">
        <v>6.1260000000000003</v>
      </c>
      <c r="AG956" s="302">
        <v>9.7110000000000003</v>
      </c>
      <c r="AH956" s="302">
        <v>10.361000000000001</v>
      </c>
      <c r="AI956" s="122">
        <f>AJ956</f>
        <v>0</v>
      </c>
      <c r="AJ956" s="401"/>
      <c r="AK956" s="302">
        <v>14.898</v>
      </c>
      <c r="AL956" s="302">
        <v>14.11</v>
      </c>
      <c r="AM956" s="302">
        <v>13.648</v>
      </c>
      <c r="AN956" s="122">
        <f t="shared" si="1251"/>
        <v>0</v>
      </c>
      <c r="AO956" s="401"/>
      <c r="AP956" s="302">
        <v>12.039</v>
      </c>
      <c r="AQ956" s="302">
        <v>12.694000000000001</v>
      </c>
      <c r="AR956" s="302">
        <v>13.143000000000001</v>
      </c>
      <c r="AS956" s="122">
        <f t="shared" si="1252"/>
        <v>0</v>
      </c>
      <c r="AT956" s="401"/>
      <c r="AU956" s="302">
        <v>10.146000000000001</v>
      </c>
      <c r="AV956" s="302">
        <v>10.302</v>
      </c>
      <c r="AW956" s="302">
        <v>10.837999999999999</v>
      </c>
      <c r="AX956" s="122">
        <f t="shared" si="1253"/>
        <v>0</v>
      </c>
      <c r="AY956" s="401"/>
      <c r="AZ956" s="302">
        <v>10.522</v>
      </c>
      <c r="BA956" s="302">
        <v>10.827999999999999</v>
      </c>
      <c r="BB956" s="302">
        <v>11.172000000000001</v>
      </c>
      <c r="BC956" s="122">
        <f t="shared" si="1254"/>
        <v>0</v>
      </c>
      <c r="BD956" s="401"/>
      <c r="BE956" s="302">
        <v>11.802</v>
      </c>
      <c r="BF956" s="302">
        <v>12.334</v>
      </c>
      <c r="BG956" s="302">
        <v>12.455</v>
      </c>
      <c r="BH956" s="122">
        <f t="shared" si="1255"/>
        <v>0</v>
      </c>
      <c r="BI956" s="401"/>
      <c r="BJ956" s="1207">
        <v>9.3469999999999995</v>
      </c>
      <c r="BK956" s="118"/>
      <c r="BL956" s="118"/>
      <c r="BM956" s="118">
        <f t="shared" si="1256"/>
        <v>0</v>
      </c>
      <c r="BN956" s="401"/>
      <c r="BO956" s="118"/>
      <c r="BP956" s="118"/>
      <c r="BQ956" s="118"/>
      <c r="BR956" s="118">
        <f t="shared" si="1257"/>
        <v>0</v>
      </c>
      <c r="BS956" s="401"/>
      <c r="BT956" s="401"/>
      <c r="BU956" s="401"/>
      <c r="BV956" s="401"/>
      <c r="BW956" s="122"/>
    </row>
    <row r="957" spans="1:75" s="123" customFormat="1" hidden="1" outlineLevel="1" x14ac:dyDescent="0.5">
      <c r="A957" s="464" t="s">
        <v>2115</v>
      </c>
      <c r="B957" s="513"/>
      <c r="C957" s="401"/>
      <c r="D957" s="401"/>
      <c r="E957" s="403">
        <v>-8.0210000000000008</v>
      </c>
      <c r="F957" s="403">
        <v>-12.683</v>
      </c>
      <c r="G957" s="302">
        <v>-4.0469999999999997</v>
      </c>
      <c r="H957" s="302">
        <v>-5.173</v>
      </c>
      <c r="I957" s="302">
        <v>-6.617</v>
      </c>
      <c r="J957" s="122">
        <f>K957</f>
        <v>-8.7430000000000003</v>
      </c>
      <c r="K957" s="403">
        <v>-8.7430000000000003</v>
      </c>
      <c r="L957" s="302">
        <v>-21.370999999999999</v>
      </c>
      <c r="M957" s="302">
        <v>-22.911000000000001</v>
      </c>
      <c r="N957" s="302">
        <v>-24.408000000000001</v>
      </c>
      <c r="O957" s="122">
        <f>P957</f>
        <v>-26.56</v>
      </c>
      <c r="P957" s="403">
        <v>-26.56</v>
      </c>
      <c r="Q957" s="302">
        <v>-8.7240000000000002</v>
      </c>
      <c r="R957" s="302">
        <v>-11.807</v>
      </c>
      <c r="S957" s="302">
        <v>-14.282999999999999</v>
      </c>
      <c r="T957" s="122">
        <f>U957</f>
        <v>-14.494</v>
      </c>
      <c r="U957" s="403">
        <v>-14.494</v>
      </c>
      <c r="V957" s="302">
        <v>-3.8239999999999998</v>
      </c>
      <c r="W957" s="302">
        <v>-4.7270000000000003</v>
      </c>
      <c r="X957" s="302">
        <v>-4.8170000000000002</v>
      </c>
      <c r="Y957" s="122">
        <f>Z957</f>
        <v>-4.8940000000000001</v>
      </c>
      <c r="Z957" s="403">
        <v>-4.8940000000000001</v>
      </c>
      <c r="AA957" s="302">
        <v>0</v>
      </c>
      <c r="AB957" s="302">
        <v>0</v>
      </c>
      <c r="AC957" s="302">
        <v>0</v>
      </c>
      <c r="AD957" s="122">
        <f>AE957</f>
        <v>0</v>
      </c>
      <c r="AE957" s="401"/>
      <c r="AF957" s="118"/>
      <c r="AG957" s="118"/>
      <c r="AH957" s="118"/>
      <c r="AI957" s="122">
        <f>AJ957</f>
        <v>0</v>
      </c>
      <c r="AJ957" s="401"/>
      <c r="AK957" s="118"/>
      <c r="AL957" s="118"/>
      <c r="AM957" s="118"/>
      <c r="AN957" s="122">
        <f t="shared" si="1251"/>
        <v>0</v>
      </c>
      <c r="AO957" s="401"/>
      <c r="AP957" s="118"/>
      <c r="AQ957" s="118"/>
      <c r="AR957" s="118"/>
      <c r="AS957" s="122">
        <f t="shared" si="1252"/>
        <v>0</v>
      </c>
      <c r="AT957" s="401"/>
      <c r="AU957" s="118"/>
      <c r="AV957" s="118"/>
      <c r="AW957" s="118"/>
      <c r="AX957" s="122">
        <f t="shared" si="1253"/>
        <v>0</v>
      </c>
      <c r="AY957" s="401"/>
      <c r="AZ957" s="118"/>
      <c r="BA957" s="118"/>
      <c r="BB957" s="118"/>
      <c r="BC957" s="122">
        <f t="shared" si="1254"/>
        <v>0</v>
      </c>
      <c r="BD957" s="401"/>
      <c r="BE957" s="118"/>
      <c r="BF957" s="118"/>
      <c r="BG957" s="118"/>
      <c r="BH957" s="122">
        <f t="shared" si="1255"/>
        <v>0</v>
      </c>
      <c r="BI957" s="401"/>
      <c r="BJ957" s="971"/>
      <c r="BK957" s="118"/>
      <c r="BL957" s="118"/>
      <c r="BM957" s="118">
        <f t="shared" si="1256"/>
        <v>0</v>
      </c>
      <c r="BN957" s="401"/>
      <c r="BO957" s="118"/>
      <c r="BP957" s="118"/>
      <c r="BQ957" s="118"/>
      <c r="BR957" s="118">
        <f t="shared" si="1257"/>
        <v>0</v>
      </c>
      <c r="BS957" s="401"/>
      <c r="BT957" s="401"/>
      <c r="BU957" s="401"/>
      <c r="BV957" s="401"/>
      <c r="BW957" s="122"/>
    </row>
    <row r="958" spans="1:75" s="123" customFormat="1" hidden="1" outlineLevel="1" x14ac:dyDescent="0.5">
      <c r="A958" s="464" t="s">
        <v>1353</v>
      </c>
      <c r="B958" s="513"/>
      <c r="C958" s="403">
        <v>24.989000000000001</v>
      </c>
      <c r="D958" s="403">
        <v>26.63</v>
      </c>
      <c r="E958" s="403">
        <v>24.335999999999999</v>
      </c>
      <c r="F958" s="403">
        <v>31.042000000000002</v>
      </c>
      <c r="G958" s="302">
        <v>8.9909999999999997</v>
      </c>
      <c r="H958" s="302">
        <v>18.472000000000001</v>
      </c>
      <c r="I958" s="302">
        <v>28.44</v>
      </c>
      <c r="J958" s="122">
        <f>K958</f>
        <v>38.787999999999997</v>
      </c>
      <c r="K958" s="403">
        <v>38.787999999999997</v>
      </c>
      <c r="L958" s="302">
        <v>12.368</v>
      </c>
      <c r="M958" s="302">
        <v>22.190999999999999</v>
      </c>
      <c r="N958" s="302">
        <v>34.728999999999999</v>
      </c>
      <c r="O958" s="122">
        <f>P958</f>
        <v>44.631999999999998</v>
      </c>
      <c r="P958" s="403">
        <v>44.631999999999998</v>
      </c>
      <c r="Q958" s="302">
        <v>14.01</v>
      </c>
      <c r="R958" s="302">
        <v>24.913</v>
      </c>
      <c r="S958" s="302">
        <v>36.182000000000002</v>
      </c>
      <c r="T958" s="122">
        <f>U958</f>
        <v>41.356999999999999</v>
      </c>
      <c r="U958" s="403">
        <v>41.356999999999999</v>
      </c>
      <c r="V958" s="302">
        <v>15.731999999999999</v>
      </c>
      <c r="W958" s="302">
        <v>27.475999999999999</v>
      </c>
      <c r="X958" s="302">
        <v>37.975000000000001</v>
      </c>
      <c r="Y958" s="122">
        <f>Z958</f>
        <v>51.116</v>
      </c>
      <c r="Z958" s="403">
        <v>51.116</v>
      </c>
      <c r="AA958" s="302">
        <v>9.8170000000000002</v>
      </c>
      <c r="AB958" s="302">
        <v>22.829000000000001</v>
      </c>
      <c r="AC958" s="302">
        <v>30.164000000000001</v>
      </c>
      <c r="AD958" s="122">
        <f>AE958</f>
        <v>42.988</v>
      </c>
      <c r="AE958" s="403">
        <v>42.988</v>
      </c>
      <c r="AF958" s="302">
        <v>12.888999999999999</v>
      </c>
      <c r="AG958" s="302">
        <v>26.526</v>
      </c>
      <c r="AH958" s="302">
        <v>40.953000000000003</v>
      </c>
      <c r="AI958" s="122">
        <f>AJ958</f>
        <v>59.802</v>
      </c>
      <c r="AJ958" s="403">
        <v>59.802</v>
      </c>
      <c r="AK958" s="302">
        <v>18.529</v>
      </c>
      <c r="AL958" s="302">
        <v>35.401000000000003</v>
      </c>
      <c r="AM958" s="302">
        <v>49.515999999999998</v>
      </c>
      <c r="AN958" s="122">
        <f t="shared" si="1251"/>
        <v>64.162999999999997</v>
      </c>
      <c r="AO958" s="403">
        <v>64.162999999999997</v>
      </c>
      <c r="AP958" s="302">
        <v>19.702999999999999</v>
      </c>
      <c r="AQ958" s="302">
        <v>33.395000000000003</v>
      </c>
      <c r="AR958" s="302">
        <v>54.670999999999999</v>
      </c>
      <c r="AS958" s="122">
        <f t="shared" si="1252"/>
        <v>73.185000000000002</v>
      </c>
      <c r="AT958" s="403">
        <v>73.185000000000002</v>
      </c>
      <c r="AU958" s="302">
        <v>26.33</v>
      </c>
      <c r="AV958" s="302">
        <v>46.26</v>
      </c>
      <c r="AW958" s="302">
        <v>70.566000000000003</v>
      </c>
      <c r="AX958" s="122">
        <f t="shared" si="1253"/>
        <v>95.24</v>
      </c>
      <c r="AY958" s="403">
        <v>95.24</v>
      </c>
      <c r="AZ958" s="302">
        <v>28.542000000000002</v>
      </c>
      <c r="BA958" s="302">
        <v>51.743000000000002</v>
      </c>
      <c r="BB958" s="302">
        <v>67.796999999999997</v>
      </c>
      <c r="BC958" s="122">
        <f t="shared" si="1254"/>
        <v>90.268000000000001</v>
      </c>
      <c r="BD958" s="403">
        <v>90.268000000000001</v>
      </c>
      <c r="BE958" s="302">
        <v>23.446000000000002</v>
      </c>
      <c r="BF958" s="302">
        <v>44.158999999999999</v>
      </c>
      <c r="BG958" s="302">
        <v>66.435000000000002</v>
      </c>
      <c r="BH958" s="122">
        <f t="shared" si="1255"/>
        <v>84.754000000000005</v>
      </c>
      <c r="BI958" s="403">
        <v>84.754000000000005</v>
      </c>
      <c r="BJ958" s="1207">
        <v>22.975000000000001</v>
      </c>
      <c r="BK958" s="118"/>
      <c r="BL958" s="118"/>
      <c r="BM958" s="118">
        <f t="shared" si="1256"/>
        <v>0</v>
      </c>
      <c r="BN958" s="401"/>
      <c r="BO958" s="118"/>
      <c r="BP958" s="118"/>
      <c r="BQ958" s="118"/>
      <c r="BR958" s="118">
        <f t="shared" si="1257"/>
        <v>0</v>
      </c>
      <c r="BS958" s="401"/>
      <c r="BT958" s="401"/>
      <c r="BU958" s="401"/>
      <c r="BV958" s="401"/>
      <c r="BW958" s="122"/>
    </row>
    <row r="959" spans="1:75" s="123" customFormat="1" hidden="1" outlineLevel="1" x14ac:dyDescent="0.5">
      <c r="A959" s="464" t="s">
        <v>2116</v>
      </c>
      <c r="B959" s="513"/>
      <c r="C959" s="403">
        <v>0</v>
      </c>
      <c r="D959" s="403">
        <v>0</v>
      </c>
      <c r="E959" s="403">
        <v>1.7000000000000001E-2</v>
      </c>
      <c r="F959" s="403">
        <v>0</v>
      </c>
      <c r="G959" s="302">
        <v>0</v>
      </c>
      <c r="H959" s="302">
        <v>0</v>
      </c>
      <c r="I959" s="302">
        <v>0</v>
      </c>
      <c r="J959" s="122">
        <f>K959</f>
        <v>0</v>
      </c>
      <c r="K959" s="403">
        <v>0</v>
      </c>
      <c r="L959" s="302">
        <v>0.17299999999999999</v>
      </c>
      <c r="M959" s="302">
        <v>0.30499999999999999</v>
      </c>
      <c r="N959" s="302">
        <v>0.35199999999999998</v>
      </c>
      <c r="O959" s="122">
        <f>P959</f>
        <v>0.59499999999999997</v>
      </c>
      <c r="P959" s="403">
        <v>0.59499999999999997</v>
      </c>
      <c r="Q959" s="302">
        <v>5.0999999999999997E-2</v>
      </c>
      <c r="R959" s="302">
        <v>6.9000000000000006E-2</v>
      </c>
      <c r="S959" s="302">
        <v>9.0999999999999998E-2</v>
      </c>
      <c r="T959" s="122">
        <f>U959</f>
        <v>0.14899999999999999</v>
      </c>
      <c r="U959" s="403">
        <v>0.14899999999999999</v>
      </c>
      <c r="V959" s="302">
        <v>-0.41799999999999998</v>
      </c>
      <c r="W959" s="302">
        <v>-0.86599999999999999</v>
      </c>
      <c r="X959" s="302">
        <v>-0.64700000000000002</v>
      </c>
      <c r="Y959" s="122">
        <f>Z959</f>
        <v>-0.42299999999999999</v>
      </c>
      <c r="Z959" s="403">
        <v>-0.42299999999999999</v>
      </c>
      <c r="AA959" s="302">
        <v>-7.5999999999999998E-2</v>
      </c>
      <c r="AB959" s="302">
        <v>0.10199999999999999</v>
      </c>
      <c r="AC959" s="302">
        <v>-0.41599999999999998</v>
      </c>
      <c r="AD959" s="122">
        <f>AE959</f>
        <v>-0.13500000000000001</v>
      </c>
      <c r="AE959" s="403">
        <v>-0.13500000000000001</v>
      </c>
      <c r="AF959" s="302">
        <v>6.4000000000000001E-2</v>
      </c>
      <c r="AG959" s="302">
        <v>0.16600000000000001</v>
      </c>
      <c r="AH959" s="302">
        <v>-0.38900000000000001</v>
      </c>
      <c r="AI959" s="122">
        <f>AJ959</f>
        <v>-0.57899999999999996</v>
      </c>
      <c r="AJ959" s="403">
        <v>-0.57899999999999996</v>
      </c>
      <c r="AK959" s="302">
        <v>6.9000000000000006E-2</v>
      </c>
      <c r="AL959" s="302">
        <v>9.1999999999999998E-2</v>
      </c>
      <c r="AM959" s="302">
        <v>1.4E-2</v>
      </c>
      <c r="AN959" s="122">
        <f t="shared" si="1251"/>
        <v>-2.5999999999999999E-2</v>
      </c>
      <c r="AO959" s="403">
        <v>-2.5999999999999999E-2</v>
      </c>
      <c r="AP959" s="302">
        <v>0.129</v>
      </c>
      <c r="AQ959" s="302">
        <v>0.255</v>
      </c>
      <c r="AR959" s="302">
        <v>-8.9999999999999993E-3</v>
      </c>
      <c r="AS959" s="122">
        <f t="shared" si="1252"/>
        <v>-0.26400000000000001</v>
      </c>
      <c r="AT959" s="403">
        <v>-0.26400000000000001</v>
      </c>
      <c r="AU959" s="302">
        <v>-0.223</v>
      </c>
      <c r="AV959" s="302">
        <v>-0.27400000000000002</v>
      </c>
      <c r="AW959" s="302">
        <v>4.0000000000000001E-3</v>
      </c>
      <c r="AX959" s="122">
        <f t="shared" si="1253"/>
        <v>0.28799999999999998</v>
      </c>
      <c r="AY959" s="403">
        <v>0.28799999999999998</v>
      </c>
      <c r="AZ959" s="302">
        <v>-1.7000000000000001E-2</v>
      </c>
      <c r="BA959" s="302">
        <v>0.154</v>
      </c>
      <c r="BB959" s="302">
        <v>0.27200000000000002</v>
      </c>
      <c r="BC959" s="122">
        <f t="shared" si="1254"/>
        <v>0.68</v>
      </c>
      <c r="BD959" s="403">
        <v>0.68</v>
      </c>
      <c r="BE959" s="302">
        <v>-0.82199999999999995</v>
      </c>
      <c r="BF959" s="302">
        <v>-1.647</v>
      </c>
      <c r="BG959" s="302">
        <v>-2.411</v>
      </c>
      <c r="BH959" s="122">
        <f t="shared" si="1255"/>
        <v>-2.7959999999999998</v>
      </c>
      <c r="BI959" s="403">
        <v>-2.7959999999999998</v>
      </c>
      <c r="BJ959" s="1207">
        <v>-1.252</v>
      </c>
      <c r="BK959" s="118"/>
      <c r="BL959" s="118"/>
      <c r="BM959" s="118">
        <f t="shared" si="1256"/>
        <v>0</v>
      </c>
      <c r="BN959" s="401"/>
      <c r="BO959" s="118"/>
      <c r="BP959" s="118"/>
      <c r="BQ959" s="118"/>
      <c r="BR959" s="118">
        <f t="shared" si="1257"/>
        <v>0</v>
      </c>
      <c r="BS959" s="401"/>
      <c r="BT959" s="401"/>
      <c r="BU959" s="401"/>
      <c r="BV959" s="401"/>
      <c r="BW959" s="122"/>
    </row>
    <row r="960" spans="1:75" s="198" customFormat="1" ht="14.25" hidden="1" outlineLevel="1" x14ac:dyDescent="0.45">
      <c r="A960" s="516" t="s">
        <v>1364</v>
      </c>
      <c r="B960" s="517"/>
      <c r="C960" s="519">
        <f t="shared" ref="C960:AH960" si="1258">SUM(C949:C959)</f>
        <v>227.68300000000002</v>
      </c>
      <c r="D960" s="519">
        <f t="shared" si="1258"/>
        <v>361.46299999999991</v>
      </c>
      <c r="E960" s="519">
        <f t="shared" si="1258"/>
        <v>381.87399999999997</v>
      </c>
      <c r="F960" s="519">
        <f t="shared" si="1258"/>
        <v>394.93200000000002</v>
      </c>
      <c r="G960" s="520">
        <f t="shared" si="1258"/>
        <v>80.78100000000002</v>
      </c>
      <c r="H960" s="520">
        <f t="shared" si="1258"/>
        <v>168.92399999999998</v>
      </c>
      <c r="I960" s="520">
        <f t="shared" si="1258"/>
        <v>264.69200000000006</v>
      </c>
      <c r="J960" s="520">
        <f t="shared" si="1258"/>
        <v>416.59700000000004</v>
      </c>
      <c r="K960" s="519">
        <f t="shared" si="1258"/>
        <v>416.59700000000004</v>
      </c>
      <c r="L960" s="520">
        <f t="shared" si="1258"/>
        <v>109.39800000000001</v>
      </c>
      <c r="M960" s="520">
        <f t="shared" si="1258"/>
        <v>202.143</v>
      </c>
      <c r="N960" s="520">
        <f t="shared" si="1258"/>
        <v>313.04899999999998</v>
      </c>
      <c r="O960" s="520">
        <f t="shared" si="1258"/>
        <v>494.48900000000003</v>
      </c>
      <c r="P960" s="519">
        <f t="shared" si="1258"/>
        <v>494.48900000000003</v>
      </c>
      <c r="Q960" s="520">
        <f t="shared" si="1258"/>
        <v>102.37400000000001</v>
      </c>
      <c r="R960" s="520">
        <f t="shared" si="1258"/>
        <v>202.24900000000005</v>
      </c>
      <c r="S960" s="520">
        <f t="shared" si="1258"/>
        <v>317.33199999999999</v>
      </c>
      <c r="T960" s="520">
        <f t="shared" si="1258"/>
        <v>491.61399999999992</v>
      </c>
      <c r="U960" s="519">
        <f t="shared" si="1258"/>
        <v>491.61399999999992</v>
      </c>
      <c r="V960" s="520">
        <f t="shared" si="1258"/>
        <v>101.511</v>
      </c>
      <c r="W960" s="520">
        <f t="shared" si="1258"/>
        <v>196.99599999999998</v>
      </c>
      <c r="X960" s="520">
        <f t="shared" si="1258"/>
        <v>313.18900000000002</v>
      </c>
      <c r="Y960" s="520">
        <f t="shared" si="1258"/>
        <v>513.31899999999996</v>
      </c>
      <c r="Z960" s="519">
        <f t="shared" si="1258"/>
        <v>513.31899999999996</v>
      </c>
      <c r="AA960" s="520">
        <f t="shared" si="1258"/>
        <v>98.182000000000016</v>
      </c>
      <c r="AB960" s="520">
        <f t="shared" si="1258"/>
        <v>199.18999999999997</v>
      </c>
      <c r="AC960" s="520">
        <f t="shared" si="1258"/>
        <v>314.87299999999999</v>
      </c>
      <c r="AD960" s="520">
        <f t="shared" si="1258"/>
        <v>525.37300000000005</v>
      </c>
      <c r="AE960" s="519">
        <f t="shared" si="1258"/>
        <v>525.37300000000005</v>
      </c>
      <c r="AF960" s="520">
        <f t="shared" si="1258"/>
        <v>102.56899999999999</v>
      </c>
      <c r="AG960" s="520">
        <f t="shared" si="1258"/>
        <v>213.93400000000003</v>
      </c>
      <c r="AH960" s="520">
        <f t="shared" si="1258"/>
        <v>368.17000000000007</v>
      </c>
      <c r="AI960" s="520">
        <f t="shared" ref="AI960:BV960" si="1259">SUM(AI949:AI959)</f>
        <v>589.36399999999992</v>
      </c>
      <c r="AJ960" s="519">
        <f t="shared" si="1259"/>
        <v>589.36399999999992</v>
      </c>
      <c r="AK960" s="520">
        <f t="shared" si="1259"/>
        <v>177.83099999999999</v>
      </c>
      <c r="AL960" s="520">
        <f t="shared" si="1259"/>
        <v>351.42599999999999</v>
      </c>
      <c r="AM960" s="520">
        <f t="shared" si="1259"/>
        <v>537.58799999999997</v>
      </c>
      <c r="AN960" s="520">
        <f t="shared" si="1259"/>
        <v>815.25200000000007</v>
      </c>
      <c r="AO960" s="519">
        <f t="shared" si="1259"/>
        <v>815.25200000000007</v>
      </c>
      <c r="AP960" s="520">
        <f t="shared" si="1259"/>
        <v>179.97499999999997</v>
      </c>
      <c r="AQ960" s="520">
        <f t="shared" si="1259"/>
        <v>438.10299999999995</v>
      </c>
      <c r="AR960" s="520">
        <f t="shared" si="1259"/>
        <v>757.38400000000001</v>
      </c>
      <c r="AS960" s="520">
        <f t="shared" si="1259"/>
        <v>1172.1790000000001</v>
      </c>
      <c r="AT960" s="519">
        <f t="shared" si="1259"/>
        <v>1172.1790000000001</v>
      </c>
      <c r="AU960" s="520">
        <f t="shared" si="1259"/>
        <v>360.03799999999995</v>
      </c>
      <c r="AV960" s="520">
        <f t="shared" si="1259"/>
        <v>723.75</v>
      </c>
      <c r="AW960" s="520">
        <f t="shared" si="1259"/>
        <v>1096.5599999999997</v>
      </c>
      <c r="AX960" s="520">
        <f t="shared" si="1259"/>
        <v>1634.1080000000002</v>
      </c>
      <c r="AY960" s="519">
        <f t="shared" si="1259"/>
        <v>1634.1080000000002</v>
      </c>
      <c r="AZ960" s="520">
        <f t="shared" si="1259"/>
        <v>394.39899999999994</v>
      </c>
      <c r="BA960" s="520">
        <f t="shared" si="1259"/>
        <v>793.02100000000007</v>
      </c>
      <c r="BB960" s="520">
        <f t="shared" si="1259"/>
        <v>1171.9660000000001</v>
      </c>
      <c r="BC960" s="520">
        <f t="shared" si="1259"/>
        <v>1662.6289999999999</v>
      </c>
      <c r="BD960" s="519">
        <f t="shared" si="1259"/>
        <v>1662.6289999999999</v>
      </c>
      <c r="BE960" s="520">
        <f t="shared" si="1259"/>
        <v>319.45000000000005</v>
      </c>
      <c r="BF960" s="520">
        <f t="shared" si="1259"/>
        <v>661.05199999999991</v>
      </c>
      <c r="BG960" s="520">
        <f t="shared" si="1259"/>
        <v>1035.7429999999999</v>
      </c>
      <c r="BH960" s="520">
        <f t="shared" si="1259"/>
        <v>1512.3799999999997</v>
      </c>
      <c r="BI960" s="519">
        <f t="shared" si="1259"/>
        <v>1512.3799999999997</v>
      </c>
      <c r="BJ960" s="1270">
        <f>SUM(BJ949:BJ959)</f>
        <v>421.27899999999994</v>
      </c>
      <c r="BK960" s="327">
        <f t="shared" si="1259"/>
        <v>0</v>
      </c>
      <c r="BL960" s="327">
        <f t="shared" si="1259"/>
        <v>0</v>
      </c>
      <c r="BM960" s="327">
        <f t="shared" si="1259"/>
        <v>0</v>
      </c>
      <c r="BN960" s="518">
        <f t="shared" si="1259"/>
        <v>0</v>
      </c>
      <c r="BO960" s="327">
        <f t="shared" si="1259"/>
        <v>0</v>
      </c>
      <c r="BP960" s="327">
        <f t="shared" si="1259"/>
        <v>0</v>
      </c>
      <c r="BQ960" s="327">
        <f t="shared" si="1259"/>
        <v>0</v>
      </c>
      <c r="BR960" s="327">
        <f t="shared" si="1259"/>
        <v>0</v>
      </c>
      <c r="BS960" s="518">
        <f t="shared" si="1259"/>
        <v>0</v>
      </c>
      <c r="BT960" s="518">
        <f t="shared" si="1259"/>
        <v>0</v>
      </c>
      <c r="BU960" s="518">
        <f t="shared" si="1259"/>
        <v>0</v>
      </c>
      <c r="BV960" s="518">
        <f t="shared" si="1259"/>
        <v>0</v>
      </c>
      <c r="BW960" s="197"/>
    </row>
    <row r="961" spans="1:75" s="123" customFormat="1" hidden="1" outlineLevel="1" x14ac:dyDescent="0.5">
      <c r="A961" s="464" t="s">
        <v>1365</v>
      </c>
      <c r="B961" s="513"/>
      <c r="C961" s="403">
        <v>-6.62</v>
      </c>
      <c r="D961" s="403">
        <v>3.4769999999999999</v>
      </c>
      <c r="E961" s="403">
        <v>-4.7629999999999999</v>
      </c>
      <c r="F961" s="403">
        <v>-16.408000000000001</v>
      </c>
      <c r="G961" s="302">
        <v>1.512</v>
      </c>
      <c r="H961" s="302">
        <v>-1.284</v>
      </c>
      <c r="I961" s="302">
        <v>-13.497999999999999</v>
      </c>
      <c r="J961" s="122">
        <f t="shared" ref="J961:J968" si="1260">K961</f>
        <v>0.78600000000000003</v>
      </c>
      <c r="K961" s="403">
        <v>0.78600000000000003</v>
      </c>
      <c r="L961" s="302">
        <v>5.6920000000000002</v>
      </c>
      <c r="M961" s="302">
        <v>-4.2270000000000003</v>
      </c>
      <c r="N961" s="302">
        <v>-4.4550000000000001</v>
      </c>
      <c r="O961" s="122">
        <f t="shared" ref="O961:O968" si="1261">P961</f>
        <v>-9.3659999999999997</v>
      </c>
      <c r="P961" s="403">
        <v>-9.3659999999999997</v>
      </c>
      <c r="Q961" s="302">
        <v>2.8639999999999999</v>
      </c>
      <c r="R961" s="302">
        <v>-14.853999999999999</v>
      </c>
      <c r="S961" s="302">
        <v>-21.875</v>
      </c>
      <c r="T961" s="122">
        <f t="shared" ref="T961:T968" si="1262">U961</f>
        <v>-12.849</v>
      </c>
      <c r="U961" s="403">
        <v>-12.849</v>
      </c>
      <c r="V961" s="302">
        <v>3.7810000000000001</v>
      </c>
      <c r="W961" s="302">
        <v>-19.021000000000001</v>
      </c>
      <c r="X961" s="302">
        <v>-17.399999999999999</v>
      </c>
      <c r="Y961" s="122">
        <f t="shared" ref="Y961:Y968" si="1263">Z961</f>
        <v>-9.7940000000000005</v>
      </c>
      <c r="Z961" s="403">
        <v>-9.7940000000000005</v>
      </c>
      <c r="AA961" s="302">
        <v>24.61</v>
      </c>
      <c r="AB961" s="302">
        <v>10.657999999999999</v>
      </c>
      <c r="AC961" s="302">
        <v>-2.3410000000000002</v>
      </c>
      <c r="AD961" s="122">
        <f t="shared" ref="AD961:AD968" si="1264">AE961</f>
        <v>0.14899999999999999</v>
      </c>
      <c r="AE961" s="403">
        <v>0.14899999999999999</v>
      </c>
      <c r="AF961" s="302">
        <v>-9.5559999999999992</v>
      </c>
      <c r="AG961" s="302">
        <v>-13.567</v>
      </c>
      <c r="AH961" s="302">
        <v>-21.850999999999999</v>
      </c>
      <c r="AI961" s="122">
        <f t="shared" ref="AI961:AI968" si="1265">AJ961</f>
        <v>-15.329000000000001</v>
      </c>
      <c r="AJ961" s="403">
        <v>-15.329000000000001</v>
      </c>
      <c r="AK961" s="302">
        <v>4.6840000000000002</v>
      </c>
      <c r="AL961" s="302">
        <v>-4.43</v>
      </c>
      <c r="AM961" s="302">
        <v>-2.8420000000000001</v>
      </c>
      <c r="AN961" s="122">
        <f t="shared" ref="AN961:AN970" si="1266">AO961</f>
        <v>-5.0339999999999998</v>
      </c>
      <c r="AO961" s="403">
        <v>-5.0339999999999998</v>
      </c>
      <c r="AP961" s="302">
        <v>8.9499999999999993</v>
      </c>
      <c r="AQ961" s="302">
        <v>-16.739999999999998</v>
      </c>
      <c r="AR961" s="302">
        <v>-18.016999999999999</v>
      </c>
      <c r="AS961" s="122">
        <f t="shared" ref="AS961:AS970" si="1267">AT961</f>
        <v>-31.503</v>
      </c>
      <c r="AT961" s="403">
        <v>-31.503</v>
      </c>
      <c r="AU961" s="302">
        <v>1.522</v>
      </c>
      <c r="AV961" s="302">
        <v>2.0019999999999998</v>
      </c>
      <c r="AW961" s="302">
        <v>4.9409999999999998</v>
      </c>
      <c r="AX961" s="122">
        <f t="shared" ref="AX961:AX970" si="1268">AY961</f>
        <v>11.896000000000001</v>
      </c>
      <c r="AY961" s="403">
        <v>11.896000000000001</v>
      </c>
      <c r="AZ961" s="302">
        <v>8.7409999999999997</v>
      </c>
      <c r="BA961" s="302">
        <v>-1.9850000000000001</v>
      </c>
      <c r="BB961" s="302">
        <v>5.2880000000000003</v>
      </c>
      <c r="BC961" s="122">
        <f t="shared" ref="BC961:BC970" si="1269">BD961</f>
        <v>15.686999999999999</v>
      </c>
      <c r="BD961" s="403">
        <v>15.686999999999999</v>
      </c>
      <c r="BE961" s="302">
        <v>6.2560000000000002</v>
      </c>
      <c r="BF961" s="302">
        <v>-1.502</v>
      </c>
      <c r="BG961" s="302">
        <v>-8.9280000000000008</v>
      </c>
      <c r="BH961" s="122">
        <f t="shared" ref="BH961:BH970" si="1270">BI961</f>
        <v>-7.4610000000000003</v>
      </c>
      <c r="BI961" s="403">
        <v>-7.4610000000000003</v>
      </c>
      <c r="BJ961" s="1207">
        <v>7.6660000000000004</v>
      </c>
      <c r="BK961" s="118"/>
      <c r="BL961" s="118"/>
      <c r="BM961" s="118">
        <f t="shared" ref="BM961:BM970" si="1271">BN961</f>
        <v>0</v>
      </c>
      <c r="BN961" s="401"/>
      <c r="BO961" s="118"/>
      <c r="BP961" s="118"/>
      <c r="BQ961" s="118"/>
      <c r="BR961" s="118">
        <f t="shared" ref="BR961:BR970" si="1272">BS961</f>
        <v>0</v>
      </c>
      <c r="BS961" s="401"/>
      <c r="BT961" s="401"/>
      <c r="BU961" s="401"/>
      <c r="BV961" s="401"/>
      <c r="BW961" s="122"/>
    </row>
    <row r="962" spans="1:75" s="123" customFormat="1" hidden="1" outlineLevel="1" x14ac:dyDescent="0.5">
      <c r="A962" s="464" t="s">
        <v>1366</v>
      </c>
      <c r="B962" s="513"/>
      <c r="C962" s="403">
        <v>108.33199999999999</v>
      </c>
      <c r="D962" s="403">
        <v>-46.463999999999999</v>
      </c>
      <c r="E962" s="403">
        <v>-34.853000000000002</v>
      </c>
      <c r="F962" s="403">
        <v>-85.980999999999995</v>
      </c>
      <c r="G962" s="302">
        <v>-21.536999999999999</v>
      </c>
      <c r="H962" s="302">
        <v>-97.653000000000006</v>
      </c>
      <c r="I962" s="302">
        <v>-258.87599999999998</v>
      </c>
      <c r="J962" s="122">
        <f t="shared" si="1260"/>
        <v>-174.66399999999999</v>
      </c>
      <c r="K962" s="403">
        <v>-174.66399999999999</v>
      </c>
      <c r="L962" s="302">
        <v>-36.107999999999997</v>
      </c>
      <c r="M962" s="302">
        <v>-80.158000000000001</v>
      </c>
      <c r="N962" s="302">
        <v>-165.839</v>
      </c>
      <c r="O962" s="122">
        <f t="shared" si="1261"/>
        <v>-76.963999999999999</v>
      </c>
      <c r="P962" s="403">
        <v>-76.963999999999999</v>
      </c>
      <c r="Q962" s="302">
        <v>-53.746000000000002</v>
      </c>
      <c r="R962" s="302">
        <v>-144.934</v>
      </c>
      <c r="S962" s="302">
        <v>-216.29400000000001</v>
      </c>
      <c r="T962" s="122">
        <f t="shared" si="1262"/>
        <v>-92.647000000000006</v>
      </c>
      <c r="U962" s="403">
        <v>-92.647000000000006</v>
      </c>
      <c r="V962" s="302">
        <v>37.423999999999999</v>
      </c>
      <c r="W962" s="302">
        <v>18.221</v>
      </c>
      <c r="X962" s="302">
        <v>-82.41</v>
      </c>
      <c r="Y962" s="122">
        <f t="shared" si="1263"/>
        <v>4.4930000000000003</v>
      </c>
      <c r="Z962" s="403">
        <v>4.4930000000000003</v>
      </c>
      <c r="AA962" s="302">
        <v>-60.246000000000002</v>
      </c>
      <c r="AB962" s="302">
        <v>-92.710999999999999</v>
      </c>
      <c r="AC962" s="302">
        <v>-197.75700000000001</v>
      </c>
      <c r="AD962" s="122">
        <f t="shared" si="1264"/>
        <v>-80.234999999999999</v>
      </c>
      <c r="AE962" s="403">
        <v>-80.234999999999999</v>
      </c>
      <c r="AF962" s="302">
        <v>2.3879999999999999</v>
      </c>
      <c r="AG962" s="302">
        <v>-45.158999999999999</v>
      </c>
      <c r="AH962" s="302">
        <v>-143.72300000000001</v>
      </c>
      <c r="AI962" s="122">
        <f t="shared" si="1265"/>
        <v>-70.331000000000003</v>
      </c>
      <c r="AJ962" s="403">
        <v>-70.331000000000003</v>
      </c>
      <c r="AK962" s="302">
        <v>-31.46</v>
      </c>
      <c r="AL962" s="302">
        <v>-63.576000000000001</v>
      </c>
      <c r="AM962" s="302">
        <v>-133.637</v>
      </c>
      <c r="AN962" s="122">
        <f t="shared" si="1266"/>
        <v>24.219000000000001</v>
      </c>
      <c r="AO962" s="403">
        <v>24.219000000000001</v>
      </c>
      <c r="AP962" s="302">
        <v>28.513000000000002</v>
      </c>
      <c r="AQ962" s="302">
        <v>60.055</v>
      </c>
      <c r="AR962" s="302">
        <v>-22.99</v>
      </c>
      <c r="AS962" s="122">
        <f t="shared" si="1267"/>
        <v>99.144000000000005</v>
      </c>
      <c r="AT962" s="403">
        <v>99.144000000000005</v>
      </c>
      <c r="AU962" s="302">
        <v>-79.725999999999999</v>
      </c>
      <c r="AV962" s="302">
        <v>-163.62100000000001</v>
      </c>
      <c r="AW962" s="302">
        <v>-264.09399999999999</v>
      </c>
      <c r="AX962" s="122">
        <f t="shared" si="1268"/>
        <v>-239.98099999999999</v>
      </c>
      <c r="AY962" s="403">
        <v>-239.98099999999999</v>
      </c>
      <c r="AZ962" s="302">
        <v>-149.47</v>
      </c>
      <c r="BA962" s="302">
        <v>-295.45800000000003</v>
      </c>
      <c r="BB962" s="302">
        <v>-443.81200000000001</v>
      </c>
      <c r="BC962" s="122">
        <f t="shared" si="1269"/>
        <v>-208.90799999999999</v>
      </c>
      <c r="BD962" s="403">
        <v>-208.90799999999999</v>
      </c>
      <c r="BE962" s="302">
        <v>52.819000000000003</v>
      </c>
      <c r="BF962" s="302">
        <v>154.71199999999999</v>
      </c>
      <c r="BG962" s="302">
        <v>56.77</v>
      </c>
      <c r="BH962" s="122">
        <f t="shared" si="1270"/>
        <v>209.16800000000001</v>
      </c>
      <c r="BI962" s="403">
        <v>209.16800000000001</v>
      </c>
      <c r="BJ962" s="1207">
        <v>27.620999999999999</v>
      </c>
      <c r="BK962" s="118"/>
      <c r="BL962" s="118"/>
      <c r="BM962" s="118">
        <f t="shared" si="1271"/>
        <v>0</v>
      </c>
      <c r="BN962" s="401"/>
      <c r="BO962" s="118"/>
      <c r="BP962" s="118"/>
      <c r="BQ962" s="118"/>
      <c r="BR962" s="118">
        <f t="shared" si="1272"/>
        <v>0</v>
      </c>
      <c r="BS962" s="401"/>
      <c r="BT962" s="401"/>
      <c r="BU962" s="401"/>
      <c r="BV962" s="401"/>
      <c r="BW962" s="122"/>
    </row>
    <row r="963" spans="1:75" s="123" customFormat="1" hidden="1" outlineLevel="1" x14ac:dyDescent="0.5">
      <c r="A963" s="464" t="s">
        <v>2117</v>
      </c>
      <c r="B963" s="513"/>
      <c r="C963" s="403">
        <v>3.6469999999999998</v>
      </c>
      <c r="D963" s="403">
        <v>-4.048</v>
      </c>
      <c r="E963" s="403">
        <v>2.5590000000000002</v>
      </c>
      <c r="F963" s="403">
        <v>-2.9369999999999998</v>
      </c>
      <c r="G963" s="302">
        <v>0.82399999999999995</v>
      </c>
      <c r="H963" s="302">
        <v>-3.5000000000000003E-2</v>
      </c>
      <c r="I963" s="302">
        <v>-3.3820000000000001</v>
      </c>
      <c r="J963" s="122">
        <f t="shared" si="1260"/>
        <v>3.6749999999999998</v>
      </c>
      <c r="K963" s="403">
        <v>3.6749999999999998</v>
      </c>
      <c r="L963" s="302">
        <v>-1.43</v>
      </c>
      <c r="M963" s="302">
        <v>-5.516</v>
      </c>
      <c r="N963" s="302">
        <v>-5.56</v>
      </c>
      <c r="O963" s="122">
        <f t="shared" si="1261"/>
        <v>-0.38600000000000001</v>
      </c>
      <c r="P963" s="403">
        <v>-0.38600000000000001</v>
      </c>
      <c r="Q963" s="302">
        <v>-1.706</v>
      </c>
      <c r="R963" s="302">
        <v>-4.1459999999999999</v>
      </c>
      <c r="S963" s="302">
        <v>-1.8199999999999998</v>
      </c>
      <c r="T963" s="122">
        <f t="shared" si="1262"/>
        <v>5.0220000000000002</v>
      </c>
      <c r="U963" s="403">
        <v>5.0220000000000002</v>
      </c>
      <c r="V963" s="302">
        <v>-0.997</v>
      </c>
      <c r="W963" s="302">
        <v>1.8220000000000001</v>
      </c>
      <c r="X963" s="302">
        <v>3.5910000000000002</v>
      </c>
      <c r="Y963" s="122">
        <f t="shared" si="1263"/>
        <v>5.2939999999999996</v>
      </c>
      <c r="Z963" s="403">
        <v>5.2939999999999996</v>
      </c>
      <c r="AA963" s="302">
        <v>0.55900000000000005</v>
      </c>
      <c r="AB963" s="302">
        <v>-0.20499999999999999</v>
      </c>
      <c r="AC963" s="302">
        <v>0.63300000000000001</v>
      </c>
      <c r="AD963" s="122">
        <f t="shared" si="1264"/>
        <v>-0.40300000000000002</v>
      </c>
      <c r="AE963" s="403">
        <v>-0.40300000000000002</v>
      </c>
      <c r="AF963" s="118"/>
      <c r="AG963" s="118"/>
      <c r="AH963" s="302">
        <v>0</v>
      </c>
      <c r="AI963" s="122">
        <f t="shared" si="1265"/>
        <v>0</v>
      </c>
      <c r="AJ963" s="401"/>
      <c r="AK963" s="118"/>
      <c r="AL963" s="118"/>
      <c r="AM963" s="118"/>
      <c r="AN963" s="122">
        <f t="shared" si="1266"/>
        <v>0</v>
      </c>
      <c r="AO963" s="401"/>
      <c r="AP963" s="118"/>
      <c r="AQ963" s="118"/>
      <c r="AR963" s="118"/>
      <c r="AS963" s="122">
        <f t="shared" si="1267"/>
        <v>0</v>
      </c>
      <c r="AT963" s="401"/>
      <c r="AU963" s="118"/>
      <c r="AV963" s="118"/>
      <c r="AW963" s="118"/>
      <c r="AX963" s="122">
        <f t="shared" si="1268"/>
        <v>0</v>
      </c>
      <c r="AY963" s="401"/>
      <c r="AZ963" s="118"/>
      <c r="BA963" s="118"/>
      <c r="BB963" s="118"/>
      <c r="BC963" s="122">
        <f t="shared" si="1269"/>
        <v>0</v>
      </c>
      <c r="BD963" s="401"/>
      <c r="BE963" s="118"/>
      <c r="BF963" s="118"/>
      <c r="BG963" s="118"/>
      <c r="BH963" s="122">
        <f t="shared" si="1270"/>
        <v>0</v>
      </c>
      <c r="BI963" s="401"/>
      <c r="BJ963" s="971"/>
      <c r="BK963" s="118"/>
      <c r="BL963" s="118"/>
      <c r="BM963" s="118">
        <f t="shared" si="1271"/>
        <v>0</v>
      </c>
      <c r="BN963" s="401"/>
      <c r="BO963" s="118"/>
      <c r="BP963" s="118"/>
      <c r="BQ963" s="118"/>
      <c r="BR963" s="118">
        <f t="shared" si="1272"/>
        <v>0</v>
      </c>
      <c r="BS963" s="401"/>
      <c r="BT963" s="401"/>
      <c r="BU963" s="401"/>
      <c r="BV963" s="401"/>
      <c r="BW963" s="122"/>
    </row>
    <row r="964" spans="1:75" s="123" customFormat="1" hidden="1" outlineLevel="1" x14ac:dyDescent="0.5">
      <c r="A964" s="464" t="s">
        <v>2118</v>
      </c>
      <c r="B964" s="513"/>
      <c r="C964" s="403">
        <v>23.349</v>
      </c>
      <c r="D964" s="403">
        <v>-1.7290000000000001</v>
      </c>
      <c r="E964" s="403">
        <v>-2.0649999999999999</v>
      </c>
      <c r="F964" s="403">
        <v>-12.204000000000001</v>
      </c>
      <c r="G964" s="302">
        <v>-25.863</v>
      </c>
      <c r="H964" s="302">
        <v>-40.191000000000003</v>
      </c>
      <c r="I964" s="302">
        <v>-28.251000000000001</v>
      </c>
      <c r="J964" s="122">
        <f t="shared" si="1260"/>
        <v>-13.648999999999999</v>
      </c>
      <c r="K964" s="403">
        <v>-13.648999999999999</v>
      </c>
      <c r="L964" s="302">
        <v>-41.951000000000001</v>
      </c>
      <c r="M964" s="302">
        <v>-18.042999999999999</v>
      </c>
      <c r="N964" s="302">
        <v>-22</v>
      </c>
      <c r="O964" s="122">
        <f t="shared" si="1261"/>
        <v>-6.0999999999999999E-2</v>
      </c>
      <c r="P964" s="403">
        <v>-6.0999999999999999E-2</v>
      </c>
      <c r="Q964" s="302">
        <v>-21.439</v>
      </c>
      <c r="R964" s="302">
        <v>-19.707999999999998</v>
      </c>
      <c r="S964" s="302">
        <v>-20.908999999999999</v>
      </c>
      <c r="T964" s="122">
        <f t="shared" si="1262"/>
        <v>-9.2449999999999992</v>
      </c>
      <c r="U964" s="403">
        <v>-9.2449999999999992</v>
      </c>
      <c r="V964" s="302">
        <v>-7.6829999999999998</v>
      </c>
      <c r="W964" s="302">
        <v>-22.724</v>
      </c>
      <c r="X964" s="302">
        <v>-29.204999999999998</v>
      </c>
      <c r="Y964" s="122">
        <f t="shared" si="1263"/>
        <v>-6.367</v>
      </c>
      <c r="Z964" s="403">
        <v>-6.367</v>
      </c>
      <c r="AA964" s="302">
        <v>-12.472</v>
      </c>
      <c r="AB964" s="302">
        <v>-26.917999999999999</v>
      </c>
      <c r="AC964" s="302">
        <v>-20.001000000000001</v>
      </c>
      <c r="AD964" s="122">
        <f t="shared" si="1264"/>
        <v>-16.091999999999999</v>
      </c>
      <c r="AE964" s="403">
        <v>-16.091999999999999</v>
      </c>
      <c r="AF964" s="302">
        <v>-4.399</v>
      </c>
      <c r="AG964" s="302">
        <v>-29.216999999999999</v>
      </c>
      <c r="AH964" s="302">
        <v>-50.170999999999999</v>
      </c>
      <c r="AI964" s="122">
        <f t="shared" si="1265"/>
        <v>-54.691000000000003</v>
      </c>
      <c r="AJ964" s="403">
        <v>-54.691000000000003</v>
      </c>
      <c r="AK964" s="302">
        <v>-4.9139999999999997</v>
      </c>
      <c r="AL964" s="302">
        <v>-24.506</v>
      </c>
      <c r="AM964" s="302">
        <v>-24.157</v>
      </c>
      <c r="AN964" s="122">
        <f t="shared" si="1266"/>
        <v>-3.1890000000000001</v>
      </c>
      <c r="AO964" s="403">
        <v>-3.1890000000000001</v>
      </c>
      <c r="AP964" s="302">
        <v>-0.215</v>
      </c>
      <c r="AQ964" s="302">
        <v>-30.968</v>
      </c>
      <c r="AR964" s="302">
        <v>-4.8070000000000004</v>
      </c>
      <c r="AS964" s="122">
        <f t="shared" si="1267"/>
        <v>-16.388000000000002</v>
      </c>
      <c r="AT964" s="403">
        <v>-16.388000000000002</v>
      </c>
      <c r="AU964" s="302">
        <v>34.561999999999998</v>
      </c>
      <c r="AV964" s="302">
        <v>-4.6219999999999999</v>
      </c>
      <c r="AW964" s="302">
        <v>-10.077999999999999</v>
      </c>
      <c r="AX964" s="122">
        <f t="shared" si="1268"/>
        <v>-2.06</v>
      </c>
      <c r="AY964" s="403">
        <v>-2.06</v>
      </c>
      <c r="AZ964" s="302">
        <v>13.516999999999999</v>
      </c>
      <c r="BA964" s="302">
        <v>-30.585000000000001</v>
      </c>
      <c r="BB964" s="302">
        <v>-39.737000000000002</v>
      </c>
      <c r="BC964" s="122">
        <f t="shared" si="1269"/>
        <v>-11.823</v>
      </c>
      <c r="BD964" s="403">
        <v>-11.823</v>
      </c>
      <c r="BE964" s="302">
        <v>6.6680000000000001</v>
      </c>
      <c r="BF964" s="302">
        <v>-6.6150000000000002</v>
      </c>
      <c r="BG964" s="302">
        <v>-35.856999999999999</v>
      </c>
      <c r="BH964" s="122">
        <f t="shared" si="1270"/>
        <v>1.016</v>
      </c>
      <c r="BI964" s="403">
        <v>1.016</v>
      </c>
      <c r="BJ964" s="1207">
        <v>-2.8159999999999998</v>
      </c>
      <c r="BK964" s="118"/>
      <c r="BL964" s="118"/>
      <c r="BM964" s="118">
        <f t="shared" si="1271"/>
        <v>0</v>
      </c>
      <c r="BN964" s="401"/>
      <c r="BO964" s="118"/>
      <c r="BP964" s="118"/>
      <c r="BQ964" s="118"/>
      <c r="BR964" s="118">
        <f t="shared" si="1272"/>
        <v>0</v>
      </c>
      <c r="BS964" s="401"/>
      <c r="BT964" s="401"/>
      <c r="BU964" s="401"/>
      <c r="BV964" s="401"/>
      <c r="BW964" s="122"/>
    </row>
    <row r="965" spans="1:75" s="123" customFormat="1" hidden="1" outlineLevel="1" x14ac:dyDescent="0.5">
      <c r="A965" s="464" t="s">
        <v>1489</v>
      </c>
      <c r="B965" s="513"/>
      <c r="C965" s="403">
        <v>29.202000000000002</v>
      </c>
      <c r="D965" s="403">
        <v>35.945999999999998</v>
      </c>
      <c r="E965" s="403">
        <v>-21.154</v>
      </c>
      <c r="F965" s="403">
        <v>22.460999999999999</v>
      </c>
      <c r="G965" s="302">
        <v>-52.344999999999999</v>
      </c>
      <c r="H965" s="302">
        <v>52.335999999999999</v>
      </c>
      <c r="I965" s="302">
        <v>163.59200000000001</v>
      </c>
      <c r="J965" s="122">
        <f t="shared" si="1260"/>
        <v>135.095</v>
      </c>
      <c r="K965" s="403">
        <v>135.095</v>
      </c>
      <c r="L965" s="302">
        <v>-19.276</v>
      </c>
      <c r="M965" s="302">
        <v>-60.527000000000001</v>
      </c>
      <c r="N965" s="302">
        <v>8.1929999999999996</v>
      </c>
      <c r="O965" s="122">
        <f t="shared" si="1261"/>
        <v>4.4550000000000001</v>
      </c>
      <c r="P965" s="403">
        <v>4.4550000000000001</v>
      </c>
      <c r="Q965" s="302">
        <v>-25.03</v>
      </c>
      <c r="R965" s="302">
        <v>15.625</v>
      </c>
      <c r="S965" s="302">
        <v>-10.179</v>
      </c>
      <c r="T965" s="122">
        <f t="shared" si="1262"/>
        <v>60.506999999999998</v>
      </c>
      <c r="U965" s="403">
        <v>60.506999999999998</v>
      </c>
      <c r="V965" s="302">
        <v>-113.51</v>
      </c>
      <c r="W965" s="302">
        <v>-71.614000000000004</v>
      </c>
      <c r="X965" s="302">
        <v>-17.402999999999999</v>
      </c>
      <c r="Y965" s="122">
        <f t="shared" si="1263"/>
        <v>3.169</v>
      </c>
      <c r="Z965" s="403">
        <v>3.169</v>
      </c>
      <c r="AA965" s="302">
        <v>-65.989999999999995</v>
      </c>
      <c r="AB965" s="302">
        <v>-37.091999999999999</v>
      </c>
      <c r="AC965" s="302">
        <v>7.5439999999999996</v>
      </c>
      <c r="AD965" s="122">
        <f t="shared" si="1264"/>
        <v>2.3820000000000001</v>
      </c>
      <c r="AE965" s="403">
        <v>2.3820000000000001</v>
      </c>
      <c r="AF965" s="302">
        <v>-76.822999999999993</v>
      </c>
      <c r="AG965" s="302">
        <v>-1.7350000000000001</v>
      </c>
      <c r="AH965" s="302">
        <v>8.6890000000000001</v>
      </c>
      <c r="AI965" s="122">
        <f t="shared" si="1265"/>
        <v>62.377000000000002</v>
      </c>
      <c r="AJ965" s="403">
        <v>62.377000000000002</v>
      </c>
      <c r="AK965" s="302">
        <v>-144.399</v>
      </c>
      <c r="AL965" s="302">
        <v>-127.511</v>
      </c>
      <c r="AM965" s="302">
        <v>-92.100999999999999</v>
      </c>
      <c r="AN965" s="122">
        <f t="shared" si="1266"/>
        <v>-11.051</v>
      </c>
      <c r="AO965" s="403">
        <v>-11.051</v>
      </c>
      <c r="AP965" s="302">
        <v>-92.870999999999995</v>
      </c>
      <c r="AQ965" s="302">
        <v>-141.602</v>
      </c>
      <c r="AR965" s="302">
        <v>54.279000000000003</v>
      </c>
      <c r="AS965" s="122">
        <f t="shared" si="1267"/>
        <v>25.489000000000001</v>
      </c>
      <c r="AT965" s="403">
        <v>25.489000000000001</v>
      </c>
      <c r="AU965" s="302">
        <v>27.91</v>
      </c>
      <c r="AV965" s="302">
        <v>48.457000000000001</v>
      </c>
      <c r="AW965" s="302">
        <v>74.180999999999997</v>
      </c>
      <c r="AX965" s="122">
        <f t="shared" si="1268"/>
        <v>56.673999999999999</v>
      </c>
      <c r="AY965" s="403">
        <v>56.673999999999999</v>
      </c>
      <c r="AZ965" s="302">
        <v>25.559000000000001</v>
      </c>
      <c r="BA965" s="302">
        <v>59.404000000000003</v>
      </c>
      <c r="BB965" s="302">
        <v>98.102999999999994</v>
      </c>
      <c r="BC965" s="122">
        <f t="shared" si="1269"/>
        <v>-113.521</v>
      </c>
      <c r="BD965" s="403">
        <v>-113.521</v>
      </c>
      <c r="BE965" s="302">
        <v>118.52500000000001</v>
      </c>
      <c r="BF965" s="302">
        <v>87.84</v>
      </c>
      <c r="BG965" s="302">
        <v>164.958</v>
      </c>
      <c r="BH965" s="122">
        <f t="shared" si="1270"/>
        <v>99.043000000000006</v>
      </c>
      <c r="BI965" s="403">
        <v>99.043000000000006</v>
      </c>
      <c r="BJ965" s="1207">
        <v>-116.73099999999999</v>
      </c>
      <c r="BK965" s="118"/>
      <c r="BL965" s="118"/>
      <c r="BM965" s="118">
        <f t="shared" si="1271"/>
        <v>0</v>
      </c>
      <c r="BN965" s="401"/>
      <c r="BO965" s="118"/>
      <c r="BP965" s="118"/>
      <c r="BQ965" s="118"/>
      <c r="BR965" s="118">
        <f t="shared" si="1272"/>
        <v>0</v>
      </c>
      <c r="BS965" s="401"/>
      <c r="BT965" s="401"/>
      <c r="BU965" s="401"/>
      <c r="BV965" s="401"/>
      <c r="BW965" s="122"/>
    </row>
    <row r="966" spans="1:75" s="123" customFormat="1" hidden="1" outlineLevel="1" x14ac:dyDescent="0.5">
      <c r="A966" s="464" t="s">
        <v>2119</v>
      </c>
      <c r="B966" s="513"/>
      <c r="C966" s="403">
        <v>42.084000000000003</v>
      </c>
      <c r="D966" s="403">
        <v>19.314</v>
      </c>
      <c r="E966" s="403">
        <v>-16.03</v>
      </c>
      <c r="F966" s="403">
        <v>9.1470000000000002</v>
      </c>
      <c r="G966" s="302">
        <v>-37.027999999999999</v>
      </c>
      <c r="H966" s="302">
        <v>-10.677</v>
      </c>
      <c r="I966" s="302">
        <v>12.016999999999999</v>
      </c>
      <c r="J966" s="122">
        <f t="shared" si="1260"/>
        <v>43.634999999999998</v>
      </c>
      <c r="K966" s="403">
        <v>43.634999999999998</v>
      </c>
      <c r="L966" s="302">
        <v>-48.164000000000001</v>
      </c>
      <c r="M966" s="302">
        <v>-28.981000000000002</v>
      </c>
      <c r="N966" s="302">
        <v>-12.242000000000001</v>
      </c>
      <c r="O966" s="122">
        <f t="shared" si="1261"/>
        <v>8.8670000000000009</v>
      </c>
      <c r="P966" s="403">
        <v>8.8670000000000009</v>
      </c>
      <c r="Q966" s="302">
        <v>-51.387</v>
      </c>
      <c r="R966" s="302">
        <v>-30.835000000000001</v>
      </c>
      <c r="S966" s="302">
        <v>-13.494</v>
      </c>
      <c r="T966" s="122">
        <f t="shared" si="1262"/>
        <v>-0.13500000000000001</v>
      </c>
      <c r="U966" s="403">
        <v>-0.13500000000000001</v>
      </c>
      <c r="V966" s="302">
        <v>-20.875</v>
      </c>
      <c r="W966" s="302">
        <v>-12.867000000000001</v>
      </c>
      <c r="X966" s="302">
        <v>-0.50700000000000001</v>
      </c>
      <c r="Y966" s="122">
        <f t="shared" si="1263"/>
        <v>25.876000000000001</v>
      </c>
      <c r="Z966" s="403">
        <v>25.876000000000001</v>
      </c>
      <c r="AA966" s="302">
        <v>-47.234999999999999</v>
      </c>
      <c r="AB966" s="302">
        <v>-36.036000000000001</v>
      </c>
      <c r="AC966" s="302">
        <v>-26.882999999999999</v>
      </c>
      <c r="AD966" s="122">
        <f t="shared" si="1264"/>
        <v>9.157</v>
      </c>
      <c r="AE966" s="403">
        <v>9.157</v>
      </c>
      <c r="AF966" s="302">
        <v>-32.046999999999997</v>
      </c>
      <c r="AG966" s="302">
        <v>-12.209</v>
      </c>
      <c r="AH966" s="302">
        <v>19.001999999999999</v>
      </c>
      <c r="AI966" s="122">
        <f t="shared" si="1265"/>
        <v>45.975999999999999</v>
      </c>
      <c r="AJ966" s="403">
        <v>45.975999999999999</v>
      </c>
      <c r="AK966" s="302">
        <v>-49.195999999999998</v>
      </c>
      <c r="AL966" s="302">
        <v>-30.677</v>
      </c>
      <c r="AM966" s="302">
        <v>-24.148</v>
      </c>
      <c r="AN966" s="122">
        <f t="shared" si="1266"/>
        <v>13.259</v>
      </c>
      <c r="AO966" s="403">
        <v>13.259</v>
      </c>
      <c r="AP966" s="302">
        <v>-29.05</v>
      </c>
      <c r="AQ966" s="302">
        <v>12.117000000000001</v>
      </c>
      <c r="AR966" s="302">
        <v>58.539000000000001</v>
      </c>
      <c r="AS966" s="122">
        <f t="shared" si="1267"/>
        <v>129.142</v>
      </c>
      <c r="AT966" s="403">
        <v>129.142</v>
      </c>
      <c r="AU966" s="302">
        <v>-90.882999999999996</v>
      </c>
      <c r="AV966" s="302">
        <v>-43.652999999999999</v>
      </c>
      <c r="AW966" s="302">
        <v>24.4</v>
      </c>
      <c r="AX966" s="122">
        <f t="shared" si="1268"/>
        <v>49.46</v>
      </c>
      <c r="AY966" s="403">
        <v>49.46</v>
      </c>
      <c r="AZ966" s="302">
        <v>-139.88300000000001</v>
      </c>
      <c r="BA966" s="302">
        <v>-78.894999999999996</v>
      </c>
      <c r="BB966" s="302">
        <v>-34.156999999999996</v>
      </c>
      <c r="BC966" s="122">
        <f t="shared" si="1269"/>
        <v>-61.994999999999997</v>
      </c>
      <c r="BD966" s="403">
        <v>-61.994999999999997</v>
      </c>
      <c r="BE966" s="302">
        <v>-92.858000000000004</v>
      </c>
      <c r="BF966" s="302">
        <v>-67.954999999999998</v>
      </c>
      <c r="BG966" s="302">
        <v>-48.978000000000002</v>
      </c>
      <c r="BH966" s="122">
        <f t="shared" si="1270"/>
        <v>4.9349999999999996</v>
      </c>
      <c r="BI966" s="403">
        <v>4.9349999999999996</v>
      </c>
      <c r="BJ966" s="1207">
        <v>-114.258</v>
      </c>
      <c r="BK966" s="118"/>
      <c r="BL966" s="118"/>
      <c r="BM966" s="118">
        <f t="shared" si="1271"/>
        <v>0</v>
      </c>
      <c r="BN966" s="401"/>
      <c r="BO966" s="118"/>
      <c r="BP966" s="118"/>
      <c r="BQ966" s="118"/>
      <c r="BR966" s="118">
        <f t="shared" si="1272"/>
        <v>0</v>
      </c>
      <c r="BS966" s="401"/>
      <c r="BT966" s="401"/>
      <c r="BU966" s="401"/>
      <c r="BV966" s="401"/>
      <c r="BW966" s="122"/>
    </row>
    <row r="967" spans="1:75" s="123" customFormat="1" hidden="1" outlineLevel="1" x14ac:dyDescent="0.5">
      <c r="A967" s="464" t="s">
        <v>2120</v>
      </c>
      <c r="B967" s="513"/>
      <c r="C967" s="403">
        <v>2.3530000000000002</v>
      </c>
      <c r="D967" s="403">
        <v>-3.1120000000000001</v>
      </c>
      <c r="E967" s="403">
        <v>-2.242</v>
      </c>
      <c r="F967" s="403">
        <v>16.962</v>
      </c>
      <c r="G967" s="302">
        <v>14.691000000000001</v>
      </c>
      <c r="H967" s="302">
        <v>18.71</v>
      </c>
      <c r="I967" s="302">
        <v>37.518999999999998</v>
      </c>
      <c r="J967" s="122">
        <f t="shared" si="1260"/>
        <v>21.577999999999999</v>
      </c>
      <c r="K967" s="403">
        <v>21.577999999999999</v>
      </c>
      <c r="L967" s="302">
        <v>5.2160000000000002</v>
      </c>
      <c r="M967" s="302">
        <v>22.766999999999999</v>
      </c>
      <c r="N967" s="302">
        <v>36.896999999999998</v>
      </c>
      <c r="O967" s="122">
        <f t="shared" si="1261"/>
        <v>34.4</v>
      </c>
      <c r="P967" s="403">
        <v>34.4</v>
      </c>
      <c r="Q967" s="302">
        <v>-3.1059999999999999</v>
      </c>
      <c r="R967" s="302">
        <v>27.242999999999999</v>
      </c>
      <c r="S967" s="302">
        <v>32.015999999999998</v>
      </c>
      <c r="T967" s="122">
        <f t="shared" si="1262"/>
        <v>35.877000000000002</v>
      </c>
      <c r="U967" s="403">
        <v>35.877000000000002</v>
      </c>
      <c r="V967" s="302">
        <v>-22.465</v>
      </c>
      <c r="W967" s="302">
        <v>-13.5</v>
      </c>
      <c r="X967" s="302">
        <v>-7.4450000000000003</v>
      </c>
      <c r="Y967" s="122">
        <f t="shared" si="1263"/>
        <v>-3.0369999999999999</v>
      </c>
      <c r="Z967" s="403">
        <v>-3.0369999999999999</v>
      </c>
      <c r="AA967" s="302">
        <v>-4.1539999999999999</v>
      </c>
      <c r="AB967" s="302">
        <v>-6.7949999999999999</v>
      </c>
      <c r="AC967" s="302">
        <v>-5.8150000000000004</v>
      </c>
      <c r="AD967" s="122">
        <f t="shared" si="1264"/>
        <v>-2.3940000000000001</v>
      </c>
      <c r="AE967" s="403">
        <v>-2.3940000000000001</v>
      </c>
      <c r="AF967" s="302">
        <v>4.8150000000000004</v>
      </c>
      <c r="AG967" s="302">
        <v>11.927</v>
      </c>
      <c r="AH967" s="302">
        <v>24.047999999999998</v>
      </c>
      <c r="AI967" s="122">
        <f t="shared" si="1265"/>
        <v>38.899000000000001</v>
      </c>
      <c r="AJ967" s="403">
        <v>38.899000000000001</v>
      </c>
      <c r="AK967" s="302">
        <v>1.5580000000000001</v>
      </c>
      <c r="AL967" s="302">
        <v>-7.173</v>
      </c>
      <c r="AM967" s="302">
        <v>5.8479999999999999</v>
      </c>
      <c r="AN967" s="122">
        <f t="shared" si="1266"/>
        <v>-0.64</v>
      </c>
      <c r="AO967" s="403">
        <v>-0.64</v>
      </c>
      <c r="AP967" s="302">
        <v>9.9600000000000009</v>
      </c>
      <c r="AQ967" s="302">
        <v>2.9359999999999999</v>
      </c>
      <c r="AR967" s="302">
        <v>59.953000000000003</v>
      </c>
      <c r="AS967" s="122">
        <f t="shared" si="1267"/>
        <v>82.840999999999994</v>
      </c>
      <c r="AT967" s="403">
        <v>82.840999999999994</v>
      </c>
      <c r="AU967" s="302">
        <v>16.173999999999999</v>
      </c>
      <c r="AV967" s="302">
        <v>30.308</v>
      </c>
      <c r="AW967" s="302">
        <v>58.189</v>
      </c>
      <c r="AX967" s="122">
        <f t="shared" si="1268"/>
        <v>75.459999999999994</v>
      </c>
      <c r="AY967" s="403">
        <v>75.459999999999994</v>
      </c>
      <c r="AZ967" s="302">
        <v>42.923999999999999</v>
      </c>
      <c r="BA967" s="302">
        <v>50.503</v>
      </c>
      <c r="BB967" s="302">
        <v>42.005000000000003</v>
      </c>
      <c r="BC967" s="122">
        <f t="shared" si="1269"/>
        <v>31.838999999999999</v>
      </c>
      <c r="BD967" s="403">
        <v>31.838999999999999</v>
      </c>
      <c r="BE967" s="302">
        <v>-26.315000000000001</v>
      </c>
      <c r="BF967" s="302">
        <v>-43.698999999999998</v>
      </c>
      <c r="BG967" s="302">
        <v>49.878</v>
      </c>
      <c r="BH967" s="122">
        <f t="shared" si="1270"/>
        <v>95.004999999999995</v>
      </c>
      <c r="BI967" s="403">
        <v>95.004999999999995</v>
      </c>
      <c r="BJ967" s="1207">
        <v>22.591999999999999</v>
      </c>
      <c r="BK967" s="118"/>
      <c r="BL967" s="118"/>
      <c r="BM967" s="118">
        <f t="shared" si="1271"/>
        <v>0</v>
      </c>
      <c r="BN967" s="401"/>
      <c r="BO967" s="118"/>
      <c r="BP967" s="118"/>
      <c r="BQ967" s="118"/>
      <c r="BR967" s="118">
        <f t="shared" si="1272"/>
        <v>0</v>
      </c>
      <c r="BS967" s="401"/>
      <c r="BT967" s="401"/>
      <c r="BU967" s="401"/>
      <c r="BV967" s="401"/>
      <c r="BW967" s="122"/>
    </row>
    <row r="968" spans="1:75" s="123" customFormat="1" hidden="1" outlineLevel="1" x14ac:dyDescent="0.5">
      <c r="A968" s="464" t="s">
        <v>1374</v>
      </c>
      <c r="B968" s="513"/>
      <c r="C968" s="403">
        <v>12.403</v>
      </c>
      <c r="D968" s="403">
        <v>-2.5499999999999998</v>
      </c>
      <c r="E968" s="403">
        <v>7.57</v>
      </c>
      <c r="F968" s="403">
        <v>18.803000000000001</v>
      </c>
      <c r="G968" s="302">
        <v>7.6130000000000004</v>
      </c>
      <c r="H968" s="302">
        <v>12.823</v>
      </c>
      <c r="I968" s="302">
        <v>13.833</v>
      </c>
      <c r="J968" s="122">
        <f t="shared" si="1260"/>
        <v>13.238</v>
      </c>
      <c r="K968" s="403">
        <v>13.238</v>
      </c>
      <c r="L968" s="302">
        <v>3.0920000000000001</v>
      </c>
      <c r="M968" s="302">
        <v>17.515999999999998</v>
      </c>
      <c r="N968" s="302">
        <v>18.391999999999999</v>
      </c>
      <c r="O968" s="122">
        <f t="shared" si="1261"/>
        <v>23.297000000000001</v>
      </c>
      <c r="P968" s="403">
        <v>23.297000000000001</v>
      </c>
      <c r="Q968" s="302">
        <v>8.26</v>
      </c>
      <c r="R968" s="302">
        <v>24.033999999999999</v>
      </c>
      <c r="S968" s="302">
        <v>25.561</v>
      </c>
      <c r="T968" s="122">
        <f t="shared" si="1262"/>
        <v>31.334</v>
      </c>
      <c r="U968" s="403">
        <v>31.334</v>
      </c>
      <c r="V968" s="302">
        <v>9.4390000000000001</v>
      </c>
      <c r="W968" s="302">
        <v>21.533999999999999</v>
      </c>
      <c r="X968" s="302">
        <v>25.969000000000001</v>
      </c>
      <c r="Y968" s="122">
        <f t="shared" si="1263"/>
        <v>35.558999999999997</v>
      </c>
      <c r="Z968" s="403">
        <v>35.558999999999997</v>
      </c>
      <c r="AA968" s="302">
        <v>5.806</v>
      </c>
      <c r="AB968" s="302">
        <v>12.635</v>
      </c>
      <c r="AC968" s="302">
        <v>17</v>
      </c>
      <c r="AD968" s="122">
        <f t="shared" si="1264"/>
        <v>28.225999999999999</v>
      </c>
      <c r="AE968" s="403">
        <v>28.225999999999999</v>
      </c>
      <c r="AF968" s="302">
        <v>10.004</v>
      </c>
      <c r="AG968" s="302">
        <v>18.861000000000001</v>
      </c>
      <c r="AH968" s="302">
        <v>23.695</v>
      </c>
      <c r="AI968" s="122">
        <f t="shared" si="1265"/>
        <v>24.928999999999998</v>
      </c>
      <c r="AJ968" s="403">
        <v>24.928999999999998</v>
      </c>
      <c r="AK968" s="118"/>
      <c r="AL968" s="118"/>
      <c r="AM968" s="118"/>
      <c r="AN968" s="122">
        <f t="shared" si="1266"/>
        <v>0</v>
      </c>
      <c r="AO968" s="401"/>
      <c r="AP968" s="118"/>
      <c r="AQ968" s="118"/>
      <c r="AR968" s="118"/>
      <c r="AS968" s="122">
        <f t="shared" si="1267"/>
        <v>0</v>
      </c>
      <c r="AT968" s="401"/>
      <c r="AU968" s="118"/>
      <c r="AV968" s="118"/>
      <c r="AW968" s="118"/>
      <c r="AX968" s="122">
        <f t="shared" si="1268"/>
        <v>0</v>
      </c>
      <c r="AY968" s="401"/>
      <c r="AZ968" s="118"/>
      <c r="BA968" s="118"/>
      <c r="BB968" s="118"/>
      <c r="BC968" s="122">
        <f t="shared" si="1269"/>
        <v>0</v>
      </c>
      <c r="BD968" s="401"/>
      <c r="BE968" s="118"/>
      <c r="BF968" s="118"/>
      <c r="BG968" s="118"/>
      <c r="BH968" s="122">
        <f t="shared" si="1270"/>
        <v>0</v>
      </c>
      <c r="BI968" s="401"/>
      <c r="BJ968" s="971"/>
      <c r="BK968" s="118"/>
      <c r="BL968" s="118"/>
      <c r="BM968" s="118">
        <f t="shared" si="1271"/>
        <v>0</v>
      </c>
      <c r="BN968" s="401"/>
      <c r="BO968" s="118"/>
      <c r="BP968" s="118"/>
      <c r="BQ968" s="118"/>
      <c r="BR968" s="118">
        <f t="shared" si="1272"/>
        <v>0</v>
      </c>
      <c r="BS968" s="401"/>
      <c r="BT968" s="401"/>
      <c r="BU968" s="401"/>
      <c r="BV968" s="401"/>
      <c r="BW968" s="122"/>
    </row>
    <row r="969" spans="1:75" s="123" customFormat="1" hidden="1" outlineLevel="1" x14ac:dyDescent="0.5">
      <c r="A969" s="464" t="s">
        <v>1508</v>
      </c>
      <c r="B969" s="513"/>
      <c r="C969" s="401"/>
      <c r="D969" s="401"/>
      <c r="E969" s="401"/>
      <c r="F969" s="401"/>
      <c r="G969" s="118"/>
      <c r="H969" s="118"/>
      <c r="I969" s="118"/>
      <c r="J969" s="118"/>
      <c r="K969" s="401"/>
      <c r="L969" s="118"/>
      <c r="M969" s="118"/>
      <c r="N969" s="118"/>
      <c r="O969" s="118"/>
      <c r="P969" s="401"/>
      <c r="Q969" s="118"/>
      <c r="R969" s="118"/>
      <c r="S969" s="118"/>
      <c r="T969" s="118"/>
      <c r="U969" s="401"/>
      <c r="V969" s="118"/>
      <c r="W969" s="118"/>
      <c r="X969" s="118"/>
      <c r="Y969" s="118"/>
      <c r="Z969" s="401"/>
      <c r="AA969" s="118"/>
      <c r="AB969" s="118"/>
      <c r="AC969" s="118"/>
      <c r="AD969" s="118"/>
      <c r="AE969" s="401"/>
      <c r="AF969" s="118"/>
      <c r="AG969" s="118"/>
      <c r="AH969" s="118"/>
      <c r="AI969" s="118"/>
      <c r="AJ969" s="401"/>
      <c r="AK969" s="302">
        <v>-55.098999999999997</v>
      </c>
      <c r="AL969" s="302">
        <v>-111.782</v>
      </c>
      <c r="AM969" s="302">
        <v>-168.30799999999999</v>
      </c>
      <c r="AN969" s="122">
        <f t="shared" si="1266"/>
        <v>-226.25700000000001</v>
      </c>
      <c r="AO969" s="403">
        <v>-226.25700000000001</v>
      </c>
      <c r="AP969" s="302">
        <v>-57.628999999999998</v>
      </c>
      <c r="AQ969" s="302">
        <v>-113.489</v>
      </c>
      <c r="AR969" s="302">
        <v>-171.245</v>
      </c>
      <c r="AS969" s="122">
        <f t="shared" si="1267"/>
        <v>-232.989</v>
      </c>
      <c r="AT969" s="403">
        <v>-232.989</v>
      </c>
      <c r="AU969" s="302">
        <v>-53.633000000000003</v>
      </c>
      <c r="AV969" s="302">
        <v>-108.791</v>
      </c>
      <c r="AW969" s="302">
        <v>-164.56899999999999</v>
      </c>
      <c r="AX969" s="122">
        <f t="shared" si="1268"/>
        <v>-224.56700000000001</v>
      </c>
      <c r="AY969" s="403">
        <v>-224.56700000000001</v>
      </c>
      <c r="AZ969" s="302">
        <v>-58.024999999999999</v>
      </c>
      <c r="BA969" s="302">
        <v>-120.036</v>
      </c>
      <c r="BB969" s="302">
        <v>-177.85499999999999</v>
      </c>
      <c r="BC969" s="122">
        <f t="shared" si="1269"/>
        <v>-242.85499999999999</v>
      </c>
      <c r="BD969" s="403">
        <v>-242.85499999999999</v>
      </c>
      <c r="BE969" s="302">
        <v>-68.497</v>
      </c>
      <c r="BF969" s="302">
        <v>-135.20599999999999</v>
      </c>
      <c r="BG969" s="302">
        <v>-200.16800000000001</v>
      </c>
      <c r="BH969" s="122">
        <f t="shared" si="1270"/>
        <v>-269.16199999999998</v>
      </c>
      <c r="BI969" s="403">
        <v>-269.16199999999998</v>
      </c>
      <c r="BJ969" s="1207">
        <v>-70.837999999999994</v>
      </c>
      <c r="BK969" s="118"/>
      <c r="BL969" s="118"/>
      <c r="BM969" s="118">
        <f t="shared" si="1271"/>
        <v>0</v>
      </c>
      <c r="BN969" s="401"/>
      <c r="BO969" s="118"/>
      <c r="BP969" s="118"/>
      <c r="BQ969" s="118"/>
      <c r="BR969" s="118">
        <f t="shared" si="1272"/>
        <v>0</v>
      </c>
      <c r="BS969" s="401"/>
      <c r="BT969" s="401"/>
      <c r="BU969" s="401"/>
      <c r="BV969" s="401"/>
      <c r="BW969" s="122"/>
    </row>
    <row r="970" spans="1:75" s="123" customFormat="1" hidden="1" outlineLevel="1" x14ac:dyDescent="0.5">
      <c r="A970" s="464" t="s">
        <v>2121</v>
      </c>
      <c r="B970" s="513"/>
      <c r="C970" s="403">
        <v>48.284999999999997</v>
      </c>
      <c r="D970" s="403">
        <v>-6.3079999999999998</v>
      </c>
      <c r="E970" s="403">
        <v>-19.562000000000001</v>
      </c>
      <c r="F970" s="403">
        <v>19.352</v>
      </c>
      <c r="G970" s="302">
        <v>-28.47</v>
      </c>
      <c r="H970" s="302">
        <v>-38.89</v>
      </c>
      <c r="I970" s="302">
        <v>-38.970999999999997</v>
      </c>
      <c r="J970" s="122">
        <f>K970</f>
        <v>7.4779999999999998</v>
      </c>
      <c r="K970" s="403">
        <v>7.4779999999999998</v>
      </c>
      <c r="L970" s="302">
        <v>-46.798000000000002</v>
      </c>
      <c r="M970" s="302">
        <v>-34.756999999999998</v>
      </c>
      <c r="N970" s="302">
        <v>-44.634</v>
      </c>
      <c r="O970" s="122">
        <f>P970</f>
        <v>-17.033999999999999</v>
      </c>
      <c r="P970" s="403">
        <v>-17.033999999999999</v>
      </c>
      <c r="Q970" s="302">
        <v>-24.155000000000001</v>
      </c>
      <c r="R970" s="302">
        <v>-17.869</v>
      </c>
      <c r="S970" s="302">
        <v>2.7069999999999999</v>
      </c>
      <c r="T970" s="122">
        <f>U970</f>
        <v>34.548000000000002</v>
      </c>
      <c r="U970" s="403">
        <v>34.548000000000002</v>
      </c>
      <c r="V970" s="302">
        <v>-59.284999999999997</v>
      </c>
      <c r="W970" s="302">
        <v>-65.399000000000001</v>
      </c>
      <c r="X970" s="302">
        <v>-65.915000000000006</v>
      </c>
      <c r="Y970" s="122">
        <f>Z970</f>
        <v>-43.802999999999997</v>
      </c>
      <c r="Z970" s="403">
        <v>-43.802999999999997</v>
      </c>
      <c r="AA970" s="302">
        <v>14.564</v>
      </c>
      <c r="AB970" s="302">
        <v>12.409000000000001</v>
      </c>
      <c r="AC970" s="302">
        <v>25.677</v>
      </c>
      <c r="AD970" s="122">
        <f>AE970</f>
        <v>33.540999999999997</v>
      </c>
      <c r="AE970" s="403">
        <v>33.540999999999997</v>
      </c>
      <c r="AF970" s="302">
        <v>13.818</v>
      </c>
      <c r="AG970" s="302">
        <v>-22.712</v>
      </c>
      <c r="AH970" s="302">
        <v>-48.357999999999997</v>
      </c>
      <c r="AI970" s="122">
        <f>AJ970</f>
        <v>-35.207999999999998</v>
      </c>
      <c r="AJ970" s="403">
        <v>-35.207999999999998</v>
      </c>
      <c r="AK970" s="302">
        <v>2.915</v>
      </c>
      <c r="AL970" s="302">
        <v>-8.407</v>
      </c>
      <c r="AM970" s="302">
        <v>-8.2929999999999993</v>
      </c>
      <c r="AN970" s="122">
        <f t="shared" si="1266"/>
        <v>0.73499999999999999</v>
      </c>
      <c r="AO970" s="403">
        <v>0.73499999999999999</v>
      </c>
      <c r="AP970" s="302">
        <v>6.24</v>
      </c>
      <c r="AQ970" s="302">
        <v>5.9880000000000004</v>
      </c>
      <c r="AR970" s="302">
        <v>13.532</v>
      </c>
      <c r="AS970" s="122">
        <f t="shared" si="1267"/>
        <v>46.933</v>
      </c>
      <c r="AT970" s="403">
        <v>46.933</v>
      </c>
      <c r="AU970" s="302">
        <v>22.917000000000002</v>
      </c>
      <c r="AV970" s="302">
        <v>-8.1620000000000008</v>
      </c>
      <c r="AW970" s="302">
        <v>-31.190999999999999</v>
      </c>
      <c r="AX970" s="122">
        <f t="shared" si="1268"/>
        <v>10.157</v>
      </c>
      <c r="AY970" s="403">
        <v>10.157</v>
      </c>
      <c r="AZ970" s="302">
        <v>46.756999999999998</v>
      </c>
      <c r="BA970" s="302">
        <v>7.6230000000000002</v>
      </c>
      <c r="BB970" s="302">
        <v>-33.276000000000003</v>
      </c>
      <c r="BC970" s="122">
        <f t="shared" si="1269"/>
        <v>-18.231000000000002</v>
      </c>
      <c r="BD970" s="403">
        <v>-18.231000000000002</v>
      </c>
      <c r="BE970" s="302">
        <v>26.478000000000002</v>
      </c>
      <c r="BF970" s="302">
        <v>66.358000000000004</v>
      </c>
      <c r="BG970" s="302">
        <v>-8.0050000000000008</v>
      </c>
      <c r="BH970" s="122">
        <f t="shared" si="1270"/>
        <v>35.348999999999997</v>
      </c>
      <c r="BI970" s="403">
        <v>35.348999999999997</v>
      </c>
      <c r="BJ970" s="1207">
        <v>52.273000000000003</v>
      </c>
      <c r="BK970" s="118"/>
      <c r="BL970" s="118"/>
      <c r="BM970" s="118">
        <f t="shared" si="1271"/>
        <v>0</v>
      </c>
      <c r="BN970" s="401"/>
      <c r="BO970" s="118"/>
      <c r="BP970" s="118"/>
      <c r="BQ970" s="118"/>
      <c r="BR970" s="118">
        <f t="shared" si="1272"/>
        <v>0</v>
      </c>
      <c r="BS970" s="401"/>
      <c r="BT970" s="401"/>
      <c r="BU970" s="401"/>
      <c r="BV970" s="401"/>
      <c r="BW970" s="122"/>
    </row>
    <row r="971" spans="1:75" s="198" customFormat="1" ht="14.25" hidden="1" outlineLevel="1" x14ac:dyDescent="0.45">
      <c r="A971" s="516" t="s">
        <v>1376</v>
      </c>
      <c r="B971" s="517"/>
      <c r="C971" s="519">
        <f t="shared" ref="C971:BN971" si="1273">SUM(C960:C970)</f>
        <v>490.71799999999996</v>
      </c>
      <c r="D971" s="519">
        <f t="shared" si="1273"/>
        <v>355.98899999999986</v>
      </c>
      <c r="E971" s="519">
        <f t="shared" si="1273"/>
        <v>291.33399999999995</v>
      </c>
      <c r="F971" s="519">
        <f t="shared" si="1273"/>
        <v>364.12699999999995</v>
      </c>
      <c r="G971" s="520">
        <f t="shared" si="1273"/>
        <v>-59.821999999999974</v>
      </c>
      <c r="H971" s="520">
        <f t="shared" si="1273"/>
        <v>64.063000000000002</v>
      </c>
      <c r="I971" s="520">
        <f t="shared" si="1273"/>
        <v>148.6750000000001</v>
      </c>
      <c r="J971" s="520">
        <f t="shared" si="1273"/>
        <v>453.76900000000001</v>
      </c>
      <c r="K971" s="519">
        <f t="shared" si="1273"/>
        <v>453.76900000000001</v>
      </c>
      <c r="L971" s="520">
        <f t="shared" si="1273"/>
        <v>-70.329000000000008</v>
      </c>
      <c r="M971" s="520">
        <f t="shared" si="1273"/>
        <v>10.216999999999977</v>
      </c>
      <c r="N971" s="520">
        <f t="shared" si="1273"/>
        <v>121.80099999999997</v>
      </c>
      <c r="O971" s="520">
        <f t="shared" si="1273"/>
        <v>461.69700000000006</v>
      </c>
      <c r="P971" s="519">
        <f t="shared" si="1273"/>
        <v>461.69700000000006</v>
      </c>
      <c r="Q971" s="520">
        <f t="shared" si="1273"/>
        <v>-67.070999999999998</v>
      </c>
      <c r="R971" s="520">
        <f t="shared" si="1273"/>
        <v>36.805000000000035</v>
      </c>
      <c r="S971" s="520">
        <f t="shared" si="1273"/>
        <v>93.044999999999987</v>
      </c>
      <c r="T971" s="520">
        <f t="shared" si="1273"/>
        <v>544.02599999999995</v>
      </c>
      <c r="U971" s="519">
        <f t="shared" si="1273"/>
        <v>544.02599999999995</v>
      </c>
      <c r="V971" s="520">
        <f t="shared" si="1273"/>
        <v>-72.66</v>
      </c>
      <c r="W971" s="520">
        <f t="shared" si="1273"/>
        <v>33.447999999999979</v>
      </c>
      <c r="X971" s="520">
        <f t="shared" si="1273"/>
        <v>122.46400000000004</v>
      </c>
      <c r="Y971" s="520">
        <f t="shared" si="1273"/>
        <v>524.70899999999995</v>
      </c>
      <c r="Z971" s="519">
        <f t="shared" si="1273"/>
        <v>524.70899999999995</v>
      </c>
      <c r="AA971" s="520">
        <f t="shared" si="1273"/>
        <v>-46.375999999999983</v>
      </c>
      <c r="AB971" s="520">
        <f t="shared" si="1273"/>
        <v>35.134999999999955</v>
      </c>
      <c r="AC971" s="520">
        <f t="shared" si="1273"/>
        <v>112.92999999999998</v>
      </c>
      <c r="AD971" s="520">
        <f t="shared" si="1273"/>
        <v>499.70400000000001</v>
      </c>
      <c r="AE971" s="519">
        <f t="shared" si="1273"/>
        <v>499.70400000000001</v>
      </c>
      <c r="AF971" s="520">
        <f t="shared" si="1273"/>
        <v>10.769000000000005</v>
      </c>
      <c r="AG971" s="520">
        <f t="shared" si="1273"/>
        <v>120.123</v>
      </c>
      <c r="AH971" s="520">
        <f t="shared" si="1273"/>
        <v>179.50100000000006</v>
      </c>
      <c r="AI971" s="520">
        <f t="shared" si="1273"/>
        <v>585.98599999999999</v>
      </c>
      <c r="AJ971" s="519">
        <f t="shared" si="1273"/>
        <v>585.98599999999999</v>
      </c>
      <c r="AK971" s="520">
        <f t="shared" si="1273"/>
        <v>-98.08</v>
      </c>
      <c r="AL971" s="520">
        <f t="shared" si="1273"/>
        <v>-26.635999999999999</v>
      </c>
      <c r="AM971" s="520">
        <f t="shared" si="1273"/>
        <v>89.949999999999989</v>
      </c>
      <c r="AN971" s="520">
        <f t="shared" si="1273"/>
        <v>607.29400000000021</v>
      </c>
      <c r="AO971" s="519">
        <f t="shared" si="1273"/>
        <v>607.29400000000021</v>
      </c>
      <c r="AP971" s="520">
        <f t="shared" si="1273"/>
        <v>53.872999999999976</v>
      </c>
      <c r="AQ971" s="520">
        <f t="shared" si="1273"/>
        <v>216.39999999999995</v>
      </c>
      <c r="AR971" s="520">
        <f t="shared" si="1273"/>
        <v>726.62799999999993</v>
      </c>
      <c r="AS971" s="520">
        <f t="shared" si="1273"/>
        <v>1274.8480000000002</v>
      </c>
      <c r="AT971" s="519">
        <f t="shared" si="1273"/>
        <v>1274.8480000000002</v>
      </c>
      <c r="AU971" s="520">
        <f t="shared" si="1273"/>
        <v>238.88099999999997</v>
      </c>
      <c r="AV971" s="520">
        <f t="shared" si="1273"/>
        <v>475.66800000000001</v>
      </c>
      <c r="AW971" s="520">
        <f t="shared" si="1273"/>
        <v>788.33899999999971</v>
      </c>
      <c r="AX971" s="520">
        <f t="shared" si="1273"/>
        <v>1371.1470000000002</v>
      </c>
      <c r="AY971" s="519">
        <f t="shared" si="1273"/>
        <v>1371.1470000000002</v>
      </c>
      <c r="AZ971" s="520">
        <f t="shared" si="1273"/>
        <v>184.51899999999998</v>
      </c>
      <c r="BA971" s="520">
        <f t="shared" si="1273"/>
        <v>383.59200000000004</v>
      </c>
      <c r="BB971" s="520">
        <f t="shared" si="1273"/>
        <v>588.52500000000009</v>
      </c>
      <c r="BC971" s="520">
        <f t="shared" si="1273"/>
        <v>1052.8219999999999</v>
      </c>
      <c r="BD971" s="519">
        <f t="shared" si="1273"/>
        <v>1052.8219999999999</v>
      </c>
      <c r="BE971" s="520">
        <f t="shared" si="1273"/>
        <v>342.52600000000007</v>
      </c>
      <c r="BF971" s="520">
        <f t="shared" si="1273"/>
        <v>714.9849999999999</v>
      </c>
      <c r="BG971" s="520">
        <f t="shared" si="1273"/>
        <v>1005.4129999999998</v>
      </c>
      <c r="BH971" s="520">
        <f t="shared" si="1273"/>
        <v>1680.2729999999997</v>
      </c>
      <c r="BI971" s="519">
        <f t="shared" si="1273"/>
        <v>1680.2729999999997</v>
      </c>
      <c r="BJ971" s="1270">
        <f>SUM(BJ960:BJ970)</f>
        <v>226.78799999999995</v>
      </c>
      <c r="BK971" s="327">
        <f t="shared" si="1273"/>
        <v>0</v>
      </c>
      <c r="BL971" s="327">
        <f t="shared" si="1273"/>
        <v>0</v>
      </c>
      <c r="BM971" s="327">
        <f t="shared" si="1273"/>
        <v>0</v>
      </c>
      <c r="BN971" s="518">
        <f t="shared" si="1273"/>
        <v>0</v>
      </c>
      <c r="BO971" s="327">
        <f t="shared" ref="BO971:CF971" si="1274">SUM(BO960:BO970)</f>
        <v>0</v>
      </c>
      <c r="BP971" s="327">
        <f t="shared" si="1274"/>
        <v>0</v>
      </c>
      <c r="BQ971" s="327">
        <f t="shared" si="1274"/>
        <v>0</v>
      </c>
      <c r="BR971" s="327">
        <f t="shared" si="1274"/>
        <v>0</v>
      </c>
      <c r="BS971" s="518">
        <f t="shared" si="1274"/>
        <v>0</v>
      </c>
      <c r="BT971" s="518">
        <f t="shared" si="1274"/>
        <v>0</v>
      </c>
      <c r="BU971" s="518">
        <f t="shared" si="1274"/>
        <v>0</v>
      </c>
      <c r="BV971" s="518">
        <f t="shared" si="1274"/>
        <v>0</v>
      </c>
      <c r="BW971" s="197"/>
    </row>
    <row r="972" spans="1:75" s="198" customFormat="1" ht="14.25" hidden="1" outlineLevel="1" x14ac:dyDescent="0.45">
      <c r="A972" s="206"/>
      <c r="B972" s="522"/>
      <c r="C972" s="397"/>
      <c r="D972" s="397"/>
      <c r="E972" s="397"/>
      <c r="F972" s="397"/>
      <c r="G972" s="295"/>
      <c r="H972" s="295"/>
      <c r="I972" s="295"/>
      <c r="J972" s="295"/>
      <c r="K972" s="397"/>
      <c r="L972" s="295"/>
      <c r="M972" s="295"/>
      <c r="N972" s="295"/>
      <c r="O972" s="295"/>
      <c r="P972" s="397"/>
      <c r="Q972" s="295"/>
      <c r="R972" s="295"/>
      <c r="S972" s="295"/>
      <c r="T972" s="295"/>
      <c r="U972" s="397"/>
      <c r="V972" s="295"/>
      <c r="W972" s="295"/>
      <c r="X972" s="295"/>
      <c r="Y972" s="295"/>
      <c r="Z972" s="397"/>
      <c r="AA972" s="295"/>
      <c r="AB972" s="295"/>
      <c r="AC972" s="295"/>
      <c r="AD972" s="295"/>
      <c r="AE972" s="397"/>
      <c r="AF972" s="295"/>
      <c r="AG972" s="295"/>
      <c r="AH972" s="295"/>
      <c r="AI972" s="295"/>
      <c r="AJ972" s="397"/>
      <c r="AK972" s="295"/>
      <c r="AL972" s="295"/>
      <c r="AM972" s="295"/>
      <c r="AN972" s="295"/>
      <c r="AO972" s="397"/>
      <c r="AP972" s="295"/>
      <c r="AQ972" s="295"/>
      <c r="AR972" s="295"/>
      <c r="AS972" s="295"/>
      <c r="AT972" s="397"/>
      <c r="AU972" s="295"/>
      <c r="AV972" s="295"/>
      <c r="AW972" s="295"/>
      <c r="AX972" s="295"/>
      <c r="AY972" s="397"/>
      <c r="AZ972" s="295"/>
      <c r="BA972" s="295"/>
      <c r="BB972" s="295"/>
      <c r="BC972" s="295"/>
      <c r="BD972" s="397"/>
      <c r="BE972" s="295"/>
      <c r="BF972" s="295"/>
      <c r="BG972" s="295"/>
      <c r="BH972" s="295"/>
      <c r="BI972" s="397"/>
      <c r="BJ972" s="1030"/>
      <c r="BK972" s="295"/>
      <c r="BL972" s="295"/>
      <c r="BM972" s="295"/>
      <c r="BN972" s="397"/>
      <c r="BO972" s="295"/>
      <c r="BP972" s="295"/>
      <c r="BQ972" s="295"/>
      <c r="BR972" s="295"/>
      <c r="BS972" s="397"/>
      <c r="BT972" s="397"/>
      <c r="BU972" s="397"/>
      <c r="BV972" s="397"/>
      <c r="BW972" s="197"/>
    </row>
    <row r="973" spans="1:75" s="198" customFormat="1" ht="14.25" hidden="1" outlineLevel="1" x14ac:dyDescent="0.45">
      <c r="A973" s="463" t="s">
        <v>1377</v>
      </c>
      <c r="B973" s="522"/>
      <c r="C973" s="397"/>
      <c r="D973" s="397"/>
      <c r="E973" s="397"/>
      <c r="F973" s="397"/>
      <c r="G973" s="295"/>
      <c r="H973" s="295"/>
      <c r="I973" s="295"/>
      <c r="J973" s="295"/>
      <c r="K973" s="397"/>
      <c r="L973" s="295"/>
      <c r="M973" s="295"/>
      <c r="N973" s="295"/>
      <c r="O973" s="295"/>
      <c r="P973" s="397"/>
      <c r="Q973" s="295"/>
      <c r="R973" s="295"/>
      <c r="S973" s="295"/>
      <c r="T973" s="295"/>
      <c r="U973" s="397"/>
      <c r="V973" s="295"/>
      <c r="W973" s="295"/>
      <c r="X973" s="295"/>
      <c r="Y973" s="295"/>
      <c r="Z973" s="397"/>
      <c r="AA973" s="295"/>
      <c r="AB973" s="295"/>
      <c r="AC973" s="295"/>
      <c r="AD973" s="295"/>
      <c r="AE973" s="397"/>
      <c r="AF973" s="295"/>
      <c r="AG973" s="295"/>
      <c r="AH973" s="295"/>
      <c r="AI973" s="295"/>
      <c r="AJ973" s="397"/>
      <c r="AK973" s="295"/>
      <c r="AL973" s="295"/>
      <c r="AM973" s="295"/>
      <c r="AN973" s="295"/>
      <c r="AO973" s="397"/>
      <c r="AP973" s="295"/>
      <c r="AQ973" s="295"/>
      <c r="AR973" s="295"/>
      <c r="AS973" s="295"/>
      <c r="AT973" s="397"/>
      <c r="AU973" s="295"/>
      <c r="AV973" s="295"/>
      <c r="AW973" s="295"/>
      <c r="AX973" s="295"/>
      <c r="AY973" s="397"/>
      <c r="AZ973" s="295"/>
      <c r="BA973" s="295"/>
      <c r="BB973" s="295"/>
      <c r="BC973" s="295"/>
      <c r="BD973" s="397"/>
      <c r="BE973" s="295"/>
      <c r="BF973" s="295"/>
      <c r="BG973" s="295"/>
      <c r="BH973" s="295"/>
      <c r="BI973" s="397"/>
      <c r="BJ973" s="1030"/>
      <c r="BK973" s="295"/>
      <c r="BL973" s="295"/>
      <c r="BM973" s="295"/>
      <c r="BN973" s="397"/>
      <c r="BO973" s="295"/>
      <c r="BP973" s="295"/>
      <c r="BQ973" s="295"/>
      <c r="BR973" s="295"/>
      <c r="BS973" s="397"/>
      <c r="BT973" s="397"/>
      <c r="BU973" s="397"/>
      <c r="BV973" s="397"/>
      <c r="BW973" s="197"/>
    </row>
    <row r="974" spans="1:75" s="123" customFormat="1" hidden="1" outlineLevel="1" x14ac:dyDescent="0.5">
      <c r="A974" s="464" t="s">
        <v>2122</v>
      </c>
      <c r="B974" s="513"/>
      <c r="C974" s="403">
        <v>-72.263000000000005</v>
      </c>
      <c r="D974" s="403">
        <v>-61.905999999999999</v>
      </c>
      <c r="E974" s="403">
        <v>-130.35300000000001</v>
      </c>
      <c r="F974" s="403">
        <v>-205.404</v>
      </c>
      <c r="G974" s="302">
        <v>-47.444000000000003</v>
      </c>
      <c r="H974" s="302">
        <v>-97.777000000000001</v>
      </c>
      <c r="I974" s="302">
        <v>-145.23599999999999</v>
      </c>
      <c r="J974" s="122">
        <f t="shared" ref="J974:J979" si="1275">K974</f>
        <v>-193.953</v>
      </c>
      <c r="K974" s="403">
        <v>-193.953</v>
      </c>
      <c r="L974" s="302">
        <v>-38.119</v>
      </c>
      <c r="M974" s="302">
        <v>-83.519000000000005</v>
      </c>
      <c r="N974" s="302">
        <v>-131.66999999999999</v>
      </c>
      <c r="O974" s="122">
        <f t="shared" ref="O974:O979" si="1276">P974</f>
        <v>-204.8</v>
      </c>
      <c r="P974" s="403">
        <v>-204.8</v>
      </c>
      <c r="Q974" s="302">
        <v>-40.384</v>
      </c>
      <c r="R974" s="302">
        <v>-86.849000000000004</v>
      </c>
      <c r="S974" s="302">
        <v>-136.06899999999999</v>
      </c>
      <c r="T974" s="122">
        <f t="shared" ref="T974:T979" si="1277">U974</f>
        <v>-202.935</v>
      </c>
      <c r="U974" s="403">
        <v>-202.935</v>
      </c>
      <c r="V974" s="302">
        <v>-28.149000000000001</v>
      </c>
      <c r="W974" s="302">
        <v>-77.876999999999995</v>
      </c>
      <c r="X974" s="302">
        <v>-127.169</v>
      </c>
      <c r="Y974" s="122">
        <f t="shared" ref="Y974:Y979" si="1278">Z974</f>
        <v>-197.41399999999999</v>
      </c>
      <c r="Z974" s="403">
        <v>-197.41399999999999</v>
      </c>
      <c r="AA974" s="302">
        <v>-32.152999999999999</v>
      </c>
      <c r="AB974" s="302">
        <v>-82.727000000000004</v>
      </c>
      <c r="AC974" s="302">
        <v>-135.821</v>
      </c>
      <c r="AD974" s="122">
        <f t="shared" ref="AD974:AD979" si="1279">AE974</f>
        <v>-189.71199999999999</v>
      </c>
      <c r="AE974" s="403">
        <v>-189.71199999999999</v>
      </c>
      <c r="AF974" s="302">
        <v>-34.029000000000003</v>
      </c>
      <c r="AG974" s="302">
        <v>-80.021000000000001</v>
      </c>
      <c r="AH974" s="302">
        <v>-128.32599999999999</v>
      </c>
      <c r="AI974" s="122">
        <f t="shared" ref="AI974:AI979" si="1280">AJ974</f>
        <v>-190.102</v>
      </c>
      <c r="AJ974" s="403">
        <v>-190.102</v>
      </c>
      <c r="AK974" s="302">
        <v>-36.148000000000003</v>
      </c>
      <c r="AL974" s="302">
        <v>-77.188999999999993</v>
      </c>
      <c r="AM974" s="302">
        <v>-121.154</v>
      </c>
      <c r="AN974" s="122">
        <f t="shared" ref="AN974:AN979" si="1281">AO974</f>
        <v>-186.27600000000001</v>
      </c>
      <c r="AO974" s="403">
        <v>-186.27600000000001</v>
      </c>
      <c r="AP974" s="302">
        <v>-42.320999999999998</v>
      </c>
      <c r="AQ974" s="302">
        <v>-76.123000000000005</v>
      </c>
      <c r="AR974" s="302">
        <v>-124.88500000000001</v>
      </c>
      <c r="AS974" s="122">
        <f t="shared" ref="AS974:AS979" si="1282">AT974</f>
        <v>-169.51300000000001</v>
      </c>
      <c r="AT974" s="403">
        <v>-169.51300000000001</v>
      </c>
      <c r="AU974" s="302">
        <v>-42.36</v>
      </c>
      <c r="AV974" s="302">
        <v>-78.281000000000006</v>
      </c>
      <c r="AW974" s="302">
        <v>-141.01</v>
      </c>
      <c r="AX974" s="122">
        <f t="shared" ref="AX974:AX979" si="1283">AY974</f>
        <v>-226.517</v>
      </c>
      <c r="AY974" s="403">
        <v>-226.517</v>
      </c>
      <c r="AZ974" s="302">
        <v>-71.186000000000007</v>
      </c>
      <c r="BA974" s="302">
        <v>-148.548</v>
      </c>
      <c r="BB974" s="302">
        <v>-234.37799999999999</v>
      </c>
      <c r="BC974" s="122">
        <f t="shared" ref="BC974:BC979" si="1284">BD974</f>
        <v>-354.11700000000002</v>
      </c>
      <c r="BD974" s="403">
        <v>-354.11700000000002</v>
      </c>
      <c r="BE974" s="302">
        <v>-50.029000000000003</v>
      </c>
      <c r="BF974" s="302">
        <v>-92.88</v>
      </c>
      <c r="BG974" s="302">
        <v>-134.83000000000001</v>
      </c>
      <c r="BH974" s="122">
        <f t="shared" ref="BH974:BH979" si="1285">BI974</f>
        <v>-188.458</v>
      </c>
      <c r="BI974" s="403">
        <v>-188.458</v>
      </c>
      <c r="BJ974" s="1207">
        <v>-39.512999999999998</v>
      </c>
      <c r="BK974" s="118"/>
      <c r="BL974" s="118"/>
      <c r="BM974" s="118">
        <f t="shared" ref="BM974:BM979" si="1286">BN974</f>
        <v>0</v>
      </c>
      <c r="BN974" s="401"/>
      <c r="BO974" s="118"/>
      <c r="BP974" s="118"/>
      <c r="BQ974" s="118"/>
      <c r="BR974" s="118">
        <f t="shared" ref="BR974:BR979" si="1287">BS974</f>
        <v>0</v>
      </c>
      <c r="BS974" s="401"/>
      <c r="BT974" s="401"/>
      <c r="BU974" s="401"/>
      <c r="BV974" s="401"/>
      <c r="BW974" s="122"/>
    </row>
    <row r="975" spans="1:75" s="123" customFormat="1" hidden="1" outlineLevel="1" x14ac:dyDescent="0.5">
      <c r="A975" s="464" t="s">
        <v>2123</v>
      </c>
      <c r="B975" s="513"/>
      <c r="C975" s="403">
        <v>0</v>
      </c>
      <c r="D975" s="403">
        <v>-12.512</v>
      </c>
      <c r="E975" s="403">
        <v>-2.2200000000000002</v>
      </c>
      <c r="F975" s="403">
        <v>-1.323</v>
      </c>
      <c r="G975" s="302">
        <v>0</v>
      </c>
      <c r="H975" s="302">
        <v>-0.91200000000000003</v>
      </c>
      <c r="I975" s="302">
        <v>1.772</v>
      </c>
      <c r="J975" s="122">
        <f t="shared" si="1275"/>
        <v>1.766</v>
      </c>
      <c r="K975" s="403">
        <v>1.766</v>
      </c>
      <c r="L975" s="302">
        <v>0</v>
      </c>
      <c r="M975" s="302">
        <v>14.289</v>
      </c>
      <c r="N975" s="302">
        <v>14.289</v>
      </c>
      <c r="O975" s="122">
        <f t="shared" si="1276"/>
        <v>14.289</v>
      </c>
      <c r="P975" s="403">
        <v>14.289</v>
      </c>
      <c r="Q975" s="118"/>
      <c r="R975" s="302">
        <v>0</v>
      </c>
      <c r="S975" s="302">
        <v>0</v>
      </c>
      <c r="T975" s="122">
        <f t="shared" si="1277"/>
        <v>0</v>
      </c>
      <c r="U975" s="403">
        <v>0</v>
      </c>
      <c r="V975" s="302">
        <v>0</v>
      </c>
      <c r="W975" s="118"/>
      <c r="X975" s="118"/>
      <c r="Y975" s="122">
        <f t="shared" si="1278"/>
        <v>0</v>
      </c>
      <c r="Z975" s="401"/>
      <c r="AA975" s="118"/>
      <c r="AB975" s="118"/>
      <c r="AC975" s="118"/>
      <c r="AD975" s="122">
        <f t="shared" si="1279"/>
        <v>0</v>
      </c>
      <c r="AE975" s="401"/>
      <c r="AF975" s="118"/>
      <c r="AG975" s="118"/>
      <c r="AH975" s="118"/>
      <c r="AI975" s="122">
        <f t="shared" si="1280"/>
        <v>0</v>
      </c>
      <c r="AJ975" s="401"/>
      <c r="AK975" s="118"/>
      <c r="AL975" s="118"/>
      <c r="AM975" s="118"/>
      <c r="AN975" s="122">
        <f t="shared" si="1281"/>
        <v>0</v>
      </c>
      <c r="AO975" s="401"/>
      <c r="AP975" s="118"/>
      <c r="AQ975" s="118"/>
      <c r="AR975" s="118"/>
      <c r="AS975" s="122">
        <f t="shared" si="1282"/>
        <v>0</v>
      </c>
      <c r="AT975" s="401"/>
      <c r="AU975" s="118"/>
      <c r="AV975" s="118"/>
      <c r="AW975" s="118"/>
      <c r="AX975" s="122">
        <f t="shared" si="1283"/>
        <v>0</v>
      </c>
      <c r="AY975" s="401"/>
      <c r="AZ975" s="118"/>
      <c r="BA975" s="118"/>
      <c r="BB975" s="118"/>
      <c r="BC975" s="122">
        <f t="shared" si="1284"/>
        <v>0</v>
      </c>
      <c r="BD975" s="401"/>
      <c r="BE975" s="118"/>
      <c r="BF975" s="118"/>
      <c r="BG975" s="118"/>
      <c r="BH975" s="122">
        <f t="shared" si="1285"/>
        <v>0</v>
      </c>
      <c r="BI975" s="401"/>
      <c r="BJ975" s="971"/>
      <c r="BK975" s="118"/>
      <c r="BL975" s="118"/>
      <c r="BM975" s="118">
        <f t="shared" si="1286"/>
        <v>0</v>
      </c>
      <c r="BN975" s="401"/>
      <c r="BO975" s="118"/>
      <c r="BP975" s="118"/>
      <c r="BQ975" s="118"/>
      <c r="BR975" s="118">
        <f t="shared" si="1287"/>
        <v>0</v>
      </c>
      <c r="BS975" s="401"/>
      <c r="BT975" s="401"/>
      <c r="BU975" s="401"/>
      <c r="BV975" s="401"/>
      <c r="BW975" s="122"/>
    </row>
    <row r="976" spans="1:75" s="123" customFormat="1" hidden="1" outlineLevel="1" x14ac:dyDescent="0.5">
      <c r="A976" s="464" t="s">
        <v>1379</v>
      </c>
      <c r="B976" s="513"/>
      <c r="C976" s="403">
        <v>1.0329999999999999</v>
      </c>
      <c r="D976" s="403">
        <v>10.823</v>
      </c>
      <c r="E976" s="403">
        <v>8.1000000000000003E-2</v>
      </c>
      <c r="F976" s="403">
        <v>0</v>
      </c>
      <c r="G976" s="302">
        <v>0</v>
      </c>
      <c r="H976" s="302">
        <v>0</v>
      </c>
      <c r="I976" s="302">
        <v>0</v>
      </c>
      <c r="J976" s="122">
        <f t="shared" si="1275"/>
        <v>0</v>
      </c>
      <c r="K976" s="403">
        <v>0</v>
      </c>
      <c r="L976" s="302">
        <v>0</v>
      </c>
      <c r="M976" s="302">
        <v>0</v>
      </c>
      <c r="N976" s="302">
        <v>0</v>
      </c>
      <c r="O976" s="122">
        <f t="shared" si="1276"/>
        <v>0</v>
      </c>
      <c r="P976" s="403">
        <v>0</v>
      </c>
      <c r="Q976" s="302">
        <v>0</v>
      </c>
      <c r="R976" s="302">
        <v>0</v>
      </c>
      <c r="S976" s="302">
        <v>0</v>
      </c>
      <c r="T976" s="122">
        <f t="shared" si="1277"/>
        <v>0</v>
      </c>
      <c r="U976" s="403">
        <v>0</v>
      </c>
      <c r="V976" s="302">
        <v>0</v>
      </c>
      <c r="W976" s="118"/>
      <c r="X976" s="118"/>
      <c r="Y976" s="122">
        <f t="shared" si="1278"/>
        <v>0</v>
      </c>
      <c r="Z976" s="401"/>
      <c r="AA976" s="118"/>
      <c r="AB976" s="118"/>
      <c r="AC976" s="118"/>
      <c r="AD976" s="122">
        <f t="shared" si="1279"/>
        <v>0</v>
      </c>
      <c r="AE976" s="401"/>
      <c r="AF976" s="118"/>
      <c r="AG976" s="118"/>
      <c r="AH976" s="118"/>
      <c r="AI976" s="122">
        <f t="shared" si="1280"/>
        <v>0</v>
      </c>
      <c r="AJ976" s="401"/>
      <c r="AK976" s="118"/>
      <c r="AL976" s="118"/>
      <c r="AM976" s="118"/>
      <c r="AN976" s="122">
        <f t="shared" si="1281"/>
        <v>0</v>
      </c>
      <c r="AO976" s="401"/>
      <c r="AP976" s="118"/>
      <c r="AQ976" s="118"/>
      <c r="AR976" s="118"/>
      <c r="AS976" s="122">
        <f t="shared" si="1282"/>
        <v>0</v>
      </c>
      <c r="AT976" s="401"/>
      <c r="AU976" s="118"/>
      <c r="AV976" s="118"/>
      <c r="AW976" s="118"/>
      <c r="AX976" s="122">
        <f t="shared" si="1283"/>
        <v>0</v>
      </c>
      <c r="AY976" s="401"/>
      <c r="AZ976" s="118"/>
      <c r="BA976" s="118"/>
      <c r="BB976" s="118"/>
      <c r="BC976" s="122">
        <f t="shared" si="1284"/>
        <v>0</v>
      </c>
      <c r="BD976" s="401"/>
      <c r="BE976" s="118"/>
      <c r="BF976" s="118"/>
      <c r="BG976" s="118"/>
      <c r="BH976" s="122">
        <f t="shared" si="1285"/>
        <v>0</v>
      </c>
      <c r="BI976" s="401"/>
      <c r="BJ976" s="971"/>
      <c r="BK976" s="118"/>
      <c r="BL976" s="118"/>
      <c r="BM976" s="118">
        <f t="shared" si="1286"/>
        <v>0</v>
      </c>
      <c r="BN976" s="401"/>
      <c r="BO976" s="118"/>
      <c r="BP976" s="118"/>
      <c r="BQ976" s="118"/>
      <c r="BR976" s="118">
        <f t="shared" si="1287"/>
        <v>0</v>
      </c>
      <c r="BS976" s="401"/>
      <c r="BT976" s="401"/>
      <c r="BU976" s="401"/>
      <c r="BV976" s="401"/>
      <c r="BW976" s="122"/>
    </row>
    <row r="977" spans="1:75" s="123" customFormat="1" hidden="1" outlineLevel="1" x14ac:dyDescent="0.5">
      <c r="A977" s="464" t="s">
        <v>2124</v>
      </c>
      <c r="B977" s="513"/>
      <c r="C977" s="403">
        <v>0</v>
      </c>
      <c r="D977" s="403">
        <v>0</v>
      </c>
      <c r="E977" s="403">
        <v>-25.363</v>
      </c>
      <c r="F977" s="403">
        <v>0</v>
      </c>
      <c r="G977" s="302">
        <v>0</v>
      </c>
      <c r="H977" s="302">
        <v>0</v>
      </c>
      <c r="I977" s="302">
        <v>0</v>
      </c>
      <c r="J977" s="122">
        <f t="shared" si="1275"/>
        <v>0</v>
      </c>
      <c r="K977" s="403">
        <v>0</v>
      </c>
      <c r="L977" s="302">
        <v>0</v>
      </c>
      <c r="M977" s="302">
        <v>0</v>
      </c>
      <c r="N977" s="302">
        <v>0</v>
      </c>
      <c r="O977" s="122">
        <f t="shared" si="1276"/>
        <v>0</v>
      </c>
      <c r="P977" s="403">
        <v>0</v>
      </c>
      <c r="Q977" s="302">
        <v>0</v>
      </c>
      <c r="R977" s="302">
        <v>0</v>
      </c>
      <c r="S977" s="302">
        <v>0</v>
      </c>
      <c r="T977" s="122">
        <f t="shared" si="1277"/>
        <v>0</v>
      </c>
      <c r="U977" s="403">
        <v>0</v>
      </c>
      <c r="V977" s="302">
        <v>0</v>
      </c>
      <c r="W977" s="118"/>
      <c r="X977" s="118"/>
      <c r="Y977" s="122">
        <f t="shared" si="1278"/>
        <v>0</v>
      </c>
      <c r="Z977" s="401"/>
      <c r="AA977" s="118"/>
      <c r="AB977" s="118"/>
      <c r="AC977" s="118"/>
      <c r="AD977" s="122">
        <f t="shared" si="1279"/>
        <v>-80.528000000000006</v>
      </c>
      <c r="AE977" s="403">
        <v>-80.528000000000006</v>
      </c>
      <c r="AF977" s="118"/>
      <c r="AG977" s="118"/>
      <c r="AH977" s="118"/>
      <c r="AI977" s="122">
        <f t="shared" si="1280"/>
        <v>0</v>
      </c>
      <c r="AJ977" s="401"/>
      <c r="AK977" s="118"/>
      <c r="AL977" s="118"/>
      <c r="AM977" s="118"/>
      <c r="AN977" s="122">
        <f t="shared" si="1281"/>
        <v>0</v>
      </c>
      <c r="AO977" s="401"/>
      <c r="AP977" s="118"/>
      <c r="AQ977" s="118"/>
      <c r="AR977" s="118"/>
      <c r="AS977" s="122">
        <f t="shared" si="1282"/>
        <v>0</v>
      </c>
      <c r="AT977" s="401"/>
      <c r="AU977" s="118"/>
      <c r="AV977" s="118"/>
      <c r="AW977" s="118"/>
      <c r="AX977" s="122">
        <f t="shared" si="1283"/>
        <v>0</v>
      </c>
      <c r="AY977" s="401"/>
      <c r="AZ977" s="118"/>
      <c r="BA977" s="118"/>
      <c r="BB977" s="118"/>
      <c r="BC977" s="122">
        <f t="shared" si="1284"/>
        <v>0</v>
      </c>
      <c r="BD977" s="401"/>
      <c r="BE977" s="118"/>
      <c r="BF977" s="118"/>
      <c r="BG977" s="118"/>
      <c r="BH977" s="122">
        <f t="shared" si="1285"/>
        <v>0</v>
      </c>
      <c r="BI977" s="401"/>
      <c r="BJ977" s="971"/>
      <c r="BK977" s="118"/>
      <c r="BL977" s="118"/>
      <c r="BM977" s="118">
        <f t="shared" si="1286"/>
        <v>0</v>
      </c>
      <c r="BN977" s="401"/>
      <c r="BO977" s="118"/>
      <c r="BP977" s="118"/>
      <c r="BQ977" s="118"/>
      <c r="BR977" s="118">
        <f t="shared" si="1287"/>
        <v>0</v>
      </c>
      <c r="BS977" s="401"/>
      <c r="BT977" s="401"/>
      <c r="BU977" s="401"/>
      <c r="BV977" s="401"/>
      <c r="BW977" s="122"/>
    </row>
    <row r="978" spans="1:75" s="123" customFormat="1" hidden="1" outlineLevel="1" x14ac:dyDescent="0.5">
      <c r="A978" s="464" t="s">
        <v>2125</v>
      </c>
      <c r="B978" s="513"/>
      <c r="C978" s="403">
        <v>0</v>
      </c>
      <c r="D978" s="403">
        <v>0</v>
      </c>
      <c r="E978" s="403">
        <v>0.751</v>
      </c>
      <c r="F978" s="403">
        <v>0</v>
      </c>
      <c r="G978" s="302">
        <v>0.76</v>
      </c>
      <c r="H978" s="302">
        <v>0</v>
      </c>
      <c r="I978" s="302">
        <v>1.4179999999999999</v>
      </c>
      <c r="J978" s="122">
        <f t="shared" si="1275"/>
        <v>1.518</v>
      </c>
      <c r="K978" s="403">
        <v>1.518</v>
      </c>
      <c r="L978" s="302">
        <v>0</v>
      </c>
      <c r="M978" s="302">
        <v>0</v>
      </c>
      <c r="N978" s="302">
        <v>0</v>
      </c>
      <c r="O978" s="122">
        <f t="shared" si="1276"/>
        <v>1.6439999999999999</v>
      </c>
      <c r="P978" s="403">
        <v>1.6439999999999999</v>
      </c>
      <c r="Q978" s="302">
        <v>0</v>
      </c>
      <c r="R978" s="302">
        <v>0</v>
      </c>
      <c r="S978" s="302">
        <v>0</v>
      </c>
      <c r="T978" s="122">
        <f t="shared" si="1277"/>
        <v>0.68300000000000005</v>
      </c>
      <c r="U978" s="403">
        <v>0.68300000000000005</v>
      </c>
      <c r="V978" s="302">
        <v>0</v>
      </c>
      <c r="W978" s="118"/>
      <c r="X978" s="118"/>
      <c r="Y978" s="122">
        <f t="shared" si="1278"/>
        <v>0</v>
      </c>
      <c r="Z978" s="401"/>
      <c r="AA978" s="118"/>
      <c r="AB978" s="118"/>
      <c r="AC978" s="118"/>
      <c r="AD978" s="122">
        <f t="shared" si="1279"/>
        <v>0</v>
      </c>
      <c r="AE978" s="401"/>
      <c r="AF978" s="118"/>
      <c r="AG978" s="118"/>
      <c r="AH978" s="118"/>
      <c r="AI978" s="122">
        <f t="shared" si="1280"/>
        <v>0</v>
      </c>
      <c r="AJ978" s="401"/>
      <c r="AK978" s="118"/>
      <c r="AL978" s="118"/>
      <c r="AM978" s="118"/>
      <c r="AN978" s="122">
        <f t="shared" si="1281"/>
        <v>0</v>
      </c>
      <c r="AO978" s="401"/>
      <c r="AP978" s="118"/>
      <c r="AQ978" s="118"/>
      <c r="AR978" s="118"/>
      <c r="AS978" s="122">
        <f t="shared" si="1282"/>
        <v>0</v>
      </c>
      <c r="AT978" s="401"/>
      <c r="AU978" s="118"/>
      <c r="AV978" s="118"/>
      <c r="AW978" s="118"/>
      <c r="AX978" s="122">
        <f t="shared" si="1283"/>
        <v>0</v>
      </c>
      <c r="AY978" s="401"/>
      <c r="AZ978" s="118"/>
      <c r="BA978" s="118"/>
      <c r="BB978" s="118"/>
      <c r="BC978" s="122">
        <f t="shared" si="1284"/>
        <v>0</v>
      </c>
      <c r="BD978" s="401"/>
      <c r="BE978" s="118"/>
      <c r="BF978" s="118"/>
      <c r="BG978" s="118"/>
      <c r="BH978" s="122">
        <f t="shared" si="1285"/>
        <v>0</v>
      </c>
      <c r="BI978" s="401"/>
      <c r="BJ978" s="971"/>
      <c r="BK978" s="118"/>
      <c r="BL978" s="118"/>
      <c r="BM978" s="118">
        <f t="shared" si="1286"/>
        <v>0</v>
      </c>
      <c r="BN978" s="401"/>
      <c r="BO978" s="118"/>
      <c r="BP978" s="118"/>
      <c r="BQ978" s="118"/>
      <c r="BR978" s="118">
        <f t="shared" si="1287"/>
        <v>0</v>
      </c>
      <c r="BS978" s="401"/>
      <c r="BT978" s="401"/>
      <c r="BU978" s="401"/>
      <c r="BV978" s="401"/>
      <c r="BW978" s="122"/>
    </row>
    <row r="979" spans="1:75" s="123" customFormat="1" hidden="1" outlineLevel="1" x14ac:dyDescent="0.5">
      <c r="A979" s="464" t="s">
        <v>2116</v>
      </c>
      <c r="B979" s="513"/>
      <c r="C979" s="403">
        <v>0</v>
      </c>
      <c r="D979" s="403">
        <v>-0.4</v>
      </c>
      <c r="E979" s="403">
        <v>-0.6</v>
      </c>
      <c r="F979" s="403">
        <v>-8.7999999999999995E-2</v>
      </c>
      <c r="G979" s="302">
        <v>2.5999999999999999E-2</v>
      </c>
      <c r="H979" s="302">
        <v>1.274</v>
      </c>
      <c r="I979" s="302">
        <v>4.4999999999999998E-2</v>
      </c>
      <c r="J979" s="122">
        <f t="shared" si="1275"/>
        <v>4.4999999999999998E-2</v>
      </c>
      <c r="K979" s="403">
        <v>4.4999999999999998E-2</v>
      </c>
      <c r="L979" s="302">
        <v>0.13300000000000001</v>
      </c>
      <c r="M979" s="302">
        <v>0.28199999999999997</v>
      </c>
      <c r="N979" s="302">
        <v>1.2050000000000001</v>
      </c>
      <c r="O979" s="122">
        <f t="shared" si="1276"/>
        <v>0.26700000000000002</v>
      </c>
      <c r="P979" s="403">
        <v>0.26700000000000002</v>
      </c>
      <c r="Q979" s="302">
        <v>5.0000000000000001E-3</v>
      </c>
      <c r="R979" s="302">
        <v>0.27800000000000002</v>
      </c>
      <c r="S979" s="302">
        <v>0.53500000000000003</v>
      </c>
      <c r="T979" s="122">
        <f t="shared" si="1277"/>
        <v>8.5999999999999993E-2</v>
      </c>
      <c r="U979" s="403">
        <v>8.5999999999999993E-2</v>
      </c>
      <c r="V979" s="302">
        <v>0.29399999999999998</v>
      </c>
      <c r="W979" s="302">
        <v>0.36299999999999999</v>
      </c>
      <c r="X979" s="302">
        <v>0.37</v>
      </c>
      <c r="Y979" s="122">
        <f t="shared" si="1278"/>
        <v>0.439</v>
      </c>
      <c r="Z979" s="403">
        <v>0.439</v>
      </c>
      <c r="AA979" s="302">
        <v>5.0000000000000001E-3</v>
      </c>
      <c r="AB979" s="302">
        <v>4.3999999999999997E-2</v>
      </c>
      <c r="AC979" s="302">
        <v>0.45800000000000002</v>
      </c>
      <c r="AD979" s="122">
        <f t="shared" si="1279"/>
        <v>0.48</v>
      </c>
      <c r="AE979" s="403">
        <v>0.48</v>
      </c>
      <c r="AF979" s="302">
        <v>0.12</v>
      </c>
      <c r="AG979" s="302">
        <v>0.51300000000000001</v>
      </c>
      <c r="AH979" s="302">
        <v>1.804</v>
      </c>
      <c r="AI979" s="122">
        <f t="shared" si="1280"/>
        <v>2.2029999999999998</v>
      </c>
      <c r="AJ979" s="403">
        <v>2.2029999999999998</v>
      </c>
      <c r="AK979" s="302">
        <v>0.107</v>
      </c>
      <c r="AL979" s="302">
        <v>0.47</v>
      </c>
      <c r="AM979" s="302">
        <v>0.47</v>
      </c>
      <c r="AN979" s="122">
        <f t="shared" si="1281"/>
        <v>0.72799999999999998</v>
      </c>
      <c r="AO979" s="403">
        <v>0.72799999999999998</v>
      </c>
      <c r="AP979" s="302">
        <v>0.24199999999999999</v>
      </c>
      <c r="AQ979" s="302">
        <v>0.24099999999999999</v>
      </c>
      <c r="AR979" s="302">
        <v>0.50600000000000001</v>
      </c>
      <c r="AS979" s="122">
        <f t="shared" si="1282"/>
        <v>0.629</v>
      </c>
      <c r="AT979" s="403">
        <v>0.629</v>
      </c>
      <c r="AU979" s="302">
        <v>9.2999999999999999E-2</v>
      </c>
      <c r="AV979" s="302">
        <v>9.7000000000000003E-2</v>
      </c>
      <c r="AW979" s="302">
        <v>9.7000000000000003E-2</v>
      </c>
      <c r="AX979" s="122">
        <f t="shared" si="1283"/>
        <v>0.27</v>
      </c>
      <c r="AY979" s="403">
        <v>0.27</v>
      </c>
      <c r="AZ979" s="302">
        <v>8.5999999999999993E-2</v>
      </c>
      <c r="BA979" s="302">
        <v>8.5999999999999993E-2</v>
      </c>
      <c r="BB979" s="302">
        <v>0.1</v>
      </c>
      <c r="BC979" s="122">
        <f t="shared" si="1284"/>
        <v>0.16200000000000001</v>
      </c>
      <c r="BD979" s="403">
        <v>0.16200000000000001</v>
      </c>
      <c r="BE979" s="302">
        <v>0.14799999999999999</v>
      </c>
      <c r="BF979" s="302">
        <v>0.21099999999999999</v>
      </c>
      <c r="BG979" s="302">
        <v>0.40200000000000002</v>
      </c>
      <c r="BH979" s="122">
        <f t="shared" si="1285"/>
        <v>0.20100000000000001</v>
      </c>
      <c r="BI979" s="403">
        <v>0.20100000000000001</v>
      </c>
      <c r="BJ979" s="1207">
        <v>3.1E-2</v>
      </c>
      <c r="BK979" s="118"/>
      <c r="BL979" s="118"/>
      <c r="BM979" s="118">
        <f t="shared" si="1286"/>
        <v>0</v>
      </c>
      <c r="BN979" s="401"/>
      <c r="BO979" s="118"/>
      <c r="BP979" s="118"/>
      <c r="BQ979" s="118"/>
      <c r="BR979" s="118">
        <f t="shared" si="1287"/>
        <v>0</v>
      </c>
      <c r="BS979" s="401"/>
      <c r="BT979" s="401"/>
      <c r="BU979" s="401"/>
      <c r="BV979" s="401"/>
      <c r="BW979" s="122"/>
    </row>
    <row r="980" spans="1:75" s="198" customFormat="1" ht="14.25" hidden="1" outlineLevel="1" x14ac:dyDescent="0.45">
      <c r="A980" s="516" t="s">
        <v>1388</v>
      </c>
      <c r="B980" s="517"/>
      <c r="C980" s="519">
        <f t="shared" ref="C980:BN980" si="1288">SUM(C974:C979)</f>
        <v>-71.23</v>
      </c>
      <c r="D980" s="519">
        <f t="shared" si="1288"/>
        <v>-63.995000000000005</v>
      </c>
      <c r="E980" s="519">
        <f t="shared" si="1288"/>
        <v>-157.70400000000001</v>
      </c>
      <c r="F980" s="519">
        <f t="shared" si="1288"/>
        <v>-206.815</v>
      </c>
      <c r="G980" s="520">
        <f t="shared" si="1288"/>
        <v>-46.658000000000001</v>
      </c>
      <c r="H980" s="520">
        <f t="shared" si="1288"/>
        <v>-97.415000000000006</v>
      </c>
      <c r="I980" s="520">
        <f t="shared" si="1288"/>
        <v>-142.001</v>
      </c>
      <c r="J980" s="520">
        <f t="shared" si="1288"/>
        <v>-190.62400000000002</v>
      </c>
      <c r="K980" s="519">
        <f t="shared" si="1288"/>
        <v>-190.62400000000002</v>
      </c>
      <c r="L980" s="520">
        <f t="shared" si="1288"/>
        <v>-37.985999999999997</v>
      </c>
      <c r="M980" s="520">
        <f t="shared" si="1288"/>
        <v>-68.948000000000008</v>
      </c>
      <c r="N980" s="520">
        <f t="shared" si="1288"/>
        <v>-116.17599999999999</v>
      </c>
      <c r="O980" s="520">
        <f t="shared" si="1288"/>
        <v>-188.60000000000002</v>
      </c>
      <c r="P980" s="519">
        <f t="shared" si="1288"/>
        <v>-188.60000000000002</v>
      </c>
      <c r="Q980" s="520">
        <f t="shared" si="1288"/>
        <v>-40.378999999999998</v>
      </c>
      <c r="R980" s="520">
        <f t="shared" si="1288"/>
        <v>-86.570999999999998</v>
      </c>
      <c r="S980" s="520">
        <f t="shared" si="1288"/>
        <v>-135.53399999999999</v>
      </c>
      <c r="T980" s="520">
        <f t="shared" si="1288"/>
        <v>-202.166</v>
      </c>
      <c r="U980" s="519">
        <f t="shared" si="1288"/>
        <v>-202.166</v>
      </c>
      <c r="V980" s="520">
        <f t="shared" si="1288"/>
        <v>-27.855</v>
      </c>
      <c r="W980" s="520">
        <f t="shared" si="1288"/>
        <v>-77.513999999999996</v>
      </c>
      <c r="X980" s="520">
        <f t="shared" si="1288"/>
        <v>-126.79899999999999</v>
      </c>
      <c r="Y980" s="520">
        <f t="shared" si="1288"/>
        <v>-196.97499999999999</v>
      </c>
      <c r="Z980" s="519">
        <f t="shared" si="1288"/>
        <v>-196.97499999999999</v>
      </c>
      <c r="AA980" s="520">
        <f t="shared" si="1288"/>
        <v>-32.147999999999996</v>
      </c>
      <c r="AB980" s="520">
        <f t="shared" si="1288"/>
        <v>-82.683000000000007</v>
      </c>
      <c r="AC980" s="520">
        <f t="shared" si="1288"/>
        <v>-135.363</v>
      </c>
      <c r="AD980" s="520">
        <f t="shared" si="1288"/>
        <v>-269.76</v>
      </c>
      <c r="AE980" s="519">
        <f t="shared" si="1288"/>
        <v>-269.76</v>
      </c>
      <c r="AF980" s="520">
        <f t="shared" si="1288"/>
        <v>-33.909000000000006</v>
      </c>
      <c r="AG980" s="520">
        <f t="shared" si="1288"/>
        <v>-79.507999999999996</v>
      </c>
      <c r="AH980" s="520">
        <f t="shared" si="1288"/>
        <v>-126.52199999999999</v>
      </c>
      <c r="AI980" s="520">
        <f t="shared" si="1288"/>
        <v>-187.899</v>
      </c>
      <c r="AJ980" s="519">
        <f t="shared" si="1288"/>
        <v>-187.899</v>
      </c>
      <c r="AK980" s="520">
        <f t="shared" si="1288"/>
        <v>-36.041000000000004</v>
      </c>
      <c r="AL980" s="520">
        <f t="shared" si="1288"/>
        <v>-76.718999999999994</v>
      </c>
      <c r="AM980" s="520">
        <f t="shared" si="1288"/>
        <v>-120.684</v>
      </c>
      <c r="AN980" s="520">
        <f t="shared" si="1288"/>
        <v>-185.548</v>
      </c>
      <c r="AO980" s="519">
        <f t="shared" si="1288"/>
        <v>-185.548</v>
      </c>
      <c r="AP980" s="520">
        <f t="shared" si="1288"/>
        <v>-42.079000000000001</v>
      </c>
      <c r="AQ980" s="520">
        <f t="shared" si="1288"/>
        <v>-75.882000000000005</v>
      </c>
      <c r="AR980" s="520">
        <f t="shared" si="1288"/>
        <v>-124.379</v>
      </c>
      <c r="AS980" s="520">
        <f t="shared" si="1288"/>
        <v>-168.88400000000001</v>
      </c>
      <c r="AT980" s="519">
        <f t="shared" si="1288"/>
        <v>-168.88400000000001</v>
      </c>
      <c r="AU980" s="520">
        <f t="shared" si="1288"/>
        <v>-42.266999999999996</v>
      </c>
      <c r="AV980" s="520">
        <f t="shared" si="1288"/>
        <v>-78.184000000000012</v>
      </c>
      <c r="AW980" s="520">
        <f t="shared" si="1288"/>
        <v>-140.91299999999998</v>
      </c>
      <c r="AX980" s="520">
        <f t="shared" si="1288"/>
        <v>-226.24699999999999</v>
      </c>
      <c r="AY980" s="519">
        <f t="shared" si="1288"/>
        <v>-226.24699999999999</v>
      </c>
      <c r="AZ980" s="520">
        <f t="shared" si="1288"/>
        <v>-71.100000000000009</v>
      </c>
      <c r="BA980" s="520">
        <f t="shared" si="1288"/>
        <v>-148.46199999999999</v>
      </c>
      <c r="BB980" s="520">
        <f t="shared" si="1288"/>
        <v>-234.27799999999999</v>
      </c>
      <c r="BC980" s="520">
        <f t="shared" si="1288"/>
        <v>-353.95500000000004</v>
      </c>
      <c r="BD980" s="519">
        <f t="shared" si="1288"/>
        <v>-353.95500000000004</v>
      </c>
      <c r="BE980" s="520">
        <f t="shared" si="1288"/>
        <v>-49.881</v>
      </c>
      <c r="BF980" s="520">
        <f t="shared" si="1288"/>
        <v>-92.668999999999997</v>
      </c>
      <c r="BG980" s="520">
        <f t="shared" si="1288"/>
        <v>-134.42800000000003</v>
      </c>
      <c r="BH980" s="520">
        <f t="shared" si="1288"/>
        <v>-188.25700000000001</v>
      </c>
      <c r="BI980" s="519">
        <f t="shared" si="1288"/>
        <v>-188.25700000000001</v>
      </c>
      <c r="BJ980" s="1270">
        <f>SUM(BJ974:BJ979)</f>
        <v>-39.481999999999999</v>
      </c>
      <c r="BK980" s="327">
        <f t="shared" si="1288"/>
        <v>0</v>
      </c>
      <c r="BL980" s="327">
        <f t="shared" si="1288"/>
        <v>0</v>
      </c>
      <c r="BM980" s="327">
        <f t="shared" si="1288"/>
        <v>0</v>
      </c>
      <c r="BN980" s="518">
        <f t="shared" si="1288"/>
        <v>0</v>
      </c>
      <c r="BO980" s="327">
        <f t="shared" ref="BO980:CF980" si="1289">SUM(BO974:BO979)</f>
        <v>0</v>
      </c>
      <c r="BP980" s="327">
        <f t="shared" si="1289"/>
        <v>0</v>
      </c>
      <c r="BQ980" s="327">
        <f t="shared" si="1289"/>
        <v>0</v>
      </c>
      <c r="BR980" s="327">
        <f t="shared" si="1289"/>
        <v>0</v>
      </c>
      <c r="BS980" s="518">
        <f t="shared" si="1289"/>
        <v>0</v>
      </c>
      <c r="BT980" s="518">
        <f t="shared" si="1289"/>
        <v>0</v>
      </c>
      <c r="BU980" s="518">
        <f t="shared" si="1289"/>
        <v>0</v>
      </c>
      <c r="BV980" s="518">
        <f t="shared" si="1289"/>
        <v>0</v>
      </c>
      <c r="BW980" s="197"/>
    </row>
    <row r="981" spans="1:75" s="198" customFormat="1" ht="14.25" hidden="1" outlineLevel="1" x14ac:dyDescent="0.45">
      <c r="A981" s="206"/>
      <c r="B981" s="522"/>
      <c r="C981" s="397"/>
      <c r="D981" s="397"/>
      <c r="E981" s="397"/>
      <c r="F981" s="397"/>
      <c r="G981" s="295"/>
      <c r="H981" s="295"/>
      <c r="I981" s="295"/>
      <c r="J981" s="295"/>
      <c r="K981" s="397"/>
      <c r="L981" s="295"/>
      <c r="M981" s="295"/>
      <c r="N981" s="295"/>
      <c r="O981" s="295"/>
      <c r="P981" s="397"/>
      <c r="Q981" s="295"/>
      <c r="R981" s="295"/>
      <c r="S981" s="295"/>
      <c r="T981" s="295"/>
      <c r="U981" s="397"/>
      <c r="V981" s="295"/>
      <c r="W981" s="295"/>
      <c r="X981" s="295"/>
      <c r="Y981" s="295"/>
      <c r="Z981" s="397"/>
      <c r="AA981" s="295"/>
      <c r="AB981" s="295"/>
      <c r="AC981" s="295"/>
      <c r="AD981" s="295"/>
      <c r="AE981" s="397"/>
      <c r="AF981" s="295"/>
      <c r="AG981" s="295"/>
      <c r="AH981" s="295"/>
      <c r="AI981" s="295"/>
      <c r="AJ981" s="397"/>
      <c r="AK981" s="295"/>
      <c r="AL981" s="295"/>
      <c r="AM981" s="295"/>
      <c r="AN981" s="295"/>
      <c r="AO981" s="397"/>
      <c r="AP981" s="295"/>
      <c r="AQ981" s="295"/>
      <c r="AR981" s="295"/>
      <c r="AS981" s="295"/>
      <c r="AT981" s="397"/>
      <c r="AU981" s="295"/>
      <c r="AV981" s="295"/>
      <c r="AW981" s="295"/>
      <c r="AX981" s="295"/>
      <c r="AY981" s="397"/>
      <c r="AZ981" s="295"/>
      <c r="BA981" s="295"/>
      <c r="BB981" s="295"/>
      <c r="BC981" s="295"/>
      <c r="BD981" s="397"/>
      <c r="BE981" s="295"/>
      <c r="BF981" s="295"/>
      <c r="BG981" s="295"/>
      <c r="BH981" s="295"/>
      <c r="BI981" s="397"/>
      <c r="BJ981" s="1030"/>
      <c r="BK981" s="295"/>
      <c r="BL981" s="295"/>
      <c r="BM981" s="295"/>
      <c r="BN981" s="397"/>
      <c r="BO981" s="295"/>
      <c r="BP981" s="295"/>
      <c r="BQ981" s="295"/>
      <c r="BR981" s="295"/>
      <c r="BS981" s="397"/>
      <c r="BT981" s="397"/>
      <c r="BU981" s="397"/>
      <c r="BV981" s="397"/>
      <c r="BW981" s="197"/>
    </row>
    <row r="982" spans="1:75" s="198" customFormat="1" ht="14.25" hidden="1" outlineLevel="1" x14ac:dyDescent="0.45">
      <c r="A982" s="463" t="s">
        <v>1389</v>
      </c>
      <c r="B982" s="522"/>
      <c r="C982" s="397"/>
      <c r="D982" s="397"/>
      <c r="E982" s="397"/>
      <c r="F982" s="397"/>
      <c r="G982" s="295"/>
      <c r="H982" s="295"/>
      <c r="I982" s="295"/>
      <c r="J982" s="295"/>
      <c r="K982" s="397"/>
      <c r="L982" s="295"/>
      <c r="M982" s="295"/>
      <c r="N982" s="295"/>
      <c r="O982" s="295"/>
      <c r="P982" s="397"/>
      <c r="Q982" s="295"/>
      <c r="R982" s="295"/>
      <c r="S982" s="295"/>
      <c r="T982" s="295"/>
      <c r="U982" s="397"/>
      <c r="V982" s="295"/>
      <c r="W982" s="295"/>
      <c r="X982" s="295"/>
      <c r="Y982" s="295"/>
      <c r="Z982" s="397"/>
      <c r="AA982" s="295"/>
      <c r="AB982" s="295"/>
      <c r="AC982" s="295"/>
      <c r="AD982" s="295"/>
      <c r="AE982" s="397"/>
      <c r="AF982" s="295"/>
      <c r="AG982" s="295"/>
      <c r="AH982" s="295"/>
      <c r="AI982" s="295"/>
      <c r="AJ982" s="397"/>
      <c r="AK982" s="295"/>
      <c r="AL982" s="295"/>
      <c r="AM982" s="295"/>
      <c r="AN982" s="295"/>
      <c r="AO982" s="397"/>
      <c r="AP982" s="295"/>
      <c r="AQ982" s="295"/>
      <c r="AR982" s="295"/>
      <c r="AS982" s="295"/>
      <c r="AT982" s="397"/>
      <c r="AU982" s="295"/>
      <c r="AV982" s="295"/>
      <c r="AW982" s="295"/>
      <c r="AX982" s="295"/>
      <c r="AY982" s="397"/>
      <c r="AZ982" s="295"/>
      <c r="BA982" s="295"/>
      <c r="BB982" s="295"/>
      <c r="BC982" s="295"/>
      <c r="BD982" s="397"/>
      <c r="BE982" s="295"/>
      <c r="BF982" s="295"/>
      <c r="BG982" s="295"/>
      <c r="BH982" s="295"/>
      <c r="BI982" s="397"/>
      <c r="BJ982" s="1030"/>
      <c r="BK982" s="295"/>
      <c r="BL982" s="295"/>
      <c r="BM982" s="295"/>
      <c r="BN982" s="397"/>
      <c r="BO982" s="295"/>
      <c r="BP982" s="295"/>
      <c r="BQ982" s="295"/>
      <c r="BR982" s="295"/>
      <c r="BS982" s="397"/>
      <c r="BT982" s="397"/>
      <c r="BU982" s="397"/>
      <c r="BV982" s="397"/>
      <c r="BW982" s="197"/>
    </row>
    <row r="983" spans="1:75" s="123" customFormat="1" hidden="1" outlineLevel="1" x14ac:dyDescent="0.5">
      <c r="A983" s="464" t="s">
        <v>2126</v>
      </c>
      <c r="B983" s="513"/>
      <c r="C983" s="403">
        <v>0</v>
      </c>
      <c r="D983" s="403">
        <v>0</v>
      </c>
      <c r="E983" s="403">
        <v>0</v>
      </c>
      <c r="F983" s="403">
        <v>0</v>
      </c>
      <c r="G983" s="302">
        <v>0</v>
      </c>
      <c r="H983" s="302">
        <v>0</v>
      </c>
      <c r="I983" s="302">
        <v>0</v>
      </c>
      <c r="J983" s="122">
        <f>K983</f>
        <v>0</v>
      </c>
      <c r="K983" s="403">
        <v>0</v>
      </c>
      <c r="L983" s="302">
        <v>0</v>
      </c>
      <c r="M983" s="302">
        <v>0</v>
      </c>
      <c r="N983" s="302">
        <v>90</v>
      </c>
      <c r="O983" s="122">
        <f>P983</f>
        <v>90</v>
      </c>
      <c r="P983" s="403">
        <v>90</v>
      </c>
      <c r="Q983" s="302">
        <v>60</v>
      </c>
      <c r="R983" s="302">
        <v>150</v>
      </c>
      <c r="S983" s="302">
        <v>200</v>
      </c>
      <c r="T983" s="122">
        <f>U983</f>
        <v>200</v>
      </c>
      <c r="U983" s="403">
        <v>200</v>
      </c>
      <c r="V983" s="302">
        <v>100</v>
      </c>
      <c r="W983" s="302">
        <v>125</v>
      </c>
      <c r="X983" s="302">
        <v>125</v>
      </c>
      <c r="Y983" s="122">
        <f>Z983</f>
        <v>125</v>
      </c>
      <c r="Z983" s="403">
        <v>125</v>
      </c>
      <c r="AA983" s="302">
        <v>45</v>
      </c>
      <c r="AB983" s="302">
        <v>115</v>
      </c>
      <c r="AC983" s="302">
        <v>170</v>
      </c>
      <c r="AD983" s="122">
        <f t="shared" ref="AD983:AD994" si="1290">AE983</f>
        <v>170</v>
      </c>
      <c r="AE983" s="403">
        <v>170</v>
      </c>
      <c r="AF983" s="118"/>
      <c r="AG983" s="118"/>
      <c r="AH983" s="302">
        <v>60</v>
      </c>
      <c r="AI983" s="122">
        <f t="shared" ref="AI983:AI994" si="1291">AJ983</f>
        <v>60</v>
      </c>
      <c r="AJ983" s="403">
        <v>60</v>
      </c>
      <c r="AK983" s="118"/>
      <c r="AL983" s="302">
        <v>60</v>
      </c>
      <c r="AM983" s="302">
        <v>100</v>
      </c>
      <c r="AN983" s="122">
        <f t="shared" ref="AN983:AN994" si="1292">AO983</f>
        <v>100</v>
      </c>
      <c r="AO983" s="403">
        <v>100</v>
      </c>
      <c r="AP983" s="302">
        <v>487.82299999999998</v>
      </c>
      <c r="AQ983" s="302">
        <v>487.82299999999998</v>
      </c>
      <c r="AR983" s="302">
        <v>487.82299999999998</v>
      </c>
      <c r="AS983" s="122">
        <f t="shared" ref="AS983:AS994" si="1293">AT983</f>
        <v>487.82299999999998</v>
      </c>
      <c r="AT983" s="403">
        <v>487.82299999999998</v>
      </c>
      <c r="AU983" s="118"/>
      <c r="AV983" s="118"/>
      <c r="AW983" s="118"/>
      <c r="AX983" s="122">
        <f>AY983</f>
        <v>0</v>
      </c>
      <c r="AY983" s="401"/>
      <c r="AZ983" s="118"/>
      <c r="BA983" s="118"/>
      <c r="BB983" s="118"/>
      <c r="BC983" s="122">
        <f t="shared" ref="BC983:BC994" si="1294">BD983</f>
        <v>0</v>
      </c>
      <c r="BD983" s="401"/>
      <c r="BE983" s="118"/>
      <c r="BF983" s="118"/>
      <c r="BG983" s="118"/>
      <c r="BH983" s="122">
        <f t="shared" ref="BH983:BH994" si="1295">BI983</f>
        <v>0</v>
      </c>
      <c r="BI983" s="401"/>
      <c r="BJ983" s="971"/>
      <c r="BK983" s="118"/>
      <c r="BL983" s="118"/>
      <c r="BM983" s="118">
        <f t="shared" ref="BM983:BM994" si="1296">BN983</f>
        <v>0</v>
      </c>
      <c r="BN983" s="401"/>
      <c r="BO983" s="118"/>
      <c r="BP983" s="118"/>
      <c r="BQ983" s="118"/>
      <c r="BR983" s="118">
        <f t="shared" ref="BR983:BR994" si="1297">BS983</f>
        <v>0</v>
      </c>
      <c r="BS983" s="401"/>
      <c r="BT983" s="401"/>
      <c r="BU983" s="401"/>
      <c r="BV983" s="401"/>
      <c r="BW983" s="122"/>
    </row>
    <row r="984" spans="1:75" s="123" customFormat="1" hidden="1" outlineLevel="1" x14ac:dyDescent="0.5">
      <c r="A984" s="464" t="s">
        <v>2127</v>
      </c>
      <c r="B984" s="513"/>
      <c r="C984" s="403">
        <v>0</v>
      </c>
      <c r="D984" s="403">
        <v>0</v>
      </c>
      <c r="E984" s="403">
        <v>0</v>
      </c>
      <c r="F984" s="403">
        <v>0</v>
      </c>
      <c r="G984" s="302">
        <v>0</v>
      </c>
      <c r="H984" s="302">
        <v>0</v>
      </c>
      <c r="I984" s="302">
        <v>0</v>
      </c>
      <c r="J984" s="122">
        <f>K984</f>
        <v>0</v>
      </c>
      <c r="K984" s="403">
        <v>0</v>
      </c>
      <c r="L984" s="302">
        <v>0</v>
      </c>
      <c r="M984" s="302">
        <v>0</v>
      </c>
      <c r="N984" s="302">
        <v>0</v>
      </c>
      <c r="O984" s="122">
        <f>P984</f>
        <v>-90</v>
      </c>
      <c r="P984" s="403">
        <v>-90</v>
      </c>
      <c r="Q984" s="302">
        <v>0</v>
      </c>
      <c r="R984" s="302">
        <v>0</v>
      </c>
      <c r="S984" s="302">
        <v>0</v>
      </c>
      <c r="T984" s="122">
        <f>U984</f>
        <v>-200</v>
      </c>
      <c r="U984" s="403">
        <v>-200</v>
      </c>
      <c r="V984" s="302">
        <v>0</v>
      </c>
      <c r="W984" s="118"/>
      <c r="X984" s="118"/>
      <c r="Y984" s="122">
        <f>Z984</f>
        <v>-125</v>
      </c>
      <c r="Z984" s="403">
        <v>-125</v>
      </c>
      <c r="AA984" s="118"/>
      <c r="AB984" s="118"/>
      <c r="AC984" s="118"/>
      <c r="AD984" s="122">
        <f t="shared" si="1290"/>
        <v>-170</v>
      </c>
      <c r="AE984" s="403">
        <v>-170</v>
      </c>
      <c r="AF984" s="118"/>
      <c r="AG984" s="118"/>
      <c r="AH984" s="118"/>
      <c r="AI984" s="122">
        <f t="shared" si="1291"/>
        <v>-60</v>
      </c>
      <c r="AJ984" s="403">
        <v>-60</v>
      </c>
      <c r="AK984" s="118"/>
      <c r="AL984" s="118"/>
      <c r="AM984" s="118"/>
      <c r="AN984" s="122">
        <f t="shared" si="1292"/>
        <v>-100</v>
      </c>
      <c r="AO984" s="403">
        <v>-100</v>
      </c>
      <c r="AP984" s="118"/>
      <c r="AQ984" s="118"/>
      <c r="AR984" s="302">
        <v>-487.82299999999998</v>
      </c>
      <c r="AS984" s="122">
        <f t="shared" si="1293"/>
        <v>-487.82299999999998</v>
      </c>
      <c r="AT984" s="403">
        <v>-487.82299999999998</v>
      </c>
      <c r="AU984" s="118"/>
      <c r="AV984" s="118"/>
      <c r="AW984" s="118"/>
      <c r="AX984" s="122">
        <f>AY984</f>
        <v>0</v>
      </c>
      <c r="AY984" s="401"/>
      <c r="AZ984" s="118"/>
      <c r="BA984" s="118"/>
      <c r="BB984" s="118"/>
      <c r="BC984" s="122">
        <f t="shared" si="1294"/>
        <v>0</v>
      </c>
      <c r="BD984" s="401"/>
      <c r="BE984" s="118"/>
      <c r="BF984" s="118"/>
      <c r="BG984" s="118"/>
      <c r="BH984" s="122">
        <f t="shared" si="1295"/>
        <v>0</v>
      </c>
      <c r="BI984" s="401"/>
      <c r="BJ984" s="971"/>
      <c r="BK984" s="118"/>
      <c r="BL984" s="118"/>
      <c r="BM984" s="118">
        <f t="shared" si="1296"/>
        <v>0</v>
      </c>
      <c r="BN984" s="401"/>
      <c r="BO984" s="118"/>
      <c r="BP984" s="118"/>
      <c r="BQ984" s="118"/>
      <c r="BR984" s="118">
        <f t="shared" si="1297"/>
        <v>0</v>
      </c>
      <c r="BS984" s="401"/>
      <c r="BT984" s="401"/>
      <c r="BU984" s="401"/>
      <c r="BV984" s="401"/>
      <c r="BW984" s="122"/>
    </row>
    <row r="985" spans="1:75" s="123" customFormat="1" hidden="1" outlineLevel="1" x14ac:dyDescent="0.5">
      <c r="A985" s="464" t="s">
        <v>2128</v>
      </c>
      <c r="B985" s="513"/>
      <c r="C985" s="401"/>
      <c r="D985" s="401"/>
      <c r="E985" s="401"/>
      <c r="F985" s="401"/>
      <c r="G985" s="118"/>
      <c r="H985" s="118"/>
      <c r="I985" s="118"/>
      <c r="J985" s="118"/>
      <c r="K985" s="401"/>
      <c r="L985" s="118"/>
      <c r="M985" s="118"/>
      <c r="N985" s="118"/>
      <c r="O985" s="118"/>
      <c r="P985" s="401"/>
      <c r="Q985" s="118"/>
      <c r="R985" s="118"/>
      <c r="S985" s="118"/>
      <c r="T985" s="118"/>
      <c r="U985" s="401"/>
      <c r="V985" s="118"/>
      <c r="W985" s="118"/>
      <c r="X985" s="118"/>
      <c r="Y985" s="118"/>
      <c r="Z985" s="401"/>
      <c r="AA985" s="118"/>
      <c r="AB985" s="118"/>
      <c r="AC985" s="118"/>
      <c r="AD985" s="122">
        <f t="shared" si="1290"/>
        <v>300</v>
      </c>
      <c r="AE985" s="403">
        <v>300</v>
      </c>
      <c r="AF985" s="118"/>
      <c r="AG985" s="118"/>
      <c r="AH985" s="118"/>
      <c r="AI985" s="122">
        <f t="shared" si="1291"/>
        <v>0</v>
      </c>
      <c r="AJ985" s="401"/>
      <c r="AK985" s="118"/>
      <c r="AL985" s="118"/>
      <c r="AM985" s="118"/>
      <c r="AN985" s="122">
        <f t="shared" si="1292"/>
        <v>0</v>
      </c>
      <c r="AO985" s="401"/>
      <c r="AP985" s="118"/>
      <c r="AQ985" s="118"/>
      <c r="AR985" s="118"/>
      <c r="AS985" s="122">
        <f t="shared" si="1293"/>
        <v>0</v>
      </c>
      <c r="AT985" s="401"/>
      <c r="AU985" s="118"/>
      <c r="AV985" s="118"/>
      <c r="AW985" s="118"/>
      <c r="AX985" s="122">
        <f>AY985</f>
        <v>0</v>
      </c>
      <c r="AY985" s="401"/>
      <c r="AZ985" s="118"/>
      <c r="BA985" s="118"/>
      <c r="BB985" s="118"/>
      <c r="BC985" s="122">
        <f t="shared" si="1294"/>
        <v>0</v>
      </c>
      <c r="BD985" s="401"/>
      <c r="BE985" s="118"/>
      <c r="BF985" s="118"/>
      <c r="BG985" s="118"/>
      <c r="BH985" s="122">
        <f t="shared" si="1295"/>
        <v>0</v>
      </c>
      <c r="BI985" s="401"/>
      <c r="BJ985" s="971"/>
      <c r="BK985" s="118"/>
      <c r="BL985" s="118"/>
      <c r="BM985" s="118">
        <f t="shared" si="1296"/>
        <v>0</v>
      </c>
      <c r="BN985" s="401"/>
      <c r="BO985" s="118"/>
      <c r="BP985" s="118"/>
      <c r="BQ985" s="118"/>
      <c r="BR985" s="118">
        <f t="shared" si="1297"/>
        <v>0</v>
      </c>
      <c r="BS985" s="401"/>
      <c r="BT985" s="401"/>
      <c r="BU985" s="401"/>
      <c r="BV985" s="401"/>
      <c r="BW985" s="122"/>
    </row>
    <row r="986" spans="1:75" s="123" customFormat="1" hidden="1" outlineLevel="1" x14ac:dyDescent="0.5">
      <c r="A986" s="464" t="s">
        <v>2129</v>
      </c>
      <c r="B986" s="513"/>
      <c r="C986" s="403">
        <v>0</v>
      </c>
      <c r="D986" s="403">
        <v>-125</v>
      </c>
      <c r="E986" s="403">
        <v>-194.429</v>
      </c>
      <c r="F986" s="403">
        <v>-155.08000000000001</v>
      </c>
      <c r="G986" s="302">
        <v>-41.173999999999999</v>
      </c>
      <c r="H986" s="302">
        <v>-131.006</v>
      </c>
      <c r="I986" s="302">
        <v>-216.369</v>
      </c>
      <c r="J986" s="122">
        <f>K986</f>
        <v>-239.274</v>
      </c>
      <c r="K986" s="403">
        <v>-239.274</v>
      </c>
      <c r="L986" s="302">
        <v>-53.308999999999997</v>
      </c>
      <c r="M986" s="302">
        <v>-112.054</v>
      </c>
      <c r="N986" s="302">
        <v>-195.23500000000001</v>
      </c>
      <c r="O986" s="122">
        <f>P986</f>
        <v>-224.37700000000001</v>
      </c>
      <c r="P986" s="403">
        <v>-224.37700000000001</v>
      </c>
      <c r="Q986" s="302">
        <v>-52.561999999999998</v>
      </c>
      <c r="R986" s="302">
        <v>-125</v>
      </c>
      <c r="S986" s="302">
        <v>-196.49700000000001</v>
      </c>
      <c r="T986" s="122">
        <f>U986</f>
        <v>-224.995</v>
      </c>
      <c r="U986" s="403">
        <v>-224.995</v>
      </c>
      <c r="V986" s="302">
        <v>-40.639000000000003</v>
      </c>
      <c r="W986" s="302">
        <v>-76.165999999999997</v>
      </c>
      <c r="X986" s="302">
        <v>-115.167</v>
      </c>
      <c r="Y986" s="122">
        <f>Z986</f>
        <v>-151.27199999999999</v>
      </c>
      <c r="Z986" s="403">
        <v>-151.27199999999999</v>
      </c>
      <c r="AA986" s="302">
        <v>-38.35</v>
      </c>
      <c r="AB986" s="302">
        <v>-93.361000000000004</v>
      </c>
      <c r="AC986" s="302">
        <v>-154.321</v>
      </c>
      <c r="AD986" s="122">
        <f t="shared" si="1290"/>
        <v>-196.179</v>
      </c>
      <c r="AE986" s="403">
        <v>-196.179</v>
      </c>
      <c r="AF986" s="302">
        <v>-37.713000000000001</v>
      </c>
      <c r="AG986" s="302">
        <v>-174.81800000000001</v>
      </c>
      <c r="AH986" s="302">
        <v>-220.221</v>
      </c>
      <c r="AI986" s="122">
        <f t="shared" si="1291"/>
        <v>-295.30399999999997</v>
      </c>
      <c r="AJ986" s="403">
        <v>-295.30399999999997</v>
      </c>
      <c r="AK986" s="302">
        <v>-33.847999999999999</v>
      </c>
      <c r="AL986" s="302">
        <v>-72.131</v>
      </c>
      <c r="AM986" s="302">
        <v>-112.714</v>
      </c>
      <c r="AN986" s="122">
        <f t="shared" si="1292"/>
        <v>-148.834</v>
      </c>
      <c r="AO986" s="403">
        <v>-148.834</v>
      </c>
      <c r="AP986" s="118"/>
      <c r="AQ986" s="118"/>
      <c r="AR986" s="302">
        <v>-109.048</v>
      </c>
      <c r="AS986" s="122">
        <f t="shared" si="1293"/>
        <v>-150</v>
      </c>
      <c r="AT986" s="403">
        <v>-150</v>
      </c>
      <c r="AU986" s="302">
        <v>-315.529</v>
      </c>
      <c r="AV986" s="302">
        <v>-451.38799999999998</v>
      </c>
      <c r="AW986" s="302">
        <v>-652.69899999999996</v>
      </c>
      <c r="AX986" s="122">
        <f>AY986</f>
        <v>-899.43299999999999</v>
      </c>
      <c r="AY986" s="403">
        <v>-899.43299999999999</v>
      </c>
      <c r="AZ986" s="302">
        <v>-501.07499999999999</v>
      </c>
      <c r="BA986" s="302">
        <v>-766.42399999999998</v>
      </c>
      <c r="BB986" s="302">
        <v>-840.95500000000004</v>
      </c>
      <c r="BC986" s="122">
        <f t="shared" si="1294"/>
        <v>-880.03800000000001</v>
      </c>
      <c r="BD986" s="403">
        <v>-880.03800000000001</v>
      </c>
      <c r="BE986" s="302">
        <v>-300</v>
      </c>
      <c r="BF986" s="302">
        <v>-310</v>
      </c>
      <c r="BG986" s="302">
        <v>-313.00099999999998</v>
      </c>
      <c r="BH986" s="122">
        <f t="shared" si="1295"/>
        <v>-313.00099999999998</v>
      </c>
      <c r="BI986" s="403">
        <v>-313.00099999999998</v>
      </c>
      <c r="BJ986" s="1207">
        <v>-43.780999999999999</v>
      </c>
      <c r="BK986" s="118"/>
      <c r="BL986" s="118"/>
      <c r="BM986" s="118">
        <f t="shared" si="1296"/>
        <v>0</v>
      </c>
      <c r="BN986" s="401"/>
      <c r="BO986" s="118"/>
      <c r="BP986" s="118"/>
      <c r="BQ986" s="118"/>
      <c r="BR986" s="118">
        <f t="shared" si="1297"/>
        <v>0</v>
      </c>
      <c r="BS986" s="401"/>
      <c r="BT986" s="401"/>
      <c r="BU986" s="401"/>
      <c r="BV986" s="401"/>
      <c r="BW986" s="122"/>
    </row>
    <row r="987" spans="1:75" s="123" customFormat="1" hidden="1" outlineLevel="1" x14ac:dyDescent="0.5">
      <c r="A987" s="464" t="s">
        <v>2130</v>
      </c>
      <c r="B987" s="513"/>
      <c r="C987" s="401"/>
      <c r="D987" s="401"/>
      <c r="E987" s="401"/>
      <c r="F987" s="401"/>
      <c r="G987" s="118"/>
      <c r="H987" s="118"/>
      <c r="I987" s="118"/>
      <c r="J987" s="118"/>
      <c r="K987" s="401"/>
      <c r="L987" s="118"/>
      <c r="M987" s="118"/>
      <c r="N987" s="118"/>
      <c r="O987" s="118"/>
      <c r="P987" s="401"/>
      <c r="Q987" s="118"/>
      <c r="R987" s="118"/>
      <c r="S987" s="118"/>
      <c r="T987" s="118"/>
      <c r="U987" s="401"/>
      <c r="V987" s="118"/>
      <c r="W987" s="118"/>
      <c r="X987" s="118"/>
      <c r="Y987" s="118"/>
      <c r="Z987" s="401"/>
      <c r="AA987" s="118"/>
      <c r="AB987" s="118"/>
      <c r="AC987" s="118"/>
      <c r="AD987" s="118"/>
      <c r="AE987" s="401"/>
      <c r="AF987" s="118"/>
      <c r="AG987" s="118"/>
      <c r="AH987" s="118"/>
      <c r="AI987" s="118"/>
      <c r="AJ987" s="401"/>
      <c r="AK987" s="118"/>
      <c r="AL987" s="118"/>
      <c r="AM987" s="118"/>
      <c r="AN987" s="118"/>
      <c r="AO987" s="401"/>
      <c r="AP987" s="118"/>
      <c r="AQ987" s="118"/>
      <c r="AR987" s="118"/>
      <c r="AS987" s="118"/>
      <c r="AT987" s="401"/>
      <c r="AU987" s="302">
        <v>-300</v>
      </c>
      <c r="AV987" s="302">
        <v>-300</v>
      </c>
      <c r="AW987" s="302">
        <v>-300</v>
      </c>
      <c r="AX987" s="118">
        <f>AY987</f>
        <v>-300</v>
      </c>
      <c r="AY987" s="403">
        <v>-300</v>
      </c>
      <c r="AZ987" s="118"/>
      <c r="BA987" s="118"/>
      <c r="BB987" s="118"/>
      <c r="BC987" s="118">
        <f t="shared" si="1294"/>
        <v>0</v>
      </c>
      <c r="BD987" s="401"/>
      <c r="BE987" s="118"/>
      <c r="BF987" s="118"/>
      <c r="BG987" s="118"/>
      <c r="BH987" s="118">
        <f t="shared" si="1295"/>
        <v>0</v>
      </c>
      <c r="BI987" s="401"/>
      <c r="BJ987" s="971"/>
      <c r="BK987" s="118"/>
      <c r="BL987" s="118"/>
      <c r="BM987" s="118">
        <f t="shared" si="1296"/>
        <v>0</v>
      </c>
      <c r="BN987" s="401"/>
      <c r="BO987" s="118"/>
      <c r="BP987" s="118"/>
      <c r="BQ987" s="118"/>
      <c r="BR987" s="118">
        <f t="shared" si="1297"/>
        <v>0</v>
      </c>
      <c r="BS987" s="401"/>
      <c r="BT987" s="401"/>
      <c r="BU987" s="401"/>
      <c r="BV987" s="401"/>
      <c r="BW987" s="122"/>
    </row>
    <row r="988" spans="1:75" s="123" customFormat="1" hidden="1" outlineLevel="1" x14ac:dyDescent="0.5">
      <c r="A988" s="464" t="s">
        <v>2131</v>
      </c>
      <c r="B988" s="513"/>
      <c r="C988" s="403">
        <v>-51.131999999999998</v>
      </c>
      <c r="D988" s="403">
        <v>-59.16</v>
      </c>
      <c r="E988" s="403">
        <v>-68.876999999999995</v>
      </c>
      <c r="F988" s="403">
        <v>-87.846999999999994</v>
      </c>
      <c r="G988" s="302">
        <v>-21.984999999999999</v>
      </c>
      <c r="H988" s="302">
        <v>-52.195999999999998</v>
      </c>
      <c r="I988" s="302">
        <v>-82.03</v>
      </c>
      <c r="J988" s="122">
        <f t="shared" ref="J988:J994" si="1298">K988</f>
        <v>-111.581</v>
      </c>
      <c r="K988" s="403">
        <v>-111.581</v>
      </c>
      <c r="L988" s="302">
        <v>-32.890999999999998</v>
      </c>
      <c r="M988" s="302">
        <v>-63.996000000000002</v>
      </c>
      <c r="N988" s="302">
        <v>-95.266999999999996</v>
      </c>
      <c r="O988" s="122">
        <f t="shared" ref="O988:O994" si="1299">P988</f>
        <v>-125.758</v>
      </c>
      <c r="P988" s="403">
        <v>-125.758</v>
      </c>
      <c r="Q988" s="302">
        <v>-31.934000000000001</v>
      </c>
      <c r="R988" s="302">
        <v>-64.043999999999997</v>
      </c>
      <c r="S988" s="302">
        <v>-96.02</v>
      </c>
      <c r="T988" s="122">
        <f t="shared" ref="T988:T994" si="1300">U988</f>
        <v>-127.636</v>
      </c>
      <c r="U988" s="403">
        <v>-127.636</v>
      </c>
      <c r="V988" s="302">
        <v>-34.423000000000002</v>
      </c>
      <c r="W988" s="302">
        <v>-67.570999999999998</v>
      </c>
      <c r="X988" s="302">
        <v>-100.854</v>
      </c>
      <c r="Y988" s="122">
        <f t="shared" ref="Y988:Y994" si="1301">Z988</f>
        <v>-133.53899999999999</v>
      </c>
      <c r="Z988" s="403">
        <v>-133.53899999999999</v>
      </c>
      <c r="AA988" s="302">
        <v>-34.189</v>
      </c>
      <c r="AB988" s="302">
        <v>-68.197000000000003</v>
      </c>
      <c r="AC988" s="302">
        <v>-101.928</v>
      </c>
      <c r="AD988" s="122">
        <f t="shared" si="1290"/>
        <v>-135.01</v>
      </c>
      <c r="AE988" s="403">
        <v>-135.01</v>
      </c>
      <c r="AF988" s="302">
        <v>-34.081000000000003</v>
      </c>
      <c r="AG988" s="302">
        <v>-70.331000000000003</v>
      </c>
      <c r="AH988" s="302">
        <v>-105.654</v>
      </c>
      <c r="AI988" s="122">
        <f t="shared" si="1291"/>
        <v>-140.32499999999999</v>
      </c>
      <c r="AJ988" s="403">
        <v>-140.32499999999999</v>
      </c>
      <c r="AK988" s="302">
        <v>-36.868000000000002</v>
      </c>
      <c r="AL988" s="302">
        <v>-75.453000000000003</v>
      </c>
      <c r="AM988" s="302">
        <v>-113.15900000000001</v>
      </c>
      <c r="AN988" s="122">
        <f t="shared" si="1292"/>
        <v>-150.63999999999999</v>
      </c>
      <c r="AO988" s="403">
        <v>-150.63999999999999</v>
      </c>
      <c r="AP988" s="302">
        <v>-39.390999999999998</v>
      </c>
      <c r="AQ988" s="302">
        <v>-79.274000000000001</v>
      </c>
      <c r="AR988" s="302">
        <v>-116.761</v>
      </c>
      <c r="AS988" s="122">
        <f t="shared" si="1293"/>
        <v>-157.64500000000001</v>
      </c>
      <c r="AT988" s="403">
        <v>-157.64500000000001</v>
      </c>
      <c r="AU988" s="302">
        <v>-45.576000000000001</v>
      </c>
      <c r="AV988" s="302">
        <v>-91.069000000000003</v>
      </c>
      <c r="AW988" s="302">
        <v>-135.20099999999999</v>
      </c>
      <c r="AX988" s="122">
        <f t="shared" ref="AX988:AX994" si="1302">AY988</f>
        <v>-187.53899999999999</v>
      </c>
      <c r="AY988" s="403">
        <v>-187.53899999999999</v>
      </c>
      <c r="AZ988" s="302">
        <v>-58.15</v>
      </c>
      <c r="BA988" s="302">
        <v>-112.67400000000001</v>
      </c>
      <c r="BB988" s="302">
        <v>-165.25399999999999</v>
      </c>
      <c r="BC988" s="122">
        <f t="shared" si="1294"/>
        <v>-217.345</v>
      </c>
      <c r="BD988" s="403">
        <v>-217.345</v>
      </c>
      <c r="BE988" s="302">
        <v>-58.079000000000001</v>
      </c>
      <c r="BF988" s="302">
        <v>-116.643</v>
      </c>
      <c r="BG988" s="302">
        <v>-174.571</v>
      </c>
      <c r="BH988" s="122">
        <f t="shared" si="1295"/>
        <v>-232.47499999999999</v>
      </c>
      <c r="BI988" s="403">
        <v>-232.47499999999999</v>
      </c>
      <c r="BJ988" s="1207">
        <v>-62.862000000000002</v>
      </c>
      <c r="BK988" s="118"/>
      <c r="BL988" s="118"/>
      <c r="BM988" s="118">
        <f t="shared" si="1296"/>
        <v>0</v>
      </c>
      <c r="BN988" s="401"/>
      <c r="BO988" s="118"/>
      <c r="BP988" s="118"/>
      <c r="BQ988" s="118"/>
      <c r="BR988" s="118">
        <f t="shared" si="1297"/>
        <v>0</v>
      </c>
      <c r="BS988" s="401"/>
      <c r="BT988" s="401"/>
      <c r="BU988" s="401"/>
      <c r="BV988" s="401"/>
      <c r="BW988" s="122"/>
    </row>
    <row r="989" spans="1:75" s="123" customFormat="1" hidden="1" outlineLevel="1" x14ac:dyDescent="0.5">
      <c r="A989" s="464" t="s">
        <v>2132</v>
      </c>
      <c r="B989" s="513"/>
      <c r="C989" s="403">
        <v>-3.621</v>
      </c>
      <c r="D989" s="403">
        <v>-17.917999999999999</v>
      </c>
      <c r="E989" s="403">
        <v>-11.656000000000001</v>
      </c>
      <c r="F989" s="403">
        <v>-18.637</v>
      </c>
      <c r="G989" s="302">
        <v>-9.3840000000000003</v>
      </c>
      <c r="H989" s="302">
        <v>-11.135</v>
      </c>
      <c r="I989" s="302">
        <v>-14.162000000000001</v>
      </c>
      <c r="J989" s="122">
        <f t="shared" si="1298"/>
        <v>-18.096</v>
      </c>
      <c r="K989" s="403">
        <v>-18.096</v>
      </c>
      <c r="L989" s="302">
        <v>-46.73</v>
      </c>
      <c r="M989" s="302">
        <v>-49.433999999999997</v>
      </c>
      <c r="N989" s="302">
        <v>-53.44</v>
      </c>
      <c r="O989" s="122">
        <f t="shared" si="1299"/>
        <v>-56.976999999999997</v>
      </c>
      <c r="P989" s="403">
        <v>-56.976999999999997</v>
      </c>
      <c r="Q989" s="302">
        <v>-21.734000000000002</v>
      </c>
      <c r="R989" s="302">
        <v>-27.175000000000001</v>
      </c>
      <c r="S989" s="302">
        <v>-31.018999999999998</v>
      </c>
      <c r="T989" s="122">
        <f t="shared" si="1300"/>
        <v>-31.79</v>
      </c>
      <c r="U989" s="403">
        <v>-31.79</v>
      </c>
      <c r="V989" s="302">
        <v>-22.904</v>
      </c>
      <c r="W989" s="302">
        <v>-24.635000000000002</v>
      </c>
      <c r="X989" s="302">
        <v>-26.518000000000001</v>
      </c>
      <c r="Y989" s="122">
        <f t="shared" si="1301"/>
        <v>-27.062000000000001</v>
      </c>
      <c r="Z989" s="403">
        <v>-27.062000000000001</v>
      </c>
      <c r="AA989" s="302">
        <v>-13.78</v>
      </c>
      <c r="AB989" s="302">
        <v>-14.117000000000001</v>
      </c>
      <c r="AC989" s="302">
        <v>-14.836</v>
      </c>
      <c r="AD989" s="122">
        <f t="shared" si="1290"/>
        <v>-18.13</v>
      </c>
      <c r="AE989" s="403">
        <v>-18.13</v>
      </c>
      <c r="AF989" s="302">
        <v>-7.4379999999999997</v>
      </c>
      <c r="AG989" s="302">
        <v>-12.335000000000001</v>
      </c>
      <c r="AH989" s="302">
        <v>-13.906000000000001</v>
      </c>
      <c r="AI989" s="122">
        <f t="shared" si="1291"/>
        <v>-14.436999999999999</v>
      </c>
      <c r="AJ989" s="403">
        <v>-14.436999999999999</v>
      </c>
      <c r="AK989" s="302">
        <v>-25.405999999999999</v>
      </c>
      <c r="AL989" s="302">
        <v>-25.887</v>
      </c>
      <c r="AM989" s="302">
        <v>-26.623000000000001</v>
      </c>
      <c r="AN989" s="122">
        <f t="shared" si="1292"/>
        <v>-27.751999999999999</v>
      </c>
      <c r="AO989" s="403">
        <v>-27.751999999999999</v>
      </c>
      <c r="AP989" s="302">
        <v>-28.911999999999999</v>
      </c>
      <c r="AQ989" s="302">
        <v>-29.588999999999999</v>
      </c>
      <c r="AR989" s="302">
        <v>-30.555</v>
      </c>
      <c r="AS989" s="122">
        <f t="shared" si="1293"/>
        <v>-31.728999999999999</v>
      </c>
      <c r="AT989" s="403">
        <v>-31.728999999999999</v>
      </c>
      <c r="AU989" s="302">
        <v>-98.450999999999993</v>
      </c>
      <c r="AV989" s="302">
        <v>-100.16</v>
      </c>
      <c r="AW989" s="302">
        <v>-102.482</v>
      </c>
      <c r="AX989" s="122">
        <f t="shared" si="1302"/>
        <v>-104.235</v>
      </c>
      <c r="AY989" s="403">
        <v>-104.235</v>
      </c>
      <c r="AZ989" s="302">
        <v>-78.507999999999996</v>
      </c>
      <c r="BA989" s="302">
        <v>-79.275000000000006</v>
      </c>
      <c r="BB989" s="302">
        <v>-80.430999999999997</v>
      </c>
      <c r="BC989" s="122">
        <f t="shared" si="1294"/>
        <v>-81.290000000000006</v>
      </c>
      <c r="BD989" s="403">
        <v>-81.290000000000006</v>
      </c>
      <c r="BE989" s="302">
        <v>-4.3479999999999999</v>
      </c>
      <c r="BF989" s="302">
        <v>-49.95</v>
      </c>
      <c r="BG989" s="302">
        <v>-51.107999999999997</v>
      </c>
      <c r="BH989" s="122">
        <f t="shared" si="1295"/>
        <v>-52.831000000000003</v>
      </c>
      <c r="BI989" s="403">
        <v>-52.831000000000003</v>
      </c>
      <c r="BJ989" s="1207">
        <v>-87.007999999999996</v>
      </c>
      <c r="BK989" s="118"/>
      <c r="BL989" s="118"/>
      <c r="BM989" s="118">
        <f t="shared" si="1296"/>
        <v>0</v>
      </c>
      <c r="BN989" s="401"/>
      <c r="BO989" s="118"/>
      <c r="BP989" s="118"/>
      <c r="BQ989" s="118"/>
      <c r="BR989" s="118">
        <f t="shared" si="1297"/>
        <v>0</v>
      </c>
      <c r="BS989" s="401"/>
      <c r="BT989" s="401"/>
      <c r="BU989" s="401"/>
      <c r="BV989" s="401"/>
      <c r="BW989" s="122"/>
    </row>
    <row r="990" spans="1:75" s="123" customFormat="1" hidden="1" outlineLevel="1" x14ac:dyDescent="0.5">
      <c r="A990" s="464" t="s">
        <v>2115</v>
      </c>
      <c r="B990" s="513"/>
      <c r="C990" s="403">
        <v>2.1309999999999998</v>
      </c>
      <c r="D990" s="403">
        <v>11.239000000000001</v>
      </c>
      <c r="E990" s="403">
        <v>8.0210000000000008</v>
      </c>
      <c r="F990" s="403">
        <v>12.683</v>
      </c>
      <c r="G990" s="302">
        <v>4.0469999999999997</v>
      </c>
      <c r="H990" s="302">
        <v>5.173</v>
      </c>
      <c r="I990" s="302">
        <v>6.617</v>
      </c>
      <c r="J990" s="122">
        <f t="shared" si="1298"/>
        <v>8.7430000000000003</v>
      </c>
      <c r="K990" s="403">
        <v>8.7430000000000003</v>
      </c>
      <c r="L990" s="302">
        <v>21.370999999999999</v>
      </c>
      <c r="M990" s="302">
        <v>22.911000000000001</v>
      </c>
      <c r="N990" s="302">
        <v>24.408000000000001</v>
      </c>
      <c r="O990" s="122">
        <f t="shared" si="1299"/>
        <v>26.56</v>
      </c>
      <c r="P990" s="403">
        <v>26.56</v>
      </c>
      <c r="Q990" s="302">
        <v>8.7240000000000002</v>
      </c>
      <c r="R990" s="302">
        <v>11.807</v>
      </c>
      <c r="S990" s="302">
        <v>14.282999999999999</v>
      </c>
      <c r="T990" s="122">
        <f t="shared" si="1300"/>
        <v>14.494</v>
      </c>
      <c r="U990" s="403">
        <v>14.494</v>
      </c>
      <c r="V990" s="302">
        <v>3.8239999999999998</v>
      </c>
      <c r="W990" s="302">
        <v>4.7270000000000003</v>
      </c>
      <c r="X990" s="302">
        <v>4.8170000000000002</v>
      </c>
      <c r="Y990" s="122">
        <f t="shared" si="1301"/>
        <v>4.8940000000000001</v>
      </c>
      <c r="Z990" s="403">
        <v>4.8940000000000001</v>
      </c>
      <c r="AA990" s="118"/>
      <c r="AB990" s="118"/>
      <c r="AC990" s="118"/>
      <c r="AD990" s="122">
        <f t="shared" si="1290"/>
        <v>0</v>
      </c>
      <c r="AE990" s="401"/>
      <c r="AF990" s="118"/>
      <c r="AG990" s="118"/>
      <c r="AH990" s="118"/>
      <c r="AI990" s="122">
        <f t="shared" si="1291"/>
        <v>0</v>
      </c>
      <c r="AJ990" s="401"/>
      <c r="AK990" s="118"/>
      <c r="AL990" s="118"/>
      <c r="AM990" s="118"/>
      <c r="AN990" s="122">
        <f t="shared" si="1292"/>
        <v>0</v>
      </c>
      <c r="AO990" s="401"/>
      <c r="AP990" s="118"/>
      <c r="AQ990" s="118"/>
      <c r="AR990" s="118"/>
      <c r="AS990" s="122">
        <f t="shared" si="1293"/>
        <v>0</v>
      </c>
      <c r="AT990" s="401"/>
      <c r="AU990" s="118"/>
      <c r="AV990" s="118"/>
      <c r="AW990" s="118"/>
      <c r="AX990" s="122">
        <f t="shared" si="1302"/>
        <v>0</v>
      </c>
      <c r="AY990" s="401"/>
      <c r="AZ990" s="118"/>
      <c r="BA990" s="118"/>
      <c r="BB990" s="118"/>
      <c r="BC990" s="122">
        <f t="shared" si="1294"/>
        <v>0</v>
      </c>
      <c r="BD990" s="401"/>
      <c r="BE990" s="118"/>
      <c r="BF990" s="118"/>
      <c r="BG990" s="118"/>
      <c r="BH990" s="122">
        <f t="shared" si="1295"/>
        <v>0</v>
      </c>
      <c r="BI990" s="401"/>
      <c r="BJ990" s="971"/>
      <c r="BK990" s="118"/>
      <c r="BL990" s="118"/>
      <c r="BM990" s="118">
        <f t="shared" si="1296"/>
        <v>0</v>
      </c>
      <c r="BN990" s="401"/>
      <c r="BO990" s="118"/>
      <c r="BP990" s="118"/>
      <c r="BQ990" s="118"/>
      <c r="BR990" s="118">
        <f t="shared" si="1297"/>
        <v>0</v>
      </c>
      <c r="BS990" s="401"/>
      <c r="BT990" s="401"/>
      <c r="BU990" s="401"/>
      <c r="BV990" s="401"/>
      <c r="BW990" s="122"/>
    </row>
    <row r="991" spans="1:75" s="123" customFormat="1" hidden="1" outlineLevel="1" x14ac:dyDescent="0.5">
      <c r="A991" s="464" t="s">
        <v>2133</v>
      </c>
      <c r="B991" s="513"/>
      <c r="C991" s="403">
        <v>11.861000000000001</v>
      </c>
      <c r="D991" s="403">
        <v>15.736000000000001</v>
      </c>
      <c r="E991" s="403">
        <v>9.6140000000000008</v>
      </c>
      <c r="F991" s="403">
        <v>14.637</v>
      </c>
      <c r="G991" s="302">
        <v>3.7669999999999999</v>
      </c>
      <c r="H991" s="302">
        <v>6.5410000000000004</v>
      </c>
      <c r="I991" s="302">
        <v>6.5410000000000004</v>
      </c>
      <c r="J991" s="122">
        <f t="shared" si="1298"/>
        <v>6.6139999999999999</v>
      </c>
      <c r="K991" s="403">
        <v>6.6139999999999999</v>
      </c>
      <c r="L991" s="302">
        <v>2.9969999999999999</v>
      </c>
      <c r="M991" s="302">
        <v>3.4710000000000001</v>
      </c>
      <c r="N991" s="302">
        <v>3.5110000000000001</v>
      </c>
      <c r="O991" s="122">
        <f t="shared" si="1299"/>
        <v>4.077</v>
      </c>
      <c r="P991" s="403">
        <v>4.077</v>
      </c>
      <c r="Q991" s="302">
        <v>1.8360000000000001</v>
      </c>
      <c r="R991" s="302">
        <v>2.6469999999999998</v>
      </c>
      <c r="S991" s="302">
        <v>2.6469999999999998</v>
      </c>
      <c r="T991" s="122">
        <f t="shared" si="1300"/>
        <v>2.6469999999999998</v>
      </c>
      <c r="U991" s="403">
        <v>2.6469999999999998</v>
      </c>
      <c r="V991" s="302">
        <v>0.995</v>
      </c>
      <c r="W991" s="302">
        <v>1.532</v>
      </c>
      <c r="X991" s="302">
        <v>1.532</v>
      </c>
      <c r="Y991" s="122">
        <f t="shared" si="1301"/>
        <v>1.532</v>
      </c>
      <c r="Z991" s="403">
        <v>1.532</v>
      </c>
      <c r="AA991" s="118"/>
      <c r="AB991" s="118"/>
      <c r="AC991" s="118"/>
      <c r="AD991" s="122">
        <f t="shared" si="1290"/>
        <v>0</v>
      </c>
      <c r="AE991" s="401"/>
      <c r="AF991" s="118"/>
      <c r="AG991" s="118"/>
      <c r="AH991" s="118"/>
      <c r="AI991" s="122">
        <f t="shared" si="1291"/>
        <v>0</v>
      </c>
      <c r="AJ991" s="401"/>
      <c r="AK991" s="118"/>
      <c r="AL991" s="118"/>
      <c r="AM991" s="118"/>
      <c r="AN991" s="122">
        <f t="shared" si="1292"/>
        <v>0</v>
      </c>
      <c r="AO991" s="401"/>
      <c r="AP991" s="118"/>
      <c r="AQ991" s="118"/>
      <c r="AR991" s="118"/>
      <c r="AS991" s="122">
        <f t="shared" si="1293"/>
        <v>0</v>
      </c>
      <c r="AT991" s="401"/>
      <c r="AU991" s="118"/>
      <c r="AV991" s="118"/>
      <c r="AW991" s="118"/>
      <c r="AX991" s="122">
        <f t="shared" si="1302"/>
        <v>0</v>
      </c>
      <c r="AY991" s="401"/>
      <c r="AZ991" s="118"/>
      <c r="BA991" s="118"/>
      <c r="BB991" s="118"/>
      <c r="BC991" s="122">
        <f t="shared" si="1294"/>
        <v>0</v>
      </c>
      <c r="BD991" s="401"/>
      <c r="BE991" s="118"/>
      <c r="BF991" s="118"/>
      <c r="BG991" s="118"/>
      <c r="BH991" s="122">
        <f t="shared" si="1295"/>
        <v>0</v>
      </c>
      <c r="BI991" s="401"/>
      <c r="BJ991" s="971"/>
      <c r="BK991" s="118"/>
      <c r="BL991" s="118"/>
      <c r="BM991" s="118">
        <f t="shared" si="1296"/>
        <v>0</v>
      </c>
      <c r="BN991" s="401"/>
      <c r="BO991" s="118"/>
      <c r="BP991" s="118"/>
      <c r="BQ991" s="118"/>
      <c r="BR991" s="118">
        <f t="shared" si="1297"/>
        <v>0</v>
      </c>
      <c r="BS991" s="401"/>
      <c r="BT991" s="401"/>
      <c r="BU991" s="401"/>
      <c r="BV991" s="401"/>
      <c r="BW991" s="122"/>
    </row>
    <row r="992" spans="1:75" s="123" customFormat="1" hidden="1" outlineLevel="1" x14ac:dyDescent="0.5">
      <c r="A992" s="464" t="s">
        <v>2134</v>
      </c>
      <c r="B992" s="513"/>
      <c r="C992" s="403">
        <v>-14.702</v>
      </c>
      <c r="D992" s="403">
        <v>-1.587</v>
      </c>
      <c r="E992" s="403">
        <v>-1.6259999999999999</v>
      </c>
      <c r="F992" s="403">
        <v>-1.796</v>
      </c>
      <c r="G992" s="302">
        <v>-2.8000000000000001E-2</v>
      </c>
      <c r="H992" s="302">
        <v>-1.6919999999999999</v>
      </c>
      <c r="I992" s="302">
        <v>-1.716</v>
      </c>
      <c r="J992" s="122">
        <f t="shared" si="1298"/>
        <v>-1.724</v>
      </c>
      <c r="K992" s="403">
        <v>-1.724</v>
      </c>
      <c r="L992" s="302">
        <v>0</v>
      </c>
      <c r="M992" s="302">
        <v>-1.7849999999999999</v>
      </c>
      <c r="N992" s="302">
        <v>-1.7849999999999999</v>
      </c>
      <c r="O992" s="122">
        <f t="shared" si="1299"/>
        <v>-1.7849999999999999</v>
      </c>
      <c r="P992" s="403">
        <v>-1.7849999999999999</v>
      </c>
      <c r="Q992" s="302">
        <v>0</v>
      </c>
      <c r="R992" s="302">
        <v>-1.968</v>
      </c>
      <c r="S992" s="302">
        <v>-1.968</v>
      </c>
      <c r="T992" s="122">
        <f t="shared" si="1300"/>
        <v>-1.968</v>
      </c>
      <c r="U992" s="403">
        <v>-1.968</v>
      </c>
      <c r="V992" s="302">
        <v>0</v>
      </c>
      <c r="W992" s="118"/>
      <c r="X992" s="118"/>
      <c r="Y992" s="122">
        <f t="shared" si="1301"/>
        <v>0</v>
      </c>
      <c r="Z992" s="403">
        <v>0</v>
      </c>
      <c r="AA992" s="118"/>
      <c r="AB992" s="118"/>
      <c r="AC992" s="118"/>
      <c r="AD992" s="122">
        <f t="shared" si="1290"/>
        <v>0</v>
      </c>
      <c r="AE992" s="401"/>
      <c r="AF992" s="118"/>
      <c r="AG992" s="118"/>
      <c r="AH992" s="118"/>
      <c r="AI992" s="122">
        <f t="shared" si="1291"/>
        <v>0</v>
      </c>
      <c r="AJ992" s="401"/>
      <c r="AK992" s="118"/>
      <c r="AL992" s="118"/>
      <c r="AM992" s="118"/>
      <c r="AN992" s="122">
        <f t="shared" si="1292"/>
        <v>0</v>
      </c>
      <c r="AO992" s="401"/>
      <c r="AP992" s="118"/>
      <c r="AQ992" s="118"/>
      <c r="AR992" s="118"/>
      <c r="AS992" s="122">
        <f t="shared" si="1293"/>
        <v>0</v>
      </c>
      <c r="AT992" s="401"/>
      <c r="AU992" s="118"/>
      <c r="AV992" s="118"/>
      <c r="AW992" s="118"/>
      <c r="AX992" s="122">
        <f t="shared" si="1302"/>
        <v>0</v>
      </c>
      <c r="AY992" s="401"/>
      <c r="AZ992" s="118"/>
      <c r="BA992" s="118"/>
      <c r="BB992" s="118"/>
      <c r="BC992" s="122">
        <f t="shared" si="1294"/>
        <v>0</v>
      </c>
      <c r="BD992" s="401"/>
      <c r="BE992" s="118"/>
      <c r="BF992" s="118"/>
      <c r="BG992" s="118"/>
      <c r="BH992" s="122">
        <f t="shared" si="1295"/>
        <v>0</v>
      </c>
      <c r="BI992" s="401"/>
      <c r="BJ992" s="971"/>
      <c r="BK992" s="118"/>
      <c r="BL992" s="118"/>
      <c r="BM992" s="118">
        <f t="shared" si="1296"/>
        <v>0</v>
      </c>
      <c r="BN992" s="401"/>
      <c r="BO992" s="118"/>
      <c r="BP992" s="118"/>
      <c r="BQ992" s="118"/>
      <c r="BR992" s="118">
        <f t="shared" si="1297"/>
        <v>0</v>
      </c>
      <c r="BS992" s="401"/>
      <c r="BT992" s="401"/>
      <c r="BU992" s="401"/>
      <c r="BV992" s="401"/>
      <c r="BW992" s="122"/>
    </row>
    <row r="993" spans="1:75" s="123" customFormat="1" hidden="1" outlineLevel="1" x14ac:dyDescent="0.5">
      <c r="A993" s="464" t="s">
        <v>1401</v>
      </c>
      <c r="B993" s="513"/>
      <c r="C993" s="401"/>
      <c r="D993" s="401"/>
      <c r="E993" s="401"/>
      <c r="F993" s="401"/>
      <c r="G993" s="118"/>
      <c r="H993" s="118"/>
      <c r="I993" s="118"/>
      <c r="J993" s="122">
        <f t="shared" si="1298"/>
        <v>0</v>
      </c>
      <c r="K993" s="401"/>
      <c r="L993" s="118"/>
      <c r="M993" s="118"/>
      <c r="N993" s="118"/>
      <c r="O993" s="122">
        <f t="shared" si="1299"/>
        <v>0</v>
      </c>
      <c r="P993" s="401"/>
      <c r="Q993" s="118"/>
      <c r="R993" s="118"/>
      <c r="S993" s="118"/>
      <c r="T993" s="122">
        <f t="shared" si="1300"/>
        <v>0</v>
      </c>
      <c r="U993" s="401"/>
      <c r="V993" s="118"/>
      <c r="W993" s="118"/>
      <c r="X993" s="118"/>
      <c r="Y993" s="122">
        <f t="shared" si="1301"/>
        <v>0</v>
      </c>
      <c r="Z993" s="401"/>
      <c r="AA993" s="118"/>
      <c r="AB993" s="118"/>
      <c r="AC993" s="118"/>
      <c r="AD993" s="122">
        <f t="shared" si="1290"/>
        <v>-1.1910000000000001</v>
      </c>
      <c r="AE993" s="403">
        <v>-1.1910000000000001</v>
      </c>
      <c r="AF993" s="118"/>
      <c r="AG993" s="118"/>
      <c r="AH993" s="118"/>
      <c r="AI993" s="122">
        <f t="shared" si="1291"/>
        <v>0</v>
      </c>
      <c r="AJ993" s="401"/>
      <c r="AK993" s="118"/>
      <c r="AL993" s="118"/>
      <c r="AM993" s="118"/>
      <c r="AN993" s="122">
        <f t="shared" si="1292"/>
        <v>0</v>
      </c>
      <c r="AO993" s="401"/>
      <c r="AP993" s="118"/>
      <c r="AQ993" s="302">
        <v>-1.05</v>
      </c>
      <c r="AR993" s="302">
        <v>-3.645</v>
      </c>
      <c r="AS993" s="122">
        <f t="shared" si="1293"/>
        <v>-3.645</v>
      </c>
      <c r="AT993" s="403">
        <v>-3.645</v>
      </c>
      <c r="AU993" s="118"/>
      <c r="AV993" s="118"/>
      <c r="AW993" s="302">
        <v>-0.77700000000000002</v>
      </c>
      <c r="AX993" s="122">
        <f t="shared" si="1302"/>
        <v>-0.77800000000000002</v>
      </c>
      <c r="AY993" s="403">
        <v>-0.77800000000000002</v>
      </c>
      <c r="AZ993" s="118"/>
      <c r="BA993" s="118"/>
      <c r="BB993" s="118"/>
      <c r="BC993" s="122">
        <f t="shared" si="1294"/>
        <v>0</v>
      </c>
      <c r="BD993" s="401"/>
      <c r="BE993" s="118"/>
      <c r="BF993" s="118"/>
      <c r="BG993" s="118"/>
      <c r="BH993" s="122">
        <f t="shared" si="1295"/>
        <v>0</v>
      </c>
      <c r="BI993" s="401"/>
      <c r="BJ993" s="971"/>
      <c r="BK993" s="118"/>
      <c r="BL993" s="118"/>
      <c r="BM993" s="118">
        <f t="shared" si="1296"/>
        <v>0</v>
      </c>
      <c r="BN993" s="401"/>
      <c r="BO993" s="118"/>
      <c r="BP993" s="118"/>
      <c r="BQ993" s="118"/>
      <c r="BR993" s="118">
        <f t="shared" si="1297"/>
        <v>0</v>
      </c>
      <c r="BS993" s="401"/>
      <c r="BT993" s="401"/>
      <c r="BU993" s="401"/>
      <c r="BV993" s="401"/>
      <c r="BW993" s="122"/>
    </row>
    <row r="994" spans="1:75" s="123" customFormat="1" hidden="1" outlineLevel="1" x14ac:dyDescent="0.5">
      <c r="A994" s="464" t="s">
        <v>2116</v>
      </c>
      <c r="B994" s="513"/>
      <c r="C994" s="403">
        <v>-3.5000000000000003E-2</v>
      </c>
      <c r="D994" s="403">
        <v>-1.625</v>
      </c>
      <c r="E994" s="403">
        <v>-8.5999999999999993E-2</v>
      </c>
      <c r="F994" s="403">
        <v>-0.40500000000000003</v>
      </c>
      <c r="G994" s="302">
        <v>0</v>
      </c>
      <c r="H994" s="302">
        <v>0</v>
      </c>
      <c r="I994" s="302">
        <v>-4.2000000000000003E-2</v>
      </c>
      <c r="J994" s="122">
        <f t="shared" si="1298"/>
        <v>-5.8000000000000003E-2</v>
      </c>
      <c r="K994" s="403">
        <v>-5.8000000000000003E-2</v>
      </c>
      <c r="L994" s="302">
        <v>-6.0000000000000001E-3</v>
      </c>
      <c r="M994" s="302">
        <v>-6.0000000000000001E-3</v>
      </c>
      <c r="N994" s="302">
        <v>-4.0000000000000001E-3</v>
      </c>
      <c r="O994" s="122">
        <f t="shared" si="1299"/>
        <v>-0.76</v>
      </c>
      <c r="P994" s="403">
        <v>-0.76</v>
      </c>
      <c r="Q994" s="302">
        <v>0</v>
      </c>
      <c r="R994" s="302">
        <v>0</v>
      </c>
      <c r="S994" s="302">
        <v>0</v>
      </c>
      <c r="T994" s="122">
        <f t="shared" si="1300"/>
        <v>-0.13500000000000001</v>
      </c>
      <c r="U994" s="403">
        <v>-0.13500000000000001</v>
      </c>
      <c r="V994" s="302">
        <v>-4.8000000000000001E-2</v>
      </c>
      <c r="W994" s="302">
        <v>-4.7E-2</v>
      </c>
      <c r="X994" s="302">
        <v>-4.8000000000000001E-2</v>
      </c>
      <c r="Y994" s="122">
        <f t="shared" si="1301"/>
        <v>-0.35899999999999999</v>
      </c>
      <c r="Z994" s="403">
        <v>-0.35899999999999999</v>
      </c>
      <c r="AA994" s="118"/>
      <c r="AB994" s="118"/>
      <c r="AC994" s="302">
        <v>-0.02</v>
      </c>
      <c r="AD994" s="122">
        <f t="shared" si="1290"/>
        <v>-1.1970000000000001</v>
      </c>
      <c r="AE994" s="403">
        <v>-1.1970000000000001</v>
      </c>
      <c r="AF994" s="118"/>
      <c r="AG994" s="118"/>
      <c r="AH994" s="302">
        <v>0</v>
      </c>
      <c r="AI994" s="122">
        <f t="shared" si="1291"/>
        <v>0</v>
      </c>
      <c r="AJ994" s="401"/>
      <c r="AK994" s="118"/>
      <c r="AL994" s="118"/>
      <c r="AM994" s="118"/>
      <c r="AN994" s="122">
        <f t="shared" si="1292"/>
        <v>0</v>
      </c>
      <c r="AO994" s="401"/>
      <c r="AP994" s="118"/>
      <c r="AQ994" s="118"/>
      <c r="AR994" s="118"/>
      <c r="AS994" s="122">
        <f t="shared" si="1293"/>
        <v>0</v>
      </c>
      <c r="AT994" s="401"/>
      <c r="AU994" s="118"/>
      <c r="AV994" s="118"/>
      <c r="AW994" s="118"/>
      <c r="AX994" s="122">
        <f t="shared" si="1302"/>
        <v>0</v>
      </c>
      <c r="AY994" s="401"/>
      <c r="AZ994" s="118"/>
      <c r="BA994" s="118"/>
      <c r="BB994" s="118"/>
      <c r="BC994" s="122">
        <f t="shared" si="1294"/>
        <v>0</v>
      </c>
      <c r="BD994" s="401"/>
      <c r="BE994" s="118"/>
      <c r="BF994" s="118"/>
      <c r="BG994" s="118"/>
      <c r="BH994" s="122">
        <f t="shared" si="1295"/>
        <v>0</v>
      </c>
      <c r="BI994" s="401"/>
      <c r="BJ994" s="971"/>
      <c r="BK994" s="118"/>
      <c r="BL994" s="118"/>
      <c r="BM994" s="118">
        <f t="shared" si="1296"/>
        <v>0</v>
      </c>
      <c r="BN994" s="401"/>
      <c r="BO994" s="118"/>
      <c r="BP994" s="118"/>
      <c r="BQ994" s="118"/>
      <c r="BR994" s="118">
        <f t="shared" si="1297"/>
        <v>0</v>
      </c>
      <c r="BS994" s="401"/>
      <c r="BT994" s="401"/>
      <c r="BU994" s="401"/>
      <c r="BV994" s="401"/>
      <c r="BW994" s="122"/>
    </row>
    <row r="995" spans="1:75" s="198" customFormat="1" ht="14.25" hidden="1" outlineLevel="1" x14ac:dyDescent="0.45">
      <c r="A995" s="516" t="s">
        <v>1425</v>
      </c>
      <c r="B995" s="517"/>
      <c r="C995" s="519">
        <f t="shared" ref="C995:BN995" si="1303">SUM(C983:C994)</f>
        <v>-55.49799999999999</v>
      </c>
      <c r="D995" s="519">
        <f t="shared" si="1303"/>
        <v>-178.315</v>
      </c>
      <c r="E995" s="519">
        <f t="shared" si="1303"/>
        <v>-259.03899999999999</v>
      </c>
      <c r="F995" s="519">
        <f t="shared" si="1303"/>
        <v>-236.44500000000002</v>
      </c>
      <c r="G995" s="520">
        <f t="shared" si="1303"/>
        <v>-64.757000000000019</v>
      </c>
      <c r="H995" s="520">
        <f t="shared" si="1303"/>
        <v>-184.315</v>
      </c>
      <c r="I995" s="520">
        <f t="shared" si="1303"/>
        <v>-301.16099999999994</v>
      </c>
      <c r="J995" s="520">
        <f t="shared" si="1303"/>
        <v>-355.37600000000003</v>
      </c>
      <c r="K995" s="519">
        <f t="shared" si="1303"/>
        <v>-355.37600000000003</v>
      </c>
      <c r="L995" s="520">
        <f t="shared" si="1303"/>
        <v>-108.56799999999998</v>
      </c>
      <c r="M995" s="520">
        <f t="shared" si="1303"/>
        <v>-200.893</v>
      </c>
      <c r="N995" s="520">
        <f t="shared" si="1303"/>
        <v>-227.81199999999998</v>
      </c>
      <c r="O995" s="520">
        <f t="shared" si="1303"/>
        <v>-379.02</v>
      </c>
      <c r="P995" s="519">
        <f t="shared" si="1303"/>
        <v>-379.02</v>
      </c>
      <c r="Q995" s="520">
        <f t="shared" si="1303"/>
        <v>-35.67</v>
      </c>
      <c r="R995" s="520">
        <f t="shared" si="1303"/>
        <v>-53.73299999999999</v>
      </c>
      <c r="S995" s="520">
        <f t="shared" si="1303"/>
        <v>-108.574</v>
      </c>
      <c r="T995" s="520">
        <f t="shared" si="1303"/>
        <v>-369.38300000000004</v>
      </c>
      <c r="U995" s="519">
        <f t="shared" si="1303"/>
        <v>-369.38300000000004</v>
      </c>
      <c r="V995" s="520">
        <f t="shared" si="1303"/>
        <v>6.8049999999999953</v>
      </c>
      <c r="W995" s="520">
        <f t="shared" si="1303"/>
        <v>-37.159999999999997</v>
      </c>
      <c r="X995" s="520">
        <f t="shared" si="1303"/>
        <v>-111.23800000000001</v>
      </c>
      <c r="Y995" s="520">
        <f t="shared" si="1303"/>
        <v>-305.80599999999998</v>
      </c>
      <c r="Z995" s="519">
        <f t="shared" si="1303"/>
        <v>-305.80599999999998</v>
      </c>
      <c r="AA995" s="520">
        <f t="shared" si="1303"/>
        <v>-41.319000000000003</v>
      </c>
      <c r="AB995" s="520">
        <f t="shared" si="1303"/>
        <v>-60.675000000000011</v>
      </c>
      <c r="AC995" s="520">
        <f t="shared" si="1303"/>
        <v>-101.10499999999999</v>
      </c>
      <c r="AD995" s="520">
        <f t="shared" si="1303"/>
        <v>-51.706999999999994</v>
      </c>
      <c r="AE995" s="519">
        <f t="shared" si="1303"/>
        <v>-51.706999999999994</v>
      </c>
      <c r="AF995" s="520">
        <f t="shared" si="1303"/>
        <v>-79.232000000000014</v>
      </c>
      <c r="AG995" s="520">
        <f t="shared" si="1303"/>
        <v>-257.48399999999998</v>
      </c>
      <c r="AH995" s="520">
        <f t="shared" si="1303"/>
        <v>-279.78100000000001</v>
      </c>
      <c r="AI995" s="520">
        <f t="shared" si="1303"/>
        <v>-450.06599999999997</v>
      </c>
      <c r="AJ995" s="519">
        <f t="shared" si="1303"/>
        <v>-450.06599999999997</v>
      </c>
      <c r="AK995" s="520">
        <f t="shared" si="1303"/>
        <v>-96.122000000000014</v>
      </c>
      <c r="AL995" s="520">
        <f t="shared" si="1303"/>
        <v>-113.471</v>
      </c>
      <c r="AM995" s="520">
        <f t="shared" si="1303"/>
        <v>-152.49600000000001</v>
      </c>
      <c r="AN995" s="520">
        <f t="shared" si="1303"/>
        <v>-327.226</v>
      </c>
      <c r="AO995" s="519">
        <f t="shared" si="1303"/>
        <v>-327.226</v>
      </c>
      <c r="AP995" s="520">
        <f t="shared" si="1303"/>
        <v>419.52</v>
      </c>
      <c r="AQ995" s="520">
        <f t="shared" si="1303"/>
        <v>377.90999999999997</v>
      </c>
      <c r="AR995" s="520">
        <f t="shared" si="1303"/>
        <v>-260.00899999999996</v>
      </c>
      <c r="AS995" s="520">
        <f t="shared" si="1303"/>
        <v>-343.01899999999995</v>
      </c>
      <c r="AT995" s="519">
        <f t="shared" si="1303"/>
        <v>-343.01899999999995</v>
      </c>
      <c r="AU995" s="520">
        <f t="shared" si="1303"/>
        <v>-759.55600000000004</v>
      </c>
      <c r="AV995" s="520">
        <f t="shared" si="1303"/>
        <v>-942.61699999999985</v>
      </c>
      <c r="AW995" s="520">
        <f t="shared" si="1303"/>
        <v>-1191.1589999999999</v>
      </c>
      <c r="AX995" s="520">
        <f t="shared" si="1303"/>
        <v>-1491.9849999999999</v>
      </c>
      <c r="AY995" s="519">
        <f t="shared" si="1303"/>
        <v>-1491.9849999999999</v>
      </c>
      <c r="AZ995" s="520">
        <f t="shared" si="1303"/>
        <v>-637.73300000000006</v>
      </c>
      <c r="BA995" s="520">
        <f t="shared" si="1303"/>
        <v>-958.37299999999993</v>
      </c>
      <c r="BB995" s="520">
        <f t="shared" si="1303"/>
        <v>-1086.6400000000001</v>
      </c>
      <c r="BC995" s="520">
        <f t="shared" si="1303"/>
        <v>-1178.673</v>
      </c>
      <c r="BD995" s="519">
        <f t="shared" si="1303"/>
        <v>-1178.673</v>
      </c>
      <c r="BE995" s="520">
        <f t="shared" si="1303"/>
        <v>-362.42700000000002</v>
      </c>
      <c r="BF995" s="520">
        <f t="shared" si="1303"/>
        <v>-476.59300000000002</v>
      </c>
      <c r="BG995" s="520">
        <f t="shared" si="1303"/>
        <v>-538.67999999999995</v>
      </c>
      <c r="BH995" s="520">
        <f t="shared" si="1303"/>
        <v>-598.30700000000002</v>
      </c>
      <c r="BI995" s="519">
        <f t="shared" si="1303"/>
        <v>-598.30700000000002</v>
      </c>
      <c r="BJ995" s="1270">
        <f>SUM(BJ983:BJ994)</f>
        <v>-193.65100000000001</v>
      </c>
      <c r="BK995" s="327">
        <f t="shared" si="1303"/>
        <v>0</v>
      </c>
      <c r="BL995" s="327">
        <f t="shared" si="1303"/>
        <v>0</v>
      </c>
      <c r="BM995" s="327">
        <f t="shared" si="1303"/>
        <v>0</v>
      </c>
      <c r="BN995" s="518">
        <f t="shared" si="1303"/>
        <v>0</v>
      </c>
      <c r="BO995" s="327">
        <f t="shared" ref="BO995:CF995" si="1304">SUM(BO983:BO994)</f>
        <v>0</v>
      </c>
      <c r="BP995" s="327">
        <f t="shared" si="1304"/>
        <v>0</v>
      </c>
      <c r="BQ995" s="327">
        <f t="shared" si="1304"/>
        <v>0</v>
      </c>
      <c r="BR995" s="327">
        <f t="shared" si="1304"/>
        <v>0</v>
      </c>
      <c r="BS995" s="518">
        <f t="shared" si="1304"/>
        <v>0</v>
      </c>
      <c r="BT995" s="518">
        <f t="shared" si="1304"/>
        <v>0</v>
      </c>
      <c r="BU995" s="518">
        <f t="shared" si="1304"/>
        <v>0</v>
      </c>
      <c r="BV995" s="518">
        <f t="shared" si="1304"/>
        <v>0</v>
      </c>
      <c r="BW995" s="197"/>
    </row>
    <row r="996" spans="1:75" s="198" customFormat="1" ht="14.25" hidden="1" outlineLevel="1" x14ac:dyDescent="0.45">
      <c r="A996" s="206"/>
      <c r="B996" s="522"/>
      <c r="C996" s="397"/>
      <c r="D996" s="397"/>
      <c r="E996" s="397"/>
      <c r="F996" s="397"/>
      <c r="G996" s="295"/>
      <c r="H996" s="295"/>
      <c r="I996" s="295"/>
      <c r="J996" s="295"/>
      <c r="K996" s="397"/>
      <c r="L996" s="295"/>
      <c r="M996" s="295"/>
      <c r="N996" s="295"/>
      <c r="O996" s="295"/>
      <c r="P996" s="397"/>
      <c r="Q996" s="295"/>
      <c r="R996" s="295"/>
      <c r="S996" s="295"/>
      <c r="T996" s="295"/>
      <c r="U996" s="397"/>
      <c r="V996" s="295"/>
      <c r="W996" s="295"/>
      <c r="X996" s="295"/>
      <c r="Y996" s="295"/>
      <c r="Z996" s="397"/>
      <c r="AA996" s="295"/>
      <c r="AB996" s="295"/>
      <c r="AC996" s="295"/>
      <c r="AD996" s="295"/>
      <c r="AE996" s="397"/>
      <c r="AF996" s="295"/>
      <c r="AG996" s="295"/>
      <c r="AH996" s="295"/>
      <c r="AI996" s="295"/>
      <c r="AJ996" s="397"/>
      <c r="AK996" s="295"/>
      <c r="AL996" s="295"/>
      <c r="AM996" s="295"/>
      <c r="AN996" s="295"/>
      <c r="AO996" s="397"/>
      <c r="AP996" s="295"/>
      <c r="AQ996" s="295"/>
      <c r="AR996" s="295"/>
      <c r="AS996" s="295"/>
      <c r="AT996" s="397"/>
      <c r="AU996" s="295"/>
      <c r="AV996" s="295"/>
      <c r="AW996" s="295"/>
      <c r="AX996" s="295"/>
      <c r="AY996" s="397"/>
      <c r="AZ996" s="295"/>
      <c r="BA996" s="295"/>
      <c r="BB996" s="295"/>
      <c r="BC996" s="295"/>
      <c r="BD996" s="397"/>
      <c r="BE996" s="295"/>
      <c r="BF996" s="295"/>
      <c r="BG996" s="295"/>
      <c r="BH996" s="295"/>
      <c r="BI996" s="397"/>
      <c r="BJ996" s="1030"/>
      <c r="BK996" s="295"/>
      <c r="BL996" s="295"/>
      <c r="BM996" s="295"/>
      <c r="BN996" s="397"/>
      <c r="BO996" s="295"/>
      <c r="BP996" s="295"/>
      <c r="BQ996" s="295"/>
      <c r="BR996" s="295"/>
      <c r="BS996" s="397"/>
      <c r="BT996" s="397"/>
      <c r="BU996" s="397"/>
      <c r="BV996" s="397"/>
      <c r="BW996" s="197"/>
    </row>
    <row r="997" spans="1:75" s="198" customFormat="1" ht="14.25" hidden="1" outlineLevel="1" x14ac:dyDescent="0.45">
      <c r="A997" s="463" t="s">
        <v>1426</v>
      </c>
      <c r="B997" s="522"/>
      <c r="C997" s="671">
        <v>1.131</v>
      </c>
      <c r="D997" s="671">
        <v>0.78100000000000003</v>
      </c>
      <c r="E997" s="671">
        <v>-0.23699999999999999</v>
      </c>
      <c r="F997" s="671">
        <v>0.93100000000000005</v>
      </c>
      <c r="G997" s="638">
        <v>-0.78200000000000003</v>
      </c>
      <c r="H997" s="638">
        <v>-1.524</v>
      </c>
      <c r="I997" s="638">
        <v>-1.3089999999999999</v>
      </c>
      <c r="J997" s="197">
        <f>K997</f>
        <v>-2.2029999999999998</v>
      </c>
      <c r="K997" s="671">
        <v>-2.2029999999999998</v>
      </c>
      <c r="L997" s="638">
        <v>-0.36799999999999999</v>
      </c>
      <c r="M997" s="638">
        <v>7.6999999999999999E-2</v>
      </c>
      <c r="N997" s="638">
        <v>-0.23100000000000001</v>
      </c>
      <c r="O997" s="197">
        <f>P997</f>
        <v>-1.2709999999999999</v>
      </c>
      <c r="P997" s="671">
        <v>-1.2709999999999999</v>
      </c>
      <c r="Q997" s="638">
        <v>-0.95599999999999996</v>
      </c>
      <c r="R997" s="638">
        <v>0.34799999999999998</v>
      </c>
      <c r="S997" s="638">
        <v>0.4</v>
      </c>
      <c r="T997" s="197">
        <f>U997</f>
        <v>-1.7569999999999999</v>
      </c>
      <c r="U997" s="671">
        <v>-1.7569999999999999</v>
      </c>
      <c r="V997" s="638">
        <v>-0.72</v>
      </c>
      <c r="W997" s="638">
        <v>-1.2989999999999999</v>
      </c>
      <c r="X997" s="638">
        <v>-2.6930000000000001</v>
      </c>
      <c r="Y997" s="197">
        <f>Z997</f>
        <v>-1.8620000000000001</v>
      </c>
      <c r="Z997" s="671">
        <v>-1.8620000000000001</v>
      </c>
      <c r="AA997" s="638">
        <v>0.105</v>
      </c>
      <c r="AB997" s="638">
        <v>-2.3809999999999998</v>
      </c>
      <c r="AC997" s="638">
        <v>0.60399999999999998</v>
      </c>
      <c r="AD997" s="197">
        <f>AE997</f>
        <v>-1.8140000000000001</v>
      </c>
      <c r="AE997" s="671">
        <v>-1.8140000000000001</v>
      </c>
      <c r="AF997" s="638">
        <v>2.48</v>
      </c>
      <c r="AG997" s="638">
        <v>1.3129999999999999</v>
      </c>
      <c r="AH997" s="638">
        <v>1.08</v>
      </c>
      <c r="AI997" s="197">
        <f>AJ997</f>
        <v>0.79700000000000004</v>
      </c>
      <c r="AJ997" s="671">
        <v>0.79700000000000004</v>
      </c>
      <c r="AK997" s="638">
        <v>-1.028</v>
      </c>
      <c r="AL997" s="638">
        <v>-1.661</v>
      </c>
      <c r="AM997" s="638">
        <v>-0.69899999999999995</v>
      </c>
      <c r="AN997" s="197">
        <f>AO997</f>
        <v>-1.3120000000000001</v>
      </c>
      <c r="AO997" s="671">
        <v>-1.3120000000000001</v>
      </c>
      <c r="AP997" s="638">
        <v>-2.4740000000000002</v>
      </c>
      <c r="AQ997" s="638">
        <v>-2.83</v>
      </c>
      <c r="AR997" s="638">
        <v>-1.232</v>
      </c>
      <c r="AS997" s="197">
        <f>AT997</f>
        <v>5.23</v>
      </c>
      <c r="AT997" s="671">
        <v>5.23</v>
      </c>
      <c r="AU997" s="638">
        <v>2.2749999999999999</v>
      </c>
      <c r="AV997" s="638">
        <v>7.0000000000000001E-3</v>
      </c>
      <c r="AW997" s="638">
        <v>0.29399999999999998</v>
      </c>
      <c r="AX997" s="197">
        <f>AY997</f>
        <v>-2.9140000000000001</v>
      </c>
      <c r="AY997" s="671">
        <v>-2.9140000000000001</v>
      </c>
      <c r="AZ997" s="638">
        <v>-1.1890000000000001</v>
      </c>
      <c r="BA997" s="638">
        <v>-2.1509999999999998</v>
      </c>
      <c r="BB997" s="638">
        <v>-4.8869999999999996</v>
      </c>
      <c r="BC997" s="197">
        <f>BD997</f>
        <v>-3.1880000000000002</v>
      </c>
      <c r="BD997" s="671">
        <v>-3.1880000000000002</v>
      </c>
      <c r="BE997" s="638">
        <v>-0.27100000000000002</v>
      </c>
      <c r="BF997" s="638">
        <v>1.3680000000000001</v>
      </c>
      <c r="BG997" s="638">
        <v>-0.84199999999999997</v>
      </c>
      <c r="BH997" s="197">
        <f>BI997</f>
        <v>0.95399999999999996</v>
      </c>
      <c r="BI997" s="671">
        <v>0.95399999999999996</v>
      </c>
      <c r="BJ997" s="1269">
        <v>-0.876</v>
      </c>
      <c r="BK997" s="295"/>
      <c r="BL997" s="295"/>
      <c r="BM997" s="295">
        <f>BN997</f>
        <v>0</v>
      </c>
      <c r="BN997" s="397"/>
      <c r="BO997" s="295"/>
      <c r="BP997" s="295"/>
      <c r="BQ997" s="295"/>
      <c r="BR997" s="295">
        <f>BS997</f>
        <v>0</v>
      </c>
      <c r="BS997" s="397"/>
      <c r="BT997" s="397"/>
      <c r="BU997" s="397"/>
      <c r="BV997" s="397"/>
      <c r="BW997" s="197"/>
    </row>
    <row r="998" spans="1:75" s="198" customFormat="1" ht="14.25" hidden="1" outlineLevel="1" x14ac:dyDescent="0.45">
      <c r="A998" s="463" t="s">
        <v>1427</v>
      </c>
      <c r="B998" s="522"/>
      <c r="C998" s="672">
        <f t="shared" ref="C998:BN998" si="1305">C995+C980+C971+C997</f>
        <v>365.12099999999992</v>
      </c>
      <c r="D998" s="672">
        <f t="shared" si="1305"/>
        <v>114.45999999999987</v>
      </c>
      <c r="E998" s="672">
        <f t="shared" si="1305"/>
        <v>-125.64600000000004</v>
      </c>
      <c r="F998" s="672">
        <f t="shared" si="1305"/>
        <v>-78.202000000000041</v>
      </c>
      <c r="G998" s="197">
        <f t="shared" si="1305"/>
        <v>-172.01900000000001</v>
      </c>
      <c r="H998" s="197">
        <f t="shared" si="1305"/>
        <v>-219.19100000000003</v>
      </c>
      <c r="I998" s="197">
        <f t="shared" si="1305"/>
        <v>-295.79599999999988</v>
      </c>
      <c r="J998" s="197">
        <f t="shared" si="1305"/>
        <v>-94.433999999999997</v>
      </c>
      <c r="K998" s="672">
        <f t="shared" si="1305"/>
        <v>-94.433999999999997</v>
      </c>
      <c r="L998" s="197">
        <f t="shared" si="1305"/>
        <v>-217.25099999999998</v>
      </c>
      <c r="M998" s="197">
        <f t="shared" si="1305"/>
        <v>-259.54700000000003</v>
      </c>
      <c r="N998" s="197">
        <f t="shared" si="1305"/>
        <v>-222.41799999999995</v>
      </c>
      <c r="O998" s="197">
        <f t="shared" si="1305"/>
        <v>-107.19399999999995</v>
      </c>
      <c r="P998" s="672">
        <f t="shared" si="1305"/>
        <v>-107.19399999999995</v>
      </c>
      <c r="Q998" s="197">
        <f t="shared" si="1305"/>
        <v>-144.07599999999999</v>
      </c>
      <c r="R998" s="197">
        <f t="shared" si="1305"/>
        <v>-103.15099999999994</v>
      </c>
      <c r="S998" s="197">
        <f t="shared" si="1305"/>
        <v>-150.66300000000001</v>
      </c>
      <c r="T998" s="197">
        <f t="shared" si="1305"/>
        <v>-29.280000000000026</v>
      </c>
      <c r="U998" s="672">
        <f t="shared" si="1305"/>
        <v>-29.280000000000026</v>
      </c>
      <c r="V998" s="197">
        <f t="shared" si="1305"/>
        <v>-94.43</v>
      </c>
      <c r="W998" s="197">
        <f t="shared" si="1305"/>
        <v>-82.52500000000002</v>
      </c>
      <c r="X998" s="197">
        <f t="shared" si="1305"/>
        <v>-118.26599999999996</v>
      </c>
      <c r="Y998" s="197">
        <f t="shared" si="1305"/>
        <v>20.065999999999995</v>
      </c>
      <c r="Z998" s="672">
        <f t="shared" si="1305"/>
        <v>20.065999999999995</v>
      </c>
      <c r="AA998" s="197">
        <f t="shared" si="1305"/>
        <v>-119.73799999999999</v>
      </c>
      <c r="AB998" s="197">
        <f t="shared" si="1305"/>
        <v>-110.60400000000004</v>
      </c>
      <c r="AC998" s="197">
        <f t="shared" si="1305"/>
        <v>-122.93400000000001</v>
      </c>
      <c r="AD998" s="197">
        <f t="shared" si="1305"/>
        <v>176.42300000000003</v>
      </c>
      <c r="AE998" s="672">
        <f t="shared" si="1305"/>
        <v>176.42300000000003</v>
      </c>
      <c r="AF998" s="197">
        <f t="shared" si="1305"/>
        <v>-99.89200000000001</v>
      </c>
      <c r="AG998" s="197">
        <f t="shared" si="1305"/>
        <v>-215.55599999999998</v>
      </c>
      <c r="AH998" s="197">
        <f t="shared" si="1305"/>
        <v>-225.72199999999992</v>
      </c>
      <c r="AI998" s="197">
        <f t="shared" si="1305"/>
        <v>-51.181999999999931</v>
      </c>
      <c r="AJ998" s="672">
        <f t="shared" si="1305"/>
        <v>-51.181999999999931</v>
      </c>
      <c r="AK998" s="197">
        <f t="shared" si="1305"/>
        <v>-231.27099999999999</v>
      </c>
      <c r="AL998" s="197">
        <f t="shared" si="1305"/>
        <v>-218.48699999999999</v>
      </c>
      <c r="AM998" s="197">
        <f t="shared" si="1305"/>
        <v>-183.92900000000003</v>
      </c>
      <c r="AN998" s="197">
        <f t="shared" si="1305"/>
        <v>93.208000000000212</v>
      </c>
      <c r="AO998" s="672">
        <f t="shared" si="1305"/>
        <v>93.208000000000212</v>
      </c>
      <c r="AP998" s="197">
        <f t="shared" si="1305"/>
        <v>428.84</v>
      </c>
      <c r="AQ998" s="197">
        <f t="shared" si="1305"/>
        <v>515.59799999999984</v>
      </c>
      <c r="AR998" s="197">
        <f t="shared" si="1305"/>
        <v>341.00799999999992</v>
      </c>
      <c r="AS998" s="197">
        <f t="shared" si="1305"/>
        <v>768.17500000000018</v>
      </c>
      <c r="AT998" s="672">
        <f t="shared" si="1305"/>
        <v>768.17500000000018</v>
      </c>
      <c r="AU998" s="197">
        <f t="shared" si="1305"/>
        <v>-560.66700000000014</v>
      </c>
      <c r="AV998" s="197">
        <f t="shared" si="1305"/>
        <v>-545.12599999999986</v>
      </c>
      <c r="AW998" s="197">
        <f t="shared" si="1305"/>
        <v>-543.43900000000019</v>
      </c>
      <c r="AX998" s="197">
        <f t="shared" si="1305"/>
        <v>-349.9989999999998</v>
      </c>
      <c r="AY998" s="672">
        <f t="shared" si="1305"/>
        <v>-349.9989999999998</v>
      </c>
      <c r="AZ998" s="197">
        <f t="shared" si="1305"/>
        <v>-525.50300000000004</v>
      </c>
      <c r="BA998" s="197">
        <f t="shared" si="1305"/>
        <v>-725.39399999999989</v>
      </c>
      <c r="BB998" s="197">
        <f t="shared" si="1305"/>
        <v>-737.28</v>
      </c>
      <c r="BC998" s="197">
        <f t="shared" si="1305"/>
        <v>-482.99400000000026</v>
      </c>
      <c r="BD998" s="672">
        <f t="shared" si="1305"/>
        <v>-482.99400000000026</v>
      </c>
      <c r="BE998" s="197">
        <f t="shared" si="1305"/>
        <v>-70.052999999999926</v>
      </c>
      <c r="BF998" s="197">
        <f t="shared" si="1305"/>
        <v>147.09099999999984</v>
      </c>
      <c r="BG998" s="197">
        <f t="shared" si="1305"/>
        <v>331.46299999999985</v>
      </c>
      <c r="BH998" s="197">
        <f t="shared" si="1305"/>
        <v>894.66299999999956</v>
      </c>
      <c r="BI998" s="672">
        <f t="shared" si="1305"/>
        <v>894.66299999999956</v>
      </c>
      <c r="BJ998" s="1273">
        <f>BJ995+BJ980+BJ971+BJ997</f>
        <v>-7.221000000000056</v>
      </c>
      <c r="BK998" s="295">
        <f t="shared" si="1305"/>
        <v>0</v>
      </c>
      <c r="BL998" s="295">
        <f t="shared" si="1305"/>
        <v>0</v>
      </c>
      <c r="BM998" s="295">
        <f t="shared" si="1305"/>
        <v>0</v>
      </c>
      <c r="BN998" s="397">
        <f t="shared" si="1305"/>
        <v>0</v>
      </c>
      <c r="BO998" s="295">
        <f t="shared" ref="BO998:CF998" si="1306">BO995+BO980+BO971+BO997</f>
        <v>0</v>
      </c>
      <c r="BP998" s="295">
        <f t="shared" si="1306"/>
        <v>0</v>
      </c>
      <c r="BQ998" s="295">
        <f t="shared" si="1306"/>
        <v>0</v>
      </c>
      <c r="BR998" s="295">
        <f t="shared" si="1306"/>
        <v>0</v>
      </c>
      <c r="BS998" s="397">
        <f t="shared" si="1306"/>
        <v>0</v>
      </c>
      <c r="BT998" s="397">
        <f t="shared" si="1306"/>
        <v>0</v>
      </c>
      <c r="BU998" s="397">
        <f t="shared" si="1306"/>
        <v>0</v>
      </c>
      <c r="BV998" s="397">
        <f t="shared" si="1306"/>
        <v>0</v>
      </c>
      <c r="BW998" s="197"/>
    </row>
    <row r="999" spans="1:75" s="198" customFormat="1" ht="14.25" hidden="1" outlineLevel="1" x14ac:dyDescent="0.45">
      <c r="A999" s="206"/>
      <c r="B999" s="522"/>
      <c r="C999" s="397"/>
      <c r="D999" s="397"/>
      <c r="E999" s="397"/>
      <c r="F999" s="397"/>
      <c r="G999" s="295"/>
      <c r="H999" s="295"/>
      <c r="I999" s="295"/>
      <c r="J999" s="295"/>
      <c r="K999" s="397"/>
      <c r="L999" s="295"/>
      <c r="M999" s="295"/>
      <c r="N999" s="295"/>
      <c r="O999" s="295"/>
      <c r="P999" s="397"/>
      <c r="Q999" s="295"/>
      <c r="R999" s="295"/>
      <c r="S999" s="295"/>
      <c r="T999" s="295"/>
      <c r="U999" s="397"/>
      <c r="V999" s="295"/>
      <c r="W999" s="295"/>
      <c r="X999" s="295"/>
      <c r="Y999" s="295"/>
      <c r="Z999" s="397"/>
      <c r="AA999" s="295"/>
      <c r="AB999" s="295"/>
      <c r="AC999" s="295"/>
      <c r="AD999" s="295"/>
      <c r="AE999" s="397"/>
      <c r="AF999" s="295"/>
      <c r="AG999" s="295"/>
      <c r="AH999" s="295"/>
      <c r="AI999" s="295"/>
      <c r="AJ999" s="397"/>
      <c r="AK999" s="295"/>
      <c r="AL999" s="295"/>
      <c r="AM999" s="295"/>
      <c r="AN999" s="295"/>
      <c r="AO999" s="397"/>
      <c r="AP999" s="295"/>
      <c r="AQ999" s="295"/>
      <c r="AR999" s="295"/>
      <c r="AS999" s="295"/>
      <c r="AT999" s="397"/>
      <c r="AU999" s="295"/>
      <c r="AV999" s="295"/>
      <c r="AW999" s="295"/>
      <c r="AX999" s="295"/>
      <c r="AY999" s="397"/>
      <c r="AZ999" s="295"/>
      <c r="BA999" s="295"/>
      <c r="BB999" s="295"/>
      <c r="BC999" s="295"/>
      <c r="BD999" s="397"/>
      <c r="BE999" s="295"/>
      <c r="BF999" s="295"/>
      <c r="BG999" s="295"/>
      <c r="BH999" s="295"/>
      <c r="BI999" s="397"/>
      <c r="BJ999" s="1030"/>
      <c r="BK999" s="295"/>
      <c r="BL999" s="295"/>
      <c r="BM999" s="295"/>
      <c r="BN999" s="397"/>
      <c r="BO999" s="295"/>
      <c r="BP999" s="295"/>
      <c r="BQ999" s="295"/>
      <c r="BR999" s="295"/>
      <c r="BS999" s="397"/>
      <c r="BT999" s="397"/>
      <c r="BU999" s="397"/>
      <c r="BV999" s="397"/>
      <c r="BW999" s="197"/>
    </row>
    <row r="1000" spans="1:75" s="198" customFormat="1" ht="14.25" hidden="1" outlineLevel="1" x14ac:dyDescent="0.45">
      <c r="A1000" s="463" t="s">
        <v>1428</v>
      </c>
      <c r="B1000" s="522"/>
      <c r="C1000" s="671">
        <v>148.822</v>
      </c>
      <c r="D1000" s="672">
        <f>C1001</f>
        <v>513.94299999999998</v>
      </c>
      <c r="E1000" s="672">
        <f>D1001</f>
        <v>628.40299999999979</v>
      </c>
      <c r="F1000" s="672">
        <f>E1001</f>
        <v>502.75699999999972</v>
      </c>
      <c r="G1000" s="197">
        <f>F1001</f>
        <v>424.55499999999967</v>
      </c>
      <c r="H1000" s="197">
        <f>G1000</f>
        <v>424.55499999999967</v>
      </c>
      <c r="I1000" s="197">
        <f>H1000</f>
        <v>424.55499999999967</v>
      </c>
      <c r="J1000" s="197">
        <f>I1000</f>
        <v>424.55499999999967</v>
      </c>
      <c r="K1000" s="672">
        <f>J1000</f>
        <v>424.55499999999967</v>
      </c>
      <c r="L1000" s="197">
        <f>K1001</f>
        <v>330.12099999999964</v>
      </c>
      <c r="M1000" s="197">
        <f>L1000</f>
        <v>330.12099999999964</v>
      </c>
      <c r="N1000" s="197">
        <f>M1000</f>
        <v>330.12099999999964</v>
      </c>
      <c r="O1000" s="197">
        <f>N1000</f>
        <v>330.12099999999964</v>
      </c>
      <c r="P1000" s="672">
        <f>O1000</f>
        <v>330.12099999999964</v>
      </c>
      <c r="Q1000" s="197">
        <f>P1001</f>
        <v>222.92699999999968</v>
      </c>
      <c r="R1000" s="197">
        <f>Q1000</f>
        <v>222.92699999999968</v>
      </c>
      <c r="S1000" s="197">
        <f>R1000</f>
        <v>222.92699999999968</v>
      </c>
      <c r="T1000" s="197">
        <f>S1000</f>
        <v>222.92699999999968</v>
      </c>
      <c r="U1000" s="672">
        <f>T1000</f>
        <v>222.92699999999968</v>
      </c>
      <c r="V1000" s="197">
        <f>U1001</f>
        <v>193.64699999999965</v>
      </c>
      <c r="W1000" s="197">
        <f>V1000</f>
        <v>193.64699999999965</v>
      </c>
      <c r="X1000" s="197">
        <f>W1000</f>
        <v>193.64699999999965</v>
      </c>
      <c r="Y1000" s="197">
        <f>X1000</f>
        <v>193.64699999999965</v>
      </c>
      <c r="Z1000" s="672">
        <f>Y1000</f>
        <v>193.64699999999965</v>
      </c>
      <c r="AA1000" s="197">
        <f>Z1001</f>
        <v>213.71299999999965</v>
      </c>
      <c r="AB1000" s="197">
        <f>AA1000</f>
        <v>213.71299999999965</v>
      </c>
      <c r="AC1000" s="197">
        <f>AB1000</f>
        <v>213.71299999999965</v>
      </c>
      <c r="AD1000" s="197">
        <f>AC1000</f>
        <v>213.71299999999965</v>
      </c>
      <c r="AE1000" s="672">
        <f>AD1000</f>
        <v>213.71299999999965</v>
      </c>
      <c r="AF1000" s="197">
        <f>AE1001</f>
        <v>390.13599999999968</v>
      </c>
      <c r="AG1000" s="197">
        <f>AF1000</f>
        <v>390.13599999999968</v>
      </c>
      <c r="AH1000" s="197">
        <f>AG1000</f>
        <v>390.13599999999968</v>
      </c>
      <c r="AI1000" s="197">
        <f>AH1000</f>
        <v>390.13599999999968</v>
      </c>
      <c r="AJ1000" s="672">
        <f>AI1000</f>
        <v>390.13599999999968</v>
      </c>
      <c r="AK1000" s="197">
        <f>AJ1001</f>
        <v>338.95399999999972</v>
      </c>
      <c r="AL1000" s="197">
        <f>AK1000</f>
        <v>338.95399999999972</v>
      </c>
      <c r="AM1000" s="197">
        <f>AL1000</f>
        <v>338.95399999999972</v>
      </c>
      <c r="AN1000" s="197">
        <f>AM1000</f>
        <v>338.95399999999972</v>
      </c>
      <c r="AO1000" s="672">
        <f>AN1000</f>
        <v>338.95399999999972</v>
      </c>
      <c r="AP1000" s="197">
        <f>AO1001</f>
        <v>432.16199999999992</v>
      </c>
      <c r="AQ1000" s="197">
        <f>AP1000</f>
        <v>432.16199999999992</v>
      </c>
      <c r="AR1000" s="197">
        <f>AQ1000</f>
        <v>432.16199999999992</v>
      </c>
      <c r="AS1000" s="197">
        <f>AR1000</f>
        <v>432.16199999999992</v>
      </c>
      <c r="AT1000" s="672">
        <f>AS1000</f>
        <v>432.16199999999992</v>
      </c>
      <c r="AU1000" s="197">
        <f>AT1001</f>
        <v>1200.337</v>
      </c>
      <c r="AV1000" s="197">
        <f>AU1000</f>
        <v>1200.337</v>
      </c>
      <c r="AW1000" s="197">
        <f>AV1000</f>
        <v>1200.337</v>
      </c>
      <c r="AX1000" s="197">
        <f>AW1000</f>
        <v>1200.337</v>
      </c>
      <c r="AY1000" s="672">
        <f>AX1000</f>
        <v>1200.337</v>
      </c>
      <c r="AZ1000" s="197">
        <f>AY1001</f>
        <v>850.33800000000019</v>
      </c>
      <c r="BA1000" s="197">
        <f>AZ1000</f>
        <v>850.33800000000019</v>
      </c>
      <c r="BB1000" s="197">
        <f>BA1000</f>
        <v>850.33800000000019</v>
      </c>
      <c r="BC1000" s="197">
        <f>BB1000</f>
        <v>850.33800000000019</v>
      </c>
      <c r="BD1000" s="672">
        <f>BC1000</f>
        <v>850.33800000000019</v>
      </c>
      <c r="BE1000" s="197">
        <f>BD1001</f>
        <v>367.34399999999994</v>
      </c>
      <c r="BF1000" s="197">
        <f>BE1000</f>
        <v>367.34399999999994</v>
      </c>
      <c r="BG1000" s="197">
        <f>BF1000</f>
        <v>367.34399999999994</v>
      </c>
      <c r="BH1000" s="197">
        <f>BG1000</f>
        <v>367.34399999999994</v>
      </c>
      <c r="BI1000" s="672">
        <f>BH1000</f>
        <v>367.34399999999994</v>
      </c>
      <c r="BJ1000" s="1273">
        <f>BI1001</f>
        <v>1262.0069999999996</v>
      </c>
      <c r="BK1000" s="295"/>
      <c r="BL1000" s="295"/>
      <c r="BM1000" s="295"/>
      <c r="BN1000" s="397"/>
      <c r="BO1000" s="295"/>
      <c r="BP1000" s="295"/>
      <c r="BQ1000" s="295"/>
      <c r="BR1000" s="295"/>
      <c r="BS1000" s="397"/>
      <c r="BT1000" s="397"/>
      <c r="BU1000" s="397"/>
      <c r="BV1000" s="397"/>
      <c r="BW1000" s="197"/>
    </row>
    <row r="1001" spans="1:75" s="198" customFormat="1" ht="14.25" hidden="1" outlineLevel="1" x14ac:dyDescent="0.45">
      <c r="A1001" s="463" t="s">
        <v>1429</v>
      </c>
      <c r="B1001" s="522"/>
      <c r="C1001" s="672">
        <f t="shared" ref="C1001:BG1001" si="1307">C998+C1000</f>
        <v>513.94299999999998</v>
      </c>
      <c r="D1001" s="672">
        <f t="shared" si="1307"/>
        <v>628.40299999999979</v>
      </c>
      <c r="E1001" s="672">
        <f t="shared" si="1307"/>
        <v>502.75699999999972</v>
      </c>
      <c r="F1001" s="672">
        <f t="shared" si="1307"/>
        <v>424.55499999999967</v>
      </c>
      <c r="G1001" s="197">
        <f t="shared" si="1307"/>
        <v>252.53599999999966</v>
      </c>
      <c r="H1001" s="197">
        <f t="shared" si="1307"/>
        <v>205.36399999999963</v>
      </c>
      <c r="I1001" s="197">
        <f t="shared" si="1307"/>
        <v>128.75899999999979</v>
      </c>
      <c r="J1001" s="197">
        <f t="shared" si="1307"/>
        <v>330.12099999999964</v>
      </c>
      <c r="K1001" s="672">
        <f t="shared" si="1307"/>
        <v>330.12099999999964</v>
      </c>
      <c r="L1001" s="197">
        <f t="shared" si="1307"/>
        <v>112.86999999999966</v>
      </c>
      <c r="M1001" s="197">
        <f t="shared" si="1307"/>
        <v>70.573999999999614</v>
      </c>
      <c r="N1001" s="197">
        <f t="shared" si="1307"/>
        <v>107.70299999999969</v>
      </c>
      <c r="O1001" s="197">
        <f t="shared" si="1307"/>
        <v>222.92699999999968</v>
      </c>
      <c r="P1001" s="672">
        <f t="shared" si="1307"/>
        <v>222.92699999999968</v>
      </c>
      <c r="Q1001" s="197">
        <f t="shared" si="1307"/>
        <v>78.850999999999686</v>
      </c>
      <c r="R1001" s="197">
        <f t="shared" si="1307"/>
        <v>119.77599999999974</v>
      </c>
      <c r="S1001" s="197">
        <f t="shared" si="1307"/>
        <v>72.263999999999669</v>
      </c>
      <c r="T1001" s="197">
        <f t="shared" si="1307"/>
        <v>193.64699999999965</v>
      </c>
      <c r="U1001" s="672">
        <f t="shared" si="1307"/>
        <v>193.64699999999965</v>
      </c>
      <c r="V1001" s="197">
        <f t="shared" si="1307"/>
        <v>99.216999999999643</v>
      </c>
      <c r="W1001" s="197">
        <f t="shared" si="1307"/>
        <v>111.12199999999963</v>
      </c>
      <c r="X1001" s="197">
        <f t="shared" si="1307"/>
        <v>75.380999999999688</v>
      </c>
      <c r="Y1001" s="197">
        <f t="shared" si="1307"/>
        <v>213.71299999999965</v>
      </c>
      <c r="Z1001" s="672">
        <f t="shared" si="1307"/>
        <v>213.71299999999965</v>
      </c>
      <c r="AA1001" s="197">
        <f t="shared" si="1307"/>
        <v>93.974999999999667</v>
      </c>
      <c r="AB1001" s="197">
        <f t="shared" si="1307"/>
        <v>103.10899999999961</v>
      </c>
      <c r="AC1001" s="197">
        <f t="shared" si="1307"/>
        <v>90.778999999999641</v>
      </c>
      <c r="AD1001" s="197">
        <f t="shared" si="1307"/>
        <v>390.13599999999968</v>
      </c>
      <c r="AE1001" s="672">
        <f t="shared" si="1307"/>
        <v>390.13599999999968</v>
      </c>
      <c r="AF1001" s="197">
        <f t="shared" si="1307"/>
        <v>290.24399999999969</v>
      </c>
      <c r="AG1001" s="197">
        <f t="shared" si="1307"/>
        <v>174.5799999999997</v>
      </c>
      <c r="AH1001" s="197">
        <f t="shared" si="1307"/>
        <v>164.41399999999976</v>
      </c>
      <c r="AI1001" s="197">
        <f t="shared" si="1307"/>
        <v>338.95399999999972</v>
      </c>
      <c r="AJ1001" s="672">
        <f t="shared" si="1307"/>
        <v>338.95399999999972</v>
      </c>
      <c r="AK1001" s="197">
        <f t="shared" si="1307"/>
        <v>107.68299999999974</v>
      </c>
      <c r="AL1001" s="197">
        <f t="shared" si="1307"/>
        <v>120.46699999999973</v>
      </c>
      <c r="AM1001" s="197">
        <f t="shared" si="1307"/>
        <v>155.02499999999969</v>
      </c>
      <c r="AN1001" s="197">
        <f t="shared" si="1307"/>
        <v>432.16199999999992</v>
      </c>
      <c r="AO1001" s="672">
        <f t="shared" si="1307"/>
        <v>432.16199999999992</v>
      </c>
      <c r="AP1001" s="197">
        <f t="shared" si="1307"/>
        <v>861.00199999999995</v>
      </c>
      <c r="AQ1001" s="197">
        <f t="shared" si="1307"/>
        <v>947.75999999999976</v>
      </c>
      <c r="AR1001" s="197">
        <f t="shared" si="1307"/>
        <v>773.16999999999985</v>
      </c>
      <c r="AS1001" s="197">
        <f t="shared" si="1307"/>
        <v>1200.337</v>
      </c>
      <c r="AT1001" s="672">
        <f t="shared" si="1307"/>
        <v>1200.337</v>
      </c>
      <c r="AU1001" s="197">
        <f t="shared" si="1307"/>
        <v>639.66999999999985</v>
      </c>
      <c r="AV1001" s="197">
        <f t="shared" si="1307"/>
        <v>655.21100000000013</v>
      </c>
      <c r="AW1001" s="197">
        <f t="shared" si="1307"/>
        <v>656.8979999999998</v>
      </c>
      <c r="AX1001" s="197">
        <f t="shared" si="1307"/>
        <v>850.33800000000019</v>
      </c>
      <c r="AY1001" s="672">
        <f t="shared" si="1307"/>
        <v>850.33800000000019</v>
      </c>
      <c r="AZ1001" s="197">
        <f t="shared" si="1307"/>
        <v>324.83500000000015</v>
      </c>
      <c r="BA1001" s="197">
        <f t="shared" si="1307"/>
        <v>124.9440000000003</v>
      </c>
      <c r="BB1001" s="197">
        <f t="shared" si="1307"/>
        <v>113.05800000000022</v>
      </c>
      <c r="BC1001" s="197">
        <f t="shared" si="1307"/>
        <v>367.34399999999994</v>
      </c>
      <c r="BD1001" s="672">
        <f t="shared" si="1307"/>
        <v>367.34399999999994</v>
      </c>
      <c r="BE1001" s="197">
        <f t="shared" si="1307"/>
        <v>297.291</v>
      </c>
      <c r="BF1001" s="197">
        <f t="shared" si="1307"/>
        <v>514.43499999999972</v>
      </c>
      <c r="BG1001" s="197">
        <f t="shared" si="1307"/>
        <v>698.80699999999979</v>
      </c>
      <c r="BH1001" s="197">
        <f>BH998+BH1000</f>
        <v>1262.0069999999996</v>
      </c>
      <c r="BI1001" s="672">
        <f>BI998+BI1000</f>
        <v>1262.0069999999996</v>
      </c>
      <c r="BJ1001" s="1273">
        <f>BJ998+BJ1000</f>
        <v>1254.7859999999996</v>
      </c>
      <c r="BK1001" s="295"/>
      <c r="BL1001" s="295"/>
      <c r="BM1001" s="295"/>
      <c r="BN1001" s="397"/>
      <c r="BO1001" s="295"/>
      <c r="BP1001" s="295"/>
      <c r="BQ1001" s="295"/>
      <c r="BR1001" s="295"/>
      <c r="BS1001" s="397"/>
      <c r="BT1001" s="397"/>
      <c r="BU1001" s="397"/>
      <c r="BV1001" s="397"/>
      <c r="BW1001" s="197"/>
    </row>
    <row r="1002" spans="1:75" s="198" customFormat="1" ht="14.25" hidden="1" outlineLevel="1" x14ac:dyDescent="0.45">
      <c r="A1002" s="206"/>
      <c r="B1002" s="522"/>
      <c r="C1002" s="397"/>
      <c r="D1002" s="397"/>
      <c r="E1002" s="397"/>
      <c r="F1002" s="397"/>
      <c r="G1002" s="295"/>
      <c r="H1002" s="295"/>
      <c r="I1002" s="295"/>
      <c r="J1002" s="295"/>
      <c r="K1002" s="397"/>
      <c r="L1002" s="295"/>
      <c r="M1002" s="295"/>
      <c r="N1002" s="295"/>
      <c r="O1002" s="295"/>
      <c r="P1002" s="397"/>
      <c r="Q1002" s="295"/>
      <c r="R1002" s="295"/>
      <c r="S1002" s="295"/>
      <c r="T1002" s="295"/>
      <c r="U1002" s="397"/>
      <c r="V1002" s="295"/>
      <c r="W1002" s="295"/>
      <c r="X1002" s="295"/>
      <c r="Y1002" s="295"/>
      <c r="Z1002" s="397"/>
      <c r="AA1002" s="295"/>
      <c r="AB1002" s="295"/>
      <c r="AC1002" s="295"/>
      <c r="AD1002" s="295"/>
      <c r="AE1002" s="397"/>
      <c r="AF1002" s="295"/>
      <c r="AG1002" s="295"/>
      <c r="AH1002" s="295"/>
      <c r="AI1002" s="295"/>
      <c r="AJ1002" s="397"/>
      <c r="AK1002" s="295"/>
      <c r="AL1002" s="295"/>
      <c r="AM1002" s="295"/>
      <c r="AN1002" s="295"/>
      <c r="AO1002" s="397"/>
      <c r="AP1002" s="295"/>
      <c r="AQ1002" s="295"/>
      <c r="AR1002" s="295"/>
      <c r="AS1002" s="295"/>
      <c r="AT1002" s="397"/>
      <c r="AU1002" s="295"/>
      <c r="AV1002" s="295"/>
      <c r="AW1002" s="295"/>
      <c r="AX1002" s="295"/>
      <c r="AY1002" s="397"/>
      <c r="AZ1002" s="295"/>
      <c r="BA1002" s="295"/>
      <c r="BB1002" s="295"/>
      <c r="BC1002" s="295"/>
      <c r="BD1002" s="397"/>
      <c r="BE1002" s="295"/>
      <c r="BF1002" s="295"/>
      <c r="BG1002" s="295"/>
      <c r="BH1002" s="295"/>
      <c r="BI1002" s="397"/>
      <c r="BJ1002" s="1030"/>
      <c r="BK1002" s="295"/>
      <c r="BL1002" s="295"/>
      <c r="BM1002" s="295"/>
      <c r="BN1002" s="397"/>
      <c r="BO1002" s="295"/>
      <c r="BP1002" s="295"/>
      <c r="BQ1002" s="295"/>
      <c r="BR1002" s="295"/>
      <c r="BS1002" s="397"/>
      <c r="BT1002" s="397"/>
      <c r="BU1002" s="397"/>
      <c r="BV1002" s="397"/>
      <c r="BW1002" s="197"/>
    </row>
    <row r="1003" spans="1:75" s="123" customFormat="1" hidden="1" outlineLevel="1" x14ac:dyDescent="0.5">
      <c r="A1003" s="944" t="s">
        <v>2135</v>
      </c>
      <c r="B1003" s="513"/>
      <c r="C1003" s="403">
        <v>3.198</v>
      </c>
      <c r="D1003" s="403">
        <v>2.3809999999999998</v>
      </c>
      <c r="E1003" s="403">
        <v>1.952</v>
      </c>
      <c r="F1003" s="403">
        <v>1.651</v>
      </c>
      <c r="G1003" s="118"/>
      <c r="H1003" s="118"/>
      <c r="I1003" s="118"/>
      <c r="J1003" s="122">
        <f>K1003</f>
        <v>1.27</v>
      </c>
      <c r="K1003" s="403">
        <v>1.27</v>
      </c>
      <c r="L1003" s="118"/>
      <c r="M1003" s="118"/>
      <c r="N1003" s="118"/>
      <c r="O1003" s="122">
        <f>P1003</f>
        <v>1.2689999999999999</v>
      </c>
      <c r="P1003" s="403">
        <v>1.2689999999999999</v>
      </c>
      <c r="Q1003" s="118"/>
      <c r="R1003" s="118"/>
      <c r="S1003" s="118"/>
      <c r="T1003" s="122">
        <f>U1003</f>
        <v>1.9890000000000001</v>
      </c>
      <c r="U1003" s="403">
        <v>1.9890000000000001</v>
      </c>
      <c r="V1003" s="118"/>
      <c r="W1003" s="118"/>
      <c r="X1003" s="118"/>
      <c r="Y1003" s="122">
        <f>Z1003</f>
        <v>2.202</v>
      </c>
      <c r="Z1003" s="403">
        <v>2.202</v>
      </c>
      <c r="AA1003" s="118"/>
      <c r="AB1003" s="118"/>
      <c r="AC1003" s="118"/>
      <c r="AD1003" s="122">
        <f>AE1003</f>
        <v>2.915</v>
      </c>
      <c r="AE1003" s="403">
        <v>2.915</v>
      </c>
      <c r="AF1003" s="118"/>
      <c r="AG1003" s="118"/>
      <c r="AH1003" s="118"/>
      <c r="AI1003" s="122">
        <f>AJ1003</f>
        <v>11.423999999999999</v>
      </c>
      <c r="AJ1003" s="403">
        <v>11.423999999999999</v>
      </c>
      <c r="AK1003" s="118"/>
      <c r="AL1003" s="118"/>
      <c r="AM1003" s="118"/>
      <c r="AN1003" s="122">
        <f>AO1003</f>
        <v>12.682</v>
      </c>
      <c r="AO1003" s="403">
        <v>12.682</v>
      </c>
      <c r="AP1003" s="118"/>
      <c r="AQ1003" s="118"/>
      <c r="AR1003" s="118"/>
      <c r="AS1003" s="122">
        <f>AT1003</f>
        <v>18.346</v>
      </c>
      <c r="AT1003" s="403">
        <v>18.346</v>
      </c>
      <c r="AU1003" s="118"/>
      <c r="AV1003" s="118"/>
      <c r="AW1003" s="118"/>
      <c r="AX1003" s="122">
        <f>AY1003</f>
        <v>3.09</v>
      </c>
      <c r="AY1003" s="403">
        <v>3.09</v>
      </c>
      <c r="AZ1003" s="118"/>
      <c r="BA1003" s="118"/>
      <c r="BB1003" s="118"/>
      <c r="BC1003" s="118">
        <f>BD1003</f>
        <v>0.78800000000000003</v>
      </c>
      <c r="BD1003" s="403">
        <v>0.78800000000000003</v>
      </c>
      <c r="BE1003" s="118"/>
      <c r="BF1003" s="118"/>
      <c r="BG1003" s="118"/>
      <c r="BH1003" s="118">
        <f t="shared" ref="BH1003:BH1004" si="1308">BI1003</f>
        <v>0.83699999999999997</v>
      </c>
      <c r="BI1003" s="403">
        <v>0.83699999999999997</v>
      </c>
      <c r="BJ1003" s="971"/>
      <c r="BK1003" s="118"/>
      <c r="BL1003" s="118"/>
      <c r="BM1003" s="118"/>
      <c r="BN1003" s="401"/>
      <c r="BO1003" s="118"/>
      <c r="BP1003" s="118"/>
      <c r="BQ1003" s="118"/>
      <c r="BR1003" s="118"/>
      <c r="BS1003" s="401"/>
      <c r="BT1003" s="401"/>
      <c r="BU1003" s="401"/>
      <c r="BV1003" s="401"/>
      <c r="BW1003" s="122"/>
    </row>
    <row r="1004" spans="1:75" s="123" customFormat="1" hidden="1" outlineLevel="1" x14ac:dyDescent="0.5">
      <c r="A1004" s="944" t="s">
        <v>2136</v>
      </c>
      <c r="B1004" s="513"/>
      <c r="C1004" s="403">
        <v>-8.593</v>
      </c>
      <c r="D1004" s="403">
        <v>98.617000000000004</v>
      </c>
      <c r="E1004" s="403">
        <v>150.65700000000001</v>
      </c>
      <c r="F1004" s="403">
        <v>131.44</v>
      </c>
      <c r="G1004" s="118"/>
      <c r="H1004" s="118"/>
      <c r="I1004" s="118"/>
      <c r="J1004" s="122">
        <f>K1004</f>
        <v>186.96799999999999</v>
      </c>
      <c r="K1004" s="403">
        <v>186.96799999999999</v>
      </c>
      <c r="L1004" s="118"/>
      <c r="M1004" s="118"/>
      <c r="N1004" s="118"/>
      <c r="O1004" s="122">
        <f>P1004</f>
        <v>172.30500000000001</v>
      </c>
      <c r="P1004" s="403">
        <v>172.30500000000001</v>
      </c>
      <c r="Q1004" s="118"/>
      <c r="R1004" s="118"/>
      <c r="S1004" s="118"/>
      <c r="T1004" s="122">
        <f>U1004</f>
        <v>134.47800000000001</v>
      </c>
      <c r="U1004" s="403">
        <v>134.47800000000001</v>
      </c>
      <c r="V1004" s="118"/>
      <c r="W1004" s="118"/>
      <c r="X1004" s="118"/>
      <c r="Y1004" s="122">
        <f>Z1004</f>
        <v>203.42599999999999</v>
      </c>
      <c r="Z1004" s="403">
        <v>203.42599999999999</v>
      </c>
      <c r="AA1004" s="118"/>
      <c r="AB1004" s="118"/>
      <c r="AC1004" s="118"/>
      <c r="AD1004" s="122">
        <f>AE1004</f>
        <v>99.061999999999998</v>
      </c>
      <c r="AE1004" s="403">
        <v>99.061999999999998</v>
      </c>
      <c r="AF1004" s="118"/>
      <c r="AG1004" s="118"/>
      <c r="AH1004" s="118"/>
      <c r="AI1004" s="122">
        <f>AJ1004</f>
        <v>107.95099999999999</v>
      </c>
      <c r="AJ1004" s="403">
        <v>107.95099999999999</v>
      </c>
      <c r="AK1004" s="118"/>
      <c r="AL1004" s="118"/>
      <c r="AM1004" s="118"/>
      <c r="AN1004" s="122">
        <f>AO1004</f>
        <v>113.34399999999999</v>
      </c>
      <c r="AO1004" s="403">
        <v>113.34399999999999</v>
      </c>
      <c r="AP1004" s="118"/>
      <c r="AQ1004" s="118"/>
      <c r="AR1004" s="118"/>
      <c r="AS1004" s="122">
        <f>AT1004</f>
        <v>162.84200000000001</v>
      </c>
      <c r="AT1004" s="403">
        <v>162.84200000000001</v>
      </c>
      <c r="AU1004" s="118"/>
      <c r="AV1004" s="118"/>
      <c r="AW1004" s="118"/>
      <c r="AX1004" s="122">
        <f>AY1004</f>
        <v>306.15800000000002</v>
      </c>
      <c r="AY1004" s="403">
        <v>306.15800000000002</v>
      </c>
      <c r="AZ1004" s="118"/>
      <c r="BA1004" s="118"/>
      <c r="BB1004" s="118"/>
      <c r="BC1004" s="118">
        <f>BD1004</f>
        <v>400.77600000000001</v>
      </c>
      <c r="BD1004" s="403">
        <v>400.77600000000001</v>
      </c>
      <c r="BE1004" s="118"/>
      <c r="BF1004" s="118"/>
      <c r="BG1004" s="118"/>
      <c r="BH1004" s="118">
        <f t="shared" si="1308"/>
        <v>315.85000000000002</v>
      </c>
      <c r="BI1004" s="403">
        <v>315.85000000000002</v>
      </c>
      <c r="BJ1004" s="971"/>
      <c r="BK1004" s="118"/>
      <c r="BL1004" s="118"/>
      <c r="BM1004" s="118"/>
      <c r="BN1004" s="401"/>
      <c r="BO1004" s="118"/>
      <c r="BP1004" s="118"/>
      <c r="BQ1004" s="118"/>
      <c r="BR1004" s="118"/>
      <c r="BS1004" s="401"/>
      <c r="BT1004" s="401"/>
      <c r="BU1004" s="401"/>
      <c r="BV1004" s="401"/>
      <c r="BW1004" s="122"/>
    </row>
    <row r="1005" spans="1:75" s="123" customFormat="1" collapsed="1" x14ac:dyDescent="0.5">
      <c r="A1005" s="752"/>
      <c r="B1005" s="513"/>
      <c r="C1005" s="401"/>
      <c r="D1005" s="401"/>
      <c r="E1005" s="401"/>
      <c r="F1005" s="401"/>
      <c r="G1005" s="118"/>
      <c r="H1005" s="118"/>
      <c r="I1005" s="118"/>
      <c r="J1005" s="118"/>
      <c r="K1005" s="401"/>
      <c r="L1005" s="118"/>
      <c r="M1005" s="118"/>
      <c r="N1005" s="118"/>
      <c r="O1005" s="118"/>
      <c r="P1005" s="401"/>
      <c r="Q1005" s="118"/>
      <c r="R1005" s="118"/>
      <c r="S1005" s="118"/>
      <c r="T1005" s="118"/>
      <c r="U1005" s="401"/>
      <c r="V1005" s="118"/>
      <c r="W1005" s="118"/>
      <c r="X1005" s="118"/>
      <c r="Y1005" s="118"/>
      <c r="Z1005" s="401"/>
      <c r="AA1005" s="118"/>
      <c r="AB1005" s="118"/>
      <c r="AC1005" s="118"/>
      <c r="AD1005" s="118"/>
      <c r="AE1005" s="401"/>
      <c r="AF1005" s="118"/>
      <c r="AG1005" s="118"/>
      <c r="AH1005" s="118"/>
      <c r="AI1005" s="118"/>
      <c r="AJ1005" s="401"/>
      <c r="AK1005" s="118"/>
      <c r="AL1005" s="118"/>
      <c r="AM1005" s="118"/>
      <c r="AN1005" s="118"/>
      <c r="AO1005" s="401"/>
      <c r="AP1005" s="118"/>
      <c r="AQ1005" s="118"/>
      <c r="AR1005" s="118"/>
      <c r="AS1005" s="118"/>
      <c r="AT1005" s="401"/>
      <c r="AU1005" s="118"/>
      <c r="AV1005" s="118"/>
      <c r="AW1005" s="118"/>
      <c r="AX1005" s="118"/>
      <c r="AY1005" s="401"/>
      <c r="AZ1005" s="118"/>
      <c r="BA1005" s="118"/>
      <c r="BB1005" s="118"/>
      <c r="BC1005" s="118"/>
      <c r="BD1005" s="401"/>
      <c r="BE1005" s="118"/>
      <c r="BF1005" s="118"/>
      <c r="BG1005" s="118"/>
      <c r="BH1005" s="118"/>
      <c r="BI1005" s="401"/>
      <c r="BJ1005" s="971"/>
      <c r="BK1005" s="118"/>
      <c r="BL1005" s="118"/>
      <c r="BM1005" s="118"/>
      <c r="BN1005" s="401"/>
      <c r="BO1005" s="118"/>
      <c r="BP1005" s="118"/>
      <c r="BQ1005" s="118"/>
      <c r="BR1005" s="118"/>
      <c r="BS1005" s="401"/>
      <c r="BT1005" s="401"/>
      <c r="BU1005" s="401"/>
      <c r="BV1005" s="401"/>
      <c r="BW1005" s="122"/>
    </row>
    <row r="1006" spans="1:75" s="198" customFormat="1" ht="14.25" x14ac:dyDescent="0.45">
      <c r="A1006" s="239" t="s">
        <v>1432</v>
      </c>
      <c r="B1006" s="239"/>
      <c r="C1006" s="239"/>
      <c r="D1006" s="239"/>
      <c r="E1006" s="239"/>
      <c r="F1006" s="239"/>
      <c r="G1006" s="239"/>
      <c r="H1006" s="239"/>
      <c r="I1006" s="239"/>
      <c r="J1006" s="239"/>
      <c r="K1006" s="239"/>
      <c r="L1006" s="239"/>
      <c r="M1006" s="239"/>
      <c r="N1006" s="239"/>
      <c r="O1006" s="239"/>
      <c r="P1006" s="239"/>
      <c r="Q1006" s="239"/>
      <c r="R1006" s="239"/>
      <c r="S1006" s="239"/>
      <c r="T1006" s="239"/>
      <c r="U1006" s="239"/>
      <c r="V1006" s="239"/>
      <c r="W1006" s="239"/>
      <c r="X1006" s="239"/>
      <c r="Y1006" s="239"/>
      <c r="Z1006" s="239"/>
      <c r="AA1006" s="239"/>
      <c r="AB1006" s="239"/>
      <c r="AC1006" s="239"/>
      <c r="AD1006" s="239"/>
      <c r="AE1006" s="239"/>
      <c r="AF1006" s="239"/>
      <c r="AG1006" s="239"/>
      <c r="AH1006" s="239"/>
      <c r="AI1006" s="239"/>
      <c r="AJ1006" s="239"/>
      <c r="AK1006" s="239"/>
      <c r="AL1006" s="239"/>
      <c r="AM1006" s="239"/>
      <c r="AN1006" s="239"/>
      <c r="AO1006" s="239"/>
      <c r="AP1006" s="239"/>
      <c r="AQ1006" s="239"/>
      <c r="AR1006" s="239"/>
      <c r="AS1006" s="239"/>
      <c r="AT1006" s="239"/>
      <c r="AU1006" s="239"/>
      <c r="AV1006" s="239"/>
      <c r="AW1006" s="239"/>
      <c r="AX1006" s="239"/>
      <c r="AY1006" s="239"/>
      <c r="AZ1006" s="239"/>
      <c r="BA1006" s="239"/>
      <c r="BB1006" s="239"/>
      <c r="BC1006" s="239"/>
      <c r="BD1006" s="239"/>
      <c r="BE1006" s="239"/>
      <c r="BF1006" s="239"/>
      <c r="BG1006" s="239"/>
      <c r="BH1006" s="239"/>
      <c r="BI1006" s="239"/>
      <c r="BJ1006" s="241"/>
      <c r="BK1006" s="239"/>
      <c r="BL1006" s="239"/>
      <c r="BM1006" s="239"/>
      <c r="BN1006" s="239"/>
      <c r="BO1006" s="239"/>
      <c r="BP1006" s="239"/>
      <c r="BQ1006" s="239"/>
      <c r="BR1006" s="239"/>
      <c r="BS1006" s="239"/>
      <c r="BT1006" s="239"/>
      <c r="BU1006" s="239"/>
      <c r="BV1006" s="239"/>
      <c r="BW1006" s="197"/>
    </row>
    <row r="1007" spans="1:75" s="198" customFormat="1" ht="14.25" x14ac:dyDescent="0.45">
      <c r="A1007" s="463" t="str">
        <f t="shared" ref="A1007:A1012" si="1309">A948</f>
        <v>CFO</v>
      </c>
      <c r="B1007" s="522"/>
      <c r="C1007" s="397"/>
      <c r="D1007" s="397"/>
      <c r="E1007" s="397"/>
      <c r="F1007" s="397"/>
      <c r="G1007" s="295"/>
      <c r="H1007" s="295"/>
      <c r="I1007" s="295"/>
      <c r="J1007" s="295"/>
      <c r="K1007" s="397"/>
      <c r="L1007" s="295"/>
      <c r="M1007" s="295"/>
      <c r="N1007" s="295"/>
      <c r="O1007" s="295"/>
      <c r="P1007" s="397"/>
      <c r="Q1007" s="295"/>
      <c r="R1007" s="295"/>
      <c r="S1007" s="295"/>
      <c r="T1007" s="295"/>
      <c r="U1007" s="397"/>
      <c r="V1007" s="295"/>
      <c r="W1007" s="295"/>
      <c r="X1007" s="295"/>
      <c r="Y1007" s="295"/>
      <c r="Z1007" s="397"/>
      <c r="AA1007" s="295"/>
      <c r="AB1007" s="295"/>
      <c r="AC1007" s="295"/>
      <c r="AD1007" s="295"/>
      <c r="AE1007" s="397"/>
      <c r="AF1007" s="295"/>
      <c r="AG1007" s="295"/>
      <c r="AH1007" s="295"/>
      <c r="AI1007" s="295"/>
      <c r="AJ1007" s="397"/>
      <c r="AK1007" s="295"/>
      <c r="AL1007" s="295"/>
      <c r="AM1007" s="295"/>
      <c r="AN1007" s="295"/>
      <c r="AO1007" s="397"/>
      <c r="AP1007" s="295"/>
      <c r="AQ1007" s="295"/>
      <c r="AR1007" s="295"/>
      <c r="AS1007" s="295"/>
      <c r="AT1007" s="397"/>
      <c r="AU1007" s="295"/>
      <c r="AV1007" s="295"/>
      <c r="AW1007" s="295"/>
      <c r="AX1007" s="295"/>
      <c r="AY1007" s="397"/>
      <c r="AZ1007" s="295"/>
      <c r="BA1007" s="295"/>
      <c r="BB1007" s="295"/>
      <c r="BC1007" s="295"/>
      <c r="BD1007" s="397"/>
      <c r="BE1007" s="295"/>
      <c r="BF1007" s="295"/>
      <c r="BG1007" s="295"/>
      <c r="BH1007" s="295"/>
      <c r="BI1007" s="397"/>
      <c r="BJ1007" s="1030"/>
      <c r="BK1007" s="295"/>
      <c r="BL1007" s="295"/>
      <c r="BM1007" s="295"/>
      <c r="BN1007" s="397"/>
      <c r="BO1007" s="295"/>
      <c r="BP1007" s="295"/>
      <c r="BQ1007" s="295"/>
      <c r="BR1007" s="295"/>
      <c r="BS1007" s="397"/>
      <c r="BT1007" s="397"/>
      <c r="BU1007" s="397"/>
      <c r="BV1007" s="397"/>
      <c r="BW1007" s="197"/>
    </row>
    <row r="1008" spans="1:75" s="123" customFormat="1" x14ac:dyDescent="0.5">
      <c r="A1008" s="464" t="str">
        <f t="shared" si="1309"/>
        <v>Net earnings</v>
      </c>
      <c r="B1008" s="513"/>
      <c r="C1008" s="674">
        <f t="shared" ref="C1008:G1012" si="1310">C949</f>
        <v>77.441999999999993</v>
      </c>
      <c r="D1008" s="674">
        <f t="shared" si="1310"/>
        <v>200.227</v>
      </c>
      <c r="E1008" s="674">
        <f t="shared" si="1310"/>
        <v>236.93100000000001</v>
      </c>
      <c r="F1008" s="674">
        <f t="shared" si="1310"/>
        <v>256.73</v>
      </c>
      <c r="G1008" s="122">
        <f t="shared" si="1310"/>
        <v>39.466000000000001</v>
      </c>
      <c r="H1008" s="122">
        <f t="shared" ref="H1008:J1012" si="1311">H949-G949</f>
        <v>48.919000000000004</v>
      </c>
      <c r="I1008" s="122">
        <f t="shared" si="1311"/>
        <v>56.719000000000008</v>
      </c>
      <c r="J1008" s="122">
        <f t="shared" si="1311"/>
        <v>133.79799999999997</v>
      </c>
      <c r="K1008" s="674">
        <f t="shared" ref="K1008:L1012" si="1312">K949</f>
        <v>278.90199999999999</v>
      </c>
      <c r="L1008" s="122">
        <f t="shared" si="1312"/>
        <v>46.161999999999999</v>
      </c>
      <c r="M1008" s="122">
        <f t="shared" ref="M1008:O1012" si="1313">M949-L949</f>
        <v>50.747000000000007</v>
      </c>
      <c r="N1008" s="122">
        <f t="shared" si="1313"/>
        <v>64.908000000000001</v>
      </c>
      <c r="O1008" s="122">
        <f t="shared" si="1313"/>
        <v>147.03699999999998</v>
      </c>
      <c r="P1008" s="674">
        <f t="shared" ref="P1008:Q1012" si="1314">P949</f>
        <v>308.85399999999998</v>
      </c>
      <c r="Q1008" s="122">
        <f t="shared" si="1314"/>
        <v>44.79</v>
      </c>
      <c r="R1008" s="122">
        <f t="shared" ref="R1008:T1012" si="1315">R949-Q949</f>
        <v>53.667999999999999</v>
      </c>
      <c r="S1008" s="122">
        <f t="shared" si="1315"/>
        <v>70.481999999999999</v>
      </c>
      <c r="T1008" s="122">
        <f t="shared" si="1315"/>
        <v>141.12799999999999</v>
      </c>
      <c r="U1008" s="674">
        <f t="shared" ref="U1008:V1012" si="1316">U949</f>
        <v>310.06799999999998</v>
      </c>
      <c r="V1008" s="122">
        <f t="shared" si="1316"/>
        <v>39.597000000000001</v>
      </c>
      <c r="W1008" s="122">
        <f t="shared" ref="W1008:Y1012" si="1317">W949-V949</f>
        <v>51.785000000000004</v>
      </c>
      <c r="X1008" s="122">
        <f t="shared" si="1317"/>
        <v>69.377999999999986</v>
      </c>
      <c r="Y1008" s="122">
        <f t="shared" si="1317"/>
        <v>144.62700000000001</v>
      </c>
      <c r="Z1008" s="674">
        <f t="shared" ref="Z1008:AA1012" si="1318">Z949</f>
        <v>305.387</v>
      </c>
      <c r="AA1008" s="122">
        <f t="shared" si="1318"/>
        <v>39.555</v>
      </c>
      <c r="AB1008" s="122">
        <f t="shared" ref="AB1008:AD1012" si="1319">AB949-AA949</f>
        <v>52.916999999999994</v>
      </c>
      <c r="AC1008" s="122">
        <f t="shared" si="1319"/>
        <v>71.313000000000002</v>
      </c>
      <c r="AD1008" s="122">
        <f t="shared" si="1319"/>
        <v>95.760000000000019</v>
      </c>
      <c r="AE1008" s="674">
        <f t="shared" ref="AE1008:AF1012" si="1320">AE949</f>
        <v>259.54500000000002</v>
      </c>
      <c r="AF1008" s="122">
        <f t="shared" si="1320"/>
        <v>45.167999999999999</v>
      </c>
      <c r="AG1008" s="122">
        <f t="shared" ref="AG1008:AI1012" si="1321">AG949-AF949</f>
        <v>51.713000000000001</v>
      </c>
      <c r="AH1008" s="122">
        <f t="shared" si="1321"/>
        <v>81.465000000000003</v>
      </c>
      <c r="AI1008" s="122">
        <f t="shared" si="1321"/>
        <v>155.33800000000002</v>
      </c>
      <c r="AJ1008" s="674">
        <f t="shared" ref="AJ1008:AK1018" si="1322">AJ949</f>
        <v>333.68400000000003</v>
      </c>
      <c r="AK1008" s="122">
        <f t="shared" si="1322"/>
        <v>52.655999999999999</v>
      </c>
      <c r="AL1008" s="122">
        <f t="shared" ref="AL1008:AN1018" si="1323">AL949-AK949</f>
        <v>62.648000000000003</v>
      </c>
      <c r="AM1008" s="122">
        <f t="shared" si="1323"/>
        <v>74.712999999999994</v>
      </c>
      <c r="AN1008" s="122">
        <f t="shared" si="1323"/>
        <v>166.04500000000002</v>
      </c>
      <c r="AO1008" s="674">
        <f t="shared" ref="AO1008:AP1018" si="1324">AO949</f>
        <v>356.06200000000001</v>
      </c>
      <c r="AP1008" s="122">
        <f t="shared" si="1324"/>
        <v>35.423000000000002</v>
      </c>
      <c r="AQ1008" s="122">
        <f t="shared" ref="AQ1008:AS1018" si="1325">AQ949-AP949</f>
        <v>134.56399999999999</v>
      </c>
      <c r="AR1008" s="122">
        <f t="shared" si="1325"/>
        <v>201.77200000000002</v>
      </c>
      <c r="AS1008" s="122">
        <f t="shared" si="1325"/>
        <v>308.95500000000004</v>
      </c>
      <c r="AT1008" s="674">
        <f t="shared" ref="AT1008:AU1018" si="1326">AT949</f>
        <v>680.71400000000006</v>
      </c>
      <c r="AU1008" s="122">
        <f t="shared" si="1326"/>
        <v>227.80199999999999</v>
      </c>
      <c r="AV1008" s="122">
        <f t="shared" ref="AV1008:AX1018" si="1327">AV949-AU949</f>
        <v>246.07000000000002</v>
      </c>
      <c r="AW1008" s="122">
        <f t="shared" si="1327"/>
        <v>249.52399999999994</v>
      </c>
      <c r="AX1008" s="122">
        <f t="shared" si="1327"/>
        <v>402.94100000000003</v>
      </c>
      <c r="AY1008" s="674">
        <f t="shared" ref="AY1008:AZ1018" si="1328">AY949</f>
        <v>1126.337</v>
      </c>
      <c r="AZ1008" s="122">
        <f t="shared" si="1328"/>
        <v>254.113</v>
      </c>
      <c r="BA1008" s="122">
        <f t="shared" ref="BA1008:BC1018" si="1329">BA949-AZ949</f>
        <v>267.07499999999999</v>
      </c>
      <c r="BB1008" s="122">
        <f t="shared" si="1329"/>
        <v>251.72299999999996</v>
      </c>
      <c r="BC1008" s="122">
        <f t="shared" si="1329"/>
        <v>354.99300000000005</v>
      </c>
      <c r="BD1008" s="674">
        <f t="shared" ref="BD1008:BE1018" si="1330">BD949</f>
        <v>1127.904</v>
      </c>
      <c r="BE1008" s="122">
        <f t="shared" si="1330"/>
        <v>156.53100000000001</v>
      </c>
      <c r="BF1008" s="122">
        <f t="shared" ref="BF1008:BH1018" si="1331">BF949-BE949</f>
        <v>201.50700000000001</v>
      </c>
      <c r="BG1008" s="122">
        <f t="shared" si="1331"/>
        <v>237.28499999999997</v>
      </c>
      <c r="BH1008" s="122">
        <f t="shared" si="1331"/>
        <v>354.43899999999996</v>
      </c>
      <c r="BI1008" s="674">
        <f t="shared" ref="BI1008:BJ1018" si="1332">BI949</f>
        <v>949.76199999999994</v>
      </c>
      <c r="BJ1008" s="1274">
        <f t="shared" si="1332"/>
        <v>265.666</v>
      </c>
      <c r="BK1008" s="118">
        <f>BK795</f>
        <v>192.86416227804926</v>
      </c>
      <c r="BL1008" s="118">
        <f ca="1">BL795</f>
        <v>233.69184608480805</v>
      </c>
      <c r="BM1008" s="118">
        <f ca="1">BM795</f>
        <v>363.22875556368473</v>
      </c>
      <c r="BN1008" s="401">
        <f t="shared" ref="BN1008:BN1018" ca="1" si="1333">SUM(BJ1008,BK1008,BL1008,BM1008)</f>
        <v>1055.4507639265421</v>
      </c>
      <c r="BO1008" s="118">
        <f ca="1">BO795</f>
        <v>216.51038251302049</v>
      </c>
      <c r="BP1008" s="118">
        <f ca="1">BP795</f>
        <v>214.19387637160605</v>
      </c>
      <c r="BQ1008" s="118">
        <f ca="1">BQ795</f>
        <v>270.54557912367284</v>
      </c>
      <c r="BR1008" s="118">
        <f ca="1">BR795</f>
        <v>365.45204517718474</v>
      </c>
      <c r="BS1008" s="401">
        <f t="shared" ref="BS1008:BS1018" ca="1" si="1334">SUM(BO1008,BP1008,BQ1008,BR1008)</f>
        <v>1066.7018831854841</v>
      </c>
      <c r="BT1008" s="401">
        <f ca="1">BT795</f>
        <v>1150.5478748624337</v>
      </c>
      <c r="BU1008" s="401">
        <f ca="1">BU795</f>
        <v>1253.5241946077499</v>
      </c>
      <c r="BV1008" s="401">
        <f ca="1">BV795</f>
        <v>1365.2158019629389</v>
      </c>
      <c r="BW1008" s="122"/>
    </row>
    <row r="1009" spans="1:75" s="123" customFormat="1" x14ac:dyDescent="0.5">
      <c r="A1009" s="464" t="str">
        <f t="shared" si="1309"/>
        <v>Depreciation and amortization</v>
      </c>
      <c r="B1009" s="513"/>
      <c r="C1009" s="674">
        <f t="shared" si="1310"/>
        <v>151.79599999999999</v>
      </c>
      <c r="D1009" s="674">
        <f t="shared" si="1310"/>
        <v>144.63</v>
      </c>
      <c r="E1009" s="674">
        <f t="shared" si="1310"/>
        <v>130.553</v>
      </c>
      <c r="F1009" s="674">
        <f t="shared" si="1310"/>
        <v>134.453</v>
      </c>
      <c r="G1009" s="122">
        <f t="shared" si="1310"/>
        <v>36.609000000000002</v>
      </c>
      <c r="H1009" s="122">
        <f t="shared" si="1311"/>
        <v>37.222999999999992</v>
      </c>
      <c r="I1009" s="122">
        <f t="shared" si="1311"/>
        <v>37.580000000000013</v>
      </c>
      <c r="J1009" s="122">
        <f t="shared" si="1311"/>
        <v>38.382999999999981</v>
      </c>
      <c r="K1009" s="674">
        <f t="shared" si="1312"/>
        <v>149.79499999999999</v>
      </c>
      <c r="L1009" s="122">
        <f t="shared" si="1312"/>
        <v>38.630000000000003</v>
      </c>
      <c r="M1009" s="122">
        <f t="shared" si="1313"/>
        <v>40.701999999999991</v>
      </c>
      <c r="N1009" s="122">
        <f t="shared" si="1313"/>
        <v>41.803000000000011</v>
      </c>
      <c r="O1009" s="122">
        <f t="shared" si="1313"/>
        <v>41.137999999999991</v>
      </c>
      <c r="P1009" s="674">
        <f t="shared" si="1314"/>
        <v>162.273</v>
      </c>
      <c r="Q1009" s="122">
        <f t="shared" si="1314"/>
        <v>41.478000000000002</v>
      </c>
      <c r="R1009" s="122">
        <f t="shared" si="1315"/>
        <v>41.755000000000003</v>
      </c>
      <c r="S1009" s="122">
        <f t="shared" si="1315"/>
        <v>41.86</v>
      </c>
      <c r="T1009" s="122">
        <f t="shared" si="1315"/>
        <v>42.666999999999987</v>
      </c>
      <c r="U1009" s="674">
        <f t="shared" si="1316"/>
        <v>167.76</v>
      </c>
      <c r="V1009" s="122">
        <f t="shared" si="1316"/>
        <v>41.24</v>
      </c>
      <c r="W1009" s="122">
        <f t="shared" si="1317"/>
        <v>42.128999999999998</v>
      </c>
      <c r="X1009" s="122">
        <f t="shared" si="1317"/>
        <v>44.376000000000005</v>
      </c>
      <c r="Y1009" s="122">
        <f t="shared" si="1317"/>
        <v>45.449999999999989</v>
      </c>
      <c r="Z1009" s="674">
        <f t="shared" si="1318"/>
        <v>173.19499999999999</v>
      </c>
      <c r="AA1009" s="122">
        <f t="shared" si="1318"/>
        <v>44.95</v>
      </c>
      <c r="AB1009" s="122">
        <f t="shared" si="1319"/>
        <v>45.097999999999999</v>
      </c>
      <c r="AC1009" s="122">
        <f t="shared" si="1319"/>
        <v>45.425000000000011</v>
      </c>
      <c r="AD1009" s="122">
        <f t="shared" si="1319"/>
        <v>47.603999999999985</v>
      </c>
      <c r="AE1009" s="674">
        <f t="shared" si="1320"/>
        <v>183.077</v>
      </c>
      <c r="AF1009" s="122">
        <f t="shared" si="1320"/>
        <v>47.872999999999998</v>
      </c>
      <c r="AG1009" s="122">
        <f t="shared" si="1321"/>
        <v>45.936</v>
      </c>
      <c r="AH1009" s="122">
        <f t="shared" si="1321"/>
        <v>47.358000000000004</v>
      </c>
      <c r="AI1009" s="122">
        <f t="shared" si="1321"/>
        <v>47.640999999999991</v>
      </c>
      <c r="AJ1009" s="674">
        <f t="shared" si="1322"/>
        <v>188.80799999999999</v>
      </c>
      <c r="AK1009" s="122">
        <f t="shared" si="1322"/>
        <v>46.838000000000001</v>
      </c>
      <c r="AL1009" s="122">
        <f t="shared" si="1323"/>
        <v>46.905999999999999</v>
      </c>
      <c r="AM1009" s="122">
        <f t="shared" si="1323"/>
        <v>46.751000000000005</v>
      </c>
      <c r="AN1009" s="122">
        <f t="shared" si="1323"/>
        <v>47.263999999999982</v>
      </c>
      <c r="AO1009" s="674">
        <f t="shared" si="1324"/>
        <v>187.75899999999999</v>
      </c>
      <c r="AP1009" s="122">
        <f t="shared" si="1324"/>
        <v>46.223999999999997</v>
      </c>
      <c r="AQ1009" s="122">
        <f t="shared" si="1325"/>
        <v>46.896000000000008</v>
      </c>
      <c r="AR1009" s="122">
        <f t="shared" si="1325"/>
        <v>47.22</v>
      </c>
      <c r="AS1009" s="122">
        <f t="shared" si="1325"/>
        <v>48.314999999999998</v>
      </c>
      <c r="AT1009" s="674">
        <f t="shared" si="1326"/>
        <v>188.655</v>
      </c>
      <c r="AU1009" s="122">
        <f t="shared" si="1326"/>
        <v>47.921999999999997</v>
      </c>
      <c r="AV1009" s="122">
        <f t="shared" si="1327"/>
        <v>48.765000000000001</v>
      </c>
      <c r="AW1009" s="122">
        <f t="shared" si="1327"/>
        <v>49.209999999999994</v>
      </c>
      <c r="AX1009" s="122">
        <f t="shared" si="1327"/>
        <v>50.19</v>
      </c>
      <c r="AY1009" s="674">
        <f t="shared" si="1328"/>
        <v>196.08699999999999</v>
      </c>
      <c r="AZ1009" s="122">
        <f t="shared" si="1328"/>
        <v>50.250999999999998</v>
      </c>
      <c r="BA1009" s="122">
        <f t="shared" si="1329"/>
        <v>52.204000000000001</v>
      </c>
      <c r="BB1009" s="122">
        <f t="shared" si="1329"/>
        <v>54.954999999999998</v>
      </c>
      <c r="BC1009" s="122">
        <f t="shared" si="1329"/>
        <v>56.742999999999995</v>
      </c>
      <c r="BD1009" s="674">
        <f t="shared" si="1330"/>
        <v>214.15299999999999</v>
      </c>
      <c r="BE1009" s="122">
        <f t="shared" si="1330"/>
        <v>55.601999999999997</v>
      </c>
      <c r="BF1009" s="122">
        <f t="shared" si="1331"/>
        <v>55.241000000000007</v>
      </c>
      <c r="BG1009" s="122">
        <f t="shared" si="1331"/>
        <v>55.183999999999983</v>
      </c>
      <c r="BH1009" s="122">
        <f t="shared" si="1331"/>
        <v>66.563000000000017</v>
      </c>
      <c r="BI1009" s="674">
        <f t="shared" si="1332"/>
        <v>232.59</v>
      </c>
      <c r="BJ1009" s="1274">
        <f t="shared" si="1332"/>
        <v>56.996000000000002</v>
      </c>
      <c r="BK1009" s="118">
        <f>BK766</f>
        <v>53.431599245283024</v>
      </c>
      <c r="BL1009" s="118">
        <f>BL766</f>
        <v>53.246422380348889</v>
      </c>
      <c r="BM1009" s="118">
        <f>BM766</f>
        <v>58.02533912062367</v>
      </c>
      <c r="BN1009" s="401">
        <f t="shared" si="1333"/>
        <v>221.69936074625559</v>
      </c>
      <c r="BO1009" s="118">
        <f>BO766</f>
        <v>55.60294515895594</v>
      </c>
      <c r="BP1009" s="118">
        <f>BP766</f>
        <v>56.944783175213374</v>
      </c>
      <c r="BQ1009" s="118">
        <f>BQ766</f>
        <v>58.762820100576619</v>
      </c>
      <c r="BR1009" s="118">
        <f>BR766</f>
        <v>60.755864995044917</v>
      </c>
      <c r="BS1009" s="401">
        <f t="shared" si="1334"/>
        <v>232.06641342979083</v>
      </c>
      <c r="BT1009" s="401">
        <f>BT766</f>
        <v>253.85716968126977</v>
      </c>
      <c r="BU1009" s="401">
        <f>BU766</f>
        <v>286.0085923513904</v>
      </c>
      <c r="BV1009" s="401">
        <f>BV766</f>
        <v>311.08670203408451</v>
      </c>
      <c r="BW1009" s="122"/>
    </row>
    <row r="1010" spans="1:75" s="123" customFormat="1" x14ac:dyDescent="0.5">
      <c r="A1010" s="464" t="str">
        <f t="shared" si="1309"/>
        <v>Loss on sale/disposal of assets</v>
      </c>
      <c r="B1010" s="513"/>
      <c r="C1010" s="674">
        <f t="shared" si="1310"/>
        <v>2.6030000000000002</v>
      </c>
      <c r="D1010" s="674">
        <f t="shared" si="1310"/>
        <v>-1.139</v>
      </c>
      <c r="E1010" s="674">
        <f t="shared" si="1310"/>
        <v>2.04</v>
      </c>
      <c r="F1010" s="674">
        <f t="shared" si="1310"/>
        <v>0</v>
      </c>
      <c r="G1010" s="122">
        <f t="shared" si="1310"/>
        <v>0</v>
      </c>
      <c r="H1010" s="122">
        <f t="shared" si="1311"/>
        <v>0</v>
      </c>
      <c r="I1010" s="122">
        <f t="shared" si="1311"/>
        <v>0</v>
      </c>
      <c r="J1010" s="122">
        <f t="shared" si="1311"/>
        <v>0</v>
      </c>
      <c r="K1010" s="674">
        <f t="shared" si="1312"/>
        <v>0</v>
      </c>
      <c r="L1010" s="122">
        <f t="shared" si="1312"/>
        <v>0</v>
      </c>
      <c r="M1010" s="122">
        <f t="shared" si="1313"/>
        <v>0</v>
      </c>
      <c r="N1010" s="122">
        <f t="shared" si="1313"/>
        <v>0</v>
      </c>
      <c r="O1010" s="122">
        <f t="shared" si="1313"/>
        <v>0</v>
      </c>
      <c r="P1010" s="674">
        <f t="shared" si="1314"/>
        <v>0</v>
      </c>
      <c r="Q1010" s="122">
        <f t="shared" si="1314"/>
        <v>0</v>
      </c>
      <c r="R1010" s="122">
        <f t="shared" si="1315"/>
        <v>0</v>
      </c>
      <c r="S1010" s="122">
        <f t="shared" si="1315"/>
        <v>0</v>
      </c>
      <c r="T1010" s="122">
        <f t="shared" si="1315"/>
        <v>0</v>
      </c>
      <c r="U1010" s="674">
        <f t="shared" si="1316"/>
        <v>0</v>
      </c>
      <c r="V1010" s="122">
        <f t="shared" si="1316"/>
        <v>0.88</v>
      </c>
      <c r="W1010" s="122">
        <f t="shared" si="1317"/>
        <v>0.64</v>
      </c>
      <c r="X1010" s="122">
        <f t="shared" si="1317"/>
        <v>0.33200000000000007</v>
      </c>
      <c r="Y1010" s="122">
        <f t="shared" si="1317"/>
        <v>1.954</v>
      </c>
      <c r="Z1010" s="674">
        <f t="shared" si="1318"/>
        <v>3.806</v>
      </c>
      <c r="AA1010" s="122">
        <f t="shared" si="1318"/>
        <v>0.51900000000000002</v>
      </c>
      <c r="AB1010" s="122">
        <f t="shared" si="1319"/>
        <v>0.32599999999999996</v>
      </c>
      <c r="AC1010" s="122">
        <f t="shared" si="1319"/>
        <v>0.45399999999999996</v>
      </c>
      <c r="AD1010" s="122">
        <f t="shared" si="1319"/>
        <v>0.59000000000000008</v>
      </c>
      <c r="AE1010" s="674">
        <f t="shared" si="1320"/>
        <v>1.889</v>
      </c>
      <c r="AF1010" s="122">
        <f t="shared" si="1320"/>
        <v>0.41399999999999998</v>
      </c>
      <c r="AG1010" s="122">
        <f t="shared" si="1321"/>
        <v>4.0520000000000005</v>
      </c>
      <c r="AH1010" s="122">
        <f t="shared" si="1321"/>
        <v>0.82399999999999984</v>
      </c>
      <c r="AI1010" s="122">
        <f t="shared" si="1321"/>
        <v>4.9189999999999996</v>
      </c>
      <c r="AJ1010" s="674">
        <f t="shared" si="1322"/>
        <v>10.209</v>
      </c>
      <c r="AK1010" s="122">
        <f t="shared" si="1322"/>
        <v>-0.32300000000000001</v>
      </c>
      <c r="AL1010" s="122">
        <f t="shared" si="1323"/>
        <v>0.317</v>
      </c>
      <c r="AM1010" s="122">
        <f t="shared" si="1323"/>
        <v>0.68800000000000006</v>
      </c>
      <c r="AN1010" s="122">
        <f t="shared" si="1323"/>
        <v>1.073</v>
      </c>
      <c r="AO1010" s="674">
        <f t="shared" si="1324"/>
        <v>1.7549999999999999</v>
      </c>
      <c r="AP1010" s="122">
        <f t="shared" si="1324"/>
        <v>16.184999999999999</v>
      </c>
      <c r="AQ1010" s="122">
        <f t="shared" si="1325"/>
        <v>9.2230000000000025</v>
      </c>
      <c r="AR1010" s="122">
        <f t="shared" si="1325"/>
        <v>0.81199999999999761</v>
      </c>
      <c r="AS1010" s="122">
        <f t="shared" si="1325"/>
        <v>6.1450000000000031</v>
      </c>
      <c r="AT1010" s="674">
        <f t="shared" si="1326"/>
        <v>32.365000000000002</v>
      </c>
      <c r="AU1010" s="122">
        <f t="shared" si="1326"/>
        <v>0.19500000000000001</v>
      </c>
      <c r="AV1010" s="122">
        <f t="shared" si="1327"/>
        <v>0.26</v>
      </c>
      <c r="AW1010" s="122">
        <f t="shared" si="1327"/>
        <v>0.432</v>
      </c>
      <c r="AX1010" s="122">
        <f t="shared" si="1327"/>
        <v>0.12799999999999989</v>
      </c>
      <c r="AY1010" s="674">
        <f t="shared" si="1328"/>
        <v>1.0149999999999999</v>
      </c>
      <c r="AZ1010" s="122">
        <f t="shared" si="1328"/>
        <v>0.159</v>
      </c>
      <c r="BA1010" s="122">
        <f t="shared" si="1329"/>
        <v>5.2540000000000004</v>
      </c>
      <c r="BB1010" s="122">
        <f t="shared" si="1329"/>
        <v>0.32500000000000018</v>
      </c>
      <c r="BC1010" s="122">
        <f t="shared" si="1329"/>
        <v>19.378</v>
      </c>
      <c r="BD1010" s="674">
        <f t="shared" si="1330"/>
        <v>25.116</v>
      </c>
      <c r="BE1010" s="122">
        <f t="shared" si="1330"/>
        <v>10.374000000000001</v>
      </c>
      <c r="BF1010" s="122">
        <f t="shared" si="1331"/>
        <v>3.8109999999999999</v>
      </c>
      <c r="BG1010" s="122">
        <f t="shared" si="1331"/>
        <v>4.9580000000000002</v>
      </c>
      <c r="BH1010" s="122">
        <f t="shared" si="1331"/>
        <v>2.7259999999999991</v>
      </c>
      <c r="BI1010" s="674">
        <f t="shared" si="1332"/>
        <v>21.869</v>
      </c>
      <c r="BJ1010" s="1274">
        <f t="shared" si="1332"/>
        <v>1.264</v>
      </c>
      <c r="BK1010" s="118"/>
      <c r="BL1010" s="118"/>
      <c r="BM1010" s="118"/>
      <c r="BN1010" s="401">
        <f t="shared" si="1333"/>
        <v>1.264</v>
      </c>
      <c r="BO1010" s="118"/>
      <c r="BP1010" s="118"/>
      <c r="BQ1010" s="118"/>
      <c r="BR1010" s="118"/>
      <c r="BS1010" s="401">
        <f t="shared" si="1334"/>
        <v>0</v>
      </c>
      <c r="BT1010" s="401"/>
      <c r="BU1010" s="401"/>
      <c r="BV1010" s="401"/>
      <c r="BW1010" s="122"/>
    </row>
    <row r="1011" spans="1:75" s="123" customFormat="1" x14ac:dyDescent="0.5">
      <c r="A1011" s="464" t="str">
        <f t="shared" si="1309"/>
        <v>Impairment of assets</v>
      </c>
      <c r="B1011" s="513"/>
      <c r="C1011" s="674">
        <f t="shared" si="1310"/>
        <v>30.533000000000001</v>
      </c>
      <c r="D1011" s="674">
        <f t="shared" si="1310"/>
        <v>5.4530000000000003</v>
      </c>
      <c r="E1011" s="674">
        <f t="shared" si="1310"/>
        <v>0.84</v>
      </c>
      <c r="F1011" s="674">
        <f t="shared" si="1310"/>
        <v>8.3879999999999999</v>
      </c>
      <c r="G1011" s="122">
        <f t="shared" si="1310"/>
        <v>0.36</v>
      </c>
      <c r="H1011" s="122">
        <f t="shared" si="1311"/>
        <v>0.87300000000000011</v>
      </c>
      <c r="I1011" s="122">
        <f t="shared" si="1311"/>
        <v>0.504</v>
      </c>
      <c r="J1011" s="122">
        <f t="shared" si="1311"/>
        <v>1.0269999999999997</v>
      </c>
      <c r="K1011" s="674">
        <f t="shared" si="1312"/>
        <v>2.7639999999999998</v>
      </c>
      <c r="L1011" s="122">
        <f t="shared" si="1312"/>
        <v>0.64400000000000002</v>
      </c>
      <c r="M1011" s="122">
        <f t="shared" si="1313"/>
        <v>0.30799999999999994</v>
      </c>
      <c r="N1011" s="122">
        <f t="shared" si="1313"/>
        <v>0.629</v>
      </c>
      <c r="O1011" s="122">
        <f t="shared" si="1313"/>
        <v>0.82900000000000018</v>
      </c>
      <c r="P1011" s="674">
        <f t="shared" si="1314"/>
        <v>2.41</v>
      </c>
      <c r="Q1011" s="122">
        <f t="shared" si="1314"/>
        <v>1.694</v>
      </c>
      <c r="R1011" s="122">
        <f t="shared" si="1315"/>
        <v>0.37999999999999989</v>
      </c>
      <c r="S1011" s="122">
        <f t="shared" si="1315"/>
        <v>1.484</v>
      </c>
      <c r="T1011" s="122">
        <f t="shared" si="1315"/>
        <v>0.78100000000000058</v>
      </c>
      <c r="U1011" s="674">
        <f t="shared" si="1316"/>
        <v>4.3390000000000004</v>
      </c>
      <c r="V1011" s="122">
        <f t="shared" si="1316"/>
        <v>0</v>
      </c>
      <c r="W1011" s="122">
        <f t="shared" si="1317"/>
        <v>0</v>
      </c>
      <c r="X1011" s="122">
        <f t="shared" si="1317"/>
        <v>0</v>
      </c>
      <c r="Y1011" s="122">
        <f t="shared" si="1317"/>
        <v>0</v>
      </c>
      <c r="Z1011" s="674">
        <f t="shared" si="1318"/>
        <v>0</v>
      </c>
      <c r="AA1011" s="122">
        <f t="shared" si="1318"/>
        <v>0</v>
      </c>
      <c r="AB1011" s="122">
        <f t="shared" si="1319"/>
        <v>0</v>
      </c>
      <c r="AC1011" s="122">
        <f t="shared" si="1319"/>
        <v>0</v>
      </c>
      <c r="AD1011" s="122">
        <f t="shared" si="1319"/>
        <v>0</v>
      </c>
      <c r="AE1011" s="674">
        <f t="shared" si="1320"/>
        <v>0</v>
      </c>
      <c r="AF1011" s="122">
        <f t="shared" si="1320"/>
        <v>0</v>
      </c>
      <c r="AG1011" s="122">
        <f t="shared" si="1321"/>
        <v>0</v>
      </c>
      <c r="AH1011" s="122">
        <f t="shared" si="1321"/>
        <v>0</v>
      </c>
      <c r="AI1011" s="122">
        <f t="shared" si="1321"/>
        <v>0</v>
      </c>
      <c r="AJ1011" s="674">
        <f t="shared" si="1322"/>
        <v>0</v>
      </c>
      <c r="AK1011" s="122">
        <f t="shared" si="1322"/>
        <v>0</v>
      </c>
      <c r="AL1011" s="122">
        <f t="shared" si="1323"/>
        <v>0</v>
      </c>
      <c r="AM1011" s="122">
        <f t="shared" si="1323"/>
        <v>0</v>
      </c>
      <c r="AN1011" s="122">
        <f t="shared" si="1323"/>
        <v>0</v>
      </c>
      <c r="AO1011" s="674">
        <f t="shared" si="1324"/>
        <v>0</v>
      </c>
      <c r="AP1011" s="122">
        <f t="shared" si="1324"/>
        <v>0</v>
      </c>
      <c r="AQ1011" s="122">
        <f t="shared" si="1325"/>
        <v>0</v>
      </c>
      <c r="AR1011" s="122">
        <f t="shared" si="1325"/>
        <v>0</v>
      </c>
      <c r="AS1011" s="122">
        <f t="shared" si="1325"/>
        <v>0</v>
      </c>
      <c r="AT1011" s="674">
        <f t="shared" si="1326"/>
        <v>0</v>
      </c>
      <c r="AU1011" s="122">
        <f t="shared" si="1326"/>
        <v>0</v>
      </c>
      <c r="AV1011" s="122">
        <f t="shared" si="1327"/>
        <v>0</v>
      </c>
      <c r="AW1011" s="122">
        <f t="shared" si="1327"/>
        <v>0</v>
      </c>
      <c r="AX1011" s="122">
        <f t="shared" si="1327"/>
        <v>0</v>
      </c>
      <c r="AY1011" s="674">
        <f t="shared" si="1328"/>
        <v>0</v>
      </c>
      <c r="AZ1011" s="122">
        <f t="shared" si="1328"/>
        <v>0</v>
      </c>
      <c r="BA1011" s="122">
        <f t="shared" si="1329"/>
        <v>0</v>
      </c>
      <c r="BB1011" s="122">
        <f t="shared" si="1329"/>
        <v>0</v>
      </c>
      <c r="BC1011" s="122">
        <f t="shared" si="1329"/>
        <v>0</v>
      </c>
      <c r="BD1011" s="674">
        <f t="shared" si="1330"/>
        <v>0</v>
      </c>
      <c r="BE1011" s="122">
        <f t="shared" si="1330"/>
        <v>0</v>
      </c>
      <c r="BF1011" s="122">
        <f t="shared" si="1331"/>
        <v>0</v>
      </c>
      <c r="BG1011" s="122">
        <f t="shared" si="1331"/>
        <v>0</v>
      </c>
      <c r="BH1011" s="122">
        <f t="shared" si="1331"/>
        <v>0</v>
      </c>
      <c r="BI1011" s="674">
        <f t="shared" si="1332"/>
        <v>0</v>
      </c>
      <c r="BJ1011" s="1274">
        <f t="shared" si="1332"/>
        <v>0</v>
      </c>
      <c r="BK1011" s="118">
        <f>BK365</f>
        <v>0</v>
      </c>
      <c r="BL1011" s="118">
        <f>BL365</f>
        <v>0</v>
      </c>
      <c r="BM1011" s="118">
        <f>BM365</f>
        <v>0</v>
      </c>
      <c r="BN1011" s="401">
        <f t="shared" si="1333"/>
        <v>0</v>
      </c>
      <c r="BO1011" s="118">
        <f>BO365</f>
        <v>0</v>
      </c>
      <c r="BP1011" s="118">
        <f>BP365</f>
        <v>0</v>
      </c>
      <c r="BQ1011" s="118">
        <f>BQ365</f>
        <v>0</v>
      </c>
      <c r="BR1011" s="118">
        <f>BR365</f>
        <v>0</v>
      </c>
      <c r="BS1011" s="401">
        <f t="shared" si="1334"/>
        <v>0</v>
      </c>
      <c r="BT1011" s="401">
        <f>BT365</f>
        <v>0</v>
      </c>
      <c r="BU1011" s="401">
        <f>BU365</f>
        <v>0</v>
      </c>
      <c r="BV1011" s="401">
        <f>BV365</f>
        <v>0</v>
      </c>
      <c r="BW1011" s="122"/>
    </row>
    <row r="1012" spans="1:75" s="123" customFormat="1" x14ac:dyDescent="0.5">
      <c r="A1012" s="464" t="str">
        <f t="shared" si="1309"/>
        <v>Amortization of deferred lease incentives</v>
      </c>
      <c r="B1012" s="513"/>
      <c r="C1012" s="674">
        <f t="shared" si="1310"/>
        <v>-36.798999999999999</v>
      </c>
      <c r="D1012" s="674">
        <f t="shared" si="1310"/>
        <v>-37.115000000000002</v>
      </c>
      <c r="E1012" s="674">
        <f t="shared" si="1310"/>
        <v>-27.547000000000001</v>
      </c>
      <c r="F1012" s="674">
        <f t="shared" si="1310"/>
        <v>-26.693999999999999</v>
      </c>
      <c r="G1012" s="122">
        <f t="shared" si="1310"/>
        <v>-6.3529999999999998</v>
      </c>
      <c r="H1012" s="122">
        <f t="shared" si="1311"/>
        <v>-6.2680000000000007</v>
      </c>
      <c r="I1012" s="122">
        <f t="shared" si="1311"/>
        <v>-6.4339999999999993</v>
      </c>
      <c r="J1012" s="122">
        <f t="shared" si="1311"/>
        <v>-6.3270000000000017</v>
      </c>
      <c r="K1012" s="674">
        <f t="shared" si="1312"/>
        <v>-25.382000000000001</v>
      </c>
      <c r="L1012" s="122">
        <f t="shared" si="1312"/>
        <v>-5.782</v>
      </c>
      <c r="M1012" s="122">
        <f t="shared" si="1313"/>
        <v>-6.7010000000000005</v>
      </c>
      <c r="N1012" s="122">
        <f t="shared" si="1313"/>
        <v>-6.0940000000000012</v>
      </c>
      <c r="O1012" s="122">
        <f t="shared" si="1313"/>
        <v>-5.8419999999999987</v>
      </c>
      <c r="P1012" s="674">
        <f t="shared" si="1314"/>
        <v>-24.419</v>
      </c>
      <c r="Q1012" s="122">
        <f t="shared" si="1314"/>
        <v>-5.9989999999999997</v>
      </c>
      <c r="R1012" s="122">
        <f t="shared" si="1315"/>
        <v>-6.0759999999999996</v>
      </c>
      <c r="S1012" s="122">
        <f t="shared" si="1315"/>
        <v>-6.2510000000000012</v>
      </c>
      <c r="T1012" s="122">
        <f t="shared" si="1315"/>
        <v>-6.3949999999999996</v>
      </c>
      <c r="U1012" s="674">
        <f t="shared" si="1316"/>
        <v>-24.721</v>
      </c>
      <c r="V1012" s="122">
        <f t="shared" si="1316"/>
        <v>-5.9870000000000001</v>
      </c>
      <c r="W1012" s="122">
        <f t="shared" si="1317"/>
        <v>-6.5630000000000006</v>
      </c>
      <c r="X1012" s="122">
        <f t="shared" si="1317"/>
        <v>-6.2390000000000008</v>
      </c>
      <c r="Y1012" s="122">
        <f t="shared" si="1317"/>
        <v>-6.4229999999999983</v>
      </c>
      <c r="Z1012" s="674">
        <f t="shared" si="1318"/>
        <v>-25.212</v>
      </c>
      <c r="AA1012" s="122">
        <f t="shared" si="1318"/>
        <v>-6.4770000000000003</v>
      </c>
      <c r="AB1012" s="122">
        <f t="shared" si="1319"/>
        <v>-6.2029999999999994</v>
      </c>
      <c r="AC1012" s="122">
        <f t="shared" si="1319"/>
        <v>-6.3069999999999986</v>
      </c>
      <c r="AD1012" s="122">
        <f t="shared" si="1319"/>
        <v>-6.3850000000000016</v>
      </c>
      <c r="AE1012" s="674">
        <f t="shared" si="1320"/>
        <v>-25.372</v>
      </c>
      <c r="AF1012" s="122">
        <f t="shared" si="1320"/>
        <v>-6.7240000000000002</v>
      </c>
      <c r="AG1012" s="122">
        <f t="shared" si="1321"/>
        <v>-6.4860000000000007</v>
      </c>
      <c r="AH1012" s="122">
        <f t="shared" si="1321"/>
        <v>-6.5180000000000007</v>
      </c>
      <c r="AI1012" s="122">
        <f t="shared" si="1321"/>
        <v>-6.4710000000000001</v>
      </c>
      <c r="AJ1012" s="674">
        <f t="shared" si="1322"/>
        <v>-26.199000000000002</v>
      </c>
      <c r="AK1012" s="122">
        <f t="shared" si="1322"/>
        <v>-2.306</v>
      </c>
      <c r="AL1012" s="122">
        <f t="shared" si="1323"/>
        <v>-1.9219999999999997</v>
      </c>
      <c r="AM1012" s="122">
        <f t="shared" si="1323"/>
        <v>-1.7570000000000006</v>
      </c>
      <c r="AN1012" s="122">
        <f t="shared" si="1323"/>
        <v>-1.7290000000000001</v>
      </c>
      <c r="AO1012" s="674">
        <f t="shared" si="1324"/>
        <v>-7.7140000000000004</v>
      </c>
      <c r="AP1012" s="122">
        <f t="shared" si="1324"/>
        <v>-1.405</v>
      </c>
      <c r="AQ1012" s="122">
        <f t="shared" si="1325"/>
        <v>-1.57</v>
      </c>
      <c r="AR1012" s="122">
        <f t="shared" si="1325"/>
        <v>-1.5630000000000002</v>
      </c>
      <c r="AS1012" s="122">
        <f t="shared" si="1325"/>
        <v>-1.2450000000000001</v>
      </c>
      <c r="AT1012" s="674">
        <f t="shared" si="1326"/>
        <v>-5.7830000000000004</v>
      </c>
      <c r="AU1012" s="122">
        <f t="shared" si="1326"/>
        <v>-1.1080000000000001</v>
      </c>
      <c r="AV1012" s="122">
        <f t="shared" si="1327"/>
        <v>-1.1459999999999999</v>
      </c>
      <c r="AW1012" s="122">
        <f t="shared" si="1327"/>
        <v>-1.0910000000000002</v>
      </c>
      <c r="AX1012" s="122">
        <f t="shared" si="1327"/>
        <v>-0.93699999999999983</v>
      </c>
      <c r="AY1012" s="674">
        <f t="shared" si="1328"/>
        <v>-4.282</v>
      </c>
      <c r="AZ1012" s="122">
        <f t="shared" si="1328"/>
        <v>-0.78400000000000003</v>
      </c>
      <c r="BA1012" s="122">
        <f t="shared" si="1329"/>
        <v>-0.85099999999999998</v>
      </c>
      <c r="BB1012" s="122">
        <f t="shared" si="1329"/>
        <v>-0.80700000000000016</v>
      </c>
      <c r="BC1012" s="122">
        <f t="shared" si="1329"/>
        <v>-0.57699999999999996</v>
      </c>
      <c r="BD1012" s="674">
        <f t="shared" si="1330"/>
        <v>-3.0190000000000001</v>
      </c>
      <c r="BE1012" s="122">
        <f t="shared" si="1330"/>
        <v>0</v>
      </c>
      <c r="BF1012" s="122">
        <f t="shared" si="1331"/>
        <v>0</v>
      </c>
      <c r="BG1012" s="122">
        <f t="shared" si="1331"/>
        <v>0</v>
      </c>
      <c r="BH1012" s="122">
        <f t="shared" si="1331"/>
        <v>0</v>
      </c>
      <c r="BI1012" s="674">
        <f t="shared" si="1332"/>
        <v>0</v>
      </c>
      <c r="BJ1012" s="1274">
        <f t="shared" si="1332"/>
        <v>0</v>
      </c>
      <c r="BK1012" s="118"/>
      <c r="BL1012" s="118"/>
      <c r="BM1012" s="118"/>
      <c r="BN1012" s="401">
        <f t="shared" si="1333"/>
        <v>0</v>
      </c>
      <c r="BO1012" s="118"/>
      <c r="BP1012" s="118"/>
      <c r="BQ1012" s="118"/>
      <c r="BR1012" s="118"/>
      <c r="BS1012" s="401">
        <f t="shared" si="1334"/>
        <v>0</v>
      </c>
      <c r="BT1012" s="401"/>
      <c r="BU1012" s="401"/>
      <c r="BV1012" s="401"/>
      <c r="BW1012" s="122"/>
    </row>
    <row r="1013" spans="1:75" s="123" customFormat="1" x14ac:dyDescent="0.5">
      <c r="A1013" s="464" t="s">
        <v>2113</v>
      </c>
      <c r="B1013" s="513"/>
      <c r="C1013" s="401"/>
      <c r="D1013" s="401"/>
      <c r="E1013" s="401"/>
      <c r="F1013" s="401"/>
      <c r="G1013" s="118"/>
      <c r="H1013" s="118"/>
      <c r="I1013" s="118"/>
      <c r="J1013" s="118"/>
      <c r="K1013" s="401"/>
      <c r="L1013" s="118"/>
      <c r="M1013" s="118"/>
      <c r="N1013" s="118"/>
      <c r="O1013" s="118"/>
      <c r="P1013" s="401"/>
      <c r="Q1013" s="118"/>
      <c r="R1013" s="118"/>
      <c r="S1013" s="118"/>
      <c r="T1013" s="118"/>
      <c r="U1013" s="401"/>
      <c r="V1013" s="118"/>
      <c r="W1013" s="118"/>
      <c r="X1013" s="118"/>
      <c r="Y1013" s="118"/>
      <c r="Z1013" s="401"/>
      <c r="AA1013" s="118"/>
      <c r="AB1013" s="118"/>
      <c r="AC1013" s="118"/>
      <c r="AD1013" s="118"/>
      <c r="AE1013" s="401"/>
      <c r="AF1013" s="118"/>
      <c r="AG1013" s="118"/>
      <c r="AH1013" s="118"/>
      <c r="AI1013" s="118"/>
      <c r="AJ1013" s="401"/>
      <c r="AK1013" s="122">
        <f t="shared" si="1322"/>
        <v>51.595999999999997</v>
      </c>
      <c r="AL1013" s="122">
        <f t="shared" si="1323"/>
        <v>53.841000000000001</v>
      </c>
      <c r="AM1013" s="122">
        <f t="shared" si="1323"/>
        <v>54.701000000000008</v>
      </c>
      <c r="AN1013" s="122">
        <f t="shared" si="1323"/>
        <v>55.671999999999997</v>
      </c>
      <c r="AO1013" s="674">
        <f t="shared" si="1324"/>
        <v>215.81</v>
      </c>
      <c r="AP1013" s="122">
        <f t="shared" si="1324"/>
        <v>54.262</v>
      </c>
      <c r="AQ1013" s="122">
        <f t="shared" si="1325"/>
        <v>54.185999999999993</v>
      </c>
      <c r="AR1013" s="122">
        <f t="shared" si="1325"/>
        <v>54.319000000000003</v>
      </c>
      <c r="AS1013" s="122">
        <f t="shared" si="1325"/>
        <v>53.600999999999999</v>
      </c>
      <c r="AT1013" s="674">
        <f t="shared" si="1326"/>
        <v>216.36799999999999</v>
      </c>
      <c r="AU1013" s="122">
        <f t="shared" si="1326"/>
        <v>52.954999999999998</v>
      </c>
      <c r="AV1013" s="122">
        <f t="shared" si="1327"/>
        <v>52.784000000000006</v>
      </c>
      <c r="AW1013" s="122">
        <f t="shared" si="1327"/>
        <v>54.018000000000001</v>
      </c>
      <c r="AX1013" s="122">
        <f t="shared" si="1327"/>
        <v>57.131</v>
      </c>
      <c r="AY1013" s="674">
        <f t="shared" si="1328"/>
        <v>216.88800000000001</v>
      </c>
      <c r="AZ1013" s="122">
        <f t="shared" si="1328"/>
        <v>54.338000000000001</v>
      </c>
      <c r="BA1013" s="122">
        <f t="shared" si="1329"/>
        <v>56.172999999999995</v>
      </c>
      <c r="BB1013" s="122">
        <f t="shared" si="1329"/>
        <v>59.091000000000008</v>
      </c>
      <c r="BC1013" s="122">
        <f t="shared" si="1329"/>
        <v>61.74799999999999</v>
      </c>
      <c r="BD1013" s="674">
        <f t="shared" si="1330"/>
        <v>231.35</v>
      </c>
      <c r="BE1013" s="122">
        <f t="shared" si="1330"/>
        <v>64.173000000000002</v>
      </c>
      <c r="BF1013" s="122">
        <f t="shared" si="1331"/>
        <v>62.807999999999993</v>
      </c>
      <c r="BG1013" s="122">
        <f t="shared" si="1331"/>
        <v>59.783000000000015</v>
      </c>
      <c r="BH1013" s="122">
        <f t="shared" si="1331"/>
        <v>68.521999999999991</v>
      </c>
      <c r="BI1013" s="674">
        <f t="shared" si="1332"/>
        <v>255.286</v>
      </c>
      <c r="BJ1013" s="1274">
        <f t="shared" si="1332"/>
        <v>66.820999999999998</v>
      </c>
      <c r="BK1013" s="118"/>
      <c r="BL1013" s="118"/>
      <c r="BM1013" s="118"/>
      <c r="BN1013" s="401">
        <f t="shared" si="1333"/>
        <v>66.820999999999998</v>
      </c>
      <c r="BO1013" s="118"/>
      <c r="BP1013" s="118"/>
      <c r="BQ1013" s="118"/>
      <c r="BR1013" s="118"/>
      <c r="BS1013" s="401">
        <f t="shared" si="1334"/>
        <v>0</v>
      </c>
      <c r="BT1013" s="401"/>
      <c r="BU1013" s="401"/>
      <c r="BV1013" s="401"/>
      <c r="BW1013" s="122"/>
    </row>
    <row r="1014" spans="1:75" s="123" customFormat="1" x14ac:dyDescent="0.5">
      <c r="A1014" s="464" t="str">
        <f t="shared" ref="A1014:A1027" si="1335">A955</f>
        <v>Deferred income taxes</v>
      </c>
      <c r="B1014" s="513"/>
      <c r="C1014" s="674">
        <f t="shared" ref="C1014:G1018" si="1336">C955</f>
        <v>-23.594999999999999</v>
      </c>
      <c r="D1014" s="674">
        <f t="shared" si="1336"/>
        <v>23.565999999999999</v>
      </c>
      <c r="E1014" s="674">
        <f t="shared" si="1336"/>
        <v>14.21</v>
      </c>
      <c r="F1014" s="674">
        <f t="shared" si="1336"/>
        <v>-9.0289999999999999</v>
      </c>
      <c r="G1014" s="122">
        <f t="shared" si="1336"/>
        <v>-3.431</v>
      </c>
      <c r="H1014" s="122">
        <f t="shared" ref="H1014:J1018" si="1337">H955-G955</f>
        <v>-3.5060000000000002</v>
      </c>
      <c r="I1014" s="122">
        <f t="shared" si="1337"/>
        <v>-3.7849999999999993</v>
      </c>
      <c r="J1014" s="122">
        <f t="shared" si="1337"/>
        <v>-17.622</v>
      </c>
      <c r="K1014" s="674">
        <f t="shared" ref="K1014:L1018" si="1338">K955</f>
        <v>-28.344000000000001</v>
      </c>
      <c r="L1014" s="122">
        <f t="shared" si="1338"/>
        <v>-4.649</v>
      </c>
      <c r="M1014" s="122">
        <f t="shared" ref="M1014:O1018" si="1339">M955-L955</f>
        <v>-3.6770000000000005</v>
      </c>
      <c r="N1014" s="122">
        <f t="shared" si="1339"/>
        <v>-4.7050000000000001</v>
      </c>
      <c r="O1014" s="122">
        <f t="shared" si="1339"/>
        <v>12.783000000000001</v>
      </c>
      <c r="P1014" s="674">
        <f t="shared" ref="P1014:Q1018" si="1340">P955</f>
        <v>-0.248</v>
      </c>
      <c r="Q1014" s="122">
        <f t="shared" si="1340"/>
        <v>-5.4980000000000002</v>
      </c>
      <c r="R1014" s="122">
        <f t="shared" ref="R1014:T1018" si="1341">R955-Q955</f>
        <v>-3.0349999999999993</v>
      </c>
      <c r="S1014" s="122">
        <f t="shared" si="1341"/>
        <v>-4.9930000000000003</v>
      </c>
      <c r="T1014" s="122">
        <f t="shared" si="1341"/>
        <v>6.09</v>
      </c>
      <c r="U1014" s="674">
        <f t="shared" ref="U1014:V1018" si="1342">U955</f>
        <v>-7.4359999999999999</v>
      </c>
      <c r="V1014" s="122">
        <f t="shared" si="1342"/>
        <v>-5.7960000000000003</v>
      </c>
      <c r="W1014" s="122">
        <f t="shared" ref="W1014:Y1018" si="1343">W955-V955</f>
        <v>-4.6759999999999993</v>
      </c>
      <c r="X1014" s="122">
        <f t="shared" si="1343"/>
        <v>-3.9890000000000008</v>
      </c>
      <c r="Y1014" s="122">
        <f t="shared" si="1343"/>
        <v>21.574999999999999</v>
      </c>
      <c r="Z1014" s="674">
        <f t="shared" ref="Z1014:AA1018" si="1344">Z955</f>
        <v>7.1139999999999999</v>
      </c>
      <c r="AA1014" s="122">
        <f t="shared" si="1344"/>
        <v>-3.8479999999999999</v>
      </c>
      <c r="AB1014" s="122">
        <f t="shared" ref="AB1014:AD1018" si="1345">AB955-AA955</f>
        <v>-5.0889999999999995</v>
      </c>
      <c r="AC1014" s="122">
        <f t="shared" si="1345"/>
        <v>-2.947000000000001</v>
      </c>
      <c r="AD1014" s="122">
        <f t="shared" si="1345"/>
        <v>75.265000000000001</v>
      </c>
      <c r="AE1014" s="674">
        <f t="shared" ref="AE1014:AF1018" si="1346">AE955</f>
        <v>63.381</v>
      </c>
      <c r="AF1014" s="122">
        <f t="shared" si="1346"/>
        <v>-3.2410000000000001</v>
      </c>
      <c r="AG1014" s="122">
        <f t="shared" ref="AG1014:AI1018" si="1347">AG955-AF955</f>
        <v>-1.1739999999999999</v>
      </c>
      <c r="AH1014" s="122">
        <f t="shared" si="1347"/>
        <v>16.585000000000001</v>
      </c>
      <c r="AI1014" s="122">
        <f t="shared" si="1347"/>
        <v>11.468999999999999</v>
      </c>
      <c r="AJ1014" s="674">
        <f>AJ955</f>
        <v>23.638999999999999</v>
      </c>
      <c r="AK1014" s="122">
        <f t="shared" si="1322"/>
        <v>-4.1260000000000003</v>
      </c>
      <c r="AL1014" s="122">
        <f t="shared" si="1323"/>
        <v>-4.3020000000000005</v>
      </c>
      <c r="AM1014" s="122">
        <f t="shared" si="1323"/>
        <v>-2.5089999999999986</v>
      </c>
      <c r="AN1014" s="122">
        <f t="shared" si="1323"/>
        <v>8.379999999999999</v>
      </c>
      <c r="AO1014" s="674">
        <f t="shared" si="1324"/>
        <v>-2.5569999999999999</v>
      </c>
      <c r="AP1014" s="122">
        <f t="shared" si="1324"/>
        <v>-2.585</v>
      </c>
      <c r="AQ1014" s="122">
        <f t="shared" si="1325"/>
        <v>0.35599999999999987</v>
      </c>
      <c r="AR1014" s="122">
        <f t="shared" si="1325"/>
        <v>-4.74</v>
      </c>
      <c r="AS1014" s="122">
        <f t="shared" si="1325"/>
        <v>-6.0919999999999996</v>
      </c>
      <c r="AT1014" s="674">
        <f t="shared" si="1326"/>
        <v>-13.061</v>
      </c>
      <c r="AU1014" s="122">
        <f t="shared" si="1326"/>
        <v>-3.9809999999999999</v>
      </c>
      <c r="AV1014" s="122">
        <f t="shared" si="1327"/>
        <v>-3.056</v>
      </c>
      <c r="AW1014" s="122">
        <f t="shared" si="1327"/>
        <v>-4.4029999999999996</v>
      </c>
      <c r="AX1014" s="122">
        <f t="shared" si="1327"/>
        <v>13.975</v>
      </c>
      <c r="AY1014" s="674">
        <f t="shared" si="1328"/>
        <v>2.5350000000000001</v>
      </c>
      <c r="AZ1014" s="122">
        <f t="shared" si="1328"/>
        <v>-2.7250000000000001</v>
      </c>
      <c r="BA1014" s="122">
        <f t="shared" si="1329"/>
        <v>-4.9109999999999996</v>
      </c>
      <c r="BB1014" s="122">
        <f t="shared" si="1329"/>
        <v>-2.8579999999999997</v>
      </c>
      <c r="BC1014" s="122">
        <f t="shared" si="1329"/>
        <v>-13.329000000000001</v>
      </c>
      <c r="BD1014" s="674">
        <f t="shared" si="1330"/>
        <v>-23.823</v>
      </c>
      <c r="BE1014" s="122">
        <f t="shared" si="1330"/>
        <v>-1.6559999999999999</v>
      </c>
      <c r="BF1014" s="122">
        <f t="shared" si="1331"/>
        <v>-2.1850000000000005</v>
      </c>
      <c r="BG1014" s="122">
        <f t="shared" si="1331"/>
        <v>-4.1520000000000001</v>
      </c>
      <c r="BH1014" s="122">
        <f t="shared" si="1331"/>
        <v>-21.091999999999999</v>
      </c>
      <c r="BI1014" s="674">
        <f t="shared" si="1332"/>
        <v>-29.085000000000001</v>
      </c>
      <c r="BJ1014" s="1274">
        <f t="shared" si="1332"/>
        <v>-0.53800000000000003</v>
      </c>
      <c r="BK1014" s="118">
        <f>BK782</f>
        <v>1.3137885713763575</v>
      </c>
      <c r="BL1014" s="118">
        <f ca="1">BL782</f>
        <v>1.591906308479619</v>
      </c>
      <c r="BM1014" s="118">
        <f ca="1">BM782</f>
        <v>2.474310324003302</v>
      </c>
      <c r="BN1014" s="401">
        <f t="shared" ca="1" si="1333"/>
        <v>4.8420052038592782</v>
      </c>
      <c r="BO1014" s="118">
        <f ca="1">BO782</f>
        <v>1.4059115747598734</v>
      </c>
      <c r="BP1014" s="118">
        <f ca="1">BP782</f>
        <v>1.390869327088351</v>
      </c>
      <c r="BQ1014" s="118">
        <f ca="1">BQ782</f>
        <v>1.7567894748290445</v>
      </c>
      <c r="BR1014" s="118">
        <f ca="1">BR782</f>
        <v>2.3730652284232776</v>
      </c>
      <c r="BS1014" s="401">
        <f t="shared" ca="1" si="1334"/>
        <v>6.9266356051005467</v>
      </c>
      <c r="BT1014" s="401">
        <f ca="1">BT782</f>
        <v>7.471090096509311</v>
      </c>
      <c r="BU1014" s="401">
        <f ca="1">BU782</f>
        <v>8.1397674974529224</v>
      </c>
      <c r="BV1014" s="401">
        <f ca="1">BV782</f>
        <v>8.8650376750840199</v>
      </c>
      <c r="BW1014" s="122"/>
    </row>
    <row r="1015" spans="1:75" s="123" customFormat="1" x14ac:dyDescent="0.5">
      <c r="A1015" s="464" t="str">
        <f t="shared" si="1335"/>
        <v>Tax benefit related to stock-based awards</v>
      </c>
      <c r="B1015" s="513"/>
      <c r="C1015" s="674">
        <f t="shared" si="1336"/>
        <v>0.71399999999999997</v>
      </c>
      <c r="D1015" s="674">
        <f t="shared" si="1336"/>
        <v>-0.78900000000000003</v>
      </c>
      <c r="E1015" s="674">
        <f t="shared" si="1336"/>
        <v>8.5150000000000006</v>
      </c>
      <c r="F1015" s="674">
        <f t="shared" si="1336"/>
        <v>12.725</v>
      </c>
      <c r="G1015" s="122">
        <f t="shared" si="1336"/>
        <v>9.1859999999999999</v>
      </c>
      <c r="H1015" s="122">
        <f t="shared" si="1337"/>
        <v>2.5470000000000006</v>
      </c>
      <c r="I1015" s="122">
        <f t="shared" si="1337"/>
        <v>2.66</v>
      </c>
      <c r="J1015" s="122">
        <f t="shared" si="1337"/>
        <v>-5.5760000000000005</v>
      </c>
      <c r="K1015" s="674">
        <f t="shared" si="1338"/>
        <v>8.8170000000000002</v>
      </c>
      <c r="L1015" s="122">
        <f t="shared" si="1338"/>
        <v>43.222999999999999</v>
      </c>
      <c r="M1015" s="122">
        <f t="shared" si="1339"/>
        <v>2.9510000000000005</v>
      </c>
      <c r="N1015" s="122">
        <f t="shared" si="1339"/>
        <v>3.277000000000001</v>
      </c>
      <c r="O1015" s="122">
        <f t="shared" si="1339"/>
        <v>-22.498999999999999</v>
      </c>
      <c r="P1015" s="674">
        <f t="shared" si="1340"/>
        <v>26.952000000000002</v>
      </c>
      <c r="Q1015" s="122">
        <f t="shared" si="1340"/>
        <v>20.571999999999999</v>
      </c>
      <c r="R1015" s="122">
        <f t="shared" si="1341"/>
        <v>5.3450000000000024</v>
      </c>
      <c r="S1015" s="122">
        <f t="shared" si="1341"/>
        <v>3.6859999999999999</v>
      </c>
      <c r="T1015" s="122">
        <f t="shared" si="1341"/>
        <v>-15.011000000000001</v>
      </c>
      <c r="U1015" s="674">
        <f t="shared" si="1342"/>
        <v>14.592000000000001</v>
      </c>
      <c r="V1015" s="122">
        <f t="shared" si="1342"/>
        <v>20.087</v>
      </c>
      <c r="W1015" s="122">
        <f t="shared" si="1343"/>
        <v>1.777000000000001</v>
      </c>
      <c r="X1015" s="122">
        <f t="shared" si="1343"/>
        <v>1.7070000000000007</v>
      </c>
      <c r="Y1015" s="122">
        <f t="shared" si="1343"/>
        <v>-20.341000000000001</v>
      </c>
      <c r="Z1015" s="674">
        <f t="shared" si="1344"/>
        <v>3.23</v>
      </c>
      <c r="AA1015" s="122">
        <f t="shared" si="1344"/>
        <v>13.742000000000001</v>
      </c>
      <c r="AB1015" s="122">
        <f t="shared" si="1345"/>
        <v>0.76899999999999835</v>
      </c>
      <c r="AC1015" s="122">
        <f t="shared" si="1345"/>
        <v>0.92800000000000082</v>
      </c>
      <c r="AD1015" s="122">
        <f t="shared" si="1345"/>
        <v>-15.439</v>
      </c>
      <c r="AE1015" s="674">
        <f t="shared" si="1346"/>
        <v>0</v>
      </c>
      <c r="AF1015" s="122">
        <f t="shared" si="1346"/>
        <v>6.1260000000000003</v>
      </c>
      <c r="AG1015" s="122">
        <f t="shared" si="1347"/>
        <v>3.585</v>
      </c>
      <c r="AH1015" s="122">
        <f t="shared" si="1347"/>
        <v>0.65000000000000036</v>
      </c>
      <c r="AI1015" s="122">
        <f t="shared" si="1347"/>
        <v>-10.361000000000001</v>
      </c>
      <c r="AJ1015" s="674">
        <f>AJ956</f>
        <v>0</v>
      </c>
      <c r="AK1015" s="122">
        <f t="shared" si="1322"/>
        <v>14.898</v>
      </c>
      <c r="AL1015" s="122">
        <f t="shared" si="1323"/>
        <v>-0.78800000000000026</v>
      </c>
      <c r="AM1015" s="122">
        <f t="shared" si="1323"/>
        <v>-0.46199999999999974</v>
      </c>
      <c r="AN1015" s="122">
        <f t="shared" si="1323"/>
        <v>-13.648</v>
      </c>
      <c r="AO1015" s="674">
        <f t="shared" si="1324"/>
        <v>0</v>
      </c>
      <c r="AP1015" s="122">
        <f t="shared" si="1324"/>
        <v>12.039</v>
      </c>
      <c r="AQ1015" s="122">
        <f t="shared" si="1325"/>
        <v>0.65500000000000114</v>
      </c>
      <c r="AR1015" s="122">
        <f t="shared" si="1325"/>
        <v>0.44899999999999984</v>
      </c>
      <c r="AS1015" s="122">
        <f t="shared" si="1325"/>
        <v>-13.143000000000001</v>
      </c>
      <c r="AT1015" s="674">
        <f t="shared" si="1326"/>
        <v>0</v>
      </c>
      <c r="AU1015" s="122">
        <f t="shared" si="1326"/>
        <v>10.146000000000001</v>
      </c>
      <c r="AV1015" s="122">
        <f t="shared" si="1327"/>
        <v>0.15599999999999881</v>
      </c>
      <c r="AW1015" s="122">
        <f t="shared" si="1327"/>
        <v>0.53599999999999959</v>
      </c>
      <c r="AX1015" s="122">
        <f t="shared" si="1327"/>
        <v>-10.837999999999999</v>
      </c>
      <c r="AY1015" s="674">
        <f t="shared" si="1328"/>
        <v>0</v>
      </c>
      <c r="AZ1015" s="122">
        <f t="shared" si="1328"/>
        <v>10.522</v>
      </c>
      <c r="BA1015" s="122">
        <f t="shared" si="1329"/>
        <v>0.30599999999999916</v>
      </c>
      <c r="BB1015" s="122">
        <f t="shared" si="1329"/>
        <v>0.34400000000000119</v>
      </c>
      <c r="BC1015" s="122">
        <f t="shared" si="1329"/>
        <v>-11.172000000000001</v>
      </c>
      <c r="BD1015" s="674">
        <f t="shared" si="1330"/>
        <v>0</v>
      </c>
      <c r="BE1015" s="122">
        <f t="shared" si="1330"/>
        <v>11.802</v>
      </c>
      <c r="BF1015" s="122">
        <f t="shared" si="1331"/>
        <v>0.53200000000000003</v>
      </c>
      <c r="BG1015" s="122">
        <f t="shared" si="1331"/>
        <v>0.12100000000000044</v>
      </c>
      <c r="BH1015" s="122">
        <f t="shared" si="1331"/>
        <v>-12.455</v>
      </c>
      <c r="BI1015" s="674">
        <f t="shared" si="1332"/>
        <v>0</v>
      </c>
      <c r="BJ1015" s="1274">
        <f t="shared" si="1332"/>
        <v>9.3469999999999995</v>
      </c>
      <c r="BK1015" s="118"/>
      <c r="BL1015" s="118"/>
      <c r="BM1015" s="118"/>
      <c r="BN1015" s="401">
        <f t="shared" si="1333"/>
        <v>9.3469999999999995</v>
      </c>
      <c r="BO1015" s="118"/>
      <c r="BP1015" s="118"/>
      <c r="BQ1015" s="118"/>
      <c r="BR1015" s="118"/>
      <c r="BS1015" s="401">
        <f t="shared" si="1334"/>
        <v>0</v>
      </c>
      <c r="BT1015" s="401"/>
      <c r="BU1015" s="401"/>
      <c r="BV1015" s="401"/>
      <c r="BW1015" s="122"/>
    </row>
    <row r="1016" spans="1:75" s="123" customFormat="1" x14ac:dyDescent="0.5">
      <c r="A1016" s="464" t="str">
        <f t="shared" si="1335"/>
        <v>Excess tax benefit related to stock-based awards</v>
      </c>
      <c r="B1016" s="513"/>
      <c r="C1016" s="674">
        <f t="shared" si="1336"/>
        <v>0</v>
      </c>
      <c r="D1016" s="674">
        <f t="shared" si="1336"/>
        <v>0</v>
      </c>
      <c r="E1016" s="674">
        <f t="shared" si="1336"/>
        <v>-8.0210000000000008</v>
      </c>
      <c r="F1016" s="674">
        <f t="shared" si="1336"/>
        <v>-12.683</v>
      </c>
      <c r="G1016" s="122">
        <f t="shared" si="1336"/>
        <v>-4.0469999999999997</v>
      </c>
      <c r="H1016" s="122">
        <f t="shared" si="1337"/>
        <v>-1.1260000000000003</v>
      </c>
      <c r="I1016" s="122">
        <f t="shared" si="1337"/>
        <v>-1.444</v>
      </c>
      <c r="J1016" s="122">
        <f t="shared" si="1337"/>
        <v>-2.1260000000000003</v>
      </c>
      <c r="K1016" s="674">
        <f t="shared" si="1338"/>
        <v>-8.7430000000000003</v>
      </c>
      <c r="L1016" s="122">
        <f t="shared" si="1338"/>
        <v>-21.370999999999999</v>
      </c>
      <c r="M1016" s="122">
        <f t="shared" si="1339"/>
        <v>-1.5400000000000027</v>
      </c>
      <c r="N1016" s="122">
        <f t="shared" si="1339"/>
        <v>-1.4969999999999999</v>
      </c>
      <c r="O1016" s="122">
        <f t="shared" si="1339"/>
        <v>-2.1519999999999975</v>
      </c>
      <c r="P1016" s="674">
        <f t="shared" si="1340"/>
        <v>-26.56</v>
      </c>
      <c r="Q1016" s="122">
        <f t="shared" si="1340"/>
        <v>-8.7240000000000002</v>
      </c>
      <c r="R1016" s="122">
        <f t="shared" si="1341"/>
        <v>-3.0830000000000002</v>
      </c>
      <c r="S1016" s="122">
        <f t="shared" si="1341"/>
        <v>-2.4759999999999991</v>
      </c>
      <c r="T1016" s="122">
        <f t="shared" si="1341"/>
        <v>-0.2110000000000003</v>
      </c>
      <c r="U1016" s="674">
        <f t="shared" si="1342"/>
        <v>-14.494</v>
      </c>
      <c r="V1016" s="122">
        <f t="shared" si="1342"/>
        <v>-3.8239999999999998</v>
      </c>
      <c r="W1016" s="122">
        <f t="shared" si="1343"/>
        <v>-0.90300000000000047</v>
      </c>
      <c r="X1016" s="122">
        <f t="shared" si="1343"/>
        <v>-8.9999999999999858E-2</v>
      </c>
      <c r="Y1016" s="122">
        <f t="shared" si="1343"/>
        <v>-7.6999999999999957E-2</v>
      </c>
      <c r="Z1016" s="674">
        <f t="shared" si="1344"/>
        <v>-4.8940000000000001</v>
      </c>
      <c r="AA1016" s="122">
        <f t="shared" si="1344"/>
        <v>0</v>
      </c>
      <c r="AB1016" s="122">
        <f t="shared" si="1345"/>
        <v>0</v>
      </c>
      <c r="AC1016" s="122">
        <f t="shared" si="1345"/>
        <v>0</v>
      </c>
      <c r="AD1016" s="122">
        <f t="shared" si="1345"/>
        <v>0</v>
      </c>
      <c r="AE1016" s="674">
        <f t="shared" si="1346"/>
        <v>0</v>
      </c>
      <c r="AF1016" s="122">
        <f t="shared" si="1346"/>
        <v>0</v>
      </c>
      <c r="AG1016" s="122">
        <f t="shared" si="1347"/>
        <v>0</v>
      </c>
      <c r="AH1016" s="122">
        <f t="shared" si="1347"/>
        <v>0</v>
      </c>
      <c r="AI1016" s="122">
        <f t="shared" si="1347"/>
        <v>0</v>
      </c>
      <c r="AJ1016" s="674">
        <f>AJ957</f>
        <v>0</v>
      </c>
      <c r="AK1016" s="122">
        <f t="shared" si="1322"/>
        <v>0</v>
      </c>
      <c r="AL1016" s="122">
        <f t="shared" si="1323"/>
        <v>0</v>
      </c>
      <c r="AM1016" s="122">
        <f t="shared" si="1323"/>
        <v>0</v>
      </c>
      <c r="AN1016" s="122">
        <f t="shared" si="1323"/>
        <v>0</v>
      </c>
      <c r="AO1016" s="674">
        <f t="shared" si="1324"/>
        <v>0</v>
      </c>
      <c r="AP1016" s="122">
        <f t="shared" si="1324"/>
        <v>0</v>
      </c>
      <c r="AQ1016" s="122">
        <f t="shared" si="1325"/>
        <v>0</v>
      </c>
      <c r="AR1016" s="122">
        <f t="shared" si="1325"/>
        <v>0</v>
      </c>
      <c r="AS1016" s="122">
        <f t="shared" si="1325"/>
        <v>0</v>
      </c>
      <c r="AT1016" s="674">
        <f t="shared" si="1326"/>
        <v>0</v>
      </c>
      <c r="AU1016" s="122">
        <f t="shared" si="1326"/>
        <v>0</v>
      </c>
      <c r="AV1016" s="122">
        <f t="shared" si="1327"/>
        <v>0</v>
      </c>
      <c r="AW1016" s="122">
        <f t="shared" si="1327"/>
        <v>0</v>
      </c>
      <c r="AX1016" s="122">
        <f t="shared" si="1327"/>
        <v>0</v>
      </c>
      <c r="AY1016" s="674">
        <f t="shared" si="1328"/>
        <v>0</v>
      </c>
      <c r="AZ1016" s="122">
        <f t="shared" si="1328"/>
        <v>0</v>
      </c>
      <c r="BA1016" s="122">
        <f t="shared" si="1329"/>
        <v>0</v>
      </c>
      <c r="BB1016" s="122">
        <f t="shared" si="1329"/>
        <v>0</v>
      </c>
      <c r="BC1016" s="122">
        <f t="shared" si="1329"/>
        <v>0</v>
      </c>
      <c r="BD1016" s="674">
        <f t="shared" si="1330"/>
        <v>0</v>
      </c>
      <c r="BE1016" s="122">
        <f t="shared" si="1330"/>
        <v>0</v>
      </c>
      <c r="BF1016" s="122">
        <f t="shared" si="1331"/>
        <v>0</v>
      </c>
      <c r="BG1016" s="122">
        <f t="shared" si="1331"/>
        <v>0</v>
      </c>
      <c r="BH1016" s="122">
        <f t="shared" si="1331"/>
        <v>0</v>
      </c>
      <c r="BI1016" s="674">
        <f t="shared" si="1332"/>
        <v>0</v>
      </c>
      <c r="BJ1016" s="1274">
        <f t="shared" si="1332"/>
        <v>0</v>
      </c>
      <c r="BK1016" s="118"/>
      <c r="BL1016" s="118"/>
      <c r="BM1016" s="118"/>
      <c r="BN1016" s="401">
        <f t="shared" si="1333"/>
        <v>0</v>
      </c>
      <c r="BO1016" s="118"/>
      <c r="BP1016" s="118"/>
      <c r="BQ1016" s="118"/>
      <c r="BR1016" s="118"/>
      <c r="BS1016" s="401">
        <f t="shared" si="1334"/>
        <v>0</v>
      </c>
      <c r="BT1016" s="401"/>
      <c r="BU1016" s="401"/>
      <c r="BV1016" s="401"/>
      <c r="BW1016" s="122"/>
    </row>
    <row r="1017" spans="1:75" s="123" customFormat="1" x14ac:dyDescent="0.5">
      <c r="A1017" s="464" t="str">
        <f t="shared" si="1335"/>
        <v>Stock-based compensation expense</v>
      </c>
      <c r="B1017" s="513"/>
      <c r="C1017" s="674">
        <f t="shared" si="1336"/>
        <v>24.989000000000001</v>
      </c>
      <c r="D1017" s="674">
        <f t="shared" si="1336"/>
        <v>26.63</v>
      </c>
      <c r="E1017" s="674">
        <f t="shared" si="1336"/>
        <v>24.335999999999999</v>
      </c>
      <c r="F1017" s="674">
        <f t="shared" si="1336"/>
        <v>31.042000000000002</v>
      </c>
      <c r="G1017" s="122">
        <f t="shared" si="1336"/>
        <v>8.9909999999999997</v>
      </c>
      <c r="H1017" s="122">
        <f t="shared" si="1337"/>
        <v>9.4810000000000016</v>
      </c>
      <c r="I1017" s="122">
        <f t="shared" si="1337"/>
        <v>9.968</v>
      </c>
      <c r="J1017" s="122">
        <f t="shared" si="1337"/>
        <v>10.347999999999995</v>
      </c>
      <c r="K1017" s="674">
        <f t="shared" si="1338"/>
        <v>38.787999999999997</v>
      </c>
      <c r="L1017" s="122">
        <f t="shared" si="1338"/>
        <v>12.368</v>
      </c>
      <c r="M1017" s="122">
        <f t="shared" si="1339"/>
        <v>9.8229999999999986</v>
      </c>
      <c r="N1017" s="122">
        <f t="shared" si="1339"/>
        <v>12.538</v>
      </c>
      <c r="O1017" s="122">
        <f t="shared" si="1339"/>
        <v>9.9029999999999987</v>
      </c>
      <c r="P1017" s="674">
        <f t="shared" si="1340"/>
        <v>44.631999999999998</v>
      </c>
      <c r="Q1017" s="122">
        <f t="shared" si="1340"/>
        <v>14.01</v>
      </c>
      <c r="R1017" s="122">
        <f t="shared" si="1341"/>
        <v>10.903</v>
      </c>
      <c r="S1017" s="122">
        <f t="shared" si="1341"/>
        <v>11.269000000000002</v>
      </c>
      <c r="T1017" s="122">
        <f t="shared" si="1341"/>
        <v>5.1749999999999972</v>
      </c>
      <c r="U1017" s="674">
        <f t="shared" si="1342"/>
        <v>41.356999999999999</v>
      </c>
      <c r="V1017" s="122">
        <f t="shared" si="1342"/>
        <v>15.731999999999999</v>
      </c>
      <c r="W1017" s="122">
        <f t="shared" si="1343"/>
        <v>11.744</v>
      </c>
      <c r="X1017" s="122">
        <f t="shared" si="1343"/>
        <v>10.499000000000002</v>
      </c>
      <c r="Y1017" s="122">
        <f t="shared" si="1343"/>
        <v>13.140999999999998</v>
      </c>
      <c r="Z1017" s="674">
        <f t="shared" si="1344"/>
        <v>51.116</v>
      </c>
      <c r="AA1017" s="122">
        <f t="shared" si="1344"/>
        <v>9.8170000000000002</v>
      </c>
      <c r="AB1017" s="122">
        <f t="shared" si="1345"/>
        <v>13.012</v>
      </c>
      <c r="AC1017" s="122">
        <f t="shared" si="1345"/>
        <v>7.3350000000000009</v>
      </c>
      <c r="AD1017" s="122">
        <f t="shared" si="1345"/>
        <v>12.823999999999998</v>
      </c>
      <c r="AE1017" s="674">
        <f t="shared" si="1346"/>
        <v>42.988</v>
      </c>
      <c r="AF1017" s="122">
        <f t="shared" si="1346"/>
        <v>12.888999999999999</v>
      </c>
      <c r="AG1017" s="122">
        <f t="shared" si="1347"/>
        <v>13.637</v>
      </c>
      <c r="AH1017" s="122">
        <f t="shared" si="1347"/>
        <v>14.427000000000003</v>
      </c>
      <c r="AI1017" s="122">
        <f t="shared" si="1347"/>
        <v>18.848999999999997</v>
      </c>
      <c r="AJ1017" s="674">
        <f>AJ958</f>
        <v>59.802</v>
      </c>
      <c r="AK1017" s="122">
        <f t="shared" si="1322"/>
        <v>18.529</v>
      </c>
      <c r="AL1017" s="122">
        <f t="shared" si="1323"/>
        <v>16.872000000000003</v>
      </c>
      <c r="AM1017" s="122">
        <f t="shared" si="1323"/>
        <v>14.114999999999995</v>
      </c>
      <c r="AN1017" s="122">
        <f t="shared" si="1323"/>
        <v>14.646999999999998</v>
      </c>
      <c r="AO1017" s="674">
        <f t="shared" si="1324"/>
        <v>64.162999999999997</v>
      </c>
      <c r="AP1017" s="122">
        <f t="shared" si="1324"/>
        <v>19.702999999999999</v>
      </c>
      <c r="AQ1017" s="122">
        <f t="shared" si="1325"/>
        <v>13.692000000000004</v>
      </c>
      <c r="AR1017" s="122">
        <f t="shared" si="1325"/>
        <v>21.275999999999996</v>
      </c>
      <c r="AS1017" s="122">
        <f t="shared" si="1325"/>
        <v>18.514000000000003</v>
      </c>
      <c r="AT1017" s="674">
        <f t="shared" si="1326"/>
        <v>73.185000000000002</v>
      </c>
      <c r="AU1017" s="122">
        <f t="shared" si="1326"/>
        <v>26.33</v>
      </c>
      <c r="AV1017" s="122">
        <f t="shared" si="1327"/>
        <v>19.93</v>
      </c>
      <c r="AW1017" s="122">
        <f t="shared" si="1327"/>
        <v>24.306000000000004</v>
      </c>
      <c r="AX1017" s="122">
        <f t="shared" si="1327"/>
        <v>24.673999999999992</v>
      </c>
      <c r="AY1017" s="674">
        <f t="shared" si="1328"/>
        <v>95.24</v>
      </c>
      <c r="AZ1017" s="122">
        <f t="shared" si="1328"/>
        <v>28.542000000000002</v>
      </c>
      <c r="BA1017" s="122">
        <f t="shared" si="1329"/>
        <v>23.201000000000001</v>
      </c>
      <c r="BB1017" s="122">
        <f t="shared" si="1329"/>
        <v>16.053999999999995</v>
      </c>
      <c r="BC1017" s="122">
        <f t="shared" si="1329"/>
        <v>22.471000000000004</v>
      </c>
      <c r="BD1017" s="674">
        <f t="shared" si="1330"/>
        <v>90.268000000000001</v>
      </c>
      <c r="BE1017" s="122">
        <f t="shared" si="1330"/>
        <v>23.446000000000002</v>
      </c>
      <c r="BF1017" s="122">
        <f t="shared" si="1331"/>
        <v>20.712999999999997</v>
      </c>
      <c r="BG1017" s="122">
        <f t="shared" si="1331"/>
        <v>22.276000000000003</v>
      </c>
      <c r="BH1017" s="122">
        <f t="shared" si="1331"/>
        <v>18.319000000000003</v>
      </c>
      <c r="BI1017" s="674">
        <f t="shared" si="1332"/>
        <v>84.754000000000005</v>
      </c>
      <c r="BJ1017" s="1274">
        <f t="shared" si="1332"/>
        <v>22.975000000000001</v>
      </c>
      <c r="BK1017" s="118">
        <f>BK767</f>
        <v>20.337563028107184</v>
      </c>
      <c r="BL1017" s="118">
        <f>BL767</f>
        <v>18.311608887139549</v>
      </c>
      <c r="BM1017" s="118">
        <f>BM767</f>
        <v>19.06956992528502</v>
      </c>
      <c r="BN1017" s="401">
        <f t="shared" si="1333"/>
        <v>80.693741840531757</v>
      </c>
      <c r="BO1017" s="118">
        <f>BO767</f>
        <v>24.334604791679386</v>
      </c>
      <c r="BP1017" s="118">
        <f>BP767</f>
        <v>21.267427801265526</v>
      </c>
      <c r="BQ1017" s="118">
        <f>BQ767</f>
        <v>19.07211021427344</v>
      </c>
      <c r="BR1017" s="118">
        <f>BR767</f>
        <v>18.706505824954295</v>
      </c>
      <c r="BS1017" s="401">
        <f t="shared" si="1334"/>
        <v>83.380648632172637</v>
      </c>
      <c r="BT1017" s="401">
        <f>BT767</f>
        <v>92.72227313177622</v>
      </c>
      <c r="BU1017" s="401">
        <f>BU767</f>
        <v>99.384678127890751</v>
      </c>
      <c r="BV1017" s="401">
        <f>BV767</f>
        <v>106.54061651833675</v>
      </c>
      <c r="BW1017" s="122"/>
    </row>
    <row r="1018" spans="1:75" s="123" customFormat="1" x14ac:dyDescent="0.5">
      <c r="A1018" s="1292" t="str">
        <f t="shared" si="1335"/>
        <v>Other</v>
      </c>
      <c r="B1018" s="677"/>
      <c r="C1018" s="1293">
        <f t="shared" si="1336"/>
        <v>0</v>
      </c>
      <c r="D1018" s="1293">
        <f t="shared" si="1336"/>
        <v>0</v>
      </c>
      <c r="E1018" s="1293">
        <f t="shared" si="1336"/>
        <v>1.7000000000000001E-2</v>
      </c>
      <c r="F1018" s="1293">
        <f t="shared" si="1336"/>
        <v>0</v>
      </c>
      <c r="G1018" s="431">
        <f t="shared" si="1336"/>
        <v>0</v>
      </c>
      <c r="H1018" s="431">
        <f t="shared" si="1337"/>
        <v>0</v>
      </c>
      <c r="I1018" s="431">
        <f t="shared" si="1337"/>
        <v>0</v>
      </c>
      <c r="J1018" s="431">
        <f t="shared" si="1337"/>
        <v>0</v>
      </c>
      <c r="K1018" s="1293">
        <f t="shared" si="1338"/>
        <v>0</v>
      </c>
      <c r="L1018" s="431">
        <f t="shared" si="1338"/>
        <v>0.17299999999999999</v>
      </c>
      <c r="M1018" s="431">
        <f t="shared" si="1339"/>
        <v>0.13200000000000001</v>
      </c>
      <c r="N1018" s="431">
        <f t="shared" si="1339"/>
        <v>4.6999999999999986E-2</v>
      </c>
      <c r="O1018" s="431">
        <f t="shared" si="1339"/>
        <v>0.24299999999999999</v>
      </c>
      <c r="P1018" s="1293">
        <f t="shared" si="1340"/>
        <v>0.59499999999999997</v>
      </c>
      <c r="Q1018" s="431">
        <f t="shared" si="1340"/>
        <v>5.0999999999999997E-2</v>
      </c>
      <c r="R1018" s="431">
        <f t="shared" si="1341"/>
        <v>1.8000000000000009E-2</v>
      </c>
      <c r="S1018" s="431">
        <f t="shared" si="1341"/>
        <v>2.1999999999999992E-2</v>
      </c>
      <c r="T1018" s="431">
        <f t="shared" si="1341"/>
        <v>5.7999999999999996E-2</v>
      </c>
      <c r="U1018" s="1293">
        <f t="shared" si="1342"/>
        <v>0.14899999999999999</v>
      </c>
      <c r="V1018" s="431">
        <f t="shared" si="1342"/>
        <v>-0.41799999999999998</v>
      </c>
      <c r="W1018" s="431">
        <f t="shared" si="1343"/>
        <v>-0.44800000000000001</v>
      </c>
      <c r="X1018" s="431">
        <f t="shared" si="1343"/>
        <v>0.21899999999999997</v>
      </c>
      <c r="Y1018" s="431">
        <f t="shared" si="1343"/>
        <v>0.22400000000000003</v>
      </c>
      <c r="Z1018" s="1293">
        <f t="shared" si="1344"/>
        <v>-0.42299999999999999</v>
      </c>
      <c r="AA1018" s="431">
        <f t="shared" si="1344"/>
        <v>-7.5999999999999998E-2</v>
      </c>
      <c r="AB1018" s="431">
        <f t="shared" si="1345"/>
        <v>0.17799999999999999</v>
      </c>
      <c r="AC1018" s="431">
        <f t="shared" si="1345"/>
        <v>-0.51800000000000002</v>
      </c>
      <c r="AD1018" s="431">
        <f t="shared" si="1345"/>
        <v>0.28099999999999997</v>
      </c>
      <c r="AE1018" s="1293">
        <f t="shared" si="1346"/>
        <v>-0.13500000000000001</v>
      </c>
      <c r="AF1018" s="431">
        <f t="shared" si="1346"/>
        <v>6.4000000000000001E-2</v>
      </c>
      <c r="AG1018" s="431">
        <f t="shared" si="1347"/>
        <v>0.10200000000000001</v>
      </c>
      <c r="AH1018" s="431">
        <f t="shared" si="1347"/>
        <v>-0.55500000000000005</v>
      </c>
      <c r="AI1018" s="431">
        <f t="shared" si="1347"/>
        <v>-0.18999999999999995</v>
      </c>
      <c r="AJ1018" s="1293">
        <f>AJ959</f>
        <v>-0.57899999999999996</v>
      </c>
      <c r="AK1018" s="431">
        <f t="shared" si="1322"/>
        <v>6.9000000000000006E-2</v>
      </c>
      <c r="AL1018" s="431">
        <f t="shared" si="1323"/>
        <v>2.2999999999999993E-2</v>
      </c>
      <c r="AM1018" s="431">
        <f t="shared" si="1323"/>
        <v>-7.8E-2</v>
      </c>
      <c r="AN1018" s="431">
        <f t="shared" si="1323"/>
        <v>-0.04</v>
      </c>
      <c r="AO1018" s="1293">
        <f t="shared" si="1324"/>
        <v>-2.5999999999999999E-2</v>
      </c>
      <c r="AP1018" s="431">
        <f t="shared" si="1324"/>
        <v>0.129</v>
      </c>
      <c r="AQ1018" s="431">
        <f t="shared" si="1325"/>
        <v>0.126</v>
      </c>
      <c r="AR1018" s="431">
        <f t="shared" si="1325"/>
        <v>-0.26400000000000001</v>
      </c>
      <c r="AS1018" s="431">
        <f t="shared" si="1325"/>
        <v>-0.255</v>
      </c>
      <c r="AT1018" s="1293">
        <f t="shared" si="1326"/>
        <v>-0.26400000000000001</v>
      </c>
      <c r="AU1018" s="431">
        <f t="shared" si="1326"/>
        <v>-0.223</v>
      </c>
      <c r="AV1018" s="431">
        <f t="shared" si="1327"/>
        <v>-5.1000000000000018E-2</v>
      </c>
      <c r="AW1018" s="431">
        <f t="shared" si="1327"/>
        <v>0.27800000000000002</v>
      </c>
      <c r="AX1018" s="431">
        <f t="shared" si="1327"/>
        <v>0.28399999999999997</v>
      </c>
      <c r="AY1018" s="1293">
        <f t="shared" si="1328"/>
        <v>0.28799999999999998</v>
      </c>
      <c r="AZ1018" s="431">
        <f t="shared" si="1328"/>
        <v>-1.7000000000000001E-2</v>
      </c>
      <c r="BA1018" s="431">
        <f t="shared" si="1329"/>
        <v>0.17099999999999999</v>
      </c>
      <c r="BB1018" s="431">
        <f t="shared" si="1329"/>
        <v>0.11800000000000002</v>
      </c>
      <c r="BC1018" s="431">
        <f t="shared" si="1329"/>
        <v>0.40800000000000003</v>
      </c>
      <c r="BD1018" s="1293">
        <f t="shared" si="1330"/>
        <v>0.68</v>
      </c>
      <c r="BE1018" s="431">
        <f t="shared" si="1330"/>
        <v>-0.82199999999999995</v>
      </c>
      <c r="BF1018" s="431">
        <f t="shared" si="1331"/>
        <v>-0.82500000000000007</v>
      </c>
      <c r="BG1018" s="431">
        <f t="shared" si="1331"/>
        <v>-0.76400000000000001</v>
      </c>
      <c r="BH1018" s="431">
        <f t="shared" si="1331"/>
        <v>-0.38499999999999979</v>
      </c>
      <c r="BI1018" s="1293">
        <f t="shared" si="1332"/>
        <v>-2.7959999999999998</v>
      </c>
      <c r="BJ1018" s="1294">
        <f t="shared" si="1332"/>
        <v>-1.252</v>
      </c>
      <c r="BK1018" s="723"/>
      <c r="BL1018" s="723"/>
      <c r="BM1018" s="723"/>
      <c r="BN1018" s="406">
        <f t="shared" si="1333"/>
        <v>-1.252</v>
      </c>
      <c r="BO1018" s="723"/>
      <c r="BP1018" s="723"/>
      <c r="BQ1018" s="723"/>
      <c r="BR1018" s="723"/>
      <c r="BS1018" s="406">
        <f t="shared" si="1334"/>
        <v>0</v>
      </c>
      <c r="BT1018" s="406"/>
      <c r="BU1018" s="406"/>
      <c r="BV1018" s="406"/>
      <c r="BW1018" s="122"/>
    </row>
    <row r="1019" spans="1:75" s="198" customFormat="1" ht="14.25" x14ac:dyDescent="0.45">
      <c r="A1019" s="516" t="str">
        <f t="shared" si="1335"/>
        <v>CFO before WC</v>
      </c>
      <c r="B1019" s="517"/>
      <c r="C1019" s="519">
        <f t="shared" ref="C1019:BD1019" si="1348">SUM(C1008:C1018)</f>
        <v>227.68300000000002</v>
      </c>
      <c r="D1019" s="519">
        <f t="shared" si="1348"/>
        <v>361.46299999999991</v>
      </c>
      <c r="E1019" s="519">
        <f t="shared" si="1348"/>
        <v>381.87399999999997</v>
      </c>
      <c r="F1019" s="519">
        <f t="shared" si="1348"/>
        <v>394.93200000000002</v>
      </c>
      <c r="G1019" s="520">
        <f t="shared" si="1348"/>
        <v>80.78100000000002</v>
      </c>
      <c r="H1019" s="520">
        <f t="shared" si="1348"/>
        <v>88.143000000000001</v>
      </c>
      <c r="I1019" s="520">
        <f t="shared" si="1348"/>
        <v>95.768000000000029</v>
      </c>
      <c r="J1019" s="520">
        <f t="shared" si="1348"/>
        <v>151.90499999999994</v>
      </c>
      <c r="K1019" s="519">
        <f t="shared" si="1348"/>
        <v>416.59700000000004</v>
      </c>
      <c r="L1019" s="520">
        <f t="shared" si="1348"/>
        <v>109.39800000000001</v>
      </c>
      <c r="M1019" s="520">
        <f t="shared" si="1348"/>
        <v>92.745000000000005</v>
      </c>
      <c r="N1019" s="520">
        <f t="shared" si="1348"/>
        <v>110.90600000000001</v>
      </c>
      <c r="O1019" s="520">
        <f t="shared" si="1348"/>
        <v>181.44</v>
      </c>
      <c r="P1019" s="519">
        <f t="shared" si="1348"/>
        <v>494.48900000000003</v>
      </c>
      <c r="Q1019" s="520">
        <f t="shared" si="1348"/>
        <v>102.37400000000001</v>
      </c>
      <c r="R1019" s="520">
        <f t="shared" si="1348"/>
        <v>99.875000000000014</v>
      </c>
      <c r="S1019" s="520">
        <f t="shared" si="1348"/>
        <v>115.08300000000001</v>
      </c>
      <c r="T1019" s="520">
        <f t="shared" si="1348"/>
        <v>174.28199999999993</v>
      </c>
      <c r="U1019" s="519">
        <f t="shared" si="1348"/>
        <v>491.61399999999992</v>
      </c>
      <c r="V1019" s="520">
        <f t="shared" si="1348"/>
        <v>101.511</v>
      </c>
      <c r="W1019" s="520">
        <f t="shared" si="1348"/>
        <v>95.484999999999999</v>
      </c>
      <c r="X1019" s="520">
        <f t="shared" si="1348"/>
        <v>116.19299999999996</v>
      </c>
      <c r="Y1019" s="520">
        <f t="shared" si="1348"/>
        <v>200.12999999999997</v>
      </c>
      <c r="Z1019" s="519">
        <f t="shared" si="1348"/>
        <v>513.31899999999996</v>
      </c>
      <c r="AA1019" s="520">
        <f t="shared" si="1348"/>
        <v>98.182000000000016</v>
      </c>
      <c r="AB1019" s="520">
        <f t="shared" si="1348"/>
        <v>101.00799999999998</v>
      </c>
      <c r="AC1019" s="520">
        <f t="shared" si="1348"/>
        <v>115.68299999999999</v>
      </c>
      <c r="AD1019" s="520">
        <f t="shared" si="1348"/>
        <v>210.5</v>
      </c>
      <c r="AE1019" s="519">
        <f t="shared" si="1348"/>
        <v>525.37300000000005</v>
      </c>
      <c r="AF1019" s="520">
        <f t="shared" si="1348"/>
        <v>102.56899999999999</v>
      </c>
      <c r="AG1019" s="520">
        <f t="shared" si="1348"/>
        <v>111.36499999999999</v>
      </c>
      <c r="AH1019" s="520">
        <f t="shared" si="1348"/>
        <v>154.23600000000002</v>
      </c>
      <c r="AI1019" s="520">
        <f t="shared" si="1348"/>
        <v>221.19400000000002</v>
      </c>
      <c r="AJ1019" s="519">
        <f t="shared" si="1348"/>
        <v>589.36399999999992</v>
      </c>
      <c r="AK1019" s="520">
        <f t="shared" si="1348"/>
        <v>177.83099999999999</v>
      </c>
      <c r="AL1019" s="520">
        <f t="shared" si="1348"/>
        <v>173.595</v>
      </c>
      <c r="AM1019" s="520">
        <f t="shared" si="1348"/>
        <v>186.16200000000001</v>
      </c>
      <c r="AN1019" s="520">
        <f t="shared" si="1348"/>
        <v>277.66399999999993</v>
      </c>
      <c r="AO1019" s="519">
        <f t="shared" si="1348"/>
        <v>815.25200000000007</v>
      </c>
      <c r="AP1019" s="520">
        <f t="shared" si="1348"/>
        <v>179.97499999999997</v>
      </c>
      <c r="AQ1019" s="520">
        <f t="shared" si="1348"/>
        <v>258.12799999999999</v>
      </c>
      <c r="AR1019" s="520">
        <f t="shared" si="1348"/>
        <v>319.28100000000006</v>
      </c>
      <c r="AS1019" s="520">
        <f t="shared" si="1348"/>
        <v>414.79500000000007</v>
      </c>
      <c r="AT1019" s="519">
        <f t="shared" si="1348"/>
        <v>1172.1790000000001</v>
      </c>
      <c r="AU1019" s="520">
        <f t="shared" si="1348"/>
        <v>360.03799999999995</v>
      </c>
      <c r="AV1019" s="520">
        <f t="shared" si="1348"/>
        <v>363.71200000000005</v>
      </c>
      <c r="AW1019" s="520">
        <f t="shared" si="1348"/>
        <v>372.80999999999995</v>
      </c>
      <c r="AX1019" s="520">
        <f t="shared" si="1348"/>
        <v>537.548</v>
      </c>
      <c r="AY1019" s="519">
        <f t="shared" si="1348"/>
        <v>1634.1080000000002</v>
      </c>
      <c r="AZ1019" s="520">
        <f t="shared" si="1348"/>
        <v>394.39899999999994</v>
      </c>
      <c r="BA1019" s="520">
        <f t="shared" si="1348"/>
        <v>398.62200000000001</v>
      </c>
      <c r="BB1019" s="520">
        <f t="shared" si="1348"/>
        <v>378.94499999999988</v>
      </c>
      <c r="BC1019" s="520">
        <f t="shared" si="1348"/>
        <v>490.66300000000001</v>
      </c>
      <c r="BD1019" s="519">
        <f t="shared" si="1348"/>
        <v>1662.6289999999999</v>
      </c>
      <c r="BE1019" s="520">
        <f>SUM(BE1008:BE1018)</f>
        <v>319.45000000000005</v>
      </c>
      <c r="BF1019" s="520">
        <f>SUM(BF1008:BF1018)</f>
        <v>341.60199999999998</v>
      </c>
      <c r="BG1019" s="520">
        <f t="shared" ref="BG1019:BV1019" si="1349">SUM(BG1008:BG1018)</f>
        <v>374.69099999999997</v>
      </c>
      <c r="BH1019" s="520">
        <f t="shared" si="1349"/>
        <v>476.637</v>
      </c>
      <c r="BI1019" s="519">
        <f t="shared" si="1349"/>
        <v>1512.3799999999997</v>
      </c>
      <c r="BJ1019" s="1270">
        <f>SUM(BJ1008:BJ1018)</f>
        <v>421.27899999999994</v>
      </c>
      <c r="BK1019" s="327">
        <f t="shared" si="1349"/>
        <v>267.94711312281584</v>
      </c>
      <c r="BL1019" s="327">
        <f t="shared" ca="1" si="1349"/>
        <v>306.84178366077612</v>
      </c>
      <c r="BM1019" s="327">
        <f t="shared" ca="1" si="1349"/>
        <v>442.79797493359666</v>
      </c>
      <c r="BN1019" s="518">
        <f t="shared" ca="1" si="1349"/>
        <v>1438.8658717171886</v>
      </c>
      <c r="BO1019" s="327">
        <f t="shared" ca="1" si="1349"/>
        <v>297.85384403841573</v>
      </c>
      <c r="BP1019" s="327">
        <f t="shared" ca="1" si="1349"/>
        <v>293.79695667517331</v>
      </c>
      <c r="BQ1019" s="327">
        <f t="shared" ca="1" si="1349"/>
        <v>350.13729891335191</v>
      </c>
      <c r="BR1019" s="327">
        <f t="shared" ca="1" si="1349"/>
        <v>447.28748122560728</v>
      </c>
      <c r="BS1019" s="518">
        <f t="shared" ca="1" si="1349"/>
        <v>1389.075580852548</v>
      </c>
      <c r="BT1019" s="518">
        <f t="shared" ca="1" si="1349"/>
        <v>1504.5984077719891</v>
      </c>
      <c r="BU1019" s="518">
        <f t="shared" ca="1" si="1349"/>
        <v>1647.0572325844842</v>
      </c>
      <c r="BV1019" s="518">
        <f t="shared" ca="1" si="1349"/>
        <v>1791.7081581904442</v>
      </c>
      <c r="BW1019" s="197"/>
    </row>
    <row r="1020" spans="1:75" s="123" customFormat="1" x14ac:dyDescent="0.5">
      <c r="A1020" s="464" t="str">
        <f t="shared" si="1335"/>
        <v>Accounts receivable</v>
      </c>
      <c r="B1020" s="513"/>
      <c r="C1020" s="674">
        <f t="shared" ref="C1020:G1027" si="1350">C961</f>
        <v>-6.62</v>
      </c>
      <c r="D1020" s="674">
        <f t="shared" si="1350"/>
        <v>3.4769999999999999</v>
      </c>
      <c r="E1020" s="674">
        <f t="shared" si="1350"/>
        <v>-4.7629999999999999</v>
      </c>
      <c r="F1020" s="674">
        <f t="shared" si="1350"/>
        <v>-16.408000000000001</v>
      </c>
      <c r="G1020" s="122">
        <f t="shared" si="1350"/>
        <v>1.512</v>
      </c>
      <c r="H1020" s="122">
        <f t="shared" ref="H1020:J1027" si="1351">H961-G961</f>
        <v>-2.7960000000000003</v>
      </c>
      <c r="I1020" s="122">
        <f t="shared" si="1351"/>
        <v>-12.213999999999999</v>
      </c>
      <c r="J1020" s="122">
        <f t="shared" si="1351"/>
        <v>14.283999999999999</v>
      </c>
      <c r="K1020" s="674">
        <f t="shared" ref="K1020:L1027" si="1352">K961</f>
        <v>0.78600000000000003</v>
      </c>
      <c r="L1020" s="122">
        <f t="shared" si="1352"/>
        <v>5.6920000000000002</v>
      </c>
      <c r="M1020" s="122">
        <f t="shared" ref="M1020:O1027" si="1353">M961-L961</f>
        <v>-9.9190000000000005</v>
      </c>
      <c r="N1020" s="122">
        <f t="shared" si="1353"/>
        <v>-0.22799999999999976</v>
      </c>
      <c r="O1020" s="122">
        <f t="shared" si="1353"/>
        <v>-4.9109999999999996</v>
      </c>
      <c r="P1020" s="674">
        <f t="shared" ref="P1020:Q1027" si="1354">P961</f>
        <v>-9.3659999999999997</v>
      </c>
      <c r="Q1020" s="122">
        <f t="shared" si="1354"/>
        <v>2.8639999999999999</v>
      </c>
      <c r="R1020" s="122">
        <f t="shared" ref="R1020:T1027" si="1355">R961-Q961</f>
        <v>-17.718</v>
      </c>
      <c r="S1020" s="122">
        <f t="shared" si="1355"/>
        <v>-7.0210000000000008</v>
      </c>
      <c r="T1020" s="122">
        <f t="shared" si="1355"/>
        <v>9.0259999999999998</v>
      </c>
      <c r="U1020" s="674">
        <f t="shared" ref="U1020:V1027" si="1356">U961</f>
        <v>-12.849</v>
      </c>
      <c r="V1020" s="122">
        <f t="shared" si="1356"/>
        <v>3.7810000000000001</v>
      </c>
      <c r="W1020" s="122">
        <f t="shared" ref="W1020:Y1027" si="1357">W961-V961</f>
        <v>-22.802</v>
      </c>
      <c r="X1020" s="122">
        <f t="shared" si="1357"/>
        <v>1.6210000000000022</v>
      </c>
      <c r="Y1020" s="122">
        <f t="shared" si="1357"/>
        <v>7.6059999999999981</v>
      </c>
      <c r="Z1020" s="674">
        <f t="shared" ref="Z1020:AA1027" si="1358">Z961</f>
        <v>-9.7940000000000005</v>
      </c>
      <c r="AA1020" s="122">
        <f t="shared" si="1358"/>
        <v>24.61</v>
      </c>
      <c r="AB1020" s="122">
        <f t="shared" ref="AB1020:AD1027" si="1359">AB961-AA961</f>
        <v>-13.952</v>
      </c>
      <c r="AC1020" s="122">
        <f t="shared" si="1359"/>
        <v>-12.998999999999999</v>
      </c>
      <c r="AD1020" s="122">
        <f t="shared" si="1359"/>
        <v>2.4900000000000002</v>
      </c>
      <c r="AE1020" s="674">
        <f t="shared" ref="AE1020:AF1027" si="1360">AE961</f>
        <v>0.14899999999999999</v>
      </c>
      <c r="AF1020" s="122">
        <f t="shared" si="1360"/>
        <v>-9.5559999999999992</v>
      </c>
      <c r="AG1020" s="122">
        <f t="shared" ref="AG1020:AI1027" si="1361">AG961-AF961</f>
        <v>-4.011000000000001</v>
      </c>
      <c r="AH1020" s="122">
        <f t="shared" si="1361"/>
        <v>-8.2839999999999989</v>
      </c>
      <c r="AI1020" s="122">
        <f t="shared" si="1361"/>
        <v>6.5219999999999985</v>
      </c>
      <c r="AJ1020" s="674">
        <f t="shared" ref="AJ1020:AK1027" si="1362">AJ961</f>
        <v>-15.329000000000001</v>
      </c>
      <c r="AK1020" s="122">
        <f t="shared" si="1362"/>
        <v>4.6840000000000002</v>
      </c>
      <c r="AL1020" s="122">
        <f t="shared" ref="AL1020:AN1029" si="1363">AL961-AK961</f>
        <v>-9.1140000000000008</v>
      </c>
      <c r="AM1020" s="122">
        <f t="shared" si="1363"/>
        <v>1.5879999999999996</v>
      </c>
      <c r="AN1020" s="122">
        <f t="shared" si="1363"/>
        <v>-2.1919999999999997</v>
      </c>
      <c r="AO1020" s="674">
        <f t="shared" ref="AO1020:AP1029" si="1364">AO961</f>
        <v>-5.0339999999999998</v>
      </c>
      <c r="AP1020" s="122">
        <f t="shared" si="1364"/>
        <v>8.9499999999999993</v>
      </c>
      <c r="AQ1020" s="122">
        <f t="shared" ref="AQ1020:AS1029" si="1365">AQ961-AP961</f>
        <v>-25.689999999999998</v>
      </c>
      <c r="AR1020" s="122">
        <f t="shared" si="1365"/>
        <v>-1.277000000000001</v>
      </c>
      <c r="AS1020" s="122">
        <f t="shared" si="1365"/>
        <v>-13.486000000000001</v>
      </c>
      <c r="AT1020" s="674">
        <f t="shared" ref="AT1020:AU1029" si="1366">AT961</f>
        <v>-31.503</v>
      </c>
      <c r="AU1020" s="122">
        <f t="shared" si="1366"/>
        <v>1.522</v>
      </c>
      <c r="AV1020" s="122">
        <f t="shared" ref="AV1020:AX1029" si="1367">AV961-AU961</f>
        <v>0.47999999999999976</v>
      </c>
      <c r="AW1020" s="122">
        <f t="shared" si="1367"/>
        <v>2.9390000000000001</v>
      </c>
      <c r="AX1020" s="122">
        <f t="shared" si="1367"/>
        <v>6.955000000000001</v>
      </c>
      <c r="AY1020" s="674">
        <f t="shared" ref="AY1020:AZ1029" si="1368">AY961</f>
        <v>11.896000000000001</v>
      </c>
      <c r="AZ1020" s="122">
        <f t="shared" si="1368"/>
        <v>8.7409999999999997</v>
      </c>
      <c r="BA1020" s="122">
        <f t="shared" ref="BA1020:BC1029" si="1369">BA961-AZ961</f>
        <v>-10.725999999999999</v>
      </c>
      <c r="BB1020" s="122">
        <f t="shared" si="1369"/>
        <v>7.2730000000000006</v>
      </c>
      <c r="BC1020" s="122">
        <f t="shared" si="1369"/>
        <v>10.398999999999999</v>
      </c>
      <c r="BD1020" s="674">
        <f t="shared" ref="BD1020:BE1029" si="1370">BD961</f>
        <v>15.686999999999999</v>
      </c>
      <c r="BE1020" s="122">
        <f t="shared" si="1370"/>
        <v>6.2560000000000002</v>
      </c>
      <c r="BF1020" s="122">
        <f t="shared" ref="BF1020:BH1029" si="1371">BF961-BE961</f>
        <v>-7.758</v>
      </c>
      <c r="BG1020" s="122">
        <f t="shared" si="1371"/>
        <v>-7.426000000000001</v>
      </c>
      <c r="BH1020" s="122">
        <f t="shared" si="1371"/>
        <v>1.4670000000000005</v>
      </c>
      <c r="BI1020" s="674">
        <f t="shared" ref="BI1020:BJ1029" si="1372">BI961</f>
        <v>-7.4610000000000003</v>
      </c>
      <c r="BJ1020" s="1274">
        <f t="shared" si="1372"/>
        <v>7.6660000000000004</v>
      </c>
      <c r="BK1020" s="118">
        <f t="shared" ref="BK1020:BM1021" si="1373">BJ1108-BK1108</f>
        <v>6.9786114832462403</v>
      </c>
      <c r="BL1020" s="118">
        <f t="shared" si="1373"/>
        <v>-11.212582477186473</v>
      </c>
      <c r="BM1020" s="118">
        <f t="shared" si="1373"/>
        <v>-3.0435486738267201</v>
      </c>
      <c r="BN1020" s="401">
        <f t="shared" ref="BN1020:BN1029" si="1374">SUM(BJ1020,BK1020,BL1020,BM1020)</f>
        <v>0.38848033223304768</v>
      </c>
      <c r="BO1020" s="118">
        <f t="shared" ref="BO1020:BR1021" si="1375">BN1108-BO1108</f>
        <v>5.0747675650905819</v>
      </c>
      <c r="BP1020" s="118">
        <f t="shared" si="1375"/>
        <v>5.7163316870144882</v>
      </c>
      <c r="BQ1020" s="118">
        <f t="shared" si="1375"/>
        <v>-13.127636203142828</v>
      </c>
      <c r="BR1020" s="118">
        <f t="shared" si="1375"/>
        <v>-0.72476863547343839</v>
      </c>
      <c r="BS1020" s="401">
        <f t="shared" ref="BS1020:BS1029" si="1376">SUM(BO1020,BP1020,BQ1020,BR1020)</f>
        <v>-3.061305586511196</v>
      </c>
      <c r="BT1020" s="401">
        <f t="shared" ref="BT1020:BV1021" si="1377">BS1108-BT1108</f>
        <v>-8.1225002954262635</v>
      </c>
      <c r="BU1020" s="401">
        <f t="shared" si="1377"/>
        <v>-9.6050904396925318</v>
      </c>
      <c r="BV1020" s="401">
        <f t="shared" si="1377"/>
        <v>-10.316610212256165</v>
      </c>
      <c r="BW1020" s="122"/>
    </row>
    <row r="1021" spans="1:75" s="123" customFormat="1" x14ac:dyDescent="0.5">
      <c r="A1021" s="464" t="str">
        <f t="shared" si="1335"/>
        <v>Merchandise inventories</v>
      </c>
      <c r="B1021" s="513"/>
      <c r="C1021" s="674">
        <f t="shared" si="1350"/>
        <v>108.33199999999999</v>
      </c>
      <c r="D1021" s="674">
        <f t="shared" si="1350"/>
        <v>-46.463999999999999</v>
      </c>
      <c r="E1021" s="674">
        <f t="shared" si="1350"/>
        <v>-34.853000000000002</v>
      </c>
      <c r="F1021" s="674">
        <f t="shared" si="1350"/>
        <v>-85.980999999999995</v>
      </c>
      <c r="G1021" s="122">
        <f t="shared" si="1350"/>
        <v>-21.536999999999999</v>
      </c>
      <c r="H1021" s="122">
        <f t="shared" si="1351"/>
        <v>-76.116000000000014</v>
      </c>
      <c r="I1021" s="122">
        <f t="shared" si="1351"/>
        <v>-161.22299999999996</v>
      </c>
      <c r="J1021" s="122">
        <f t="shared" si="1351"/>
        <v>84.211999999999989</v>
      </c>
      <c r="K1021" s="674">
        <f t="shared" si="1352"/>
        <v>-174.66399999999999</v>
      </c>
      <c r="L1021" s="122">
        <f t="shared" si="1352"/>
        <v>-36.107999999999997</v>
      </c>
      <c r="M1021" s="122">
        <f t="shared" si="1353"/>
        <v>-44.050000000000004</v>
      </c>
      <c r="N1021" s="122">
        <f t="shared" si="1353"/>
        <v>-85.680999999999997</v>
      </c>
      <c r="O1021" s="122">
        <f t="shared" si="1353"/>
        <v>88.875</v>
      </c>
      <c r="P1021" s="674">
        <f t="shared" si="1354"/>
        <v>-76.963999999999999</v>
      </c>
      <c r="Q1021" s="122">
        <f t="shared" si="1354"/>
        <v>-53.746000000000002</v>
      </c>
      <c r="R1021" s="122">
        <f t="shared" si="1355"/>
        <v>-91.187999999999988</v>
      </c>
      <c r="S1021" s="122">
        <f t="shared" si="1355"/>
        <v>-71.360000000000014</v>
      </c>
      <c r="T1021" s="122">
        <f t="shared" si="1355"/>
        <v>123.64700000000001</v>
      </c>
      <c r="U1021" s="674">
        <f t="shared" si="1356"/>
        <v>-92.647000000000006</v>
      </c>
      <c r="V1021" s="122">
        <f t="shared" si="1356"/>
        <v>37.423999999999999</v>
      </c>
      <c r="W1021" s="122">
        <f t="shared" si="1357"/>
        <v>-19.202999999999999</v>
      </c>
      <c r="X1021" s="122">
        <f t="shared" si="1357"/>
        <v>-100.631</v>
      </c>
      <c r="Y1021" s="122">
        <f t="shared" si="1357"/>
        <v>86.902999999999992</v>
      </c>
      <c r="Z1021" s="674">
        <f t="shared" si="1358"/>
        <v>4.4930000000000003</v>
      </c>
      <c r="AA1021" s="122">
        <f t="shared" si="1358"/>
        <v>-60.246000000000002</v>
      </c>
      <c r="AB1021" s="122">
        <f t="shared" si="1359"/>
        <v>-32.464999999999996</v>
      </c>
      <c r="AC1021" s="122">
        <f t="shared" si="1359"/>
        <v>-105.04600000000001</v>
      </c>
      <c r="AD1021" s="122">
        <f t="shared" si="1359"/>
        <v>117.52200000000001</v>
      </c>
      <c r="AE1021" s="674">
        <f t="shared" si="1360"/>
        <v>-80.234999999999999</v>
      </c>
      <c r="AF1021" s="122">
        <f t="shared" si="1360"/>
        <v>2.3879999999999999</v>
      </c>
      <c r="AG1021" s="122">
        <f t="shared" si="1361"/>
        <v>-47.546999999999997</v>
      </c>
      <c r="AH1021" s="122">
        <f t="shared" si="1361"/>
        <v>-98.564000000000021</v>
      </c>
      <c r="AI1021" s="122">
        <f t="shared" si="1361"/>
        <v>73.39200000000001</v>
      </c>
      <c r="AJ1021" s="674">
        <f t="shared" si="1362"/>
        <v>-70.331000000000003</v>
      </c>
      <c r="AK1021" s="122">
        <f t="shared" si="1362"/>
        <v>-31.46</v>
      </c>
      <c r="AL1021" s="122">
        <f t="shared" si="1363"/>
        <v>-32.116</v>
      </c>
      <c r="AM1021" s="122">
        <f t="shared" si="1363"/>
        <v>-70.061000000000007</v>
      </c>
      <c r="AN1021" s="122">
        <f t="shared" si="1363"/>
        <v>157.85599999999999</v>
      </c>
      <c r="AO1021" s="674">
        <f t="shared" si="1364"/>
        <v>24.219000000000001</v>
      </c>
      <c r="AP1021" s="122">
        <f t="shared" si="1364"/>
        <v>28.513000000000002</v>
      </c>
      <c r="AQ1021" s="122">
        <f t="shared" si="1365"/>
        <v>31.541999999999998</v>
      </c>
      <c r="AR1021" s="122">
        <f t="shared" si="1365"/>
        <v>-83.045000000000002</v>
      </c>
      <c r="AS1021" s="122">
        <f t="shared" si="1365"/>
        <v>122.134</v>
      </c>
      <c r="AT1021" s="674">
        <f t="shared" si="1366"/>
        <v>99.144000000000005</v>
      </c>
      <c r="AU1021" s="122">
        <f t="shared" si="1366"/>
        <v>-79.725999999999999</v>
      </c>
      <c r="AV1021" s="122">
        <f t="shared" si="1367"/>
        <v>-83.89500000000001</v>
      </c>
      <c r="AW1021" s="122">
        <f t="shared" si="1367"/>
        <v>-100.47299999999998</v>
      </c>
      <c r="AX1021" s="122">
        <f t="shared" si="1367"/>
        <v>24.113</v>
      </c>
      <c r="AY1021" s="674">
        <f t="shared" si="1368"/>
        <v>-239.98099999999999</v>
      </c>
      <c r="AZ1021" s="122">
        <f t="shared" si="1368"/>
        <v>-149.47</v>
      </c>
      <c r="BA1021" s="122">
        <f t="shared" si="1369"/>
        <v>-145.98800000000003</v>
      </c>
      <c r="BB1021" s="122">
        <f t="shared" si="1369"/>
        <v>-148.35399999999998</v>
      </c>
      <c r="BC1021" s="122">
        <f t="shared" si="1369"/>
        <v>234.90400000000002</v>
      </c>
      <c r="BD1021" s="674">
        <f t="shared" si="1370"/>
        <v>-208.90799999999999</v>
      </c>
      <c r="BE1021" s="122">
        <f t="shared" si="1370"/>
        <v>52.819000000000003</v>
      </c>
      <c r="BF1021" s="122">
        <f t="shared" si="1371"/>
        <v>101.89299999999999</v>
      </c>
      <c r="BG1021" s="122">
        <f t="shared" si="1371"/>
        <v>-97.941999999999979</v>
      </c>
      <c r="BH1021" s="122">
        <f t="shared" si="1371"/>
        <v>152.398</v>
      </c>
      <c r="BI1021" s="674">
        <f t="shared" si="1372"/>
        <v>209.16800000000001</v>
      </c>
      <c r="BJ1021" s="1274">
        <f t="shared" si="1372"/>
        <v>27.620999999999999</v>
      </c>
      <c r="BK1021" s="118">
        <f t="shared" si="1373"/>
        <v>15.498898241215784</v>
      </c>
      <c r="BL1021" s="118">
        <f t="shared" si="1373"/>
        <v>-140.07968008315902</v>
      </c>
      <c r="BM1021" s="118">
        <f t="shared" si="1373"/>
        <v>100.92366455835463</v>
      </c>
      <c r="BN1021" s="401">
        <f t="shared" si="1374"/>
        <v>3.9638827164113906</v>
      </c>
      <c r="BO1021" s="118">
        <f t="shared" si="1375"/>
        <v>0.36226100202111411</v>
      </c>
      <c r="BP1021" s="118">
        <f t="shared" si="1375"/>
        <v>0.28339384687365055</v>
      </c>
      <c r="BQ1021" s="118">
        <f t="shared" si="1375"/>
        <v>-162.06005433771088</v>
      </c>
      <c r="BR1021" s="118">
        <f t="shared" si="1375"/>
        <v>130.37223681772593</v>
      </c>
      <c r="BS1021" s="401">
        <f t="shared" si="1376"/>
        <v>-31.042162671090182</v>
      </c>
      <c r="BT1021" s="401">
        <f t="shared" si="1377"/>
        <v>-82.363543377565748</v>
      </c>
      <c r="BU1021" s="401">
        <f t="shared" si="1377"/>
        <v>-97.397261225158672</v>
      </c>
      <c r="BV1021" s="401">
        <f t="shared" si="1377"/>
        <v>-104.61219351448585</v>
      </c>
      <c r="BW1021" s="122"/>
    </row>
    <row r="1022" spans="1:75" s="123" customFormat="1" x14ac:dyDescent="0.5">
      <c r="A1022" s="464" t="str">
        <f t="shared" si="1335"/>
        <v>Prepaid catalog expenses</v>
      </c>
      <c r="B1022" s="513"/>
      <c r="C1022" s="674">
        <f t="shared" si="1350"/>
        <v>3.6469999999999998</v>
      </c>
      <c r="D1022" s="674">
        <f t="shared" si="1350"/>
        <v>-4.048</v>
      </c>
      <c r="E1022" s="674">
        <f t="shared" si="1350"/>
        <v>2.5590000000000002</v>
      </c>
      <c r="F1022" s="674">
        <f t="shared" si="1350"/>
        <v>-2.9369999999999998</v>
      </c>
      <c r="G1022" s="122">
        <f t="shared" si="1350"/>
        <v>0.82399999999999995</v>
      </c>
      <c r="H1022" s="122">
        <f t="shared" si="1351"/>
        <v>-0.85899999999999999</v>
      </c>
      <c r="I1022" s="122">
        <f t="shared" si="1351"/>
        <v>-3.347</v>
      </c>
      <c r="J1022" s="122">
        <f t="shared" si="1351"/>
        <v>7.0570000000000004</v>
      </c>
      <c r="K1022" s="674">
        <f t="shared" si="1352"/>
        <v>3.6749999999999998</v>
      </c>
      <c r="L1022" s="122">
        <f t="shared" si="1352"/>
        <v>-1.43</v>
      </c>
      <c r="M1022" s="122">
        <f t="shared" si="1353"/>
        <v>-4.0860000000000003</v>
      </c>
      <c r="N1022" s="122">
        <f t="shared" si="1353"/>
        <v>-4.3999999999999595E-2</v>
      </c>
      <c r="O1022" s="122">
        <f t="shared" si="1353"/>
        <v>5.1739999999999995</v>
      </c>
      <c r="P1022" s="674">
        <f t="shared" si="1354"/>
        <v>-0.38600000000000001</v>
      </c>
      <c r="Q1022" s="122">
        <f t="shared" si="1354"/>
        <v>-1.706</v>
      </c>
      <c r="R1022" s="122">
        <f t="shared" si="1355"/>
        <v>-2.44</v>
      </c>
      <c r="S1022" s="122">
        <f t="shared" si="1355"/>
        <v>2.3260000000000001</v>
      </c>
      <c r="T1022" s="122">
        <f t="shared" si="1355"/>
        <v>6.8420000000000005</v>
      </c>
      <c r="U1022" s="674">
        <f t="shared" si="1356"/>
        <v>5.0220000000000002</v>
      </c>
      <c r="V1022" s="122">
        <f t="shared" si="1356"/>
        <v>-0.997</v>
      </c>
      <c r="W1022" s="122">
        <f t="shared" si="1357"/>
        <v>2.819</v>
      </c>
      <c r="X1022" s="122">
        <f t="shared" si="1357"/>
        <v>1.7690000000000001</v>
      </c>
      <c r="Y1022" s="122">
        <f t="shared" si="1357"/>
        <v>1.7029999999999994</v>
      </c>
      <c r="Z1022" s="674">
        <f t="shared" si="1358"/>
        <v>5.2939999999999996</v>
      </c>
      <c r="AA1022" s="122">
        <f t="shared" si="1358"/>
        <v>0.55900000000000005</v>
      </c>
      <c r="AB1022" s="122">
        <f t="shared" si="1359"/>
        <v>-0.76400000000000001</v>
      </c>
      <c r="AC1022" s="122">
        <f t="shared" si="1359"/>
        <v>0.83799999999999997</v>
      </c>
      <c r="AD1022" s="122">
        <f t="shared" si="1359"/>
        <v>-1.036</v>
      </c>
      <c r="AE1022" s="674">
        <f t="shared" si="1360"/>
        <v>-0.40300000000000002</v>
      </c>
      <c r="AF1022" s="122">
        <f t="shared" si="1360"/>
        <v>0</v>
      </c>
      <c r="AG1022" s="122">
        <f t="shared" si="1361"/>
        <v>0</v>
      </c>
      <c r="AH1022" s="122">
        <f t="shared" si="1361"/>
        <v>0</v>
      </c>
      <c r="AI1022" s="122">
        <f t="shared" si="1361"/>
        <v>0</v>
      </c>
      <c r="AJ1022" s="674">
        <f t="shared" si="1362"/>
        <v>0</v>
      </c>
      <c r="AK1022" s="122">
        <f t="shared" si="1362"/>
        <v>0</v>
      </c>
      <c r="AL1022" s="122">
        <f t="shared" si="1363"/>
        <v>0</v>
      </c>
      <c r="AM1022" s="122">
        <f t="shared" si="1363"/>
        <v>0</v>
      </c>
      <c r="AN1022" s="122">
        <f t="shared" si="1363"/>
        <v>0</v>
      </c>
      <c r="AO1022" s="674">
        <f t="shared" si="1364"/>
        <v>0</v>
      </c>
      <c r="AP1022" s="122">
        <f t="shared" si="1364"/>
        <v>0</v>
      </c>
      <c r="AQ1022" s="122">
        <f t="shared" si="1365"/>
        <v>0</v>
      </c>
      <c r="AR1022" s="122">
        <f t="shared" si="1365"/>
        <v>0</v>
      </c>
      <c r="AS1022" s="122">
        <f t="shared" si="1365"/>
        <v>0</v>
      </c>
      <c r="AT1022" s="674">
        <f t="shared" si="1366"/>
        <v>0</v>
      </c>
      <c r="AU1022" s="122">
        <f t="shared" si="1366"/>
        <v>0</v>
      </c>
      <c r="AV1022" s="122">
        <f t="shared" si="1367"/>
        <v>0</v>
      </c>
      <c r="AW1022" s="122">
        <f t="shared" si="1367"/>
        <v>0</v>
      </c>
      <c r="AX1022" s="122">
        <f t="shared" si="1367"/>
        <v>0</v>
      </c>
      <c r="AY1022" s="674">
        <f t="shared" si="1368"/>
        <v>0</v>
      </c>
      <c r="AZ1022" s="122">
        <f t="shared" si="1368"/>
        <v>0</v>
      </c>
      <c r="BA1022" s="122">
        <f t="shared" si="1369"/>
        <v>0</v>
      </c>
      <c r="BB1022" s="122">
        <f t="shared" si="1369"/>
        <v>0</v>
      </c>
      <c r="BC1022" s="122">
        <f t="shared" si="1369"/>
        <v>0</v>
      </c>
      <c r="BD1022" s="674">
        <f t="shared" si="1370"/>
        <v>0</v>
      </c>
      <c r="BE1022" s="122">
        <f t="shared" si="1370"/>
        <v>0</v>
      </c>
      <c r="BF1022" s="122">
        <f t="shared" si="1371"/>
        <v>0</v>
      </c>
      <c r="BG1022" s="122">
        <f t="shared" si="1371"/>
        <v>0</v>
      </c>
      <c r="BH1022" s="122">
        <f t="shared" si="1371"/>
        <v>0</v>
      </c>
      <c r="BI1022" s="674">
        <f t="shared" si="1372"/>
        <v>0</v>
      </c>
      <c r="BJ1022" s="1274">
        <f t="shared" si="1372"/>
        <v>0</v>
      </c>
      <c r="BK1022" s="118"/>
      <c r="BL1022" s="118"/>
      <c r="BM1022" s="118"/>
      <c r="BN1022" s="401">
        <f t="shared" si="1374"/>
        <v>0</v>
      </c>
      <c r="BO1022" s="118"/>
      <c r="BP1022" s="118"/>
      <c r="BQ1022" s="118"/>
      <c r="BR1022" s="118"/>
      <c r="BS1022" s="401">
        <f t="shared" si="1376"/>
        <v>0</v>
      </c>
      <c r="BT1022" s="401"/>
      <c r="BU1022" s="401"/>
      <c r="BV1022" s="401"/>
      <c r="BW1022" s="122"/>
    </row>
    <row r="1023" spans="1:75" s="123" customFormat="1" x14ac:dyDescent="0.5">
      <c r="A1023" s="464" t="str">
        <f t="shared" si="1335"/>
        <v>Prepaid expenses and other assets</v>
      </c>
      <c r="B1023" s="513"/>
      <c r="C1023" s="674">
        <f t="shared" si="1350"/>
        <v>23.349</v>
      </c>
      <c r="D1023" s="674">
        <f t="shared" si="1350"/>
        <v>-1.7290000000000001</v>
      </c>
      <c r="E1023" s="674">
        <f t="shared" si="1350"/>
        <v>-2.0649999999999999</v>
      </c>
      <c r="F1023" s="674">
        <f t="shared" si="1350"/>
        <v>-12.204000000000001</v>
      </c>
      <c r="G1023" s="122">
        <f t="shared" si="1350"/>
        <v>-25.863</v>
      </c>
      <c r="H1023" s="122">
        <f t="shared" si="1351"/>
        <v>-14.328000000000003</v>
      </c>
      <c r="I1023" s="122">
        <f t="shared" si="1351"/>
        <v>11.940000000000001</v>
      </c>
      <c r="J1023" s="122">
        <f t="shared" si="1351"/>
        <v>14.602000000000002</v>
      </c>
      <c r="K1023" s="674">
        <f t="shared" si="1352"/>
        <v>-13.648999999999999</v>
      </c>
      <c r="L1023" s="122">
        <f t="shared" si="1352"/>
        <v>-41.951000000000001</v>
      </c>
      <c r="M1023" s="122">
        <f t="shared" si="1353"/>
        <v>23.908000000000001</v>
      </c>
      <c r="N1023" s="122">
        <f t="shared" si="1353"/>
        <v>-3.9570000000000007</v>
      </c>
      <c r="O1023" s="122">
        <f t="shared" si="1353"/>
        <v>21.939</v>
      </c>
      <c r="P1023" s="674">
        <f t="shared" si="1354"/>
        <v>-6.0999999999999999E-2</v>
      </c>
      <c r="Q1023" s="122">
        <f t="shared" si="1354"/>
        <v>-21.439</v>
      </c>
      <c r="R1023" s="122">
        <f t="shared" si="1355"/>
        <v>1.7310000000000016</v>
      </c>
      <c r="S1023" s="122">
        <f t="shared" si="1355"/>
        <v>-1.2010000000000005</v>
      </c>
      <c r="T1023" s="122">
        <f t="shared" si="1355"/>
        <v>11.664</v>
      </c>
      <c r="U1023" s="674">
        <f t="shared" si="1356"/>
        <v>-9.2449999999999992</v>
      </c>
      <c r="V1023" s="122">
        <f t="shared" si="1356"/>
        <v>-7.6829999999999998</v>
      </c>
      <c r="W1023" s="122">
        <f t="shared" si="1357"/>
        <v>-15.041</v>
      </c>
      <c r="X1023" s="122">
        <f t="shared" si="1357"/>
        <v>-6.4809999999999981</v>
      </c>
      <c r="Y1023" s="122">
        <f t="shared" si="1357"/>
        <v>22.837999999999997</v>
      </c>
      <c r="Z1023" s="674">
        <f t="shared" si="1358"/>
        <v>-6.367</v>
      </c>
      <c r="AA1023" s="122">
        <f t="shared" si="1358"/>
        <v>-12.472</v>
      </c>
      <c r="AB1023" s="122">
        <f t="shared" si="1359"/>
        <v>-14.446</v>
      </c>
      <c r="AC1023" s="122">
        <f t="shared" si="1359"/>
        <v>6.916999999999998</v>
      </c>
      <c r="AD1023" s="122">
        <f t="shared" si="1359"/>
        <v>3.9090000000000025</v>
      </c>
      <c r="AE1023" s="674">
        <f t="shared" si="1360"/>
        <v>-16.091999999999999</v>
      </c>
      <c r="AF1023" s="122">
        <f t="shared" si="1360"/>
        <v>-4.399</v>
      </c>
      <c r="AG1023" s="122">
        <f t="shared" si="1361"/>
        <v>-24.817999999999998</v>
      </c>
      <c r="AH1023" s="122">
        <f t="shared" si="1361"/>
        <v>-20.954000000000001</v>
      </c>
      <c r="AI1023" s="122">
        <f t="shared" si="1361"/>
        <v>-4.5200000000000031</v>
      </c>
      <c r="AJ1023" s="674">
        <f t="shared" si="1362"/>
        <v>-54.691000000000003</v>
      </c>
      <c r="AK1023" s="122">
        <f t="shared" si="1362"/>
        <v>-4.9139999999999997</v>
      </c>
      <c r="AL1023" s="122">
        <f t="shared" si="1363"/>
        <v>-19.591999999999999</v>
      </c>
      <c r="AM1023" s="122">
        <f t="shared" si="1363"/>
        <v>0.3490000000000002</v>
      </c>
      <c r="AN1023" s="122">
        <f t="shared" si="1363"/>
        <v>20.968</v>
      </c>
      <c r="AO1023" s="674">
        <f t="shared" si="1364"/>
        <v>-3.1890000000000001</v>
      </c>
      <c r="AP1023" s="122">
        <f t="shared" si="1364"/>
        <v>-0.215</v>
      </c>
      <c r="AQ1023" s="122">
        <f t="shared" si="1365"/>
        <v>-30.753</v>
      </c>
      <c r="AR1023" s="122">
        <f t="shared" si="1365"/>
        <v>26.161000000000001</v>
      </c>
      <c r="AS1023" s="122">
        <f t="shared" si="1365"/>
        <v>-11.581000000000001</v>
      </c>
      <c r="AT1023" s="674">
        <f t="shared" si="1366"/>
        <v>-16.388000000000002</v>
      </c>
      <c r="AU1023" s="122">
        <f t="shared" si="1366"/>
        <v>34.561999999999998</v>
      </c>
      <c r="AV1023" s="122">
        <f t="shared" si="1367"/>
        <v>-39.183999999999997</v>
      </c>
      <c r="AW1023" s="122">
        <f t="shared" si="1367"/>
        <v>-5.4559999999999995</v>
      </c>
      <c r="AX1023" s="122">
        <f t="shared" si="1367"/>
        <v>8.0179999999999989</v>
      </c>
      <c r="AY1023" s="674">
        <f t="shared" si="1368"/>
        <v>-2.06</v>
      </c>
      <c r="AZ1023" s="122">
        <f t="shared" si="1368"/>
        <v>13.516999999999999</v>
      </c>
      <c r="BA1023" s="122">
        <f t="shared" si="1369"/>
        <v>-44.102000000000004</v>
      </c>
      <c r="BB1023" s="122">
        <f t="shared" si="1369"/>
        <v>-9.152000000000001</v>
      </c>
      <c r="BC1023" s="122">
        <f t="shared" si="1369"/>
        <v>27.914000000000001</v>
      </c>
      <c r="BD1023" s="674">
        <f t="shared" si="1370"/>
        <v>-11.823</v>
      </c>
      <c r="BE1023" s="122">
        <f t="shared" si="1370"/>
        <v>6.6680000000000001</v>
      </c>
      <c r="BF1023" s="122">
        <f t="shared" si="1371"/>
        <v>-13.283000000000001</v>
      </c>
      <c r="BG1023" s="122">
        <f t="shared" si="1371"/>
        <v>-29.241999999999997</v>
      </c>
      <c r="BH1023" s="122">
        <f t="shared" si="1371"/>
        <v>36.872999999999998</v>
      </c>
      <c r="BI1023" s="674">
        <f t="shared" si="1372"/>
        <v>1.016</v>
      </c>
      <c r="BJ1023" s="1274">
        <f t="shared" si="1372"/>
        <v>-2.8159999999999998</v>
      </c>
      <c r="BK1023" s="118">
        <f>+BJ1111-BK1111</f>
        <v>-5.2359321640416212</v>
      </c>
      <c r="BL1023" s="118">
        <f>+BK1111-BL1111</f>
        <v>-28.200611623597837</v>
      </c>
      <c r="BM1023" s="118">
        <f>+BL1111-BM1111</f>
        <v>36.926456681504852</v>
      </c>
      <c r="BN1023" s="401">
        <f t="shared" si="1374"/>
        <v>0.6739128938653991</v>
      </c>
      <c r="BO1023" s="118">
        <f>+BN1111-BO1111</f>
        <v>-4.6896446991611214</v>
      </c>
      <c r="BP1023" s="118">
        <f>+BO1111-BP1111</f>
        <v>-6.2127359667567035</v>
      </c>
      <c r="BQ1023" s="118">
        <f>+BP1111-BQ1111</f>
        <v>-30.356491752636614</v>
      </c>
      <c r="BR1023" s="118">
        <f>+BQ1111-BR1111</f>
        <v>39.777807625223531</v>
      </c>
      <c r="BS1023" s="401">
        <f t="shared" si="1376"/>
        <v>-1.4810647933309085</v>
      </c>
      <c r="BT1023" s="401">
        <f>+BS1111-BT1111</f>
        <v>-3.9296793088486055</v>
      </c>
      <c r="BU1023" s="401">
        <f>+BT1111-BU1111</f>
        <v>-4.6469589150687227</v>
      </c>
      <c r="BV1023" s="401">
        <f>+BU1111-BV1111</f>
        <v>-4.9911933781507827</v>
      </c>
      <c r="BW1023" s="122"/>
    </row>
    <row r="1024" spans="1:75" s="123" customFormat="1" x14ac:dyDescent="0.5">
      <c r="A1024" s="464" t="str">
        <f t="shared" si="1335"/>
        <v>Accounts payable</v>
      </c>
      <c r="B1024" s="513"/>
      <c r="C1024" s="674">
        <f t="shared" si="1350"/>
        <v>29.202000000000002</v>
      </c>
      <c r="D1024" s="674">
        <f t="shared" si="1350"/>
        <v>35.945999999999998</v>
      </c>
      <c r="E1024" s="674">
        <f t="shared" si="1350"/>
        <v>-21.154</v>
      </c>
      <c r="F1024" s="674">
        <f t="shared" si="1350"/>
        <v>22.460999999999999</v>
      </c>
      <c r="G1024" s="122">
        <f t="shared" si="1350"/>
        <v>-52.344999999999999</v>
      </c>
      <c r="H1024" s="122">
        <f t="shared" si="1351"/>
        <v>104.681</v>
      </c>
      <c r="I1024" s="122">
        <f t="shared" si="1351"/>
        <v>111.25600000000001</v>
      </c>
      <c r="J1024" s="122">
        <f t="shared" si="1351"/>
        <v>-28.497000000000014</v>
      </c>
      <c r="K1024" s="674">
        <f t="shared" si="1352"/>
        <v>135.095</v>
      </c>
      <c r="L1024" s="122">
        <f t="shared" si="1352"/>
        <v>-19.276</v>
      </c>
      <c r="M1024" s="122">
        <f t="shared" si="1353"/>
        <v>-41.251000000000005</v>
      </c>
      <c r="N1024" s="122">
        <f t="shared" si="1353"/>
        <v>68.72</v>
      </c>
      <c r="O1024" s="122">
        <f t="shared" si="1353"/>
        <v>-3.7379999999999995</v>
      </c>
      <c r="P1024" s="674">
        <f t="shared" si="1354"/>
        <v>4.4550000000000001</v>
      </c>
      <c r="Q1024" s="122">
        <f t="shared" si="1354"/>
        <v>-25.03</v>
      </c>
      <c r="R1024" s="122">
        <f t="shared" si="1355"/>
        <v>40.655000000000001</v>
      </c>
      <c r="S1024" s="122">
        <f t="shared" si="1355"/>
        <v>-25.804000000000002</v>
      </c>
      <c r="T1024" s="122">
        <f t="shared" si="1355"/>
        <v>70.685999999999993</v>
      </c>
      <c r="U1024" s="674">
        <f t="shared" si="1356"/>
        <v>60.506999999999998</v>
      </c>
      <c r="V1024" s="122">
        <f t="shared" si="1356"/>
        <v>-113.51</v>
      </c>
      <c r="W1024" s="122">
        <f t="shared" si="1357"/>
        <v>41.896000000000001</v>
      </c>
      <c r="X1024" s="122">
        <f t="shared" si="1357"/>
        <v>54.211000000000006</v>
      </c>
      <c r="Y1024" s="122">
        <f t="shared" si="1357"/>
        <v>20.571999999999999</v>
      </c>
      <c r="Z1024" s="674">
        <f t="shared" si="1358"/>
        <v>3.169</v>
      </c>
      <c r="AA1024" s="122">
        <f t="shared" si="1358"/>
        <v>-65.989999999999995</v>
      </c>
      <c r="AB1024" s="122">
        <f t="shared" si="1359"/>
        <v>28.897999999999996</v>
      </c>
      <c r="AC1024" s="122">
        <f t="shared" si="1359"/>
        <v>44.635999999999996</v>
      </c>
      <c r="AD1024" s="122">
        <f t="shared" si="1359"/>
        <v>-5.161999999999999</v>
      </c>
      <c r="AE1024" s="674">
        <f t="shared" si="1360"/>
        <v>2.3820000000000001</v>
      </c>
      <c r="AF1024" s="122">
        <f t="shared" si="1360"/>
        <v>-76.822999999999993</v>
      </c>
      <c r="AG1024" s="122">
        <f t="shared" si="1361"/>
        <v>75.087999999999994</v>
      </c>
      <c r="AH1024" s="122">
        <f t="shared" si="1361"/>
        <v>10.423999999999999</v>
      </c>
      <c r="AI1024" s="122">
        <f t="shared" si="1361"/>
        <v>53.688000000000002</v>
      </c>
      <c r="AJ1024" s="674">
        <f t="shared" si="1362"/>
        <v>62.377000000000002</v>
      </c>
      <c r="AK1024" s="122">
        <f t="shared" si="1362"/>
        <v>-144.399</v>
      </c>
      <c r="AL1024" s="122">
        <f t="shared" si="1363"/>
        <v>16.888000000000005</v>
      </c>
      <c r="AM1024" s="122">
        <f t="shared" si="1363"/>
        <v>35.409999999999997</v>
      </c>
      <c r="AN1024" s="122">
        <f t="shared" si="1363"/>
        <v>81.05</v>
      </c>
      <c r="AO1024" s="674">
        <f t="shared" si="1364"/>
        <v>-11.051</v>
      </c>
      <c r="AP1024" s="122">
        <f t="shared" si="1364"/>
        <v>-92.870999999999995</v>
      </c>
      <c r="AQ1024" s="122">
        <f t="shared" si="1365"/>
        <v>-48.731000000000009</v>
      </c>
      <c r="AR1024" s="122">
        <f t="shared" si="1365"/>
        <v>195.881</v>
      </c>
      <c r="AS1024" s="122">
        <f t="shared" si="1365"/>
        <v>-28.790000000000003</v>
      </c>
      <c r="AT1024" s="674">
        <f t="shared" si="1366"/>
        <v>25.489000000000001</v>
      </c>
      <c r="AU1024" s="122">
        <f t="shared" si="1366"/>
        <v>27.91</v>
      </c>
      <c r="AV1024" s="122">
        <f t="shared" si="1367"/>
        <v>20.547000000000001</v>
      </c>
      <c r="AW1024" s="122">
        <f t="shared" si="1367"/>
        <v>25.723999999999997</v>
      </c>
      <c r="AX1024" s="122">
        <f t="shared" si="1367"/>
        <v>-17.506999999999998</v>
      </c>
      <c r="AY1024" s="674">
        <f t="shared" si="1368"/>
        <v>56.673999999999999</v>
      </c>
      <c r="AZ1024" s="122">
        <f t="shared" si="1368"/>
        <v>25.559000000000001</v>
      </c>
      <c r="BA1024" s="122">
        <f t="shared" si="1369"/>
        <v>33.844999999999999</v>
      </c>
      <c r="BB1024" s="122">
        <f t="shared" si="1369"/>
        <v>38.698999999999991</v>
      </c>
      <c r="BC1024" s="122">
        <f t="shared" si="1369"/>
        <v>-211.624</v>
      </c>
      <c r="BD1024" s="674">
        <f t="shared" si="1370"/>
        <v>-113.521</v>
      </c>
      <c r="BE1024" s="122">
        <f t="shared" si="1370"/>
        <v>118.52500000000001</v>
      </c>
      <c r="BF1024" s="122">
        <f t="shared" si="1371"/>
        <v>-30.685000000000002</v>
      </c>
      <c r="BG1024" s="122">
        <f t="shared" si="1371"/>
        <v>77.117999999999995</v>
      </c>
      <c r="BH1024" s="122">
        <f t="shared" si="1371"/>
        <v>-65.914999999999992</v>
      </c>
      <c r="BI1024" s="674">
        <f t="shared" si="1372"/>
        <v>99.043000000000006</v>
      </c>
      <c r="BJ1024" s="1274">
        <f t="shared" si="1372"/>
        <v>-116.73099999999999</v>
      </c>
      <c r="BK1024" s="118">
        <f t="shared" ref="BK1024:BM1026" si="1378">BK1126-BJ1126</f>
        <v>50.030948856488806</v>
      </c>
      <c r="BL1024" s="118">
        <f t="shared" si="1378"/>
        <v>97.299214082882372</v>
      </c>
      <c r="BM1024" s="118">
        <f t="shared" si="1378"/>
        <v>-43.673613855595818</v>
      </c>
      <c r="BN1024" s="401">
        <f t="shared" si="1374"/>
        <v>-13.074450916224635</v>
      </c>
      <c r="BO1024" s="118">
        <f t="shared" ref="BO1024:BR1026" si="1379">BO1126-BN1126</f>
        <v>-94.056400406697662</v>
      </c>
      <c r="BP1024" s="118">
        <f t="shared" si="1379"/>
        <v>58.107628809131597</v>
      </c>
      <c r="BQ1024" s="118">
        <f t="shared" si="1379"/>
        <v>108.87490674313813</v>
      </c>
      <c r="BR1024" s="118">
        <f t="shared" si="1379"/>
        <v>-57.786303588453507</v>
      </c>
      <c r="BS1024" s="401">
        <f t="shared" si="1376"/>
        <v>15.139831557118555</v>
      </c>
      <c r="BT1024" s="401">
        <f t="shared" ref="BT1024:BV1026" si="1380">BT1126-BS1126</f>
        <v>40.170209350300411</v>
      </c>
      <c r="BU1024" s="401">
        <f t="shared" si="1380"/>
        <v>47.502429025245192</v>
      </c>
      <c r="BV1024" s="401">
        <f t="shared" si="1380"/>
        <v>51.021283710526404</v>
      </c>
      <c r="BW1024" s="122"/>
    </row>
    <row r="1025" spans="1:75" s="123" customFormat="1" x14ac:dyDescent="0.5">
      <c r="A1025" s="464" t="str">
        <f t="shared" si="1335"/>
        <v>Accrued salaries, benefits and other current and long-term liabilities</v>
      </c>
      <c r="B1025" s="513"/>
      <c r="C1025" s="674">
        <f t="shared" si="1350"/>
        <v>42.084000000000003</v>
      </c>
      <c r="D1025" s="674">
        <f t="shared" si="1350"/>
        <v>19.314</v>
      </c>
      <c r="E1025" s="674">
        <f t="shared" si="1350"/>
        <v>-16.03</v>
      </c>
      <c r="F1025" s="674">
        <f t="shared" si="1350"/>
        <v>9.1470000000000002</v>
      </c>
      <c r="G1025" s="122">
        <f t="shared" si="1350"/>
        <v>-37.027999999999999</v>
      </c>
      <c r="H1025" s="122">
        <f t="shared" si="1351"/>
        <v>26.350999999999999</v>
      </c>
      <c r="I1025" s="122">
        <f t="shared" si="1351"/>
        <v>22.693999999999999</v>
      </c>
      <c r="J1025" s="122">
        <f t="shared" si="1351"/>
        <v>31.617999999999999</v>
      </c>
      <c r="K1025" s="674">
        <f t="shared" si="1352"/>
        <v>43.634999999999998</v>
      </c>
      <c r="L1025" s="122">
        <f t="shared" si="1352"/>
        <v>-48.164000000000001</v>
      </c>
      <c r="M1025" s="122">
        <f t="shared" si="1353"/>
        <v>19.183</v>
      </c>
      <c r="N1025" s="122">
        <f t="shared" si="1353"/>
        <v>16.739000000000001</v>
      </c>
      <c r="O1025" s="122">
        <f t="shared" si="1353"/>
        <v>21.109000000000002</v>
      </c>
      <c r="P1025" s="674">
        <f t="shared" si="1354"/>
        <v>8.8670000000000009</v>
      </c>
      <c r="Q1025" s="122">
        <f t="shared" si="1354"/>
        <v>-51.387</v>
      </c>
      <c r="R1025" s="122">
        <f t="shared" si="1355"/>
        <v>20.552</v>
      </c>
      <c r="S1025" s="122">
        <f t="shared" si="1355"/>
        <v>17.341000000000001</v>
      </c>
      <c r="T1025" s="122">
        <f t="shared" si="1355"/>
        <v>13.359</v>
      </c>
      <c r="U1025" s="674">
        <f t="shared" si="1356"/>
        <v>-0.13500000000000001</v>
      </c>
      <c r="V1025" s="122">
        <f t="shared" si="1356"/>
        <v>-20.875</v>
      </c>
      <c r="W1025" s="122">
        <f t="shared" si="1357"/>
        <v>8.0079999999999991</v>
      </c>
      <c r="X1025" s="122">
        <f t="shared" si="1357"/>
        <v>12.360000000000001</v>
      </c>
      <c r="Y1025" s="122">
        <f t="shared" si="1357"/>
        <v>26.383000000000003</v>
      </c>
      <c r="Z1025" s="674">
        <f t="shared" si="1358"/>
        <v>25.876000000000001</v>
      </c>
      <c r="AA1025" s="122">
        <f t="shared" si="1358"/>
        <v>-47.234999999999999</v>
      </c>
      <c r="AB1025" s="122">
        <f t="shared" si="1359"/>
        <v>11.198999999999998</v>
      </c>
      <c r="AC1025" s="122">
        <f t="shared" si="1359"/>
        <v>9.1530000000000022</v>
      </c>
      <c r="AD1025" s="122">
        <f t="shared" si="1359"/>
        <v>36.04</v>
      </c>
      <c r="AE1025" s="674">
        <f t="shared" si="1360"/>
        <v>9.157</v>
      </c>
      <c r="AF1025" s="122">
        <f t="shared" si="1360"/>
        <v>-32.046999999999997</v>
      </c>
      <c r="AG1025" s="122">
        <f t="shared" si="1361"/>
        <v>19.837999999999997</v>
      </c>
      <c r="AH1025" s="122">
        <f t="shared" si="1361"/>
        <v>31.210999999999999</v>
      </c>
      <c r="AI1025" s="122">
        <f t="shared" si="1361"/>
        <v>26.974</v>
      </c>
      <c r="AJ1025" s="674">
        <f t="shared" si="1362"/>
        <v>45.975999999999999</v>
      </c>
      <c r="AK1025" s="122">
        <f t="shared" si="1362"/>
        <v>-49.195999999999998</v>
      </c>
      <c r="AL1025" s="122">
        <f t="shared" si="1363"/>
        <v>18.518999999999998</v>
      </c>
      <c r="AM1025" s="122">
        <f t="shared" si="1363"/>
        <v>6.5289999999999999</v>
      </c>
      <c r="AN1025" s="122">
        <f t="shared" si="1363"/>
        <v>37.406999999999996</v>
      </c>
      <c r="AO1025" s="674">
        <f t="shared" si="1364"/>
        <v>13.259</v>
      </c>
      <c r="AP1025" s="122">
        <f t="shared" si="1364"/>
        <v>-29.05</v>
      </c>
      <c r="AQ1025" s="122">
        <f t="shared" si="1365"/>
        <v>41.167000000000002</v>
      </c>
      <c r="AR1025" s="122">
        <f t="shared" si="1365"/>
        <v>46.421999999999997</v>
      </c>
      <c r="AS1025" s="122">
        <f t="shared" si="1365"/>
        <v>70.602999999999994</v>
      </c>
      <c r="AT1025" s="674">
        <f t="shared" si="1366"/>
        <v>129.142</v>
      </c>
      <c r="AU1025" s="122">
        <f t="shared" si="1366"/>
        <v>-90.882999999999996</v>
      </c>
      <c r="AV1025" s="122">
        <f t="shared" si="1367"/>
        <v>47.23</v>
      </c>
      <c r="AW1025" s="122">
        <f t="shared" si="1367"/>
        <v>68.052999999999997</v>
      </c>
      <c r="AX1025" s="122">
        <f t="shared" si="1367"/>
        <v>25.060000000000002</v>
      </c>
      <c r="AY1025" s="674">
        <f t="shared" si="1368"/>
        <v>49.46</v>
      </c>
      <c r="AZ1025" s="122">
        <f t="shared" si="1368"/>
        <v>-139.88300000000001</v>
      </c>
      <c r="BA1025" s="122">
        <f t="shared" si="1369"/>
        <v>60.988000000000014</v>
      </c>
      <c r="BB1025" s="122">
        <f t="shared" si="1369"/>
        <v>44.738</v>
      </c>
      <c r="BC1025" s="122">
        <f t="shared" si="1369"/>
        <v>-27.838000000000001</v>
      </c>
      <c r="BD1025" s="674">
        <f t="shared" si="1370"/>
        <v>-61.994999999999997</v>
      </c>
      <c r="BE1025" s="122">
        <f t="shared" si="1370"/>
        <v>-92.858000000000004</v>
      </c>
      <c r="BF1025" s="122">
        <f t="shared" si="1371"/>
        <v>24.903000000000006</v>
      </c>
      <c r="BG1025" s="122">
        <f t="shared" si="1371"/>
        <v>18.976999999999997</v>
      </c>
      <c r="BH1025" s="122">
        <f t="shared" si="1371"/>
        <v>53.913000000000004</v>
      </c>
      <c r="BI1025" s="674">
        <f t="shared" si="1372"/>
        <v>4.9349999999999996</v>
      </c>
      <c r="BJ1025" s="1274">
        <f t="shared" si="1372"/>
        <v>-114.258</v>
      </c>
      <c r="BK1025" s="118">
        <f t="shared" si="1378"/>
        <v>16.980509590716224</v>
      </c>
      <c r="BL1025" s="118">
        <f t="shared" si="1378"/>
        <v>25.022477353552546</v>
      </c>
      <c r="BM1025" s="118">
        <f t="shared" si="1378"/>
        <v>67.303690092592888</v>
      </c>
      <c r="BN1025" s="401">
        <f t="shared" si="1374"/>
        <v>-4.9513229631383382</v>
      </c>
      <c r="BO1025" s="118">
        <f t="shared" si="1379"/>
        <v>-106.36063112480412</v>
      </c>
      <c r="BP1025" s="118">
        <f t="shared" si="1379"/>
        <v>19.511135396121261</v>
      </c>
      <c r="BQ1025" s="118">
        <f t="shared" si="1379"/>
        <v>28.378139574789145</v>
      </c>
      <c r="BR1025" s="118">
        <f t="shared" si="1379"/>
        <v>65.054181823454741</v>
      </c>
      <c r="BS1025" s="401">
        <f t="shared" si="1376"/>
        <v>6.5828256695610321</v>
      </c>
      <c r="BT1025" s="401">
        <f t="shared" si="1380"/>
        <v>17.4660784213591</v>
      </c>
      <c r="BU1025" s="401">
        <f t="shared" si="1380"/>
        <v>20.654140567822822</v>
      </c>
      <c r="BV1025" s="401">
        <f t="shared" si="1380"/>
        <v>22.184144839160581</v>
      </c>
      <c r="BW1025" s="122"/>
    </row>
    <row r="1026" spans="1:75" s="123" customFormat="1" x14ac:dyDescent="0.5">
      <c r="A1026" s="464" t="str">
        <f t="shared" si="1335"/>
        <v>Customer deposits</v>
      </c>
      <c r="B1026" s="513"/>
      <c r="C1026" s="674">
        <f t="shared" si="1350"/>
        <v>2.3530000000000002</v>
      </c>
      <c r="D1026" s="674">
        <f t="shared" si="1350"/>
        <v>-3.1120000000000001</v>
      </c>
      <c r="E1026" s="674">
        <f t="shared" si="1350"/>
        <v>-2.242</v>
      </c>
      <c r="F1026" s="674">
        <f t="shared" si="1350"/>
        <v>16.962</v>
      </c>
      <c r="G1026" s="122">
        <f t="shared" si="1350"/>
        <v>14.691000000000001</v>
      </c>
      <c r="H1026" s="122">
        <f t="shared" si="1351"/>
        <v>4.0190000000000001</v>
      </c>
      <c r="I1026" s="122">
        <f t="shared" si="1351"/>
        <v>18.808999999999997</v>
      </c>
      <c r="J1026" s="122">
        <f t="shared" si="1351"/>
        <v>-15.940999999999999</v>
      </c>
      <c r="K1026" s="674">
        <f t="shared" si="1352"/>
        <v>21.577999999999999</v>
      </c>
      <c r="L1026" s="122">
        <f t="shared" si="1352"/>
        <v>5.2160000000000002</v>
      </c>
      <c r="M1026" s="122">
        <f t="shared" si="1353"/>
        <v>17.550999999999998</v>
      </c>
      <c r="N1026" s="122">
        <f t="shared" si="1353"/>
        <v>14.129999999999999</v>
      </c>
      <c r="O1026" s="122">
        <f t="shared" si="1353"/>
        <v>-2.4969999999999999</v>
      </c>
      <c r="P1026" s="674">
        <f t="shared" si="1354"/>
        <v>34.4</v>
      </c>
      <c r="Q1026" s="122">
        <f t="shared" si="1354"/>
        <v>-3.1059999999999999</v>
      </c>
      <c r="R1026" s="122">
        <f t="shared" si="1355"/>
        <v>30.348999999999997</v>
      </c>
      <c r="S1026" s="122">
        <f t="shared" si="1355"/>
        <v>4.7729999999999997</v>
      </c>
      <c r="T1026" s="122">
        <f t="shared" si="1355"/>
        <v>3.8610000000000042</v>
      </c>
      <c r="U1026" s="674">
        <f t="shared" si="1356"/>
        <v>35.877000000000002</v>
      </c>
      <c r="V1026" s="122">
        <f t="shared" si="1356"/>
        <v>-22.465</v>
      </c>
      <c r="W1026" s="122">
        <f t="shared" si="1357"/>
        <v>8.9649999999999999</v>
      </c>
      <c r="X1026" s="122">
        <f t="shared" si="1357"/>
        <v>6.0549999999999997</v>
      </c>
      <c r="Y1026" s="122">
        <f t="shared" si="1357"/>
        <v>4.4080000000000004</v>
      </c>
      <c r="Z1026" s="674">
        <f t="shared" si="1358"/>
        <v>-3.0369999999999999</v>
      </c>
      <c r="AA1026" s="122">
        <f t="shared" si="1358"/>
        <v>-4.1539999999999999</v>
      </c>
      <c r="AB1026" s="122">
        <f t="shared" si="1359"/>
        <v>-2.641</v>
      </c>
      <c r="AC1026" s="122">
        <f t="shared" si="1359"/>
        <v>0.97999999999999954</v>
      </c>
      <c r="AD1026" s="122">
        <f t="shared" si="1359"/>
        <v>3.4210000000000003</v>
      </c>
      <c r="AE1026" s="674">
        <f t="shared" si="1360"/>
        <v>-2.3940000000000001</v>
      </c>
      <c r="AF1026" s="122">
        <f t="shared" si="1360"/>
        <v>4.8150000000000004</v>
      </c>
      <c r="AG1026" s="122">
        <f t="shared" si="1361"/>
        <v>7.1119999999999992</v>
      </c>
      <c r="AH1026" s="122">
        <f t="shared" si="1361"/>
        <v>12.120999999999999</v>
      </c>
      <c r="AI1026" s="122">
        <f t="shared" si="1361"/>
        <v>14.851000000000003</v>
      </c>
      <c r="AJ1026" s="674">
        <f t="shared" si="1362"/>
        <v>38.899000000000001</v>
      </c>
      <c r="AK1026" s="122">
        <f t="shared" si="1362"/>
        <v>1.5580000000000001</v>
      </c>
      <c r="AL1026" s="122">
        <f t="shared" si="1363"/>
        <v>-8.7309999999999999</v>
      </c>
      <c r="AM1026" s="122">
        <f t="shared" si="1363"/>
        <v>13.021000000000001</v>
      </c>
      <c r="AN1026" s="122">
        <f t="shared" si="1363"/>
        <v>-6.4879999999999995</v>
      </c>
      <c r="AO1026" s="674">
        <f t="shared" si="1364"/>
        <v>-0.64</v>
      </c>
      <c r="AP1026" s="122">
        <f t="shared" si="1364"/>
        <v>9.9600000000000009</v>
      </c>
      <c r="AQ1026" s="122">
        <f t="shared" si="1365"/>
        <v>-7.0240000000000009</v>
      </c>
      <c r="AR1026" s="122">
        <f t="shared" si="1365"/>
        <v>57.017000000000003</v>
      </c>
      <c r="AS1026" s="122">
        <f t="shared" si="1365"/>
        <v>22.887999999999991</v>
      </c>
      <c r="AT1026" s="674">
        <f t="shared" si="1366"/>
        <v>82.840999999999994</v>
      </c>
      <c r="AU1026" s="122">
        <f t="shared" si="1366"/>
        <v>16.173999999999999</v>
      </c>
      <c r="AV1026" s="122">
        <f t="shared" si="1367"/>
        <v>14.134</v>
      </c>
      <c r="AW1026" s="122">
        <f t="shared" si="1367"/>
        <v>27.881</v>
      </c>
      <c r="AX1026" s="122">
        <f t="shared" si="1367"/>
        <v>17.270999999999994</v>
      </c>
      <c r="AY1026" s="674">
        <f t="shared" si="1368"/>
        <v>75.459999999999994</v>
      </c>
      <c r="AZ1026" s="122">
        <f t="shared" si="1368"/>
        <v>42.923999999999999</v>
      </c>
      <c r="BA1026" s="122">
        <f t="shared" si="1369"/>
        <v>7.5790000000000006</v>
      </c>
      <c r="BB1026" s="122">
        <f t="shared" si="1369"/>
        <v>-8.4979999999999976</v>
      </c>
      <c r="BC1026" s="122">
        <f t="shared" si="1369"/>
        <v>-10.166000000000004</v>
      </c>
      <c r="BD1026" s="674">
        <f t="shared" si="1370"/>
        <v>31.838999999999999</v>
      </c>
      <c r="BE1026" s="122">
        <f t="shared" si="1370"/>
        <v>-26.315000000000001</v>
      </c>
      <c r="BF1026" s="122">
        <f t="shared" si="1371"/>
        <v>-17.383999999999997</v>
      </c>
      <c r="BG1026" s="122">
        <f t="shared" si="1371"/>
        <v>93.576999999999998</v>
      </c>
      <c r="BH1026" s="122">
        <f t="shared" si="1371"/>
        <v>45.126999999999995</v>
      </c>
      <c r="BI1026" s="674">
        <f t="shared" si="1372"/>
        <v>95.004999999999995</v>
      </c>
      <c r="BJ1026" s="1274">
        <f t="shared" si="1372"/>
        <v>22.591999999999999</v>
      </c>
      <c r="BK1026" s="118">
        <f t="shared" si="1378"/>
        <v>-193.7361447977226</v>
      </c>
      <c r="BL1026" s="118">
        <f t="shared" si="1378"/>
        <v>105.43068028695296</v>
      </c>
      <c r="BM1026" s="118">
        <f t="shared" si="1378"/>
        <v>63.901509285247016</v>
      </c>
      <c r="BN1026" s="401">
        <f t="shared" si="1374"/>
        <v>-1.8119552255226381</v>
      </c>
      <c r="BO1026" s="118">
        <f t="shared" si="1379"/>
        <v>35.805154625861405</v>
      </c>
      <c r="BP1026" s="118">
        <f t="shared" si="1379"/>
        <v>-192.24856233812943</v>
      </c>
      <c r="BQ1026" s="118">
        <f t="shared" si="1379"/>
        <v>115.42421611110524</v>
      </c>
      <c r="BR1026" s="118">
        <f t="shared" si="1379"/>
        <v>55.312888993820479</v>
      </c>
      <c r="BS1026" s="401">
        <f t="shared" si="1376"/>
        <v>14.293697392657691</v>
      </c>
      <c r="BT1026" s="401">
        <f t="shared" si="1380"/>
        <v>37.925178657812012</v>
      </c>
      <c r="BU1026" s="401">
        <f t="shared" si="1380"/>
        <v>44.847615598721973</v>
      </c>
      <c r="BV1026" s="401">
        <f t="shared" si="1380"/>
        <v>48.16980870571831</v>
      </c>
      <c r="BW1026" s="122"/>
    </row>
    <row r="1027" spans="1:75" s="123" customFormat="1" x14ac:dyDescent="0.5">
      <c r="A1027" s="464" t="str">
        <f t="shared" si="1335"/>
        <v>Deferred rent and lease incentives</v>
      </c>
      <c r="B1027" s="513"/>
      <c r="C1027" s="674">
        <f t="shared" si="1350"/>
        <v>12.403</v>
      </c>
      <c r="D1027" s="674">
        <f t="shared" si="1350"/>
        <v>-2.5499999999999998</v>
      </c>
      <c r="E1027" s="674">
        <f t="shared" si="1350"/>
        <v>7.57</v>
      </c>
      <c r="F1027" s="674">
        <f t="shared" si="1350"/>
        <v>18.803000000000001</v>
      </c>
      <c r="G1027" s="122">
        <f t="shared" si="1350"/>
        <v>7.6130000000000004</v>
      </c>
      <c r="H1027" s="122">
        <f t="shared" si="1351"/>
        <v>5.21</v>
      </c>
      <c r="I1027" s="122">
        <f t="shared" si="1351"/>
        <v>1.0099999999999998</v>
      </c>
      <c r="J1027" s="122">
        <f t="shared" si="1351"/>
        <v>-0.59500000000000064</v>
      </c>
      <c r="K1027" s="674">
        <f t="shared" si="1352"/>
        <v>13.238</v>
      </c>
      <c r="L1027" s="122">
        <f t="shared" si="1352"/>
        <v>3.0920000000000001</v>
      </c>
      <c r="M1027" s="122">
        <f t="shared" si="1353"/>
        <v>14.423999999999998</v>
      </c>
      <c r="N1027" s="122">
        <f t="shared" si="1353"/>
        <v>0.87600000000000122</v>
      </c>
      <c r="O1027" s="122">
        <f t="shared" si="1353"/>
        <v>4.9050000000000011</v>
      </c>
      <c r="P1027" s="674">
        <f t="shared" si="1354"/>
        <v>23.297000000000001</v>
      </c>
      <c r="Q1027" s="122">
        <f t="shared" si="1354"/>
        <v>8.26</v>
      </c>
      <c r="R1027" s="122">
        <f t="shared" si="1355"/>
        <v>15.773999999999999</v>
      </c>
      <c r="S1027" s="122">
        <f t="shared" si="1355"/>
        <v>1.527000000000001</v>
      </c>
      <c r="T1027" s="122">
        <f t="shared" si="1355"/>
        <v>5.7729999999999997</v>
      </c>
      <c r="U1027" s="674">
        <f t="shared" si="1356"/>
        <v>31.334</v>
      </c>
      <c r="V1027" s="122">
        <f t="shared" si="1356"/>
        <v>9.4390000000000001</v>
      </c>
      <c r="W1027" s="122">
        <f t="shared" si="1357"/>
        <v>12.094999999999999</v>
      </c>
      <c r="X1027" s="122">
        <f t="shared" si="1357"/>
        <v>4.4350000000000023</v>
      </c>
      <c r="Y1027" s="122">
        <f t="shared" si="1357"/>
        <v>9.5899999999999963</v>
      </c>
      <c r="Z1027" s="674">
        <f t="shared" si="1358"/>
        <v>35.558999999999997</v>
      </c>
      <c r="AA1027" s="122">
        <f t="shared" si="1358"/>
        <v>5.806</v>
      </c>
      <c r="AB1027" s="122">
        <f t="shared" si="1359"/>
        <v>6.8289999999999997</v>
      </c>
      <c r="AC1027" s="122">
        <f t="shared" si="1359"/>
        <v>4.3650000000000002</v>
      </c>
      <c r="AD1027" s="122">
        <f t="shared" si="1359"/>
        <v>11.225999999999999</v>
      </c>
      <c r="AE1027" s="674">
        <f t="shared" si="1360"/>
        <v>28.225999999999999</v>
      </c>
      <c r="AF1027" s="122">
        <f t="shared" si="1360"/>
        <v>10.004</v>
      </c>
      <c r="AG1027" s="122">
        <f t="shared" si="1361"/>
        <v>8.8570000000000011</v>
      </c>
      <c r="AH1027" s="122">
        <f t="shared" si="1361"/>
        <v>4.8339999999999996</v>
      </c>
      <c r="AI1027" s="122">
        <f t="shared" si="1361"/>
        <v>1.2339999999999982</v>
      </c>
      <c r="AJ1027" s="674">
        <f t="shared" si="1362"/>
        <v>24.928999999999998</v>
      </c>
      <c r="AK1027" s="122">
        <f t="shared" si="1362"/>
        <v>0</v>
      </c>
      <c r="AL1027" s="122">
        <f t="shared" si="1363"/>
        <v>0</v>
      </c>
      <c r="AM1027" s="122">
        <f t="shared" si="1363"/>
        <v>0</v>
      </c>
      <c r="AN1027" s="122">
        <f t="shared" si="1363"/>
        <v>0</v>
      </c>
      <c r="AO1027" s="674">
        <f t="shared" si="1364"/>
        <v>0</v>
      </c>
      <c r="AP1027" s="122">
        <f t="shared" si="1364"/>
        <v>0</v>
      </c>
      <c r="AQ1027" s="122">
        <f t="shared" si="1365"/>
        <v>0</v>
      </c>
      <c r="AR1027" s="122">
        <f t="shared" si="1365"/>
        <v>0</v>
      </c>
      <c r="AS1027" s="122">
        <f t="shared" si="1365"/>
        <v>0</v>
      </c>
      <c r="AT1027" s="674">
        <f t="shared" si="1366"/>
        <v>0</v>
      </c>
      <c r="AU1027" s="122">
        <f t="shared" si="1366"/>
        <v>0</v>
      </c>
      <c r="AV1027" s="122">
        <f t="shared" si="1367"/>
        <v>0</v>
      </c>
      <c r="AW1027" s="122">
        <f t="shared" si="1367"/>
        <v>0</v>
      </c>
      <c r="AX1027" s="122">
        <f t="shared" si="1367"/>
        <v>0</v>
      </c>
      <c r="AY1027" s="674">
        <f t="shared" si="1368"/>
        <v>0</v>
      </c>
      <c r="AZ1027" s="122">
        <f t="shared" si="1368"/>
        <v>0</v>
      </c>
      <c r="BA1027" s="122">
        <f t="shared" si="1369"/>
        <v>0</v>
      </c>
      <c r="BB1027" s="122">
        <f t="shared" si="1369"/>
        <v>0</v>
      </c>
      <c r="BC1027" s="122">
        <f t="shared" si="1369"/>
        <v>0</v>
      </c>
      <c r="BD1027" s="674">
        <f t="shared" si="1370"/>
        <v>0</v>
      </c>
      <c r="BE1027" s="122">
        <f t="shared" si="1370"/>
        <v>0</v>
      </c>
      <c r="BF1027" s="122">
        <f t="shared" si="1371"/>
        <v>0</v>
      </c>
      <c r="BG1027" s="122">
        <f t="shared" si="1371"/>
        <v>0</v>
      </c>
      <c r="BH1027" s="122">
        <f t="shared" si="1371"/>
        <v>0</v>
      </c>
      <c r="BI1027" s="674">
        <f t="shared" si="1372"/>
        <v>0</v>
      </c>
      <c r="BJ1027" s="1274">
        <f t="shared" si="1372"/>
        <v>0</v>
      </c>
      <c r="BK1027" s="118"/>
      <c r="BL1027" s="118"/>
      <c r="BM1027" s="118"/>
      <c r="BN1027" s="401">
        <f t="shared" si="1374"/>
        <v>0</v>
      </c>
      <c r="BO1027" s="118"/>
      <c r="BP1027" s="118"/>
      <c r="BQ1027" s="118"/>
      <c r="BR1027" s="118"/>
      <c r="BS1027" s="401">
        <f t="shared" si="1376"/>
        <v>0</v>
      </c>
      <c r="BT1027" s="401"/>
      <c r="BU1027" s="401"/>
      <c r="BV1027" s="401"/>
      <c r="BW1027" s="122"/>
    </row>
    <row r="1028" spans="1:75" s="123" customFormat="1" x14ac:dyDescent="0.5">
      <c r="A1028" s="464" t="s">
        <v>1508</v>
      </c>
      <c r="B1028" s="513"/>
      <c r="C1028" s="401"/>
      <c r="D1028" s="401"/>
      <c r="E1028" s="401"/>
      <c r="F1028" s="401"/>
      <c r="G1028" s="118"/>
      <c r="H1028" s="118"/>
      <c r="I1028" s="118"/>
      <c r="J1028" s="118"/>
      <c r="K1028" s="401"/>
      <c r="L1028" s="118"/>
      <c r="M1028" s="118"/>
      <c r="N1028" s="118"/>
      <c r="O1028" s="118"/>
      <c r="P1028" s="401"/>
      <c r="Q1028" s="118"/>
      <c r="R1028" s="118"/>
      <c r="S1028" s="118"/>
      <c r="T1028" s="118"/>
      <c r="U1028" s="401"/>
      <c r="V1028" s="118"/>
      <c r="W1028" s="118"/>
      <c r="X1028" s="118"/>
      <c r="Y1028" s="118"/>
      <c r="Z1028" s="401"/>
      <c r="AA1028" s="118"/>
      <c r="AB1028" s="118"/>
      <c r="AC1028" s="118"/>
      <c r="AD1028" s="118"/>
      <c r="AE1028" s="401"/>
      <c r="AF1028" s="118"/>
      <c r="AG1028" s="118"/>
      <c r="AH1028" s="118"/>
      <c r="AI1028" s="118"/>
      <c r="AJ1028" s="401"/>
      <c r="AK1028" s="122">
        <f>AK969</f>
        <v>-55.098999999999997</v>
      </c>
      <c r="AL1028" s="122">
        <f t="shared" si="1363"/>
        <v>-56.683</v>
      </c>
      <c r="AM1028" s="122">
        <f t="shared" si="1363"/>
        <v>-56.525999999999996</v>
      </c>
      <c r="AN1028" s="122">
        <f t="shared" si="1363"/>
        <v>-57.949000000000012</v>
      </c>
      <c r="AO1028" s="674">
        <f t="shared" si="1364"/>
        <v>-226.25700000000001</v>
      </c>
      <c r="AP1028" s="122">
        <f t="shared" si="1364"/>
        <v>-57.628999999999998</v>
      </c>
      <c r="AQ1028" s="122">
        <f t="shared" si="1365"/>
        <v>-55.860000000000007</v>
      </c>
      <c r="AR1028" s="122">
        <f t="shared" si="1365"/>
        <v>-57.756</v>
      </c>
      <c r="AS1028" s="122">
        <f t="shared" si="1365"/>
        <v>-61.744</v>
      </c>
      <c r="AT1028" s="674">
        <f t="shared" si="1366"/>
        <v>-232.989</v>
      </c>
      <c r="AU1028" s="122">
        <f t="shared" si="1366"/>
        <v>-53.633000000000003</v>
      </c>
      <c r="AV1028" s="122">
        <f t="shared" si="1367"/>
        <v>-55.157999999999994</v>
      </c>
      <c r="AW1028" s="122">
        <f t="shared" si="1367"/>
        <v>-55.777999999999992</v>
      </c>
      <c r="AX1028" s="122">
        <f t="shared" si="1367"/>
        <v>-59.998000000000019</v>
      </c>
      <c r="AY1028" s="674">
        <f t="shared" si="1368"/>
        <v>-224.56700000000001</v>
      </c>
      <c r="AZ1028" s="122">
        <f t="shared" si="1368"/>
        <v>-58.024999999999999</v>
      </c>
      <c r="BA1028" s="122">
        <f t="shared" si="1369"/>
        <v>-62.011000000000003</v>
      </c>
      <c r="BB1028" s="122">
        <f t="shared" si="1369"/>
        <v>-57.818999999999988</v>
      </c>
      <c r="BC1028" s="122">
        <f t="shared" si="1369"/>
        <v>-65</v>
      </c>
      <c r="BD1028" s="674">
        <f t="shared" si="1370"/>
        <v>-242.85499999999999</v>
      </c>
      <c r="BE1028" s="122">
        <f t="shared" si="1370"/>
        <v>-68.497</v>
      </c>
      <c r="BF1028" s="122">
        <f t="shared" si="1371"/>
        <v>-66.708999999999989</v>
      </c>
      <c r="BG1028" s="122">
        <f t="shared" si="1371"/>
        <v>-64.962000000000018</v>
      </c>
      <c r="BH1028" s="122">
        <f t="shared" si="1371"/>
        <v>-68.993999999999971</v>
      </c>
      <c r="BI1028" s="674">
        <f t="shared" si="1372"/>
        <v>-269.16199999999998</v>
      </c>
      <c r="BJ1028" s="1274">
        <f t="shared" si="1372"/>
        <v>-70.837999999999994</v>
      </c>
      <c r="BK1028" s="118"/>
      <c r="BL1028" s="118"/>
      <c r="BM1028" s="118"/>
      <c r="BN1028" s="401">
        <f t="shared" si="1374"/>
        <v>-70.837999999999994</v>
      </c>
      <c r="BO1028" s="118"/>
      <c r="BP1028" s="118"/>
      <c r="BQ1028" s="118"/>
      <c r="BR1028" s="118"/>
      <c r="BS1028" s="401">
        <f t="shared" si="1376"/>
        <v>0</v>
      </c>
      <c r="BT1028" s="401"/>
      <c r="BU1028" s="401"/>
      <c r="BV1028" s="401"/>
      <c r="BW1028" s="122"/>
    </row>
    <row r="1029" spans="1:75" s="123" customFormat="1" x14ac:dyDescent="0.5">
      <c r="A1029" s="1292" t="str">
        <f>A970</f>
        <v>Income taxes payable</v>
      </c>
      <c r="B1029" s="677"/>
      <c r="C1029" s="1293">
        <f>C970</f>
        <v>48.284999999999997</v>
      </c>
      <c r="D1029" s="1293">
        <f>D970</f>
        <v>-6.3079999999999998</v>
      </c>
      <c r="E1029" s="1293">
        <f>E970</f>
        <v>-19.562000000000001</v>
      </c>
      <c r="F1029" s="1293">
        <f>F970</f>
        <v>19.352</v>
      </c>
      <c r="G1029" s="431">
        <f>G970</f>
        <v>-28.47</v>
      </c>
      <c r="H1029" s="431">
        <f>H970-G970</f>
        <v>-10.420000000000002</v>
      </c>
      <c r="I1029" s="431">
        <f>I970-H970</f>
        <v>-8.0999999999995964E-2</v>
      </c>
      <c r="J1029" s="431">
        <f>J970-I970</f>
        <v>46.448999999999998</v>
      </c>
      <c r="K1029" s="1293">
        <f>K970</f>
        <v>7.4779999999999998</v>
      </c>
      <c r="L1029" s="431">
        <f>L970</f>
        <v>-46.798000000000002</v>
      </c>
      <c r="M1029" s="431">
        <f>M970-L970</f>
        <v>12.041000000000004</v>
      </c>
      <c r="N1029" s="431">
        <f>N970-M970</f>
        <v>-9.8770000000000024</v>
      </c>
      <c r="O1029" s="431">
        <f>O970-N970</f>
        <v>27.6</v>
      </c>
      <c r="P1029" s="1293">
        <f>P970</f>
        <v>-17.033999999999999</v>
      </c>
      <c r="Q1029" s="431">
        <f>Q970</f>
        <v>-24.155000000000001</v>
      </c>
      <c r="R1029" s="431">
        <f>R970-Q970</f>
        <v>6.2860000000000014</v>
      </c>
      <c r="S1029" s="431">
        <f>S970-R970</f>
        <v>20.576000000000001</v>
      </c>
      <c r="T1029" s="431">
        <f>T970-S970</f>
        <v>31.841000000000001</v>
      </c>
      <c r="U1029" s="1293">
        <f>U970</f>
        <v>34.548000000000002</v>
      </c>
      <c r="V1029" s="431">
        <f>V970</f>
        <v>-59.284999999999997</v>
      </c>
      <c r="W1029" s="431">
        <f>W970-V970</f>
        <v>-6.1140000000000043</v>
      </c>
      <c r="X1029" s="431">
        <f>X970-W970</f>
        <v>-0.51600000000000534</v>
      </c>
      <c r="Y1029" s="431">
        <f>Y970-X970</f>
        <v>22.112000000000009</v>
      </c>
      <c r="Z1029" s="1293">
        <f>Z970</f>
        <v>-43.802999999999997</v>
      </c>
      <c r="AA1029" s="431">
        <f>AA970</f>
        <v>14.564</v>
      </c>
      <c r="AB1029" s="431">
        <f>AB970-AA970</f>
        <v>-2.1549999999999994</v>
      </c>
      <c r="AC1029" s="431">
        <f>AC970-AB970</f>
        <v>13.267999999999999</v>
      </c>
      <c r="AD1029" s="431">
        <f>AD970-AC970</f>
        <v>7.8639999999999972</v>
      </c>
      <c r="AE1029" s="1293">
        <f>AE970</f>
        <v>33.540999999999997</v>
      </c>
      <c r="AF1029" s="431">
        <f>AF970</f>
        <v>13.818</v>
      </c>
      <c r="AG1029" s="431">
        <f>AG970-AF970</f>
        <v>-36.53</v>
      </c>
      <c r="AH1029" s="431">
        <f>AH970-AG970</f>
        <v>-25.645999999999997</v>
      </c>
      <c r="AI1029" s="431">
        <f>AI970-AH970</f>
        <v>13.149999999999999</v>
      </c>
      <c r="AJ1029" s="1293">
        <f>AJ970</f>
        <v>-35.207999999999998</v>
      </c>
      <c r="AK1029" s="431">
        <f>AK970</f>
        <v>2.915</v>
      </c>
      <c r="AL1029" s="431">
        <f t="shared" si="1363"/>
        <v>-11.321999999999999</v>
      </c>
      <c r="AM1029" s="431">
        <f t="shared" si="1363"/>
        <v>0.11400000000000077</v>
      </c>
      <c r="AN1029" s="431">
        <f t="shared" si="1363"/>
        <v>9.0279999999999987</v>
      </c>
      <c r="AO1029" s="1293">
        <f t="shared" si="1364"/>
        <v>0.73499999999999999</v>
      </c>
      <c r="AP1029" s="431">
        <f t="shared" si="1364"/>
        <v>6.24</v>
      </c>
      <c r="AQ1029" s="431">
        <f t="shared" si="1365"/>
        <v>-0.25199999999999978</v>
      </c>
      <c r="AR1029" s="431">
        <f t="shared" si="1365"/>
        <v>7.5439999999999996</v>
      </c>
      <c r="AS1029" s="431">
        <f t="shared" si="1365"/>
        <v>33.400999999999996</v>
      </c>
      <c r="AT1029" s="1293">
        <f t="shared" si="1366"/>
        <v>46.933</v>
      </c>
      <c r="AU1029" s="431">
        <f t="shared" si="1366"/>
        <v>22.917000000000002</v>
      </c>
      <c r="AV1029" s="431">
        <f t="shared" si="1367"/>
        <v>-31.079000000000001</v>
      </c>
      <c r="AW1029" s="431">
        <f t="shared" si="1367"/>
        <v>-23.028999999999996</v>
      </c>
      <c r="AX1029" s="431">
        <f t="shared" si="1367"/>
        <v>41.347999999999999</v>
      </c>
      <c r="AY1029" s="1293">
        <f t="shared" si="1368"/>
        <v>10.157</v>
      </c>
      <c r="AZ1029" s="431">
        <f t="shared" si="1368"/>
        <v>46.756999999999998</v>
      </c>
      <c r="BA1029" s="431">
        <f t="shared" si="1369"/>
        <v>-39.134</v>
      </c>
      <c r="BB1029" s="431">
        <f t="shared" si="1369"/>
        <v>-40.899000000000001</v>
      </c>
      <c r="BC1029" s="431">
        <f t="shared" si="1369"/>
        <v>15.045000000000002</v>
      </c>
      <c r="BD1029" s="1293">
        <f t="shared" si="1370"/>
        <v>-18.231000000000002</v>
      </c>
      <c r="BE1029" s="431">
        <f t="shared" si="1370"/>
        <v>26.478000000000002</v>
      </c>
      <c r="BF1029" s="431">
        <f t="shared" si="1371"/>
        <v>39.880000000000003</v>
      </c>
      <c r="BG1029" s="431">
        <f t="shared" si="1371"/>
        <v>-74.363</v>
      </c>
      <c r="BH1029" s="431">
        <f t="shared" si="1371"/>
        <v>43.353999999999999</v>
      </c>
      <c r="BI1029" s="1293">
        <f t="shared" si="1372"/>
        <v>35.348999999999997</v>
      </c>
      <c r="BJ1029" s="1294">
        <f t="shared" si="1372"/>
        <v>52.273000000000003</v>
      </c>
      <c r="BK1029" s="723"/>
      <c r="BL1029" s="723"/>
      <c r="BM1029" s="723"/>
      <c r="BN1029" s="406">
        <f t="shared" si="1374"/>
        <v>52.273000000000003</v>
      </c>
      <c r="BO1029" s="723"/>
      <c r="BP1029" s="723"/>
      <c r="BQ1029" s="723"/>
      <c r="BR1029" s="723"/>
      <c r="BS1029" s="406">
        <f t="shared" si="1376"/>
        <v>0</v>
      </c>
      <c r="BT1029" s="406"/>
      <c r="BU1029" s="406"/>
      <c r="BV1029" s="406"/>
      <c r="BW1029" s="122"/>
    </row>
    <row r="1030" spans="1:75" s="198" customFormat="1" ht="14.25" x14ac:dyDescent="0.45">
      <c r="A1030" s="516" t="str">
        <f>A971</f>
        <v>Net CFO</v>
      </c>
      <c r="B1030" s="517"/>
      <c r="C1030" s="519">
        <f t="shared" ref="C1030:BD1030" si="1381">SUM(C1019:C1029)</f>
        <v>490.71799999999996</v>
      </c>
      <c r="D1030" s="519">
        <f t="shared" si="1381"/>
        <v>355.98899999999986</v>
      </c>
      <c r="E1030" s="519">
        <f t="shared" si="1381"/>
        <v>291.33399999999995</v>
      </c>
      <c r="F1030" s="519">
        <f t="shared" si="1381"/>
        <v>364.12699999999995</v>
      </c>
      <c r="G1030" s="520">
        <f t="shared" si="1381"/>
        <v>-59.821999999999974</v>
      </c>
      <c r="H1030" s="520">
        <f t="shared" si="1381"/>
        <v>123.88499999999998</v>
      </c>
      <c r="I1030" s="520">
        <f t="shared" si="1381"/>
        <v>84.612000000000108</v>
      </c>
      <c r="J1030" s="520">
        <f t="shared" si="1381"/>
        <v>305.09399999999988</v>
      </c>
      <c r="K1030" s="519">
        <f t="shared" si="1381"/>
        <v>453.76900000000001</v>
      </c>
      <c r="L1030" s="520">
        <f t="shared" si="1381"/>
        <v>-70.329000000000008</v>
      </c>
      <c r="M1030" s="520">
        <f t="shared" si="1381"/>
        <v>80.545999999999992</v>
      </c>
      <c r="N1030" s="520">
        <f t="shared" si="1381"/>
        <v>111.584</v>
      </c>
      <c r="O1030" s="520">
        <f t="shared" si="1381"/>
        <v>339.89599999999996</v>
      </c>
      <c r="P1030" s="519">
        <f t="shared" si="1381"/>
        <v>461.69700000000006</v>
      </c>
      <c r="Q1030" s="520">
        <f t="shared" si="1381"/>
        <v>-67.070999999999998</v>
      </c>
      <c r="R1030" s="520">
        <f t="shared" si="1381"/>
        <v>103.87600000000003</v>
      </c>
      <c r="S1030" s="520">
        <f t="shared" si="1381"/>
        <v>56.24</v>
      </c>
      <c r="T1030" s="520">
        <f t="shared" si="1381"/>
        <v>450.98099999999988</v>
      </c>
      <c r="U1030" s="519">
        <f t="shared" si="1381"/>
        <v>544.02599999999995</v>
      </c>
      <c r="V1030" s="520">
        <f t="shared" si="1381"/>
        <v>-72.66</v>
      </c>
      <c r="W1030" s="520">
        <f t="shared" si="1381"/>
        <v>106.10799999999999</v>
      </c>
      <c r="X1030" s="520">
        <f t="shared" si="1381"/>
        <v>89.015999999999977</v>
      </c>
      <c r="Y1030" s="520">
        <f t="shared" si="1381"/>
        <v>402.24499999999995</v>
      </c>
      <c r="Z1030" s="519">
        <f t="shared" si="1381"/>
        <v>524.70899999999995</v>
      </c>
      <c r="AA1030" s="520">
        <f t="shared" si="1381"/>
        <v>-46.375999999999983</v>
      </c>
      <c r="AB1030" s="520">
        <f t="shared" si="1381"/>
        <v>81.510999999999967</v>
      </c>
      <c r="AC1030" s="520">
        <f t="shared" si="1381"/>
        <v>77.794999999999987</v>
      </c>
      <c r="AD1030" s="520">
        <f t="shared" si="1381"/>
        <v>386.774</v>
      </c>
      <c r="AE1030" s="519">
        <f t="shared" si="1381"/>
        <v>499.70400000000001</v>
      </c>
      <c r="AF1030" s="520">
        <f t="shared" si="1381"/>
        <v>10.769000000000005</v>
      </c>
      <c r="AG1030" s="520">
        <f t="shared" si="1381"/>
        <v>109.35399999999998</v>
      </c>
      <c r="AH1030" s="520">
        <f t="shared" si="1381"/>
        <v>59.378</v>
      </c>
      <c r="AI1030" s="520">
        <f t="shared" si="1381"/>
        <v>406.48499999999996</v>
      </c>
      <c r="AJ1030" s="519">
        <f t="shared" si="1381"/>
        <v>585.98599999999999</v>
      </c>
      <c r="AK1030" s="520">
        <f t="shared" si="1381"/>
        <v>-98.08</v>
      </c>
      <c r="AL1030" s="520">
        <f t="shared" si="1381"/>
        <v>71.444000000000017</v>
      </c>
      <c r="AM1030" s="520">
        <f t="shared" si="1381"/>
        <v>116.586</v>
      </c>
      <c r="AN1030" s="520">
        <f t="shared" si="1381"/>
        <v>517.34399999999982</v>
      </c>
      <c r="AO1030" s="519">
        <f t="shared" si="1381"/>
        <v>607.29400000000021</v>
      </c>
      <c r="AP1030" s="520">
        <f t="shared" si="1381"/>
        <v>53.872999999999976</v>
      </c>
      <c r="AQ1030" s="520">
        <f t="shared" si="1381"/>
        <v>162.52699999999996</v>
      </c>
      <c r="AR1030" s="520">
        <f t="shared" si="1381"/>
        <v>510.22800000000018</v>
      </c>
      <c r="AS1030" s="520">
        <f t="shared" si="1381"/>
        <v>548.22</v>
      </c>
      <c r="AT1030" s="519">
        <f t="shared" si="1381"/>
        <v>1274.8480000000002</v>
      </c>
      <c r="AU1030" s="520">
        <f t="shared" si="1381"/>
        <v>238.88099999999997</v>
      </c>
      <c r="AV1030" s="520">
        <f t="shared" si="1381"/>
        <v>236.78700000000003</v>
      </c>
      <c r="AW1030" s="520">
        <f t="shared" si="1381"/>
        <v>312.67099999999994</v>
      </c>
      <c r="AX1030" s="520">
        <f t="shared" si="1381"/>
        <v>582.80799999999999</v>
      </c>
      <c r="AY1030" s="519">
        <f t="shared" si="1381"/>
        <v>1371.1470000000002</v>
      </c>
      <c r="AZ1030" s="520">
        <f t="shared" si="1381"/>
        <v>184.51899999999998</v>
      </c>
      <c r="BA1030" s="520">
        <f t="shared" si="1381"/>
        <v>199.07300000000004</v>
      </c>
      <c r="BB1030" s="520">
        <f t="shared" si="1381"/>
        <v>204.93299999999996</v>
      </c>
      <c r="BC1030" s="520">
        <f t="shared" si="1381"/>
        <v>464.29699999999997</v>
      </c>
      <c r="BD1030" s="519">
        <f t="shared" si="1381"/>
        <v>1052.8219999999999</v>
      </c>
      <c r="BE1030" s="520">
        <f>SUM(BE1019:BE1029)</f>
        <v>342.52600000000007</v>
      </c>
      <c r="BF1030" s="520">
        <f>SUM(BF1019:BF1029)</f>
        <v>372.45899999999995</v>
      </c>
      <c r="BG1030" s="520">
        <f t="shared" ref="BG1030:BV1030" si="1382">SUM(BG1019:BG1029)</f>
        <v>290.42799999999994</v>
      </c>
      <c r="BH1030" s="520">
        <f t="shared" si="1382"/>
        <v>674.86000000000013</v>
      </c>
      <c r="BI1030" s="519">
        <f t="shared" si="1382"/>
        <v>1680.2729999999997</v>
      </c>
      <c r="BJ1030" s="1270">
        <f>SUM(BJ1019:BJ1029)</f>
        <v>226.78799999999995</v>
      </c>
      <c r="BK1030" s="327">
        <f t="shared" si="1382"/>
        <v>158.46400433271867</v>
      </c>
      <c r="BL1030" s="327">
        <f t="shared" ca="1" si="1382"/>
        <v>355.10128120022068</v>
      </c>
      <c r="BM1030" s="327">
        <f t="shared" ca="1" si="1382"/>
        <v>665.13613302187355</v>
      </c>
      <c r="BN1030" s="518">
        <f t="shared" ca="1" si="1382"/>
        <v>1405.4894185548128</v>
      </c>
      <c r="BO1030" s="327">
        <f t="shared" ca="1" si="1382"/>
        <v>133.98935100072589</v>
      </c>
      <c r="BP1030" s="327">
        <f t="shared" ca="1" si="1382"/>
        <v>178.95414810942816</v>
      </c>
      <c r="BQ1030" s="327">
        <f t="shared" ca="1" si="1382"/>
        <v>397.27037904889414</v>
      </c>
      <c r="BR1030" s="327">
        <f t="shared" ca="1" si="1382"/>
        <v>679.29352426190508</v>
      </c>
      <c r="BS1030" s="518">
        <f t="shared" ca="1" si="1382"/>
        <v>1389.507402420953</v>
      </c>
      <c r="BT1030" s="518">
        <f t="shared" ca="1" si="1382"/>
        <v>1505.7441512196199</v>
      </c>
      <c r="BU1030" s="518">
        <f t="shared" ca="1" si="1382"/>
        <v>1648.4121071963541</v>
      </c>
      <c r="BV1030" s="518">
        <f t="shared" ca="1" si="1382"/>
        <v>1793.163398340957</v>
      </c>
      <c r="BW1030" s="197"/>
    </row>
    <row r="1031" spans="1:75" s="123" customFormat="1" x14ac:dyDescent="0.5">
      <c r="A1031" s="752"/>
      <c r="B1031" s="513"/>
      <c r="C1031" s="401"/>
      <c r="D1031" s="401"/>
      <c r="E1031" s="401"/>
      <c r="F1031" s="401"/>
      <c r="G1031" s="118"/>
      <c r="H1031" s="118"/>
      <c r="I1031" s="118"/>
      <c r="J1031" s="118"/>
      <c r="K1031" s="401"/>
      <c r="L1031" s="118"/>
      <c r="M1031" s="118"/>
      <c r="N1031" s="118"/>
      <c r="O1031" s="118"/>
      <c r="P1031" s="401"/>
      <c r="Q1031" s="118"/>
      <c r="R1031" s="118"/>
      <c r="S1031" s="118"/>
      <c r="T1031" s="118"/>
      <c r="U1031" s="401"/>
      <c r="V1031" s="118"/>
      <c r="W1031" s="118"/>
      <c r="X1031" s="118"/>
      <c r="Y1031" s="118"/>
      <c r="Z1031" s="401"/>
      <c r="AA1031" s="118"/>
      <c r="AB1031" s="118"/>
      <c r="AC1031" s="118"/>
      <c r="AD1031" s="118"/>
      <c r="AE1031" s="401"/>
      <c r="AF1031" s="118"/>
      <c r="AG1031" s="118"/>
      <c r="AH1031" s="118"/>
      <c r="AI1031" s="118"/>
      <c r="AJ1031" s="401"/>
      <c r="AK1031" s="118"/>
      <c r="AL1031" s="118"/>
      <c r="AM1031" s="118"/>
      <c r="AN1031" s="118"/>
      <c r="AO1031" s="401"/>
      <c r="AP1031" s="118"/>
      <c r="AQ1031" s="118"/>
      <c r="AR1031" s="118"/>
      <c r="AS1031" s="118"/>
      <c r="AT1031" s="401"/>
      <c r="AU1031" s="118"/>
      <c r="AV1031" s="118"/>
      <c r="AW1031" s="118"/>
      <c r="AX1031" s="118"/>
      <c r="AY1031" s="401"/>
      <c r="AZ1031" s="118"/>
      <c r="BA1031" s="118"/>
      <c r="BB1031" s="118"/>
      <c r="BC1031" s="118"/>
      <c r="BD1031" s="401"/>
      <c r="BE1031" s="118"/>
      <c r="BF1031" s="118"/>
      <c r="BG1031" s="118"/>
      <c r="BH1031" s="118"/>
      <c r="BI1031" s="401"/>
      <c r="BJ1031" s="971"/>
      <c r="BK1031" s="118"/>
      <c r="BL1031" s="118"/>
      <c r="BM1031" s="118"/>
      <c r="BN1031" s="401"/>
      <c r="BO1031" s="118"/>
      <c r="BP1031" s="118"/>
      <c r="BQ1031" s="118"/>
      <c r="BR1031" s="118"/>
      <c r="BS1031" s="401"/>
      <c r="BT1031" s="401"/>
      <c r="BU1031" s="401"/>
      <c r="BV1031" s="401"/>
      <c r="BW1031" s="122"/>
    </row>
    <row r="1032" spans="1:75" s="198" customFormat="1" ht="14.25" x14ac:dyDescent="0.45">
      <c r="A1032" s="463" t="str">
        <f t="shared" ref="A1032:A1039" si="1383">A973</f>
        <v>CFI</v>
      </c>
      <c r="B1032" s="522"/>
      <c r="C1032" s="397"/>
      <c r="D1032" s="397"/>
      <c r="E1032" s="397"/>
      <c r="F1032" s="397"/>
      <c r="G1032" s="295"/>
      <c r="H1032" s="295"/>
      <c r="I1032" s="295"/>
      <c r="J1032" s="295"/>
      <c r="K1032" s="397"/>
      <c r="L1032" s="295"/>
      <c r="M1032" s="295"/>
      <c r="N1032" s="295"/>
      <c r="O1032" s="295"/>
      <c r="P1032" s="397"/>
      <c r="Q1032" s="295"/>
      <c r="R1032" s="295"/>
      <c r="S1032" s="295"/>
      <c r="T1032" s="295"/>
      <c r="U1032" s="397"/>
      <c r="V1032" s="295"/>
      <c r="W1032" s="295"/>
      <c r="X1032" s="295"/>
      <c r="Y1032" s="295"/>
      <c r="Z1032" s="397"/>
      <c r="AA1032" s="295"/>
      <c r="AB1032" s="295"/>
      <c r="AC1032" s="295"/>
      <c r="AD1032" s="295"/>
      <c r="AE1032" s="397"/>
      <c r="AF1032" s="295"/>
      <c r="AG1032" s="295"/>
      <c r="AH1032" s="295"/>
      <c r="AI1032" s="295"/>
      <c r="AJ1032" s="397"/>
      <c r="AK1032" s="295"/>
      <c r="AL1032" s="295"/>
      <c r="AM1032" s="295"/>
      <c r="AN1032" s="295"/>
      <c r="AO1032" s="397"/>
      <c r="AP1032" s="295"/>
      <c r="AQ1032" s="295"/>
      <c r="AR1032" s="295"/>
      <c r="AS1032" s="295"/>
      <c r="AT1032" s="397"/>
      <c r="AU1032" s="295"/>
      <c r="AV1032" s="295"/>
      <c r="AW1032" s="295"/>
      <c r="AX1032" s="295"/>
      <c r="AY1032" s="397"/>
      <c r="AZ1032" s="295"/>
      <c r="BA1032" s="295"/>
      <c r="BB1032" s="295"/>
      <c r="BC1032" s="295"/>
      <c r="BD1032" s="397"/>
      <c r="BE1032" s="295"/>
      <c r="BF1032" s="295"/>
      <c r="BG1032" s="295"/>
      <c r="BH1032" s="295"/>
      <c r="BI1032" s="397"/>
      <c r="BJ1032" s="1030"/>
      <c r="BK1032" s="295"/>
      <c r="BL1032" s="295"/>
      <c r="BM1032" s="295"/>
      <c r="BN1032" s="397"/>
      <c r="BO1032" s="295"/>
      <c r="BP1032" s="295"/>
      <c r="BQ1032" s="295"/>
      <c r="BR1032" s="295"/>
      <c r="BS1032" s="397"/>
      <c r="BT1032" s="397"/>
      <c r="BU1032" s="397"/>
      <c r="BV1032" s="397"/>
      <c r="BW1032" s="197"/>
    </row>
    <row r="1033" spans="1:75" s="123" customFormat="1" x14ac:dyDescent="0.5">
      <c r="A1033" s="464" t="str">
        <f t="shared" si="1383"/>
        <v>Purchases of property and equipment</v>
      </c>
      <c r="B1033" s="118"/>
      <c r="C1033" s="674">
        <f t="shared" ref="C1033:G1038" si="1384">C974</f>
        <v>-72.263000000000005</v>
      </c>
      <c r="D1033" s="674">
        <f t="shared" si="1384"/>
        <v>-61.905999999999999</v>
      </c>
      <c r="E1033" s="674">
        <f t="shared" si="1384"/>
        <v>-130.35300000000001</v>
      </c>
      <c r="F1033" s="674">
        <f t="shared" si="1384"/>
        <v>-205.404</v>
      </c>
      <c r="G1033" s="122">
        <f t="shared" si="1384"/>
        <v>-47.444000000000003</v>
      </c>
      <c r="H1033" s="122">
        <f t="shared" ref="H1033:J1038" si="1385">H974-G974</f>
        <v>-50.332999999999998</v>
      </c>
      <c r="I1033" s="122">
        <f t="shared" si="1385"/>
        <v>-47.458999999999989</v>
      </c>
      <c r="J1033" s="122">
        <f t="shared" si="1385"/>
        <v>-48.717000000000013</v>
      </c>
      <c r="K1033" s="674">
        <f t="shared" ref="K1033:L1038" si="1386">K974</f>
        <v>-193.953</v>
      </c>
      <c r="L1033" s="122">
        <f t="shared" si="1386"/>
        <v>-38.119</v>
      </c>
      <c r="M1033" s="122">
        <f t="shared" ref="M1033:O1038" si="1387">M974-L974</f>
        <v>-45.400000000000006</v>
      </c>
      <c r="N1033" s="122">
        <f t="shared" si="1387"/>
        <v>-48.150999999999982</v>
      </c>
      <c r="O1033" s="122">
        <f t="shared" si="1387"/>
        <v>-73.130000000000024</v>
      </c>
      <c r="P1033" s="674">
        <f t="shared" ref="P1033:Q1038" si="1388">P974</f>
        <v>-204.8</v>
      </c>
      <c r="Q1033" s="122">
        <f t="shared" si="1388"/>
        <v>-40.384</v>
      </c>
      <c r="R1033" s="122">
        <f t="shared" ref="R1033:T1038" si="1389">R974-Q974</f>
        <v>-46.465000000000003</v>
      </c>
      <c r="S1033" s="122">
        <f t="shared" si="1389"/>
        <v>-49.219999999999985</v>
      </c>
      <c r="T1033" s="122">
        <f t="shared" si="1389"/>
        <v>-66.866000000000014</v>
      </c>
      <c r="U1033" s="674">
        <f t="shared" ref="U1033:V1038" si="1390">U974</f>
        <v>-202.935</v>
      </c>
      <c r="V1033" s="122">
        <f t="shared" si="1390"/>
        <v>-28.149000000000001</v>
      </c>
      <c r="W1033" s="122">
        <f t="shared" ref="W1033:Y1038" si="1391">W974-V974</f>
        <v>-49.727999999999994</v>
      </c>
      <c r="X1033" s="122">
        <f t="shared" si="1391"/>
        <v>-49.292000000000002</v>
      </c>
      <c r="Y1033" s="122">
        <f t="shared" si="1391"/>
        <v>-70.24499999999999</v>
      </c>
      <c r="Z1033" s="674">
        <f t="shared" ref="Z1033:AA1038" si="1392">Z974</f>
        <v>-197.41399999999999</v>
      </c>
      <c r="AA1033" s="122">
        <f t="shared" si="1392"/>
        <v>-32.152999999999999</v>
      </c>
      <c r="AB1033" s="122">
        <f t="shared" ref="AB1033:AD1038" si="1393">AB974-AA974</f>
        <v>-50.574000000000005</v>
      </c>
      <c r="AC1033" s="122">
        <f t="shared" si="1393"/>
        <v>-53.093999999999994</v>
      </c>
      <c r="AD1033" s="122">
        <f t="shared" si="1393"/>
        <v>-53.890999999999991</v>
      </c>
      <c r="AE1033" s="674">
        <f t="shared" ref="AE1033:AF1038" si="1394">AE974</f>
        <v>-189.71199999999999</v>
      </c>
      <c r="AF1033" s="122">
        <f t="shared" si="1394"/>
        <v>-34.029000000000003</v>
      </c>
      <c r="AG1033" s="122">
        <f t="shared" ref="AG1033:AI1038" si="1395">AG974-AF974</f>
        <v>-45.991999999999997</v>
      </c>
      <c r="AH1033" s="122">
        <f t="shared" si="1395"/>
        <v>-48.304999999999993</v>
      </c>
      <c r="AI1033" s="122">
        <f t="shared" si="1395"/>
        <v>-61.77600000000001</v>
      </c>
      <c r="AJ1033" s="674">
        <f t="shared" ref="AJ1033:AK1038" si="1396">AJ974</f>
        <v>-190.102</v>
      </c>
      <c r="AK1033" s="122">
        <f t="shared" si="1396"/>
        <v>-36.148000000000003</v>
      </c>
      <c r="AL1033" s="122">
        <f t="shared" ref="AL1033:AN1038" si="1397">AL974-AK974</f>
        <v>-41.04099999999999</v>
      </c>
      <c r="AM1033" s="122">
        <f t="shared" si="1397"/>
        <v>-43.965000000000003</v>
      </c>
      <c r="AN1033" s="122">
        <f t="shared" si="1397"/>
        <v>-65.122000000000014</v>
      </c>
      <c r="AO1033" s="674">
        <f t="shared" ref="AO1033:AP1038" si="1398">AO974</f>
        <v>-186.27600000000001</v>
      </c>
      <c r="AP1033" s="122">
        <f t="shared" si="1398"/>
        <v>-42.320999999999998</v>
      </c>
      <c r="AQ1033" s="122">
        <f t="shared" ref="AQ1033:AS1038" si="1399">AQ974-AP974</f>
        <v>-33.802000000000007</v>
      </c>
      <c r="AR1033" s="122">
        <f t="shared" si="1399"/>
        <v>-48.762</v>
      </c>
      <c r="AS1033" s="122">
        <f t="shared" si="1399"/>
        <v>-44.628</v>
      </c>
      <c r="AT1033" s="674">
        <f t="shared" ref="AT1033:AU1038" si="1400">AT974</f>
        <v>-169.51300000000001</v>
      </c>
      <c r="AU1033" s="122">
        <f t="shared" si="1400"/>
        <v>-42.36</v>
      </c>
      <c r="AV1033" s="122">
        <f t="shared" ref="AV1033:AX1038" si="1401">AV974-AU974</f>
        <v>-35.921000000000006</v>
      </c>
      <c r="AW1033" s="122">
        <f t="shared" si="1401"/>
        <v>-62.728999999999985</v>
      </c>
      <c r="AX1033" s="122">
        <f t="shared" si="1401"/>
        <v>-85.507000000000005</v>
      </c>
      <c r="AY1033" s="674">
        <f t="shared" ref="AY1033:AZ1038" si="1402">AY974</f>
        <v>-226.517</v>
      </c>
      <c r="AZ1033" s="122">
        <f t="shared" si="1402"/>
        <v>-71.186000000000007</v>
      </c>
      <c r="BA1033" s="122">
        <f t="shared" ref="BA1033:BC1038" si="1403">BA974-AZ974</f>
        <v>-77.361999999999995</v>
      </c>
      <c r="BB1033" s="122">
        <f t="shared" si="1403"/>
        <v>-85.829999999999984</v>
      </c>
      <c r="BC1033" s="122">
        <f t="shared" si="1403"/>
        <v>-119.73900000000003</v>
      </c>
      <c r="BD1033" s="674">
        <f t="shared" ref="BD1033:BE1038" si="1404">BD974</f>
        <v>-354.11700000000002</v>
      </c>
      <c r="BE1033" s="122">
        <f t="shared" si="1404"/>
        <v>-50.029000000000003</v>
      </c>
      <c r="BF1033" s="122">
        <f t="shared" ref="BF1033:BH1038" si="1405">BF974-BE974</f>
        <v>-42.850999999999992</v>
      </c>
      <c r="BG1033" s="122">
        <f t="shared" si="1405"/>
        <v>-41.950000000000017</v>
      </c>
      <c r="BH1033" s="122">
        <f t="shared" si="1405"/>
        <v>-53.627999999999986</v>
      </c>
      <c r="BI1033" s="674">
        <f t="shared" ref="BI1033:BJ1038" si="1406">BI974</f>
        <v>-188.458</v>
      </c>
      <c r="BJ1033" s="1274">
        <f t="shared" si="1406"/>
        <v>-39.512999999999998</v>
      </c>
      <c r="BK1033" s="118">
        <f>BK879</f>
        <v>-50</v>
      </c>
      <c r="BL1033" s="118">
        <f>BL879</f>
        <v>-65</v>
      </c>
      <c r="BM1033" s="118">
        <f>BM879</f>
        <v>-70.5</v>
      </c>
      <c r="BN1033" s="401">
        <f t="shared" ref="BN1033:BN1038" si="1407">SUM(BJ1033,BK1033,BL1033,BM1033)</f>
        <v>-225.01300000000001</v>
      </c>
      <c r="BO1033" s="118">
        <f>BO879</f>
        <v>-80</v>
      </c>
      <c r="BP1033" s="118">
        <f>BP879</f>
        <v>-90</v>
      </c>
      <c r="BQ1033" s="118">
        <f>BQ879</f>
        <v>-95</v>
      </c>
      <c r="BR1033" s="118">
        <f>BR879</f>
        <v>-110</v>
      </c>
      <c r="BS1033" s="401">
        <f t="shared" ref="BS1033:BS1038" si="1408">SUM(BO1033,BP1033,BQ1033,BR1033)</f>
        <v>-375</v>
      </c>
      <c r="BT1033" s="401">
        <f>BT879</f>
        <v>-400</v>
      </c>
      <c r="BU1033" s="401">
        <f>BU879</f>
        <v>-400</v>
      </c>
      <c r="BV1033" s="401">
        <f>BV879</f>
        <v>-400</v>
      </c>
      <c r="BW1033" s="122"/>
    </row>
    <row r="1034" spans="1:75" s="123" customFormat="1" x14ac:dyDescent="0.5">
      <c r="A1034" s="464" t="str">
        <f t="shared" si="1383"/>
        <v>Restricted cash receipts</v>
      </c>
      <c r="B1034" s="118"/>
      <c r="C1034" s="674">
        <f t="shared" si="1384"/>
        <v>0</v>
      </c>
      <c r="D1034" s="674">
        <f t="shared" si="1384"/>
        <v>-12.512</v>
      </c>
      <c r="E1034" s="674">
        <f t="shared" si="1384"/>
        <v>-2.2200000000000002</v>
      </c>
      <c r="F1034" s="674">
        <f t="shared" si="1384"/>
        <v>-1.323</v>
      </c>
      <c r="G1034" s="122">
        <f t="shared" si="1384"/>
        <v>0</v>
      </c>
      <c r="H1034" s="122">
        <f t="shared" si="1385"/>
        <v>-0.91200000000000003</v>
      </c>
      <c r="I1034" s="122">
        <f t="shared" si="1385"/>
        <v>2.6840000000000002</v>
      </c>
      <c r="J1034" s="122">
        <f t="shared" si="1385"/>
        <v>-6.0000000000000053E-3</v>
      </c>
      <c r="K1034" s="674">
        <f t="shared" si="1386"/>
        <v>1.766</v>
      </c>
      <c r="L1034" s="122">
        <f t="shared" si="1386"/>
        <v>0</v>
      </c>
      <c r="M1034" s="122">
        <f t="shared" si="1387"/>
        <v>14.289</v>
      </c>
      <c r="N1034" s="122">
        <f t="shared" si="1387"/>
        <v>0</v>
      </c>
      <c r="O1034" s="122">
        <f t="shared" si="1387"/>
        <v>0</v>
      </c>
      <c r="P1034" s="674">
        <f t="shared" si="1388"/>
        <v>14.289</v>
      </c>
      <c r="Q1034" s="122">
        <f t="shared" si="1388"/>
        <v>0</v>
      </c>
      <c r="R1034" s="122">
        <f t="shared" si="1389"/>
        <v>0</v>
      </c>
      <c r="S1034" s="122">
        <f t="shared" si="1389"/>
        <v>0</v>
      </c>
      <c r="T1034" s="122">
        <f t="shared" si="1389"/>
        <v>0</v>
      </c>
      <c r="U1034" s="674">
        <f t="shared" si="1390"/>
        <v>0</v>
      </c>
      <c r="V1034" s="122">
        <f t="shared" si="1390"/>
        <v>0</v>
      </c>
      <c r="W1034" s="122">
        <f t="shared" si="1391"/>
        <v>0</v>
      </c>
      <c r="X1034" s="122">
        <f t="shared" si="1391"/>
        <v>0</v>
      </c>
      <c r="Y1034" s="122">
        <f t="shared" si="1391"/>
        <v>0</v>
      </c>
      <c r="Z1034" s="674">
        <f t="shared" si="1392"/>
        <v>0</v>
      </c>
      <c r="AA1034" s="122">
        <f t="shared" si="1392"/>
        <v>0</v>
      </c>
      <c r="AB1034" s="122">
        <f t="shared" si="1393"/>
        <v>0</v>
      </c>
      <c r="AC1034" s="122">
        <f t="shared" si="1393"/>
        <v>0</v>
      </c>
      <c r="AD1034" s="122">
        <f t="shared" si="1393"/>
        <v>0</v>
      </c>
      <c r="AE1034" s="674">
        <f t="shared" si="1394"/>
        <v>0</v>
      </c>
      <c r="AF1034" s="122">
        <f t="shared" si="1394"/>
        <v>0</v>
      </c>
      <c r="AG1034" s="122">
        <f t="shared" si="1395"/>
        <v>0</v>
      </c>
      <c r="AH1034" s="122">
        <f t="shared" si="1395"/>
        <v>0</v>
      </c>
      <c r="AI1034" s="122">
        <f t="shared" si="1395"/>
        <v>0</v>
      </c>
      <c r="AJ1034" s="674">
        <f t="shared" si="1396"/>
        <v>0</v>
      </c>
      <c r="AK1034" s="122">
        <f t="shared" si="1396"/>
        <v>0</v>
      </c>
      <c r="AL1034" s="122">
        <f t="shared" si="1397"/>
        <v>0</v>
      </c>
      <c r="AM1034" s="122">
        <f t="shared" si="1397"/>
        <v>0</v>
      </c>
      <c r="AN1034" s="122">
        <f t="shared" si="1397"/>
        <v>0</v>
      </c>
      <c r="AO1034" s="674">
        <f t="shared" si="1398"/>
        <v>0</v>
      </c>
      <c r="AP1034" s="122">
        <f t="shared" si="1398"/>
        <v>0</v>
      </c>
      <c r="AQ1034" s="122">
        <f t="shared" si="1399"/>
        <v>0</v>
      </c>
      <c r="AR1034" s="122">
        <f t="shared" si="1399"/>
        <v>0</v>
      </c>
      <c r="AS1034" s="122">
        <f t="shared" si="1399"/>
        <v>0</v>
      </c>
      <c r="AT1034" s="674">
        <f t="shared" si="1400"/>
        <v>0</v>
      </c>
      <c r="AU1034" s="122">
        <f t="shared" si="1400"/>
        <v>0</v>
      </c>
      <c r="AV1034" s="122">
        <f t="shared" si="1401"/>
        <v>0</v>
      </c>
      <c r="AW1034" s="122">
        <f t="shared" si="1401"/>
        <v>0</v>
      </c>
      <c r="AX1034" s="122">
        <f t="shared" si="1401"/>
        <v>0</v>
      </c>
      <c r="AY1034" s="674">
        <f t="shared" si="1402"/>
        <v>0</v>
      </c>
      <c r="AZ1034" s="122">
        <f t="shared" si="1402"/>
        <v>0</v>
      </c>
      <c r="BA1034" s="122">
        <f t="shared" si="1403"/>
        <v>0</v>
      </c>
      <c r="BB1034" s="122">
        <f t="shared" si="1403"/>
        <v>0</v>
      </c>
      <c r="BC1034" s="122">
        <f t="shared" si="1403"/>
        <v>0</v>
      </c>
      <c r="BD1034" s="674">
        <f t="shared" si="1404"/>
        <v>0</v>
      </c>
      <c r="BE1034" s="122">
        <f t="shared" si="1404"/>
        <v>0</v>
      </c>
      <c r="BF1034" s="122">
        <f t="shared" si="1405"/>
        <v>0</v>
      </c>
      <c r="BG1034" s="122">
        <f t="shared" si="1405"/>
        <v>0</v>
      </c>
      <c r="BH1034" s="122">
        <f t="shared" si="1405"/>
        <v>0</v>
      </c>
      <c r="BI1034" s="674">
        <f t="shared" si="1406"/>
        <v>0</v>
      </c>
      <c r="BJ1034" s="1274">
        <f t="shared" si="1406"/>
        <v>0</v>
      </c>
      <c r="BK1034" s="118"/>
      <c r="BL1034" s="118"/>
      <c r="BM1034" s="118"/>
      <c r="BN1034" s="401">
        <f t="shared" si="1407"/>
        <v>0</v>
      </c>
      <c r="BO1034" s="118"/>
      <c r="BP1034" s="118"/>
      <c r="BQ1034" s="118"/>
      <c r="BR1034" s="118"/>
      <c r="BS1034" s="401">
        <f t="shared" si="1408"/>
        <v>0</v>
      </c>
      <c r="BT1034" s="401"/>
      <c r="BU1034" s="401"/>
      <c r="BV1034" s="401"/>
      <c r="BW1034" s="122"/>
    </row>
    <row r="1035" spans="1:75" s="123" customFormat="1" x14ac:dyDescent="0.5">
      <c r="A1035" s="464" t="str">
        <f t="shared" si="1383"/>
        <v>Proceeds from sale of assets</v>
      </c>
      <c r="B1035" s="118"/>
      <c r="C1035" s="674">
        <f t="shared" si="1384"/>
        <v>1.0329999999999999</v>
      </c>
      <c r="D1035" s="674">
        <f t="shared" si="1384"/>
        <v>10.823</v>
      </c>
      <c r="E1035" s="674">
        <f t="shared" si="1384"/>
        <v>8.1000000000000003E-2</v>
      </c>
      <c r="F1035" s="674">
        <f t="shared" si="1384"/>
        <v>0</v>
      </c>
      <c r="G1035" s="122">
        <f t="shared" si="1384"/>
        <v>0</v>
      </c>
      <c r="H1035" s="122">
        <f t="shared" si="1385"/>
        <v>0</v>
      </c>
      <c r="I1035" s="122">
        <f t="shared" si="1385"/>
        <v>0</v>
      </c>
      <c r="J1035" s="122">
        <f t="shared" si="1385"/>
        <v>0</v>
      </c>
      <c r="K1035" s="674">
        <f t="shared" si="1386"/>
        <v>0</v>
      </c>
      <c r="L1035" s="122">
        <f t="shared" si="1386"/>
        <v>0</v>
      </c>
      <c r="M1035" s="122">
        <f t="shared" si="1387"/>
        <v>0</v>
      </c>
      <c r="N1035" s="122">
        <f t="shared" si="1387"/>
        <v>0</v>
      </c>
      <c r="O1035" s="122">
        <f t="shared" si="1387"/>
        <v>0</v>
      </c>
      <c r="P1035" s="674">
        <f t="shared" si="1388"/>
        <v>0</v>
      </c>
      <c r="Q1035" s="122">
        <f t="shared" si="1388"/>
        <v>0</v>
      </c>
      <c r="R1035" s="122">
        <f t="shared" si="1389"/>
        <v>0</v>
      </c>
      <c r="S1035" s="122">
        <f t="shared" si="1389"/>
        <v>0</v>
      </c>
      <c r="T1035" s="122">
        <f t="shared" si="1389"/>
        <v>0</v>
      </c>
      <c r="U1035" s="674">
        <f t="shared" si="1390"/>
        <v>0</v>
      </c>
      <c r="V1035" s="122">
        <f t="shared" si="1390"/>
        <v>0</v>
      </c>
      <c r="W1035" s="122">
        <f t="shared" si="1391"/>
        <v>0</v>
      </c>
      <c r="X1035" s="122">
        <f t="shared" si="1391"/>
        <v>0</v>
      </c>
      <c r="Y1035" s="122">
        <f t="shared" si="1391"/>
        <v>0</v>
      </c>
      <c r="Z1035" s="674">
        <f t="shared" si="1392"/>
        <v>0</v>
      </c>
      <c r="AA1035" s="122">
        <f t="shared" si="1392"/>
        <v>0</v>
      </c>
      <c r="AB1035" s="122">
        <f t="shared" si="1393"/>
        <v>0</v>
      </c>
      <c r="AC1035" s="122">
        <f t="shared" si="1393"/>
        <v>0</v>
      </c>
      <c r="AD1035" s="122">
        <f t="shared" si="1393"/>
        <v>0</v>
      </c>
      <c r="AE1035" s="674">
        <f t="shared" si="1394"/>
        <v>0</v>
      </c>
      <c r="AF1035" s="122">
        <f t="shared" si="1394"/>
        <v>0</v>
      </c>
      <c r="AG1035" s="122">
        <f t="shared" si="1395"/>
        <v>0</v>
      </c>
      <c r="AH1035" s="122">
        <f t="shared" si="1395"/>
        <v>0</v>
      </c>
      <c r="AI1035" s="122">
        <f t="shared" si="1395"/>
        <v>0</v>
      </c>
      <c r="AJ1035" s="674">
        <f t="shared" si="1396"/>
        <v>0</v>
      </c>
      <c r="AK1035" s="122">
        <f t="shared" si="1396"/>
        <v>0</v>
      </c>
      <c r="AL1035" s="122">
        <f t="shared" si="1397"/>
        <v>0</v>
      </c>
      <c r="AM1035" s="122">
        <f t="shared" si="1397"/>
        <v>0</v>
      </c>
      <c r="AN1035" s="122">
        <f t="shared" si="1397"/>
        <v>0</v>
      </c>
      <c r="AO1035" s="674">
        <f t="shared" si="1398"/>
        <v>0</v>
      </c>
      <c r="AP1035" s="122">
        <f t="shared" si="1398"/>
        <v>0</v>
      </c>
      <c r="AQ1035" s="122">
        <f t="shared" si="1399"/>
        <v>0</v>
      </c>
      <c r="AR1035" s="122">
        <f t="shared" si="1399"/>
        <v>0</v>
      </c>
      <c r="AS1035" s="122">
        <f t="shared" si="1399"/>
        <v>0</v>
      </c>
      <c r="AT1035" s="674">
        <f t="shared" si="1400"/>
        <v>0</v>
      </c>
      <c r="AU1035" s="122">
        <f t="shared" si="1400"/>
        <v>0</v>
      </c>
      <c r="AV1035" s="122">
        <f t="shared" si="1401"/>
        <v>0</v>
      </c>
      <c r="AW1035" s="122">
        <f t="shared" si="1401"/>
        <v>0</v>
      </c>
      <c r="AX1035" s="122">
        <f t="shared" si="1401"/>
        <v>0</v>
      </c>
      <c r="AY1035" s="674">
        <f t="shared" si="1402"/>
        <v>0</v>
      </c>
      <c r="AZ1035" s="122">
        <f t="shared" si="1402"/>
        <v>0</v>
      </c>
      <c r="BA1035" s="122">
        <f t="shared" si="1403"/>
        <v>0</v>
      </c>
      <c r="BB1035" s="122">
        <f t="shared" si="1403"/>
        <v>0</v>
      </c>
      <c r="BC1035" s="122">
        <f t="shared" si="1403"/>
        <v>0</v>
      </c>
      <c r="BD1035" s="674">
        <f t="shared" si="1404"/>
        <v>0</v>
      </c>
      <c r="BE1035" s="122">
        <f t="shared" si="1404"/>
        <v>0</v>
      </c>
      <c r="BF1035" s="122">
        <f t="shared" si="1405"/>
        <v>0</v>
      </c>
      <c r="BG1035" s="122">
        <f t="shared" si="1405"/>
        <v>0</v>
      </c>
      <c r="BH1035" s="122">
        <f t="shared" si="1405"/>
        <v>0</v>
      </c>
      <c r="BI1035" s="674">
        <f t="shared" si="1406"/>
        <v>0</v>
      </c>
      <c r="BJ1035" s="1274">
        <f t="shared" si="1406"/>
        <v>0</v>
      </c>
      <c r="BK1035" s="118">
        <f>BK882</f>
        <v>0</v>
      </c>
      <c r="BL1035" s="118">
        <f>BL882</f>
        <v>0</v>
      </c>
      <c r="BM1035" s="118">
        <f>BM882</f>
        <v>0</v>
      </c>
      <c r="BN1035" s="401">
        <f t="shared" si="1407"/>
        <v>0</v>
      </c>
      <c r="BO1035" s="118">
        <f>BO882</f>
        <v>0</v>
      </c>
      <c r="BP1035" s="118">
        <f>BP882</f>
        <v>0</v>
      </c>
      <c r="BQ1035" s="118">
        <f>BQ882</f>
        <v>0</v>
      </c>
      <c r="BR1035" s="118">
        <f>BR882</f>
        <v>0</v>
      </c>
      <c r="BS1035" s="401">
        <f t="shared" si="1408"/>
        <v>0</v>
      </c>
      <c r="BT1035" s="401">
        <f>BT882</f>
        <v>0</v>
      </c>
      <c r="BU1035" s="401">
        <f>BU882</f>
        <v>0</v>
      </c>
      <c r="BV1035" s="401">
        <f>BV882</f>
        <v>0</v>
      </c>
      <c r="BW1035" s="122"/>
    </row>
    <row r="1036" spans="1:75" s="123" customFormat="1" x14ac:dyDescent="0.5">
      <c r="A1036" s="464" t="str">
        <f t="shared" si="1383"/>
        <v>Acquisition of businesses, net of cash received</v>
      </c>
      <c r="B1036" s="118"/>
      <c r="C1036" s="674">
        <f t="shared" si="1384"/>
        <v>0</v>
      </c>
      <c r="D1036" s="674">
        <f t="shared" si="1384"/>
        <v>0</v>
      </c>
      <c r="E1036" s="674">
        <f t="shared" si="1384"/>
        <v>-25.363</v>
      </c>
      <c r="F1036" s="674">
        <f t="shared" si="1384"/>
        <v>0</v>
      </c>
      <c r="G1036" s="122">
        <f t="shared" si="1384"/>
        <v>0</v>
      </c>
      <c r="H1036" s="122">
        <f t="shared" si="1385"/>
        <v>0</v>
      </c>
      <c r="I1036" s="122">
        <f t="shared" si="1385"/>
        <v>0</v>
      </c>
      <c r="J1036" s="122">
        <f t="shared" si="1385"/>
        <v>0</v>
      </c>
      <c r="K1036" s="674">
        <f t="shared" si="1386"/>
        <v>0</v>
      </c>
      <c r="L1036" s="122">
        <f t="shared" si="1386"/>
        <v>0</v>
      </c>
      <c r="M1036" s="122">
        <f t="shared" si="1387"/>
        <v>0</v>
      </c>
      <c r="N1036" s="122">
        <f t="shared" si="1387"/>
        <v>0</v>
      </c>
      <c r="O1036" s="122">
        <f t="shared" si="1387"/>
        <v>0</v>
      </c>
      <c r="P1036" s="674">
        <f t="shared" si="1388"/>
        <v>0</v>
      </c>
      <c r="Q1036" s="122">
        <f t="shared" si="1388"/>
        <v>0</v>
      </c>
      <c r="R1036" s="122">
        <f t="shared" si="1389"/>
        <v>0</v>
      </c>
      <c r="S1036" s="122">
        <f t="shared" si="1389"/>
        <v>0</v>
      </c>
      <c r="T1036" s="122">
        <f t="shared" si="1389"/>
        <v>0</v>
      </c>
      <c r="U1036" s="674">
        <f t="shared" si="1390"/>
        <v>0</v>
      </c>
      <c r="V1036" s="122">
        <f t="shared" si="1390"/>
        <v>0</v>
      </c>
      <c r="W1036" s="122">
        <f t="shared" si="1391"/>
        <v>0</v>
      </c>
      <c r="X1036" s="122">
        <f t="shared" si="1391"/>
        <v>0</v>
      </c>
      <c r="Y1036" s="122">
        <f t="shared" si="1391"/>
        <v>0</v>
      </c>
      <c r="Z1036" s="674">
        <f t="shared" si="1392"/>
        <v>0</v>
      </c>
      <c r="AA1036" s="122">
        <f t="shared" si="1392"/>
        <v>0</v>
      </c>
      <c r="AB1036" s="122">
        <f t="shared" si="1393"/>
        <v>0</v>
      </c>
      <c r="AC1036" s="122">
        <f t="shared" si="1393"/>
        <v>0</v>
      </c>
      <c r="AD1036" s="122">
        <f t="shared" si="1393"/>
        <v>-80.528000000000006</v>
      </c>
      <c r="AE1036" s="674">
        <f t="shared" si="1394"/>
        <v>-80.528000000000006</v>
      </c>
      <c r="AF1036" s="122">
        <f t="shared" si="1394"/>
        <v>0</v>
      </c>
      <c r="AG1036" s="122">
        <f t="shared" si="1395"/>
        <v>0</v>
      </c>
      <c r="AH1036" s="122">
        <f t="shared" si="1395"/>
        <v>0</v>
      </c>
      <c r="AI1036" s="122">
        <f t="shared" si="1395"/>
        <v>0</v>
      </c>
      <c r="AJ1036" s="674">
        <f t="shared" si="1396"/>
        <v>0</v>
      </c>
      <c r="AK1036" s="122">
        <f t="shared" si="1396"/>
        <v>0</v>
      </c>
      <c r="AL1036" s="122">
        <f t="shared" si="1397"/>
        <v>0</v>
      </c>
      <c r="AM1036" s="122">
        <f t="shared" si="1397"/>
        <v>0</v>
      </c>
      <c r="AN1036" s="122">
        <f t="shared" si="1397"/>
        <v>0</v>
      </c>
      <c r="AO1036" s="674">
        <f t="shared" si="1398"/>
        <v>0</v>
      </c>
      <c r="AP1036" s="122">
        <f t="shared" si="1398"/>
        <v>0</v>
      </c>
      <c r="AQ1036" s="122">
        <f t="shared" si="1399"/>
        <v>0</v>
      </c>
      <c r="AR1036" s="122">
        <f t="shared" si="1399"/>
        <v>0</v>
      </c>
      <c r="AS1036" s="122">
        <f t="shared" si="1399"/>
        <v>0</v>
      </c>
      <c r="AT1036" s="674">
        <f t="shared" si="1400"/>
        <v>0</v>
      </c>
      <c r="AU1036" s="122">
        <f t="shared" si="1400"/>
        <v>0</v>
      </c>
      <c r="AV1036" s="122">
        <f t="shared" si="1401"/>
        <v>0</v>
      </c>
      <c r="AW1036" s="122">
        <f t="shared" si="1401"/>
        <v>0</v>
      </c>
      <c r="AX1036" s="122">
        <f t="shared" si="1401"/>
        <v>0</v>
      </c>
      <c r="AY1036" s="674">
        <f t="shared" si="1402"/>
        <v>0</v>
      </c>
      <c r="AZ1036" s="122">
        <f t="shared" si="1402"/>
        <v>0</v>
      </c>
      <c r="BA1036" s="122">
        <f t="shared" si="1403"/>
        <v>0</v>
      </c>
      <c r="BB1036" s="122">
        <f t="shared" si="1403"/>
        <v>0</v>
      </c>
      <c r="BC1036" s="122">
        <f t="shared" si="1403"/>
        <v>0</v>
      </c>
      <c r="BD1036" s="674">
        <f t="shared" si="1404"/>
        <v>0</v>
      </c>
      <c r="BE1036" s="122">
        <f t="shared" si="1404"/>
        <v>0</v>
      </c>
      <c r="BF1036" s="122">
        <f t="shared" si="1405"/>
        <v>0</v>
      </c>
      <c r="BG1036" s="122">
        <f t="shared" si="1405"/>
        <v>0</v>
      </c>
      <c r="BH1036" s="122">
        <f t="shared" si="1405"/>
        <v>0</v>
      </c>
      <c r="BI1036" s="674">
        <f t="shared" si="1406"/>
        <v>0</v>
      </c>
      <c r="BJ1036" s="1274">
        <f t="shared" si="1406"/>
        <v>0</v>
      </c>
      <c r="BK1036" s="118">
        <f>BK881</f>
        <v>0</v>
      </c>
      <c r="BL1036" s="118">
        <f>BL881</f>
        <v>0</v>
      </c>
      <c r="BM1036" s="118">
        <f>BM881</f>
        <v>0</v>
      </c>
      <c r="BN1036" s="401">
        <f t="shared" si="1407"/>
        <v>0</v>
      </c>
      <c r="BO1036" s="118">
        <f>BO881</f>
        <v>0</v>
      </c>
      <c r="BP1036" s="118">
        <f>BP881</f>
        <v>0</v>
      </c>
      <c r="BQ1036" s="118">
        <f>BQ881</f>
        <v>0</v>
      </c>
      <c r="BR1036" s="118">
        <f>BR881</f>
        <v>0</v>
      </c>
      <c r="BS1036" s="401">
        <f t="shared" si="1408"/>
        <v>0</v>
      </c>
      <c r="BT1036" s="401">
        <f>BT881</f>
        <v>0</v>
      </c>
      <c r="BU1036" s="401">
        <f>BU881</f>
        <v>0</v>
      </c>
      <c r="BV1036" s="401">
        <f>BV881</f>
        <v>0</v>
      </c>
      <c r="BW1036" s="122"/>
    </row>
    <row r="1037" spans="1:75" s="123" customFormat="1" x14ac:dyDescent="0.5">
      <c r="A1037" s="464" t="str">
        <f t="shared" si="1383"/>
        <v>Proceeds from insurance reimbursements</v>
      </c>
      <c r="B1037" s="118"/>
      <c r="C1037" s="674">
        <f t="shared" si="1384"/>
        <v>0</v>
      </c>
      <c r="D1037" s="674">
        <f t="shared" si="1384"/>
        <v>0</v>
      </c>
      <c r="E1037" s="674">
        <f t="shared" si="1384"/>
        <v>0.751</v>
      </c>
      <c r="F1037" s="674">
        <f t="shared" si="1384"/>
        <v>0</v>
      </c>
      <c r="G1037" s="122">
        <f t="shared" si="1384"/>
        <v>0.76</v>
      </c>
      <c r="H1037" s="122">
        <f t="shared" si="1385"/>
        <v>-0.76</v>
      </c>
      <c r="I1037" s="122">
        <f t="shared" si="1385"/>
        <v>1.4179999999999999</v>
      </c>
      <c r="J1037" s="122">
        <f t="shared" si="1385"/>
        <v>0.10000000000000009</v>
      </c>
      <c r="K1037" s="674">
        <f t="shared" si="1386"/>
        <v>1.518</v>
      </c>
      <c r="L1037" s="122">
        <f t="shared" si="1386"/>
        <v>0</v>
      </c>
      <c r="M1037" s="122">
        <f t="shared" si="1387"/>
        <v>0</v>
      </c>
      <c r="N1037" s="122">
        <f t="shared" si="1387"/>
        <v>0</v>
      </c>
      <c r="O1037" s="122">
        <f t="shared" si="1387"/>
        <v>1.6439999999999999</v>
      </c>
      <c r="P1037" s="674">
        <f t="shared" si="1388"/>
        <v>1.6439999999999999</v>
      </c>
      <c r="Q1037" s="122">
        <f t="shared" si="1388"/>
        <v>0</v>
      </c>
      <c r="R1037" s="122">
        <f t="shared" si="1389"/>
        <v>0</v>
      </c>
      <c r="S1037" s="122">
        <f t="shared" si="1389"/>
        <v>0</v>
      </c>
      <c r="T1037" s="122">
        <f t="shared" si="1389"/>
        <v>0.68300000000000005</v>
      </c>
      <c r="U1037" s="674">
        <f t="shared" si="1390"/>
        <v>0.68300000000000005</v>
      </c>
      <c r="V1037" s="122">
        <f t="shared" si="1390"/>
        <v>0</v>
      </c>
      <c r="W1037" s="122">
        <f t="shared" si="1391"/>
        <v>0</v>
      </c>
      <c r="X1037" s="122">
        <f t="shared" si="1391"/>
        <v>0</v>
      </c>
      <c r="Y1037" s="122">
        <f t="shared" si="1391"/>
        <v>0</v>
      </c>
      <c r="Z1037" s="674">
        <f t="shared" si="1392"/>
        <v>0</v>
      </c>
      <c r="AA1037" s="122">
        <f t="shared" si="1392"/>
        <v>0</v>
      </c>
      <c r="AB1037" s="122">
        <f t="shared" si="1393"/>
        <v>0</v>
      </c>
      <c r="AC1037" s="122">
        <f t="shared" si="1393"/>
        <v>0</v>
      </c>
      <c r="AD1037" s="122">
        <f t="shared" si="1393"/>
        <v>0</v>
      </c>
      <c r="AE1037" s="674">
        <f t="shared" si="1394"/>
        <v>0</v>
      </c>
      <c r="AF1037" s="122">
        <f t="shared" si="1394"/>
        <v>0</v>
      </c>
      <c r="AG1037" s="122">
        <f t="shared" si="1395"/>
        <v>0</v>
      </c>
      <c r="AH1037" s="122">
        <f t="shared" si="1395"/>
        <v>0</v>
      </c>
      <c r="AI1037" s="122">
        <f t="shared" si="1395"/>
        <v>0</v>
      </c>
      <c r="AJ1037" s="674">
        <f t="shared" si="1396"/>
        <v>0</v>
      </c>
      <c r="AK1037" s="122">
        <f t="shared" si="1396"/>
        <v>0</v>
      </c>
      <c r="AL1037" s="122">
        <f t="shared" si="1397"/>
        <v>0</v>
      </c>
      <c r="AM1037" s="122">
        <f t="shared" si="1397"/>
        <v>0</v>
      </c>
      <c r="AN1037" s="122">
        <f t="shared" si="1397"/>
        <v>0</v>
      </c>
      <c r="AO1037" s="674">
        <f t="shared" si="1398"/>
        <v>0</v>
      </c>
      <c r="AP1037" s="122">
        <f t="shared" si="1398"/>
        <v>0</v>
      </c>
      <c r="AQ1037" s="122">
        <f t="shared" si="1399"/>
        <v>0</v>
      </c>
      <c r="AR1037" s="122">
        <f t="shared" si="1399"/>
        <v>0</v>
      </c>
      <c r="AS1037" s="122">
        <f t="shared" si="1399"/>
        <v>0</v>
      </c>
      <c r="AT1037" s="674">
        <f t="shared" si="1400"/>
        <v>0</v>
      </c>
      <c r="AU1037" s="122">
        <f t="shared" si="1400"/>
        <v>0</v>
      </c>
      <c r="AV1037" s="122">
        <f t="shared" si="1401"/>
        <v>0</v>
      </c>
      <c r="AW1037" s="122">
        <f t="shared" si="1401"/>
        <v>0</v>
      </c>
      <c r="AX1037" s="122">
        <f t="shared" si="1401"/>
        <v>0</v>
      </c>
      <c r="AY1037" s="674">
        <f t="shared" si="1402"/>
        <v>0</v>
      </c>
      <c r="AZ1037" s="122">
        <f t="shared" si="1402"/>
        <v>0</v>
      </c>
      <c r="BA1037" s="122">
        <f t="shared" si="1403"/>
        <v>0</v>
      </c>
      <c r="BB1037" s="122">
        <f t="shared" si="1403"/>
        <v>0</v>
      </c>
      <c r="BC1037" s="122">
        <f t="shared" si="1403"/>
        <v>0</v>
      </c>
      <c r="BD1037" s="674">
        <f t="shared" si="1404"/>
        <v>0</v>
      </c>
      <c r="BE1037" s="122">
        <f t="shared" si="1404"/>
        <v>0</v>
      </c>
      <c r="BF1037" s="122">
        <f t="shared" si="1405"/>
        <v>0</v>
      </c>
      <c r="BG1037" s="122">
        <f t="shared" si="1405"/>
        <v>0</v>
      </c>
      <c r="BH1037" s="122">
        <f t="shared" si="1405"/>
        <v>0</v>
      </c>
      <c r="BI1037" s="674">
        <f t="shared" si="1406"/>
        <v>0</v>
      </c>
      <c r="BJ1037" s="1274">
        <f t="shared" si="1406"/>
        <v>0</v>
      </c>
      <c r="BK1037" s="118"/>
      <c r="BL1037" s="118"/>
      <c r="BM1037" s="118"/>
      <c r="BN1037" s="401">
        <f t="shared" si="1407"/>
        <v>0</v>
      </c>
      <c r="BO1037" s="118"/>
      <c r="BP1037" s="118"/>
      <c r="BQ1037" s="118"/>
      <c r="BR1037" s="118"/>
      <c r="BS1037" s="401">
        <f t="shared" si="1408"/>
        <v>0</v>
      </c>
      <c r="BT1037" s="401"/>
      <c r="BU1037" s="401"/>
      <c r="BV1037" s="401"/>
      <c r="BW1037" s="122"/>
    </row>
    <row r="1038" spans="1:75" s="123" customFormat="1" x14ac:dyDescent="0.5">
      <c r="A1038" s="1292" t="str">
        <f t="shared" si="1383"/>
        <v>Other</v>
      </c>
      <c r="B1038" s="723"/>
      <c r="C1038" s="1293">
        <f t="shared" si="1384"/>
        <v>0</v>
      </c>
      <c r="D1038" s="1293">
        <f t="shared" si="1384"/>
        <v>-0.4</v>
      </c>
      <c r="E1038" s="1293">
        <f t="shared" si="1384"/>
        <v>-0.6</v>
      </c>
      <c r="F1038" s="1293">
        <f t="shared" si="1384"/>
        <v>-8.7999999999999995E-2</v>
      </c>
      <c r="G1038" s="431">
        <f t="shared" si="1384"/>
        <v>2.5999999999999999E-2</v>
      </c>
      <c r="H1038" s="431">
        <f t="shared" si="1385"/>
        <v>1.248</v>
      </c>
      <c r="I1038" s="431">
        <f t="shared" si="1385"/>
        <v>-1.2290000000000001</v>
      </c>
      <c r="J1038" s="431">
        <f t="shared" si="1385"/>
        <v>0</v>
      </c>
      <c r="K1038" s="1293">
        <f t="shared" si="1386"/>
        <v>4.4999999999999998E-2</v>
      </c>
      <c r="L1038" s="431">
        <f t="shared" si="1386"/>
        <v>0.13300000000000001</v>
      </c>
      <c r="M1038" s="431">
        <f t="shared" si="1387"/>
        <v>0.14899999999999997</v>
      </c>
      <c r="N1038" s="431">
        <f t="shared" si="1387"/>
        <v>0.92300000000000004</v>
      </c>
      <c r="O1038" s="431">
        <f t="shared" si="1387"/>
        <v>-0.93800000000000006</v>
      </c>
      <c r="P1038" s="1293">
        <f t="shared" si="1388"/>
        <v>0.26700000000000002</v>
      </c>
      <c r="Q1038" s="431">
        <f t="shared" si="1388"/>
        <v>5.0000000000000001E-3</v>
      </c>
      <c r="R1038" s="431">
        <f t="shared" si="1389"/>
        <v>0.27300000000000002</v>
      </c>
      <c r="S1038" s="431">
        <f t="shared" si="1389"/>
        <v>0.25700000000000001</v>
      </c>
      <c r="T1038" s="431">
        <f t="shared" si="1389"/>
        <v>-0.44900000000000007</v>
      </c>
      <c r="U1038" s="1293">
        <f t="shared" si="1390"/>
        <v>8.5999999999999993E-2</v>
      </c>
      <c r="V1038" s="431">
        <f t="shared" si="1390"/>
        <v>0.29399999999999998</v>
      </c>
      <c r="W1038" s="431">
        <f t="shared" si="1391"/>
        <v>6.9000000000000006E-2</v>
      </c>
      <c r="X1038" s="431">
        <f t="shared" si="1391"/>
        <v>7.0000000000000062E-3</v>
      </c>
      <c r="Y1038" s="431">
        <f t="shared" si="1391"/>
        <v>6.9000000000000006E-2</v>
      </c>
      <c r="Z1038" s="1293">
        <f t="shared" si="1392"/>
        <v>0.439</v>
      </c>
      <c r="AA1038" s="431">
        <f t="shared" si="1392"/>
        <v>5.0000000000000001E-3</v>
      </c>
      <c r="AB1038" s="431">
        <f t="shared" si="1393"/>
        <v>3.9E-2</v>
      </c>
      <c r="AC1038" s="431">
        <f t="shared" si="1393"/>
        <v>0.41400000000000003</v>
      </c>
      <c r="AD1038" s="431">
        <f t="shared" si="1393"/>
        <v>2.1999999999999964E-2</v>
      </c>
      <c r="AE1038" s="1293">
        <f t="shared" si="1394"/>
        <v>0.48</v>
      </c>
      <c r="AF1038" s="431">
        <f t="shared" si="1394"/>
        <v>0.12</v>
      </c>
      <c r="AG1038" s="431">
        <f t="shared" si="1395"/>
        <v>0.39300000000000002</v>
      </c>
      <c r="AH1038" s="431">
        <f t="shared" si="1395"/>
        <v>1.2909999999999999</v>
      </c>
      <c r="AI1038" s="431">
        <f t="shared" si="1395"/>
        <v>0.3989999999999998</v>
      </c>
      <c r="AJ1038" s="1293">
        <f t="shared" si="1396"/>
        <v>2.2029999999999998</v>
      </c>
      <c r="AK1038" s="431">
        <f t="shared" si="1396"/>
        <v>0.107</v>
      </c>
      <c r="AL1038" s="431">
        <f t="shared" si="1397"/>
        <v>0.36299999999999999</v>
      </c>
      <c r="AM1038" s="431">
        <f t="shared" si="1397"/>
        <v>0</v>
      </c>
      <c r="AN1038" s="431">
        <f t="shared" si="1397"/>
        <v>0.25800000000000001</v>
      </c>
      <c r="AO1038" s="1293">
        <f t="shared" si="1398"/>
        <v>0.72799999999999998</v>
      </c>
      <c r="AP1038" s="431">
        <f t="shared" si="1398"/>
        <v>0.24199999999999999</v>
      </c>
      <c r="AQ1038" s="431">
        <f t="shared" si="1399"/>
        <v>-1.0000000000000009E-3</v>
      </c>
      <c r="AR1038" s="431">
        <f t="shared" si="1399"/>
        <v>0.26500000000000001</v>
      </c>
      <c r="AS1038" s="431">
        <f t="shared" si="1399"/>
        <v>0.123</v>
      </c>
      <c r="AT1038" s="1293">
        <f t="shared" si="1400"/>
        <v>0.629</v>
      </c>
      <c r="AU1038" s="431">
        <f t="shared" si="1400"/>
        <v>9.2999999999999999E-2</v>
      </c>
      <c r="AV1038" s="431">
        <f t="shared" si="1401"/>
        <v>4.0000000000000036E-3</v>
      </c>
      <c r="AW1038" s="431">
        <f t="shared" si="1401"/>
        <v>0</v>
      </c>
      <c r="AX1038" s="431">
        <f t="shared" si="1401"/>
        <v>0.17300000000000001</v>
      </c>
      <c r="AY1038" s="1293">
        <f t="shared" si="1402"/>
        <v>0.27</v>
      </c>
      <c r="AZ1038" s="431">
        <f t="shared" si="1402"/>
        <v>8.5999999999999993E-2</v>
      </c>
      <c r="BA1038" s="431">
        <f t="shared" si="1403"/>
        <v>0</v>
      </c>
      <c r="BB1038" s="431">
        <f t="shared" si="1403"/>
        <v>1.4000000000000012E-2</v>
      </c>
      <c r="BC1038" s="431">
        <f t="shared" si="1403"/>
        <v>6.2E-2</v>
      </c>
      <c r="BD1038" s="1293">
        <f t="shared" si="1404"/>
        <v>0.16200000000000001</v>
      </c>
      <c r="BE1038" s="431">
        <f t="shared" si="1404"/>
        <v>0.14799999999999999</v>
      </c>
      <c r="BF1038" s="431">
        <f t="shared" si="1405"/>
        <v>6.3E-2</v>
      </c>
      <c r="BG1038" s="431">
        <f t="shared" si="1405"/>
        <v>0.19100000000000003</v>
      </c>
      <c r="BH1038" s="431">
        <f t="shared" si="1405"/>
        <v>-0.20100000000000001</v>
      </c>
      <c r="BI1038" s="1293">
        <f t="shared" si="1406"/>
        <v>0.20100000000000001</v>
      </c>
      <c r="BJ1038" s="1294">
        <f t="shared" si="1406"/>
        <v>3.1E-2</v>
      </c>
      <c r="BK1038" s="723"/>
      <c r="BL1038" s="723"/>
      <c r="BM1038" s="723"/>
      <c r="BN1038" s="406">
        <f t="shared" si="1407"/>
        <v>3.1E-2</v>
      </c>
      <c r="BO1038" s="723"/>
      <c r="BP1038" s="723"/>
      <c r="BQ1038" s="723"/>
      <c r="BR1038" s="723"/>
      <c r="BS1038" s="406">
        <f t="shared" si="1408"/>
        <v>0</v>
      </c>
      <c r="BT1038" s="406"/>
      <c r="BU1038" s="406"/>
      <c r="BV1038" s="406"/>
      <c r="BW1038" s="122"/>
    </row>
    <row r="1039" spans="1:75" s="198" customFormat="1" ht="14.25" x14ac:dyDescent="0.45">
      <c r="A1039" s="516" t="str">
        <f t="shared" si="1383"/>
        <v>Net CFI</v>
      </c>
      <c r="B1039" s="517"/>
      <c r="C1039" s="519">
        <f t="shared" ref="C1039:BD1039" si="1409">SUM(C1033:C1038)</f>
        <v>-71.23</v>
      </c>
      <c r="D1039" s="519">
        <f t="shared" si="1409"/>
        <v>-63.995000000000005</v>
      </c>
      <c r="E1039" s="519">
        <f t="shared" si="1409"/>
        <v>-157.70400000000001</v>
      </c>
      <c r="F1039" s="519">
        <f t="shared" si="1409"/>
        <v>-206.815</v>
      </c>
      <c r="G1039" s="520">
        <f t="shared" si="1409"/>
        <v>-46.658000000000001</v>
      </c>
      <c r="H1039" s="520">
        <f t="shared" si="1409"/>
        <v>-50.756999999999998</v>
      </c>
      <c r="I1039" s="520">
        <f t="shared" si="1409"/>
        <v>-44.585999999999991</v>
      </c>
      <c r="J1039" s="520">
        <f t="shared" si="1409"/>
        <v>-48.623000000000012</v>
      </c>
      <c r="K1039" s="519">
        <f t="shared" si="1409"/>
        <v>-190.62400000000002</v>
      </c>
      <c r="L1039" s="520">
        <f t="shared" si="1409"/>
        <v>-37.985999999999997</v>
      </c>
      <c r="M1039" s="520">
        <f t="shared" si="1409"/>
        <v>-30.962000000000003</v>
      </c>
      <c r="N1039" s="520">
        <f t="shared" si="1409"/>
        <v>-47.22799999999998</v>
      </c>
      <c r="O1039" s="520">
        <f t="shared" si="1409"/>
        <v>-72.424000000000021</v>
      </c>
      <c r="P1039" s="519">
        <f t="shared" si="1409"/>
        <v>-188.60000000000002</v>
      </c>
      <c r="Q1039" s="520">
        <f t="shared" si="1409"/>
        <v>-40.378999999999998</v>
      </c>
      <c r="R1039" s="520">
        <f t="shared" si="1409"/>
        <v>-46.192</v>
      </c>
      <c r="S1039" s="520">
        <f t="shared" si="1409"/>
        <v>-48.962999999999987</v>
      </c>
      <c r="T1039" s="520">
        <f t="shared" si="1409"/>
        <v>-66.632000000000005</v>
      </c>
      <c r="U1039" s="519">
        <f t="shared" si="1409"/>
        <v>-202.166</v>
      </c>
      <c r="V1039" s="520">
        <f t="shared" si="1409"/>
        <v>-27.855</v>
      </c>
      <c r="W1039" s="520">
        <f t="shared" si="1409"/>
        <v>-49.658999999999992</v>
      </c>
      <c r="X1039" s="520">
        <f t="shared" si="1409"/>
        <v>-49.285000000000004</v>
      </c>
      <c r="Y1039" s="520">
        <f t="shared" si="1409"/>
        <v>-70.175999999999988</v>
      </c>
      <c r="Z1039" s="519">
        <f t="shared" si="1409"/>
        <v>-196.97499999999999</v>
      </c>
      <c r="AA1039" s="520">
        <f t="shared" si="1409"/>
        <v>-32.147999999999996</v>
      </c>
      <c r="AB1039" s="520">
        <f t="shared" si="1409"/>
        <v>-50.535000000000004</v>
      </c>
      <c r="AC1039" s="520">
        <f t="shared" si="1409"/>
        <v>-52.679999999999993</v>
      </c>
      <c r="AD1039" s="520">
        <f t="shared" si="1409"/>
        <v>-134.39699999999999</v>
      </c>
      <c r="AE1039" s="519">
        <f t="shared" si="1409"/>
        <v>-269.76</v>
      </c>
      <c r="AF1039" s="520">
        <f t="shared" si="1409"/>
        <v>-33.909000000000006</v>
      </c>
      <c r="AG1039" s="520">
        <f t="shared" si="1409"/>
        <v>-45.598999999999997</v>
      </c>
      <c r="AH1039" s="520">
        <f t="shared" si="1409"/>
        <v>-47.013999999999996</v>
      </c>
      <c r="AI1039" s="520">
        <f t="shared" si="1409"/>
        <v>-61.37700000000001</v>
      </c>
      <c r="AJ1039" s="519">
        <f t="shared" si="1409"/>
        <v>-187.899</v>
      </c>
      <c r="AK1039" s="520">
        <f t="shared" si="1409"/>
        <v>-36.041000000000004</v>
      </c>
      <c r="AL1039" s="520">
        <f t="shared" si="1409"/>
        <v>-40.67799999999999</v>
      </c>
      <c r="AM1039" s="520">
        <f t="shared" si="1409"/>
        <v>-43.965000000000003</v>
      </c>
      <c r="AN1039" s="520">
        <f t="shared" si="1409"/>
        <v>-64.864000000000019</v>
      </c>
      <c r="AO1039" s="519">
        <f t="shared" si="1409"/>
        <v>-185.548</v>
      </c>
      <c r="AP1039" s="520">
        <f t="shared" si="1409"/>
        <v>-42.079000000000001</v>
      </c>
      <c r="AQ1039" s="520">
        <f t="shared" si="1409"/>
        <v>-33.803000000000004</v>
      </c>
      <c r="AR1039" s="520">
        <f t="shared" si="1409"/>
        <v>-48.497</v>
      </c>
      <c r="AS1039" s="520">
        <f t="shared" si="1409"/>
        <v>-44.505000000000003</v>
      </c>
      <c r="AT1039" s="519">
        <f t="shared" si="1409"/>
        <v>-168.88400000000001</v>
      </c>
      <c r="AU1039" s="520">
        <f t="shared" si="1409"/>
        <v>-42.266999999999996</v>
      </c>
      <c r="AV1039" s="520">
        <f t="shared" si="1409"/>
        <v>-35.917000000000009</v>
      </c>
      <c r="AW1039" s="520">
        <f t="shared" si="1409"/>
        <v>-62.728999999999985</v>
      </c>
      <c r="AX1039" s="520">
        <f t="shared" si="1409"/>
        <v>-85.334000000000003</v>
      </c>
      <c r="AY1039" s="519">
        <f t="shared" si="1409"/>
        <v>-226.24699999999999</v>
      </c>
      <c r="AZ1039" s="520">
        <f t="shared" si="1409"/>
        <v>-71.100000000000009</v>
      </c>
      <c r="BA1039" s="520">
        <f t="shared" si="1409"/>
        <v>-77.361999999999995</v>
      </c>
      <c r="BB1039" s="520">
        <f t="shared" si="1409"/>
        <v>-85.815999999999988</v>
      </c>
      <c r="BC1039" s="520">
        <f t="shared" si="1409"/>
        <v>-119.67700000000004</v>
      </c>
      <c r="BD1039" s="519">
        <f t="shared" si="1409"/>
        <v>-353.95500000000004</v>
      </c>
      <c r="BE1039" s="520">
        <f>SUM(BE1033:BE1038)</f>
        <v>-49.881</v>
      </c>
      <c r="BF1039" s="520">
        <f>SUM(BF1033:BF1038)</f>
        <v>-42.78799999999999</v>
      </c>
      <c r="BG1039" s="520">
        <f t="shared" ref="BG1039:BV1039" si="1410">SUM(BG1033:BG1038)</f>
        <v>-41.759000000000015</v>
      </c>
      <c r="BH1039" s="520">
        <f t="shared" si="1410"/>
        <v>-53.828999999999986</v>
      </c>
      <c r="BI1039" s="519">
        <f t="shared" si="1410"/>
        <v>-188.25700000000001</v>
      </c>
      <c r="BJ1039" s="1270">
        <f>SUM(BJ1033:BJ1038)</f>
        <v>-39.481999999999999</v>
      </c>
      <c r="BK1039" s="327">
        <f t="shared" si="1410"/>
        <v>-50</v>
      </c>
      <c r="BL1039" s="327">
        <f t="shared" si="1410"/>
        <v>-65</v>
      </c>
      <c r="BM1039" s="327">
        <f t="shared" si="1410"/>
        <v>-70.5</v>
      </c>
      <c r="BN1039" s="518">
        <f t="shared" si="1410"/>
        <v>-224.982</v>
      </c>
      <c r="BO1039" s="327">
        <f t="shared" si="1410"/>
        <v>-80</v>
      </c>
      <c r="BP1039" s="327">
        <f t="shared" si="1410"/>
        <v>-90</v>
      </c>
      <c r="BQ1039" s="327">
        <f t="shared" si="1410"/>
        <v>-95</v>
      </c>
      <c r="BR1039" s="327">
        <f t="shared" si="1410"/>
        <v>-110</v>
      </c>
      <c r="BS1039" s="518">
        <f t="shared" si="1410"/>
        <v>-375</v>
      </c>
      <c r="BT1039" s="518">
        <f t="shared" si="1410"/>
        <v>-400</v>
      </c>
      <c r="BU1039" s="518">
        <f t="shared" si="1410"/>
        <v>-400</v>
      </c>
      <c r="BV1039" s="518">
        <f t="shared" si="1410"/>
        <v>-400</v>
      </c>
      <c r="BW1039" s="197"/>
    </row>
    <row r="1040" spans="1:75" s="123" customFormat="1" x14ac:dyDescent="0.5">
      <c r="A1040" s="752"/>
      <c r="B1040" s="513"/>
      <c r="C1040" s="401"/>
      <c r="D1040" s="401"/>
      <c r="E1040" s="401"/>
      <c r="F1040" s="401"/>
      <c r="G1040" s="118"/>
      <c r="H1040" s="118"/>
      <c r="I1040" s="118"/>
      <c r="J1040" s="118"/>
      <c r="K1040" s="401"/>
      <c r="L1040" s="118"/>
      <c r="M1040" s="118"/>
      <c r="N1040" s="118"/>
      <c r="O1040" s="118"/>
      <c r="P1040" s="401"/>
      <c r="Q1040" s="118"/>
      <c r="R1040" s="118"/>
      <c r="S1040" s="118"/>
      <c r="T1040" s="118"/>
      <c r="U1040" s="401"/>
      <c r="V1040" s="118"/>
      <c r="W1040" s="118"/>
      <c r="X1040" s="118"/>
      <c r="Y1040" s="118"/>
      <c r="Z1040" s="401"/>
      <c r="AA1040" s="118"/>
      <c r="AB1040" s="118"/>
      <c r="AC1040" s="118"/>
      <c r="AD1040" s="118"/>
      <c r="AE1040" s="401"/>
      <c r="AF1040" s="118"/>
      <c r="AG1040" s="118"/>
      <c r="AH1040" s="118"/>
      <c r="AI1040" s="118"/>
      <c r="AJ1040" s="401"/>
      <c r="AK1040" s="118"/>
      <c r="AL1040" s="118"/>
      <c r="AM1040" s="118"/>
      <c r="AN1040" s="118"/>
      <c r="AO1040" s="401"/>
      <c r="AP1040" s="118"/>
      <c r="AQ1040" s="118"/>
      <c r="AR1040" s="118"/>
      <c r="AS1040" s="118"/>
      <c r="AT1040" s="401"/>
      <c r="AU1040" s="118"/>
      <c r="AV1040" s="118"/>
      <c r="AW1040" s="118"/>
      <c r="AX1040" s="118"/>
      <c r="AY1040" s="401"/>
      <c r="AZ1040" s="118"/>
      <c r="BA1040" s="118"/>
      <c r="BB1040" s="118"/>
      <c r="BC1040" s="118"/>
      <c r="BD1040" s="401"/>
      <c r="BE1040" s="118"/>
      <c r="BF1040" s="118"/>
      <c r="BG1040" s="118"/>
      <c r="BH1040" s="118"/>
      <c r="BI1040" s="401"/>
      <c r="BJ1040" s="971"/>
      <c r="BK1040" s="118"/>
      <c r="BL1040" s="118"/>
      <c r="BM1040" s="118"/>
      <c r="BN1040" s="401"/>
      <c r="BO1040" s="118"/>
      <c r="BP1040" s="118"/>
      <c r="BQ1040" s="118"/>
      <c r="BR1040" s="118"/>
      <c r="BS1040" s="401"/>
      <c r="BT1040" s="401"/>
      <c r="BU1040" s="401"/>
      <c r="BV1040" s="401"/>
      <c r="BW1040" s="122"/>
    </row>
    <row r="1041" spans="1:75" s="198" customFormat="1" ht="14.25" x14ac:dyDescent="0.45">
      <c r="A1041" s="463" t="str">
        <f t="shared" ref="A1041:A1054" si="1411">A982</f>
        <v>CFF</v>
      </c>
      <c r="B1041" s="522"/>
      <c r="C1041" s="397"/>
      <c r="D1041" s="397"/>
      <c r="E1041" s="397"/>
      <c r="F1041" s="397"/>
      <c r="G1041" s="295"/>
      <c r="H1041" s="295"/>
      <c r="I1041" s="295"/>
      <c r="J1041" s="295"/>
      <c r="K1041" s="397"/>
      <c r="L1041" s="295"/>
      <c r="M1041" s="295"/>
      <c r="N1041" s="295"/>
      <c r="O1041" s="295"/>
      <c r="P1041" s="397"/>
      <c r="Q1041" s="295"/>
      <c r="R1041" s="295"/>
      <c r="S1041" s="295"/>
      <c r="T1041" s="295"/>
      <c r="U1041" s="397"/>
      <c r="V1041" s="295"/>
      <c r="W1041" s="295"/>
      <c r="X1041" s="295"/>
      <c r="Y1041" s="295"/>
      <c r="Z1041" s="397"/>
      <c r="AA1041" s="295"/>
      <c r="AB1041" s="295"/>
      <c r="AC1041" s="295"/>
      <c r="AD1041" s="295"/>
      <c r="AE1041" s="397"/>
      <c r="AF1041" s="295"/>
      <c r="AG1041" s="295"/>
      <c r="AH1041" s="295"/>
      <c r="AI1041" s="295"/>
      <c r="AJ1041" s="397"/>
      <c r="AK1041" s="295"/>
      <c r="AL1041" s="295"/>
      <c r="AM1041" s="295"/>
      <c r="AN1041" s="295"/>
      <c r="AO1041" s="397"/>
      <c r="AP1041" s="295"/>
      <c r="AQ1041" s="295"/>
      <c r="AR1041" s="295"/>
      <c r="AS1041" s="295"/>
      <c r="AT1041" s="397"/>
      <c r="AU1041" s="295"/>
      <c r="AV1041" s="295"/>
      <c r="AW1041" s="295"/>
      <c r="AX1041" s="295"/>
      <c r="AY1041" s="397"/>
      <c r="AZ1041" s="295"/>
      <c r="BA1041" s="295"/>
      <c r="BB1041" s="295"/>
      <c r="BC1041" s="295"/>
      <c r="BD1041" s="397"/>
      <c r="BE1041" s="295"/>
      <c r="BF1041" s="295"/>
      <c r="BG1041" s="295"/>
      <c r="BH1041" s="295"/>
      <c r="BI1041" s="397"/>
      <c r="BJ1041" s="1030"/>
      <c r="BK1041" s="295"/>
      <c r="BL1041" s="295"/>
      <c r="BM1041" s="295"/>
      <c r="BN1041" s="397"/>
      <c r="BO1041" s="295"/>
      <c r="BP1041" s="295"/>
      <c r="BQ1041" s="295"/>
      <c r="BR1041" s="295"/>
      <c r="BS1041" s="397"/>
      <c r="BT1041" s="397"/>
      <c r="BU1041" s="397"/>
      <c r="BV1041" s="397"/>
      <c r="BW1041" s="197"/>
    </row>
    <row r="1042" spans="1:75" s="123" customFormat="1" x14ac:dyDescent="0.5">
      <c r="A1042" s="464" t="str">
        <f t="shared" si="1411"/>
        <v>Borrowings under revolving line of credit</v>
      </c>
      <c r="B1042" s="118"/>
      <c r="C1042" s="674">
        <f t="shared" ref="C1042:G1053" si="1412">C983</f>
        <v>0</v>
      </c>
      <c r="D1042" s="674">
        <f t="shared" si="1412"/>
        <v>0</v>
      </c>
      <c r="E1042" s="674">
        <f t="shared" si="1412"/>
        <v>0</v>
      </c>
      <c r="F1042" s="674">
        <f t="shared" si="1412"/>
        <v>0</v>
      </c>
      <c r="G1042" s="122">
        <f t="shared" si="1412"/>
        <v>0</v>
      </c>
      <c r="H1042" s="122">
        <f t="shared" ref="H1042:J1053" si="1413">H983-G983</f>
        <v>0</v>
      </c>
      <c r="I1042" s="122">
        <f t="shared" si="1413"/>
        <v>0</v>
      </c>
      <c r="J1042" s="122">
        <f t="shared" si="1413"/>
        <v>0</v>
      </c>
      <c r="K1042" s="674">
        <f t="shared" ref="K1042:L1053" si="1414">K983</f>
        <v>0</v>
      </c>
      <c r="L1042" s="122">
        <f t="shared" si="1414"/>
        <v>0</v>
      </c>
      <c r="M1042" s="122">
        <f t="shared" ref="M1042:O1053" si="1415">M983-L983</f>
        <v>0</v>
      </c>
      <c r="N1042" s="122">
        <f t="shared" si="1415"/>
        <v>90</v>
      </c>
      <c r="O1042" s="122">
        <f t="shared" si="1415"/>
        <v>0</v>
      </c>
      <c r="P1042" s="674">
        <f t="shared" ref="P1042:Q1053" si="1416">P983</f>
        <v>90</v>
      </c>
      <c r="Q1042" s="122">
        <f t="shared" si="1416"/>
        <v>60</v>
      </c>
      <c r="R1042" s="122">
        <f t="shared" ref="R1042:T1053" si="1417">R983-Q983</f>
        <v>90</v>
      </c>
      <c r="S1042" s="122">
        <f t="shared" si="1417"/>
        <v>50</v>
      </c>
      <c r="T1042" s="122">
        <f t="shared" si="1417"/>
        <v>0</v>
      </c>
      <c r="U1042" s="674">
        <f t="shared" ref="U1042:V1053" si="1418">U983</f>
        <v>200</v>
      </c>
      <c r="V1042" s="122">
        <f t="shared" si="1418"/>
        <v>100</v>
      </c>
      <c r="W1042" s="122">
        <f t="shared" ref="W1042:Y1053" si="1419">W983-V983</f>
        <v>25</v>
      </c>
      <c r="X1042" s="122">
        <f t="shared" si="1419"/>
        <v>0</v>
      </c>
      <c r="Y1042" s="122">
        <f t="shared" si="1419"/>
        <v>0</v>
      </c>
      <c r="Z1042" s="674">
        <f t="shared" ref="Z1042:AA1053" si="1420">Z983</f>
        <v>125</v>
      </c>
      <c r="AA1042" s="122">
        <f t="shared" si="1420"/>
        <v>45</v>
      </c>
      <c r="AB1042" s="122">
        <f t="shared" ref="AB1042:AD1053" si="1421">AB983-AA983</f>
        <v>70</v>
      </c>
      <c r="AC1042" s="122">
        <f t="shared" si="1421"/>
        <v>55</v>
      </c>
      <c r="AD1042" s="122">
        <f t="shared" si="1421"/>
        <v>0</v>
      </c>
      <c r="AE1042" s="674">
        <f t="shared" ref="AE1042:AF1053" si="1422">AE983</f>
        <v>170</v>
      </c>
      <c r="AF1042" s="122">
        <f t="shared" si="1422"/>
        <v>0</v>
      </c>
      <c r="AG1042" s="122">
        <f t="shared" ref="AG1042:AI1053" si="1423">AG983-AF983</f>
        <v>0</v>
      </c>
      <c r="AH1042" s="122">
        <f t="shared" si="1423"/>
        <v>60</v>
      </c>
      <c r="AI1042" s="122">
        <f t="shared" si="1423"/>
        <v>0</v>
      </c>
      <c r="AJ1042" s="674">
        <f t="shared" ref="AJ1042:AK1053" si="1424">AJ983</f>
        <v>60</v>
      </c>
      <c r="AK1042" s="122">
        <f t="shared" si="1424"/>
        <v>0</v>
      </c>
      <c r="AL1042" s="122">
        <f t="shared" ref="AL1042:AN1053" si="1425">AL983-AK983</f>
        <v>60</v>
      </c>
      <c r="AM1042" s="122">
        <f t="shared" si="1425"/>
        <v>40</v>
      </c>
      <c r="AN1042" s="122">
        <f t="shared" si="1425"/>
        <v>0</v>
      </c>
      <c r="AO1042" s="674">
        <f t="shared" ref="AO1042:AP1053" si="1426">AO983</f>
        <v>100</v>
      </c>
      <c r="AP1042" s="122">
        <f t="shared" si="1426"/>
        <v>487.82299999999998</v>
      </c>
      <c r="AQ1042" s="122">
        <f t="shared" ref="AQ1042:AS1053" si="1427">AQ983-AP983</f>
        <v>0</v>
      </c>
      <c r="AR1042" s="122">
        <f t="shared" si="1427"/>
        <v>0</v>
      </c>
      <c r="AS1042" s="122">
        <f t="shared" si="1427"/>
        <v>0</v>
      </c>
      <c r="AT1042" s="674">
        <f t="shared" ref="AT1042:AU1053" si="1428">AT983</f>
        <v>487.82299999999998</v>
      </c>
      <c r="AU1042" s="122">
        <f t="shared" si="1428"/>
        <v>0</v>
      </c>
      <c r="AV1042" s="122">
        <f t="shared" ref="AV1042:AX1053" si="1429">AV983-AU983</f>
        <v>0</v>
      </c>
      <c r="AW1042" s="122">
        <f t="shared" si="1429"/>
        <v>0</v>
      </c>
      <c r="AX1042" s="122">
        <f t="shared" si="1429"/>
        <v>0</v>
      </c>
      <c r="AY1042" s="674">
        <f t="shared" ref="AY1042:AZ1053" si="1430">AY983</f>
        <v>0</v>
      </c>
      <c r="AZ1042" s="122">
        <f t="shared" si="1430"/>
        <v>0</v>
      </c>
      <c r="BA1042" s="122">
        <f t="shared" ref="BA1042:BC1053" si="1431">BA983-AZ983</f>
        <v>0</v>
      </c>
      <c r="BB1042" s="122">
        <f t="shared" si="1431"/>
        <v>0</v>
      </c>
      <c r="BC1042" s="122">
        <f t="shared" si="1431"/>
        <v>0</v>
      </c>
      <c r="BD1042" s="674">
        <f t="shared" ref="BD1042:BE1053" si="1432">BD983</f>
        <v>0</v>
      </c>
      <c r="BE1042" s="122">
        <f t="shared" si="1432"/>
        <v>0</v>
      </c>
      <c r="BF1042" s="122">
        <f t="shared" ref="BF1042:BH1053" si="1433">BF983-BE983</f>
        <v>0</v>
      </c>
      <c r="BG1042" s="122">
        <f t="shared" si="1433"/>
        <v>0</v>
      </c>
      <c r="BH1042" s="122">
        <f t="shared" si="1433"/>
        <v>0</v>
      </c>
      <c r="BI1042" s="674">
        <f t="shared" ref="BI1042:BJ1053" si="1434">BI983</f>
        <v>0</v>
      </c>
      <c r="BJ1042" s="1274">
        <f t="shared" si="1434"/>
        <v>0</v>
      </c>
      <c r="BK1042" s="118"/>
      <c r="BL1042" s="118"/>
      <c r="BM1042" s="118"/>
      <c r="BN1042" s="401">
        <f t="shared" ref="BN1042:BN1053" si="1435">SUM(BJ1042,BK1042,BL1042,BM1042)</f>
        <v>0</v>
      </c>
      <c r="BO1042" s="118"/>
      <c r="BP1042" s="118"/>
      <c r="BQ1042" s="118"/>
      <c r="BR1042" s="118"/>
      <c r="BS1042" s="401">
        <f t="shared" ref="BS1042:BS1053" si="1436">SUM(BO1042,BP1042,BQ1042,BR1042)</f>
        <v>0</v>
      </c>
      <c r="BT1042" s="401"/>
      <c r="BU1042" s="401"/>
      <c r="BV1042" s="401"/>
      <c r="BW1042" s="122"/>
    </row>
    <row r="1043" spans="1:75" s="123" customFormat="1" x14ac:dyDescent="0.5">
      <c r="A1043" s="464" t="str">
        <f t="shared" si="1411"/>
        <v>Repayments of borrowings under revolving line of credit</v>
      </c>
      <c r="B1043" s="118"/>
      <c r="C1043" s="674">
        <f t="shared" si="1412"/>
        <v>0</v>
      </c>
      <c r="D1043" s="674">
        <f t="shared" si="1412"/>
        <v>0</v>
      </c>
      <c r="E1043" s="674">
        <f t="shared" si="1412"/>
        <v>0</v>
      </c>
      <c r="F1043" s="674">
        <f t="shared" si="1412"/>
        <v>0</v>
      </c>
      <c r="G1043" s="122">
        <f t="shared" si="1412"/>
        <v>0</v>
      </c>
      <c r="H1043" s="122">
        <f t="shared" si="1413"/>
        <v>0</v>
      </c>
      <c r="I1043" s="122">
        <f t="shared" si="1413"/>
        <v>0</v>
      </c>
      <c r="J1043" s="122">
        <f t="shared" si="1413"/>
        <v>0</v>
      </c>
      <c r="K1043" s="674">
        <f t="shared" si="1414"/>
        <v>0</v>
      </c>
      <c r="L1043" s="122">
        <f t="shared" si="1414"/>
        <v>0</v>
      </c>
      <c r="M1043" s="122">
        <f t="shared" si="1415"/>
        <v>0</v>
      </c>
      <c r="N1043" s="122">
        <f t="shared" si="1415"/>
        <v>0</v>
      </c>
      <c r="O1043" s="122">
        <f t="shared" si="1415"/>
        <v>-90</v>
      </c>
      <c r="P1043" s="674">
        <f t="shared" si="1416"/>
        <v>-90</v>
      </c>
      <c r="Q1043" s="122">
        <f t="shared" si="1416"/>
        <v>0</v>
      </c>
      <c r="R1043" s="122">
        <f t="shared" si="1417"/>
        <v>0</v>
      </c>
      <c r="S1043" s="122">
        <f t="shared" si="1417"/>
        <v>0</v>
      </c>
      <c r="T1043" s="122">
        <f t="shared" si="1417"/>
        <v>-200</v>
      </c>
      <c r="U1043" s="674">
        <f t="shared" si="1418"/>
        <v>-200</v>
      </c>
      <c r="V1043" s="122">
        <f t="shared" si="1418"/>
        <v>0</v>
      </c>
      <c r="W1043" s="122">
        <f t="shared" si="1419"/>
        <v>0</v>
      </c>
      <c r="X1043" s="122">
        <f t="shared" si="1419"/>
        <v>0</v>
      </c>
      <c r="Y1043" s="122">
        <f t="shared" si="1419"/>
        <v>-125</v>
      </c>
      <c r="Z1043" s="674">
        <f t="shared" si="1420"/>
        <v>-125</v>
      </c>
      <c r="AA1043" s="122">
        <f t="shared" si="1420"/>
        <v>0</v>
      </c>
      <c r="AB1043" s="122">
        <f t="shared" si="1421"/>
        <v>0</v>
      </c>
      <c r="AC1043" s="122">
        <f t="shared" si="1421"/>
        <v>0</v>
      </c>
      <c r="AD1043" s="122">
        <f t="shared" si="1421"/>
        <v>-170</v>
      </c>
      <c r="AE1043" s="674">
        <f t="shared" si="1422"/>
        <v>-170</v>
      </c>
      <c r="AF1043" s="122">
        <f t="shared" si="1422"/>
        <v>0</v>
      </c>
      <c r="AG1043" s="122">
        <f t="shared" si="1423"/>
        <v>0</v>
      </c>
      <c r="AH1043" s="122">
        <f t="shared" si="1423"/>
        <v>0</v>
      </c>
      <c r="AI1043" s="122">
        <f t="shared" si="1423"/>
        <v>-60</v>
      </c>
      <c r="AJ1043" s="674">
        <f t="shared" si="1424"/>
        <v>-60</v>
      </c>
      <c r="AK1043" s="122">
        <f t="shared" si="1424"/>
        <v>0</v>
      </c>
      <c r="AL1043" s="122">
        <f t="shared" si="1425"/>
        <v>0</v>
      </c>
      <c r="AM1043" s="122">
        <f t="shared" si="1425"/>
        <v>0</v>
      </c>
      <c r="AN1043" s="122">
        <f t="shared" si="1425"/>
        <v>-100</v>
      </c>
      <c r="AO1043" s="674">
        <f t="shared" si="1426"/>
        <v>-100</v>
      </c>
      <c r="AP1043" s="122">
        <f t="shared" si="1426"/>
        <v>0</v>
      </c>
      <c r="AQ1043" s="122">
        <f t="shared" si="1427"/>
        <v>0</v>
      </c>
      <c r="AR1043" s="122">
        <f t="shared" si="1427"/>
        <v>-487.82299999999998</v>
      </c>
      <c r="AS1043" s="122">
        <f t="shared" si="1427"/>
        <v>0</v>
      </c>
      <c r="AT1043" s="674">
        <f t="shared" si="1428"/>
        <v>-487.82299999999998</v>
      </c>
      <c r="AU1043" s="122">
        <f t="shared" si="1428"/>
        <v>0</v>
      </c>
      <c r="AV1043" s="122">
        <f t="shared" si="1429"/>
        <v>0</v>
      </c>
      <c r="AW1043" s="122">
        <f t="shared" si="1429"/>
        <v>0</v>
      </c>
      <c r="AX1043" s="122">
        <f t="shared" si="1429"/>
        <v>0</v>
      </c>
      <c r="AY1043" s="674">
        <f t="shared" si="1430"/>
        <v>0</v>
      </c>
      <c r="AZ1043" s="122">
        <f t="shared" si="1430"/>
        <v>0</v>
      </c>
      <c r="BA1043" s="122">
        <f t="shared" si="1431"/>
        <v>0</v>
      </c>
      <c r="BB1043" s="122">
        <f t="shared" si="1431"/>
        <v>0</v>
      </c>
      <c r="BC1043" s="122">
        <f t="shared" si="1431"/>
        <v>0</v>
      </c>
      <c r="BD1043" s="674">
        <f t="shared" si="1432"/>
        <v>0</v>
      </c>
      <c r="BE1043" s="122">
        <f t="shared" si="1432"/>
        <v>0</v>
      </c>
      <c r="BF1043" s="122">
        <f t="shared" si="1433"/>
        <v>0</v>
      </c>
      <c r="BG1043" s="122">
        <f t="shared" si="1433"/>
        <v>0</v>
      </c>
      <c r="BH1043" s="122">
        <f t="shared" si="1433"/>
        <v>0</v>
      </c>
      <c r="BI1043" s="674">
        <f t="shared" si="1434"/>
        <v>0</v>
      </c>
      <c r="BJ1043" s="1274">
        <f t="shared" si="1434"/>
        <v>0</v>
      </c>
      <c r="BK1043" s="118"/>
      <c r="BL1043" s="118"/>
      <c r="BM1043" s="118"/>
      <c r="BN1043" s="401">
        <f t="shared" si="1435"/>
        <v>0</v>
      </c>
      <c r="BO1043" s="118"/>
      <c r="BP1043" s="118"/>
      <c r="BQ1043" s="118"/>
      <c r="BR1043" s="118"/>
      <c r="BS1043" s="401">
        <f t="shared" si="1436"/>
        <v>0</v>
      </c>
      <c r="BT1043" s="401"/>
      <c r="BU1043" s="401"/>
      <c r="BV1043" s="401"/>
      <c r="BW1043" s="122"/>
    </row>
    <row r="1044" spans="1:75" s="123" customFormat="1" x14ac:dyDescent="0.5">
      <c r="A1044" s="184" t="str">
        <f t="shared" si="1411"/>
        <v>Proceeds from issuance of long-term debt</v>
      </c>
      <c r="B1044" s="118"/>
      <c r="C1044" s="401">
        <f t="shared" si="1412"/>
        <v>0</v>
      </c>
      <c r="D1044" s="401">
        <f t="shared" si="1412"/>
        <v>0</v>
      </c>
      <c r="E1044" s="401">
        <f t="shared" si="1412"/>
        <v>0</v>
      </c>
      <c r="F1044" s="401">
        <f t="shared" si="1412"/>
        <v>0</v>
      </c>
      <c r="G1044" s="118">
        <f t="shared" si="1412"/>
        <v>0</v>
      </c>
      <c r="H1044" s="118">
        <f t="shared" si="1413"/>
        <v>0</v>
      </c>
      <c r="I1044" s="118">
        <f t="shared" si="1413"/>
        <v>0</v>
      </c>
      <c r="J1044" s="118">
        <f t="shared" si="1413"/>
        <v>0</v>
      </c>
      <c r="K1044" s="401">
        <f t="shared" si="1414"/>
        <v>0</v>
      </c>
      <c r="L1044" s="118">
        <f t="shared" si="1414"/>
        <v>0</v>
      </c>
      <c r="M1044" s="118">
        <f t="shared" si="1415"/>
        <v>0</v>
      </c>
      <c r="N1044" s="118">
        <f t="shared" si="1415"/>
        <v>0</v>
      </c>
      <c r="O1044" s="118">
        <f t="shared" si="1415"/>
        <v>0</v>
      </c>
      <c r="P1044" s="401">
        <f t="shared" si="1416"/>
        <v>0</v>
      </c>
      <c r="Q1044" s="118">
        <f t="shared" si="1416"/>
        <v>0</v>
      </c>
      <c r="R1044" s="118">
        <f t="shared" si="1417"/>
        <v>0</v>
      </c>
      <c r="S1044" s="118">
        <f t="shared" si="1417"/>
        <v>0</v>
      </c>
      <c r="T1044" s="118">
        <f t="shared" si="1417"/>
        <v>0</v>
      </c>
      <c r="U1044" s="401">
        <f t="shared" si="1418"/>
        <v>0</v>
      </c>
      <c r="V1044" s="118">
        <f t="shared" si="1418"/>
        <v>0</v>
      </c>
      <c r="W1044" s="118">
        <f t="shared" si="1419"/>
        <v>0</v>
      </c>
      <c r="X1044" s="118">
        <f t="shared" si="1419"/>
        <v>0</v>
      </c>
      <c r="Y1044" s="118">
        <f t="shared" si="1419"/>
        <v>0</v>
      </c>
      <c r="Z1044" s="401">
        <f t="shared" si="1420"/>
        <v>0</v>
      </c>
      <c r="AA1044" s="118">
        <f t="shared" si="1420"/>
        <v>0</v>
      </c>
      <c r="AB1044" s="118">
        <f t="shared" si="1421"/>
        <v>0</v>
      </c>
      <c r="AC1044" s="118">
        <f t="shared" si="1421"/>
        <v>0</v>
      </c>
      <c r="AD1044" s="118">
        <f t="shared" si="1421"/>
        <v>300</v>
      </c>
      <c r="AE1044" s="401">
        <f t="shared" si="1422"/>
        <v>300</v>
      </c>
      <c r="AF1044" s="118">
        <f t="shared" si="1422"/>
        <v>0</v>
      </c>
      <c r="AG1044" s="118">
        <f t="shared" si="1423"/>
        <v>0</v>
      </c>
      <c r="AH1044" s="118">
        <f t="shared" si="1423"/>
        <v>0</v>
      </c>
      <c r="AI1044" s="118">
        <f t="shared" si="1423"/>
        <v>0</v>
      </c>
      <c r="AJ1044" s="401">
        <f t="shared" si="1424"/>
        <v>0</v>
      </c>
      <c r="AK1044" s="118">
        <f t="shared" si="1424"/>
        <v>0</v>
      </c>
      <c r="AL1044" s="118">
        <f t="shared" si="1425"/>
        <v>0</v>
      </c>
      <c r="AM1044" s="118">
        <f t="shared" si="1425"/>
        <v>0</v>
      </c>
      <c r="AN1044" s="118">
        <f t="shared" si="1425"/>
        <v>0</v>
      </c>
      <c r="AO1044" s="401">
        <f t="shared" si="1426"/>
        <v>0</v>
      </c>
      <c r="AP1044" s="118">
        <f t="shared" si="1426"/>
        <v>0</v>
      </c>
      <c r="AQ1044" s="118">
        <f t="shared" si="1427"/>
        <v>0</v>
      </c>
      <c r="AR1044" s="118">
        <f t="shared" si="1427"/>
        <v>0</v>
      </c>
      <c r="AS1044" s="118">
        <f t="shared" si="1427"/>
        <v>0</v>
      </c>
      <c r="AT1044" s="401">
        <f t="shared" si="1428"/>
        <v>0</v>
      </c>
      <c r="AU1044" s="118">
        <f t="shared" si="1428"/>
        <v>0</v>
      </c>
      <c r="AV1044" s="118">
        <f t="shared" si="1429"/>
        <v>0</v>
      </c>
      <c r="AW1044" s="118">
        <f t="shared" si="1429"/>
        <v>0</v>
      </c>
      <c r="AX1044" s="118">
        <f t="shared" si="1429"/>
        <v>0</v>
      </c>
      <c r="AY1044" s="401">
        <f t="shared" si="1430"/>
        <v>0</v>
      </c>
      <c r="AZ1044" s="118">
        <f t="shared" si="1430"/>
        <v>0</v>
      </c>
      <c r="BA1044" s="118">
        <f t="shared" si="1431"/>
        <v>0</v>
      </c>
      <c r="BB1044" s="118">
        <f t="shared" si="1431"/>
        <v>0</v>
      </c>
      <c r="BC1044" s="118">
        <f t="shared" si="1431"/>
        <v>0</v>
      </c>
      <c r="BD1044" s="401">
        <f t="shared" si="1432"/>
        <v>0</v>
      </c>
      <c r="BE1044" s="118">
        <f t="shared" si="1432"/>
        <v>0</v>
      </c>
      <c r="BF1044" s="118">
        <f t="shared" si="1433"/>
        <v>0</v>
      </c>
      <c r="BG1044" s="118">
        <f t="shared" si="1433"/>
        <v>0</v>
      </c>
      <c r="BH1044" s="118">
        <f t="shared" si="1433"/>
        <v>0</v>
      </c>
      <c r="BI1044" s="401">
        <f t="shared" si="1434"/>
        <v>0</v>
      </c>
      <c r="BJ1044" s="971">
        <f t="shared" si="1434"/>
        <v>0</v>
      </c>
      <c r="BK1044" s="118">
        <f t="shared" ref="BK1044:BM1045" si="1437">BK886</f>
        <v>0</v>
      </c>
      <c r="BL1044" s="118">
        <f t="shared" si="1437"/>
        <v>0</v>
      </c>
      <c r="BM1044" s="118">
        <f t="shared" si="1437"/>
        <v>0</v>
      </c>
      <c r="BN1044" s="401">
        <f t="shared" si="1435"/>
        <v>0</v>
      </c>
      <c r="BO1044" s="118">
        <f t="shared" ref="BO1044:BR1045" si="1438">BO886</f>
        <v>0</v>
      </c>
      <c r="BP1044" s="118">
        <f t="shared" si="1438"/>
        <v>0</v>
      </c>
      <c r="BQ1044" s="118">
        <f t="shared" si="1438"/>
        <v>0</v>
      </c>
      <c r="BR1044" s="118">
        <f t="shared" si="1438"/>
        <v>0</v>
      </c>
      <c r="BS1044" s="401">
        <f t="shared" si="1436"/>
        <v>0</v>
      </c>
      <c r="BT1044" s="401">
        <f t="shared" ref="BT1044:BV1045" si="1439">BT886</f>
        <v>0</v>
      </c>
      <c r="BU1044" s="401">
        <f t="shared" si="1439"/>
        <v>0</v>
      </c>
      <c r="BV1044" s="401">
        <f t="shared" si="1439"/>
        <v>0</v>
      </c>
      <c r="BW1044" s="122"/>
    </row>
    <row r="1045" spans="1:75" s="123" customFormat="1" x14ac:dyDescent="0.5">
      <c r="A1045" s="184" t="str">
        <f t="shared" si="1411"/>
        <v>Repurchase of common stock</v>
      </c>
      <c r="B1045" s="118"/>
      <c r="C1045" s="401">
        <f t="shared" si="1412"/>
        <v>0</v>
      </c>
      <c r="D1045" s="401">
        <f t="shared" si="1412"/>
        <v>-125</v>
      </c>
      <c r="E1045" s="401">
        <f t="shared" si="1412"/>
        <v>-194.429</v>
      </c>
      <c r="F1045" s="401">
        <f t="shared" si="1412"/>
        <v>-155.08000000000001</v>
      </c>
      <c r="G1045" s="118">
        <f t="shared" si="1412"/>
        <v>-41.173999999999999</v>
      </c>
      <c r="H1045" s="118">
        <f t="shared" si="1413"/>
        <v>-89.831999999999994</v>
      </c>
      <c r="I1045" s="118">
        <f t="shared" si="1413"/>
        <v>-85.363</v>
      </c>
      <c r="J1045" s="118">
        <f t="shared" si="1413"/>
        <v>-22.905000000000001</v>
      </c>
      <c r="K1045" s="401">
        <f t="shared" si="1414"/>
        <v>-239.274</v>
      </c>
      <c r="L1045" s="118">
        <f t="shared" si="1414"/>
        <v>-53.308999999999997</v>
      </c>
      <c r="M1045" s="118">
        <f t="shared" si="1415"/>
        <v>-58.745000000000005</v>
      </c>
      <c r="N1045" s="118">
        <f t="shared" si="1415"/>
        <v>-83.181000000000012</v>
      </c>
      <c r="O1045" s="118">
        <f t="shared" si="1415"/>
        <v>-29.141999999999996</v>
      </c>
      <c r="P1045" s="401">
        <f t="shared" si="1416"/>
        <v>-224.37700000000001</v>
      </c>
      <c r="Q1045" s="118">
        <f t="shared" si="1416"/>
        <v>-52.561999999999998</v>
      </c>
      <c r="R1045" s="118">
        <f t="shared" si="1417"/>
        <v>-72.438000000000002</v>
      </c>
      <c r="S1045" s="118">
        <f t="shared" si="1417"/>
        <v>-71.497000000000014</v>
      </c>
      <c r="T1045" s="118">
        <f t="shared" si="1417"/>
        <v>-28.49799999999999</v>
      </c>
      <c r="U1045" s="401">
        <f t="shared" si="1418"/>
        <v>-224.995</v>
      </c>
      <c r="V1045" s="118">
        <f t="shared" si="1418"/>
        <v>-40.639000000000003</v>
      </c>
      <c r="W1045" s="118">
        <f t="shared" si="1419"/>
        <v>-35.526999999999994</v>
      </c>
      <c r="X1045" s="118">
        <f t="shared" si="1419"/>
        <v>-39.001000000000005</v>
      </c>
      <c r="Y1045" s="118">
        <f t="shared" si="1419"/>
        <v>-36.10499999999999</v>
      </c>
      <c r="Z1045" s="401">
        <f t="shared" si="1420"/>
        <v>-151.27199999999999</v>
      </c>
      <c r="AA1045" s="118">
        <f t="shared" si="1420"/>
        <v>-38.35</v>
      </c>
      <c r="AB1045" s="118">
        <f t="shared" si="1421"/>
        <v>-55.011000000000003</v>
      </c>
      <c r="AC1045" s="118">
        <f t="shared" si="1421"/>
        <v>-60.959999999999994</v>
      </c>
      <c r="AD1045" s="118">
        <f t="shared" si="1421"/>
        <v>-41.858000000000004</v>
      </c>
      <c r="AE1045" s="401">
        <f t="shared" si="1422"/>
        <v>-196.179</v>
      </c>
      <c r="AF1045" s="118">
        <f t="shared" si="1422"/>
        <v>-37.713000000000001</v>
      </c>
      <c r="AG1045" s="118">
        <f t="shared" si="1423"/>
        <v>-137.10500000000002</v>
      </c>
      <c r="AH1045" s="118">
        <f t="shared" si="1423"/>
        <v>-45.402999999999992</v>
      </c>
      <c r="AI1045" s="118">
        <f t="shared" si="1423"/>
        <v>-75.08299999999997</v>
      </c>
      <c r="AJ1045" s="401">
        <f t="shared" si="1424"/>
        <v>-295.30399999999997</v>
      </c>
      <c r="AK1045" s="118">
        <f t="shared" si="1424"/>
        <v>-33.847999999999999</v>
      </c>
      <c r="AL1045" s="118">
        <f t="shared" si="1425"/>
        <v>-38.283000000000001</v>
      </c>
      <c r="AM1045" s="118">
        <f t="shared" si="1425"/>
        <v>-40.582999999999998</v>
      </c>
      <c r="AN1045" s="118">
        <f t="shared" si="1425"/>
        <v>-36.120000000000005</v>
      </c>
      <c r="AO1045" s="401">
        <f t="shared" si="1426"/>
        <v>-148.834</v>
      </c>
      <c r="AP1045" s="118">
        <f t="shared" si="1426"/>
        <v>0</v>
      </c>
      <c r="AQ1045" s="118">
        <f t="shared" si="1427"/>
        <v>0</v>
      </c>
      <c r="AR1045" s="118">
        <f t="shared" si="1427"/>
        <v>-109.048</v>
      </c>
      <c r="AS1045" s="118">
        <f t="shared" si="1427"/>
        <v>-40.951999999999998</v>
      </c>
      <c r="AT1045" s="401">
        <f t="shared" si="1428"/>
        <v>-150</v>
      </c>
      <c r="AU1045" s="118">
        <f t="shared" si="1428"/>
        <v>-315.529</v>
      </c>
      <c r="AV1045" s="118">
        <f t="shared" si="1429"/>
        <v>-135.85899999999998</v>
      </c>
      <c r="AW1045" s="118">
        <f t="shared" si="1429"/>
        <v>-201.31099999999998</v>
      </c>
      <c r="AX1045" s="118">
        <f t="shared" si="1429"/>
        <v>-246.73400000000004</v>
      </c>
      <c r="AY1045" s="401">
        <f t="shared" si="1430"/>
        <v>-899.43299999999999</v>
      </c>
      <c r="AZ1045" s="118">
        <f t="shared" si="1430"/>
        <v>-501.07499999999999</v>
      </c>
      <c r="BA1045" s="118">
        <f t="shared" si="1431"/>
        <v>-265.34899999999999</v>
      </c>
      <c r="BB1045" s="118">
        <f t="shared" si="1431"/>
        <v>-74.531000000000063</v>
      </c>
      <c r="BC1045" s="118">
        <f t="shared" si="1431"/>
        <v>-39.08299999999997</v>
      </c>
      <c r="BD1045" s="401">
        <f t="shared" si="1432"/>
        <v>-880.03800000000001</v>
      </c>
      <c r="BE1045" s="118">
        <f t="shared" si="1432"/>
        <v>-300</v>
      </c>
      <c r="BF1045" s="118">
        <f t="shared" si="1433"/>
        <v>-10</v>
      </c>
      <c r="BG1045" s="118">
        <f t="shared" si="1433"/>
        <v>-3.0009999999999764</v>
      </c>
      <c r="BH1045" s="118">
        <f t="shared" si="1433"/>
        <v>0</v>
      </c>
      <c r="BI1045" s="401">
        <f t="shared" si="1434"/>
        <v>-313.00099999999998</v>
      </c>
      <c r="BJ1045" s="971">
        <f t="shared" si="1434"/>
        <v>-43.780999999999999</v>
      </c>
      <c r="BK1045" s="118">
        <f t="shared" si="1437"/>
        <v>0</v>
      </c>
      <c r="BL1045" s="118">
        <f t="shared" si="1437"/>
        <v>0</v>
      </c>
      <c r="BM1045" s="118">
        <f t="shared" si="1437"/>
        <v>0</v>
      </c>
      <c r="BN1045" s="401">
        <f t="shared" si="1435"/>
        <v>-43.780999999999999</v>
      </c>
      <c r="BO1045" s="118">
        <f t="shared" si="1438"/>
        <v>0</v>
      </c>
      <c r="BP1045" s="118">
        <f t="shared" si="1438"/>
        <v>0</v>
      </c>
      <c r="BQ1045" s="118">
        <f t="shared" si="1438"/>
        <v>0</v>
      </c>
      <c r="BR1045" s="118">
        <f t="shared" si="1438"/>
        <v>0</v>
      </c>
      <c r="BS1045" s="401">
        <f t="shared" si="1436"/>
        <v>0</v>
      </c>
      <c r="BT1045" s="401">
        <f t="shared" si="1439"/>
        <v>0</v>
      </c>
      <c r="BU1045" s="401">
        <f t="shared" si="1439"/>
        <v>0</v>
      </c>
      <c r="BV1045" s="401">
        <f t="shared" si="1439"/>
        <v>0</v>
      </c>
      <c r="BW1045" s="122"/>
    </row>
    <row r="1046" spans="1:75" s="123" customFormat="1" x14ac:dyDescent="0.5">
      <c r="A1046" s="184" t="str">
        <f t="shared" si="1411"/>
        <v>Repayment of long-term debt</v>
      </c>
      <c r="B1046" s="118"/>
      <c r="C1046" s="401">
        <f t="shared" si="1412"/>
        <v>0</v>
      </c>
      <c r="D1046" s="401">
        <f t="shared" si="1412"/>
        <v>0</v>
      </c>
      <c r="E1046" s="401">
        <f t="shared" si="1412"/>
        <v>0</v>
      </c>
      <c r="F1046" s="401">
        <f t="shared" si="1412"/>
        <v>0</v>
      </c>
      <c r="G1046" s="118">
        <f t="shared" si="1412"/>
        <v>0</v>
      </c>
      <c r="H1046" s="118">
        <f t="shared" si="1413"/>
        <v>0</v>
      </c>
      <c r="I1046" s="118">
        <f t="shared" si="1413"/>
        <v>0</v>
      </c>
      <c r="J1046" s="118">
        <f t="shared" si="1413"/>
        <v>0</v>
      </c>
      <c r="K1046" s="401">
        <f t="shared" si="1414"/>
        <v>0</v>
      </c>
      <c r="L1046" s="118">
        <f t="shared" si="1414"/>
        <v>0</v>
      </c>
      <c r="M1046" s="118">
        <f t="shared" si="1415"/>
        <v>0</v>
      </c>
      <c r="N1046" s="118">
        <f t="shared" si="1415"/>
        <v>0</v>
      </c>
      <c r="O1046" s="118">
        <f t="shared" si="1415"/>
        <v>0</v>
      </c>
      <c r="P1046" s="401">
        <f t="shared" si="1416"/>
        <v>0</v>
      </c>
      <c r="Q1046" s="118">
        <f t="shared" si="1416"/>
        <v>0</v>
      </c>
      <c r="R1046" s="118">
        <f t="shared" si="1417"/>
        <v>0</v>
      </c>
      <c r="S1046" s="118">
        <f t="shared" si="1417"/>
        <v>0</v>
      </c>
      <c r="T1046" s="118">
        <f t="shared" si="1417"/>
        <v>0</v>
      </c>
      <c r="U1046" s="401">
        <f t="shared" si="1418"/>
        <v>0</v>
      </c>
      <c r="V1046" s="118">
        <f t="shared" si="1418"/>
        <v>0</v>
      </c>
      <c r="W1046" s="118">
        <f t="shared" si="1419"/>
        <v>0</v>
      </c>
      <c r="X1046" s="118">
        <f t="shared" si="1419"/>
        <v>0</v>
      </c>
      <c r="Y1046" s="118">
        <f t="shared" si="1419"/>
        <v>0</v>
      </c>
      <c r="Z1046" s="401">
        <f t="shared" si="1420"/>
        <v>0</v>
      </c>
      <c r="AA1046" s="118">
        <f t="shared" si="1420"/>
        <v>0</v>
      </c>
      <c r="AB1046" s="118">
        <f t="shared" si="1421"/>
        <v>0</v>
      </c>
      <c r="AC1046" s="118">
        <f t="shared" si="1421"/>
        <v>0</v>
      </c>
      <c r="AD1046" s="118">
        <f t="shared" si="1421"/>
        <v>0</v>
      </c>
      <c r="AE1046" s="401">
        <f t="shared" si="1422"/>
        <v>0</v>
      </c>
      <c r="AF1046" s="118">
        <f t="shared" si="1422"/>
        <v>0</v>
      </c>
      <c r="AG1046" s="118">
        <f t="shared" si="1423"/>
        <v>0</v>
      </c>
      <c r="AH1046" s="118">
        <f t="shared" si="1423"/>
        <v>0</v>
      </c>
      <c r="AI1046" s="118">
        <f t="shared" si="1423"/>
        <v>0</v>
      </c>
      <c r="AJ1046" s="401">
        <f t="shared" si="1424"/>
        <v>0</v>
      </c>
      <c r="AK1046" s="118">
        <f t="shared" si="1424"/>
        <v>0</v>
      </c>
      <c r="AL1046" s="118">
        <f t="shared" si="1425"/>
        <v>0</v>
      </c>
      <c r="AM1046" s="118">
        <f t="shared" si="1425"/>
        <v>0</v>
      </c>
      <c r="AN1046" s="118">
        <f t="shared" si="1425"/>
        <v>0</v>
      </c>
      <c r="AO1046" s="401">
        <f t="shared" si="1426"/>
        <v>0</v>
      </c>
      <c r="AP1046" s="118">
        <f t="shared" si="1426"/>
        <v>0</v>
      </c>
      <c r="AQ1046" s="118">
        <f t="shared" si="1427"/>
        <v>0</v>
      </c>
      <c r="AR1046" s="118">
        <f t="shared" si="1427"/>
        <v>0</v>
      </c>
      <c r="AS1046" s="118">
        <f t="shared" si="1427"/>
        <v>0</v>
      </c>
      <c r="AT1046" s="401">
        <f t="shared" si="1428"/>
        <v>0</v>
      </c>
      <c r="AU1046" s="118">
        <f t="shared" si="1428"/>
        <v>-300</v>
      </c>
      <c r="AV1046" s="118">
        <f t="shared" si="1429"/>
        <v>0</v>
      </c>
      <c r="AW1046" s="118">
        <f t="shared" si="1429"/>
        <v>0</v>
      </c>
      <c r="AX1046" s="118">
        <f t="shared" si="1429"/>
        <v>0</v>
      </c>
      <c r="AY1046" s="401">
        <f t="shared" si="1430"/>
        <v>-300</v>
      </c>
      <c r="AZ1046" s="118">
        <f t="shared" si="1430"/>
        <v>0</v>
      </c>
      <c r="BA1046" s="118">
        <f t="shared" si="1431"/>
        <v>0</v>
      </c>
      <c r="BB1046" s="118">
        <f t="shared" si="1431"/>
        <v>0</v>
      </c>
      <c r="BC1046" s="118">
        <f t="shared" si="1431"/>
        <v>0</v>
      </c>
      <c r="BD1046" s="401">
        <f t="shared" si="1432"/>
        <v>0</v>
      </c>
      <c r="BE1046" s="118">
        <f t="shared" si="1432"/>
        <v>0</v>
      </c>
      <c r="BF1046" s="118">
        <f t="shared" si="1433"/>
        <v>0</v>
      </c>
      <c r="BG1046" s="118">
        <f t="shared" si="1433"/>
        <v>0</v>
      </c>
      <c r="BH1046" s="118">
        <f t="shared" si="1433"/>
        <v>0</v>
      </c>
      <c r="BI1046" s="401">
        <f t="shared" si="1434"/>
        <v>0</v>
      </c>
      <c r="BJ1046" s="971">
        <f t="shared" si="1434"/>
        <v>0</v>
      </c>
      <c r="BK1046" s="118"/>
      <c r="BL1046" s="118"/>
      <c r="BM1046" s="118"/>
      <c r="BN1046" s="401">
        <f t="shared" si="1435"/>
        <v>0</v>
      </c>
      <c r="BO1046" s="118"/>
      <c r="BP1046" s="118"/>
      <c r="BQ1046" s="118"/>
      <c r="BR1046" s="118"/>
      <c r="BS1046" s="401">
        <f t="shared" si="1436"/>
        <v>0</v>
      </c>
      <c r="BT1046" s="401"/>
      <c r="BU1046" s="401"/>
      <c r="BV1046" s="401"/>
      <c r="BW1046" s="122"/>
    </row>
    <row r="1047" spans="1:75" s="123" customFormat="1" x14ac:dyDescent="0.5">
      <c r="A1047" s="464" t="str">
        <f t="shared" si="1411"/>
        <v>Payment of dividends</v>
      </c>
      <c r="B1047" s="118"/>
      <c r="C1047" s="674">
        <f t="shared" si="1412"/>
        <v>-51.131999999999998</v>
      </c>
      <c r="D1047" s="674">
        <f t="shared" si="1412"/>
        <v>-59.16</v>
      </c>
      <c r="E1047" s="674">
        <f t="shared" si="1412"/>
        <v>-68.876999999999995</v>
      </c>
      <c r="F1047" s="674">
        <f t="shared" si="1412"/>
        <v>-87.846999999999994</v>
      </c>
      <c r="G1047" s="122">
        <f t="shared" si="1412"/>
        <v>-21.984999999999999</v>
      </c>
      <c r="H1047" s="122">
        <f t="shared" si="1413"/>
        <v>-30.210999999999999</v>
      </c>
      <c r="I1047" s="122">
        <f t="shared" si="1413"/>
        <v>-29.834000000000003</v>
      </c>
      <c r="J1047" s="122">
        <f t="shared" si="1413"/>
        <v>-29.551000000000002</v>
      </c>
      <c r="K1047" s="674">
        <f t="shared" si="1414"/>
        <v>-111.581</v>
      </c>
      <c r="L1047" s="122">
        <f t="shared" si="1414"/>
        <v>-32.890999999999998</v>
      </c>
      <c r="M1047" s="122">
        <f t="shared" si="1415"/>
        <v>-31.105000000000004</v>
      </c>
      <c r="N1047" s="122">
        <f t="shared" si="1415"/>
        <v>-31.270999999999994</v>
      </c>
      <c r="O1047" s="122">
        <f t="shared" si="1415"/>
        <v>-30.491</v>
      </c>
      <c r="P1047" s="674">
        <f t="shared" si="1416"/>
        <v>-125.758</v>
      </c>
      <c r="Q1047" s="122">
        <f t="shared" si="1416"/>
        <v>-31.934000000000001</v>
      </c>
      <c r="R1047" s="122">
        <f t="shared" si="1417"/>
        <v>-32.11</v>
      </c>
      <c r="S1047" s="122">
        <f t="shared" si="1417"/>
        <v>-31.975999999999999</v>
      </c>
      <c r="T1047" s="122">
        <f t="shared" si="1417"/>
        <v>-31.616</v>
      </c>
      <c r="U1047" s="674">
        <f t="shared" si="1418"/>
        <v>-127.636</v>
      </c>
      <c r="V1047" s="122">
        <f t="shared" si="1418"/>
        <v>-34.423000000000002</v>
      </c>
      <c r="W1047" s="122">
        <f t="shared" si="1419"/>
        <v>-33.147999999999996</v>
      </c>
      <c r="X1047" s="122">
        <f t="shared" si="1419"/>
        <v>-33.283000000000001</v>
      </c>
      <c r="Y1047" s="122">
        <f t="shared" si="1419"/>
        <v>-32.684999999999988</v>
      </c>
      <c r="Z1047" s="674">
        <f t="shared" si="1420"/>
        <v>-133.53899999999999</v>
      </c>
      <c r="AA1047" s="122">
        <f t="shared" si="1420"/>
        <v>-34.189</v>
      </c>
      <c r="AB1047" s="122">
        <f t="shared" si="1421"/>
        <v>-34.008000000000003</v>
      </c>
      <c r="AC1047" s="122">
        <f t="shared" si="1421"/>
        <v>-33.730999999999995</v>
      </c>
      <c r="AD1047" s="122">
        <f t="shared" si="1421"/>
        <v>-33.081999999999994</v>
      </c>
      <c r="AE1047" s="674">
        <f t="shared" si="1422"/>
        <v>-135.01</v>
      </c>
      <c r="AF1047" s="122">
        <f t="shared" si="1422"/>
        <v>-34.081000000000003</v>
      </c>
      <c r="AG1047" s="122">
        <f t="shared" si="1423"/>
        <v>-36.25</v>
      </c>
      <c r="AH1047" s="122">
        <f t="shared" si="1423"/>
        <v>-35.322999999999993</v>
      </c>
      <c r="AI1047" s="122">
        <f t="shared" si="1423"/>
        <v>-34.670999999999992</v>
      </c>
      <c r="AJ1047" s="674">
        <f t="shared" si="1424"/>
        <v>-140.32499999999999</v>
      </c>
      <c r="AK1047" s="122">
        <f t="shared" si="1424"/>
        <v>-36.868000000000002</v>
      </c>
      <c r="AL1047" s="122">
        <f t="shared" si="1425"/>
        <v>-38.585000000000001</v>
      </c>
      <c r="AM1047" s="122">
        <f t="shared" si="1425"/>
        <v>-37.706000000000003</v>
      </c>
      <c r="AN1047" s="122">
        <f t="shared" si="1425"/>
        <v>-37.48099999999998</v>
      </c>
      <c r="AO1047" s="674">
        <f t="shared" si="1426"/>
        <v>-150.63999999999999</v>
      </c>
      <c r="AP1047" s="122">
        <f t="shared" si="1426"/>
        <v>-39.390999999999998</v>
      </c>
      <c r="AQ1047" s="122">
        <f t="shared" si="1427"/>
        <v>-39.883000000000003</v>
      </c>
      <c r="AR1047" s="122">
        <f t="shared" si="1427"/>
        <v>-37.486999999999995</v>
      </c>
      <c r="AS1047" s="122">
        <f t="shared" si="1427"/>
        <v>-40.884000000000015</v>
      </c>
      <c r="AT1047" s="674">
        <f t="shared" si="1428"/>
        <v>-157.64500000000001</v>
      </c>
      <c r="AU1047" s="122">
        <f t="shared" si="1428"/>
        <v>-45.576000000000001</v>
      </c>
      <c r="AV1047" s="122">
        <f t="shared" si="1429"/>
        <v>-45.493000000000002</v>
      </c>
      <c r="AW1047" s="122">
        <f t="shared" si="1429"/>
        <v>-44.131999999999991</v>
      </c>
      <c r="AX1047" s="122">
        <f t="shared" si="1429"/>
        <v>-52.337999999999994</v>
      </c>
      <c r="AY1047" s="674">
        <f t="shared" si="1430"/>
        <v>-187.53899999999999</v>
      </c>
      <c r="AZ1047" s="122">
        <f t="shared" si="1430"/>
        <v>-58.15</v>
      </c>
      <c r="BA1047" s="122">
        <f t="shared" si="1431"/>
        <v>-54.524000000000008</v>
      </c>
      <c r="BB1047" s="122">
        <f t="shared" si="1431"/>
        <v>-52.579999999999984</v>
      </c>
      <c r="BC1047" s="122">
        <f t="shared" si="1431"/>
        <v>-52.091000000000008</v>
      </c>
      <c r="BD1047" s="674">
        <f t="shared" si="1432"/>
        <v>-217.345</v>
      </c>
      <c r="BE1047" s="122">
        <f t="shared" si="1432"/>
        <v>-58.079000000000001</v>
      </c>
      <c r="BF1047" s="122">
        <f t="shared" si="1433"/>
        <v>-58.564</v>
      </c>
      <c r="BG1047" s="122">
        <f t="shared" si="1433"/>
        <v>-57.927999999999997</v>
      </c>
      <c r="BH1047" s="122">
        <f t="shared" si="1433"/>
        <v>-57.903999999999996</v>
      </c>
      <c r="BI1047" s="674">
        <f t="shared" si="1434"/>
        <v>-232.47499999999999</v>
      </c>
      <c r="BJ1047" s="1274">
        <f t="shared" si="1434"/>
        <v>-62.862000000000002</v>
      </c>
      <c r="BK1047" s="118">
        <f ca="1">BK883</f>
        <v>-72.70080999999999</v>
      </c>
      <c r="BL1047" s="118">
        <f ca="1">BL883</f>
        <v>-72.70080999999999</v>
      </c>
      <c r="BM1047" s="118">
        <f ca="1">BM883</f>
        <v>-72.70080999999999</v>
      </c>
      <c r="BN1047" s="401">
        <f t="shared" ca="1" si="1435"/>
        <v>-280.96442999999999</v>
      </c>
      <c r="BO1047" s="118">
        <f ca="1">BO883</f>
        <v>-72.70080999999999</v>
      </c>
      <c r="BP1047" s="118">
        <f ca="1">BP883</f>
        <v>-72.70080999999999</v>
      </c>
      <c r="BQ1047" s="118">
        <f ca="1">BQ883</f>
        <v>-72.70080999999999</v>
      </c>
      <c r="BR1047" s="118">
        <f ca="1">BR883</f>
        <v>-72.70080999999999</v>
      </c>
      <c r="BS1047" s="401">
        <f t="shared" ca="1" si="1436"/>
        <v>-290.80323999999996</v>
      </c>
      <c r="BT1047" s="401">
        <f ca="1">BT883</f>
        <v>-290.80323999999996</v>
      </c>
      <c r="BU1047" s="401">
        <f ca="1">BU883</f>
        <v>-290.80323999999996</v>
      </c>
      <c r="BV1047" s="401">
        <f ca="1">BV883</f>
        <v>-290.80323999999996</v>
      </c>
      <c r="BW1047" s="122"/>
    </row>
    <row r="1048" spans="1:75" s="123" customFormat="1" x14ac:dyDescent="0.5">
      <c r="A1048" s="464" t="str">
        <f t="shared" si="1411"/>
        <v>Tax withholdings related to stock-based awards</v>
      </c>
      <c r="B1048" s="118"/>
      <c r="C1048" s="674">
        <f t="shared" si="1412"/>
        <v>-3.621</v>
      </c>
      <c r="D1048" s="674">
        <f t="shared" si="1412"/>
        <v>-17.917999999999999</v>
      </c>
      <c r="E1048" s="674">
        <f t="shared" si="1412"/>
        <v>-11.656000000000001</v>
      </c>
      <c r="F1048" s="674">
        <f t="shared" si="1412"/>
        <v>-18.637</v>
      </c>
      <c r="G1048" s="122">
        <f t="shared" si="1412"/>
        <v>-9.3840000000000003</v>
      </c>
      <c r="H1048" s="122">
        <f t="shared" si="1413"/>
        <v>-1.7509999999999994</v>
      </c>
      <c r="I1048" s="122">
        <f t="shared" si="1413"/>
        <v>-3.027000000000001</v>
      </c>
      <c r="J1048" s="122">
        <f t="shared" si="1413"/>
        <v>-3.9339999999999993</v>
      </c>
      <c r="K1048" s="674">
        <f t="shared" si="1414"/>
        <v>-18.096</v>
      </c>
      <c r="L1048" s="122">
        <f t="shared" si="1414"/>
        <v>-46.73</v>
      </c>
      <c r="M1048" s="122">
        <f t="shared" si="1415"/>
        <v>-2.7040000000000006</v>
      </c>
      <c r="N1048" s="122">
        <f t="shared" si="1415"/>
        <v>-4.0060000000000002</v>
      </c>
      <c r="O1048" s="122">
        <f t="shared" si="1415"/>
        <v>-3.536999999999999</v>
      </c>
      <c r="P1048" s="674">
        <f t="shared" si="1416"/>
        <v>-56.976999999999997</v>
      </c>
      <c r="Q1048" s="122">
        <f t="shared" si="1416"/>
        <v>-21.734000000000002</v>
      </c>
      <c r="R1048" s="122">
        <f t="shared" si="1417"/>
        <v>-5.4409999999999989</v>
      </c>
      <c r="S1048" s="122">
        <f t="shared" si="1417"/>
        <v>-3.8439999999999976</v>
      </c>
      <c r="T1048" s="122">
        <f t="shared" si="1417"/>
        <v>-0.7710000000000008</v>
      </c>
      <c r="U1048" s="674">
        <f t="shared" si="1418"/>
        <v>-31.79</v>
      </c>
      <c r="V1048" s="122">
        <f t="shared" si="1418"/>
        <v>-22.904</v>
      </c>
      <c r="W1048" s="122">
        <f t="shared" si="1419"/>
        <v>-1.7310000000000016</v>
      </c>
      <c r="X1048" s="122">
        <f t="shared" si="1419"/>
        <v>-1.8829999999999991</v>
      </c>
      <c r="Y1048" s="122">
        <f t="shared" si="1419"/>
        <v>-0.54400000000000048</v>
      </c>
      <c r="Z1048" s="674">
        <f t="shared" si="1420"/>
        <v>-27.062000000000001</v>
      </c>
      <c r="AA1048" s="122">
        <f t="shared" si="1420"/>
        <v>-13.78</v>
      </c>
      <c r="AB1048" s="122">
        <f t="shared" si="1421"/>
        <v>-0.33700000000000152</v>
      </c>
      <c r="AC1048" s="122">
        <f t="shared" si="1421"/>
        <v>-0.71899999999999942</v>
      </c>
      <c r="AD1048" s="122">
        <f t="shared" si="1421"/>
        <v>-3.2939999999999987</v>
      </c>
      <c r="AE1048" s="674">
        <f t="shared" si="1422"/>
        <v>-18.13</v>
      </c>
      <c r="AF1048" s="122">
        <f t="shared" si="1422"/>
        <v>-7.4379999999999997</v>
      </c>
      <c r="AG1048" s="122">
        <f t="shared" si="1423"/>
        <v>-4.8970000000000011</v>
      </c>
      <c r="AH1048" s="122">
        <f t="shared" si="1423"/>
        <v>-1.5709999999999997</v>
      </c>
      <c r="AI1048" s="122">
        <f t="shared" si="1423"/>
        <v>-0.53099999999999881</v>
      </c>
      <c r="AJ1048" s="674">
        <f t="shared" si="1424"/>
        <v>-14.436999999999999</v>
      </c>
      <c r="AK1048" s="122">
        <f t="shared" si="1424"/>
        <v>-25.405999999999999</v>
      </c>
      <c r="AL1048" s="122">
        <f t="shared" si="1425"/>
        <v>-0.48100000000000165</v>
      </c>
      <c r="AM1048" s="122">
        <f t="shared" si="1425"/>
        <v>-0.73600000000000065</v>
      </c>
      <c r="AN1048" s="122">
        <f t="shared" si="1425"/>
        <v>-1.1289999999999978</v>
      </c>
      <c r="AO1048" s="674">
        <f t="shared" si="1426"/>
        <v>-27.751999999999999</v>
      </c>
      <c r="AP1048" s="122">
        <f t="shared" si="1426"/>
        <v>-28.911999999999999</v>
      </c>
      <c r="AQ1048" s="122">
        <f t="shared" si="1427"/>
        <v>-0.6769999999999996</v>
      </c>
      <c r="AR1048" s="122">
        <f t="shared" si="1427"/>
        <v>-0.96600000000000108</v>
      </c>
      <c r="AS1048" s="122">
        <f t="shared" si="1427"/>
        <v>-1.1739999999999995</v>
      </c>
      <c r="AT1048" s="674">
        <f t="shared" si="1428"/>
        <v>-31.728999999999999</v>
      </c>
      <c r="AU1048" s="122">
        <f t="shared" si="1428"/>
        <v>-98.450999999999993</v>
      </c>
      <c r="AV1048" s="122">
        <f t="shared" si="1429"/>
        <v>-1.7090000000000032</v>
      </c>
      <c r="AW1048" s="122">
        <f t="shared" si="1429"/>
        <v>-2.3220000000000027</v>
      </c>
      <c r="AX1048" s="122">
        <f t="shared" si="1429"/>
        <v>-1.7530000000000001</v>
      </c>
      <c r="AY1048" s="674">
        <f t="shared" si="1430"/>
        <v>-104.235</v>
      </c>
      <c r="AZ1048" s="122">
        <f t="shared" si="1430"/>
        <v>-78.507999999999996</v>
      </c>
      <c r="BA1048" s="122">
        <f t="shared" si="1431"/>
        <v>-0.76700000000001012</v>
      </c>
      <c r="BB1048" s="122">
        <f t="shared" si="1431"/>
        <v>-1.1559999999999917</v>
      </c>
      <c r="BC1048" s="122">
        <f t="shared" si="1431"/>
        <v>-0.85900000000000887</v>
      </c>
      <c r="BD1048" s="674">
        <f t="shared" si="1432"/>
        <v>-81.290000000000006</v>
      </c>
      <c r="BE1048" s="122">
        <f t="shared" si="1432"/>
        <v>-4.3479999999999999</v>
      </c>
      <c r="BF1048" s="122">
        <f t="shared" si="1433"/>
        <v>-45.602000000000004</v>
      </c>
      <c r="BG1048" s="122">
        <f t="shared" si="1433"/>
        <v>-1.1579999999999941</v>
      </c>
      <c r="BH1048" s="122">
        <f t="shared" si="1433"/>
        <v>-1.7230000000000061</v>
      </c>
      <c r="BI1048" s="674">
        <f t="shared" si="1434"/>
        <v>-52.831000000000003</v>
      </c>
      <c r="BJ1048" s="1274">
        <f t="shared" si="1434"/>
        <v>-87.007999999999996</v>
      </c>
      <c r="BK1048" s="118"/>
      <c r="BL1048" s="118"/>
      <c r="BM1048" s="118"/>
      <c r="BN1048" s="401">
        <f t="shared" si="1435"/>
        <v>-87.007999999999996</v>
      </c>
      <c r="BO1048" s="118"/>
      <c r="BP1048" s="118"/>
      <c r="BQ1048" s="118"/>
      <c r="BR1048" s="118"/>
      <c r="BS1048" s="401">
        <f t="shared" si="1436"/>
        <v>0</v>
      </c>
      <c r="BT1048" s="401"/>
      <c r="BU1048" s="401"/>
      <c r="BV1048" s="401"/>
      <c r="BW1048" s="122"/>
    </row>
    <row r="1049" spans="1:75" s="123" customFormat="1" x14ac:dyDescent="0.5">
      <c r="A1049" s="464" t="str">
        <f t="shared" si="1411"/>
        <v>Excess tax benefit related to stock-based awards</v>
      </c>
      <c r="B1049" s="118"/>
      <c r="C1049" s="674">
        <f t="shared" si="1412"/>
        <v>2.1309999999999998</v>
      </c>
      <c r="D1049" s="674">
        <f t="shared" si="1412"/>
        <v>11.239000000000001</v>
      </c>
      <c r="E1049" s="674">
        <f t="shared" si="1412"/>
        <v>8.0210000000000008</v>
      </c>
      <c r="F1049" s="674">
        <f t="shared" si="1412"/>
        <v>12.683</v>
      </c>
      <c r="G1049" s="122">
        <f t="shared" si="1412"/>
        <v>4.0469999999999997</v>
      </c>
      <c r="H1049" s="122">
        <f t="shared" si="1413"/>
        <v>1.1260000000000003</v>
      </c>
      <c r="I1049" s="122">
        <f t="shared" si="1413"/>
        <v>1.444</v>
      </c>
      <c r="J1049" s="122">
        <f t="shared" si="1413"/>
        <v>2.1260000000000003</v>
      </c>
      <c r="K1049" s="674">
        <f t="shared" si="1414"/>
        <v>8.7430000000000003</v>
      </c>
      <c r="L1049" s="122">
        <f t="shared" si="1414"/>
        <v>21.370999999999999</v>
      </c>
      <c r="M1049" s="122">
        <f t="shared" si="1415"/>
        <v>1.5400000000000027</v>
      </c>
      <c r="N1049" s="122">
        <f t="shared" si="1415"/>
        <v>1.4969999999999999</v>
      </c>
      <c r="O1049" s="122">
        <f t="shared" si="1415"/>
        <v>2.1519999999999975</v>
      </c>
      <c r="P1049" s="674">
        <f t="shared" si="1416"/>
        <v>26.56</v>
      </c>
      <c r="Q1049" s="122">
        <f t="shared" si="1416"/>
        <v>8.7240000000000002</v>
      </c>
      <c r="R1049" s="122">
        <f t="shared" si="1417"/>
        <v>3.0830000000000002</v>
      </c>
      <c r="S1049" s="122">
        <f t="shared" si="1417"/>
        <v>2.4759999999999991</v>
      </c>
      <c r="T1049" s="122">
        <f t="shared" si="1417"/>
        <v>0.2110000000000003</v>
      </c>
      <c r="U1049" s="674">
        <f t="shared" si="1418"/>
        <v>14.494</v>
      </c>
      <c r="V1049" s="122">
        <f t="shared" si="1418"/>
        <v>3.8239999999999998</v>
      </c>
      <c r="W1049" s="122">
        <f t="shared" si="1419"/>
        <v>0.90300000000000047</v>
      </c>
      <c r="X1049" s="122">
        <f t="shared" si="1419"/>
        <v>8.9999999999999858E-2</v>
      </c>
      <c r="Y1049" s="122">
        <f t="shared" si="1419"/>
        <v>7.6999999999999957E-2</v>
      </c>
      <c r="Z1049" s="674">
        <f t="shared" si="1420"/>
        <v>4.8940000000000001</v>
      </c>
      <c r="AA1049" s="122">
        <f t="shared" si="1420"/>
        <v>0</v>
      </c>
      <c r="AB1049" s="122">
        <f t="shared" si="1421"/>
        <v>0</v>
      </c>
      <c r="AC1049" s="122">
        <f t="shared" si="1421"/>
        <v>0</v>
      </c>
      <c r="AD1049" s="122">
        <f t="shared" si="1421"/>
        <v>0</v>
      </c>
      <c r="AE1049" s="674">
        <f t="shared" si="1422"/>
        <v>0</v>
      </c>
      <c r="AF1049" s="122">
        <f t="shared" si="1422"/>
        <v>0</v>
      </c>
      <c r="AG1049" s="122">
        <f t="shared" si="1423"/>
        <v>0</v>
      </c>
      <c r="AH1049" s="122">
        <f t="shared" si="1423"/>
        <v>0</v>
      </c>
      <c r="AI1049" s="122">
        <f t="shared" si="1423"/>
        <v>0</v>
      </c>
      <c r="AJ1049" s="674">
        <f t="shared" si="1424"/>
        <v>0</v>
      </c>
      <c r="AK1049" s="122">
        <f t="shared" si="1424"/>
        <v>0</v>
      </c>
      <c r="AL1049" s="122">
        <f t="shared" si="1425"/>
        <v>0</v>
      </c>
      <c r="AM1049" s="122">
        <f t="shared" si="1425"/>
        <v>0</v>
      </c>
      <c r="AN1049" s="122">
        <f t="shared" si="1425"/>
        <v>0</v>
      </c>
      <c r="AO1049" s="674">
        <f t="shared" si="1426"/>
        <v>0</v>
      </c>
      <c r="AP1049" s="122">
        <f t="shared" si="1426"/>
        <v>0</v>
      </c>
      <c r="AQ1049" s="122">
        <f t="shared" si="1427"/>
        <v>0</v>
      </c>
      <c r="AR1049" s="122">
        <f t="shared" si="1427"/>
        <v>0</v>
      </c>
      <c r="AS1049" s="122">
        <f t="shared" si="1427"/>
        <v>0</v>
      </c>
      <c r="AT1049" s="674">
        <f t="shared" si="1428"/>
        <v>0</v>
      </c>
      <c r="AU1049" s="122">
        <f t="shared" si="1428"/>
        <v>0</v>
      </c>
      <c r="AV1049" s="122">
        <f t="shared" si="1429"/>
        <v>0</v>
      </c>
      <c r="AW1049" s="122">
        <f t="shared" si="1429"/>
        <v>0</v>
      </c>
      <c r="AX1049" s="122">
        <f t="shared" si="1429"/>
        <v>0</v>
      </c>
      <c r="AY1049" s="674">
        <f t="shared" si="1430"/>
        <v>0</v>
      </c>
      <c r="AZ1049" s="122">
        <f t="shared" si="1430"/>
        <v>0</v>
      </c>
      <c r="BA1049" s="122">
        <f t="shared" si="1431"/>
        <v>0</v>
      </c>
      <c r="BB1049" s="122">
        <f t="shared" si="1431"/>
        <v>0</v>
      </c>
      <c r="BC1049" s="122">
        <f t="shared" si="1431"/>
        <v>0</v>
      </c>
      <c r="BD1049" s="674">
        <f t="shared" si="1432"/>
        <v>0</v>
      </c>
      <c r="BE1049" s="122">
        <f t="shared" si="1432"/>
        <v>0</v>
      </c>
      <c r="BF1049" s="122">
        <f t="shared" si="1433"/>
        <v>0</v>
      </c>
      <c r="BG1049" s="122">
        <f t="shared" si="1433"/>
        <v>0</v>
      </c>
      <c r="BH1049" s="122">
        <f t="shared" si="1433"/>
        <v>0</v>
      </c>
      <c r="BI1049" s="674">
        <f t="shared" si="1434"/>
        <v>0</v>
      </c>
      <c r="BJ1049" s="1274">
        <f t="shared" si="1434"/>
        <v>0</v>
      </c>
      <c r="BK1049" s="118"/>
      <c r="BL1049" s="118"/>
      <c r="BM1049" s="118"/>
      <c r="BN1049" s="401">
        <f t="shared" si="1435"/>
        <v>0</v>
      </c>
      <c r="BO1049" s="118"/>
      <c r="BP1049" s="118"/>
      <c r="BQ1049" s="118"/>
      <c r="BR1049" s="118"/>
      <c r="BS1049" s="401">
        <f t="shared" si="1436"/>
        <v>0</v>
      </c>
      <c r="BT1049" s="401"/>
      <c r="BU1049" s="401"/>
      <c r="BV1049" s="401"/>
      <c r="BW1049" s="122"/>
    </row>
    <row r="1050" spans="1:75" s="123" customFormat="1" x14ac:dyDescent="0.5">
      <c r="A1050" s="464" t="str">
        <f t="shared" si="1411"/>
        <v>Proceeds related to stock-based awards</v>
      </c>
      <c r="B1050" s="118"/>
      <c r="C1050" s="674">
        <f t="shared" si="1412"/>
        <v>11.861000000000001</v>
      </c>
      <c r="D1050" s="674">
        <f t="shared" si="1412"/>
        <v>15.736000000000001</v>
      </c>
      <c r="E1050" s="674">
        <f t="shared" si="1412"/>
        <v>9.6140000000000008</v>
      </c>
      <c r="F1050" s="674">
        <f t="shared" si="1412"/>
        <v>14.637</v>
      </c>
      <c r="G1050" s="122">
        <f t="shared" si="1412"/>
        <v>3.7669999999999999</v>
      </c>
      <c r="H1050" s="122">
        <f t="shared" si="1413"/>
        <v>2.7740000000000005</v>
      </c>
      <c r="I1050" s="122">
        <f t="shared" si="1413"/>
        <v>0</v>
      </c>
      <c r="J1050" s="122">
        <f t="shared" si="1413"/>
        <v>7.299999999999951E-2</v>
      </c>
      <c r="K1050" s="674">
        <f t="shared" si="1414"/>
        <v>6.6139999999999999</v>
      </c>
      <c r="L1050" s="122">
        <f t="shared" si="1414"/>
        <v>2.9969999999999999</v>
      </c>
      <c r="M1050" s="122">
        <f t="shared" si="1415"/>
        <v>0.4740000000000002</v>
      </c>
      <c r="N1050" s="122">
        <f t="shared" si="1415"/>
        <v>4.0000000000000036E-2</v>
      </c>
      <c r="O1050" s="122">
        <f t="shared" si="1415"/>
        <v>0.56599999999999984</v>
      </c>
      <c r="P1050" s="674">
        <f t="shared" si="1416"/>
        <v>4.077</v>
      </c>
      <c r="Q1050" s="122">
        <f t="shared" si="1416"/>
        <v>1.8360000000000001</v>
      </c>
      <c r="R1050" s="122">
        <f t="shared" si="1417"/>
        <v>0.81099999999999972</v>
      </c>
      <c r="S1050" s="122">
        <f t="shared" si="1417"/>
        <v>0</v>
      </c>
      <c r="T1050" s="122">
        <f t="shared" si="1417"/>
        <v>0</v>
      </c>
      <c r="U1050" s="674">
        <f t="shared" si="1418"/>
        <v>2.6469999999999998</v>
      </c>
      <c r="V1050" s="122">
        <f t="shared" si="1418"/>
        <v>0.995</v>
      </c>
      <c r="W1050" s="122">
        <f t="shared" si="1419"/>
        <v>0.53700000000000003</v>
      </c>
      <c r="X1050" s="122">
        <f t="shared" si="1419"/>
        <v>0</v>
      </c>
      <c r="Y1050" s="122">
        <f t="shared" si="1419"/>
        <v>0</v>
      </c>
      <c r="Z1050" s="674">
        <f t="shared" si="1420"/>
        <v>1.532</v>
      </c>
      <c r="AA1050" s="122">
        <f t="shared" si="1420"/>
        <v>0</v>
      </c>
      <c r="AB1050" s="122">
        <f t="shared" si="1421"/>
        <v>0</v>
      </c>
      <c r="AC1050" s="122">
        <f t="shared" si="1421"/>
        <v>0</v>
      </c>
      <c r="AD1050" s="122">
        <f t="shared" si="1421"/>
        <v>0</v>
      </c>
      <c r="AE1050" s="674">
        <f t="shared" si="1422"/>
        <v>0</v>
      </c>
      <c r="AF1050" s="122">
        <f t="shared" si="1422"/>
        <v>0</v>
      </c>
      <c r="AG1050" s="122">
        <f t="shared" si="1423"/>
        <v>0</v>
      </c>
      <c r="AH1050" s="122">
        <f t="shared" si="1423"/>
        <v>0</v>
      </c>
      <c r="AI1050" s="122">
        <f t="shared" si="1423"/>
        <v>0</v>
      </c>
      <c r="AJ1050" s="674">
        <f t="shared" si="1424"/>
        <v>0</v>
      </c>
      <c r="AK1050" s="122">
        <f t="shared" si="1424"/>
        <v>0</v>
      </c>
      <c r="AL1050" s="122">
        <f t="shared" si="1425"/>
        <v>0</v>
      </c>
      <c r="AM1050" s="122">
        <f t="shared" si="1425"/>
        <v>0</v>
      </c>
      <c r="AN1050" s="122">
        <f t="shared" si="1425"/>
        <v>0</v>
      </c>
      <c r="AO1050" s="674">
        <f t="shared" si="1426"/>
        <v>0</v>
      </c>
      <c r="AP1050" s="122">
        <f t="shared" si="1426"/>
        <v>0</v>
      </c>
      <c r="AQ1050" s="122">
        <f t="shared" si="1427"/>
        <v>0</v>
      </c>
      <c r="AR1050" s="122">
        <f t="shared" si="1427"/>
        <v>0</v>
      </c>
      <c r="AS1050" s="122">
        <f t="shared" si="1427"/>
        <v>0</v>
      </c>
      <c r="AT1050" s="674">
        <f t="shared" si="1428"/>
        <v>0</v>
      </c>
      <c r="AU1050" s="122">
        <f t="shared" si="1428"/>
        <v>0</v>
      </c>
      <c r="AV1050" s="122">
        <f t="shared" si="1429"/>
        <v>0</v>
      </c>
      <c r="AW1050" s="122">
        <f t="shared" si="1429"/>
        <v>0</v>
      </c>
      <c r="AX1050" s="122">
        <f t="shared" si="1429"/>
        <v>0</v>
      </c>
      <c r="AY1050" s="674">
        <f t="shared" si="1430"/>
        <v>0</v>
      </c>
      <c r="AZ1050" s="122">
        <f t="shared" si="1430"/>
        <v>0</v>
      </c>
      <c r="BA1050" s="122">
        <f t="shared" si="1431"/>
        <v>0</v>
      </c>
      <c r="BB1050" s="122">
        <f t="shared" si="1431"/>
        <v>0</v>
      </c>
      <c r="BC1050" s="122">
        <f t="shared" si="1431"/>
        <v>0</v>
      </c>
      <c r="BD1050" s="674">
        <f t="shared" si="1432"/>
        <v>0</v>
      </c>
      <c r="BE1050" s="122">
        <f t="shared" si="1432"/>
        <v>0</v>
      </c>
      <c r="BF1050" s="122">
        <f t="shared" si="1433"/>
        <v>0</v>
      </c>
      <c r="BG1050" s="122">
        <f t="shared" si="1433"/>
        <v>0</v>
      </c>
      <c r="BH1050" s="122">
        <f t="shared" si="1433"/>
        <v>0</v>
      </c>
      <c r="BI1050" s="674">
        <f t="shared" si="1434"/>
        <v>0</v>
      </c>
      <c r="BJ1050" s="1274">
        <f t="shared" si="1434"/>
        <v>0</v>
      </c>
      <c r="BK1050" s="118"/>
      <c r="BL1050" s="118"/>
      <c r="BM1050" s="118"/>
      <c r="BN1050" s="401">
        <f t="shared" si="1435"/>
        <v>0</v>
      </c>
      <c r="BO1050" s="118"/>
      <c r="BP1050" s="118"/>
      <c r="BQ1050" s="118"/>
      <c r="BR1050" s="118"/>
      <c r="BS1050" s="401">
        <f t="shared" si="1436"/>
        <v>0</v>
      </c>
      <c r="BT1050" s="401"/>
      <c r="BU1050" s="401"/>
      <c r="BV1050" s="401"/>
      <c r="BW1050" s="122"/>
    </row>
    <row r="1051" spans="1:75" s="123" customFormat="1" x14ac:dyDescent="0.5">
      <c r="A1051" s="464" t="str">
        <f t="shared" si="1411"/>
        <v>Repayments of long-term obligations</v>
      </c>
      <c r="B1051" s="118"/>
      <c r="C1051" s="674">
        <f t="shared" si="1412"/>
        <v>-14.702</v>
      </c>
      <c r="D1051" s="674">
        <f t="shared" si="1412"/>
        <v>-1.587</v>
      </c>
      <c r="E1051" s="674">
        <f t="shared" si="1412"/>
        <v>-1.6259999999999999</v>
      </c>
      <c r="F1051" s="674">
        <f t="shared" si="1412"/>
        <v>-1.796</v>
      </c>
      <c r="G1051" s="122">
        <f t="shared" si="1412"/>
        <v>-2.8000000000000001E-2</v>
      </c>
      <c r="H1051" s="122">
        <f t="shared" si="1413"/>
        <v>-1.6639999999999999</v>
      </c>
      <c r="I1051" s="122">
        <f t="shared" si="1413"/>
        <v>-2.4000000000000021E-2</v>
      </c>
      <c r="J1051" s="122">
        <f t="shared" si="1413"/>
        <v>-8.0000000000000071E-3</v>
      </c>
      <c r="K1051" s="674">
        <f t="shared" si="1414"/>
        <v>-1.724</v>
      </c>
      <c r="L1051" s="122">
        <f t="shared" si="1414"/>
        <v>0</v>
      </c>
      <c r="M1051" s="122">
        <f t="shared" si="1415"/>
        <v>-1.7849999999999999</v>
      </c>
      <c r="N1051" s="122">
        <f t="shared" si="1415"/>
        <v>0</v>
      </c>
      <c r="O1051" s="122">
        <f t="shared" si="1415"/>
        <v>0</v>
      </c>
      <c r="P1051" s="674">
        <f t="shared" si="1416"/>
        <v>-1.7849999999999999</v>
      </c>
      <c r="Q1051" s="122">
        <f t="shared" si="1416"/>
        <v>0</v>
      </c>
      <c r="R1051" s="122">
        <f t="shared" si="1417"/>
        <v>-1.968</v>
      </c>
      <c r="S1051" s="122">
        <f t="shared" si="1417"/>
        <v>0</v>
      </c>
      <c r="T1051" s="122">
        <f t="shared" si="1417"/>
        <v>0</v>
      </c>
      <c r="U1051" s="674">
        <f t="shared" si="1418"/>
        <v>-1.968</v>
      </c>
      <c r="V1051" s="122">
        <f t="shared" si="1418"/>
        <v>0</v>
      </c>
      <c r="W1051" s="122">
        <f t="shared" si="1419"/>
        <v>0</v>
      </c>
      <c r="X1051" s="122">
        <f t="shared" si="1419"/>
        <v>0</v>
      </c>
      <c r="Y1051" s="122">
        <f t="shared" si="1419"/>
        <v>0</v>
      </c>
      <c r="Z1051" s="674">
        <f t="shared" si="1420"/>
        <v>0</v>
      </c>
      <c r="AA1051" s="122">
        <f t="shared" si="1420"/>
        <v>0</v>
      </c>
      <c r="AB1051" s="122">
        <f t="shared" si="1421"/>
        <v>0</v>
      </c>
      <c r="AC1051" s="122">
        <f t="shared" si="1421"/>
        <v>0</v>
      </c>
      <c r="AD1051" s="122">
        <f t="shared" si="1421"/>
        <v>0</v>
      </c>
      <c r="AE1051" s="674">
        <f t="shared" si="1422"/>
        <v>0</v>
      </c>
      <c r="AF1051" s="122">
        <f t="shared" si="1422"/>
        <v>0</v>
      </c>
      <c r="AG1051" s="122">
        <f t="shared" si="1423"/>
        <v>0</v>
      </c>
      <c r="AH1051" s="122">
        <f t="shared" si="1423"/>
        <v>0</v>
      </c>
      <c r="AI1051" s="122">
        <f t="shared" si="1423"/>
        <v>0</v>
      </c>
      <c r="AJ1051" s="674">
        <f t="shared" si="1424"/>
        <v>0</v>
      </c>
      <c r="AK1051" s="122">
        <f t="shared" si="1424"/>
        <v>0</v>
      </c>
      <c r="AL1051" s="122">
        <f t="shared" si="1425"/>
        <v>0</v>
      </c>
      <c r="AM1051" s="122">
        <f t="shared" si="1425"/>
        <v>0</v>
      </c>
      <c r="AN1051" s="122">
        <f t="shared" si="1425"/>
        <v>0</v>
      </c>
      <c r="AO1051" s="674">
        <f t="shared" si="1426"/>
        <v>0</v>
      </c>
      <c r="AP1051" s="122">
        <f t="shared" si="1426"/>
        <v>0</v>
      </c>
      <c r="AQ1051" s="122">
        <f t="shared" si="1427"/>
        <v>0</v>
      </c>
      <c r="AR1051" s="122">
        <f t="shared" si="1427"/>
        <v>0</v>
      </c>
      <c r="AS1051" s="122">
        <f t="shared" si="1427"/>
        <v>0</v>
      </c>
      <c r="AT1051" s="674">
        <f t="shared" si="1428"/>
        <v>0</v>
      </c>
      <c r="AU1051" s="122">
        <f t="shared" si="1428"/>
        <v>0</v>
      </c>
      <c r="AV1051" s="122">
        <f t="shared" si="1429"/>
        <v>0</v>
      </c>
      <c r="AW1051" s="122">
        <f t="shared" si="1429"/>
        <v>0</v>
      </c>
      <c r="AX1051" s="122">
        <f t="shared" si="1429"/>
        <v>0</v>
      </c>
      <c r="AY1051" s="674">
        <f t="shared" si="1430"/>
        <v>0</v>
      </c>
      <c r="AZ1051" s="122">
        <f t="shared" si="1430"/>
        <v>0</v>
      </c>
      <c r="BA1051" s="122">
        <f t="shared" si="1431"/>
        <v>0</v>
      </c>
      <c r="BB1051" s="122">
        <f t="shared" si="1431"/>
        <v>0</v>
      </c>
      <c r="BC1051" s="122">
        <f t="shared" si="1431"/>
        <v>0</v>
      </c>
      <c r="BD1051" s="674">
        <f t="shared" si="1432"/>
        <v>0</v>
      </c>
      <c r="BE1051" s="122">
        <f t="shared" si="1432"/>
        <v>0</v>
      </c>
      <c r="BF1051" s="122">
        <f t="shared" si="1433"/>
        <v>0</v>
      </c>
      <c r="BG1051" s="122">
        <f t="shared" si="1433"/>
        <v>0</v>
      </c>
      <c r="BH1051" s="122">
        <f t="shared" si="1433"/>
        <v>0</v>
      </c>
      <c r="BI1051" s="674">
        <f t="shared" si="1434"/>
        <v>0</v>
      </c>
      <c r="BJ1051" s="1274">
        <f t="shared" si="1434"/>
        <v>0</v>
      </c>
      <c r="BK1051" s="118"/>
      <c r="BL1051" s="118"/>
      <c r="BM1051" s="118"/>
      <c r="BN1051" s="401">
        <f t="shared" si="1435"/>
        <v>0</v>
      </c>
      <c r="BO1051" s="118"/>
      <c r="BP1051" s="118"/>
      <c r="BQ1051" s="118"/>
      <c r="BR1051" s="118"/>
      <c r="BS1051" s="401">
        <f t="shared" si="1436"/>
        <v>0</v>
      </c>
      <c r="BT1051" s="401"/>
      <c r="BU1051" s="401"/>
      <c r="BV1051" s="401"/>
      <c r="BW1051" s="122"/>
    </row>
    <row r="1052" spans="1:75" s="123" customFormat="1" x14ac:dyDescent="0.5">
      <c r="A1052" s="464" t="str">
        <f t="shared" si="1411"/>
        <v>Debt issuance costs</v>
      </c>
      <c r="B1052" s="118"/>
      <c r="C1052" s="674">
        <f t="shared" si="1412"/>
        <v>0</v>
      </c>
      <c r="D1052" s="674">
        <f t="shared" si="1412"/>
        <v>0</v>
      </c>
      <c r="E1052" s="674">
        <f t="shared" si="1412"/>
        <v>0</v>
      </c>
      <c r="F1052" s="674">
        <f t="shared" si="1412"/>
        <v>0</v>
      </c>
      <c r="G1052" s="122">
        <f t="shared" si="1412"/>
        <v>0</v>
      </c>
      <c r="H1052" s="122">
        <f t="shared" si="1413"/>
        <v>0</v>
      </c>
      <c r="I1052" s="122">
        <f t="shared" si="1413"/>
        <v>0</v>
      </c>
      <c r="J1052" s="122">
        <f t="shared" si="1413"/>
        <v>0</v>
      </c>
      <c r="K1052" s="674">
        <f t="shared" si="1414"/>
        <v>0</v>
      </c>
      <c r="L1052" s="122">
        <f t="shared" si="1414"/>
        <v>0</v>
      </c>
      <c r="M1052" s="122">
        <f t="shared" si="1415"/>
        <v>0</v>
      </c>
      <c r="N1052" s="122">
        <f t="shared" si="1415"/>
        <v>0</v>
      </c>
      <c r="O1052" s="122">
        <f t="shared" si="1415"/>
        <v>0</v>
      </c>
      <c r="P1052" s="674">
        <f t="shared" si="1416"/>
        <v>0</v>
      </c>
      <c r="Q1052" s="122">
        <f t="shared" si="1416"/>
        <v>0</v>
      </c>
      <c r="R1052" s="122">
        <f t="shared" si="1417"/>
        <v>0</v>
      </c>
      <c r="S1052" s="122">
        <f t="shared" si="1417"/>
        <v>0</v>
      </c>
      <c r="T1052" s="122">
        <f t="shared" si="1417"/>
        <v>0</v>
      </c>
      <c r="U1052" s="674">
        <f t="shared" si="1418"/>
        <v>0</v>
      </c>
      <c r="V1052" s="122">
        <f t="shared" si="1418"/>
        <v>0</v>
      </c>
      <c r="W1052" s="122">
        <f t="shared" si="1419"/>
        <v>0</v>
      </c>
      <c r="X1052" s="122">
        <f t="shared" si="1419"/>
        <v>0</v>
      </c>
      <c r="Y1052" s="122">
        <f t="shared" si="1419"/>
        <v>0</v>
      </c>
      <c r="Z1052" s="674">
        <f t="shared" si="1420"/>
        <v>0</v>
      </c>
      <c r="AA1052" s="122">
        <f t="shared" si="1420"/>
        <v>0</v>
      </c>
      <c r="AB1052" s="122">
        <f t="shared" si="1421"/>
        <v>0</v>
      </c>
      <c r="AC1052" s="122">
        <f t="shared" si="1421"/>
        <v>0</v>
      </c>
      <c r="AD1052" s="122">
        <f t="shared" si="1421"/>
        <v>-1.1910000000000001</v>
      </c>
      <c r="AE1052" s="674">
        <f t="shared" si="1422"/>
        <v>-1.1910000000000001</v>
      </c>
      <c r="AF1052" s="122">
        <f t="shared" si="1422"/>
        <v>0</v>
      </c>
      <c r="AG1052" s="122">
        <f t="shared" si="1423"/>
        <v>0</v>
      </c>
      <c r="AH1052" s="122">
        <f t="shared" si="1423"/>
        <v>0</v>
      </c>
      <c r="AI1052" s="122">
        <f t="shared" si="1423"/>
        <v>0</v>
      </c>
      <c r="AJ1052" s="674">
        <f t="shared" si="1424"/>
        <v>0</v>
      </c>
      <c r="AK1052" s="122">
        <f t="shared" si="1424"/>
        <v>0</v>
      </c>
      <c r="AL1052" s="122">
        <f t="shared" si="1425"/>
        <v>0</v>
      </c>
      <c r="AM1052" s="122">
        <f t="shared" si="1425"/>
        <v>0</v>
      </c>
      <c r="AN1052" s="122">
        <f t="shared" si="1425"/>
        <v>0</v>
      </c>
      <c r="AO1052" s="674">
        <f t="shared" si="1426"/>
        <v>0</v>
      </c>
      <c r="AP1052" s="122">
        <f t="shared" si="1426"/>
        <v>0</v>
      </c>
      <c r="AQ1052" s="122">
        <f t="shared" si="1427"/>
        <v>-1.05</v>
      </c>
      <c r="AR1052" s="122">
        <f t="shared" si="1427"/>
        <v>-2.5949999999999998</v>
      </c>
      <c r="AS1052" s="122">
        <f t="shared" si="1427"/>
        <v>0</v>
      </c>
      <c r="AT1052" s="674">
        <f t="shared" si="1428"/>
        <v>-3.645</v>
      </c>
      <c r="AU1052" s="122">
        <f t="shared" si="1428"/>
        <v>0</v>
      </c>
      <c r="AV1052" s="122">
        <f t="shared" si="1429"/>
        <v>0</v>
      </c>
      <c r="AW1052" s="122">
        <f t="shared" si="1429"/>
        <v>-0.77700000000000002</v>
      </c>
      <c r="AX1052" s="122">
        <f t="shared" si="1429"/>
        <v>-1.0000000000000009E-3</v>
      </c>
      <c r="AY1052" s="674">
        <f t="shared" si="1430"/>
        <v>-0.77800000000000002</v>
      </c>
      <c r="AZ1052" s="122">
        <f t="shared" si="1430"/>
        <v>0</v>
      </c>
      <c r="BA1052" s="122">
        <f t="shared" si="1431"/>
        <v>0</v>
      </c>
      <c r="BB1052" s="122">
        <f t="shared" si="1431"/>
        <v>0</v>
      </c>
      <c r="BC1052" s="122">
        <f t="shared" si="1431"/>
        <v>0</v>
      </c>
      <c r="BD1052" s="674">
        <f t="shared" si="1432"/>
        <v>0</v>
      </c>
      <c r="BE1052" s="122">
        <f t="shared" si="1432"/>
        <v>0</v>
      </c>
      <c r="BF1052" s="122">
        <f t="shared" si="1433"/>
        <v>0</v>
      </c>
      <c r="BG1052" s="122">
        <f t="shared" si="1433"/>
        <v>0</v>
      </c>
      <c r="BH1052" s="122">
        <f t="shared" si="1433"/>
        <v>0</v>
      </c>
      <c r="BI1052" s="674">
        <f t="shared" si="1434"/>
        <v>0</v>
      </c>
      <c r="BJ1052" s="1274">
        <f t="shared" si="1434"/>
        <v>0</v>
      </c>
      <c r="BK1052" s="118"/>
      <c r="BL1052" s="118"/>
      <c r="BM1052" s="118"/>
      <c r="BN1052" s="401">
        <f t="shared" si="1435"/>
        <v>0</v>
      </c>
      <c r="BO1052" s="118"/>
      <c r="BP1052" s="118"/>
      <c r="BQ1052" s="118"/>
      <c r="BR1052" s="118"/>
      <c r="BS1052" s="401">
        <f t="shared" si="1436"/>
        <v>0</v>
      </c>
      <c r="BT1052" s="401"/>
      <c r="BU1052" s="401"/>
      <c r="BV1052" s="401"/>
      <c r="BW1052" s="122"/>
    </row>
    <row r="1053" spans="1:75" s="123" customFormat="1" x14ac:dyDescent="0.5">
      <c r="A1053" s="1292" t="str">
        <f t="shared" si="1411"/>
        <v>Other</v>
      </c>
      <c r="B1053" s="723"/>
      <c r="C1053" s="1293">
        <f t="shared" si="1412"/>
        <v>-3.5000000000000003E-2</v>
      </c>
      <c r="D1053" s="1293">
        <f t="shared" si="1412"/>
        <v>-1.625</v>
      </c>
      <c r="E1053" s="1293">
        <f t="shared" si="1412"/>
        <v>-8.5999999999999993E-2</v>
      </c>
      <c r="F1053" s="1293">
        <f t="shared" si="1412"/>
        <v>-0.40500000000000003</v>
      </c>
      <c r="G1053" s="431">
        <f t="shared" si="1412"/>
        <v>0</v>
      </c>
      <c r="H1053" s="431">
        <f t="shared" si="1413"/>
        <v>0</v>
      </c>
      <c r="I1053" s="431">
        <f t="shared" si="1413"/>
        <v>-4.2000000000000003E-2</v>
      </c>
      <c r="J1053" s="431">
        <f t="shared" si="1413"/>
        <v>-1.6E-2</v>
      </c>
      <c r="K1053" s="1293">
        <f t="shared" si="1414"/>
        <v>-5.8000000000000003E-2</v>
      </c>
      <c r="L1053" s="431">
        <f t="shared" si="1414"/>
        <v>-6.0000000000000001E-3</v>
      </c>
      <c r="M1053" s="431">
        <f t="shared" si="1415"/>
        <v>0</v>
      </c>
      <c r="N1053" s="431">
        <f t="shared" si="1415"/>
        <v>2E-3</v>
      </c>
      <c r="O1053" s="431">
        <f t="shared" si="1415"/>
        <v>-0.75600000000000001</v>
      </c>
      <c r="P1053" s="1293">
        <f t="shared" si="1416"/>
        <v>-0.76</v>
      </c>
      <c r="Q1053" s="431">
        <f t="shared" si="1416"/>
        <v>0</v>
      </c>
      <c r="R1053" s="431">
        <f t="shared" si="1417"/>
        <v>0</v>
      </c>
      <c r="S1053" s="431">
        <f t="shared" si="1417"/>
        <v>0</v>
      </c>
      <c r="T1053" s="431">
        <f t="shared" si="1417"/>
        <v>-0.13500000000000001</v>
      </c>
      <c r="U1053" s="1293">
        <f t="shared" si="1418"/>
        <v>-0.13500000000000001</v>
      </c>
      <c r="V1053" s="431">
        <f t="shared" si="1418"/>
        <v>-4.8000000000000001E-2</v>
      </c>
      <c r="W1053" s="431">
        <f t="shared" si="1419"/>
        <v>1.0000000000000009E-3</v>
      </c>
      <c r="X1053" s="431">
        <f t="shared" si="1419"/>
        <v>-1.0000000000000009E-3</v>
      </c>
      <c r="Y1053" s="431">
        <f t="shared" si="1419"/>
        <v>-0.311</v>
      </c>
      <c r="Z1053" s="1293">
        <f t="shared" si="1420"/>
        <v>-0.35899999999999999</v>
      </c>
      <c r="AA1053" s="431">
        <f t="shared" si="1420"/>
        <v>0</v>
      </c>
      <c r="AB1053" s="431">
        <f t="shared" si="1421"/>
        <v>0</v>
      </c>
      <c r="AC1053" s="431">
        <f t="shared" si="1421"/>
        <v>-0.02</v>
      </c>
      <c r="AD1053" s="431">
        <f t="shared" si="1421"/>
        <v>-1.177</v>
      </c>
      <c r="AE1053" s="1293">
        <f t="shared" si="1422"/>
        <v>-1.1970000000000001</v>
      </c>
      <c r="AF1053" s="431">
        <f t="shared" si="1422"/>
        <v>0</v>
      </c>
      <c r="AG1053" s="431">
        <f t="shared" si="1423"/>
        <v>0</v>
      </c>
      <c r="AH1053" s="431">
        <f t="shared" si="1423"/>
        <v>0</v>
      </c>
      <c r="AI1053" s="431">
        <f t="shared" si="1423"/>
        <v>0</v>
      </c>
      <c r="AJ1053" s="1293">
        <f t="shared" si="1424"/>
        <v>0</v>
      </c>
      <c r="AK1053" s="431">
        <f t="shared" si="1424"/>
        <v>0</v>
      </c>
      <c r="AL1053" s="431">
        <f t="shared" si="1425"/>
        <v>0</v>
      </c>
      <c r="AM1053" s="431">
        <f t="shared" si="1425"/>
        <v>0</v>
      </c>
      <c r="AN1053" s="431">
        <f t="shared" si="1425"/>
        <v>0</v>
      </c>
      <c r="AO1053" s="1293">
        <f t="shared" si="1426"/>
        <v>0</v>
      </c>
      <c r="AP1053" s="431">
        <f t="shared" si="1426"/>
        <v>0</v>
      </c>
      <c r="AQ1053" s="431">
        <f t="shared" si="1427"/>
        <v>0</v>
      </c>
      <c r="AR1053" s="431">
        <f t="shared" si="1427"/>
        <v>0</v>
      </c>
      <c r="AS1053" s="431">
        <f t="shared" si="1427"/>
        <v>0</v>
      </c>
      <c r="AT1053" s="1293">
        <f t="shared" si="1428"/>
        <v>0</v>
      </c>
      <c r="AU1053" s="431">
        <f t="shared" si="1428"/>
        <v>0</v>
      </c>
      <c r="AV1053" s="431">
        <f t="shared" si="1429"/>
        <v>0</v>
      </c>
      <c r="AW1053" s="431">
        <f t="shared" si="1429"/>
        <v>0</v>
      </c>
      <c r="AX1053" s="431">
        <f t="shared" si="1429"/>
        <v>0</v>
      </c>
      <c r="AY1053" s="1293">
        <f t="shared" si="1430"/>
        <v>0</v>
      </c>
      <c r="AZ1053" s="431">
        <f t="shared" si="1430"/>
        <v>0</v>
      </c>
      <c r="BA1053" s="431">
        <f t="shared" si="1431"/>
        <v>0</v>
      </c>
      <c r="BB1053" s="431">
        <f t="shared" si="1431"/>
        <v>0</v>
      </c>
      <c r="BC1053" s="431">
        <f t="shared" si="1431"/>
        <v>0</v>
      </c>
      <c r="BD1053" s="1293">
        <f t="shared" si="1432"/>
        <v>0</v>
      </c>
      <c r="BE1053" s="431">
        <f t="shared" si="1432"/>
        <v>0</v>
      </c>
      <c r="BF1053" s="431">
        <f t="shared" si="1433"/>
        <v>0</v>
      </c>
      <c r="BG1053" s="431">
        <f t="shared" si="1433"/>
        <v>0</v>
      </c>
      <c r="BH1053" s="431">
        <f t="shared" si="1433"/>
        <v>0</v>
      </c>
      <c r="BI1053" s="1293">
        <f t="shared" si="1434"/>
        <v>0</v>
      </c>
      <c r="BJ1053" s="1294">
        <f t="shared" si="1434"/>
        <v>0</v>
      </c>
      <c r="BK1053" s="723"/>
      <c r="BL1053" s="723"/>
      <c r="BM1053" s="723"/>
      <c r="BN1053" s="406">
        <f t="shared" si="1435"/>
        <v>0</v>
      </c>
      <c r="BO1053" s="723"/>
      <c r="BP1053" s="723"/>
      <c r="BQ1053" s="723"/>
      <c r="BR1053" s="723"/>
      <c r="BS1053" s="406">
        <f t="shared" si="1436"/>
        <v>0</v>
      </c>
      <c r="BT1053" s="406"/>
      <c r="BU1053" s="406"/>
      <c r="BV1053" s="406"/>
      <c r="BW1053" s="122"/>
    </row>
    <row r="1054" spans="1:75" s="198" customFormat="1" ht="14.25" x14ac:dyDescent="0.45">
      <c r="A1054" s="516" t="str">
        <f t="shared" si="1411"/>
        <v>Net CFF</v>
      </c>
      <c r="B1054" s="517"/>
      <c r="C1054" s="519">
        <f t="shared" ref="C1054:BD1054" si="1440">SUM(C1042:C1053)</f>
        <v>-55.49799999999999</v>
      </c>
      <c r="D1054" s="519">
        <f t="shared" si="1440"/>
        <v>-178.315</v>
      </c>
      <c r="E1054" s="519">
        <f t="shared" si="1440"/>
        <v>-259.03899999999999</v>
      </c>
      <c r="F1054" s="519">
        <f t="shared" si="1440"/>
        <v>-236.44500000000002</v>
      </c>
      <c r="G1054" s="520">
        <f t="shared" si="1440"/>
        <v>-64.757000000000019</v>
      </c>
      <c r="H1054" s="520">
        <f t="shared" si="1440"/>
        <v>-119.55799999999999</v>
      </c>
      <c r="I1054" s="520">
        <f t="shared" si="1440"/>
        <v>-116.846</v>
      </c>
      <c r="J1054" s="520">
        <f t="shared" si="1440"/>
        <v>-54.215000000000003</v>
      </c>
      <c r="K1054" s="519">
        <f t="shared" si="1440"/>
        <v>-355.37600000000003</v>
      </c>
      <c r="L1054" s="520">
        <f t="shared" si="1440"/>
        <v>-108.56799999999998</v>
      </c>
      <c r="M1054" s="520">
        <f t="shared" si="1440"/>
        <v>-92.324999999999989</v>
      </c>
      <c r="N1054" s="520">
        <f t="shared" si="1440"/>
        <v>-26.919000000000008</v>
      </c>
      <c r="O1054" s="520">
        <f t="shared" si="1440"/>
        <v>-151.208</v>
      </c>
      <c r="P1054" s="519">
        <f t="shared" si="1440"/>
        <v>-379.02</v>
      </c>
      <c r="Q1054" s="520">
        <f t="shared" si="1440"/>
        <v>-35.67</v>
      </c>
      <c r="R1054" s="520">
        <f t="shared" si="1440"/>
        <v>-18.062999999999999</v>
      </c>
      <c r="S1054" s="520">
        <f t="shared" si="1440"/>
        <v>-54.841000000000008</v>
      </c>
      <c r="T1054" s="520">
        <f t="shared" si="1440"/>
        <v>-260.80899999999997</v>
      </c>
      <c r="U1054" s="519">
        <f t="shared" si="1440"/>
        <v>-369.38300000000004</v>
      </c>
      <c r="V1054" s="520">
        <f t="shared" si="1440"/>
        <v>6.8049999999999953</v>
      </c>
      <c r="W1054" s="520">
        <f t="shared" si="1440"/>
        <v>-43.964999999999996</v>
      </c>
      <c r="X1054" s="520">
        <f t="shared" si="1440"/>
        <v>-74.078000000000003</v>
      </c>
      <c r="Y1054" s="520">
        <f t="shared" si="1440"/>
        <v>-194.56799999999998</v>
      </c>
      <c r="Z1054" s="519">
        <f t="shared" si="1440"/>
        <v>-305.80599999999998</v>
      </c>
      <c r="AA1054" s="520">
        <f t="shared" si="1440"/>
        <v>-41.319000000000003</v>
      </c>
      <c r="AB1054" s="520">
        <f t="shared" si="1440"/>
        <v>-19.356000000000009</v>
      </c>
      <c r="AC1054" s="520">
        <f t="shared" si="1440"/>
        <v>-40.429999999999993</v>
      </c>
      <c r="AD1054" s="520">
        <f t="shared" si="1440"/>
        <v>49.398000000000003</v>
      </c>
      <c r="AE1054" s="519">
        <f t="shared" si="1440"/>
        <v>-51.706999999999994</v>
      </c>
      <c r="AF1054" s="520">
        <f t="shared" si="1440"/>
        <v>-79.232000000000014</v>
      </c>
      <c r="AG1054" s="520">
        <f t="shared" si="1440"/>
        <v>-178.25200000000001</v>
      </c>
      <c r="AH1054" s="520">
        <f t="shared" si="1440"/>
        <v>-22.296999999999983</v>
      </c>
      <c r="AI1054" s="520">
        <f t="shared" si="1440"/>
        <v>-170.28499999999997</v>
      </c>
      <c r="AJ1054" s="519">
        <f t="shared" si="1440"/>
        <v>-450.06599999999997</v>
      </c>
      <c r="AK1054" s="520">
        <f t="shared" si="1440"/>
        <v>-96.122000000000014</v>
      </c>
      <c r="AL1054" s="520">
        <f t="shared" si="1440"/>
        <v>-17.349000000000004</v>
      </c>
      <c r="AM1054" s="520">
        <f t="shared" si="1440"/>
        <v>-39.025000000000006</v>
      </c>
      <c r="AN1054" s="520">
        <f t="shared" si="1440"/>
        <v>-174.73</v>
      </c>
      <c r="AO1054" s="519">
        <f t="shared" si="1440"/>
        <v>-327.226</v>
      </c>
      <c r="AP1054" s="520">
        <f t="shared" si="1440"/>
        <v>419.52</v>
      </c>
      <c r="AQ1054" s="520">
        <f t="shared" si="1440"/>
        <v>-41.61</v>
      </c>
      <c r="AR1054" s="520">
        <f t="shared" si="1440"/>
        <v>-637.91899999999998</v>
      </c>
      <c r="AS1054" s="520">
        <f t="shared" si="1440"/>
        <v>-83.010000000000019</v>
      </c>
      <c r="AT1054" s="519">
        <f t="shared" si="1440"/>
        <v>-343.01899999999995</v>
      </c>
      <c r="AU1054" s="520">
        <f t="shared" si="1440"/>
        <v>-759.55600000000004</v>
      </c>
      <c r="AV1054" s="520">
        <f t="shared" si="1440"/>
        <v>-183.06099999999998</v>
      </c>
      <c r="AW1054" s="520">
        <f t="shared" si="1440"/>
        <v>-248.54199999999997</v>
      </c>
      <c r="AX1054" s="520">
        <f t="shared" si="1440"/>
        <v>-300.82599999999996</v>
      </c>
      <c r="AY1054" s="519">
        <f t="shared" si="1440"/>
        <v>-1491.9849999999999</v>
      </c>
      <c r="AZ1054" s="520">
        <f t="shared" si="1440"/>
        <v>-637.73300000000006</v>
      </c>
      <c r="BA1054" s="520">
        <f t="shared" si="1440"/>
        <v>-320.64</v>
      </c>
      <c r="BB1054" s="520">
        <f t="shared" si="1440"/>
        <v>-128.26700000000005</v>
      </c>
      <c r="BC1054" s="520">
        <f t="shared" si="1440"/>
        <v>-92.032999999999987</v>
      </c>
      <c r="BD1054" s="519">
        <f t="shared" si="1440"/>
        <v>-1178.673</v>
      </c>
      <c r="BE1054" s="520">
        <f>SUM(BE1042:BE1053)</f>
        <v>-362.42700000000002</v>
      </c>
      <c r="BF1054" s="520">
        <f>SUM(BF1042:BF1053)</f>
        <v>-114.166</v>
      </c>
      <c r="BG1054" s="520">
        <f t="shared" ref="BG1054:BV1054" si="1441">SUM(BG1042:BG1053)</f>
        <v>-62.086999999999968</v>
      </c>
      <c r="BH1054" s="520">
        <f t="shared" si="1441"/>
        <v>-59.627000000000002</v>
      </c>
      <c r="BI1054" s="519">
        <f t="shared" si="1441"/>
        <v>-598.30700000000002</v>
      </c>
      <c r="BJ1054" s="1270">
        <f>SUM(BJ1042:BJ1053)</f>
        <v>-193.65100000000001</v>
      </c>
      <c r="BK1054" s="327">
        <f t="shared" ca="1" si="1441"/>
        <v>-72.70080999999999</v>
      </c>
      <c r="BL1054" s="327">
        <f t="shared" ca="1" si="1441"/>
        <v>-72.70080999999999</v>
      </c>
      <c r="BM1054" s="327">
        <f t="shared" ca="1" si="1441"/>
        <v>-72.70080999999999</v>
      </c>
      <c r="BN1054" s="518">
        <f t="shared" ca="1" si="1441"/>
        <v>-411.75342999999998</v>
      </c>
      <c r="BO1054" s="327">
        <f t="shared" ca="1" si="1441"/>
        <v>-72.70080999999999</v>
      </c>
      <c r="BP1054" s="327">
        <f t="shared" ca="1" si="1441"/>
        <v>-72.70080999999999</v>
      </c>
      <c r="BQ1054" s="327">
        <f t="shared" ca="1" si="1441"/>
        <v>-72.70080999999999</v>
      </c>
      <c r="BR1054" s="327">
        <f t="shared" ca="1" si="1441"/>
        <v>-72.70080999999999</v>
      </c>
      <c r="BS1054" s="518">
        <f t="shared" ca="1" si="1441"/>
        <v>-290.80323999999996</v>
      </c>
      <c r="BT1054" s="518">
        <f t="shared" ca="1" si="1441"/>
        <v>-290.80323999999996</v>
      </c>
      <c r="BU1054" s="518">
        <f t="shared" ca="1" si="1441"/>
        <v>-290.80323999999996</v>
      </c>
      <c r="BV1054" s="518">
        <f t="shared" ca="1" si="1441"/>
        <v>-290.80323999999996</v>
      </c>
      <c r="BW1054" s="197"/>
    </row>
    <row r="1055" spans="1:75" s="123" customFormat="1" x14ac:dyDescent="0.5">
      <c r="A1055" s="752"/>
      <c r="B1055" s="513"/>
      <c r="C1055" s="401"/>
      <c r="D1055" s="401"/>
      <c r="E1055" s="401"/>
      <c r="F1055" s="401"/>
      <c r="G1055" s="118"/>
      <c r="H1055" s="118"/>
      <c r="I1055" s="118"/>
      <c r="J1055" s="118"/>
      <c r="K1055" s="401"/>
      <c r="L1055" s="118"/>
      <c r="M1055" s="118"/>
      <c r="N1055" s="118"/>
      <c r="O1055" s="118"/>
      <c r="P1055" s="401"/>
      <c r="Q1055" s="118"/>
      <c r="R1055" s="118"/>
      <c r="S1055" s="118"/>
      <c r="T1055" s="118"/>
      <c r="U1055" s="401"/>
      <c r="V1055" s="118"/>
      <c r="W1055" s="118"/>
      <c r="X1055" s="118"/>
      <c r="Y1055" s="118"/>
      <c r="Z1055" s="401"/>
      <c r="AA1055" s="118"/>
      <c r="AB1055" s="118"/>
      <c r="AC1055" s="118"/>
      <c r="AD1055" s="118"/>
      <c r="AE1055" s="401"/>
      <c r="AF1055" s="118"/>
      <c r="AG1055" s="118"/>
      <c r="AH1055" s="118"/>
      <c r="AI1055" s="118"/>
      <c r="AJ1055" s="401"/>
      <c r="AK1055" s="118"/>
      <c r="AL1055" s="118"/>
      <c r="AM1055" s="118"/>
      <c r="AN1055" s="118"/>
      <c r="AO1055" s="401"/>
      <c r="AP1055" s="118"/>
      <c r="AQ1055" s="118"/>
      <c r="AR1055" s="118"/>
      <c r="AS1055" s="118"/>
      <c r="AT1055" s="401"/>
      <c r="AU1055" s="118"/>
      <c r="AV1055" s="118"/>
      <c r="AW1055" s="118"/>
      <c r="AX1055" s="118"/>
      <c r="AY1055" s="401"/>
      <c r="AZ1055" s="118"/>
      <c r="BA1055" s="118"/>
      <c r="BB1055" s="118"/>
      <c r="BC1055" s="118"/>
      <c r="BD1055" s="401"/>
      <c r="BE1055" s="118"/>
      <c r="BF1055" s="118"/>
      <c r="BG1055" s="118"/>
      <c r="BH1055" s="118"/>
      <c r="BI1055" s="401"/>
      <c r="BJ1055" s="971"/>
      <c r="BK1055" s="118"/>
      <c r="BL1055" s="118"/>
      <c r="BM1055" s="118"/>
      <c r="BN1055" s="401"/>
      <c r="BO1055" s="118"/>
      <c r="BP1055" s="118"/>
      <c r="BQ1055" s="118"/>
      <c r="BR1055" s="118"/>
      <c r="BS1055" s="401"/>
      <c r="BT1055" s="401"/>
      <c r="BU1055" s="401"/>
      <c r="BV1055" s="401"/>
      <c r="BW1055" s="122"/>
    </row>
    <row r="1056" spans="1:75" s="198" customFormat="1" ht="14.25" x14ac:dyDescent="0.45">
      <c r="A1056" s="206" t="str">
        <f>A997</f>
        <v>FX</v>
      </c>
      <c r="B1056" s="522"/>
      <c r="C1056" s="397">
        <f>C997</f>
        <v>1.131</v>
      </c>
      <c r="D1056" s="397">
        <f>D997</f>
        <v>0.78100000000000003</v>
      </c>
      <c r="E1056" s="397">
        <f>E997</f>
        <v>-0.23699999999999999</v>
      </c>
      <c r="F1056" s="397">
        <f>F997</f>
        <v>0.93100000000000005</v>
      </c>
      <c r="G1056" s="295">
        <f>G997</f>
        <v>-0.78200000000000003</v>
      </c>
      <c r="H1056" s="295">
        <f>H997-G997</f>
        <v>-0.74199999999999999</v>
      </c>
      <c r="I1056" s="295">
        <f>I997-H997</f>
        <v>0.21500000000000008</v>
      </c>
      <c r="J1056" s="295">
        <f>J997-I997</f>
        <v>-0.89399999999999991</v>
      </c>
      <c r="K1056" s="397">
        <f>K997</f>
        <v>-2.2029999999999998</v>
      </c>
      <c r="L1056" s="295">
        <f>L997</f>
        <v>-0.36799999999999999</v>
      </c>
      <c r="M1056" s="295">
        <f>M997-L997</f>
        <v>0.44500000000000001</v>
      </c>
      <c r="N1056" s="295">
        <f>N997-M997</f>
        <v>-0.308</v>
      </c>
      <c r="O1056" s="295">
        <f>O997-N997</f>
        <v>-1.0399999999999998</v>
      </c>
      <c r="P1056" s="397">
        <f>P997</f>
        <v>-1.2709999999999999</v>
      </c>
      <c r="Q1056" s="295">
        <f>Q997</f>
        <v>-0.95599999999999996</v>
      </c>
      <c r="R1056" s="295">
        <f>R997-Q997</f>
        <v>1.3039999999999998</v>
      </c>
      <c r="S1056" s="295">
        <f>S997-R997</f>
        <v>5.2000000000000046E-2</v>
      </c>
      <c r="T1056" s="295">
        <f>T997-S997</f>
        <v>-2.157</v>
      </c>
      <c r="U1056" s="397">
        <f>U997</f>
        <v>-1.7569999999999999</v>
      </c>
      <c r="V1056" s="295">
        <f>V997</f>
        <v>-0.72</v>
      </c>
      <c r="W1056" s="295">
        <f>W997-V997</f>
        <v>-0.57899999999999996</v>
      </c>
      <c r="X1056" s="295">
        <f>X997-W997</f>
        <v>-1.3940000000000001</v>
      </c>
      <c r="Y1056" s="295">
        <f>Y997-X997</f>
        <v>0.83099999999999996</v>
      </c>
      <c r="Z1056" s="397">
        <f>Z997</f>
        <v>-1.8620000000000001</v>
      </c>
      <c r="AA1056" s="295">
        <f>AA997</f>
        <v>0.105</v>
      </c>
      <c r="AB1056" s="295">
        <f>AB997-AA997</f>
        <v>-2.4859999999999998</v>
      </c>
      <c r="AC1056" s="295">
        <f>AC997-AB997</f>
        <v>2.9849999999999999</v>
      </c>
      <c r="AD1056" s="295">
        <f>AD997-AC997</f>
        <v>-2.4180000000000001</v>
      </c>
      <c r="AE1056" s="397">
        <f>AE997</f>
        <v>-1.8140000000000001</v>
      </c>
      <c r="AF1056" s="295">
        <f>AF997</f>
        <v>2.48</v>
      </c>
      <c r="AG1056" s="295">
        <f>AG997-AF997</f>
        <v>-1.167</v>
      </c>
      <c r="AH1056" s="295">
        <f>AH997-AG997</f>
        <v>-0.23299999999999987</v>
      </c>
      <c r="AI1056" s="295">
        <f>AI997-AH997</f>
        <v>-0.28300000000000003</v>
      </c>
      <c r="AJ1056" s="397">
        <f>AJ997</f>
        <v>0.79700000000000004</v>
      </c>
      <c r="AK1056" s="295">
        <f>AK997</f>
        <v>-1.028</v>
      </c>
      <c r="AL1056" s="295">
        <f>AL997-AK997</f>
        <v>-0.63300000000000001</v>
      </c>
      <c r="AM1056" s="295">
        <f>AM997-AL997</f>
        <v>0.96200000000000008</v>
      </c>
      <c r="AN1056" s="295">
        <f>AN997-AM997</f>
        <v>-0.6130000000000001</v>
      </c>
      <c r="AO1056" s="397">
        <f>AO997</f>
        <v>-1.3120000000000001</v>
      </c>
      <c r="AP1056" s="295">
        <f>AP997</f>
        <v>-2.4740000000000002</v>
      </c>
      <c r="AQ1056" s="295">
        <f>AQ997-AP997</f>
        <v>-0.35599999999999987</v>
      </c>
      <c r="AR1056" s="295">
        <f>AR997-AQ997</f>
        <v>1.5980000000000001</v>
      </c>
      <c r="AS1056" s="295">
        <f>AS997-AR997</f>
        <v>6.4620000000000006</v>
      </c>
      <c r="AT1056" s="397">
        <f>AT997</f>
        <v>5.23</v>
      </c>
      <c r="AU1056" s="295">
        <f>AU997</f>
        <v>2.2749999999999999</v>
      </c>
      <c r="AV1056" s="295">
        <f>AV997-AU997</f>
        <v>-2.2679999999999998</v>
      </c>
      <c r="AW1056" s="295">
        <f>AW997-AV997</f>
        <v>0.28699999999999998</v>
      </c>
      <c r="AX1056" s="295">
        <f>AX997-AW997</f>
        <v>-3.2080000000000002</v>
      </c>
      <c r="AY1056" s="397">
        <f>AY997</f>
        <v>-2.9140000000000001</v>
      </c>
      <c r="AZ1056" s="295">
        <f>AZ997</f>
        <v>-1.1890000000000001</v>
      </c>
      <c r="BA1056" s="295">
        <f>BA997-AZ997</f>
        <v>-0.96199999999999974</v>
      </c>
      <c r="BB1056" s="295">
        <f>BB997-BA997</f>
        <v>-2.7359999999999998</v>
      </c>
      <c r="BC1056" s="295">
        <f>BC997-BB997</f>
        <v>1.6989999999999994</v>
      </c>
      <c r="BD1056" s="397">
        <f>BD997</f>
        <v>-3.1880000000000002</v>
      </c>
      <c r="BE1056" s="295">
        <f>BE997</f>
        <v>-0.27100000000000002</v>
      </c>
      <c r="BF1056" s="295">
        <f>BF997-BE997</f>
        <v>1.6390000000000002</v>
      </c>
      <c r="BG1056" s="295">
        <f>BG997-BF997</f>
        <v>-2.21</v>
      </c>
      <c r="BH1056" s="295">
        <f>BH997-BG997</f>
        <v>1.7959999999999998</v>
      </c>
      <c r="BI1056" s="397">
        <f>BI997</f>
        <v>0.95399999999999996</v>
      </c>
      <c r="BJ1056" s="1030">
        <f>BJ997</f>
        <v>-0.876</v>
      </c>
      <c r="BK1056" s="638">
        <v>0</v>
      </c>
      <c r="BL1056" s="638">
        <v>0</v>
      </c>
      <c r="BM1056" s="638">
        <v>0</v>
      </c>
      <c r="BN1056" s="397">
        <f>SUM(BJ1056,BK1056,BL1056,BM1056)</f>
        <v>-0.876</v>
      </c>
      <c r="BO1056" s="638">
        <v>0</v>
      </c>
      <c r="BP1056" s="638">
        <v>0</v>
      </c>
      <c r="BQ1056" s="638">
        <v>0</v>
      </c>
      <c r="BR1056" s="638">
        <v>0</v>
      </c>
      <c r="BS1056" s="397">
        <f>SUM(BO1056,BP1056,BQ1056,BR1056)</f>
        <v>0</v>
      </c>
      <c r="BT1056" s="671">
        <v>0</v>
      </c>
      <c r="BU1056" s="671">
        <v>0</v>
      </c>
      <c r="BV1056" s="671">
        <v>0</v>
      </c>
      <c r="BW1056" s="197"/>
    </row>
    <row r="1057" spans="1:75" s="198" customFormat="1" ht="14.25" x14ac:dyDescent="0.45">
      <c r="A1057" s="463" t="str">
        <f>A998</f>
        <v>Net Change in Cash Balance</v>
      </c>
      <c r="B1057" s="522"/>
      <c r="C1057" s="672">
        <f t="shared" ref="C1057:BD1057" si="1442">C1054+C1039+C1030+C1056</f>
        <v>365.12099999999992</v>
      </c>
      <c r="D1057" s="672">
        <f t="shared" si="1442"/>
        <v>114.45999999999987</v>
      </c>
      <c r="E1057" s="672">
        <f t="shared" si="1442"/>
        <v>-125.64600000000004</v>
      </c>
      <c r="F1057" s="672">
        <f t="shared" si="1442"/>
        <v>-78.202000000000041</v>
      </c>
      <c r="G1057" s="197">
        <f t="shared" si="1442"/>
        <v>-172.01900000000001</v>
      </c>
      <c r="H1057" s="197">
        <f t="shared" si="1442"/>
        <v>-47.172000000000018</v>
      </c>
      <c r="I1057" s="197">
        <f t="shared" si="1442"/>
        <v>-76.604999999999876</v>
      </c>
      <c r="J1057" s="197">
        <f t="shared" si="1442"/>
        <v>201.36199999999985</v>
      </c>
      <c r="K1057" s="672">
        <f t="shared" si="1442"/>
        <v>-94.433999999999997</v>
      </c>
      <c r="L1057" s="197">
        <f t="shared" si="1442"/>
        <v>-217.25099999999998</v>
      </c>
      <c r="M1057" s="197">
        <f t="shared" si="1442"/>
        <v>-42.295999999999999</v>
      </c>
      <c r="N1057" s="197">
        <f t="shared" si="1442"/>
        <v>37.129000000000012</v>
      </c>
      <c r="O1057" s="197">
        <f t="shared" si="1442"/>
        <v>115.22399999999995</v>
      </c>
      <c r="P1057" s="672">
        <f t="shared" si="1442"/>
        <v>-107.19399999999995</v>
      </c>
      <c r="Q1057" s="197">
        <f t="shared" si="1442"/>
        <v>-144.07599999999999</v>
      </c>
      <c r="R1057" s="197">
        <f t="shared" si="1442"/>
        <v>40.92500000000004</v>
      </c>
      <c r="S1057" s="197">
        <f t="shared" si="1442"/>
        <v>-47.512</v>
      </c>
      <c r="T1057" s="197">
        <f t="shared" si="1442"/>
        <v>121.38299999999991</v>
      </c>
      <c r="U1057" s="672">
        <f t="shared" si="1442"/>
        <v>-29.280000000000026</v>
      </c>
      <c r="V1057" s="197">
        <f t="shared" si="1442"/>
        <v>-94.43</v>
      </c>
      <c r="W1057" s="197">
        <f t="shared" si="1442"/>
        <v>11.904999999999994</v>
      </c>
      <c r="X1057" s="197">
        <f t="shared" si="1442"/>
        <v>-35.741000000000021</v>
      </c>
      <c r="Y1057" s="197">
        <f t="shared" si="1442"/>
        <v>138.33199999999997</v>
      </c>
      <c r="Z1057" s="672">
        <f t="shared" si="1442"/>
        <v>20.065999999999995</v>
      </c>
      <c r="AA1057" s="197">
        <f t="shared" si="1442"/>
        <v>-119.73799999999999</v>
      </c>
      <c r="AB1057" s="197">
        <f t="shared" si="1442"/>
        <v>9.1339999999999471</v>
      </c>
      <c r="AC1057" s="197">
        <f t="shared" si="1442"/>
        <v>-12.329999999999998</v>
      </c>
      <c r="AD1057" s="197">
        <f t="shared" si="1442"/>
        <v>299.35699999999997</v>
      </c>
      <c r="AE1057" s="672">
        <f t="shared" si="1442"/>
        <v>176.42300000000003</v>
      </c>
      <c r="AF1057" s="197">
        <f t="shared" si="1442"/>
        <v>-99.89200000000001</v>
      </c>
      <c r="AG1057" s="197">
        <f t="shared" si="1442"/>
        <v>-115.66400000000002</v>
      </c>
      <c r="AH1057" s="197">
        <f t="shared" si="1442"/>
        <v>-10.165999999999979</v>
      </c>
      <c r="AI1057" s="197">
        <f t="shared" si="1442"/>
        <v>174.54</v>
      </c>
      <c r="AJ1057" s="672">
        <f t="shared" si="1442"/>
        <v>-51.181999999999931</v>
      </c>
      <c r="AK1057" s="197">
        <f t="shared" si="1442"/>
        <v>-231.27099999999999</v>
      </c>
      <c r="AL1057" s="197">
        <f t="shared" si="1442"/>
        <v>12.784000000000024</v>
      </c>
      <c r="AM1057" s="197">
        <f t="shared" si="1442"/>
        <v>34.557999999999993</v>
      </c>
      <c r="AN1057" s="197">
        <f t="shared" si="1442"/>
        <v>277.13699999999983</v>
      </c>
      <c r="AO1057" s="672">
        <f t="shared" si="1442"/>
        <v>93.208000000000212</v>
      </c>
      <c r="AP1057" s="197">
        <f t="shared" si="1442"/>
        <v>428.84</v>
      </c>
      <c r="AQ1057" s="197">
        <f t="shared" si="1442"/>
        <v>86.757999999999953</v>
      </c>
      <c r="AR1057" s="197">
        <f t="shared" si="1442"/>
        <v>-174.58999999999975</v>
      </c>
      <c r="AS1057" s="197">
        <f t="shared" si="1442"/>
        <v>427.16700000000003</v>
      </c>
      <c r="AT1057" s="672">
        <f t="shared" si="1442"/>
        <v>768.17500000000018</v>
      </c>
      <c r="AU1057" s="197">
        <f t="shared" si="1442"/>
        <v>-560.66700000000014</v>
      </c>
      <c r="AV1057" s="197">
        <f t="shared" si="1442"/>
        <v>15.541000000000054</v>
      </c>
      <c r="AW1057" s="197">
        <f t="shared" si="1442"/>
        <v>1.6869999999999772</v>
      </c>
      <c r="AX1057" s="197">
        <f t="shared" si="1442"/>
        <v>193.44000000000003</v>
      </c>
      <c r="AY1057" s="672">
        <f t="shared" si="1442"/>
        <v>-349.9989999999998</v>
      </c>
      <c r="AZ1057" s="197">
        <f t="shared" si="1442"/>
        <v>-525.50300000000004</v>
      </c>
      <c r="BA1057" s="197">
        <f t="shared" si="1442"/>
        <v>-199.89099999999991</v>
      </c>
      <c r="BB1057" s="197">
        <f t="shared" si="1442"/>
        <v>-11.886000000000063</v>
      </c>
      <c r="BC1057" s="197">
        <f t="shared" si="1442"/>
        <v>254.28599999999994</v>
      </c>
      <c r="BD1057" s="672">
        <f t="shared" si="1442"/>
        <v>-482.99400000000026</v>
      </c>
      <c r="BE1057" s="197">
        <f>BE1054+BE1039+BE1030+BE1056</f>
        <v>-70.052999999999926</v>
      </c>
      <c r="BF1057" s="197">
        <f>BF1054+BF1039+BF1030+BF1056</f>
        <v>217.14399999999998</v>
      </c>
      <c r="BG1057" s="197">
        <f t="shared" ref="BG1057:BV1057" si="1443">BG1054+BG1039+BG1030+BG1056</f>
        <v>184.37199999999996</v>
      </c>
      <c r="BH1057" s="197">
        <f t="shared" si="1443"/>
        <v>563.20000000000016</v>
      </c>
      <c r="BI1057" s="672">
        <f t="shared" si="1443"/>
        <v>894.66299999999956</v>
      </c>
      <c r="BJ1057" s="1273">
        <f>BJ1054+BJ1039+BJ1030+BJ1056</f>
        <v>-7.221000000000056</v>
      </c>
      <c r="BK1057" s="295">
        <f t="shared" ca="1" si="1443"/>
        <v>35.763194332718683</v>
      </c>
      <c r="BL1057" s="295">
        <f t="shared" ca="1" si="1443"/>
        <v>217.40047120022069</v>
      </c>
      <c r="BM1057" s="295">
        <f t="shared" ca="1" si="1443"/>
        <v>521.9353230218735</v>
      </c>
      <c r="BN1057" s="397">
        <f t="shared" ca="1" si="1443"/>
        <v>767.87798855481287</v>
      </c>
      <c r="BO1057" s="295">
        <f t="shared" ca="1" si="1443"/>
        <v>-18.7114589992741</v>
      </c>
      <c r="BP1057" s="295">
        <f t="shared" ca="1" si="1443"/>
        <v>16.253338109428171</v>
      </c>
      <c r="BQ1057" s="295">
        <f t="shared" ca="1" si="1443"/>
        <v>229.56956904889415</v>
      </c>
      <c r="BR1057" s="295">
        <f t="shared" ca="1" si="1443"/>
        <v>496.59271426190509</v>
      </c>
      <c r="BS1057" s="397">
        <f t="shared" ca="1" si="1443"/>
        <v>723.70416242095303</v>
      </c>
      <c r="BT1057" s="397">
        <f t="shared" ca="1" si="1443"/>
        <v>814.94091121961992</v>
      </c>
      <c r="BU1057" s="397">
        <f t="shared" ca="1" si="1443"/>
        <v>957.60886719635414</v>
      </c>
      <c r="BV1057" s="397">
        <f t="shared" ca="1" si="1443"/>
        <v>1102.360158340957</v>
      </c>
      <c r="BW1057" s="197"/>
    </row>
    <row r="1058" spans="1:75" s="123" customFormat="1" x14ac:dyDescent="0.5">
      <c r="A1058" s="752"/>
      <c r="B1058" s="513"/>
      <c r="C1058" s="401"/>
      <c r="D1058" s="401"/>
      <c r="E1058" s="401"/>
      <c r="F1058" s="401"/>
      <c r="G1058" s="118"/>
      <c r="H1058" s="118"/>
      <c r="I1058" s="118"/>
      <c r="J1058" s="118"/>
      <c r="K1058" s="401"/>
      <c r="L1058" s="118"/>
      <c r="M1058" s="118"/>
      <c r="N1058" s="118"/>
      <c r="O1058" s="118"/>
      <c r="P1058" s="401"/>
      <c r="Q1058" s="118"/>
      <c r="R1058" s="118"/>
      <c r="S1058" s="118"/>
      <c r="T1058" s="118"/>
      <c r="U1058" s="401"/>
      <c r="V1058" s="118"/>
      <c r="W1058" s="118"/>
      <c r="X1058" s="118"/>
      <c r="Y1058" s="118"/>
      <c r="Z1058" s="401"/>
      <c r="AA1058" s="118"/>
      <c r="AB1058" s="118"/>
      <c r="AC1058" s="118"/>
      <c r="AD1058" s="118"/>
      <c r="AE1058" s="401"/>
      <c r="AF1058" s="118"/>
      <c r="AG1058" s="118"/>
      <c r="AH1058" s="118"/>
      <c r="AI1058" s="118"/>
      <c r="AJ1058" s="401"/>
      <c r="AK1058" s="118"/>
      <c r="AL1058" s="118"/>
      <c r="AM1058" s="118"/>
      <c r="AN1058" s="118"/>
      <c r="AO1058" s="401"/>
      <c r="AP1058" s="118"/>
      <c r="AQ1058" s="118"/>
      <c r="AR1058" s="118"/>
      <c r="AS1058" s="118"/>
      <c r="AT1058" s="401"/>
      <c r="AU1058" s="118"/>
      <c r="AV1058" s="118"/>
      <c r="AW1058" s="118"/>
      <c r="AX1058" s="118"/>
      <c r="AY1058" s="401"/>
      <c r="AZ1058" s="118"/>
      <c r="BA1058" s="118"/>
      <c r="BB1058" s="118"/>
      <c r="BC1058" s="118"/>
      <c r="BD1058" s="401"/>
      <c r="BE1058" s="118"/>
      <c r="BF1058" s="118"/>
      <c r="BG1058" s="118"/>
      <c r="BH1058" s="118"/>
      <c r="BI1058" s="401"/>
      <c r="BJ1058" s="971"/>
      <c r="BK1058" s="118"/>
      <c r="BL1058" s="118"/>
      <c r="BM1058" s="118"/>
      <c r="BN1058" s="401"/>
      <c r="BO1058" s="118"/>
      <c r="BP1058" s="118"/>
      <c r="BQ1058" s="118"/>
      <c r="BR1058" s="118"/>
      <c r="BS1058" s="401"/>
      <c r="BT1058" s="401"/>
      <c r="BU1058" s="401"/>
      <c r="BV1058" s="401"/>
      <c r="BW1058" s="122"/>
    </row>
    <row r="1059" spans="1:75" s="198" customFormat="1" ht="14.25" x14ac:dyDescent="0.45">
      <c r="A1059" s="463" t="str">
        <f>A1000</f>
        <v>Beginning Cash Balance</v>
      </c>
      <c r="B1059" s="522"/>
      <c r="C1059" s="672">
        <f>C1000</f>
        <v>148.822</v>
      </c>
      <c r="D1059" s="672">
        <f t="shared" ref="D1059:J1059" si="1444">C1060</f>
        <v>513.94299999999998</v>
      </c>
      <c r="E1059" s="672">
        <f t="shared" si="1444"/>
        <v>628.40299999999979</v>
      </c>
      <c r="F1059" s="672">
        <f t="shared" si="1444"/>
        <v>502.75699999999972</v>
      </c>
      <c r="G1059" s="197">
        <f t="shared" si="1444"/>
        <v>424.55499999999967</v>
      </c>
      <c r="H1059" s="197">
        <f t="shared" si="1444"/>
        <v>252.53599999999966</v>
      </c>
      <c r="I1059" s="197">
        <f t="shared" si="1444"/>
        <v>205.36399999999963</v>
      </c>
      <c r="J1059" s="197">
        <f t="shared" si="1444"/>
        <v>128.75899999999976</v>
      </c>
      <c r="K1059" s="672">
        <f>F1060</f>
        <v>424.55499999999967</v>
      </c>
      <c r="L1059" s="197">
        <f>K1060</f>
        <v>330.12099999999964</v>
      </c>
      <c r="M1059" s="197">
        <f>L1060</f>
        <v>112.86999999999966</v>
      </c>
      <c r="N1059" s="197">
        <f>M1060</f>
        <v>70.573999999999671</v>
      </c>
      <c r="O1059" s="197">
        <f>N1060</f>
        <v>107.70299999999969</v>
      </c>
      <c r="P1059" s="672">
        <f>K1060</f>
        <v>330.12099999999964</v>
      </c>
      <c r="Q1059" s="197">
        <f>P1060</f>
        <v>222.92699999999968</v>
      </c>
      <c r="R1059" s="197">
        <f>Q1060</f>
        <v>78.850999999999686</v>
      </c>
      <c r="S1059" s="197">
        <f>R1060</f>
        <v>119.77599999999973</v>
      </c>
      <c r="T1059" s="197">
        <f>S1060</f>
        <v>72.263999999999726</v>
      </c>
      <c r="U1059" s="672">
        <f>P1060</f>
        <v>222.92699999999968</v>
      </c>
      <c r="V1059" s="197">
        <f>U1060</f>
        <v>193.64699999999965</v>
      </c>
      <c r="W1059" s="197">
        <f>V1060</f>
        <v>99.216999999999643</v>
      </c>
      <c r="X1059" s="197">
        <f>W1060</f>
        <v>111.12199999999964</v>
      </c>
      <c r="Y1059" s="197">
        <f>X1060</f>
        <v>75.380999999999631</v>
      </c>
      <c r="Z1059" s="672">
        <f>U1060</f>
        <v>193.64699999999965</v>
      </c>
      <c r="AA1059" s="197">
        <f>Z1060</f>
        <v>213.71299999999965</v>
      </c>
      <c r="AB1059" s="197">
        <f>AA1060</f>
        <v>93.974999999999667</v>
      </c>
      <c r="AC1059" s="197">
        <f>AB1060</f>
        <v>103.10899999999961</v>
      </c>
      <c r="AD1059" s="197">
        <f>AC1060</f>
        <v>90.778999999999613</v>
      </c>
      <c r="AE1059" s="672">
        <f>Z1060</f>
        <v>213.71299999999965</v>
      </c>
      <c r="AF1059" s="197">
        <f>AE1060</f>
        <v>390.13599999999968</v>
      </c>
      <c r="AG1059" s="197">
        <f>AF1060</f>
        <v>290.24399999999969</v>
      </c>
      <c r="AH1059" s="197">
        <f>AG1060</f>
        <v>174.57999999999967</v>
      </c>
      <c r="AI1059" s="197">
        <f>AH1060</f>
        <v>164.4139999999997</v>
      </c>
      <c r="AJ1059" s="672">
        <f>AE1060</f>
        <v>390.13599999999968</v>
      </c>
      <c r="AK1059" s="197">
        <f>AJ1060</f>
        <v>338.95399999999972</v>
      </c>
      <c r="AL1059" s="197">
        <f>AK1060</f>
        <v>107.68299999999974</v>
      </c>
      <c r="AM1059" s="197">
        <f>AL1060</f>
        <v>120.46699999999976</v>
      </c>
      <c r="AN1059" s="197">
        <f>AM1060</f>
        <v>155.02499999999975</v>
      </c>
      <c r="AO1059" s="672">
        <f>AJ1060</f>
        <v>338.95399999999972</v>
      </c>
      <c r="AP1059" s="197">
        <f>AO1060</f>
        <v>432.16199999999992</v>
      </c>
      <c r="AQ1059" s="197">
        <f>AP1060</f>
        <v>861.00199999999995</v>
      </c>
      <c r="AR1059" s="197">
        <f>AQ1060</f>
        <v>947.75999999999988</v>
      </c>
      <c r="AS1059" s="197">
        <f>AR1060</f>
        <v>773.17000000000007</v>
      </c>
      <c r="AT1059" s="672">
        <f>AO1060</f>
        <v>432.16199999999992</v>
      </c>
      <c r="AU1059" s="197">
        <f>AT1060</f>
        <v>1200.337</v>
      </c>
      <c r="AV1059" s="197">
        <f>AU1060</f>
        <v>639.66999999999985</v>
      </c>
      <c r="AW1059" s="197">
        <f>AV1060</f>
        <v>655.2109999999999</v>
      </c>
      <c r="AX1059" s="197">
        <f>AW1060</f>
        <v>656.89799999999991</v>
      </c>
      <c r="AY1059" s="672">
        <f>AT1060</f>
        <v>1200.337</v>
      </c>
      <c r="AZ1059" s="197">
        <f>AY1060</f>
        <v>850.33800000000019</v>
      </c>
      <c r="BA1059" s="197">
        <f>AZ1060</f>
        <v>324.83500000000015</v>
      </c>
      <c r="BB1059" s="197">
        <f>BA1060</f>
        <v>124.94400000000024</v>
      </c>
      <c r="BC1059" s="197">
        <f>BB1060</f>
        <v>113.05800000000018</v>
      </c>
      <c r="BD1059" s="672">
        <f>AY1060</f>
        <v>850.33800000000019</v>
      </c>
      <c r="BE1059" s="197">
        <f>BD1060</f>
        <v>367.34399999999994</v>
      </c>
      <c r="BF1059" s="197">
        <f>BE1060</f>
        <v>297.291</v>
      </c>
      <c r="BG1059" s="197">
        <f>BF1060</f>
        <v>514.43499999999995</v>
      </c>
      <c r="BH1059" s="197">
        <f>BG1060</f>
        <v>698.8069999999999</v>
      </c>
      <c r="BI1059" s="672">
        <f>BD1060</f>
        <v>367.34399999999994</v>
      </c>
      <c r="BJ1059" s="1273">
        <f>BI1060</f>
        <v>1262.0069999999996</v>
      </c>
      <c r="BK1059" s="295">
        <f>BJ1060</f>
        <v>1254.7859999999996</v>
      </c>
      <c r="BL1059" s="295">
        <f ca="1">BK1060</f>
        <v>1290.5491943327183</v>
      </c>
      <c r="BM1059" s="295">
        <f ca="1">BL1060</f>
        <v>1507.949665532939</v>
      </c>
      <c r="BN1059" s="397">
        <f>BI1060</f>
        <v>1262.0069999999996</v>
      </c>
      <c r="BO1059" s="295">
        <f ca="1">BN1060</f>
        <v>2029.8849885548125</v>
      </c>
      <c r="BP1059" s="295">
        <f ca="1">BO1060</f>
        <v>2011.1735295555384</v>
      </c>
      <c r="BQ1059" s="295">
        <f ca="1">BP1060</f>
        <v>2027.4268676649665</v>
      </c>
      <c r="BR1059" s="295">
        <f ca="1">BQ1060</f>
        <v>2256.9964367138605</v>
      </c>
      <c r="BS1059" s="397">
        <f ca="1">BN1060</f>
        <v>2029.8849885548125</v>
      </c>
      <c r="BT1059" s="397">
        <f ca="1">BS1060</f>
        <v>2753.5891509757657</v>
      </c>
      <c r="BU1059" s="397">
        <f ca="1">BT1060</f>
        <v>3568.5300621953857</v>
      </c>
      <c r="BV1059" s="397">
        <f ca="1">BU1060</f>
        <v>4526.13892939174</v>
      </c>
      <c r="BW1059" s="197"/>
    </row>
    <row r="1060" spans="1:75" s="198" customFormat="1" ht="14.25" x14ac:dyDescent="0.45">
      <c r="A1060" s="463" t="str">
        <f>A1001</f>
        <v>Ending Cash Balance</v>
      </c>
      <c r="B1060" s="522"/>
      <c r="C1060" s="672">
        <f t="shared" ref="C1060:BD1060" si="1445">C1059+C1057</f>
        <v>513.94299999999998</v>
      </c>
      <c r="D1060" s="672">
        <f t="shared" si="1445"/>
        <v>628.40299999999979</v>
      </c>
      <c r="E1060" s="672">
        <f t="shared" si="1445"/>
        <v>502.75699999999972</v>
      </c>
      <c r="F1060" s="672">
        <f t="shared" si="1445"/>
        <v>424.55499999999967</v>
      </c>
      <c r="G1060" s="197">
        <f t="shared" si="1445"/>
        <v>252.53599999999966</v>
      </c>
      <c r="H1060" s="197">
        <f t="shared" si="1445"/>
        <v>205.36399999999963</v>
      </c>
      <c r="I1060" s="197">
        <f t="shared" si="1445"/>
        <v>128.75899999999976</v>
      </c>
      <c r="J1060" s="197">
        <f t="shared" si="1445"/>
        <v>330.12099999999964</v>
      </c>
      <c r="K1060" s="672">
        <f t="shared" si="1445"/>
        <v>330.12099999999964</v>
      </c>
      <c r="L1060" s="197">
        <f t="shared" si="1445"/>
        <v>112.86999999999966</v>
      </c>
      <c r="M1060" s="197">
        <f t="shared" si="1445"/>
        <v>70.573999999999671</v>
      </c>
      <c r="N1060" s="197">
        <f t="shared" si="1445"/>
        <v>107.70299999999969</v>
      </c>
      <c r="O1060" s="197">
        <f t="shared" si="1445"/>
        <v>222.92699999999962</v>
      </c>
      <c r="P1060" s="672">
        <f t="shared" si="1445"/>
        <v>222.92699999999968</v>
      </c>
      <c r="Q1060" s="197">
        <f t="shared" si="1445"/>
        <v>78.850999999999686</v>
      </c>
      <c r="R1060" s="197">
        <f t="shared" si="1445"/>
        <v>119.77599999999973</v>
      </c>
      <c r="S1060" s="197">
        <f t="shared" si="1445"/>
        <v>72.263999999999726</v>
      </c>
      <c r="T1060" s="197">
        <f t="shared" si="1445"/>
        <v>193.64699999999965</v>
      </c>
      <c r="U1060" s="672">
        <f t="shared" si="1445"/>
        <v>193.64699999999965</v>
      </c>
      <c r="V1060" s="197">
        <f t="shared" si="1445"/>
        <v>99.216999999999643</v>
      </c>
      <c r="W1060" s="197">
        <f t="shared" si="1445"/>
        <v>111.12199999999964</v>
      </c>
      <c r="X1060" s="197">
        <f t="shared" si="1445"/>
        <v>75.380999999999631</v>
      </c>
      <c r="Y1060" s="197">
        <f t="shared" si="1445"/>
        <v>213.7129999999996</v>
      </c>
      <c r="Z1060" s="672">
        <f t="shared" si="1445"/>
        <v>213.71299999999965</v>
      </c>
      <c r="AA1060" s="197">
        <f t="shared" si="1445"/>
        <v>93.974999999999667</v>
      </c>
      <c r="AB1060" s="197">
        <f t="shared" si="1445"/>
        <v>103.10899999999961</v>
      </c>
      <c r="AC1060" s="197">
        <f t="shared" si="1445"/>
        <v>90.778999999999613</v>
      </c>
      <c r="AD1060" s="197">
        <f t="shared" si="1445"/>
        <v>390.13599999999957</v>
      </c>
      <c r="AE1060" s="672">
        <f t="shared" si="1445"/>
        <v>390.13599999999968</v>
      </c>
      <c r="AF1060" s="197">
        <f t="shared" si="1445"/>
        <v>290.24399999999969</v>
      </c>
      <c r="AG1060" s="197">
        <f t="shared" si="1445"/>
        <v>174.57999999999967</v>
      </c>
      <c r="AH1060" s="197">
        <f t="shared" si="1445"/>
        <v>164.4139999999997</v>
      </c>
      <c r="AI1060" s="197">
        <f t="shared" si="1445"/>
        <v>338.95399999999972</v>
      </c>
      <c r="AJ1060" s="672">
        <f t="shared" si="1445"/>
        <v>338.95399999999972</v>
      </c>
      <c r="AK1060" s="197">
        <f t="shared" si="1445"/>
        <v>107.68299999999974</v>
      </c>
      <c r="AL1060" s="197">
        <f t="shared" si="1445"/>
        <v>120.46699999999976</v>
      </c>
      <c r="AM1060" s="197">
        <f t="shared" si="1445"/>
        <v>155.02499999999975</v>
      </c>
      <c r="AN1060" s="197">
        <f t="shared" si="1445"/>
        <v>432.16199999999958</v>
      </c>
      <c r="AO1060" s="672">
        <f t="shared" si="1445"/>
        <v>432.16199999999992</v>
      </c>
      <c r="AP1060" s="197">
        <f t="shared" si="1445"/>
        <v>861.00199999999995</v>
      </c>
      <c r="AQ1060" s="197">
        <f t="shared" si="1445"/>
        <v>947.75999999999988</v>
      </c>
      <c r="AR1060" s="197">
        <f t="shared" si="1445"/>
        <v>773.17000000000007</v>
      </c>
      <c r="AS1060" s="197">
        <f t="shared" si="1445"/>
        <v>1200.337</v>
      </c>
      <c r="AT1060" s="672">
        <f t="shared" si="1445"/>
        <v>1200.337</v>
      </c>
      <c r="AU1060" s="197">
        <f t="shared" si="1445"/>
        <v>639.66999999999985</v>
      </c>
      <c r="AV1060" s="197">
        <f t="shared" si="1445"/>
        <v>655.2109999999999</v>
      </c>
      <c r="AW1060" s="197">
        <f t="shared" si="1445"/>
        <v>656.89799999999991</v>
      </c>
      <c r="AX1060" s="197">
        <f t="shared" si="1445"/>
        <v>850.33799999999997</v>
      </c>
      <c r="AY1060" s="672">
        <f t="shared" si="1445"/>
        <v>850.33800000000019</v>
      </c>
      <c r="AZ1060" s="197">
        <f t="shared" si="1445"/>
        <v>324.83500000000015</v>
      </c>
      <c r="BA1060" s="197">
        <f t="shared" si="1445"/>
        <v>124.94400000000024</v>
      </c>
      <c r="BB1060" s="197">
        <f t="shared" si="1445"/>
        <v>113.05800000000018</v>
      </c>
      <c r="BC1060" s="197">
        <f t="shared" si="1445"/>
        <v>367.34400000000011</v>
      </c>
      <c r="BD1060" s="672">
        <f t="shared" si="1445"/>
        <v>367.34399999999994</v>
      </c>
      <c r="BE1060" s="197">
        <f>BE1059+BE1057</f>
        <v>297.291</v>
      </c>
      <c r="BF1060" s="197">
        <f>BF1059+BF1057</f>
        <v>514.43499999999995</v>
      </c>
      <c r="BG1060" s="197">
        <f t="shared" ref="BG1060:BV1060" si="1446">BG1059+BG1057</f>
        <v>698.8069999999999</v>
      </c>
      <c r="BH1060" s="197">
        <f t="shared" si="1446"/>
        <v>1262.0070000000001</v>
      </c>
      <c r="BI1060" s="672">
        <f t="shared" si="1446"/>
        <v>1262.0069999999996</v>
      </c>
      <c r="BJ1060" s="1273">
        <f>BJ1059+BJ1057</f>
        <v>1254.7859999999996</v>
      </c>
      <c r="BK1060" s="295">
        <f t="shared" ca="1" si="1446"/>
        <v>1290.5491943327183</v>
      </c>
      <c r="BL1060" s="295">
        <f t="shared" ca="1" si="1446"/>
        <v>1507.949665532939</v>
      </c>
      <c r="BM1060" s="295">
        <f t="shared" ca="1" si="1446"/>
        <v>2029.8849885548125</v>
      </c>
      <c r="BN1060" s="397">
        <f t="shared" ca="1" si="1446"/>
        <v>2029.8849885548125</v>
      </c>
      <c r="BO1060" s="295">
        <f t="shared" ca="1" si="1446"/>
        <v>2011.1735295555384</v>
      </c>
      <c r="BP1060" s="295">
        <f t="shared" ca="1" si="1446"/>
        <v>2027.4268676649665</v>
      </c>
      <c r="BQ1060" s="295">
        <f t="shared" ca="1" si="1446"/>
        <v>2256.9964367138605</v>
      </c>
      <c r="BR1060" s="295">
        <f t="shared" ca="1" si="1446"/>
        <v>2753.5891509757657</v>
      </c>
      <c r="BS1060" s="397">
        <f t="shared" ca="1" si="1446"/>
        <v>2753.5891509757657</v>
      </c>
      <c r="BT1060" s="397">
        <f t="shared" ca="1" si="1446"/>
        <v>3568.5300621953857</v>
      </c>
      <c r="BU1060" s="397">
        <f t="shared" ca="1" si="1446"/>
        <v>4526.13892939174</v>
      </c>
      <c r="BV1060" s="397">
        <f t="shared" ca="1" si="1446"/>
        <v>5628.4990877326973</v>
      </c>
      <c r="BW1060" s="197"/>
    </row>
    <row r="1061" spans="1:75" s="123" customFormat="1" x14ac:dyDescent="0.5">
      <c r="A1061" s="752"/>
      <c r="B1061" s="513"/>
      <c r="C1061" s="401"/>
      <c r="D1061" s="401"/>
      <c r="E1061" s="401"/>
      <c r="F1061" s="401"/>
      <c r="G1061" s="118"/>
      <c r="H1061" s="118"/>
      <c r="I1061" s="118"/>
      <c r="J1061" s="118"/>
      <c r="K1061" s="401"/>
      <c r="L1061" s="118"/>
      <c r="M1061" s="118"/>
      <c r="N1061" s="118"/>
      <c r="O1061" s="118"/>
      <c r="P1061" s="401"/>
      <c r="Q1061" s="118"/>
      <c r="R1061" s="118"/>
      <c r="S1061" s="118"/>
      <c r="T1061" s="118"/>
      <c r="U1061" s="401"/>
      <c r="V1061" s="118"/>
      <c r="W1061" s="118"/>
      <c r="X1061" s="118"/>
      <c r="Y1061" s="118"/>
      <c r="Z1061" s="401"/>
      <c r="AA1061" s="118"/>
      <c r="AB1061" s="118"/>
      <c r="AC1061" s="118"/>
      <c r="AD1061" s="118"/>
      <c r="AE1061" s="401"/>
      <c r="AF1061" s="118"/>
      <c r="AG1061" s="118"/>
      <c r="AH1061" s="118"/>
      <c r="AI1061" s="118"/>
      <c r="AJ1061" s="401"/>
      <c r="AK1061" s="118"/>
      <c r="AL1061" s="118"/>
      <c r="AM1061" s="118"/>
      <c r="AN1061" s="118"/>
      <c r="AO1061" s="401"/>
      <c r="AP1061" s="118"/>
      <c r="AQ1061" s="118"/>
      <c r="AR1061" s="118"/>
      <c r="AS1061" s="118"/>
      <c r="AT1061" s="401"/>
      <c r="AU1061" s="118"/>
      <c r="AV1061" s="118"/>
      <c r="AW1061" s="118"/>
      <c r="AX1061" s="118"/>
      <c r="AY1061" s="401"/>
      <c r="AZ1061" s="118"/>
      <c r="BA1061" s="118"/>
      <c r="BB1061" s="118"/>
      <c r="BC1061" s="118"/>
      <c r="BD1061" s="401"/>
      <c r="BE1061" s="118"/>
      <c r="BF1061" s="118"/>
      <c r="BG1061" s="118"/>
      <c r="BH1061" s="118"/>
      <c r="BI1061" s="401"/>
      <c r="BJ1061" s="971"/>
      <c r="BK1061" s="118"/>
      <c r="BL1061" s="118"/>
      <c r="BM1061" s="118"/>
      <c r="BN1061" s="401"/>
      <c r="BO1061" s="118"/>
      <c r="BP1061" s="118"/>
      <c r="BQ1061" s="118"/>
      <c r="BR1061" s="118"/>
      <c r="BS1061" s="401"/>
      <c r="BT1061" s="401"/>
      <c r="BU1061" s="401"/>
      <c r="BV1061" s="401"/>
      <c r="BW1061" s="122"/>
    </row>
    <row r="1062" spans="1:75" s="123" customFormat="1" x14ac:dyDescent="0.5">
      <c r="A1062" s="944" t="s">
        <v>2135</v>
      </c>
      <c r="B1062" s="513"/>
      <c r="C1062" s="674">
        <f t="shared" ref="C1062:F1063" si="1447">C1003</f>
        <v>3.198</v>
      </c>
      <c r="D1062" s="674">
        <f t="shared" si="1447"/>
        <v>2.3809999999999998</v>
      </c>
      <c r="E1062" s="674">
        <f t="shared" si="1447"/>
        <v>1.952</v>
      </c>
      <c r="F1062" s="674">
        <f t="shared" si="1447"/>
        <v>1.651</v>
      </c>
      <c r="G1062" s="118"/>
      <c r="H1062" s="118"/>
      <c r="I1062" s="118"/>
      <c r="J1062" s="118"/>
      <c r="K1062" s="674">
        <f>K1003</f>
        <v>1.27</v>
      </c>
      <c r="L1062" s="118"/>
      <c r="M1062" s="118"/>
      <c r="N1062" s="118"/>
      <c r="O1062" s="118"/>
      <c r="P1062" s="674">
        <f>P1003</f>
        <v>1.2689999999999999</v>
      </c>
      <c r="Q1062" s="118"/>
      <c r="R1062" s="118"/>
      <c r="S1062" s="118"/>
      <c r="T1062" s="118"/>
      <c r="U1062" s="674">
        <f>U1003</f>
        <v>1.9890000000000001</v>
      </c>
      <c r="V1062" s="118"/>
      <c r="W1062" s="118"/>
      <c r="X1062" s="118"/>
      <c r="Y1062" s="118"/>
      <c r="Z1062" s="674">
        <f>Z1003</f>
        <v>2.202</v>
      </c>
      <c r="AA1062" s="118"/>
      <c r="AB1062" s="118"/>
      <c r="AC1062" s="118"/>
      <c r="AD1062" s="118"/>
      <c r="AE1062" s="674">
        <f>AE1003</f>
        <v>2.915</v>
      </c>
      <c r="AF1062" s="118"/>
      <c r="AG1062" s="118"/>
      <c r="AH1062" s="118"/>
      <c r="AI1062" s="118"/>
      <c r="AJ1062" s="674">
        <f>AJ1003</f>
        <v>11.423999999999999</v>
      </c>
      <c r="AK1062" s="118"/>
      <c r="AL1062" s="118"/>
      <c r="AM1062" s="118"/>
      <c r="AN1062" s="118"/>
      <c r="AO1062" s="674">
        <f>AO1003</f>
        <v>12.682</v>
      </c>
      <c r="AP1062" s="118"/>
      <c r="AQ1062" s="118"/>
      <c r="AR1062" s="118"/>
      <c r="AS1062" s="118"/>
      <c r="AT1062" s="674">
        <f>AT1003</f>
        <v>18.346</v>
      </c>
      <c r="AU1062" s="118"/>
      <c r="AV1062" s="118"/>
      <c r="AW1062" s="118"/>
      <c r="AX1062" s="118"/>
      <c r="AY1062" s="401">
        <f>AY1003</f>
        <v>3.09</v>
      </c>
      <c r="AZ1062" s="118"/>
      <c r="BA1062" s="118"/>
      <c r="BB1062" s="118"/>
      <c r="BC1062" s="118"/>
      <c r="BD1062" s="401">
        <f>BD1003</f>
        <v>0.78800000000000003</v>
      </c>
      <c r="BE1062" s="118"/>
      <c r="BF1062" s="118"/>
      <c r="BG1062" s="118"/>
      <c r="BH1062" s="118"/>
      <c r="BI1062" s="401">
        <f>BI1003</f>
        <v>0.83699999999999997</v>
      </c>
      <c r="BJ1062" s="971"/>
      <c r="BK1062" s="118"/>
      <c r="BL1062" s="118"/>
      <c r="BM1062" s="118"/>
      <c r="BN1062" s="401"/>
      <c r="BO1062" s="118"/>
      <c r="BP1062" s="118"/>
      <c r="BQ1062" s="118"/>
      <c r="BR1062" s="118"/>
      <c r="BS1062" s="401"/>
      <c r="BT1062" s="401"/>
      <c r="BU1062" s="401"/>
      <c r="BV1062" s="401"/>
      <c r="BW1062" s="122"/>
    </row>
    <row r="1063" spans="1:75" s="123" customFormat="1" x14ac:dyDescent="0.5">
      <c r="A1063" s="944" t="s">
        <v>2136</v>
      </c>
      <c r="B1063" s="513"/>
      <c r="C1063" s="674">
        <f t="shared" si="1447"/>
        <v>-8.593</v>
      </c>
      <c r="D1063" s="674">
        <f t="shared" si="1447"/>
        <v>98.617000000000004</v>
      </c>
      <c r="E1063" s="674">
        <f t="shared" si="1447"/>
        <v>150.65700000000001</v>
      </c>
      <c r="F1063" s="674">
        <f t="shared" si="1447"/>
        <v>131.44</v>
      </c>
      <c r="G1063" s="118"/>
      <c r="H1063" s="118"/>
      <c r="I1063" s="118"/>
      <c r="J1063" s="118"/>
      <c r="K1063" s="674">
        <f>K1004</f>
        <v>186.96799999999999</v>
      </c>
      <c r="L1063" s="118"/>
      <c r="M1063" s="118"/>
      <c r="N1063" s="118"/>
      <c r="O1063" s="118"/>
      <c r="P1063" s="674">
        <f>P1004</f>
        <v>172.30500000000001</v>
      </c>
      <c r="Q1063" s="118"/>
      <c r="R1063" s="118"/>
      <c r="S1063" s="118"/>
      <c r="T1063" s="118"/>
      <c r="U1063" s="674">
        <f>U1004</f>
        <v>134.47800000000001</v>
      </c>
      <c r="V1063" s="118"/>
      <c r="W1063" s="118"/>
      <c r="X1063" s="118"/>
      <c r="Y1063" s="118"/>
      <c r="Z1063" s="674">
        <f>Z1004</f>
        <v>203.42599999999999</v>
      </c>
      <c r="AA1063" s="118"/>
      <c r="AB1063" s="118"/>
      <c r="AC1063" s="118"/>
      <c r="AD1063" s="118"/>
      <c r="AE1063" s="674">
        <f>AE1004</f>
        <v>99.061999999999998</v>
      </c>
      <c r="AF1063" s="118"/>
      <c r="AG1063" s="118"/>
      <c r="AH1063" s="118"/>
      <c r="AI1063" s="118"/>
      <c r="AJ1063" s="674">
        <f>AJ1004</f>
        <v>107.95099999999999</v>
      </c>
      <c r="AK1063" s="118"/>
      <c r="AL1063" s="118"/>
      <c r="AM1063" s="118"/>
      <c r="AN1063" s="118"/>
      <c r="AO1063" s="674">
        <f>AO1004</f>
        <v>113.34399999999999</v>
      </c>
      <c r="AP1063" s="118"/>
      <c r="AQ1063" s="118"/>
      <c r="AR1063" s="118"/>
      <c r="AS1063" s="118"/>
      <c r="AT1063" s="674">
        <f>AT1004</f>
        <v>162.84200000000001</v>
      </c>
      <c r="AU1063" s="118"/>
      <c r="AV1063" s="118"/>
      <c r="AW1063" s="118"/>
      <c r="AX1063" s="118"/>
      <c r="AY1063" s="401">
        <f>AY1004</f>
        <v>306.15800000000002</v>
      </c>
      <c r="AZ1063" s="118"/>
      <c r="BA1063" s="118"/>
      <c r="BB1063" s="118"/>
      <c r="BC1063" s="118"/>
      <c r="BD1063" s="401">
        <f>BD1004</f>
        <v>400.77600000000001</v>
      </c>
      <c r="BE1063" s="118"/>
      <c r="BF1063" s="118"/>
      <c r="BG1063" s="118"/>
      <c r="BH1063" s="118"/>
      <c r="BI1063" s="401">
        <f>BI1004</f>
        <v>315.85000000000002</v>
      </c>
      <c r="BJ1063" s="971"/>
      <c r="BK1063" s="118"/>
      <c r="BL1063" s="118"/>
      <c r="BM1063" s="118"/>
      <c r="BN1063" s="401"/>
      <c r="BO1063" s="118"/>
      <c r="BP1063" s="118"/>
      <c r="BQ1063" s="118"/>
      <c r="BR1063" s="118"/>
      <c r="BS1063" s="401"/>
      <c r="BT1063" s="401"/>
      <c r="BU1063" s="401"/>
      <c r="BV1063" s="401"/>
      <c r="BW1063" s="122"/>
    </row>
    <row r="1064" spans="1:75" s="198" customFormat="1" ht="14.25" x14ac:dyDescent="0.45">
      <c r="A1064" s="206"/>
      <c r="B1064" s="522"/>
      <c r="C1064" s="397"/>
      <c r="D1064" s="397"/>
      <c r="E1064" s="397"/>
      <c r="F1064" s="397"/>
      <c r="G1064" s="295"/>
      <c r="H1064" s="295"/>
      <c r="I1064" s="295"/>
      <c r="J1064" s="295"/>
      <c r="K1064" s="397"/>
      <c r="L1064" s="295"/>
      <c r="M1064" s="295"/>
      <c r="N1064" s="295"/>
      <c r="O1064" s="295"/>
      <c r="P1064" s="397"/>
      <c r="Q1064" s="295"/>
      <c r="R1064" s="295"/>
      <c r="S1064" s="295"/>
      <c r="T1064" s="295"/>
      <c r="U1064" s="397"/>
      <c r="V1064" s="295"/>
      <c r="W1064" s="295"/>
      <c r="X1064" s="295"/>
      <c r="Y1064" s="295"/>
      <c r="Z1064" s="397"/>
      <c r="AA1064" s="295"/>
      <c r="AB1064" s="295"/>
      <c r="AC1064" s="295"/>
      <c r="AD1064" s="295"/>
      <c r="AE1064" s="397"/>
      <c r="AF1064" s="295"/>
      <c r="AG1064" s="295"/>
      <c r="AH1064" s="295"/>
      <c r="AI1064" s="295"/>
      <c r="AJ1064" s="397"/>
      <c r="AK1064" s="295"/>
      <c r="AL1064" s="295"/>
      <c r="AM1064" s="295"/>
      <c r="AN1064" s="295"/>
      <c r="AO1064" s="397"/>
      <c r="AP1064" s="295"/>
      <c r="AQ1064" s="295"/>
      <c r="AR1064" s="295"/>
      <c r="AS1064" s="295"/>
      <c r="AT1064" s="397"/>
      <c r="AU1064" s="295"/>
      <c r="AV1064" s="295"/>
      <c r="AW1064" s="295"/>
      <c r="AX1064" s="295"/>
      <c r="AY1064" s="397"/>
      <c r="AZ1064" s="295"/>
      <c r="BA1064" s="295"/>
      <c r="BB1064" s="295"/>
      <c r="BC1064" s="295"/>
      <c r="BD1064" s="397"/>
      <c r="BE1064" s="295"/>
      <c r="BF1064" s="295"/>
      <c r="BG1064" s="295"/>
      <c r="BH1064" s="295"/>
      <c r="BI1064" s="397"/>
      <c r="BJ1064" s="1030"/>
      <c r="BK1064" s="295"/>
      <c r="BL1064" s="295"/>
      <c r="BM1064" s="295"/>
      <c r="BN1064" s="397"/>
      <c r="BO1064" s="295"/>
      <c r="BP1064" s="295"/>
      <c r="BQ1064" s="295"/>
      <c r="BR1064" s="295"/>
      <c r="BS1064" s="397"/>
      <c r="BT1064" s="397"/>
      <c r="BU1064" s="397"/>
      <c r="BV1064" s="397"/>
      <c r="BW1064" s="197"/>
    </row>
    <row r="1065" spans="1:75" s="123" customFormat="1" x14ac:dyDescent="0.5">
      <c r="A1065" s="685" t="s">
        <v>1433</v>
      </c>
      <c r="B1065" s="685"/>
      <c r="C1065" s="686">
        <f t="shared" ref="C1065:BD1065" si="1448">ROUND(C1060-C1106,6)</f>
        <v>0</v>
      </c>
      <c r="D1065" s="686">
        <f t="shared" si="1448"/>
        <v>0</v>
      </c>
      <c r="E1065" s="686">
        <f t="shared" si="1448"/>
        <v>0</v>
      </c>
      <c r="F1065" s="686">
        <f t="shared" si="1448"/>
        <v>0</v>
      </c>
      <c r="G1065" s="686">
        <f t="shared" si="1448"/>
        <v>0</v>
      </c>
      <c r="H1065" s="686">
        <f t="shared" si="1448"/>
        <v>0</v>
      </c>
      <c r="I1065" s="686">
        <f t="shared" si="1448"/>
        <v>0</v>
      </c>
      <c r="J1065" s="686">
        <f t="shared" si="1448"/>
        <v>0</v>
      </c>
      <c r="K1065" s="686">
        <f t="shared" si="1448"/>
        <v>0</v>
      </c>
      <c r="L1065" s="686">
        <f t="shared" si="1448"/>
        <v>0</v>
      </c>
      <c r="M1065" s="686">
        <f t="shared" si="1448"/>
        <v>0</v>
      </c>
      <c r="N1065" s="686">
        <f t="shared" si="1448"/>
        <v>0</v>
      </c>
      <c r="O1065" s="686">
        <f t="shared" si="1448"/>
        <v>0</v>
      </c>
      <c r="P1065" s="686">
        <f t="shared" si="1448"/>
        <v>0</v>
      </c>
      <c r="Q1065" s="686">
        <f t="shared" si="1448"/>
        <v>0</v>
      </c>
      <c r="R1065" s="686">
        <f t="shared" si="1448"/>
        <v>0</v>
      </c>
      <c r="S1065" s="686">
        <f t="shared" si="1448"/>
        <v>0</v>
      </c>
      <c r="T1065" s="686">
        <f t="shared" si="1448"/>
        <v>0</v>
      </c>
      <c r="U1065" s="686">
        <f t="shared" si="1448"/>
        <v>0</v>
      </c>
      <c r="V1065" s="686">
        <f t="shared" si="1448"/>
        <v>0</v>
      </c>
      <c r="W1065" s="686">
        <f t="shared" si="1448"/>
        <v>0</v>
      </c>
      <c r="X1065" s="686">
        <f t="shared" si="1448"/>
        <v>0</v>
      </c>
      <c r="Y1065" s="686">
        <f t="shared" si="1448"/>
        <v>0</v>
      </c>
      <c r="Z1065" s="686">
        <f t="shared" si="1448"/>
        <v>0</v>
      </c>
      <c r="AA1065" s="686">
        <f t="shared" si="1448"/>
        <v>0</v>
      </c>
      <c r="AB1065" s="686">
        <f t="shared" si="1448"/>
        <v>0</v>
      </c>
      <c r="AC1065" s="686">
        <f t="shared" si="1448"/>
        <v>0</v>
      </c>
      <c r="AD1065" s="686">
        <f t="shared" si="1448"/>
        <v>0</v>
      </c>
      <c r="AE1065" s="686">
        <f t="shared" si="1448"/>
        <v>0</v>
      </c>
      <c r="AF1065" s="686">
        <f t="shared" si="1448"/>
        <v>0</v>
      </c>
      <c r="AG1065" s="686">
        <f t="shared" si="1448"/>
        <v>0</v>
      </c>
      <c r="AH1065" s="686">
        <f t="shared" si="1448"/>
        <v>0</v>
      </c>
      <c r="AI1065" s="686">
        <f t="shared" si="1448"/>
        <v>0</v>
      </c>
      <c r="AJ1065" s="686">
        <f t="shared" si="1448"/>
        <v>0</v>
      </c>
      <c r="AK1065" s="686">
        <f t="shared" si="1448"/>
        <v>0</v>
      </c>
      <c r="AL1065" s="686">
        <f t="shared" si="1448"/>
        <v>0</v>
      </c>
      <c r="AM1065" s="686">
        <f t="shared" si="1448"/>
        <v>0</v>
      </c>
      <c r="AN1065" s="686">
        <f t="shared" si="1448"/>
        <v>0</v>
      </c>
      <c r="AO1065" s="686">
        <f t="shared" si="1448"/>
        <v>0</v>
      </c>
      <c r="AP1065" s="686">
        <f t="shared" si="1448"/>
        <v>0</v>
      </c>
      <c r="AQ1065" s="686">
        <f t="shared" si="1448"/>
        <v>0</v>
      </c>
      <c r="AR1065" s="686">
        <f t="shared" si="1448"/>
        <v>0</v>
      </c>
      <c r="AS1065" s="686">
        <f t="shared" si="1448"/>
        <v>0</v>
      </c>
      <c r="AT1065" s="686">
        <f t="shared" si="1448"/>
        <v>0</v>
      </c>
      <c r="AU1065" s="686">
        <f t="shared" si="1448"/>
        <v>0</v>
      </c>
      <c r="AV1065" s="686">
        <f t="shared" si="1448"/>
        <v>0</v>
      </c>
      <c r="AW1065" s="686">
        <f t="shared" si="1448"/>
        <v>0</v>
      </c>
      <c r="AX1065" s="686">
        <f t="shared" si="1448"/>
        <v>0</v>
      </c>
      <c r="AY1065" s="686">
        <f t="shared" si="1448"/>
        <v>0</v>
      </c>
      <c r="AZ1065" s="686">
        <f t="shared" si="1448"/>
        <v>0</v>
      </c>
      <c r="BA1065" s="686">
        <f t="shared" si="1448"/>
        <v>0</v>
      </c>
      <c r="BB1065" s="686">
        <f t="shared" si="1448"/>
        <v>0</v>
      </c>
      <c r="BC1065" s="686">
        <f t="shared" si="1448"/>
        <v>0</v>
      </c>
      <c r="BD1065" s="686">
        <f t="shared" si="1448"/>
        <v>0</v>
      </c>
      <c r="BE1065" s="686">
        <f>ROUND(BE1060-BE1106,6)</f>
        <v>0</v>
      </c>
      <c r="BF1065" s="686">
        <f>ROUND(BF1060-BF1106,6)</f>
        <v>0</v>
      </c>
      <c r="BG1065" s="686">
        <f t="shared" ref="BG1065:BV1065" si="1449">ROUND(BG1060-BG1106,6)</f>
        <v>0</v>
      </c>
      <c r="BH1065" s="686">
        <f t="shared" si="1449"/>
        <v>0</v>
      </c>
      <c r="BI1065" s="686">
        <f t="shared" si="1449"/>
        <v>0</v>
      </c>
      <c r="BJ1065" s="687">
        <f>ROUND(BJ1060-BJ1106,6)</f>
        <v>0</v>
      </c>
      <c r="BK1065" s="686">
        <f t="shared" ca="1" si="1449"/>
        <v>0</v>
      </c>
      <c r="BL1065" s="686">
        <f t="shared" ca="1" si="1449"/>
        <v>0</v>
      </c>
      <c r="BM1065" s="686">
        <f t="shared" ca="1" si="1449"/>
        <v>0</v>
      </c>
      <c r="BN1065" s="686">
        <f t="shared" ca="1" si="1449"/>
        <v>0</v>
      </c>
      <c r="BO1065" s="686">
        <f t="shared" ca="1" si="1449"/>
        <v>0</v>
      </c>
      <c r="BP1065" s="686">
        <f t="shared" ca="1" si="1449"/>
        <v>0</v>
      </c>
      <c r="BQ1065" s="686">
        <f t="shared" ca="1" si="1449"/>
        <v>0</v>
      </c>
      <c r="BR1065" s="686">
        <f t="shared" ca="1" si="1449"/>
        <v>0</v>
      </c>
      <c r="BS1065" s="686">
        <f t="shared" ca="1" si="1449"/>
        <v>0</v>
      </c>
      <c r="BT1065" s="686">
        <f t="shared" ca="1" si="1449"/>
        <v>0</v>
      </c>
      <c r="BU1065" s="686">
        <f t="shared" ca="1" si="1449"/>
        <v>0</v>
      </c>
      <c r="BV1065" s="686">
        <f t="shared" ca="1" si="1449"/>
        <v>0</v>
      </c>
      <c r="BW1065" s="122"/>
    </row>
    <row r="1066" spans="1:75" s="198" customFormat="1" ht="14.25" x14ac:dyDescent="0.45">
      <c r="A1066" s="206"/>
      <c r="B1066" s="522"/>
      <c r="C1066" s="397"/>
      <c r="D1066" s="397"/>
      <c r="E1066" s="397"/>
      <c r="F1066" s="397"/>
      <c r="G1066" s="295"/>
      <c r="H1066" s="295"/>
      <c r="I1066" s="295"/>
      <c r="J1066" s="295"/>
      <c r="K1066" s="397"/>
      <c r="L1066" s="295"/>
      <c r="M1066" s="295"/>
      <c r="N1066" s="295"/>
      <c r="O1066" s="295"/>
      <c r="P1066" s="397"/>
      <c r="Q1066" s="295"/>
      <c r="R1066" s="295"/>
      <c r="S1066" s="295"/>
      <c r="T1066" s="295"/>
      <c r="U1066" s="397"/>
      <c r="V1066" s="295"/>
      <c r="W1066" s="295"/>
      <c r="X1066" s="295"/>
      <c r="Y1066" s="295"/>
      <c r="Z1066" s="397"/>
      <c r="AA1066" s="295"/>
      <c r="AB1066" s="295"/>
      <c r="AC1066" s="295"/>
      <c r="AD1066" s="295"/>
      <c r="AE1066" s="397"/>
      <c r="AF1066" s="295"/>
      <c r="AG1066" s="295"/>
      <c r="AH1066" s="295"/>
      <c r="AI1066" s="295"/>
      <c r="AJ1066" s="397"/>
      <c r="AK1066" s="295"/>
      <c r="AL1066" s="295"/>
      <c r="AM1066" s="295"/>
      <c r="AN1066" s="295"/>
      <c r="AO1066" s="397"/>
      <c r="AP1066" s="295"/>
      <c r="AQ1066" s="295"/>
      <c r="AR1066" s="295"/>
      <c r="AS1066" s="295"/>
      <c r="AT1066" s="397"/>
      <c r="AU1066" s="295"/>
      <c r="AV1066" s="295"/>
      <c r="AW1066" s="295"/>
      <c r="AX1066" s="295"/>
      <c r="AY1066" s="397"/>
      <c r="AZ1066" s="295"/>
      <c r="BA1066" s="295"/>
      <c r="BB1066" s="295"/>
      <c r="BC1066" s="295"/>
      <c r="BD1066" s="397"/>
      <c r="BE1066" s="295"/>
      <c r="BF1066" s="295"/>
      <c r="BG1066" s="295"/>
      <c r="BH1066" s="295"/>
      <c r="BI1066" s="397"/>
      <c r="BJ1066" s="1030"/>
      <c r="BK1066" s="295"/>
      <c r="BL1066" s="295"/>
      <c r="BM1066" s="295"/>
      <c r="BN1066" s="397"/>
      <c r="BO1066" s="295"/>
      <c r="BP1066" s="295"/>
      <c r="BQ1066" s="295"/>
      <c r="BR1066" s="295"/>
      <c r="BS1066" s="397"/>
      <c r="BT1066" s="397"/>
      <c r="BU1066" s="397"/>
      <c r="BV1066" s="397"/>
      <c r="BW1066" s="197"/>
    </row>
    <row r="1067" spans="1:75" s="198" customFormat="1" ht="14.25" x14ac:dyDescent="0.45">
      <c r="A1067" s="482" t="s">
        <v>1434</v>
      </c>
      <c r="B1067" s="946"/>
      <c r="C1067" s="239"/>
      <c r="D1067" s="239"/>
      <c r="E1067" s="239"/>
      <c r="F1067" s="239"/>
      <c r="G1067" s="239"/>
      <c r="H1067" s="239"/>
      <c r="I1067" s="239"/>
      <c r="J1067" s="239"/>
      <c r="K1067" s="239"/>
      <c r="L1067" s="239"/>
      <c r="M1067" s="239"/>
      <c r="N1067" s="239"/>
      <c r="O1067" s="239"/>
      <c r="P1067" s="239"/>
      <c r="Q1067" s="239"/>
      <c r="R1067" s="239"/>
      <c r="S1067" s="239"/>
      <c r="T1067" s="239"/>
      <c r="U1067" s="239"/>
      <c r="V1067" s="239"/>
      <c r="W1067" s="239"/>
      <c r="X1067" s="239"/>
      <c r="Y1067" s="239"/>
      <c r="Z1067" s="239"/>
      <c r="AA1067" s="239"/>
      <c r="AB1067" s="239"/>
      <c r="AC1067" s="239"/>
      <c r="AD1067" s="239"/>
      <c r="AE1067" s="239"/>
      <c r="AF1067" s="239"/>
      <c r="AG1067" s="239"/>
      <c r="AH1067" s="239"/>
      <c r="AI1067" s="239"/>
      <c r="AJ1067" s="239"/>
      <c r="AK1067" s="239"/>
      <c r="AL1067" s="239"/>
      <c r="AM1067" s="239"/>
      <c r="AN1067" s="239"/>
      <c r="AO1067" s="239"/>
      <c r="AP1067" s="239"/>
      <c r="AQ1067" s="239"/>
      <c r="AR1067" s="239"/>
      <c r="AS1067" s="239"/>
      <c r="AT1067" s="239"/>
      <c r="AU1067" s="239"/>
      <c r="AV1067" s="239"/>
      <c r="AW1067" s="239"/>
      <c r="AX1067" s="239"/>
      <c r="AY1067" s="239"/>
      <c r="AZ1067" s="239"/>
      <c r="BA1067" s="239"/>
      <c r="BB1067" s="239"/>
      <c r="BC1067" s="239"/>
      <c r="BD1067" s="239"/>
      <c r="BE1067" s="239"/>
      <c r="BF1067" s="239"/>
      <c r="BG1067" s="239"/>
      <c r="BH1067" s="239"/>
      <c r="BI1067" s="239"/>
      <c r="BJ1067" s="241"/>
      <c r="BK1067" s="239"/>
      <c r="BL1067" s="239"/>
      <c r="BM1067" s="239"/>
      <c r="BN1067" s="239"/>
      <c r="BO1067" s="239"/>
      <c r="BP1067" s="239"/>
      <c r="BQ1067" s="239"/>
      <c r="BR1067" s="239"/>
      <c r="BS1067" s="239"/>
      <c r="BT1067" s="239"/>
      <c r="BU1067" s="239"/>
      <c r="BV1067" s="239"/>
      <c r="BW1067" s="197"/>
    </row>
    <row r="1068" spans="1:75" s="162" customFormat="1" ht="14.25" x14ac:dyDescent="0.45">
      <c r="A1068" s="1348" t="s">
        <v>2137</v>
      </c>
      <c r="B1068" s="729"/>
      <c r="C1068" s="1349">
        <f t="shared" ref="C1068:F1069" si="1450">C1108/C$749</f>
        <v>1.4241448749220034E-2</v>
      </c>
      <c r="D1068" s="1349">
        <f t="shared" si="1450"/>
        <v>1.1861622677972854E-2</v>
      </c>
      <c r="E1068" s="1349">
        <f t="shared" si="1450"/>
        <v>1.2352135709284997E-2</v>
      </c>
      <c r="F1068" s="1349">
        <f t="shared" si="1450"/>
        <v>1.5579279076497636E-2</v>
      </c>
      <c r="G1068" s="473"/>
      <c r="H1068" s="473"/>
      <c r="I1068" s="473"/>
      <c r="J1068" s="473"/>
      <c r="K1068" s="1349">
        <f>K1108/K$749</f>
        <v>1.3749208332298287E-2</v>
      </c>
      <c r="L1068" s="161">
        <f>L1108/(L$749+J$749+I$749+H$749)</f>
        <v>1.2230660080175915E-2</v>
      </c>
      <c r="M1068" s="161">
        <f>M1108/(M$749+L$749+J$749+I$749)</f>
        <v>1.5371513365688995E-2</v>
      </c>
      <c r="N1068" s="161">
        <f>N1108/(N$749+M$749+L$749+J$749)</f>
        <v>1.3771388547233589E-2</v>
      </c>
      <c r="O1068" s="161">
        <f>O1108/(O$749+N$749+M$749+L$749)</f>
        <v>1.4358168683847662E-2</v>
      </c>
      <c r="P1068" s="1349">
        <f>P1108/P$749</f>
        <v>1.4358168683847662E-2</v>
      </c>
      <c r="Q1068" s="161">
        <f>Q1108/(Q$749+O$749+N$749+M$749)</f>
        <v>1.3610749800475915E-2</v>
      </c>
      <c r="R1068" s="161">
        <f>R1108/(R$749+Q$749+O$749+N$749)</f>
        <v>1.6880683858384208E-2</v>
      </c>
      <c r="S1068" s="161">
        <f>S1108/(S$749+R$749+Q$749+O$749)</f>
        <v>1.7951459383593903E-2</v>
      </c>
      <c r="T1068" s="161">
        <f>T1108/(T$749+S$749+R$749+Q$749)</f>
        <v>1.5937010785576626E-2</v>
      </c>
      <c r="U1068" s="1349">
        <f>U1108/U$749</f>
        <v>1.5937010785576626E-2</v>
      </c>
      <c r="V1068" s="161">
        <f>V1108/(V$749+T$749+S$749+R$749)</f>
        <v>1.494359469157768E-2</v>
      </c>
      <c r="W1068" s="161">
        <f>W1108/(W$749+V$749+T$749+S$749)</f>
        <v>1.9319904981683594E-2</v>
      </c>
      <c r="X1068" s="161">
        <f>X1108/(X$749+W$749+V$749+T$749)</f>
        <v>1.8941797590072584E-2</v>
      </c>
      <c r="Y1068" s="161">
        <f>Y1108/(Y$749+X$749+W$749+V$749)</f>
        <v>1.7467797786385492E-2</v>
      </c>
      <c r="Z1068" s="1349">
        <f>Z1108/Z$749</f>
        <v>1.7467797786385492E-2</v>
      </c>
      <c r="AA1068" s="161">
        <f>AA1108/(AA$749+Y$749+X$749+W$749)</f>
        <v>1.2551638037611362E-2</v>
      </c>
      <c r="AB1068" s="161">
        <f>AB1108/(AB$749+AA$749+Y$749+X$749)</f>
        <v>1.5317857955101466E-2</v>
      </c>
      <c r="AC1068" s="161">
        <f>AC1108/(AC$749+AB$749+AA$749+Y$749)</f>
        <v>1.7766936271065049E-2</v>
      </c>
      <c r="AD1068" s="161">
        <f>AD1108/(AD$749+AC$749+AB$749+AA$749)</f>
        <v>1.7028134334802304E-2</v>
      </c>
      <c r="AE1068" s="1349">
        <f>AE1108/AE$749</f>
        <v>1.7028134334802304E-2</v>
      </c>
      <c r="AF1068" s="161">
        <f>AF1108/(AF$749+AD$749+AC$749+AB$749)</f>
        <v>1.9062559669173668E-2</v>
      </c>
      <c r="AG1068" s="161">
        <f>AG1108/(AG$749+AF$749+AD$749+AC$749)</f>
        <v>1.9482099600177372E-2</v>
      </c>
      <c r="AH1068" s="161">
        <f>AH1108/(AH$749+AG$749+AF$749+AD$749)</f>
        <v>2.059485406070316E-2</v>
      </c>
      <c r="AI1068" s="161">
        <f>AI1108/(AI$749+AH$749+AG$749+AF$749)</f>
        <v>1.8883936135755865E-2</v>
      </c>
      <c r="AJ1068" s="1349">
        <f>AJ1108/AJ$749</f>
        <v>1.8883936135755865E-2</v>
      </c>
      <c r="AK1068" s="161">
        <f>AK1108/(AK$749+AI$749+AH$749+AG$749)</f>
        <v>1.7898410168615826E-2</v>
      </c>
      <c r="AL1068" s="161">
        <f>AL1108/(AL$749+AK$749+AI$749+AH$749)</f>
        <v>1.9139881816216554E-2</v>
      </c>
      <c r="AM1068" s="161">
        <f>AM1108/(AM$749+AL$749+AK$749+AI$749)</f>
        <v>1.8695251995720825E-2</v>
      </c>
      <c r="AN1068" s="161">
        <f>AN1108/(AN$749+AM$749+AL$749+AK$749)</f>
        <v>1.8944870878438956E-2</v>
      </c>
      <c r="AO1068" s="1349">
        <f>AO1108/AO$749</f>
        <v>1.8944870878438956E-2</v>
      </c>
      <c r="AP1068" s="161">
        <f>AP1108/(AP$749+AN$749+AM$749+AL$749)</f>
        <v>1.7791512978695634E-2</v>
      </c>
      <c r="AQ1068" s="161">
        <f>AQ1108/(AQ$749+AP$749+AN$749+AM$749)</f>
        <v>2.1413190393546819E-2</v>
      </c>
      <c r="AR1068" s="161">
        <f>AR1108/(AR$749+AQ$749+AP$749+AN$749)</f>
        <v>2.048939503064837E-2</v>
      </c>
      <c r="AS1068" s="161">
        <f>AS1108/(AS$749+AR$749+AQ$749+AP$749)</f>
        <v>2.1188853797233131E-2</v>
      </c>
      <c r="AT1068" s="1349">
        <f>AT1108/AT$749</f>
        <v>2.1188853797233131E-2</v>
      </c>
      <c r="AU1068" s="161">
        <f>AU1108/(AU$749+AS$749+AR$749+AQ$749)</f>
        <v>1.9522914506822309E-2</v>
      </c>
      <c r="AV1068" s="161">
        <f>AV1108/(AV$749+AU$749+AS$749+AR$749)</f>
        <v>1.8287780236110877E-2</v>
      </c>
      <c r="AW1068" s="161">
        <f>AW1108/(AW$749+AV$749+AU$749+AS$749)</f>
        <v>1.7357338900514833E-2</v>
      </c>
      <c r="AX1068" s="161">
        <f>AX1108/(AX$749+AW$749+AV$749+AU$749)</f>
        <v>1.596944240168733E-2</v>
      </c>
      <c r="AY1068" s="1349">
        <f>AY1108/AY$749</f>
        <v>1.596944240168733E-2</v>
      </c>
      <c r="AZ1068" s="161">
        <f>AZ1108/(AZ$749+AX$749+AW$749+AV$749)</f>
        <v>1.4657133517418776E-2</v>
      </c>
      <c r="BA1068" s="161">
        <f>BA1108/(BA$749+AZ$749+AX$749+AW$749)</f>
        <v>1.5564280361305822E-2</v>
      </c>
      <c r="BB1068" s="161">
        <f>BB1108/(BB$749+BA$749+AZ$749+AX$749)</f>
        <v>1.4427505744713565E-2</v>
      </c>
      <c r="BC1068" s="161">
        <f>BC1108/(BC$749+BB$749+BA$749+AZ$749)</f>
        <v>1.3336342949618399E-2</v>
      </c>
      <c r="BD1068" s="1349">
        <f>BD1108/BD$749</f>
        <v>1.3336342949618402E-2</v>
      </c>
      <c r="BE1068" s="161">
        <f>BE1108/(BE$749+BC$749+BB$749+BA$749)</f>
        <v>1.2789271735396769E-2</v>
      </c>
      <c r="BF1068" s="161">
        <f>BF1108/(BF$749+BE$749+BC$749+BB$749)</f>
        <v>1.416372146290568E-2</v>
      </c>
      <c r="BG1068" s="161">
        <f>BG1108/(BG$749+BF$749+BE$749+BC$749)</f>
        <v>1.5677126749288374E-2</v>
      </c>
      <c r="BH1068" s="161">
        <f>BH1108/(BH$749+BG$749+BF$749+BE$749)</f>
        <v>1.5858536804387556E-2</v>
      </c>
      <c r="BI1068" s="1349">
        <f>BI1108/BI$749</f>
        <v>1.5858536804387553E-2</v>
      </c>
      <c r="BJ1068" s="1350">
        <f>BJ1108/(BJ$749+BH$749+BG$749+BF$749)</f>
        <v>1.504986774952391E-2</v>
      </c>
      <c r="BK1068" s="473">
        <f t="shared" ref="BK1068:BM1073" si="1451">BF1068+BK1075</f>
        <v>1.416372146290568E-2</v>
      </c>
      <c r="BL1068" s="473">
        <f t="shared" si="1451"/>
        <v>1.5677126749288374E-2</v>
      </c>
      <c r="BM1068" s="473">
        <f t="shared" si="1451"/>
        <v>1.5858536804387556E-2</v>
      </c>
      <c r="BN1068" s="730">
        <f>BN1108/BN$749</f>
        <v>1.5858536804387556E-2</v>
      </c>
      <c r="BO1068" s="473">
        <f t="shared" ref="BO1068:BR1073" si="1452">BJ1068+BO1075</f>
        <v>1.504986774952391E-2</v>
      </c>
      <c r="BP1068" s="473">
        <f t="shared" si="1452"/>
        <v>1.416372146290568E-2</v>
      </c>
      <c r="BQ1068" s="473">
        <f t="shared" si="1452"/>
        <v>1.5677126749288374E-2</v>
      </c>
      <c r="BR1068" s="473">
        <f t="shared" si="1452"/>
        <v>1.5858536804387556E-2</v>
      </c>
      <c r="BS1068" s="730">
        <f>BS1108/BS$749</f>
        <v>1.5858536804387556E-2</v>
      </c>
      <c r="BT1068" s="730">
        <f t="shared" ref="BT1068:BV1073" si="1453">BS1068+BT1075</f>
        <v>1.5858536804387556E-2</v>
      </c>
      <c r="BU1068" s="730">
        <f t="shared" si="1453"/>
        <v>1.5858536804387556E-2</v>
      </c>
      <c r="BV1068" s="730">
        <f t="shared" si="1453"/>
        <v>1.5858536804387556E-2</v>
      </c>
      <c r="BW1068" s="161"/>
    </row>
    <row r="1069" spans="1:75" s="162" customFormat="1" ht="14.25" x14ac:dyDescent="0.45">
      <c r="A1069" s="1348" t="s">
        <v>2138</v>
      </c>
      <c r="B1069" s="729"/>
      <c r="C1069" s="1349">
        <f t="shared" si="1450"/>
        <v>0.15023153997287528</v>
      </c>
      <c r="D1069" s="1349">
        <f t="shared" si="1450"/>
        <v>0.1465062363055547</v>
      </c>
      <c r="E1069" s="1349">
        <f t="shared" si="1450"/>
        <v>0.148744052170244</v>
      </c>
      <c r="F1069" s="1349">
        <f t="shared" si="1450"/>
        <v>0.15830931986435379</v>
      </c>
      <c r="G1069" s="473"/>
      <c r="H1069" s="473"/>
      <c r="I1069" s="473"/>
      <c r="J1069" s="473"/>
      <c r="K1069" s="1349">
        <f>K1109/K$749</f>
        <v>0.18531918195742872</v>
      </c>
      <c r="L1069" s="161">
        <f>L1109/(L$749+J$749+I$749+H$749)</f>
        <v>0.19006211096834869</v>
      </c>
      <c r="M1069" s="161">
        <f>M1109/(M$749+L$749+J$749+I$749)</f>
        <v>0.19748399136319258</v>
      </c>
      <c r="N1069" s="161">
        <f>N1109/(N$749+M$749+L$749+J$749)</f>
        <v>0.21192653644299989</v>
      </c>
      <c r="O1069" s="161">
        <f>O1109/(O$749+N$749+M$749+L$749)</f>
        <v>0.18892404504291488</v>
      </c>
      <c r="P1069" s="1349">
        <f>P1109/P$749</f>
        <v>0.18892404504291488</v>
      </c>
      <c r="Q1069" s="161">
        <f>Q1109/(Q$749+O$749+N$749+M$749)</f>
        <v>0.19827278912065346</v>
      </c>
      <c r="R1069" s="161">
        <f>R1109/(R$749+Q$749+O$749+N$749)</f>
        <v>0.21298243172452724</v>
      </c>
      <c r="S1069" s="161">
        <f>S1109/(S$749+R$749+Q$749+O$749)</f>
        <v>0.22351356299819683</v>
      </c>
      <c r="T1069" s="161">
        <f>T1109/(T$749+S$749+R$749+Q$749)</f>
        <v>0.196567586197195</v>
      </c>
      <c r="U1069" s="1349">
        <f>U1109/U$749</f>
        <v>0.196567586197195</v>
      </c>
      <c r="V1069" s="161">
        <f>V1109/(V$749+T$749+S$749+R$749)</f>
        <v>0.18730690702051916</v>
      </c>
      <c r="W1069" s="161">
        <f>W1109/(W$749+V$749+T$749+S$749)</f>
        <v>0.18973378950952391</v>
      </c>
      <c r="X1069" s="161">
        <f>X1109/(X$749+W$749+V$749+T$749)</f>
        <v>0.20904779076885588</v>
      </c>
      <c r="Y1069" s="161">
        <f>Y1109/(Y$749+X$749+W$749+V$749)</f>
        <v>0.19227795992456054</v>
      </c>
      <c r="Z1069" s="1349">
        <f>Z1109/Z$749</f>
        <v>0.19227795992456054</v>
      </c>
      <c r="AA1069" s="161">
        <f>AA1109/(AA$749+Y$749+X$749+W$749)</f>
        <v>0.20345396627603088</v>
      </c>
      <c r="AB1069" s="161">
        <f>AB1109/(AB$749+AA$749+Y$749+X$749)</f>
        <v>0.20874698618445359</v>
      </c>
      <c r="AC1069" s="161">
        <f>AC1109/(AC$749+AB$749+AA$749+Y$749)</f>
        <v>0.22659495613232886</v>
      </c>
      <c r="AD1069" s="161">
        <f>AD1109/(AD$749+AC$749+AB$749+AA$749)</f>
        <v>0.20058975591036057</v>
      </c>
      <c r="AE1069" s="1349">
        <f>AE1109/AE$749</f>
        <v>0.20058975591036057</v>
      </c>
      <c r="AF1069" s="161">
        <f>AF1109/(AF$749+AD$749+AC$749+AB$749)</f>
        <v>0.19556481121695027</v>
      </c>
      <c r="AG1069" s="161">
        <f>AG1109/(AG$749+AF$749+AD$749+AC$749)</f>
        <v>0.20153992179454758</v>
      </c>
      <c r="AH1069" s="161">
        <f>AH1109/(AH$749+AG$749+AF$749+AD$749)</f>
        <v>0.2171422396137708</v>
      </c>
      <c r="AI1069" s="161">
        <f>AI1109/(AI$749+AH$749+AG$749+AF$749)</f>
        <v>0.19835555901137475</v>
      </c>
      <c r="AJ1069" s="1349">
        <f>AJ1109/AJ$749</f>
        <v>0.19835555901137475</v>
      </c>
      <c r="AK1069" s="161">
        <f>AK1109/(AK$749+AI$749+AH$749+AG$749)</f>
        <v>0.20236123456033348</v>
      </c>
      <c r="AL1069" s="161">
        <f>AL1109/(AL$749+AK$749+AI$749+AH$749)</f>
        <v>0.20459144257079445</v>
      </c>
      <c r="AM1069" s="161">
        <f>AM1109/(AM$749+AL$749+AK$749+AI$749)</f>
        <v>0.21364321709551792</v>
      </c>
      <c r="AN1069" s="161">
        <f>AN1109/(AN$749+AM$749+AL$749+AK$749)</f>
        <v>0.18659588118564779</v>
      </c>
      <c r="AO1069" s="1349">
        <f>AO1109/AO$749</f>
        <v>0.18659588118564779</v>
      </c>
      <c r="AP1069" s="161">
        <f>AP1109/(AP$749+AN$749+AM$749+AL$749)</f>
        <v>0.18171531644433145</v>
      </c>
      <c r="AQ1069" s="161">
        <f>AQ1109/(AQ$749+AP$749+AN$749+AM$749)</f>
        <v>0.17337536896781494</v>
      </c>
      <c r="AR1069" s="161">
        <f>AR1109/(AR$749+AQ$749+AP$749+AN$749)</f>
        <v>0.17768490138939891</v>
      </c>
      <c r="AS1069" s="161">
        <f>AS1109/(AS$749+AR$749+AQ$749+AP$749)</f>
        <v>0.1483519035073326</v>
      </c>
      <c r="AT1069" s="1349">
        <f>AT1109/AT$749</f>
        <v>0.1483519035073326</v>
      </c>
      <c r="AU1069" s="161">
        <f>AU1109/(AU$749+AS$749+AR$749+AQ$749)</f>
        <v>0.14903738035347328</v>
      </c>
      <c r="AV1069" s="161">
        <f>AV1109/(AV$749+AU$749+AS$749+AR$749)</f>
        <v>0.15095098030492182</v>
      </c>
      <c r="AW1069" s="161">
        <f>AW1109/(AW$749+AV$749+AU$749+AS$749)</f>
        <v>0.15826007330564673</v>
      </c>
      <c r="AX1069" s="161">
        <f>AX1109/(AX$749+AW$749+AV$749+AU$749)</f>
        <v>0.15114985127219033</v>
      </c>
      <c r="AY1069" s="1349">
        <f>AY1109/AY$749</f>
        <v>0.15114985127219033</v>
      </c>
      <c r="AZ1069" s="161">
        <f>AZ1109/(AZ$749+AX$749+AW$749+AV$749)</f>
        <v>0.16644166628716237</v>
      </c>
      <c r="BA1069" s="161">
        <f>BA1109/(BA$749+AZ$749+AX$749+AW$749)</f>
        <v>0.1798260811170653</v>
      </c>
      <c r="BB1069" s="161">
        <f>BB1109/(BB$749+BA$749+AZ$749+AX$749)</f>
        <v>0.19351341212769427</v>
      </c>
      <c r="BC1069" s="161">
        <f>BC1109/(BC$749+BB$749+BA$749+AZ$749)</f>
        <v>0.16786407662901148</v>
      </c>
      <c r="BD1069" s="1349">
        <f>BD1109/BD$749</f>
        <v>0.16786407662901151</v>
      </c>
      <c r="BE1069" s="161">
        <f>BE1109/(BE$749+BC$749+BB$749+BA$749)</f>
        <v>0.16414977512229406</v>
      </c>
      <c r="BF1069" s="161">
        <f>BF1109/(BF$749+BE$749+BC$749+BB$749)</f>
        <v>0.15741558460731597</v>
      </c>
      <c r="BG1069" s="161">
        <f>BG1109/(BG$749+BF$749+BE$749+BC$749)</f>
        <v>0.17626502341890529</v>
      </c>
      <c r="BH1069" s="161">
        <f>BH1109/(BH$749+BG$749+BF$749+BE$749)</f>
        <v>0.16080827780682194</v>
      </c>
      <c r="BI1069" s="1349">
        <f>BI1109/BI$749</f>
        <v>0.16080827780682191</v>
      </c>
      <c r="BJ1069" s="1350">
        <f>BJ1109/(BJ$749+BH$749+BG$749+BF$749)</f>
        <v>0.15915749477927713</v>
      </c>
      <c r="BK1069" s="473">
        <f t="shared" si="1451"/>
        <v>0.15741558460731597</v>
      </c>
      <c r="BL1069" s="473">
        <f t="shared" si="1451"/>
        <v>0.17626502341890529</v>
      </c>
      <c r="BM1069" s="473">
        <f t="shared" si="1451"/>
        <v>0.16080827780682194</v>
      </c>
      <c r="BN1069" s="730">
        <f>BN1109/BN$749</f>
        <v>0.16080827780682194</v>
      </c>
      <c r="BO1069" s="473">
        <f t="shared" si="1452"/>
        <v>0.15915749477927713</v>
      </c>
      <c r="BP1069" s="473">
        <f t="shared" si="1452"/>
        <v>0.15741558460731597</v>
      </c>
      <c r="BQ1069" s="473">
        <f t="shared" si="1452"/>
        <v>0.17626502341890529</v>
      </c>
      <c r="BR1069" s="473">
        <f t="shared" si="1452"/>
        <v>0.16080827780682194</v>
      </c>
      <c r="BS1069" s="730">
        <f>BS1109/BS$749</f>
        <v>0.16080827780682194</v>
      </c>
      <c r="BT1069" s="730">
        <f t="shared" si="1453"/>
        <v>0.16080827780682194</v>
      </c>
      <c r="BU1069" s="730">
        <f t="shared" si="1453"/>
        <v>0.16080827780682194</v>
      </c>
      <c r="BV1069" s="730">
        <f t="shared" si="1453"/>
        <v>0.16080827780682194</v>
      </c>
      <c r="BW1069" s="161"/>
    </row>
    <row r="1070" spans="1:75" s="162" customFormat="1" ht="14.25" x14ac:dyDescent="0.45">
      <c r="A1070" s="1348" t="s">
        <v>2139</v>
      </c>
      <c r="B1070" s="729"/>
      <c r="C1070" s="1349">
        <f t="shared" ref="C1070:F1072" si="1454">C1126/C$749</f>
        <v>6.0669983343560975E-2</v>
      </c>
      <c r="D1070" s="1349">
        <f t="shared" si="1454"/>
        <v>6.5055000373841584E-2</v>
      </c>
      <c r="E1070" s="1349">
        <f t="shared" si="1454"/>
        <v>5.8676474342866436E-2</v>
      </c>
      <c r="F1070" s="1349">
        <f t="shared" si="1454"/>
        <v>6.4103471049031996E-2</v>
      </c>
      <c r="G1070" s="473"/>
      <c r="H1070" s="473"/>
      <c r="I1070" s="473"/>
      <c r="J1070" s="473"/>
      <c r="K1070" s="1349">
        <f>K1126/K$749</f>
        <v>9.2251877839206964E-2</v>
      </c>
      <c r="L1070" s="161">
        <f>L1126/(L$749+J$749+I$749+H$749)</f>
        <v>8.2531309707579381E-2</v>
      </c>
      <c r="M1070" s="161">
        <f>M1126/(M$749+L$749+J$749+I$749)</f>
        <v>7.4254563366306925E-2</v>
      </c>
      <c r="N1070" s="161">
        <f>N1126/(N$749+M$749+L$749+J$749)</f>
        <v>8.8955071234229133E-2</v>
      </c>
      <c r="O1070" s="161">
        <f>O1126/(O$749+N$749+M$749+L$749)</f>
        <v>8.4498987915642532E-2</v>
      </c>
      <c r="P1070" s="1349">
        <f>P1126/P$749</f>
        <v>8.4498987915642532E-2</v>
      </c>
      <c r="Q1070" s="161">
        <f>Q1126/(Q$749+O$749+N$749+M$749)</f>
        <v>7.7291267311803316E-2</v>
      </c>
      <c r="R1070" s="161">
        <f>R1126/(R$749+Q$749+O$749+N$749)</f>
        <v>8.5954320377634397E-2</v>
      </c>
      <c r="S1070" s="161">
        <f>S1126/(S$749+R$749+Q$749+O$749)</f>
        <v>8.0097349688589267E-2</v>
      </c>
      <c r="T1070" s="161">
        <f>T1126/(T$749+S$749+R$749+Q$749)</f>
        <v>8.9912360909870995E-2</v>
      </c>
      <c r="U1070" s="1349">
        <f>U1126/U$749</f>
        <v>8.9912360909870995E-2</v>
      </c>
      <c r="V1070" s="161">
        <f>V1126/(V$749+T$749+S$749+R$749)</f>
        <v>6.7296540650229969E-2</v>
      </c>
      <c r="W1070" s="161">
        <f>W1126/(W$749+V$749+T$749+S$749)</f>
        <v>7.7158443200232019E-2</v>
      </c>
      <c r="X1070" s="161">
        <f>X1126/(X$749+W$749+V$749+T$749)</f>
        <v>8.8462396347868302E-2</v>
      </c>
      <c r="Y1070" s="161">
        <f>Y1126/(Y$749+X$749+W$749+V$749)</f>
        <v>8.9246022472900255E-2</v>
      </c>
      <c r="Z1070" s="1349">
        <f>Z1126/Z$749</f>
        <v>8.9246022472900255E-2</v>
      </c>
      <c r="AA1070" s="161">
        <f>AA1126/(AA$749+Y$749+X$749+W$749)</f>
        <v>7.833954748816184E-2</v>
      </c>
      <c r="AB1070" s="161">
        <f>AB1126/(AB$749+AA$749+Y$749+X$749)</f>
        <v>8.3597936918868354E-2</v>
      </c>
      <c r="AC1070" s="161">
        <f>AC1126/(AC$749+AB$749+AA$749+Y$749)</f>
        <v>9.0639253142550211E-2</v>
      </c>
      <c r="AD1070" s="161">
        <f>AD1126/(AD$749+AC$749+AB$749+AA$749)</f>
        <v>8.6800234073312096E-2</v>
      </c>
      <c r="AE1070" s="1349">
        <f>AE1126/AE$749</f>
        <v>8.6800234073312096E-2</v>
      </c>
      <c r="AF1070" s="161">
        <f>AF1126/(AF$749+AD$749+AC$749+AB$749)</f>
        <v>7.30007065573125E-2</v>
      </c>
      <c r="AG1070" s="161">
        <f>AG1126/(AG$749+AF$749+AD$749+AC$749)</f>
        <v>8.5553796482587013E-2</v>
      </c>
      <c r="AH1070" s="161">
        <f>AH1126/(AH$749+AG$749+AF$749+AD$749)</f>
        <v>8.8436459611460752E-2</v>
      </c>
      <c r="AI1070" s="161">
        <f>AI1126/(AI$749+AH$749+AG$749+AF$749)</f>
        <v>9.286667784518389E-2</v>
      </c>
      <c r="AJ1070" s="1349">
        <f>AJ1126/AJ$749</f>
        <v>9.286667784518389E-2</v>
      </c>
      <c r="AK1070" s="161">
        <f>AK1126/(AK$749+AI$749+AH$749+AG$749)</f>
        <v>6.7541956924370275E-2</v>
      </c>
      <c r="AL1070" s="161">
        <f>AL1126/(AL$749+AK$749+AI$749+AH$749)</f>
        <v>6.9648850675194413E-2</v>
      </c>
      <c r="AM1070" s="161">
        <f>AM1126/(AM$749+AL$749+AK$749+AI$749)</f>
        <v>7.5418436783529191E-2</v>
      </c>
      <c r="AN1070" s="161">
        <f>AN1126/(AN$749+AM$749+AL$749+AK$749)</f>
        <v>8.8374752967442571E-2</v>
      </c>
      <c r="AO1070" s="1349">
        <f>AO1126/AO$749</f>
        <v>8.8374752967442571E-2</v>
      </c>
      <c r="AP1070" s="161">
        <f>AP1126/(AP$749+AN$749+AM$749+AL$749)</f>
        <v>7.1854942881790951E-2</v>
      </c>
      <c r="AQ1070" s="161">
        <f>AQ1126/(AQ$749+AP$749+AN$749+AM$749)</f>
        <v>6.2056452699432246E-2</v>
      </c>
      <c r="AR1070" s="161">
        <f>AR1126/(AR$749+AQ$749+AP$749+AN$749)</f>
        <v>8.8772432921078365E-2</v>
      </c>
      <c r="AS1070" s="161">
        <f>AS1126/(AS$749+AR$749+AQ$749+AP$749)</f>
        <v>8.0049663955994735E-2</v>
      </c>
      <c r="AT1070" s="1349">
        <f>AT1126/AT$749</f>
        <v>8.0049663955994735E-2</v>
      </c>
      <c r="AU1070" s="161">
        <f>AU1126/(AU$749+AS$749+AR$749+AQ$749)</f>
        <v>7.8782351413557439E-2</v>
      </c>
      <c r="AV1070" s="161">
        <f>AV1126/(AV$749+AU$749+AS$749+AR$749)</f>
        <v>7.7615967963178378E-2</v>
      </c>
      <c r="AW1070" s="161">
        <f>AW1126/(AW$749+AV$749+AU$749+AS$749)</f>
        <v>7.9423284122832991E-2</v>
      </c>
      <c r="AX1070" s="161">
        <f>AX1126/(AX$749+AW$749+AV$749+AU$749)</f>
        <v>7.428046979748569E-2</v>
      </c>
      <c r="AY1070" s="1349">
        <f>AY1126/AY$749</f>
        <v>7.428046979748569E-2</v>
      </c>
      <c r="AZ1070" s="161">
        <f>AZ1126/(AZ$749+AX$749+AW$749+AV$749)</f>
        <v>7.6610483332765086E-2</v>
      </c>
      <c r="BA1070" s="161">
        <f>BA1126/(BA$749+AZ$749+AX$749+AW$749)</f>
        <v>7.9290040306239748E-2</v>
      </c>
      <c r="BB1070" s="161">
        <f>BB1126/(BB$749+BA$749+AZ$749+AX$749)</f>
        <v>8.2644539033957201E-2</v>
      </c>
      <c r="BC1070" s="161">
        <f>BC1126/(BC$749+BB$749+BA$749+AZ$749)</f>
        <v>5.8600018883113406E-2</v>
      </c>
      <c r="BD1070" s="1349">
        <f>BD1126/BD$749</f>
        <v>5.8600018883113419E-2</v>
      </c>
      <c r="BE1070" s="161">
        <f>BE1126/(BE$749+BC$749+BB$749+BA$749)</f>
        <v>7.3730819693672567E-2</v>
      </c>
      <c r="BF1070" s="161">
        <f>BF1126/(BF$749+BE$749+BC$749+BB$749)</f>
        <v>7.2256095863871439E-2</v>
      </c>
      <c r="BG1070" s="161">
        <f>BG1126/(BG$749+BF$749+BE$749+BC$749)</f>
        <v>8.5239439662406366E-2</v>
      </c>
      <c r="BH1070" s="161">
        <f>BH1126/(BH$749+BG$749+BF$749+BE$749)</f>
        <v>7.8429143767517889E-2</v>
      </c>
      <c r="BI1070" s="1349">
        <f>BI1126/BI$749</f>
        <v>7.8429143767517875E-2</v>
      </c>
      <c r="BJ1070" s="1350">
        <f>BJ1126/(BJ$749+BH$749+BG$749+BF$749)</f>
        <v>6.5591115673088909E-2</v>
      </c>
      <c r="BK1070" s="473">
        <f t="shared" si="1451"/>
        <v>7.2256095863871439E-2</v>
      </c>
      <c r="BL1070" s="473">
        <f t="shared" si="1451"/>
        <v>8.5239439662406366E-2</v>
      </c>
      <c r="BM1070" s="473">
        <f t="shared" si="1451"/>
        <v>7.8429143767517889E-2</v>
      </c>
      <c r="BN1070" s="730">
        <f>BN1126/BN$749</f>
        <v>7.8429143767517889E-2</v>
      </c>
      <c r="BO1070" s="473">
        <f t="shared" si="1452"/>
        <v>6.5591115673088909E-2</v>
      </c>
      <c r="BP1070" s="473">
        <f t="shared" si="1452"/>
        <v>7.2256095863871439E-2</v>
      </c>
      <c r="BQ1070" s="473">
        <f t="shared" si="1452"/>
        <v>8.5239439662406366E-2</v>
      </c>
      <c r="BR1070" s="473">
        <f t="shared" si="1452"/>
        <v>7.8429143767517889E-2</v>
      </c>
      <c r="BS1070" s="730">
        <f>BS1126/BS$749</f>
        <v>7.8429143767517889E-2</v>
      </c>
      <c r="BT1070" s="730">
        <f t="shared" si="1453"/>
        <v>7.8429143767517889E-2</v>
      </c>
      <c r="BU1070" s="730">
        <f t="shared" si="1453"/>
        <v>7.8429143767517889E-2</v>
      </c>
      <c r="BV1070" s="730">
        <f t="shared" si="1453"/>
        <v>7.8429143767517889E-2</v>
      </c>
      <c r="BW1070" s="161"/>
    </row>
    <row r="1071" spans="1:75" s="162" customFormat="1" ht="14.25" x14ac:dyDescent="0.45">
      <c r="A1071" s="1348" t="s">
        <v>2140</v>
      </c>
      <c r="B1071" s="729"/>
      <c r="C1071" s="1349">
        <f t="shared" si="1454"/>
        <v>3.4714880955450465E-2</v>
      </c>
      <c r="D1071" s="1349">
        <f t="shared" si="1454"/>
        <v>3.494134682283162E-2</v>
      </c>
      <c r="E1071" s="1349">
        <f t="shared" si="1454"/>
        <v>3.0039546936960058E-2</v>
      </c>
      <c r="F1071" s="1349">
        <f t="shared" si="1454"/>
        <v>2.983820899509507E-2</v>
      </c>
      <c r="G1071" s="473"/>
      <c r="H1071" s="473"/>
      <c r="I1071" s="473"/>
      <c r="J1071" s="473"/>
      <c r="K1071" s="1349">
        <f>K1127/K$749</f>
        <v>3.1491452951521795E-2</v>
      </c>
      <c r="L1071" s="161">
        <f>L1127/(L$749+J$749+I$749+H$749)</f>
        <v>1.9845293604007323E-2</v>
      </c>
      <c r="M1071" s="161">
        <f>M1127/(M$749+L$749+J$749+I$749)</f>
        <v>2.2469911530985341E-2</v>
      </c>
      <c r="N1071" s="161">
        <f>N1127/(N$749+M$749+L$749+J$749)</f>
        <v>2.5397378884938041E-2</v>
      </c>
      <c r="O1071" s="161">
        <f>O1127/(O$749+N$749+M$749+L$749)</f>
        <v>2.8946612895982927E-2</v>
      </c>
      <c r="P1071" s="1349">
        <f>P1127/P$749</f>
        <v>2.8946612895982927E-2</v>
      </c>
      <c r="Q1071" s="161">
        <f>Q1127/(Q$749+O$749+N$749+M$749)</f>
        <v>1.831037010009327E-2</v>
      </c>
      <c r="R1071" s="161">
        <f>R1127/(R$749+Q$749+O$749+N$749)</f>
        <v>2.1411355090273757E-2</v>
      </c>
      <c r="S1071" s="161">
        <f>S1127/(S$749+R$749+Q$749+O$749)</f>
        <v>2.346352154367749E-2</v>
      </c>
      <c r="T1071" s="161">
        <f>T1127/(T$749+S$749+R$749+Q$749)</f>
        <v>2.5546563667457781E-2</v>
      </c>
      <c r="U1071" s="1349">
        <f>U1127/U$749</f>
        <v>2.5546563667457781E-2</v>
      </c>
      <c r="V1071" s="161">
        <f>V1127/(V$749+T$749+S$749+R$749)</f>
        <v>1.9149826767800242E-2</v>
      </c>
      <c r="W1071" s="161">
        <f>W1127/(W$749+V$749+T$749+S$749)</f>
        <v>2.0302520160654727E-2</v>
      </c>
      <c r="X1071" s="161">
        <f>X1127/(X$749+W$749+V$749+T$749)</f>
        <v>2.1901195530737234E-2</v>
      </c>
      <c r="Y1071" s="161">
        <f>Y1127/(Y$749+X$749+W$749+V$749)</f>
        <v>2.5608146013267212E-2</v>
      </c>
      <c r="Z1071" s="1349">
        <f>Z1127/Z$749</f>
        <v>2.5608146013267212E-2</v>
      </c>
      <c r="AA1071" s="161">
        <f>AA1127/(AA$749+Y$749+X$749+W$749)</f>
        <v>1.785933580800949E-2</v>
      </c>
      <c r="AB1071" s="161">
        <f>AB1127/(AB$749+AA$749+Y$749+X$749)</f>
        <v>1.9561956148923001E-2</v>
      </c>
      <c r="AC1071" s="161">
        <f>AC1127/(AC$749+AB$749+AA$749+Y$749)</f>
        <v>1.9897651727078976E-2</v>
      </c>
      <c r="AD1071" s="161">
        <f>AD1127/(AD$749+AC$749+AB$749+AA$749)</f>
        <v>2.5675506895885176E-2</v>
      </c>
      <c r="AE1071" s="1349">
        <f>AE1127/AE$749</f>
        <v>2.5675506895885176E-2</v>
      </c>
      <c r="AF1071" s="161">
        <f>AF1127/(AF$749+AD$749+AC$749+AB$749)</f>
        <v>1.8541185753248788E-2</v>
      </c>
      <c r="AG1071" s="161">
        <f>AG1127/(AG$749+AF$749+AD$749+AC$749)</f>
        <v>2.0592331174804211E-2</v>
      </c>
      <c r="AH1071" s="161">
        <f>AH1127/(AH$749+AG$749+AF$749+AD$749)</f>
        <v>2.4006598650569429E-2</v>
      </c>
      <c r="AI1071" s="161">
        <f>AI1127/(AI$749+AH$749+AG$749+AF$749)</f>
        <v>2.8838282295644276E-2</v>
      </c>
      <c r="AJ1071" s="1349">
        <f>AJ1127/AJ$749</f>
        <v>2.8838282295644276E-2</v>
      </c>
      <c r="AK1071" s="161">
        <f>AK1127/(AK$749+AI$749+AH$749+AG$749)</f>
        <v>1.9119835018324E-2</v>
      </c>
      <c r="AL1071" s="161">
        <f>AL1127/(AL$749+AK$749+AI$749+AH$749)</f>
        <v>2.189991499242511E-2</v>
      </c>
      <c r="AM1071" s="161">
        <f>AM1127/(AM$749+AL$749+AK$749+AI$749)</f>
        <v>2.3899590789382998E-2</v>
      </c>
      <c r="AN1071" s="161">
        <f>AN1127/(AN$749+AM$749+AL$749+AK$749)</f>
        <v>2.9671543341412896E-2</v>
      </c>
      <c r="AO1071" s="1349">
        <f>AO1127/AO$749</f>
        <v>2.9671543341412896E-2</v>
      </c>
      <c r="AP1071" s="161">
        <f>AP1127/(AP$749+AN$749+AM$749+AL$749)</f>
        <v>2.3335566274654496E-2</v>
      </c>
      <c r="AQ1071" s="161">
        <f>AQ1127/(AQ$749+AP$749+AN$749+AM$749)</f>
        <v>2.6348285657352366E-2</v>
      </c>
      <c r="AR1071" s="161">
        <f>AR1127/(AR$749+AQ$749+AP$749+AN$749)</f>
        <v>3.0783349694495171E-2</v>
      </c>
      <c r="AS1071" s="161">
        <f>AS1127/(AS$749+AR$749+AQ$749+AP$749)</f>
        <v>3.9449291476324776E-2</v>
      </c>
      <c r="AT1071" s="1349">
        <f>AT1127/AT$749</f>
        <v>3.9449291476324776E-2</v>
      </c>
      <c r="AU1071" s="161">
        <f>AU1127/(AU$749+AS$749+AR$749+AQ$749)</f>
        <v>2.3864415791936839E-2</v>
      </c>
      <c r="AV1071" s="161">
        <f>AV1127/(AV$749+AU$749+AS$749+AR$749)</f>
        <v>2.8897643288602327E-2</v>
      </c>
      <c r="AW1071" s="161">
        <f>AW1127/(AW$749+AV$749+AU$749+AS$749)</f>
        <v>3.4055275344071226E-2</v>
      </c>
      <c r="AX1071" s="161">
        <f>AX1127/(AX$749+AW$749+AV$749+AU$749)</f>
        <v>3.8797778687586222E-2</v>
      </c>
      <c r="AY1071" s="1349">
        <f>AY1127/AY$749</f>
        <v>3.8797778687586222E-2</v>
      </c>
      <c r="AZ1071" s="161">
        <f>AZ1127/(AZ$749+AX$749+AW$749+AV$749)</f>
        <v>2.1903441218273343E-2</v>
      </c>
      <c r="BA1071" s="161">
        <f>BA1127/(BA$749+AZ$749+AX$749+AW$749)</f>
        <v>2.8512245999105547E-2</v>
      </c>
      <c r="BB1071" s="161">
        <f>BB1127/(BB$749+BA$749+AZ$749+AX$749)</f>
        <v>3.1571819897053176E-2</v>
      </c>
      <c r="BC1071" s="161">
        <f>BC1127/(BC$749+BB$749+BA$749+AZ$749)</f>
        <v>2.8543013322970288E-2</v>
      </c>
      <c r="BD1071" s="1349">
        <f>BD1127/BD$749</f>
        <v>2.8543013322970295E-2</v>
      </c>
      <c r="BE1071" s="161">
        <f>BE1127/(BE$749+BC$749+BB$749+BA$749)</f>
        <v>2.402899946256085E-2</v>
      </c>
      <c r="BF1071" s="161">
        <f>BF1127/(BF$749+BE$749+BC$749+BB$749)</f>
        <v>2.2386533519173815E-2</v>
      </c>
      <c r="BG1071" s="161">
        <f>BG1127/(BG$749+BF$749+BE$749+BC$749)</f>
        <v>2.5736694228266375E-2</v>
      </c>
      <c r="BH1071" s="161">
        <f>BH1127/(BH$749+BG$749+BF$749+BE$749)</f>
        <v>3.4101131104841247E-2</v>
      </c>
      <c r="BI1071" s="1349">
        <f>BI1127/BI$749</f>
        <v>3.410113110484124E-2</v>
      </c>
      <c r="BJ1071" s="1350">
        <f>BJ1127/(BJ$749+BH$749+BG$749+BF$749)</f>
        <v>2.0128275581542225E-2</v>
      </c>
      <c r="BK1071" s="473">
        <f t="shared" si="1451"/>
        <v>2.2386533519173815E-2</v>
      </c>
      <c r="BL1071" s="473">
        <f t="shared" si="1451"/>
        <v>2.5736694228266375E-2</v>
      </c>
      <c r="BM1071" s="473">
        <f t="shared" si="1451"/>
        <v>3.4101131104841247E-2</v>
      </c>
      <c r="BN1071" s="730">
        <f>BN1127/BN$749</f>
        <v>3.4101131104841247E-2</v>
      </c>
      <c r="BO1071" s="473">
        <f t="shared" si="1452"/>
        <v>2.0128275581542225E-2</v>
      </c>
      <c r="BP1071" s="473">
        <f t="shared" si="1452"/>
        <v>2.2386533519173815E-2</v>
      </c>
      <c r="BQ1071" s="473">
        <f t="shared" si="1452"/>
        <v>2.5736694228266375E-2</v>
      </c>
      <c r="BR1071" s="473">
        <f t="shared" si="1452"/>
        <v>3.4101131104841247E-2</v>
      </c>
      <c r="BS1071" s="730">
        <f>BS1127/BS$749</f>
        <v>3.4101131104841247E-2</v>
      </c>
      <c r="BT1071" s="730">
        <f t="shared" si="1453"/>
        <v>3.4101131104841247E-2</v>
      </c>
      <c r="BU1071" s="730">
        <f t="shared" si="1453"/>
        <v>3.4101131104841247E-2</v>
      </c>
      <c r="BV1071" s="730">
        <f t="shared" si="1453"/>
        <v>3.4101131104841247E-2</v>
      </c>
      <c r="BW1071" s="161"/>
    </row>
    <row r="1072" spans="1:75" s="162" customFormat="1" ht="14.25" x14ac:dyDescent="0.45">
      <c r="A1072" s="1348" t="s">
        <v>2141</v>
      </c>
      <c r="B1072" s="729"/>
      <c r="C1072" s="1349">
        <f t="shared" si="1454"/>
        <v>6.2908031188279645E-2</v>
      </c>
      <c r="D1072" s="1349">
        <f t="shared" si="1454"/>
        <v>5.4920468768816927E-2</v>
      </c>
      <c r="E1072" s="1349">
        <f t="shared" si="1454"/>
        <v>5.1175053313786065E-2</v>
      </c>
      <c r="F1072" s="1349">
        <f t="shared" si="1454"/>
        <v>5.1303900446959712E-2</v>
      </c>
      <c r="G1072" s="473"/>
      <c r="H1072" s="473"/>
      <c r="I1072" s="473"/>
      <c r="J1072" s="473"/>
      <c r="K1072" s="1349">
        <f>K1128/K$749</f>
        <v>5.200518973930289E-2</v>
      </c>
      <c r="L1072" s="161">
        <f>L1128/(L$749+J$749+I$749+H$749)</f>
        <v>5.2199719694949791E-2</v>
      </c>
      <c r="M1072" s="161">
        <f>M1128/(M$749+L$749+J$749+I$749)</f>
        <v>5.5424663628836197E-2</v>
      </c>
      <c r="N1072" s="161">
        <f>N1128/(N$749+M$749+L$749+J$749)</f>
        <v>5.7335648177190252E-2</v>
      </c>
      <c r="O1072" s="161">
        <f>O1128/(O$749+N$749+M$749+L$749)</f>
        <v>5.5691561891656E-2</v>
      </c>
      <c r="P1072" s="1349">
        <f>P1128/P$749</f>
        <v>5.5691561891656E-2</v>
      </c>
      <c r="Q1072" s="161">
        <f>Q1128/(Q$749+O$749+N$749+M$749)</f>
        <v>5.4437531348151921E-2</v>
      </c>
      <c r="R1072" s="161">
        <f>R1128/(R$749+Q$749+O$749+N$749)</f>
        <v>5.9602423378445263E-2</v>
      </c>
      <c r="S1072" s="161">
        <f>S1128/(S$749+R$749+Q$749+O$749)</f>
        <v>5.9473295442679319E-2</v>
      </c>
      <c r="T1072" s="161">
        <f>T1128/(T$749+S$749+R$749+Q$749)</f>
        <v>5.965064940545689E-2</v>
      </c>
      <c r="U1072" s="1349">
        <f>U1128/U$749</f>
        <v>5.965064940545689E-2</v>
      </c>
      <c r="V1072" s="161">
        <f>V1128/(V$749+T$749+S$749+R$749)</f>
        <v>5.4551536505069852E-2</v>
      </c>
      <c r="W1072" s="161">
        <f>W1128/(W$749+V$749+T$749+S$749)</f>
        <v>5.5914488244084209E-2</v>
      </c>
      <c r="X1072" s="161">
        <f>X1128/(X$749+W$749+V$749+T$749)</f>
        <v>5.69391779755863E-2</v>
      </c>
      <c r="Y1072" s="161">
        <f>Y1128/(Y$749+X$749+W$749+V$749)</f>
        <v>5.7884909984869622E-2</v>
      </c>
      <c r="Z1072" s="1349">
        <f>Z1128/Z$749</f>
        <v>5.7884909984869622E-2</v>
      </c>
      <c r="AA1072" s="161">
        <f>AA1128/(AA$749+Y$749+X$749+W$749)</f>
        <v>5.6861576513358887E-2</v>
      </c>
      <c r="AB1072" s="161">
        <f>AB1128/(AB$749+AA$749+Y$749+X$749)</f>
        <v>5.5971513278297851E-2</v>
      </c>
      <c r="AC1072" s="161">
        <f>AC1128/(AC$749+AB$749+AA$749+Y$749)</f>
        <v>5.5557823116154516E-2</v>
      </c>
      <c r="AD1072" s="161">
        <f>AD1128/(AD$749+AC$749+AB$749+AA$749)</f>
        <v>5.5260801468683431E-2</v>
      </c>
      <c r="AE1072" s="1349">
        <f>AE1128/AE$749</f>
        <v>5.5260801468683431E-2</v>
      </c>
      <c r="AF1072" s="161">
        <f>AF1128/(AF$749+AD$749+AC$749+AB$749)</f>
        <v>4.7648783807578664E-2</v>
      </c>
      <c r="AG1072" s="161">
        <f>AG1128/(AG$749+AF$749+AD$749+AC$749)</f>
        <v>4.8291317142532549E-2</v>
      </c>
      <c r="AH1072" s="161">
        <f>AH1128/(AH$749+AG$749+AF$749+AD$749)</f>
        <v>4.9966210745943797E-2</v>
      </c>
      <c r="AI1072" s="161">
        <f>AI1128/(AI$749+AH$749+AG$749+AF$749)</f>
        <v>5.1210480018576789E-2</v>
      </c>
      <c r="AJ1072" s="1349">
        <f>AJ1128/AJ$749</f>
        <v>5.1210480018576789E-2</v>
      </c>
      <c r="AK1072" s="161">
        <f>AK1128/(AK$749+AI$749+AH$749+AG$749)</f>
        <v>5.1112619259246289E-2</v>
      </c>
      <c r="AL1072" s="161">
        <f>AL1128/(AL$749+AK$749+AI$749+AH$749)</f>
        <v>4.876661501903843E-2</v>
      </c>
      <c r="AM1072" s="161">
        <f>AM1128/(AM$749+AL$749+AK$749+AI$749)</f>
        <v>5.0274034970141851E-2</v>
      </c>
      <c r="AN1072" s="161">
        <f>AN1128/(AN$749+AM$749+AL$749+AK$749)</f>
        <v>4.9103527835160615E-2</v>
      </c>
      <c r="AO1072" s="1349">
        <f>AO1128/AO$749</f>
        <v>4.9103527835160615E-2</v>
      </c>
      <c r="AP1072" s="161">
        <f>AP1128/(AP$749+AN$749+AM$749+AL$749)</f>
        <v>5.0806005825787467E-2</v>
      </c>
      <c r="AQ1072" s="161">
        <f>AQ1128/(AQ$749+AP$749+AN$749+AM$749)</f>
        <v>4.8682959966014884E-2</v>
      </c>
      <c r="AR1072" s="161">
        <f>AR1128/(AR$749+AQ$749+AP$749+AN$749)</f>
        <v>5.5204475580294995E-2</v>
      </c>
      <c r="AS1072" s="161">
        <f>AS1128/(AS$749+AR$749+AQ$749+AP$749)</f>
        <v>5.5013062440100076E-2</v>
      </c>
      <c r="AT1072" s="1349">
        <f>AT1128/AT$749</f>
        <v>5.5013062440100076E-2</v>
      </c>
      <c r="AU1072" s="161">
        <f>AU1128/(AU$749+AS$749+AR$749+AQ$749)</f>
        <v>5.3397176790783617E-2</v>
      </c>
      <c r="AV1072" s="161">
        <f>AV1128/(AV$749+AU$749+AS$749+AR$749)</f>
        <v>5.2022050977119698E-2</v>
      </c>
      <c r="AW1072" s="161">
        <f>AW1128/(AW$749+AV$749+AU$749+AS$749)</f>
        <v>5.3678594800922672E-2</v>
      </c>
      <c r="AX1072" s="161">
        <f>AX1128/(AX$749+AW$749+AV$749+AU$749)</f>
        <v>5.4301900960667171E-2</v>
      </c>
      <c r="AY1072" s="1349">
        <f>AY1128/AY$749</f>
        <v>5.4301900960667171E-2</v>
      </c>
      <c r="AZ1072" s="161">
        <f>AZ1128/(AZ$749+AX$749+AW$749+AV$749)</f>
        <v>5.8513729036755988E-2</v>
      </c>
      <c r="BA1072" s="161">
        <f>BA1128/(BA$749+AZ$749+AX$749+AW$749)</f>
        <v>5.8101283709200015E-2</v>
      </c>
      <c r="BB1072" s="161">
        <f>BB1128/(BB$749+BA$749+AZ$749+AX$749)</f>
        <v>5.6036509355774658E-2</v>
      </c>
      <c r="BC1072" s="161">
        <f>BC1128/(BC$749+BB$749+BA$749+AZ$749)</f>
        <v>5.5246248825713579E-2</v>
      </c>
      <c r="BD1072" s="1349">
        <f>BD1128/BD$749</f>
        <v>5.5246248825713593E-2</v>
      </c>
      <c r="BE1072" s="161">
        <f>BE1128/(BE$749+BC$749+BB$749+BA$749)</f>
        <v>5.2994967231904937E-2</v>
      </c>
      <c r="BF1072" s="161">
        <f>BF1128/(BF$749+BE$749+BC$749+BB$749)</f>
        <v>5.2684397023228524E-2</v>
      </c>
      <c r="BG1072" s="161">
        <f>BG1128/(BG$749+BF$749+BE$749+BC$749)</f>
        <v>6.6677190599528521E-2</v>
      </c>
      <c r="BH1072" s="161">
        <f>BH1128/(BH$749+BG$749+BF$749+BE$749)</f>
        <v>7.404589962238016E-2</v>
      </c>
      <c r="BI1072" s="1349">
        <f>BI1128/BI$749</f>
        <v>7.404589962238016E-2</v>
      </c>
      <c r="BJ1072" s="1350">
        <f>BJ1128/(BJ$749+BH$749+BG$749+BF$749)</f>
        <v>7.7896438256746858E-2</v>
      </c>
      <c r="BK1072" s="473">
        <f t="shared" si="1451"/>
        <v>5.2684397023228524E-2</v>
      </c>
      <c r="BL1072" s="473">
        <f t="shared" si="1451"/>
        <v>6.6677190599528521E-2</v>
      </c>
      <c r="BM1072" s="473">
        <f t="shared" si="1451"/>
        <v>7.404589962238016E-2</v>
      </c>
      <c r="BN1072" s="730">
        <f>BN1128/BN$749</f>
        <v>7.404589962238016E-2</v>
      </c>
      <c r="BO1072" s="473">
        <f t="shared" si="1452"/>
        <v>7.7896438256746858E-2</v>
      </c>
      <c r="BP1072" s="473">
        <f t="shared" si="1452"/>
        <v>5.2684397023228524E-2</v>
      </c>
      <c r="BQ1072" s="473">
        <f t="shared" si="1452"/>
        <v>6.6677190599528521E-2</v>
      </c>
      <c r="BR1072" s="473">
        <f t="shared" si="1452"/>
        <v>7.404589962238016E-2</v>
      </c>
      <c r="BS1072" s="730">
        <f>BS1128/BS$749</f>
        <v>7.404589962238016E-2</v>
      </c>
      <c r="BT1072" s="730">
        <f t="shared" si="1453"/>
        <v>7.404589962238016E-2</v>
      </c>
      <c r="BU1072" s="730">
        <f t="shared" si="1453"/>
        <v>7.404589962238016E-2</v>
      </c>
      <c r="BV1072" s="730">
        <f t="shared" si="1453"/>
        <v>7.404589962238016E-2</v>
      </c>
      <c r="BW1072" s="161"/>
    </row>
    <row r="1073" spans="1:75" s="162" customFormat="1" ht="14.25" x14ac:dyDescent="0.45">
      <c r="A1073" s="1348" t="s">
        <v>2142</v>
      </c>
      <c r="B1073" s="729"/>
      <c r="C1073" s="1349">
        <f>C1111/C$749</f>
        <v>7.1257200171205501E-3</v>
      </c>
      <c r="D1073" s="1349">
        <f>D1111/D$749</f>
        <v>6.0271254892045401E-3</v>
      </c>
      <c r="E1073" s="1349">
        <f>E1111/E$749</f>
        <v>6.5005865524289178E-3</v>
      </c>
      <c r="F1073" s="1349">
        <f>F1111/F$749</f>
        <v>6.5149262776196121E-3</v>
      </c>
      <c r="G1073" s="473"/>
      <c r="H1073" s="473"/>
      <c r="I1073" s="473"/>
      <c r="J1073" s="473"/>
      <c r="K1073" s="1349">
        <f>K1111/K$749</f>
        <v>8.0469218797467289E-3</v>
      </c>
      <c r="L1073" s="161">
        <f>L1111/(L$749+J$749+I$749+H$749)</f>
        <v>1.7765690277446573E-2</v>
      </c>
      <c r="M1073" s="161">
        <f>M1111/(M$749+L$749+J$749+I$749)</f>
        <v>1.2334639212023735E-2</v>
      </c>
      <c r="N1073" s="161">
        <f>N1111/(N$749+M$749+L$749+J$749)</f>
        <v>1.2225395302274452E-2</v>
      </c>
      <c r="O1073" s="161">
        <f>O1111/(O$749+N$749+M$749+L$749)</f>
        <v>7.7180610289740671E-3</v>
      </c>
      <c r="P1073" s="1349">
        <f>P1111/P$749</f>
        <v>7.7180610289740671E-3</v>
      </c>
      <c r="Q1073" s="161">
        <f>Q1111/(Q$749+O$749+N$749+M$749)</f>
        <v>1.2551668589178066E-2</v>
      </c>
      <c r="R1073" s="161">
        <f>R1111/(R$749+Q$749+O$749+N$749)</f>
        <v>1.1587673815623444E-2</v>
      </c>
      <c r="S1073" s="161">
        <f>S1111/(S$749+R$749+Q$749+O$749)</f>
        <v>1.2018870575726124E-2</v>
      </c>
      <c r="T1073" s="161">
        <f>T1111/(T$749+S$749+R$749+Q$749)</f>
        <v>8.9737122921812115E-3</v>
      </c>
      <c r="U1073" s="1349">
        <f>U1111/U$749</f>
        <v>8.9737122921812115E-3</v>
      </c>
      <c r="V1073" s="161">
        <f>V1111/(V$749+T$749+S$749+R$749)</f>
        <v>1.064575467592105E-2</v>
      </c>
      <c r="W1073" s="161">
        <f>W1111/(W$749+V$749+T$749+S$749)</f>
        <v>1.3457512878229015E-2</v>
      </c>
      <c r="X1073" s="161">
        <f>X1111/(X$749+W$749+V$749+T$749)</f>
        <v>1.4580817465144683E-2</v>
      </c>
      <c r="Y1073" s="161">
        <f>Y1111/(Y$749+X$749+W$749+V$749)</f>
        <v>1.040203689672238E-2</v>
      </c>
      <c r="Z1073" s="1349">
        <f>Z1111/Z$749</f>
        <v>1.040203689672238E-2</v>
      </c>
      <c r="AA1073" s="161">
        <f>AA1111/(AA$749+Y$749+X$749+W$749)</f>
        <v>1.2165566585358868E-2</v>
      </c>
      <c r="AB1073" s="161">
        <f>AB1111/(AB$749+AA$749+Y$749+X$749)</f>
        <v>1.4330908143629698E-2</v>
      </c>
      <c r="AC1073" s="161">
        <f>AC1111/(AC$749+AB$749+AA$749+Y$749)</f>
        <v>1.2577131822496212E-2</v>
      </c>
      <c r="AD1073" s="161">
        <f>AD1111/(AD$749+AC$749+AB$749+AA$749)</f>
        <v>1.1090139576699161E-2</v>
      </c>
      <c r="AE1073" s="1349">
        <f>AE1111/AE$749</f>
        <v>1.1090139576699161E-2</v>
      </c>
      <c r="AF1073" s="161">
        <f>AF1111/(AF$749+AD$749+AC$749+AB$749)</f>
        <v>1.0463326257854042E-2</v>
      </c>
      <c r="AG1073" s="161">
        <f>AG1111/(AG$749+AF$749+AD$749+AC$749)</f>
        <v>1.3708125817694075E-2</v>
      </c>
      <c r="AH1073" s="161">
        <f>AH1111/(AH$749+AG$749+AF$749+AD$749)</f>
        <v>1.7057091056192065E-2</v>
      </c>
      <c r="AI1073" s="161">
        <f>AI1111/(AI$749+AH$749+AG$749+AF$749)</f>
        <v>1.7870816893948489E-2</v>
      </c>
      <c r="AJ1073" s="1349">
        <f>AJ1111/AJ$749</f>
        <v>1.7870816893948489E-2</v>
      </c>
      <c r="AK1073" s="161">
        <f>AK1111/(AK$749+AI$749+AH$749+AG$749)</f>
        <v>1.7201003550959111E-2</v>
      </c>
      <c r="AL1073" s="161">
        <f>AL1111/(AL$749+AK$749+AI$749+AH$749)</f>
        <v>2.0156699880197023E-2</v>
      </c>
      <c r="AM1073" s="161">
        <f>AM1111/(AM$749+AL$749+AK$749+AI$749)</f>
        <v>1.9570676849231031E-2</v>
      </c>
      <c r="AN1073" s="161">
        <f>AN1111/(AN$749+AM$749+AL$749+AK$749)</f>
        <v>1.5331617047654057E-2</v>
      </c>
      <c r="AO1073" s="1349">
        <f>AO1111/AO$749</f>
        <v>1.5331617047654057E-2</v>
      </c>
      <c r="AP1073" s="161">
        <f>AP1111/(AP$749+AN$749+AM$749+AL$749)</f>
        <v>1.5348232771488637E-2</v>
      </c>
      <c r="AQ1073" s="161">
        <f>AQ1111/(AQ$749+AP$749+AN$749+AM$749)</f>
        <v>1.8212613950468078E-2</v>
      </c>
      <c r="AR1073" s="161">
        <f>AR1111/(AR$749+AQ$749+AP$749+AN$749)</f>
        <v>1.3415310700515591E-2</v>
      </c>
      <c r="AS1073" s="161">
        <f>AS1111/(AS$749+AR$749+AQ$749+AP$749)</f>
        <v>1.3831547373956409E-2</v>
      </c>
      <c r="AT1073" s="1349">
        <f>AT1111/AT$749</f>
        <v>1.3831547373956409E-2</v>
      </c>
      <c r="AU1073" s="161">
        <f>AU1111/(AU$749+AS$749+AR$749+AQ$749)</f>
        <v>8.0631600729887485E-3</v>
      </c>
      <c r="AV1073" s="161">
        <f>AV1111/(AV$749+AU$749+AS$749+AR$749)</f>
        <v>1.1036965652671963E-2</v>
      </c>
      <c r="AW1073" s="161">
        <f>AW1111/(AW$749+AV$749+AU$749+AS$749)</f>
        <v>1.0629194359496268E-2</v>
      </c>
      <c r="AX1073" s="161">
        <f>AX1111/(AX$749+AW$749+AV$749+AU$749)</f>
        <v>8.3983188809614827E-3</v>
      </c>
      <c r="AY1073" s="1349">
        <f>AY1111/AY$749</f>
        <v>8.3983188809614827E-3</v>
      </c>
      <c r="AZ1073" s="161">
        <f>AZ1111/(AZ$749+AX$749+AW$749+AV$749)</f>
        <v>7.2718199303921484E-3</v>
      </c>
      <c r="BA1073" s="161">
        <f>BA1111/(BA$749+AZ$749+AX$749+AW$749)</f>
        <v>1.1928184661617387E-2</v>
      </c>
      <c r="BB1073" s="161">
        <f>BB1111/(BB$749+BA$749+AZ$749+AX$749)</f>
        <v>1.1947215704177548E-2</v>
      </c>
      <c r="BC1073" s="161">
        <f>BC1111/(BC$749+BB$749+BA$749+AZ$749)</f>
        <v>7.4888029939072552E-3</v>
      </c>
      <c r="BD1073" s="1349">
        <f>BD1111/BD$749</f>
        <v>7.4888029939072561E-3</v>
      </c>
      <c r="BE1073" s="161">
        <f>BE1111/(BE$749+BC$749+BB$749+BA$749)</f>
        <v>7.3457825431470884E-3</v>
      </c>
      <c r="BF1073" s="161">
        <f>BF1111/(BF$749+BE$749+BC$749+BB$749)</f>
        <v>8.896842801266935E-3</v>
      </c>
      <c r="BG1073" s="161">
        <f>BG1111/(BG$749+BF$749+BE$749+BC$749)</f>
        <v>1.2624302915634149E-2</v>
      </c>
      <c r="BH1073" s="161">
        <f>BH1111/(BH$749+BG$749+BF$749+BE$749)</f>
        <v>7.6723867875889678E-3</v>
      </c>
      <c r="BI1073" s="1349">
        <f>BI1111/BI$749</f>
        <v>7.6723867875889669E-3</v>
      </c>
      <c r="BJ1073" s="1350">
        <f>BJ1111/(BJ$749+BH$749+BG$749+BF$749)</f>
        <v>8.1969300960649596E-3</v>
      </c>
      <c r="BK1073" s="473">
        <f t="shared" si="1451"/>
        <v>8.896842801266935E-3</v>
      </c>
      <c r="BL1073" s="473">
        <f t="shared" si="1451"/>
        <v>1.2624302915634149E-2</v>
      </c>
      <c r="BM1073" s="473">
        <f t="shared" si="1451"/>
        <v>7.6723867875889678E-3</v>
      </c>
      <c r="BN1073" s="730">
        <f>BN1111/BN$749</f>
        <v>7.6723867875889678E-3</v>
      </c>
      <c r="BO1073" s="473">
        <f t="shared" si="1452"/>
        <v>8.1969300960649596E-3</v>
      </c>
      <c r="BP1073" s="473">
        <f t="shared" si="1452"/>
        <v>8.896842801266935E-3</v>
      </c>
      <c r="BQ1073" s="473">
        <f t="shared" si="1452"/>
        <v>1.2624302915634149E-2</v>
      </c>
      <c r="BR1073" s="473">
        <f t="shared" si="1452"/>
        <v>7.6723867875889678E-3</v>
      </c>
      <c r="BS1073" s="730">
        <f>BS1111/BS$749</f>
        <v>7.6723867875889678E-3</v>
      </c>
      <c r="BT1073" s="730">
        <f t="shared" si="1453"/>
        <v>7.6723867875889678E-3</v>
      </c>
      <c r="BU1073" s="730">
        <f t="shared" si="1453"/>
        <v>7.6723867875889678E-3</v>
      </c>
      <c r="BV1073" s="730">
        <f t="shared" si="1453"/>
        <v>7.6723867875889678E-3</v>
      </c>
      <c r="BW1073" s="161"/>
    </row>
    <row r="1074" spans="1:75" s="162" customFormat="1" ht="14.25" x14ac:dyDescent="0.45">
      <c r="A1074" s="657"/>
      <c r="B1074" s="729"/>
      <c r="C1074" s="730"/>
      <c r="D1074" s="730"/>
      <c r="E1074" s="730"/>
      <c r="F1074" s="730"/>
      <c r="G1074" s="473"/>
      <c r="H1074" s="473"/>
      <c r="I1074" s="473"/>
      <c r="J1074" s="473"/>
      <c r="K1074" s="730"/>
      <c r="L1074" s="473"/>
      <c r="M1074" s="473"/>
      <c r="N1074" s="473"/>
      <c r="O1074" s="473"/>
      <c r="P1074" s="730"/>
      <c r="Q1074" s="473"/>
      <c r="R1074" s="473"/>
      <c r="S1074" s="473"/>
      <c r="T1074" s="473"/>
      <c r="U1074" s="730"/>
      <c r="V1074" s="473"/>
      <c r="W1074" s="473"/>
      <c r="X1074" s="473"/>
      <c r="Y1074" s="473"/>
      <c r="Z1074" s="730"/>
      <c r="AA1074" s="473"/>
      <c r="AB1074" s="473"/>
      <c r="AC1074" s="473"/>
      <c r="AD1074" s="473"/>
      <c r="AE1074" s="730"/>
      <c r="AF1074" s="473"/>
      <c r="AG1074" s="473"/>
      <c r="AH1074" s="473"/>
      <c r="AI1074" s="473"/>
      <c r="AJ1074" s="730"/>
      <c r="AK1074" s="473"/>
      <c r="AL1074" s="473"/>
      <c r="AM1074" s="473"/>
      <c r="AN1074" s="473"/>
      <c r="AO1074" s="730"/>
      <c r="AP1074" s="473"/>
      <c r="AQ1074" s="473"/>
      <c r="AR1074" s="473"/>
      <c r="AS1074" s="473"/>
      <c r="AT1074" s="730"/>
      <c r="AU1074" s="473"/>
      <c r="AV1074" s="473"/>
      <c r="AW1074" s="473"/>
      <c r="AX1074" s="473"/>
      <c r="AY1074" s="730"/>
      <c r="AZ1074" s="473"/>
      <c r="BA1074" s="473"/>
      <c r="BB1074" s="473"/>
      <c r="BC1074" s="473"/>
      <c r="BD1074" s="730"/>
      <c r="BE1074" s="473"/>
      <c r="BF1074" s="473"/>
      <c r="BG1074" s="473"/>
      <c r="BH1074" s="473"/>
      <c r="BI1074" s="730"/>
      <c r="BJ1074" s="1246"/>
      <c r="BK1074" s="473"/>
      <c r="BL1074" s="473"/>
      <c r="BM1074" s="473"/>
      <c r="BN1074" s="730"/>
      <c r="BO1074" s="473"/>
      <c r="BP1074" s="473"/>
      <c r="BQ1074" s="473"/>
      <c r="BR1074" s="473"/>
      <c r="BS1074" s="730"/>
      <c r="BT1074" s="730"/>
      <c r="BU1074" s="730"/>
      <c r="BV1074" s="730"/>
      <c r="BW1074" s="161"/>
    </row>
    <row r="1075" spans="1:75" s="162" customFormat="1" ht="14.25" x14ac:dyDescent="0.45">
      <c r="A1075" s="1351" t="s">
        <v>2143</v>
      </c>
      <c r="B1075" s="1352"/>
      <c r="C1075" s="1138"/>
      <c r="D1075" s="1353">
        <f t="shared" ref="D1075:F1080" si="1455">D1068-C1068</f>
        <v>-2.3798260712471798E-3</v>
      </c>
      <c r="E1075" s="1353">
        <f t="shared" si="1455"/>
        <v>4.9051303131214356E-4</v>
      </c>
      <c r="F1075" s="1353">
        <f t="shared" si="1455"/>
        <v>3.2271433672126388E-3</v>
      </c>
      <c r="G1075" s="1139"/>
      <c r="H1075" s="1139"/>
      <c r="I1075" s="1139"/>
      <c r="J1075" s="1139"/>
      <c r="K1075" s="1353">
        <f t="shared" ref="K1075:K1080" si="1456">K1068-F1068</f>
        <v>-1.8300707441993493E-3</v>
      </c>
      <c r="L1075" s="1139"/>
      <c r="M1075" s="1139"/>
      <c r="N1075" s="1139"/>
      <c r="O1075" s="1139"/>
      <c r="P1075" s="1353">
        <f t="shared" ref="P1075:BJ1080" si="1457">P1068-K1068</f>
        <v>6.0896035154937508E-4</v>
      </c>
      <c r="Q1075" s="1143">
        <f t="shared" si="1457"/>
        <v>1.3800897202999995E-3</v>
      </c>
      <c r="R1075" s="1143">
        <f t="shared" si="1457"/>
        <v>1.5091704926952134E-3</v>
      </c>
      <c r="S1075" s="1143">
        <f t="shared" si="1457"/>
        <v>4.1800708363603136E-3</v>
      </c>
      <c r="T1075" s="1143">
        <f t="shared" si="1457"/>
        <v>1.5788421017289642E-3</v>
      </c>
      <c r="U1075" s="1353">
        <f t="shared" si="1457"/>
        <v>1.5788421017289642E-3</v>
      </c>
      <c r="V1075" s="1143">
        <f t="shared" si="1457"/>
        <v>1.332844891101765E-3</v>
      </c>
      <c r="W1075" s="1143">
        <f t="shared" si="1457"/>
        <v>2.4392211232993864E-3</v>
      </c>
      <c r="X1075" s="1143">
        <f t="shared" si="1457"/>
        <v>9.903382064786817E-4</v>
      </c>
      <c r="Y1075" s="1143">
        <f t="shared" si="1457"/>
        <v>1.5307870008088656E-3</v>
      </c>
      <c r="Z1075" s="1353">
        <f t="shared" si="1457"/>
        <v>1.5307870008088656E-3</v>
      </c>
      <c r="AA1075" s="1143">
        <f t="shared" si="1457"/>
        <v>-2.3919566539663175E-3</v>
      </c>
      <c r="AB1075" s="1143">
        <f t="shared" si="1457"/>
        <v>-4.0020470265821288E-3</v>
      </c>
      <c r="AC1075" s="1143">
        <f t="shared" si="1457"/>
        <v>-1.1748613190075349E-3</v>
      </c>
      <c r="AD1075" s="1143">
        <f t="shared" si="1457"/>
        <v>-4.3966345158318737E-4</v>
      </c>
      <c r="AE1075" s="1353">
        <f t="shared" si="1457"/>
        <v>-4.3966345158318737E-4</v>
      </c>
      <c r="AF1075" s="1143">
        <f t="shared" si="1457"/>
        <v>6.5109216315623053E-3</v>
      </c>
      <c r="AG1075" s="1143">
        <f t="shared" si="1457"/>
        <v>4.1642416450759067E-3</v>
      </c>
      <c r="AH1075" s="1143">
        <f t="shared" si="1457"/>
        <v>2.8279177896381111E-3</v>
      </c>
      <c r="AI1075" s="1143">
        <f t="shared" si="1457"/>
        <v>1.8558018009535611E-3</v>
      </c>
      <c r="AJ1075" s="1353">
        <f t="shared" si="1457"/>
        <v>1.8558018009535611E-3</v>
      </c>
      <c r="AK1075" s="1143">
        <f t="shared" si="1457"/>
        <v>-1.1641495005578414E-3</v>
      </c>
      <c r="AL1075" s="1143">
        <f t="shared" si="1457"/>
        <v>-3.422177839608187E-4</v>
      </c>
      <c r="AM1075" s="1143">
        <f t="shared" si="1457"/>
        <v>-1.8996020649823357E-3</v>
      </c>
      <c r="AN1075" s="1143">
        <f t="shared" si="1457"/>
        <v>6.0934742683090709E-5</v>
      </c>
      <c r="AO1075" s="1353">
        <f t="shared" si="1457"/>
        <v>6.0934742683090709E-5</v>
      </c>
      <c r="AP1075" s="1143">
        <f t="shared" si="1457"/>
        <v>-1.0689718992019231E-4</v>
      </c>
      <c r="AQ1075" s="1143">
        <f t="shared" si="1457"/>
        <v>2.2733085773302651E-3</v>
      </c>
      <c r="AR1075" s="1143">
        <f t="shared" si="1457"/>
        <v>1.794143034927545E-3</v>
      </c>
      <c r="AS1075" s="1143">
        <f t="shared" si="1457"/>
        <v>2.2439829187941747E-3</v>
      </c>
      <c r="AT1075" s="1353">
        <f t="shared" si="1457"/>
        <v>2.2439829187941747E-3</v>
      </c>
      <c r="AU1075" s="1143">
        <f t="shared" si="1457"/>
        <v>1.7314015281266748E-3</v>
      </c>
      <c r="AV1075" s="1143">
        <f t="shared" si="1457"/>
        <v>-3.1254101574359414E-3</v>
      </c>
      <c r="AW1075" s="1143">
        <f t="shared" si="1457"/>
        <v>-3.132056130133537E-3</v>
      </c>
      <c r="AX1075" s="1143">
        <f t="shared" si="1457"/>
        <v>-5.2194113955458012E-3</v>
      </c>
      <c r="AY1075" s="1353">
        <f t="shared" si="1457"/>
        <v>-5.2194113955458012E-3</v>
      </c>
      <c r="AZ1075" s="1143">
        <f t="shared" si="1457"/>
        <v>-4.8657809894035332E-3</v>
      </c>
      <c r="BA1075" s="1143">
        <f t="shared" si="1457"/>
        <v>-2.7234998748050555E-3</v>
      </c>
      <c r="BB1075" s="1143">
        <f t="shared" si="1457"/>
        <v>-2.9298331558012675E-3</v>
      </c>
      <c r="BC1075" s="1143">
        <f t="shared" si="1457"/>
        <v>-2.6330994520689308E-3</v>
      </c>
      <c r="BD1075" s="1353">
        <f t="shared" si="1457"/>
        <v>-2.6330994520689273E-3</v>
      </c>
      <c r="BE1075" s="1143">
        <f t="shared" si="1457"/>
        <v>-1.8678617820220064E-3</v>
      </c>
      <c r="BF1075" s="1143">
        <f t="shared" si="1457"/>
        <v>-1.4005588984001421E-3</v>
      </c>
      <c r="BG1075" s="1143">
        <f t="shared" si="1457"/>
        <v>1.2496210045748087E-3</v>
      </c>
      <c r="BH1075" s="1143">
        <f t="shared" si="1457"/>
        <v>2.5221938547691572E-3</v>
      </c>
      <c r="BI1075" s="1353">
        <f t="shared" si="1457"/>
        <v>2.5221938547691503E-3</v>
      </c>
      <c r="BJ1075" s="1354">
        <f t="shared" si="1457"/>
        <v>2.2605960141271406E-3</v>
      </c>
      <c r="BK1075" s="1141">
        <v>0</v>
      </c>
      <c r="BL1075" s="1141">
        <v>0</v>
      </c>
      <c r="BM1075" s="1141">
        <v>0</v>
      </c>
      <c r="BN1075" s="1138">
        <f t="shared" ref="BN1075:BN1080" si="1458">BN1068-BI1068</f>
        <v>0</v>
      </c>
      <c r="BO1075" s="1141">
        <v>0</v>
      </c>
      <c r="BP1075" s="1141">
        <v>0</v>
      </c>
      <c r="BQ1075" s="1141">
        <v>0</v>
      </c>
      <c r="BR1075" s="1141">
        <v>0</v>
      </c>
      <c r="BS1075" s="1138">
        <f t="shared" ref="BS1075:BS1080" si="1459">BS1068-BN1068</f>
        <v>0</v>
      </c>
      <c r="BT1075" s="1142">
        <v>0</v>
      </c>
      <c r="BU1075" s="1142">
        <v>0</v>
      </c>
      <c r="BV1075" s="1142">
        <v>0</v>
      </c>
      <c r="BW1075" s="161"/>
    </row>
    <row r="1076" spans="1:75" s="162" customFormat="1" ht="14.25" x14ac:dyDescent="0.45">
      <c r="A1076" s="1351" t="s">
        <v>2144</v>
      </c>
      <c r="B1076" s="1352"/>
      <c r="C1076" s="1138"/>
      <c r="D1076" s="1353">
        <f t="shared" si="1455"/>
        <v>-3.7253036673205731E-3</v>
      </c>
      <c r="E1076" s="1353">
        <f t="shared" si="1455"/>
        <v>2.2378158646892965E-3</v>
      </c>
      <c r="F1076" s="1353">
        <f t="shared" si="1455"/>
        <v>9.5652676941097858E-3</v>
      </c>
      <c r="G1076" s="1139"/>
      <c r="H1076" s="1139"/>
      <c r="I1076" s="1139"/>
      <c r="J1076" s="1139"/>
      <c r="K1076" s="1353">
        <f t="shared" si="1456"/>
        <v>2.7009862093074932E-2</v>
      </c>
      <c r="L1076" s="1139"/>
      <c r="M1076" s="1139"/>
      <c r="N1076" s="1139"/>
      <c r="O1076" s="1139"/>
      <c r="P1076" s="1353">
        <f t="shared" si="1457"/>
        <v>3.6048630854861596E-3</v>
      </c>
      <c r="Q1076" s="1143">
        <f t="shared" si="1457"/>
        <v>8.2106781523047789E-3</v>
      </c>
      <c r="R1076" s="1143">
        <f t="shared" si="1457"/>
        <v>1.5498440361334659E-2</v>
      </c>
      <c r="S1076" s="1143">
        <f t="shared" si="1457"/>
        <v>1.1587026555196944E-2</v>
      </c>
      <c r="T1076" s="1143">
        <f t="shared" si="1457"/>
        <v>7.6435411542801202E-3</v>
      </c>
      <c r="U1076" s="1353">
        <f t="shared" si="1457"/>
        <v>7.6435411542801202E-3</v>
      </c>
      <c r="V1076" s="1143">
        <f t="shared" si="1457"/>
        <v>-1.09658821001343E-2</v>
      </c>
      <c r="W1076" s="1143">
        <f t="shared" si="1457"/>
        <v>-2.3248642215003334E-2</v>
      </c>
      <c r="X1076" s="1143">
        <f t="shared" si="1457"/>
        <v>-1.4465772229340951E-2</v>
      </c>
      <c r="Y1076" s="1143">
        <f t="shared" si="1457"/>
        <v>-4.2896262726344614E-3</v>
      </c>
      <c r="Z1076" s="1353">
        <f t="shared" si="1457"/>
        <v>-4.2896262726344614E-3</v>
      </c>
      <c r="AA1076" s="1143">
        <f t="shared" si="1457"/>
        <v>1.6147059255511714E-2</v>
      </c>
      <c r="AB1076" s="1143">
        <f t="shared" si="1457"/>
        <v>1.9013196674929678E-2</v>
      </c>
      <c r="AC1076" s="1143">
        <f t="shared" si="1457"/>
        <v>1.7547165363472977E-2</v>
      </c>
      <c r="AD1076" s="1143">
        <f t="shared" si="1457"/>
        <v>8.3117959858000356E-3</v>
      </c>
      <c r="AE1076" s="1353">
        <f t="shared" si="1457"/>
        <v>8.3117959858000356E-3</v>
      </c>
      <c r="AF1076" s="1143">
        <f t="shared" si="1457"/>
        <v>-7.8891550590806103E-3</v>
      </c>
      <c r="AG1076" s="1143">
        <f t="shared" si="1457"/>
        <v>-7.2070643899060094E-3</v>
      </c>
      <c r="AH1076" s="1143">
        <f t="shared" si="1457"/>
        <v>-9.4527165185580575E-3</v>
      </c>
      <c r="AI1076" s="1143">
        <f t="shared" si="1457"/>
        <v>-2.2341968989858241E-3</v>
      </c>
      <c r="AJ1076" s="1353">
        <f t="shared" si="1457"/>
        <v>-2.2341968989858241E-3</v>
      </c>
      <c r="AK1076" s="1143">
        <f t="shared" si="1457"/>
        <v>6.7964233433832066E-3</v>
      </c>
      <c r="AL1076" s="1143">
        <f t="shared" si="1457"/>
        <v>3.0515207762468743E-3</v>
      </c>
      <c r="AM1076" s="1143">
        <f t="shared" si="1457"/>
        <v>-3.4990225182528756E-3</v>
      </c>
      <c r="AN1076" s="1143">
        <f t="shared" si="1457"/>
        <v>-1.1759677825726955E-2</v>
      </c>
      <c r="AO1076" s="1353">
        <f t="shared" si="1457"/>
        <v>-1.1759677825726955E-2</v>
      </c>
      <c r="AP1076" s="1143">
        <f t="shared" si="1457"/>
        <v>-2.0645918116002027E-2</v>
      </c>
      <c r="AQ1076" s="1143">
        <f t="shared" si="1457"/>
        <v>-3.1216073602979511E-2</v>
      </c>
      <c r="AR1076" s="1143">
        <f t="shared" si="1457"/>
        <v>-3.5958315706119015E-2</v>
      </c>
      <c r="AS1076" s="1143">
        <f t="shared" si="1457"/>
        <v>-3.8243977678315194E-2</v>
      </c>
      <c r="AT1076" s="1353">
        <f t="shared" si="1457"/>
        <v>-3.8243977678315194E-2</v>
      </c>
      <c r="AU1076" s="1143">
        <f t="shared" si="1457"/>
        <v>-3.2677936090858173E-2</v>
      </c>
      <c r="AV1076" s="1143">
        <f t="shared" si="1457"/>
        <v>-2.2424388662893119E-2</v>
      </c>
      <c r="AW1076" s="1143">
        <f t="shared" si="1457"/>
        <v>-1.9424828083752177E-2</v>
      </c>
      <c r="AX1076" s="1143">
        <f t="shared" si="1457"/>
        <v>2.7979477648577278E-3</v>
      </c>
      <c r="AY1076" s="1353">
        <f t="shared" si="1457"/>
        <v>2.7979477648577278E-3</v>
      </c>
      <c r="AZ1076" s="1143">
        <f t="shared" si="1457"/>
        <v>1.740428593368909E-2</v>
      </c>
      <c r="BA1076" s="1143">
        <f t="shared" si="1457"/>
        <v>2.8875100812143478E-2</v>
      </c>
      <c r="BB1076" s="1143">
        <f t="shared" si="1457"/>
        <v>3.5253338822047536E-2</v>
      </c>
      <c r="BC1076" s="1143">
        <f t="shared" si="1457"/>
        <v>1.6714225356821155E-2</v>
      </c>
      <c r="BD1076" s="1353">
        <f t="shared" si="1457"/>
        <v>1.6714225356821183E-2</v>
      </c>
      <c r="BE1076" s="1143">
        <f t="shared" si="1457"/>
        <v>-2.2918911648683038E-3</v>
      </c>
      <c r="BF1076" s="1143">
        <f t="shared" si="1457"/>
        <v>-2.2410496509749328E-2</v>
      </c>
      <c r="BG1076" s="1143">
        <f t="shared" si="1457"/>
        <v>-1.7248388708788975E-2</v>
      </c>
      <c r="BH1076" s="1143">
        <f t="shared" si="1457"/>
        <v>-7.0557988221895407E-3</v>
      </c>
      <c r="BI1076" s="1353">
        <f t="shared" si="1457"/>
        <v>-7.0557988221895962E-3</v>
      </c>
      <c r="BJ1076" s="1354">
        <f t="shared" si="1457"/>
        <v>-4.992280343016936E-3</v>
      </c>
      <c r="BK1076" s="1141">
        <v>0</v>
      </c>
      <c r="BL1076" s="1141">
        <v>0</v>
      </c>
      <c r="BM1076" s="1141">
        <v>0</v>
      </c>
      <c r="BN1076" s="1138">
        <f t="shared" si="1458"/>
        <v>0</v>
      </c>
      <c r="BO1076" s="1141">
        <v>0</v>
      </c>
      <c r="BP1076" s="1141">
        <v>0</v>
      </c>
      <c r="BQ1076" s="1141">
        <v>0</v>
      </c>
      <c r="BR1076" s="1141">
        <v>0</v>
      </c>
      <c r="BS1076" s="1138">
        <f t="shared" si="1459"/>
        <v>0</v>
      </c>
      <c r="BT1076" s="1142">
        <v>0</v>
      </c>
      <c r="BU1076" s="1142">
        <v>0</v>
      </c>
      <c r="BV1076" s="1142">
        <v>0</v>
      </c>
      <c r="BW1076" s="161"/>
    </row>
    <row r="1077" spans="1:75" s="162" customFormat="1" ht="14.25" x14ac:dyDescent="0.45">
      <c r="A1077" s="1351" t="s">
        <v>2145</v>
      </c>
      <c r="B1077" s="1352"/>
      <c r="C1077" s="1138"/>
      <c r="D1077" s="1353">
        <f t="shared" si="1455"/>
        <v>4.3850170302806094E-3</v>
      </c>
      <c r="E1077" s="1353">
        <f t="shared" si="1455"/>
        <v>-6.3785260309751485E-3</v>
      </c>
      <c r="F1077" s="1353">
        <f t="shared" si="1455"/>
        <v>5.42699670616556E-3</v>
      </c>
      <c r="G1077" s="1139"/>
      <c r="H1077" s="1139"/>
      <c r="I1077" s="1139"/>
      <c r="J1077" s="1139"/>
      <c r="K1077" s="1353">
        <f t="shared" si="1456"/>
        <v>2.8148406790174968E-2</v>
      </c>
      <c r="L1077" s="1139"/>
      <c r="M1077" s="1139"/>
      <c r="N1077" s="1139"/>
      <c r="O1077" s="1139"/>
      <c r="P1077" s="1353">
        <f t="shared" si="1457"/>
        <v>-7.7528899235644322E-3</v>
      </c>
      <c r="Q1077" s="1143">
        <f t="shared" si="1457"/>
        <v>-5.240042395776065E-3</v>
      </c>
      <c r="R1077" s="1143">
        <f t="shared" si="1457"/>
        <v>1.1699757011327472E-2</v>
      </c>
      <c r="S1077" s="1143">
        <f t="shared" si="1457"/>
        <v>-8.8577215456398656E-3</v>
      </c>
      <c r="T1077" s="1143">
        <f t="shared" si="1457"/>
        <v>5.4133729942284631E-3</v>
      </c>
      <c r="U1077" s="1353">
        <f t="shared" si="1457"/>
        <v>5.4133729942284631E-3</v>
      </c>
      <c r="V1077" s="1143">
        <f t="shared" si="1457"/>
        <v>-9.9947266615733471E-3</v>
      </c>
      <c r="W1077" s="1143">
        <f t="shared" si="1457"/>
        <v>-8.7958771774023781E-3</v>
      </c>
      <c r="X1077" s="1143">
        <f t="shared" si="1457"/>
        <v>8.3650466592790351E-3</v>
      </c>
      <c r="Y1077" s="1143">
        <f t="shared" si="1457"/>
        <v>-6.663384369707398E-4</v>
      </c>
      <c r="Z1077" s="1353">
        <f t="shared" si="1457"/>
        <v>-6.663384369707398E-4</v>
      </c>
      <c r="AA1077" s="1143">
        <f t="shared" si="1457"/>
        <v>1.1043006837931871E-2</v>
      </c>
      <c r="AB1077" s="1143">
        <f t="shared" si="1457"/>
        <v>6.4394937186363355E-3</v>
      </c>
      <c r="AC1077" s="1143">
        <f t="shared" si="1457"/>
        <v>2.1768567946819084E-3</v>
      </c>
      <c r="AD1077" s="1143">
        <f t="shared" si="1457"/>
        <v>-2.4457883995881585E-3</v>
      </c>
      <c r="AE1077" s="1353">
        <f t="shared" si="1457"/>
        <v>-2.4457883995881585E-3</v>
      </c>
      <c r="AF1077" s="1143">
        <f t="shared" si="1457"/>
        <v>-5.3388409308493395E-3</v>
      </c>
      <c r="AG1077" s="1143">
        <f t="shared" si="1457"/>
        <v>1.9558595637186593E-3</v>
      </c>
      <c r="AH1077" s="1143">
        <f t="shared" si="1457"/>
        <v>-2.2027935310894586E-3</v>
      </c>
      <c r="AI1077" s="1143">
        <f t="shared" si="1457"/>
        <v>6.0664437718717934E-3</v>
      </c>
      <c r="AJ1077" s="1353">
        <f t="shared" si="1457"/>
        <v>6.0664437718717934E-3</v>
      </c>
      <c r="AK1077" s="1143">
        <f t="shared" si="1457"/>
        <v>-5.4587496329422253E-3</v>
      </c>
      <c r="AL1077" s="1143">
        <f t="shared" si="1457"/>
        <v>-1.5904945807392601E-2</v>
      </c>
      <c r="AM1077" s="1143">
        <f t="shared" si="1457"/>
        <v>-1.3018022827931561E-2</v>
      </c>
      <c r="AN1077" s="1143">
        <f t="shared" si="1457"/>
        <v>-4.4919248777413184E-3</v>
      </c>
      <c r="AO1077" s="1353">
        <f t="shared" si="1457"/>
        <v>-4.4919248777413184E-3</v>
      </c>
      <c r="AP1077" s="1143">
        <f t="shared" si="1457"/>
        <v>4.3129859574206758E-3</v>
      </c>
      <c r="AQ1077" s="1143">
        <f t="shared" si="1457"/>
        <v>-7.5923979757621662E-3</v>
      </c>
      <c r="AR1077" s="1143">
        <f t="shared" si="1457"/>
        <v>1.3353996137549173E-2</v>
      </c>
      <c r="AS1077" s="1143">
        <f t="shared" si="1457"/>
        <v>-8.3250890114478365E-3</v>
      </c>
      <c r="AT1077" s="1353">
        <f t="shared" si="1457"/>
        <v>-8.3250890114478365E-3</v>
      </c>
      <c r="AU1077" s="1143">
        <f t="shared" si="1457"/>
        <v>6.927408531766488E-3</v>
      </c>
      <c r="AV1077" s="1143">
        <f t="shared" si="1457"/>
        <v>1.5559515263746132E-2</v>
      </c>
      <c r="AW1077" s="1143">
        <f t="shared" si="1457"/>
        <v>-9.3491487982453741E-3</v>
      </c>
      <c r="AX1077" s="1143">
        <f t="shared" si="1457"/>
        <v>-5.7691941585090445E-3</v>
      </c>
      <c r="AY1077" s="1353">
        <f t="shared" si="1457"/>
        <v>-5.7691941585090445E-3</v>
      </c>
      <c r="AZ1077" s="1143">
        <f t="shared" si="1457"/>
        <v>-2.1718680807923524E-3</v>
      </c>
      <c r="BA1077" s="1143">
        <f t="shared" si="1457"/>
        <v>1.6740723430613696E-3</v>
      </c>
      <c r="BB1077" s="1143">
        <f t="shared" si="1457"/>
        <v>3.2212549111242106E-3</v>
      </c>
      <c r="BC1077" s="1143">
        <f t="shared" si="1457"/>
        <v>-1.5680450914372285E-2</v>
      </c>
      <c r="BD1077" s="1353">
        <f t="shared" si="1457"/>
        <v>-1.5680450914372271E-2</v>
      </c>
      <c r="BE1077" s="1143">
        <f t="shared" si="1457"/>
        <v>-2.8796636390925195E-3</v>
      </c>
      <c r="BF1077" s="1143">
        <f t="shared" si="1457"/>
        <v>-7.033944442368309E-3</v>
      </c>
      <c r="BG1077" s="1143">
        <f t="shared" si="1457"/>
        <v>2.5949006284491649E-3</v>
      </c>
      <c r="BH1077" s="1143">
        <f t="shared" si="1457"/>
        <v>1.9829124884404484E-2</v>
      </c>
      <c r="BI1077" s="1353">
        <f t="shared" si="1457"/>
        <v>1.9829124884404456E-2</v>
      </c>
      <c r="BJ1077" s="1354">
        <f t="shared" si="1457"/>
        <v>-8.1397040205836574E-3</v>
      </c>
      <c r="BK1077" s="1141">
        <v>0</v>
      </c>
      <c r="BL1077" s="1141">
        <v>0</v>
      </c>
      <c r="BM1077" s="1141">
        <v>0</v>
      </c>
      <c r="BN1077" s="1138">
        <f t="shared" si="1458"/>
        <v>0</v>
      </c>
      <c r="BO1077" s="1141">
        <v>0</v>
      </c>
      <c r="BP1077" s="1141">
        <v>0</v>
      </c>
      <c r="BQ1077" s="1141">
        <v>0</v>
      </c>
      <c r="BR1077" s="1141">
        <v>0</v>
      </c>
      <c r="BS1077" s="1138">
        <f t="shared" si="1459"/>
        <v>0</v>
      </c>
      <c r="BT1077" s="1142">
        <v>0</v>
      </c>
      <c r="BU1077" s="1142">
        <v>0</v>
      </c>
      <c r="BV1077" s="1142">
        <v>0</v>
      </c>
      <c r="BW1077" s="161"/>
    </row>
    <row r="1078" spans="1:75" s="162" customFormat="1" ht="14.25" x14ac:dyDescent="0.45">
      <c r="A1078" s="1351" t="s">
        <v>2146</v>
      </c>
      <c r="B1078" s="1352"/>
      <c r="C1078" s="1138"/>
      <c r="D1078" s="1353">
        <f t="shared" si="1455"/>
        <v>2.2646586738115509E-4</v>
      </c>
      <c r="E1078" s="1353">
        <f t="shared" si="1455"/>
        <v>-4.901799885871562E-3</v>
      </c>
      <c r="F1078" s="1353">
        <f t="shared" si="1455"/>
        <v>-2.0133794186498813E-4</v>
      </c>
      <c r="G1078" s="1139"/>
      <c r="H1078" s="1139"/>
      <c r="I1078" s="1139"/>
      <c r="J1078" s="1139"/>
      <c r="K1078" s="1353">
        <f t="shared" si="1456"/>
        <v>1.6532439564267247E-3</v>
      </c>
      <c r="L1078" s="1139"/>
      <c r="M1078" s="1139"/>
      <c r="N1078" s="1139"/>
      <c r="O1078" s="1139"/>
      <c r="P1078" s="1353">
        <f t="shared" si="1457"/>
        <v>-2.5448400555388682E-3</v>
      </c>
      <c r="Q1078" s="1143">
        <f t="shared" si="1457"/>
        <v>-1.5349235039140534E-3</v>
      </c>
      <c r="R1078" s="1143">
        <f t="shared" si="1457"/>
        <v>-1.058556440711584E-3</v>
      </c>
      <c r="S1078" s="1143">
        <f t="shared" si="1457"/>
        <v>-1.9338573412605517E-3</v>
      </c>
      <c r="T1078" s="1143">
        <f t="shared" si="1457"/>
        <v>-3.4000492285251455E-3</v>
      </c>
      <c r="U1078" s="1353">
        <f t="shared" si="1457"/>
        <v>-3.4000492285251455E-3</v>
      </c>
      <c r="V1078" s="1143">
        <f t="shared" si="1457"/>
        <v>8.3945666770697189E-4</v>
      </c>
      <c r="W1078" s="1143">
        <f t="shared" si="1457"/>
        <v>-1.1088349296190306E-3</v>
      </c>
      <c r="X1078" s="1143">
        <f t="shared" si="1457"/>
        <v>-1.5623260129402558E-3</v>
      </c>
      <c r="Y1078" s="1143">
        <f t="shared" si="1457"/>
        <v>6.15823458094307E-5</v>
      </c>
      <c r="Z1078" s="1353">
        <f t="shared" si="1457"/>
        <v>6.15823458094307E-5</v>
      </c>
      <c r="AA1078" s="1143">
        <f t="shared" si="1457"/>
        <v>-1.2904909597907521E-3</v>
      </c>
      <c r="AB1078" s="1143">
        <f t="shared" si="1457"/>
        <v>-7.4056401173172581E-4</v>
      </c>
      <c r="AC1078" s="1143">
        <f t="shared" si="1457"/>
        <v>-2.003543803658258E-3</v>
      </c>
      <c r="AD1078" s="1143">
        <f t="shared" si="1457"/>
        <v>6.7360882617963774E-5</v>
      </c>
      <c r="AE1078" s="1353">
        <f t="shared" si="1457"/>
        <v>6.7360882617963774E-5</v>
      </c>
      <c r="AF1078" s="1143">
        <f t="shared" si="1457"/>
        <v>6.8184994523929829E-4</v>
      </c>
      <c r="AG1078" s="1143">
        <f t="shared" si="1457"/>
        <v>1.0303750258812104E-3</v>
      </c>
      <c r="AH1078" s="1143">
        <f t="shared" si="1457"/>
        <v>4.108946923490453E-3</v>
      </c>
      <c r="AI1078" s="1143">
        <f t="shared" si="1457"/>
        <v>3.1627753997591004E-3</v>
      </c>
      <c r="AJ1078" s="1353">
        <f t="shared" si="1457"/>
        <v>3.1627753997591004E-3</v>
      </c>
      <c r="AK1078" s="1143">
        <f t="shared" si="1457"/>
        <v>5.786492650752123E-4</v>
      </c>
      <c r="AL1078" s="1143">
        <f t="shared" si="1457"/>
        <v>1.3075838176208991E-3</v>
      </c>
      <c r="AM1078" s="1143">
        <f t="shared" si="1457"/>
        <v>-1.0700786118643044E-4</v>
      </c>
      <c r="AN1078" s="1143">
        <f t="shared" si="1457"/>
        <v>8.3326104576861987E-4</v>
      </c>
      <c r="AO1078" s="1353">
        <f t="shared" si="1457"/>
        <v>8.3326104576861987E-4</v>
      </c>
      <c r="AP1078" s="1143">
        <f t="shared" si="1457"/>
        <v>4.2157312563304954E-3</v>
      </c>
      <c r="AQ1078" s="1143">
        <f t="shared" si="1457"/>
        <v>4.4483706649272557E-3</v>
      </c>
      <c r="AR1078" s="1143">
        <f t="shared" si="1457"/>
        <v>6.8837589051121729E-3</v>
      </c>
      <c r="AS1078" s="1143">
        <f t="shared" si="1457"/>
        <v>9.7777481349118796E-3</v>
      </c>
      <c r="AT1078" s="1353">
        <f t="shared" si="1457"/>
        <v>9.7777481349118796E-3</v>
      </c>
      <c r="AU1078" s="1143">
        <f t="shared" si="1457"/>
        <v>5.2884951728234333E-4</v>
      </c>
      <c r="AV1078" s="1143">
        <f t="shared" si="1457"/>
        <v>2.5493576312499606E-3</v>
      </c>
      <c r="AW1078" s="1143">
        <f t="shared" si="1457"/>
        <v>3.2719256495760546E-3</v>
      </c>
      <c r="AX1078" s="1143">
        <f t="shared" si="1457"/>
        <v>-6.5151278873855356E-4</v>
      </c>
      <c r="AY1078" s="1353">
        <f t="shared" si="1457"/>
        <v>-6.5151278873855356E-4</v>
      </c>
      <c r="AZ1078" s="1143">
        <f t="shared" si="1457"/>
        <v>-1.9609745736634959E-3</v>
      </c>
      <c r="BA1078" s="1143">
        <f t="shared" si="1457"/>
        <v>-3.8539728949677984E-4</v>
      </c>
      <c r="BB1078" s="1143">
        <f t="shared" si="1457"/>
        <v>-2.48345544701805E-3</v>
      </c>
      <c r="BC1078" s="1143">
        <f t="shared" si="1457"/>
        <v>-1.0254765364615934E-2</v>
      </c>
      <c r="BD1078" s="1353">
        <f t="shared" si="1457"/>
        <v>-1.0254765364615927E-2</v>
      </c>
      <c r="BE1078" s="1143">
        <f t="shared" si="1457"/>
        <v>2.1255582442875065E-3</v>
      </c>
      <c r="BF1078" s="1143">
        <f t="shared" si="1457"/>
        <v>-6.1257124799317317E-3</v>
      </c>
      <c r="BG1078" s="1143">
        <f t="shared" si="1457"/>
        <v>-5.8351256687868003E-3</v>
      </c>
      <c r="BH1078" s="1143">
        <f t="shared" si="1457"/>
        <v>5.5581177818709582E-3</v>
      </c>
      <c r="BI1078" s="1353">
        <f t="shared" si="1457"/>
        <v>5.5581177818709443E-3</v>
      </c>
      <c r="BJ1078" s="1354">
        <f t="shared" si="1457"/>
        <v>-3.9007238810186244E-3</v>
      </c>
      <c r="BK1078" s="1141">
        <v>0</v>
      </c>
      <c r="BL1078" s="1141">
        <v>0</v>
      </c>
      <c r="BM1078" s="1141">
        <v>0</v>
      </c>
      <c r="BN1078" s="1138">
        <f t="shared" si="1458"/>
        <v>0</v>
      </c>
      <c r="BO1078" s="1141">
        <v>0</v>
      </c>
      <c r="BP1078" s="1141">
        <v>0</v>
      </c>
      <c r="BQ1078" s="1141">
        <v>0</v>
      </c>
      <c r="BR1078" s="1141">
        <v>0</v>
      </c>
      <c r="BS1078" s="1138">
        <f t="shared" si="1459"/>
        <v>0</v>
      </c>
      <c r="BT1078" s="1142">
        <v>0</v>
      </c>
      <c r="BU1078" s="1142">
        <v>0</v>
      </c>
      <c r="BV1078" s="1142">
        <v>0</v>
      </c>
      <c r="BW1078" s="161"/>
    </row>
    <row r="1079" spans="1:75" s="162" customFormat="1" ht="14.25" x14ac:dyDescent="0.45">
      <c r="A1079" s="1351" t="s">
        <v>2147</v>
      </c>
      <c r="B1079" s="1352"/>
      <c r="C1079" s="1138"/>
      <c r="D1079" s="1353">
        <f t="shared" si="1455"/>
        <v>-7.9875624194627182E-3</v>
      </c>
      <c r="E1079" s="1353">
        <f t="shared" si="1455"/>
        <v>-3.7454154550308622E-3</v>
      </c>
      <c r="F1079" s="1353">
        <f t="shared" si="1455"/>
        <v>1.288471331736471E-4</v>
      </c>
      <c r="G1079" s="1139"/>
      <c r="H1079" s="1139"/>
      <c r="I1079" s="1139"/>
      <c r="J1079" s="1139"/>
      <c r="K1079" s="1353">
        <f t="shared" si="1456"/>
        <v>7.0128929234317822E-4</v>
      </c>
      <c r="L1079" s="1139"/>
      <c r="M1079" s="1139"/>
      <c r="N1079" s="1139"/>
      <c r="O1079" s="1139"/>
      <c r="P1079" s="1353">
        <f t="shared" si="1457"/>
        <v>3.6863721523531096E-3</v>
      </c>
      <c r="Q1079" s="1143">
        <f t="shared" si="1457"/>
        <v>2.2378116532021305E-3</v>
      </c>
      <c r="R1079" s="1143">
        <f t="shared" si="1457"/>
        <v>4.1777597496090654E-3</v>
      </c>
      <c r="S1079" s="1143">
        <f t="shared" si="1457"/>
        <v>2.1376472654890677E-3</v>
      </c>
      <c r="T1079" s="1143">
        <f t="shared" si="1457"/>
        <v>3.9590875138008907E-3</v>
      </c>
      <c r="U1079" s="1353">
        <f t="shared" si="1457"/>
        <v>3.9590875138008907E-3</v>
      </c>
      <c r="V1079" s="1143">
        <f t="shared" si="1457"/>
        <v>1.1400515691793039E-4</v>
      </c>
      <c r="W1079" s="1143">
        <f t="shared" si="1457"/>
        <v>-3.6879351343610534E-3</v>
      </c>
      <c r="X1079" s="1143">
        <f t="shared" si="1457"/>
        <v>-2.5341174670930194E-3</v>
      </c>
      <c r="Y1079" s="1143">
        <f t="shared" si="1457"/>
        <v>-1.7657394205872687E-3</v>
      </c>
      <c r="Z1079" s="1353">
        <f t="shared" si="1457"/>
        <v>-1.7657394205872687E-3</v>
      </c>
      <c r="AA1079" s="1143">
        <f t="shared" si="1457"/>
        <v>2.3100400082890354E-3</v>
      </c>
      <c r="AB1079" s="1143">
        <f t="shared" si="1457"/>
        <v>5.7025034213641079E-5</v>
      </c>
      <c r="AC1079" s="1143">
        <f t="shared" si="1457"/>
        <v>-1.381354859431784E-3</v>
      </c>
      <c r="AD1079" s="1143">
        <f t="shared" si="1457"/>
        <v>-2.624108516186191E-3</v>
      </c>
      <c r="AE1079" s="1353">
        <f t="shared" si="1457"/>
        <v>-2.624108516186191E-3</v>
      </c>
      <c r="AF1079" s="1143">
        <f t="shared" si="1457"/>
        <v>-9.2127927057802234E-3</v>
      </c>
      <c r="AG1079" s="1143">
        <f t="shared" si="1457"/>
        <v>-7.680196135765302E-3</v>
      </c>
      <c r="AH1079" s="1143">
        <f t="shared" si="1457"/>
        <v>-5.591612370210719E-3</v>
      </c>
      <c r="AI1079" s="1143">
        <f t="shared" si="1457"/>
        <v>-4.050321450106642E-3</v>
      </c>
      <c r="AJ1079" s="1353">
        <f t="shared" si="1457"/>
        <v>-4.050321450106642E-3</v>
      </c>
      <c r="AK1079" s="1143">
        <f t="shared" si="1457"/>
        <v>3.4638354516676254E-3</v>
      </c>
      <c r="AL1079" s="1143">
        <f t="shared" si="1457"/>
        <v>4.7529787650588129E-4</v>
      </c>
      <c r="AM1079" s="1143">
        <f t="shared" si="1457"/>
        <v>3.0782422419805416E-4</v>
      </c>
      <c r="AN1079" s="1143">
        <f t="shared" si="1457"/>
        <v>-2.1069521834161734E-3</v>
      </c>
      <c r="AO1079" s="1353">
        <f t="shared" si="1457"/>
        <v>-2.1069521834161734E-3</v>
      </c>
      <c r="AP1079" s="1143">
        <f t="shared" si="1457"/>
        <v>-3.0661343345882164E-4</v>
      </c>
      <c r="AQ1079" s="1143">
        <f t="shared" si="1457"/>
        <v>-8.3655053023545811E-5</v>
      </c>
      <c r="AR1079" s="1143">
        <f t="shared" si="1457"/>
        <v>4.9304406101531445E-3</v>
      </c>
      <c r="AS1079" s="1143">
        <f t="shared" si="1457"/>
        <v>5.9095346049394606E-3</v>
      </c>
      <c r="AT1079" s="1353">
        <f t="shared" si="1457"/>
        <v>5.9095346049394606E-3</v>
      </c>
      <c r="AU1079" s="1143">
        <f t="shared" si="1457"/>
        <v>2.5911709649961492E-3</v>
      </c>
      <c r="AV1079" s="1143">
        <f t="shared" si="1457"/>
        <v>3.3390910111048139E-3</v>
      </c>
      <c r="AW1079" s="1143">
        <f t="shared" si="1457"/>
        <v>-1.5258807793723239E-3</v>
      </c>
      <c r="AX1079" s="1143">
        <f t="shared" si="1457"/>
        <v>-7.1116147943290492E-4</v>
      </c>
      <c r="AY1079" s="1353">
        <f t="shared" si="1457"/>
        <v>-7.1116147943290492E-4</v>
      </c>
      <c r="AZ1079" s="1143">
        <f t="shared" si="1457"/>
        <v>5.1165522459723708E-3</v>
      </c>
      <c r="BA1079" s="1143">
        <f t="shared" si="1457"/>
        <v>6.0792327320803169E-3</v>
      </c>
      <c r="BB1079" s="1143">
        <f t="shared" si="1457"/>
        <v>2.3579145548519864E-3</v>
      </c>
      <c r="BC1079" s="1143">
        <f t="shared" si="1457"/>
        <v>9.4434786504640766E-4</v>
      </c>
      <c r="BD1079" s="1353">
        <f t="shared" si="1457"/>
        <v>9.4434786504642154E-4</v>
      </c>
      <c r="BE1079" s="1143">
        <f t="shared" si="1457"/>
        <v>-5.5187618048510509E-3</v>
      </c>
      <c r="BF1079" s="1143">
        <f t="shared" si="1457"/>
        <v>-5.4168866859714906E-3</v>
      </c>
      <c r="BG1079" s="1143">
        <f t="shared" si="1457"/>
        <v>1.0640681243753863E-2</v>
      </c>
      <c r="BH1079" s="1143">
        <f t="shared" si="1457"/>
        <v>1.8799650796666581E-2</v>
      </c>
      <c r="BI1079" s="1353">
        <f t="shared" si="1457"/>
        <v>1.8799650796666567E-2</v>
      </c>
      <c r="BJ1079" s="1354">
        <f t="shared" si="1457"/>
        <v>2.4901471024841922E-2</v>
      </c>
      <c r="BK1079" s="1141">
        <v>0</v>
      </c>
      <c r="BL1079" s="1141">
        <v>0</v>
      </c>
      <c r="BM1079" s="1141">
        <v>0</v>
      </c>
      <c r="BN1079" s="1138">
        <f t="shared" si="1458"/>
        <v>0</v>
      </c>
      <c r="BO1079" s="1141">
        <v>0</v>
      </c>
      <c r="BP1079" s="1141">
        <v>0</v>
      </c>
      <c r="BQ1079" s="1141">
        <v>0</v>
      </c>
      <c r="BR1079" s="1141">
        <v>0</v>
      </c>
      <c r="BS1079" s="1138">
        <f t="shared" si="1459"/>
        <v>0</v>
      </c>
      <c r="BT1079" s="1142">
        <v>0</v>
      </c>
      <c r="BU1079" s="1142">
        <v>0</v>
      </c>
      <c r="BV1079" s="1142">
        <v>0</v>
      </c>
      <c r="BW1079" s="161"/>
    </row>
    <row r="1080" spans="1:75" s="162" customFormat="1" ht="14.25" x14ac:dyDescent="0.45">
      <c r="A1080" s="1351" t="s">
        <v>2148</v>
      </c>
      <c r="B1080" s="1352"/>
      <c r="C1080" s="1138"/>
      <c r="D1080" s="1353">
        <f t="shared" si="1455"/>
        <v>-1.09859452791601E-3</v>
      </c>
      <c r="E1080" s="1353">
        <f t="shared" si="1455"/>
        <v>4.7346106322437766E-4</v>
      </c>
      <c r="F1080" s="1353">
        <f t="shared" si="1455"/>
        <v>1.4339725190694319E-5</v>
      </c>
      <c r="G1080" s="1139"/>
      <c r="H1080" s="1139"/>
      <c r="I1080" s="1139"/>
      <c r="J1080" s="1139"/>
      <c r="K1080" s="1353">
        <f t="shared" si="1456"/>
        <v>1.5319956021271168E-3</v>
      </c>
      <c r="L1080" s="1139"/>
      <c r="M1080" s="1139"/>
      <c r="N1080" s="1139"/>
      <c r="O1080" s="1139"/>
      <c r="P1080" s="1353">
        <f t="shared" si="1457"/>
        <v>-3.2886085077266178E-4</v>
      </c>
      <c r="Q1080" s="1143">
        <f t="shared" si="1457"/>
        <v>-5.2140216882685074E-3</v>
      </c>
      <c r="R1080" s="1143">
        <f t="shared" si="1457"/>
        <v>-7.4696539640029154E-4</v>
      </c>
      <c r="S1080" s="1143">
        <f t="shared" si="1457"/>
        <v>-2.0652472654832804E-4</v>
      </c>
      <c r="T1080" s="1143">
        <f t="shared" si="1457"/>
        <v>1.2556512632071444E-3</v>
      </c>
      <c r="U1080" s="1353">
        <f t="shared" si="1457"/>
        <v>1.2556512632071444E-3</v>
      </c>
      <c r="V1080" s="1143">
        <f t="shared" si="1457"/>
        <v>-1.9059139132570155E-3</v>
      </c>
      <c r="W1080" s="1143">
        <f t="shared" si="1457"/>
        <v>1.8698390626055716E-3</v>
      </c>
      <c r="X1080" s="1143">
        <f t="shared" si="1457"/>
        <v>2.5619468894185586E-3</v>
      </c>
      <c r="Y1080" s="1143">
        <f t="shared" si="1457"/>
        <v>1.4283246045411688E-3</v>
      </c>
      <c r="Z1080" s="1353">
        <f t="shared" si="1457"/>
        <v>1.4283246045411688E-3</v>
      </c>
      <c r="AA1080" s="1143">
        <f t="shared" si="1457"/>
        <v>1.5198119094378178E-3</v>
      </c>
      <c r="AB1080" s="1143">
        <f t="shared" si="1457"/>
        <v>8.733952654006831E-4</v>
      </c>
      <c r="AC1080" s="1143">
        <f t="shared" si="1457"/>
        <v>-2.0036856426484707E-3</v>
      </c>
      <c r="AD1080" s="1143">
        <f t="shared" si="1457"/>
        <v>6.8810267997678094E-4</v>
      </c>
      <c r="AE1080" s="1353">
        <f t="shared" si="1457"/>
        <v>6.8810267997678094E-4</v>
      </c>
      <c r="AF1080" s="1143">
        <f t="shared" si="1457"/>
        <v>-1.702240327504826E-3</v>
      </c>
      <c r="AG1080" s="1143">
        <f t="shared" si="1457"/>
        <v>-6.2278232593562279E-4</v>
      </c>
      <c r="AH1080" s="1143">
        <f t="shared" si="1457"/>
        <v>4.479959233695853E-3</v>
      </c>
      <c r="AI1080" s="1143">
        <f t="shared" si="1457"/>
        <v>6.7806773172493281E-3</v>
      </c>
      <c r="AJ1080" s="1353">
        <f t="shared" ref="AJ1080:BJ1080" si="1460">AJ1073-AE1073</f>
        <v>6.7806773172493281E-3</v>
      </c>
      <c r="AK1080" s="1143">
        <f t="shared" si="1460"/>
        <v>6.7376772931050689E-3</v>
      </c>
      <c r="AL1080" s="1143">
        <f t="shared" si="1460"/>
        <v>6.4485740625029476E-3</v>
      </c>
      <c r="AM1080" s="1143">
        <f t="shared" si="1460"/>
        <v>2.5135857930389666E-3</v>
      </c>
      <c r="AN1080" s="1143">
        <f t="shared" si="1460"/>
        <v>-2.5391998462944328E-3</v>
      </c>
      <c r="AO1080" s="1353">
        <f t="shared" si="1460"/>
        <v>-2.5391998462944328E-3</v>
      </c>
      <c r="AP1080" s="1143">
        <f t="shared" si="1460"/>
        <v>-1.8527707794704744E-3</v>
      </c>
      <c r="AQ1080" s="1143">
        <f t="shared" si="1460"/>
        <v>-1.9440859297289448E-3</v>
      </c>
      <c r="AR1080" s="1143">
        <f t="shared" si="1460"/>
        <v>-6.1553661487154399E-3</v>
      </c>
      <c r="AS1080" s="1143">
        <f t="shared" si="1460"/>
        <v>-1.5000696736976477E-3</v>
      </c>
      <c r="AT1080" s="1353">
        <f t="shared" si="1460"/>
        <v>-1.5000696736976477E-3</v>
      </c>
      <c r="AU1080" s="1143">
        <f t="shared" si="1460"/>
        <v>-7.2850726984998882E-3</v>
      </c>
      <c r="AV1080" s="1143">
        <f t="shared" si="1460"/>
        <v>-7.1756482977961156E-3</v>
      </c>
      <c r="AW1080" s="1143">
        <f t="shared" si="1460"/>
        <v>-2.7861163410193238E-3</v>
      </c>
      <c r="AX1080" s="1143">
        <f t="shared" si="1460"/>
        <v>-5.4332284929949261E-3</v>
      </c>
      <c r="AY1080" s="1353">
        <f t="shared" si="1460"/>
        <v>-5.4332284929949261E-3</v>
      </c>
      <c r="AZ1080" s="1143">
        <f t="shared" si="1460"/>
        <v>-7.9134014259660008E-4</v>
      </c>
      <c r="BA1080" s="1143">
        <f t="shared" si="1460"/>
        <v>8.9121900894542465E-4</v>
      </c>
      <c r="BB1080" s="1143">
        <f t="shared" si="1460"/>
        <v>1.3180213446812809E-3</v>
      </c>
      <c r="BC1080" s="1143">
        <f t="shared" si="1460"/>
        <v>-9.0951588705422744E-4</v>
      </c>
      <c r="BD1080" s="1353">
        <f t="shared" si="1460"/>
        <v>-9.0951588705422658E-4</v>
      </c>
      <c r="BE1080" s="1143">
        <f t="shared" si="1460"/>
        <v>7.3962612754940003E-5</v>
      </c>
      <c r="BF1080" s="1143">
        <f t="shared" si="1460"/>
        <v>-3.0313418603504522E-3</v>
      </c>
      <c r="BG1080" s="1143">
        <f t="shared" si="1460"/>
        <v>6.7708721145660032E-4</v>
      </c>
      <c r="BH1080" s="1143">
        <f t="shared" si="1460"/>
        <v>1.8358379368171255E-4</v>
      </c>
      <c r="BI1080" s="1353">
        <f t="shared" si="1460"/>
        <v>1.8358379368171081E-4</v>
      </c>
      <c r="BJ1080" s="1354">
        <f t="shared" si="1460"/>
        <v>8.5114755291787123E-4</v>
      </c>
      <c r="BK1080" s="1141">
        <v>0</v>
      </c>
      <c r="BL1080" s="1141">
        <v>0</v>
      </c>
      <c r="BM1080" s="1141">
        <v>0</v>
      </c>
      <c r="BN1080" s="1138">
        <f t="shared" si="1458"/>
        <v>0</v>
      </c>
      <c r="BO1080" s="1141">
        <v>0</v>
      </c>
      <c r="BP1080" s="1141">
        <v>0</v>
      </c>
      <c r="BQ1080" s="1141">
        <v>0</v>
      </c>
      <c r="BR1080" s="1141">
        <v>0</v>
      </c>
      <c r="BS1080" s="1138">
        <f t="shared" si="1459"/>
        <v>0</v>
      </c>
      <c r="BT1080" s="1142">
        <v>0</v>
      </c>
      <c r="BU1080" s="1142">
        <v>0</v>
      </c>
      <c r="BV1080" s="1142">
        <v>0</v>
      </c>
      <c r="BW1080" s="161"/>
    </row>
    <row r="1081" spans="1:75" s="162" customFormat="1" ht="14.25" x14ac:dyDescent="0.45">
      <c r="A1081" s="526"/>
      <c r="B1081" s="734"/>
      <c r="C1081" s="186"/>
      <c r="D1081" s="186"/>
      <c r="E1081" s="186"/>
      <c r="F1081" s="186"/>
      <c r="G1081" s="187"/>
      <c r="H1081" s="187"/>
      <c r="I1081" s="187"/>
      <c r="J1081" s="187"/>
      <c r="K1081" s="186"/>
      <c r="L1081" s="187"/>
      <c r="M1081" s="187"/>
      <c r="N1081" s="187"/>
      <c r="O1081" s="187"/>
      <c r="P1081" s="186"/>
      <c r="Q1081" s="187"/>
      <c r="R1081" s="187"/>
      <c r="S1081" s="187"/>
      <c r="T1081" s="187"/>
      <c r="U1081" s="186"/>
      <c r="V1081" s="187"/>
      <c r="W1081" s="187"/>
      <c r="X1081" s="187"/>
      <c r="Y1081" s="187"/>
      <c r="Z1081" s="186"/>
      <c r="AA1081" s="187"/>
      <c r="AB1081" s="187"/>
      <c r="AC1081" s="187"/>
      <c r="AD1081" s="187"/>
      <c r="AE1081" s="186"/>
      <c r="AF1081" s="187"/>
      <c r="AG1081" s="187"/>
      <c r="AH1081" s="187"/>
      <c r="AI1081" s="187"/>
      <c r="AJ1081" s="186"/>
      <c r="AK1081" s="187"/>
      <c r="AL1081" s="187"/>
      <c r="AM1081" s="187"/>
      <c r="AN1081" s="187"/>
      <c r="AO1081" s="186"/>
      <c r="AP1081" s="187"/>
      <c r="AQ1081" s="187"/>
      <c r="AR1081" s="187"/>
      <c r="AS1081" s="187"/>
      <c r="AT1081" s="186"/>
      <c r="AU1081" s="187"/>
      <c r="AV1081" s="187"/>
      <c r="AW1081" s="187"/>
      <c r="AX1081" s="187"/>
      <c r="AY1081" s="186"/>
      <c r="AZ1081" s="187"/>
      <c r="BA1081" s="187"/>
      <c r="BB1081" s="187"/>
      <c r="BC1081" s="187"/>
      <c r="BD1081" s="186"/>
      <c r="BE1081" s="187"/>
      <c r="BF1081" s="187"/>
      <c r="BG1081" s="187"/>
      <c r="BH1081" s="187"/>
      <c r="BI1081" s="186"/>
      <c r="BJ1081" s="1223"/>
      <c r="BK1081" s="187"/>
      <c r="BL1081" s="187"/>
      <c r="BM1081" s="187"/>
      <c r="BN1081" s="186"/>
      <c r="BO1081" s="187"/>
      <c r="BP1081" s="187"/>
      <c r="BQ1081" s="187"/>
      <c r="BR1081" s="187"/>
      <c r="BS1081" s="186"/>
      <c r="BT1081" s="186"/>
      <c r="BU1081" s="186"/>
      <c r="BV1081" s="186"/>
      <c r="BW1081" s="161"/>
    </row>
    <row r="1082" spans="1:75" s="162" customFormat="1" ht="14.25" x14ac:dyDescent="0.45">
      <c r="A1082" s="963" t="s">
        <v>1450</v>
      </c>
      <c r="B1082" s="964"/>
      <c r="C1082" s="965"/>
      <c r="D1082" s="965"/>
      <c r="E1082" s="965"/>
      <c r="F1082" s="965"/>
      <c r="G1082" s="965"/>
      <c r="H1082" s="965"/>
      <c r="I1082" s="965"/>
      <c r="J1082" s="965"/>
      <c r="K1082" s="965"/>
      <c r="L1082" s="965"/>
      <c r="M1082" s="965"/>
      <c r="N1082" s="965"/>
      <c r="O1082" s="965"/>
      <c r="P1082" s="965"/>
      <c r="Q1082" s="965"/>
      <c r="R1082" s="965"/>
      <c r="S1082" s="965"/>
      <c r="T1082" s="965"/>
      <c r="U1082" s="965"/>
      <c r="V1082" s="965"/>
      <c r="W1082" s="965"/>
      <c r="X1082" s="965"/>
      <c r="Y1082" s="965"/>
      <c r="Z1082" s="965"/>
      <c r="AA1082" s="965"/>
      <c r="AB1082" s="965"/>
      <c r="AC1082" s="965"/>
      <c r="AD1082" s="965"/>
      <c r="AE1082" s="965"/>
      <c r="AF1082" s="965"/>
      <c r="AG1082" s="965"/>
      <c r="AH1082" s="965"/>
      <c r="AI1082" s="965"/>
      <c r="AJ1082" s="965"/>
      <c r="AK1082" s="965"/>
      <c r="AL1082" s="965"/>
      <c r="AM1082" s="965"/>
      <c r="AN1082" s="965"/>
      <c r="AO1082" s="965"/>
      <c r="AP1082" s="965"/>
      <c r="AQ1082" s="965"/>
      <c r="AR1082" s="965"/>
      <c r="AS1082" s="965"/>
      <c r="AT1082" s="965"/>
      <c r="AU1082" s="965"/>
      <c r="AV1082" s="965"/>
      <c r="AW1082" s="965"/>
      <c r="AX1082" s="965"/>
      <c r="AY1082" s="965"/>
      <c r="AZ1082" s="965"/>
      <c r="BA1082" s="965"/>
      <c r="BB1082" s="965"/>
      <c r="BC1082" s="965"/>
      <c r="BD1082" s="965"/>
      <c r="BE1082" s="965"/>
      <c r="BF1082" s="965"/>
      <c r="BG1082" s="965"/>
      <c r="BH1082" s="965"/>
      <c r="BI1082" s="965"/>
      <c r="BJ1082" s="966"/>
      <c r="BK1082" s="965"/>
      <c r="BL1082" s="965"/>
      <c r="BM1082" s="965"/>
      <c r="BN1082" s="965"/>
      <c r="BO1082" s="965"/>
      <c r="BP1082" s="965"/>
      <c r="BQ1082" s="965"/>
      <c r="BR1082" s="965"/>
      <c r="BS1082" s="965"/>
      <c r="BT1082" s="965"/>
      <c r="BU1082" s="965"/>
      <c r="BV1082" s="965"/>
      <c r="BW1082" s="161"/>
    </row>
    <row r="1083" spans="1:75" s="198" customFormat="1" ht="14.25" x14ac:dyDescent="0.45">
      <c r="A1083" s="463" t="s">
        <v>1451</v>
      </c>
      <c r="B1083" s="522"/>
      <c r="C1083" s="208"/>
      <c r="D1083" s="555">
        <f t="shared" ref="D1083:J1083" si="1461">C1087</f>
        <v>829.02700000000004</v>
      </c>
      <c r="E1083" s="555">
        <f t="shared" si="1461"/>
        <v>730.55600000000004</v>
      </c>
      <c r="F1083" s="555">
        <f t="shared" si="1461"/>
        <v>734.67200000000003</v>
      </c>
      <c r="G1083" s="556">
        <f t="shared" si="1461"/>
        <v>812.03700000000003</v>
      </c>
      <c r="H1083" s="556">
        <f t="shared" si="1461"/>
        <v>817.24900000000002</v>
      </c>
      <c r="I1083" s="556">
        <f t="shared" si="1461"/>
        <v>829.95100000000002</v>
      </c>
      <c r="J1083" s="556">
        <f t="shared" si="1461"/>
        <v>843.56299999999999</v>
      </c>
      <c r="K1083" s="555">
        <f>F1087</f>
        <v>812.03700000000003</v>
      </c>
      <c r="L1083" s="556">
        <f>K1087</f>
        <v>849.29300000000001</v>
      </c>
      <c r="M1083" s="556">
        <f>L1087</f>
        <v>837.01199999999994</v>
      </c>
      <c r="N1083" s="556">
        <f>M1087</f>
        <v>849.255</v>
      </c>
      <c r="O1083" s="556">
        <f>N1087</f>
        <v>866.67</v>
      </c>
      <c r="P1083" s="555">
        <f>K1087</f>
        <v>849.29300000000001</v>
      </c>
      <c r="Q1083" s="556">
        <f>P1087</f>
        <v>883.01199999999994</v>
      </c>
      <c r="R1083" s="556">
        <f>Q1087</f>
        <v>876.78499999999997</v>
      </c>
      <c r="S1083" s="556">
        <f>R1087</f>
        <v>875.00199999999995</v>
      </c>
      <c r="T1083" s="556">
        <f>S1087</f>
        <v>883.45899999999995</v>
      </c>
      <c r="U1083" s="555">
        <f>P1087</f>
        <v>883.01199999999994</v>
      </c>
      <c r="V1083" s="556">
        <f>U1087</f>
        <v>886.81299999999999</v>
      </c>
      <c r="W1083" s="556">
        <f>V1087</f>
        <v>893.64</v>
      </c>
      <c r="X1083" s="556">
        <f>W1087</f>
        <v>908.56200000000001</v>
      </c>
      <c r="Y1083" s="556">
        <f>X1087</f>
        <v>918.02</v>
      </c>
      <c r="Z1083" s="555">
        <f>U1087</f>
        <v>886.81299999999999</v>
      </c>
      <c r="AA1083" s="556">
        <f>Z1087</f>
        <v>923.28300000000002</v>
      </c>
      <c r="AB1083" s="556">
        <f>AA1087</f>
        <v>920.53099999999995</v>
      </c>
      <c r="AC1083" s="556">
        <f>AB1087</f>
        <v>929.33100000000002</v>
      </c>
      <c r="AD1083" s="556">
        <f>AC1087</f>
        <v>931.13099999999997</v>
      </c>
      <c r="AE1083" s="555">
        <f>Z1087</f>
        <v>923.28300000000002</v>
      </c>
      <c r="AF1083" s="556">
        <f>AE1087</f>
        <v>932.28300000000002</v>
      </c>
      <c r="AG1083" s="556">
        <f>AF1087</f>
        <v>926.32</v>
      </c>
      <c r="AH1083" s="556">
        <f>AG1087</f>
        <v>919.68899999999996</v>
      </c>
      <c r="AI1083" s="556">
        <f>AH1087</f>
        <v>931.36099999999999</v>
      </c>
      <c r="AJ1083" s="555">
        <f>AE1087</f>
        <v>932.28300000000002</v>
      </c>
      <c r="AK1083" s="556">
        <f>AJ1087</f>
        <v>929.63499999999999</v>
      </c>
      <c r="AL1083" s="556">
        <f>AK1087</f>
        <v>916.03</v>
      </c>
      <c r="AM1083" s="556">
        <f>AL1087</f>
        <v>913.05899999999997</v>
      </c>
      <c r="AN1083" s="556">
        <f>AM1087</f>
        <v>915.74</v>
      </c>
      <c r="AO1083" s="555">
        <f>AJ1087</f>
        <v>929.63499999999999</v>
      </c>
      <c r="AP1083" s="556">
        <f>AO1087</f>
        <v>929.03800000000001</v>
      </c>
      <c r="AQ1083" s="556">
        <f>AP1087</f>
        <v>907.21900000000005</v>
      </c>
      <c r="AR1083" s="556">
        <f>AQ1087</f>
        <v>887.40099999999995</v>
      </c>
      <c r="AS1083" s="556">
        <f>AR1087</f>
        <v>869.09199999999998</v>
      </c>
      <c r="AT1083" s="555">
        <f>AO1087</f>
        <v>929.03800000000001</v>
      </c>
      <c r="AU1083" s="556">
        <f>AT1087</f>
        <v>873.89400000000001</v>
      </c>
      <c r="AV1083" s="556">
        <f>AU1087</f>
        <v>875.38400000000001</v>
      </c>
      <c r="AW1083" s="556">
        <f>AV1087</f>
        <v>875.29499999999996</v>
      </c>
      <c r="AX1083" s="556">
        <f>AW1087</f>
        <v>892.226</v>
      </c>
      <c r="AY1083" s="555">
        <f>AT1087</f>
        <v>873.89400000000001</v>
      </c>
      <c r="AZ1083" s="556">
        <f>AY1087</f>
        <v>920.77300000000002</v>
      </c>
      <c r="BA1083" s="556">
        <f>AZ1087</f>
        <v>942.46</v>
      </c>
      <c r="BB1083" s="556">
        <f>BA1087</f>
        <v>973.67600000000004</v>
      </c>
      <c r="BC1083" s="556">
        <f>BB1087</f>
        <v>1009.088</v>
      </c>
      <c r="BD1083" s="555">
        <f>AY1087</f>
        <v>920.77300000000002</v>
      </c>
      <c r="BE1083" s="556">
        <f>BD1087</f>
        <v>1065.3810000000001</v>
      </c>
      <c r="BF1083" s="556">
        <f>BE1087</f>
        <v>1050.0260000000001</v>
      </c>
      <c r="BG1083" s="556">
        <f>BF1087</f>
        <v>1036.4069999999999</v>
      </c>
      <c r="BH1083" s="556">
        <f>BG1087</f>
        <v>1026.819</v>
      </c>
      <c r="BI1083" s="555">
        <f>BD1087</f>
        <v>1065.3810000000001</v>
      </c>
      <c r="BJ1083" s="1355">
        <f>BI1087</f>
        <v>1013.189</v>
      </c>
      <c r="BK1083" s="209">
        <f>BJ1087</f>
        <v>990.16600000000005</v>
      </c>
      <c r="BL1083" s="209">
        <f>BK1087</f>
        <v>986.73440075471717</v>
      </c>
      <c r="BM1083" s="209">
        <f>BL1087</f>
        <v>998.48797837436825</v>
      </c>
      <c r="BN1083" s="208">
        <f>BI1087</f>
        <v>1013.189</v>
      </c>
      <c r="BO1083" s="209">
        <f>BN1087</f>
        <v>1010.9626392537444</v>
      </c>
      <c r="BP1083" s="209">
        <f>BO1087</f>
        <v>1035.3596940947884</v>
      </c>
      <c r="BQ1083" s="209">
        <f>BP1087</f>
        <v>1068.414910919575</v>
      </c>
      <c r="BR1083" s="209">
        <f>BQ1087</f>
        <v>1104.6520908189984</v>
      </c>
      <c r="BS1083" s="208">
        <f>BN1087</f>
        <v>1010.9626392537444</v>
      </c>
      <c r="BT1083" s="208">
        <f>BS1087</f>
        <v>1153.8962258239535</v>
      </c>
      <c r="BU1083" s="208">
        <f>BT1087</f>
        <v>1300.0390561426836</v>
      </c>
      <c r="BV1083" s="208">
        <f>BU1087</f>
        <v>1414.0304637912932</v>
      </c>
      <c r="BW1083" s="197"/>
    </row>
    <row r="1084" spans="1:75" s="198" customFormat="1" x14ac:dyDescent="0.5">
      <c r="A1084" s="464" t="s">
        <v>1452</v>
      </c>
      <c r="B1084" s="513"/>
      <c r="C1084" s="186"/>
      <c r="D1084" s="543">
        <f t="shared" ref="D1084:BD1084" si="1462">-D1100</f>
        <v>-144.63</v>
      </c>
      <c r="E1084" s="543">
        <f t="shared" si="1462"/>
        <v>-130.553</v>
      </c>
      <c r="F1084" s="543">
        <f t="shared" si="1462"/>
        <v>-134.453</v>
      </c>
      <c r="G1084" s="542">
        <f t="shared" si="1462"/>
        <v>-36.609000000000002</v>
      </c>
      <c r="H1084" s="542">
        <f t="shared" si="1462"/>
        <v>-37.222999999999992</v>
      </c>
      <c r="I1084" s="542">
        <f t="shared" si="1462"/>
        <v>-37.580000000000013</v>
      </c>
      <c r="J1084" s="542">
        <f t="shared" si="1462"/>
        <v>-38.382999999999981</v>
      </c>
      <c r="K1084" s="543">
        <f t="shared" si="1462"/>
        <v>-149.79499999999999</v>
      </c>
      <c r="L1084" s="542">
        <f t="shared" si="1462"/>
        <v>-38.630000000000003</v>
      </c>
      <c r="M1084" s="542">
        <f t="shared" si="1462"/>
        <v>-40.701999999999991</v>
      </c>
      <c r="N1084" s="542">
        <f t="shared" si="1462"/>
        <v>-41.803000000000011</v>
      </c>
      <c r="O1084" s="542">
        <f t="shared" si="1462"/>
        <v>-41.137999999999991</v>
      </c>
      <c r="P1084" s="543">
        <f t="shared" si="1462"/>
        <v>-162.273</v>
      </c>
      <c r="Q1084" s="542">
        <f t="shared" si="1462"/>
        <v>-41.478000000000002</v>
      </c>
      <c r="R1084" s="542">
        <f t="shared" si="1462"/>
        <v>-41.755000000000003</v>
      </c>
      <c r="S1084" s="542">
        <f t="shared" si="1462"/>
        <v>-41.86</v>
      </c>
      <c r="T1084" s="542">
        <f t="shared" si="1462"/>
        <v>-42.666999999999987</v>
      </c>
      <c r="U1084" s="543">
        <f t="shared" si="1462"/>
        <v>-167.76</v>
      </c>
      <c r="V1084" s="542">
        <f t="shared" si="1462"/>
        <v>-41.24</v>
      </c>
      <c r="W1084" s="542">
        <f t="shared" si="1462"/>
        <v>-42.128999999999998</v>
      </c>
      <c r="X1084" s="542">
        <f t="shared" si="1462"/>
        <v>-44.376000000000005</v>
      </c>
      <c r="Y1084" s="542">
        <f t="shared" si="1462"/>
        <v>-45.449999999999989</v>
      </c>
      <c r="Z1084" s="543">
        <f t="shared" si="1462"/>
        <v>-173.19499999999999</v>
      </c>
      <c r="AA1084" s="542">
        <f t="shared" si="1462"/>
        <v>-44.95</v>
      </c>
      <c r="AB1084" s="542">
        <f t="shared" si="1462"/>
        <v>-45.097999999999999</v>
      </c>
      <c r="AC1084" s="542">
        <f t="shared" si="1462"/>
        <v>-45.425000000000011</v>
      </c>
      <c r="AD1084" s="542">
        <f t="shared" si="1462"/>
        <v>-47.603999999999985</v>
      </c>
      <c r="AE1084" s="543">
        <f t="shared" si="1462"/>
        <v>-183.077</v>
      </c>
      <c r="AF1084" s="542">
        <f t="shared" si="1462"/>
        <v>-47.872999999999998</v>
      </c>
      <c r="AG1084" s="542">
        <f t="shared" si="1462"/>
        <v>-45.936</v>
      </c>
      <c r="AH1084" s="542">
        <f t="shared" si="1462"/>
        <v>-47.358000000000004</v>
      </c>
      <c r="AI1084" s="542">
        <f t="shared" si="1462"/>
        <v>-47.640999999999991</v>
      </c>
      <c r="AJ1084" s="543">
        <f t="shared" si="1462"/>
        <v>-188.80799999999999</v>
      </c>
      <c r="AK1084" s="542">
        <f t="shared" si="1462"/>
        <v>-46.838000000000001</v>
      </c>
      <c r="AL1084" s="542">
        <f t="shared" si="1462"/>
        <v>-46.905999999999999</v>
      </c>
      <c r="AM1084" s="542">
        <f t="shared" si="1462"/>
        <v>-46.751000000000005</v>
      </c>
      <c r="AN1084" s="542">
        <f t="shared" si="1462"/>
        <v>-47.263999999999982</v>
      </c>
      <c r="AO1084" s="543">
        <f t="shared" si="1462"/>
        <v>-187.75899999999999</v>
      </c>
      <c r="AP1084" s="542">
        <f t="shared" si="1462"/>
        <v>-46.223999999999997</v>
      </c>
      <c r="AQ1084" s="542">
        <f t="shared" si="1462"/>
        <v>-46.896000000000008</v>
      </c>
      <c r="AR1084" s="542">
        <f t="shared" si="1462"/>
        <v>-47.22</v>
      </c>
      <c r="AS1084" s="542">
        <f t="shared" si="1462"/>
        <v>-48.314999999999998</v>
      </c>
      <c r="AT1084" s="543">
        <f t="shared" si="1462"/>
        <v>-188.655</v>
      </c>
      <c r="AU1084" s="542">
        <f t="shared" si="1462"/>
        <v>-47.921999999999997</v>
      </c>
      <c r="AV1084" s="542">
        <f t="shared" si="1462"/>
        <v>-48.765000000000001</v>
      </c>
      <c r="AW1084" s="542">
        <f t="shared" si="1462"/>
        <v>-49.209999999999994</v>
      </c>
      <c r="AX1084" s="542">
        <f t="shared" si="1462"/>
        <v>-50.19</v>
      </c>
      <c r="AY1084" s="543">
        <f t="shared" si="1462"/>
        <v>-196.08699999999999</v>
      </c>
      <c r="AZ1084" s="542">
        <f t="shared" si="1462"/>
        <v>-50.250999999999998</v>
      </c>
      <c r="BA1084" s="542">
        <f t="shared" si="1462"/>
        <v>-52.204000000000001</v>
      </c>
      <c r="BB1084" s="542">
        <f t="shared" si="1462"/>
        <v>-54.954999999999998</v>
      </c>
      <c r="BC1084" s="542">
        <f t="shared" si="1462"/>
        <v>-56.742999999999995</v>
      </c>
      <c r="BD1084" s="543">
        <f t="shared" si="1462"/>
        <v>-214.15299999999999</v>
      </c>
      <c r="BE1084" s="542">
        <f>-BE1100</f>
        <v>-55.601999999999997</v>
      </c>
      <c r="BF1084" s="542">
        <f>-BF1100</f>
        <v>-55.241000000000007</v>
      </c>
      <c r="BG1084" s="542">
        <f t="shared" ref="BG1084" si="1463">-BG1100</f>
        <v>-55.183999999999983</v>
      </c>
      <c r="BH1084" s="542">
        <f>-BH1100</f>
        <v>-66.563000000000017</v>
      </c>
      <c r="BI1084" s="543">
        <f>-BI1100</f>
        <v>-232.59</v>
      </c>
      <c r="BJ1084" s="1356">
        <f>-BJ1100</f>
        <v>-56.996000000000002</v>
      </c>
      <c r="BK1084" s="187">
        <f>-BK1083*BK1095*BK3/BN3</f>
        <v>-53.431599245283024</v>
      </c>
      <c r="BL1084" s="187">
        <f>-BL1083*BL1095*BL3/BN3</f>
        <v>-53.246422380348889</v>
      </c>
      <c r="BM1084" s="187">
        <f>-BM1083*BM1095*BM3/BN3</f>
        <v>-58.02533912062367</v>
      </c>
      <c r="BN1084" s="186">
        <f>IF(OR(ISBLANK(BJ1084),ISBLANK(BK1084),ISBLANK(BL1084),ISBLANK(BM1084)),"n/a",SUM(BJ1084,BK1084,BL1084,BM1084))</f>
        <v>-221.69936074625559</v>
      </c>
      <c r="BO1084" s="187">
        <f>-BO1083*BO1095*BO3/BS3</f>
        <v>-55.60294515895594</v>
      </c>
      <c r="BP1084" s="187">
        <f>-BP1083*BP1095*BP3/BS3</f>
        <v>-56.944783175213374</v>
      </c>
      <c r="BQ1084" s="187">
        <f>-BQ1083*BQ1095*BQ3/BS3</f>
        <v>-58.762820100576619</v>
      </c>
      <c r="BR1084" s="187">
        <f>-BR1083*BR1095*BR3/BS3</f>
        <v>-60.755864995044917</v>
      </c>
      <c r="BS1084" s="186">
        <f>IF(OR(ISBLANK(BO1084),ISBLANK(BP1084),ISBLANK(BQ1084),ISBLANK(BR1084)),"n/a",SUM(BO1084,BP1084,BQ1084,BR1084))</f>
        <v>-232.06641342979083</v>
      </c>
      <c r="BT1084" s="186">
        <f>-BT1083*BT1095</f>
        <v>-253.85716968126977</v>
      </c>
      <c r="BU1084" s="186">
        <f>-BU1083*BU1095</f>
        <v>-286.0085923513904</v>
      </c>
      <c r="BV1084" s="186">
        <f>-BV1083*BV1095</f>
        <v>-311.08670203408451</v>
      </c>
      <c r="BW1084" s="197"/>
    </row>
    <row r="1085" spans="1:75" s="198" customFormat="1" x14ac:dyDescent="0.5">
      <c r="A1085" s="464" t="s">
        <v>1453</v>
      </c>
      <c r="B1085" s="513"/>
      <c r="C1085" s="186"/>
      <c r="D1085" s="543">
        <f t="shared" ref="D1085:BD1085" si="1464">D1101</f>
        <v>61.905999999999999</v>
      </c>
      <c r="E1085" s="543">
        <f t="shared" si="1464"/>
        <v>130.35300000000001</v>
      </c>
      <c r="F1085" s="543">
        <f t="shared" si="1464"/>
        <v>205.404</v>
      </c>
      <c r="G1085" s="542">
        <f t="shared" si="1464"/>
        <v>47.444000000000003</v>
      </c>
      <c r="H1085" s="542">
        <f t="shared" si="1464"/>
        <v>50.332999999999998</v>
      </c>
      <c r="I1085" s="542">
        <f t="shared" si="1464"/>
        <v>47.458999999999989</v>
      </c>
      <c r="J1085" s="542">
        <f t="shared" si="1464"/>
        <v>48.717000000000013</v>
      </c>
      <c r="K1085" s="543">
        <f t="shared" si="1464"/>
        <v>193.953</v>
      </c>
      <c r="L1085" s="542">
        <f t="shared" si="1464"/>
        <v>38.119</v>
      </c>
      <c r="M1085" s="542">
        <f t="shared" si="1464"/>
        <v>45.400000000000006</v>
      </c>
      <c r="N1085" s="542">
        <f t="shared" si="1464"/>
        <v>48.150999999999982</v>
      </c>
      <c r="O1085" s="542">
        <f t="shared" si="1464"/>
        <v>73.130000000000024</v>
      </c>
      <c r="P1085" s="543">
        <f t="shared" si="1464"/>
        <v>204.8</v>
      </c>
      <c r="Q1085" s="542">
        <f t="shared" si="1464"/>
        <v>40.384</v>
      </c>
      <c r="R1085" s="542">
        <f t="shared" si="1464"/>
        <v>46.465000000000003</v>
      </c>
      <c r="S1085" s="542">
        <f t="shared" si="1464"/>
        <v>49.219999999999985</v>
      </c>
      <c r="T1085" s="542">
        <f t="shared" si="1464"/>
        <v>66.866000000000014</v>
      </c>
      <c r="U1085" s="543">
        <f t="shared" si="1464"/>
        <v>202.935</v>
      </c>
      <c r="V1085" s="542">
        <f t="shared" si="1464"/>
        <v>28.149000000000001</v>
      </c>
      <c r="W1085" s="542">
        <f t="shared" si="1464"/>
        <v>49.727999999999994</v>
      </c>
      <c r="X1085" s="542">
        <f t="shared" si="1464"/>
        <v>49.292000000000002</v>
      </c>
      <c r="Y1085" s="542">
        <f t="shared" si="1464"/>
        <v>70.24499999999999</v>
      </c>
      <c r="Z1085" s="543">
        <f t="shared" si="1464"/>
        <v>197.41399999999999</v>
      </c>
      <c r="AA1085" s="542">
        <f t="shared" si="1464"/>
        <v>32.152999999999999</v>
      </c>
      <c r="AB1085" s="542">
        <f t="shared" si="1464"/>
        <v>50.574000000000005</v>
      </c>
      <c r="AC1085" s="542">
        <f t="shared" si="1464"/>
        <v>53.093999999999994</v>
      </c>
      <c r="AD1085" s="542">
        <f t="shared" si="1464"/>
        <v>53.890999999999991</v>
      </c>
      <c r="AE1085" s="543">
        <f t="shared" si="1464"/>
        <v>189.71199999999999</v>
      </c>
      <c r="AF1085" s="542">
        <f t="shared" si="1464"/>
        <v>34.029000000000003</v>
      </c>
      <c r="AG1085" s="542">
        <f t="shared" si="1464"/>
        <v>45.991999999999997</v>
      </c>
      <c r="AH1085" s="542">
        <f t="shared" si="1464"/>
        <v>48.304999999999993</v>
      </c>
      <c r="AI1085" s="542">
        <f t="shared" si="1464"/>
        <v>61.77600000000001</v>
      </c>
      <c r="AJ1085" s="543">
        <f t="shared" si="1464"/>
        <v>190.102</v>
      </c>
      <c r="AK1085" s="542">
        <f t="shared" si="1464"/>
        <v>36.148000000000003</v>
      </c>
      <c r="AL1085" s="542">
        <f t="shared" si="1464"/>
        <v>41.04099999999999</v>
      </c>
      <c r="AM1085" s="542">
        <f t="shared" si="1464"/>
        <v>43.965000000000003</v>
      </c>
      <c r="AN1085" s="542">
        <f t="shared" si="1464"/>
        <v>65.122000000000014</v>
      </c>
      <c r="AO1085" s="543">
        <f t="shared" si="1464"/>
        <v>186.27600000000001</v>
      </c>
      <c r="AP1085" s="542">
        <f t="shared" si="1464"/>
        <v>42.320999999999998</v>
      </c>
      <c r="AQ1085" s="542">
        <f t="shared" si="1464"/>
        <v>33.802000000000007</v>
      </c>
      <c r="AR1085" s="542">
        <f t="shared" si="1464"/>
        <v>48.762</v>
      </c>
      <c r="AS1085" s="542">
        <f t="shared" si="1464"/>
        <v>44.628</v>
      </c>
      <c r="AT1085" s="543">
        <f t="shared" si="1464"/>
        <v>169.51300000000001</v>
      </c>
      <c r="AU1085" s="542">
        <f t="shared" si="1464"/>
        <v>42.36</v>
      </c>
      <c r="AV1085" s="542">
        <f t="shared" si="1464"/>
        <v>35.921000000000006</v>
      </c>
      <c r="AW1085" s="542">
        <f t="shared" si="1464"/>
        <v>62.728999999999985</v>
      </c>
      <c r="AX1085" s="542">
        <f t="shared" si="1464"/>
        <v>85.507000000000005</v>
      </c>
      <c r="AY1085" s="543">
        <f t="shared" si="1464"/>
        <v>226.517</v>
      </c>
      <c r="AZ1085" s="542">
        <f t="shared" si="1464"/>
        <v>71.186000000000007</v>
      </c>
      <c r="BA1085" s="542">
        <f t="shared" si="1464"/>
        <v>77.361999999999995</v>
      </c>
      <c r="BB1085" s="542">
        <f t="shared" si="1464"/>
        <v>85.829999999999984</v>
      </c>
      <c r="BC1085" s="542">
        <f t="shared" si="1464"/>
        <v>119.73900000000003</v>
      </c>
      <c r="BD1085" s="543">
        <f t="shared" si="1464"/>
        <v>354.11700000000002</v>
      </c>
      <c r="BE1085" s="542">
        <f>BE1101</f>
        <v>50.029000000000003</v>
      </c>
      <c r="BF1085" s="542">
        <f>BF1101</f>
        <v>42.850999999999992</v>
      </c>
      <c r="BG1085" s="542">
        <f t="shared" ref="BG1085" si="1465">BG1101</f>
        <v>41.950000000000017</v>
      </c>
      <c r="BH1085" s="542">
        <f>BH1101</f>
        <v>53.627999999999986</v>
      </c>
      <c r="BI1085" s="543">
        <f>BI1101</f>
        <v>188.458</v>
      </c>
      <c r="BJ1085" s="1356">
        <f>BJ1101</f>
        <v>39.512999999999998</v>
      </c>
      <c r="BK1085" s="187">
        <f>BK1101*(1-BK1102)</f>
        <v>50</v>
      </c>
      <c r="BL1085" s="187">
        <f>BL1101*(1-BL1102)</f>
        <v>65</v>
      </c>
      <c r="BM1085" s="187">
        <f>BM1101*(1-BM1102)</f>
        <v>70.5</v>
      </c>
      <c r="BN1085" s="186">
        <f>IF(OR(ISBLANK(BJ1085),ISBLANK(BK1085),ISBLANK(BL1085),ISBLANK(BM1085)),"n/a",SUM(BJ1085,BK1085,BL1085,BM1085))</f>
        <v>225.01300000000001</v>
      </c>
      <c r="BO1085" s="187">
        <f>BO1101*(1-BO1102)</f>
        <v>80</v>
      </c>
      <c r="BP1085" s="187">
        <f>BP1101*(1-BP1102)</f>
        <v>90</v>
      </c>
      <c r="BQ1085" s="187">
        <f>BQ1101*(1-BQ1102)</f>
        <v>95</v>
      </c>
      <c r="BR1085" s="187">
        <f>BR1101*(1-BR1102)</f>
        <v>110</v>
      </c>
      <c r="BS1085" s="186">
        <f>IF(OR(ISBLANK(BO1085),ISBLANK(BP1085),ISBLANK(BQ1085),ISBLANK(BR1085)),"n/a",SUM(BO1085,BP1085,BQ1085,BR1085))</f>
        <v>375</v>
      </c>
      <c r="BT1085" s="186">
        <f>BT1101*(1-BT1102)</f>
        <v>400</v>
      </c>
      <c r="BU1085" s="186">
        <f>BU1101*(1-BU1102)</f>
        <v>400</v>
      </c>
      <c r="BV1085" s="186">
        <f>BV1101*(1-BV1102)</f>
        <v>400</v>
      </c>
      <c r="BW1085" s="197"/>
    </row>
    <row r="1086" spans="1:75" s="198" customFormat="1" x14ac:dyDescent="0.5">
      <c r="A1086" s="464" t="s">
        <v>1454</v>
      </c>
      <c r="B1086" s="513"/>
      <c r="C1086" s="186"/>
      <c r="D1086" s="543">
        <f t="shared" ref="D1086:BD1086" si="1466">D1087-D1083-D1084-D1085</f>
        <v>-15.747000000000007</v>
      </c>
      <c r="E1086" s="543">
        <f t="shared" si="1466"/>
        <v>4.3159999999999741</v>
      </c>
      <c r="F1086" s="543">
        <f t="shared" si="1466"/>
        <v>6.4140000000000157</v>
      </c>
      <c r="G1086" s="542">
        <f t="shared" si="1466"/>
        <v>-5.6230000000000118</v>
      </c>
      <c r="H1086" s="542">
        <f t="shared" si="1466"/>
        <v>-0.40800000000000836</v>
      </c>
      <c r="I1086" s="542">
        <f t="shared" si="1466"/>
        <v>3.7329999999999899</v>
      </c>
      <c r="J1086" s="542">
        <f t="shared" si="1466"/>
        <v>-4.6040000000000134</v>
      </c>
      <c r="K1086" s="543">
        <f t="shared" si="1466"/>
        <v>-6.9020000000000437</v>
      </c>
      <c r="L1086" s="542">
        <f t="shared" si="1466"/>
        <v>-11.77000000000006</v>
      </c>
      <c r="M1086" s="542">
        <f t="shared" si="1466"/>
        <v>7.5450000000000372</v>
      </c>
      <c r="N1086" s="542">
        <f t="shared" si="1466"/>
        <v>11.066999999999993</v>
      </c>
      <c r="O1086" s="542">
        <f t="shared" si="1466"/>
        <v>-15.650000000000048</v>
      </c>
      <c r="P1086" s="543">
        <f t="shared" si="1466"/>
        <v>-8.808000000000078</v>
      </c>
      <c r="Q1086" s="542">
        <f t="shared" si="1466"/>
        <v>-5.1329999999999742</v>
      </c>
      <c r="R1086" s="542">
        <f t="shared" si="1466"/>
        <v>-6.4930000000000163</v>
      </c>
      <c r="S1086" s="542">
        <f t="shared" si="1466"/>
        <v>1.0970000000000084</v>
      </c>
      <c r="T1086" s="542">
        <f t="shared" si="1466"/>
        <v>-20.844999999999985</v>
      </c>
      <c r="U1086" s="543">
        <f t="shared" si="1466"/>
        <v>-31.373999999999967</v>
      </c>
      <c r="V1086" s="542">
        <f t="shared" si="1466"/>
        <v>19.917999999999999</v>
      </c>
      <c r="W1086" s="542">
        <f t="shared" si="1466"/>
        <v>7.3230000000000288</v>
      </c>
      <c r="X1086" s="542">
        <f t="shared" si="1466"/>
        <v>4.5419999999999732</v>
      </c>
      <c r="Y1086" s="542">
        <f t="shared" si="1466"/>
        <v>-19.531999999999968</v>
      </c>
      <c r="Z1086" s="543">
        <f t="shared" si="1466"/>
        <v>12.251000000000033</v>
      </c>
      <c r="AA1086" s="542">
        <f t="shared" si="1466"/>
        <v>10.044999999999938</v>
      </c>
      <c r="AB1086" s="542">
        <f t="shared" si="1466"/>
        <v>3.324000000000062</v>
      </c>
      <c r="AC1086" s="542">
        <f t="shared" si="1466"/>
        <v>-5.8690000000000282</v>
      </c>
      <c r="AD1086" s="542">
        <f t="shared" si="1466"/>
        <v>-5.1349999999999625</v>
      </c>
      <c r="AE1086" s="543">
        <f t="shared" si="1466"/>
        <v>2.3650000000000091</v>
      </c>
      <c r="AF1086" s="542">
        <f t="shared" si="1466"/>
        <v>7.8810000000000286</v>
      </c>
      <c r="AG1086" s="542">
        <f t="shared" si="1466"/>
        <v>-6.6870000000000829</v>
      </c>
      <c r="AH1086" s="542">
        <f t="shared" si="1466"/>
        <v>10.725000000000037</v>
      </c>
      <c r="AI1086" s="542">
        <f t="shared" si="1466"/>
        <v>-15.861000000000018</v>
      </c>
      <c r="AJ1086" s="543">
        <f t="shared" si="1466"/>
        <v>-3.9420000000000357</v>
      </c>
      <c r="AK1086" s="542">
        <f t="shared" si="1466"/>
        <v>-2.9150000000000205</v>
      </c>
      <c r="AL1086" s="542">
        <f t="shared" si="1466"/>
        <v>2.8940000000000055</v>
      </c>
      <c r="AM1086" s="542">
        <f t="shared" si="1466"/>
        <v>5.4670000000000414</v>
      </c>
      <c r="AN1086" s="542">
        <f t="shared" si="1466"/>
        <v>-4.5600000000000307</v>
      </c>
      <c r="AO1086" s="543">
        <f t="shared" si="1466"/>
        <v>0.88599999999999568</v>
      </c>
      <c r="AP1086" s="542">
        <f t="shared" si="1466"/>
        <v>-17.915999999999961</v>
      </c>
      <c r="AQ1086" s="542">
        <f t="shared" si="1466"/>
        <v>-6.7240000000000961</v>
      </c>
      <c r="AR1086" s="542">
        <f t="shared" si="1466"/>
        <v>-19.850999999999971</v>
      </c>
      <c r="AS1086" s="542">
        <f t="shared" si="1466"/>
        <v>8.4890000000000185</v>
      </c>
      <c r="AT1086" s="543">
        <f t="shared" si="1466"/>
        <v>-36.00200000000001</v>
      </c>
      <c r="AU1086" s="542">
        <f t="shared" si="1466"/>
        <v>7.0520000000000067</v>
      </c>
      <c r="AV1086" s="542">
        <f t="shared" si="1466"/>
        <v>12.754999999999939</v>
      </c>
      <c r="AW1086" s="542">
        <f t="shared" si="1466"/>
        <v>3.4120000000000488</v>
      </c>
      <c r="AX1086" s="542">
        <f t="shared" si="1466"/>
        <v>-6.7699999999999818</v>
      </c>
      <c r="AY1086" s="543">
        <f t="shared" si="1466"/>
        <v>16.449000000000012</v>
      </c>
      <c r="AZ1086" s="542">
        <f t="shared" si="1466"/>
        <v>0.75200000000000955</v>
      </c>
      <c r="BA1086" s="542">
        <f t="shared" si="1466"/>
        <v>6.0580000000000211</v>
      </c>
      <c r="BB1086" s="542">
        <f t="shared" si="1466"/>
        <v>4.5369999999999351</v>
      </c>
      <c r="BC1086" s="542">
        <f t="shared" si="1466"/>
        <v>-6.7029999999999177</v>
      </c>
      <c r="BD1086" s="543">
        <f t="shared" si="1466"/>
        <v>4.6440000000000623</v>
      </c>
      <c r="BE1086" s="542">
        <f>BE1087-BE1083-BE1084-BE1085</f>
        <v>-9.7820000000000249</v>
      </c>
      <c r="BF1086" s="542">
        <f>BF1087-BF1083-BF1084-BF1085</f>
        <v>-1.2290000000001271</v>
      </c>
      <c r="BG1086" s="542">
        <f t="shared" ref="BG1086:BM1086" si="1467">BG1087-BG1083-BG1084-BG1085</f>
        <v>3.6460000000000008</v>
      </c>
      <c r="BH1086" s="542">
        <f t="shared" si="1467"/>
        <v>-0.69499999999996476</v>
      </c>
      <c r="BI1086" s="543">
        <f t="shared" si="1467"/>
        <v>-8.060000000000116</v>
      </c>
      <c r="BJ1086" s="1356">
        <f>BJ1087-BJ1083-BJ1084-BJ1085</f>
        <v>-5.5399999999999068</v>
      </c>
      <c r="BK1086" s="187">
        <f t="shared" si="1467"/>
        <v>1.4210854715202004E-13</v>
      </c>
      <c r="BL1086" s="187">
        <f t="shared" si="1467"/>
        <v>0</v>
      </c>
      <c r="BM1086" s="187">
        <f t="shared" si="1467"/>
        <v>-1.4210854715202004E-13</v>
      </c>
      <c r="BN1086" s="186">
        <f>BN1087-BN1083-IF(ISNUMBER(BN1084),BN1084,0)-IF(ISNUMBER(BN1085),BN1085,0)</f>
        <v>-5.5399999999999352</v>
      </c>
      <c r="BO1086" s="187">
        <f>BO1087-BO1083-BO1084-BO1085</f>
        <v>0</v>
      </c>
      <c r="BP1086" s="187">
        <f>BP1087-BP1083-BP1084-BP1085</f>
        <v>0</v>
      </c>
      <c r="BQ1086" s="187">
        <f>BQ1087-BQ1083-BQ1084-BQ1085</f>
        <v>0</v>
      </c>
      <c r="BR1086" s="187">
        <f>BR1087-BR1083-BR1084-BR1085</f>
        <v>0</v>
      </c>
      <c r="BS1086" s="186">
        <f>BS1087-BS1083-IF(ISNUMBER(BS1084),BS1084,0)-IF(ISNUMBER(BS1085),BS1085,0)</f>
        <v>0</v>
      </c>
      <c r="BT1086" s="186">
        <f>BT1087-BT1083-BT1084-BT1085</f>
        <v>0</v>
      </c>
      <c r="BU1086" s="186">
        <f>BU1087-BU1083-BU1084-BU1085</f>
        <v>0</v>
      </c>
      <c r="BV1086" s="186">
        <f>BV1087-BV1083-BV1084-BV1085</f>
        <v>0</v>
      </c>
      <c r="BW1086" s="197"/>
    </row>
    <row r="1087" spans="1:75" s="198" customFormat="1" ht="14.25" x14ac:dyDescent="0.45">
      <c r="A1087" s="1357" t="s">
        <v>1455</v>
      </c>
      <c r="B1087" s="967"/>
      <c r="C1087" s="1358">
        <f t="shared" ref="C1087:BD1087" si="1468">C1117</f>
        <v>829.02700000000004</v>
      </c>
      <c r="D1087" s="1358">
        <f t="shared" si="1468"/>
        <v>730.55600000000004</v>
      </c>
      <c r="E1087" s="1358">
        <f t="shared" si="1468"/>
        <v>734.67200000000003</v>
      </c>
      <c r="F1087" s="1358">
        <f t="shared" si="1468"/>
        <v>812.03700000000003</v>
      </c>
      <c r="G1087" s="1359">
        <f t="shared" si="1468"/>
        <v>817.24900000000002</v>
      </c>
      <c r="H1087" s="1359">
        <f t="shared" si="1468"/>
        <v>829.95100000000002</v>
      </c>
      <c r="I1087" s="1359">
        <f t="shared" si="1468"/>
        <v>843.56299999999999</v>
      </c>
      <c r="J1087" s="1359">
        <f t="shared" si="1468"/>
        <v>849.29300000000001</v>
      </c>
      <c r="K1087" s="1358">
        <f t="shared" si="1468"/>
        <v>849.29300000000001</v>
      </c>
      <c r="L1087" s="1359">
        <f t="shared" si="1468"/>
        <v>837.01199999999994</v>
      </c>
      <c r="M1087" s="1359">
        <f t="shared" si="1468"/>
        <v>849.255</v>
      </c>
      <c r="N1087" s="1359">
        <f t="shared" si="1468"/>
        <v>866.67</v>
      </c>
      <c r="O1087" s="1359">
        <f t="shared" si="1468"/>
        <v>883.01199999999994</v>
      </c>
      <c r="P1087" s="1358">
        <f t="shared" si="1468"/>
        <v>883.01199999999994</v>
      </c>
      <c r="Q1087" s="1359">
        <f t="shared" si="1468"/>
        <v>876.78499999999997</v>
      </c>
      <c r="R1087" s="1359">
        <f t="shared" si="1468"/>
        <v>875.00199999999995</v>
      </c>
      <c r="S1087" s="1359">
        <f t="shared" si="1468"/>
        <v>883.45899999999995</v>
      </c>
      <c r="T1087" s="1359">
        <f t="shared" si="1468"/>
        <v>886.81299999999999</v>
      </c>
      <c r="U1087" s="1358">
        <f t="shared" si="1468"/>
        <v>886.81299999999999</v>
      </c>
      <c r="V1087" s="1359">
        <f t="shared" si="1468"/>
        <v>893.64</v>
      </c>
      <c r="W1087" s="1359">
        <f t="shared" si="1468"/>
        <v>908.56200000000001</v>
      </c>
      <c r="X1087" s="1359">
        <f t="shared" si="1468"/>
        <v>918.02</v>
      </c>
      <c r="Y1087" s="1359">
        <f t="shared" si="1468"/>
        <v>923.28300000000002</v>
      </c>
      <c r="Z1087" s="1358">
        <f t="shared" si="1468"/>
        <v>923.28300000000002</v>
      </c>
      <c r="AA1087" s="1359">
        <f t="shared" si="1468"/>
        <v>920.53099999999995</v>
      </c>
      <c r="AB1087" s="1359">
        <f t="shared" si="1468"/>
        <v>929.33100000000002</v>
      </c>
      <c r="AC1087" s="1359">
        <f t="shared" si="1468"/>
        <v>931.13099999999997</v>
      </c>
      <c r="AD1087" s="1359">
        <f t="shared" si="1468"/>
        <v>932.28300000000002</v>
      </c>
      <c r="AE1087" s="1358">
        <f t="shared" si="1468"/>
        <v>932.28300000000002</v>
      </c>
      <c r="AF1087" s="1359">
        <f t="shared" si="1468"/>
        <v>926.32</v>
      </c>
      <c r="AG1087" s="1359">
        <f t="shared" si="1468"/>
        <v>919.68899999999996</v>
      </c>
      <c r="AH1087" s="1359">
        <f t="shared" si="1468"/>
        <v>931.36099999999999</v>
      </c>
      <c r="AI1087" s="1359">
        <f t="shared" si="1468"/>
        <v>929.63499999999999</v>
      </c>
      <c r="AJ1087" s="1358">
        <f t="shared" si="1468"/>
        <v>929.63499999999999</v>
      </c>
      <c r="AK1087" s="1359">
        <f t="shared" si="1468"/>
        <v>916.03</v>
      </c>
      <c r="AL1087" s="1359">
        <f t="shared" si="1468"/>
        <v>913.05899999999997</v>
      </c>
      <c r="AM1087" s="1359">
        <f t="shared" si="1468"/>
        <v>915.74</v>
      </c>
      <c r="AN1087" s="1359">
        <f t="shared" si="1468"/>
        <v>929.03800000000001</v>
      </c>
      <c r="AO1087" s="1358">
        <f t="shared" si="1468"/>
        <v>929.03800000000001</v>
      </c>
      <c r="AP1087" s="1359">
        <f t="shared" si="1468"/>
        <v>907.21900000000005</v>
      </c>
      <c r="AQ1087" s="1359">
        <f t="shared" si="1468"/>
        <v>887.40099999999995</v>
      </c>
      <c r="AR1087" s="1359">
        <f t="shared" si="1468"/>
        <v>869.09199999999998</v>
      </c>
      <c r="AS1087" s="1359">
        <f t="shared" si="1468"/>
        <v>873.89400000000001</v>
      </c>
      <c r="AT1087" s="1358">
        <f t="shared" si="1468"/>
        <v>873.89400000000001</v>
      </c>
      <c r="AU1087" s="1359">
        <f t="shared" si="1468"/>
        <v>875.38400000000001</v>
      </c>
      <c r="AV1087" s="1359">
        <f t="shared" si="1468"/>
        <v>875.29499999999996</v>
      </c>
      <c r="AW1087" s="1359">
        <f t="shared" si="1468"/>
        <v>892.226</v>
      </c>
      <c r="AX1087" s="1359">
        <f t="shared" si="1468"/>
        <v>920.77300000000002</v>
      </c>
      <c r="AY1087" s="1358">
        <f t="shared" si="1468"/>
        <v>920.77300000000002</v>
      </c>
      <c r="AZ1087" s="1359">
        <f t="shared" si="1468"/>
        <v>942.46</v>
      </c>
      <c r="BA1087" s="1359">
        <f t="shared" si="1468"/>
        <v>973.67600000000004</v>
      </c>
      <c r="BB1087" s="1359">
        <f t="shared" si="1468"/>
        <v>1009.088</v>
      </c>
      <c r="BC1087" s="1359">
        <f t="shared" si="1468"/>
        <v>1065.3810000000001</v>
      </c>
      <c r="BD1087" s="1358">
        <f t="shared" si="1468"/>
        <v>1065.3810000000001</v>
      </c>
      <c r="BE1087" s="1359">
        <f>BE1117</f>
        <v>1050.0260000000001</v>
      </c>
      <c r="BF1087" s="1359">
        <f>BF1117</f>
        <v>1036.4069999999999</v>
      </c>
      <c r="BG1087" s="1359">
        <f t="shared" ref="BG1087:BV1087" si="1469">BG1117</f>
        <v>1026.819</v>
      </c>
      <c r="BH1087" s="1359">
        <f t="shared" si="1469"/>
        <v>1013.189</v>
      </c>
      <c r="BI1087" s="1358">
        <f t="shared" si="1469"/>
        <v>1013.189</v>
      </c>
      <c r="BJ1087" s="1360">
        <f>BJ1117</f>
        <v>990.16600000000005</v>
      </c>
      <c r="BK1087" s="969">
        <f t="shared" si="1469"/>
        <v>986.73440075471717</v>
      </c>
      <c r="BL1087" s="969">
        <f t="shared" si="1469"/>
        <v>998.48797837436825</v>
      </c>
      <c r="BM1087" s="969">
        <f t="shared" si="1469"/>
        <v>1010.9626392537444</v>
      </c>
      <c r="BN1087" s="968">
        <f t="shared" si="1469"/>
        <v>1010.9626392537444</v>
      </c>
      <c r="BO1087" s="969">
        <f t="shared" si="1469"/>
        <v>1035.3596940947884</v>
      </c>
      <c r="BP1087" s="969">
        <f t="shared" si="1469"/>
        <v>1068.414910919575</v>
      </c>
      <c r="BQ1087" s="969">
        <f t="shared" si="1469"/>
        <v>1104.6520908189984</v>
      </c>
      <c r="BR1087" s="969">
        <f t="shared" si="1469"/>
        <v>1153.8962258239535</v>
      </c>
      <c r="BS1087" s="968">
        <f t="shared" si="1469"/>
        <v>1153.8962258239535</v>
      </c>
      <c r="BT1087" s="968">
        <f t="shared" si="1469"/>
        <v>1300.0390561426836</v>
      </c>
      <c r="BU1087" s="968">
        <f t="shared" si="1469"/>
        <v>1414.0304637912932</v>
      </c>
      <c r="BV1087" s="968">
        <f t="shared" si="1469"/>
        <v>1502.9437617572087</v>
      </c>
      <c r="BW1087" s="197"/>
    </row>
    <row r="1088" spans="1:75" s="162" customFormat="1" ht="14.25" x14ac:dyDescent="0.45">
      <c r="A1088" s="526"/>
      <c r="B1088" s="734"/>
      <c r="C1088" s="186"/>
      <c r="D1088" s="186"/>
      <c r="E1088" s="186"/>
      <c r="F1088" s="186"/>
      <c r="G1088" s="187"/>
      <c r="H1088" s="187"/>
      <c r="I1088" s="187"/>
      <c r="J1088" s="187"/>
      <c r="K1088" s="186"/>
      <c r="L1088" s="187"/>
      <c r="M1088" s="187"/>
      <c r="N1088" s="187"/>
      <c r="O1088" s="187"/>
      <c r="P1088" s="186"/>
      <c r="Q1088" s="187"/>
      <c r="R1088" s="187"/>
      <c r="S1088" s="187"/>
      <c r="T1088" s="187"/>
      <c r="U1088" s="186"/>
      <c r="V1088" s="187"/>
      <c r="W1088" s="187"/>
      <c r="X1088" s="187"/>
      <c r="Y1088" s="187"/>
      <c r="Z1088" s="186"/>
      <c r="AA1088" s="187"/>
      <c r="AB1088" s="187"/>
      <c r="AC1088" s="187"/>
      <c r="AD1088" s="187"/>
      <c r="AE1088" s="186"/>
      <c r="AF1088" s="187"/>
      <c r="AG1088" s="187"/>
      <c r="AH1088" s="187"/>
      <c r="AI1088" s="187"/>
      <c r="AJ1088" s="186"/>
      <c r="AK1088" s="187"/>
      <c r="AL1088" s="187"/>
      <c r="AM1088" s="187"/>
      <c r="AN1088" s="187"/>
      <c r="AO1088" s="186"/>
      <c r="AP1088" s="187"/>
      <c r="AQ1088" s="187"/>
      <c r="AR1088" s="187"/>
      <c r="AS1088" s="187"/>
      <c r="AT1088" s="186"/>
      <c r="AU1088" s="187"/>
      <c r="AV1088" s="187"/>
      <c r="AW1088" s="187"/>
      <c r="AX1088" s="187"/>
      <c r="AY1088" s="186"/>
      <c r="AZ1088" s="187"/>
      <c r="BA1088" s="187"/>
      <c r="BB1088" s="187"/>
      <c r="BC1088" s="187"/>
      <c r="BD1088" s="186"/>
      <c r="BE1088" s="187"/>
      <c r="BF1088" s="187"/>
      <c r="BG1088" s="187"/>
      <c r="BH1088" s="187"/>
      <c r="BI1088" s="186"/>
      <c r="BJ1088" s="1223"/>
      <c r="BK1088" s="187"/>
      <c r="BL1088" s="187"/>
      <c r="BM1088" s="187"/>
      <c r="BN1088" s="186"/>
      <c r="BO1088" s="187"/>
      <c r="BP1088" s="187"/>
      <c r="BQ1088" s="187"/>
      <c r="BR1088" s="187"/>
      <c r="BS1088" s="186"/>
      <c r="BT1088" s="186"/>
      <c r="BU1088" s="186"/>
      <c r="BV1088" s="186"/>
      <c r="BW1088" s="161"/>
    </row>
    <row r="1089" spans="1:75" s="198" customFormat="1" ht="14.25" x14ac:dyDescent="0.45">
      <c r="A1089" s="463" t="s">
        <v>1456</v>
      </c>
      <c r="B1089" s="522"/>
      <c r="C1089" s="208"/>
      <c r="D1089" s="208"/>
      <c r="E1089" s="208"/>
      <c r="F1089" s="208"/>
      <c r="G1089" s="209"/>
      <c r="H1089" s="209"/>
      <c r="I1089" s="209"/>
      <c r="J1089" s="209"/>
      <c r="K1089" s="208"/>
      <c r="L1089" s="209"/>
      <c r="M1089" s="209"/>
      <c r="N1089" s="209"/>
      <c r="O1089" s="209"/>
      <c r="P1089" s="208"/>
      <c r="Q1089" s="209"/>
      <c r="R1089" s="209"/>
      <c r="S1089" s="209"/>
      <c r="T1089" s="209"/>
      <c r="U1089" s="208"/>
      <c r="V1089" s="209"/>
      <c r="W1089" s="209"/>
      <c r="X1089" s="209"/>
      <c r="Y1089" s="209"/>
      <c r="Z1089" s="208"/>
      <c r="AA1089" s="209"/>
      <c r="AB1089" s="209"/>
      <c r="AC1089" s="209"/>
      <c r="AD1089" s="209"/>
      <c r="AE1089" s="208"/>
      <c r="AF1089" s="209"/>
      <c r="AG1089" s="209"/>
      <c r="AH1089" s="209"/>
      <c r="AI1089" s="209"/>
      <c r="AJ1089" s="208"/>
      <c r="AK1089" s="209"/>
      <c r="AL1089" s="209"/>
      <c r="AM1089" s="209"/>
      <c r="AN1089" s="209"/>
      <c r="AO1089" s="208"/>
      <c r="AP1089" s="209"/>
      <c r="AQ1089" s="209"/>
      <c r="AR1089" s="209"/>
      <c r="AS1089" s="209"/>
      <c r="AT1089" s="208"/>
      <c r="AU1089" s="209"/>
      <c r="AV1089" s="209"/>
      <c r="AW1089" s="209"/>
      <c r="AX1089" s="209"/>
      <c r="AY1089" s="208"/>
      <c r="AZ1089" s="209"/>
      <c r="BA1089" s="209"/>
      <c r="BB1089" s="209"/>
      <c r="BC1089" s="209"/>
      <c r="BD1089" s="208"/>
      <c r="BE1089" s="209"/>
      <c r="BF1089" s="209"/>
      <c r="BG1089" s="209"/>
      <c r="BH1089" s="209"/>
      <c r="BI1089" s="208"/>
      <c r="BJ1089" s="1114"/>
      <c r="BK1089" s="209"/>
      <c r="BL1089" s="209"/>
      <c r="BM1089" s="209"/>
      <c r="BN1089" s="208"/>
      <c r="BO1089" s="209"/>
      <c r="BP1089" s="209"/>
      <c r="BQ1089" s="209"/>
      <c r="BR1089" s="209"/>
      <c r="BS1089" s="208"/>
      <c r="BT1089" s="208"/>
      <c r="BU1089" s="208"/>
      <c r="BV1089" s="208"/>
      <c r="BW1089" s="197"/>
    </row>
    <row r="1090" spans="1:75" s="198" customFormat="1" x14ac:dyDescent="0.5">
      <c r="A1090" s="464" t="s">
        <v>1457</v>
      </c>
      <c r="B1090" s="513"/>
      <c r="C1090" s="186"/>
      <c r="D1090" s="186"/>
      <c r="E1090" s="186"/>
      <c r="F1090" s="186"/>
      <c r="G1090" s="187"/>
      <c r="H1090" s="187"/>
      <c r="I1090" s="187"/>
      <c r="J1090" s="187"/>
      <c r="K1090" s="186"/>
      <c r="L1090" s="187"/>
      <c r="M1090" s="187"/>
      <c r="N1090" s="187"/>
      <c r="O1090" s="187"/>
      <c r="P1090" s="186"/>
      <c r="Q1090" s="187"/>
      <c r="R1090" s="187"/>
      <c r="S1090" s="187"/>
      <c r="T1090" s="187"/>
      <c r="U1090" s="186"/>
      <c r="V1090" s="187"/>
      <c r="W1090" s="187"/>
      <c r="X1090" s="187"/>
      <c r="Y1090" s="187"/>
      <c r="Z1090" s="186"/>
      <c r="AA1090" s="187"/>
      <c r="AB1090" s="187"/>
      <c r="AC1090" s="187"/>
      <c r="AD1090" s="187"/>
      <c r="AE1090" s="186"/>
      <c r="AF1090" s="187"/>
      <c r="AG1090" s="187"/>
      <c r="AH1090" s="187"/>
      <c r="AI1090" s="187"/>
      <c r="AJ1090" s="186"/>
      <c r="AK1090" s="187"/>
      <c r="AL1090" s="187"/>
      <c r="AM1090" s="187"/>
      <c r="AN1090" s="187"/>
      <c r="AO1090" s="186"/>
      <c r="AP1090" s="187"/>
      <c r="AQ1090" s="187"/>
      <c r="AR1090" s="187"/>
      <c r="AS1090" s="187"/>
      <c r="AT1090" s="186"/>
      <c r="AU1090" s="187"/>
      <c r="AV1090" s="187"/>
      <c r="AW1090" s="187"/>
      <c r="AX1090" s="187"/>
      <c r="AY1090" s="186"/>
      <c r="AZ1090" s="187"/>
      <c r="BA1090" s="187"/>
      <c r="BB1090" s="187"/>
      <c r="BC1090" s="187"/>
      <c r="BD1090" s="186"/>
      <c r="BE1090" s="187"/>
      <c r="BF1090" s="187"/>
      <c r="BG1090" s="187"/>
      <c r="BH1090" s="187"/>
      <c r="BI1090" s="186"/>
      <c r="BJ1090" s="1223"/>
      <c r="BK1090" s="187"/>
      <c r="BL1090" s="187"/>
      <c r="BM1090" s="187"/>
      <c r="BN1090" s="186"/>
      <c r="BO1090" s="187"/>
      <c r="BP1090" s="187"/>
      <c r="BQ1090" s="187"/>
      <c r="BR1090" s="187"/>
      <c r="BS1090" s="186"/>
      <c r="BT1090" s="186"/>
      <c r="BU1090" s="186"/>
      <c r="BV1090" s="186"/>
      <c r="BW1090" s="197"/>
    </row>
    <row r="1091" spans="1:75" s="198" customFormat="1" x14ac:dyDescent="0.5">
      <c r="A1091" s="464" t="s">
        <v>1458</v>
      </c>
      <c r="B1091" s="513"/>
      <c r="C1091" s="186"/>
      <c r="D1091" s="186"/>
      <c r="E1091" s="186"/>
      <c r="F1091" s="186"/>
      <c r="G1091" s="187"/>
      <c r="H1091" s="187"/>
      <c r="I1091" s="187"/>
      <c r="J1091" s="187"/>
      <c r="K1091" s="186"/>
      <c r="L1091" s="187"/>
      <c r="M1091" s="187"/>
      <c r="N1091" s="187"/>
      <c r="O1091" s="187"/>
      <c r="P1091" s="186"/>
      <c r="Q1091" s="187"/>
      <c r="R1091" s="187"/>
      <c r="S1091" s="187"/>
      <c r="T1091" s="187"/>
      <c r="U1091" s="186"/>
      <c r="V1091" s="187"/>
      <c r="W1091" s="187"/>
      <c r="X1091" s="187"/>
      <c r="Y1091" s="187"/>
      <c r="Z1091" s="186"/>
      <c r="AA1091" s="187"/>
      <c r="AB1091" s="187"/>
      <c r="AC1091" s="187"/>
      <c r="AD1091" s="187"/>
      <c r="AE1091" s="186"/>
      <c r="AF1091" s="187"/>
      <c r="AG1091" s="187"/>
      <c r="AH1091" s="187"/>
      <c r="AI1091" s="187"/>
      <c r="AJ1091" s="186"/>
      <c r="AK1091" s="187"/>
      <c r="AL1091" s="187"/>
      <c r="AM1091" s="187"/>
      <c r="AN1091" s="187"/>
      <c r="AO1091" s="186"/>
      <c r="AP1091" s="187"/>
      <c r="AQ1091" s="187"/>
      <c r="AR1091" s="187"/>
      <c r="AS1091" s="187"/>
      <c r="AT1091" s="186"/>
      <c r="AU1091" s="187"/>
      <c r="AV1091" s="187"/>
      <c r="AW1091" s="187"/>
      <c r="AX1091" s="187"/>
      <c r="AY1091" s="186"/>
      <c r="AZ1091" s="187"/>
      <c r="BA1091" s="187"/>
      <c r="BB1091" s="187"/>
      <c r="BC1091" s="187"/>
      <c r="BD1091" s="186"/>
      <c r="BE1091" s="187"/>
      <c r="BF1091" s="187"/>
      <c r="BG1091" s="187"/>
      <c r="BH1091" s="187"/>
      <c r="BI1091" s="186"/>
      <c r="BJ1091" s="1223"/>
      <c r="BK1091" s="187"/>
      <c r="BL1091" s="187"/>
      <c r="BM1091" s="187"/>
      <c r="BN1091" s="186"/>
      <c r="BO1091" s="187"/>
      <c r="BP1091" s="187"/>
      <c r="BQ1091" s="187"/>
      <c r="BR1091" s="187"/>
      <c r="BS1091" s="186"/>
      <c r="BT1091" s="186"/>
      <c r="BU1091" s="186"/>
      <c r="BV1091" s="186"/>
      <c r="BW1091" s="197"/>
    </row>
    <row r="1092" spans="1:75" s="198" customFormat="1" x14ac:dyDescent="0.5">
      <c r="A1092" s="464" t="s">
        <v>1459</v>
      </c>
      <c r="B1092" s="513"/>
      <c r="C1092" s="186"/>
      <c r="D1092" s="186"/>
      <c r="E1092" s="186"/>
      <c r="F1092" s="186"/>
      <c r="G1092" s="187"/>
      <c r="H1092" s="187"/>
      <c r="I1092" s="187"/>
      <c r="J1092" s="187"/>
      <c r="K1092" s="186"/>
      <c r="L1092" s="187"/>
      <c r="M1092" s="187"/>
      <c r="N1092" s="187"/>
      <c r="O1092" s="187"/>
      <c r="P1092" s="186"/>
      <c r="Q1092" s="187"/>
      <c r="R1092" s="187"/>
      <c r="S1092" s="187"/>
      <c r="T1092" s="187"/>
      <c r="U1092" s="186"/>
      <c r="V1092" s="187"/>
      <c r="W1092" s="187"/>
      <c r="X1092" s="187"/>
      <c r="Y1092" s="187"/>
      <c r="Z1092" s="186"/>
      <c r="AA1092" s="187"/>
      <c r="AB1092" s="187"/>
      <c r="AC1092" s="187"/>
      <c r="AD1092" s="187"/>
      <c r="AE1092" s="186"/>
      <c r="AF1092" s="187"/>
      <c r="AG1092" s="187"/>
      <c r="AH1092" s="187"/>
      <c r="AI1092" s="187"/>
      <c r="AJ1092" s="186"/>
      <c r="AK1092" s="187"/>
      <c r="AL1092" s="187"/>
      <c r="AM1092" s="187"/>
      <c r="AN1092" s="187"/>
      <c r="AO1092" s="186"/>
      <c r="AP1092" s="187"/>
      <c r="AQ1092" s="187"/>
      <c r="AR1092" s="187"/>
      <c r="AS1092" s="187"/>
      <c r="AT1092" s="186"/>
      <c r="AU1092" s="187"/>
      <c r="AV1092" s="187"/>
      <c r="AW1092" s="187"/>
      <c r="AX1092" s="187"/>
      <c r="AY1092" s="186"/>
      <c r="AZ1092" s="187"/>
      <c r="BA1092" s="187"/>
      <c r="BB1092" s="187"/>
      <c r="BC1092" s="187"/>
      <c r="BD1092" s="186"/>
      <c r="BE1092" s="187"/>
      <c r="BF1092" s="187"/>
      <c r="BG1092" s="187"/>
      <c r="BH1092" s="187"/>
      <c r="BI1092" s="186"/>
      <c r="BJ1092" s="1223"/>
      <c r="BK1092" s="187"/>
      <c r="BL1092" s="187"/>
      <c r="BM1092" s="187"/>
      <c r="BN1092" s="186"/>
      <c r="BO1092" s="187"/>
      <c r="BP1092" s="187"/>
      <c r="BQ1092" s="187"/>
      <c r="BR1092" s="187"/>
      <c r="BS1092" s="186"/>
      <c r="BT1092" s="186"/>
      <c r="BU1092" s="186"/>
      <c r="BV1092" s="186"/>
      <c r="BW1092" s="197"/>
    </row>
    <row r="1093" spans="1:75" s="198" customFormat="1" ht="14.25" x14ac:dyDescent="0.45">
      <c r="A1093" s="1357" t="s">
        <v>1460</v>
      </c>
      <c r="B1093" s="967"/>
      <c r="C1093" s="968"/>
      <c r="D1093" s="968"/>
      <c r="E1093" s="968"/>
      <c r="F1093" s="968"/>
      <c r="G1093" s="969"/>
      <c r="H1093" s="969"/>
      <c r="I1093" s="969"/>
      <c r="J1093" s="969"/>
      <c r="K1093" s="968"/>
      <c r="L1093" s="969"/>
      <c r="M1093" s="969"/>
      <c r="N1093" s="969"/>
      <c r="O1093" s="969"/>
      <c r="P1093" s="968"/>
      <c r="Q1093" s="969"/>
      <c r="R1093" s="969"/>
      <c r="S1093" s="969"/>
      <c r="T1093" s="969"/>
      <c r="U1093" s="968"/>
      <c r="V1093" s="969"/>
      <c r="W1093" s="969"/>
      <c r="X1093" s="969"/>
      <c r="Y1093" s="969"/>
      <c r="Z1093" s="968"/>
      <c r="AA1093" s="969"/>
      <c r="AB1093" s="969"/>
      <c r="AC1093" s="969"/>
      <c r="AD1093" s="969"/>
      <c r="AE1093" s="968"/>
      <c r="AF1093" s="969"/>
      <c r="AG1093" s="969"/>
      <c r="AH1093" s="969"/>
      <c r="AI1093" s="969"/>
      <c r="AJ1093" s="968"/>
      <c r="AK1093" s="969"/>
      <c r="AL1093" s="969"/>
      <c r="AM1093" s="969"/>
      <c r="AN1093" s="969"/>
      <c r="AO1093" s="968"/>
      <c r="AP1093" s="969"/>
      <c r="AQ1093" s="969"/>
      <c r="AR1093" s="969"/>
      <c r="AS1093" s="969"/>
      <c r="AT1093" s="968"/>
      <c r="AU1093" s="969"/>
      <c r="AV1093" s="969"/>
      <c r="AW1093" s="969"/>
      <c r="AX1093" s="969"/>
      <c r="AY1093" s="968"/>
      <c r="AZ1093" s="969"/>
      <c r="BA1093" s="969"/>
      <c r="BB1093" s="969"/>
      <c r="BC1093" s="969"/>
      <c r="BD1093" s="968"/>
      <c r="BE1093" s="969"/>
      <c r="BF1093" s="969"/>
      <c r="BG1093" s="969"/>
      <c r="BH1093" s="969"/>
      <c r="BI1093" s="968"/>
      <c r="BJ1093" s="1361"/>
      <c r="BK1093" s="969"/>
      <c r="BL1093" s="969"/>
      <c r="BM1093" s="969"/>
      <c r="BN1093" s="968"/>
      <c r="BO1093" s="969"/>
      <c r="BP1093" s="969"/>
      <c r="BQ1093" s="969"/>
      <c r="BR1093" s="969"/>
      <c r="BS1093" s="968"/>
      <c r="BT1093" s="968"/>
      <c r="BU1093" s="968"/>
      <c r="BV1093" s="968"/>
      <c r="BW1093" s="197"/>
    </row>
    <row r="1094" spans="1:75" s="162" customFormat="1" ht="14.25" x14ac:dyDescent="0.45">
      <c r="A1094" s="526"/>
      <c r="B1094" s="734"/>
      <c r="C1094" s="186"/>
      <c r="D1094" s="186"/>
      <c r="E1094" s="186"/>
      <c r="F1094" s="186"/>
      <c r="G1094" s="187"/>
      <c r="H1094" s="187"/>
      <c r="I1094" s="187"/>
      <c r="J1094" s="187"/>
      <c r="K1094" s="186"/>
      <c r="L1094" s="187"/>
      <c r="M1094" s="187"/>
      <c r="N1094" s="187"/>
      <c r="O1094" s="187"/>
      <c r="P1094" s="186"/>
      <c r="Q1094" s="187"/>
      <c r="R1094" s="187"/>
      <c r="S1094" s="187"/>
      <c r="T1094" s="187"/>
      <c r="U1094" s="186"/>
      <c r="V1094" s="187"/>
      <c r="W1094" s="187"/>
      <c r="X1094" s="187"/>
      <c r="Y1094" s="187"/>
      <c r="Z1094" s="186"/>
      <c r="AA1094" s="187"/>
      <c r="AB1094" s="187"/>
      <c r="AC1094" s="187"/>
      <c r="AD1094" s="187"/>
      <c r="AE1094" s="186"/>
      <c r="AF1094" s="187"/>
      <c r="AG1094" s="187"/>
      <c r="AH1094" s="187"/>
      <c r="AI1094" s="187"/>
      <c r="AJ1094" s="186"/>
      <c r="AK1094" s="187"/>
      <c r="AL1094" s="187"/>
      <c r="AM1094" s="187"/>
      <c r="AN1094" s="187"/>
      <c r="AO1094" s="186"/>
      <c r="AP1094" s="187"/>
      <c r="AQ1094" s="187"/>
      <c r="AR1094" s="187"/>
      <c r="AS1094" s="187"/>
      <c r="AT1094" s="186"/>
      <c r="AU1094" s="187"/>
      <c r="AV1094" s="187"/>
      <c r="AW1094" s="187"/>
      <c r="AX1094" s="187"/>
      <c r="AY1094" s="186"/>
      <c r="AZ1094" s="187"/>
      <c r="BA1094" s="187"/>
      <c r="BB1094" s="187"/>
      <c r="BC1094" s="187"/>
      <c r="BD1094" s="186"/>
      <c r="BE1094" s="187"/>
      <c r="BF1094" s="187"/>
      <c r="BG1094" s="187"/>
      <c r="BH1094" s="187"/>
      <c r="BI1094" s="186"/>
      <c r="BJ1094" s="1223"/>
      <c r="BK1094" s="187"/>
      <c r="BL1094" s="187"/>
      <c r="BM1094" s="187"/>
      <c r="BN1094" s="186"/>
      <c r="BO1094" s="187"/>
      <c r="BP1094" s="187"/>
      <c r="BQ1094" s="187"/>
      <c r="BR1094" s="187"/>
      <c r="BS1094" s="186"/>
      <c r="BT1094" s="186"/>
      <c r="BU1094" s="186"/>
      <c r="BV1094" s="186"/>
      <c r="BW1094" s="161"/>
    </row>
    <row r="1095" spans="1:75" s="162" customFormat="1" ht="14.25" x14ac:dyDescent="0.45">
      <c r="A1095" s="1362" t="s">
        <v>1461</v>
      </c>
      <c r="B1095" s="660"/>
      <c r="C1095" s="172"/>
      <c r="D1095" s="1226">
        <f>-D1084/D1083</f>
        <v>0.17445752671505269</v>
      </c>
      <c r="E1095" s="1226">
        <f>-E1084/E1083</f>
        <v>0.17870361751871175</v>
      </c>
      <c r="F1095" s="1226">
        <f>-F1084/F1083</f>
        <v>0.18301092188078488</v>
      </c>
      <c r="G1095" s="461">
        <f>-G1084/G1083/G3*K3</f>
        <v>0.1803316843936914</v>
      </c>
      <c r="H1095" s="461">
        <f>-H1084/H1083/H3*K3</f>
        <v>0.18218682433383213</v>
      </c>
      <c r="I1095" s="461">
        <f>-I1084/I1083/I3*K3</f>
        <v>0.18111912630986654</v>
      </c>
      <c r="J1095" s="461">
        <f>-J1084/J1083/J3*K3</f>
        <v>0.1820041893729335</v>
      </c>
      <c r="K1095" s="1226">
        <f>-K1084/K1083</f>
        <v>0.18446819541474094</v>
      </c>
      <c r="L1095" s="461">
        <f>-L1084/L1083/L3*P3</f>
        <v>0.18193956620388957</v>
      </c>
      <c r="M1095" s="461">
        <f>-M1084/M1083/M3*P3</f>
        <v>0.1945109508585301</v>
      </c>
      <c r="N1095" s="461">
        <f>-N1084/N1083/N3*P3</f>
        <v>0.19689257054712667</v>
      </c>
      <c r="O1095" s="461">
        <f>-O1084/O1083/O3*P3</f>
        <v>0.18986696205014592</v>
      </c>
      <c r="P1095" s="1226">
        <f>-P1084/P1083</f>
        <v>0.1910683356627218</v>
      </c>
      <c r="Q1095" s="461">
        <f>-Q1084/Q1083/Q3*U3</f>
        <v>0.18789325626378806</v>
      </c>
      <c r="R1095" s="461">
        <f>-R1084/R1083/R3*U3</f>
        <v>0.19049139754900005</v>
      </c>
      <c r="S1095" s="461">
        <f>-S1084/S1083/S3*U3</f>
        <v>0.19135956260671405</v>
      </c>
      <c r="T1095" s="461">
        <f>-T1084/T1083/T3*U3</f>
        <v>0.19318157379120021</v>
      </c>
      <c r="U1095" s="1226">
        <f>-U1084/U1083</f>
        <v>0.18998609305422803</v>
      </c>
      <c r="V1095" s="461">
        <f>-V1084/V1083/V3*Z3</f>
        <v>0.18601441341071909</v>
      </c>
      <c r="W1095" s="461">
        <f>-W1084/W1083/W3*Z3</f>
        <v>0.18857257956223983</v>
      </c>
      <c r="X1095" s="461">
        <f>-X1084/X1083/X3*Z3</f>
        <v>0.19536806514029864</v>
      </c>
      <c r="Y1095" s="461">
        <f>-Y1084/Y1083/Y3*Z3</f>
        <v>0.19803490120040954</v>
      </c>
      <c r="Z1095" s="1226">
        <f>-Z1084/Z1083</f>
        <v>0.1953004748464445</v>
      </c>
      <c r="AA1095" s="461">
        <f>-AA1084/AA1083/AA3*AE3</f>
        <v>0.19473985766011076</v>
      </c>
      <c r="AB1095" s="461">
        <f>-AB1084/AB1083/AB3*AE3</f>
        <v>0.19596515489429472</v>
      </c>
      <c r="AC1095" s="461">
        <f>-AC1084/AC1083/AC3*AE3</f>
        <v>0.19551699017895674</v>
      </c>
      <c r="AD1095" s="461">
        <f>-AD1084/AD1083/AD3*AE3</f>
        <v>0.20449968908778673</v>
      </c>
      <c r="AE1095" s="1226">
        <f>-AE1084/AE1083</f>
        <v>0.19828914861423852</v>
      </c>
      <c r="AF1095" s="461">
        <f>-AF1084/AF1083/AF3*AJ3</f>
        <v>0.20935117175958209</v>
      </c>
      <c r="AG1095" s="461">
        <f>-AG1084/AG1083/AG3*AJ3</f>
        <v>0.20217369641326804</v>
      </c>
      <c r="AH1095" s="461">
        <f>-AH1084/AH1083/AH3*AJ3</f>
        <v>0.20993501398507874</v>
      </c>
      <c r="AI1095" s="461">
        <f>-AI1084/AI1083/AI3*AJ3</f>
        <v>0.19364694708680547</v>
      </c>
      <c r="AJ1095" s="1226">
        <f>-AJ1084/AJ1083</f>
        <v>0.20252219551359404</v>
      </c>
      <c r="AK1095" s="461">
        <f>-AK1084/AK1083/AK3*AO3</f>
        <v>0.20153285967073098</v>
      </c>
      <c r="AL1095" s="461">
        <f>-AL1084/AL1083/AL3*AO3</f>
        <v>0.20482298614674191</v>
      </c>
      <c r="AM1095" s="461">
        <f>-AM1084/AM1083/AM3*AO3</f>
        <v>0.20481042298471402</v>
      </c>
      <c r="AN1095" s="461">
        <f>-AN1084/AN1083/AN3*AO3</f>
        <v>0.20645161290322572</v>
      </c>
      <c r="AO1095" s="1226">
        <f>-AO1084/AO1083</f>
        <v>0.20197066590651169</v>
      </c>
      <c r="AP1095" s="461">
        <f>-AP1084/AP1083/AP3*AT3</f>
        <v>0.19901876995343568</v>
      </c>
      <c r="AQ1095" s="461">
        <f>-AQ1084/AQ1083/AQ3*AT3</f>
        <v>0.20676815631065934</v>
      </c>
      <c r="AR1095" s="461">
        <f>-AR1084/AR1083/AR3*AT3</f>
        <v>0.21284627806369388</v>
      </c>
      <c r="AS1095" s="461">
        <f>-AS1084/AS1083/AS3*AT3</f>
        <v>0.22237001376148899</v>
      </c>
      <c r="AT1095" s="1226">
        <f>-AT1084/AT1083</f>
        <v>0.20306489077949449</v>
      </c>
      <c r="AU1095" s="461">
        <f>-AU1084/AU1083/AU3*AY3</f>
        <v>0.21934925746143127</v>
      </c>
      <c r="AV1095" s="461">
        <f>-AV1084/AV1083/AV3*AY3</f>
        <v>0.2228279246593495</v>
      </c>
      <c r="AW1095" s="461">
        <f>-AW1084/AW1083/AW3*AY3</f>
        <v>0.2248841819043865</v>
      </c>
      <c r="AX1095" s="461">
        <f>-AX1084/AX1083/AX3*AY3</f>
        <v>0.22501025524923057</v>
      </c>
      <c r="AY1095" s="1226">
        <f>-AY1084/AY1083</f>
        <v>0.22438304874504228</v>
      </c>
      <c r="AZ1095" s="461">
        <f>-AZ1084/AZ1083/AZ3*BD3</f>
        <v>0.2182991899197739</v>
      </c>
      <c r="BA1095" s="461">
        <f>-BA1084/BA1083/BA3*BD3</f>
        <v>0.22156484094815695</v>
      </c>
      <c r="BB1095" s="461">
        <f>-BB1084/BB1083/BB3*BD3</f>
        <v>0.22576298481219623</v>
      </c>
      <c r="BC1095" s="461">
        <f>-BC1084/BC1083/BC3*BD3</f>
        <v>0.22492785564787213</v>
      </c>
      <c r="BD1095" s="1226">
        <f>-BD1084/BD1083</f>
        <v>0.23257958258984568</v>
      </c>
      <c r="BE1095" s="461">
        <f>-BE1084/BE1083/BE3*BI3</f>
        <v>0.20875911997679703</v>
      </c>
      <c r="BF1095" s="461">
        <f>-BF1084/BF1083/BF3*BI3</f>
        <v>0.21043669394853082</v>
      </c>
      <c r="BG1095" s="461">
        <f>-BG1084/BG1083/BG3*BI3</f>
        <v>0.21298196557915949</v>
      </c>
      <c r="BH1095" s="461">
        <f>-BH1084/BH1083/BH3*BI3</f>
        <v>0.25929788989101299</v>
      </c>
      <c r="BI1095" s="1226">
        <f>-BI1084/BI1083</f>
        <v>0.218316264322341</v>
      </c>
      <c r="BJ1095" s="1363">
        <f>-BJ1084/BJ1083/BJ3*BN3</f>
        <v>0.22934349631935175</v>
      </c>
      <c r="BK1095" s="190">
        <v>0.22</v>
      </c>
      <c r="BL1095" s="190">
        <v>0.22</v>
      </c>
      <c r="BM1095" s="190">
        <v>0.22</v>
      </c>
      <c r="BN1095" s="172">
        <f>-BN1084/BN1083</f>
        <v>0.21881343041254456</v>
      </c>
      <c r="BO1095" s="190">
        <v>0.22</v>
      </c>
      <c r="BP1095" s="190">
        <v>0.22</v>
      </c>
      <c r="BQ1095" s="190">
        <v>0.22</v>
      </c>
      <c r="BR1095" s="190">
        <v>0.22</v>
      </c>
      <c r="BS1095" s="172">
        <f>-BS1084/BS1083</f>
        <v>0.22954994024417533</v>
      </c>
      <c r="BT1095" s="191">
        <v>0.22</v>
      </c>
      <c r="BU1095" s="191">
        <v>0.22</v>
      </c>
      <c r="BV1095" s="191">
        <v>0.22</v>
      </c>
      <c r="BW1095" s="161"/>
    </row>
    <row r="1096" spans="1:75" s="162" customFormat="1" ht="14.25" x14ac:dyDescent="0.45">
      <c r="A1096" s="1362" t="s">
        <v>1462</v>
      </c>
      <c r="B1096" s="660"/>
      <c r="C1096" s="172"/>
      <c r="D1096" s="172"/>
      <c r="E1096" s="172"/>
      <c r="F1096" s="172"/>
      <c r="G1096" s="175"/>
      <c r="H1096" s="175"/>
      <c r="I1096" s="175"/>
      <c r="J1096" s="175"/>
      <c r="K1096" s="172"/>
      <c r="L1096" s="175"/>
      <c r="M1096" s="175"/>
      <c r="N1096" s="175"/>
      <c r="O1096" s="175"/>
      <c r="P1096" s="172"/>
      <c r="Q1096" s="175"/>
      <c r="R1096" s="175"/>
      <c r="S1096" s="175"/>
      <c r="T1096" s="175"/>
      <c r="U1096" s="172"/>
      <c r="V1096" s="175"/>
      <c r="W1096" s="175"/>
      <c r="X1096" s="175"/>
      <c r="Y1096" s="175"/>
      <c r="Z1096" s="172"/>
      <c r="AA1096" s="175"/>
      <c r="AB1096" s="175"/>
      <c r="AC1096" s="175"/>
      <c r="AD1096" s="175"/>
      <c r="AE1096" s="172"/>
      <c r="AF1096" s="175"/>
      <c r="AG1096" s="175"/>
      <c r="AH1096" s="175"/>
      <c r="AI1096" s="175"/>
      <c r="AJ1096" s="172"/>
      <c r="AK1096" s="175"/>
      <c r="AL1096" s="175"/>
      <c r="AM1096" s="175"/>
      <c r="AN1096" s="175"/>
      <c r="AO1096" s="172"/>
      <c r="AP1096" s="175"/>
      <c r="AQ1096" s="175"/>
      <c r="AR1096" s="175"/>
      <c r="AS1096" s="175"/>
      <c r="AT1096" s="172"/>
      <c r="AU1096" s="175"/>
      <c r="AV1096" s="175"/>
      <c r="AW1096" s="175"/>
      <c r="AX1096" s="175"/>
      <c r="AY1096" s="172"/>
      <c r="AZ1096" s="175"/>
      <c r="BA1096" s="175"/>
      <c r="BB1096" s="175"/>
      <c r="BC1096" s="175"/>
      <c r="BD1096" s="172"/>
      <c r="BE1096" s="175"/>
      <c r="BF1096" s="175"/>
      <c r="BG1096" s="175"/>
      <c r="BH1096" s="175"/>
      <c r="BI1096" s="172"/>
      <c r="BJ1096" s="1111"/>
      <c r="BK1096" s="175"/>
      <c r="BL1096" s="175"/>
      <c r="BM1096" s="175"/>
      <c r="BN1096" s="172"/>
      <c r="BO1096" s="175"/>
      <c r="BP1096" s="175"/>
      <c r="BQ1096" s="175"/>
      <c r="BR1096" s="175"/>
      <c r="BS1096" s="172"/>
      <c r="BT1096" s="172"/>
      <c r="BU1096" s="172"/>
      <c r="BV1096" s="172"/>
      <c r="BW1096" s="161"/>
    </row>
    <row r="1097" spans="1:75" s="169" customFormat="1" ht="14.25" x14ac:dyDescent="0.45">
      <c r="A1097" s="558" t="s">
        <v>1463</v>
      </c>
      <c r="B1097" s="761"/>
      <c r="C1097" s="165"/>
      <c r="D1097" s="539">
        <f>-D1083/D1084</f>
        <v>5.732054207287562</v>
      </c>
      <c r="E1097" s="539">
        <f>-E1083/E1084</f>
        <v>5.5958576210427955</v>
      </c>
      <c r="F1097" s="539">
        <f>-F1083/F1084</f>
        <v>5.4641547603995448</v>
      </c>
      <c r="G1097" s="538">
        <f>-G1083/G1084*G3/K3</f>
        <v>5.5453372121609439</v>
      </c>
      <c r="H1097" s="538">
        <f>-H1083/H1084*H3/K3</f>
        <v>5.4888711280659823</v>
      </c>
      <c r="I1097" s="538">
        <f>-I1083/I1084*I3/K3</f>
        <v>5.5212280468334205</v>
      </c>
      <c r="J1097" s="538">
        <f>-J1083/J1084*J3/K3</f>
        <v>5.4943790219628506</v>
      </c>
      <c r="K1097" s="539">
        <f>-K1083/K1084</f>
        <v>5.4209886845355326</v>
      </c>
      <c r="L1097" s="538">
        <f>-L1083/L1084*L3/P3</f>
        <v>5.4963305720942266</v>
      </c>
      <c r="M1097" s="538">
        <f>-M1083/M1084*M3/P3</f>
        <v>5.1410987175077398</v>
      </c>
      <c r="N1097" s="538">
        <f>-N1083/N1084*N3/P3</f>
        <v>5.0789118005884735</v>
      </c>
      <c r="O1097" s="538">
        <f>-O1083/O1084*O3/P3</f>
        <v>5.2668457387330454</v>
      </c>
      <c r="P1097" s="539">
        <f>-P1083/P1084</f>
        <v>5.2337295791659733</v>
      </c>
      <c r="Q1097" s="538">
        <f>-Q1083/Q1084*Q3/U3</f>
        <v>5.3221707893341046</v>
      </c>
      <c r="R1097" s="538">
        <f>-R1083/R1084*R3/U3</f>
        <v>5.2495808885163449</v>
      </c>
      <c r="S1097" s="538">
        <f>-S1083/S1084*S3/U3</f>
        <v>5.2257644529383658</v>
      </c>
      <c r="T1097" s="538">
        <f>-T1083/T1084*T3/U3</f>
        <v>5.1764771368973692</v>
      </c>
      <c r="U1097" s="539">
        <f>-U1083/U1084</f>
        <v>5.2635431568907967</v>
      </c>
      <c r="V1097" s="538">
        <f>-V1083/V1084*V3/Z3</f>
        <v>5.3759274975751694</v>
      </c>
      <c r="W1097" s="538">
        <f>-W1083/W1084*W3/Z3</f>
        <v>5.3029979349141927</v>
      </c>
      <c r="X1097" s="538">
        <f>-X1083/X1084*X3/Z3</f>
        <v>5.1185438074634932</v>
      </c>
      <c r="Y1097" s="538">
        <f>-Y1083/Y1084*Y3/Z3</f>
        <v>5.0496149614961512</v>
      </c>
      <c r="Z1097" s="539">
        <f>-Z1083/Z1084</f>
        <v>5.1203152515950228</v>
      </c>
      <c r="AA1097" s="538">
        <f>-AA1083/AA1084*AA3/AE3</f>
        <v>5.1350556173526138</v>
      </c>
      <c r="AB1097" s="538">
        <f>-AB1083/AB1084*AB3/AE3</f>
        <v>5.1029480243026297</v>
      </c>
      <c r="AC1097" s="538">
        <f>-AC1083/AC1084*AC3/AE3</f>
        <v>5.114645019262519</v>
      </c>
      <c r="AD1097" s="538">
        <f>-AD1083/AD1084*AD3/AE3</f>
        <v>4.889982984623142</v>
      </c>
      <c r="AE1097" s="539">
        <f>-AE1083/AE1084</f>
        <v>5.0431403180082697</v>
      </c>
      <c r="AF1097" s="538">
        <f>-AF1083/AF1084*AF3/AJ3</f>
        <v>4.7766630183870928</v>
      </c>
      <c r="AG1097" s="538">
        <f>-AG1083/AG1084*AG3/AJ3</f>
        <v>4.946241859059036</v>
      </c>
      <c r="AH1097" s="538">
        <f>-AH1083/AH1084*AH3/AJ3</f>
        <v>4.7633788238443895</v>
      </c>
      <c r="AI1097" s="538">
        <f>-AI1083/AI1084*AI3/AJ3</f>
        <v>5.1640370015837807</v>
      </c>
      <c r="AJ1097" s="539">
        <f>-AJ1083/AJ1084</f>
        <v>4.9377303927799669</v>
      </c>
      <c r="AK1097" s="538">
        <f>-AK1083/AK1084*AK3/AO3</f>
        <v>4.9619699816388403</v>
      </c>
      <c r="AL1097" s="538">
        <f>-AL1083/AL1084*AL3/AO3</f>
        <v>4.8822645290581166</v>
      </c>
      <c r="AM1097" s="538">
        <f>-AM1083/AM1084*AM3/AO3</f>
        <v>4.8825640093260034</v>
      </c>
      <c r="AN1097" s="538">
        <f>-AN1083/AN1084*AN3/AO3</f>
        <v>4.8437500000000018</v>
      </c>
      <c r="AO1097" s="539">
        <f>-AO1083/AO1084</f>
        <v>4.9512140563168749</v>
      </c>
      <c r="AP1097" s="538">
        <f>-AP1083/AP1084*AP3/AT3</f>
        <v>5.0246516960886121</v>
      </c>
      <c r="AQ1097" s="538">
        <f>-AQ1083/AQ1084*AQ3/AT3</f>
        <v>4.8363346554077102</v>
      </c>
      <c r="AR1097" s="538">
        <f>-AR1083/AR1084*AR3/AT3</f>
        <v>4.6982263871240999</v>
      </c>
      <c r="AS1097" s="538">
        <f>-AS1083/AS1084*AS3/AT3</f>
        <v>4.4970092103901482</v>
      </c>
      <c r="AT1097" s="539">
        <f>-AT1083/AT1084</f>
        <v>4.9245342026450398</v>
      </c>
      <c r="AU1097" s="538">
        <f>-AU1083/AU1084*AU3/AY3</f>
        <v>4.5589395267309385</v>
      </c>
      <c r="AV1097" s="538">
        <f>-AV1083/AV1084*AV3/AY3</f>
        <v>4.4877678662975491</v>
      </c>
      <c r="AW1097" s="538">
        <f>-AW1083/AW1084*AW3/AY3</f>
        <v>4.4467333875228618</v>
      </c>
      <c r="AX1097" s="538">
        <f>-AX1083/AX1084*AX3/AY3</f>
        <v>4.4442418808527595</v>
      </c>
      <c r="AY1097" s="539">
        <f>-AY1083/AY1084</f>
        <v>4.4566646437550679</v>
      </c>
      <c r="AZ1097" s="538">
        <f>-AZ1083/AZ1084*AZ3/BD3</f>
        <v>4.5808690374320911</v>
      </c>
      <c r="BA1097" s="538">
        <f>-BA1083/BA1084*BA3/BD3</f>
        <v>4.5133514673205122</v>
      </c>
      <c r="BB1097" s="538">
        <f>-BB1083/BB1084*BB3/BD3</f>
        <v>4.4294240742425623</v>
      </c>
      <c r="BC1097" s="538">
        <f>-BC1083/BC1084*BC3/BD3</f>
        <v>4.4458699751511199</v>
      </c>
      <c r="BD1097" s="539">
        <f>-BD1083/BD1084</f>
        <v>4.2996035544680673</v>
      </c>
      <c r="BE1097" s="538">
        <f>-BE1083/BE1084*BE3/BI3</f>
        <v>4.7902098845365284</v>
      </c>
      <c r="BF1097" s="538">
        <f>-BF1083/BF1084*BF3/BI3</f>
        <v>4.7520229539653513</v>
      </c>
      <c r="BG1097" s="538">
        <f>-BG1083/BG1084*BG3/BI3</f>
        <v>4.6952332197738489</v>
      </c>
      <c r="BH1097" s="538">
        <f>-BH1083/BH1084*BH3/BI3</f>
        <v>3.8565682135721029</v>
      </c>
      <c r="BI1097" s="539">
        <f>-BI1083/BI1084</f>
        <v>4.5805107700245067</v>
      </c>
      <c r="BJ1097" s="1364">
        <f>-BJ1083/BJ1084*BJ3/BN3</f>
        <v>4.3602718893215942</v>
      </c>
      <c r="BK1097" s="166">
        <f>IFERROR(-BK1083/BK1084*BK3/BN3,"n/a")</f>
        <v>4.545454545454545</v>
      </c>
      <c r="BL1097" s="166">
        <f>IFERROR(-BL1083/BL1084*BL3/BN3,"n/a")</f>
        <v>4.545454545454545</v>
      </c>
      <c r="BM1097" s="166">
        <f>IFERROR(-BM1083/BM1084*BM3/BN3,"n/a")</f>
        <v>4.545454545454545</v>
      </c>
      <c r="BN1097" s="165">
        <f>-BN1083/BN1084</f>
        <v>4.5701033895160306</v>
      </c>
      <c r="BO1097" s="166">
        <f>IFERROR(-BO1083/BO1084*BO3/BS3,"n/a")</f>
        <v>4.5454545454545459</v>
      </c>
      <c r="BP1097" s="166">
        <f>IFERROR(-BP1083/BP1084*BP3/BS3,"n/a")</f>
        <v>4.545454545454545</v>
      </c>
      <c r="BQ1097" s="166">
        <f>IFERROR(-BQ1083/BQ1084*BQ3/BS3,"n/a")</f>
        <v>4.5454545454545459</v>
      </c>
      <c r="BR1097" s="166">
        <f>IFERROR(-BR1083/BR1084*BR3/BS3,"n/a")</f>
        <v>4.545454545454545</v>
      </c>
      <c r="BS1097" s="165">
        <f>-BS1083/BS1084</f>
        <v>4.3563505132533979</v>
      </c>
      <c r="BT1097" s="165">
        <f>IFERROR(-BT1083/BT1084,"n/a")</f>
        <v>4.5454545454545459</v>
      </c>
      <c r="BU1097" s="165">
        <f>IFERROR(-BU1083/BU1084,"n/a")</f>
        <v>4.5454545454545459</v>
      </c>
      <c r="BV1097" s="165">
        <f>IFERROR(-BV1083/BV1084,"n/a")</f>
        <v>4.545454545454545</v>
      </c>
      <c r="BW1097" s="168"/>
    </row>
    <row r="1098" spans="1:75" s="169" customFormat="1" ht="14.25" x14ac:dyDescent="0.45">
      <c r="A1098" s="558" t="s">
        <v>1464</v>
      </c>
      <c r="B1098" s="761"/>
      <c r="C1098" s="165"/>
      <c r="D1098" s="165"/>
      <c r="E1098" s="165"/>
      <c r="F1098" s="165"/>
      <c r="G1098" s="166"/>
      <c r="H1098" s="166"/>
      <c r="I1098" s="166"/>
      <c r="J1098" s="166"/>
      <c r="K1098" s="165"/>
      <c r="L1098" s="166"/>
      <c r="M1098" s="166"/>
      <c r="N1098" s="166"/>
      <c r="O1098" s="166"/>
      <c r="P1098" s="165"/>
      <c r="Q1098" s="166"/>
      <c r="R1098" s="166"/>
      <c r="S1098" s="166"/>
      <c r="T1098" s="166"/>
      <c r="U1098" s="165"/>
      <c r="V1098" s="166"/>
      <c r="W1098" s="166"/>
      <c r="X1098" s="166"/>
      <c r="Y1098" s="166"/>
      <c r="Z1098" s="165"/>
      <c r="AA1098" s="166"/>
      <c r="AB1098" s="166"/>
      <c r="AC1098" s="166"/>
      <c r="AD1098" s="166"/>
      <c r="AE1098" s="165"/>
      <c r="AF1098" s="166"/>
      <c r="AG1098" s="166"/>
      <c r="AH1098" s="166"/>
      <c r="AI1098" s="166"/>
      <c r="AJ1098" s="165"/>
      <c r="AK1098" s="166"/>
      <c r="AL1098" s="166"/>
      <c r="AM1098" s="166"/>
      <c r="AN1098" s="166"/>
      <c r="AO1098" s="165"/>
      <c r="AP1098" s="166"/>
      <c r="AQ1098" s="166"/>
      <c r="AR1098" s="166"/>
      <c r="AS1098" s="166"/>
      <c r="AT1098" s="165"/>
      <c r="AU1098" s="166"/>
      <c r="AV1098" s="166"/>
      <c r="AW1098" s="166"/>
      <c r="AX1098" s="166"/>
      <c r="AY1098" s="165"/>
      <c r="AZ1098" s="166"/>
      <c r="BA1098" s="166"/>
      <c r="BB1098" s="166"/>
      <c r="BC1098" s="166"/>
      <c r="BD1098" s="165"/>
      <c r="BE1098" s="166"/>
      <c r="BF1098" s="166"/>
      <c r="BG1098" s="166"/>
      <c r="BH1098" s="166"/>
      <c r="BI1098" s="165"/>
      <c r="BJ1098" s="1110"/>
      <c r="BK1098" s="166"/>
      <c r="BL1098" s="166"/>
      <c r="BM1098" s="166"/>
      <c r="BN1098" s="165"/>
      <c r="BO1098" s="166"/>
      <c r="BP1098" s="166"/>
      <c r="BQ1098" s="166"/>
      <c r="BR1098" s="166"/>
      <c r="BS1098" s="165"/>
      <c r="BT1098" s="165"/>
      <c r="BU1098" s="165"/>
      <c r="BV1098" s="165"/>
      <c r="BW1098" s="168"/>
    </row>
    <row r="1099" spans="1:75" s="162" customFormat="1" ht="14.25" x14ac:dyDescent="0.45">
      <c r="A1099" s="526"/>
      <c r="B1099" s="734"/>
      <c r="C1099" s="186"/>
      <c r="D1099" s="186"/>
      <c r="E1099" s="186"/>
      <c r="F1099" s="186"/>
      <c r="G1099" s="187"/>
      <c r="H1099" s="187"/>
      <c r="I1099" s="187"/>
      <c r="J1099" s="187"/>
      <c r="K1099" s="186"/>
      <c r="L1099" s="187"/>
      <c r="M1099" s="187"/>
      <c r="N1099" s="187"/>
      <c r="O1099" s="187"/>
      <c r="P1099" s="186"/>
      <c r="Q1099" s="187"/>
      <c r="R1099" s="187"/>
      <c r="S1099" s="187"/>
      <c r="T1099" s="187"/>
      <c r="U1099" s="186"/>
      <c r="V1099" s="187"/>
      <c r="W1099" s="187"/>
      <c r="X1099" s="187"/>
      <c r="Y1099" s="187"/>
      <c r="Z1099" s="186"/>
      <c r="AA1099" s="187"/>
      <c r="AB1099" s="187"/>
      <c r="AC1099" s="187"/>
      <c r="AD1099" s="187"/>
      <c r="AE1099" s="186"/>
      <c r="AF1099" s="187"/>
      <c r="AG1099" s="187"/>
      <c r="AH1099" s="187"/>
      <c r="AI1099" s="187"/>
      <c r="AJ1099" s="186"/>
      <c r="AK1099" s="187"/>
      <c r="AL1099" s="187"/>
      <c r="AM1099" s="187"/>
      <c r="AN1099" s="187"/>
      <c r="AO1099" s="186"/>
      <c r="AP1099" s="187"/>
      <c r="AQ1099" s="187"/>
      <c r="AR1099" s="187"/>
      <c r="AS1099" s="187"/>
      <c r="AT1099" s="186"/>
      <c r="AU1099" s="187"/>
      <c r="AV1099" s="187"/>
      <c r="AW1099" s="187"/>
      <c r="AX1099" s="187"/>
      <c r="AY1099" s="186"/>
      <c r="AZ1099" s="187"/>
      <c r="BA1099" s="187"/>
      <c r="BB1099" s="187"/>
      <c r="BC1099" s="187"/>
      <c r="BD1099" s="186"/>
      <c r="BE1099" s="187"/>
      <c r="BF1099" s="187"/>
      <c r="BG1099" s="187"/>
      <c r="BH1099" s="187"/>
      <c r="BI1099" s="186"/>
      <c r="BJ1099" s="1223"/>
      <c r="BK1099" s="187"/>
      <c r="BL1099" s="187"/>
      <c r="BM1099" s="187"/>
      <c r="BN1099" s="186"/>
      <c r="BO1099" s="187"/>
      <c r="BP1099" s="187"/>
      <c r="BQ1099" s="187"/>
      <c r="BR1099" s="187"/>
      <c r="BS1099" s="186"/>
      <c r="BT1099" s="186"/>
      <c r="BU1099" s="186"/>
      <c r="BV1099" s="186"/>
      <c r="BW1099" s="161"/>
    </row>
    <row r="1100" spans="1:75" s="198" customFormat="1" ht="14.25" x14ac:dyDescent="0.45">
      <c r="A1100" s="463" t="s">
        <v>799</v>
      </c>
      <c r="B1100" s="522"/>
      <c r="C1100" s="555">
        <f t="shared" ref="C1100:BN1100" si="1470">C766</f>
        <v>151.79599999999999</v>
      </c>
      <c r="D1100" s="555">
        <f t="shared" si="1470"/>
        <v>144.63</v>
      </c>
      <c r="E1100" s="555">
        <f t="shared" si="1470"/>
        <v>130.553</v>
      </c>
      <c r="F1100" s="555">
        <f t="shared" si="1470"/>
        <v>134.453</v>
      </c>
      <c r="G1100" s="556">
        <f t="shared" si="1470"/>
        <v>36.609000000000002</v>
      </c>
      <c r="H1100" s="556">
        <f t="shared" si="1470"/>
        <v>37.222999999999992</v>
      </c>
      <c r="I1100" s="556">
        <f t="shared" si="1470"/>
        <v>37.580000000000013</v>
      </c>
      <c r="J1100" s="556">
        <f t="shared" si="1470"/>
        <v>38.382999999999981</v>
      </c>
      <c r="K1100" s="555">
        <f t="shared" si="1470"/>
        <v>149.79499999999999</v>
      </c>
      <c r="L1100" s="556">
        <f t="shared" si="1470"/>
        <v>38.630000000000003</v>
      </c>
      <c r="M1100" s="556">
        <f t="shared" si="1470"/>
        <v>40.701999999999991</v>
      </c>
      <c r="N1100" s="556">
        <f t="shared" si="1470"/>
        <v>41.803000000000011</v>
      </c>
      <c r="O1100" s="556">
        <f t="shared" si="1470"/>
        <v>41.137999999999991</v>
      </c>
      <c r="P1100" s="555">
        <f t="shared" si="1470"/>
        <v>162.273</v>
      </c>
      <c r="Q1100" s="556">
        <f t="shared" si="1470"/>
        <v>41.478000000000002</v>
      </c>
      <c r="R1100" s="556">
        <f t="shared" si="1470"/>
        <v>41.755000000000003</v>
      </c>
      <c r="S1100" s="556">
        <f t="shared" si="1470"/>
        <v>41.86</v>
      </c>
      <c r="T1100" s="556">
        <f t="shared" si="1470"/>
        <v>42.666999999999987</v>
      </c>
      <c r="U1100" s="555">
        <f t="shared" si="1470"/>
        <v>167.76</v>
      </c>
      <c r="V1100" s="556">
        <f t="shared" si="1470"/>
        <v>41.24</v>
      </c>
      <c r="W1100" s="556">
        <f t="shared" si="1470"/>
        <v>42.128999999999998</v>
      </c>
      <c r="X1100" s="556">
        <f t="shared" si="1470"/>
        <v>44.376000000000005</v>
      </c>
      <c r="Y1100" s="556">
        <f t="shared" si="1470"/>
        <v>45.449999999999989</v>
      </c>
      <c r="Z1100" s="555">
        <f t="shared" si="1470"/>
        <v>173.19499999999999</v>
      </c>
      <c r="AA1100" s="556">
        <f t="shared" si="1470"/>
        <v>44.95</v>
      </c>
      <c r="AB1100" s="556">
        <f t="shared" si="1470"/>
        <v>45.097999999999999</v>
      </c>
      <c r="AC1100" s="556">
        <f t="shared" si="1470"/>
        <v>45.425000000000011</v>
      </c>
      <c r="AD1100" s="556">
        <f t="shared" si="1470"/>
        <v>47.603999999999985</v>
      </c>
      <c r="AE1100" s="555">
        <f t="shared" si="1470"/>
        <v>183.077</v>
      </c>
      <c r="AF1100" s="556">
        <f t="shared" si="1470"/>
        <v>47.872999999999998</v>
      </c>
      <c r="AG1100" s="556">
        <f t="shared" si="1470"/>
        <v>45.936</v>
      </c>
      <c r="AH1100" s="556">
        <f t="shared" si="1470"/>
        <v>47.358000000000004</v>
      </c>
      <c r="AI1100" s="556">
        <f t="shared" si="1470"/>
        <v>47.640999999999991</v>
      </c>
      <c r="AJ1100" s="555">
        <f t="shared" si="1470"/>
        <v>188.80799999999999</v>
      </c>
      <c r="AK1100" s="556">
        <f t="shared" si="1470"/>
        <v>46.838000000000001</v>
      </c>
      <c r="AL1100" s="556">
        <f t="shared" si="1470"/>
        <v>46.905999999999999</v>
      </c>
      <c r="AM1100" s="556">
        <f t="shared" si="1470"/>
        <v>46.751000000000005</v>
      </c>
      <c r="AN1100" s="556">
        <f t="shared" si="1470"/>
        <v>47.263999999999982</v>
      </c>
      <c r="AO1100" s="555">
        <f t="shared" si="1470"/>
        <v>187.75899999999999</v>
      </c>
      <c r="AP1100" s="556">
        <f t="shared" si="1470"/>
        <v>46.223999999999997</v>
      </c>
      <c r="AQ1100" s="556">
        <f t="shared" si="1470"/>
        <v>46.896000000000008</v>
      </c>
      <c r="AR1100" s="556">
        <f t="shared" si="1470"/>
        <v>47.22</v>
      </c>
      <c r="AS1100" s="556">
        <f t="shared" si="1470"/>
        <v>48.314999999999998</v>
      </c>
      <c r="AT1100" s="555">
        <f t="shared" si="1470"/>
        <v>188.655</v>
      </c>
      <c r="AU1100" s="556">
        <f t="shared" si="1470"/>
        <v>47.921999999999997</v>
      </c>
      <c r="AV1100" s="556">
        <f t="shared" si="1470"/>
        <v>48.765000000000001</v>
      </c>
      <c r="AW1100" s="556">
        <f t="shared" si="1470"/>
        <v>49.209999999999994</v>
      </c>
      <c r="AX1100" s="556">
        <f t="shared" si="1470"/>
        <v>50.19</v>
      </c>
      <c r="AY1100" s="555">
        <f t="shared" si="1470"/>
        <v>196.08699999999999</v>
      </c>
      <c r="AZ1100" s="556">
        <f t="shared" si="1470"/>
        <v>50.250999999999998</v>
      </c>
      <c r="BA1100" s="556">
        <f t="shared" si="1470"/>
        <v>52.204000000000001</v>
      </c>
      <c r="BB1100" s="556">
        <f t="shared" si="1470"/>
        <v>54.954999999999998</v>
      </c>
      <c r="BC1100" s="556">
        <f t="shared" si="1470"/>
        <v>56.742999999999995</v>
      </c>
      <c r="BD1100" s="555">
        <f t="shared" si="1470"/>
        <v>214.15299999999999</v>
      </c>
      <c r="BE1100" s="556">
        <f t="shared" si="1470"/>
        <v>55.601999999999997</v>
      </c>
      <c r="BF1100" s="556">
        <f t="shared" si="1470"/>
        <v>55.241000000000007</v>
      </c>
      <c r="BG1100" s="556">
        <f t="shared" si="1470"/>
        <v>55.183999999999983</v>
      </c>
      <c r="BH1100" s="556">
        <f t="shared" si="1470"/>
        <v>66.563000000000017</v>
      </c>
      <c r="BI1100" s="555">
        <f t="shared" si="1470"/>
        <v>232.59</v>
      </c>
      <c r="BJ1100" s="1355">
        <f>BJ766</f>
        <v>56.996000000000002</v>
      </c>
      <c r="BK1100" s="209">
        <f t="shared" si="1470"/>
        <v>53.431599245283024</v>
      </c>
      <c r="BL1100" s="209">
        <f t="shared" si="1470"/>
        <v>53.246422380348889</v>
      </c>
      <c r="BM1100" s="209">
        <f t="shared" si="1470"/>
        <v>58.02533912062367</v>
      </c>
      <c r="BN1100" s="208">
        <f t="shared" si="1470"/>
        <v>221.69936074625559</v>
      </c>
      <c r="BO1100" s="209">
        <f t="shared" ref="BO1100:BV1100" si="1471">BO766</f>
        <v>55.60294515895594</v>
      </c>
      <c r="BP1100" s="209">
        <f t="shared" si="1471"/>
        <v>56.944783175213374</v>
      </c>
      <c r="BQ1100" s="209">
        <f t="shared" si="1471"/>
        <v>58.762820100576619</v>
      </c>
      <c r="BR1100" s="209">
        <f t="shared" si="1471"/>
        <v>60.755864995044917</v>
      </c>
      <c r="BS1100" s="208">
        <f t="shared" si="1471"/>
        <v>232.06641342979083</v>
      </c>
      <c r="BT1100" s="208">
        <f t="shared" si="1471"/>
        <v>253.85716968126977</v>
      </c>
      <c r="BU1100" s="208">
        <f t="shared" si="1471"/>
        <v>286.0085923513904</v>
      </c>
      <c r="BV1100" s="208">
        <f t="shared" si="1471"/>
        <v>311.08670203408451</v>
      </c>
      <c r="BW1100" s="197"/>
    </row>
    <row r="1101" spans="1:75" s="198" customFormat="1" ht="14.25" x14ac:dyDescent="0.45">
      <c r="A1101" s="463" t="s">
        <v>1465</v>
      </c>
      <c r="B1101" s="522"/>
      <c r="C1101" s="555">
        <f t="shared" ref="C1101:BD1101" si="1472">-C879</f>
        <v>72.263000000000005</v>
      </c>
      <c r="D1101" s="555">
        <f t="shared" si="1472"/>
        <v>61.905999999999999</v>
      </c>
      <c r="E1101" s="555">
        <f t="shared" si="1472"/>
        <v>130.35300000000001</v>
      </c>
      <c r="F1101" s="555">
        <f t="shared" si="1472"/>
        <v>205.404</v>
      </c>
      <c r="G1101" s="556">
        <f t="shared" si="1472"/>
        <v>47.444000000000003</v>
      </c>
      <c r="H1101" s="556">
        <f t="shared" si="1472"/>
        <v>50.332999999999998</v>
      </c>
      <c r="I1101" s="556">
        <f t="shared" si="1472"/>
        <v>47.458999999999989</v>
      </c>
      <c r="J1101" s="556">
        <f t="shared" si="1472"/>
        <v>48.717000000000013</v>
      </c>
      <c r="K1101" s="555">
        <f t="shared" si="1472"/>
        <v>193.953</v>
      </c>
      <c r="L1101" s="556">
        <f t="shared" si="1472"/>
        <v>38.119</v>
      </c>
      <c r="M1101" s="556">
        <f t="shared" si="1472"/>
        <v>45.400000000000006</v>
      </c>
      <c r="N1101" s="556">
        <f t="shared" si="1472"/>
        <v>48.150999999999982</v>
      </c>
      <c r="O1101" s="556">
        <f t="shared" si="1472"/>
        <v>73.130000000000024</v>
      </c>
      <c r="P1101" s="555">
        <f t="shared" si="1472"/>
        <v>204.8</v>
      </c>
      <c r="Q1101" s="556">
        <f t="shared" si="1472"/>
        <v>40.384</v>
      </c>
      <c r="R1101" s="556">
        <f t="shared" si="1472"/>
        <v>46.465000000000003</v>
      </c>
      <c r="S1101" s="556">
        <f t="shared" si="1472"/>
        <v>49.219999999999985</v>
      </c>
      <c r="T1101" s="556">
        <f t="shared" si="1472"/>
        <v>66.866000000000014</v>
      </c>
      <c r="U1101" s="555">
        <f t="shared" si="1472"/>
        <v>202.935</v>
      </c>
      <c r="V1101" s="556">
        <f t="shared" si="1472"/>
        <v>28.149000000000001</v>
      </c>
      <c r="W1101" s="556">
        <f t="shared" si="1472"/>
        <v>49.727999999999994</v>
      </c>
      <c r="X1101" s="556">
        <f t="shared" si="1472"/>
        <v>49.292000000000002</v>
      </c>
      <c r="Y1101" s="556">
        <f t="shared" si="1472"/>
        <v>70.24499999999999</v>
      </c>
      <c r="Z1101" s="555">
        <f t="shared" si="1472"/>
        <v>197.41399999999999</v>
      </c>
      <c r="AA1101" s="556">
        <f t="shared" si="1472"/>
        <v>32.152999999999999</v>
      </c>
      <c r="AB1101" s="556">
        <f t="shared" si="1472"/>
        <v>50.574000000000005</v>
      </c>
      <c r="AC1101" s="556">
        <f t="shared" si="1472"/>
        <v>53.093999999999994</v>
      </c>
      <c r="AD1101" s="556">
        <f t="shared" si="1472"/>
        <v>53.890999999999991</v>
      </c>
      <c r="AE1101" s="555">
        <f t="shared" si="1472"/>
        <v>189.71199999999999</v>
      </c>
      <c r="AF1101" s="556">
        <f t="shared" si="1472"/>
        <v>34.029000000000003</v>
      </c>
      <c r="AG1101" s="556">
        <f t="shared" si="1472"/>
        <v>45.991999999999997</v>
      </c>
      <c r="AH1101" s="556">
        <f t="shared" si="1472"/>
        <v>48.304999999999993</v>
      </c>
      <c r="AI1101" s="556">
        <f t="shared" si="1472"/>
        <v>61.77600000000001</v>
      </c>
      <c r="AJ1101" s="555">
        <f t="shared" si="1472"/>
        <v>190.102</v>
      </c>
      <c r="AK1101" s="556">
        <f t="shared" si="1472"/>
        <v>36.148000000000003</v>
      </c>
      <c r="AL1101" s="556">
        <f t="shared" si="1472"/>
        <v>41.04099999999999</v>
      </c>
      <c r="AM1101" s="556">
        <f t="shared" si="1472"/>
        <v>43.965000000000003</v>
      </c>
      <c r="AN1101" s="556">
        <f t="shared" si="1472"/>
        <v>65.122000000000014</v>
      </c>
      <c r="AO1101" s="555">
        <f t="shared" si="1472"/>
        <v>186.27600000000001</v>
      </c>
      <c r="AP1101" s="556">
        <f t="shared" si="1472"/>
        <v>42.320999999999998</v>
      </c>
      <c r="AQ1101" s="556">
        <f t="shared" si="1472"/>
        <v>33.802000000000007</v>
      </c>
      <c r="AR1101" s="556">
        <f t="shared" si="1472"/>
        <v>48.762</v>
      </c>
      <c r="AS1101" s="556">
        <f t="shared" si="1472"/>
        <v>44.628</v>
      </c>
      <c r="AT1101" s="555">
        <f t="shared" si="1472"/>
        <v>169.51300000000001</v>
      </c>
      <c r="AU1101" s="556">
        <f t="shared" si="1472"/>
        <v>42.36</v>
      </c>
      <c r="AV1101" s="556">
        <f t="shared" si="1472"/>
        <v>35.921000000000006</v>
      </c>
      <c r="AW1101" s="556">
        <f t="shared" si="1472"/>
        <v>62.728999999999985</v>
      </c>
      <c r="AX1101" s="556">
        <f t="shared" si="1472"/>
        <v>85.507000000000005</v>
      </c>
      <c r="AY1101" s="555">
        <f t="shared" si="1472"/>
        <v>226.517</v>
      </c>
      <c r="AZ1101" s="556">
        <f t="shared" si="1472"/>
        <v>71.186000000000007</v>
      </c>
      <c r="BA1101" s="556">
        <f t="shared" si="1472"/>
        <v>77.361999999999995</v>
      </c>
      <c r="BB1101" s="556">
        <f t="shared" si="1472"/>
        <v>85.829999999999984</v>
      </c>
      <c r="BC1101" s="556">
        <f t="shared" si="1472"/>
        <v>119.73900000000003</v>
      </c>
      <c r="BD1101" s="555">
        <f t="shared" si="1472"/>
        <v>354.11700000000002</v>
      </c>
      <c r="BE1101" s="556">
        <f>-BE879</f>
        <v>50.029000000000003</v>
      </c>
      <c r="BF1101" s="556">
        <f>-BF879</f>
        <v>42.850999999999992</v>
      </c>
      <c r="BG1101" s="556">
        <f t="shared" ref="BG1101:BV1101" si="1473">-BG879</f>
        <v>41.950000000000017</v>
      </c>
      <c r="BH1101" s="556">
        <f t="shared" si="1473"/>
        <v>53.627999999999986</v>
      </c>
      <c r="BI1101" s="555">
        <f t="shared" si="1473"/>
        <v>188.458</v>
      </c>
      <c r="BJ1101" s="1355">
        <f>-BJ879</f>
        <v>39.512999999999998</v>
      </c>
      <c r="BK1101" s="209">
        <f t="shared" si="1473"/>
        <v>50</v>
      </c>
      <c r="BL1101" s="209">
        <f t="shared" si="1473"/>
        <v>65</v>
      </c>
      <c r="BM1101" s="209">
        <f t="shared" si="1473"/>
        <v>70.5</v>
      </c>
      <c r="BN1101" s="208">
        <f t="shared" si="1473"/>
        <v>225.01300000000001</v>
      </c>
      <c r="BO1101" s="209">
        <f t="shared" si="1473"/>
        <v>80</v>
      </c>
      <c r="BP1101" s="209">
        <f t="shared" si="1473"/>
        <v>90</v>
      </c>
      <c r="BQ1101" s="209">
        <f t="shared" si="1473"/>
        <v>95</v>
      </c>
      <c r="BR1101" s="209">
        <f t="shared" si="1473"/>
        <v>110</v>
      </c>
      <c r="BS1101" s="208">
        <f t="shared" si="1473"/>
        <v>375</v>
      </c>
      <c r="BT1101" s="208">
        <f t="shared" si="1473"/>
        <v>400</v>
      </c>
      <c r="BU1101" s="208">
        <f t="shared" si="1473"/>
        <v>400</v>
      </c>
      <c r="BV1101" s="208">
        <f t="shared" si="1473"/>
        <v>400</v>
      </c>
      <c r="BW1101" s="197"/>
    </row>
    <row r="1102" spans="1:75" s="162" customFormat="1" ht="14.25" x14ac:dyDescent="0.45">
      <c r="A1102" s="1362" t="s">
        <v>1466</v>
      </c>
      <c r="B1102" s="660"/>
      <c r="C1102" s="172"/>
      <c r="D1102" s="172"/>
      <c r="E1102" s="172"/>
      <c r="F1102" s="172"/>
      <c r="G1102" s="175"/>
      <c r="H1102" s="175"/>
      <c r="I1102" s="175"/>
      <c r="J1102" s="175"/>
      <c r="K1102" s="172"/>
      <c r="L1102" s="175"/>
      <c r="M1102" s="175"/>
      <c r="N1102" s="175"/>
      <c r="O1102" s="175"/>
      <c r="P1102" s="172"/>
      <c r="Q1102" s="175"/>
      <c r="R1102" s="175"/>
      <c r="S1102" s="175"/>
      <c r="T1102" s="175"/>
      <c r="U1102" s="172"/>
      <c r="V1102" s="175"/>
      <c r="W1102" s="175"/>
      <c r="X1102" s="175"/>
      <c r="Y1102" s="175"/>
      <c r="Z1102" s="172"/>
      <c r="AA1102" s="175"/>
      <c r="AB1102" s="175"/>
      <c r="AC1102" s="175"/>
      <c r="AD1102" s="175"/>
      <c r="AE1102" s="172"/>
      <c r="AF1102" s="175"/>
      <c r="AG1102" s="175"/>
      <c r="AH1102" s="175"/>
      <c r="AI1102" s="175"/>
      <c r="AJ1102" s="172"/>
      <c r="AK1102" s="175"/>
      <c r="AL1102" s="175"/>
      <c r="AM1102" s="175"/>
      <c r="AN1102" s="175"/>
      <c r="AO1102" s="172"/>
      <c r="AP1102" s="175"/>
      <c r="AQ1102" s="175"/>
      <c r="AR1102" s="175"/>
      <c r="AS1102" s="175"/>
      <c r="AT1102" s="172"/>
      <c r="AU1102" s="175"/>
      <c r="AV1102" s="175"/>
      <c r="AW1102" s="175"/>
      <c r="AX1102" s="175"/>
      <c r="AY1102" s="172"/>
      <c r="AZ1102" s="175"/>
      <c r="BA1102" s="175"/>
      <c r="BB1102" s="175"/>
      <c r="BC1102" s="175"/>
      <c r="BD1102" s="172"/>
      <c r="BE1102" s="175"/>
      <c r="BF1102" s="175"/>
      <c r="BG1102" s="175"/>
      <c r="BH1102" s="175"/>
      <c r="BI1102" s="172"/>
      <c r="BJ1102" s="1111"/>
      <c r="BK1102" s="175"/>
      <c r="BL1102" s="175"/>
      <c r="BM1102" s="175"/>
      <c r="BN1102" s="172"/>
      <c r="BO1102" s="175"/>
      <c r="BP1102" s="175"/>
      <c r="BQ1102" s="175"/>
      <c r="BR1102" s="175"/>
      <c r="BS1102" s="172"/>
      <c r="BT1102" s="172"/>
      <c r="BU1102" s="172"/>
      <c r="BV1102" s="172"/>
      <c r="BW1102" s="161"/>
    </row>
    <row r="1103" spans="1:75" s="162" customFormat="1" ht="14.25" x14ac:dyDescent="0.45">
      <c r="A1103" s="526"/>
      <c r="B1103" s="734"/>
      <c r="C1103" s="186"/>
      <c r="D1103" s="186"/>
      <c r="E1103" s="186"/>
      <c r="F1103" s="186"/>
      <c r="G1103" s="187"/>
      <c r="H1103" s="187"/>
      <c r="I1103" s="187"/>
      <c r="J1103" s="187"/>
      <c r="K1103" s="186"/>
      <c r="L1103" s="187"/>
      <c r="M1103" s="187"/>
      <c r="N1103" s="187"/>
      <c r="O1103" s="187"/>
      <c r="P1103" s="186"/>
      <c r="Q1103" s="187"/>
      <c r="R1103" s="187"/>
      <c r="S1103" s="187"/>
      <c r="T1103" s="187"/>
      <c r="U1103" s="186"/>
      <c r="V1103" s="187"/>
      <c r="W1103" s="187"/>
      <c r="X1103" s="187"/>
      <c r="Y1103" s="187"/>
      <c r="Z1103" s="186"/>
      <c r="AA1103" s="187"/>
      <c r="AB1103" s="187"/>
      <c r="AC1103" s="187"/>
      <c r="AD1103" s="187"/>
      <c r="AE1103" s="186"/>
      <c r="AF1103" s="187"/>
      <c r="AG1103" s="187"/>
      <c r="AH1103" s="187"/>
      <c r="AI1103" s="187"/>
      <c r="AJ1103" s="186"/>
      <c r="AK1103" s="187"/>
      <c r="AL1103" s="187"/>
      <c r="AM1103" s="187"/>
      <c r="AN1103" s="187"/>
      <c r="AO1103" s="186"/>
      <c r="AP1103" s="187"/>
      <c r="AQ1103" s="187"/>
      <c r="AR1103" s="187"/>
      <c r="AS1103" s="187"/>
      <c r="AT1103" s="186"/>
      <c r="AU1103" s="187"/>
      <c r="AV1103" s="187"/>
      <c r="AW1103" s="187"/>
      <c r="AX1103" s="187"/>
      <c r="AY1103" s="186"/>
      <c r="AZ1103" s="187"/>
      <c r="BA1103" s="187"/>
      <c r="BB1103" s="187"/>
      <c r="BC1103" s="187"/>
      <c r="BD1103" s="186"/>
      <c r="BE1103" s="187"/>
      <c r="BF1103" s="187"/>
      <c r="BG1103" s="187"/>
      <c r="BH1103" s="187"/>
      <c r="BI1103" s="186"/>
      <c r="BJ1103" s="1223"/>
      <c r="BK1103" s="187"/>
      <c r="BL1103" s="187"/>
      <c r="BM1103" s="187"/>
      <c r="BN1103" s="186"/>
      <c r="BO1103" s="187"/>
      <c r="BP1103" s="187"/>
      <c r="BQ1103" s="187"/>
      <c r="BR1103" s="187"/>
      <c r="BS1103" s="186"/>
      <c r="BT1103" s="186"/>
      <c r="BU1103" s="186"/>
      <c r="BV1103" s="186"/>
      <c r="BW1103" s="161"/>
    </row>
    <row r="1104" spans="1:75" s="198" customFormat="1" ht="14.25" x14ac:dyDescent="0.45">
      <c r="A1104" s="239" t="s">
        <v>1467</v>
      </c>
      <c r="B1104" s="239"/>
      <c r="C1104" s="239"/>
      <c r="D1104" s="239"/>
      <c r="E1104" s="239"/>
      <c r="F1104" s="239"/>
      <c r="G1104" s="239"/>
      <c r="H1104" s="239"/>
      <c r="I1104" s="239"/>
      <c r="J1104" s="239"/>
      <c r="K1104" s="239"/>
      <c r="L1104" s="239"/>
      <c r="M1104" s="239"/>
      <c r="N1104" s="239"/>
      <c r="O1104" s="239"/>
      <c r="P1104" s="239"/>
      <c r="Q1104" s="239"/>
      <c r="R1104" s="239"/>
      <c r="S1104" s="239"/>
      <c r="T1104" s="239"/>
      <c r="U1104" s="239"/>
      <c r="V1104" s="239"/>
      <c r="W1104" s="239"/>
      <c r="X1104" s="239"/>
      <c r="Y1104" s="239"/>
      <c r="Z1104" s="239"/>
      <c r="AA1104" s="239"/>
      <c r="AB1104" s="239"/>
      <c r="AC1104" s="239"/>
      <c r="AD1104" s="239"/>
      <c r="AE1104" s="239"/>
      <c r="AF1104" s="239"/>
      <c r="AG1104" s="239"/>
      <c r="AH1104" s="239"/>
      <c r="AI1104" s="239"/>
      <c r="AJ1104" s="239"/>
      <c r="AK1104" s="239"/>
      <c r="AL1104" s="239"/>
      <c r="AM1104" s="239"/>
      <c r="AN1104" s="239"/>
      <c r="AO1104" s="239"/>
      <c r="AP1104" s="239"/>
      <c r="AQ1104" s="239"/>
      <c r="AR1104" s="239"/>
      <c r="AS1104" s="239"/>
      <c r="AT1104" s="239"/>
      <c r="AU1104" s="239"/>
      <c r="AV1104" s="239"/>
      <c r="AW1104" s="239"/>
      <c r="AX1104" s="239"/>
      <c r="AY1104" s="239"/>
      <c r="AZ1104" s="239"/>
      <c r="BA1104" s="239"/>
      <c r="BB1104" s="239"/>
      <c r="BC1104" s="239"/>
      <c r="BD1104" s="239"/>
      <c r="BE1104" s="239"/>
      <c r="BF1104" s="239"/>
      <c r="BG1104" s="239"/>
      <c r="BH1104" s="239"/>
      <c r="BI1104" s="239"/>
      <c r="BJ1104" s="241"/>
      <c r="BK1104" s="239"/>
      <c r="BL1104" s="239"/>
      <c r="BM1104" s="239"/>
      <c r="BN1104" s="239"/>
      <c r="BO1104" s="239"/>
      <c r="BP1104" s="239"/>
      <c r="BQ1104" s="239"/>
      <c r="BR1104" s="239"/>
      <c r="BS1104" s="239"/>
      <c r="BT1104" s="239"/>
      <c r="BU1104" s="239"/>
      <c r="BV1104" s="239"/>
      <c r="BW1104" s="197"/>
    </row>
    <row r="1105" spans="1:75" s="198" customFormat="1" ht="14.25" x14ac:dyDescent="0.45">
      <c r="A1105" s="463" t="s">
        <v>1468</v>
      </c>
      <c r="B1105" s="522"/>
      <c r="C1105" s="397"/>
      <c r="D1105" s="397"/>
      <c r="E1105" s="397"/>
      <c r="F1105" s="397"/>
      <c r="G1105" s="295"/>
      <c r="H1105" s="295"/>
      <c r="I1105" s="295"/>
      <c r="J1105" s="295"/>
      <c r="K1105" s="397"/>
      <c r="L1105" s="295"/>
      <c r="M1105" s="295"/>
      <c r="N1105" s="295"/>
      <c r="O1105" s="295"/>
      <c r="P1105" s="397"/>
      <c r="Q1105" s="295"/>
      <c r="R1105" s="295"/>
      <c r="S1105" s="295"/>
      <c r="T1105" s="295"/>
      <c r="U1105" s="397"/>
      <c r="V1105" s="295"/>
      <c r="W1105" s="295"/>
      <c r="X1105" s="295"/>
      <c r="Y1105" s="295"/>
      <c r="Z1105" s="397"/>
      <c r="AA1105" s="295"/>
      <c r="AB1105" s="295"/>
      <c r="AC1105" s="295"/>
      <c r="AD1105" s="295"/>
      <c r="AE1105" s="397"/>
      <c r="AF1105" s="295"/>
      <c r="AG1105" s="295"/>
      <c r="AH1105" s="295"/>
      <c r="AI1105" s="295"/>
      <c r="AJ1105" s="397"/>
      <c r="AK1105" s="295"/>
      <c r="AL1105" s="295"/>
      <c r="AM1105" s="295"/>
      <c r="AN1105" s="295"/>
      <c r="AO1105" s="397"/>
      <c r="AP1105" s="295"/>
      <c r="AQ1105" s="295"/>
      <c r="AR1105" s="295"/>
      <c r="AS1105" s="295"/>
      <c r="AT1105" s="397"/>
      <c r="AU1105" s="295"/>
      <c r="AV1105" s="295"/>
      <c r="AW1105" s="295"/>
      <c r="AX1105" s="295"/>
      <c r="AY1105" s="397"/>
      <c r="AZ1105" s="295"/>
      <c r="BA1105" s="295"/>
      <c r="BB1105" s="295"/>
      <c r="BC1105" s="295"/>
      <c r="BD1105" s="397"/>
      <c r="BE1105" s="295"/>
      <c r="BF1105" s="295"/>
      <c r="BG1105" s="295"/>
      <c r="BH1105" s="295"/>
      <c r="BI1105" s="397"/>
      <c r="BJ1105" s="1030"/>
      <c r="BK1105" s="295"/>
      <c r="BL1105" s="295"/>
      <c r="BM1105" s="295"/>
      <c r="BN1105" s="397"/>
      <c r="BO1105" s="295"/>
      <c r="BP1105" s="295"/>
      <c r="BQ1105" s="295"/>
      <c r="BR1105" s="295"/>
      <c r="BS1105" s="397"/>
      <c r="BT1105" s="397"/>
      <c r="BU1105" s="397"/>
      <c r="BV1105" s="397"/>
      <c r="BW1105" s="197"/>
    </row>
    <row r="1106" spans="1:75" s="123" customFormat="1" x14ac:dyDescent="0.5">
      <c r="A1106" s="464" t="s">
        <v>1469</v>
      </c>
      <c r="B1106" s="513"/>
      <c r="C1106" s="403">
        <v>513.94299999999998</v>
      </c>
      <c r="D1106" s="403">
        <v>628.40300000000002</v>
      </c>
      <c r="E1106" s="403">
        <v>502.75700000000001</v>
      </c>
      <c r="F1106" s="403">
        <v>424.55500000000001</v>
      </c>
      <c r="G1106" s="302">
        <v>252.536</v>
      </c>
      <c r="H1106" s="302">
        <v>205.364</v>
      </c>
      <c r="I1106" s="302">
        <v>128.75899999999999</v>
      </c>
      <c r="J1106" s="122">
        <f t="shared" ref="J1106:J1113" si="1474">K1106</f>
        <v>330.12099999999998</v>
      </c>
      <c r="K1106" s="403">
        <v>330.12099999999998</v>
      </c>
      <c r="L1106" s="302">
        <v>112.87</v>
      </c>
      <c r="M1106" s="302">
        <v>70.573999999999998</v>
      </c>
      <c r="N1106" s="302">
        <v>107.703</v>
      </c>
      <c r="O1106" s="122">
        <f t="shared" ref="O1106:O1113" si="1475">P1106</f>
        <v>222.92699999999999</v>
      </c>
      <c r="P1106" s="403">
        <v>222.92699999999999</v>
      </c>
      <c r="Q1106" s="302">
        <v>78.850999999999999</v>
      </c>
      <c r="R1106" s="302">
        <v>119.776</v>
      </c>
      <c r="S1106" s="302">
        <v>72.263999999999996</v>
      </c>
      <c r="T1106" s="122">
        <f t="shared" ref="T1106:T1113" si="1476">U1106</f>
        <v>193.64699999999999</v>
      </c>
      <c r="U1106" s="403">
        <v>193.64699999999999</v>
      </c>
      <c r="V1106" s="302">
        <v>99.216999999999999</v>
      </c>
      <c r="W1106" s="302">
        <v>111.122</v>
      </c>
      <c r="X1106" s="302">
        <v>75.381</v>
      </c>
      <c r="Y1106" s="122">
        <f t="shared" ref="Y1106:Y1113" si="1477">Z1106</f>
        <v>213.71299999999999</v>
      </c>
      <c r="Z1106" s="403">
        <v>213.71299999999999</v>
      </c>
      <c r="AA1106" s="302">
        <v>93.974999999999994</v>
      </c>
      <c r="AB1106" s="302">
        <v>103.10899999999999</v>
      </c>
      <c r="AC1106" s="302">
        <v>90.778999999999996</v>
      </c>
      <c r="AD1106" s="122">
        <f t="shared" ref="AD1106:AD1113" si="1478">AE1106</f>
        <v>390.13600000000002</v>
      </c>
      <c r="AE1106" s="403">
        <v>390.13600000000002</v>
      </c>
      <c r="AF1106" s="302">
        <v>290.24400000000003</v>
      </c>
      <c r="AG1106" s="302">
        <v>174.58</v>
      </c>
      <c r="AH1106" s="302">
        <v>164.41399999999999</v>
      </c>
      <c r="AI1106" s="122">
        <f t="shared" ref="AI1106:AI1113" si="1479">AJ1106</f>
        <v>338.95400000000001</v>
      </c>
      <c r="AJ1106" s="403">
        <v>338.95400000000001</v>
      </c>
      <c r="AK1106" s="302">
        <v>107.68300000000001</v>
      </c>
      <c r="AL1106" s="302">
        <v>120.467</v>
      </c>
      <c r="AM1106" s="302">
        <v>155.02500000000001</v>
      </c>
      <c r="AN1106" s="122">
        <f t="shared" ref="AN1106:AN1113" si="1480">AO1106</f>
        <v>432.16199999999998</v>
      </c>
      <c r="AO1106" s="403">
        <v>432.16199999999998</v>
      </c>
      <c r="AP1106" s="302">
        <v>861.00199999999995</v>
      </c>
      <c r="AQ1106" s="302">
        <v>947.76</v>
      </c>
      <c r="AR1106" s="302">
        <v>773.17</v>
      </c>
      <c r="AS1106" s="122">
        <f t="shared" ref="AS1106:AS1113" si="1481">AT1106</f>
        <v>1200.337</v>
      </c>
      <c r="AT1106" s="403">
        <v>1200.337</v>
      </c>
      <c r="AU1106" s="302">
        <v>639.66999999999996</v>
      </c>
      <c r="AV1106" s="302">
        <v>655.21100000000001</v>
      </c>
      <c r="AW1106" s="302">
        <v>656.89800000000002</v>
      </c>
      <c r="AX1106" s="122">
        <f t="shared" ref="AX1106:AX1113" si="1482">AY1106</f>
        <v>850.33799999999997</v>
      </c>
      <c r="AY1106" s="403">
        <v>850.33799999999997</v>
      </c>
      <c r="AZ1106" s="302">
        <v>324.83499999999998</v>
      </c>
      <c r="BA1106" s="302">
        <v>124.944</v>
      </c>
      <c r="BB1106" s="302">
        <v>113.05800000000001</v>
      </c>
      <c r="BC1106" s="122">
        <f t="shared" ref="BC1106:BC1113" si="1483">BD1106</f>
        <v>367.34399999999999</v>
      </c>
      <c r="BD1106" s="403">
        <v>367.34399999999999</v>
      </c>
      <c r="BE1106" s="302">
        <v>297.291</v>
      </c>
      <c r="BF1106" s="302">
        <v>514.43499999999995</v>
      </c>
      <c r="BG1106" s="302">
        <v>698.80700000000002</v>
      </c>
      <c r="BH1106" s="122">
        <f t="shared" ref="BH1106:BH1113" si="1484">BI1106</f>
        <v>1262.0070000000001</v>
      </c>
      <c r="BI1106" s="403">
        <v>1262.0070000000001</v>
      </c>
      <c r="BJ1106" s="1207">
        <v>1254.7860000000001</v>
      </c>
      <c r="BK1106" s="118">
        <f ca="1">BJ1106+BK1057</f>
        <v>1290.5491943327188</v>
      </c>
      <c r="BL1106" s="118">
        <f ca="1">BK1106+BL1057</f>
        <v>1507.9496655329394</v>
      </c>
      <c r="BM1106" s="118">
        <f ca="1">BL1106+BM1057</f>
        <v>2029.8849885548129</v>
      </c>
      <c r="BN1106" s="401">
        <f t="shared" ref="BN1106:BR1113" ca="1" si="1485">BM1106</f>
        <v>2029.8849885548129</v>
      </c>
      <c r="BO1106" s="118">
        <f ca="1">BN1106+BO1057</f>
        <v>2011.1735295555388</v>
      </c>
      <c r="BP1106" s="118">
        <f ca="1">BO1106+BP1057</f>
        <v>2027.4268676649669</v>
      </c>
      <c r="BQ1106" s="118">
        <f ca="1">BP1106+BQ1057</f>
        <v>2256.9964367138609</v>
      </c>
      <c r="BR1106" s="118">
        <f ca="1">BQ1106+BR1057</f>
        <v>2753.5891509757662</v>
      </c>
      <c r="BS1106" s="401">
        <f t="shared" ref="BS1106:BV1113" ca="1" si="1486">BR1106</f>
        <v>2753.5891509757662</v>
      </c>
      <c r="BT1106" s="401">
        <f ca="1">BS1106+BT1057</f>
        <v>3568.5300621953861</v>
      </c>
      <c r="BU1106" s="401">
        <f ca="1">BT1106+BU1057</f>
        <v>4526.13892939174</v>
      </c>
      <c r="BV1106" s="401">
        <f ca="1">BU1106+BV1057</f>
        <v>5628.4990877326973</v>
      </c>
      <c r="BW1106" s="122"/>
    </row>
    <row r="1107" spans="1:75" s="123" customFormat="1" x14ac:dyDescent="0.5">
      <c r="A1107" s="464" t="s">
        <v>1475</v>
      </c>
      <c r="B1107" s="513"/>
      <c r="C1107" s="403">
        <v>0</v>
      </c>
      <c r="D1107" s="403">
        <v>12.512</v>
      </c>
      <c r="E1107" s="403">
        <v>14.731999999999999</v>
      </c>
      <c r="F1107" s="403">
        <v>16.055</v>
      </c>
      <c r="G1107" s="302">
        <v>16.061</v>
      </c>
      <c r="H1107" s="302">
        <v>16.966999999999999</v>
      </c>
      <c r="I1107" s="302">
        <v>14.282999999999999</v>
      </c>
      <c r="J1107" s="122">
        <f t="shared" si="1474"/>
        <v>14.289</v>
      </c>
      <c r="K1107" s="403">
        <v>14.289</v>
      </c>
      <c r="L1107" s="302">
        <v>14.295</v>
      </c>
      <c r="M1107" s="302">
        <v>0</v>
      </c>
      <c r="N1107" s="302">
        <v>0</v>
      </c>
      <c r="O1107" s="122">
        <f t="shared" si="1475"/>
        <v>0</v>
      </c>
      <c r="P1107" s="401"/>
      <c r="Q1107" s="302">
        <v>0</v>
      </c>
      <c r="R1107" s="118"/>
      <c r="S1107" s="118"/>
      <c r="T1107" s="122">
        <f t="shared" si="1476"/>
        <v>0</v>
      </c>
      <c r="U1107" s="401"/>
      <c r="V1107" s="118"/>
      <c r="W1107" s="118"/>
      <c r="X1107" s="118"/>
      <c r="Y1107" s="122">
        <f t="shared" si="1477"/>
        <v>0</v>
      </c>
      <c r="Z1107" s="401"/>
      <c r="AA1107" s="118"/>
      <c r="AB1107" s="118"/>
      <c r="AC1107" s="118"/>
      <c r="AD1107" s="122">
        <f t="shared" si="1478"/>
        <v>0</v>
      </c>
      <c r="AE1107" s="401"/>
      <c r="AF1107" s="118"/>
      <c r="AG1107" s="118"/>
      <c r="AH1107" s="118"/>
      <c r="AI1107" s="122">
        <f t="shared" si="1479"/>
        <v>0</v>
      </c>
      <c r="AJ1107" s="401"/>
      <c r="AK1107" s="118"/>
      <c r="AL1107" s="118"/>
      <c r="AM1107" s="118"/>
      <c r="AN1107" s="122">
        <f t="shared" si="1480"/>
        <v>0</v>
      </c>
      <c r="AO1107" s="401"/>
      <c r="AP1107" s="118"/>
      <c r="AQ1107" s="118"/>
      <c r="AR1107" s="118"/>
      <c r="AS1107" s="122">
        <f t="shared" si="1481"/>
        <v>0</v>
      </c>
      <c r="AT1107" s="401"/>
      <c r="AU1107" s="118"/>
      <c r="AV1107" s="118"/>
      <c r="AW1107" s="118"/>
      <c r="AX1107" s="122">
        <f t="shared" si="1482"/>
        <v>0</v>
      </c>
      <c r="AY1107" s="401"/>
      <c r="AZ1107" s="118"/>
      <c r="BA1107" s="118"/>
      <c r="BB1107" s="118"/>
      <c r="BC1107" s="122">
        <f t="shared" si="1483"/>
        <v>0</v>
      </c>
      <c r="BD1107" s="401"/>
      <c r="BE1107" s="118"/>
      <c r="BF1107" s="118"/>
      <c r="BG1107" s="118"/>
      <c r="BH1107" s="122">
        <f t="shared" si="1484"/>
        <v>0</v>
      </c>
      <c r="BI1107" s="401"/>
      <c r="BJ1107" s="971"/>
      <c r="BK1107" s="118">
        <f>BJ1107</f>
        <v>0</v>
      </c>
      <c r="BL1107" s="118">
        <f>BK1107</f>
        <v>0</v>
      </c>
      <c r="BM1107" s="118">
        <f>BL1107</f>
        <v>0</v>
      </c>
      <c r="BN1107" s="401">
        <f t="shared" si="1485"/>
        <v>0</v>
      </c>
      <c r="BO1107" s="118">
        <f>BN1107</f>
        <v>0</v>
      </c>
      <c r="BP1107" s="118">
        <f>BO1107</f>
        <v>0</v>
      </c>
      <c r="BQ1107" s="118">
        <f>BP1107</f>
        <v>0</v>
      </c>
      <c r="BR1107" s="118">
        <f>BQ1107</f>
        <v>0</v>
      </c>
      <c r="BS1107" s="401">
        <f t="shared" si="1486"/>
        <v>0</v>
      </c>
      <c r="BT1107" s="401">
        <f>BS1107</f>
        <v>0</v>
      </c>
      <c r="BU1107" s="401">
        <f>BT1107</f>
        <v>0</v>
      </c>
      <c r="BV1107" s="401">
        <f>BU1107</f>
        <v>0</v>
      </c>
      <c r="BW1107" s="122"/>
    </row>
    <row r="1108" spans="1:75" s="123" customFormat="1" x14ac:dyDescent="0.5">
      <c r="A1108" s="464" t="s">
        <v>2149</v>
      </c>
      <c r="B1108" s="513"/>
      <c r="C1108" s="403">
        <v>44.186999999999998</v>
      </c>
      <c r="D1108" s="403">
        <v>41.564999999999998</v>
      </c>
      <c r="E1108" s="403">
        <v>45.960999999999999</v>
      </c>
      <c r="F1108" s="403">
        <v>62.984999999999999</v>
      </c>
      <c r="G1108" s="302">
        <v>60.667000000000002</v>
      </c>
      <c r="H1108" s="302">
        <v>62.808</v>
      </c>
      <c r="I1108" s="302">
        <v>74.885999999999996</v>
      </c>
      <c r="J1108" s="122">
        <f t="shared" si="1474"/>
        <v>60.33</v>
      </c>
      <c r="K1108" s="403">
        <v>60.33</v>
      </c>
      <c r="L1108" s="302">
        <v>54.725000000000001</v>
      </c>
      <c r="M1108" s="302">
        <v>69.653000000000006</v>
      </c>
      <c r="N1108" s="302">
        <v>63.664000000000001</v>
      </c>
      <c r="O1108" s="122">
        <f t="shared" si="1475"/>
        <v>67.465000000000003</v>
      </c>
      <c r="P1108" s="403">
        <v>67.465000000000003</v>
      </c>
      <c r="Q1108" s="302">
        <v>64.72</v>
      </c>
      <c r="R1108" s="302">
        <v>81.753</v>
      </c>
      <c r="S1108" s="302">
        <v>88.534999999999997</v>
      </c>
      <c r="T1108" s="122">
        <f t="shared" si="1476"/>
        <v>79.304000000000002</v>
      </c>
      <c r="U1108" s="403">
        <v>79.304000000000002</v>
      </c>
      <c r="V1108" s="302">
        <v>75.364000000000004</v>
      </c>
      <c r="W1108" s="302">
        <v>98.052999999999997</v>
      </c>
      <c r="X1108" s="302">
        <v>96.385999999999996</v>
      </c>
      <c r="Y1108" s="122">
        <f t="shared" si="1477"/>
        <v>88.802999999999997</v>
      </c>
      <c r="Z1108" s="403">
        <v>88.802999999999997</v>
      </c>
      <c r="AA1108" s="302">
        <v>63.981999999999999</v>
      </c>
      <c r="AB1108" s="302">
        <v>78.734999999999999</v>
      </c>
      <c r="AC1108" s="302">
        <v>92.281999999999996</v>
      </c>
      <c r="AD1108" s="122">
        <f t="shared" si="1478"/>
        <v>90.119</v>
      </c>
      <c r="AE1108" s="403">
        <v>90.119</v>
      </c>
      <c r="AF1108" s="302">
        <v>102.63</v>
      </c>
      <c r="AG1108" s="302">
        <v>106.322</v>
      </c>
      <c r="AH1108" s="302">
        <v>113.58199999999999</v>
      </c>
      <c r="AI1108" s="122">
        <f t="shared" si="1479"/>
        <v>107.102</v>
      </c>
      <c r="AJ1108" s="403">
        <v>107.102</v>
      </c>
      <c r="AK1108" s="302">
        <v>102.19499999999999</v>
      </c>
      <c r="AL1108" s="302">
        <v>111.114</v>
      </c>
      <c r="AM1108" s="302">
        <v>110.131</v>
      </c>
      <c r="AN1108" s="122">
        <f t="shared" si="1480"/>
        <v>111.73699999999999</v>
      </c>
      <c r="AO1108" s="403">
        <v>111.73699999999999</v>
      </c>
      <c r="AP1108" s="302">
        <v>104.82899999999999</v>
      </c>
      <c r="AQ1108" s="302">
        <v>128.73699999999999</v>
      </c>
      <c r="AR1108" s="302">
        <v>129.78200000000001</v>
      </c>
      <c r="AS1108" s="122">
        <f t="shared" si="1481"/>
        <v>143.72800000000001</v>
      </c>
      <c r="AT1108" s="403">
        <v>143.72800000000001</v>
      </c>
      <c r="AU1108" s="302">
        <v>142.459</v>
      </c>
      <c r="AV1108" s="302">
        <v>141.81399999999999</v>
      </c>
      <c r="AW1108" s="302">
        <v>139.511</v>
      </c>
      <c r="AX1108" s="122">
        <f t="shared" si="1482"/>
        <v>131.68299999999999</v>
      </c>
      <c r="AY1108" s="403">
        <v>131.68299999999999</v>
      </c>
      <c r="AZ1108" s="302">
        <v>122.946</v>
      </c>
      <c r="BA1108" s="302">
        <v>133.5</v>
      </c>
      <c r="BB1108" s="302">
        <v>125.842</v>
      </c>
      <c r="BC1108" s="122">
        <f t="shared" si="1483"/>
        <v>115.685</v>
      </c>
      <c r="BD1108" s="403">
        <v>115.685</v>
      </c>
      <c r="BE1108" s="302">
        <v>109.203</v>
      </c>
      <c r="BF1108" s="302">
        <v>117.045</v>
      </c>
      <c r="BG1108" s="302">
        <v>124.238</v>
      </c>
      <c r="BH1108" s="122">
        <f t="shared" si="1484"/>
        <v>122.914</v>
      </c>
      <c r="BI1108" s="403">
        <v>122.914</v>
      </c>
      <c r="BJ1108" s="1207">
        <v>115.215</v>
      </c>
      <c r="BK1108" s="118">
        <f>(BK$749+BJ$749+BH$749+BG$749)*BK1068</f>
        <v>108.23638851675376</v>
      </c>
      <c r="BL1108" s="118">
        <f>(BL$749+BK$749+BJ$749+BH$749)*BL1068</f>
        <v>119.44897099394024</v>
      </c>
      <c r="BM1108" s="118">
        <f>(BM$749+BL$749+BK$749+BJ$749)*BM1068</f>
        <v>122.49251966776696</v>
      </c>
      <c r="BN1108" s="401">
        <f t="shared" si="1485"/>
        <v>122.49251966776696</v>
      </c>
      <c r="BO1108" s="118">
        <f>(BO$749+BM$749+BL$749+BK$749)*BO1068</f>
        <v>117.41775210267637</v>
      </c>
      <c r="BP1108" s="118">
        <f>(BP$749+BO$749+BM$749+BL$749)*BP1068</f>
        <v>111.70142041566189</v>
      </c>
      <c r="BQ1108" s="118">
        <f>(BQ$749+BP$749+BO$749+BM$749)*BQ1068</f>
        <v>124.82905661880471</v>
      </c>
      <c r="BR1108" s="118">
        <f>(BR$749+BQ$749+BP$749+BO$749)*BR1068</f>
        <v>125.55382525427815</v>
      </c>
      <c r="BS1108" s="401">
        <f t="shared" si="1486"/>
        <v>125.55382525427815</v>
      </c>
      <c r="BT1108" s="401">
        <f>BT749*BT1068</f>
        <v>133.67632554970442</v>
      </c>
      <c r="BU1108" s="401">
        <f>BU749*BU1068</f>
        <v>143.28141598939695</v>
      </c>
      <c r="BV1108" s="401">
        <f>BV749*BV1068</f>
        <v>153.59802620165311</v>
      </c>
      <c r="BW1108" s="122"/>
    </row>
    <row r="1109" spans="1:75" s="123" customFormat="1" x14ac:dyDescent="0.5">
      <c r="A1109" s="464" t="s">
        <v>2150</v>
      </c>
      <c r="B1109" s="513"/>
      <c r="C1109" s="403">
        <v>466.12400000000002</v>
      </c>
      <c r="D1109" s="403">
        <v>513.38099999999997</v>
      </c>
      <c r="E1109" s="403">
        <v>553.46100000000001</v>
      </c>
      <c r="F1109" s="403">
        <v>640.024</v>
      </c>
      <c r="G1109" s="302">
        <v>661.54100000000005</v>
      </c>
      <c r="H1109" s="302">
        <v>736.87099999999998</v>
      </c>
      <c r="I1109" s="302">
        <v>898.625</v>
      </c>
      <c r="J1109" s="122">
        <f t="shared" si="1474"/>
        <v>813.16</v>
      </c>
      <c r="K1109" s="403">
        <v>813.16</v>
      </c>
      <c r="L1109" s="302">
        <v>850.41600000000005</v>
      </c>
      <c r="M1109" s="302">
        <v>894.86</v>
      </c>
      <c r="N1109" s="302">
        <v>979.71900000000005</v>
      </c>
      <c r="O1109" s="122">
        <f t="shared" si="1475"/>
        <v>887.70100000000002</v>
      </c>
      <c r="P1109" s="403">
        <v>887.70100000000002</v>
      </c>
      <c r="Q1109" s="302">
        <v>942.8</v>
      </c>
      <c r="R1109" s="302">
        <v>1031.472</v>
      </c>
      <c r="S1109" s="302">
        <v>1102.3489999999999</v>
      </c>
      <c r="T1109" s="122">
        <f t="shared" si="1476"/>
        <v>978.13800000000003</v>
      </c>
      <c r="U1109" s="403">
        <v>978.13800000000003</v>
      </c>
      <c r="V1109" s="302">
        <v>944.63199999999995</v>
      </c>
      <c r="W1109" s="302">
        <v>962.94299999999998</v>
      </c>
      <c r="X1109" s="302">
        <v>1063.7470000000001</v>
      </c>
      <c r="Y1109" s="122">
        <f t="shared" si="1477"/>
        <v>977.505</v>
      </c>
      <c r="Z1109" s="403">
        <v>977.505</v>
      </c>
      <c r="AA1109" s="302">
        <v>1037.107</v>
      </c>
      <c r="AB1109" s="302">
        <v>1072.9760000000001</v>
      </c>
      <c r="AC1109" s="302">
        <v>1176.941</v>
      </c>
      <c r="AD1109" s="122">
        <f t="shared" si="1478"/>
        <v>1061.5930000000001</v>
      </c>
      <c r="AE1109" s="403">
        <v>1061.5930000000001</v>
      </c>
      <c r="AF1109" s="302">
        <v>1052.8920000000001</v>
      </c>
      <c r="AG1109" s="302">
        <v>1099.8879999999999</v>
      </c>
      <c r="AH1109" s="302">
        <v>1197.5540000000001</v>
      </c>
      <c r="AI1109" s="122">
        <f t="shared" si="1479"/>
        <v>1124.992</v>
      </c>
      <c r="AJ1109" s="403">
        <v>1124.992</v>
      </c>
      <c r="AK1109" s="302">
        <v>1155.4269999999999</v>
      </c>
      <c r="AL1109" s="302">
        <v>1187.7280000000001</v>
      </c>
      <c r="AM1109" s="302">
        <v>1258.5409999999999</v>
      </c>
      <c r="AN1109" s="122">
        <f t="shared" si="1480"/>
        <v>1100.5440000000001</v>
      </c>
      <c r="AO1109" s="403">
        <v>1100.5440000000001</v>
      </c>
      <c r="AP1109" s="302">
        <v>1070.681</v>
      </c>
      <c r="AQ1109" s="302">
        <v>1042.3399999999999</v>
      </c>
      <c r="AR1109" s="302">
        <v>1125.4749999999999</v>
      </c>
      <c r="AS1109" s="122">
        <f t="shared" si="1481"/>
        <v>1006.299</v>
      </c>
      <c r="AT1109" s="403">
        <v>1006.299</v>
      </c>
      <c r="AU1109" s="302">
        <v>1087.528</v>
      </c>
      <c r="AV1109" s="302">
        <v>1170.5609999999999</v>
      </c>
      <c r="AW1109" s="302">
        <v>1272.028</v>
      </c>
      <c r="AX1109" s="122">
        <f t="shared" si="1482"/>
        <v>1246.3720000000001</v>
      </c>
      <c r="AY1109" s="403">
        <v>1246.3720000000001</v>
      </c>
      <c r="AZ1109" s="302">
        <v>1396.135</v>
      </c>
      <c r="BA1109" s="302">
        <v>1542.4280000000001</v>
      </c>
      <c r="BB1109" s="302">
        <v>1687.895</v>
      </c>
      <c r="BC1109" s="122">
        <f t="shared" si="1483"/>
        <v>1456.123</v>
      </c>
      <c r="BD1109" s="403">
        <v>1456.123</v>
      </c>
      <c r="BE1109" s="302">
        <v>1401.616</v>
      </c>
      <c r="BF1109" s="302">
        <v>1300.838</v>
      </c>
      <c r="BG1109" s="302">
        <v>1396.864</v>
      </c>
      <c r="BH1109" s="122">
        <f t="shared" si="1484"/>
        <v>1246.3689999999999</v>
      </c>
      <c r="BI1109" s="403">
        <v>1246.3689999999999</v>
      </c>
      <c r="BJ1109" s="1207">
        <v>1218.4380000000001</v>
      </c>
      <c r="BK1109" s="118">
        <f>(BK$749+BJ$749+BH$749+BG$749)*BK1069</f>
        <v>1202.9391017587843</v>
      </c>
      <c r="BL1109" s="118">
        <f>(BL$749+BK$749+BJ$749+BH$749)*BL1069</f>
        <v>1343.0187818419433</v>
      </c>
      <c r="BM1109" s="118">
        <f>(BM$749+BL$749+BK$749+BJ$749)*BM1069</f>
        <v>1242.0951172835887</v>
      </c>
      <c r="BN1109" s="401">
        <f t="shared" si="1485"/>
        <v>1242.0951172835887</v>
      </c>
      <c r="BO1109" s="118">
        <f>(BO$749+BM$749+BL$749+BK$749)*BO1069</f>
        <v>1241.7328562815676</v>
      </c>
      <c r="BP1109" s="118">
        <f>(BP$749+BO$749+BM$749+BL$749)*BP1069</f>
        <v>1241.4494624346939</v>
      </c>
      <c r="BQ1109" s="118">
        <f>(BQ$749+BP$749+BO$749+BM$749)*BQ1069</f>
        <v>1403.5095167724048</v>
      </c>
      <c r="BR1109" s="118">
        <f>(BR$749+BQ$749+BP$749+BO$749)*BR1069</f>
        <v>1273.1372799546789</v>
      </c>
      <c r="BS1109" s="401">
        <f t="shared" si="1486"/>
        <v>1273.1372799546789</v>
      </c>
      <c r="BT1109" s="401">
        <f>BT749*BT1069</f>
        <v>1355.5008233322446</v>
      </c>
      <c r="BU1109" s="401">
        <f>BU749*BU1069</f>
        <v>1452.8980845574033</v>
      </c>
      <c r="BV1109" s="401">
        <f>BV749*BV1069</f>
        <v>1557.5102780718892</v>
      </c>
      <c r="BW1109" s="122"/>
    </row>
    <row r="1110" spans="1:75" s="123" customFormat="1" x14ac:dyDescent="0.5">
      <c r="A1110" s="464" t="s">
        <v>2117</v>
      </c>
      <c r="B1110" s="513"/>
      <c r="C1110" s="403">
        <v>32.777000000000001</v>
      </c>
      <c r="D1110" s="403">
        <v>36.825000000000003</v>
      </c>
      <c r="E1110" s="403">
        <v>34.293999999999997</v>
      </c>
      <c r="F1110" s="403">
        <v>37.231000000000002</v>
      </c>
      <c r="G1110" s="302">
        <v>36.406999999999996</v>
      </c>
      <c r="H1110" s="302">
        <v>37.265999999999998</v>
      </c>
      <c r="I1110" s="302">
        <v>40.613</v>
      </c>
      <c r="J1110" s="122">
        <f t="shared" si="1474"/>
        <v>33.555999999999997</v>
      </c>
      <c r="K1110" s="403">
        <v>33.555999999999997</v>
      </c>
      <c r="L1110" s="302">
        <v>34.985999999999997</v>
      </c>
      <c r="M1110" s="302">
        <v>39.072000000000003</v>
      </c>
      <c r="N1110" s="302">
        <v>39.116</v>
      </c>
      <c r="O1110" s="122">
        <f t="shared" si="1475"/>
        <v>33.942</v>
      </c>
      <c r="P1110" s="403">
        <v>33.942</v>
      </c>
      <c r="Q1110" s="302">
        <v>35.648000000000003</v>
      </c>
      <c r="R1110" s="302">
        <v>38.088000000000001</v>
      </c>
      <c r="S1110" s="302">
        <v>35.762</v>
      </c>
      <c r="T1110" s="122">
        <f t="shared" si="1476"/>
        <v>28.919</v>
      </c>
      <c r="U1110" s="403">
        <v>28.919</v>
      </c>
      <c r="V1110" s="302">
        <v>29.916</v>
      </c>
      <c r="W1110" s="302">
        <v>27.097000000000001</v>
      </c>
      <c r="X1110" s="302">
        <v>25.329000000000001</v>
      </c>
      <c r="Y1110" s="122">
        <f t="shared" si="1477"/>
        <v>23.625</v>
      </c>
      <c r="Z1110" s="403">
        <v>23.625</v>
      </c>
      <c r="AA1110" s="302">
        <v>23.065999999999999</v>
      </c>
      <c r="AB1110" s="302">
        <v>23.83</v>
      </c>
      <c r="AC1110" s="302">
        <v>22.992000000000001</v>
      </c>
      <c r="AD1110" s="122">
        <f t="shared" si="1478"/>
        <v>24.027999999999999</v>
      </c>
      <c r="AE1110" s="403">
        <v>24.027999999999999</v>
      </c>
      <c r="AF1110" s="118"/>
      <c r="AG1110" s="118"/>
      <c r="AH1110" s="118"/>
      <c r="AI1110" s="122">
        <f t="shared" si="1479"/>
        <v>0</v>
      </c>
      <c r="AJ1110" s="401"/>
      <c r="AK1110" s="118"/>
      <c r="AL1110" s="118"/>
      <c r="AM1110" s="118"/>
      <c r="AN1110" s="122">
        <f t="shared" si="1480"/>
        <v>0</v>
      </c>
      <c r="AO1110" s="401"/>
      <c r="AP1110" s="118"/>
      <c r="AQ1110" s="118"/>
      <c r="AR1110" s="118"/>
      <c r="AS1110" s="122">
        <f t="shared" si="1481"/>
        <v>0</v>
      </c>
      <c r="AT1110" s="401"/>
      <c r="AU1110" s="118"/>
      <c r="AV1110" s="118"/>
      <c r="AW1110" s="118"/>
      <c r="AX1110" s="122">
        <f t="shared" si="1482"/>
        <v>0</v>
      </c>
      <c r="AY1110" s="401"/>
      <c r="AZ1110" s="118"/>
      <c r="BA1110" s="118"/>
      <c r="BB1110" s="118"/>
      <c r="BC1110" s="122">
        <f t="shared" si="1483"/>
        <v>0</v>
      </c>
      <c r="BD1110" s="401"/>
      <c r="BE1110" s="118"/>
      <c r="BF1110" s="118"/>
      <c r="BG1110" s="118"/>
      <c r="BH1110" s="122">
        <f t="shared" si="1484"/>
        <v>0</v>
      </c>
      <c r="BI1110" s="401"/>
      <c r="BJ1110" s="971"/>
      <c r="BK1110" s="118">
        <f>BJ1110</f>
        <v>0</v>
      </c>
      <c r="BL1110" s="118">
        <f>BK1110</f>
        <v>0</v>
      </c>
      <c r="BM1110" s="118">
        <f>BL1110</f>
        <v>0</v>
      </c>
      <c r="BN1110" s="401">
        <f t="shared" si="1485"/>
        <v>0</v>
      </c>
      <c r="BO1110" s="118">
        <f>BN1110</f>
        <v>0</v>
      </c>
      <c r="BP1110" s="118">
        <f>BO1110</f>
        <v>0</v>
      </c>
      <c r="BQ1110" s="118">
        <f>BP1110</f>
        <v>0</v>
      </c>
      <c r="BR1110" s="118">
        <f>BQ1110</f>
        <v>0</v>
      </c>
      <c r="BS1110" s="401">
        <f t="shared" si="1486"/>
        <v>0</v>
      </c>
      <c r="BT1110" s="401">
        <f>BS1110</f>
        <v>0</v>
      </c>
      <c r="BU1110" s="401">
        <f>BT1110</f>
        <v>0</v>
      </c>
      <c r="BV1110" s="401">
        <f>BU1110</f>
        <v>0</v>
      </c>
      <c r="BW1110" s="122"/>
    </row>
    <row r="1111" spans="1:75" s="123" customFormat="1" x14ac:dyDescent="0.5">
      <c r="A1111" s="464" t="s">
        <v>2151</v>
      </c>
      <c r="B1111" s="513"/>
      <c r="C1111" s="403">
        <v>22.109000000000002</v>
      </c>
      <c r="D1111" s="403">
        <v>21.12</v>
      </c>
      <c r="E1111" s="403">
        <v>24.187999999999999</v>
      </c>
      <c r="F1111" s="403">
        <v>26.338999999999999</v>
      </c>
      <c r="G1111" s="302">
        <v>52.695</v>
      </c>
      <c r="H1111" s="302">
        <v>61.725000000000001</v>
      </c>
      <c r="I1111" s="302">
        <v>49.317</v>
      </c>
      <c r="J1111" s="122">
        <f t="shared" si="1474"/>
        <v>35.308999999999997</v>
      </c>
      <c r="K1111" s="403">
        <v>35.308999999999997</v>
      </c>
      <c r="L1111" s="302">
        <v>79.491</v>
      </c>
      <c r="M1111" s="302">
        <v>55.892000000000003</v>
      </c>
      <c r="N1111" s="302">
        <v>56.517000000000003</v>
      </c>
      <c r="O1111" s="122">
        <f t="shared" si="1475"/>
        <v>36.265000000000001</v>
      </c>
      <c r="P1111" s="403">
        <v>36.265000000000001</v>
      </c>
      <c r="Q1111" s="302">
        <v>59.683999999999997</v>
      </c>
      <c r="R1111" s="302">
        <v>56.119</v>
      </c>
      <c r="S1111" s="302">
        <v>59.276000000000003</v>
      </c>
      <c r="T1111" s="122">
        <f t="shared" si="1476"/>
        <v>44.654000000000003</v>
      </c>
      <c r="U1111" s="403">
        <v>44.654000000000003</v>
      </c>
      <c r="V1111" s="302">
        <v>53.689</v>
      </c>
      <c r="W1111" s="302">
        <v>68.3</v>
      </c>
      <c r="X1111" s="302">
        <v>74.194999999999993</v>
      </c>
      <c r="Y1111" s="122">
        <f t="shared" si="1477"/>
        <v>52.881999999999998</v>
      </c>
      <c r="Z1111" s="403">
        <v>52.881999999999998</v>
      </c>
      <c r="AA1111" s="302">
        <v>62.014000000000003</v>
      </c>
      <c r="AB1111" s="302">
        <v>73.662000000000006</v>
      </c>
      <c r="AC1111" s="302">
        <v>65.325999999999993</v>
      </c>
      <c r="AD1111" s="122">
        <f t="shared" si="1478"/>
        <v>58.692999999999998</v>
      </c>
      <c r="AE1111" s="403">
        <v>58.692999999999998</v>
      </c>
      <c r="AF1111" s="302">
        <v>56.332999999999998</v>
      </c>
      <c r="AG1111" s="302">
        <v>74.811000000000007</v>
      </c>
      <c r="AH1111" s="302">
        <v>94.070999999999998</v>
      </c>
      <c r="AI1111" s="122">
        <f t="shared" si="1479"/>
        <v>101.35599999999999</v>
      </c>
      <c r="AJ1111" s="403">
        <v>101.35599999999999</v>
      </c>
      <c r="AK1111" s="302">
        <v>98.212999999999994</v>
      </c>
      <c r="AL1111" s="302">
        <v>117.017</v>
      </c>
      <c r="AM1111" s="302">
        <v>115.288</v>
      </c>
      <c r="AN1111" s="122">
        <f t="shared" si="1480"/>
        <v>90.426000000000002</v>
      </c>
      <c r="AO1111" s="403">
        <v>90.426000000000002</v>
      </c>
      <c r="AP1111" s="302">
        <v>90.433000000000007</v>
      </c>
      <c r="AQ1111" s="302">
        <v>109.495</v>
      </c>
      <c r="AR1111" s="302">
        <v>84.974000000000004</v>
      </c>
      <c r="AS1111" s="122">
        <f t="shared" si="1481"/>
        <v>93.822000000000003</v>
      </c>
      <c r="AT1111" s="403">
        <v>93.822000000000003</v>
      </c>
      <c r="AU1111" s="302">
        <v>58.837000000000003</v>
      </c>
      <c r="AV1111" s="302">
        <v>85.587000000000003</v>
      </c>
      <c r="AW1111" s="302">
        <v>85.433000000000007</v>
      </c>
      <c r="AX1111" s="122">
        <f t="shared" si="1482"/>
        <v>69.251999999999995</v>
      </c>
      <c r="AY1111" s="403">
        <v>69.251999999999995</v>
      </c>
      <c r="AZ1111" s="302">
        <v>60.997</v>
      </c>
      <c r="BA1111" s="302">
        <v>102.312</v>
      </c>
      <c r="BB1111" s="302">
        <v>104.208</v>
      </c>
      <c r="BC1111" s="122">
        <f t="shared" si="1483"/>
        <v>64.960999999999999</v>
      </c>
      <c r="BD1111" s="403">
        <v>64.960999999999999</v>
      </c>
      <c r="BE1111" s="302">
        <v>62.722999999999999</v>
      </c>
      <c r="BF1111" s="302">
        <v>73.521000000000001</v>
      </c>
      <c r="BG1111" s="302">
        <v>100.045</v>
      </c>
      <c r="BH1111" s="122">
        <f t="shared" si="1484"/>
        <v>59.466000000000001</v>
      </c>
      <c r="BI1111" s="403">
        <v>59.466000000000001</v>
      </c>
      <c r="BJ1111" s="1207">
        <v>62.752000000000002</v>
      </c>
      <c r="BK1111" s="118">
        <f>(BK$749+BJ$749+BH$749+BG$749)*BK1073</f>
        <v>67.987932164041624</v>
      </c>
      <c r="BL1111" s="118">
        <f>(BL$749+BK$749+BJ$749+BH$749)*BL1073</f>
        <v>96.18854378763946</v>
      </c>
      <c r="BM1111" s="118">
        <f>(BM$749+BL$749+BK$749+BJ$749)*BM1073</f>
        <v>59.262087106134608</v>
      </c>
      <c r="BN1111" s="401">
        <f t="shared" si="1485"/>
        <v>59.262087106134608</v>
      </c>
      <c r="BO1111" s="118">
        <f>(BO$749+BM$749+BL$749+BK$749)*BO1073</f>
        <v>63.951731805295729</v>
      </c>
      <c r="BP1111" s="118">
        <f>(BP$749+BO$749+BM$749+BL$749)*BP1073</f>
        <v>70.164467772052433</v>
      </c>
      <c r="BQ1111" s="118">
        <f>(BQ$749+BP$749+BO$749+BM$749)*BQ1073</f>
        <v>100.52095952468905</v>
      </c>
      <c r="BR1111" s="118">
        <f>(BR$749+BQ$749+BP$749+BO$749)*BR1073</f>
        <v>60.743151899465516</v>
      </c>
      <c r="BS1111" s="401">
        <f t="shared" si="1486"/>
        <v>60.743151899465516</v>
      </c>
      <c r="BT1111" s="401">
        <f>BT749*BT1073</f>
        <v>64.672831208314122</v>
      </c>
      <c r="BU1111" s="401">
        <f>BU749*BU1073</f>
        <v>69.319790123382845</v>
      </c>
      <c r="BV1111" s="401">
        <f>BV749*BV1073</f>
        <v>74.310983501533627</v>
      </c>
      <c r="BW1111" s="122"/>
    </row>
    <row r="1112" spans="1:75" s="123" customFormat="1" x14ac:dyDescent="0.5">
      <c r="A1112" s="464" t="s">
        <v>2152</v>
      </c>
      <c r="B1112" s="513"/>
      <c r="C1112" s="403">
        <v>92.194999999999993</v>
      </c>
      <c r="D1112" s="403">
        <v>85.611999999999995</v>
      </c>
      <c r="E1112" s="403">
        <v>91.744</v>
      </c>
      <c r="F1112" s="403">
        <v>99.763999999999996</v>
      </c>
      <c r="G1112" s="302">
        <v>99.739000000000004</v>
      </c>
      <c r="H1112" s="302">
        <v>99.698999999999998</v>
      </c>
      <c r="I1112" s="302">
        <v>99.003</v>
      </c>
      <c r="J1112" s="122">
        <f t="shared" si="1474"/>
        <v>121.486</v>
      </c>
      <c r="K1112" s="403">
        <v>121.486</v>
      </c>
      <c r="L1112" s="302">
        <v>121.443</v>
      </c>
      <c r="M1112" s="302">
        <v>121.527</v>
      </c>
      <c r="N1112" s="302">
        <v>121.38</v>
      </c>
      <c r="O1112" s="122">
        <f t="shared" si="1475"/>
        <v>130.61799999999999</v>
      </c>
      <c r="P1112" s="403">
        <v>130.61799999999999</v>
      </c>
      <c r="Q1112" s="302">
        <v>130.88900000000001</v>
      </c>
      <c r="R1112" s="302">
        <v>130.68700000000001</v>
      </c>
      <c r="S1112" s="302">
        <v>130.684</v>
      </c>
      <c r="T1112" s="122">
        <f t="shared" si="1476"/>
        <v>0</v>
      </c>
      <c r="U1112" s="401"/>
      <c r="V1112" s="118"/>
      <c r="W1112" s="118"/>
      <c r="X1112" s="118"/>
      <c r="Y1112" s="122">
        <f t="shared" si="1477"/>
        <v>0</v>
      </c>
      <c r="Z1112" s="401"/>
      <c r="AA1112" s="118"/>
      <c r="AB1112" s="118"/>
      <c r="AC1112" s="118"/>
      <c r="AD1112" s="122">
        <f t="shared" si="1478"/>
        <v>0</v>
      </c>
      <c r="AE1112" s="401"/>
      <c r="AF1112" s="118"/>
      <c r="AG1112" s="118"/>
      <c r="AH1112" s="118"/>
      <c r="AI1112" s="122">
        <f t="shared" si="1479"/>
        <v>0</v>
      </c>
      <c r="AJ1112" s="401"/>
      <c r="AK1112" s="118"/>
      <c r="AL1112" s="118"/>
      <c r="AM1112" s="118"/>
      <c r="AN1112" s="122">
        <f t="shared" si="1480"/>
        <v>0</v>
      </c>
      <c r="AO1112" s="401"/>
      <c r="AP1112" s="118"/>
      <c r="AQ1112" s="118"/>
      <c r="AR1112" s="118"/>
      <c r="AS1112" s="122">
        <f t="shared" si="1481"/>
        <v>0</v>
      </c>
      <c r="AT1112" s="401"/>
      <c r="AU1112" s="118"/>
      <c r="AV1112" s="118"/>
      <c r="AW1112" s="118"/>
      <c r="AX1112" s="122">
        <f t="shared" si="1482"/>
        <v>0</v>
      </c>
      <c r="AY1112" s="401"/>
      <c r="AZ1112" s="118"/>
      <c r="BA1112" s="118"/>
      <c r="BB1112" s="118"/>
      <c r="BC1112" s="122">
        <f t="shared" si="1483"/>
        <v>0</v>
      </c>
      <c r="BD1112" s="401"/>
      <c r="BE1112" s="118"/>
      <c r="BF1112" s="118"/>
      <c r="BG1112" s="118"/>
      <c r="BH1112" s="122">
        <f t="shared" si="1484"/>
        <v>0</v>
      </c>
      <c r="BI1112" s="401"/>
      <c r="BJ1112" s="971"/>
      <c r="BK1112" s="118">
        <f t="shared" ref="BK1112:BM1113" si="1487">BJ1112</f>
        <v>0</v>
      </c>
      <c r="BL1112" s="118">
        <f t="shared" si="1487"/>
        <v>0</v>
      </c>
      <c r="BM1112" s="118">
        <f t="shared" si="1487"/>
        <v>0</v>
      </c>
      <c r="BN1112" s="401">
        <f t="shared" si="1485"/>
        <v>0</v>
      </c>
      <c r="BO1112" s="118">
        <f t="shared" si="1485"/>
        <v>0</v>
      </c>
      <c r="BP1112" s="118">
        <f t="shared" si="1485"/>
        <v>0</v>
      </c>
      <c r="BQ1112" s="118">
        <f t="shared" si="1485"/>
        <v>0</v>
      </c>
      <c r="BR1112" s="118">
        <f t="shared" si="1485"/>
        <v>0</v>
      </c>
      <c r="BS1112" s="401">
        <f t="shared" si="1486"/>
        <v>0</v>
      </c>
      <c r="BT1112" s="401">
        <f t="shared" si="1486"/>
        <v>0</v>
      </c>
      <c r="BU1112" s="401">
        <f t="shared" si="1486"/>
        <v>0</v>
      </c>
      <c r="BV1112" s="401">
        <f t="shared" si="1486"/>
        <v>0</v>
      </c>
      <c r="BW1112" s="122"/>
    </row>
    <row r="1113" spans="1:75" s="123" customFormat="1" x14ac:dyDescent="0.5">
      <c r="A1113" s="1292" t="s">
        <v>1369</v>
      </c>
      <c r="B1113" s="677"/>
      <c r="C1113" s="408">
        <v>8.8580000000000005</v>
      </c>
      <c r="D1113" s="408">
        <v>8.1760000000000002</v>
      </c>
      <c r="E1113" s="408">
        <v>9.2289999999999992</v>
      </c>
      <c r="F1113" s="408">
        <v>9.8190000000000008</v>
      </c>
      <c r="G1113" s="357">
        <v>9.4339999999999993</v>
      </c>
      <c r="H1113" s="357">
        <v>11.029</v>
      </c>
      <c r="I1113" s="357">
        <v>11.698</v>
      </c>
      <c r="J1113" s="431">
        <f t="shared" si="1474"/>
        <v>10.852</v>
      </c>
      <c r="K1113" s="408">
        <v>10.852</v>
      </c>
      <c r="L1113" s="357">
        <v>9.2609999999999992</v>
      </c>
      <c r="M1113" s="357">
        <v>9.7720000000000002</v>
      </c>
      <c r="N1113" s="357">
        <v>14.816000000000001</v>
      </c>
      <c r="O1113" s="431">
        <f t="shared" si="1475"/>
        <v>13.005000000000001</v>
      </c>
      <c r="P1113" s="408">
        <v>13.005000000000001</v>
      </c>
      <c r="Q1113" s="357">
        <v>11.627000000000001</v>
      </c>
      <c r="R1113" s="357">
        <v>12.808</v>
      </c>
      <c r="S1113" s="357">
        <v>12.965999999999999</v>
      </c>
      <c r="T1113" s="431">
        <f t="shared" si="1476"/>
        <v>11.438000000000001</v>
      </c>
      <c r="U1113" s="408">
        <v>11.438000000000001</v>
      </c>
      <c r="V1113" s="357">
        <v>9.8439999999999994</v>
      </c>
      <c r="W1113" s="357">
        <v>11.589</v>
      </c>
      <c r="X1113" s="357">
        <v>12.176</v>
      </c>
      <c r="Y1113" s="431">
        <f t="shared" si="1477"/>
        <v>10.651999999999999</v>
      </c>
      <c r="Z1113" s="408">
        <v>10.651999999999999</v>
      </c>
      <c r="AA1113" s="357">
        <v>10.901</v>
      </c>
      <c r="AB1113" s="357">
        <v>12.066000000000001</v>
      </c>
      <c r="AC1113" s="357">
        <v>12.141</v>
      </c>
      <c r="AD1113" s="431">
        <f t="shared" si="1478"/>
        <v>11.875999999999999</v>
      </c>
      <c r="AE1113" s="408">
        <v>11.875999999999999</v>
      </c>
      <c r="AF1113" s="357">
        <v>21.117999999999999</v>
      </c>
      <c r="AG1113" s="357">
        <v>21.890999999999998</v>
      </c>
      <c r="AH1113" s="357">
        <v>21.805</v>
      </c>
      <c r="AI1113" s="431">
        <f t="shared" si="1479"/>
        <v>21.939</v>
      </c>
      <c r="AJ1113" s="408">
        <v>21.939</v>
      </c>
      <c r="AK1113" s="357">
        <v>22.128</v>
      </c>
      <c r="AL1113" s="357">
        <v>21.693000000000001</v>
      </c>
      <c r="AM1113" s="357">
        <v>20.260000000000002</v>
      </c>
      <c r="AN1113" s="431">
        <f t="shared" si="1480"/>
        <v>20.765999999999998</v>
      </c>
      <c r="AO1113" s="408">
        <v>20.765999999999998</v>
      </c>
      <c r="AP1113" s="357">
        <v>22.099</v>
      </c>
      <c r="AQ1113" s="357">
        <v>27.097999999999999</v>
      </c>
      <c r="AR1113" s="357">
        <v>23.556000000000001</v>
      </c>
      <c r="AS1113" s="431">
        <f t="shared" si="1481"/>
        <v>22.893999999999998</v>
      </c>
      <c r="AT1113" s="408">
        <v>22.893999999999998</v>
      </c>
      <c r="AU1113" s="357">
        <v>20.501999999999999</v>
      </c>
      <c r="AV1113" s="357">
        <v>20.536999999999999</v>
      </c>
      <c r="AW1113" s="357">
        <v>22.852</v>
      </c>
      <c r="AX1113" s="431">
        <f t="shared" si="1482"/>
        <v>26.248999999999999</v>
      </c>
      <c r="AY1113" s="408">
        <v>26.248999999999999</v>
      </c>
      <c r="AZ1113" s="357">
        <v>23.939</v>
      </c>
      <c r="BA1113" s="357">
        <v>25.536999999999999</v>
      </c>
      <c r="BB1113" s="357">
        <v>29.728999999999999</v>
      </c>
      <c r="BC1113" s="431">
        <f t="shared" si="1483"/>
        <v>31.966999999999999</v>
      </c>
      <c r="BD1113" s="408">
        <v>31.966999999999999</v>
      </c>
      <c r="BE1113" s="357">
        <v>27.992999999999999</v>
      </c>
      <c r="BF1113" s="357">
        <v>26.292999999999999</v>
      </c>
      <c r="BG1113" s="357">
        <v>27.381</v>
      </c>
      <c r="BH1113" s="431">
        <f t="shared" si="1484"/>
        <v>29.041</v>
      </c>
      <c r="BI1113" s="408">
        <v>29.041</v>
      </c>
      <c r="BJ1113" s="1208">
        <v>22.786999999999999</v>
      </c>
      <c r="BK1113" s="723">
        <f t="shared" si="1487"/>
        <v>22.786999999999999</v>
      </c>
      <c r="BL1113" s="723">
        <f t="shared" si="1487"/>
        <v>22.786999999999999</v>
      </c>
      <c r="BM1113" s="723">
        <f t="shared" si="1487"/>
        <v>22.786999999999999</v>
      </c>
      <c r="BN1113" s="406">
        <f t="shared" si="1485"/>
        <v>22.786999999999999</v>
      </c>
      <c r="BO1113" s="723">
        <f t="shared" si="1485"/>
        <v>22.786999999999999</v>
      </c>
      <c r="BP1113" s="723">
        <f t="shared" si="1485"/>
        <v>22.786999999999999</v>
      </c>
      <c r="BQ1113" s="723">
        <f t="shared" si="1485"/>
        <v>22.786999999999999</v>
      </c>
      <c r="BR1113" s="723">
        <f t="shared" si="1485"/>
        <v>22.786999999999999</v>
      </c>
      <c r="BS1113" s="406">
        <f t="shared" si="1486"/>
        <v>22.786999999999999</v>
      </c>
      <c r="BT1113" s="406">
        <f t="shared" si="1486"/>
        <v>22.786999999999999</v>
      </c>
      <c r="BU1113" s="406">
        <f t="shared" si="1486"/>
        <v>22.786999999999999</v>
      </c>
      <c r="BV1113" s="406">
        <f t="shared" si="1486"/>
        <v>22.786999999999999</v>
      </c>
      <c r="BW1113" s="122"/>
    </row>
    <row r="1114" spans="1:75" s="198" customFormat="1" ht="14.25" x14ac:dyDescent="0.45">
      <c r="A1114" s="516" t="s">
        <v>1476</v>
      </c>
      <c r="B1114" s="517"/>
      <c r="C1114" s="519">
        <f t="shared" ref="C1114:AH1114" si="1488">SUM(C1106:C1113)</f>
        <v>1180.1929999999998</v>
      </c>
      <c r="D1114" s="519">
        <f t="shared" si="1488"/>
        <v>1347.5939999999998</v>
      </c>
      <c r="E1114" s="519">
        <f t="shared" si="1488"/>
        <v>1276.3660000000002</v>
      </c>
      <c r="F1114" s="519">
        <f t="shared" si="1488"/>
        <v>1316.7719999999999</v>
      </c>
      <c r="G1114" s="520">
        <f t="shared" si="1488"/>
        <v>1189.08</v>
      </c>
      <c r="H1114" s="520">
        <f t="shared" si="1488"/>
        <v>1231.729</v>
      </c>
      <c r="I1114" s="520">
        <f t="shared" si="1488"/>
        <v>1317.184</v>
      </c>
      <c r="J1114" s="520">
        <f t="shared" si="1488"/>
        <v>1419.1030000000001</v>
      </c>
      <c r="K1114" s="519">
        <f t="shared" si="1488"/>
        <v>1419.1030000000001</v>
      </c>
      <c r="L1114" s="520">
        <f t="shared" si="1488"/>
        <v>1277.4870000000001</v>
      </c>
      <c r="M1114" s="520">
        <f t="shared" si="1488"/>
        <v>1261.3500000000001</v>
      </c>
      <c r="N1114" s="520">
        <f t="shared" si="1488"/>
        <v>1382.9150000000002</v>
      </c>
      <c r="O1114" s="520">
        <f t="shared" si="1488"/>
        <v>1391.9230000000002</v>
      </c>
      <c r="P1114" s="519">
        <f t="shared" si="1488"/>
        <v>1391.9230000000002</v>
      </c>
      <c r="Q1114" s="520">
        <f t="shared" si="1488"/>
        <v>1324.2189999999996</v>
      </c>
      <c r="R1114" s="520">
        <f t="shared" si="1488"/>
        <v>1470.703</v>
      </c>
      <c r="S1114" s="520">
        <f t="shared" si="1488"/>
        <v>1501.8359999999998</v>
      </c>
      <c r="T1114" s="520">
        <f t="shared" si="1488"/>
        <v>1336.1000000000001</v>
      </c>
      <c r="U1114" s="519">
        <f t="shared" si="1488"/>
        <v>1336.1000000000001</v>
      </c>
      <c r="V1114" s="520">
        <f t="shared" si="1488"/>
        <v>1212.662</v>
      </c>
      <c r="W1114" s="520">
        <f t="shared" si="1488"/>
        <v>1279.1039999999998</v>
      </c>
      <c r="X1114" s="520">
        <f t="shared" si="1488"/>
        <v>1347.2139999999999</v>
      </c>
      <c r="Y1114" s="520">
        <f t="shared" si="1488"/>
        <v>1367.18</v>
      </c>
      <c r="Z1114" s="519">
        <f t="shared" si="1488"/>
        <v>1367.18</v>
      </c>
      <c r="AA1114" s="520">
        <f t="shared" si="1488"/>
        <v>1291.0449999999998</v>
      </c>
      <c r="AB1114" s="520">
        <f t="shared" si="1488"/>
        <v>1364.3780000000002</v>
      </c>
      <c r="AC1114" s="520">
        <f t="shared" si="1488"/>
        <v>1460.461</v>
      </c>
      <c r="AD1114" s="520">
        <f t="shared" si="1488"/>
        <v>1636.4449999999999</v>
      </c>
      <c r="AE1114" s="519">
        <f t="shared" si="1488"/>
        <v>1636.4449999999999</v>
      </c>
      <c r="AF1114" s="520">
        <f t="shared" si="1488"/>
        <v>1523.2170000000001</v>
      </c>
      <c r="AG1114" s="520">
        <f t="shared" si="1488"/>
        <v>1477.492</v>
      </c>
      <c r="AH1114" s="520">
        <f t="shared" si="1488"/>
        <v>1591.4260000000002</v>
      </c>
      <c r="AI1114" s="520">
        <f t="shared" ref="AI1114:BV1114" si="1489">SUM(AI1106:AI1113)</f>
        <v>1694.3430000000001</v>
      </c>
      <c r="AJ1114" s="519">
        <f t="shared" si="1489"/>
        <v>1694.3430000000001</v>
      </c>
      <c r="AK1114" s="520">
        <f t="shared" si="1489"/>
        <v>1485.6459999999997</v>
      </c>
      <c r="AL1114" s="520">
        <f t="shared" si="1489"/>
        <v>1558.0190000000002</v>
      </c>
      <c r="AM1114" s="520">
        <f t="shared" si="1489"/>
        <v>1659.2449999999999</v>
      </c>
      <c r="AN1114" s="520">
        <f t="shared" si="1489"/>
        <v>1755.6350000000002</v>
      </c>
      <c r="AO1114" s="519">
        <f t="shared" si="1489"/>
        <v>1755.6350000000002</v>
      </c>
      <c r="AP1114" s="520">
        <f t="shared" si="1489"/>
        <v>2149.0440000000003</v>
      </c>
      <c r="AQ1114" s="520">
        <f t="shared" si="1489"/>
        <v>2255.4299999999998</v>
      </c>
      <c r="AR1114" s="520">
        <f t="shared" si="1489"/>
        <v>2136.9569999999999</v>
      </c>
      <c r="AS1114" s="520">
        <f t="shared" si="1489"/>
        <v>2467.08</v>
      </c>
      <c r="AT1114" s="519">
        <f t="shared" si="1489"/>
        <v>2467.08</v>
      </c>
      <c r="AU1114" s="520">
        <f t="shared" si="1489"/>
        <v>1948.9959999999999</v>
      </c>
      <c r="AV1114" s="520">
        <f t="shared" si="1489"/>
        <v>2073.7099999999996</v>
      </c>
      <c r="AW1114" s="520">
        <f t="shared" si="1489"/>
        <v>2176.7219999999998</v>
      </c>
      <c r="AX1114" s="520">
        <f t="shared" si="1489"/>
        <v>2323.8939999999998</v>
      </c>
      <c r="AY1114" s="519">
        <f t="shared" si="1489"/>
        <v>2323.8939999999998</v>
      </c>
      <c r="AZ1114" s="520">
        <f t="shared" si="1489"/>
        <v>1928.8520000000001</v>
      </c>
      <c r="BA1114" s="520">
        <f t="shared" si="1489"/>
        <v>1928.721</v>
      </c>
      <c r="BB1114" s="520">
        <f t="shared" si="1489"/>
        <v>2060.732</v>
      </c>
      <c r="BC1114" s="520">
        <f t="shared" si="1489"/>
        <v>2036.0800000000002</v>
      </c>
      <c r="BD1114" s="519">
        <f t="shared" si="1489"/>
        <v>2036.0800000000002</v>
      </c>
      <c r="BE1114" s="520">
        <f t="shared" si="1489"/>
        <v>1898.826</v>
      </c>
      <c r="BF1114" s="520">
        <f t="shared" si="1489"/>
        <v>2032.1319999999996</v>
      </c>
      <c r="BG1114" s="520">
        <f t="shared" si="1489"/>
        <v>2347.335</v>
      </c>
      <c r="BH1114" s="520">
        <f t="shared" si="1489"/>
        <v>2719.797</v>
      </c>
      <c r="BI1114" s="519">
        <f t="shared" si="1489"/>
        <v>2719.797</v>
      </c>
      <c r="BJ1114" s="1270">
        <f>SUM(BJ1106:BJ1113)</f>
        <v>2673.9780000000001</v>
      </c>
      <c r="BK1114" s="327">
        <f t="shared" ca="1" si="1489"/>
        <v>2692.4996167722984</v>
      </c>
      <c r="BL1114" s="327">
        <f t="shared" ca="1" si="1489"/>
        <v>3089.3929621564621</v>
      </c>
      <c r="BM1114" s="327">
        <f t="shared" ca="1" si="1489"/>
        <v>3476.521712612303</v>
      </c>
      <c r="BN1114" s="518">
        <f t="shared" ca="1" si="1489"/>
        <v>3476.521712612303</v>
      </c>
      <c r="BO1114" s="327">
        <f t="shared" ca="1" si="1489"/>
        <v>3457.0628697450788</v>
      </c>
      <c r="BP1114" s="327">
        <f t="shared" ca="1" si="1489"/>
        <v>3473.529218287375</v>
      </c>
      <c r="BQ1114" s="327">
        <f t="shared" ca="1" si="1489"/>
        <v>3908.6429696297596</v>
      </c>
      <c r="BR1114" s="327">
        <f t="shared" ca="1" si="1489"/>
        <v>4235.8104080841895</v>
      </c>
      <c r="BS1114" s="518">
        <f t="shared" ca="1" si="1489"/>
        <v>4235.8104080841895</v>
      </c>
      <c r="BT1114" s="518">
        <f t="shared" ca="1" si="1489"/>
        <v>5145.1670422856496</v>
      </c>
      <c r="BU1114" s="518">
        <f t="shared" ca="1" si="1489"/>
        <v>6214.425220061923</v>
      </c>
      <c r="BV1114" s="518">
        <f t="shared" ca="1" si="1489"/>
        <v>7436.7053755077732</v>
      </c>
      <c r="BW1114" s="197"/>
    </row>
    <row r="1115" spans="1:75" s="198" customFormat="1" ht="14.25" x14ac:dyDescent="0.45">
      <c r="A1115" s="206"/>
      <c r="B1115" s="522"/>
      <c r="C1115" s="397"/>
      <c r="D1115" s="397"/>
      <c r="E1115" s="397"/>
      <c r="F1115" s="397"/>
      <c r="G1115" s="295"/>
      <c r="H1115" s="295"/>
      <c r="I1115" s="295"/>
      <c r="J1115" s="295"/>
      <c r="K1115" s="397"/>
      <c r="L1115" s="295"/>
      <c r="M1115" s="295"/>
      <c r="N1115" s="295"/>
      <c r="O1115" s="295"/>
      <c r="P1115" s="397"/>
      <c r="Q1115" s="295"/>
      <c r="R1115" s="295"/>
      <c r="S1115" s="295"/>
      <c r="T1115" s="295"/>
      <c r="U1115" s="397"/>
      <c r="V1115" s="295"/>
      <c r="W1115" s="295"/>
      <c r="X1115" s="295"/>
      <c r="Y1115" s="295"/>
      <c r="Z1115" s="397"/>
      <c r="AA1115" s="295"/>
      <c r="AB1115" s="295"/>
      <c r="AC1115" s="295"/>
      <c r="AD1115" s="295"/>
      <c r="AE1115" s="397"/>
      <c r="AF1115" s="295"/>
      <c r="AG1115" s="295"/>
      <c r="AH1115" s="295"/>
      <c r="AI1115" s="295"/>
      <c r="AJ1115" s="397"/>
      <c r="AK1115" s="295"/>
      <c r="AL1115" s="295"/>
      <c r="AM1115" s="295"/>
      <c r="AN1115" s="295"/>
      <c r="AO1115" s="397"/>
      <c r="AP1115" s="295"/>
      <c r="AQ1115" s="295"/>
      <c r="AR1115" s="295"/>
      <c r="AS1115" s="295"/>
      <c r="AT1115" s="397"/>
      <c r="AU1115" s="295"/>
      <c r="AV1115" s="295"/>
      <c r="AW1115" s="295"/>
      <c r="AX1115" s="295"/>
      <c r="AY1115" s="397"/>
      <c r="AZ1115" s="295"/>
      <c r="BA1115" s="295"/>
      <c r="BB1115" s="295"/>
      <c r="BC1115" s="295"/>
      <c r="BD1115" s="397"/>
      <c r="BE1115" s="295"/>
      <c r="BF1115" s="295"/>
      <c r="BG1115" s="295"/>
      <c r="BH1115" s="295"/>
      <c r="BI1115" s="397"/>
      <c r="BJ1115" s="1030"/>
      <c r="BK1115" s="295"/>
      <c r="BL1115" s="295"/>
      <c r="BM1115" s="295"/>
      <c r="BN1115" s="397"/>
      <c r="BO1115" s="295"/>
      <c r="BP1115" s="295"/>
      <c r="BQ1115" s="295"/>
      <c r="BR1115" s="295"/>
      <c r="BS1115" s="397"/>
      <c r="BT1115" s="397"/>
      <c r="BU1115" s="397"/>
      <c r="BV1115" s="397"/>
      <c r="BW1115" s="197"/>
    </row>
    <row r="1116" spans="1:75" s="198" customFormat="1" ht="14.25" x14ac:dyDescent="0.45">
      <c r="A1116" s="670" t="s">
        <v>1477</v>
      </c>
      <c r="B1116" s="522"/>
      <c r="C1116" s="397"/>
      <c r="D1116" s="397"/>
      <c r="E1116" s="397"/>
      <c r="F1116" s="397"/>
      <c r="G1116" s="295"/>
      <c r="H1116" s="295"/>
      <c r="I1116" s="295"/>
      <c r="J1116" s="295"/>
      <c r="K1116" s="397"/>
      <c r="L1116" s="295"/>
      <c r="M1116" s="295"/>
      <c r="N1116" s="295"/>
      <c r="O1116" s="295"/>
      <c r="P1116" s="397"/>
      <c r="Q1116" s="295"/>
      <c r="R1116" s="295"/>
      <c r="S1116" s="295"/>
      <c r="T1116" s="295"/>
      <c r="U1116" s="397"/>
      <c r="V1116" s="295"/>
      <c r="W1116" s="295"/>
      <c r="X1116" s="295"/>
      <c r="Y1116" s="295"/>
      <c r="Z1116" s="397"/>
      <c r="AA1116" s="295"/>
      <c r="AB1116" s="295"/>
      <c r="AC1116" s="295"/>
      <c r="AD1116" s="295"/>
      <c r="AE1116" s="397"/>
      <c r="AF1116" s="295"/>
      <c r="AG1116" s="295"/>
      <c r="AH1116" s="295"/>
      <c r="AI1116" s="295"/>
      <c r="AJ1116" s="397"/>
      <c r="AK1116" s="295"/>
      <c r="AL1116" s="295"/>
      <c r="AM1116" s="295"/>
      <c r="AN1116" s="295"/>
      <c r="AO1116" s="397"/>
      <c r="AP1116" s="295"/>
      <c r="AQ1116" s="295"/>
      <c r="AR1116" s="295"/>
      <c r="AS1116" s="295"/>
      <c r="AT1116" s="397"/>
      <c r="AU1116" s="295"/>
      <c r="AV1116" s="295"/>
      <c r="AW1116" s="295"/>
      <c r="AX1116" s="295"/>
      <c r="AY1116" s="397"/>
      <c r="AZ1116" s="295"/>
      <c r="BA1116" s="295"/>
      <c r="BB1116" s="295"/>
      <c r="BC1116" s="295"/>
      <c r="BD1116" s="397"/>
      <c r="BE1116" s="295"/>
      <c r="BF1116" s="295"/>
      <c r="BG1116" s="295"/>
      <c r="BH1116" s="295"/>
      <c r="BI1116" s="397"/>
      <c r="BJ1116" s="1030"/>
      <c r="BK1116" s="295"/>
      <c r="BL1116" s="295"/>
      <c r="BM1116" s="295"/>
      <c r="BN1116" s="397"/>
      <c r="BO1116" s="295"/>
      <c r="BP1116" s="295"/>
      <c r="BQ1116" s="295"/>
      <c r="BR1116" s="295"/>
      <c r="BS1116" s="397"/>
      <c r="BT1116" s="397"/>
      <c r="BU1116" s="397"/>
      <c r="BV1116" s="397"/>
      <c r="BW1116" s="197"/>
    </row>
    <row r="1117" spans="1:75" s="123" customFormat="1" x14ac:dyDescent="0.5">
      <c r="A1117" s="464" t="s">
        <v>2153</v>
      </c>
      <c r="B1117" s="513"/>
      <c r="C1117" s="403">
        <v>829.02700000000004</v>
      </c>
      <c r="D1117" s="403">
        <v>730.55600000000004</v>
      </c>
      <c r="E1117" s="403">
        <v>734.67200000000003</v>
      </c>
      <c r="F1117" s="403">
        <v>812.03700000000003</v>
      </c>
      <c r="G1117" s="302">
        <v>817.24900000000002</v>
      </c>
      <c r="H1117" s="302">
        <v>829.95100000000002</v>
      </c>
      <c r="I1117" s="302">
        <v>843.56299999999999</v>
      </c>
      <c r="J1117" s="122">
        <f>K1117</f>
        <v>849.29300000000001</v>
      </c>
      <c r="K1117" s="403">
        <v>849.29300000000001</v>
      </c>
      <c r="L1117" s="302">
        <v>837.01199999999994</v>
      </c>
      <c r="M1117" s="302">
        <v>849.255</v>
      </c>
      <c r="N1117" s="302">
        <v>866.67</v>
      </c>
      <c r="O1117" s="122">
        <f>P1117</f>
        <v>883.01199999999994</v>
      </c>
      <c r="P1117" s="403">
        <v>883.01199999999994</v>
      </c>
      <c r="Q1117" s="302">
        <v>876.78499999999997</v>
      </c>
      <c r="R1117" s="302">
        <v>875.00199999999995</v>
      </c>
      <c r="S1117" s="302">
        <v>883.45899999999995</v>
      </c>
      <c r="T1117" s="122">
        <f>U1117</f>
        <v>886.81299999999999</v>
      </c>
      <c r="U1117" s="403">
        <v>886.81299999999999</v>
      </c>
      <c r="V1117" s="302">
        <v>893.64</v>
      </c>
      <c r="W1117" s="302">
        <v>908.56200000000001</v>
      </c>
      <c r="X1117" s="302">
        <v>918.02</v>
      </c>
      <c r="Y1117" s="122">
        <f>Z1117</f>
        <v>923.28300000000002</v>
      </c>
      <c r="Z1117" s="403">
        <v>923.28300000000002</v>
      </c>
      <c r="AA1117" s="302">
        <v>920.53099999999995</v>
      </c>
      <c r="AB1117" s="302">
        <v>929.33100000000002</v>
      </c>
      <c r="AC1117" s="302">
        <v>931.13099999999997</v>
      </c>
      <c r="AD1117" s="122">
        <f>AE1117</f>
        <v>932.28300000000002</v>
      </c>
      <c r="AE1117" s="403">
        <v>932.28300000000002</v>
      </c>
      <c r="AF1117" s="302">
        <v>926.32</v>
      </c>
      <c r="AG1117" s="302">
        <v>919.68899999999996</v>
      </c>
      <c r="AH1117" s="302">
        <v>931.36099999999999</v>
      </c>
      <c r="AI1117" s="122">
        <f>AJ1117</f>
        <v>929.63499999999999</v>
      </c>
      <c r="AJ1117" s="403">
        <v>929.63499999999999</v>
      </c>
      <c r="AK1117" s="302">
        <v>916.03</v>
      </c>
      <c r="AL1117" s="302">
        <v>913.05899999999997</v>
      </c>
      <c r="AM1117" s="302">
        <v>915.74</v>
      </c>
      <c r="AN1117" s="122">
        <f>AO1117</f>
        <v>929.03800000000001</v>
      </c>
      <c r="AO1117" s="403">
        <v>929.03800000000001</v>
      </c>
      <c r="AP1117" s="302">
        <v>907.21900000000005</v>
      </c>
      <c r="AQ1117" s="302">
        <v>887.40099999999995</v>
      </c>
      <c r="AR1117" s="302">
        <v>869.09199999999998</v>
      </c>
      <c r="AS1117" s="122">
        <f>AT1117</f>
        <v>873.89400000000001</v>
      </c>
      <c r="AT1117" s="403">
        <v>873.89400000000001</v>
      </c>
      <c r="AU1117" s="302">
        <v>875.38400000000001</v>
      </c>
      <c r="AV1117" s="302">
        <v>875.29499999999996</v>
      </c>
      <c r="AW1117" s="302">
        <v>892.226</v>
      </c>
      <c r="AX1117" s="122">
        <f>AY1117</f>
        <v>920.77300000000002</v>
      </c>
      <c r="AY1117" s="403">
        <v>920.77300000000002</v>
      </c>
      <c r="AZ1117" s="302">
        <v>942.46</v>
      </c>
      <c r="BA1117" s="302">
        <v>973.67600000000004</v>
      </c>
      <c r="BB1117" s="302">
        <v>1009.088</v>
      </c>
      <c r="BC1117" s="122">
        <f>BD1117</f>
        <v>1065.3810000000001</v>
      </c>
      <c r="BD1117" s="403">
        <v>1065.3810000000001</v>
      </c>
      <c r="BE1117" s="302">
        <v>1050.0260000000001</v>
      </c>
      <c r="BF1117" s="302">
        <v>1036.4069999999999</v>
      </c>
      <c r="BG1117" s="302">
        <v>1026.819</v>
      </c>
      <c r="BH1117" s="122">
        <f>BI1117</f>
        <v>1013.189</v>
      </c>
      <c r="BI1117" s="403">
        <v>1013.189</v>
      </c>
      <c r="BJ1117" s="1207">
        <v>990.16600000000005</v>
      </c>
      <c r="BK1117" s="118">
        <f>BJ1117-BK1035-BK1036+BK1085+BK1084-BK1011</f>
        <v>986.73440075471717</v>
      </c>
      <c r="BL1117" s="118">
        <f>BK1117-BL1035-BL1036+BL1085+BL1084-BL1011</f>
        <v>998.48797837436825</v>
      </c>
      <c r="BM1117" s="118">
        <f>BL1117-BM1035-BM1036+BM1085+BM1084-BM1011</f>
        <v>1010.9626392537444</v>
      </c>
      <c r="BN1117" s="401">
        <f>BM1117</f>
        <v>1010.9626392537444</v>
      </c>
      <c r="BO1117" s="118">
        <f>BN1117-BO1035-BO1036+BO1085+BO1084-BO1011</f>
        <v>1035.3596940947884</v>
      </c>
      <c r="BP1117" s="118">
        <f>BO1117-BP1035-BP1036+BP1085+BP1084-BP1011</f>
        <v>1068.414910919575</v>
      </c>
      <c r="BQ1117" s="118">
        <f>BP1117-BQ1035-BQ1036+BQ1085+BQ1084-BQ1011</f>
        <v>1104.6520908189984</v>
      </c>
      <c r="BR1117" s="118">
        <f>BQ1117-BR1035-BR1036+BR1085+BR1084-BR1011</f>
        <v>1153.8962258239535</v>
      </c>
      <c r="BS1117" s="401">
        <f>BR1117</f>
        <v>1153.8962258239535</v>
      </c>
      <c r="BT1117" s="401">
        <f>BS1117-BT1035-BT1036+BT1085+BT1084-BT1011</f>
        <v>1300.0390561426836</v>
      </c>
      <c r="BU1117" s="401">
        <f>BT1117-BU1035-BU1036+BU1085+BU1084-BU1011</f>
        <v>1414.0304637912932</v>
      </c>
      <c r="BV1117" s="401">
        <f>BU1117-BV1035-BV1036+BV1085+BV1084-BV1011</f>
        <v>1502.9437617572087</v>
      </c>
      <c r="BW1117" s="122"/>
    </row>
    <row r="1118" spans="1:75" s="123" customFormat="1" x14ac:dyDescent="0.5">
      <c r="A1118" s="464" t="s">
        <v>2154</v>
      </c>
      <c r="B1118" s="513"/>
      <c r="C1118" s="401"/>
      <c r="D1118" s="401"/>
      <c r="E1118" s="401"/>
      <c r="F1118" s="401"/>
      <c r="G1118" s="118"/>
      <c r="H1118" s="118"/>
      <c r="I1118" s="118"/>
      <c r="J1118" s="118"/>
      <c r="K1118" s="401"/>
      <c r="L1118" s="118"/>
      <c r="M1118" s="118"/>
      <c r="N1118" s="118"/>
      <c r="O1118" s="118"/>
      <c r="P1118" s="401"/>
      <c r="Q1118" s="118"/>
      <c r="R1118" s="118"/>
      <c r="S1118" s="118"/>
      <c r="T1118" s="118"/>
      <c r="U1118" s="401"/>
      <c r="V1118" s="118"/>
      <c r="W1118" s="118"/>
      <c r="X1118" s="118"/>
      <c r="Y1118" s="118"/>
      <c r="Z1118" s="401"/>
      <c r="AA1118" s="118"/>
      <c r="AB1118" s="118"/>
      <c r="AC1118" s="118"/>
      <c r="AD1118" s="118"/>
      <c r="AE1118" s="401"/>
      <c r="AF1118" s="118"/>
      <c r="AG1118" s="118"/>
      <c r="AH1118" s="118"/>
      <c r="AI1118" s="118"/>
      <c r="AJ1118" s="401"/>
      <c r="AK1118" s="302">
        <v>1200.972</v>
      </c>
      <c r="AL1118" s="302">
        <v>1208.528</v>
      </c>
      <c r="AM1118" s="302">
        <v>1194.0609999999999</v>
      </c>
      <c r="AN1118" s="122">
        <f>AO1118</f>
        <v>1166.383</v>
      </c>
      <c r="AO1118" s="403">
        <v>1166.383</v>
      </c>
      <c r="AP1118" s="302">
        <v>1175.402</v>
      </c>
      <c r="AQ1118" s="302">
        <v>1146.229</v>
      </c>
      <c r="AR1118" s="302">
        <v>1091.6489999999999</v>
      </c>
      <c r="AS1118" s="122">
        <f>AT1118</f>
        <v>1086.009</v>
      </c>
      <c r="AT1118" s="403">
        <v>1086.009</v>
      </c>
      <c r="AU1118" s="302">
        <v>1054.7460000000001</v>
      </c>
      <c r="AV1118" s="302">
        <v>1052.617</v>
      </c>
      <c r="AW1118" s="302">
        <v>1159.3150000000001</v>
      </c>
      <c r="AX1118" s="122">
        <f>AY1118</f>
        <v>1132.7639999999999</v>
      </c>
      <c r="AY1118" s="403">
        <v>1132.7639999999999</v>
      </c>
      <c r="AZ1118" s="302">
        <v>1102.056</v>
      </c>
      <c r="BA1118" s="302">
        <v>1174.354</v>
      </c>
      <c r="BB1118" s="302">
        <v>1277.0640000000001</v>
      </c>
      <c r="BC1118" s="122">
        <f>BD1118</f>
        <v>1286.452</v>
      </c>
      <c r="BD1118" s="403">
        <v>1286.452</v>
      </c>
      <c r="BE1118" s="302">
        <v>1258.5989999999999</v>
      </c>
      <c r="BF1118" s="302">
        <v>1232.925</v>
      </c>
      <c r="BG1118" s="302">
        <v>1235.425</v>
      </c>
      <c r="BH1118" s="122">
        <f>BI1118</f>
        <v>1229.6500000000001</v>
      </c>
      <c r="BI1118" s="403">
        <v>1229.6500000000001</v>
      </c>
      <c r="BJ1118" s="1207">
        <v>1187.777</v>
      </c>
      <c r="BK1118" s="118">
        <f>BJ1118</f>
        <v>1187.777</v>
      </c>
      <c r="BL1118" s="118">
        <f>BK1118</f>
        <v>1187.777</v>
      </c>
      <c r="BM1118" s="118">
        <f>BL1118</f>
        <v>1187.777</v>
      </c>
      <c r="BN1118" s="401">
        <f>BM1118</f>
        <v>1187.777</v>
      </c>
      <c r="BO1118" s="118">
        <f>BN1118</f>
        <v>1187.777</v>
      </c>
      <c r="BP1118" s="118">
        <f>BO1118</f>
        <v>1187.777</v>
      </c>
      <c r="BQ1118" s="118">
        <f>BP1118</f>
        <v>1187.777</v>
      </c>
      <c r="BR1118" s="118">
        <f>BQ1118</f>
        <v>1187.777</v>
      </c>
      <c r="BS1118" s="401">
        <f>BR1118</f>
        <v>1187.777</v>
      </c>
      <c r="BT1118" s="401">
        <f>BS1118</f>
        <v>1187.777</v>
      </c>
      <c r="BU1118" s="401">
        <f>BT1118</f>
        <v>1187.777</v>
      </c>
      <c r="BV1118" s="401">
        <f>BU1118</f>
        <v>1187.777</v>
      </c>
      <c r="BW1118" s="122"/>
    </row>
    <row r="1119" spans="1:75" s="123" customFormat="1" x14ac:dyDescent="0.5">
      <c r="A1119" s="464" t="s">
        <v>2155</v>
      </c>
      <c r="B1119" s="513"/>
      <c r="C1119" s="403">
        <v>53.808999999999997</v>
      </c>
      <c r="D1119" s="403">
        <v>32.646000000000001</v>
      </c>
      <c r="E1119" s="403">
        <v>12.382</v>
      </c>
      <c r="F1119" s="403">
        <v>12.398</v>
      </c>
      <c r="G1119" s="302">
        <v>10.738</v>
      </c>
      <c r="H1119" s="302">
        <v>7.5090000000000003</v>
      </c>
      <c r="I1119" s="302">
        <v>10.930999999999999</v>
      </c>
      <c r="J1119" s="122">
        <f>K1119</f>
        <v>13.824</v>
      </c>
      <c r="K1119" s="403">
        <v>13.824</v>
      </c>
      <c r="L1119" s="302">
        <v>0</v>
      </c>
      <c r="M1119" s="302">
        <v>0.85599999999999998</v>
      </c>
      <c r="N1119" s="302">
        <v>4.1420000000000003</v>
      </c>
      <c r="O1119" s="122">
        <f>P1119</f>
        <v>4.2649999999999997</v>
      </c>
      <c r="P1119" s="403">
        <v>4.2649999999999997</v>
      </c>
      <c r="Q1119" s="302">
        <v>0</v>
      </c>
      <c r="R1119" s="302">
        <v>0</v>
      </c>
      <c r="S1119" s="302">
        <v>2.56</v>
      </c>
      <c r="T1119" s="122">
        <f>U1119</f>
        <v>141.78399999999999</v>
      </c>
      <c r="U1119" s="403">
        <v>141.78399999999999</v>
      </c>
      <c r="V1119" s="302">
        <v>131.59700000000001</v>
      </c>
      <c r="W1119" s="302">
        <v>134.721</v>
      </c>
      <c r="X1119" s="302">
        <v>136.55799999999999</v>
      </c>
      <c r="Y1119" s="122">
        <f>Z1119</f>
        <v>135.238</v>
      </c>
      <c r="Z1119" s="403">
        <v>135.238</v>
      </c>
      <c r="AA1119" s="302">
        <v>124.977</v>
      </c>
      <c r="AB1119" s="302">
        <v>130.21199999999999</v>
      </c>
      <c r="AC1119" s="302">
        <v>131.79300000000001</v>
      </c>
      <c r="AD1119" s="122">
        <f>AE1119</f>
        <v>67.305999999999997</v>
      </c>
      <c r="AE1119" s="403">
        <v>67.305999999999997</v>
      </c>
      <c r="AF1119" s="302">
        <v>58.841999999999999</v>
      </c>
      <c r="AG1119" s="302">
        <v>60.96</v>
      </c>
      <c r="AH1119" s="302">
        <v>45.999000000000002</v>
      </c>
      <c r="AI1119" s="122">
        <f>AJ1119</f>
        <v>44.055</v>
      </c>
      <c r="AJ1119" s="403">
        <v>44.055</v>
      </c>
      <c r="AK1119" s="302">
        <v>34.215000000000003</v>
      </c>
      <c r="AL1119" s="302">
        <v>38.802999999999997</v>
      </c>
      <c r="AM1119" s="302">
        <v>41.762999999999998</v>
      </c>
      <c r="AN1119" s="122">
        <f>AO1119</f>
        <v>47.976999999999997</v>
      </c>
      <c r="AO1119" s="403">
        <v>47.976999999999997</v>
      </c>
      <c r="AP1119" s="302">
        <v>33.32</v>
      </c>
      <c r="AQ1119" s="302">
        <v>37.789000000000001</v>
      </c>
      <c r="AR1119" s="302">
        <v>42.185000000000002</v>
      </c>
      <c r="AS1119" s="122">
        <f>AT1119</f>
        <v>61.853999999999999</v>
      </c>
      <c r="AT1119" s="403">
        <v>61.853999999999999</v>
      </c>
      <c r="AU1119" s="302">
        <v>57.499000000000002</v>
      </c>
      <c r="AV1119" s="302">
        <v>58.847999999999999</v>
      </c>
      <c r="AW1119" s="302">
        <v>61.768000000000001</v>
      </c>
      <c r="AX1119" s="122">
        <f>AY1119</f>
        <v>56.585000000000001</v>
      </c>
      <c r="AY1119" s="403">
        <v>56.585000000000001</v>
      </c>
      <c r="AZ1119" s="302">
        <v>48.737000000000002</v>
      </c>
      <c r="BA1119" s="302">
        <v>52.896999999999998</v>
      </c>
      <c r="BB1119" s="302">
        <v>54.247</v>
      </c>
      <c r="BC1119" s="122">
        <f>BD1119</f>
        <v>81.388999999999996</v>
      </c>
      <c r="BD1119" s="403">
        <v>81.388999999999996</v>
      </c>
      <c r="BE1119" s="302">
        <v>70.757999999999996</v>
      </c>
      <c r="BF1119" s="302">
        <v>73.61</v>
      </c>
      <c r="BG1119" s="302">
        <v>76.272000000000006</v>
      </c>
      <c r="BH1119" s="122">
        <f>BI1119</f>
        <v>110.65600000000001</v>
      </c>
      <c r="BI1119" s="403">
        <v>110.65600000000001</v>
      </c>
      <c r="BJ1119" s="1207">
        <v>102.203</v>
      </c>
      <c r="BK1119" s="118">
        <f>BJ1119-BK1014</f>
        <v>100.88921142862364</v>
      </c>
      <c r="BL1119" s="118">
        <f ca="1">BK1119-BL1014</f>
        <v>99.297305120144017</v>
      </c>
      <c r="BM1119" s="118">
        <f ca="1">BL1119-BM1014</f>
        <v>96.822994796140719</v>
      </c>
      <c r="BN1119" s="401">
        <f ca="1">BM1119</f>
        <v>96.822994796140719</v>
      </c>
      <c r="BO1119" s="118">
        <f ca="1">BN1119-BO1014</f>
        <v>95.41708322138085</v>
      </c>
      <c r="BP1119" s="118">
        <f ca="1">BO1119-BP1014</f>
        <v>94.026213894292496</v>
      </c>
      <c r="BQ1119" s="118">
        <f ca="1">BP1119-BQ1014</f>
        <v>92.269424419463448</v>
      </c>
      <c r="BR1119" s="118">
        <f ca="1">BQ1119-BR1014</f>
        <v>89.896359191040176</v>
      </c>
      <c r="BS1119" s="401">
        <f ca="1">BR1119</f>
        <v>89.896359191040176</v>
      </c>
      <c r="BT1119" s="401">
        <f ca="1">BS1119-BT1014</f>
        <v>82.425269094530861</v>
      </c>
      <c r="BU1119" s="401">
        <f ca="1">BT1119-BU1014</f>
        <v>74.285501597077939</v>
      </c>
      <c r="BV1119" s="401">
        <f ca="1">BU1119-BV1014</f>
        <v>65.420463921993914</v>
      </c>
      <c r="BW1119" s="122"/>
    </row>
    <row r="1120" spans="1:75" s="123" customFormat="1" x14ac:dyDescent="0.5">
      <c r="A1120" s="464" t="s">
        <v>1480</v>
      </c>
      <c r="B1120" s="513"/>
      <c r="C1120" s="401"/>
      <c r="D1120" s="401"/>
      <c r="E1120" s="401"/>
      <c r="F1120" s="401"/>
      <c r="G1120" s="118"/>
      <c r="H1120" s="118"/>
      <c r="I1120" s="118"/>
      <c r="J1120" s="118"/>
      <c r="K1120" s="401"/>
      <c r="L1120" s="118"/>
      <c r="M1120" s="118"/>
      <c r="N1120" s="118"/>
      <c r="O1120" s="118"/>
      <c r="P1120" s="401"/>
      <c r="Q1120" s="118"/>
      <c r="R1120" s="118"/>
      <c r="S1120" s="118"/>
      <c r="T1120" s="118"/>
      <c r="U1120" s="401"/>
      <c r="V1120" s="118"/>
      <c r="W1120" s="118"/>
      <c r="X1120" s="118"/>
      <c r="Y1120" s="118"/>
      <c r="Z1120" s="401"/>
      <c r="AA1120" s="118"/>
      <c r="AB1120" s="118"/>
      <c r="AC1120" s="118"/>
      <c r="AD1120" s="118"/>
      <c r="AE1120" s="401"/>
      <c r="AF1120" s="118"/>
      <c r="AG1120" s="302">
        <v>85.673000000000002</v>
      </c>
      <c r="AH1120" s="302">
        <v>85.649000000000001</v>
      </c>
      <c r="AI1120" s="122">
        <f>AJ1120</f>
        <v>85.382000000000005</v>
      </c>
      <c r="AJ1120" s="403">
        <v>85.382000000000005</v>
      </c>
      <c r="AK1120" s="302">
        <v>85.356999999999999</v>
      </c>
      <c r="AL1120" s="302">
        <v>85.347999999999999</v>
      </c>
      <c r="AM1120" s="302">
        <v>85.355000000000004</v>
      </c>
      <c r="AN1120" s="122">
        <f>AO1120</f>
        <v>85.343000000000004</v>
      </c>
      <c r="AO1120" s="403">
        <v>85.343000000000004</v>
      </c>
      <c r="AP1120" s="302">
        <v>85.334999999999994</v>
      </c>
      <c r="AQ1120" s="302">
        <v>85.418999999999997</v>
      </c>
      <c r="AR1120" s="302">
        <v>85.402000000000001</v>
      </c>
      <c r="AS1120" s="122">
        <f>AT1120</f>
        <v>85.445999999999998</v>
      </c>
      <c r="AT1120" s="403">
        <v>85.445999999999998</v>
      </c>
      <c r="AU1120" s="302">
        <v>85.435000000000002</v>
      </c>
      <c r="AV1120" s="302">
        <v>85.421000000000006</v>
      </c>
      <c r="AW1120" s="302">
        <v>85.391999999999996</v>
      </c>
      <c r="AX1120" s="122">
        <f>AY1120</f>
        <v>85.353999999999999</v>
      </c>
      <c r="AY1120" s="403">
        <v>85.353999999999999</v>
      </c>
      <c r="AZ1120" s="302">
        <v>85.298000000000002</v>
      </c>
      <c r="BA1120" s="302">
        <v>85.269000000000005</v>
      </c>
      <c r="BB1120" s="302">
        <v>85.245000000000005</v>
      </c>
      <c r="BC1120" s="122">
        <f>BD1120</f>
        <v>77.307000000000002</v>
      </c>
      <c r="BD1120" s="403">
        <v>77.307000000000002</v>
      </c>
      <c r="BE1120" s="302">
        <v>77.33</v>
      </c>
      <c r="BF1120" s="302">
        <v>77.322000000000003</v>
      </c>
      <c r="BG1120" s="302">
        <v>77.278999999999996</v>
      </c>
      <c r="BH1120" s="122">
        <f>BI1120</f>
        <v>77.305999999999997</v>
      </c>
      <c r="BI1120" s="403">
        <v>77.305999999999997</v>
      </c>
      <c r="BJ1120" s="1207">
        <v>77.292000000000002</v>
      </c>
      <c r="BK1120" s="118">
        <f t="shared" ref="BK1120:BM1121" si="1490">BJ1120</f>
        <v>77.292000000000002</v>
      </c>
      <c r="BL1120" s="118">
        <f t="shared" si="1490"/>
        <v>77.292000000000002</v>
      </c>
      <c r="BM1120" s="118">
        <f t="shared" si="1490"/>
        <v>77.292000000000002</v>
      </c>
      <c r="BN1120" s="401">
        <f>BM1120</f>
        <v>77.292000000000002</v>
      </c>
      <c r="BO1120" s="118">
        <f t="shared" ref="BO1120:BR1121" si="1491">BN1120</f>
        <v>77.292000000000002</v>
      </c>
      <c r="BP1120" s="118">
        <f t="shared" si="1491"/>
        <v>77.292000000000002</v>
      </c>
      <c r="BQ1120" s="118">
        <f t="shared" si="1491"/>
        <v>77.292000000000002</v>
      </c>
      <c r="BR1120" s="118">
        <f t="shared" si="1491"/>
        <v>77.292000000000002</v>
      </c>
      <c r="BS1120" s="401">
        <f>BR1120</f>
        <v>77.292000000000002</v>
      </c>
      <c r="BT1120" s="401">
        <f t="shared" ref="BT1120:BV1121" si="1492">BS1120</f>
        <v>77.292000000000002</v>
      </c>
      <c r="BU1120" s="401">
        <f t="shared" si="1492"/>
        <v>77.292000000000002</v>
      </c>
      <c r="BV1120" s="401">
        <f t="shared" si="1492"/>
        <v>77.292000000000002</v>
      </c>
      <c r="BW1120" s="122"/>
    </row>
    <row r="1121" spans="1:75" s="123" customFormat="1" x14ac:dyDescent="0.5">
      <c r="A1121" s="1292" t="s">
        <v>2156</v>
      </c>
      <c r="B1121" s="677"/>
      <c r="C1121" s="408">
        <v>16.14</v>
      </c>
      <c r="D1121" s="408">
        <v>20.966000000000001</v>
      </c>
      <c r="E1121" s="408">
        <v>37.417999999999999</v>
      </c>
      <c r="F1121" s="408">
        <v>46.472000000000001</v>
      </c>
      <c r="G1121" s="357">
        <v>46.152000000000001</v>
      </c>
      <c r="H1121" s="357">
        <v>54.988999999999997</v>
      </c>
      <c r="I1121" s="357">
        <v>54.764000000000003</v>
      </c>
      <c r="J1121" s="431">
        <f>K1121</f>
        <v>54.514000000000003</v>
      </c>
      <c r="K1121" s="408">
        <v>54.514000000000003</v>
      </c>
      <c r="L1121" s="357">
        <v>53.600999999999999</v>
      </c>
      <c r="M1121" s="357">
        <v>52.087000000000003</v>
      </c>
      <c r="N1121" s="357">
        <v>50.22</v>
      </c>
      <c r="O1121" s="431">
        <f>P1121</f>
        <v>51.076999999999998</v>
      </c>
      <c r="P1121" s="408">
        <v>51.076999999999998</v>
      </c>
      <c r="Q1121" s="357">
        <v>50.085000000000001</v>
      </c>
      <c r="R1121" s="357">
        <v>50.265999999999998</v>
      </c>
      <c r="S1121" s="357">
        <v>47.820999999999998</v>
      </c>
      <c r="T1121" s="431">
        <f>U1121</f>
        <v>52.73</v>
      </c>
      <c r="U1121" s="408">
        <v>52.73</v>
      </c>
      <c r="V1121" s="357">
        <v>52.469000000000001</v>
      </c>
      <c r="W1121" s="357">
        <v>51.177</v>
      </c>
      <c r="X1121" s="357">
        <v>51.54</v>
      </c>
      <c r="Y1121" s="431">
        <f>Z1121</f>
        <v>51.177999999999997</v>
      </c>
      <c r="Z1121" s="408">
        <v>51.177999999999997</v>
      </c>
      <c r="AA1121" s="357">
        <v>54.624000000000002</v>
      </c>
      <c r="AB1121" s="357">
        <v>55.939</v>
      </c>
      <c r="AC1121" s="357">
        <v>56.999000000000002</v>
      </c>
      <c r="AD1121" s="431">
        <f>AE1121</f>
        <v>149.715</v>
      </c>
      <c r="AE1121" s="408">
        <v>149.715</v>
      </c>
      <c r="AF1121" s="357">
        <v>148.52600000000001</v>
      </c>
      <c r="AG1121" s="357">
        <v>64.162999999999997</v>
      </c>
      <c r="AH1121" s="357">
        <v>64.323999999999998</v>
      </c>
      <c r="AI1121" s="431">
        <f>AJ1121</f>
        <v>59.429000000000002</v>
      </c>
      <c r="AJ1121" s="408">
        <v>59.429000000000002</v>
      </c>
      <c r="AK1121" s="357">
        <v>66.144999999999996</v>
      </c>
      <c r="AL1121" s="357">
        <v>65.924000000000007</v>
      </c>
      <c r="AM1121" s="357">
        <v>67.66</v>
      </c>
      <c r="AN1121" s="431">
        <f>AO1121</f>
        <v>69.665999999999997</v>
      </c>
      <c r="AO1121" s="408">
        <v>69.665999999999997</v>
      </c>
      <c r="AP1121" s="357">
        <v>67.795000000000002</v>
      </c>
      <c r="AQ1121" s="357">
        <v>75.028000000000006</v>
      </c>
      <c r="AR1121" s="357">
        <v>85.394000000000005</v>
      </c>
      <c r="AS1121" s="431">
        <f>AT1121</f>
        <v>87.141000000000005</v>
      </c>
      <c r="AT1121" s="408">
        <v>87.141000000000005</v>
      </c>
      <c r="AU1121" s="357">
        <v>88.18</v>
      </c>
      <c r="AV1121" s="357">
        <v>99.146000000000001</v>
      </c>
      <c r="AW1121" s="357">
        <v>101.901</v>
      </c>
      <c r="AX1121" s="431">
        <f>AY1121</f>
        <v>106.25</v>
      </c>
      <c r="AY1121" s="408">
        <v>106.25</v>
      </c>
      <c r="AZ1121" s="357">
        <v>103.31</v>
      </c>
      <c r="BA1121" s="357">
        <v>104.25700000000001</v>
      </c>
      <c r="BB1121" s="357">
        <v>107.631</v>
      </c>
      <c r="BC1121" s="431">
        <f>BD1121</f>
        <v>116.407</v>
      </c>
      <c r="BD1121" s="408">
        <v>116.407</v>
      </c>
      <c r="BE1121" s="357">
        <v>115.498</v>
      </c>
      <c r="BF1121" s="357">
        <v>119.41500000000001</v>
      </c>
      <c r="BG1121" s="357">
        <v>120.639</v>
      </c>
      <c r="BH1121" s="431">
        <f>BI1121</f>
        <v>122.95</v>
      </c>
      <c r="BI1121" s="408">
        <v>122.95</v>
      </c>
      <c r="BJ1121" s="1208">
        <v>128.56299999999999</v>
      </c>
      <c r="BK1121" s="723">
        <f t="shared" si="1490"/>
        <v>128.56299999999999</v>
      </c>
      <c r="BL1121" s="723">
        <f t="shared" si="1490"/>
        <v>128.56299999999999</v>
      </c>
      <c r="BM1121" s="723">
        <f t="shared" si="1490"/>
        <v>128.56299999999999</v>
      </c>
      <c r="BN1121" s="406">
        <f>BM1121</f>
        <v>128.56299999999999</v>
      </c>
      <c r="BO1121" s="723">
        <f t="shared" si="1491"/>
        <v>128.56299999999999</v>
      </c>
      <c r="BP1121" s="723">
        <f t="shared" si="1491"/>
        <v>128.56299999999999</v>
      </c>
      <c r="BQ1121" s="723">
        <f t="shared" si="1491"/>
        <v>128.56299999999999</v>
      </c>
      <c r="BR1121" s="723">
        <f t="shared" si="1491"/>
        <v>128.56299999999999</v>
      </c>
      <c r="BS1121" s="406">
        <f>BR1121</f>
        <v>128.56299999999999</v>
      </c>
      <c r="BT1121" s="406">
        <f t="shared" si="1492"/>
        <v>128.56299999999999</v>
      </c>
      <c r="BU1121" s="406">
        <f t="shared" si="1492"/>
        <v>128.56299999999999</v>
      </c>
      <c r="BV1121" s="406">
        <f t="shared" si="1492"/>
        <v>128.56299999999999</v>
      </c>
      <c r="BW1121" s="122"/>
    </row>
    <row r="1122" spans="1:75" s="198" customFormat="1" ht="14.25" x14ac:dyDescent="0.45">
      <c r="A1122" s="516" t="s">
        <v>1486</v>
      </c>
      <c r="B1122" s="517"/>
      <c r="C1122" s="519">
        <f t="shared" ref="C1122:AH1122" si="1493">SUM(C1117:C1121)</f>
        <v>898.976</v>
      </c>
      <c r="D1122" s="519">
        <f t="shared" si="1493"/>
        <v>784.16800000000001</v>
      </c>
      <c r="E1122" s="519">
        <f t="shared" si="1493"/>
        <v>784.47199999999998</v>
      </c>
      <c r="F1122" s="519">
        <f t="shared" si="1493"/>
        <v>870.90700000000004</v>
      </c>
      <c r="G1122" s="520">
        <f t="shared" si="1493"/>
        <v>874.13900000000012</v>
      </c>
      <c r="H1122" s="520">
        <f t="shared" si="1493"/>
        <v>892.44900000000007</v>
      </c>
      <c r="I1122" s="520">
        <f t="shared" si="1493"/>
        <v>909.25800000000004</v>
      </c>
      <c r="J1122" s="520">
        <f t="shared" si="1493"/>
        <v>917.63099999999997</v>
      </c>
      <c r="K1122" s="519">
        <f t="shared" si="1493"/>
        <v>917.63099999999997</v>
      </c>
      <c r="L1122" s="520">
        <f t="shared" si="1493"/>
        <v>890.61299999999994</v>
      </c>
      <c r="M1122" s="520">
        <f t="shared" si="1493"/>
        <v>902.19799999999998</v>
      </c>
      <c r="N1122" s="520">
        <f t="shared" si="1493"/>
        <v>921.03200000000004</v>
      </c>
      <c r="O1122" s="520">
        <f t="shared" si="1493"/>
        <v>938.35399999999993</v>
      </c>
      <c r="P1122" s="519">
        <f t="shared" si="1493"/>
        <v>938.35399999999993</v>
      </c>
      <c r="Q1122" s="520">
        <f t="shared" si="1493"/>
        <v>926.87</v>
      </c>
      <c r="R1122" s="520">
        <f t="shared" si="1493"/>
        <v>925.26799999999992</v>
      </c>
      <c r="S1122" s="520">
        <f t="shared" si="1493"/>
        <v>933.83999999999992</v>
      </c>
      <c r="T1122" s="520">
        <f t="shared" si="1493"/>
        <v>1081.327</v>
      </c>
      <c r="U1122" s="519">
        <f t="shared" si="1493"/>
        <v>1081.327</v>
      </c>
      <c r="V1122" s="520">
        <f t="shared" si="1493"/>
        <v>1077.7060000000001</v>
      </c>
      <c r="W1122" s="520">
        <f t="shared" si="1493"/>
        <v>1094.4599999999998</v>
      </c>
      <c r="X1122" s="520">
        <f t="shared" si="1493"/>
        <v>1106.1179999999999</v>
      </c>
      <c r="Y1122" s="520">
        <f t="shared" si="1493"/>
        <v>1109.6990000000001</v>
      </c>
      <c r="Z1122" s="519">
        <f t="shared" si="1493"/>
        <v>1109.6990000000001</v>
      </c>
      <c r="AA1122" s="520">
        <f t="shared" si="1493"/>
        <v>1100.1320000000001</v>
      </c>
      <c r="AB1122" s="520">
        <f t="shared" si="1493"/>
        <v>1115.4820000000002</v>
      </c>
      <c r="AC1122" s="520">
        <f t="shared" si="1493"/>
        <v>1119.923</v>
      </c>
      <c r="AD1122" s="520">
        <f t="shared" si="1493"/>
        <v>1149.3040000000001</v>
      </c>
      <c r="AE1122" s="519">
        <f t="shared" si="1493"/>
        <v>1149.3040000000001</v>
      </c>
      <c r="AF1122" s="520">
        <f t="shared" si="1493"/>
        <v>1133.6880000000001</v>
      </c>
      <c r="AG1122" s="520">
        <f t="shared" si="1493"/>
        <v>1130.4850000000001</v>
      </c>
      <c r="AH1122" s="520">
        <f t="shared" si="1493"/>
        <v>1127.3330000000001</v>
      </c>
      <c r="AI1122" s="520">
        <f t="shared" ref="AI1122:BV1122" si="1494">SUM(AI1117:AI1121)</f>
        <v>1118.501</v>
      </c>
      <c r="AJ1122" s="519">
        <f t="shared" si="1494"/>
        <v>1118.501</v>
      </c>
      <c r="AK1122" s="520">
        <f t="shared" si="1494"/>
        <v>2302.7190000000001</v>
      </c>
      <c r="AL1122" s="520">
        <f t="shared" si="1494"/>
        <v>2311.6619999999998</v>
      </c>
      <c r="AM1122" s="520">
        <f t="shared" si="1494"/>
        <v>2304.5789999999997</v>
      </c>
      <c r="AN1122" s="520">
        <f t="shared" si="1494"/>
        <v>2298.4070000000002</v>
      </c>
      <c r="AO1122" s="519">
        <f t="shared" si="1494"/>
        <v>2298.4070000000002</v>
      </c>
      <c r="AP1122" s="520">
        <f t="shared" si="1494"/>
        <v>2269.0710000000004</v>
      </c>
      <c r="AQ1122" s="520">
        <f t="shared" si="1494"/>
        <v>2231.866</v>
      </c>
      <c r="AR1122" s="520">
        <f t="shared" si="1494"/>
        <v>2173.7219999999998</v>
      </c>
      <c r="AS1122" s="520">
        <f t="shared" si="1494"/>
        <v>2194.3440000000001</v>
      </c>
      <c r="AT1122" s="519">
        <f t="shared" si="1494"/>
        <v>2194.3440000000001</v>
      </c>
      <c r="AU1122" s="520">
        <f t="shared" si="1494"/>
        <v>2161.2440000000001</v>
      </c>
      <c r="AV1122" s="520">
        <f t="shared" si="1494"/>
        <v>2171.3269999999998</v>
      </c>
      <c r="AW1122" s="520">
        <f t="shared" si="1494"/>
        <v>2300.6019999999999</v>
      </c>
      <c r="AX1122" s="520">
        <f t="shared" si="1494"/>
        <v>2301.7259999999997</v>
      </c>
      <c r="AY1122" s="519">
        <f t="shared" si="1494"/>
        <v>2301.7259999999997</v>
      </c>
      <c r="AZ1122" s="520">
        <f t="shared" si="1494"/>
        <v>2281.8610000000003</v>
      </c>
      <c r="BA1122" s="520">
        <f t="shared" si="1494"/>
        <v>2390.453</v>
      </c>
      <c r="BB1122" s="520">
        <f t="shared" si="1494"/>
        <v>2533.2749999999996</v>
      </c>
      <c r="BC1122" s="520">
        <f t="shared" si="1494"/>
        <v>2626.9360000000001</v>
      </c>
      <c r="BD1122" s="519">
        <f t="shared" si="1494"/>
        <v>2626.9360000000001</v>
      </c>
      <c r="BE1122" s="520">
        <f t="shared" si="1494"/>
        <v>2572.2109999999998</v>
      </c>
      <c r="BF1122" s="520">
        <f t="shared" si="1494"/>
        <v>2539.6790000000001</v>
      </c>
      <c r="BG1122" s="520">
        <f t="shared" si="1494"/>
        <v>2536.4339999999997</v>
      </c>
      <c r="BH1122" s="520">
        <f t="shared" si="1494"/>
        <v>2553.7509999999997</v>
      </c>
      <c r="BI1122" s="519">
        <f t="shared" si="1494"/>
        <v>2553.7509999999997</v>
      </c>
      <c r="BJ1122" s="1270">
        <f>SUM(BJ1117:BJ1121)</f>
        <v>2486.0010000000002</v>
      </c>
      <c r="BK1122" s="327">
        <f t="shared" si="1494"/>
        <v>2481.2556121833409</v>
      </c>
      <c r="BL1122" s="327">
        <f t="shared" ca="1" si="1494"/>
        <v>2491.417283494512</v>
      </c>
      <c r="BM1122" s="327">
        <f t="shared" ca="1" si="1494"/>
        <v>2501.4176340498852</v>
      </c>
      <c r="BN1122" s="518">
        <f t="shared" ca="1" si="1494"/>
        <v>2501.4176340498852</v>
      </c>
      <c r="BO1122" s="327">
        <f t="shared" ca="1" si="1494"/>
        <v>2524.4087773161691</v>
      </c>
      <c r="BP1122" s="327">
        <f t="shared" ca="1" si="1494"/>
        <v>2556.0731248138677</v>
      </c>
      <c r="BQ1122" s="327">
        <f t="shared" ca="1" si="1494"/>
        <v>2590.5535152384623</v>
      </c>
      <c r="BR1122" s="327">
        <f t="shared" ca="1" si="1494"/>
        <v>2637.4245850149937</v>
      </c>
      <c r="BS1122" s="518">
        <f t="shared" ca="1" si="1494"/>
        <v>2637.4245850149937</v>
      </c>
      <c r="BT1122" s="518">
        <f t="shared" ca="1" si="1494"/>
        <v>2776.0963252372148</v>
      </c>
      <c r="BU1122" s="518">
        <f t="shared" ca="1" si="1494"/>
        <v>2881.9479653883714</v>
      </c>
      <c r="BV1122" s="518">
        <f t="shared" ca="1" si="1494"/>
        <v>2961.9962256792023</v>
      </c>
      <c r="BW1122" s="197"/>
    </row>
    <row r="1123" spans="1:75" s="198" customFormat="1" ht="14.25" x14ac:dyDescent="0.45">
      <c r="A1123" s="463" t="s">
        <v>1487</v>
      </c>
      <c r="B1123" s="522"/>
      <c r="C1123" s="672">
        <f t="shared" ref="C1123:BN1123" si="1495">C1114+C1122</f>
        <v>2079.1689999999999</v>
      </c>
      <c r="D1123" s="672">
        <f t="shared" si="1495"/>
        <v>2131.7619999999997</v>
      </c>
      <c r="E1123" s="672">
        <f t="shared" si="1495"/>
        <v>2060.8380000000002</v>
      </c>
      <c r="F1123" s="672">
        <f t="shared" si="1495"/>
        <v>2187.6790000000001</v>
      </c>
      <c r="G1123" s="197">
        <f t="shared" si="1495"/>
        <v>2063.2190000000001</v>
      </c>
      <c r="H1123" s="197">
        <f t="shared" si="1495"/>
        <v>2124.1779999999999</v>
      </c>
      <c r="I1123" s="197">
        <f t="shared" si="1495"/>
        <v>2226.442</v>
      </c>
      <c r="J1123" s="197">
        <f t="shared" si="1495"/>
        <v>2336.7339999999999</v>
      </c>
      <c r="K1123" s="672">
        <f t="shared" si="1495"/>
        <v>2336.7339999999999</v>
      </c>
      <c r="L1123" s="197">
        <f t="shared" si="1495"/>
        <v>2168.1</v>
      </c>
      <c r="M1123" s="197">
        <f t="shared" si="1495"/>
        <v>2163.5480000000002</v>
      </c>
      <c r="N1123" s="197">
        <f t="shared" si="1495"/>
        <v>2303.9470000000001</v>
      </c>
      <c r="O1123" s="197">
        <f t="shared" si="1495"/>
        <v>2330.277</v>
      </c>
      <c r="P1123" s="672">
        <f t="shared" si="1495"/>
        <v>2330.277</v>
      </c>
      <c r="Q1123" s="197">
        <f t="shared" si="1495"/>
        <v>2251.0889999999995</v>
      </c>
      <c r="R1123" s="197">
        <f t="shared" si="1495"/>
        <v>2395.971</v>
      </c>
      <c r="S1123" s="197">
        <f t="shared" si="1495"/>
        <v>2435.6759999999995</v>
      </c>
      <c r="T1123" s="197">
        <f t="shared" si="1495"/>
        <v>2417.4270000000001</v>
      </c>
      <c r="U1123" s="672">
        <f t="shared" si="1495"/>
        <v>2417.4270000000001</v>
      </c>
      <c r="V1123" s="197">
        <f t="shared" si="1495"/>
        <v>2290.3680000000004</v>
      </c>
      <c r="W1123" s="197">
        <f t="shared" si="1495"/>
        <v>2373.5639999999994</v>
      </c>
      <c r="X1123" s="197">
        <f t="shared" si="1495"/>
        <v>2453.3319999999999</v>
      </c>
      <c r="Y1123" s="197">
        <f t="shared" si="1495"/>
        <v>2476.8789999999999</v>
      </c>
      <c r="Z1123" s="672">
        <f t="shared" si="1495"/>
        <v>2476.8789999999999</v>
      </c>
      <c r="AA1123" s="197">
        <f t="shared" si="1495"/>
        <v>2391.1769999999997</v>
      </c>
      <c r="AB1123" s="197">
        <f t="shared" si="1495"/>
        <v>2479.8600000000006</v>
      </c>
      <c r="AC1123" s="197">
        <f t="shared" si="1495"/>
        <v>2580.384</v>
      </c>
      <c r="AD1123" s="197">
        <f t="shared" si="1495"/>
        <v>2785.7489999999998</v>
      </c>
      <c r="AE1123" s="672">
        <f t="shared" si="1495"/>
        <v>2785.7489999999998</v>
      </c>
      <c r="AF1123" s="197">
        <f t="shared" si="1495"/>
        <v>2656.9050000000002</v>
      </c>
      <c r="AG1123" s="197">
        <f t="shared" si="1495"/>
        <v>2607.9769999999999</v>
      </c>
      <c r="AH1123" s="197">
        <f t="shared" si="1495"/>
        <v>2718.759</v>
      </c>
      <c r="AI1123" s="197">
        <f t="shared" si="1495"/>
        <v>2812.8440000000001</v>
      </c>
      <c r="AJ1123" s="672">
        <f t="shared" si="1495"/>
        <v>2812.8440000000001</v>
      </c>
      <c r="AK1123" s="197">
        <f t="shared" si="1495"/>
        <v>3788.3649999999998</v>
      </c>
      <c r="AL1123" s="197">
        <f t="shared" si="1495"/>
        <v>3869.681</v>
      </c>
      <c r="AM1123" s="197">
        <f t="shared" si="1495"/>
        <v>3963.8239999999996</v>
      </c>
      <c r="AN1123" s="197">
        <f t="shared" si="1495"/>
        <v>4054.0420000000004</v>
      </c>
      <c r="AO1123" s="672">
        <f t="shared" si="1495"/>
        <v>4054.0420000000004</v>
      </c>
      <c r="AP1123" s="197">
        <f t="shared" si="1495"/>
        <v>4418.1150000000007</v>
      </c>
      <c r="AQ1123" s="197">
        <f t="shared" si="1495"/>
        <v>4487.2960000000003</v>
      </c>
      <c r="AR1123" s="197">
        <f t="shared" si="1495"/>
        <v>4310.6790000000001</v>
      </c>
      <c r="AS1123" s="197">
        <f t="shared" si="1495"/>
        <v>4661.424</v>
      </c>
      <c r="AT1123" s="672">
        <f t="shared" si="1495"/>
        <v>4661.424</v>
      </c>
      <c r="AU1123" s="197">
        <f t="shared" si="1495"/>
        <v>4110.24</v>
      </c>
      <c r="AV1123" s="197">
        <f t="shared" si="1495"/>
        <v>4245.0369999999994</v>
      </c>
      <c r="AW1123" s="197">
        <f t="shared" si="1495"/>
        <v>4477.3239999999996</v>
      </c>
      <c r="AX1123" s="197">
        <f t="shared" si="1495"/>
        <v>4625.619999999999</v>
      </c>
      <c r="AY1123" s="672">
        <f t="shared" si="1495"/>
        <v>4625.619999999999</v>
      </c>
      <c r="AZ1123" s="197">
        <f t="shared" si="1495"/>
        <v>4210.7130000000006</v>
      </c>
      <c r="BA1123" s="197">
        <f t="shared" si="1495"/>
        <v>4319.174</v>
      </c>
      <c r="BB1123" s="197">
        <f t="shared" si="1495"/>
        <v>4594.0069999999996</v>
      </c>
      <c r="BC1123" s="197">
        <f t="shared" si="1495"/>
        <v>4663.0160000000005</v>
      </c>
      <c r="BD1123" s="672">
        <f t="shared" si="1495"/>
        <v>4663.0160000000005</v>
      </c>
      <c r="BE1123" s="197">
        <f t="shared" si="1495"/>
        <v>4471.0370000000003</v>
      </c>
      <c r="BF1123" s="197">
        <f t="shared" si="1495"/>
        <v>4571.8109999999997</v>
      </c>
      <c r="BG1123" s="197">
        <f t="shared" si="1495"/>
        <v>4883.7690000000002</v>
      </c>
      <c r="BH1123" s="197">
        <f t="shared" si="1495"/>
        <v>5273.5479999999998</v>
      </c>
      <c r="BI1123" s="672">
        <f t="shared" si="1495"/>
        <v>5273.5479999999998</v>
      </c>
      <c r="BJ1123" s="1273">
        <f>BJ1114+BJ1122</f>
        <v>5159.9790000000003</v>
      </c>
      <c r="BK1123" s="295">
        <f t="shared" ca="1" si="1495"/>
        <v>5173.7552289556388</v>
      </c>
      <c r="BL1123" s="295">
        <f t="shared" ca="1" si="1495"/>
        <v>5580.8102456509741</v>
      </c>
      <c r="BM1123" s="295">
        <f t="shared" ca="1" si="1495"/>
        <v>5977.9393466621877</v>
      </c>
      <c r="BN1123" s="397">
        <f t="shared" ca="1" si="1495"/>
        <v>5977.9393466621877</v>
      </c>
      <c r="BO1123" s="295">
        <f t="shared" ref="BO1123:BV1123" ca="1" si="1496">BO1114+BO1122</f>
        <v>5981.4716470612475</v>
      </c>
      <c r="BP1123" s="295">
        <f t="shared" ca="1" si="1496"/>
        <v>6029.6023431012427</v>
      </c>
      <c r="BQ1123" s="295">
        <f t="shared" ca="1" si="1496"/>
        <v>6499.1964848682219</v>
      </c>
      <c r="BR1123" s="295">
        <f t="shared" ca="1" si="1496"/>
        <v>6873.2349930991832</v>
      </c>
      <c r="BS1123" s="397">
        <f t="shared" ca="1" si="1496"/>
        <v>6873.2349930991832</v>
      </c>
      <c r="BT1123" s="397">
        <f t="shared" ca="1" si="1496"/>
        <v>7921.2633675228644</v>
      </c>
      <c r="BU1123" s="397">
        <f t="shared" ca="1" si="1496"/>
        <v>9096.3731854502948</v>
      </c>
      <c r="BV1123" s="397">
        <f t="shared" ca="1" si="1496"/>
        <v>10398.701601186975</v>
      </c>
      <c r="BW1123" s="197"/>
    </row>
    <row r="1124" spans="1:75" s="198" customFormat="1" ht="14.25" x14ac:dyDescent="0.45">
      <c r="A1124" s="206"/>
      <c r="B1124" s="522"/>
      <c r="C1124" s="397"/>
      <c r="D1124" s="397"/>
      <c r="E1124" s="397"/>
      <c r="F1124" s="397"/>
      <c r="G1124" s="295"/>
      <c r="H1124" s="295"/>
      <c r="I1124" s="295"/>
      <c r="J1124" s="295"/>
      <c r="K1124" s="397"/>
      <c r="L1124" s="295"/>
      <c r="M1124" s="295"/>
      <c r="N1124" s="295"/>
      <c r="O1124" s="295"/>
      <c r="P1124" s="397"/>
      <c r="Q1124" s="295"/>
      <c r="R1124" s="295"/>
      <c r="S1124" s="295"/>
      <c r="T1124" s="295"/>
      <c r="U1124" s="397"/>
      <c r="V1124" s="295"/>
      <c r="W1124" s="295"/>
      <c r="X1124" s="295"/>
      <c r="Y1124" s="295"/>
      <c r="Z1124" s="397"/>
      <c r="AA1124" s="295"/>
      <c r="AB1124" s="295"/>
      <c r="AC1124" s="295"/>
      <c r="AD1124" s="295"/>
      <c r="AE1124" s="397"/>
      <c r="AF1124" s="295"/>
      <c r="AG1124" s="295"/>
      <c r="AH1124" s="295"/>
      <c r="AI1124" s="295"/>
      <c r="AJ1124" s="397"/>
      <c r="AK1124" s="295"/>
      <c r="AL1124" s="295"/>
      <c r="AM1124" s="295"/>
      <c r="AN1124" s="295"/>
      <c r="AO1124" s="397"/>
      <c r="AP1124" s="295"/>
      <c r="AQ1124" s="295"/>
      <c r="AR1124" s="295"/>
      <c r="AS1124" s="295"/>
      <c r="AT1124" s="397"/>
      <c r="AU1124" s="295"/>
      <c r="AV1124" s="295"/>
      <c r="AW1124" s="295"/>
      <c r="AX1124" s="295"/>
      <c r="AY1124" s="397"/>
      <c r="AZ1124" s="295"/>
      <c r="BA1124" s="295"/>
      <c r="BB1124" s="295"/>
      <c r="BC1124" s="295"/>
      <c r="BD1124" s="397"/>
      <c r="BE1124" s="295"/>
      <c r="BF1124" s="295"/>
      <c r="BG1124" s="295"/>
      <c r="BH1124" s="295"/>
      <c r="BI1124" s="397"/>
      <c r="BJ1124" s="1030"/>
      <c r="BK1124" s="295"/>
      <c r="BL1124" s="295"/>
      <c r="BM1124" s="295"/>
      <c r="BN1124" s="397"/>
      <c r="BO1124" s="295"/>
      <c r="BP1124" s="295"/>
      <c r="BQ1124" s="295"/>
      <c r="BR1124" s="295"/>
      <c r="BS1124" s="397"/>
      <c r="BT1124" s="397"/>
      <c r="BU1124" s="397"/>
      <c r="BV1124" s="397"/>
      <c r="BW1124" s="197"/>
    </row>
    <row r="1125" spans="1:75" s="198" customFormat="1" ht="14.25" x14ac:dyDescent="0.45">
      <c r="A1125" s="463" t="s">
        <v>1488</v>
      </c>
      <c r="B1125" s="522"/>
      <c r="C1125" s="397"/>
      <c r="D1125" s="397"/>
      <c r="E1125" s="397"/>
      <c r="F1125" s="397"/>
      <c r="G1125" s="295"/>
      <c r="H1125" s="295"/>
      <c r="I1125" s="295"/>
      <c r="J1125" s="295"/>
      <c r="K1125" s="397"/>
      <c r="L1125" s="295"/>
      <c r="M1125" s="295"/>
      <c r="N1125" s="295"/>
      <c r="O1125" s="295"/>
      <c r="P1125" s="397"/>
      <c r="Q1125" s="295"/>
      <c r="R1125" s="295"/>
      <c r="S1125" s="295"/>
      <c r="T1125" s="295"/>
      <c r="U1125" s="397"/>
      <c r="V1125" s="295"/>
      <c r="W1125" s="295"/>
      <c r="X1125" s="295"/>
      <c r="Y1125" s="295"/>
      <c r="Z1125" s="397"/>
      <c r="AA1125" s="295"/>
      <c r="AB1125" s="295"/>
      <c r="AC1125" s="295"/>
      <c r="AD1125" s="295"/>
      <c r="AE1125" s="397"/>
      <c r="AF1125" s="295"/>
      <c r="AG1125" s="295"/>
      <c r="AH1125" s="295"/>
      <c r="AI1125" s="295"/>
      <c r="AJ1125" s="397"/>
      <c r="AK1125" s="295"/>
      <c r="AL1125" s="295"/>
      <c r="AM1125" s="295"/>
      <c r="AN1125" s="295"/>
      <c r="AO1125" s="397"/>
      <c r="AP1125" s="295"/>
      <c r="AQ1125" s="295"/>
      <c r="AR1125" s="295"/>
      <c r="AS1125" s="295"/>
      <c r="AT1125" s="397"/>
      <c r="AU1125" s="295"/>
      <c r="AV1125" s="295"/>
      <c r="AW1125" s="295"/>
      <c r="AX1125" s="295"/>
      <c r="AY1125" s="397"/>
      <c r="AZ1125" s="295"/>
      <c r="BA1125" s="295"/>
      <c r="BB1125" s="295"/>
      <c r="BC1125" s="295"/>
      <c r="BD1125" s="397"/>
      <c r="BE1125" s="295"/>
      <c r="BF1125" s="295"/>
      <c r="BG1125" s="295"/>
      <c r="BH1125" s="295"/>
      <c r="BI1125" s="397"/>
      <c r="BJ1125" s="1030"/>
      <c r="BK1125" s="295"/>
      <c r="BL1125" s="295"/>
      <c r="BM1125" s="295"/>
      <c r="BN1125" s="397"/>
      <c r="BO1125" s="295"/>
      <c r="BP1125" s="295"/>
      <c r="BQ1125" s="295"/>
      <c r="BR1125" s="295"/>
      <c r="BS1125" s="397"/>
      <c r="BT1125" s="397"/>
      <c r="BU1125" s="397"/>
      <c r="BV1125" s="397"/>
      <c r="BW1125" s="197"/>
    </row>
    <row r="1126" spans="1:75" s="123" customFormat="1" x14ac:dyDescent="0.5">
      <c r="A1126" s="464" t="s">
        <v>1489</v>
      </c>
      <c r="B1126" s="513"/>
      <c r="C1126" s="403">
        <v>188.24100000000001</v>
      </c>
      <c r="D1126" s="403">
        <v>227.96299999999999</v>
      </c>
      <c r="E1126" s="403">
        <v>218.32900000000001</v>
      </c>
      <c r="F1126" s="403">
        <v>259.16199999999998</v>
      </c>
      <c r="G1126" s="302">
        <v>211.08600000000001</v>
      </c>
      <c r="H1126" s="302">
        <v>318.53199999999998</v>
      </c>
      <c r="I1126" s="302">
        <v>433.92599999999999</v>
      </c>
      <c r="J1126" s="122">
        <f>K1126</f>
        <v>404.791</v>
      </c>
      <c r="K1126" s="403">
        <v>404.791</v>
      </c>
      <c r="L1126" s="302">
        <v>369.279</v>
      </c>
      <c r="M1126" s="302">
        <v>336.47</v>
      </c>
      <c r="N1126" s="302">
        <v>411.23200000000003</v>
      </c>
      <c r="O1126" s="122">
        <f>P1126</f>
        <v>397.03699999999998</v>
      </c>
      <c r="P1126" s="403">
        <v>397.03699999999998</v>
      </c>
      <c r="Q1126" s="302">
        <v>367.52499999999998</v>
      </c>
      <c r="R1126" s="302">
        <v>416.27600000000001</v>
      </c>
      <c r="S1126" s="302">
        <v>395.03300000000002</v>
      </c>
      <c r="T1126" s="122">
        <f>U1126</f>
        <v>447.41199999999998</v>
      </c>
      <c r="U1126" s="403">
        <v>447.41199999999998</v>
      </c>
      <c r="V1126" s="302">
        <v>339.392</v>
      </c>
      <c r="W1126" s="302">
        <v>391.59699999999998</v>
      </c>
      <c r="X1126" s="302">
        <v>450.14400000000001</v>
      </c>
      <c r="Y1126" s="122">
        <f>Z1126</f>
        <v>453.71</v>
      </c>
      <c r="Z1126" s="403">
        <v>453.71</v>
      </c>
      <c r="AA1126" s="302">
        <v>399.33600000000001</v>
      </c>
      <c r="AB1126" s="302">
        <v>429.7</v>
      </c>
      <c r="AC1126" s="302">
        <v>470.78300000000002</v>
      </c>
      <c r="AD1126" s="122">
        <f>AE1126</f>
        <v>459.37799999999999</v>
      </c>
      <c r="AE1126" s="403">
        <v>459.37799999999999</v>
      </c>
      <c r="AF1126" s="302">
        <v>393.02499999999998</v>
      </c>
      <c r="AG1126" s="302">
        <v>466.90300000000002</v>
      </c>
      <c r="AH1126" s="302">
        <v>487.733</v>
      </c>
      <c r="AI1126" s="122">
        <f>AJ1126</f>
        <v>526.702</v>
      </c>
      <c r="AJ1126" s="403">
        <v>526.702</v>
      </c>
      <c r="AK1126" s="302">
        <v>385.64600000000002</v>
      </c>
      <c r="AL1126" s="302">
        <v>404.33699999999999</v>
      </c>
      <c r="AM1126" s="302">
        <v>444.279</v>
      </c>
      <c r="AN1126" s="122">
        <f t="shared" ref="AN1126:AN1133" si="1497">AO1126</f>
        <v>521.23500000000001</v>
      </c>
      <c r="AO1126" s="403">
        <v>521.23500000000001</v>
      </c>
      <c r="AP1126" s="302">
        <v>423.375</v>
      </c>
      <c r="AQ1126" s="302">
        <v>373.08600000000001</v>
      </c>
      <c r="AR1126" s="302">
        <v>562.29399999999998</v>
      </c>
      <c r="AS1126" s="122">
        <f t="shared" ref="AS1126:AS1133" si="1498">AT1126</f>
        <v>542.99199999999996</v>
      </c>
      <c r="AT1126" s="403">
        <v>542.99199999999996</v>
      </c>
      <c r="AU1126" s="302">
        <v>574.87599999999998</v>
      </c>
      <c r="AV1126" s="302">
        <v>601.87900000000002</v>
      </c>
      <c r="AW1126" s="302">
        <v>638.37099999999998</v>
      </c>
      <c r="AX1126" s="122">
        <f t="shared" ref="AX1126:AX1133" si="1499">AY1126</f>
        <v>612.51199999999994</v>
      </c>
      <c r="AY1126" s="403">
        <v>612.51199999999994</v>
      </c>
      <c r="AZ1126" s="302">
        <v>642.61900000000003</v>
      </c>
      <c r="BA1126" s="302">
        <v>680.09699999999998</v>
      </c>
      <c r="BB1126" s="302">
        <v>720.85599999999999</v>
      </c>
      <c r="BC1126" s="122">
        <f t="shared" ref="BC1126:BC1133" si="1500">BD1126</f>
        <v>508.32100000000003</v>
      </c>
      <c r="BD1126" s="403">
        <v>508.32100000000003</v>
      </c>
      <c r="BE1126" s="302">
        <v>629.56100000000004</v>
      </c>
      <c r="BF1126" s="302">
        <v>597.10400000000004</v>
      </c>
      <c r="BG1126" s="302">
        <v>675.505</v>
      </c>
      <c r="BH1126" s="122">
        <f t="shared" ref="BH1126:BH1133" si="1501">BI1126</f>
        <v>607.87699999999995</v>
      </c>
      <c r="BI1126" s="403">
        <v>607.87699999999995</v>
      </c>
      <c r="BJ1126" s="1207">
        <v>502.13600000000002</v>
      </c>
      <c r="BK1126" s="118">
        <f>(BK$749+BJ$749+BH$749+BG$749)*BK1070</f>
        <v>552.16694885648883</v>
      </c>
      <c r="BL1126" s="118">
        <f>(BL$749+BK$749+BJ$749+BH$749)*BL1070</f>
        <v>649.4661629393712</v>
      </c>
      <c r="BM1126" s="118">
        <f>(BM$749+BL$749+BK$749+BJ$749)*BM1070</f>
        <v>605.79254908377538</v>
      </c>
      <c r="BN1126" s="401">
        <f>BM1126</f>
        <v>605.79254908377538</v>
      </c>
      <c r="BO1126" s="118">
        <f>(BO$749+BM$749+BL$749+BK$749)*BO1070</f>
        <v>511.73614867707772</v>
      </c>
      <c r="BP1126" s="118">
        <f>(BP$749+BO$749+BM$749+BL$749)*BP1070</f>
        <v>569.84377748620932</v>
      </c>
      <c r="BQ1126" s="118">
        <f>(BQ$749+BP$749+BO$749+BM$749)*BQ1070</f>
        <v>678.71868422934745</v>
      </c>
      <c r="BR1126" s="118">
        <f>(BR$749+BQ$749+BP$749+BO$749)*BR1070</f>
        <v>620.93238064089394</v>
      </c>
      <c r="BS1126" s="401">
        <f>BR1126</f>
        <v>620.93238064089394</v>
      </c>
      <c r="BT1126" s="401">
        <f>BT749*BT1070</f>
        <v>661.10258999119435</v>
      </c>
      <c r="BU1126" s="401">
        <f>BU749*BU1070</f>
        <v>708.60501901643954</v>
      </c>
      <c r="BV1126" s="401">
        <f>BV749*BV1070</f>
        <v>759.62630272696595</v>
      </c>
      <c r="BW1126" s="122"/>
    </row>
    <row r="1127" spans="1:75" s="123" customFormat="1" x14ac:dyDescent="0.5">
      <c r="A1127" s="464" t="s">
        <v>2157</v>
      </c>
      <c r="B1127" s="513"/>
      <c r="C1127" s="403">
        <v>107.71</v>
      </c>
      <c r="D1127" s="403">
        <v>122.44</v>
      </c>
      <c r="E1127" s="403">
        <v>111.774</v>
      </c>
      <c r="F1127" s="403">
        <v>120.63200000000001</v>
      </c>
      <c r="G1127" s="302">
        <v>84.885999999999996</v>
      </c>
      <c r="H1127" s="302">
        <v>95.762</v>
      </c>
      <c r="I1127" s="302">
        <v>110.116</v>
      </c>
      <c r="J1127" s="122">
        <f>K1127</f>
        <v>138.18100000000001</v>
      </c>
      <c r="K1127" s="403">
        <v>138.18100000000001</v>
      </c>
      <c r="L1127" s="302">
        <v>88.796000000000006</v>
      </c>
      <c r="M1127" s="302">
        <v>101.818</v>
      </c>
      <c r="N1127" s="302">
        <v>117.41</v>
      </c>
      <c r="O1127" s="122">
        <f>P1127</f>
        <v>136.012</v>
      </c>
      <c r="P1127" s="403">
        <v>136.012</v>
      </c>
      <c r="Q1127" s="302">
        <v>87.066999999999993</v>
      </c>
      <c r="R1127" s="302">
        <v>103.69499999999999</v>
      </c>
      <c r="S1127" s="302">
        <v>115.72</v>
      </c>
      <c r="T1127" s="122">
        <f>U1127</f>
        <v>127.122</v>
      </c>
      <c r="U1127" s="403">
        <v>127.122</v>
      </c>
      <c r="V1127" s="302">
        <v>96.576999999999998</v>
      </c>
      <c r="W1127" s="302">
        <v>103.04</v>
      </c>
      <c r="X1127" s="302">
        <v>111.44499999999999</v>
      </c>
      <c r="Y1127" s="122">
        <f>Z1127</f>
        <v>130.18700000000001</v>
      </c>
      <c r="Z1127" s="403">
        <v>130.18700000000001</v>
      </c>
      <c r="AA1127" s="302">
        <v>91.037999999999997</v>
      </c>
      <c r="AB1127" s="302">
        <v>100.55</v>
      </c>
      <c r="AC1127" s="302">
        <v>103.349</v>
      </c>
      <c r="AD1127" s="122">
        <f>AE1127</f>
        <v>135.88399999999999</v>
      </c>
      <c r="AE1127" s="403">
        <v>135.88399999999999</v>
      </c>
      <c r="AF1127" s="302">
        <v>99.822999999999993</v>
      </c>
      <c r="AG1127" s="302">
        <v>112.381</v>
      </c>
      <c r="AH1127" s="302">
        <v>132.398</v>
      </c>
      <c r="AI1127" s="122">
        <f>AJ1127</f>
        <v>163.559</v>
      </c>
      <c r="AJ1127" s="403">
        <v>163.559</v>
      </c>
      <c r="AK1127" s="302">
        <v>109.169</v>
      </c>
      <c r="AL1127" s="302">
        <v>127.137</v>
      </c>
      <c r="AM1127" s="302">
        <v>140.78899999999999</v>
      </c>
      <c r="AN1127" s="122">
        <f t="shared" si="1497"/>
        <v>175.00299999999999</v>
      </c>
      <c r="AO1127" s="403">
        <v>175.00299999999999</v>
      </c>
      <c r="AP1127" s="302">
        <v>137.495</v>
      </c>
      <c r="AQ1127" s="302">
        <v>158.40700000000001</v>
      </c>
      <c r="AR1127" s="302">
        <v>194.98500000000001</v>
      </c>
      <c r="AS1127" s="122">
        <f t="shared" si="1498"/>
        <v>267.59199999999998</v>
      </c>
      <c r="AT1127" s="403">
        <v>267.59199999999998</v>
      </c>
      <c r="AU1127" s="302">
        <v>174.13900000000001</v>
      </c>
      <c r="AV1127" s="302">
        <v>224.089</v>
      </c>
      <c r="AW1127" s="302">
        <v>273.72199999999998</v>
      </c>
      <c r="AX1127" s="122">
        <f t="shared" si="1499"/>
        <v>319.92399999999998</v>
      </c>
      <c r="AY1127" s="403">
        <v>319.92399999999998</v>
      </c>
      <c r="AZ1127" s="302">
        <v>183.72900000000001</v>
      </c>
      <c r="BA1127" s="302">
        <v>244.559</v>
      </c>
      <c r="BB1127" s="302">
        <v>275.38099999999997</v>
      </c>
      <c r="BC1127" s="122">
        <f t="shared" si="1500"/>
        <v>247.59399999999999</v>
      </c>
      <c r="BD1127" s="403">
        <v>247.59399999999999</v>
      </c>
      <c r="BE1127" s="302">
        <v>205.17500000000001</v>
      </c>
      <c r="BF1127" s="302">
        <v>184.99600000000001</v>
      </c>
      <c r="BG1127" s="302">
        <v>203.958</v>
      </c>
      <c r="BH1127" s="122">
        <f t="shared" si="1501"/>
        <v>264.30599999999998</v>
      </c>
      <c r="BI1127" s="403">
        <v>264.30599999999998</v>
      </c>
      <c r="BJ1127" s="1207">
        <v>154.09299999999999</v>
      </c>
      <c r="BK1127" s="118">
        <f>(BK$749+BJ$749+BH$749+BG$749)*BK1071</f>
        <v>171.07350959071621</v>
      </c>
      <c r="BL1127" s="118">
        <f>(BL$749+BK$749+BJ$749+BH$749)*BL1071</f>
        <v>196.09598694426876</v>
      </c>
      <c r="BM1127" s="118">
        <f>(BM$749+BL$749+BK$749+BJ$749)*BM1071</f>
        <v>263.39967703686165</v>
      </c>
      <c r="BN1127" s="401">
        <f>BM1127</f>
        <v>263.39967703686165</v>
      </c>
      <c r="BO1127" s="118">
        <f>(BO$749+BM$749+BL$749+BK$749)*BO1071</f>
        <v>157.03904591205753</v>
      </c>
      <c r="BP1127" s="118">
        <f>(BP$749+BO$749+BM$749+BL$749)*BP1071</f>
        <v>176.55018130817879</v>
      </c>
      <c r="BQ1127" s="118">
        <f>(BQ$749+BP$749+BO$749+BM$749)*BQ1071</f>
        <v>204.92832088296794</v>
      </c>
      <c r="BR1127" s="118">
        <f>(BR$749+BQ$749+BP$749+BO$749)*BR1071</f>
        <v>269.98250270642268</v>
      </c>
      <c r="BS1127" s="401">
        <f>BR1127</f>
        <v>269.98250270642268</v>
      </c>
      <c r="BT1127" s="401">
        <f>BT749*BT1071</f>
        <v>287.44858112778178</v>
      </c>
      <c r="BU1127" s="401">
        <f>BU749*BU1071</f>
        <v>308.1027216956046</v>
      </c>
      <c r="BV1127" s="401">
        <f>BV749*BV1071</f>
        <v>330.28686653476518</v>
      </c>
      <c r="BW1127" s="122"/>
    </row>
    <row r="1128" spans="1:75" s="123" customFormat="1" x14ac:dyDescent="0.5">
      <c r="A1128" s="464" t="s">
        <v>2120</v>
      </c>
      <c r="B1128" s="513"/>
      <c r="C1128" s="403">
        <v>195.185</v>
      </c>
      <c r="D1128" s="403">
        <v>192.45</v>
      </c>
      <c r="E1128" s="403">
        <v>190.417</v>
      </c>
      <c r="F1128" s="403">
        <v>207.41499999999999</v>
      </c>
      <c r="G1128" s="302">
        <v>222.018</v>
      </c>
      <c r="H1128" s="302">
        <v>225.822</v>
      </c>
      <c r="I1128" s="302">
        <v>244.60900000000001</v>
      </c>
      <c r="J1128" s="122">
        <f>K1128</f>
        <v>228.19300000000001</v>
      </c>
      <c r="K1128" s="403">
        <v>228.19300000000001</v>
      </c>
      <c r="L1128" s="302">
        <v>233.56299999999999</v>
      </c>
      <c r="M1128" s="302">
        <v>251.14599999999999</v>
      </c>
      <c r="N1128" s="302">
        <v>265.05799999999999</v>
      </c>
      <c r="O1128" s="122">
        <f>P1128</f>
        <v>261.67899999999997</v>
      </c>
      <c r="P1128" s="403">
        <v>261.67899999999997</v>
      </c>
      <c r="Q1128" s="302">
        <v>258.85399999999998</v>
      </c>
      <c r="R1128" s="302">
        <v>288.654</v>
      </c>
      <c r="S1128" s="302">
        <v>293.31700000000001</v>
      </c>
      <c r="T1128" s="122">
        <f>U1128</f>
        <v>296.827</v>
      </c>
      <c r="U1128" s="403">
        <v>296.827</v>
      </c>
      <c r="V1128" s="302">
        <v>275.11599999999999</v>
      </c>
      <c r="W1128" s="302">
        <v>283.779</v>
      </c>
      <c r="X1128" s="302">
        <v>289.73700000000002</v>
      </c>
      <c r="Y1128" s="122">
        <f>Z1128</f>
        <v>294.27600000000001</v>
      </c>
      <c r="Z1128" s="403">
        <v>294.27600000000001</v>
      </c>
      <c r="AA1128" s="302">
        <v>289.85199999999998</v>
      </c>
      <c r="AB1128" s="302">
        <v>287.69799999999998</v>
      </c>
      <c r="AC1128" s="302">
        <v>288.56900000000002</v>
      </c>
      <c r="AD1128" s="122">
        <f>AE1128</f>
        <v>292.45999999999998</v>
      </c>
      <c r="AE1128" s="403">
        <v>292.45999999999998</v>
      </c>
      <c r="AF1128" s="302">
        <v>256.53399999999999</v>
      </c>
      <c r="AG1128" s="302">
        <v>263.54599999999999</v>
      </c>
      <c r="AH1128" s="302">
        <v>275.56700000000001</v>
      </c>
      <c r="AI1128" s="122">
        <f>AJ1128</f>
        <v>290.44499999999999</v>
      </c>
      <c r="AJ1128" s="403">
        <v>290.44499999999999</v>
      </c>
      <c r="AK1128" s="302">
        <v>291.839</v>
      </c>
      <c r="AL1128" s="302">
        <v>283.108</v>
      </c>
      <c r="AM1128" s="302">
        <v>296.15699999999998</v>
      </c>
      <c r="AN1128" s="122">
        <f t="shared" si="1497"/>
        <v>289.613</v>
      </c>
      <c r="AO1128" s="403">
        <v>289.613</v>
      </c>
      <c r="AP1128" s="302">
        <v>299.35300000000001</v>
      </c>
      <c r="AQ1128" s="302">
        <v>292.68400000000003</v>
      </c>
      <c r="AR1128" s="302">
        <v>349.67099999999999</v>
      </c>
      <c r="AS1128" s="122">
        <f t="shared" si="1498"/>
        <v>373.16399999999999</v>
      </c>
      <c r="AT1128" s="403">
        <v>373.16399999999999</v>
      </c>
      <c r="AU1128" s="302">
        <v>389.64</v>
      </c>
      <c r="AV1128" s="302">
        <v>403.40899999999999</v>
      </c>
      <c r="AW1128" s="302">
        <v>431.44600000000003</v>
      </c>
      <c r="AX1128" s="122">
        <f t="shared" si="1499"/>
        <v>447.77</v>
      </c>
      <c r="AY1128" s="403">
        <v>447.77</v>
      </c>
      <c r="AZ1128" s="302">
        <v>490.82100000000003</v>
      </c>
      <c r="BA1128" s="302">
        <v>498.35399999999998</v>
      </c>
      <c r="BB1128" s="302">
        <v>488.77100000000002</v>
      </c>
      <c r="BC1128" s="122">
        <f t="shared" si="1500"/>
        <v>479.22899999999998</v>
      </c>
      <c r="BD1128" s="403">
        <v>479.22899999999998</v>
      </c>
      <c r="BE1128" s="302">
        <v>452.505</v>
      </c>
      <c r="BF1128" s="302">
        <v>435.36900000000003</v>
      </c>
      <c r="BG1128" s="302">
        <v>528.40300000000002</v>
      </c>
      <c r="BH1128" s="122">
        <f t="shared" si="1501"/>
        <v>573.904</v>
      </c>
      <c r="BI1128" s="403">
        <v>573.904</v>
      </c>
      <c r="BJ1128" s="1207">
        <v>596.34</v>
      </c>
      <c r="BK1128" s="118">
        <f>(BK$749+BJ$749+BH$749+BG$749)*BK1072</f>
        <v>402.60385520227743</v>
      </c>
      <c r="BL1128" s="118">
        <f>(BL$749+BK$749+BJ$749+BH$749)*BL1072</f>
        <v>508.03453548923039</v>
      </c>
      <c r="BM1128" s="118">
        <f>(BM$749+BL$749+BK$749+BJ$749)*BM1072</f>
        <v>571.93604477447741</v>
      </c>
      <c r="BN1128" s="401">
        <f>BM1128</f>
        <v>571.93604477447741</v>
      </c>
      <c r="BO1128" s="118">
        <f>(BO$749+BM$749+BL$749+BK$749)*BO1072</f>
        <v>607.74119940033881</v>
      </c>
      <c r="BP1128" s="118">
        <f>(BP$749+BO$749+BM$749+BL$749)*BP1072</f>
        <v>415.49263706220938</v>
      </c>
      <c r="BQ1128" s="118">
        <f>(BQ$749+BP$749+BO$749+BM$749)*BQ1072</f>
        <v>530.91685317331462</v>
      </c>
      <c r="BR1128" s="118">
        <f>(BR$749+BQ$749+BP$749+BO$749)*BR1072</f>
        <v>586.2297421671351</v>
      </c>
      <c r="BS1128" s="401">
        <f>BR1128</f>
        <v>586.2297421671351</v>
      </c>
      <c r="BT1128" s="401">
        <f>BT749*BT1072</f>
        <v>624.15492082494711</v>
      </c>
      <c r="BU1128" s="401">
        <f>BU749*BU1072</f>
        <v>669.00253642366908</v>
      </c>
      <c r="BV1128" s="401">
        <f>BV749*BV1072</f>
        <v>717.17234512938739</v>
      </c>
      <c r="BW1128" s="122"/>
    </row>
    <row r="1129" spans="1:75" s="123" customFormat="1" x14ac:dyDescent="0.5">
      <c r="A1129" s="464" t="s">
        <v>2126</v>
      </c>
      <c r="B1129" s="513"/>
      <c r="C1129" s="401"/>
      <c r="D1129" s="401"/>
      <c r="E1129" s="401"/>
      <c r="F1129" s="401"/>
      <c r="G1129" s="118"/>
      <c r="H1129" s="118"/>
      <c r="I1129" s="118"/>
      <c r="J1129" s="122">
        <f>K1129</f>
        <v>0</v>
      </c>
      <c r="K1129" s="401"/>
      <c r="L1129" s="118"/>
      <c r="M1129" s="118"/>
      <c r="N1129" s="302">
        <v>90</v>
      </c>
      <c r="O1129" s="122">
        <f>P1129</f>
        <v>0</v>
      </c>
      <c r="P1129" s="401"/>
      <c r="Q1129" s="302">
        <v>60</v>
      </c>
      <c r="R1129" s="302">
        <v>150</v>
      </c>
      <c r="S1129" s="302">
        <v>200</v>
      </c>
      <c r="T1129" s="122">
        <f>U1129</f>
        <v>0</v>
      </c>
      <c r="U1129" s="401"/>
      <c r="V1129" s="302">
        <v>100</v>
      </c>
      <c r="W1129" s="302">
        <v>125</v>
      </c>
      <c r="X1129" s="302">
        <v>125</v>
      </c>
      <c r="Y1129" s="122">
        <f>Z1129</f>
        <v>0</v>
      </c>
      <c r="Z1129" s="403">
        <v>0</v>
      </c>
      <c r="AA1129" s="302">
        <v>45</v>
      </c>
      <c r="AB1129" s="302">
        <v>115</v>
      </c>
      <c r="AC1129" s="302">
        <v>170</v>
      </c>
      <c r="AD1129" s="122">
        <f>AE1129</f>
        <v>0</v>
      </c>
      <c r="AE1129" s="401"/>
      <c r="AF1129" s="118"/>
      <c r="AG1129" s="118"/>
      <c r="AH1129" s="302">
        <v>60</v>
      </c>
      <c r="AI1129" s="122">
        <f>AJ1129</f>
        <v>0</v>
      </c>
      <c r="AJ1129" s="401"/>
      <c r="AK1129" s="118"/>
      <c r="AL1129" s="302">
        <v>60</v>
      </c>
      <c r="AM1129" s="302">
        <v>100</v>
      </c>
      <c r="AN1129" s="122">
        <f t="shared" si="1497"/>
        <v>0</v>
      </c>
      <c r="AO1129" s="401"/>
      <c r="AP1129" s="302">
        <v>487.82299999999998</v>
      </c>
      <c r="AQ1129" s="302">
        <v>487.82299999999998</v>
      </c>
      <c r="AR1129" s="118"/>
      <c r="AS1129" s="122">
        <f t="shared" si="1498"/>
        <v>0</v>
      </c>
      <c r="AT1129" s="401"/>
      <c r="AU1129" s="118"/>
      <c r="AV1129" s="118"/>
      <c r="AW1129" s="118"/>
      <c r="AX1129" s="122">
        <f t="shared" si="1499"/>
        <v>0</v>
      </c>
      <c r="AY1129" s="401"/>
      <c r="AZ1129" s="118"/>
      <c r="BA1129" s="118"/>
      <c r="BB1129" s="118"/>
      <c r="BC1129" s="122">
        <f t="shared" si="1500"/>
        <v>0</v>
      </c>
      <c r="BD1129" s="401"/>
      <c r="BE1129" s="118"/>
      <c r="BF1129" s="118"/>
      <c r="BG1129" s="118"/>
      <c r="BH1129" s="122">
        <f t="shared" si="1501"/>
        <v>0</v>
      </c>
      <c r="BI1129" s="401"/>
      <c r="BJ1129" s="971"/>
      <c r="BK1129" s="118"/>
      <c r="BL1129" s="118"/>
      <c r="BM1129" s="118"/>
      <c r="BN1129" s="401"/>
      <c r="BO1129" s="118"/>
      <c r="BP1129" s="118"/>
      <c r="BQ1129" s="118"/>
      <c r="BR1129" s="118"/>
      <c r="BS1129" s="401"/>
      <c r="BT1129" s="401"/>
      <c r="BU1129" s="401"/>
      <c r="BV1129" s="401"/>
      <c r="BW1129" s="122"/>
    </row>
    <row r="1130" spans="1:75" s="123" customFormat="1" x14ac:dyDescent="0.5">
      <c r="A1130" s="464" t="s">
        <v>2121</v>
      </c>
      <c r="B1130" s="513"/>
      <c r="C1130" s="403">
        <v>48.26</v>
      </c>
      <c r="D1130" s="403">
        <v>41.997</v>
      </c>
      <c r="E1130" s="403">
        <v>22.434999999999999</v>
      </c>
      <c r="F1130" s="403">
        <v>41.848999999999997</v>
      </c>
      <c r="G1130" s="302">
        <v>13.377000000000001</v>
      </c>
      <c r="H1130" s="302">
        <v>2.9550000000000001</v>
      </c>
      <c r="I1130" s="302">
        <v>2.8969999999999998</v>
      </c>
      <c r="J1130" s="122">
        <f>K1130</f>
        <v>49.365000000000002</v>
      </c>
      <c r="K1130" s="403">
        <v>49.365000000000002</v>
      </c>
      <c r="L1130" s="302">
        <v>2.5710000000000002</v>
      </c>
      <c r="M1130" s="302">
        <v>14.603999999999999</v>
      </c>
      <c r="N1130" s="302">
        <v>4.75</v>
      </c>
      <c r="O1130" s="122">
        <f>P1130</f>
        <v>32.488</v>
      </c>
      <c r="P1130" s="403">
        <v>32.488</v>
      </c>
      <c r="Q1130" s="302">
        <v>8.3219999999999992</v>
      </c>
      <c r="R1130" s="302">
        <v>14.678000000000001</v>
      </c>
      <c r="S1130" s="302">
        <v>35.317</v>
      </c>
      <c r="T1130" s="122">
        <f>U1130</f>
        <v>67.052000000000007</v>
      </c>
      <c r="U1130" s="403">
        <v>67.052000000000007</v>
      </c>
      <c r="V1130" s="302">
        <v>7.7640000000000002</v>
      </c>
      <c r="W1130" s="302">
        <v>1.67</v>
      </c>
      <c r="X1130" s="302">
        <v>1.1220000000000001</v>
      </c>
      <c r="Y1130" s="122">
        <f>Z1130</f>
        <v>23.245000000000001</v>
      </c>
      <c r="Z1130" s="403">
        <v>23.245000000000001</v>
      </c>
      <c r="AA1130" s="302">
        <v>37.792000000000002</v>
      </c>
      <c r="AB1130" s="302">
        <v>35.582000000000001</v>
      </c>
      <c r="AC1130" s="302">
        <v>48.865000000000002</v>
      </c>
      <c r="AD1130" s="122">
        <f>AE1130</f>
        <v>56.783000000000001</v>
      </c>
      <c r="AE1130" s="403">
        <v>56.783000000000001</v>
      </c>
      <c r="AF1130" s="302">
        <v>72.036000000000001</v>
      </c>
      <c r="AG1130" s="302">
        <v>35.529000000000003</v>
      </c>
      <c r="AH1130" s="302">
        <v>9.9030000000000005</v>
      </c>
      <c r="AI1130" s="122">
        <f>AJ1130</f>
        <v>21.460999999999999</v>
      </c>
      <c r="AJ1130" s="403">
        <v>21.460999999999999</v>
      </c>
      <c r="AK1130" s="302">
        <v>24.384</v>
      </c>
      <c r="AL1130" s="302">
        <v>13.065</v>
      </c>
      <c r="AM1130" s="302">
        <v>13.182</v>
      </c>
      <c r="AN1130" s="122">
        <f t="shared" si="1497"/>
        <v>22.501000000000001</v>
      </c>
      <c r="AO1130" s="403">
        <v>22.501000000000001</v>
      </c>
      <c r="AP1130" s="302">
        <v>24.048999999999999</v>
      </c>
      <c r="AQ1130" s="302">
        <v>28.501999999999999</v>
      </c>
      <c r="AR1130" s="302">
        <v>36.036999999999999</v>
      </c>
      <c r="AS1130" s="122">
        <f t="shared" si="1498"/>
        <v>69.475999999999999</v>
      </c>
      <c r="AT1130" s="403">
        <v>69.475999999999999</v>
      </c>
      <c r="AU1130" s="302">
        <v>93.281999999999996</v>
      </c>
      <c r="AV1130" s="302">
        <v>61.335000000000001</v>
      </c>
      <c r="AW1130" s="302">
        <v>38.32</v>
      </c>
      <c r="AX1130" s="122">
        <f t="shared" si="1499"/>
        <v>79.554000000000002</v>
      </c>
      <c r="AY1130" s="403">
        <v>79.554000000000002</v>
      </c>
      <c r="AZ1130" s="302">
        <v>126.27</v>
      </c>
      <c r="BA1130" s="302">
        <v>87.159000000000006</v>
      </c>
      <c r="BB1130" s="302">
        <v>45.878999999999998</v>
      </c>
      <c r="BC1130" s="122">
        <f t="shared" si="1500"/>
        <v>61.204000000000001</v>
      </c>
      <c r="BD1130" s="403">
        <v>61.204000000000001</v>
      </c>
      <c r="BE1130" s="302">
        <v>87.68</v>
      </c>
      <c r="BF1130" s="302">
        <v>127.581</v>
      </c>
      <c r="BG1130" s="302">
        <v>53.139000000000003</v>
      </c>
      <c r="BH1130" s="122">
        <f t="shared" si="1501"/>
        <v>96.554000000000002</v>
      </c>
      <c r="BI1130" s="403">
        <v>96.554000000000002</v>
      </c>
      <c r="BJ1130" s="1207">
        <v>148.82599999999999</v>
      </c>
      <c r="BK1130" s="118">
        <f t="shared" ref="BK1130:BV1131" si="1502">BJ1130</f>
        <v>148.82599999999999</v>
      </c>
      <c r="BL1130" s="118">
        <f t="shared" si="1502"/>
        <v>148.82599999999999</v>
      </c>
      <c r="BM1130" s="118">
        <f t="shared" si="1502"/>
        <v>148.82599999999999</v>
      </c>
      <c r="BN1130" s="401">
        <f t="shared" si="1502"/>
        <v>148.82599999999999</v>
      </c>
      <c r="BO1130" s="118">
        <f t="shared" si="1502"/>
        <v>148.82599999999999</v>
      </c>
      <c r="BP1130" s="118">
        <f t="shared" si="1502"/>
        <v>148.82599999999999</v>
      </c>
      <c r="BQ1130" s="118">
        <f t="shared" si="1502"/>
        <v>148.82599999999999</v>
      </c>
      <c r="BR1130" s="118">
        <f t="shared" si="1502"/>
        <v>148.82599999999999</v>
      </c>
      <c r="BS1130" s="401">
        <f t="shared" si="1502"/>
        <v>148.82599999999999</v>
      </c>
      <c r="BT1130" s="401">
        <f t="shared" si="1502"/>
        <v>148.82599999999999</v>
      </c>
      <c r="BU1130" s="401">
        <f t="shared" si="1502"/>
        <v>148.82599999999999</v>
      </c>
      <c r="BV1130" s="401">
        <f t="shared" si="1502"/>
        <v>148.82599999999999</v>
      </c>
      <c r="BW1130" s="122"/>
    </row>
    <row r="1131" spans="1:75" s="123" customFormat="1" x14ac:dyDescent="0.5">
      <c r="A1131" s="464" t="s">
        <v>2158</v>
      </c>
      <c r="B1131" s="513"/>
      <c r="C1131" s="401"/>
      <c r="D1131" s="401"/>
      <c r="E1131" s="401"/>
      <c r="F1131" s="401"/>
      <c r="G1131" s="118"/>
      <c r="H1131" s="118"/>
      <c r="I1131" s="118"/>
      <c r="J1131" s="118"/>
      <c r="K1131" s="401"/>
      <c r="L1131" s="118"/>
      <c r="M1131" s="118"/>
      <c r="N1131" s="118"/>
      <c r="O1131" s="118"/>
      <c r="P1131" s="401"/>
      <c r="Q1131" s="118"/>
      <c r="R1131" s="118"/>
      <c r="S1131" s="118"/>
      <c r="T1131" s="118"/>
      <c r="U1131" s="401"/>
      <c r="V1131" s="118"/>
      <c r="W1131" s="118"/>
      <c r="X1131" s="118"/>
      <c r="Y1131" s="118"/>
      <c r="Z1131" s="401"/>
      <c r="AA1131" s="118"/>
      <c r="AB1131" s="118"/>
      <c r="AC1131" s="118"/>
      <c r="AD1131" s="118"/>
      <c r="AE1131" s="401"/>
      <c r="AF1131" s="118"/>
      <c r="AG1131" s="118"/>
      <c r="AH1131" s="118"/>
      <c r="AI1131" s="118"/>
      <c r="AJ1131" s="401"/>
      <c r="AK1131" s="302">
        <v>227.42699999999999</v>
      </c>
      <c r="AL1131" s="302">
        <v>222.97800000000001</v>
      </c>
      <c r="AM1131" s="302">
        <v>225.53</v>
      </c>
      <c r="AN1131" s="122">
        <f t="shared" si="1497"/>
        <v>227.923</v>
      </c>
      <c r="AO1131" s="403">
        <v>227.923</v>
      </c>
      <c r="AP1131" s="302">
        <v>224.541</v>
      </c>
      <c r="AQ1131" s="302">
        <v>221.57499999999999</v>
      </c>
      <c r="AR1131" s="302">
        <v>217.44800000000001</v>
      </c>
      <c r="AS1131" s="122">
        <f t="shared" si="1498"/>
        <v>209.75399999999999</v>
      </c>
      <c r="AT1131" s="403">
        <v>209.75399999999999</v>
      </c>
      <c r="AU1131" s="302">
        <v>208.739</v>
      </c>
      <c r="AV1131" s="302">
        <v>213.78399999999999</v>
      </c>
      <c r="AW1131" s="302">
        <v>218.34800000000001</v>
      </c>
      <c r="AX1131" s="122">
        <f t="shared" si="1499"/>
        <v>217.40899999999999</v>
      </c>
      <c r="AY1131" s="403">
        <v>217.40899999999999</v>
      </c>
      <c r="AZ1131" s="302">
        <v>211.614</v>
      </c>
      <c r="BA1131" s="302">
        <v>206.93100000000001</v>
      </c>
      <c r="BB1131" s="302">
        <v>220.012</v>
      </c>
      <c r="BC1131" s="122">
        <f t="shared" si="1500"/>
        <v>231.965</v>
      </c>
      <c r="BD1131" s="403">
        <v>231.965</v>
      </c>
      <c r="BE1131" s="302">
        <v>229.751</v>
      </c>
      <c r="BF1131" s="302">
        <v>222.155</v>
      </c>
      <c r="BG1131" s="302">
        <v>231.23599999999999</v>
      </c>
      <c r="BH1131" s="122">
        <f t="shared" si="1501"/>
        <v>234.517</v>
      </c>
      <c r="BI1131" s="403">
        <v>234.517</v>
      </c>
      <c r="BJ1131" s="1207">
        <v>229.55500000000001</v>
      </c>
      <c r="BK1131" s="118">
        <f t="shared" si="1502"/>
        <v>229.55500000000001</v>
      </c>
      <c r="BL1131" s="118">
        <f t="shared" si="1502"/>
        <v>229.55500000000001</v>
      </c>
      <c r="BM1131" s="118">
        <f t="shared" si="1502"/>
        <v>229.55500000000001</v>
      </c>
      <c r="BN1131" s="401">
        <f t="shared" si="1502"/>
        <v>229.55500000000001</v>
      </c>
      <c r="BO1131" s="118">
        <f t="shared" si="1502"/>
        <v>229.55500000000001</v>
      </c>
      <c r="BP1131" s="118">
        <f t="shared" si="1502"/>
        <v>229.55500000000001</v>
      </c>
      <c r="BQ1131" s="118">
        <f t="shared" si="1502"/>
        <v>229.55500000000001</v>
      </c>
      <c r="BR1131" s="118">
        <f t="shared" si="1502"/>
        <v>229.55500000000001</v>
      </c>
      <c r="BS1131" s="401">
        <f t="shared" si="1502"/>
        <v>229.55500000000001</v>
      </c>
      <c r="BT1131" s="401">
        <f t="shared" si="1502"/>
        <v>229.55500000000001</v>
      </c>
      <c r="BU1131" s="401">
        <f t="shared" si="1502"/>
        <v>229.55500000000001</v>
      </c>
      <c r="BV1131" s="401">
        <f t="shared" si="1502"/>
        <v>229.55500000000001</v>
      </c>
      <c r="BW1131" s="122"/>
    </row>
    <row r="1132" spans="1:75" s="123" customFormat="1" x14ac:dyDescent="0.5">
      <c r="A1132" s="464" t="s">
        <v>2159</v>
      </c>
      <c r="B1132" s="513"/>
      <c r="C1132" s="403">
        <v>1.587</v>
      </c>
      <c r="D1132" s="403">
        <v>1.542</v>
      </c>
      <c r="E1132" s="403">
        <v>1.7949999999999999</v>
      </c>
      <c r="F1132" s="403">
        <v>1.724</v>
      </c>
      <c r="G1132" s="302">
        <v>1.696</v>
      </c>
      <c r="H1132" s="302">
        <v>1.8169999999999999</v>
      </c>
      <c r="I1132" s="302">
        <v>1.7929999999999999</v>
      </c>
      <c r="J1132" s="122">
        <f>K1132</f>
        <v>1.7849999999999999</v>
      </c>
      <c r="K1132" s="403">
        <v>1.7849999999999999</v>
      </c>
      <c r="L1132" s="302">
        <v>1.7849999999999999</v>
      </c>
      <c r="M1132" s="302">
        <v>1.968</v>
      </c>
      <c r="N1132" s="302">
        <v>1.968</v>
      </c>
      <c r="O1132" s="122">
        <f>P1132</f>
        <v>1.968</v>
      </c>
      <c r="P1132" s="403">
        <v>1.968</v>
      </c>
      <c r="Q1132" s="302">
        <v>1.968</v>
      </c>
      <c r="R1132" s="302">
        <v>0</v>
      </c>
      <c r="S1132" s="302">
        <v>0</v>
      </c>
      <c r="T1132" s="122">
        <f>U1132</f>
        <v>0</v>
      </c>
      <c r="U1132" s="401"/>
      <c r="V1132" s="118"/>
      <c r="W1132" s="118"/>
      <c r="X1132" s="118"/>
      <c r="Y1132" s="122">
        <f>Z1132</f>
        <v>0</v>
      </c>
      <c r="Z1132" s="401"/>
      <c r="AA1132" s="118"/>
      <c r="AB1132" s="118"/>
      <c r="AC1132" s="118"/>
      <c r="AD1132" s="122">
        <f>AE1132</f>
        <v>0</v>
      </c>
      <c r="AE1132" s="401"/>
      <c r="AF1132" s="118"/>
      <c r="AG1132" s="118"/>
      <c r="AH1132" s="118"/>
      <c r="AI1132" s="122">
        <f>AJ1132</f>
        <v>0</v>
      </c>
      <c r="AJ1132" s="401"/>
      <c r="AK1132" s="118"/>
      <c r="AL1132" s="118"/>
      <c r="AM1132" s="118"/>
      <c r="AN1132" s="122">
        <f t="shared" si="1497"/>
        <v>299.81799999999998</v>
      </c>
      <c r="AO1132" s="403">
        <v>299.81799999999998</v>
      </c>
      <c r="AP1132" s="118"/>
      <c r="AQ1132" s="118"/>
      <c r="AR1132" s="118"/>
      <c r="AS1132" s="122">
        <f t="shared" si="1498"/>
        <v>299.35000000000002</v>
      </c>
      <c r="AT1132" s="403">
        <v>299.35000000000002</v>
      </c>
      <c r="AU1132" s="118"/>
      <c r="AV1132" s="118"/>
      <c r="AW1132" s="118"/>
      <c r="AX1132" s="122">
        <f t="shared" si="1499"/>
        <v>0</v>
      </c>
      <c r="AY1132" s="401"/>
      <c r="AZ1132" s="118"/>
      <c r="BA1132" s="118"/>
      <c r="BB1132" s="118"/>
      <c r="BC1132" s="122">
        <f t="shared" si="1500"/>
        <v>0</v>
      </c>
      <c r="BD1132" s="401"/>
      <c r="BE1132" s="118"/>
      <c r="BF1132" s="118"/>
      <c r="BG1132" s="118"/>
      <c r="BH1132" s="122">
        <f t="shared" si="1501"/>
        <v>0</v>
      </c>
      <c r="BI1132" s="401"/>
      <c r="BJ1132" s="971"/>
      <c r="BK1132" s="118">
        <f>BK904</f>
        <v>0</v>
      </c>
      <c r="BL1132" s="118">
        <f>BL904</f>
        <v>0</v>
      </c>
      <c r="BM1132" s="118">
        <f>BM904</f>
        <v>0</v>
      </c>
      <c r="BN1132" s="401">
        <f>BM1132</f>
        <v>0</v>
      </c>
      <c r="BO1132" s="118">
        <f>BO904</f>
        <v>0</v>
      </c>
      <c r="BP1132" s="118">
        <f>BP904</f>
        <v>0</v>
      </c>
      <c r="BQ1132" s="118">
        <f>BQ904</f>
        <v>0</v>
      </c>
      <c r="BR1132" s="118">
        <f>BR904</f>
        <v>0</v>
      </c>
      <c r="BS1132" s="401">
        <f>BR1132</f>
        <v>0</v>
      </c>
      <c r="BT1132" s="401">
        <f>BT904</f>
        <v>0</v>
      </c>
      <c r="BU1132" s="401">
        <f>BU904</f>
        <v>0</v>
      </c>
      <c r="BV1132" s="401">
        <f>BV904</f>
        <v>0</v>
      </c>
      <c r="BW1132" s="122"/>
    </row>
    <row r="1133" spans="1:75" s="123" customFormat="1" x14ac:dyDescent="0.5">
      <c r="A1133" s="1292" t="s">
        <v>2160</v>
      </c>
      <c r="B1133" s="677"/>
      <c r="C1133" s="408">
        <v>22.498999999999999</v>
      </c>
      <c r="D1133" s="408">
        <v>25.324000000000002</v>
      </c>
      <c r="E1133" s="408">
        <v>27.048999999999999</v>
      </c>
      <c r="F1133" s="408">
        <v>26.344999999999999</v>
      </c>
      <c r="G1133" s="357">
        <v>27.207000000000001</v>
      </c>
      <c r="H1133" s="357">
        <v>35.530999999999999</v>
      </c>
      <c r="I1133" s="357">
        <v>36.137</v>
      </c>
      <c r="J1133" s="431">
        <f>K1133</f>
        <v>38.780999999999999</v>
      </c>
      <c r="K1133" s="408">
        <v>38.780999999999999</v>
      </c>
      <c r="L1133" s="357">
        <v>40.231999999999999</v>
      </c>
      <c r="M1133" s="357">
        <v>44.713000000000001</v>
      </c>
      <c r="N1133" s="357">
        <v>46.134</v>
      </c>
      <c r="O1133" s="431">
        <f>P1133</f>
        <v>46.764000000000003</v>
      </c>
      <c r="P1133" s="408">
        <v>46.764000000000003</v>
      </c>
      <c r="Q1133" s="357">
        <v>45.091999999999999</v>
      </c>
      <c r="R1133" s="357">
        <v>50.237000000000002</v>
      </c>
      <c r="S1133" s="357">
        <v>55.152000000000001</v>
      </c>
      <c r="T1133" s="431">
        <f>U1133</f>
        <v>58.014000000000003</v>
      </c>
      <c r="U1133" s="408">
        <v>58.014000000000003</v>
      </c>
      <c r="V1133" s="357">
        <v>52.906999999999996</v>
      </c>
      <c r="W1133" s="357">
        <v>53.331000000000003</v>
      </c>
      <c r="X1133" s="357">
        <v>53.423000000000002</v>
      </c>
      <c r="Y1133" s="431">
        <f>Z1133</f>
        <v>59.838000000000001</v>
      </c>
      <c r="Z1133" s="408">
        <v>59.838000000000001</v>
      </c>
      <c r="AA1133" s="357">
        <v>49.646999999999998</v>
      </c>
      <c r="AB1133" s="357">
        <v>51.54</v>
      </c>
      <c r="AC1133" s="357">
        <v>55.984999999999999</v>
      </c>
      <c r="AD1133" s="431">
        <f>AE1133</f>
        <v>63.317999999999998</v>
      </c>
      <c r="AE1133" s="408">
        <v>63.317999999999998</v>
      </c>
      <c r="AF1133" s="357">
        <v>61.402999999999999</v>
      </c>
      <c r="AG1133" s="357">
        <v>69.588999999999999</v>
      </c>
      <c r="AH1133" s="357">
        <v>71.119</v>
      </c>
      <c r="AI1133" s="431">
        <f>AJ1133</f>
        <v>72.644999999999996</v>
      </c>
      <c r="AJ1133" s="408">
        <v>72.644999999999996</v>
      </c>
      <c r="AK1133" s="357">
        <v>75.75</v>
      </c>
      <c r="AL1133" s="357">
        <v>76.254000000000005</v>
      </c>
      <c r="AM1133" s="357">
        <v>68.972999999999999</v>
      </c>
      <c r="AN1133" s="431">
        <f t="shared" si="1497"/>
        <v>73.462000000000003</v>
      </c>
      <c r="AO1133" s="408">
        <v>73.462000000000003</v>
      </c>
      <c r="AP1133" s="357">
        <v>85.457999999999998</v>
      </c>
      <c r="AQ1133" s="357">
        <v>102.086</v>
      </c>
      <c r="AR1133" s="357">
        <v>99.691000000000003</v>
      </c>
      <c r="AS1133" s="431">
        <f t="shared" si="1498"/>
        <v>85.671999999999997</v>
      </c>
      <c r="AT1133" s="408">
        <v>85.671999999999997</v>
      </c>
      <c r="AU1133" s="357">
        <v>78.596999999999994</v>
      </c>
      <c r="AV1133" s="357">
        <v>74.331000000000003</v>
      </c>
      <c r="AW1133" s="357">
        <v>91.418000000000006</v>
      </c>
      <c r="AX1133" s="431">
        <f t="shared" si="1499"/>
        <v>94.516999999999996</v>
      </c>
      <c r="AY1133" s="408">
        <v>94.516999999999996</v>
      </c>
      <c r="AZ1133" s="357">
        <v>88.587000000000003</v>
      </c>
      <c r="BA1133" s="357">
        <v>93.944999999999993</v>
      </c>
      <c r="BB1133" s="357">
        <v>103.821</v>
      </c>
      <c r="BC1133" s="431">
        <f t="shared" si="1500"/>
        <v>108.13800000000001</v>
      </c>
      <c r="BD1133" s="408">
        <v>108.13800000000001</v>
      </c>
      <c r="BE1133" s="357">
        <v>97.144000000000005</v>
      </c>
      <c r="BF1133" s="357">
        <v>96.644999999999996</v>
      </c>
      <c r="BG1133" s="357">
        <v>96.745000000000005</v>
      </c>
      <c r="BH1133" s="431">
        <f t="shared" si="1501"/>
        <v>103.157</v>
      </c>
      <c r="BI1133" s="408">
        <v>103.157</v>
      </c>
      <c r="BJ1133" s="1208">
        <v>90.007000000000005</v>
      </c>
      <c r="BK1133" s="723">
        <f>BJ1133</f>
        <v>90.007000000000005</v>
      </c>
      <c r="BL1133" s="723">
        <f>BK1133</f>
        <v>90.007000000000005</v>
      </c>
      <c r="BM1133" s="723">
        <f>BL1133</f>
        <v>90.007000000000005</v>
      </c>
      <c r="BN1133" s="406">
        <f>BM1133</f>
        <v>90.007000000000005</v>
      </c>
      <c r="BO1133" s="723">
        <f>BN1133</f>
        <v>90.007000000000005</v>
      </c>
      <c r="BP1133" s="723">
        <f>BO1133</f>
        <v>90.007000000000005</v>
      </c>
      <c r="BQ1133" s="723">
        <f>BP1133</f>
        <v>90.007000000000005</v>
      </c>
      <c r="BR1133" s="723">
        <f>BQ1133</f>
        <v>90.007000000000005</v>
      </c>
      <c r="BS1133" s="406">
        <f>BR1133</f>
        <v>90.007000000000005</v>
      </c>
      <c r="BT1133" s="406">
        <f>BS1133</f>
        <v>90.007000000000005</v>
      </c>
      <c r="BU1133" s="406">
        <f>BT1133</f>
        <v>90.007000000000005</v>
      </c>
      <c r="BV1133" s="406">
        <f>BU1133</f>
        <v>90.007000000000005</v>
      </c>
      <c r="BW1133" s="122"/>
    </row>
    <row r="1134" spans="1:75" s="198" customFormat="1" ht="14.25" x14ac:dyDescent="0.45">
      <c r="A1134" s="516" t="s">
        <v>1521</v>
      </c>
      <c r="B1134" s="517"/>
      <c r="C1134" s="519">
        <f t="shared" ref="C1134:AH1134" si="1503">SUM(C1126:C1133)</f>
        <v>563.48200000000008</v>
      </c>
      <c r="D1134" s="519">
        <f t="shared" si="1503"/>
        <v>611.71600000000001</v>
      </c>
      <c r="E1134" s="519">
        <f t="shared" si="1503"/>
        <v>571.79899999999986</v>
      </c>
      <c r="F1134" s="519">
        <f t="shared" si="1503"/>
        <v>657.12700000000007</v>
      </c>
      <c r="G1134" s="520">
        <f t="shared" si="1503"/>
        <v>560.27</v>
      </c>
      <c r="H1134" s="520">
        <f t="shared" si="1503"/>
        <v>680.41899999999998</v>
      </c>
      <c r="I1134" s="520">
        <f t="shared" si="1503"/>
        <v>829.47800000000007</v>
      </c>
      <c r="J1134" s="520">
        <f t="shared" si="1503"/>
        <v>861.09599999999989</v>
      </c>
      <c r="K1134" s="519">
        <f t="shared" si="1503"/>
        <v>861.09599999999989</v>
      </c>
      <c r="L1134" s="520">
        <f t="shared" si="1503"/>
        <v>736.22599999999989</v>
      </c>
      <c r="M1134" s="520">
        <f t="shared" si="1503"/>
        <v>750.71899999999994</v>
      </c>
      <c r="N1134" s="520">
        <f t="shared" si="1503"/>
        <v>936.55200000000002</v>
      </c>
      <c r="O1134" s="520">
        <f t="shared" si="1503"/>
        <v>875.94799999999987</v>
      </c>
      <c r="P1134" s="519">
        <f t="shared" si="1503"/>
        <v>875.94799999999987</v>
      </c>
      <c r="Q1134" s="520">
        <f t="shared" si="1503"/>
        <v>828.82799999999986</v>
      </c>
      <c r="R1134" s="520">
        <f t="shared" si="1503"/>
        <v>1023.54</v>
      </c>
      <c r="S1134" s="520">
        <f t="shared" si="1503"/>
        <v>1094.539</v>
      </c>
      <c r="T1134" s="520">
        <f t="shared" si="1503"/>
        <v>996.42700000000002</v>
      </c>
      <c r="U1134" s="519">
        <f t="shared" si="1503"/>
        <v>996.42700000000002</v>
      </c>
      <c r="V1134" s="520">
        <f t="shared" si="1503"/>
        <v>871.75600000000009</v>
      </c>
      <c r="W1134" s="520">
        <f t="shared" si="1503"/>
        <v>958.41699999999992</v>
      </c>
      <c r="X1134" s="520">
        <f t="shared" si="1503"/>
        <v>1030.8710000000001</v>
      </c>
      <c r="Y1134" s="520">
        <f t="shared" si="1503"/>
        <v>961.25599999999997</v>
      </c>
      <c r="Z1134" s="519">
        <f t="shared" si="1503"/>
        <v>961.25599999999997</v>
      </c>
      <c r="AA1134" s="520">
        <f t="shared" si="1503"/>
        <v>912.66500000000008</v>
      </c>
      <c r="AB1134" s="520">
        <f t="shared" si="1503"/>
        <v>1020.0699999999999</v>
      </c>
      <c r="AC1134" s="520">
        <f t="shared" si="1503"/>
        <v>1137.5509999999999</v>
      </c>
      <c r="AD1134" s="520">
        <f t="shared" si="1503"/>
        <v>1007.823</v>
      </c>
      <c r="AE1134" s="519">
        <f t="shared" si="1503"/>
        <v>1007.823</v>
      </c>
      <c r="AF1134" s="520">
        <f t="shared" si="1503"/>
        <v>882.82099999999991</v>
      </c>
      <c r="AG1134" s="520">
        <f t="shared" si="1503"/>
        <v>947.94799999999987</v>
      </c>
      <c r="AH1134" s="520">
        <f t="shared" si="1503"/>
        <v>1036.72</v>
      </c>
      <c r="AI1134" s="520">
        <f t="shared" ref="AI1134:BV1134" si="1504">SUM(AI1126:AI1133)</f>
        <v>1074.8119999999999</v>
      </c>
      <c r="AJ1134" s="519">
        <f t="shared" si="1504"/>
        <v>1074.8119999999999</v>
      </c>
      <c r="AK1134" s="520">
        <f t="shared" si="1504"/>
        <v>1114.2149999999999</v>
      </c>
      <c r="AL1134" s="520">
        <f t="shared" si="1504"/>
        <v>1186.8789999999999</v>
      </c>
      <c r="AM1134" s="520">
        <f t="shared" si="1504"/>
        <v>1288.9099999999999</v>
      </c>
      <c r="AN1134" s="520">
        <f t="shared" si="1504"/>
        <v>1609.5550000000001</v>
      </c>
      <c r="AO1134" s="519">
        <f t="shared" si="1504"/>
        <v>1609.5550000000001</v>
      </c>
      <c r="AP1134" s="520">
        <f t="shared" si="1504"/>
        <v>1682.0939999999998</v>
      </c>
      <c r="AQ1134" s="520">
        <f t="shared" si="1504"/>
        <v>1664.163</v>
      </c>
      <c r="AR1134" s="520">
        <f t="shared" si="1504"/>
        <v>1460.1260000000002</v>
      </c>
      <c r="AS1134" s="520">
        <f t="shared" si="1504"/>
        <v>1848</v>
      </c>
      <c r="AT1134" s="519">
        <f t="shared" si="1504"/>
        <v>1848</v>
      </c>
      <c r="AU1134" s="520">
        <f t="shared" si="1504"/>
        <v>1519.2729999999999</v>
      </c>
      <c r="AV1134" s="520">
        <f t="shared" si="1504"/>
        <v>1578.827</v>
      </c>
      <c r="AW1134" s="520">
        <f t="shared" si="1504"/>
        <v>1691.625</v>
      </c>
      <c r="AX1134" s="520">
        <f t="shared" si="1504"/>
        <v>1771.6859999999999</v>
      </c>
      <c r="AY1134" s="519">
        <f t="shared" si="1504"/>
        <v>1771.6859999999999</v>
      </c>
      <c r="AZ1134" s="520">
        <f t="shared" si="1504"/>
        <v>1743.64</v>
      </c>
      <c r="BA1134" s="520">
        <f t="shared" si="1504"/>
        <v>1811.0450000000001</v>
      </c>
      <c r="BB1134" s="520">
        <f t="shared" si="1504"/>
        <v>1854.7199999999998</v>
      </c>
      <c r="BC1134" s="520">
        <f t="shared" si="1504"/>
        <v>1636.4509999999998</v>
      </c>
      <c r="BD1134" s="519">
        <f t="shared" si="1504"/>
        <v>1636.4509999999998</v>
      </c>
      <c r="BE1134" s="520">
        <f t="shared" si="1504"/>
        <v>1701.816</v>
      </c>
      <c r="BF1134" s="520">
        <f t="shared" si="1504"/>
        <v>1663.85</v>
      </c>
      <c r="BG1134" s="520">
        <f t="shared" si="1504"/>
        <v>1788.9859999999999</v>
      </c>
      <c r="BH1134" s="520">
        <f t="shared" si="1504"/>
        <v>1880.3150000000001</v>
      </c>
      <c r="BI1134" s="519">
        <f t="shared" si="1504"/>
        <v>1880.3150000000001</v>
      </c>
      <c r="BJ1134" s="1270">
        <f>SUM(BJ1126:BJ1133)</f>
        <v>1720.9570000000001</v>
      </c>
      <c r="BK1134" s="327">
        <f t="shared" si="1504"/>
        <v>1594.2323136494826</v>
      </c>
      <c r="BL1134" s="327">
        <f t="shared" si="1504"/>
        <v>1821.9846853728704</v>
      </c>
      <c r="BM1134" s="327">
        <f t="shared" si="1504"/>
        <v>1909.5162708951145</v>
      </c>
      <c r="BN1134" s="518">
        <f t="shared" si="1504"/>
        <v>1909.5162708951145</v>
      </c>
      <c r="BO1134" s="327">
        <f t="shared" si="1504"/>
        <v>1744.9043939894743</v>
      </c>
      <c r="BP1134" s="327">
        <f t="shared" si="1504"/>
        <v>1630.2745958565977</v>
      </c>
      <c r="BQ1134" s="327">
        <f t="shared" si="1504"/>
        <v>1882.9518582856301</v>
      </c>
      <c r="BR1134" s="327">
        <f t="shared" si="1504"/>
        <v>1945.5326255144519</v>
      </c>
      <c r="BS1134" s="518">
        <f t="shared" si="1504"/>
        <v>1945.5326255144519</v>
      </c>
      <c r="BT1134" s="518">
        <f t="shared" si="1504"/>
        <v>2041.0940919439233</v>
      </c>
      <c r="BU1134" s="518">
        <f t="shared" si="1504"/>
        <v>2154.098277135713</v>
      </c>
      <c r="BV1134" s="518">
        <f t="shared" si="1504"/>
        <v>2275.4735143911184</v>
      </c>
      <c r="BW1134" s="197"/>
    </row>
    <row r="1135" spans="1:75" s="198" customFormat="1" ht="14.25" x14ac:dyDescent="0.45">
      <c r="A1135" s="206"/>
      <c r="B1135" s="522"/>
      <c r="C1135" s="397"/>
      <c r="D1135" s="397"/>
      <c r="E1135" s="397"/>
      <c r="F1135" s="397"/>
      <c r="G1135" s="295"/>
      <c r="H1135" s="295"/>
      <c r="I1135" s="295"/>
      <c r="J1135" s="295"/>
      <c r="K1135" s="397"/>
      <c r="L1135" s="295"/>
      <c r="M1135" s="295"/>
      <c r="N1135" s="295"/>
      <c r="O1135" s="295"/>
      <c r="P1135" s="397"/>
      <c r="Q1135" s="295"/>
      <c r="R1135" s="295"/>
      <c r="S1135" s="295"/>
      <c r="T1135" s="295"/>
      <c r="U1135" s="397"/>
      <c r="V1135" s="295"/>
      <c r="W1135" s="295"/>
      <c r="X1135" s="295"/>
      <c r="Y1135" s="295"/>
      <c r="Z1135" s="397"/>
      <c r="AA1135" s="295"/>
      <c r="AB1135" s="295"/>
      <c r="AC1135" s="295"/>
      <c r="AD1135" s="295"/>
      <c r="AE1135" s="397"/>
      <c r="AF1135" s="295"/>
      <c r="AG1135" s="295"/>
      <c r="AH1135" s="295"/>
      <c r="AI1135" s="295"/>
      <c r="AJ1135" s="397"/>
      <c r="AK1135" s="295"/>
      <c r="AL1135" s="295"/>
      <c r="AM1135" s="295"/>
      <c r="AN1135" s="295"/>
      <c r="AO1135" s="397"/>
      <c r="AP1135" s="295"/>
      <c r="AQ1135" s="295"/>
      <c r="AR1135" s="295"/>
      <c r="AS1135" s="295"/>
      <c r="AT1135" s="397"/>
      <c r="AU1135" s="295"/>
      <c r="AV1135" s="295"/>
      <c r="AW1135" s="295"/>
      <c r="AX1135" s="295"/>
      <c r="AY1135" s="397"/>
      <c r="AZ1135" s="295"/>
      <c r="BA1135" s="295"/>
      <c r="BB1135" s="295"/>
      <c r="BC1135" s="295"/>
      <c r="BD1135" s="397"/>
      <c r="BE1135" s="295"/>
      <c r="BF1135" s="295"/>
      <c r="BG1135" s="295"/>
      <c r="BH1135" s="295"/>
      <c r="BI1135" s="397"/>
      <c r="BJ1135" s="1030"/>
      <c r="BK1135" s="295"/>
      <c r="BL1135" s="295"/>
      <c r="BM1135" s="295"/>
      <c r="BN1135" s="397"/>
      <c r="BO1135" s="295"/>
      <c r="BP1135" s="295"/>
      <c r="BQ1135" s="295"/>
      <c r="BR1135" s="295"/>
      <c r="BS1135" s="397"/>
      <c r="BT1135" s="397"/>
      <c r="BU1135" s="397"/>
      <c r="BV1135" s="397"/>
      <c r="BW1135" s="197"/>
    </row>
    <row r="1136" spans="1:75" s="198" customFormat="1" ht="14.25" x14ac:dyDescent="0.45">
      <c r="A1136" s="670" t="s">
        <v>1522</v>
      </c>
      <c r="B1136" s="522"/>
      <c r="C1136" s="397"/>
      <c r="D1136" s="397"/>
      <c r="E1136" s="397"/>
      <c r="F1136" s="397"/>
      <c r="G1136" s="295"/>
      <c r="H1136" s="295"/>
      <c r="I1136" s="295"/>
      <c r="J1136" s="295"/>
      <c r="K1136" s="397"/>
      <c r="L1136" s="295"/>
      <c r="M1136" s="295"/>
      <c r="N1136" s="295"/>
      <c r="O1136" s="295"/>
      <c r="P1136" s="397"/>
      <c r="Q1136" s="295"/>
      <c r="R1136" s="295"/>
      <c r="S1136" s="295"/>
      <c r="T1136" s="295"/>
      <c r="U1136" s="397"/>
      <c r="V1136" s="295"/>
      <c r="W1136" s="295"/>
      <c r="X1136" s="295"/>
      <c r="Y1136" s="295"/>
      <c r="Z1136" s="397"/>
      <c r="AA1136" s="295"/>
      <c r="AB1136" s="295"/>
      <c r="AC1136" s="295"/>
      <c r="AD1136" s="295"/>
      <c r="AE1136" s="397"/>
      <c r="AF1136" s="295"/>
      <c r="AG1136" s="295"/>
      <c r="AH1136" s="295"/>
      <c r="AI1136" s="295"/>
      <c r="AJ1136" s="397"/>
      <c r="AK1136" s="295"/>
      <c r="AL1136" s="295"/>
      <c r="AM1136" s="295"/>
      <c r="AN1136" s="295"/>
      <c r="AO1136" s="397"/>
      <c r="AP1136" s="295"/>
      <c r="AQ1136" s="295"/>
      <c r="AR1136" s="295"/>
      <c r="AS1136" s="295"/>
      <c r="AT1136" s="397"/>
      <c r="AU1136" s="295"/>
      <c r="AV1136" s="295"/>
      <c r="AW1136" s="295"/>
      <c r="AX1136" s="295"/>
      <c r="AY1136" s="397"/>
      <c r="AZ1136" s="295"/>
      <c r="BA1136" s="295"/>
      <c r="BB1136" s="295"/>
      <c r="BC1136" s="295"/>
      <c r="BD1136" s="397"/>
      <c r="BE1136" s="295"/>
      <c r="BF1136" s="295"/>
      <c r="BG1136" s="295"/>
      <c r="BH1136" s="295"/>
      <c r="BI1136" s="397"/>
      <c r="BJ1136" s="1030"/>
      <c r="BK1136" s="295"/>
      <c r="BL1136" s="295"/>
      <c r="BM1136" s="295"/>
      <c r="BN1136" s="397"/>
      <c r="BO1136" s="295"/>
      <c r="BP1136" s="295"/>
      <c r="BQ1136" s="295"/>
      <c r="BR1136" s="295"/>
      <c r="BS1136" s="397"/>
      <c r="BT1136" s="397"/>
      <c r="BU1136" s="397"/>
      <c r="BV1136" s="397"/>
      <c r="BW1136" s="197"/>
    </row>
    <row r="1137" spans="1:75" s="123" customFormat="1" x14ac:dyDescent="0.5">
      <c r="A1137" s="464" t="s">
        <v>1374</v>
      </c>
      <c r="B1137" s="513"/>
      <c r="C1137" s="403">
        <v>241.3</v>
      </c>
      <c r="D1137" s="403">
        <v>202.13499999999999</v>
      </c>
      <c r="E1137" s="403">
        <v>181.762</v>
      </c>
      <c r="F1137" s="403">
        <v>171.19800000000001</v>
      </c>
      <c r="G1137" s="302">
        <v>172.31200000000001</v>
      </c>
      <c r="H1137" s="302">
        <v>170.81700000000001</v>
      </c>
      <c r="I1137" s="302">
        <v>165.44499999999999</v>
      </c>
      <c r="J1137" s="122">
        <f>K1137</f>
        <v>157.85599999999999</v>
      </c>
      <c r="K1137" s="403">
        <v>157.85599999999999</v>
      </c>
      <c r="L1137" s="302">
        <v>158.339</v>
      </c>
      <c r="M1137" s="302">
        <v>171.19300000000001</v>
      </c>
      <c r="N1137" s="302">
        <v>168.078</v>
      </c>
      <c r="O1137" s="122">
        <f>P1137</f>
        <v>166.92500000000001</v>
      </c>
      <c r="P1137" s="403">
        <v>166.92500000000001</v>
      </c>
      <c r="Q1137" s="302">
        <v>170.52799999999999</v>
      </c>
      <c r="R1137" s="302">
        <v>179.10300000000001</v>
      </c>
      <c r="S1137" s="302">
        <v>174.059</v>
      </c>
      <c r="T1137" s="122">
        <f>U1137</f>
        <v>173.06100000000001</v>
      </c>
      <c r="U1137" s="403">
        <v>173.06100000000001</v>
      </c>
      <c r="V1137" s="302">
        <v>188.715</v>
      </c>
      <c r="W1137" s="302">
        <v>193.81899999999999</v>
      </c>
      <c r="X1137" s="302">
        <v>192.94800000000001</v>
      </c>
      <c r="Y1137" s="122">
        <f>Z1137</f>
        <v>196.18799999999999</v>
      </c>
      <c r="Z1137" s="403">
        <v>196.18799999999999</v>
      </c>
      <c r="AA1137" s="302">
        <v>195.20099999999999</v>
      </c>
      <c r="AB1137" s="302">
        <v>196.982</v>
      </c>
      <c r="AC1137" s="302">
        <v>195.22</v>
      </c>
      <c r="AD1137" s="122">
        <f>AE1137</f>
        <v>202.13399999999999</v>
      </c>
      <c r="AE1137" s="403">
        <v>202.13399999999999</v>
      </c>
      <c r="AF1137" s="302">
        <v>204.59899999999999</v>
      </c>
      <c r="AG1137" s="302">
        <v>207.19</v>
      </c>
      <c r="AH1137" s="302">
        <v>205.143</v>
      </c>
      <c r="AI1137" s="122">
        <f>AJ1137</f>
        <v>201.374</v>
      </c>
      <c r="AJ1137" s="403">
        <v>201.374</v>
      </c>
      <c r="AK1137" s="302">
        <v>30.536000000000001</v>
      </c>
      <c r="AL1137" s="302">
        <v>28.617999999999999</v>
      </c>
      <c r="AM1137" s="302">
        <v>29.388000000000002</v>
      </c>
      <c r="AN1137" s="122">
        <f>AO1137</f>
        <v>27.658999999999999</v>
      </c>
      <c r="AO1137" s="403">
        <v>27.658999999999999</v>
      </c>
      <c r="AP1137" s="302">
        <v>26.254000000000001</v>
      </c>
      <c r="AQ1137" s="302">
        <v>24.684000000000001</v>
      </c>
      <c r="AR1137" s="302">
        <v>21.858000000000001</v>
      </c>
      <c r="AS1137" s="122">
        <f>AT1137</f>
        <v>20.611999999999998</v>
      </c>
      <c r="AT1137" s="403">
        <v>20.611999999999998</v>
      </c>
      <c r="AU1137" s="302">
        <v>19.504999999999999</v>
      </c>
      <c r="AV1137" s="302">
        <v>18.359000000000002</v>
      </c>
      <c r="AW1137" s="302">
        <v>17.268000000000001</v>
      </c>
      <c r="AX1137" s="122">
        <f>AY1137</f>
        <v>16.36</v>
      </c>
      <c r="AY1137" s="403">
        <v>16.36</v>
      </c>
      <c r="AZ1137" s="302">
        <v>15.576000000000001</v>
      </c>
      <c r="BA1137" s="302">
        <v>14.725</v>
      </c>
      <c r="BB1137" s="302">
        <v>13.917999999999999</v>
      </c>
      <c r="BC1137" s="122">
        <f>BD1137</f>
        <v>10.026999999999999</v>
      </c>
      <c r="BD1137" s="403">
        <v>10.026999999999999</v>
      </c>
      <c r="BE1137" s="118"/>
      <c r="BF1137" s="118"/>
      <c r="BG1137" s="118"/>
      <c r="BH1137" s="122">
        <f>BI1137</f>
        <v>0</v>
      </c>
      <c r="BI1137" s="401"/>
      <c r="BJ1137" s="971"/>
      <c r="BK1137" s="118">
        <f>BJ1137</f>
        <v>0</v>
      </c>
      <c r="BL1137" s="118">
        <f>BK1137</f>
        <v>0</v>
      </c>
      <c r="BM1137" s="118">
        <f>BL1137</f>
        <v>0</v>
      </c>
      <c r="BN1137" s="401">
        <f t="shared" ref="BN1137:BV1137" si="1505">BM1137</f>
        <v>0</v>
      </c>
      <c r="BO1137" s="118">
        <f t="shared" si="1505"/>
        <v>0</v>
      </c>
      <c r="BP1137" s="118">
        <f t="shared" si="1505"/>
        <v>0</v>
      </c>
      <c r="BQ1137" s="118">
        <f t="shared" si="1505"/>
        <v>0</v>
      </c>
      <c r="BR1137" s="118">
        <f t="shared" si="1505"/>
        <v>0</v>
      </c>
      <c r="BS1137" s="401">
        <f t="shared" si="1505"/>
        <v>0</v>
      </c>
      <c r="BT1137" s="401">
        <f t="shared" si="1505"/>
        <v>0</v>
      </c>
      <c r="BU1137" s="401">
        <f t="shared" si="1505"/>
        <v>0</v>
      </c>
      <c r="BV1137" s="401">
        <f t="shared" si="1505"/>
        <v>0</v>
      </c>
      <c r="BW1137" s="122"/>
    </row>
    <row r="1138" spans="1:75" s="123" customFormat="1" x14ac:dyDescent="0.5">
      <c r="A1138" s="464" t="s">
        <v>2161</v>
      </c>
      <c r="B1138" s="513"/>
      <c r="C1138" s="403">
        <v>8.6720000000000006</v>
      </c>
      <c r="D1138" s="403">
        <v>7.13</v>
      </c>
      <c r="E1138" s="403">
        <v>5.4779999999999998</v>
      </c>
      <c r="F1138" s="403">
        <v>3.7530000000000001</v>
      </c>
      <c r="G1138" s="302">
        <v>3.7530000000000001</v>
      </c>
      <c r="H1138" s="302">
        <v>1.968</v>
      </c>
      <c r="I1138" s="302">
        <v>1.968</v>
      </c>
      <c r="J1138" s="122">
        <f>K1138</f>
        <v>1.968</v>
      </c>
      <c r="K1138" s="403">
        <v>1.968</v>
      </c>
      <c r="L1138" s="302">
        <v>1.968</v>
      </c>
      <c r="M1138" s="302">
        <v>0</v>
      </c>
      <c r="N1138" s="302">
        <v>0</v>
      </c>
      <c r="O1138" s="122">
        <f>P1138</f>
        <v>0</v>
      </c>
      <c r="P1138" s="401"/>
      <c r="Q1138" s="302">
        <v>0</v>
      </c>
      <c r="R1138" s="118"/>
      <c r="S1138" s="118"/>
      <c r="T1138" s="122">
        <f>U1138</f>
        <v>0</v>
      </c>
      <c r="U1138" s="401"/>
      <c r="V1138" s="118"/>
      <c r="W1138" s="118"/>
      <c r="X1138" s="118"/>
      <c r="Y1138" s="122">
        <f>Z1138</f>
        <v>0</v>
      </c>
      <c r="Z1138" s="401"/>
      <c r="AA1138" s="118"/>
      <c r="AB1138" s="118"/>
      <c r="AC1138" s="118"/>
      <c r="AD1138" s="122">
        <f>AE1138</f>
        <v>299.42200000000003</v>
      </c>
      <c r="AE1138" s="403">
        <v>299.42200000000003</v>
      </c>
      <c r="AF1138" s="302">
        <v>299.47199999999998</v>
      </c>
      <c r="AG1138" s="302">
        <v>299.52100000000002</v>
      </c>
      <c r="AH1138" s="302">
        <v>299.57100000000003</v>
      </c>
      <c r="AI1138" s="122">
        <f>AJ1138</f>
        <v>299.62</v>
      </c>
      <c r="AJ1138" s="403">
        <v>299.62</v>
      </c>
      <c r="AK1138" s="302">
        <v>299.67</v>
      </c>
      <c r="AL1138" s="302">
        <v>299.71899999999999</v>
      </c>
      <c r="AM1138" s="302">
        <v>299.76900000000001</v>
      </c>
      <c r="AN1138" s="122">
        <f>AO1138</f>
        <v>0</v>
      </c>
      <c r="AO1138" s="401"/>
      <c r="AP1138" s="302">
        <v>299.86799999999999</v>
      </c>
      <c r="AQ1138" s="302">
        <v>298.995</v>
      </c>
      <c r="AR1138" s="302">
        <v>299.173</v>
      </c>
      <c r="AS1138" s="122">
        <f>AT1138</f>
        <v>0</v>
      </c>
      <c r="AT1138" s="401"/>
      <c r="AU1138" s="118"/>
      <c r="AV1138" s="118"/>
      <c r="AW1138" s="118"/>
      <c r="AX1138" s="122">
        <f>AY1138</f>
        <v>0</v>
      </c>
      <c r="AY1138" s="401"/>
      <c r="AZ1138" s="118"/>
      <c r="BA1138" s="118"/>
      <c r="BB1138" s="118"/>
      <c r="BC1138" s="122">
        <f>BD1138</f>
        <v>0</v>
      </c>
      <c r="BD1138" s="401"/>
      <c r="BE1138" s="118"/>
      <c r="BF1138" s="118"/>
      <c r="BG1138" s="118"/>
      <c r="BH1138" s="122">
        <f>BI1138</f>
        <v>0</v>
      </c>
      <c r="BI1138" s="401"/>
      <c r="BJ1138" s="971"/>
      <c r="BK1138" s="118">
        <f>BK905</f>
        <v>0</v>
      </c>
      <c r="BL1138" s="118">
        <f>BL905</f>
        <v>0</v>
      </c>
      <c r="BM1138" s="118">
        <f>BM905</f>
        <v>0</v>
      </c>
      <c r="BN1138" s="401">
        <f>BM1138</f>
        <v>0</v>
      </c>
      <c r="BO1138" s="118">
        <f>BO905</f>
        <v>0</v>
      </c>
      <c r="BP1138" s="118">
        <f>BP905</f>
        <v>0</v>
      </c>
      <c r="BQ1138" s="118">
        <f>BQ905</f>
        <v>0</v>
      </c>
      <c r="BR1138" s="118">
        <f>BR905</f>
        <v>0</v>
      </c>
      <c r="BS1138" s="401">
        <f>BR1138</f>
        <v>0</v>
      </c>
      <c r="BT1138" s="401">
        <f>BT905</f>
        <v>0</v>
      </c>
      <c r="BU1138" s="401">
        <f>BU905</f>
        <v>0</v>
      </c>
      <c r="BV1138" s="401">
        <f>BV905</f>
        <v>0</v>
      </c>
      <c r="BW1138" s="122"/>
    </row>
    <row r="1139" spans="1:75" s="123" customFormat="1" x14ac:dyDescent="0.5">
      <c r="A1139" s="464" t="s">
        <v>2162</v>
      </c>
      <c r="B1139" s="513"/>
      <c r="C1139" s="401"/>
      <c r="D1139" s="401"/>
      <c r="E1139" s="401"/>
      <c r="F1139" s="401"/>
      <c r="G1139" s="118"/>
      <c r="H1139" s="118"/>
      <c r="I1139" s="118"/>
      <c r="J1139" s="118"/>
      <c r="K1139" s="401"/>
      <c r="L1139" s="118"/>
      <c r="M1139" s="118"/>
      <c r="N1139" s="118"/>
      <c r="O1139" s="118"/>
      <c r="P1139" s="401"/>
      <c r="Q1139" s="118"/>
      <c r="R1139" s="118"/>
      <c r="S1139" s="118"/>
      <c r="T1139" s="118"/>
      <c r="U1139" s="401"/>
      <c r="V1139" s="118"/>
      <c r="W1139" s="118"/>
      <c r="X1139" s="118"/>
      <c r="Y1139" s="118"/>
      <c r="Z1139" s="401"/>
      <c r="AA1139" s="118"/>
      <c r="AB1139" s="118"/>
      <c r="AC1139" s="118"/>
      <c r="AD1139" s="118"/>
      <c r="AE1139" s="401"/>
      <c r="AF1139" s="118"/>
      <c r="AG1139" s="118"/>
      <c r="AH1139" s="118"/>
      <c r="AI1139" s="118"/>
      <c r="AJ1139" s="401"/>
      <c r="AK1139" s="302">
        <v>1139.625</v>
      </c>
      <c r="AL1139" s="302">
        <v>1148.0309999999999</v>
      </c>
      <c r="AM1139" s="302">
        <v>1127.403</v>
      </c>
      <c r="AN1139" s="122">
        <f>AO1139</f>
        <v>1094.579</v>
      </c>
      <c r="AO1139" s="403">
        <v>1094.579</v>
      </c>
      <c r="AP1139" s="302">
        <v>1109.473</v>
      </c>
      <c r="AQ1139" s="302">
        <v>1080.6220000000001</v>
      </c>
      <c r="AR1139" s="302">
        <v>1027.1420000000001</v>
      </c>
      <c r="AS1139" s="122">
        <f>AT1139</f>
        <v>1025.057</v>
      </c>
      <c r="AT1139" s="403">
        <v>1025.057</v>
      </c>
      <c r="AU1139" s="302">
        <v>999.28800000000001</v>
      </c>
      <c r="AV1139" s="302">
        <v>994.16499999999996</v>
      </c>
      <c r="AW1139" s="302">
        <v>1095.29</v>
      </c>
      <c r="AX1139" s="122">
        <f>AY1139</f>
        <v>1066.8389999999999</v>
      </c>
      <c r="AY1139" s="403">
        <v>1066.8389999999999</v>
      </c>
      <c r="AZ1139" s="302">
        <v>1038.249</v>
      </c>
      <c r="BA1139" s="302">
        <v>1115.501</v>
      </c>
      <c r="BB1139" s="302">
        <v>1208.0740000000001</v>
      </c>
      <c r="BC1139" s="122">
        <f>BD1139</f>
        <v>1211.693</v>
      </c>
      <c r="BD1139" s="403">
        <v>1211.693</v>
      </c>
      <c r="BE1139" s="302">
        <v>1186.231</v>
      </c>
      <c r="BF1139" s="302">
        <v>1168.221</v>
      </c>
      <c r="BG1139" s="302">
        <v>1163.6310000000001</v>
      </c>
      <c r="BH1139" s="122">
        <f>BI1139</f>
        <v>1156.104</v>
      </c>
      <c r="BI1139" s="403">
        <v>1156.104</v>
      </c>
      <c r="BJ1139" s="1207">
        <v>1112.329</v>
      </c>
      <c r="BK1139" s="118">
        <f t="shared" ref="BK1139:BM1141" si="1506">BJ1139</f>
        <v>1112.329</v>
      </c>
      <c r="BL1139" s="118">
        <f t="shared" si="1506"/>
        <v>1112.329</v>
      </c>
      <c r="BM1139" s="118">
        <f t="shared" si="1506"/>
        <v>1112.329</v>
      </c>
      <c r="BN1139" s="401">
        <f>BM1139</f>
        <v>1112.329</v>
      </c>
      <c r="BO1139" s="118">
        <f t="shared" ref="BO1139:BR1141" si="1507">BN1139</f>
        <v>1112.329</v>
      </c>
      <c r="BP1139" s="118">
        <f t="shared" si="1507"/>
        <v>1112.329</v>
      </c>
      <c r="BQ1139" s="118">
        <f t="shared" si="1507"/>
        <v>1112.329</v>
      </c>
      <c r="BR1139" s="118">
        <f t="shared" si="1507"/>
        <v>1112.329</v>
      </c>
      <c r="BS1139" s="401">
        <f>BR1139</f>
        <v>1112.329</v>
      </c>
      <c r="BT1139" s="401">
        <f t="shared" ref="BT1139:BV1141" si="1508">BS1139</f>
        <v>1112.329</v>
      </c>
      <c r="BU1139" s="401">
        <f t="shared" si="1508"/>
        <v>1112.329</v>
      </c>
      <c r="BV1139" s="401">
        <f t="shared" si="1508"/>
        <v>1112.329</v>
      </c>
      <c r="BW1139" s="122"/>
    </row>
    <row r="1140" spans="1:75" s="123" customFormat="1" x14ac:dyDescent="0.5">
      <c r="A1140" s="464" t="s">
        <v>2155</v>
      </c>
      <c r="B1140" s="513"/>
      <c r="C1140" s="401"/>
      <c r="D1140" s="401"/>
      <c r="E1140" s="401"/>
      <c r="F1140" s="401"/>
      <c r="G1140" s="118"/>
      <c r="H1140" s="118"/>
      <c r="I1140" s="118"/>
      <c r="J1140" s="122">
        <f>K1140</f>
        <v>0</v>
      </c>
      <c r="K1140" s="401"/>
      <c r="L1140" s="302">
        <v>2.85</v>
      </c>
      <c r="M1140" s="118"/>
      <c r="N1140" s="118"/>
      <c r="O1140" s="122">
        <f>P1140</f>
        <v>0</v>
      </c>
      <c r="P1140" s="401"/>
      <c r="Q1140" s="302">
        <v>1.958</v>
      </c>
      <c r="R1140" s="302">
        <v>1.2130000000000001</v>
      </c>
      <c r="S1140" s="118"/>
      <c r="T1140" s="122">
        <f>U1140</f>
        <v>0</v>
      </c>
      <c r="U1140" s="401"/>
      <c r="V1140" s="118"/>
      <c r="W1140" s="118"/>
      <c r="X1140" s="118"/>
      <c r="Y1140" s="122">
        <f>Z1140</f>
        <v>0</v>
      </c>
      <c r="Z1140" s="401"/>
      <c r="AA1140" s="118"/>
      <c r="AB1140" s="118"/>
      <c r="AC1140" s="118"/>
      <c r="AD1140" s="122">
        <f>AE1140</f>
        <v>0</v>
      </c>
      <c r="AE1140" s="401"/>
      <c r="AF1140" s="118"/>
      <c r="AG1140" s="118"/>
      <c r="AH1140" s="118"/>
      <c r="AI1140" s="122">
        <f>AJ1140</f>
        <v>0</v>
      </c>
      <c r="AJ1140" s="401"/>
      <c r="AK1140" s="118"/>
      <c r="AL1140" s="118"/>
      <c r="AM1140" s="118"/>
      <c r="AN1140" s="122">
        <f>AO1140</f>
        <v>0</v>
      </c>
      <c r="AO1140" s="401"/>
      <c r="AP1140" s="118"/>
      <c r="AQ1140" s="118"/>
      <c r="AR1140" s="118"/>
      <c r="AS1140" s="122">
        <f>AT1140</f>
        <v>0</v>
      </c>
      <c r="AT1140" s="401"/>
      <c r="AU1140" s="118"/>
      <c r="AV1140" s="118"/>
      <c r="AW1140" s="118"/>
      <c r="AX1140" s="122">
        <f>AY1140</f>
        <v>0</v>
      </c>
      <c r="AY1140" s="401"/>
      <c r="AZ1140" s="118"/>
      <c r="BA1140" s="118"/>
      <c r="BB1140" s="118"/>
      <c r="BC1140" s="122">
        <f>BD1140</f>
        <v>0</v>
      </c>
      <c r="BD1140" s="401"/>
      <c r="BE1140" s="118"/>
      <c r="BF1140" s="118"/>
      <c r="BG1140" s="118"/>
      <c r="BH1140" s="122">
        <f>BI1140</f>
        <v>0</v>
      </c>
      <c r="BI1140" s="401"/>
      <c r="BJ1140" s="971"/>
      <c r="BK1140" s="118">
        <f t="shared" si="1506"/>
        <v>0</v>
      </c>
      <c r="BL1140" s="118">
        <f t="shared" si="1506"/>
        <v>0</v>
      </c>
      <c r="BM1140" s="118">
        <f t="shared" si="1506"/>
        <v>0</v>
      </c>
      <c r="BN1140" s="401">
        <f>BM1140</f>
        <v>0</v>
      </c>
      <c r="BO1140" s="118">
        <f t="shared" si="1507"/>
        <v>0</v>
      </c>
      <c r="BP1140" s="118">
        <f t="shared" si="1507"/>
        <v>0</v>
      </c>
      <c r="BQ1140" s="118">
        <f t="shared" si="1507"/>
        <v>0</v>
      </c>
      <c r="BR1140" s="118">
        <f t="shared" si="1507"/>
        <v>0</v>
      </c>
      <c r="BS1140" s="401">
        <f>BR1140</f>
        <v>0</v>
      </c>
      <c r="BT1140" s="401">
        <f t="shared" si="1508"/>
        <v>0</v>
      </c>
      <c r="BU1140" s="401">
        <f t="shared" si="1508"/>
        <v>0</v>
      </c>
      <c r="BV1140" s="401">
        <f t="shared" si="1508"/>
        <v>0</v>
      </c>
      <c r="BW1140" s="122"/>
    </row>
    <row r="1141" spans="1:75" s="123" customFormat="1" x14ac:dyDescent="0.5">
      <c r="A1141" s="1292" t="s">
        <v>1375</v>
      </c>
      <c r="B1141" s="677"/>
      <c r="C1141" s="408">
        <v>54.12</v>
      </c>
      <c r="D1141" s="408">
        <v>51.917999999999999</v>
      </c>
      <c r="E1141" s="408">
        <v>46.536999999999999</v>
      </c>
      <c r="F1141" s="408">
        <v>46.463000000000001</v>
      </c>
      <c r="G1141" s="357">
        <v>44.665999999999997</v>
      </c>
      <c r="H1141" s="357">
        <v>51.598999999999997</v>
      </c>
      <c r="I1141" s="357">
        <v>59.506</v>
      </c>
      <c r="J1141" s="431">
        <f>K1141</f>
        <v>59.811999999999998</v>
      </c>
      <c r="K1141" s="408">
        <v>59.811999999999998</v>
      </c>
      <c r="L1141" s="357">
        <v>60.424999999999997</v>
      </c>
      <c r="M1141" s="357">
        <v>63.226999999999997</v>
      </c>
      <c r="N1141" s="357">
        <v>62.942</v>
      </c>
      <c r="O1141" s="431">
        <f>P1141</f>
        <v>62.698</v>
      </c>
      <c r="P1141" s="408">
        <v>62.698</v>
      </c>
      <c r="Q1141" s="357">
        <v>63.143000000000001</v>
      </c>
      <c r="R1141" s="357">
        <v>50.738999999999997</v>
      </c>
      <c r="S1141" s="357">
        <v>50.545000000000002</v>
      </c>
      <c r="T1141" s="431">
        <f>U1141</f>
        <v>49.713000000000001</v>
      </c>
      <c r="U1141" s="408">
        <v>49.713000000000001</v>
      </c>
      <c r="V1141" s="357">
        <v>67.040999999999997</v>
      </c>
      <c r="W1141" s="357">
        <v>66.516000000000005</v>
      </c>
      <c r="X1141" s="357">
        <v>70.031000000000006</v>
      </c>
      <c r="Y1141" s="431">
        <f>Z1141</f>
        <v>71.215000000000003</v>
      </c>
      <c r="Z1141" s="408">
        <v>71.215000000000003</v>
      </c>
      <c r="AA1141" s="357">
        <v>73.16</v>
      </c>
      <c r="AB1141" s="357">
        <v>74.284000000000006</v>
      </c>
      <c r="AC1141" s="357">
        <v>75.438999999999993</v>
      </c>
      <c r="AD1141" s="431">
        <f>AE1141</f>
        <v>72.804000000000002</v>
      </c>
      <c r="AE1141" s="408">
        <v>72.804000000000002</v>
      </c>
      <c r="AF1141" s="357">
        <v>72.778999999999996</v>
      </c>
      <c r="AG1141" s="357">
        <v>72.33</v>
      </c>
      <c r="AH1141" s="357">
        <v>85.388000000000005</v>
      </c>
      <c r="AI1141" s="431">
        <f>AJ1141</f>
        <v>81.323999999999998</v>
      </c>
      <c r="AJ1141" s="408">
        <v>81.323999999999998</v>
      </c>
      <c r="AK1141" s="357">
        <v>82.551000000000002</v>
      </c>
      <c r="AL1141" s="357">
        <v>84.831000000000003</v>
      </c>
      <c r="AM1141" s="357">
        <v>86.460999999999999</v>
      </c>
      <c r="AN1141" s="431">
        <f>AO1141</f>
        <v>86.388999999999996</v>
      </c>
      <c r="AO1141" s="408">
        <v>86.388999999999996</v>
      </c>
      <c r="AP1141" s="357">
        <v>81.497</v>
      </c>
      <c r="AQ1141" s="357">
        <v>85.91</v>
      </c>
      <c r="AR1141" s="357">
        <v>100.47799999999999</v>
      </c>
      <c r="AS1141" s="431">
        <f>AT1141</f>
        <v>116.57</v>
      </c>
      <c r="AT1141" s="408">
        <v>116.57</v>
      </c>
      <c r="AU1141" s="357">
        <v>124.878</v>
      </c>
      <c r="AV1141" s="357">
        <v>126.967</v>
      </c>
      <c r="AW1141" s="357">
        <v>129.77099999999999</v>
      </c>
      <c r="AX1141" s="431">
        <f>AY1141</f>
        <v>106.52800000000001</v>
      </c>
      <c r="AY1141" s="408">
        <v>106.52800000000001</v>
      </c>
      <c r="AZ1141" s="357">
        <v>103.504</v>
      </c>
      <c r="BA1141" s="357">
        <v>99.623999999999995</v>
      </c>
      <c r="BB1141" s="357">
        <v>104.361</v>
      </c>
      <c r="BC1141" s="431">
        <f>BD1141</f>
        <v>103.794</v>
      </c>
      <c r="BD1141" s="408">
        <v>103.794</v>
      </c>
      <c r="BE1141" s="357">
        <v>116.16500000000001</v>
      </c>
      <c r="BF1141" s="357">
        <v>118.785</v>
      </c>
      <c r="BG1141" s="357">
        <v>117.91800000000001</v>
      </c>
      <c r="BH1141" s="431">
        <f>BI1141</f>
        <v>109.268</v>
      </c>
      <c r="BI1141" s="408">
        <v>109.268</v>
      </c>
      <c r="BJ1141" s="1208">
        <v>117.13500000000001</v>
      </c>
      <c r="BK1141" s="723">
        <f t="shared" si="1506"/>
        <v>117.13500000000001</v>
      </c>
      <c r="BL1141" s="723">
        <f t="shared" si="1506"/>
        <v>117.13500000000001</v>
      </c>
      <c r="BM1141" s="723">
        <f t="shared" si="1506"/>
        <v>117.13500000000001</v>
      </c>
      <c r="BN1141" s="406">
        <f>BM1141</f>
        <v>117.13500000000001</v>
      </c>
      <c r="BO1141" s="723">
        <f t="shared" si="1507"/>
        <v>117.13500000000001</v>
      </c>
      <c r="BP1141" s="723">
        <f t="shared" si="1507"/>
        <v>117.13500000000001</v>
      </c>
      <c r="BQ1141" s="723">
        <f t="shared" si="1507"/>
        <v>117.13500000000001</v>
      </c>
      <c r="BR1141" s="723">
        <f t="shared" si="1507"/>
        <v>117.13500000000001</v>
      </c>
      <c r="BS1141" s="406">
        <f>BR1141</f>
        <v>117.13500000000001</v>
      </c>
      <c r="BT1141" s="406">
        <f t="shared" si="1508"/>
        <v>117.13500000000001</v>
      </c>
      <c r="BU1141" s="406">
        <f t="shared" si="1508"/>
        <v>117.13500000000001</v>
      </c>
      <c r="BV1141" s="406">
        <f t="shared" si="1508"/>
        <v>117.13500000000001</v>
      </c>
      <c r="BW1141" s="122"/>
    </row>
    <row r="1142" spans="1:75" s="198" customFormat="1" ht="14.25" x14ac:dyDescent="0.45">
      <c r="A1142" s="516" t="s">
        <v>1538</v>
      </c>
      <c r="B1142" s="517"/>
      <c r="C1142" s="519">
        <f t="shared" ref="C1142:BN1142" si="1509">SUM(C1137:C1141)</f>
        <v>304.09199999999998</v>
      </c>
      <c r="D1142" s="519">
        <f t="shared" si="1509"/>
        <v>261.18299999999999</v>
      </c>
      <c r="E1142" s="519">
        <f t="shared" si="1509"/>
        <v>233.77700000000002</v>
      </c>
      <c r="F1142" s="519">
        <f t="shared" si="1509"/>
        <v>221.41400000000002</v>
      </c>
      <c r="G1142" s="520">
        <f t="shared" si="1509"/>
        <v>220.73099999999999</v>
      </c>
      <c r="H1142" s="520">
        <f t="shared" si="1509"/>
        <v>224.38399999999999</v>
      </c>
      <c r="I1142" s="520">
        <f t="shared" si="1509"/>
        <v>226.91899999999998</v>
      </c>
      <c r="J1142" s="520">
        <f t="shared" si="1509"/>
        <v>219.63599999999997</v>
      </c>
      <c r="K1142" s="519">
        <f t="shared" si="1509"/>
        <v>219.63599999999997</v>
      </c>
      <c r="L1142" s="520">
        <f t="shared" si="1509"/>
        <v>223.58199999999999</v>
      </c>
      <c r="M1142" s="520">
        <f t="shared" si="1509"/>
        <v>234.42000000000002</v>
      </c>
      <c r="N1142" s="520">
        <f t="shared" si="1509"/>
        <v>231.02</v>
      </c>
      <c r="O1142" s="520">
        <f t="shared" si="1509"/>
        <v>229.62300000000002</v>
      </c>
      <c r="P1142" s="519">
        <f t="shared" si="1509"/>
        <v>229.62300000000002</v>
      </c>
      <c r="Q1142" s="520">
        <f t="shared" si="1509"/>
        <v>235.62899999999999</v>
      </c>
      <c r="R1142" s="520">
        <f t="shared" si="1509"/>
        <v>231.05500000000001</v>
      </c>
      <c r="S1142" s="520">
        <f t="shared" si="1509"/>
        <v>224.60399999999998</v>
      </c>
      <c r="T1142" s="520">
        <f t="shared" si="1509"/>
        <v>222.774</v>
      </c>
      <c r="U1142" s="519">
        <f t="shared" si="1509"/>
        <v>222.774</v>
      </c>
      <c r="V1142" s="520">
        <f t="shared" si="1509"/>
        <v>255.756</v>
      </c>
      <c r="W1142" s="520">
        <f t="shared" si="1509"/>
        <v>260.33499999999998</v>
      </c>
      <c r="X1142" s="520">
        <f t="shared" si="1509"/>
        <v>262.97900000000004</v>
      </c>
      <c r="Y1142" s="520">
        <f t="shared" si="1509"/>
        <v>267.40300000000002</v>
      </c>
      <c r="Z1142" s="519">
        <f t="shared" si="1509"/>
        <v>267.40300000000002</v>
      </c>
      <c r="AA1142" s="520">
        <f t="shared" si="1509"/>
        <v>268.36099999999999</v>
      </c>
      <c r="AB1142" s="520">
        <f t="shared" si="1509"/>
        <v>271.26600000000002</v>
      </c>
      <c r="AC1142" s="520">
        <f t="shared" si="1509"/>
        <v>270.65899999999999</v>
      </c>
      <c r="AD1142" s="520">
        <f t="shared" si="1509"/>
        <v>574.36</v>
      </c>
      <c r="AE1142" s="519">
        <f t="shared" si="1509"/>
        <v>574.36</v>
      </c>
      <c r="AF1142" s="520">
        <f t="shared" si="1509"/>
        <v>576.84999999999991</v>
      </c>
      <c r="AG1142" s="520">
        <f t="shared" si="1509"/>
        <v>579.04100000000005</v>
      </c>
      <c r="AH1142" s="520">
        <f t="shared" si="1509"/>
        <v>590.10200000000009</v>
      </c>
      <c r="AI1142" s="520">
        <f t="shared" si="1509"/>
        <v>582.31799999999998</v>
      </c>
      <c r="AJ1142" s="519">
        <f t="shared" si="1509"/>
        <v>582.31799999999998</v>
      </c>
      <c r="AK1142" s="520">
        <f t="shared" si="1509"/>
        <v>1552.3820000000001</v>
      </c>
      <c r="AL1142" s="520">
        <f t="shared" si="1509"/>
        <v>1561.1989999999998</v>
      </c>
      <c r="AM1142" s="520">
        <f t="shared" si="1509"/>
        <v>1543.021</v>
      </c>
      <c r="AN1142" s="520">
        <f t="shared" si="1509"/>
        <v>1208.627</v>
      </c>
      <c r="AO1142" s="519">
        <f t="shared" si="1509"/>
        <v>1208.627</v>
      </c>
      <c r="AP1142" s="520">
        <f t="shared" si="1509"/>
        <v>1517.0920000000001</v>
      </c>
      <c r="AQ1142" s="520">
        <f t="shared" si="1509"/>
        <v>1490.2110000000002</v>
      </c>
      <c r="AR1142" s="520">
        <f t="shared" si="1509"/>
        <v>1448.6510000000001</v>
      </c>
      <c r="AS1142" s="520">
        <f t="shared" si="1509"/>
        <v>1162.239</v>
      </c>
      <c r="AT1142" s="519">
        <f t="shared" si="1509"/>
        <v>1162.239</v>
      </c>
      <c r="AU1142" s="520">
        <f t="shared" si="1509"/>
        <v>1143.671</v>
      </c>
      <c r="AV1142" s="520">
        <f t="shared" si="1509"/>
        <v>1139.491</v>
      </c>
      <c r="AW1142" s="520">
        <f t="shared" si="1509"/>
        <v>1242.329</v>
      </c>
      <c r="AX1142" s="520">
        <f t="shared" si="1509"/>
        <v>1189.7269999999999</v>
      </c>
      <c r="AY1142" s="519">
        <f t="shared" si="1509"/>
        <v>1189.7269999999999</v>
      </c>
      <c r="AZ1142" s="520">
        <f t="shared" si="1509"/>
        <v>1157.329</v>
      </c>
      <c r="BA1142" s="520">
        <f t="shared" si="1509"/>
        <v>1229.8499999999999</v>
      </c>
      <c r="BB1142" s="520">
        <f t="shared" si="1509"/>
        <v>1326.3530000000001</v>
      </c>
      <c r="BC1142" s="520">
        <f t="shared" si="1509"/>
        <v>1325.5140000000001</v>
      </c>
      <c r="BD1142" s="519">
        <f t="shared" si="1509"/>
        <v>1325.5140000000001</v>
      </c>
      <c r="BE1142" s="520">
        <f t="shared" si="1509"/>
        <v>1302.396</v>
      </c>
      <c r="BF1142" s="520">
        <f t="shared" si="1509"/>
        <v>1287.0060000000001</v>
      </c>
      <c r="BG1142" s="520">
        <f t="shared" si="1509"/>
        <v>1281.549</v>
      </c>
      <c r="BH1142" s="520">
        <f t="shared" si="1509"/>
        <v>1265.3720000000001</v>
      </c>
      <c r="BI1142" s="519">
        <f t="shared" si="1509"/>
        <v>1265.3720000000001</v>
      </c>
      <c r="BJ1142" s="1270">
        <f>SUM(BJ1137:BJ1141)</f>
        <v>1229.4639999999999</v>
      </c>
      <c r="BK1142" s="327">
        <f t="shared" si="1509"/>
        <v>1229.4639999999999</v>
      </c>
      <c r="BL1142" s="327">
        <f t="shared" si="1509"/>
        <v>1229.4639999999999</v>
      </c>
      <c r="BM1142" s="327">
        <f t="shared" si="1509"/>
        <v>1229.4639999999999</v>
      </c>
      <c r="BN1142" s="518">
        <f t="shared" si="1509"/>
        <v>1229.4639999999999</v>
      </c>
      <c r="BO1142" s="327">
        <f t="shared" ref="BO1142:BV1142" si="1510">SUM(BO1137:BO1141)</f>
        <v>1229.4639999999999</v>
      </c>
      <c r="BP1142" s="327">
        <f t="shared" si="1510"/>
        <v>1229.4639999999999</v>
      </c>
      <c r="BQ1142" s="327">
        <f t="shared" si="1510"/>
        <v>1229.4639999999999</v>
      </c>
      <c r="BR1142" s="327">
        <f t="shared" si="1510"/>
        <v>1229.4639999999999</v>
      </c>
      <c r="BS1142" s="518">
        <f t="shared" si="1510"/>
        <v>1229.4639999999999</v>
      </c>
      <c r="BT1142" s="518">
        <f t="shared" si="1510"/>
        <v>1229.4639999999999</v>
      </c>
      <c r="BU1142" s="518">
        <f t="shared" si="1510"/>
        <v>1229.4639999999999</v>
      </c>
      <c r="BV1142" s="518">
        <f t="shared" si="1510"/>
        <v>1229.4639999999999</v>
      </c>
      <c r="BW1142" s="197"/>
    </row>
    <row r="1143" spans="1:75" s="198" customFormat="1" ht="14.25" x14ac:dyDescent="0.45">
      <c r="A1143" s="463" t="s">
        <v>1539</v>
      </c>
      <c r="B1143" s="522"/>
      <c r="C1143" s="672">
        <f t="shared" ref="C1143:BN1143" si="1511">C1134+C1142</f>
        <v>867.57400000000007</v>
      </c>
      <c r="D1143" s="672">
        <f t="shared" si="1511"/>
        <v>872.899</v>
      </c>
      <c r="E1143" s="672">
        <f t="shared" si="1511"/>
        <v>805.57599999999991</v>
      </c>
      <c r="F1143" s="672">
        <f t="shared" si="1511"/>
        <v>878.54100000000005</v>
      </c>
      <c r="G1143" s="197">
        <f t="shared" si="1511"/>
        <v>781.00099999999998</v>
      </c>
      <c r="H1143" s="197">
        <f t="shared" si="1511"/>
        <v>904.803</v>
      </c>
      <c r="I1143" s="197">
        <f t="shared" si="1511"/>
        <v>1056.3969999999999</v>
      </c>
      <c r="J1143" s="197">
        <f t="shared" si="1511"/>
        <v>1080.732</v>
      </c>
      <c r="K1143" s="672">
        <f t="shared" si="1511"/>
        <v>1080.732</v>
      </c>
      <c r="L1143" s="197">
        <f t="shared" si="1511"/>
        <v>959.80799999999988</v>
      </c>
      <c r="M1143" s="197">
        <f t="shared" si="1511"/>
        <v>985.1389999999999</v>
      </c>
      <c r="N1143" s="197">
        <f t="shared" si="1511"/>
        <v>1167.5720000000001</v>
      </c>
      <c r="O1143" s="197">
        <f t="shared" si="1511"/>
        <v>1105.5709999999999</v>
      </c>
      <c r="P1143" s="672">
        <f t="shared" si="1511"/>
        <v>1105.5709999999999</v>
      </c>
      <c r="Q1143" s="197">
        <f t="shared" si="1511"/>
        <v>1064.4569999999999</v>
      </c>
      <c r="R1143" s="197">
        <f t="shared" si="1511"/>
        <v>1254.595</v>
      </c>
      <c r="S1143" s="197">
        <f t="shared" si="1511"/>
        <v>1319.143</v>
      </c>
      <c r="T1143" s="197">
        <f t="shared" si="1511"/>
        <v>1219.201</v>
      </c>
      <c r="U1143" s="672">
        <f t="shared" si="1511"/>
        <v>1219.201</v>
      </c>
      <c r="V1143" s="197">
        <f t="shared" si="1511"/>
        <v>1127.5120000000002</v>
      </c>
      <c r="W1143" s="197">
        <f t="shared" si="1511"/>
        <v>1218.752</v>
      </c>
      <c r="X1143" s="197">
        <f t="shared" si="1511"/>
        <v>1293.8500000000001</v>
      </c>
      <c r="Y1143" s="197">
        <f t="shared" si="1511"/>
        <v>1228.6590000000001</v>
      </c>
      <c r="Z1143" s="672">
        <f t="shared" si="1511"/>
        <v>1228.6590000000001</v>
      </c>
      <c r="AA1143" s="197">
        <f t="shared" si="1511"/>
        <v>1181.0260000000001</v>
      </c>
      <c r="AB1143" s="197">
        <f t="shared" si="1511"/>
        <v>1291.336</v>
      </c>
      <c r="AC1143" s="197">
        <f t="shared" si="1511"/>
        <v>1408.21</v>
      </c>
      <c r="AD1143" s="197">
        <f t="shared" si="1511"/>
        <v>1582.183</v>
      </c>
      <c r="AE1143" s="672">
        <f t="shared" si="1511"/>
        <v>1582.183</v>
      </c>
      <c r="AF1143" s="197">
        <f t="shared" si="1511"/>
        <v>1459.6709999999998</v>
      </c>
      <c r="AG1143" s="197">
        <f t="shared" si="1511"/>
        <v>1526.989</v>
      </c>
      <c r="AH1143" s="197">
        <f t="shared" si="1511"/>
        <v>1626.8220000000001</v>
      </c>
      <c r="AI1143" s="197">
        <f t="shared" si="1511"/>
        <v>1657.1299999999999</v>
      </c>
      <c r="AJ1143" s="672">
        <f t="shared" si="1511"/>
        <v>1657.1299999999999</v>
      </c>
      <c r="AK1143" s="197">
        <f t="shared" si="1511"/>
        <v>2666.5969999999998</v>
      </c>
      <c r="AL1143" s="197">
        <f t="shared" si="1511"/>
        <v>2748.0779999999995</v>
      </c>
      <c r="AM1143" s="197">
        <f t="shared" si="1511"/>
        <v>2831.9309999999996</v>
      </c>
      <c r="AN1143" s="197">
        <f t="shared" si="1511"/>
        <v>2818.1819999999998</v>
      </c>
      <c r="AO1143" s="672">
        <f t="shared" si="1511"/>
        <v>2818.1819999999998</v>
      </c>
      <c r="AP1143" s="197">
        <f t="shared" si="1511"/>
        <v>3199.1859999999997</v>
      </c>
      <c r="AQ1143" s="197">
        <f t="shared" si="1511"/>
        <v>3154.3740000000003</v>
      </c>
      <c r="AR1143" s="197">
        <f t="shared" si="1511"/>
        <v>2908.777</v>
      </c>
      <c r="AS1143" s="197">
        <f t="shared" si="1511"/>
        <v>3010.239</v>
      </c>
      <c r="AT1143" s="672">
        <f t="shared" si="1511"/>
        <v>3010.239</v>
      </c>
      <c r="AU1143" s="197">
        <f t="shared" si="1511"/>
        <v>2662.944</v>
      </c>
      <c r="AV1143" s="197">
        <f t="shared" si="1511"/>
        <v>2718.3180000000002</v>
      </c>
      <c r="AW1143" s="197">
        <f t="shared" si="1511"/>
        <v>2933.9539999999997</v>
      </c>
      <c r="AX1143" s="197">
        <f t="shared" si="1511"/>
        <v>2961.4129999999996</v>
      </c>
      <c r="AY1143" s="672">
        <f t="shared" si="1511"/>
        <v>2961.4129999999996</v>
      </c>
      <c r="AZ1143" s="197">
        <f t="shared" si="1511"/>
        <v>2900.9690000000001</v>
      </c>
      <c r="BA1143" s="197">
        <f t="shared" si="1511"/>
        <v>3040.895</v>
      </c>
      <c r="BB1143" s="197">
        <f t="shared" si="1511"/>
        <v>3181.0729999999999</v>
      </c>
      <c r="BC1143" s="197">
        <f t="shared" si="1511"/>
        <v>2961.9650000000001</v>
      </c>
      <c r="BD1143" s="672">
        <f t="shared" si="1511"/>
        <v>2961.9650000000001</v>
      </c>
      <c r="BE1143" s="197">
        <f t="shared" si="1511"/>
        <v>3004.212</v>
      </c>
      <c r="BF1143" s="197">
        <f t="shared" si="1511"/>
        <v>2950.8559999999998</v>
      </c>
      <c r="BG1143" s="197">
        <f t="shared" si="1511"/>
        <v>3070.5349999999999</v>
      </c>
      <c r="BH1143" s="197">
        <f t="shared" si="1511"/>
        <v>3145.6869999999999</v>
      </c>
      <c r="BI1143" s="672">
        <f t="shared" si="1511"/>
        <v>3145.6869999999999</v>
      </c>
      <c r="BJ1143" s="1273">
        <f>BJ1134+BJ1142</f>
        <v>2950.4210000000003</v>
      </c>
      <c r="BK1143" s="295">
        <f t="shared" si="1511"/>
        <v>2823.6963136494824</v>
      </c>
      <c r="BL1143" s="295">
        <f t="shared" si="1511"/>
        <v>3051.4486853728704</v>
      </c>
      <c r="BM1143" s="295">
        <f t="shared" si="1511"/>
        <v>3138.9802708951147</v>
      </c>
      <c r="BN1143" s="397">
        <f t="shared" si="1511"/>
        <v>3138.9802708951147</v>
      </c>
      <c r="BO1143" s="295">
        <f t="shared" ref="BO1143:BV1143" si="1512">BO1134+BO1142</f>
        <v>2974.3683939894745</v>
      </c>
      <c r="BP1143" s="295">
        <f t="shared" si="1512"/>
        <v>2859.7385958565974</v>
      </c>
      <c r="BQ1143" s="295">
        <f t="shared" si="1512"/>
        <v>3112.4158582856298</v>
      </c>
      <c r="BR1143" s="295">
        <f t="shared" si="1512"/>
        <v>3174.9966255144518</v>
      </c>
      <c r="BS1143" s="397">
        <f t="shared" si="1512"/>
        <v>3174.9966255144518</v>
      </c>
      <c r="BT1143" s="397">
        <f t="shared" si="1512"/>
        <v>3270.5580919439235</v>
      </c>
      <c r="BU1143" s="397">
        <f t="shared" si="1512"/>
        <v>3383.562277135713</v>
      </c>
      <c r="BV1143" s="397">
        <f t="shared" si="1512"/>
        <v>3504.9375143911184</v>
      </c>
      <c r="BW1143" s="197"/>
    </row>
    <row r="1144" spans="1:75" s="198" customFormat="1" ht="14.25" x14ac:dyDescent="0.45">
      <c r="A1144" s="206"/>
      <c r="B1144" s="522"/>
      <c r="C1144" s="397"/>
      <c r="D1144" s="397"/>
      <c r="E1144" s="397"/>
      <c r="F1144" s="397"/>
      <c r="G1144" s="295"/>
      <c r="H1144" s="295"/>
      <c r="I1144" s="295"/>
      <c r="J1144" s="295"/>
      <c r="K1144" s="397"/>
      <c r="L1144" s="295"/>
      <c r="M1144" s="295"/>
      <c r="N1144" s="295"/>
      <c r="O1144" s="295"/>
      <c r="P1144" s="397"/>
      <c r="Q1144" s="295"/>
      <c r="R1144" s="295"/>
      <c r="S1144" s="295"/>
      <c r="T1144" s="295"/>
      <c r="U1144" s="397"/>
      <c r="V1144" s="295"/>
      <c r="W1144" s="295"/>
      <c r="X1144" s="295"/>
      <c r="Y1144" s="295"/>
      <c r="Z1144" s="397"/>
      <c r="AA1144" s="295"/>
      <c r="AB1144" s="295"/>
      <c r="AC1144" s="295"/>
      <c r="AD1144" s="295"/>
      <c r="AE1144" s="397"/>
      <c r="AF1144" s="295"/>
      <c r="AG1144" s="295"/>
      <c r="AH1144" s="295"/>
      <c r="AI1144" s="295"/>
      <c r="AJ1144" s="397"/>
      <c r="AK1144" s="295"/>
      <c r="AL1144" s="295"/>
      <c r="AM1144" s="295"/>
      <c r="AN1144" s="295"/>
      <c r="AO1144" s="397"/>
      <c r="AP1144" s="295"/>
      <c r="AQ1144" s="295"/>
      <c r="AR1144" s="295"/>
      <c r="AS1144" s="295"/>
      <c r="AT1144" s="397"/>
      <c r="AU1144" s="295"/>
      <c r="AV1144" s="295"/>
      <c r="AW1144" s="295"/>
      <c r="AX1144" s="295"/>
      <c r="AY1144" s="397"/>
      <c r="AZ1144" s="295"/>
      <c r="BA1144" s="295"/>
      <c r="BB1144" s="295"/>
      <c r="BC1144" s="295"/>
      <c r="BD1144" s="397"/>
      <c r="BE1144" s="295"/>
      <c r="BF1144" s="295"/>
      <c r="BG1144" s="295"/>
      <c r="BH1144" s="295"/>
      <c r="BI1144" s="397"/>
      <c r="BJ1144" s="1030"/>
      <c r="BK1144" s="295"/>
      <c r="BL1144" s="295"/>
      <c r="BM1144" s="295"/>
      <c r="BN1144" s="397"/>
      <c r="BO1144" s="295"/>
      <c r="BP1144" s="295"/>
      <c r="BQ1144" s="295"/>
      <c r="BR1144" s="295"/>
      <c r="BS1144" s="397"/>
      <c r="BT1144" s="397"/>
      <c r="BU1144" s="397"/>
      <c r="BV1144" s="397"/>
      <c r="BW1144" s="197"/>
    </row>
    <row r="1145" spans="1:75" s="198" customFormat="1" ht="14.25" x14ac:dyDescent="0.45">
      <c r="A1145" s="670" t="s">
        <v>1540</v>
      </c>
      <c r="B1145" s="522"/>
      <c r="C1145" s="397"/>
      <c r="D1145" s="397"/>
      <c r="E1145" s="397"/>
      <c r="F1145" s="397"/>
      <c r="G1145" s="295"/>
      <c r="H1145" s="295"/>
      <c r="I1145" s="295"/>
      <c r="J1145" s="295"/>
      <c r="K1145" s="397"/>
      <c r="L1145" s="295"/>
      <c r="M1145" s="295"/>
      <c r="N1145" s="295"/>
      <c r="O1145" s="295"/>
      <c r="P1145" s="397"/>
      <c r="Q1145" s="295"/>
      <c r="R1145" s="295"/>
      <c r="S1145" s="295"/>
      <c r="T1145" s="295"/>
      <c r="U1145" s="397"/>
      <c r="V1145" s="295"/>
      <c r="W1145" s="295"/>
      <c r="X1145" s="295"/>
      <c r="Y1145" s="295"/>
      <c r="Z1145" s="397"/>
      <c r="AA1145" s="295"/>
      <c r="AB1145" s="295"/>
      <c r="AC1145" s="295"/>
      <c r="AD1145" s="295"/>
      <c r="AE1145" s="397"/>
      <c r="AF1145" s="295"/>
      <c r="AG1145" s="295"/>
      <c r="AH1145" s="295"/>
      <c r="AI1145" s="295"/>
      <c r="AJ1145" s="397"/>
      <c r="AK1145" s="295"/>
      <c r="AL1145" s="295"/>
      <c r="AM1145" s="295"/>
      <c r="AN1145" s="295"/>
      <c r="AO1145" s="397"/>
      <c r="AP1145" s="295"/>
      <c r="AQ1145" s="295"/>
      <c r="AR1145" s="295"/>
      <c r="AS1145" s="295"/>
      <c r="AT1145" s="397"/>
      <c r="AU1145" s="295"/>
      <c r="AV1145" s="295"/>
      <c r="AW1145" s="295"/>
      <c r="AX1145" s="295"/>
      <c r="AY1145" s="397"/>
      <c r="AZ1145" s="295"/>
      <c r="BA1145" s="295"/>
      <c r="BB1145" s="295"/>
      <c r="BC1145" s="295"/>
      <c r="BD1145" s="397"/>
      <c r="BE1145" s="295"/>
      <c r="BF1145" s="295"/>
      <c r="BG1145" s="295"/>
      <c r="BH1145" s="295"/>
      <c r="BI1145" s="397"/>
      <c r="BJ1145" s="1030"/>
      <c r="BK1145" s="295"/>
      <c r="BL1145" s="295"/>
      <c r="BM1145" s="295"/>
      <c r="BN1145" s="397"/>
      <c r="BO1145" s="295"/>
      <c r="BP1145" s="295"/>
      <c r="BQ1145" s="295"/>
      <c r="BR1145" s="295"/>
      <c r="BS1145" s="397"/>
      <c r="BT1145" s="397"/>
      <c r="BU1145" s="397"/>
      <c r="BV1145" s="397"/>
      <c r="BW1145" s="197"/>
    </row>
    <row r="1146" spans="1:75" s="123" customFormat="1" x14ac:dyDescent="0.5">
      <c r="A1146" s="464" t="s">
        <v>2163</v>
      </c>
      <c r="B1146" s="513"/>
      <c r="C1146" s="403">
        <v>0</v>
      </c>
      <c r="D1146" s="403">
        <v>0</v>
      </c>
      <c r="E1146" s="403">
        <v>0</v>
      </c>
      <c r="F1146" s="403">
        <v>0</v>
      </c>
      <c r="G1146" s="302">
        <v>0</v>
      </c>
      <c r="H1146" s="302">
        <v>0</v>
      </c>
      <c r="I1146" s="302">
        <v>0</v>
      </c>
      <c r="J1146" s="122">
        <f t="shared" ref="J1146:J1151" si="1513">K1146</f>
        <v>0</v>
      </c>
      <c r="K1146" s="403">
        <v>0</v>
      </c>
      <c r="L1146" s="302">
        <v>0</v>
      </c>
      <c r="M1146" s="302">
        <v>0</v>
      </c>
      <c r="N1146" s="302">
        <v>0</v>
      </c>
      <c r="O1146" s="122">
        <f t="shared" ref="O1146:O1151" si="1514">P1146</f>
        <v>0</v>
      </c>
      <c r="P1146" s="401"/>
      <c r="Q1146" s="118"/>
      <c r="R1146" s="302">
        <v>0</v>
      </c>
      <c r="S1146" s="302">
        <v>0</v>
      </c>
      <c r="T1146" s="122">
        <f t="shared" ref="T1146:T1151" si="1515">U1146</f>
        <v>0</v>
      </c>
      <c r="U1146" s="401"/>
      <c r="V1146" s="118"/>
      <c r="W1146" s="118"/>
      <c r="X1146" s="118"/>
      <c r="Y1146" s="122">
        <f t="shared" ref="Y1146:Y1151" si="1516">Z1146</f>
        <v>0</v>
      </c>
      <c r="Z1146" s="401"/>
      <c r="AA1146" s="118"/>
      <c r="AB1146" s="118"/>
      <c r="AC1146" s="118"/>
      <c r="AD1146" s="122">
        <f t="shared" ref="AD1146:AD1151" si="1517">AE1146</f>
        <v>0</v>
      </c>
      <c r="AE1146" s="401"/>
      <c r="AF1146" s="118"/>
      <c r="AG1146" s="118"/>
      <c r="AH1146" s="118"/>
      <c r="AI1146" s="122">
        <f t="shared" ref="AI1146:AI1151" si="1518">AJ1146</f>
        <v>0</v>
      </c>
      <c r="AJ1146" s="401"/>
      <c r="AK1146" s="118"/>
      <c r="AL1146" s="118"/>
      <c r="AM1146" s="118"/>
      <c r="AN1146" s="122">
        <f t="shared" ref="AN1146:AN1151" si="1519">AO1146</f>
        <v>0</v>
      </c>
      <c r="AO1146" s="401"/>
      <c r="AP1146" s="118"/>
      <c r="AQ1146" s="118"/>
      <c r="AR1146" s="118"/>
      <c r="AS1146" s="122">
        <f t="shared" ref="AS1146:AS1151" si="1520">AT1146</f>
        <v>0</v>
      </c>
      <c r="AT1146" s="401"/>
      <c r="AU1146" s="118"/>
      <c r="AV1146" s="118"/>
      <c r="AW1146" s="118"/>
      <c r="AX1146" s="122">
        <f t="shared" ref="AX1146:AX1151" si="1521">AY1146</f>
        <v>0</v>
      </c>
      <c r="AY1146" s="401"/>
      <c r="AZ1146" s="118"/>
      <c r="BA1146" s="118"/>
      <c r="BB1146" s="118"/>
      <c r="BC1146" s="122">
        <f t="shared" ref="BC1146:BC1151" si="1522">BD1146</f>
        <v>0</v>
      </c>
      <c r="BD1146" s="401"/>
      <c r="BE1146" s="118"/>
      <c r="BF1146" s="118"/>
      <c r="BG1146" s="118"/>
      <c r="BH1146" s="122">
        <f t="shared" ref="BH1146:BH1151" si="1523">BI1146</f>
        <v>0</v>
      </c>
      <c r="BI1146" s="401"/>
      <c r="BJ1146" s="971"/>
      <c r="BK1146" s="118">
        <f t="shared" ref="BK1146:BV1147" si="1524">BJ1146</f>
        <v>0</v>
      </c>
      <c r="BL1146" s="118">
        <f t="shared" si="1524"/>
        <v>0</v>
      </c>
      <c r="BM1146" s="118">
        <f t="shared" si="1524"/>
        <v>0</v>
      </c>
      <c r="BN1146" s="401">
        <f t="shared" si="1524"/>
        <v>0</v>
      </c>
      <c r="BO1146" s="118">
        <f t="shared" si="1524"/>
        <v>0</v>
      </c>
      <c r="BP1146" s="118">
        <f t="shared" si="1524"/>
        <v>0</v>
      </c>
      <c r="BQ1146" s="118">
        <f t="shared" si="1524"/>
        <v>0</v>
      </c>
      <c r="BR1146" s="118">
        <f t="shared" si="1524"/>
        <v>0</v>
      </c>
      <c r="BS1146" s="401">
        <f t="shared" si="1524"/>
        <v>0</v>
      </c>
      <c r="BT1146" s="401">
        <f t="shared" si="1524"/>
        <v>0</v>
      </c>
      <c r="BU1146" s="401">
        <f t="shared" si="1524"/>
        <v>0</v>
      </c>
      <c r="BV1146" s="401">
        <f t="shared" si="1524"/>
        <v>0</v>
      </c>
      <c r="BW1146" s="122"/>
    </row>
    <row r="1147" spans="1:75" s="123" customFormat="1" x14ac:dyDescent="0.5">
      <c r="A1147" s="464" t="s">
        <v>2164</v>
      </c>
      <c r="B1147" s="513"/>
      <c r="C1147" s="403">
        <v>1.07</v>
      </c>
      <c r="D1147" s="403">
        <v>1.0489999999999999</v>
      </c>
      <c r="E1147" s="403">
        <v>1.0049999999999999</v>
      </c>
      <c r="F1147" s="403">
        <v>0.97699999999999998</v>
      </c>
      <c r="G1147" s="302">
        <v>0.97299999999999998</v>
      </c>
      <c r="H1147" s="302">
        <v>0.95899999999999996</v>
      </c>
      <c r="I1147" s="302">
        <v>0.94399999999999995</v>
      </c>
      <c r="J1147" s="122">
        <f t="shared" si="1513"/>
        <v>0.94099999999999995</v>
      </c>
      <c r="K1147" s="403">
        <v>0.94099999999999995</v>
      </c>
      <c r="L1147" s="302">
        <v>0.94199999999999995</v>
      </c>
      <c r="M1147" s="302">
        <v>0.93400000000000005</v>
      </c>
      <c r="N1147" s="302">
        <v>0.92300000000000004</v>
      </c>
      <c r="O1147" s="122">
        <f t="shared" si="1514"/>
        <v>0.91900000000000004</v>
      </c>
      <c r="P1147" s="403">
        <v>0.91900000000000004</v>
      </c>
      <c r="Q1147" s="302">
        <v>0.91700000000000004</v>
      </c>
      <c r="R1147" s="302">
        <v>0.90900000000000003</v>
      </c>
      <c r="S1147" s="302">
        <v>0.90100000000000002</v>
      </c>
      <c r="T1147" s="122">
        <f t="shared" si="1515"/>
        <v>0.89600000000000002</v>
      </c>
      <c r="U1147" s="403">
        <v>0.89600000000000002</v>
      </c>
      <c r="V1147" s="302">
        <v>0.89400000000000002</v>
      </c>
      <c r="W1147" s="302">
        <v>0.88800000000000001</v>
      </c>
      <c r="X1147" s="302">
        <v>0.88100000000000001</v>
      </c>
      <c r="Y1147" s="122">
        <f t="shared" si="1516"/>
        <v>0.873</v>
      </c>
      <c r="Z1147" s="403">
        <v>0.873</v>
      </c>
      <c r="AA1147" s="302">
        <v>0.86899999999999999</v>
      </c>
      <c r="AB1147" s="302">
        <v>0.85799999999999998</v>
      </c>
      <c r="AC1147" s="302">
        <v>0.84499999999999997</v>
      </c>
      <c r="AD1147" s="122">
        <f t="shared" si="1517"/>
        <v>0.83699999999999997</v>
      </c>
      <c r="AE1147" s="403">
        <v>0.83699999999999997</v>
      </c>
      <c r="AF1147" s="302">
        <v>0.83299999999999996</v>
      </c>
      <c r="AG1147" s="302">
        <v>0.81</v>
      </c>
      <c r="AH1147" s="302">
        <v>0.80300000000000005</v>
      </c>
      <c r="AI1147" s="122">
        <f t="shared" si="1518"/>
        <v>0.78900000000000003</v>
      </c>
      <c r="AJ1147" s="403">
        <v>0.78900000000000003</v>
      </c>
      <c r="AK1147" s="302">
        <v>0.78800000000000003</v>
      </c>
      <c r="AL1147" s="302">
        <v>0.78300000000000003</v>
      </c>
      <c r="AM1147" s="302">
        <v>0.77700000000000002</v>
      </c>
      <c r="AN1147" s="122">
        <f t="shared" si="1519"/>
        <v>0.77200000000000002</v>
      </c>
      <c r="AO1147" s="403">
        <v>0.77200000000000002</v>
      </c>
      <c r="AP1147" s="302">
        <v>0.77800000000000002</v>
      </c>
      <c r="AQ1147" s="302">
        <v>0.77800000000000002</v>
      </c>
      <c r="AR1147" s="302">
        <v>0.76800000000000002</v>
      </c>
      <c r="AS1147" s="122">
        <f t="shared" si="1520"/>
        <v>0.76400000000000001</v>
      </c>
      <c r="AT1147" s="403">
        <v>0.76400000000000001</v>
      </c>
      <c r="AU1147" s="302">
        <v>0.753</v>
      </c>
      <c r="AV1147" s="302">
        <v>0.745</v>
      </c>
      <c r="AW1147" s="302">
        <v>0.73399999999999999</v>
      </c>
      <c r="AX1147" s="122">
        <f t="shared" si="1521"/>
        <v>0.72</v>
      </c>
      <c r="AY1147" s="403">
        <v>0.72</v>
      </c>
      <c r="AZ1147" s="302">
        <v>0.69299999999999995</v>
      </c>
      <c r="BA1147" s="302">
        <v>0.67100000000000004</v>
      </c>
      <c r="BB1147" s="302">
        <v>0.66600000000000004</v>
      </c>
      <c r="BC1147" s="122">
        <f t="shared" si="1522"/>
        <v>0.66300000000000003</v>
      </c>
      <c r="BD1147" s="403">
        <v>0.66300000000000003</v>
      </c>
      <c r="BE1147" s="302">
        <v>0.64300000000000002</v>
      </c>
      <c r="BF1147" s="302">
        <v>0.64200000000000002</v>
      </c>
      <c r="BG1147" s="302">
        <v>0.64200000000000002</v>
      </c>
      <c r="BH1147" s="122">
        <f t="shared" si="1523"/>
        <v>0.64200000000000002</v>
      </c>
      <c r="BI1147" s="403">
        <v>0.64200000000000002</v>
      </c>
      <c r="BJ1147" s="1207">
        <v>0.64400000000000002</v>
      </c>
      <c r="BK1147" s="118">
        <f t="shared" si="1524"/>
        <v>0.64400000000000002</v>
      </c>
      <c r="BL1147" s="118">
        <f t="shared" si="1524"/>
        <v>0.64400000000000002</v>
      </c>
      <c r="BM1147" s="118">
        <f t="shared" si="1524"/>
        <v>0.64400000000000002</v>
      </c>
      <c r="BN1147" s="401">
        <f t="shared" si="1524"/>
        <v>0.64400000000000002</v>
      </c>
      <c r="BO1147" s="118">
        <f t="shared" si="1524"/>
        <v>0.64400000000000002</v>
      </c>
      <c r="BP1147" s="118">
        <f t="shared" si="1524"/>
        <v>0.64400000000000002</v>
      </c>
      <c r="BQ1147" s="118">
        <f t="shared" si="1524"/>
        <v>0.64400000000000002</v>
      </c>
      <c r="BR1147" s="118">
        <f t="shared" si="1524"/>
        <v>0.64400000000000002</v>
      </c>
      <c r="BS1147" s="401">
        <f t="shared" si="1524"/>
        <v>0.64400000000000002</v>
      </c>
      <c r="BT1147" s="401">
        <f t="shared" si="1524"/>
        <v>0.64400000000000002</v>
      </c>
      <c r="BU1147" s="401">
        <f t="shared" si="1524"/>
        <v>0.64400000000000002</v>
      </c>
      <c r="BV1147" s="401">
        <f t="shared" si="1524"/>
        <v>0.64400000000000002</v>
      </c>
      <c r="BW1147" s="122"/>
    </row>
    <row r="1148" spans="1:75" s="123" customFormat="1" x14ac:dyDescent="0.5">
      <c r="A1148" s="464" t="s">
        <v>1542</v>
      </c>
      <c r="B1148" s="513"/>
      <c r="C1148" s="403">
        <v>448.84800000000001</v>
      </c>
      <c r="D1148" s="403">
        <v>466.88499999999999</v>
      </c>
      <c r="E1148" s="403">
        <v>478.72</v>
      </c>
      <c r="F1148" s="403">
        <v>503.61599999999999</v>
      </c>
      <c r="G1148" s="302">
        <v>507.79300000000001</v>
      </c>
      <c r="H1148" s="302">
        <v>513.24599999999998</v>
      </c>
      <c r="I1148" s="302">
        <v>515.46299999999997</v>
      </c>
      <c r="J1148" s="122">
        <f t="shared" si="1513"/>
        <v>522.59500000000003</v>
      </c>
      <c r="K1148" s="403">
        <v>522.59500000000003</v>
      </c>
      <c r="L1148" s="302">
        <v>509.178</v>
      </c>
      <c r="M1148" s="302">
        <v>514.46400000000006</v>
      </c>
      <c r="N1148" s="302">
        <v>519.78300000000002</v>
      </c>
      <c r="O1148" s="122">
        <f t="shared" si="1514"/>
        <v>527.26099999999997</v>
      </c>
      <c r="P1148" s="403">
        <v>527.26099999999997</v>
      </c>
      <c r="Q1148" s="302">
        <v>527.25699999999995</v>
      </c>
      <c r="R1148" s="302">
        <v>532.83500000000004</v>
      </c>
      <c r="S1148" s="302">
        <v>538.73699999999997</v>
      </c>
      <c r="T1148" s="122">
        <f t="shared" si="1515"/>
        <v>541.30700000000002</v>
      </c>
      <c r="U1148" s="403">
        <v>541.30700000000002</v>
      </c>
      <c r="V1148" s="302">
        <v>534.41399999999999</v>
      </c>
      <c r="W1148" s="302">
        <v>542.71100000000001</v>
      </c>
      <c r="X1148" s="302">
        <v>547.51300000000003</v>
      </c>
      <c r="Y1148" s="122">
        <f t="shared" si="1516"/>
        <v>556.928</v>
      </c>
      <c r="Z1148" s="403">
        <v>556.928</v>
      </c>
      <c r="AA1148" s="302">
        <v>549.28099999999995</v>
      </c>
      <c r="AB1148" s="302">
        <v>556.702</v>
      </c>
      <c r="AC1148" s="302">
        <v>557.19799999999998</v>
      </c>
      <c r="AD1148" s="122">
        <f t="shared" si="1517"/>
        <v>562.81399999999996</v>
      </c>
      <c r="AE1148" s="403">
        <v>562.81399999999996</v>
      </c>
      <c r="AF1148" s="302">
        <v>564.68499999999995</v>
      </c>
      <c r="AG1148" s="302">
        <v>561.80999999999995</v>
      </c>
      <c r="AH1148" s="302">
        <v>570.92399999999998</v>
      </c>
      <c r="AI1148" s="122">
        <f t="shared" si="1518"/>
        <v>581.9</v>
      </c>
      <c r="AJ1148" s="403">
        <v>581.9</v>
      </c>
      <c r="AK1148" s="302">
        <v>571.77200000000005</v>
      </c>
      <c r="AL1148" s="302">
        <v>584.82799999999997</v>
      </c>
      <c r="AM1148" s="302">
        <v>594.99099999999999</v>
      </c>
      <c r="AN1148" s="122">
        <f t="shared" si="1519"/>
        <v>605.822</v>
      </c>
      <c r="AO1148" s="403">
        <v>605.822</v>
      </c>
      <c r="AP1148" s="302">
        <v>596.18399999999997</v>
      </c>
      <c r="AQ1148" s="302">
        <v>608.89200000000005</v>
      </c>
      <c r="AR1148" s="302">
        <v>623.37900000000002</v>
      </c>
      <c r="AS1148" s="122">
        <f t="shared" si="1520"/>
        <v>638.375</v>
      </c>
      <c r="AT1148" s="403">
        <v>638.375</v>
      </c>
      <c r="AU1148" s="302">
        <v>556.30499999999995</v>
      </c>
      <c r="AV1148" s="302">
        <v>569.73400000000004</v>
      </c>
      <c r="AW1148" s="302">
        <v>585.44899999999996</v>
      </c>
      <c r="AX1148" s="122">
        <f t="shared" si="1521"/>
        <v>600.94200000000001</v>
      </c>
      <c r="AY1148" s="403">
        <v>600.94200000000001</v>
      </c>
      <c r="AZ1148" s="302">
        <v>532.20500000000004</v>
      </c>
      <c r="BA1148" s="302">
        <v>541.89499999999998</v>
      </c>
      <c r="BB1148" s="302">
        <v>553.69799999999998</v>
      </c>
      <c r="BC1148" s="122">
        <f t="shared" si="1522"/>
        <v>573.11699999999996</v>
      </c>
      <c r="BD1148" s="403">
        <v>573.11699999999996</v>
      </c>
      <c r="BE1148" s="302">
        <v>531.94000000000005</v>
      </c>
      <c r="BF1148" s="302">
        <v>551.50699999999995</v>
      </c>
      <c r="BG1148" s="302">
        <v>572.40599999999995</v>
      </c>
      <c r="BH1148" s="122">
        <f t="shared" si="1523"/>
        <v>588.60199999999998</v>
      </c>
      <c r="BI1148" s="403">
        <v>588.60199999999998</v>
      </c>
      <c r="BJ1148" s="1207">
        <v>521.83299999999997</v>
      </c>
      <c r="BK1148" s="118">
        <f>BJ1148+BK1017+INDEX(MO_CFS_Buyback,0,COLUMN())</f>
        <v>542.17056302810715</v>
      </c>
      <c r="BL1148" s="118">
        <f>BK1148+BL1017+INDEX(MO_CFS_Buyback,0,COLUMN())</f>
        <v>560.48217191524668</v>
      </c>
      <c r="BM1148" s="118">
        <f>BL1148+BM1017+INDEX(MO_CFS_Buyback,0,COLUMN())</f>
        <v>579.55174184053169</v>
      </c>
      <c r="BN1148" s="401">
        <f>BM1148</f>
        <v>579.55174184053169</v>
      </c>
      <c r="BO1148" s="118">
        <f>BN1148+BO1017+INDEX(MO_CFS_Buyback,0,COLUMN())</f>
        <v>603.88634663221103</v>
      </c>
      <c r="BP1148" s="118">
        <f>BO1148+BP1017+INDEX(MO_CFS_Buyback,0,COLUMN())</f>
        <v>625.15377443347654</v>
      </c>
      <c r="BQ1148" s="118">
        <f>BP1148+BQ1017+INDEX(MO_CFS_Buyback,0,COLUMN())</f>
        <v>644.22588464775004</v>
      </c>
      <c r="BR1148" s="118">
        <f>BQ1148+BR1017+INDEX(MO_CFS_Buyback,0,COLUMN())</f>
        <v>662.93239047270436</v>
      </c>
      <c r="BS1148" s="401">
        <f>BR1148</f>
        <v>662.93239047270436</v>
      </c>
      <c r="BT1148" s="401">
        <f>BS1148+BT1017+INDEX(MO_CFS_Buyback,0,COLUMN())</f>
        <v>755.65466360448056</v>
      </c>
      <c r="BU1148" s="401">
        <f>BT1148+BU1017+INDEX(MO_CFS_Buyback,0,COLUMN())</f>
        <v>855.03934173237133</v>
      </c>
      <c r="BV1148" s="401">
        <f>BU1148+BV1017+INDEX(MO_CFS_Buyback,0,COLUMN())</f>
        <v>961.57995825070805</v>
      </c>
      <c r="BW1148" s="122"/>
    </row>
    <row r="1149" spans="1:75" s="123" customFormat="1" x14ac:dyDescent="0.5">
      <c r="A1149" s="464" t="s">
        <v>1544</v>
      </c>
      <c r="B1149" s="513"/>
      <c r="C1149" s="403">
        <v>751.29</v>
      </c>
      <c r="D1149" s="403">
        <v>777.93899999999996</v>
      </c>
      <c r="E1149" s="403">
        <v>762.947</v>
      </c>
      <c r="F1149" s="403">
        <v>790.91200000000003</v>
      </c>
      <c r="G1149" s="302">
        <v>761.33600000000001</v>
      </c>
      <c r="H1149" s="302">
        <v>699.01199999999994</v>
      </c>
      <c r="I1149" s="302">
        <v>646.45000000000005</v>
      </c>
      <c r="J1149" s="122">
        <f t="shared" si="1513"/>
        <v>729.04300000000001</v>
      </c>
      <c r="K1149" s="403">
        <v>729.04300000000001</v>
      </c>
      <c r="L1149" s="302">
        <v>693.67</v>
      </c>
      <c r="M1149" s="302">
        <v>657.721</v>
      </c>
      <c r="N1149" s="302">
        <v>612.61099999999999</v>
      </c>
      <c r="O1149" s="122">
        <f t="shared" si="1514"/>
        <v>701.21400000000006</v>
      </c>
      <c r="P1149" s="403">
        <v>701.21400000000006</v>
      </c>
      <c r="Q1149" s="302">
        <v>662.67100000000005</v>
      </c>
      <c r="R1149" s="302">
        <v>615.19299999999998</v>
      </c>
      <c r="S1149" s="302">
        <v>585.928</v>
      </c>
      <c r="T1149" s="122">
        <f t="shared" si="1515"/>
        <v>668.54499999999996</v>
      </c>
      <c r="U1149" s="403">
        <v>668.54499999999996</v>
      </c>
      <c r="V1149" s="302">
        <v>636.98599999999999</v>
      </c>
      <c r="W1149" s="302">
        <v>622.60799999999995</v>
      </c>
      <c r="X1149" s="302">
        <v>623.24300000000005</v>
      </c>
      <c r="Y1149" s="122">
        <f t="shared" si="1516"/>
        <v>701.702</v>
      </c>
      <c r="Z1149" s="403">
        <v>701.702</v>
      </c>
      <c r="AA1149" s="302">
        <v>671.75800000000004</v>
      </c>
      <c r="AB1149" s="302">
        <v>640.36800000000005</v>
      </c>
      <c r="AC1149" s="302">
        <v>623.16999999999996</v>
      </c>
      <c r="AD1149" s="122">
        <f t="shared" si="1517"/>
        <v>647.42200000000003</v>
      </c>
      <c r="AE1149" s="403">
        <v>647.42200000000003</v>
      </c>
      <c r="AF1149" s="302">
        <v>638.774</v>
      </c>
      <c r="AG1149" s="302">
        <v>528.36800000000005</v>
      </c>
      <c r="AH1149" s="302">
        <v>532.17200000000003</v>
      </c>
      <c r="AI1149" s="122">
        <f t="shared" si="1518"/>
        <v>584.33299999999997</v>
      </c>
      <c r="AJ1149" s="403">
        <v>584.33299999999997</v>
      </c>
      <c r="AK1149" s="302">
        <v>564.12699999999995</v>
      </c>
      <c r="AL1149" s="302">
        <v>552.45399999999995</v>
      </c>
      <c r="AM1149" s="302">
        <v>550.774</v>
      </c>
      <c r="AN1149" s="122">
        <f t="shared" si="1519"/>
        <v>644.79399999999998</v>
      </c>
      <c r="AO1149" s="403">
        <v>644.79399999999998</v>
      </c>
      <c r="AP1149" s="302">
        <v>641.91700000000003</v>
      </c>
      <c r="AQ1149" s="302">
        <v>736.77200000000005</v>
      </c>
      <c r="AR1149" s="302">
        <v>792.19600000000003</v>
      </c>
      <c r="AS1149" s="122">
        <f t="shared" si="1520"/>
        <v>1019.7619999999999</v>
      </c>
      <c r="AT1149" s="403">
        <v>1019.7619999999999</v>
      </c>
      <c r="AU1149" s="302">
        <v>894.87800000000004</v>
      </c>
      <c r="AV1149" s="302">
        <v>964</v>
      </c>
      <c r="AW1149" s="302">
        <v>963.84</v>
      </c>
      <c r="AX1149" s="122">
        <f t="shared" si="1521"/>
        <v>1074.0840000000001</v>
      </c>
      <c r="AY1149" s="403">
        <v>1074.0840000000001</v>
      </c>
      <c r="AZ1149" s="302">
        <v>789.85199999999998</v>
      </c>
      <c r="BA1149" s="302">
        <v>750.08299999999997</v>
      </c>
      <c r="BB1149" s="302">
        <v>877.15700000000004</v>
      </c>
      <c r="BC1149" s="122">
        <f t="shared" si="1522"/>
        <v>1141.819</v>
      </c>
      <c r="BD1149" s="403">
        <v>1141.819</v>
      </c>
      <c r="BE1149" s="302">
        <v>951.92600000000004</v>
      </c>
      <c r="BF1149" s="302">
        <v>1084.7719999999999</v>
      </c>
      <c r="BG1149" s="302">
        <v>1260.2159999999999</v>
      </c>
      <c r="BH1149" s="122">
        <f t="shared" si="1523"/>
        <v>1555.595</v>
      </c>
      <c r="BI1149" s="403">
        <v>1555.595</v>
      </c>
      <c r="BJ1149" s="1207">
        <v>1704.4090000000001</v>
      </c>
      <c r="BK1149" s="118">
        <f ca="1">BJ1149+BK1008+BK1047</f>
        <v>1824.5723522780493</v>
      </c>
      <c r="BL1149" s="118">
        <f ca="1">BK1149+BL1008+BL1047</f>
        <v>1985.5633883628573</v>
      </c>
      <c r="BM1149" s="118">
        <f ca="1">BL1149+BM1008+BM1047</f>
        <v>2276.0913339265421</v>
      </c>
      <c r="BN1149" s="401">
        <f ca="1">BM1149</f>
        <v>2276.0913339265421</v>
      </c>
      <c r="BO1149" s="118">
        <f ca="1">BN1149+BO1008+BO1047</f>
        <v>2419.9009064395627</v>
      </c>
      <c r="BP1149" s="118">
        <f ca="1">BO1149+BP1008+BP1047</f>
        <v>2561.3939728111691</v>
      </c>
      <c r="BQ1149" s="118">
        <f ca="1">BP1149+BQ1008+BQ1047</f>
        <v>2759.238741934842</v>
      </c>
      <c r="BR1149" s="118">
        <f ca="1">BQ1149+BR1008+BR1047</f>
        <v>3051.9899771120267</v>
      </c>
      <c r="BS1149" s="401">
        <f ca="1">BR1149</f>
        <v>3051.9899771120267</v>
      </c>
      <c r="BT1149" s="401">
        <f ca="1">BS1149+BT1008+BT1047</f>
        <v>3911.7346119744607</v>
      </c>
      <c r="BU1149" s="401">
        <f ca="1">BT1149+BU1008+BU1047</f>
        <v>4874.4555665822108</v>
      </c>
      <c r="BV1149" s="401">
        <f ca="1">BU1149+BV1008+BV1047</f>
        <v>5948.8681285451494</v>
      </c>
      <c r="BW1149" s="122"/>
    </row>
    <row r="1150" spans="1:75" s="123" customFormat="1" x14ac:dyDescent="0.5">
      <c r="A1150" s="464" t="s">
        <v>1543</v>
      </c>
      <c r="B1150" s="513"/>
      <c r="C1150" s="403">
        <v>10.387</v>
      </c>
      <c r="D1150" s="403">
        <v>12.99</v>
      </c>
      <c r="E1150" s="403">
        <v>12.59</v>
      </c>
      <c r="F1150" s="403">
        <v>13.632999999999999</v>
      </c>
      <c r="G1150" s="302">
        <v>12.116</v>
      </c>
      <c r="H1150" s="302">
        <v>9.26</v>
      </c>
      <c r="I1150" s="302">
        <v>10.289</v>
      </c>
      <c r="J1150" s="122">
        <f t="shared" si="1513"/>
        <v>6.524</v>
      </c>
      <c r="K1150" s="403">
        <v>6.524</v>
      </c>
      <c r="L1150" s="302">
        <v>7.391</v>
      </c>
      <c r="M1150" s="302">
        <v>7.7409999999999997</v>
      </c>
      <c r="N1150" s="302">
        <v>5.2030000000000003</v>
      </c>
      <c r="O1150" s="122">
        <f t="shared" si="1514"/>
        <v>-2.548</v>
      </c>
      <c r="P1150" s="403">
        <v>-2.548</v>
      </c>
      <c r="Q1150" s="302">
        <v>-2.2570000000000001</v>
      </c>
      <c r="R1150" s="302">
        <v>-5.625</v>
      </c>
      <c r="S1150" s="302">
        <v>-7.1269999999999998</v>
      </c>
      <c r="T1150" s="122">
        <f t="shared" si="1515"/>
        <v>-10.616</v>
      </c>
      <c r="U1150" s="403">
        <v>-10.616</v>
      </c>
      <c r="V1150" s="302">
        <v>-7.875</v>
      </c>
      <c r="W1150" s="302">
        <v>-9.86</v>
      </c>
      <c r="X1150" s="302">
        <v>-10.772</v>
      </c>
      <c r="Y1150" s="122">
        <f t="shared" si="1516"/>
        <v>-9.9030000000000005</v>
      </c>
      <c r="Z1150" s="403">
        <v>-9.9030000000000005</v>
      </c>
      <c r="AA1150" s="302">
        <v>-10.83</v>
      </c>
      <c r="AB1150" s="302">
        <v>-8.5990000000000002</v>
      </c>
      <c r="AC1150" s="302">
        <v>-8.3140000000000001</v>
      </c>
      <c r="AD1150" s="122">
        <f t="shared" si="1517"/>
        <v>-6.782</v>
      </c>
      <c r="AE1150" s="403">
        <v>-6.782</v>
      </c>
      <c r="AF1150" s="302">
        <v>-6.7549999999999999</v>
      </c>
      <c r="AG1150" s="302">
        <v>-9.7420000000000009</v>
      </c>
      <c r="AH1150" s="302">
        <v>-11.757</v>
      </c>
      <c r="AI1150" s="122">
        <f t="shared" si="1518"/>
        <v>-11.073</v>
      </c>
      <c r="AJ1150" s="403">
        <v>-11.073</v>
      </c>
      <c r="AK1150" s="302">
        <v>-13.945</v>
      </c>
      <c r="AL1150" s="302">
        <v>-15.488</v>
      </c>
      <c r="AM1150" s="302">
        <v>-13.708</v>
      </c>
      <c r="AN1150" s="122">
        <f t="shared" si="1519"/>
        <v>-14.587</v>
      </c>
      <c r="AO1150" s="403">
        <v>-14.587</v>
      </c>
      <c r="AP1150" s="302">
        <v>-19.350999999999999</v>
      </c>
      <c r="AQ1150" s="302">
        <v>-12.920999999999999</v>
      </c>
      <c r="AR1150" s="302">
        <v>-13.843</v>
      </c>
      <c r="AS1150" s="122">
        <f t="shared" si="1520"/>
        <v>-7.117</v>
      </c>
      <c r="AT1150" s="403">
        <v>-7.117</v>
      </c>
      <c r="AU1150" s="302">
        <v>-3.9289999999999998</v>
      </c>
      <c r="AV1150" s="302">
        <v>-7.0490000000000004</v>
      </c>
      <c r="AW1150" s="302">
        <v>-5.9420000000000002</v>
      </c>
      <c r="AX1150" s="122">
        <f t="shared" si="1521"/>
        <v>-10.827999999999999</v>
      </c>
      <c r="AY1150" s="403">
        <v>-10.827999999999999</v>
      </c>
      <c r="AZ1150" s="302">
        <v>-12.266999999999999</v>
      </c>
      <c r="BA1150" s="302">
        <v>-13.631</v>
      </c>
      <c r="BB1150" s="302">
        <v>-17.847999999999999</v>
      </c>
      <c r="BC1150" s="122">
        <f t="shared" si="1522"/>
        <v>-13.808999999999999</v>
      </c>
      <c r="BD1150" s="403">
        <v>-13.808999999999999</v>
      </c>
      <c r="BE1150" s="302">
        <v>-16.257999999999999</v>
      </c>
      <c r="BF1150" s="302">
        <v>-14.54</v>
      </c>
      <c r="BG1150" s="302">
        <v>-18.603999999999999</v>
      </c>
      <c r="BH1150" s="122">
        <f t="shared" si="1523"/>
        <v>-15.552</v>
      </c>
      <c r="BI1150" s="403">
        <v>-15.552</v>
      </c>
      <c r="BJ1150" s="1207">
        <v>-16.893000000000001</v>
      </c>
      <c r="BK1150" s="118">
        <f>BJ1150+BK1056</f>
        <v>-16.893000000000001</v>
      </c>
      <c r="BL1150" s="118">
        <f>BK1150+BL1056</f>
        <v>-16.893000000000001</v>
      </c>
      <c r="BM1150" s="118">
        <f>BL1150+BM1056</f>
        <v>-16.893000000000001</v>
      </c>
      <c r="BN1150" s="401">
        <f>BM1150</f>
        <v>-16.893000000000001</v>
      </c>
      <c r="BO1150" s="118">
        <f>BN1150+BO1056</f>
        <v>-16.893000000000001</v>
      </c>
      <c r="BP1150" s="118">
        <f>BO1150+BP1056</f>
        <v>-16.893000000000001</v>
      </c>
      <c r="BQ1150" s="118">
        <f>BP1150+BQ1056</f>
        <v>-16.893000000000001</v>
      </c>
      <c r="BR1150" s="118">
        <f>BQ1150+BR1056</f>
        <v>-16.893000000000001</v>
      </c>
      <c r="BS1150" s="401">
        <f>BR1150</f>
        <v>-16.893000000000001</v>
      </c>
      <c r="BT1150" s="401">
        <f>BS1150+BT1056</f>
        <v>-16.893000000000001</v>
      </c>
      <c r="BU1150" s="401">
        <f>BT1150+BU1056</f>
        <v>-16.893000000000001</v>
      </c>
      <c r="BV1150" s="401">
        <f>BU1150+BV1056</f>
        <v>-16.893000000000001</v>
      </c>
      <c r="BW1150" s="122"/>
    </row>
    <row r="1151" spans="1:75" s="123" customFormat="1" x14ac:dyDescent="0.5">
      <c r="A1151" s="1292" t="s">
        <v>2165</v>
      </c>
      <c r="B1151" s="677"/>
      <c r="C1151" s="406"/>
      <c r="D1151" s="406"/>
      <c r="E1151" s="406"/>
      <c r="F1151" s="408">
        <v>0</v>
      </c>
      <c r="G1151" s="723"/>
      <c r="H1151" s="357">
        <v>-3.1019999999999999</v>
      </c>
      <c r="I1151" s="357">
        <v>-3.101</v>
      </c>
      <c r="J1151" s="431">
        <f t="shared" si="1513"/>
        <v>-3.101</v>
      </c>
      <c r="K1151" s="408">
        <v>-3.101</v>
      </c>
      <c r="L1151" s="357">
        <v>-2.8889999999999998</v>
      </c>
      <c r="M1151" s="357">
        <v>-2.4510000000000001</v>
      </c>
      <c r="N1151" s="357">
        <v>-2.145</v>
      </c>
      <c r="O1151" s="431">
        <f t="shared" si="1514"/>
        <v>-2.14</v>
      </c>
      <c r="P1151" s="408">
        <v>-2.14</v>
      </c>
      <c r="Q1151" s="357">
        <v>-1.956</v>
      </c>
      <c r="R1151" s="357">
        <v>-1.9359999999999999</v>
      </c>
      <c r="S1151" s="357">
        <v>-1.9059999999999999</v>
      </c>
      <c r="T1151" s="431">
        <f t="shared" si="1515"/>
        <v>-1.9059999999999999</v>
      </c>
      <c r="U1151" s="408">
        <v>-1.9059999999999999</v>
      </c>
      <c r="V1151" s="357">
        <v>-1.5629999999999999</v>
      </c>
      <c r="W1151" s="357">
        <v>-1.5349999999999999</v>
      </c>
      <c r="X1151" s="357">
        <v>-1.383</v>
      </c>
      <c r="Y1151" s="431">
        <f t="shared" si="1516"/>
        <v>-1.38</v>
      </c>
      <c r="Z1151" s="408">
        <v>-1.38</v>
      </c>
      <c r="AA1151" s="357">
        <v>-0.92700000000000005</v>
      </c>
      <c r="AB1151" s="357">
        <v>-0.80500000000000005</v>
      </c>
      <c r="AC1151" s="357">
        <v>-0.72499999999999998</v>
      </c>
      <c r="AD1151" s="431">
        <f t="shared" si="1517"/>
        <v>-0.72499999999999998</v>
      </c>
      <c r="AE1151" s="408">
        <v>-0.72499999999999998</v>
      </c>
      <c r="AF1151" s="357">
        <v>-0.30299999999999999</v>
      </c>
      <c r="AG1151" s="357">
        <v>-0.25800000000000001</v>
      </c>
      <c r="AH1151" s="357">
        <v>-0.20499999999999999</v>
      </c>
      <c r="AI1151" s="431">
        <f t="shared" si="1518"/>
        <v>-0.23499999999999999</v>
      </c>
      <c r="AJ1151" s="408">
        <v>-0.23499999999999999</v>
      </c>
      <c r="AK1151" s="357">
        <v>-0.97399999999999998</v>
      </c>
      <c r="AL1151" s="357">
        <v>-0.97399999999999998</v>
      </c>
      <c r="AM1151" s="357">
        <v>-0.94099999999999995</v>
      </c>
      <c r="AN1151" s="431">
        <f t="shared" si="1519"/>
        <v>-0.94099999999999995</v>
      </c>
      <c r="AO1151" s="408">
        <v>-0.94099999999999995</v>
      </c>
      <c r="AP1151" s="357">
        <v>-0.59899999999999998</v>
      </c>
      <c r="AQ1151" s="357">
        <v>-0.59899999999999998</v>
      </c>
      <c r="AR1151" s="357">
        <v>-0.59799999999999998</v>
      </c>
      <c r="AS1151" s="431">
        <f t="shared" si="1520"/>
        <v>-0.59899999999999998</v>
      </c>
      <c r="AT1151" s="408">
        <v>-0.59899999999999998</v>
      </c>
      <c r="AU1151" s="357">
        <v>-0.71099999999999997</v>
      </c>
      <c r="AV1151" s="357">
        <v>-0.71099999999999997</v>
      </c>
      <c r="AW1151" s="357">
        <v>-0.71099999999999997</v>
      </c>
      <c r="AX1151" s="431">
        <f t="shared" si="1521"/>
        <v>-0.71099999999999997</v>
      </c>
      <c r="AY1151" s="408">
        <v>-0.71099999999999997</v>
      </c>
      <c r="AZ1151" s="357">
        <v>-0.73899999999999999</v>
      </c>
      <c r="BA1151" s="357">
        <v>-0.73899999999999999</v>
      </c>
      <c r="BB1151" s="357">
        <v>-0.73899999999999999</v>
      </c>
      <c r="BC1151" s="431">
        <f t="shared" si="1522"/>
        <v>-0.73899999999999999</v>
      </c>
      <c r="BD1151" s="408">
        <v>-0.73899999999999999</v>
      </c>
      <c r="BE1151" s="357">
        <v>-1.4259999999999999</v>
      </c>
      <c r="BF1151" s="357">
        <v>-1.4259999999999999</v>
      </c>
      <c r="BG1151" s="357">
        <v>-1.4259999999999999</v>
      </c>
      <c r="BH1151" s="431">
        <f t="shared" si="1523"/>
        <v>-1.4259999999999999</v>
      </c>
      <c r="BI1151" s="408">
        <v>-1.4259999999999999</v>
      </c>
      <c r="BJ1151" s="1208">
        <v>-0.435</v>
      </c>
      <c r="BK1151" s="723">
        <f>BJ1151</f>
        <v>-0.435</v>
      </c>
      <c r="BL1151" s="723">
        <f>BK1151</f>
        <v>-0.435</v>
      </c>
      <c r="BM1151" s="723">
        <f>BL1151</f>
        <v>-0.435</v>
      </c>
      <c r="BN1151" s="406">
        <f>BM1151</f>
        <v>-0.435</v>
      </c>
      <c r="BO1151" s="723">
        <f>BN1151</f>
        <v>-0.435</v>
      </c>
      <c r="BP1151" s="723">
        <f>BO1151</f>
        <v>-0.435</v>
      </c>
      <c r="BQ1151" s="723">
        <f>BP1151</f>
        <v>-0.435</v>
      </c>
      <c r="BR1151" s="723">
        <f>BQ1151</f>
        <v>-0.435</v>
      </c>
      <c r="BS1151" s="406">
        <f>BR1151</f>
        <v>-0.435</v>
      </c>
      <c r="BT1151" s="406">
        <f>BS1151</f>
        <v>-0.435</v>
      </c>
      <c r="BU1151" s="406">
        <f>BT1151</f>
        <v>-0.435</v>
      </c>
      <c r="BV1151" s="406">
        <f>BU1151</f>
        <v>-0.435</v>
      </c>
      <c r="BW1151" s="122"/>
    </row>
    <row r="1152" spans="1:75" s="198" customFormat="1" ht="14.25" x14ac:dyDescent="0.45">
      <c r="A1152" s="516" t="s">
        <v>1546</v>
      </c>
      <c r="B1152" s="517"/>
      <c r="C1152" s="519">
        <f t="shared" ref="C1152:AH1152" si="1525">SUM(C1146:C1151)</f>
        <v>1211.595</v>
      </c>
      <c r="D1152" s="519">
        <f t="shared" si="1525"/>
        <v>1258.8630000000001</v>
      </c>
      <c r="E1152" s="519">
        <f t="shared" si="1525"/>
        <v>1255.2619999999999</v>
      </c>
      <c r="F1152" s="519">
        <f t="shared" si="1525"/>
        <v>1309.1380000000001</v>
      </c>
      <c r="G1152" s="520">
        <f t="shared" si="1525"/>
        <v>1282.2180000000001</v>
      </c>
      <c r="H1152" s="520">
        <f t="shared" si="1525"/>
        <v>1219.3749999999998</v>
      </c>
      <c r="I1152" s="520">
        <f t="shared" si="1525"/>
        <v>1170.0449999999998</v>
      </c>
      <c r="J1152" s="520">
        <f t="shared" si="1525"/>
        <v>1256.002</v>
      </c>
      <c r="K1152" s="519">
        <f t="shared" si="1525"/>
        <v>1256.002</v>
      </c>
      <c r="L1152" s="520">
        <f t="shared" si="1525"/>
        <v>1208.2920000000001</v>
      </c>
      <c r="M1152" s="520">
        <f t="shared" si="1525"/>
        <v>1178.4090000000001</v>
      </c>
      <c r="N1152" s="520">
        <f t="shared" si="1525"/>
        <v>1136.375</v>
      </c>
      <c r="O1152" s="520">
        <f t="shared" si="1525"/>
        <v>1224.7059999999999</v>
      </c>
      <c r="P1152" s="519">
        <f t="shared" si="1525"/>
        <v>1224.7059999999999</v>
      </c>
      <c r="Q1152" s="520">
        <f t="shared" si="1525"/>
        <v>1186.6320000000001</v>
      </c>
      <c r="R1152" s="520">
        <f t="shared" si="1525"/>
        <v>1141.376</v>
      </c>
      <c r="S1152" s="520">
        <f t="shared" si="1525"/>
        <v>1116.5329999999999</v>
      </c>
      <c r="T1152" s="520">
        <f t="shared" si="1525"/>
        <v>1198.2260000000001</v>
      </c>
      <c r="U1152" s="519">
        <f t="shared" si="1525"/>
        <v>1198.2260000000001</v>
      </c>
      <c r="V1152" s="520">
        <f t="shared" si="1525"/>
        <v>1162.8559999999998</v>
      </c>
      <c r="W1152" s="520">
        <f t="shared" si="1525"/>
        <v>1154.8119999999999</v>
      </c>
      <c r="X1152" s="520">
        <f t="shared" si="1525"/>
        <v>1159.4820000000002</v>
      </c>
      <c r="Y1152" s="520">
        <f t="shared" si="1525"/>
        <v>1248.22</v>
      </c>
      <c r="Z1152" s="519">
        <f t="shared" si="1525"/>
        <v>1248.22</v>
      </c>
      <c r="AA1152" s="520">
        <f t="shared" si="1525"/>
        <v>1210.1510000000001</v>
      </c>
      <c r="AB1152" s="520">
        <f t="shared" si="1525"/>
        <v>1188.5239999999999</v>
      </c>
      <c r="AC1152" s="520">
        <f t="shared" si="1525"/>
        <v>1172.174</v>
      </c>
      <c r="AD1152" s="520">
        <f t="shared" si="1525"/>
        <v>1203.566</v>
      </c>
      <c r="AE1152" s="519">
        <f t="shared" si="1525"/>
        <v>1203.566</v>
      </c>
      <c r="AF1152" s="520">
        <f t="shared" si="1525"/>
        <v>1197.2339999999997</v>
      </c>
      <c r="AG1152" s="520">
        <f t="shared" si="1525"/>
        <v>1080.9879999999998</v>
      </c>
      <c r="AH1152" s="520">
        <f t="shared" si="1525"/>
        <v>1091.9369999999999</v>
      </c>
      <c r="AI1152" s="520">
        <f t="shared" ref="AI1152:BV1152" si="1526">SUM(AI1146:AI1151)</f>
        <v>1155.7139999999999</v>
      </c>
      <c r="AJ1152" s="519">
        <f t="shared" si="1526"/>
        <v>1155.7139999999999</v>
      </c>
      <c r="AK1152" s="520">
        <f t="shared" si="1526"/>
        <v>1121.768</v>
      </c>
      <c r="AL1152" s="520">
        <f t="shared" si="1526"/>
        <v>1121.6030000000001</v>
      </c>
      <c r="AM1152" s="520">
        <f t="shared" si="1526"/>
        <v>1131.8929999999998</v>
      </c>
      <c r="AN1152" s="520">
        <f t="shared" si="1526"/>
        <v>1235.8599999999999</v>
      </c>
      <c r="AO1152" s="519">
        <f t="shared" si="1526"/>
        <v>1235.8599999999999</v>
      </c>
      <c r="AP1152" s="520">
        <f t="shared" si="1526"/>
        <v>1218.9289999999999</v>
      </c>
      <c r="AQ1152" s="520">
        <f t="shared" si="1526"/>
        <v>1332.922</v>
      </c>
      <c r="AR1152" s="520">
        <f t="shared" si="1526"/>
        <v>1401.902</v>
      </c>
      <c r="AS1152" s="520">
        <f t="shared" si="1526"/>
        <v>1651.1849999999999</v>
      </c>
      <c r="AT1152" s="519">
        <f t="shared" si="1526"/>
        <v>1651.1849999999999</v>
      </c>
      <c r="AU1152" s="520">
        <f t="shared" si="1526"/>
        <v>1447.296</v>
      </c>
      <c r="AV1152" s="520">
        <f t="shared" si="1526"/>
        <v>1526.7190000000001</v>
      </c>
      <c r="AW1152" s="520">
        <f t="shared" si="1526"/>
        <v>1543.3700000000001</v>
      </c>
      <c r="AX1152" s="520">
        <f t="shared" si="1526"/>
        <v>1664.2070000000001</v>
      </c>
      <c r="AY1152" s="519">
        <f t="shared" si="1526"/>
        <v>1664.2070000000001</v>
      </c>
      <c r="AZ1152" s="520">
        <f t="shared" si="1526"/>
        <v>1309.7439999999999</v>
      </c>
      <c r="BA1152" s="520">
        <f t="shared" si="1526"/>
        <v>1278.2789999999998</v>
      </c>
      <c r="BB1152" s="520">
        <f t="shared" si="1526"/>
        <v>1412.9340000000002</v>
      </c>
      <c r="BC1152" s="520">
        <f t="shared" si="1526"/>
        <v>1701.0509999999999</v>
      </c>
      <c r="BD1152" s="519">
        <f t="shared" si="1526"/>
        <v>1701.0509999999999</v>
      </c>
      <c r="BE1152" s="520">
        <f t="shared" si="1526"/>
        <v>1466.825</v>
      </c>
      <c r="BF1152" s="520">
        <f t="shared" si="1526"/>
        <v>1620.9549999999999</v>
      </c>
      <c r="BG1152" s="520">
        <f t="shared" si="1526"/>
        <v>1813.2339999999999</v>
      </c>
      <c r="BH1152" s="520">
        <f t="shared" si="1526"/>
        <v>2127.8609999999999</v>
      </c>
      <c r="BI1152" s="519">
        <f t="shared" si="1526"/>
        <v>2127.8609999999999</v>
      </c>
      <c r="BJ1152" s="1270">
        <f>SUM(BJ1146:BJ1151)</f>
        <v>2209.558</v>
      </c>
      <c r="BK1152" s="327">
        <f t="shared" ca="1" si="1526"/>
        <v>2350.0589153061565</v>
      </c>
      <c r="BL1152" s="327">
        <f t="shared" ca="1" si="1526"/>
        <v>2529.3615602781042</v>
      </c>
      <c r="BM1152" s="327">
        <f t="shared" ca="1" si="1526"/>
        <v>2838.959075767074</v>
      </c>
      <c r="BN1152" s="518">
        <f t="shared" ca="1" si="1526"/>
        <v>2838.959075767074</v>
      </c>
      <c r="BO1152" s="327">
        <f t="shared" ca="1" si="1526"/>
        <v>3007.1032530717739</v>
      </c>
      <c r="BP1152" s="327">
        <f t="shared" ca="1" si="1526"/>
        <v>3169.8637472446458</v>
      </c>
      <c r="BQ1152" s="327">
        <f t="shared" ca="1" si="1526"/>
        <v>3386.780626582592</v>
      </c>
      <c r="BR1152" s="327">
        <f t="shared" ca="1" si="1526"/>
        <v>3698.2383675847309</v>
      </c>
      <c r="BS1152" s="518">
        <f t="shared" ca="1" si="1526"/>
        <v>3698.2383675847309</v>
      </c>
      <c r="BT1152" s="518">
        <f t="shared" ca="1" si="1526"/>
        <v>4650.7052755789409</v>
      </c>
      <c r="BU1152" s="518">
        <f t="shared" ca="1" si="1526"/>
        <v>5712.8109083145819</v>
      </c>
      <c r="BV1152" s="518">
        <f t="shared" ca="1" si="1526"/>
        <v>6893.7640867958571</v>
      </c>
      <c r="BW1152" s="197"/>
    </row>
    <row r="1153" spans="1:75" s="123" customFormat="1" x14ac:dyDescent="0.5">
      <c r="A1153" s="464" t="s">
        <v>1547</v>
      </c>
      <c r="B1153" s="513"/>
      <c r="C1153" s="401"/>
      <c r="D1153" s="401"/>
      <c r="E1153" s="401"/>
      <c r="F1153" s="401"/>
      <c r="G1153" s="118"/>
      <c r="H1153" s="118"/>
      <c r="I1153" s="118"/>
      <c r="J1153" s="118"/>
      <c r="K1153" s="401"/>
      <c r="L1153" s="118"/>
      <c r="M1153" s="118"/>
      <c r="N1153" s="118"/>
      <c r="O1153" s="118"/>
      <c r="P1153" s="401"/>
      <c r="Q1153" s="118"/>
      <c r="R1153" s="118"/>
      <c r="S1153" s="118"/>
      <c r="T1153" s="118"/>
      <c r="U1153" s="401"/>
      <c r="V1153" s="118"/>
      <c r="W1153" s="118"/>
      <c r="X1153" s="118"/>
      <c r="Y1153" s="118"/>
      <c r="Z1153" s="401"/>
      <c r="AA1153" s="118"/>
      <c r="AB1153" s="118"/>
      <c r="AC1153" s="118"/>
      <c r="AD1153" s="118"/>
      <c r="AE1153" s="401"/>
      <c r="AF1153" s="118"/>
      <c r="AG1153" s="118"/>
      <c r="AH1153" s="118"/>
      <c r="AI1153" s="118"/>
      <c r="AJ1153" s="401"/>
      <c r="AK1153" s="118"/>
      <c r="AL1153" s="118"/>
      <c r="AM1153" s="118"/>
      <c r="AN1153" s="118"/>
      <c r="AO1153" s="401"/>
      <c r="AP1153" s="118"/>
      <c r="AQ1153" s="118"/>
      <c r="AR1153" s="118"/>
      <c r="AS1153" s="118"/>
      <c r="AT1153" s="401"/>
      <c r="AU1153" s="118"/>
      <c r="AV1153" s="118"/>
      <c r="AW1153" s="118"/>
      <c r="AX1153" s="118"/>
      <c r="AY1153" s="401"/>
      <c r="AZ1153" s="118"/>
      <c r="BA1153" s="118"/>
      <c r="BB1153" s="118"/>
      <c r="BC1153" s="118"/>
      <c r="BD1153" s="401"/>
      <c r="BE1153" s="118"/>
      <c r="BF1153" s="118"/>
      <c r="BG1153" s="118"/>
      <c r="BH1153" s="118"/>
      <c r="BI1153" s="401"/>
      <c r="BJ1153" s="971"/>
      <c r="BK1153" s="118"/>
      <c r="BL1153" s="118"/>
      <c r="BM1153" s="118"/>
      <c r="BN1153" s="401"/>
      <c r="BO1153" s="118"/>
      <c r="BP1153" s="118"/>
      <c r="BQ1153" s="118"/>
      <c r="BR1153" s="118"/>
      <c r="BS1153" s="401"/>
      <c r="BT1153" s="401"/>
      <c r="BU1153" s="401"/>
      <c r="BV1153" s="401"/>
      <c r="BW1153" s="122"/>
    </row>
    <row r="1154" spans="1:75" s="198" customFormat="1" ht="14.25" x14ac:dyDescent="0.45">
      <c r="A1154" s="463" t="s">
        <v>1548</v>
      </c>
      <c r="B1154" s="522"/>
      <c r="C1154" s="672">
        <f t="shared" ref="C1154:BN1154" si="1527">C1152+C1143+C1153</f>
        <v>2079.1689999999999</v>
      </c>
      <c r="D1154" s="672">
        <f t="shared" si="1527"/>
        <v>2131.7620000000002</v>
      </c>
      <c r="E1154" s="672">
        <f t="shared" si="1527"/>
        <v>2060.8379999999997</v>
      </c>
      <c r="F1154" s="672">
        <f t="shared" si="1527"/>
        <v>2187.6790000000001</v>
      </c>
      <c r="G1154" s="197">
        <f t="shared" si="1527"/>
        <v>2063.2190000000001</v>
      </c>
      <c r="H1154" s="197">
        <f t="shared" si="1527"/>
        <v>2124.1779999999999</v>
      </c>
      <c r="I1154" s="197">
        <f t="shared" si="1527"/>
        <v>2226.442</v>
      </c>
      <c r="J1154" s="197">
        <f t="shared" si="1527"/>
        <v>2336.7339999999999</v>
      </c>
      <c r="K1154" s="672">
        <f t="shared" si="1527"/>
        <v>2336.7339999999999</v>
      </c>
      <c r="L1154" s="197">
        <f t="shared" si="1527"/>
        <v>2168.1</v>
      </c>
      <c r="M1154" s="197">
        <f t="shared" si="1527"/>
        <v>2163.5479999999998</v>
      </c>
      <c r="N1154" s="197">
        <f t="shared" si="1527"/>
        <v>2303.9470000000001</v>
      </c>
      <c r="O1154" s="197">
        <f t="shared" si="1527"/>
        <v>2330.277</v>
      </c>
      <c r="P1154" s="672">
        <f t="shared" si="1527"/>
        <v>2330.277</v>
      </c>
      <c r="Q1154" s="197">
        <f t="shared" si="1527"/>
        <v>2251.0889999999999</v>
      </c>
      <c r="R1154" s="197">
        <f t="shared" si="1527"/>
        <v>2395.971</v>
      </c>
      <c r="S1154" s="197">
        <f t="shared" si="1527"/>
        <v>2435.6759999999999</v>
      </c>
      <c r="T1154" s="197">
        <f t="shared" si="1527"/>
        <v>2417.4270000000001</v>
      </c>
      <c r="U1154" s="672">
        <f t="shared" si="1527"/>
        <v>2417.4270000000001</v>
      </c>
      <c r="V1154" s="197">
        <f t="shared" si="1527"/>
        <v>2290.3679999999999</v>
      </c>
      <c r="W1154" s="197">
        <f t="shared" si="1527"/>
        <v>2373.5639999999999</v>
      </c>
      <c r="X1154" s="197">
        <f t="shared" si="1527"/>
        <v>2453.3320000000003</v>
      </c>
      <c r="Y1154" s="197">
        <f t="shared" si="1527"/>
        <v>2476.8789999999999</v>
      </c>
      <c r="Z1154" s="672">
        <f t="shared" si="1527"/>
        <v>2476.8789999999999</v>
      </c>
      <c r="AA1154" s="197">
        <f t="shared" si="1527"/>
        <v>2391.1770000000001</v>
      </c>
      <c r="AB1154" s="197">
        <f t="shared" si="1527"/>
        <v>2479.8599999999997</v>
      </c>
      <c r="AC1154" s="197">
        <f t="shared" si="1527"/>
        <v>2580.384</v>
      </c>
      <c r="AD1154" s="197">
        <f t="shared" si="1527"/>
        <v>2785.7489999999998</v>
      </c>
      <c r="AE1154" s="672">
        <f t="shared" si="1527"/>
        <v>2785.7489999999998</v>
      </c>
      <c r="AF1154" s="197">
        <f t="shared" si="1527"/>
        <v>2656.9049999999997</v>
      </c>
      <c r="AG1154" s="197">
        <f t="shared" si="1527"/>
        <v>2607.9769999999999</v>
      </c>
      <c r="AH1154" s="197">
        <f t="shared" si="1527"/>
        <v>2718.759</v>
      </c>
      <c r="AI1154" s="197">
        <f t="shared" si="1527"/>
        <v>2812.8440000000001</v>
      </c>
      <c r="AJ1154" s="672">
        <f t="shared" si="1527"/>
        <v>2812.8440000000001</v>
      </c>
      <c r="AK1154" s="197">
        <f t="shared" si="1527"/>
        <v>3788.3649999999998</v>
      </c>
      <c r="AL1154" s="197">
        <f t="shared" si="1527"/>
        <v>3869.6809999999996</v>
      </c>
      <c r="AM1154" s="197">
        <f t="shared" si="1527"/>
        <v>3963.8239999999996</v>
      </c>
      <c r="AN1154" s="197">
        <f t="shared" si="1527"/>
        <v>4054.0419999999995</v>
      </c>
      <c r="AO1154" s="672">
        <f t="shared" si="1527"/>
        <v>4054.0419999999995</v>
      </c>
      <c r="AP1154" s="197">
        <f t="shared" si="1527"/>
        <v>4418.1149999999998</v>
      </c>
      <c r="AQ1154" s="197">
        <f t="shared" si="1527"/>
        <v>4487.2960000000003</v>
      </c>
      <c r="AR1154" s="197">
        <f t="shared" si="1527"/>
        <v>4310.6790000000001</v>
      </c>
      <c r="AS1154" s="197">
        <f t="shared" si="1527"/>
        <v>4661.424</v>
      </c>
      <c r="AT1154" s="672">
        <f t="shared" si="1527"/>
        <v>4661.424</v>
      </c>
      <c r="AU1154" s="197">
        <f t="shared" si="1527"/>
        <v>4110.24</v>
      </c>
      <c r="AV1154" s="197">
        <f t="shared" si="1527"/>
        <v>4245.0370000000003</v>
      </c>
      <c r="AW1154" s="197">
        <f t="shared" si="1527"/>
        <v>4477.3239999999996</v>
      </c>
      <c r="AX1154" s="197">
        <f t="shared" si="1527"/>
        <v>4625.62</v>
      </c>
      <c r="AY1154" s="672">
        <f t="shared" si="1527"/>
        <v>4625.62</v>
      </c>
      <c r="AZ1154" s="197">
        <f t="shared" si="1527"/>
        <v>4210.7129999999997</v>
      </c>
      <c r="BA1154" s="197">
        <f t="shared" si="1527"/>
        <v>4319.174</v>
      </c>
      <c r="BB1154" s="197">
        <f t="shared" si="1527"/>
        <v>4594.0069999999996</v>
      </c>
      <c r="BC1154" s="197">
        <f t="shared" si="1527"/>
        <v>4663.0159999999996</v>
      </c>
      <c r="BD1154" s="672">
        <f t="shared" si="1527"/>
        <v>4663.0159999999996</v>
      </c>
      <c r="BE1154" s="197">
        <f t="shared" si="1527"/>
        <v>4471.0370000000003</v>
      </c>
      <c r="BF1154" s="197">
        <f t="shared" si="1527"/>
        <v>4571.8109999999997</v>
      </c>
      <c r="BG1154" s="197">
        <f t="shared" si="1527"/>
        <v>4883.7690000000002</v>
      </c>
      <c r="BH1154" s="197">
        <f t="shared" si="1527"/>
        <v>5273.5479999999998</v>
      </c>
      <c r="BI1154" s="672">
        <f t="shared" si="1527"/>
        <v>5273.5479999999998</v>
      </c>
      <c r="BJ1154" s="1273">
        <f>BJ1152+BJ1143+BJ1153</f>
        <v>5159.9790000000003</v>
      </c>
      <c r="BK1154" s="295">
        <f t="shared" ca="1" si="1527"/>
        <v>5173.7552289556388</v>
      </c>
      <c r="BL1154" s="295">
        <f t="shared" ca="1" si="1527"/>
        <v>5580.810245650975</v>
      </c>
      <c r="BM1154" s="295">
        <f t="shared" ca="1" si="1527"/>
        <v>5977.9393466621887</v>
      </c>
      <c r="BN1154" s="397">
        <f t="shared" ca="1" si="1527"/>
        <v>5977.9393466621887</v>
      </c>
      <c r="BO1154" s="295">
        <f t="shared" ref="BO1154:BV1154" ca="1" si="1528">BO1152+BO1143+BO1153</f>
        <v>5981.4716470612484</v>
      </c>
      <c r="BP1154" s="295">
        <f t="shared" ca="1" si="1528"/>
        <v>6029.6023431012436</v>
      </c>
      <c r="BQ1154" s="295">
        <f t="shared" ca="1" si="1528"/>
        <v>6499.1964848682219</v>
      </c>
      <c r="BR1154" s="295">
        <f t="shared" ca="1" si="1528"/>
        <v>6873.2349930991822</v>
      </c>
      <c r="BS1154" s="397">
        <f t="shared" ca="1" si="1528"/>
        <v>6873.2349930991822</v>
      </c>
      <c r="BT1154" s="397">
        <f t="shared" ca="1" si="1528"/>
        <v>7921.2633675228644</v>
      </c>
      <c r="BU1154" s="397">
        <f t="shared" ca="1" si="1528"/>
        <v>9096.3731854502948</v>
      </c>
      <c r="BV1154" s="397">
        <f t="shared" ca="1" si="1528"/>
        <v>10398.701601186975</v>
      </c>
      <c r="BW1154" s="197"/>
    </row>
    <row r="1155" spans="1:75" s="123" customFormat="1" x14ac:dyDescent="0.5">
      <c r="A1155" s="118"/>
      <c r="B1155" s="118"/>
      <c r="C1155" s="118"/>
      <c r="D1155" s="118"/>
      <c r="E1155" s="118"/>
      <c r="F1155" s="118"/>
      <c r="G1155" s="118"/>
      <c r="H1155" s="118"/>
      <c r="I1155" s="118"/>
      <c r="J1155" s="118"/>
      <c r="K1155" s="118"/>
      <c r="L1155" s="118"/>
      <c r="M1155" s="118"/>
      <c r="N1155" s="118"/>
      <c r="O1155" s="118"/>
      <c r="P1155" s="118"/>
      <c r="Q1155" s="118"/>
      <c r="R1155" s="118"/>
      <c r="S1155" s="118"/>
      <c r="T1155" s="118"/>
      <c r="U1155" s="118"/>
      <c r="V1155" s="118"/>
      <c r="W1155" s="118"/>
      <c r="X1155" s="118"/>
      <c r="Y1155" s="118"/>
      <c r="Z1155" s="118"/>
      <c r="AA1155" s="118"/>
      <c r="AB1155" s="118"/>
      <c r="AC1155" s="118"/>
      <c r="AD1155" s="118"/>
      <c r="AE1155" s="118"/>
      <c r="AF1155" s="118"/>
      <c r="AG1155" s="118"/>
      <c r="AH1155" s="118"/>
      <c r="AI1155" s="118"/>
      <c r="AJ1155" s="118"/>
      <c r="AK1155" s="118"/>
      <c r="AL1155" s="118"/>
      <c r="AM1155" s="118"/>
      <c r="AN1155" s="118"/>
      <c r="AO1155" s="118"/>
      <c r="AP1155" s="118"/>
      <c r="AQ1155" s="118"/>
      <c r="AR1155" s="118"/>
      <c r="AS1155" s="118"/>
      <c r="AT1155" s="118"/>
      <c r="AU1155" s="118"/>
      <c r="AV1155" s="118"/>
      <c r="AW1155" s="118"/>
      <c r="AX1155" s="118"/>
      <c r="AY1155" s="118"/>
      <c r="AZ1155" s="118"/>
      <c r="BA1155" s="118"/>
      <c r="BB1155" s="118"/>
      <c r="BC1155" s="118"/>
      <c r="BD1155" s="118"/>
      <c r="BE1155" s="118"/>
      <c r="BF1155" s="118"/>
      <c r="BG1155" s="118"/>
      <c r="BH1155" s="118"/>
      <c r="BI1155" s="118"/>
      <c r="BJ1155" s="971"/>
      <c r="BK1155" s="118"/>
      <c r="BL1155" s="118"/>
      <c r="BM1155" s="118"/>
      <c r="BN1155" s="118"/>
      <c r="BO1155" s="118"/>
      <c r="BP1155" s="118"/>
      <c r="BQ1155" s="118"/>
      <c r="BR1155" s="118"/>
      <c r="BS1155" s="118"/>
      <c r="BT1155" s="118"/>
      <c r="BU1155" s="118"/>
      <c r="BV1155" s="118"/>
      <c r="BW1155" s="122"/>
    </row>
    <row r="1156" spans="1:75" s="123" customFormat="1" x14ac:dyDescent="0.5">
      <c r="A1156" s="685" t="s">
        <v>1549</v>
      </c>
      <c r="B1156" s="685"/>
      <c r="C1156" s="686">
        <f t="shared" ref="C1156:BN1156" si="1529">ROUND(C1123-C1154,6)</f>
        <v>0</v>
      </c>
      <c r="D1156" s="686">
        <f t="shared" si="1529"/>
        <v>0</v>
      </c>
      <c r="E1156" s="686">
        <f t="shared" si="1529"/>
        <v>0</v>
      </c>
      <c r="F1156" s="686">
        <f t="shared" si="1529"/>
        <v>0</v>
      </c>
      <c r="G1156" s="686">
        <f t="shared" si="1529"/>
        <v>0</v>
      </c>
      <c r="H1156" s="686">
        <f t="shared" si="1529"/>
        <v>0</v>
      </c>
      <c r="I1156" s="686">
        <f t="shared" si="1529"/>
        <v>0</v>
      </c>
      <c r="J1156" s="686">
        <f t="shared" si="1529"/>
        <v>0</v>
      </c>
      <c r="K1156" s="686">
        <f t="shared" si="1529"/>
        <v>0</v>
      </c>
      <c r="L1156" s="686">
        <f t="shared" si="1529"/>
        <v>0</v>
      </c>
      <c r="M1156" s="686">
        <f t="shared" si="1529"/>
        <v>0</v>
      </c>
      <c r="N1156" s="686">
        <f t="shared" si="1529"/>
        <v>0</v>
      </c>
      <c r="O1156" s="686">
        <f t="shared" si="1529"/>
        <v>0</v>
      </c>
      <c r="P1156" s="686">
        <f t="shared" si="1529"/>
        <v>0</v>
      </c>
      <c r="Q1156" s="686">
        <f t="shared" si="1529"/>
        <v>0</v>
      </c>
      <c r="R1156" s="686">
        <f t="shared" si="1529"/>
        <v>0</v>
      </c>
      <c r="S1156" s="686">
        <f t="shared" si="1529"/>
        <v>0</v>
      </c>
      <c r="T1156" s="686">
        <f t="shared" si="1529"/>
        <v>0</v>
      </c>
      <c r="U1156" s="686">
        <f t="shared" si="1529"/>
        <v>0</v>
      </c>
      <c r="V1156" s="686">
        <f t="shared" si="1529"/>
        <v>0</v>
      </c>
      <c r="W1156" s="686">
        <f t="shared" si="1529"/>
        <v>0</v>
      </c>
      <c r="X1156" s="686">
        <f t="shared" si="1529"/>
        <v>0</v>
      </c>
      <c r="Y1156" s="686">
        <f t="shared" si="1529"/>
        <v>0</v>
      </c>
      <c r="Z1156" s="686">
        <f t="shared" si="1529"/>
        <v>0</v>
      </c>
      <c r="AA1156" s="686">
        <f t="shared" si="1529"/>
        <v>0</v>
      </c>
      <c r="AB1156" s="686">
        <f t="shared" si="1529"/>
        <v>0</v>
      </c>
      <c r="AC1156" s="686">
        <f t="shared" si="1529"/>
        <v>0</v>
      </c>
      <c r="AD1156" s="686">
        <f t="shared" si="1529"/>
        <v>0</v>
      </c>
      <c r="AE1156" s="686">
        <f t="shared" si="1529"/>
        <v>0</v>
      </c>
      <c r="AF1156" s="686">
        <f t="shared" si="1529"/>
        <v>0</v>
      </c>
      <c r="AG1156" s="686">
        <f t="shared" si="1529"/>
        <v>0</v>
      </c>
      <c r="AH1156" s="686">
        <f t="shared" si="1529"/>
        <v>0</v>
      </c>
      <c r="AI1156" s="686">
        <f t="shared" si="1529"/>
        <v>0</v>
      </c>
      <c r="AJ1156" s="686">
        <f t="shared" si="1529"/>
        <v>0</v>
      </c>
      <c r="AK1156" s="686">
        <f t="shared" si="1529"/>
        <v>0</v>
      </c>
      <c r="AL1156" s="686">
        <f t="shared" si="1529"/>
        <v>0</v>
      </c>
      <c r="AM1156" s="686">
        <f t="shared" si="1529"/>
        <v>0</v>
      </c>
      <c r="AN1156" s="686">
        <f t="shared" si="1529"/>
        <v>0</v>
      </c>
      <c r="AO1156" s="686">
        <f t="shared" si="1529"/>
        <v>0</v>
      </c>
      <c r="AP1156" s="686">
        <f t="shared" si="1529"/>
        <v>0</v>
      </c>
      <c r="AQ1156" s="686">
        <f t="shared" si="1529"/>
        <v>0</v>
      </c>
      <c r="AR1156" s="686">
        <f t="shared" si="1529"/>
        <v>0</v>
      </c>
      <c r="AS1156" s="686">
        <f t="shared" si="1529"/>
        <v>0</v>
      </c>
      <c r="AT1156" s="686">
        <f t="shared" si="1529"/>
        <v>0</v>
      </c>
      <c r="AU1156" s="686">
        <f t="shared" si="1529"/>
        <v>0</v>
      </c>
      <c r="AV1156" s="686">
        <f t="shared" si="1529"/>
        <v>0</v>
      </c>
      <c r="AW1156" s="686">
        <f t="shared" si="1529"/>
        <v>0</v>
      </c>
      <c r="AX1156" s="686">
        <f t="shared" si="1529"/>
        <v>0</v>
      </c>
      <c r="AY1156" s="686">
        <f t="shared" si="1529"/>
        <v>0</v>
      </c>
      <c r="AZ1156" s="686">
        <f t="shared" si="1529"/>
        <v>0</v>
      </c>
      <c r="BA1156" s="686">
        <f t="shared" si="1529"/>
        <v>0</v>
      </c>
      <c r="BB1156" s="686">
        <f t="shared" si="1529"/>
        <v>0</v>
      </c>
      <c r="BC1156" s="686">
        <f t="shared" si="1529"/>
        <v>0</v>
      </c>
      <c r="BD1156" s="686">
        <f t="shared" si="1529"/>
        <v>0</v>
      </c>
      <c r="BE1156" s="686">
        <f t="shared" si="1529"/>
        <v>0</v>
      </c>
      <c r="BF1156" s="686">
        <f t="shared" si="1529"/>
        <v>0</v>
      </c>
      <c r="BG1156" s="686">
        <f t="shared" si="1529"/>
        <v>0</v>
      </c>
      <c r="BH1156" s="686">
        <f t="shared" si="1529"/>
        <v>0</v>
      </c>
      <c r="BI1156" s="686">
        <f t="shared" si="1529"/>
        <v>0</v>
      </c>
      <c r="BJ1156" s="687">
        <f>ROUND(BJ1123-BJ1154,6)</f>
        <v>0</v>
      </c>
      <c r="BK1156" s="686">
        <f t="shared" ca="1" si="1529"/>
        <v>0</v>
      </c>
      <c r="BL1156" s="686">
        <f t="shared" ca="1" si="1529"/>
        <v>0</v>
      </c>
      <c r="BM1156" s="686">
        <f t="shared" ca="1" si="1529"/>
        <v>0</v>
      </c>
      <c r="BN1156" s="686">
        <f t="shared" ca="1" si="1529"/>
        <v>0</v>
      </c>
      <c r="BO1156" s="686">
        <f t="shared" ref="BO1156:BV1156" ca="1" si="1530">ROUND(BO1123-BO1154,6)</f>
        <v>0</v>
      </c>
      <c r="BP1156" s="686">
        <f t="shared" ca="1" si="1530"/>
        <v>0</v>
      </c>
      <c r="BQ1156" s="686">
        <f t="shared" ca="1" si="1530"/>
        <v>0</v>
      </c>
      <c r="BR1156" s="686">
        <f t="shared" ca="1" si="1530"/>
        <v>0</v>
      </c>
      <c r="BS1156" s="686">
        <f t="shared" ca="1" si="1530"/>
        <v>0</v>
      </c>
      <c r="BT1156" s="686">
        <f t="shared" ca="1" si="1530"/>
        <v>0</v>
      </c>
      <c r="BU1156" s="686">
        <f t="shared" ca="1" si="1530"/>
        <v>0</v>
      </c>
      <c r="BV1156" s="686">
        <f t="shared" ca="1" si="1530"/>
        <v>0</v>
      </c>
      <c r="BW1156" s="122"/>
    </row>
    <row r="1157" spans="1:75" s="123" customFormat="1" x14ac:dyDescent="0.5">
      <c r="A1157" s="118"/>
      <c r="B1157" s="118"/>
      <c r="C1157" s="118"/>
      <c r="D1157" s="118"/>
      <c r="E1157" s="118"/>
      <c r="F1157" s="118"/>
      <c r="G1157" s="118"/>
      <c r="H1157" s="118"/>
      <c r="I1157" s="118"/>
      <c r="J1157" s="118"/>
      <c r="K1157" s="118"/>
      <c r="L1157" s="118"/>
      <c r="M1157" s="118"/>
      <c r="N1157" s="118"/>
      <c r="O1157" s="118"/>
      <c r="P1157" s="118"/>
      <c r="Q1157" s="118"/>
      <c r="R1157" s="118"/>
      <c r="S1157" s="118"/>
      <c r="T1157" s="118"/>
      <c r="U1157" s="118"/>
      <c r="V1157" s="118"/>
      <c r="W1157" s="118"/>
      <c r="X1157" s="118"/>
      <c r="Y1157" s="118"/>
      <c r="Z1157" s="118"/>
      <c r="AA1157" s="118"/>
      <c r="AB1157" s="118"/>
      <c r="AC1157" s="118"/>
      <c r="AD1157" s="118"/>
      <c r="AE1157" s="118"/>
      <c r="AF1157" s="118"/>
      <c r="AG1157" s="118"/>
      <c r="AH1157" s="118"/>
      <c r="AI1157" s="118"/>
      <c r="AJ1157" s="118"/>
      <c r="AK1157" s="118"/>
      <c r="AL1157" s="118"/>
      <c r="AM1157" s="118"/>
      <c r="AN1157" s="118"/>
      <c r="AO1157" s="118"/>
      <c r="AP1157" s="118"/>
      <c r="AQ1157" s="118"/>
      <c r="AR1157" s="118"/>
      <c r="AS1157" s="118"/>
      <c r="AT1157" s="118"/>
      <c r="AU1157" s="118"/>
      <c r="AV1157" s="118"/>
      <c r="AW1157" s="118"/>
      <c r="AX1157" s="118"/>
      <c r="AY1157" s="118"/>
      <c r="AZ1157" s="118"/>
      <c r="BA1157" s="118"/>
      <c r="BB1157" s="118"/>
      <c r="BC1157" s="118"/>
      <c r="BD1157" s="118"/>
      <c r="BE1157" s="118"/>
      <c r="BF1157" s="118"/>
      <c r="BG1157" s="118"/>
      <c r="BH1157" s="118"/>
      <c r="BI1157" s="118"/>
      <c r="BJ1157" s="971"/>
      <c r="BK1157" s="118"/>
      <c r="BL1157" s="118"/>
      <c r="BM1157" s="118"/>
      <c r="BN1157" s="118"/>
      <c r="BO1157" s="118"/>
      <c r="BP1157" s="118"/>
      <c r="BQ1157" s="118"/>
      <c r="BR1157" s="118"/>
      <c r="BS1157" s="118"/>
      <c r="BT1157" s="118"/>
      <c r="BU1157" s="118"/>
      <c r="BV1157" s="118"/>
      <c r="BW1157" s="122"/>
    </row>
    <row r="1158" spans="1:75" s="198" customFormat="1" ht="14.25" x14ac:dyDescent="0.45">
      <c r="A1158" s="511" t="s">
        <v>1550</v>
      </c>
      <c r="B1158" s="511"/>
      <c r="C1158" s="511"/>
      <c r="D1158" s="511"/>
      <c r="E1158" s="511"/>
      <c r="F1158" s="511"/>
      <c r="G1158" s="511"/>
      <c r="H1158" s="511"/>
      <c r="I1158" s="511"/>
      <c r="J1158" s="511"/>
      <c r="K1158" s="511"/>
      <c r="L1158" s="511"/>
      <c r="M1158" s="511"/>
      <c r="N1158" s="511"/>
      <c r="O1158" s="511"/>
      <c r="P1158" s="511"/>
      <c r="Q1158" s="511"/>
      <c r="R1158" s="511"/>
      <c r="S1158" s="511"/>
      <c r="T1158" s="511"/>
      <c r="U1158" s="511"/>
      <c r="V1158" s="511"/>
      <c r="W1158" s="511"/>
      <c r="X1158" s="511"/>
      <c r="Y1158" s="511"/>
      <c r="Z1158" s="511"/>
      <c r="AA1158" s="511"/>
      <c r="AB1158" s="511"/>
      <c r="AC1158" s="511"/>
      <c r="AD1158" s="511"/>
      <c r="AE1158" s="511"/>
      <c r="AF1158" s="511"/>
      <c r="AG1158" s="511"/>
      <c r="AH1158" s="511"/>
      <c r="AI1158" s="511"/>
      <c r="AJ1158" s="511"/>
      <c r="AK1158" s="511"/>
      <c r="AL1158" s="511"/>
      <c r="AM1158" s="511"/>
      <c r="AN1158" s="511"/>
      <c r="AO1158" s="511"/>
      <c r="AP1158" s="511"/>
      <c r="AQ1158" s="511"/>
      <c r="AR1158" s="511"/>
      <c r="AS1158" s="511"/>
      <c r="AT1158" s="511"/>
      <c r="AU1158" s="511"/>
      <c r="AV1158" s="511"/>
      <c r="AW1158" s="511"/>
      <c r="AX1158" s="511"/>
      <c r="AY1158" s="511"/>
      <c r="AZ1158" s="511"/>
      <c r="BA1158" s="511"/>
      <c r="BB1158" s="511"/>
      <c r="BC1158" s="511"/>
      <c r="BD1158" s="511"/>
      <c r="BE1158" s="511"/>
      <c r="BF1158" s="511"/>
      <c r="BG1158" s="511"/>
      <c r="BH1158" s="511"/>
      <c r="BI1158" s="511"/>
      <c r="BJ1158" s="512"/>
      <c r="BK1158" s="511"/>
      <c r="BL1158" s="511"/>
      <c r="BM1158" s="511"/>
      <c r="BN1158" s="511"/>
      <c r="BO1158" s="511"/>
      <c r="BP1158" s="511"/>
      <c r="BQ1158" s="511"/>
      <c r="BR1158" s="511"/>
      <c r="BS1158" s="511"/>
      <c r="BT1158" s="511"/>
      <c r="BU1158" s="511"/>
      <c r="BV1158" s="511"/>
      <c r="BW1158" s="197"/>
    </row>
    <row r="1159" spans="1:75" s="123" customFormat="1" x14ac:dyDescent="0.5">
      <c r="A1159" s="122" t="s">
        <v>1551</v>
      </c>
      <c r="B1159" s="187"/>
      <c r="C1159" s="686">
        <f t="shared" ref="C1159:AH1159" si="1531">IF(ISBLANK(INDEX(MO_IS_FirstRow,0,COLUMN())),0,ROUND(C1008-C795,6))</f>
        <v>0</v>
      </c>
      <c r="D1159" s="686">
        <f t="shared" si="1531"/>
        <v>0</v>
      </c>
      <c r="E1159" s="686">
        <f t="shared" si="1531"/>
        <v>0</v>
      </c>
      <c r="F1159" s="686">
        <f t="shared" si="1531"/>
        <v>0</v>
      </c>
      <c r="G1159" s="686">
        <f t="shared" si="1531"/>
        <v>0</v>
      </c>
      <c r="H1159" s="686">
        <f t="shared" si="1531"/>
        <v>0</v>
      </c>
      <c r="I1159" s="686">
        <f t="shared" si="1531"/>
        <v>0</v>
      </c>
      <c r="J1159" s="686">
        <f t="shared" si="1531"/>
        <v>0</v>
      </c>
      <c r="K1159" s="686">
        <f t="shared" si="1531"/>
        <v>0</v>
      </c>
      <c r="L1159" s="686">
        <f t="shared" si="1531"/>
        <v>0</v>
      </c>
      <c r="M1159" s="686">
        <f t="shared" si="1531"/>
        <v>0</v>
      </c>
      <c r="N1159" s="686">
        <f t="shared" si="1531"/>
        <v>0</v>
      </c>
      <c r="O1159" s="686">
        <f t="shared" si="1531"/>
        <v>0</v>
      </c>
      <c r="P1159" s="686">
        <f t="shared" si="1531"/>
        <v>0</v>
      </c>
      <c r="Q1159" s="686">
        <f t="shared" si="1531"/>
        <v>0</v>
      </c>
      <c r="R1159" s="686">
        <f t="shared" si="1531"/>
        <v>0</v>
      </c>
      <c r="S1159" s="686">
        <f t="shared" si="1531"/>
        <v>0</v>
      </c>
      <c r="T1159" s="686">
        <f t="shared" si="1531"/>
        <v>0</v>
      </c>
      <c r="U1159" s="686">
        <f t="shared" si="1531"/>
        <v>0</v>
      </c>
      <c r="V1159" s="686">
        <f t="shared" si="1531"/>
        <v>0</v>
      </c>
      <c r="W1159" s="686">
        <f t="shared" si="1531"/>
        <v>0</v>
      </c>
      <c r="X1159" s="686">
        <f t="shared" si="1531"/>
        <v>0</v>
      </c>
      <c r="Y1159" s="686">
        <f t="shared" si="1531"/>
        <v>0</v>
      </c>
      <c r="Z1159" s="686">
        <f t="shared" si="1531"/>
        <v>0</v>
      </c>
      <c r="AA1159" s="686">
        <f t="shared" si="1531"/>
        <v>0</v>
      </c>
      <c r="AB1159" s="686">
        <f t="shared" si="1531"/>
        <v>0</v>
      </c>
      <c r="AC1159" s="686">
        <f t="shared" si="1531"/>
        <v>0</v>
      </c>
      <c r="AD1159" s="686">
        <f t="shared" si="1531"/>
        <v>0</v>
      </c>
      <c r="AE1159" s="686">
        <f t="shared" si="1531"/>
        <v>0</v>
      </c>
      <c r="AF1159" s="686">
        <f t="shared" si="1531"/>
        <v>0</v>
      </c>
      <c r="AG1159" s="686">
        <f t="shared" si="1531"/>
        <v>0</v>
      </c>
      <c r="AH1159" s="686">
        <f t="shared" si="1531"/>
        <v>0</v>
      </c>
      <c r="AI1159" s="686">
        <f t="shared" ref="AI1159:BN1159" si="1532">IF(ISBLANK(INDEX(MO_IS_FirstRow,0,COLUMN())),0,ROUND(AI1008-AI795,6))</f>
        <v>0</v>
      </c>
      <c r="AJ1159" s="686">
        <f t="shared" si="1532"/>
        <v>0</v>
      </c>
      <c r="AK1159" s="686">
        <f t="shared" si="1532"/>
        <v>0</v>
      </c>
      <c r="AL1159" s="686">
        <f t="shared" si="1532"/>
        <v>0</v>
      </c>
      <c r="AM1159" s="686">
        <f t="shared" si="1532"/>
        <v>0</v>
      </c>
      <c r="AN1159" s="686">
        <f t="shared" si="1532"/>
        <v>0</v>
      </c>
      <c r="AO1159" s="686">
        <f t="shared" si="1532"/>
        <v>0</v>
      </c>
      <c r="AP1159" s="686">
        <f t="shared" si="1532"/>
        <v>0</v>
      </c>
      <c r="AQ1159" s="686">
        <f t="shared" si="1532"/>
        <v>0</v>
      </c>
      <c r="AR1159" s="686">
        <f t="shared" si="1532"/>
        <v>0</v>
      </c>
      <c r="AS1159" s="686">
        <f t="shared" si="1532"/>
        <v>0</v>
      </c>
      <c r="AT1159" s="686">
        <f t="shared" si="1532"/>
        <v>0</v>
      </c>
      <c r="AU1159" s="686">
        <f t="shared" si="1532"/>
        <v>0</v>
      </c>
      <c r="AV1159" s="686">
        <f t="shared" si="1532"/>
        <v>0</v>
      </c>
      <c r="AW1159" s="686">
        <f t="shared" si="1532"/>
        <v>0</v>
      </c>
      <c r="AX1159" s="686">
        <f t="shared" si="1532"/>
        <v>0</v>
      </c>
      <c r="AY1159" s="686">
        <f t="shared" si="1532"/>
        <v>0</v>
      </c>
      <c r="AZ1159" s="686">
        <f t="shared" si="1532"/>
        <v>0</v>
      </c>
      <c r="BA1159" s="686">
        <f t="shared" si="1532"/>
        <v>0</v>
      </c>
      <c r="BB1159" s="686">
        <f t="shared" si="1532"/>
        <v>0</v>
      </c>
      <c r="BC1159" s="686">
        <f t="shared" si="1532"/>
        <v>0</v>
      </c>
      <c r="BD1159" s="686">
        <f t="shared" si="1532"/>
        <v>0</v>
      </c>
      <c r="BE1159" s="686">
        <f t="shared" si="1532"/>
        <v>0</v>
      </c>
      <c r="BF1159" s="686">
        <f t="shared" si="1532"/>
        <v>0</v>
      </c>
      <c r="BG1159" s="686">
        <f t="shared" si="1532"/>
        <v>0</v>
      </c>
      <c r="BH1159" s="686">
        <f t="shared" ref="BH1159:BM1159" si="1533">IF(ISBLANK(INDEX(MO_IS_FirstRow,0,COLUMN())),0,ROUND(BH1008-BH795,6))</f>
        <v>0</v>
      </c>
      <c r="BI1159" s="686">
        <f t="shared" si="1533"/>
        <v>0</v>
      </c>
      <c r="BJ1159" s="687">
        <f>IF(ISBLANK(INDEX(MO_IS_FirstRow,0,COLUMN())),0,ROUND(BJ1008-BJ795,6))</f>
        <v>0</v>
      </c>
      <c r="BK1159" s="686">
        <f t="shared" si="1533"/>
        <v>0</v>
      </c>
      <c r="BL1159" s="686">
        <f t="shared" si="1533"/>
        <v>0</v>
      </c>
      <c r="BM1159" s="686">
        <f t="shared" si="1533"/>
        <v>0</v>
      </c>
      <c r="BN1159" s="686">
        <f t="shared" si="1532"/>
        <v>0</v>
      </c>
      <c r="BO1159" s="686">
        <f t="shared" ref="BO1159:BV1159" si="1534">IF(ISBLANK(INDEX(MO_IS_FirstRow,0,COLUMN())),0,ROUND(BO1008-BO795,6))</f>
        <v>0</v>
      </c>
      <c r="BP1159" s="686">
        <f t="shared" si="1534"/>
        <v>0</v>
      </c>
      <c r="BQ1159" s="686">
        <f t="shared" si="1534"/>
        <v>0</v>
      </c>
      <c r="BR1159" s="686">
        <f t="shared" si="1534"/>
        <v>0</v>
      </c>
      <c r="BS1159" s="686">
        <f t="shared" si="1534"/>
        <v>0</v>
      </c>
      <c r="BT1159" s="686">
        <f t="shared" si="1534"/>
        <v>0</v>
      </c>
      <c r="BU1159" s="686">
        <f t="shared" si="1534"/>
        <v>0</v>
      </c>
      <c r="BV1159" s="686">
        <f t="shared" si="1534"/>
        <v>0</v>
      </c>
      <c r="BW1159" s="122"/>
    </row>
    <row r="1160" spans="1:75" s="123" customFormat="1" x14ac:dyDescent="0.5">
      <c r="A1160" s="122" t="s">
        <v>1552</v>
      </c>
      <c r="B1160" s="187"/>
      <c r="C1160" s="686">
        <f t="shared" ref="C1160:AH1160" si="1535">IF(ISBLANK(INDEX(MO_IS_FirstRow,0,COLUMN())),0,ROUND(C648-C795,6))</f>
        <v>0</v>
      </c>
      <c r="D1160" s="686">
        <f t="shared" si="1535"/>
        <v>0</v>
      </c>
      <c r="E1160" s="686">
        <f t="shared" si="1535"/>
        <v>0</v>
      </c>
      <c r="F1160" s="686">
        <f t="shared" si="1535"/>
        <v>0</v>
      </c>
      <c r="G1160" s="686">
        <f t="shared" si="1535"/>
        <v>0</v>
      </c>
      <c r="H1160" s="686">
        <f t="shared" si="1535"/>
        <v>0</v>
      </c>
      <c r="I1160" s="686">
        <f t="shared" si="1535"/>
        <v>0</v>
      </c>
      <c r="J1160" s="686">
        <f t="shared" si="1535"/>
        <v>0</v>
      </c>
      <c r="K1160" s="686">
        <f t="shared" si="1535"/>
        <v>0</v>
      </c>
      <c r="L1160" s="686">
        <f t="shared" si="1535"/>
        <v>0</v>
      </c>
      <c r="M1160" s="686">
        <f t="shared" si="1535"/>
        <v>0</v>
      </c>
      <c r="N1160" s="686">
        <f t="shared" si="1535"/>
        <v>0</v>
      </c>
      <c r="O1160" s="686">
        <f t="shared" si="1535"/>
        <v>0</v>
      </c>
      <c r="P1160" s="686">
        <f t="shared" si="1535"/>
        <v>0</v>
      </c>
      <c r="Q1160" s="686">
        <f t="shared" si="1535"/>
        <v>0</v>
      </c>
      <c r="R1160" s="686">
        <f t="shared" si="1535"/>
        <v>0</v>
      </c>
      <c r="S1160" s="686">
        <f t="shared" si="1535"/>
        <v>0</v>
      </c>
      <c r="T1160" s="686">
        <f t="shared" si="1535"/>
        <v>0</v>
      </c>
      <c r="U1160" s="686">
        <f t="shared" si="1535"/>
        <v>0</v>
      </c>
      <c r="V1160" s="686">
        <f t="shared" si="1535"/>
        <v>0</v>
      </c>
      <c r="W1160" s="686">
        <f t="shared" si="1535"/>
        <v>0</v>
      </c>
      <c r="X1160" s="686">
        <f t="shared" si="1535"/>
        <v>0</v>
      </c>
      <c r="Y1160" s="686">
        <f t="shared" si="1535"/>
        <v>0</v>
      </c>
      <c r="Z1160" s="686">
        <f t="shared" si="1535"/>
        <v>0</v>
      </c>
      <c r="AA1160" s="686">
        <f t="shared" si="1535"/>
        <v>0</v>
      </c>
      <c r="AB1160" s="686">
        <f t="shared" si="1535"/>
        <v>0</v>
      </c>
      <c r="AC1160" s="686">
        <f t="shared" si="1535"/>
        <v>0</v>
      </c>
      <c r="AD1160" s="686">
        <f t="shared" si="1535"/>
        <v>0</v>
      </c>
      <c r="AE1160" s="686">
        <f t="shared" si="1535"/>
        <v>0</v>
      </c>
      <c r="AF1160" s="686">
        <f t="shared" si="1535"/>
        <v>0</v>
      </c>
      <c r="AG1160" s="686">
        <f t="shared" si="1535"/>
        <v>0</v>
      </c>
      <c r="AH1160" s="686">
        <f t="shared" si="1535"/>
        <v>0</v>
      </c>
      <c r="AI1160" s="686">
        <f t="shared" ref="AI1160:BN1160" si="1536">IF(ISBLANK(INDEX(MO_IS_FirstRow,0,COLUMN())),0,ROUND(AI648-AI795,6))</f>
        <v>0</v>
      </c>
      <c r="AJ1160" s="686">
        <f t="shared" si="1536"/>
        <v>0</v>
      </c>
      <c r="AK1160" s="686">
        <f t="shared" si="1536"/>
        <v>0</v>
      </c>
      <c r="AL1160" s="686">
        <f t="shared" si="1536"/>
        <v>0</v>
      </c>
      <c r="AM1160" s="686">
        <f t="shared" si="1536"/>
        <v>0</v>
      </c>
      <c r="AN1160" s="686">
        <f t="shared" si="1536"/>
        <v>0</v>
      </c>
      <c r="AO1160" s="686">
        <f t="shared" si="1536"/>
        <v>0</v>
      </c>
      <c r="AP1160" s="686">
        <f t="shared" si="1536"/>
        <v>0</v>
      </c>
      <c r="AQ1160" s="686">
        <f t="shared" si="1536"/>
        <v>0</v>
      </c>
      <c r="AR1160" s="686">
        <f t="shared" si="1536"/>
        <v>0</v>
      </c>
      <c r="AS1160" s="686">
        <f t="shared" si="1536"/>
        <v>0</v>
      </c>
      <c r="AT1160" s="686">
        <f t="shared" si="1536"/>
        <v>0</v>
      </c>
      <c r="AU1160" s="686">
        <f t="shared" si="1536"/>
        <v>0</v>
      </c>
      <c r="AV1160" s="686">
        <f t="shared" si="1536"/>
        <v>0</v>
      </c>
      <c r="AW1160" s="686">
        <f t="shared" si="1536"/>
        <v>0</v>
      </c>
      <c r="AX1160" s="686">
        <f t="shared" si="1536"/>
        <v>0</v>
      </c>
      <c r="AY1160" s="686">
        <f t="shared" si="1536"/>
        <v>0</v>
      </c>
      <c r="AZ1160" s="686">
        <f t="shared" si="1536"/>
        <v>0</v>
      </c>
      <c r="BA1160" s="686">
        <f t="shared" si="1536"/>
        <v>0</v>
      </c>
      <c r="BB1160" s="686">
        <f t="shared" si="1536"/>
        <v>0</v>
      </c>
      <c r="BC1160" s="686">
        <f t="shared" si="1536"/>
        <v>0</v>
      </c>
      <c r="BD1160" s="686">
        <f t="shared" si="1536"/>
        <v>0</v>
      </c>
      <c r="BE1160" s="686">
        <f t="shared" si="1536"/>
        <v>0</v>
      </c>
      <c r="BF1160" s="686">
        <f t="shared" si="1536"/>
        <v>0</v>
      </c>
      <c r="BG1160" s="686">
        <f t="shared" si="1536"/>
        <v>0</v>
      </c>
      <c r="BH1160" s="686">
        <f t="shared" ref="BH1160:BM1160" si="1537">IF(ISBLANK(INDEX(MO_IS_FirstRow,0,COLUMN())),0,ROUND(BH648-BH795,6))</f>
        <v>0</v>
      </c>
      <c r="BI1160" s="686">
        <f t="shared" si="1537"/>
        <v>0</v>
      </c>
      <c r="BJ1160" s="687">
        <f>IF(ISBLANK(INDEX(MO_IS_FirstRow,0,COLUMN())),0,ROUND(BJ648-BJ795,6))</f>
        <v>0</v>
      </c>
      <c r="BK1160" s="686">
        <f t="shared" si="1537"/>
        <v>0</v>
      </c>
      <c r="BL1160" s="686">
        <f t="shared" si="1537"/>
        <v>0</v>
      </c>
      <c r="BM1160" s="686">
        <f t="shared" si="1537"/>
        <v>0</v>
      </c>
      <c r="BN1160" s="686">
        <f t="shared" si="1536"/>
        <v>0</v>
      </c>
      <c r="BO1160" s="686">
        <f t="shared" ref="BO1160:BV1160" si="1538">IF(ISBLANK(INDEX(MO_IS_FirstRow,0,COLUMN())),0,ROUND(BO648-BO795,6))</f>
        <v>0</v>
      </c>
      <c r="BP1160" s="686">
        <f t="shared" si="1538"/>
        <v>0</v>
      </c>
      <c r="BQ1160" s="686">
        <f t="shared" si="1538"/>
        <v>0</v>
      </c>
      <c r="BR1160" s="686">
        <f t="shared" si="1538"/>
        <v>0</v>
      </c>
      <c r="BS1160" s="686">
        <f t="shared" si="1538"/>
        <v>0</v>
      </c>
      <c r="BT1160" s="686">
        <f t="shared" si="1538"/>
        <v>0</v>
      </c>
      <c r="BU1160" s="686">
        <f t="shared" si="1538"/>
        <v>0</v>
      </c>
      <c r="BV1160" s="686">
        <f t="shared" si="1538"/>
        <v>0</v>
      </c>
      <c r="BW1160" s="122"/>
    </row>
    <row r="1161" spans="1:75" s="123" customFormat="1" x14ac:dyDescent="0.5">
      <c r="A1161" s="122" t="s">
        <v>1553</v>
      </c>
      <c r="B1161" s="187"/>
      <c r="C1161" s="686">
        <f t="shared" ref="C1161:BN1161" si="1539">IF(C903&lt;0,C903,0)</f>
        <v>0</v>
      </c>
      <c r="D1161" s="686">
        <f t="shared" si="1539"/>
        <v>0</v>
      </c>
      <c r="E1161" s="686">
        <f t="shared" si="1539"/>
        <v>0</v>
      </c>
      <c r="F1161" s="686">
        <f t="shared" si="1539"/>
        <v>0</v>
      </c>
      <c r="G1161" s="686">
        <f t="shared" si="1539"/>
        <v>0</v>
      </c>
      <c r="H1161" s="686">
        <f t="shared" si="1539"/>
        <v>0</v>
      </c>
      <c r="I1161" s="686">
        <f t="shared" si="1539"/>
        <v>0</v>
      </c>
      <c r="J1161" s="686">
        <f t="shared" si="1539"/>
        <v>0</v>
      </c>
      <c r="K1161" s="686">
        <f t="shared" si="1539"/>
        <v>0</v>
      </c>
      <c r="L1161" s="686">
        <f t="shared" si="1539"/>
        <v>0</v>
      </c>
      <c r="M1161" s="686">
        <f t="shared" si="1539"/>
        <v>0</v>
      </c>
      <c r="N1161" s="686">
        <f t="shared" si="1539"/>
        <v>0</v>
      </c>
      <c r="O1161" s="686">
        <f t="shared" si="1539"/>
        <v>0</v>
      </c>
      <c r="P1161" s="686">
        <f t="shared" si="1539"/>
        <v>0</v>
      </c>
      <c r="Q1161" s="686">
        <f t="shared" si="1539"/>
        <v>0</v>
      </c>
      <c r="R1161" s="686">
        <f t="shared" si="1539"/>
        <v>0</v>
      </c>
      <c r="S1161" s="686">
        <f t="shared" si="1539"/>
        <v>0</v>
      </c>
      <c r="T1161" s="686">
        <f t="shared" si="1539"/>
        <v>0</v>
      </c>
      <c r="U1161" s="686">
        <f t="shared" si="1539"/>
        <v>0</v>
      </c>
      <c r="V1161" s="686">
        <f t="shared" si="1539"/>
        <v>0</v>
      </c>
      <c r="W1161" s="686">
        <f t="shared" si="1539"/>
        <v>0</v>
      </c>
      <c r="X1161" s="686">
        <f t="shared" si="1539"/>
        <v>0</v>
      </c>
      <c r="Y1161" s="686">
        <f t="shared" si="1539"/>
        <v>0</v>
      </c>
      <c r="Z1161" s="686">
        <f t="shared" si="1539"/>
        <v>0</v>
      </c>
      <c r="AA1161" s="686">
        <f t="shared" si="1539"/>
        <v>0</v>
      </c>
      <c r="AB1161" s="686">
        <f t="shared" si="1539"/>
        <v>0</v>
      </c>
      <c r="AC1161" s="686">
        <f t="shared" si="1539"/>
        <v>0</v>
      </c>
      <c r="AD1161" s="686">
        <f t="shared" si="1539"/>
        <v>0</v>
      </c>
      <c r="AE1161" s="686">
        <f t="shared" si="1539"/>
        <v>0</v>
      </c>
      <c r="AF1161" s="686">
        <f t="shared" si="1539"/>
        <v>0</v>
      </c>
      <c r="AG1161" s="686">
        <f t="shared" si="1539"/>
        <v>0</v>
      </c>
      <c r="AH1161" s="686">
        <f t="shared" si="1539"/>
        <v>0</v>
      </c>
      <c r="AI1161" s="686">
        <f t="shared" si="1539"/>
        <v>0</v>
      </c>
      <c r="AJ1161" s="686">
        <f t="shared" si="1539"/>
        <v>0</v>
      </c>
      <c r="AK1161" s="686">
        <f t="shared" si="1539"/>
        <v>0</v>
      </c>
      <c r="AL1161" s="686">
        <f t="shared" si="1539"/>
        <v>0</v>
      </c>
      <c r="AM1161" s="686">
        <f t="shared" si="1539"/>
        <v>0</v>
      </c>
      <c r="AN1161" s="686">
        <f t="shared" si="1539"/>
        <v>0</v>
      </c>
      <c r="AO1161" s="686">
        <f t="shared" si="1539"/>
        <v>0</v>
      </c>
      <c r="AP1161" s="686">
        <f t="shared" si="1539"/>
        <v>0</v>
      </c>
      <c r="AQ1161" s="686">
        <f t="shared" si="1539"/>
        <v>0</v>
      </c>
      <c r="AR1161" s="686">
        <f t="shared" si="1539"/>
        <v>0</v>
      </c>
      <c r="AS1161" s="686">
        <f t="shared" si="1539"/>
        <v>0</v>
      </c>
      <c r="AT1161" s="686">
        <f t="shared" si="1539"/>
        <v>0</v>
      </c>
      <c r="AU1161" s="686">
        <f t="shared" si="1539"/>
        <v>0</v>
      </c>
      <c r="AV1161" s="686">
        <f t="shared" si="1539"/>
        <v>0</v>
      </c>
      <c r="AW1161" s="686">
        <f t="shared" si="1539"/>
        <v>0</v>
      </c>
      <c r="AX1161" s="686">
        <f t="shared" si="1539"/>
        <v>0</v>
      </c>
      <c r="AY1161" s="686">
        <f t="shared" si="1539"/>
        <v>0</v>
      </c>
      <c r="AZ1161" s="686">
        <f t="shared" si="1539"/>
        <v>0</v>
      </c>
      <c r="BA1161" s="686">
        <f t="shared" si="1539"/>
        <v>0</v>
      </c>
      <c r="BB1161" s="686">
        <f t="shared" si="1539"/>
        <v>0</v>
      </c>
      <c r="BC1161" s="686">
        <f t="shared" si="1539"/>
        <v>0</v>
      </c>
      <c r="BD1161" s="686">
        <f t="shared" si="1539"/>
        <v>0</v>
      </c>
      <c r="BE1161" s="686">
        <f t="shared" si="1539"/>
        <v>0</v>
      </c>
      <c r="BF1161" s="686">
        <f t="shared" si="1539"/>
        <v>0</v>
      </c>
      <c r="BG1161" s="686">
        <f t="shared" si="1539"/>
        <v>0</v>
      </c>
      <c r="BH1161" s="686">
        <f t="shared" si="1539"/>
        <v>0</v>
      </c>
      <c r="BI1161" s="686">
        <f t="shared" si="1539"/>
        <v>0</v>
      </c>
      <c r="BJ1161" s="687">
        <f>IF(BJ903&lt;0,BJ903,0)</f>
        <v>0</v>
      </c>
      <c r="BK1161" s="686">
        <f t="shared" ca="1" si="1539"/>
        <v>0</v>
      </c>
      <c r="BL1161" s="686">
        <f t="shared" ca="1" si="1539"/>
        <v>0</v>
      </c>
      <c r="BM1161" s="686">
        <f t="shared" ca="1" si="1539"/>
        <v>0</v>
      </c>
      <c r="BN1161" s="686">
        <f t="shared" ca="1" si="1539"/>
        <v>0</v>
      </c>
      <c r="BO1161" s="686">
        <f t="shared" ref="BO1161:CF1161" ca="1" si="1540">IF(BO903&lt;0,BO903,0)</f>
        <v>0</v>
      </c>
      <c r="BP1161" s="686">
        <f t="shared" ca="1" si="1540"/>
        <v>0</v>
      </c>
      <c r="BQ1161" s="686">
        <f t="shared" ca="1" si="1540"/>
        <v>0</v>
      </c>
      <c r="BR1161" s="686">
        <f t="shared" ca="1" si="1540"/>
        <v>0</v>
      </c>
      <c r="BS1161" s="686">
        <f t="shared" ca="1" si="1540"/>
        <v>0</v>
      </c>
      <c r="BT1161" s="686">
        <f t="shared" ca="1" si="1540"/>
        <v>0</v>
      </c>
      <c r="BU1161" s="686">
        <f t="shared" ca="1" si="1540"/>
        <v>0</v>
      </c>
      <c r="BV1161" s="686">
        <f t="shared" ca="1" si="1540"/>
        <v>0</v>
      </c>
      <c r="BW1161" s="122"/>
    </row>
    <row r="1162" spans="1:75" s="123" customFormat="1" x14ac:dyDescent="0.5">
      <c r="A1162" s="122" t="s">
        <v>1554</v>
      </c>
      <c r="B1162" s="187"/>
      <c r="C1162" s="686">
        <f t="shared" ref="C1162:BN1162" si="1541">IF(C906&lt;0,C906,0)</f>
        <v>0</v>
      </c>
      <c r="D1162" s="686">
        <f t="shared" si="1541"/>
        <v>0</v>
      </c>
      <c r="E1162" s="686">
        <f t="shared" si="1541"/>
        <v>0</v>
      </c>
      <c r="F1162" s="686">
        <f t="shared" si="1541"/>
        <v>0</v>
      </c>
      <c r="G1162" s="686">
        <f t="shared" si="1541"/>
        <v>0</v>
      </c>
      <c r="H1162" s="686">
        <f t="shared" si="1541"/>
        <v>0</v>
      </c>
      <c r="I1162" s="686">
        <f t="shared" si="1541"/>
        <v>0</v>
      </c>
      <c r="J1162" s="686">
        <f t="shared" si="1541"/>
        <v>0</v>
      </c>
      <c r="K1162" s="686">
        <f t="shared" si="1541"/>
        <v>0</v>
      </c>
      <c r="L1162" s="686">
        <f t="shared" si="1541"/>
        <v>0</v>
      </c>
      <c r="M1162" s="686">
        <f t="shared" si="1541"/>
        <v>0</v>
      </c>
      <c r="N1162" s="686">
        <f t="shared" si="1541"/>
        <v>0</v>
      </c>
      <c r="O1162" s="686">
        <f t="shared" si="1541"/>
        <v>0</v>
      </c>
      <c r="P1162" s="686">
        <f t="shared" si="1541"/>
        <v>0</v>
      </c>
      <c r="Q1162" s="686">
        <f t="shared" si="1541"/>
        <v>0</v>
      </c>
      <c r="R1162" s="686">
        <f t="shared" si="1541"/>
        <v>0</v>
      </c>
      <c r="S1162" s="686">
        <f t="shared" si="1541"/>
        <v>0</v>
      </c>
      <c r="T1162" s="686">
        <f t="shared" si="1541"/>
        <v>0</v>
      </c>
      <c r="U1162" s="686">
        <f t="shared" si="1541"/>
        <v>0</v>
      </c>
      <c r="V1162" s="686">
        <f t="shared" si="1541"/>
        <v>0</v>
      </c>
      <c r="W1162" s="686">
        <f t="shared" si="1541"/>
        <v>0</v>
      </c>
      <c r="X1162" s="686">
        <f t="shared" si="1541"/>
        <v>0</v>
      </c>
      <c r="Y1162" s="686">
        <f t="shared" si="1541"/>
        <v>0</v>
      </c>
      <c r="Z1162" s="686">
        <f t="shared" si="1541"/>
        <v>0</v>
      </c>
      <c r="AA1162" s="686">
        <f t="shared" si="1541"/>
        <v>0</v>
      </c>
      <c r="AB1162" s="686">
        <f t="shared" si="1541"/>
        <v>0</v>
      </c>
      <c r="AC1162" s="686">
        <f t="shared" si="1541"/>
        <v>0</v>
      </c>
      <c r="AD1162" s="686">
        <f t="shared" si="1541"/>
        <v>0</v>
      </c>
      <c r="AE1162" s="686">
        <f t="shared" si="1541"/>
        <v>0</v>
      </c>
      <c r="AF1162" s="686">
        <f t="shared" si="1541"/>
        <v>0</v>
      </c>
      <c r="AG1162" s="686">
        <f t="shared" si="1541"/>
        <v>0</v>
      </c>
      <c r="AH1162" s="686">
        <f t="shared" si="1541"/>
        <v>0</v>
      </c>
      <c r="AI1162" s="686">
        <f t="shared" si="1541"/>
        <v>0</v>
      </c>
      <c r="AJ1162" s="686">
        <f t="shared" si="1541"/>
        <v>0</v>
      </c>
      <c r="AK1162" s="686">
        <f t="shared" si="1541"/>
        <v>0</v>
      </c>
      <c r="AL1162" s="686">
        <f t="shared" si="1541"/>
        <v>0</v>
      </c>
      <c r="AM1162" s="686">
        <f t="shared" si="1541"/>
        <v>0</v>
      </c>
      <c r="AN1162" s="686">
        <f t="shared" si="1541"/>
        <v>0</v>
      </c>
      <c r="AO1162" s="686">
        <f t="shared" si="1541"/>
        <v>0</v>
      </c>
      <c r="AP1162" s="686">
        <f t="shared" si="1541"/>
        <v>0</v>
      </c>
      <c r="AQ1162" s="686">
        <f t="shared" si="1541"/>
        <v>0</v>
      </c>
      <c r="AR1162" s="686">
        <f t="shared" si="1541"/>
        <v>0</v>
      </c>
      <c r="AS1162" s="686">
        <f t="shared" si="1541"/>
        <v>0</v>
      </c>
      <c r="AT1162" s="686">
        <f t="shared" si="1541"/>
        <v>0</v>
      </c>
      <c r="AU1162" s="686">
        <f t="shared" si="1541"/>
        <v>0</v>
      </c>
      <c r="AV1162" s="686">
        <f t="shared" si="1541"/>
        <v>0</v>
      </c>
      <c r="AW1162" s="686">
        <f t="shared" si="1541"/>
        <v>0</v>
      </c>
      <c r="AX1162" s="686">
        <f t="shared" si="1541"/>
        <v>0</v>
      </c>
      <c r="AY1162" s="686">
        <f t="shared" si="1541"/>
        <v>0</v>
      </c>
      <c r="AZ1162" s="686">
        <f t="shared" si="1541"/>
        <v>0</v>
      </c>
      <c r="BA1162" s="686">
        <f t="shared" si="1541"/>
        <v>0</v>
      </c>
      <c r="BB1162" s="686">
        <f t="shared" si="1541"/>
        <v>0</v>
      </c>
      <c r="BC1162" s="686">
        <f t="shared" si="1541"/>
        <v>0</v>
      </c>
      <c r="BD1162" s="686">
        <f t="shared" si="1541"/>
        <v>0</v>
      </c>
      <c r="BE1162" s="686">
        <f t="shared" si="1541"/>
        <v>0</v>
      </c>
      <c r="BF1162" s="686">
        <f t="shared" si="1541"/>
        <v>0</v>
      </c>
      <c r="BG1162" s="686">
        <f t="shared" si="1541"/>
        <v>0</v>
      </c>
      <c r="BH1162" s="686">
        <f t="shared" si="1541"/>
        <v>0</v>
      </c>
      <c r="BI1162" s="686">
        <f t="shared" si="1541"/>
        <v>0</v>
      </c>
      <c r="BJ1162" s="687">
        <f>IF(BJ906&lt;0,BJ906,0)</f>
        <v>0</v>
      </c>
      <c r="BK1162" s="686">
        <f t="shared" si="1541"/>
        <v>0</v>
      </c>
      <c r="BL1162" s="686">
        <f t="shared" si="1541"/>
        <v>0</v>
      </c>
      <c r="BM1162" s="686">
        <f t="shared" si="1541"/>
        <v>0</v>
      </c>
      <c r="BN1162" s="686">
        <f t="shared" si="1541"/>
        <v>0</v>
      </c>
      <c r="BO1162" s="686">
        <f t="shared" ref="BO1162:CF1162" si="1542">IF(BO906&lt;0,BO906,0)</f>
        <v>0</v>
      </c>
      <c r="BP1162" s="686">
        <f t="shared" si="1542"/>
        <v>0</v>
      </c>
      <c r="BQ1162" s="686">
        <f t="shared" si="1542"/>
        <v>0</v>
      </c>
      <c r="BR1162" s="686">
        <f t="shared" si="1542"/>
        <v>0</v>
      </c>
      <c r="BS1162" s="686">
        <f t="shared" si="1542"/>
        <v>0</v>
      </c>
      <c r="BT1162" s="686">
        <f t="shared" si="1542"/>
        <v>0</v>
      </c>
      <c r="BU1162" s="686">
        <f t="shared" si="1542"/>
        <v>0</v>
      </c>
      <c r="BV1162" s="686">
        <f t="shared" si="1542"/>
        <v>0</v>
      </c>
      <c r="BW1162" s="122"/>
    </row>
    <row r="1163" spans="1:75" s="123" customFormat="1" x14ac:dyDescent="0.5">
      <c r="A1163" s="122" t="s">
        <v>1555</v>
      </c>
      <c r="B1163" s="187"/>
      <c r="C1163" s="686">
        <f t="shared" ref="C1163:BN1163" si="1543">IF(AND(ISBLANK(C388),ISBLANK(C391)),0,ROUND(C749-C388-C391,6))</f>
        <v>0</v>
      </c>
      <c r="D1163" s="686">
        <f t="shared" si="1543"/>
        <v>0</v>
      </c>
      <c r="E1163" s="686">
        <f t="shared" si="1543"/>
        <v>0</v>
      </c>
      <c r="F1163" s="686">
        <f t="shared" si="1543"/>
        <v>0</v>
      </c>
      <c r="G1163" s="686">
        <f t="shared" si="1543"/>
        <v>0</v>
      </c>
      <c r="H1163" s="686">
        <f t="shared" si="1543"/>
        <v>0</v>
      </c>
      <c r="I1163" s="686">
        <f t="shared" si="1543"/>
        <v>0</v>
      </c>
      <c r="J1163" s="686">
        <f t="shared" si="1543"/>
        <v>0</v>
      </c>
      <c r="K1163" s="686">
        <f t="shared" si="1543"/>
        <v>0</v>
      </c>
      <c r="L1163" s="686">
        <f t="shared" si="1543"/>
        <v>0</v>
      </c>
      <c r="M1163" s="686">
        <f t="shared" si="1543"/>
        <v>0</v>
      </c>
      <c r="N1163" s="686">
        <f t="shared" si="1543"/>
        <v>0</v>
      </c>
      <c r="O1163" s="686">
        <f t="shared" si="1543"/>
        <v>0</v>
      </c>
      <c r="P1163" s="686">
        <f t="shared" si="1543"/>
        <v>0</v>
      </c>
      <c r="Q1163" s="686">
        <f t="shared" si="1543"/>
        <v>0</v>
      </c>
      <c r="R1163" s="686">
        <f t="shared" si="1543"/>
        <v>0</v>
      </c>
      <c r="S1163" s="686">
        <f t="shared" si="1543"/>
        <v>0</v>
      </c>
      <c r="T1163" s="686">
        <f t="shared" si="1543"/>
        <v>0</v>
      </c>
      <c r="U1163" s="686">
        <f t="shared" si="1543"/>
        <v>0</v>
      </c>
      <c r="V1163" s="686">
        <f t="shared" si="1543"/>
        <v>0</v>
      </c>
      <c r="W1163" s="686">
        <f t="shared" si="1543"/>
        <v>0</v>
      </c>
      <c r="X1163" s="686">
        <f t="shared" si="1543"/>
        <v>0</v>
      </c>
      <c r="Y1163" s="686">
        <f t="shared" si="1543"/>
        <v>0</v>
      </c>
      <c r="Z1163" s="686">
        <f t="shared" si="1543"/>
        <v>0</v>
      </c>
      <c r="AA1163" s="686">
        <f t="shared" si="1543"/>
        <v>0</v>
      </c>
      <c r="AB1163" s="686">
        <f t="shared" si="1543"/>
        <v>0</v>
      </c>
      <c r="AC1163" s="686">
        <f t="shared" si="1543"/>
        <v>0</v>
      </c>
      <c r="AD1163" s="686">
        <f t="shared" si="1543"/>
        <v>0</v>
      </c>
      <c r="AE1163" s="686">
        <f t="shared" si="1543"/>
        <v>0</v>
      </c>
      <c r="AF1163" s="686">
        <f t="shared" si="1543"/>
        <v>0</v>
      </c>
      <c r="AG1163" s="686">
        <f t="shared" si="1543"/>
        <v>0</v>
      </c>
      <c r="AH1163" s="686">
        <f t="shared" si="1543"/>
        <v>0</v>
      </c>
      <c r="AI1163" s="686">
        <f t="shared" si="1543"/>
        <v>0</v>
      </c>
      <c r="AJ1163" s="686">
        <f t="shared" si="1543"/>
        <v>0</v>
      </c>
      <c r="AK1163" s="686">
        <f t="shared" si="1543"/>
        <v>0</v>
      </c>
      <c r="AL1163" s="686">
        <f t="shared" si="1543"/>
        <v>0</v>
      </c>
      <c r="AM1163" s="686">
        <f t="shared" si="1543"/>
        <v>0</v>
      </c>
      <c r="AN1163" s="686">
        <f t="shared" si="1543"/>
        <v>0</v>
      </c>
      <c r="AO1163" s="686">
        <f t="shared" si="1543"/>
        <v>0</v>
      </c>
      <c r="AP1163" s="686">
        <f t="shared" si="1543"/>
        <v>0</v>
      </c>
      <c r="AQ1163" s="686">
        <f t="shared" si="1543"/>
        <v>0</v>
      </c>
      <c r="AR1163" s="686">
        <f t="shared" si="1543"/>
        <v>0</v>
      </c>
      <c r="AS1163" s="686">
        <f t="shared" si="1543"/>
        <v>0</v>
      </c>
      <c r="AT1163" s="686">
        <f t="shared" si="1543"/>
        <v>0</v>
      </c>
      <c r="AU1163" s="686">
        <f t="shared" si="1543"/>
        <v>0</v>
      </c>
      <c r="AV1163" s="686">
        <f t="shared" si="1543"/>
        <v>0</v>
      </c>
      <c r="AW1163" s="686">
        <f t="shared" si="1543"/>
        <v>0</v>
      </c>
      <c r="AX1163" s="686">
        <f t="shared" si="1543"/>
        <v>0</v>
      </c>
      <c r="AY1163" s="686">
        <f t="shared" si="1543"/>
        <v>0</v>
      </c>
      <c r="AZ1163" s="686">
        <f t="shared" si="1543"/>
        <v>0</v>
      </c>
      <c r="BA1163" s="686">
        <f t="shared" si="1543"/>
        <v>0</v>
      </c>
      <c r="BB1163" s="686">
        <f t="shared" si="1543"/>
        <v>0</v>
      </c>
      <c r="BC1163" s="686">
        <f t="shared" si="1543"/>
        <v>0</v>
      </c>
      <c r="BD1163" s="686">
        <f t="shared" si="1543"/>
        <v>0</v>
      </c>
      <c r="BE1163" s="686">
        <f t="shared" si="1543"/>
        <v>0</v>
      </c>
      <c r="BF1163" s="686">
        <f t="shared" si="1543"/>
        <v>0</v>
      </c>
      <c r="BG1163" s="686">
        <f t="shared" si="1543"/>
        <v>0</v>
      </c>
      <c r="BH1163" s="686">
        <f t="shared" si="1543"/>
        <v>0</v>
      </c>
      <c r="BI1163" s="686">
        <f t="shared" si="1543"/>
        <v>0</v>
      </c>
      <c r="BJ1163" s="687">
        <f>IF(AND(ISBLANK(BJ388),ISBLANK(BJ391)),0,ROUND(BJ749-BJ388-BJ391,6))</f>
        <v>0</v>
      </c>
      <c r="BK1163" s="686">
        <f t="shared" si="1543"/>
        <v>0</v>
      </c>
      <c r="BL1163" s="686">
        <f t="shared" si="1543"/>
        <v>0</v>
      </c>
      <c r="BM1163" s="686">
        <f t="shared" si="1543"/>
        <v>0</v>
      </c>
      <c r="BN1163" s="686">
        <f t="shared" si="1543"/>
        <v>0</v>
      </c>
      <c r="BO1163" s="686">
        <f t="shared" ref="BO1163:BV1163" si="1544">IF(AND(ISBLANK(BO388),ISBLANK(BO391)),0,ROUND(BO749-BO388-BO391,6))</f>
        <v>0</v>
      </c>
      <c r="BP1163" s="686">
        <f t="shared" si="1544"/>
        <v>0</v>
      </c>
      <c r="BQ1163" s="686">
        <f t="shared" si="1544"/>
        <v>0</v>
      </c>
      <c r="BR1163" s="686">
        <f t="shared" si="1544"/>
        <v>0</v>
      </c>
      <c r="BS1163" s="686">
        <f t="shared" si="1544"/>
        <v>0</v>
      </c>
      <c r="BT1163" s="686">
        <f t="shared" si="1544"/>
        <v>0</v>
      </c>
      <c r="BU1163" s="686">
        <f t="shared" si="1544"/>
        <v>0</v>
      </c>
      <c r="BV1163" s="686">
        <f t="shared" si="1544"/>
        <v>0</v>
      </c>
      <c r="BW1163" s="122"/>
    </row>
    <row r="1164" spans="1:75" s="123" customFormat="1" x14ac:dyDescent="0.5">
      <c r="A1164" s="122" t="s">
        <v>2166</v>
      </c>
      <c r="B1164" s="187"/>
      <c r="C1164" s="686">
        <f t="shared" ref="C1164:BN1164" si="1545">ROUND(C272-C57-C113-C169-C225-C248-C611,6)</f>
        <v>0</v>
      </c>
      <c r="D1164" s="686">
        <f t="shared" si="1545"/>
        <v>0</v>
      </c>
      <c r="E1164" s="686">
        <f t="shared" si="1545"/>
        <v>0</v>
      </c>
      <c r="F1164" s="686">
        <f t="shared" si="1545"/>
        <v>0</v>
      </c>
      <c r="G1164" s="686">
        <f t="shared" si="1545"/>
        <v>0</v>
      </c>
      <c r="H1164" s="686">
        <f t="shared" si="1545"/>
        <v>0</v>
      </c>
      <c r="I1164" s="686">
        <f t="shared" si="1545"/>
        <v>0</v>
      </c>
      <c r="J1164" s="686">
        <f t="shared" si="1545"/>
        <v>0</v>
      </c>
      <c r="K1164" s="686">
        <f t="shared" si="1545"/>
        <v>0</v>
      </c>
      <c r="L1164" s="686">
        <f t="shared" si="1545"/>
        <v>0</v>
      </c>
      <c r="M1164" s="686">
        <f t="shared" si="1545"/>
        <v>0</v>
      </c>
      <c r="N1164" s="686">
        <f t="shared" si="1545"/>
        <v>0</v>
      </c>
      <c r="O1164" s="686">
        <f t="shared" si="1545"/>
        <v>0</v>
      </c>
      <c r="P1164" s="686">
        <f t="shared" si="1545"/>
        <v>0</v>
      </c>
      <c r="Q1164" s="686">
        <f t="shared" si="1545"/>
        <v>0</v>
      </c>
      <c r="R1164" s="686">
        <f t="shared" si="1545"/>
        <v>0</v>
      </c>
      <c r="S1164" s="686">
        <f t="shared" si="1545"/>
        <v>0</v>
      </c>
      <c r="T1164" s="686">
        <f t="shared" si="1545"/>
        <v>0</v>
      </c>
      <c r="U1164" s="686">
        <f t="shared" si="1545"/>
        <v>0</v>
      </c>
      <c r="V1164" s="686">
        <f t="shared" si="1545"/>
        <v>0</v>
      </c>
      <c r="W1164" s="686">
        <f t="shared" si="1545"/>
        <v>0</v>
      </c>
      <c r="X1164" s="686">
        <f t="shared" si="1545"/>
        <v>0</v>
      </c>
      <c r="Y1164" s="686">
        <f t="shared" si="1545"/>
        <v>0</v>
      </c>
      <c r="Z1164" s="686">
        <f t="shared" si="1545"/>
        <v>0</v>
      </c>
      <c r="AA1164" s="686">
        <f t="shared" si="1545"/>
        <v>0</v>
      </c>
      <c r="AB1164" s="686">
        <f t="shared" si="1545"/>
        <v>0</v>
      </c>
      <c r="AC1164" s="686">
        <f t="shared" si="1545"/>
        <v>0</v>
      </c>
      <c r="AD1164" s="686">
        <f t="shared" si="1545"/>
        <v>0</v>
      </c>
      <c r="AE1164" s="686">
        <f t="shared" si="1545"/>
        <v>0</v>
      </c>
      <c r="AF1164" s="686">
        <f t="shared" si="1545"/>
        <v>0</v>
      </c>
      <c r="AG1164" s="686">
        <f t="shared" si="1545"/>
        <v>0</v>
      </c>
      <c r="AH1164" s="686">
        <f t="shared" si="1545"/>
        <v>0</v>
      </c>
      <c r="AI1164" s="686">
        <f t="shared" si="1545"/>
        <v>0</v>
      </c>
      <c r="AJ1164" s="686">
        <f t="shared" si="1545"/>
        <v>0</v>
      </c>
      <c r="AK1164" s="686">
        <f t="shared" si="1545"/>
        <v>0</v>
      </c>
      <c r="AL1164" s="686">
        <f t="shared" si="1545"/>
        <v>0</v>
      </c>
      <c r="AM1164" s="686">
        <f t="shared" si="1545"/>
        <v>0</v>
      </c>
      <c r="AN1164" s="686">
        <f t="shared" si="1545"/>
        <v>0</v>
      </c>
      <c r="AO1164" s="686">
        <f t="shared" si="1545"/>
        <v>0</v>
      </c>
      <c r="AP1164" s="686">
        <f t="shared" si="1545"/>
        <v>0</v>
      </c>
      <c r="AQ1164" s="686">
        <f t="shared" si="1545"/>
        <v>0</v>
      </c>
      <c r="AR1164" s="686">
        <f t="shared" si="1545"/>
        <v>0</v>
      </c>
      <c r="AS1164" s="686">
        <f t="shared" si="1545"/>
        <v>0</v>
      </c>
      <c r="AT1164" s="686">
        <f t="shared" si="1545"/>
        <v>0</v>
      </c>
      <c r="AU1164" s="686">
        <f t="shared" si="1545"/>
        <v>0</v>
      </c>
      <c r="AV1164" s="686">
        <f t="shared" si="1545"/>
        <v>0</v>
      </c>
      <c r="AW1164" s="686">
        <f t="shared" si="1545"/>
        <v>0</v>
      </c>
      <c r="AX1164" s="686">
        <f t="shared" si="1545"/>
        <v>0</v>
      </c>
      <c r="AY1164" s="686">
        <f t="shared" si="1545"/>
        <v>0</v>
      </c>
      <c r="AZ1164" s="686">
        <f t="shared" si="1545"/>
        <v>0</v>
      </c>
      <c r="BA1164" s="686">
        <f t="shared" si="1545"/>
        <v>0</v>
      </c>
      <c r="BB1164" s="686">
        <f t="shared" si="1545"/>
        <v>0</v>
      </c>
      <c r="BC1164" s="686">
        <f t="shared" si="1545"/>
        <v>0</v>
      </c>
      <c r="BD1164" s="686">
        <f t="shared" si="1545"/>
        <v>0</v>
      </c>
      <c r="BE1164" s="686">
        <f t="shared" si="1545"/>
        <v>0</v>
      </c>
      <c r="BF1164" s="686">
        <f t="shared" si="1545"/>
        <v>0</v>
      </c>
      <c r="BG1164" s="686">
        <f t="shared" si="1545"/>
        <v>0</v>
      </c>
      <c r="BH1164" s="686">
        <f t="shared" si="1545"/>
        <v>0</v>
      </c>
      <c r="BI1164" s="686">
        <f t="shared" si="1545"/>
        <v>0</v>
      </c>
      <c r="BJ1164" s="687">
        <f>ROUND(BJ272-BJ57-BJ113-BJ169-BJ225-BJ248-BJ611,6)</f>
        <v>0</v>
      </c>
      <c r="BK1164" s="686">
        <f t="shared" si="1545"/>
        <v>0</v>
      </c>
      <c r="BL1164" s="686">
        <f t="shared" si="1545"/>
        <v>0</v>
      </c>
      <c r="BM1164" s="686">
        <f t="shared" si="1545"/>
        <v>0</v>
      </c>
      <c r="BN1164" s="686">
        <f t="shared" si="1545"/>
        <v>0</v>
      </c>
      <c r="BO1164" s="686">
        <f t="shared" ref="BO1164:BV1164" si="1546">ROUND(BO272-BO57-BO113-BO169-BO225-BO248-BO611,6)</f>
        <v>0</v>
      </c>
      <c r="BP1164" s="686">
        <f t="shared" si="1546"/>
        <v>0</v>
      </c>
      <c r="BQ1164" s="686">
        <f t="shared" si="1546"/>
        <v>0</v>
      </c>
      <c r="BR1164" s="686">
        <f t="shared" si="1546"/>
        <v>0</v>
      </c>
      <c r="BS1164" s="686">
        <f t="shared" si="1546"/>
        <v>0</v>
      </c>
      <c r="BT1164" s="686">
        <f t="shared" si="1546"/>
        <v>0</v>
      </c>
      <c r="BU1164" s="686">
        <f t="shared" si="1546"/>
        <v>0</v>
      </c>
      <c r="BV1164" s="686">
        <f t="shared" si="1546"/>
        <v>0</v>
      </c>
      <c r="BW1164" s="122"/>
    </row>
    <row r="1165" spans="1:75" s="123" customFormat="1" x14ac:dyDescent="0.5">
      <c r="A1165" s="122" t="s">
        <v>2167</v>
      </c>
      <c r="B1165" s="187"/>
      <c r="C1165" s="686">
        <f t="shared" ref="C1165:AH1165" si="1547">IF(ISBLANK(INDEX(MO_IS_FirstRow,0,COLUMN())),0,ROUND(MO_RIS_EBIT-MO_IS_EBIT,6))</f>
        <v>0</v>
      </c>
      <c r="D1165" s="686">
        <f t="shared" si="1547"/>
        <v>0</v>
      </c>
      <c r="E1165" s="686">
        <f t="shared" si="1547"/>
        <v>0</v>
      </c>
      <c r="F1165" s="686">
        <f t="shared" si="1547"/>
        <v>0</v>
      </c>
      <c r="G1165" s="686">
        <f t="shared" si="1547"/>
        <v>0</v>
      </c>
      <c r="H1165" s="686">
        <f t="shared" si="1547"/>
        <v>0</v>
      </c>
      <c r="I1165" s="686">
        <f t="shared" si="1547"/>
        <v>0</v>
      </c>
      <c r="J1165" s="686">
        <f t="shared" si="1547"/>
        <v>0</v>
      </c>
      <c r="K1165" s="686">
        <f t="shared" si="1547"/>
        <v>0</v>
      </c>
      <c r="L1165" s="686">
        <f t="shared" si="1547"/>
        <v>0</v>
      </c>
      <c r="M1165" s="686">
        <f t="shared" si="1547"/>
        <v>0</v>
      </c>
      <c r="N1165" s="686">
        <f t="shared" si="1547"/>
        <v>0</v>
      </c>
      <c r="O1165" s="686">
        <f t="shared" si="1547"/>
        <v>0</v>
      </c>
      <c r="P1165" s="686">
        <f t="shared" si="1547"/>
        <v>0</v>
      </c>
      <c r="Q1165" s="686">
        <f t="shared" si="1547"/>
        <v>0</v>
      </c>
      <c r="R1165" s="686">
        <f t="shared" si="1547"/>
        <v>0</v>
      </c>
      <c r="S1165" s="686">
        <f t="shared" si="1547"/>
        <v>0</v>
      </c>
      <c r="T1165" s="686">
        <f t="shared" si="1547"/>
        <v>0</v>
      </c>
      <c r="U1165" s="686">
        <f t="shared" si="1547"/>
        <v>0</v>
      </c>
      <c r="V1165" s="686">
        <f t="shared" si="1547"/>
        <v>0</v>
      </c>
      <c r="W1165" s="686">
        <f t="shared" si="1547"/>
        <v>0</v>
      </c>
      <c r="X1165" s="686">
        <f t="shared" si="1547"/>
        <v>0</v>
      </c>
      <c r="Y1165" s="686">
        <f t="shared" si="1547"/>
        <v>0</v>
      </c>
      <c r="Z1165" s="686">
        <f t="shared" si="1547"/>
        <v>0</v>
      </c>
      <c r="AA1165" s="686">
        <f t="shared" si="1547"/>
        <v>0</v>
      </c>
      <c r="AB1165" s="686">
        <f t="shared" si="1547"/>
        <v>0</v>
      </c>
      <c r="AC1165" s="686">
        <f t="shared" si="1547"/>
        <v>0</v>
      </c>
      <c r="AD1165" s="686">
        <f t="shared" si="1547"/>
        <v>0</v>
      </c>
      <c r="AE1165" s="686">
        <f t="shared" si="1547"/>
        <v>0</v>
      </c>
      <c r="AF1165" s="686">
        <f t="shared" si="1547"/>
        <v>0</v>
      </c>
      <c r="AG1165" s="686">
        <f t="shared" si="1547"/>
        <v>0</v>
      </c>
      <c r="AH1165" s="686">
        <f t="shared" si="1547"/>
        <v>0</v>
      </c>
      <c r="AI1165" s="686">
        <f t="shared" ref="AI1165:BB1165" si="1548">IF(ISBLANK(INDEX(MO_IS_FirstRow,0,COLUMN())),0,ROUND(MO_RIS_EBIT-MO_IS_EBIT,6))</f>
        <v>0</v>
      </c>
      <c r="AJ1165" s="686">
        <f t="shared" si="1548"/>
        <v>0</v>
      </c>
      <c r="AK1165" s="686">
        <f t="shared" si="1548"/>
        <v>0</v>
      </c>
      <c r="AL1165" s="686">
        <f t="shared" si="1548"/>
        <v>0</v>
      </c>
      <c r="AM1165" s="686">
        <f t="shared" si="1548"/>
        <v>0</v>
      </c>
      <c r="AN1165" s="686">
        <f t="shared" si="1548"/>
        <v>0</v>
      </c>
      <c r="AO1165" s="686">
        <f t="shared" si="1548"/>
        <v>0</v>
      </c>
      <c r="AP1165" s="686">
        <f t="shared" si="1548"/>
        <v>0</v>
      </c>
      <c r="AQ1165" s="686">
        <f t="shared" si="1548"/>
        <v>0</v>
      </c>
      <c r="AR1165" s="686">
        <f t="shared" si="1548"/>
        <v>0</v>
      </c>
      <c r="AS1165" s="686">
        <f t="shared" si="1548"/>
        <v>0</v>
      </c>
      <c r="AT1165" s="686">
        <f t="shared" si="1548"/>
        <v>0</v>
      </c>
      <c r="AU1165" s="686">
        <f t="shared" si="1548"/>
        <v>0</v>
      </c>
      <c r="AV1165" s="686">
        <f t="shared" si="1548"/>
        <v>0</v>
      </c>
      <c r="AW1165" s="686">
        <f t="shared" si="1548"/>
        <v>0</v>
      </c>
      <c r="AX1165" s="686">
        <f t="shared" si="1548"/>
        <v>0</v>
      </c>
      <c r="AY1165" s="686">
        <f t="shared" si="1548"/>
        <v>0</v>
      </c>
      <c r="AZ1165" s="686">
        <f t="shared" si="1548"/>
        <v>0</v>
      </c>
      <c r="BA1165" s="686">
        <f t="shared" si="1548"/>
        <v>0</v>
      </c>
      <c r="BB1165" s="686">
        <f t="shared" si="1548"/>
        <v>0</v>
      </c>
      <c r="BC1165" s="686">
        <f t="shared" ref="BC1165:BD1165" si="1549">IF(ISBLANK(INDEX(MO_IS_FirstRow,0,COLUMN())),0,ROUND(MO_RIS_EBIT-MO_IS_EBIT,6))</f>
        <v>0</v>
      </c>
      <c r="BD1165" s="686">
        <f t="shared" si="1549"/>
        <v>0</v>
      </c>
      <c r="BE1165" s="686">
        <f t="shared" ref="BE1165:BV1165" si="1550">IF(ISBLANK(INDEX(MO_IS_FirstRow,0,COLUMN())),0,ROUND(MO_RIS_EBIT-MO_IS_EBIT,6))</f>
        <v>0</v>
      </c>
      <c r="BF1165" s="686">
        <f t="shared" si="1550"/>
        <v>0</v>
      </c>
      <c r="BG1165" s="686">
        <f t="shared" si="1550"/>
        <v>0</v>
      </c>
      <c r="BH1165" s="686">
        <f t="shared" si="1550"/>
        <v>0</v>
      </c>
      <c r="BI1165" s="686">
        <f t="shared" si="1550"/>
        <v>0</v>
      </c>
      <c r="BJ1165" s="687">
        <f>IF(ISBLANK(INDEX(MO_IS_FirstRow,0,COLUMN())),0,ROUND(MO_RIS_EBIT-MO_IS_EBIT,6))</f>
        <v>0</v>
      </c>
      <c r="BK1165" s="686">
        <f t="shared" si="1550"/>
        <v>0</v>
      </c>
      <c r="BL1165" s="686">
        <f t="shared" si="1550"/>
        <v>0</v>
      </c>
      <c r="BM1165" s="686">
        <f t="shared" si="1550"/>
        <v>0</v>
      </c>
      <c r="BN1165" s="686">
        <f t="shared" si="1550"/>
        <v>0</v>
      </c>
      <c r="BO1165" s="686">
        <f t="shared" si="1550"/>
        <v>0</v>
      </c>
      <c r="BP1165" s="686">
        <f t="shared" si="1550"/>
        <v>0</v>
      </c>
      <c r="BQ1165" s="686">
        <f t="shared" si="1550"/>
        <v>0</v>
      </c>
      <c r="BR1165" s="686">
        <f t="shared" si="1550"/>
        <v>0</v>
      </c>
      <c r="BS1165" s="686">
        <f t="shared" si="1550"/>
        <v>0</v>
      </c>
      <c r="BT1165" s="686">
        <f t="shared" si="1550"/>
        <v>0</v>
      </c>
      <c r="BU1165" s="686">
        <f t="shared" si="1550"/>
        <v>0</v>
      </c>
      <c r="BV1165" s="686">
        <f t="shared" si="1550"/>
        <v>0</v>
      </c>
      <c r="BW1165" s="122"/>
    </row>
    <row r="1166" spans="1:75" s="123" customFormat="1" x14ac:dyDescent="0.5">
      <c r="A1166" s="122" t="s">
        <v>2168</v>
      </c>
      <c r="B1166" s="187"/>
      <c r="C1166" s="686">
        <f t="shared" ref="C1166:AH1166" si="1551">ROUND(MO_OS_EBIT-MO_RIS_EBIT+MO_OS_EBIT_Adj-MO_RIS_EBIT_Adj,6)</f>
        <v>3.9141000000000002E-2</v>
      </c>
      <c r="D1166" s="686">
        <f t="shared" si="1551"/>
        <v>9.2294000000000001E-2</v>
      </c>
      <c r="E1166" s="686">
        <f t="shared" si="1551"/>
        <v>0.102591</v>
      </c>
      <c r="F1166" s="686">
        <f t="shared" si="1551"/>
        <v>0.101206</v>
      </c>
      <c r="G1166" s="686">
        <f t="shared" si="1551"/>
        <v>7.1843000000000004E-2</v>
      </c>
      <c r="H1166" s="686">
        <f t="shared" si="1551"/>
        <v>7.9500000000000001E-2</v>
      </c>
      <c r="I1166" s="686">
        <f t="shared" si="1551"/>
        <v>8.7959999999999997E-2</v>
      </c>
      <c r="J1166" s="686">
        <f t="shared" si="1551"/>
        <v>0.14849000000000001</v>
      </c>
      <c r="K1166" s="686">
        <f t="shared" si="1551"/>
        <v>0.103033</v>
      </c>
      <c r="L1166" s="686">
        <f t="shared" si="1551"/>
        <v>7.6284000000000005E-2</v>
      </c>
      <c r="M1166" s="686">
        <f t="shared" si="1551"/>
        <v>8.2125000000000004E-2</v>
      </c>
      <c r="N1166" s="686">
        <f t="shared" si="1551"/>
        <v>9.1606000000000007E-2</v>
      </c>
      <c r="O1166" s="686">
        <f t="shared" si="1551"/>
        <v>0.15425700000000001</v>
      </c>
      <c r="P1166" s="686">
        <f t="shared" si="1551"/>
        <v>0.106894</v>
      </c>
      <c r="Q1166" s="686">
        <f t="shared" si="1551"/>
        <v>6.9787000000000002E-2</v>
      </c>
      <c r="R1166" s="686">
        <f t="shared" si="1551"/>
        <v>7.3949000000000001E-2</v>
      </c>
      <c r="S1166" s="686">
        <f t="shared" si="1551"/>
        <v>8.9833999999999997E-2</v>
      </c>
      <c r="T1166" s="686">
        <f t="shared" si="1551"/>
        <v>0.140377</v>
      </c>
      <c r="U1166" s="686">
        <f t="shared" si="1551"/>
        <v>9.8196000000000006E-2</v>
      </c>
      <c r="V1166" s="686">
        <f t="shared" si="1551"/>
        <v>5.7865E-2</v>
      </c>
      <c r="W1166" s="686">
        <f t="shared" si="1551"/>
        <v>7.1849999999999997E-2</v>
      </c>
      <c r="X1166" s="686">
        <f t="shared" si="1551"/>
        <v>8.8308999999999999E-2</v>
      </c>
      <c r="Y1166" s="686">
        <f t="shared" si="1551"/>
        <v>0.136458</v>
      </c>
      <c r="Z1166" s="686">
        <f t="shared" si="1551"/>
        <v>9.2962000000000003E-2</v>
      </c>
      <c r="AA1166" s="686">
        <f t="shared" si="1551"/>
        <v>5.6207E-2</v>
      </c>
      <c r="AB1166" s="686">
        <f t="shared" si="1551"/>
        <v>6.7895999999999998E-2</v>
      </c>
      <c r="AC1166" s="686">
        <f t="shared" si="1551"/>
        <v>8.5283999999999999E-2</v>
      </c>
      <c r="AD1166" s="686">
        <f t="shared" si="1551"/>
        <v>0.118452</v>
      </c>
      <c r="AE1166" s="686">
        <f t="shared" si="1551"/>
        <v>8.5754999999999998E-2</v>
      </c>
      <c r="AF1166" s="686">
        <f t="shared" si="1551"/>
        <v>5.5351999999999998E-2</v>
      </c>
      <c r="AG1166" s="686">
        <f t="shared" si="1551"/>
        <v>5.8194000000000003E-2</v>
      </c>
      <c r="AH1166" s="686">
        <f t="shared" si="1551"/>
        <v>6.9611000000000006E-2</v>
      </c>
      <c r="AI1166" s="686">
        <f t="shared" ref="AI1166:BB1166" si="1552">ROUND(MO_OS_EBIT-MO_RIS_EBIT+MO_OS_EBIT_Adj-MO_RIS_EBIT_Adj,6)</f>
        <v>0.109421</v>
      </c>
      <c r="AJ1166" s="686">
        <f t="shared" si="1552"/>
        <v>7.6911999999999994E-2</v>
      </c>
      <c r="AK1166" s="686">
        <f t="shared" si="1552"/>
        <v>5.9728999999999997E-2</v>
      </c>
      <c r="AL1166" s="686">
        <f t="shared" si="1552"/>
        <v>6.2856999999999996E-2</v>
      </c>
      <c r="AM1166" s="686">
        <f t="shared" si="1552"/>
        <v>7.0636000000000004E-2</v>
      </c>
      <c r="AN1166" s="686">
        <f t="shared" si="1552"/>
        <v>0.110483</v>
      </c>
      <c r="AO1166" s="686">
        <f t="shared" si="1552"/>
        <v>7.8988000000000003E-2</v>
      </c>
      <c r="AP1166" s="686">
        <f t="shared" si="1552"/>
        <v>3.9382E-2</v>
      </c>
      <c r="AQ1166" s="686">
        <f t="shared" si="1552"/>
        <v>0.12433900000000001</v>
      </c>
      <c r="AR1166" s="686">
        <f t="shared" si="1552"/>
        <v>0.15562400000000001</v>
      </c>
      <c r="AS1166" s="686">
        <f t="shared" si="1552"/>
        <v>0.17537900000000001</v>
      </c>
      <c r="AT1166" s="686">
        <f t="shared" si="1552"/>
        <v>0.13425799999999999</v>
      </c>
      <c r="AU1166" s="686">
        <f t="shared" si="1552"/>
        <v>0.157331</v>
      </c>
      <c r="AV1166" s="686">
        <f t="shared" si="1552"/>
        <v>0.16583400000000001</v>
      </c>
      <c r="AW1166" s="686">
        <f t="shared" si="1552"/>
        <v>0.161299</v>
      </c>
      <c r="AX1166" s="686">
        <f t="shared" si="1552"/>
        <v>0.20974200000000001</v>
      </c>
      <c r="AY1166" s="686">
        <f t="shared" si="1552"/>
        <v>0.17622199999999999</v>
      </c>
      <c r="AZ1166" s="686">
        <f t="shared" si="1552"/>
        <v>0.171043</v>
      </c>
      <c r="BA1166" s="686">
        <f t="shared" si="1552"/>
        <v>0.17100099999999999</v>
      </c>
      <c r="BB1166" s="686">
        <f t="shared" si="1552"/>
        <v>0.15490100000000001</v>
      </c>
      <c r="BC1166" s="686">
        <f t="shared" ref="BC1166:BD1166" si="1553">ROUND(MO_OS_EBIT-MO_RIS_EBIT+MO_OS_EBIT_Adj-MO_RIS_EBIT_Adj,6)</f>
        <v>0.19150900000000001</v>
      </c>
      <c r="BD1166" s="686">
        <f t="shared" si="1553"/>
        <v>0.17274</v>
      </c>
      <c r="BE1166" s="686">
        <f t="shared" ref="BE1166:BV1166" si="1554">ROUND(MO_OS_EBIT-MO_RIS_EBIT+MO_OS_EBIT_Adj-MO_RIS_EBIT_Adj,6)</f>
        <v>0.113633</v>
      </c>
      <c r="BF1166" s="686">
        <f t="shared" si="1554"/>
        <v>0.145789</v>
      </c>
      <c r="BG1166" s="686">
        <f t="shared" si="1554"/>
        <v>0.16997699999999999</v>
      </c>
      <c r="BH1166" s="686">
        <f t="shared" si="1554"/>
        <v>0.201011</v>
      </c>
      <c r="BI1166" s="686">
        <f t="shared" si="1554"/>
        <v>0.160528</v>
      </c>
      <c r="BJ1166" s="687">
        <f>ROUND(MO_OS_EBIT-MO_RIS_EBIT+MO_OS_EBIT_Adj-MO_RIS_EBIT_Adj,6)</f>
        <v>0</v>
      </c>
      <c r="BK1166" s="686">
        <f t="shared" si="1554"/>
        <v>0</v>
      </c>
      <c r="BL1166" s="686">
        <f t="shared" si="1554"/>
        <v>0</v>
      </c>
      <c r="BM1166" s="686">
        <f t="shared" si="1554"/>
        <v>0</v>
      </c>
      <c r="BN1166" s="686">
        <f t="shared" si="1554"/>
        <v>0</v>
      </c>
      <c r="BO1166" s="686">
        <f t="shared" si="1554"/>
        <v>0</v>
      </c>
      <c r="BP1166" s="686">
        <f t="shared" si="1554"/>
        <v>0</v>
      </c>
      <c r="BQ1166" s="686">
        <f t="shared" si="1554"/>
        <v>0</v>
      </c>
      <c r="BR1166" s="686">
        <f t="shared" si="1554"/>
        <v>0</v>
      </c>
      <c r="BS1166" s="686">
        <f t="shared" si="1554"/>
        <v>0</v>
      </c>
      <c r="BT1166" s="686">
        <f t="shared" si="1554"/>
        <v>0</v>
      </c>
      <c r="BU1166" s="686">
        <f t="shared" si="1554"/>
        <v>0</v>
      </c>
      <c r="BV1166" s="686">
        <f t="shared" si="1554"/>
        <v>0</v>
      </c>
      <c r="BW1166" s="122"/>
    </row>
    <row r="1167" spans="1:75" s="123" customFormat="1" x14ac:dyDescent="0.5">
      <c r="A1167" s="122" t="s">
        <v>2169</v>
      </c>
      <c r="B1167" s="187"/>
      <c r="C1167" s="686">
        <f t="shared" ref="C1167:AH1167" si="1555">ROUND(MO_OS_EBT-MO_RIS_EBT+MO_OS_EBT_Adj-MO_RIS_EBT_Adj,6)</f>
        <v>3.9141000000000002E-2</v>
      </c>
      <c r="D1167" s="686">
        <f t="shared" si="1555"/>
        <v>9.2294000000000001E-2</v>
      </c>
      <c r="E1167" s="686">
        <f t="shared" si="1555"/>
        <v>0.102591</v>
      </c>
      <c r="F1167" s="686">
        <f t="shared" si="1555"/>
        <v>0.101206</v>
      </c>
      <c r="G1167" s="686">
        <f t="shared" si="1555"/>
        <v>7.1843000000000004E-2</v>
      </c>
      <c r="H1167" s="686">
        <f t="shared" si="1555"/>
        <v>7.9500000000000001E-2</v>
      </c>
      <c r="I1167" s="686">
        <f t="shared" si="1555"/>
        <v>8.7959999999999997E-2</v>
      </c>
      <c r="J1167" s="686">
        <f t="shared" si="1555"/>
        <v>0.14849000000000001</v>
      </c>
      <c r="K1167" s="686">
        <f t="shared" si="1555"/>
        <v>0.103033</v>
      </c>
      <c r="L1167" s="686">
        <f t="shared" si="1555"/>
        <v>7.6284000000000005E-2</v>
      </c>
      <c r="M1167" s="686">
        <f t="shared" si="1555"/>
        <v>8.2125000000000004E-2</v>
      </c>
      <c r="N1167" s="686">
        <f t="shared" si="1555"/>
        <v>9.1606000000000007E-2</v>
      </c>
      <c r="O1167" s="686">
        <f t="shared" si="1555"/>
        <v>0.15425700000000001</v>
      </c>
      <c r="P1167" s="686">
        <f t="shared" si="1555"/>
        <v>0.106894</v>
      </c>
      <c r="Q1167" s="686">
        <f t="shared" si="1555"/>
        <v>6.9787000000000002E-2</v>
      </c>
      <c r="R1167" s="686">
        <f t="shared" si="1555"/>
        <v>7.3949000000000001E-2</v>
      </c>
      <c r="S1167" s="686">
        <f t="shared" si="1555"/>
        <v>8.9833999999999997E-2</v>
      </c>
      <c r="T1167" s="686">
        <f t="shared" si="1555"/>
        <v>0.140377</v>
      </c>
      <c r="U1167" s="686">
        <f t="shared" si="1555"/>
        <v>9.8196000000000006E-2</v>
      </c>
      <c r="V1167" s="686">
        <f t="shared" si="1555"/>
        <v>5.7865E-2</v>
      </c>
      <c r="W1167" s="686">
        <f t="shared" si="1555"/>
        <v>7.1849999999999997E-2</v>
      </c>
      <c r="X1167" s="686">
        <f t="shared" si="1555"/>
        <v>8.8308999999999999E-2</v>
      </c>
      <c r="Y1167" s="686">
        <f t="shared" si="1555"/>
        <v>0.136458</v>
      </c>
      <c r="Z1167" s="686">
        <f t="shared" si="1555"/>
        <v>9.2962000000000003E-2</v>
      </c>
      <c r="AA1167" s="686">
        <f t="shared" si="1555"/>
        <v>5.6207E-2</v>
      </c>
      <c r="AB1167" s="686">
        <f t="shared" si="1555"/>
        <v>6.7895999999999998E-2</v>
      </c>
      <c r="AC1167" s="686">
        <f t="shared" si="1555"/>
        <v>8.5283999999999999E-2</v>
      </c>
      <c r="AD1167" s="686">
        <f t="shared" si="1555"/>
        <v>0.118452</v>
      </c>
      <c r="AE1167" s="686">
        <f t="shared" si="1555"/>
        <v>8.5754999999999998E-2</v>
      </c>
      <c r="AF1167" s="686">
        <f t="shared" si="1555"/>
        <v>5.5351999999999998E-2</v>
      </c>
      <c r="AG1167" s="686">
        <f t="shared" si="1555"/>
        <v>5.8194000000000003E-2</v>
      </c>
      <c r="AH1167" s="686">
        <f t="shared" si="1555"/>
        <v>6.9611000000000006E-2</v>
      </c>
      <c r="AI1167" s="686">
        <f t="shared" ref="AI1167:BB1167" si="1556">ROUND(MO_OS_EBT-MO_RIS_EBT+MO_OS_EBT_Adj-MO_RIS_EBT_Adj,6)</f>
        <v>0.109421</v>
      </c>
      <c r="AJ1167" s="686">
        <f t="shared" si="1556"/>
        <v>7.6911999999999994E-2</v>
      </c>
      <c r="AK1167" s="686">
        <f t="shared" si="1556"/>
        <v>5.9728999999999997E-2</v>
      </c>
      <c r="AL1167" s="686">
        <f t="shared" si="1556"/>
        <v>6.2856999999999996E-2</v>
      </c>
      <c r="AM1167" s="686">
        <f t="shared" si="1556"/>
        <v>7.0636000000000004E-2</v>
      </c>
      <c r="AN1167" s="686">
        <f t="shared" si="1556"/>
        <v>0.110483</v>
      </c>
      <c r="AO1167" s="686">
        <f t="shared" si="1556"/>
        <v>7.8988000000000003E-2</v>
      </c>
      <c r="AP1167" s="686">
        <f t="shared" si="1556"/>
        <v>3.9382E-2</v>
      </c>
      <c r="AQ1167" s="686">
        <f t="shared" si="1556"/>
        <v>0.12433900000000001</v>
      </c>
      <c r="AR1167" s="686">
        <f t="shared" si="1556"/>
        <v>0.15562400000000001</v>
      </c>
      <c r="AS1167" s="686">
        <f t="shared" si="1556"/>
        <v>0.17537900000000001</v>
      </c>
      <c r="AT1167" s="686">
        <f t="shared" si="1556"/>
        <v>0.13425799999999999</v>
      </c>
      <c r="AU1167" s="686">
        <f t="shared" si="1556"/>
        <v>0.157331</v>
      </c>
      <c r="AV1167" s="686">
        <f t="shared" si="1556"/>
        <v>0.16583400000000001</v>
      </c>
      <c r="AW1167" s="686">
        <f t="shared" si="1556"/>
        <v>0.161299</v>
      </c>
      <c r="AX1167" s="686">
        <f t="shared" si="1556"/>
        <v>0.20974200000000001</v>
      </c>
      <c r="AY1167" s="686">
        <f t="shared" si="1556"/>
        <v>0.17622199999999999</v>
      </c>
      <c r="AZ1167" s="686">
        <f t="shared" si="1556"/>
        <v>0.171043</v>
      </c>
      <c r="BA1167" s="686">
        <f t="shared" si="1556"/>
        <v>0.17100099999999999</v>
      </c>
      <c r="BB1167" s="686">
        <f t="shared" si="1556"/>
        <v>0.15490100000000001</v>
      </c>
      <c r="BC1167" s="686">
        <f t="shared" ref="BC1167:BD1167" si="1557">ROUND(MO_OS_EBT-MO_RIS_EBT+MO_OS_EBT_Adj-MO_RIS_EBT_Adj,6)</f>
        <v>0.19150900000000001</v>
      </c>
      <c r="BD1167" s="686">
        <f t="shared" si="1557"/>
        <v>0.17274</v>
      </c>
      <c r="BE1167" s="686">
        <f t="shared" ref="BE1167:BV1167" si="1558">ROUND(MO_OS_EBT-MO_RIS_EBT+MO_OS_EBT_Adj-MO_RIS_EBT_Adj,6)</f>
        <v>0.113633</v>
      </c>
      <c r="BF1167" s="686">
        <f t="shared" si="1558"/>
        <v>0.145789</v>
      </c>
      <c r="BG1167" s="686">
        <f t="shared" si="1558"/>
        <v>0.16997699999999999</v>
      </c>
      <c r="BH1167" s="686">
        <f t="shared" si="1558"/>
        <v>0.201011</v>
      </c>
      <c r="BI1167" s="686">
        <f t="shared" si="1558"/>
        <v>0.160528</v>
      </c>
      <c r="BJ1167" s="687">
        <f>ROUND(MO_OS_EBT-MO_RIS_EBT+MO_OS_EBT_Adj-MO_RIS_EBT_Adj,6)</f>
        <v>0</v>
      </c>
      <c r="BK1167" s="686">
        <f t="shared" si="1558"/>
        <v>0</v>
      </c>
      <c r="BL1167" s="686">
        <f t="shared" ca="1" si="1558"/>
        <v>0</v>
      </c>
      <c r="BM1167" s="686">
        <f t="shared" ca="1" si="1558"/>
        <v>0</v>
      </c>
      <c r="BN1167" s="686">
        <f t="shared" ca="1" si="1558"/>
        <v>0</v>
      </c>
      <c r="BO1167" s="686">
        <f t="shared" ca="1" si="1558"/>
        <v>0</v>
      </c>
      <c r="BP1167" s="686">
        <f t="shared" ca="1" si="1558"/>
        <v>0</v>
      </c>
      <c r="BQ1167" s="686">
        <f t="shared" ca="1" si="1558"/>
        <v>0</v>
      </c>
      <c r="BR1167" s="686">
        <f t="shared" ca="1" si="1558"/>
        <v>0</v>
      </c>
      <c r="BS1167" s="686">
        <f t="shared" ca="1" si="1558"/>
        <v>0</v>
      </c>
      <c r="BT1167" s="686">
        <f t="shared" ca="1" si="1558"/>
        <v>0</v>
      </c>
      <c r="BU1167" s="686">
        <f t="shared" ca="1" si="1558"/>
        <v>0</v>
      </c>
      <c r="BV1167" s="686">
        <f t="shared" ca="1" si="1558"/>
        <v>0</v>
      </c>
      <c r="BW1167" s="122"/>
    </row>
    <row r="1168" spans="1:75" s="123" customFormat="1" x14ac:dyDescent="0.5">
      <c r="A1168" s="122" t="s">
        <v>1562</v>
      </c>
      <c r="B1168" s="187"/>
      <c r="C1168" s="686">
        <f>IF(ISBLANK(INDEX(MO_IS_FirstRow,0,COLUMN())),0,IF(OR(C1057=B1057,C1057=D1057),"CHECK",0))</f>
        <v>0</v>
      </c>
      <c r="D1168" s="686">
        <f>IF(ISBLANK(INDEX(MO_IS_FirstRow,0,COLUMN())),0,IF(OR(D1057=C1057,D1057=E1057),"CHECK",0))</f>
        <v>0</v>
      </c>
      <c r="E1168" s="686">
        <f>IF(ISBLANK(INDEX(MO_IS_FirstRow,0,COLUMN())),0,IF(OR(E1057=D1057,E1057=F1057),"CHECK",0))</f>
        <v>0</v>
      </c>
      <c r="F1168" s="686">
        <f>IF(ISBLANK(INDEX(MO_IS_FirstRow,0,COLUMN())),0,IF(OR(F1057=E1057,F1057=K1057),"CHECK",0))</f>
        <v>0</v>
      </c>
      <c r="G1168" s="686">
        <f>IF(ISBLANK(INDEX(MO_IS_FirstRow,0,COLUMN())),0,IF(OR(G1057=B1057,G1057=H1057,G1057=E1057),"CHECK",0))</f>
        <v>0</v>
      </c>
      <c r="H1168" s="686">
        <f>IF(ISBLANK(INDEX(MO_IS_FirstRow,0,COLUMN())),0,IF(OR(H1057=C1057,H1057=I1057,H1057=G1057),"CHECK",0))</f>
        <v>0</v>
      </c>
      <c r="I1168" s="686">
        <f>IF(ISBLANK(INDEX(MO_IS_FirstRow,0,COLUMN())),0,IF(OR(I1057=D1057,I1057=J1057,I1057=H1057),"CHECK",0))</f>
        <v>0</v>
      </c>
      <c r="J1168" s="686">
        <f>IF(ISBLANK(INDEX(MO_IS_FirstRow,0,COLUMN())),0,IF(OR(J1057=E1057,J1057=K1057,J1057=I1057),"CHECK",0))</f>
        <v>0</v>
      </c>
      <c r="K1168" s="686">
        <f>IF(ISBLANK(INDEX(MO_IS_FirstRow,0,COLUMN())),0,IF(K1057=F1057,"CHECK",0))</f>
        <v>0</v>
      </c>
      <c r="L1168" s="686">
        <f>IF(ISBLANK(INDEX(MO_IS_FirstRow,0,COLUMN())),0,IF(OR(L1057=G1057,L1057=M1057,L1057=J1057),"CHECK",0))</f>
        <v>0</v>
      </c>
      <c r="M1168" s="686">
        <f>IF(ISBLANK(INDEX(MO_IS_FirstRow,0,COLUMN())),0,IF(OR(M1057=H1057,M1057=N1057,M1057=L1057),"CHECK",0))</f>
        <v>0</v>
      </c>
      <c r="N1168" s="686">
        <f>IF(ISBLANK(INDEX(MO_IS_FirstRow,0,COLUMN())),0,IF(OR(N1057=I1057,N1057=O1057,N1057=M1057),"CHECK",0))</f>
        <v>0</v>
      </c>
      <c r="O1168" s="686">
        <f>IF(ISBLANK(INDEX(MO_IS_FirstRow,0,COLUMN())),0,IF(OR(O1057=J1057,O1057=P1057,O1057=N1057),"CHECK",0))</f>
        <v>0</v>
      </c>
      <c r="P1168" s="686">
        <f>IF(ISBLANK(INDEX(MO_IS_FirstRow,0,COLUMN())),0,IF(P1057=K1057,"CHECK",0))</f>
        <v>0</v>
      </c>
      <c r="Q1168" s="686">
        <f>IF(ISBLANK(INDEX(MO_IS_FirstRow,0,COLUMN())),0,IF(OR(Q1057=L1057,Q1057=R1057,Q1057=O1057),"CHECK",0))</f>
        <v>0</v>
      </c>
      <c r="R1168" s="686">
        <f>IF(ISBLANK(INDEX(MO_IS_FirstRow,0,COLUMN())),0,IF(OR(R1057=M1057,R1057=S1057,R1057=Q1057),"CHECK",0))</f>
        <v>0</v>
      </c>
      <c r="S1168" s="686">
        <f>IF(ISBLANK(INDEX(MO_IS_FirstRow,0,COLUMN())),0,IF(OR(S1057=N1057,S1057=T1057,S1057=R1057),"CHECK",0))</f>
        <v>0</v>
      </c>
      <c r="T1168" s="686">
        <f>IF(ISBLANK(INDEX(MO_IS_FirstRow,0,COLUMN())),0,IF(OR(T1057=O1057,T1057=U1057,T1057=S1057),"CHECK",0))</f>
        <v>0</v>
      </c>
      <c r="U1168" s="686">
        <f>IF(ISBLANK(INDEX(MO_IS_FirstRow,0,COLUMN())),0,IF(U1057=P1057,"CHECK",0))</f>
        <v>0</v>
      </c>
      <c r="V1168" s="686">
        <f>IF(ISBLANK(INDEX(MO_IS_FirstRow,0,COLUMN())),0,IF(OR(V1057=Q1057,V1057=W1057,V1057=T1057),"CHECK",0))</f>
        <v>0</v>
      </c>
      <c r="W1168" s="686">
        <f>IF(ISBLANK(INDEX(MO_IS_FirstRow,0,COLUMN())),0,IF(OR(W1057=R1057,W1057=X1057,W1057=V1057),"CHECK",0))</f>
        <v>0</v>
      </c>
      <c r="X1168" s="686">
        <f>IF(ISBLANK(INDEX(MO_IS_FirstRow,0,COLUMN())),0,IF(OR(X1057=S1057,X1057=Y1057,X1057=W1057),"CHECK",0))</f>
        <v>0</v>
      </c>
      <c r="Y1168" s="686">
        <f>IF(ISBLANK(INDEX(MO_IS_FirstRow,0,COLUMN())),0,IF(OR(Y1057=T1057,Y1057=Z1057,Y1057=X1057),"CHECK",0))</f>
        <v>0</v>
      </c>
      <c r="Z1168" s="686">
        <f>IF(ISBLANK(INDEX(MO_IS_FirstRow,0,COLUMN())),0,IF(Z1057=U1057,"CHECK",0))</f>
        <v>0</v>
      </c>
      <c r="AA1168" s="686">
        <f>IF(ISBLANK(INDEX(MO_IS_FirstRow,0,COLUMN())),0,IF(OR(AA1057=V1057,AA1057=AB1057,AA1057=Y1057),"CHECK",0))</f>
        <v>0</v>
      </c>
      <c r="AB1168" s="686">
        <f>IF(ISBLANK(INDEX(MO_IS_FirstRow,0,COLUMN())),0,IF(OR(AB1057=W1057,AB1057=AC1057,AB1057=AA1057),"CHECK",0))</f>
        <v>0</v>
      </c>
      <c r="AC1168" s="686">
        <f>IF(ISBLANK(INDEX(MO_IS_FirstRow,0,COLUMN())),0,IF(OR(AC1057=X1057,AC1057=AD1057,AC1057=AB1057),"CHECK",0))</f>
        <v>0</v>
      </c>
      <c r="AD1168" s="686">
        <f>IF(ISBLANK(INDEX(MO_IS_FirstRow,0,COLUMN())),0,IF(OR(AD1057=Y1057,AD1057=AE1057,AD1057=AC1057),"CHECK",0))</f>
        <v>0</v>
      </c>
      <c r="AE1168" s="686">
        <f>IF(ISBLANK(INDEX(MO_IS_FirstRow,0,COLUMN())),0,IF(AE1057=Z1057,"CHECK",0))</f>
        <v>0</v>
      </c>
      <c r="AF1168" s="686">
        <f>IF(ISBLANK(INDEX(MO_IS_FirstRow,0,COLUMN())),0,IF(OR(AF1057=AA1057,AF1057=AG1057,AF1057=AD1057),"CHECK",0))</f>
        <v>0</v>
      </c>
      <c r="AG1168" s="686">
        <f>IF(ISBLANK(INDEX(MO_IS_FirstRow,0,COLUMN())),0,IF(OR(AG1057=AB1057,AG1057=AH1057,AG1057=AF1057),"CHECK",0))</f>
        <v>0</v>
      </c>
      <c r="AH1168" s="686">
        <f>IF(ISBLANK(INDEX(MO_IS_FirstRow,0,COLUMN())),0,IF(OR(AH1057=AC1057,AH1057=AI1057,AH1057=AG1057),"CHECK",0))</f>
        <v>0</v>
      </c>
      <c r="AI1168" s="686">
        <f>IF(ISBLANK(INDEX(MO_IS_FirstRow,0,COLUMN())),0,IF(OR(AI1057=AD1057,AI1057=AJ1057,AI1057=AH1057),"CHECK",0))</f>
        <v>0</v>
      </c>
      <c r="AJ1168" s="686">
        <f>IF(ISBLANK(INDEX(MO_IS_FirstRow,0,COLUMN())),0,IF(AJ1057=AE1057,"CHECK",0))</f>
        <v>0</v>
      </c>
      <c r="AK1168" s="686">
        <f>IF(ISBLANK(INDEX(MO_IS_FirstRow,0,COLUMN())),0,IF(OR(AK1057=AF1057,AK1057=AL1057,AK1057=AI1057),"CHECK",0))</f>
        <v>0</v>
      </c>
      <c r="AL1168" s="686">
        <f>IF(ISBLANK(INDEX(MO_IS_FirstRow,0,COLUMN())),0,IF(OR(AL1057=AG1057,AL1057=AM1057,AL1057=AK1057),"CHECK",0))</f>
        <v>0</v>
      </c>
      <c r="AM1168" s="686">
        <f>IF(ISBLANK(INDEX(MO_IS_FirstRow,0,COLUMN())),0,IF(OR(AM1057=AH1057,AM1057=AN1057,AM1057=AL1057),"CHECK",0))</f>
        <v>0</v>
      </c>
      <c r="AN1168" s="686">
        <f>IF(ISBLANK(INDEX(MO_IS_FirstRow,0,COLUMN())),0,IF(OR(AN1057=AI1057,AN1057=AO1057,AN1057=AM1057),"CHECK",0))</f>
        <v>0</v>
      </c>
      <c r="AO1168" s="686">
        <f>IF(ISBLANK(INDEX(MO_IS_FirstRow,0,COLUMN())),0,IF(AO1057=AJ1057,"CHECK",0))</f>
        <v>0</v>
      </c>
      <c r="AP1168" s="686">
        <f>IF(ISBLANK(INDEX(MO_IS_FirstRow,0,COLUMN())),0,IF(OR(AP1057=AK1057,AP1057=AQ1057,AP1057=AN1057),"CHECK",0))</f>
        <v>0</v>
      </c>
      <c r="AQ1168" s="686">
        <f>IF(ISBLANK(INDEX(MO_IS_FirstRow,0,COLUMN())),0,IF(OR(AQ1057=AL1057,AQ1057=AR1057,AQ1057=AP1057),"CHECK",0))</f>
        <v>0</v>
      </c>
      <c r="AR1168" s="686">
        <f>IF(ISBLANK(INDEX(MO_IS_FirstRow,0,COLUMN())),0,IF(OR(AR1057=AM1057,AR1057=AS1057,AR1057=AQ1057),"CHECK",0))</f>
        <v>0</v>
      </c>
      <c r="AS1168" s="686">
        <f>IF(ISBLANK(INDEX(MO_IS_FirstRow,0,COLUMN())),0,IF(OR(AS1057=AN1057,AS1057=AT1057,AS1057=AR1057),"CHECK",0))</f>
        <v>0</v>
      </c>
      <c r="AT1168" s="686">
        <f>IF(ISBLANK(INDEX(MO_IS_FirstRow,0,COLUMN())),0,IF(AT1057=AO1057,"CHECK",0))</f>
        <v>0</v>
      </c>
      <c r="AU1168" s="686">
        <f>IF(ISBLANK(INDEX(MO_IS_FirstRow,0,COLUMN())),0,IF(OR(AU1057=AP1057,AU1057=AV1057,AU1057=AS1057),"CHECK",0))</f>
        <v>0</v>
      </c>
      <c r="AV1168" s="686">
        <f>IF(ISBLANK(INDEX(MO_IS_FirstRow,0,COLUMN())),0,IF(OR(AV1057=AQ1057,AV1057=AW1057,AV1057=AU1057),"CHECK",0))</f>
        <v>0</v>
      </c>
      <c r="AW1168" s="686">
        <f>IF(ISBLANK(INDEX(MO_IS_FirstRow,0,COLUMN())),0,IF(OR(AW1057=AR1057,AW1057=AX1057,AW1057=AV1057),"CHECK",0))</f>
        <v>0</v>
      </c>
      <c r="AX1168" s="686">
        <f>IF(ISBLANK(INDEX(MO_IS_FirstRow,0,COLUMN())),0,IF(OR(AX1057=AS1057,AX1057=AY1057,AX1057=AW1057),"CHECK",0))</f>
        <v>0</v>
      </c>
      <c r="AY1168" s="686">
        <f>IF(ISBLANK(INDEX(MO_IS_FirstRow,0,COLUMN())),0,IF(AY1057=AT1057,"CHECK",0))</f>
        <v>0</v>
      </c>
      <c r="AZ1168" s="686">
        <f>IF(ISBLANK(INDEX(MO_IS_FirstRow,0,COLUMN())),0,IF(OR(AZ1057=AU1057,AZ1057=BA1057,AZ1057=AX1057),"CHECK",0))</f>
        <v>0</v>
      </c>
      <c r="BA1168" s="686">
        <f>IF(ISBLANK(INDEX(MO_IS_FirstRow,0,COLUMN())),0,IF(OR(BA1057=AV1057,BA1057=BB1057,BA1057=AZ1057),"CHECK",0))</f>
        <v>0</v>
      </c>
      <c r="BB1168" s="686">
        <f>IF(ISBLANK(INDEX(MO_IS_FirstRow,0,COLUMN())),0,IF(OR(BB1057=AW1057,BB1057=BC1057,BB1057=BA1057),"CHECK",0))</f>
        <v>0</v>
      </c>
      <c r="BC1168" s="686">
        <f>IF(ISBLANK(INDEX(MO_IS_FirstRow,0,COLUMN())),0,IF(OR(BC1057=AX1057,BC1057=BD1057,BC1057=BB1057),"CHECK",0))</f>
        <v>0</v>
      </c>
      <c r="BD1168" s="686">
        <f>IF(ISBLANK(INDEX(MO_IS_FirstRow,0,COLUMN())),0,IF(BD1057=AY1057,"CHECK",0))</f>
        <v>0</v>
      </c>
      <c r="BE1168" s="686">
        <f>IF(ISBLANK(INDEX(MO_IS_FirstRow,0,COLUMN())),0,IF(OR(BE1057=AZ1057,BE1057=BF1057,BE1057=BC1057),"CHECK",0))</f>
        <v>0</v>
      </c>
      <c r="BF1168" s="686">
        <f>IF(ISBLANK(INDEX(MO_IS_FirstRow,0,COLUMN())),0,IF(OR(BF1057=BA1057,BF1057=BG1057,BF1057=BE1057),"CHECK",0))</f>
        <v>0</v>
      </c>
      <c r="BG1168" s="686">
        <f>IF(ISBLANK(INDEX(MO_IS_FirstRow,0,COLUMN())),0,IF(OR(BG1057=BB1057,BG1057=BH1057,BG1057=BF1057),"CHECK",0))</f>
        <v>0</v>
      </c>
      <c r="BH1168" s="686">
        <f>IF(ISBLANK(INDEX(MO_IS_FirstRow,0,COLUMN())),0,IF(OR(BH1057=BC1057,BH1057=BI1057,BH1057=BG1057),"CHECK",0))</f>
        <v>0</v>
      </c>
      <c r="BI1168" s="686">
        <f>IF(ISBLANK(INDEX(MO_IS_FirstRow,0,COLUMN())),0,IF(BI1057=BD1057,"CHECK",0))</f>
        <v>0</v>
      </c>
      <c r="BJ1168" s="687">
        <f ca="1">IF(ISBLANK(INDEX(MO_IS_FirstRow,0,COLUMN())),0,IF(OR(BJ1057=BE1057,BJ1057=BK1057,BJ1057=BH1057),"CHECK",0))</f>
        <v>0</v>
      </c>
      <c r="BK1168" s="686"/>
      <c r="BL1168" s="686"/>
      <c r="BM1168" s="686"/>
      <c r="BN1168" s="686"/>
      <c r="BO1168" s="686"/>
      <c r="BP1168" s="686"/>
      <c r="BQ1168" s="686"/>
      <c r="BR1168" s="686"/>
      <c r="BS1168" s="686"/>
      <c r="BT1168" s="686"/>
      <c r="BU1168" s="686"/>
      <c r="BV1168" s="686"/>
      <c r="BW1168" s="122"/>
    </row>
    <row r="1169" spans="1:75" s="123" customFormat="1" x14ac:dyDescent="0.5">
      <c r="A1169" s="122" t="s">
        <v>1563</v>
      </c>
      <c r="B1169" s="187"/>
      <c r="C1169" s="686">
        <f>IF(ISBLANK(INDEX(MO_IS_FirstRow,0,COLUMN())),0,IF(C280=B280,"CHECK",0))</f>
        <v>0</v>
      </c>
      <c r="D1169" s="686">
        <f>IF(ISBLANK(INDEX(MO_IS_FirstRow,0,COLUMN())),0,IF(D280=C280,"CHECK",0))</f>
        <v>0</v>
      </c>
      <c r="E1169" s="686">
        <f>IF(ISBLANK(INDEX(MO_IS_FirstRow,0,COLUMN())),0,IF(E280=D280,"CHECK",0))</f>
        <v>0</v>
      </c>
      <c r="F1169" s="686">
        <f>IF(ISBLANK(INDEX(MO_IS_FirstRow,0,COLUMN())),0,IF(F280=E280,"CHECK",0))</f>
        <v>0</v>
      </c>
      <c r="G1169" s="686"/>
      <c r="H1169" s="686"/>
      <c r="I1169" s="686"/>
      <c r="J1169" s="686"/>
      <c r="K1169" s="686">
        <f t="shared" ref="K1169:AP1169" si="1559">IF(ISBLANK(INDEX(MO_IS_FirstRow,0,COLUMN())),0,IF(K280=F280,"CHECK",0))</f>
        <v>0</v>
      </c>
      <c r="L1169" s="686">
        <f t="shared" si="1559"/>
        <v>0</v>
      </c>
      <c r="M1169" s="686">
        <f t="shared" si="1559"/>
        <v>0</v>
      </c>
      <c r="N1169" s="686">
        <f t="shared" si="1559"/>
        <v>0</v>
      </c>
      <c r="O1169" s="686">
        <f t="shared" si="1559"/>
        <v>0</v>
      </c>
      <c r="P1169" s="686">
        <f t="shared" si="1559"/>
        <v>0</v>
      </c>
      <c r="Q1169" s="686">
        <f t="shared" si="1559"/>
        <v>0</v>
      </c>
      <c r="R1169" s="686">
        <f t="shared" si="1559"/>
        <v>0</v>
      </c>
      <c r="S1169" s="686">
        <f t="shared" si="1559"/>
        <v>0</v>
      </c>
      <c r="T1169" s="686">
        <f t="shared" si="1559"/>
        <v>0</v>
      </c>
      <c r="U1169" s="686">
        <f t="shared" si="1559"/>
        <v>0</v>
      </c>
      <c r="V1169" s="686">
        <f t="shared" si="1559"/>
        <v>0</v>
      </c>
      <c r="W1169" s="686">
        <f t="shared" si="1559"/>
        <v>0</v>
      </c>
      <c r="X1169" s="686">
        <f t="shared" si="1559"/>
        <v>0</v>
      </c>
      <c r="Y1169" s="686">
        <f t="shared" si="1559"/>
        <v>0</v>
      </c>
      <c r="Z1169" s="686">
        <f t="shared" si="1559"/>
        <v>0</v>
      </c>
      <c r="AA1169" s="686">
        <f t="shared" si="1559"/>
        <v>0</v>
      </c>
      <c r="AB1169" s="686">
        <f t="shared" si="1559"/>
        <v>0</v>
      </c>
      <c r="AC1169" s="686">
        <f t="shared" si="1559"/>
        <v>0</v>
      </c>
      <c r="AD1169" s="686">
        <f t="shared" si="1559"/>
        <v>0</v>
      </c>
      <c r="AE1169" s="686">
        <f t="shared" si="1559"/>
        <v>0</v>
      </c>
      <c r="AF1169" s="686">
        <f t="shared" si="1559"/>
        <v>0</v>
      </c>
      <c r="AG1169" s="686">
        <f t="shared" si="1559"/>
        <v>0</v>
      </c>
      <c r="AH1169" s="686">
        <f t="shared" si="1559"/>
        <v>0</v>
      </c>
      <c r="AI1169" s="686">
        <f t="shared" si="1559"/>
        <v>0</v>
      </c>
      <c r="AJ1169" s="686">
        <f t="shared" si="1559"/>
        <v>0</v>
      </c>
      <c r="AK1169" s="686">
        <f t="shared" si="1559"/>
        <v>0</v>
      </c>
      <c r="AL1169" s="686">
        <f t="shared" si="1559"/>
        <v>0</v>
      </c>
      <c r="AM1169" s="686">
        <f t="shared" si="1559"/>
        <v>0</v>
      </c>
      <c r="AN1169" s="686">
        <f t="shared" si="1559"/>
        <v>0</v>
      </c>
      <c r="AO1169" s="686">
        <f t="shared" si="1559"/>
        <v>0</v>
      </c>
      <c r="AP1169" s="686">
        <f t="shared" si="1559"/>
        <v>0</v>
      </c>
      <c r="AQ1169" s="686">
        <f t="shared" ref="AQ1169:BS1169" si="1560">IF(ISBLANK(INDEX(MO_IS_FirstRow,0,COLUMN())),0,IF(AQ280=AL280,"CHECK",0))</f>
        <v>0</v>
      </c>
      <c r="AR1169" s="686">
        <f t="shared" si="1560"/>
        <v>0</v>
      </c>
      <c r="AS1169" s="686">
        <f t="shared" si="1560"/>
        <v>0</v>
      </c>
      <c r="AT1169" s="686">
        <f t="shared" si="1560"/>
        <v>0</v>
      </c>
      <c r="AU1169" s="686">
        <f t="shared" si="1560"/>
        <v>0</v>
      </c>
      <c r="AV1169" s="686">
        <f t="shared" si="1560"/>
        <v>0</v>
      </c>
      <c r="AW1169" s="686">
        <f t="shared" si="1560"/>
        <v>0</v>
      </c>
      <c r="AX1169" s="686">
        <f t="shared" si="1560"/>
        <v>0</v>
      </c>
      <c r="AY1169" s="686">
        <f t="shared" si="1560"/>
        <v>0</v>
      </c>
      <c r="AZ1169" s="686">
        <f t="shared" si="1560"/>
        <v>0</v>
      </c>
      <c r="BA1169" s="686">
        <f t="shared" si="1560"/>
        <v>0</v>
      </c>
      <c r="BB1169" s="686">
        <f t="shared" si="1560"/>
        <v>0</v>
      </c>
      <c r="BC1169" s="686">
        <f t="shared" si="1560"/>
        <v>0</v>
      </c>
      <c r="BD1169" s="686">
        <f t="shared" si="1560"/>
        <v>0</v>
      </c>
      <c r="BE1169" s="686">
        <f t="shared" si="1560"/>
        <v>0</v>
      </c>
      <c r="BF1169" s="686">
        <f t="shared" si="1560"/>
        <v>0</v>
      </c>
      <c r="BG1169" s="686">
        <f t="shared" si="1560"/>
        <v>0</v>
      </c>
      <c r="BH1169" s="686">
        <f t="shared" si="1560"/>
        <v>0</v>
      </c>
      <c r="BI1169" s="686">
        <f t="shared" si="1560"/>
        <v>0</v>
      </c>
      <c r="BJ1169" s="687">
        <f>IF(ISBLANK(INDEX(MO_IS_FirstRow,0,COLUMN())),0,IF(BJ280=BE280,"CHECK",0))</f>
        <v>0</v>
      </c>
      <c r="BK1169" s="686">
        <f t="shared" si="1560"/>
        <v>0</v>
      </c>
      <c r="BL1169" s="686">
        <f t="shared" si="1560"/>
        <v>0</v>
      </c>
      <c r="BM1169" s="686">
        <f t="shared" si="1560"/>
        <v>0</v>
      </c>
      <c r="BN1169" s="686">
        <f t="shared" si="1560"/>
        <v>0</v>
      </c>
      <c r="BO1169" s="686">
        <f t="shared" si="1560"/>
        <v>0</v>
      </c>
      <c r="BP1169" s="686">
        <f t="shared" si="1560"/>
        <v>0</v>
      </c>
      <c r="BQ1169" s="686">
        <f t="shared" si="1560"/>
        <v>0</v>
      </c>
      <c r="BR1169" s="686">
        <f t="shared" si="1560"/>
        <v>0</v>
      </c>
      <c r="BS1169" s="686">
        <f t="shared" si="1560"/>
        <v>0</v>
      </c>
      <c r="BT1169" s="686">
        <f>IF(ISBLANK(INDEX(MO_IS_FirstRow,0,COLUMN())),0,IF(BT280=BJ280,"CHECK",0))</f>
        <v>0</v>
      </c>
      <c r="BU1169" s="686">
        <f>IF(ISBLANK(INDEX(MO_IS_FirstRow,0,COLUMN())),0,IF(BU280=BK280,"CHECK",0))</f>
        <v>0</v>
      </c>
      <c r="BV1169" s="686">
        <f>IF(ISBLANK(INDEX(MO_IS_FirstRow,0,COLUMN())),0,IF(BV280=BL280,"CHECK",0))</f>
        <v>0</v>
      </c>
      <c r="BW1169" s="122"/>
    </row>
    <row r="1170" spans="1:75" s="123" customFormat="1" x14ac:dyDescent="0.5">
      <c r="A1170" s="122" t="s">
        <v>1564</v>
      </c>
      <c r="B1170" s="187"/>
      <c r="C1170" s="686">
        <f>IF(ISBLANK(INDEX(MO_IS_FirstRow,0,COLUMN())),0,IF(OR(B795=C795),"CHECK",0))</f>
        <v>0</v>
      </c>
      <c r="D1170" s="686">
        <f>IF(ISBLANK(INDEX(MO_IS_FirstRow,0,COLUMN())),0,IF(OR(D795=C795,D795=E795),"CHECK",0))</f>
        <v>0</v>
      </c>
      <c r="E1170" s="686">
        <f>IF(ISBLANK(INDEX(MO_IS_FirstRow,0,COLUMN())),0,IF(OR(E795=D795,E795=F795),"CHECK",0))</f>
        <v>0</v>
      </c>
      <c r="F1170" s="686">
        <f>IF(ISBLANK(INDEX(MO_IS_FirstRow,0,COLUMN())),0,IF(OR(E795=F795),"CHECK",0))</f>
        <v>0</v>
      </c>
      <c r="G1170" s="686">
        <f>IF(OR(G795=B795,G795=H795,G795=E795),"CHECK",0)</f>
        <v>0</v>
      </c>
      <c r="H1170" s="686">
        <f>IF(OR(H795=C795,H795=I795,H795=G795),"CHECK",0)</f>
        <v>0</v>
      </c>
      <c r="I1170" s="686">
        <f>IF(OR(I795=D795,I795=J795,I795=H795),"CHECK",0)</f>
        <v>0</v>
      </c>
      <c r="J1170" s="686">
        <f>IF(OR(J795=E795,J795=L795,J795=I795),"CHECK",0)</f>
        <v>0</v>
      </c>
      <c r="K1170" s="686">
        <f>IF(OR(K795=F795,K795=L795,K795=J795),"CHECK",0)</f>
        <v>0</v>
      </c>
      <c r="L1170" s="686">
        <f>IF(OR(L795=G795,L795=M795,L795=J795),"CHECK",0)</f>
        <v>0</v>
      </c>
      <c r="M1170" s="686">
        <f>IF(OR(M795=H795,M795=N795,M795=L795),"CHECK",0)</f>
        <v>0</v>
      </c>
      <c r="N1170" s="686">
        <f>IF(OR(N795=I795,N795=O795,N795=M795),"CHECK",0)</f>
        <v>0</v>
      </c>
      <c r="O1170" s="686">
        <f>IF(OR(O795=J795,O795=Q795,O795=N795),"CHECK",0)</f>
        <v>0</v>
      </c>
      <c r="P1170" s="686">
        <f>IF(OR(P795=K795,P795=Q795,P795=O795),"CHECK",0)</f>
        <v>0</v>
      </c>
      <c r="Q1170" s="686">
        <f>IF(OR(Q795=L795,Q795=R795,Q795=O795),"CHECK",0)</f>
        <v>0</v>
      </c>
      <c r="R1170" s="686">
        <f>IF(OR(R795=M795,R795=S795,R795=Q795),"CHECK",0)</f>
        <v>0</v>
      </c>
      <c r="S1170" s="686">
        <f>IF(OR(S795=N795,S795=T795,S795=R795),"CHECK",0)</f>
        <v>0</v>
      </c>
      <c r="T1170" s="686">
        <f>IF(OR(T795=O795,T795=V795,T795=S795),"CHECK",0)</f>
        <v>0</v>
      </c>
      <c r="U1170" s="686">
        <f>IF(OR(U795=P795,U795=V795,U795=T795),"CHECK",0)</f>
        <v>0</v>
      </c>
      <c r="V1170" s="686">
        <f>IF(OR(V795=Q795,V795=W795,V795=T795),"CHECK",0)</f>
        <v>0</v>
      </c>
      <c r="W1170" s="686">
        <f>IF(OR(W795=R795,W795=X795,W795=V795),"CHECK",0)</f>
        <v>0</v>
      </c>
      <c r="X1170" s="686">
        <f>IF(OR(X795=S795,X795=Y795,X795=W795),"CHECK",0)</f>
        <v>0</v>
      </c>
      <c r="Y1170" s="686">
        <f>IF(OR(Y795=T795,Y795=AA795,Y795=X795),"CHECK",0)</f>
        <v>0</v>
      </c>
      <c r="Z1170" s="686">
        <f>IF(OR(Z795=U795,Z795=AA795,Z795=Y795),"CHECK",0)</f>
        <v>0</v>
      </c>
      <c r="AA1170" s="686">
        <f>IF(OR(AA795=V795,AA795=AB795,AA795=Y795),"CHECK",0)</f>
        <v>0</v>
      </c>
      <c r="AB1170" s="686">
        <f>IF(OR(AB795=W795,AB795=AC795,AB795=AA795),"CHECK",0)</f>
        <v>0</v>
      </c>
      <c r="AC1170" s="686">
        <f>IF(OR(AC795=X795,AC795=AD795,AC795=AB795),"CHECK",0)</f>
        <v>0</v>
      </c>
      <c r="AD1170" s="686">
        <f>IF(OR(AD795=Y795,AD795=AF795,AD795=AC795),"CHECK",0)</f>
        <v>0</v>
      </c>
      <c r="AE1170" s="686">
        <f>IF(OR(AE795=Z795,AE795=AF795,AE795=AD795),"CHECK",0)</f>
        <v>0</v>
      </c>
      <c r="AF1170" s="686">
        <f>IF(OR(AF795=AA795,AF795=AG795,AF795=AD795),"CHECK",0)</f>
        <v>0</v>
      </c>
      <c r="AG1170" s="686">
        <f>IF(OR(AG795=AB795,AG795=AH795,AG795=AF795),"CHECK",0)</f>
        <v>0</v>
      </c>
      <c r="AH1170" s="686">
        <f>IF(OR(AH795=AC795,AH795=AI795,AH795=AG795),"CHECK",0)</f>
        <v>0</v>
      </c>
      <c r="AI1170" s="686">
        <f>IF(OR(AI795=AD795,AI795=AK795,AI795=AH795),"CHECK",0)</f>
        <v>0</v>
      </c>
      <c r="AJ1170" s="686">
        <f>IF(OR(AJ795=AE795,AJ795=AK795,AJ795=AI795),"CHECK",0)</f>
        <v>0</v>
      </c>
      <c r="AK1170" s="686">
        <f>IF(OR(AK795=AF795,AK795=AL795,AK795=AI795),"CHECK",0)</f>
        <v>0</v>
      </c>
      <c r="AL1170" s="686">
        <f>IF(OR(AL795=AG795,AL795=AM795,AL795=AK795),"CHECK",0)</f>
        <v>0</v>
      </c>
      <c r="AM1170" s="686">
        <f>IF(OR(AM795=AH795,AM795=AN795,AM795=AL795),"CHECK",0)</f>
        <v>0</v>
      </c>
      <c r="AN1170" s="686">
        <f>IF(OR(AN795=AI795,AN795=AP795,AN795=AM795),"CHECK",0)</f>
        <v>0</v>
      </c>
      <c r="AO1170" s="686">
        <f>IF(OR(AO795=AJ795,AO795=AP795,AO795=AN795),"CHECK",0)</f>
        <v>0</v>
      </c>
      <c r="AP1170" s="686">
        <f>IF(OR(AP795=AK795,AP795=AQ795,AP795=AN795),"CHECK",0)</f>
        <v>0</v>
      </c>
      <c r="AQ1170" s="686">
        <f>IF(OR(AQ795=AL795,AQ795=AR795,AQ795=AP795),"CHECK",0)</f>
        <v>0</v>
      </c>
      <c r="AR1170" s="686">
        <f>IF(OR(AR795=AM795,AR795=AS795,AR795=AQ795),"CHECK",0)</f>
        <v>0</v>
      </c>
      <c r="AS1170" s="686">
        <f>IF(OR(AS795=AN795,AS795=AT795,AS795=AR795),"CHECK",0)</f>
        <v>0</v>
      </c>
      <c r="AT1170" s="686">
        <f>IF(OR(AT795=AO795,AT795=AU795,AT795=AS795),"CHECK",0)</f>
        <v>0</v>
      </c>
      <c r="AU1170" s="686">
        <f>IF(OR(AU795=AP795,AU795=AV795,AU795=AS795),"CHECK",0)</f>
        <v>0</v>
      </c>
      <c r="AV1170" s="686">
        <f>IF(OR(AV795=AQ795,AV795=AW795,AV795=AU795),"CHECK",0)</f>
        <v>0</v>
      </c>
      <c r="AW1170" s="686">
        <f>IF(OR(AW795=AR795,AW795=AX795,AW795=AV795),"CHECK",0)</f>
        <v>0</v>
      </c>
      <c r="AX1170" s="686">
        <f>IF(OR(AX795=AS795,AX795=AY795,AX795=AW795),"CHECK",0)</f>
        <v>0</v>
      </c>
      <c r="AY1170" s="686">
        <f>IF(OR(AY795=AT795,AY795=AZ795,AY795=AX795),"CHECK",0)</f>
        <v>0</v>
      </c>
      <c r="AZ1170" s="686">
        <f>IF(OR(AZ795=AU795,AZ795=BA795,AZ795=AX795),"CHECK",0)</f>
        <v>0</v>
      </c>
      <c r="BA1170" s="686">
        <f>IF(OR(BA795=AV795,BA795=BB795,BA795=AZ795),"CHECK",0)</f>
        <v>0</v>
      </c>
      <c r="BB1170" s="686">
        <f>IF(OR(BB795=AW795,BB795=BC795,BB795=BA795),"CHECK",0)</f>
        <v>0</v>
      </c>
      <c r="BC1170" s="686">
        <f>IF(OR(BC795=AX795,BC795=BD795,BC795=BB795),"CHECK",0)</f>
        <v>0</v>
      </c>
      <c r="BD1170" s="686">
        <f>IF(OR(BD795=AY795,BD795=BE795,BD795=BC795),"CHECK",0)</f>
        <v>0</v>
      </c>
      <c r="BE1170" s="686">
        <f>IF(OR(BE795=AZ795,BE795=BF795,BE795=BC795),"CHECK",0)</f>
        <v>0</v>
      </c>
      <c r="BF1170" s="686">
        <f>IF(OR(BF795=BA795,BF795=BG795,BF795=BE795),"CHECK",0)</f>
        <v>0</v>
      </c>
      <c r="BG1170" s="686">
        <f>IF(OR(BG795=BB795,BG795=BH795,BG795=BF795),"CHECK",0)</f>
        <v>0</v>
      </c>
      <c r="BH1170" s="686">
        <f>IF(OR(BH795=BC795,BH795=BI795,BH795=BG795),"CHECK",0)</f>
        <v>0</v>
      </c>
      <c r="BI1170" s="686">
        <f>IF(OR(BI795=BD795,BI795=BJ795,BI795=BH795),"CHECK",0)</f>
        <v>0</v>
      </c>
      <c r="BJ1170" s="687">
        <f>IF(OR(BJ795=BE795,BJ795=BK795,BJ795=BH795),"CHECK",0)</f>
        <v>0</v>
      </c>
      <c r="BK1170" s="686"/>
      <c r="BL1170" s="686"/>
      <c r="BM1170" s="686"/>
      <c r="BN1170" s="686"/>
      <c r="BO1170" s="686"/>
      <c r="BP1170" s="686"/>
      <c r="BQ1170" s="686"/>
      <c r="BR1170" s="686"/>
      <c r="BS1170" s="686"/>
      <c r="BT1170" s="686"/>
      <c r="BU1170" s="686"/>
      <c r="BV1170" s="686"/>
      <c r="BW1170" s="122"/>
    </row>
    <row r="1171" spans="1:75" s="123" customFormat="1" x14ac:dyDescent="0.5">
      <c r="A1171" s="122" t="s">
        <v>1565</v>
      </c>
      <c r="B1171" s="187"/>
      <c r="C1171" s="686">
        <f>IF(OR(C1123=B1123,C1123=D1123),"CHECK",0)</f>
        <v>0</v>
      </c>
      <c r="D1171" s="686">
        <f>IF(OR(D1123=C1123,D1123=E1123),"CHECK",0)</f>
        <v>0</v>
      </c>
      <c r="E1171" s="686">
        <f>IF(OR(E1123=D1123,E1123=F1123),"CHECK",0)</f>
        <v>0</v>
      </c>
      <c r="F1171" s="686">
        <f>IF(OR(F1123=E1123,F1123=K1123),"CHECK",0)</f>
        <v>0</v>
      </c>
      <c r="G1171" s="686">
        <f>IF(OR(G1123=B1123,G1123=H1123,G1123=E1123),"CHECK",0)</f>
        <v>0</v>
      </c>
      <c r="H1171" s="686">
        <f>IF(OR(H1123=C1123,H1123=I1123,H1123=G1123),"CHECK",0)</f>
        <v>0</v>
      </c>
      <c r="I1171" s="686">
        <f>IF(OR(I1123=D1123,I1123=J1123,I1123=H1123),"CHECK",0)</f>
        <v>0</v>
      </c>
      <c r="J1171" s="686">
        <f>IF(OR(J1123=E1123,J1123=I1123),"CHECK",0)</f>
        <v>0</v>
      </c>
      <c r="K1171" s="686">
        <f>IF(K1123=F1123,"CHECK",0)</f>
        <v>0</v>
      </c>
      <c r="L1171" s="686">
        <f>IF(OR(L1123=G1123,L1123=M1123,L1123=J1123),"CHECK",0)</f>
        <v>0</v>
      </c>
      <c r="M1171" s="686">
        <f>IF(OR(M1123=H1123,M1123=N1123,M1123=L1123),"CHECK",0)</f>
        <v>0</v>
      </c>
      <c r="N1171" s="686">
        <f>IF(OR(N1123=I1123,N1123=O1123,N1123=M1123),"CHECK",0)</f>
        <v>0</v>
      </c>
      <c r="O1171" s="686">
        <f>IF(OR(O1123=J1123,O1123=N1123),"CHECK",0)</f>
        <v>0</v>
      </c>
      <c r="P1171" s="686">
        <f>IF(P1123=K1123,"CHECK",0)</f>
        <v>0</v>
      </c>
      <c r="Q1171" s="686">
        <f>IF(OR(Q1123=L1123,Q1123=R1123,Q1123=O1123),"CHECK",0)</f>
        <v>0</v>
      </c>
      <c r="R1171" s="686">
        <f>IF(OR(R1123=M1123,R1123=S1123,R1123=Q1123),"CHECK",0)</f>
        <v>0</v>
      </c>
      <c r="S1171" s="686">
        <f>IF(OR(S1123=N1123,S1123=T1123,S1123=R1123),"CHECK",0)</f>
        <v>0</v>
      </c>
      <c r="T1171" s="686">
        <f>IF(OR(T1123=O1123,T1123=S1123),"CHECK",0)</f>
        <v>0</v>
      </c>
      <c r="U1171" s="686">
        <f>IF(U1123=P1123,"CHECK",0)</f>
        <v>0</v>
      </c>
      <c r="V1171" s="686">
        <f>IF(OR(V1123=Q1123,V1123=W1123,V1123=T1123),"CHECK",0)</f>
        <v>0</v>
      </c>
      <c r="W1171" s="686">
        <f>IF(OR(W1123=R1123,W1123=X1123,W1123=V1123),"CHECK",0)</f>
        <v>0</v>
      </c>
      <c r="X1171" s="686">
        <f>IF(OR(X1123=S1123,X1123=Y1123,X1123=W1123),"CHECK",0)</f>
        <v>0</v>
      </c>
      <c r="Y1171" s="686">
        <f>IF(OR(Y1123=T1123,Y1123=X1123),"CHECK",0)</f>
        <v>0</v>
      </c>
      <c r="Z1171" s="686">
        <f>IF(Z1123=U1123,"CHECK",0)</f>
        <v>0</v>
      </c>
      <c r="AA1171" s="686">
        <f>IF(OR(AA1123=V1123,AA1123=AB1123,AA1123=Y1123),"CHECK",0)</f>
        <v>0</v>
      </c>
      <c r="AB1171" s="686">
        <f>IF(OR(AB1123=W1123,AB1123=AC1123,AB1123=AA1123),"CHECK",0)</f>
        <v>0</v>
      </c>
      <c r="AC1171" s="686">
        <f>IF(OR(AC1123=X1123,AC1123=AD1123,AC1123=AB1123),"CHECK",0)</f>
        <v>0</v>
      </c>
      <c r="AD1171" s="686">
        <f>IF(OR(AD1123=Y1123,AD1123=AC1123),"CHECK",0)</f>
        <v>0</v>
      </c>
      <c r="AE1171" s="686">
        <f>IF(AE1123=Z1123,"CHECK",0)</f>
        <v>0</v>
      </c>
      <c r="AF1171" s="686">
        <f>IF(OR(AF1123=AA1123,AF1123=AG1123,AF1123=AD1123),"CHECK",0)</f>
        <v>0</v>
      </c>
      <c r="AG1171" s="686">
        <f>IF(OR(AG1123=AB1123,AG1123=AH1123,AG1123=AF1123),"CHECK",0)</f>
        <v>0</v>
      </c>
      <c r="AH1171" s="686">
        <f>IF(OR(AH1123=AC1123,AH1123=AI1123,AH1123=AG1123),"CHECK",0)</f>
        <v>0</v>
      </c>
      <c r="AI1171" s="686">
        <f>IF(OR(AI1123=AD1123,AI1123=AH1123),"CHECK",0)</f>
        <v>0</v>
      </c>
      <c r="AJ1171" s="686">
        <f>IF(AJ1123=AE1123,"CHECK",0)</f>
        <v>0</v>
      </c>
      <c r="AK1171" s="686">
        <f>IF(OR(AK1123=AF1123,AK1123=AL1123,AK1123=AI1123),"CHECK",0)</f>
        <v>0</v>
      </c>
      <c r="AL1171" s="686">
        <f>IF(OR(AL1123=AG1123,AL1123=AM1123,AL1123=AK1123),"CHECK",0)</f>
        <v>0</v>
      </c>
      <c r="AM1171" s="686">
        <f>IF(OR(AM1123=AH1123,AM1123=AN1123,AM1123=AL1123),"CHECK",0)</f>
        <v>0</v>
      </c>
      <c r="AN1171" s="686">
        <f>IF(OR(AN1123=AI1123,AN1123=AM1123),"CHECK",0)</f>
        <v>0</v>
      </c>
      <c r="AO1171" s="686">
        <f>IF(AO1123=AJ1123,"CHECK",0)</f>
        <v>0</v>
      </c>
      <c r="AP1171" s="686">
        <f>IF(OR(AP1123=AK1123,AP1123=AQ1123,AP1123=AN1123),"CHECK",0)</f>
        <v>0</v>
      </c>
      <c r="AQ1171" s="686">
        <f>IF(OR(AQ1123=AL1123,AQ1123=AR1123,AQ1123=AP1123),"CHECK",0)</f>
        <v>0</v>
      </c>
      <c r="AR1171" s="686">
        <f>IF(OR(AR1123=AM1123,AR1123=AS1123,AR1123=AQ1123),"CHECK",0)</f>
        <v>0</v>
      </c>
      <c r="AS1171" s="686">
        <f>IF(OR(AS1123=AN1123,AS1123=AR1123),"CHECK",0)</f>
        <v>0</v>
      </c>
      <c r="AT1171" s="686">
        <f>IF(AT1123=AO1123,"CHECK",0)</f>
        <v>0</v>
      </c>
      <c r="AU1171" s="686">
        <f>IF(OR(AU1123=AP1123,AU1123=AV1123,AU1123=AS1123),"CHECK",0)</f>
        <v>0</v>
      </c>
      <c r="AV1171" s="686">
        <f>IF(OR(AV1123=AQ1123,AV1123=AW1123,AV1123=AU1123),"CHECK",0)</f>
        <v>0</v>
      </c>
      <c r="AW1171" s="686">
        <f>IF(OR(AW1123=AR1123,AW1123=AX1123,AW1123=AV1123),"CHECK",0)</f>
        <v>0</v>
      </c>
      <c r="AX1171" s="686">
        <f>IF(OR(AX1123=AS1123,AX1123=AW1123),"CHECK",0)</f>
        <v>0</v>
      </c>
      <c r="AY1171" s="686">
        <f>IF(AY1123=AT1123,"CHECK",0)</f>
        <v>0</v>
      </c>
      <c r="AZ1171" s="686">
        <f>IF(OR(AZ1123=AU1123,AZ1123=BA1123,AZ1123=AX1123),"CHECK",0)</f>
        <v>0</v>
      </c>
      <c r="BA1171" s="686">
        <f>IF(OR(BA1123=AV1123,BA1123=BB1123,BA1123=AZ1123),"CHECK",0)</f>
        <v>0</v>
      </c>
      <c r="BB1171" s="686">
        <f>IF(OR(BB1123=AW1123,BB1123=BC1123,BB1123=BA1123),"CHECK",0)</f>
        <v>0</v>
      </c>
      <c r="BC1171" s="686">
        <f>IF(OR(BC1123=AX1123,BC1123=BB1123),"CHECK",0)</f>
        <v>0</v>
      </c>
      <c r="BD1171" s="686">
        <f>IF(BD1123=AY1123,"CHECK",0)</f>
        <v>0</v>
      </c>
      <c r="BE1171" s="686">
        <f>IF(OR(BE1123=AZ1123,BE1123=BF1123,BE1123=BC1123),"CHECK",0)</f>
        <v>0</v>
      </c>
      <c r="BF1171" s="686">
        <f>IF(OR(BF1123=BA1123,BF1123=BG1123,BF1123=BE1123),"CHECK",0)</f>
        <v>0</v>
      </c>
      <c r="BG1171" s="686">
        <f>IF(OR(BG1123=BB1123,BG1123=BH1123,BG1123=BF1123),"CHECK",0)</f>
        <v>0</v>
      </c>
      <c r="BH1171" s="686">
        <f>IF(OR(BH1123=BC1123,BH1123=BG1123),"CHECK",0)</f>
        <v>0</v>
      </c>
      <c r="BI1171" s="686">
        <f>IF(BI1123=BD1123,"CHECK",0)</f>
        <v>0</v>
      </c>
      <c r="BJ1171" s="687">
        <f ca="1">IF(OR(BJ1123=BE1123,BJ1123=BK1123,BJ1123=BH1123),"CHECK",0)</f>
        <v>0</v>
      </c>
      <c r="BK1171" s="686"/>
      <c r="BL1171" s="686"/>
      <c r="BM1171" s="686"/>
      <c r="BN1171" s="686"/>
      <c r="BO1171" s="686"/>
      <c r="BP1171" s="686"/>
      <c r="BQ1171" s="686"/>
      <c r="BR1171" s="686"/>
      <c r="BS1171" s="686"/>
      <c r="BT1171" s="686"/>
      <c r="BU1171" s="686"/>
      <c r="BV1171" s="686"/>
      <c r="BW1171" s="122"/>
    </row>
    <row r="1172" spans="1:75" s="123" customFormat="1" x14ac:dyDescent="0.5">
      <c r="A1172" s="122" t="s">
        <v>1566</v>
      </c>
      <c r="B1172" s="187"/>
      <c r="C1172" s="686">
        <f t="shared" ref="C1172:AH1172" si="1561">IF(ISBLANK(INDEX(MO_IS_FirstRow,0,COLUMN())),0,ROUND(C1060-C1001,6))</f>
        <v>0</v>
      </c>
      <c r="D1172" s="686">
        <f t="shared" si="1561"/>
        <v>0</v>
      </c>
      <c r="E1172" s="686">
        <f t="shared" si="1561"/>
        <v>0</v>
      </c>
      <c r="F1172" s="686">
        <f t="shared" si="1561"/>
        <v>0</v>
      </c>
      <c r="G1172" s="686">
        <f t="shared" si="1561"/>
        <v>0</v>
      </c>
      <c r="H1172" s="686">
        <f t="shared" si="1561"/>
        <v>0</v>
      </c>
      <c r="I1172" s="686">
        <f t="shared" si="1561"/>
        <v>0</v>
      </c>
      <c r="J1172" s="686">
        <f t="shared" si="1561"/>
        <v>0</v>
      </c>
      <c r="K1172" s="686">
        <f t="shared" si="1561"/>
        <v>0</v>
      </c>
      <c r="L1172" s="686">
        <f t="shared" si="1561"/>
        <v>0</v>
      </c>
      <c r="M1172" s="686">
        <f t="shared" si="1561"/>
        <v>0</v>
      </c>
      <c r="N1172" s="686">
        <f t="shared" si="1561"/>
        <v>0</v>
      </c>
      <c r="O1172" s="686">
        <f t="shared" si="1561"/>
        <v>0</v>
      </c>
      <c r="P1172" s="686">
        <f t="shared" si="1561"/>
        <v>0</v>
      </c>
      <c r="Q1172" s="686">
        <f t="shared" si="1561"/>
        <v>0</v>
      </c>
      <c r="R1172" s="686">
        <f t="shared" si="1561"/>
        <v>0</v>
      </c>
      <c r="S1172" s="686">
        <f t="shared" si="1561"/>
        <v>0</v>
      </c>
      <c r="T1172" s="686">
        <f t="shared" si="1561"/>
        <v>0</v>
      </c>
      <c r="U1172" s="686">
        <f t="shared" si="1561"/>
        <v>0</v>
      </c>
      <c r="V1172" s="686">
        <f t="shared" si="1561"/>
        <v>0</v>
      </c>
      <c r="W1172" s="686">
        <f t="shared" si="1561"/>
        <v>0</v>
      </c>
      <c r="X1172" s="686">
        <f t="shared" si="1561"/>
        <v>0</v>
      </c>
      <c r="Y1172" s="686">
        <f t="shared" si="1561"/>
        <v>0</v>
      </c>
      <c r="Z1172" s="686">
        <f t="shared" si="1561"/>
        <v>0</v>
      </c>
      <c r="AA1172" s="686">
        <f t="shared" si="1561"/>
        <v>0</v>
      </c>
      <c r="AB1172" s="686">
        <f t="shared" si="1561"/>
        <v>0</v>
      </c>
      <c r="AC1172" s="686">
        <f t="shared" si="1561"/>
        <v>0</v>
      </c>
      <c r="AD1172" s="686">
        <f t="shared" si="1561"/>
        <v>0</v>
      </c>
      <c r="AE1172" s="686">
        <f t="shared" si="1561"/>
        <v>0</v>
      </c>
      <c r="AF1172" s="686">
        <f t="shared" si="1561"/>
        <v>0</v>
      </c>
      <c r="AG1172" s="686">
        <f t="shared" si="1561"/>
        <v>0</v>
      </c>
      <c r="AH1172" s="686">
        <f t="shared" si="1561"/>
        <v>0</v>
      </c>
      <c r="AI1172" s="686">
        <f t="shared" ref="AI1172:BB1172" si="1562">IF(ISBLANK(INDEX(MO_IS_FirstRow,0,COLUMN())),0,ROUND(AI1060-AI1001,6))</f>
        <v>0</v>
      </c>
      <c r="AJ1172" s="686">
        <f t="shared" si="1562"/>
        <v>0</v>
      </c>
      <c r="AK1172" s="686">
        <f t="shared" si="1562"/>
        <v>0</v>
      </c>
      <c r="AL1172" s="686">
        <f t="shared" si="1562"/>
        <v>0</v>
      </c>
      <c r="AM1172" s="686">
        <f t="shared" si="1562"/>
        <v>0</v>
      </c>
      <c r="AN1172" s="686">
        <f t="shared" si="1562"/>
        <v>0</v>
      </c>
      <c r="AO1172" s="686">
        <f t="shared" si="1562"/>
        <v>0</v>
      </c>
      <c r="AP1172" s="686">
        <f t="shared" si="1562"/>
        <v>0</v>
      </c>
      <c r="AQ1172" s="686">
        <f t="shared" si="1562"/>
        <v>0</v>
      </c>
      <c r="AR1172" s="686">
        <f t="shared" si="1562"/>
        <v>0</v>
      </c>
      <c r="AS1172" s="686">
        <f t="shared" si="1562"/>
        <v>0</v>
      </c>
      <c r="AT1172" s="686">
        <f t="shared" si="1562"/>
        <v>0</v>
      </c>
      <c r="AU1172" s="686">
        <f t="shared" si="1562"/>
        <v>0</v>
      </c>
      <c r="AV1172" s="686">
        <f t="shared" si="1562"/>
        <v>0</v>
      </c>
      <c r="AW1172" s="686">
        <f t="shared" si="1562"/>
        <v>0</v>
      </c>
      <c r="AX1172" s="686">
        <f t="shared" si="1562"/>
        <v>0</v>
      </c>
      <c r="AY1172" s="686">
        <f t="shared" si="1562"/>
        <v>0</v>
      </c>
      <c r="AZ1172" s="686">
        <f t="shared" si="1562"/>
        <v>0</v>
      </c>
      <c r="BA1172" s="686">
        <f t="shared" si="1562"/>
        <v>0</v>
      </c>
      <c r="BB1172" s="686">
        <f t="shared" si="1562"/>
        <v>0</v>
      </c>
      <c r="BC1172" s="686">
        <f t="shared" ref="BC1172:BD1172" si="1563">IF(ISBLANK(INDEX(MO_IS_FirstRow,0,COLUMN())),0,ROUND(BC1060-BC1001,6))</f>
        <v>0</v>
      </c>
      <c r="BD1172" s="686">
        <f t="shared" si="1563"/>
        <v>0</v>
      </c>
      <c r="BE1172" s="686">
        <f t="shared" ref="BE1172:BV1172" si="1564">IF(ISBLANK(INDEX(MO_IS_FirstRow,0,COLUMN())),0,ROUND(BE1060-BE1001,6))</f>
        <v>0</v>
      </c>
      <c r="BF1172" s="686">
        <f t="shared" si="1564"/>
        <v>0</v>
      </c>
      <c r="BG1172" s="686">
        <f t="shared" si="1564"/>
        <v>0</v>
      </c>
      <c r="BH1172" s="686">
        <f t="shared" si="1564"/>
        <v>0</v>
      </c>
      <c r="BI1172" s="686">
        <f t="shared" si="1564"/>
        <v>0</v>
      </c>
      <c r="BJ1172" s="687">
        <f>IF(ISBLANK(INDEX(MO_IS_FirstRow,0,COLUMN())),0,ROUND(BJ1060-BJ1001,6))</f>
        <v>0</v>
      </c>
      <c r="BK1172" s="686">
        <f t="shared" si="1564"/>
        <v>0</v>
      </c>
      <c r="BL1172" s="686">
        <f t="shared" si="1564"/>
        <v>0</v>
      </c>
      <c r="BM1172" s="686">
        <f t="shared" si="1564"/>
        <v>0</v>
      </c>
      <c r="BN1172" s="686">
        <f t="shared" si="1564"/>
        <v>0</v>
      </c>
      <c r="BO1172" s="686">
        <f t="shared" si="1564"/>
        <v>0</v>
      </c>
      <c r="BP1172" s="686">
        <f t="shared" si="1564"/>
        <v>0</v>
      </c>
      <c r="BQ1172" s="686">
        <f t="shared" si="1564"/>
        <v>0</v>
      </c>
      <c r="BR1172" s="686">
        <f t="shared" si="1564"/>
        <v>0</v>
      </c>
      <c r="BS1172" s="686">
        <f t="shared" si="1564"/>
        <v>0</v>
      </c>
      <c r="BT1172" s="686">
        <f t="shared" si="1564"/>
        <v>0</v>
      </c>
      <c r="BU1172" s="686">
        <f t="shared" si="1564"/>
        <v>0</v>
      </c>
      <c r="BV1172" s="686">
        <f t="shared" si="1564"/>
        <v>0</v>
      </c>
      <c r="BW1172" s="122"/>
    </row>
    <row r="1173" spans="1:75" s="123" customFormat="1" x14ac:dyDescent="0.5">
      <c r="A1173" s="122" t="s">
        <v>1567</v>
      </c>
      <c r="B1173" s="187"/>
      <c r="C1173" s="686">
        <f t="shared" ref="C1173:AH1173" si="1565">ROUND(INDEX(MO_CFSum_Capex,0,COLUMN())-C1033,6)</f>
        <v>0</v>
      </c>
      <c r="D1173" s="686">
        <f t="shared" si="1565"/>
        <v>0</v>
      </c>
      <c r="E1173" s="686">
        <f t="shared" si="1565"/>
        <v>0</v>
      </c>
      <c r="F1173" s="686">
        <f t="shared" si="1565"/>
        <v>0</v>
      </c>
      <c r="G1173" s="686">
        <f t="shared" si="1565"/>
        <v>0</v>
      </c>
      <c r="H1173" s="686">
        <f t="shared" si="1565"/>
        <v>0</v>
      </c>
      <c r="I1173" s="686">
        <f t="shared" si="1565"/>
        <v>0</v>
      </c>
      <c r="J1173" s="686">
        <f t="shared" si="1565"/>
        <v>0</v>
      </c>
      <c r="K1173" s="686">
        <f t="shared" si="1565"/>
        <v>0</v>
      </c>
      <c r="L1173" s="686">
        <f t="shared" si="1565"/>
        <v>0</v>
      </c>
      <c r="M1173" s="686">
        <f t="shared" si="1565"/>
        <v>0</v>
      </c>
      <c r="N1173" s="686">
        <f t="shared" si="1565"/>
        <v>0</v>
      </c>
      <c r="O1173" s="686">
        <f t="shared" si="1565"/>
        <v>0</v>
      </c>
      <c r="P1173" s="686">
        <f t="shared" si="1565"/>
        <v>0</v>
      </c>
      <c r="Q1173" s="686">
        <f t="shared" si="1565"/>
        <v>0</v>
      </c>
      <c r="R1173" s="686">
        <f t="shared" si="1565"/>
        <v>0</v>
      </c>
      <c r="S1173" s="686">
        <f t="shared" si="1565"/>
        <v>0</v>
      </c>
      <c r="T1173" s="686">
        <f t="shared" si="1565"/>
        <v>0</v>
      </c>
      <c r="U1173" s="686">
        <f t="shared" si="1565"/>
        <v>0</v>
      </c>
      <c r="V1173" s="686">
        <f t="shared" si="1565"/>
        <v>0</v>
      </c>
      <c r="W1173" s="686">
        <f t="shared" si="1565"/>
        <v>0</v>
      </c>
      <c r="X1173" s="686">
        <f t="shared" si="1565"/>
        <v>0</v>
      </c>
      <c r="Y1173" s="686">
        <f t="shared" si="1565"/>
        <v>0</v>
      </c>
      <c r="Z1173" s="686">
        <f t="shared" si="1565"/>
        <v>0</v>
      </c>
      <c r="AA1173" s="686">
        <f t="shared" si="1565"/>
        <v>0</v>
      </c>
      <c r="AB1173" s="686">
        <f t="shared" si="1565"/>
        <v>0</v>
      </c>
      <c r="AC1173" s="686">
        <f t="shared" si="1565"/>
        <v>0</v>
      </c>
      <c r="AD1173" s="686">
        <f t="shared" si="1565"/>
        <v>0</v>
      </c>
      <c r="AE1173" s="686">
        <f t="shared" si="1565"/>
        <v>0</v>
      </c>
      <c r="AF1173" s="686">
        <f t="shared" si="1565"/>
        <v>0</v>
      </c>
      <c r="AG1173" s="686">
        <f t="shared" si="1565"/>
        <v>0</v>
      </c>
      <c r="AH1173" s="686">
        <f t="shared" si="1565"/>
        <v>0</v>
      </c>
      <c r="AI1173" s="686">
        <f t="shared" ref="AI1173:BB1173" si="1566">ROUND(INDEX(MO_CFSum_Capex,0,COLUMN())-AI1033,6)</f>
        <v>0</v>
      </c>
      <c r="AJ1173" s="686">
        <f t="shared" si="1566"/>
        <v>0</v>
      </c>
      <c r="AK1173" s="686">
        <f t="shared" si="1566"/>
        <v>0</v>
      </c>
      <c r="AL1173" s="686">
        <f t="shared" si="1566"/>
        <v>0</v>
      </c>
      <c r="AM1173" s="686">
        <f t="shared" si="1566"/>
        <v>0</v>
      </c>
      <c r="AN1173" s="686">
        <f t="shared" si="1566"/>
        <v>0</v>
      </c>
      <c r="AO1173" s="686">
        <f t="shared" si="1566"/>
        <v>0</v>
      </c>
      <c r="AP1173" s="686">
        <f t="shared" si="1566"/>
        <v>0</v>
      </c>
      <c r="AQ1173" s="686">
        <f t="shared" si="1566"/>
        <v>0</v>
      </c>
      <c r="AR1173" s="686">
        <f t="shared" si="1566"/>
        <v>0</v>
      </c>
      <c r="AS1173" s="686">
        <f t="shared" si="1566"/>
        <v>0</v>
      </c>
      <c r="AT1173" s="686">
        <f t="shared" si="1566"/>
        <v>0</v>
      </c>
      <c r="AU1173" s="686">
        <f t="shared" si="1566"/>
        <v>0</v>
      </c>
      <c r="AV1173" s="686">
        <f t="shared" si="1566"/>
        <v>0</v>
      </c>
      <c r="AW1173" s="686">
        <f t="shared" si="1566"/>
        <v>0</v>
      </c>
      <c r="AX1173" s="686">
        <f t="shared" si="1566"/>
        <v>0</v>
      </c>
      <c r="AY1173" s="686">
        <f t="shared" si="1566"/>
        <v>0</v>
      </c>
      <c r="AZ1173" s="686">
        <f t="shared" si="1566"/>
        <v>0</v>
      </c>
      <c r="BA1173" s="686">
        <f t="shared" si="1566"/>
        <v>0</v>
      </c>
      <c r="BB1173" s="686">
        <f t="shared" si="1566"/>
        <v>0</v>
      </c>
      <c r="BC1173" s="686">
        <f t="shared" ref="BC1173:BD1173" si="1567">ROUND(INDEX(MO_CFSum_Capex,0,COLUMN())-BC1033,6)</f>
        <v>0</v>
      </c>
      <c r="BD1173" s="686">
        <f t="shared" si="1567"/>
        <v>0</v>
      </c>
      <c r="BE1173" s="686">
        <f t="shared" ref="BE1173:BV1173" si="1568">ROUND(INDEX(MO_CFSum_Capex,0,COLUMN())-BE1033,6)</f>
        <v>0</v>
      </c>
      <c r="BF1173" s="686">
        <f t="shared" si="1568"/>
        <v>0</v>
      </c>
      <c r="BG1173" s="686">
        <f t="shared" si="1568"/>
        <v>0</v>
      </c>
      <c r="BH1173" s="686">
        <f t="shared" si="1568"/>
        <v>0</v>
      </c>
      <c r="BI1173" s="686">
        <f t="shared" si="1568"/>
        <v>0</v>
      </c>
      <c r="BJ1173" s="687">
        <f>ROUND(INDEX(MO_CFSum_Capex,0,COLUMN())-BJ1033,6)</f>
        <v>0</v>
      </c>
      <c r="BK1173" s="686">
        <f t="shared" si="1568"/>
        <v>0</v>
      </c>
      <c r="BL1173" s="686">
        <f t="shared" si="1568"/>
        <v>0</v>
      </c>
      <c r="BM1173" s="686">
        <f t="shared" si="1568"/>
        <v>0</v>
      </c>
      <c r="BN1173" s="686">
        <f t="shared" si="1568"/>
        <v>0</v>
      </c>
      <c r="BO1173" s="686">
        <f t="shared" si="1568"/>
        <v>0</v>
      </c>
      <c r="BP1173" s="686">
        <f t="shared" si="1568"/>
        <v>0</v>
      </c>
      <c r="BQ1173" s="686">
        <f t="shared" si="1568"/>
        <v>0</v>
      </c>
      <c r="BR1173" s="686">
        <f t="shared" si="1568"/>
        <v>0</v>
      </c>
      <c r="BS1173" s="686">
        <f t="shared" si="1568"/>
        <v>0</v>
      </c>
      <c r="BT1173" s="686">
        <f t="shared" si="1568"/>
        <v>0</v>
      </c>
      <c r="BU1173" s="686">
        <f t="shared" si="1568"/>
        <v>0</v>
      </c>
      <c r="BV1173" s="686">
        <f t="shared" si="1568"/>
        <v>0</v>
      </c>
      <c r="BW1173" s="122"/>
    </row>
    <row r="1174" spans="1:75" s="123" customFormat="1" x14ac:dyDescent="0.5">
      <c r="A1174" s="122" t="s">
        <v>1568</v>
      </c>
      <c r="B1174" s="187"/>
      <c r="C1174" s="686">
        <f t="shared" ref="C1174:AH1174" si="1569">IF(ISBLANK(INDEX(MO_IS_FirstRow,0,COLUMN())),0,IF(MOD(C621*1000000,1)=0,"Check",0))</f>
        <v>0</v>
      </c>
      <c r="D1174" s="686">
        <f t="shared" si="1569"/>
        <v>0</v>
      </c>
      <c r="E1174" s="686">
        <f t="shared" si="1569"/>
        <v>0</v>
      </c>
      <c r="F1174" s="686">
        <f t="shared" si="1569"/>
        <v>0</v>
      </c>
      <c r="G1174" s="686">
        <f t="shared" si="1569"/>
        <v>0</v>
      </c>
      <c r="H1174" s="686">
        <f t="shared" si="1569"/>
        <v>0</v>
      </c>
      <c r="I1174" s="686">
        <f t="shared" si="1569"/>
        <v>0</v>
      </c>
      <c r="J1174" s="686">
        <f t="shared" si="1569"/>
        <v>0</v>
      </c>
      <c r="K1174" s="686">
        <f t="shared" si="1569"/>
        <v>0</v>
      </c>
      <c r="L1174" s="686">
        <f t="shared" si="1569"/>
        <v>0</v>
      </c>
      <c r="M1174" s="686">
        <f t="shared" si="1569"/>
        <v>0</v>
      </c>
      <c r="N1174" s="686">
        <f t="shared" si="1569"/>
        <v>0</v>
      </c>
      <c r="O1174" s="686">
        <f t="shared" si="1569"/>
        <v>0</v>
      </c>
      <c r="P1174" s="686">
        <f t="shared" si="1569"/>
        <v>0</v>
      </c>
      <c r="Q1174" s="686">
        <f t="shared" si="1569"/>
        <v>0</v>
      </c>
      <c r="R1174" s="686">
        <f t="shared" si="1569"/>
        <v>0</v>
      </c>
      <c r="S1174" s="686">
        <f t="shared" si="1569"/>
        <v>0</v>
      </c>
      <c r="T1174" s="686">
        <f t="shared" si="1569"/>
        <v>0</v>
      </c>
      <c r="U1174" s="686">
        <f t="shared" si="1569"/>
        <v>0</v>
      </c>
      <c r="V1174" s="686">
        <f t="shared" si="1569"/>
        <v>0</v>
      </c>
      <c r="W1174" s="686">
        <f t="shared" si="1569"/>
        <v>0</v>
      </c>
      <c r="X1174" s="686">
        <f t="shared" si="1569"/>
        <v>0</v>
      </c>
      <c r="Y1174" s="686">
        <f t="shared" si="1569"/>
        <v>0</v>
      </c>
      <c r="Z1174" s="686">
        <f t="shared" si="1569"/>
        <v>0</v>
      </c>
      <c r="AA1174" s="686">
        <f t="shared" si="1569"/>
        <v>0</v>
      </c>
      <c r="AB1174" s="686">
        <f t="shared" si="1569"/>
        <v>0</v>
      </c>
      <c r="AC1174" s="686">
        <f t="shared" si="1569"/>
        <v>0</v>
      </c>
      <c r="AD1174" s="686">
        <f t="shared" si="1569"/>
        <v>0</v>
      </c>
      <c r="AE1174" s="686">
        <f t="shared" si="1569"/>
        <v>0</v>
      </c>
      <c r="AF1174" s="686">
        <f t="shared" si="1569"/>
        <v>0</v>
      </c>
      <c r="AG1174" s="686">
        <f t="shared" si="1569"/>
        <v>0</v>
      </c>
      <c r="AH1174" s="686">
        <f t="shared" si="1569"/>
        <v>0</v>
      </c>
      <c r="AI1174" s="686">
        <f t="shared" ref="AI1174:BN1174" si="1570">IF(ISBLANK(INDEX(MO_IS_FirstRow,0,COLUMN())),0,IF(MOD(AI621*1000000,1)=0,"Check",0))</f>
        <v>0</v>
      </c>
      <c r="AJ1174" s="686">
        <f t="shared" si="1570"/>
        <v>0</v>
      </c>
      <c r="AK1174" s="686">
        <f t="shared" si="1570"/>
        <v>0</v>
      </c>
      <c r="AL1174" s="686">
        <f t="shared" si="1570"/>
        <v>0</v>
      </c>
      <c r="AM1174" s="686">
        <f t="shared" si="1570"/>
        <v>0</v>
      </c>
      <c r="AN1174" s="686">
        <f t="shared" si="1570"/>
        <v>0</v>
      </c>
      <c r="AO1174" s="686">
        <f t="shared" si="1570"/>
        <v>0</v>
      </c>
      <c r="AP1174" s="686">
        <f t="shared" si="1570"/>
        <v>0</v>
      </c>
      <c r="AQ1174" s="686">
        <f t="shared" si="1570"/>
        <v>0</v>
      </c>
      <c r="AR1174" s="686">
        <f t="shared" si="1570"/>
        <v>0</v>
      </c>
      <c r="AS1174" s="686">
        <f t="shared" si="1570"/>
        <v>0</v>
      </c>
      <c r="AT1174" s="686">
        <f t="shared" si="1570"/>
        <v>0</v>
      </c>
      <c r="AU1174" s="686">
        <f t="shared" si="1570"/>
        <v>0</v>
      </c>
      <c r="AV1174" s="686">
        <f t="shared" si="1570"/>
        <v>0</v>
      </c>
      <c r="AW1174" s="686">
        <f t="shared" si="1570"/>
        <v>0</v>
      </c>
      <c r="AX1174" s="686">
        <f t="shared" si="1570"/>
        <v>0</v>
      </c>
      <c r="AY1174" s="686">
        <f t="shared" si="1570"/>
        <v>0</v>
      </c>
      <c r="AZ1174" s="686">
        <f t="shared" si="1570"/>
        <v>0</v>
      </c>
      <c r="BA1174" s="686">
        <f t="shared" si="1570"/>
        <v>0</v>
      </c>
      <c r="BB1174" s="686">
        <f t="shared" si="1570"/>
        <v>0</v>
      </c>
      <c r="BC1174" s="686">
        <f t="shared" si="1570"/>
        <v>0</v>
      </c>
      <c r="BD1174" s="686">
        <f t="shared" si="1570"/>
        <v>0</v>
      </c>
      <c r="BE1174" s="686">
        <f t="shared" si="1570"/>
        <v>0</v>
      </c>
      <c r="BF1174" s="686">
        <f t="shared" si="1570"/>
        <v>0</v>
      </c>
      <c r="BG1174" s="686">
        <f t="shared" si="1570"/>
        <v>0</v>
      </c>
      <c r="BH1174" s="686">
        <f t="shared" ref="BH1174:BM1174" si="1571">IF(ISBLANK(INDEX(MO_IS_FirstRow,0,COLUMN())),0,IF(MOD(BH621*1000000,1)=0,"Check",0))</f>
        <v>0</v>
      </c>
      <c r="BI1174" s="686">
        <f t="shared" si="1571"/>
        <v>0</v>
      </c>
      <c r="BJ1174" s="687">
        <f>IF(ISBLANK(INDEX(MO_IS_FirstRow,0,COLUMN())),0,IF(MOD(BJ621*1000000,1)=0,"Check",0))</f>
        <v>0</v>
      </c>
      <c r="BK1174" s="686">
        <f t="shared" si="1571"/>
        <v>0</v>
      </c>
      <c r="BL1174" s="686">
        <f t="shared" si="1571"/>
        <v>0</v>
      </c>
      <c r="BM1174" s="686">
        <f t="shared" si="1571"/>
        <v>0</v>
      </c>
      <c r="BN1174" s="686">
        <f t="shared" si="1570"/>
        <v>0</v>
      </c>
      <c r="BO1174" s="686">
        <f t="shared" ref="BO1174:BV1174" si="1572">IF(ISBLANK(INDEX(MO_IS_FirstRow,0,COLUMN())),0,IF(MOD(BO621*1000000,1)=0,"Check",0))</f>
        <v>0</v>
      </c>
      <c r="BP1174" s="686">
        <f t="shared" si="1572"/>
        <v>0</v>
      </c>
      <c r="BQ1174" s="686">
        <f t="shared" si="1572"/>
        <v>0</v>
      </c>
      <c r="BR1174" s="686">
        <f t="shared" si="1572"/>
        <v>0</v>
      </c>
      <c r="BS1174" s="686">
        <f t="shared" si="1572"/>
        <v>0</v>
      </c>
      <c r="BT1174" s="686">
        <f t="shared" si="1572"/>
        <v>0</v>
      </c>
      <c r="BU1174" s="686">
        <f t="shared" si="1572"/>
        <v>0</v>
      </c>
      <c r="BV1174" s="686">
        <f t="shared" si="1572"/>
        <v>0</v>
      </c>
      <c r="BW1174" s="122"/>
    </row>
    <row r="1175" spans="1:75" s="123" customFormat="1" x14ac:dyDescent="0.5">
      <c r="A1175" s="122" t="s">
        <v>1569</v>
      </c>
      <c r="B1175" s="187"/>
      <c r="C1175" s="686"/>
      <c r="D1175" s="686"/>
      <c r="E1175" s="686"/>
      <c r="F1175" s="686"/>
      <c r="G1175" s="686"/>
      <c r="H1175" s="686"/>
      <c r="I1175" s="686"/>
      <c r="J1175" s="686"/>
      <c r="K1175" s="686">
        <f>IF(ISBLANK(INDEX(MO_IS_FirstRow,0,COLUMN())),0,ROUND(K746-SUM(G746,H746,I746,J746),6)+ROUND(K727-SUM(G727,H727,I727,J727),6))</f>
        <v>-4.1355000000000003E-2</v>
      </c>
      <c r="L1175" s="686"/>
      <c r="M1175" s="686"/>
      <c r="N1175" s="686"/>
      <c r="O1175" s="686"/>
      <c r="P1175" s="686">
        <f>IF(ISBLANK(INDEX(MO_IS_FirstRow,0,COLUMN())),0,ROUND(P746-SUM(L746,M746,N746,O746),6)+ROUND(P727-SUM(L727,M727,N727,O727),6))</f>
        <v>0.86199899999999996</v>
      </c>
      <c r="Q1175" s="686"/>
      <c r="R1175" s="686"/>
      <c r="S1175" s="686"/>
      <c r="T1175" s="686"/>
      <c r="U1175" s="686">
        <f>IF(ISBLANK(INDEX(MO_IS_FirstRow,0,COLUMN())),0,ROUND(U746-SUM(Q746,R746,S746,T746),6)+ROUND(U727-SUM(Q727,R727,S727,T727),6))</f>
        <v>-1.2116999999999999E-2</v>
      </c>
      <c r="V1175" s="686"/>
      <c r="W1175" s="686"/>
      <c r="X1175" s="686"/>
      <c r="Y1175" s="686"/>
      <c r="Z1175" s="686">
        <f>IF(ISBLANK(INDEX(MO_IS_FirstRow,0,COLUMN())),0,ROUND(Z746-SUM(V746,W746,X746,Y746),6)+ROUND(Z727-SUM(V727,W727,X727,Y727),6))</f>
        <v>-0.168795</v>
      </c>
      <c r="AA1175" s="686"/>
      <c r="AB1175" s="686"/>
      <c r="AC1175" s="686"/>
      <c r="AD1175" s="686"/>
      <c r="AE1175" s="686">
        <f>IF(ISBLANK(INDEX(MO_IS_FirstRow,0,COLUMN())),0,ROUND(AE746-SUM(AA746,AB746,AC746,AD746),6)+ROUND(AE727-SUM(AA727,AB727,AC727,AD727),6))</f>
        <v>-1.0529E-2</v>
      </c>
      <c r="AF1175" s="686"/>
      <c r="AG1175" s="686"/>
      <c r="AH1175" s="686"/>
      <c r="AI1175" s="686"/>
      <c r="AJ1175" s="686">
        <f>IF(ISBLANK(INDEX(MO_IS_FirstRow,0,COLUMN())),0,ROUND(AJ746-SUM(AF746,AG746,AH746,AI746),6)+ROUND(AJ727-SUM(AF727,AG727,AH727,AI727),6))</f>
        <v>-3.9065999999999997E-2</v>
      </c>
      <c r="AK1175" s="686"/>
      <c r="AL1175" s="686"/>
      <c r="AM1175" s="686"/>
      <c r="AN1175" s="686"/>
      <c r="AO1175" s="686">
        <f>IF(ISBLANK(INDEX(MO_IS_FirstRow,0,COLUMN())),0,ROUND(AO746-SUM(AK746,AL746,AM746,AN746),6)+ROUND(AO727-SUM(AK727,AL727,AM727,AN727),6))</f>
        <v>-9.3800000000000003E-4</v>
      </c>
      <c r="AP1175" s="686"/>
      <c r="AQ1175" s="686"/>
      <c r="AR1175" s="686"/>
      <c r="AS1175" s="686"/>
      <c r="AT1175" s="686">
        <f>IF(ISBLANK(INDEX(MO_IS_FirstRow,0,COLUMN())),0,ROUND(AT746-SUM(AP746,AQ746,AR746,AS746),6)+ROUND(AT727-SUM(AP727,AQ727,AR727,AS727),6))</f>
        <v>9.2420000000000002E-3</v>
      </c>
      <c r="AU1175" s="686"/>
      <c r="AV1175" s="686"/>
      <c r="AW1175" s="686"/>
      <c r="AX1175" s="686"/>
      <c r="AY1175" s="686">
        <f>IF(ISBLANK(INDEX(MO_IS_FirstRow,0,COLUMN())),0,ROUND(AY746-SUM(AU746,AV746,AW746,AX746),6)+ROUND(AY727-SUM(AU727,AV727,AW727,AX727),6))</f>
        <v>-5.8111999999999997E-2</v>
      </c>
      <c r="AZ1175" s="686"/>
      <c r="BA1175" s="686"/>
      <c r="BB1175" s="686"/>
      <c r="BC1175" s="686"/>
      <c r="BD1175" s="686">
        <f>IF(ISBLANK(INDEX(MO_IS_FirstRow,0,COLUMN())),0,ROUND(BD746-SUM(AZ746,BA746,BB746,BC746),6)+ROUND(BD727-SUM(AZ727,BA727,BB727,BC727),6))</f>
        <v>-5.6341000000000002E-2</v>
      </c>
      <c r="BE1175" s="686"/>
      <c r="BF1175" s="686"/>
      <c r="BG1175" s="686"/>
      <c r="BH1175" s="686"/>
      <c r="BI1175" s="686">
        <f>IF(ISBLANK(INDEX(MO_IS_FirstRow,0,COLUMN())),0,ROUND(BI746-SUM(BE746,BF746,BG746,BH746),6)+ROUND(BI727-SUM(BE727,BF727,BG727,BH727),6))</f>
        <v>-2.2859000000000001E-2</v>
      </c>
      <c r="BJ1175" s="687"/>
      <c r="BK1175" s="686"/>
      <c r="BL1175" s="686"/>
      <c r="BM1175" s="686"/>
      <c r="BN1175" s="686">
        <f>IF(ISBLANK(INDEX(MO_IS_FirstRow,0,COLUMN())),0,ROUND(BN746-SUM(BJ746,BK746,BL746,BM746),6)+ROUND(BN727-SUM(BJ727,BK727,BL727,BM727),6))</f>
        <v>0</v>
      </c>
      <c r="BO1175" s="686"/>
      <c r="BP1175" s="686"/>
      <c r="BQ1175" s="686"/>
      <c r="BR1175" s="686"/>
      <c r="BS1175" s="686">
        <f>IF(ISBLANK(INDEX(MO_IS_FirstRow,0,COLUMN())),0,ROUND(BS746-SUM(BO746,BP746,BQ746,BR746),6)+ROUND(BS727-SUM(BO727,BP727,BQ727,BR727),6))</f>
        <v>0</v>
      </c>
      <c r="BT1175" s="686"/>
      <c r="BU1175" s="686"/>
      <c r="BV1175" s="686"/>
      <c r="BW1175" s="122"/>
    </row>
    <row r="1176" spans="1:75" s="123" customFormat="1" x14ac:dyDescent="0.5">
      <c r="A1176" s="122" t="s">
        <v>1570</v>
      </c>
      <c r="B1176" s="187"/>
      <c r="C1176" s="686">
        <f t="shared" ref="C1176:AH1176" si="1573">IF(OR(INDEX(MO_CFSum_Acquisition,1,COLUMN())&gt;0,INDEX(MO_CFSum_Divestiture,1,COLUMN())&lt;0,INDEX(MO_CFSum_Capex,1,COLUMN())&gt;0,INDEX(MO_CFSum_Dividend,1,COLUMN())&gt;0),"CHECK",0)</f>
        <v>0</v>
      </c>
      <c r="D1176" s="686">
        <f t="shared" si="1573"/>
        <v>0</v>
      </c>
      <c r="E1176" s="686">
        <f t="shared" si="1573"/>
        <v>0</v>
      </c>
      <c r="F1176" s="686">
        <f t="shared" si="1573"/>
        <v>0</v>
      </c>
      <c r="G1176" s="686">
        <f t="shared" si="1573"/>
        <v>0</v>
      </c>
      <c r="H1176" s="686">
        <f t="shared" si="1573"/>
        <v>0</v>
      </c>
      <c r="I1176" s="686">
        <f t="shared" si="1573"/>
        <v>0</v>
      </c>
      <c r="J1176" s="686">
        <f t="shared" si="1573"/>
        <v>0</v>
      </c>
      <c r="K1176" s="686">
        <f t="shared" si="1573"/>
        <v>0</v>
      </c>
      <c r="L1176" s="686">
        <f t="shared" si="1573"/>
        <v>0</v>
      </c>
      <c r="M1176" s="686">
        <f t="shared" si="1573"/>
        <v>0</v>
      </c>
      <c r="N1176" s="686">
        <f t="shared" si="1573"/>
        <v>0</v>
      </c>
      <c r="O1176" s="686">
        <f t="shared" si="1573"/>
        <v>0</v>
      </c>
      <c r="P1176" s="686">
        <f t="shared" si="1573"/>
        <v>0</v>
      </c>
      <c r="Q1176" s="686">
        <f t="shared" si="1573"/>
        <v>0</v>
      </c>
      <c r="R1176" s="686">
        <f t="shared" si="1573"/>
        <v>0</v>
      </c>
      <c r="S1176" s="686">
        <f t="shared" si="1573"/>
        <v>0</v>
      </c>
      <c r="T1176" s="686">
        <f t="shared" si="1573"/>
        <v>0</v>
      </c>
      <c r="U1176" s="686">
        <f t="shared" si="1573"/>
        <v>0</v>
      </c>
      <c r="V1176" s="686">
        <f t="shared" si="1573"/>
        <v>0</v>
      </c>
      <c r="W1176" s="686">
        <f t="shared" si="1573"/>
        <v>0</v>
      </c>
      <c r="X1176" s="686">
        <f t="shared" si="1573"/>
        <v>0</v>
      </c>
      <c r="Y1176" s="686">
        <f t="shared" si="1573"/>
        <v>0</v>
      </c>
      <c r="Z1176" s="686">
        <f t="shared" si="1573"/>
        <v>0</v>
      </c>
      <c r="AA1176" s="686">
        <f t="shared" si="1573"/>
        <v>0</v>
      </c>
      <c r="AB1176" s="686">
        <f t="shared" si="1573"/>
        <v>0</v>
      </c>
      <c r="AC1176" s="686">
        <f t="shared" si="1573"/>
        <v>0</v>
      </c>
      <c r="AD1176" s="686">
        <f t="shared" si="1573"/>
        <v>0</v>
      </c>
      <c r="AE1176" s="686">
        <f t="shared" si="1573"/>
        <v>0</v>
      </c>
      <c r="AF1176" s="686">
        <f t="shared" si="1573"/>
        <v>0</v>
      </c>
      <c r="AG1176" s="686">
        <f t="shared" si="1573"/>
        <v>0</v>
      </c>
      <c r="AH1176" s="686">
        <f t="shared" si="1573"/>
        <v>0</v>
      </c>
      <c r="AI1176" s="686">
        <f t="shared" ref="AI1176:AQ1176" si="1574">IF(OR(INDEX(MO_CFSum_Acquisition,1,COLUMN())&gt;0,INDEX(MO_CFSum_Divestiture,1,COLUMN())&lt;0,INDEX(MO_CFSum_Capex,1,COLUMN())&gt;0,INDEX(MO_CFSum_Dividend,1,COLUMN())&gt;0),"CHECK",0)</f>
        <v>0</v>
      </c>
      <c r="AJ1176" s="686">
        <f t="shared" si="1574"/>
        <v>0</v>
      </c>
      <c r="AK1176" s="686">
        <f t="shared" si="1574"/>
        <v>0</v>
      </c>
      <c r="AL1176" s="686">
        <f t="shared" si="1574"/>
        <v>0</v>
      </c>
      <c r="AM1176" s="686">
        <f t="shared" si="1574"/>
        <v>0</v>
      </c>
      <c r="AN1176" s="686">
        <f t="shared" si="1574"/>
        <v>0</v>
      </c>
      <c r="AO1176" s="686">
        <f t="shared" si="1574"/>
        <v>0</v>
      </c>
      <c r="AP1176" s="686">
        <f t="shared" si="1574"/>
        <v>0</v>
      </c>
      <c r="AQ1176" s="686">
        <f t="shared" si="1574"/>
        <v>0</v>
      </c>
      <c r="AR1176" s="686">
        <f t="shared" ref="AR1176:AW1176" si="1575">IF(OR(INDEX(MO_CFSum_Acquisition,1,COLUMN())&gt;0,INDEX(MO_CFSum_Divestiture,1,COLUMN())&lt;0,INDEX(MO_CFSum_Capex,1,COLUMN())&gt;0,INDEX(MO_CFSum_Dividend,1,COLUMN())&gt;0),"CHECK",0)</f>
        <v>0</v>
      </c>
      <c r="AS1176" s="686">
        <f t="shared" si="1575"/>
        <v>0</v>
      </c>
      <c r="AT1176" s="686">
        <f t="shared" si="1575"/>
        <v>0</v>
      </c>
      <c r="AU1176" s="686">
        <f t="shared" si="1575"/>
        <v>0</v>
      </c>
      <c r="AV1176" s="686">
        <f t="shared" si="1575"/>
        <v>0</v>
      </c>
      <c r="AW1176" s="686">
        <f t="shared" si="1575"/>
        <v>0</v>
      </c>
      <c r="AX1176" s="686">
        <f t="shared" ref="AX1176:AY1176" si="1576">IF(OR(INDEX(MO_CFSum_Acquisition,1,COLUMN())&gt;0,INDEX(MO_CFSum_Divestiture,1,COLUMN())&lt;0,INDEX(MO_CFSum_Capex,1,COLUMN())&gt;0,INDEX(MO_CFSum_Dividend,1,COLUMN())&gt;0),"CHECK",0)</f>
        <v>0</v>
      </c>
      <c r="AY1176" s="686">
        <f t="shared" si="1576"/>
        <v>0</v>
      </c>
      <c r="AZ1176" s="686">
        <f t="shared" ref="AZ1176:BD1176" si="1577">IF(OR(INDEX(MO_CFSum_Acquisition,1,COLUMN())&gt;0,INDEX(MO_CFSum_Divestiture,1,COLUMN())&lt;0,INDEX(MO_CFSum_Capex,1,COLUMN())&gt;0,INDEX(MO_CFSum_Dividend,1,COLUMN())&gt;0),"CHECK",0)</f>
        <v>0</v>
      </c>
      <c r="BA1176" s="686">
        <f t="shared" si="1577"/>
        <v>0</v>
      </c>
      <c r="BB1176" s="686">
        <f t="shared" si="1577"/>
        <v>0</v>
      </c>
      <c r="BC1176" s="686">
        <f t="shared" si="1577"/>
        <v>0</v>
      </c>
      <c r="BD1176" s="686">
        <f t="shared" si="1577"/>
        <v>0</v>
      </c>
      <c r="BE1176" s="686">
        <f t="shared" ref="BE1176:BV1176" si="1578">IF(OR(INDEX(MO_CFSum_Acquisition,1,COLUMN())&gt;0,INDEX(MO_CFSum_Divestiture,1,COLUMN())&lt;0,INDEX(MO_CFSum_Capex,1,COLUMN())&gt;0,INDEX(MO_CFSum_Dividend,1,COLUMN())&gt;0),"CHECK",0)</f>
        <v>0</v>
      </c>
      <c r="BF1176" s="686">
        <f t="shared" si="1578"/>
        <v>0</v>
      </c>
      <c r="BG1176" s="686">
        <f t="shared" si="1578"/>
        <v>0</v>
      </c>
      <c r="BH1176" s="686">
        <f t="shared" si="1578"/>
        <v>0</v>
      </c>
      <c r="BI1176" s="686">
        <f t="shared" si="1578"/>
        <v>0</v>
      </c>
      <c r="BJ1176" s="687">
        <f>IF(OR(INDEX(MO_CFSum_Acquisition,1,COLUMN())&gt;0,INDEX(MO_CFSum_Divestiture,1,COLUMN())&lt;0,INDEX(MO_CFSum_Capex,1,COLUMN())&gt;0,INDEX(MO_CFSum_Dividend,1,COLUMN())&gt;0),"CHECK",0)</f>
        <v>0</v>
      </c>
      <c r="BK1176" s="686">
        <f t="shared" ca="1" si="1578"/>
        <v>0</v>
      </c>
      <c r="BL1176" s="686">
        <f t="shared" ca="1" si="1578"/>
        <v>0</v>
      </c>
      <c r="BM1176" s="686">
        <f t="shared" ca="1" si="1578"/>
        <v>0</v>
      </c>
      <c r="BN1176" s="686">
        <f t="shared" ca="1" si="1578"/>
        <v>0</v>
      </c>
      <c r="BO1176" s="686">
        <f t="shared" ca="1" si="1578"/>
        <v>0</v>
      </c>
      <c r="BP1176" s="686">
        <f t="shared" ca="1" si="1578"/>
        <v>0</v>
      </c>
      <c r="BQ1176" s="686">
        <f t="shared" ca="1" si="1578"/>
        <v>0</v>
      </c>
      <c r="BR1176" s="686">
        <f t="shared" ca="1" si="1578"/>
        <v>0</v>
      </c>
      <c r="BS1176" s="686">
        <f t="shared" ca="1" si="1578"/>
        <v>0</v>
      </c>
      <c r="BT1176" s="686">
        <f t="shared" ca="1" si="1578"/>
        <v>0</v>
      </c>
      <c r="BU1176" s="686">
        <f t="shared" ca="1" si="1578"/>
        <v>0</v>
      </c>
      <c r="BV1176" s="686">
        <f t="shared" ca="1" si="1578"/>
        <v>0</v>
      </c>
      <c r="BW1176" s="122"/>
    </row>
    <row r="1177" spans="1:75" s="123" customFormat="1" x14ac:dyDescent="0.5">
      <c r="A1177" s="122" t="s">
        <v>1571</v>
      </c>
      <c r="B1177" s="187"/>
      <c r="C1177" s="686"/>
      <c r="D1177" s="686"/>
      <c r="E1177" s="686"/>
      <c r="F1177" s="686"/>
      <c r="G1177" s="686"/>
      <c r="H1177" s="686"/>
      <c r="I1177" s="686"/>
      <c r="J1177" s="686"/>
      <c r="K1177" s="686">
        <f>ROUND(K786-SUM(G786,H786,I786,J786),6)</f>
        <v>0</v>
      </c>
      <c r="L1177" s="686"/>
      <c r="M1177" s="686"/>
      <c r="N1177" s="686"/>
      <c r="O1177" s="686"/>
      <c r="P1177" s="686">
        <f>ROUND(P786-SUM(L786,M786,N786,O786),6)</f>
        <v>0</v>
      </c>
      <c r="Q1177" s="686"/>
      <c r="R1177" s="686"/>
      <c r="S1177" s="686"/>
      <c r="T1177" s="686"/>
      <c r="U1177" s="686">
        <f>ROUND(U786-SUM(Q786,R786,S786,T786),6)</f>
        <v>0</v>
      </c>
      <c r="V1177" s="686"/>
      <c r="W1177" s="686"/>
      <c r="X1177" s="686"/>
      <c r="Y1177" s="686"/>
      <c r="Z1177" s="686">
        <f>ROUND(Z786-SUM(V786,W786,X786,Y786),6)</f>
        <v>0</v>
      </c>
      <c r="AA1177" s="686"/>
      <c r="AB1177" s="686"/>
      <c r="AC1177" s="686"/>
      <c r="AD1177" s="686"/>
      <c r="AE1177" s="686">
        <f>ROUND(AE786-SUM(AA786,AB786,AC786,AD786),6)</f>
        <v>0</v>
      </c>
      <c r="AF1177" s="686"/>
      <c r="AG1177" s="686"/>
      <c r="AH1177" s="686"/>
      <c r="AI1177" s="686"/>
      <c r="AJ1177" s="686">
        <f>ROUND(AJ786-SUM(AF786,AG786,AH786,AI786),6)</f>
        <v>0</v>
      </c>
      <c r="AK1177" s="686"/>
      <c r="AL1177" s="686"/>
      <c r="AM1177" s="686"/>
      <c r="AN1177" s="686"/>
      <c r="AO1177" s="686">
        <f>ROUND(AO786-SUM(AK786,AL786,AM786,AN786),6)</f>
        <v>0</v>
      </c>
      <c r="AP1177" s="686"/>
      <c r="AQ1177" s="686"/>
      <c r="AR1177" s="686"/>
      <c r="AS1177" s="686"/>
      <c r="AT1177" s="686">
        <f>ROUND(AT786-SUM(AP786,AQ786,AR786,AS786),6)</f>
        <v>0</v>
      </c>
      <c r="AU1177" s="686"/>
      <c r="AV1177" s="686"/>
      <c r="AW1177" s="686"/>
      <c r="AX1177" s="686"/>
      <c r="AY1177" s="686">
        <f>ROUND(AY786-SUM(AU786,AV786,AW786,AX786),6)</f>
        <v>0</v>
      </c>
      <c r="AZ1177" s="686"/>
      <c r="BA1177" s="686"/>
      <c r="BB1177" s="686"/>
      <c r="BC1177" s="686"/>
      <c r="BD1177" s="686">
        <f>ROUND(BD786-SUM(AZ786,BA786,BB786,BC786),6)</f>
        <v>0</v>
      </c>
      <c r="BE1177" s="686"/>
      <c r="BF1177" s="686"/>
      <c r="BG1177" s="686"/>
      <c r="BH1177" s="686"/>
      <c r="BI1177" s="686">
        <f>ROUND(BI786-SUM(BE786,BF786,BG786,BH786),6)</f>
        <v>0</v>
      </c>
      <c r="BJ1177" s="687"/>
      <c r="BK1177" s="686"/>
      <c r="BL1177" s="686"/>
      <c r="BM1177" s="686"/>
      <c r="BN1177" s="686">
        <f ca="1">ROUND(BN786-SUM(BJ786,BK786,BL786,BM786),6)</f>
        <v>0</v>
      </c>
      <c r="BO1177" s="686"/>
      <c r="BP1177" s="686"/>
      <c r="BQ1177" s="686"/>
      <c r="BR1177" s="686"/>
      <c r="BS1177" s="686">
        <f ca="1">ROUND(BS786-SUM(BO786,BP786,BQ786,BR786),6)</f>
        <v>0</v>
      </c>
      <c r="BT1177" s="686"/>
      <c r="BU1177" s="686"/>
      <c r="BV1177" s="686"/>
      <c r="BW1177" s="122"/>
    </row>
    <row r="1178" spans="1:75" s="123" customFormat="1" x14ac:dyDescent="0.5">
      <c r="A1178" s="122" t="s">
        <v>1572</v>
      </c>
      <c r="B1178" s="187"/>
      <c r="C1178" s="686"/>
      <c r="D1178" s="686"/>
      <c r="E1178" s="686"/>
      <c r="F1178" s="686"/>
      <c r="G1178" s="686"/>
      <c r="H1178" s="686"/>
      <c r="I1178" s="686"/>
      <c r="J1178" s="686"/>
      <c r="K1178" s="686">
        <f>ROUND(SUM(G802,H802,I802,J802)-INDEX(MO_RIS_NI_NONGAAP_Diluted,1,COLUMN()),6)</f>
        <v>1.4999999999999999E-2</v>
      </c>
      <c r="L1178" s="686"/>
      <c r="M1178" s="686"/>
      <c r="N1178" s="686"/>
      <c r="O1178" s="686"/>
      <c r="P1178" s="686">
        <f>ROUND(SUM(L802,M802,N802,O802)-INDEX(MO_RIS_NI_NONGAAP_Diluted,1,COLUMN()),6)</f>
        <v>-0.87404999999999999</v>
      </c>
      <c r="Q1178" s="686"/>
      <c r="R1178" s="686"/>
      <c r="S1178" s="686"/>
      <c r="T1178" s="686"/>
      <c r="U1178" s="686">
        <f>ROUND(SUM(Q802,R802,S802,T802)-INDEX(MO_RIS_NI_NONGAAP_Diluted,1,COLUMN()),6)</f>
        <v>0</v>
      </c>
      <c r="V1178" s="686"/>
      <c r="W1178" s="686"/>
      <c r="X1178" s="686"/>
      <c r="Y1178" s="686"/>
      <c r="Z1178" s="686">
        <f>ROUND(SUM(V802,W802,X802,Y802)-INDEX(MO_RIS_NI_NONGAAP_Diluted,1,COLUMN()),6)</f>
        <v>0.15781999999999999</v>
      </c>
      <c r="AA1178" s="686"/>
      <c r="AB1178" s="686"/>
      <c r="AC1178" s="686"/>
      <c r="AD1178" s="686"/>
      <c r="AE1178" s="686">
        <f>ROUND(SUM(AA802,AB802,AC802,AD802)-INDEX(MO_RIS_NI_NONGAAP_Diluted,1,COLUMN()),6)</f>
        <v>0</v>
      </c>
      <c r="AF1178" s="686"/>
      <c r="AG1178" s="686"/>
      <c r="AH1178" s="686"/>
      <c r="AI1178" s="686"/>
      <c r="AJ1178" s="686">
        <f>ROUND(SUM(AF802,AG802,AH802,AI802)-INDEX(MO_RIS_NI_NONGAAP_Diluted,1,COLUMN()),6)</f>
        <v>0</v>
      </c>
      <c r="AK1178" s="686"/>
      <c r="AL1178" s="686"/>
      <c r="AM1178" s="686"/>
      <c r="AN1178" s="686"/>
      <c r="AO1178" s="686">
        <f>ROUND(SUM(AK802,AL802,AM802,AN802)-INDEX(MO_RIS_NI_NONGAAP_Diluted,1,COLUMN()),6)</f>
        <v>0</v>
      </c>
      <c r="AP1178" s="686"/>
      <c r="AQ1178" s="686"/>
      <c r="AR1178" s="686"/>
      <c r="AS1178" s="686"/>
      <c r="AT1178" s="686">
        <f>ROUND(SUM(AP802,AQ802,AR802,AS802)-INDEX(MO_RIS_NI_NONGAAP_Diluted,1,COLUMN()),6)</f>
        <v>0</v>
      </c>
      <c r="AU1178" s="686"/>
      <c r="AV1178" s="686"/>
      <c r="AW1178" s="686"/>
      <c r="AX1178" s="686"/>
      <c r="AY1178" s="686">
        <f>ROUND(SUM(AU802,AV802,AW802,AX802)-INDEX(MO_RIS_NI_NONGAAP_Diluted,1,COLUMN()),6)</f>
        <v>0</v>
      </c>
      <c r="AZ1178" s="686"/>
      <c r="BA1178" s="686"/>
      <c r="BB1178" s="686"/>
      <c r="BC1178" s="686"/>
      <c r="BD1178" s="686">
        <f>ROUND(SUM(AZ802,BA802,BB802,BC802)-INDEX(MO_RIS_NI_NONGAAP_Diluted,1,COLUMN()),6)</f>
        <v>0</v>
      </c>
      <c r="BE1178" s="686"/>
      <c r="BF1178" s="686"/>
      <c r="BG1178" s="686"/>
      <c r="BH1178" s="686"/>
      <c r="BI1178" s="686">
        <f>ROUND(SUM(BE802,BF802,BG802,BH802)-INDEX(MO_RIS_NI_NONGAAP_Diluted,1,COLUMN()),6)</f>
        <v>0</v>
      </c>
      <c r="BJ1178" s="687"/>
      <c r="BK1178" s="686"/>
      <c r="BL1178" s="686"/>
      <c r="BM1178" s="686"/>
      <c r="BN1178" s="686">
        <f ca="1">ROUND(SUM(BJ802,BK802,BL802,BM802)-INDEX(MO_RIS_NI_NONGAAP_Diluted,1,COLUMN()),6)</f>
        <v>0</v>
      </c>
      <c r="BO1178" s="686"/>
      <c r="BP1178" s="686"/>
      <c r="BQ1178" s="686"/>
      <c r="BR1178" s="686"/>
      <c r="BS1178" s="686">
        <f ca="1">ROUND(SUM(BO802,BP802,BQ802,BR802)-INDEX(MO_RIS_NI_NONGAAP_Diluted,1,COLUMN()),6)</f>
        <v>0</v>
      </c>
      <c r="BT1178" s="686"/>
      <c r="BU1178" s="686"/>
      <c r="BV1178" s="686"/>
      <c r="BW1178" s="122"/>
    </row>
    <row r="1179" spans="1:75" s="123" customFormat="1" x14ac:dyDescent="0.5">
      <c r="A1179" s="122" t="s">
        <v>1573</v>
      </c>
      <c r="B1179" s="187"/>
      <c r="C1179" s="686"/>
      <c r="D1179" s="686"/>
      <c r="E1179" s="686"/>
      <c r="F1179" s="686"/>
      <c r="G1179" s="686"/>
      <c r="H1179" s="686"/>
      <c r="I1179" s="686"/>
      <c r="J1179" s="686"/>
      <c r="K1179" s="686">
        <f ca="1">ROUND(SUM(G1019,H1019,I1019,J1019)-SUM(OFFSET(INDEX(MO_CFS_CFO_BeforeWC,1,COLUMN()),ROW(INDEX(MO_SubSection_CFS_CFO,1,COLUMN()))-ROW(INDEX(MO_CFS_CFO_BeforeWC,1,COLUMN())),0,ROW(INDEX(MO_CFS_CFO_BeforeWC,1,COLUMN()))-ROW(INDEX(MO_SubSection_CFS_CFO,1,COLUMN())),1)),6)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L1179" s="686"/>
      <c r="M1179" s="686"/>
      <c r="N1179" s="686"/>
      <c r="O1179" s="686"/>
      <c r="P1179" s="686">
        <f ca="1">ROUND(SUM(L1019,M1019,N1019,O1019)-SUM(OFFSET(INDEX(MO_CFS_CFO_BeforeWC,1,COLUMN()),ROW(INDEX(MO_SubSection_CFS_CFO,1,COLUMN()))-ROW(INDEX(MO_CFS_CFO_BeforeWC,1,COLUMN())),0,ROW(INDEX(MO_CFS_CFO_BeforeWC,1,COLUMN()))-ROW(INDEX(MO_SubSection_CFS_CFO,1,COLUMN())),1)),6)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Q1179" s="686"/>
      <c r="R1179" s="686"/>
      <c r="S1179" s="686"/>
      <c r="T1179" s="686"/>
      <c r="U1179" s="686">
        <f ca="1">ROUND(SUM(Q1019,R1019,S1019,T1019)-SUM(OFFSET(INDEX(MO_CFS_CFO_BeforeWC,1,COLUMN()),ROW(INDEX(MO_SubSection_CFS_CFO,1,COLUMN()))-ROW(INDEX(MO_CFS_CFO_BeforeWC,1,COLUMN())),0,ROW(INDEX(MO_CFS_CFO_BeforeWC,1,COLUMN()))-ROW(INDEX(MO_SubSection_CFS_CFO,1,COLUMN())),1)),6)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V1179" s="686"/>
      <c r="W1179" s="686"/>
      <c r="X1179" s="686"/>
      <c r="Y1179" s="686"/>
      <c r="Z1179" s="686">
        <f ca="1">ROUND(SUM(V1019,W1019,X1019,Y1019)-SUM(OFFSET(INDEX(MO_CFS_CFO_BeforeWC,1,COLUMN()),ROW(INDEX(MO_SubSection_CFS_CFO,1,COLUMN()))-ROW(INDEX(MO_CFS_CFO_BeforeWC,1,COLUMN())),0,ROW(INDEX(MO_CFS_CFO_BeforeWC,1,COLUMN()))-ROW(INDEX(MO_SubSection_CFS_CFO,1,COLUMN())),1)),6)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A1179" s="686"/>
      <c r="AB1179" s="686"/>
      <c r="AC1179" s="686"/>
      <c r="AD1179" s="686"/>
      <c r="AE1179" s="686">
        <f ca="1">ROUND(SUM(AA1019,AB1019,AC1019,AD1019)-SUM(OFFSET(INDEX(MO_CFS_CFO_BeforeWC,1,COLUMN()),ROW(INDEX(MO_SubSection_CFS_CFO,1,COLUMN()))-ROW(INDEX(MO_CFS_CFO_BeforeWC,1,COLUMN())),0,ROW(INDEX(MO_CFS_CFO_BeforeWC,1,COLUMN()))-ROW(INDEX(MO_SubSection_CFS_CFO,1,COLUMN())),1)),6)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F1179" s="686"/>
      <c r="AG1179" s="686"/>
      <c r="AH1179" s="686"/>
      <c r="AI1179" s="686"/>
      <c r="AJ1179" s="686">
        <f ca="1">ROUND(SUM(AF1019,AG1019,AH1019,AI1019)-SUM(OFFSET(INDEX(MO_CFS_CFO_BeforeWC,1,COLUMN()),ROW(INDEX(MO_SubSection_CFS_CFO,1,COLUMN()))-ROW(INDEX(MO_CFS_CFO_BeforeWC,1,COLUMN())),0,ROW(INDEX(MO_CFS_CFO_BeforeWC,1,COLUMN()))-ROW(INDEX(MO_SubSection_CFS_CFO,1,COLUMN())),1)),6)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K1179" s="686"/>
      <c r="AL1179" s="686"/>
      <c r="AM1179" s="686"/>
      <c r="AN1179" s="686"/>
      <c r="AO1179" s="686">
        <f ca="1">ROUND(SUM(AK1019,AL1019,AM1019,AN1019)-SUM(OFFSET(INDEX(MO_CFS_CFO_BeforeWC,1,COLUMN()),ROW(INDEX(MO_SubSection_CFS_CFO,1,COLUMN()))-ROW(INDEX(MO_CFS_CFO_BeforeWC,1,COLUMN())),0,ROW(INDEX(MO_CFS_CFO_BeforeWC,1,COLUMN()))-ROW(INDEX(MO_SubSection_CFS_CFO,1,COLUMN())),1)),6)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P1179" s="686"/>
      <c r="AQ1179" s="686"/>
      <c r="AR1179" s="686"/>
      <c r="AS1179" s="686"/>
      <c r="AT1179" s="686">
        <f ca="1">ROUND(SUM(AP1019,AQ1019,AR1019,AS1019)-SUM(OFFSET(INDEX(MO_CFS_CFO_BeforeWC,1,COLUMN()),ROW(INDEX(MO_SubSection_CFS_CFO,1,COLUMN()))-ROW(INDEX(MO_CFS_CFO_BeforeWC,1,COLUMN())),0,ROW(INDEX(MO_CFS_CFO_BeforeWC,1,COLUMN()))-ROW(INDEX(MO_SubSection_CFS_CFO,1,COLUMN())),1)),6)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U1179" s="686"/>
      <c r="AV1179" s="686"/>
      <c r="AW1179" s="686"/>
      <c r="AX1179" s="686"/>
      <c r="AY1179" s="686">
        <f ca="1">ROUND(SUM(AU1019,AV1019,AW1019,AX1019)-SUM(OFFSET(INDEX(MO_CFS_CFO_BeforeWC,1,COLUMN()),ROW(INDEX(MO_SubSection_CFS_CFO,1,COLUMN()))-ROW(INDEX(MO_CFS_CFO_BeforeWC,1,COLUMN())),0,ROW(INDEX(MO_CFS_CFO_BeforeWC,1,COLUMN()))-ROW(INDEX(MO_SubSection_CFS_CFO,1,COLUMN())),1)),6)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Z1179" s="686"/>
      <c r="BA1179" s="686"/>
      <c r="BB1179" s="686"/>
      <c r="BC1179" s="686"/>
      <c r="BD1179" s="686">
        <f ca="1">ROUND(SUM(AZ1019,BA1019,BB1019,BC1019)-SUM(OFFSET(INDEX(MO_CFS_CFO_BeforeWC,1,COLUMN()),ROW(INDEX(MO_SubSection_CFS_CFO,1,COLUMN()))-ROW(INDEX(MO_CFS_CFO_BeforeWC,1,COLUMN())),0,ROW(INDEX(MO_CFS_CFO_BeforeWC,1,COLUMN()))-ROW(INDEX(MO_SubSection_CFS_CFO,1,COLUMN())),1)),6)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BE1179" s="686"/>
      <c r="BF1179" s="686"/>
      <c r="BG1179" s="686"/>
      <c r="BH1179" s="686"/>
      <c r="BI1179" s="686">
        <f ca="1">ROUND(SUM(BE1019,BF1019,BG1019,BH1019)-SUM(OFFSET(INDEX(MO_CFS_CFO_BeforeWC,1,COLUMN()),ROW(INDEX(MO_SubSection_CFS_CFO,1,COLUMN()))-ROW(INDEX(MO_CFS_CFO_BeforeWC,1,COLUMN())),0,ROW(INDEX(MO_CFS_CFO_BeforeWC,1,COLUMN()))-ROW(INDEX(MO_SubSection_CFS_CFO,1,COLUMN())),1)),6)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BJ1179" s="687"/>
      <c r="BK1179" s="686"/>
      <c r="BL1179" s="686"/>
      <c r="BM1179" s="686"/>
      <c r="BN1179" s="686">
        <f ca="1">ROUND(SUM(BJ1019,BK1019,BL1019,BM1019)-SUM(OFFSET(INDEX(MO_CFS_CFO_BeforeWC,1,COLUMN()),ROW(INDEX(MO_SubSection_CFS_CFO,1,COLUMN()))-ROW(INDEX(MO_CFS_CFO_BeforeWC,1,COLUMN())),0,ROW(INDEX(MO_CFS_CFO_BeforeWC,1,COLUMN()))-ROW(INDEX(MO_SubSection_CFS_CFO,1,COLUMN())),1)),6)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BO1179" s="686"/>
      <c r="BP1179" s="686"/>
      <c r="BQ1179" s="686"/>
      <c r="BR1179" s="686"/>
      <c r="BS1179" s="686">
        <f ca="1">ROUND(SUM(BO1019,BP1019,BQ1019,BR1019)-SUM(OFFSET(INDEX(MO_CFS_CFO_BeforeWC,1,COLUMN()),ROW(INDEX(MO_SubSection_CFS_CFO,1,COLUMN()))-ROW(INDEX(MO_CFS_CFO_BeforeWC,1,COLUMN())),0,ROW(INDEX(MO_CFS_CFO_BeforeWC,1,COLUMN()))-ROW(INDEX(MO_SubSection_CFS_CFO,1,COLUMN())),1)),6)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BT1179" s="686"/>
      <c r="BU1179" s="686"/>
      <c r="BV1179" s="686"/>
      <c r="BW1179" s="122"/>
    </row>
    <row r="1180" spans="1:75" s="123" customFormat="1" x14ac:dyDescent="0.5">
      <c r="A1180" s="122" t="s">
        <v>1574</v>
      </c>
      <c r="B1180" s="187"/>
      <c r="C1180" s="686"/>
      <c r="D1180" s="686"/>
      <c r="E1180" s="686"/>
      <c r="F1180" s="686"/>
      <c r="G1180" s="686"/>
      <c r="H1180" s="686"/>
      <c r="I1180" s="686"/>
      <c r="J1180" s="686"/>
      <c r="K1180" s="686">
        <f ca="1">ROUND(SUM(G1030,H1030,I1030,J1030)-SUM(OFFSET(INDEX(MO_CFS_CFO,1,COLUMN()),ROW(INDEX(MO_CFS_CFO_BeforeWC,1,COLUMN()))-ROW(INDEX(MO_CFS_CFO,1,COLUMN())),0,ROW(INDEX(MO_CFS_CFO,1,COLUMN()))-ROW(INDEX(MO_CFS_CFO_BeforeWC,1,COLUMN())),1)),6)</f>
        <v>0</v>
      </c>
      <c r="L1180" s="686"/>
      <c r="M1180" s="686"/>
      <c r="N1180" s="686"/>
      <c r="O1180" s="686"/>
      <c r="P1180" s="686">
        <f ca="1">ROUND(SUM(L1030,M1030,N1030,O1030)-SUM(OFFSET(INDEX(MO_CFS_CFO,1,COLUMN()),ROW(INDEX(MO_CFS_CFO_BeforeWC,1,COLUMN()))-ROW(INDEX(MO_CFS_CFO,1,COLUMN())),0,ROW(INDEX(MO_CFS_CFO,1,COLUMN()))-ROW(INDEX(MO_CFS_CFO_BeforeWC,1,COLUMN())),1)),6)</f>
        <v>0</v>
      </c>
      <c r="Q1180" s="686"/>
      <c r="R1180" s="686"/>
      <c r="S1180" s="686"/>
      <c r="T1180" s="686"/>
      <c r="U1180" s="686">
        <f ca="1">ROUND(SUM(Q1030,R1030,S1030,T1030)-SUM(OFFSET(INDEX(MO_CFS_CFO,1,COLUMN()),ROW(INDEX(MO_CFS_CFO_BeforeWC,1,COLUMN()))-ROW(INDEX(MO_CFS_CFO,1,COLUMN())),0,ROW(INDEX(MO_CFS_CFO,1,COLUMN()))-ROW(INDEX(MO_CFS_CFO_BeforeWC,1,COLUMN())),1)),6)</f>
        <v>0</v>
      </c>
      <c r="V1180" s="686"/>
      <c r="W1180" s="686"/>
      <c r="X1180" s="686"/>
      <c r="Y1180" s="686"/>
      <c r="Z1180" s="686">
        <f ca="1">ROUND(SUM(V1030,W1030,X1030,Y1030)-SUM(OFFSET(INDEX(MO_CFS_CFO,1,COLUMN()),ROW(INDEX(MO_CFS_CFO_BeforeWC,1,COLUMN()))-ROW(INDEX(MO_CFS_CFO,1,COLUMN())),0,ROW(INDEX(MO_CFS_CFO,1,COLUMN()))-ROW(INDEX(MO_CFS_CFO_BeforeWC,1,COLUMN())),1)),6)</f>
        <v>0</v>
      </c>
      <c r="AA1180" s="686"/>
      <c r="AB1180" s="686"/>
      <c r="AC1180" s="686"/>
      <c r="AD1180" s="686"/>
      <c r="AE1180" s="686">
        <f ca="1">ROUND(SUM(AA1030,AB1030,AC1030,AD1030)-SUM(OFFSET(INDEX(MO_CFS_CFO,1,COLUMN()),ROW(INDEX(MO_CFS_CFO_BeforeWC,1,COLUMN()))-ROW(INDEX(MO_CFS_CFO,1,COLUMN())),0,ROW(INDEX(MO_CFS_CFO,1,COLUMN()))-ROW(INDEX(MO_CFS_CFO_BeforeWC,1,COLUMN())),1)),6)</f>
        <v>0</v>
      </c>
      <c r="AF1180" s="686"/>
      <c r="AG1180" s="686"/>
      <c r="AH1180" s="686"/>
      <c r="AI1180" s="686"/>
      <c r="AJ1180" s="686">
        <f ca="1">ROUND(SUM(AF1030,AG1030,AH1030,AI1030)-SUM(OFFSET(INDEX(MO_CFS_CFO,1,COLUMN()),ROW(INDEX(MO_CFS_CFO_BeforeWC,1,COLUMN()))-ROW(INDEX(MO_CFS_CFO,1,COLUMN())),0,ROW(INDEX(MO_CFS_CFO,1,COLUMN()))-ROW(INDEX(MO_CFS_CFO_BeforeWC,1,COLUMN())),1)),6)</f>
        <v>0</v>
      </c>
      <c r="AK1180" s="686"/>
      <c r="AL1180" s="686"/>
      <c r="AM1180" s="686"/>
      <c r="AN1180" s="686"/>
      <c r="AO1180" s="686">
        <f ca="1">ROUND(SUM(AK1030,AL1030,AM1030,AN1030)-SUM(OFFSET(INDEX(MO_CFS_CFO,1,COLUMN()),ROW(INDEX(MO_CFS_CFO_BeforeWC,1,COLUMN()))-ROW(INDEX(MO_CFS_CFO,1,COLUMN())),0,ROW(INDEX(MO_CFS_CFO,1,COLUMN()))-ROW(INDEX(MO_CFS_CFO_BeforeWC,1,COLUMN())),1)),6)</f>
        <v>0</v>
      </c>
      <c r="AP1180" s="686"/>
      <c r="AQ1180" s="686"/>
      <c r="AR1180" s="686"/>
      <c r="AS1180" s="686"/>
      <c r="AT1180" s="686">
        <f ca="1">ROUND(SUM(AP1030,AQ1030,AR1030,AS1030)-SUM(OFFSET(INDEX(MO_CFS_CFO,1,COLUMN()),ROW(INDEX(MO_CFS_CFO_BeforeWC,1,COLUMN()))-ROW(INDEX(MO_CFS_CFO,1,COLUMN())),0,ROW(INDEX(MO_CFS_CFO,1,COLUMN()))-ROW(INDEX(MO_CFS_CFO_BeforeWC,1,COLUMN())),1)),6)</f>
        <v>0</v>
      </c>
      <c r="AU1180" s="686"/>
      <c r="AV1180" s="686"/>
      <c r="AW1180" s="686"/>
      <c r="AX1180" s="686"/>
      <c r="AY1180" s="686">
        <f ca="1">ROUND(SUM(AU1030,AV1030,AW1030,AX1030)-SUM(OFFSET(INDEX(MO_CFS_CFO,1,COLUMN()),ROW(INDEX(MO_CFS_CFO_BeforeWC,1,COLUMN()))-ROW(INDEX(MO_CFS_CFO,1,COLUMN())),0,ROW(INDEX(MO_CFS_CFO,1,COLUMN()))-ROW(INDEX(MO_CFS_CFO_BeforeWC,1,COLUMN())),1)),6)</f>
        <v>0</v>
      </c>
      <c r="AZ1180" s="686"/>
      <c r="BA1180" s="686"/>
      <c r="BB1180" s="686"/>
      <c r="BC1180" s="686"/>
      <c r="BD1180" s="686">
        <f ca="1">ROUND(SUM(AZ1030,BA1030,BB1030,BC1030)-SUM(OFFSET(INDEX(MO_CFS_CFO,1,COLUMN()),ROW(INDEX(MO_CFS_CFO_BeforeWC,1,COLUMN()))-ROW(INDEX(MO_CFS_CFO,1,COLUMN())),0,ROW(INDEX(MO_CFS_CFO,1,COLUMN()))-ROW(INDEX(MO_CFS_CFO_BeforeWC,1,COLUMN())),1)),6)</f>
        <v>0</v>
      </c>
      <c r="BE1180" s="686"/>
      <c r="BF1180" s="686"/>
      <c r="BG1180" s="686"/>
      <c r="BH1180" s="686"/>
      <c r="BI1180" s="686">
        <f ca="1">ROUND(SUM(BE1030,BF1030,BG1030,BH1030)-SUM(OFFSET(INDEX(MO_CFS_CFO,1,COLUMN()),ROW(INDEX(MO_CFS_CFO_BeforeWC,1,COLUMN()))-ROW(INDEX(MO_CFS_CFO,1,COLUMN())),0,ROW(INDEX(MO_CFS_CFO,1,COLUMN()))-ROW(INDEX(MO_CFS_CFO_BeforeWC,1,COLUMN())),1)),6)</f>
        <v>0</v>
      </c>
      <c r="BJ1180" s="687"/>
      <c r="BK1180" s="686"/>
      <c r="BL1180" s="686"/>
      <c r="BM1180" s="686"/>
      <c r="BN1180" s="686">
        <f ca="1">ROUND(SUM(BJ1030,BK1030,BL1030,BM1030)-SUM(OFFSET(INDEX(MO_CFS_CFO,1,COLUMN()),ROW(INDEX(MO_CFS_CFO_BeforeWC,1,COLUMN()))-ROW(INDEX(MO_CFS_CFO,1,COLUMN())),0,ROW(INDEX(MO_CFS_CFO,1,COLUMN()))-ROW(INDEX(MO_CFS_CFO_BeforeWC,1,COLUMN())),1)),6)</f>
        <v>0</v>
      </c>
      <c r="BO1180" s="686"/>
      <c r="BP1180" s="686"/>
      <c r="BQ1180" s="686"/>
      <c r="BR1180" s="686"/>
      <c r="BS1180" s="686">
        <f ca="1">ROUND(SUM(BO1030,BP1030,BQ1030,BR1030)-SUM(OFFSET(INDEX(MO_CFS_CFO,1,COLUMN()),ROW(INDEX(MO_CFS_CFO_BeforeWC,1,COLUMN()))-ROW(INDEX(MO_CFS_CFO,1,COLUMN())),0,ROW(INDEX(MO_CFS_CFO,1,COLUMN()))-ROW(INDEX(MO_CFS_CFO_BeforeWC,1,COLUMN())),1)),6)</f>
        <v>0</v>
      </c>
      <c r="BT1180" s="686"/>
      <c r="BU1180" s="686"/>
      <c r="BV1180" s="686"/>
      <c r="BW1180" s="122"/>
    </row>
    <row r="1181" spans="1:75" s="123" customFormat="1" x14ac:dyDescent="0.5">
      <c r="A1181" s="122" t="s">
        <v>1575</v>
      </c>
      <c r="B1181" s="187"/>
      <c r="C1181" s="686"/>
      <c r="D1181" s="686"/>
      <c r="E1181" s="686"/>
      <c r="F1181" s="686"/>
      <c r="G1181" s="686"/>
      <c r="H1181" s="686"/>
      <c r="I1181" s="686"/>
      <c r="J1181" s="686"/>
      <c r="K1181" s="686">
        <f ca="1">ROUND(SUM(G1039,H1039,I1039,J1039)-SUM(OFFSET(INDEX(MO_CFS_CFI,1,COLUMN()),ROW(INDEX(MO_SubSection_CFS_CFI,1,COLUMN()))-ROW(INDEX(MO_CFS_CFI,1,COLUMN())),0,ROW(INDEX(MO_CFS_CFI,1,COLUMN()))-ROW(INDEX(MO_SubSection_CFS_CFI,1,COLUMN())),1)),6)</f>
        <v>0</v>
      </c>
      <c r="L1181" s="686"/>
      <c r="M1181" s="686"/>
      <c r="N1181" s="686"/>
      <c r="O1181" s="686"/>
      <c r="P1181" s="686">
        <f ca="1">ROUND(SUM(L1039,M1039,N1039,O1039)-SUM(OFFSET(INDEX(MO_CFS_CFI,1,COLUMN()),ROW(INDEX(MO_SubSection_CFS_CFI,1,COLUMN()))-ROW(INDEX(MO_CFS_CFI,1,COLUMN())),0,ROW(INDEX(MO_CFS_CFI,1,COLUMN()))-ROW(INDEX(MO_SubSection_CFS_CFI,1,COLUMN())),1)),6)</f>
        <v>0</v>
      </c>
      <c r="Q1181" s="686"/>
      <c r="R1181" s="686"/>
      <c r="S1181" s="686"/>
      <c r="T1181" s="686"/>
      <c r="U1181" s="686">
        <f ca="1">ROUND(SUM(Q1039,R1039,S1039,T1039)-SUM(OFFSET(INDEX(MO_CFS_CFI,1,COLUMN()),ROW(INDEX(MO_SubSection_CFS_CFI,1,COLUMN()))-ROW(INDEX(MO_CFS_CFI,1,COLUMN())),0,ROW(INDEX(MO_CFS_CFI,1,COLUMN()))-ROW(INDEX(MO_SubSection_CFS_CFI,1,COLUMN())),1)),6)</f>
        <v>0</v>
      </c>
      <c r="V1181" s="686"/>
      <c r="W1181" s="686"/>
      <c r="X1181" s="686"/>
      <c r="Y1181" s="686"/>
      <c r="Z1181" s="686">
        <f ca="1">ROUND(SUM(V1039,W1039,X1039,Y1039)-SUM(OFFSET(INDEX(MO_CFS_CFI,1,COLUMN()),ROW(INDEX(MO_SubSection_CFS_CFI,1,COLUMN()))-ROW(INDEX(MO_CFS_CFI,1,COLUMN())),0,ROW(INDEX(MO_CFS_CFI,1,COLUMN()))-ROW(INDEX(MO_SubSection_CFS_CFI,1,COLUMN())),1)),6)</f>
        <v>0</v>
      </c>
      <c r="AA1181" s="686"/>
      <c r="AB1181" s="686"/>
      <c r="AC1181" s="686"/>
      <c r="AD1181" s="686"/>
      <c r="AE1181" s="686">
        <f ca="1">ROUND(SUM(AA1039,AB1039,AC1039,AD1039)-SUM(OFFSET(INDEX(MO_CFS_CFI,1,COLUMN()),ROW(INDEX(MO_SubSection_CFS_CFI,1,COLUMN()))-ROW(INDEX(MO_CFS_CFI,1,COLUMN())),0,ROW(INDEX(MO_CFS_CFI,1,COLUMN()))-ROW(INDEX(MO_SubSection_CFS_CFI,1,COLUMN())),1)),6)</f>
        <v>0</v>
      </c>
      <c r="AF1181" s="686"/>
      <c r="AG1181" s="686"/>
      <c r="AH1181" s="686"/>
      <c r="AI1181" s="686"/>
      <c r="AJ1181" s="686">
        <f ca="1">ROUND(SUM(AF1039,AG1039,AH1039,AI1039)-SUM(OFFSET(INDEX(MO_CFS_CFI,1,COLUMN()),ROW(INDEX(MO_SubSection_CFS_CFI,1,COLUMN()))-ROW(INDEX(MO_CFS_CFI,1,COLUMN())),0,ROW(INDEX(MO_CFS_CFI,1,COLUMN()))-ROW(INDEX(MO_SubSection_CFS_CFI,1,COLUMN())),1)),6)</f>
        <v>0</v>
      </c>
      <c r="AK1181" s="686"/>
      <c r="AL1181" s="686"/>
      <c r="AM1181" s="686"/>
      <c r="AN1181" s="686"/>
      <c r="AO1181" s="686">
        <f ca="1">ROUND(SUM(AK1039,AL1039,AM1039,AN1039)-SUM(OFFSET(INDEX(MO_CFS_CFI,1,COLUMN()),ROW(INDEX(MO_SubSection_CFS_CFI,1,COLUMN()))-ROW(INDEX(MO_CFS_CFI,1,COLUMN())),0,ROW(INDEX(MO_CFS_CFI,1,COLUMN()))-ROW(INDEX(MO_SubSection_CFS_CFI,1,COLUMN())),1)),6)</f>
        <v>0</v>
      </c>
      <c r="AP1181" s="686"/>
      <c r="AQ1181" s="686"/>
      <c r="AR1181" s="686"/>
      <c r="AS1181" s="686"/>
      <c r="AT1181" s="686">
        <f ca="1">ROUND(SUM(AP1039,AQ1039,AR1039,AS1039)-SUM(OFFSET(INDEX(MO_CFS_CFI,1,COLUMN()),ROW(INDEX(MO_SubSection_CFS_CFI,1,COLUMN()))-ROW(INDEX(MO_CFS_CFI,1,COLUMN())),0,ROW(INDEX(MO_CFS_CFI,1,COLUMN()))-ROW(INDEX(MO_SubSection_CFS_CFI,1,COLUMN())),1)),6)</f>
        <v>0</v>
      </c>
      <c r="AU1181" s="686"/>
      <c r="AV1181" s="686"/>
      <c r="AW1181" s="686"/>
      <c r="AX1181" s="686"/>
      <c r="AY1181" s="686">
        <f ca="1">ROUND(SUM(AU1039,AV1039,AW1039,AX1039)-SUM(OFFSET(INDEX(MO_CFS_CFI,1,COLUMN()),ROW(INDEX(MO_SubSection_CFS_CFI,1,COLUMN()))-ROW(INDEX(MO_CFS_CFI,1,COLUMN())),0,ROW(INDEX(MO_CFS_CFI,1,COLUMN()))-ROW(INDEX(MO_SubSection_CFS_CFI,1,COLUMN())),1)),6)</f>
        <v>0</v>
      </c>
      <c r="AZ1181" s="686"/>
      <c r="BA1181" s="686"/>
      <c r="BB1181" s="686"/>
      <c r="BC1181" s="686"/>
      <c r="BD1181" s="686">
        <f ca="1">ROUND(SUM(AZ1039,BA1039,BB1039,BC1039)-SUM(OFFSET(INDEX(MO_CFS_CFI,1,COLUMN()),ROW(INDEX(MO_SubSection_CFS_CFI,1,COLUMN()))-ROW(INDEX(MO_CFS_CFI,1,COLUMN())),0,ROW(INDEX(MO_CFS_CFI,1,COLUMN()))-ROW(INDEX(MO_SubSection_CFS_CFI,1,COLUMN())),1)),6)</f>
        <v>0</v>
      </c>
      <c r="BE1181" s="686"/>
      <c r="BF1181" s="686"/>
      <c r="BG1181" s="686"/>
      <c r="BH1181" s="686"/>
      <c r="BI1181" s="686">
        <f ca="1">ROUND(SUM(BE1039,BF1039,BG1039,BH1039)-SUM(OFFSET(INDEX(MO_CFS_CFI,1,COLUMN()),ROW(INDEX(MO_SubSection_CFS_CFI,1,COLUMN()))-ROW(INDEX(MO_CFS_CFI,1,COLUMN())),0,ROW(INDEX(MO_CFS_CFI,1,COLUMN()))-ROW(INDEX(MO_SubSection_CFS_CFI,1,COLUMN())),1)),6)</f>
        <v>0</v>
      </c>
      <c r="BJ1181" s="687"/>
      <c r="BK1181" s="686"/>
      <c r="BL1181" s="686"/>
      <c r="BM1181" s="686"/>
      <c r="BN1181" s="686">
        <f ca="1">ROUND(SUM(BJ1039,BK1039,BL1039,BM1039)-SUM(OFFSET(INDEX(MO_CFS_CFI,1,COLUMN()),ROW(INDEX(MO_SubSection_CFS_CFI,1,COLUMN()))-ROW(INDEX(MO_CFS_CFI,1,COLUMN())),0,ROW(INDEX(MO_CFS_CFI,1,COLUMN()))-ROW(INDEX(MO_SubSection_CFS_CFI,1,COLUMN())),1)),6)</f>
        <v>0</v>
      </c>
      <c r="BO1181" s="686"/>
      <c r="BP1181" s="686"/>
      <c r="BQ1181" s="686"/>
      <c r="BR1181" s="686"/>
      <c r="BS1181" s="686">
        <f ca="1">ROUND(SUM(BO1039,BP1039,BQ1039,BR1039)-SUM(OFFSET(INDEX(MO_CFS_CFI,1,COLUMN()),ROW(INDEX(MO_SubSection_CFS_CFI,1,COLUMN()))-ROW(INDEX(MO_CFS_CFI,1,COLUMN())),0,ROW(INDEX(MO_CFS_CFI,1,COLUMN()))-ROW(INDEX(MO_SubSection_CFS_CFI,1,COLUMN())),1)),6)</f>
        <v>0</v>
      </c>
      <c r="BT1181" s="686"/>
      <c r="BU1181" s="686"/>
      <c r="BV1181" s="686"/>
      <c r="BW1181" s="122"/>
    </row>
    <row r="1182" spans="1:75" s="123" customFormat="1" x14ac:dyDescent="0.5">
      <c r="A1182" s="122" t="s">
        <v>1576</v>
      </c>
      <c r="B1182" s="187"/>
      <c r="C1182" s="686"/>
      <c r="D1182" s="686"/>
      <c r="E1182" s="686"/>
      <c r="F1182" s="686"/>
      <c r="G1182" s="686"/>
      <c r="H1182" s="686"/>
      <c r="I1182" s="686"/>
      <c r="J1182" s="686"/>
      <c r="K1182" s="686">
        <f ca="1">ROUND(SUM(G1054,H1054,I1054,J1054)-SUM(OFFSET(INDEX(MO_CFS_CFF,1,COLUMN()),ROW(INDEX(MO_SubSection_CFS_CFF,1,COLUMN()))-ROW(INDEX(MO_CFS_CFF,1,COLUMN())),0,ROW(INDEX(MO_CFS_CFF,1,COLUMN()))-ROW(INDEX(MO_SubSection_CFS_CFF,1,COLUMN())),1)),6)</f>
        <v>0</v>
      </c>
      <c r="L1182" s="686"/>
      <c r="M1182" s="686"/>
      <c r="N1182" s="686"/>
      <c r="O1182" s="686"/>
      <c r="P1182" s="686">
        <f ca="1">ROUND(SUM(L1054,M1054,N1054,O1054)-SUM(OFFSET(INDEX(MO_CFS_CFF,1,COLUMN()),ROW(INDEX(MO_SubSection_CFS_CFF,1,COLUMN()))-ROW(INDEX(MO_CFS_CFF,1,COLUMN())),0,ROW(INDEX(MO_CFS_CFF,1,COLUMN()))-ROW(INDEX(MO_SubSection_CFS_CFF,1,COLUMN())),1)),6)</f>
        <v>0</v>
      </c>
      <c r="Q1182" s="686"/>
      <c r="R1182" s="686"/>
      <c r="S1182" s="686"/>
      <c r="T1182" s="686"/>
      <c r="U1182" s="686">
        <f ca="1">ROUND(SUM(Q1054,R1054,S1054,T1054)-SUM(OFFSET(INDEX(MO_CFS_CFF,1,COLUMN()),ROW(INDEX(MO_SubSection_CFS_CFF,1,COLUMN()))-ROW(INDEX(MO_CFS_CFF,1,COLUMN())),0,ROW(INDEX(MO_CFS_CFF,1,COLUMN()))-ROW(INDEX(MO_SubSection_CFS_CFF,1,COLUMN())),1)),6)</f>
        <v>0</v>
      </c>
      <c r="V1182" s="686"/>
      <c r="W1182" s="686"/>
      <c r="X1182" s="686"/>
      <c r="Y1182" s="686"/>
      <c r="Z1182" s="686">
        <f ca="1">ROUND(SUM(V1054,W1054,X1054,Y1054)-SUM(OFFSET(INDEX(MO_CFS_CFF,1,COLUMN()),ROW(INDEX(MO_SubSection_CFS_CFF,1,COLUMN()))-ROW(INDEX(MO_CFS_CFF,1,COLUMN())),0,ROW(INDEX(MO_CFS_CFF,1,COLUMN()))-ROW(INDEX(MO_SubSection_CFS_CFF,1,COLUMN())),1)),6)</f>
        <v>0</v>
      </c>
      <c r="AA1182" s="686"/>
      <c r="AB1182" s="686"/>
      <c r="AC1182" s="686"/>
      <c r="AD1182" s="686"/>
      <c r="AE1182" s="686">
        <f ca="1">ROUND(SUM(AA1054,AB1054,AC1054,AD1054)-SUM(OFFSET(INDEX(MO_CFS_CFF,1,COLUMN()),ROW(INDEX(MO_SubSection_CFS_CFF,1,COLUMN()))-ROW(INDEX(MO_CFS_CFF,1,COLUMN())),0,ROW(INDEX(MO_CFS_CFF,1,COLUMN()))-ROW(INDEX(MO_SubSection_CFS_CFF,1,COLUMN())),1)),6)</f>
        <v>0</v>
      </c>
      <c r="AF1182" s="686"/>
      <c r="AG1182" s="686"/>
      <c r="AH1182" s="686"/>
      <c r="AI1182" s="686"/>
      <c r="AJ1182" s="686">
        <f ca="1">ROUND(SUM(AF1054,AG1054,AH1054,AI1054)-SUM(OFFSET(INDEX(MO_CFS_CFF,1,COLUMN()),ROW(INDEX(MO_SubSection_CFS_CFF,1,COLUMN()))-ROW(INDEX(MO_CFS_CFF,1,COLUMN())),0,ROW(INDEX(MO_CFS_CFF,1,COLUMN()))-ROW(INDEX(MO_SubSection_CFS_CFF,1,COLUMN())),1)),6)</f>
        <v>0</v>
      </c>
      <c r="AK1182" s="686"/>
      <c r="AL1182" s="686"/>
      <c r="AM1182" s="686"/>
      <c r="AN1182" s="686"/>
      <c r="AO1182" s="686">
        <f ca="1">ROUND(SUM(AK1054,AL1054,AM1054,AN1054)-SUM(OFFSET(INDEX(MO_CFS_CFF,1,COLUMN()),ROW(INDEX(MO_SubSection_CFS_CFF,1,COLUMN()))-ROW(INDEX(MO_CFS_CFF,1,COLUMN())),0,ROW(INDEX(MO_CFS_CFF,1,COLUMN()))-ROW(INDEX(MO_SubSection_CFS_CFF,1,COLUMN())),1)),6)</f>
        <v>0</v>
      </c>
      <c r="AP1182" s="686"/>
      <c r="AQ1182" s="686"/>
      <c r="AR1182" s="686"/>
      <c r="AS1182" s="686"/>
      <c r="AT1182" s="686">
        <f ca="1">ROUND(SUM(AP1054,AQ1054,AR1054,AS1054)-SUM(OFFSET(INDEX(MO_CFS_CFF,1,COLUMN()),ROW(INDEX(MO_SubSection_CFS_CFF,1,COLUMN()))-ROW(INDEX(MO_CFS_CFF,1,COLUMN())),0,ROW(INDEX(MO_CFS_CFF,1,COLUMN()))-ROW(INDEX(MO_SubSection_CFS_CFF,1,COLUMN())),1)),6)</f>
        <v>0</v>
      </c>
      <c r="AU1182" s="686"/>
      <c r="AV1182" s="686"/>
      <c r="AW1182" s="686"/>
      <c r="AX1182" s="686"/>
      <c r="AY1182" s="686">
        <f ca="1">ROUND(SUM(AU1054,AV1054,AW1054,AX1054)-SUM(OFFSET(INDEX(MO_CFS_CFF,1,COLUMN()),ROW(INDEX(MO_SubSection_CFS_CFF,1,COLUMN()))-ROW(INDEX(MO_CFS_CFF,1,COLUMN())),0,ROW(INDEX(MO_CFS_CFF,1,COLUMN()))-ROW(INDEX(MO_SubSection_CFS_CFF,1,COLUMN())),1)),6)</f>
        <v>0</v>
      </c>
      <c r="AZ1182" s="686"/>
      <c r="BA1182" s="686"/>
      <c r="BB1182" s="686"/>
      <c r="BC1182" s="686"/>
      <c r="BD1182" s="686">
        <f ca="1">ROUND(SUM(AZ1054,BA1054,BB1054,BC1054)-SUM(OFFSET(INDEX(MO_CFS_CFF,1,COLUMN()),ROW(INDEX(MO_SubSection_CFS_CFF,1,COLUMN()))-ROW(INDEX(MO_CFS_CFF,1,COLUMN())),0,ROW(INDEX(MO_CFS_CFF,1,COLUMN()))-ROW(INDEX(MO_SubSection_CFS_CFF,1,COLUMN())),1)),6)</f>
        <v>0</v>
      </c>
      <c r="BE1182" s="686"/>
      <c r="BF1182" s="686"/>
      <c r="BG1182" s="686"/>
      <c r="BH1182" s="686"/>
      <c r="BI1182" s="686">
        <f ca="1">ROUND(SUM(BE1054,BF1054,BG1054,BH1054)-SUM(OFFSET(INDEX(MO_CFS_CFF,1,COLUMN()),ROW(INDEX(MO_SubSection_CFS_CFF,1,COLUMN()))-ROW(INDEX(MO_CFS_CFF,1,COLUMN())),0,ROW(INDEX(MO_CFS_CFF,1,COLUMN()))-ROW(INDEX(MO_SubSection_CFS_CFF,1,COLUMN())),1)),6)</f>
        <v>0</v>
      </c>
      <c r="BJ1182" s="687"/>
      <c r="BK1182" s="686"/>
      <c r="BL1182" s="686"/>
      <c r="BM1182" s="686"/>
      <c r="BN1182" s="686">
        <f ca="1">ROUND(SUM(BJ1054,BK1054,BL1054,BM1054)-SUM(OFFSET(INDEX(MO_CFS_CFF,1,COLUMN()),ROW(INDEX(MO_SubSection_CFS_CFF,1,COLUMN()))-ROW(INDEX(MO_CFS_CFF,1,COLUMN())),0,ROW(INDEX(MO_CFS_CFF,1,COLUMN()))-ROW(INDEX(MO_SubSection_CFS_CFF,1,COLUMN())),1)),6)</f>
        <v>0</v>
      </c>
      <c r="BO1182" s="686"/>
      <c r="BP1182" s="686"/>
      <c r="BQ1182" s="686"/>
      <c r="BR1182" s="686"/>
      <c r="BS1182" s="686">
        <f ca="1">ROUND(SUM(BO1054,BP1054,BQ1054,BR1054)-SUM(OFFSET(INDEX(MO_CFS_CFF,1,COLUMN()),ROW(INDEX(MO_SubSection_CFS_CFF,1,COLUMN()))-ROW(INDEX(MO_CFS_CFF,1,COLUMN())),0,ROW(INDEX(MO_CFS_CFF,1,COLUMN()))-ROW(INDEX(MO_SubSection_CFS_CFF,1,COLUMN())),1)),6)</f>
        <v>0</v>
      </c>
      <c r="BT1182" s="686"/>
      <c r="BU1182" s="686"/>
      <c r="BV1182" s="686"/>
      <c r="BW1182" s="122"/>
    </row>
    <row r="1183" spans="1:75" s="123" customFormat="1" x14ac:dyDescent="0.5">
      <c r="A1183" s="122" t="s">
        <v>1577</v>
      </c>
      <c r="B1183" s="187"/>
      <c r="C1183" s="686"/>
      <c r="D1183" s="686"/>
      <c r="E1183" s="686"/>
      <c r="F1183" s="686"/>
      <c r="G1183" s="686"/>
      <c r="H1183" s="686"/>
      <c r="I1183" s="686"/>
      <c r="J1183" s="686"/>
      <c r="K1183" s="686">
        <f>ROUND(SUM(INDEX(MO_CFSum_Acquisition,0,COLUMN()),INDEX(MO_CFSum_Capex,0,COLUMN()),INDEX(MO_CFSum_Divestiture,0,COLUMN()),INDEX(MO_CFSum_Dividend,0,COLUMN()))-SUM(G881,H881,I881,J881,G882,H882,I882,J882,G883,H883,I883,J883)-SUM(G879,H879,I879,J879),6)</f>
        <v>0</v>
      </c>
      <c r="L1183" s="686"/>
      <c r="M1183" s="686"/>
      <c r="N1183" s="686"/>
      <c r="O1183" s="686"/>
      <c r="P1183" s="686">
        <f>ROUND(SUM(INDEX(MO_CFSum_Acquisition,0,COLUMN()),INDEX(MO_CFSum_Capex,0,COLUMN()),INDEX(MO_CFSum_Divestiture,0,COLUMN()),INDEX(MO_CFSum_Dividend,0,COLUMN()))-SUM(L881,M881,N881,O881,L882,M882,N882,O882,L883,M883,N883,O883)-SUM(L879,M879,N879,O879),6)</f>
        <v>0</v>
      </c>
      <c r="Q1183" s="686"/>
      <c r="R1183" s="686"/>
      <c r="S1183" s="686"/>
      <c r="T1183" s="686"/>
      <c r="U1183" s="686">
        <f>ROUND(SUM(INDEX(MO_CFSum_Acquisition,0,COLUMN()),INDEX(MO_CFSum_Capex,0,COLUMN()),INDEX(MO_CFSum_Divestiture,0,COLUMN()),INDEX(MO_CFSum_Dividend,0,COLUMN()))-SUM(Q881,R881,S881,T881,Q882,R882,S882,T882,Q883,R883,S883,T883)-SUM(Q879,R879,S879,T879),6)</f>
        <v>0</v>
      </c>
      <c r="V1183" s="686"/>
      <c r="W1183" s="686"/>
      <c r="X1183" s="686"/>
      <c r="Y1183" s="686"/>
      <c r="Z1183" s="686">
        <f>ROUND(SUM(INDEX(MO_CFSum_Acquisition,0,COLUMN()),INDEX(MO_CFSum_Capex,0,COLUMN()),INDEX(MO_CFSum_Divestiture,0,COLUMN()),INDEX(MO_CFSum_Dividend,0,COLUMN()))-SUM(V881,W881,X881,Y881,V882,W882,X882,Y882,V883,W883,X883,Y883)-SUM(V879,W879,X879,Y879),6)</f>
        <v>0</v>
      </c>
      <c r="AA1183" s="686"/>
      <c r="AB1183" s="686"/>
      <c r="AC1183" s="686"/>
      <c r="AD1183" s="686"/>
      <c r="AE1183" s="686">
        <f>ROUND(SUM(INDEX(MO_CFSum_Acquisition,0,COLUMN()),INDEX(MO_CFSum_Capex,0,COLUMN()),INDEX(MO_CFSum_Divestiture,0,COLUMN()),INDEX(MO_CFSum_Dividend,0,COLUMN()))-SUM(AA881,AB881,AC881,AD881,AA882,AB882,AC882,AD882,AA883,AB883,AC883,AD883)-SUM(AA879,AB879,AC879,AD879),6)</f>
        <v>0</v>
      </c>
      <c r="AF1183" s="686"/>
      <c r="AG1183" s="686"/>
      <c r="AH1183" s="686"/>
      <c r="AI1183" s="686"/>
      <c r="AJ1183" s="686">
        <f>ROUND(SUM(INDEX(MO_CFSum_Acquisition,0,COLUMN()),INDEX(MO_CFSum_Capex,0,COLUMN()),INDEX(MO_CFSum_Divestiture,0,COLUMN()),INDEX(MO_CFSum_Dividend,0,COLUMN()))-SUM(AF881,AG881,AH881,AI881,AF882,AG882,AH882,AI882,AF883,AG883,AH883,AI883)-SUM(AF879,AG879,AH879,AI879),6)</f>
        <v>0</v>
      </c>
      <c r="AK1183" s="686"/>
      <c r="AL1183" s="686"/>
      <c r="AM1183" s="686"/>
      <c r="AN1183" s="686"/>
      <c r="AO1183" s="686">
        <f>ROUND(SUM(INDEX(MO_CFSum_Acquisition,0,COLUMN()),INDEX(MO_CFSum_Capex,0,COLUMN()),INDEX(MO_CFSum_Divestiture,0,COLUMN()),INDEX(MO_CFSum_Dividend,0,COLUMN()))-SUM(AK881,AL881,AM881,AN881,AK882,AL882,AM882,AN882,AK883,AL883,AM883,AN883)-SUM(AK879,AL879,AM879,AN879),6)</f>
        <v>0</v>
      </c>
      <c r="AP1183" s="686"/>
      <c r="AQ1183" s="686"/>
      <c r="AR1183" s="686"/>
      <c r="AS1183" s="686"/>
      <c r="AT1183" s="686">
        <f>ROUND(SUM(INDEX(MO_CFSum_Acquisition,0,COLUMN()),INDEX(MO_CFSum_Capex,0,COLUMN()),INDEX(MO_CFSum_Divestiture,0,COLUMN()),INDEX(MO_CFSum_Dividend,0,COLUMN()))-SUM(AP881,AQ881,AR881,AS881,AP882,AQ882,AR882,AS882,AP883,AQ883,AR883,AS883)-SUM(AP879,AQ879,AR879,AS879),6)</f>
        <v>0</v>
      </c>
      <c r="AU1183" s="686"/>
      <c r="AV1183" s="686"/>
      <c r="AW1183" s="686"/>
      <c r="AX1183" s="686"/>
      <c r="AY1183" s="686">
        <f>ROUND(SUM(INDEX(MO_CFSum_Acquisition,0,COLUMN()),INDEX(MO_CFSum_Capex,0,COLUMN()),INDEX(MO_CFSum_Divestiture,0,COLUMN()),INDEX(MO_CFSum_Dividend,0,COLUMN()))-SUM(AU881,AV881,AW881,AX881,AU882,AV882,AW882,AX882,AU883,AV883,AW883,AX883)-SUM(AU879,AV879,AW879,AX879),6)</f>
        <v>0</v>
      </c>
      <c r="AZ1183" s="686"/>
      <c r="BA1183" s="686"/>
      <c r="BB1183" s="686"/>
      <c r="BC1183" s="686"/>
      <c r="BD1183" s="686">
        <f>ROUND(SUM(INDEX(MO_CFSum_Acquisition,0,COLUMN()),INDEX(MO_CFSum_Capex,0,COLUMN()),INDEX(MO_CFSum_Divestiture,0,COLUMN()),INDEX(MO_CFSum_Dividend,0,COLUMN()))-SUM(AZ881,BA881,BB881,BC881,AZ882,BA882,BB882,BC882,AZ883,BA883,BB883,BC883)-SUM(AZ879,BA879,BB879,BC879),6)</f>
        <v>0</v>
      </c>
      <c r="BE1183" s="686"/>
      <c r="BF1183" s="686"/>
      <c r="BG1183" s="686"/>
      <c r="BH1183" s="686"/>
      <c r="BI1183" s="686">
        <f>ROUND(SUM(INDEX(MO_CFSum_Acquisition,0,COLUMN()),INDEX(MO_CFSum_Capex,0,COLUMN()),INDEX(MO_CFSum_Divestiture,0,COLUMN()),INDEX(MO_CFSum_Dividend,0,COLUMN()))-SUM(BE881,BF881,BG881,BH881,BE882,BF882,BG882,BH882,BE883,BF883,BG883,BH883)-SUM(BE879,BF879,BG879,BH879),6)</f>
        <v>0</v>
      </c>
      <c r="BJ1183" s="687"/>
      <c r="BK1183" s="686"/>
      <c r="BL1183" s="686"/>
      <c r="BM1183" s="686"/>
      <c r="BN1183" s="686">
        <f ca="1">ROUND(SUM(INDEX(MO_CFSum_Acquisition,0,COLUMN()),INDEX(MO_CFSum_Capex,0,COLUMN()),INDEX(MO_CFSum_Divestiture,0,COLUMN()),INDEX(MO_CFSum_Dividend,0,COLUMN()))-SUM(BJ881,BK881,BL881,BM881,BJ882,BK882,BL882,BM882,BJ883,BK883,BL883,BM883)-SUM(BJ879,BK879,BL879,BM879),6)</f>
        <v>0</v>
      </c>
      <c r="BO1183" s="686"/>
      <c r="BP1183" s="686"/>
      <c r="BQ1183" s="686"/>
      <c r="BR1183" s="686"/>
      <c r="BS1183" s="686">
        <f ca="1">ROUND(SUM(INDEX(MO_CFSum_Acquisition,0,COLUMN()),INDEX(MO_CFSum_Capex,0,COLUMN()),INDEX(MO_CFSum_Divestiture,0,COLUMN()),INDEX(MO_CFSum_Dividend,0,COLUMN()))-SUM(BO881,BP881,BQ881,BR881,BO882,BP882,BQ882,BR882,BO883,BP883,BQ883,BR883)-SUM(BO879,BP879,BQ879,BR879),6)</f>
        <v>0</v>
      </c>
      <c r="BT1183" s="686"/>
      <c r="BU1183" s="686"/>
      <c r="BV1183" s="686"/>
      <c r="BW1183" s="122"/>
    </row>
    <row r="1184" spans="1:75" s="123" customFormat="1" x14ac:dyDescent="0.5">
      <c r="A1184" s="118"/>
      <c r="B1184" s="187"/>
      <c r="C1184" s="187"/>
      <c r="D1184" s="187"/>
      <c r="E1184" s="187"/>
      <c r="F1184" s="187"/>
      <c r="G1184" s="187"/>
      <c r="H1184" s="187"/>
      <c r="I1184" s="187"/>
      <c r="J1184" s="187"/>
      <c r="K1184" s="187"/>
      <c r="L1184" s="187"/>
      <c r="M1184" s="187"/>
      <c r="N1184" s="187"/>
      <c r="O1184" s="187"/>
      <c r="P1184" s="187"/>
      <c r="Q1184" s="187"/>
      <c r="R1184" s="187"/>
      <c r="S1184" s="187"/>
      <c r="T1184" s="187"/>
      <c r="U1184" s="187"/>
      <c r="V1184" s="187"/>
      <c r="W1184" s="187"/>
      <c r="X1184" s="187"/>
      <c r="Y1184" s="187"/>
      <c r="Z1184" s="187"/>
      <c r="AA1184" s="118"/>
      <c r="AB1184" s="187"/>
      <c r="AC1184" s="187"/>
      <c r="AD1184" s="187"/>
      <c r="AE1184" s="187"/>
      <c r="AF1184" s="118"/>
      <c r="AG1184" s="187"/>
      <c r="AH1184" s="187"/>
      <c r="AI1184" s="187"/>
      <c r="AJ1184" s="187"/>
      <c r="AK1184" s="118"/>
      <c r="AL1184" s="187"/>
      <c r="AM1184" s="187"/>
      <c r="AN1184" s="187"/>
      <c r="AO1184" s="187"/>
      <c r="AP1184" s="118"/>
      <c r="AQ1184" s="187"/>
      <c r="AR1184" s="187"/>
      <c r="AS1184" s="187"/>
      <c r="AT1184" s="187"/>
      <c r="AU1184" s="118"/>
      <c r="AV1184" s="187"/>
      <c r="AW1184" s="187"/>
      <c r="AX1184" s="187"/>
      <c r="AY1184" s="187"/>
      <c r="AZ1184" s="118"/>
      <c r="BA1184" s="187"/>
      <c r="BB1184" s="187"/>
      <c r="BC1184" s="187"/>
      <c r="BD1184" s="187"/>
      <c r="BE1184" s="118"/>
      <c r="BF1184" s="187"/>
      <c r="BG1184" s="187"/>
      <c r="BH1184" s="187"/>
      <c r="BI1184" s="187"/>
      <c r="BJ1184" s="971"/>
      <c r="BK1184" s="118"/>
      <c r="BL1184" s="118"/>
      <c r="BM1184" s="118"/>
      <c r="BN1184" s="118"/>
      <c r="BO1184" s="118"/>
      <c r="BP1184" s="118"/>
      <c r="BQ1184" s="118"/>
      <c r="BR1184" s="118"/>
      <c r="BS1184" s="118"/>
      <c r="BT1184" s="118"/>
      <c r="BU1184" s="118"/>
      <c r="BV1184" s="118"/>
      <c r="BW1184" s="122"/>
    </row>
    <row r="1185" spans="1:75" s="198" customFormat="1" ht="14.25" x14ac:dyDescent="0.45">
      <c r="A1185" s="511" t="s">
        <v>1578</v>
      </c>
      <c r="B1185" s="511"/>
      <c r="C1185" s="511"/>
      <c r="D1185" s="511"/>
      <c r="E1185" s="511"/>
      <c r="F1185" s="511"/>
      <c r="G1185" s="511"/>
      <c r="H1185" s="511"/>
      <c r="I1185" s="511"/>
      <c r="J1185" s="511"/>
      <c r="K1185" s="511"/>
      <c r="L1185" s="511"/>
      <c r="M1185" s="511"/>
      <c r="N1185" s="511"/>
      <c r="O1185" s="511"/>
      <c r="P1185" s="511"/>
      <c r="Q1185" s="511"/>
      <c r="R1185" s="511"/>
      <c r="S1185" s="511"/>
      <c r="T1185" s="511"/>
      <c r="U1185" s="511"/>
      <c r="V1185" s="511"/>
      <c r="W1185" s="511"/>
      <c r="X1185" s="511"/>
      <c r="Y1185" s="511"/>
      <c r="Z1185" s="511"/>
      <c r="AA1185" s="511"/>
      <c r="AB1185" s="511"/>
      <c r="AC1185" s="511"/>
      <c r="AD1185" s="511"/>
      <c r="AE1185" s="511"/>
      <c r="AF1185" s="511"/>
      <c r="AG1185" s="511"/>
      <c r="AH1185" s="511"/>
      <c r="AI1185" s="511"/>
      <c r="AJ1185" s="511"/>
      <c r="AK1185" s="511"/>
      <c r="AL1185" s="511"/>
      <c r="AM1185" s="511"/>
      <c r="AN1185" s="511"/>
      <c r="AO1185" s="511"/>
      <c r="AP1185" s="511"/>
      <c r="AQ1185" s="511"/>
      <c r="AR1185" s="511"/>
      <c r="AS1185" s="511"/>
      <c r="AT1185" s="511"/>
      <c r="AU1185" s="511"/>
      <c r="AV1185" s="511"/>
      <c r="AW1185" s="511"/>
      <c r="AX1185" s="511"/>
      <c r="AY1185" s="511"/>
      <c r="AZ1185" s="511"/>
      <c r="BA1185" s="511"/>
      <c r="BB1185" s="511"/>
      <c r="BC1185" s="511"/>
      <c r="BD1185" s="511"/>
      <c r="BE1185" s="511"/>
      <c r="BF1185" s="511"/>
      <c r="BG1185" s="511"/>
      <c r="BH1185" s="511"/>
      <c r="BI1185" s="511"/>
      <c r="BJ1185" s="512"/>
      <c r="BK1185" s="511"/>
      <c r="BL1185" s="511"/>
      <c r="BM1185" s="511"/>
      <c r="BN1185" s="511"/>
      <c r="BO1185" s="511"/>
      <c r="BP1185" s="511"/>
      <c r="BQ1185" s="511"/>
      <c r="BR1185" s="511"/>
      <c r="BS1185" s="511"/>
      <c r="BT1185" s="511"/>
      <c r="BU1185" s="511"/>
      <c r="BV1185" s="511"/>
      <c r="BW1185" s="197"/>
    </row>
    <row r="1186" spans="1:75" s="123" customFormat="1" x14ac:dyDescent="0.5">
      <c r="A1186" s="972"/>
      <c r="B1186" s="118"/>
      <c r="C1186" s="973"/>
      <c r="D1186" s="973"/>
      <c r="E1186" s="118"/>
      <c r="F1186" s="118"/>
      <c r="G1186" s="118"/>
      <c r="H1186" s="118"/>
      <c r="I1186" s="118"/>
      <c r="J1186" s="118"/>
      <c r="K1186" s="118"/>
      <c r="L1186" s="118"/>
      <c r="M1186" s="118"/>
      <c r="N1186" s="118"/>
      <c r="O1186" s="118"/>
      <c r="P1186" s="118"/>
      <c r="Q1186" s="118"/>
      <c r="R1186" s="118"/>
      <c r="S1186" s="118"/>
      <c r="T1186" s="118"/>
      <c r="U1186" s="118"/>
      <c r="V1186" s="118"/>
      <c r="W1186" s="118"/>
      <c r="X1186" s="118"/>
      <c r="Y1186" s="118"/>
      <c r="Z1186" s="118"/>
      <c r="AA1186" s="118"/>
      <c r="AB1186" s="118"/>
      <c r="AC1186" s="118"/>
      <c r="AD1186" s="118"/>
      <c r="AE1186" s="118"/>
      <c r="AF1186" s="118"/>
      <c r="AG1186" s="118"/>
      <c r="AH1186" s="118"/>
      <c r="AI1186" s="118"/>
      <c r="AJ1186" s="118"/>
      <c r="AK1186" s="118"/>
      <c r="AL1186" s="118"/>
      <c r="AM1186" s="118"/>
      <c r="AN1186" s="118"/>
      <c r="AO1186" s="118"/>
      <c r="AP1186" s="118"/>
      <c r="AQ1186" s="118"/>
      <c r="AR1186" s="118"/>
      <c r="AS1186" s="118"/>
      <c r="AT1186" s="118"/>
      <c r="AU1186" s="118"/>
      <c r="AV1186" s="118"/>
      <c r="AW1186" s="118"/>
      <c r="AX1186" s="118"/>
      <c r="AY1186" s="118"/>
      <c r="AZ1186" s="118"/>
      <c r="BA1186" s="118"/>
      <c r="BB1186" s="118"/>
      <c r="BC1186" s="118"/>
      <c r="BD1186" s="118"/>
      <c r="BE1186" s="118"/>
      <c r="BF1186" s="118"/>
      <c r="BG1186" s="118"/>
      <c r="BH1186" s="118"/>
      <c r="BI1186" s="118"/>
      <c r="BJ1186" s="971"/>
      <c r="BK1186" s="118"/>
      <c r="BL1186" s="118"/>
      <c r="BM1186" s="118"/>
      <c r="BN1186" s="118"/>
      <c r="BO1186" s="118"/>
      <c r="BP1186" s="118"/>
      <c r="BQ1186" s="118"/>
      <c r="BR1186" s="118"/>
      <c r="BS1186" s="118"/>
      <c r="BT1186" s="118"/>
      <c r="BU1186" s="118"/>
      <c r="BV1186" s="118"/>
      <c r="BW1186" s="122"/>
    </row>
    <row r="1187" spans="1:75" s="169" customFormat="1" ht="14.25" x14ac:dyDescent="0.45">
      <c r="A1187" s="974" t="s">
        <v>1579</v>
      </c>
      <c r="B1187" s="975"/>
      <c r="C1187" s="976"/>
      <c r="D1187" s="976"/>
      <c r="E1187" s="247"/>
      <c r="F1187" s="247"/>
      <c r="G1187" s="247"/>
      <c r="H1187" s="247"/>
      <c r="I1187" s="247"/>
      <c r="J1187" s="247"/>
      <c r="K1187" s="247"/>
      <c r="L1187" s="247"/>
      <c r="M1187" s="247"/>
      <c r="N1187" s="247"/>
      <c r="O1187" s="247"/>
      <c r="P1187" s="247"/>
      <c r="Q1187" s="247"/>
      <c r="R1187" s="247"/>
      <c r="S1187" s="247"/>
      <c r="T1187" s="247"/>
      <c r="U1187" s="247"/>
      <c r="V1187" s="247"/>
      <c r="W1187" s="247"/>
      <c r="X1187" s="247"/>
      <c r="Y1187" s="247"/>
      <c r="Z1187" s="247"/>
      <c r="AA1187" s="247"/>
      <c r="AB1187" s="247"/>
      <c r="AC1187" s="247"/>
      <c r="AD1187" s="247"/>
      <c r="AE1187" s="247"/>
      <c r="AF1187" s="247"/>
      <c r="AG1187" s="247"/>
      <c r="AH1187" s="247"/>
      <c r="AI1187" s="247"/>
      <c r="AJ1187" s="247"/>
      <c r="AK1187" s="247"/>
      <c r="AL1187" s="247"/>
      <c r="AM1187" s="247"/>
      <c r="AN1187" s="247"/>
      <c r="AO1187" s="247"/>
      <c r="AP1187" s="247"/>
      <c r="AQ1187" s="247"/>
      <c r="AR1187" s="247"/>
      <c r="AS1187" s="247"/>
      <c r="AT1187" s="247"/>
      <c r="AU1187" s="247"/>
      <c r="AV1187" s="247"/>
      <c r="AW1187" s="247"/>
      <c r="AX1187" s="247"/>
      <c r="AY1187" s="247"/>
      <c r="AZ1187" s="247"/>
      <c r="BA1187" s="247"/>
      <c r="BB1187" s="247"/>
      <c r="BC1187" s="247"/>
      <c r="BD1187" s="247"/>
      <c r="BE1187" s="247"/>
      <c r="BF1187" s="247"/>
      <c r="BG1187" s="247"/>
      <c r="BH1187" s="247"/>
      <c r="BI1187" s="247"/>
      <c r="BJ1187" s="977"/>
      <c r="BK1187" s="247"/>
      <c r="BL1187" s="247"/>
      <c r="BM1187" s="247"/>
      <c r="BN1187" s="247"/>
      <c r="BO1187" s="247"/>
      <c r="BP1187" s="247"/>
      <c r="BQ1187" s="247"/>
      <c r="BR1187" s="247"/>
      <c r="BS1187" s="247"/>
      <c r="BT1187" s="247"/>
      <c r="BU1187" s="247"/>
      <c r="BV1187" s="247"/>
      <c r="BW1187" s="168"/>
    </row>
    <row r="1188" spans="1:75" s="169" customFormat="1" ht="14.25" x14ac:dyDescent="0.45">
      <c r="A1188" s="1365" t="s">
        <v>2170</v>
      </c>
      <c r="B1188" s="979"/>
      <c r="C1188" s="980"/>
      <c r="D1188" s="980"/>
      <c r="E1188" s="487"/>
      <c r="F1188" s="487"/>
      <c r="G1188" s="487"/>
      <c r="H1188" s="487"/>
      <c r="I1188" s="487"/>
      <c r="J1188" s="487"/>
      <c r="K1188" s="487"/>
      <c r="L1188" s="487"/>
      <c r="M1188" s="487"/>
      <c r="N1188" s="487"/>
      <c r="O1188" s="487"/>
      <c r="P1188" s="487"/>
      <c r="Q1188" s="487"/>
      <c r="R1188" s="487"/>
      <c r="S1188" s="487"/>
      <c r="T1188" s="487"/>
      <c r="U1188" s="487"/>
      <c r="V1188" s="487"/>
      <c r="W1188" s="487"/>
      <c r="X1188" s="487"/>
      <c r="Y1188" s="487"/>
      <c r="Z1188" s="487"/>
      <c r="AA1188" s="487"/>
      <c r="AB1188" s="487"/>
      <c r="AC1188" s="487"/>
      <c r="AD1188" s="487"/>
      <c r="AE1188" s="487"/>
      <c r="AF1188" s="487"/>
      <c r="AG1188" s="487"/>
      <c r="AH1188" s="487"/>
      <c r="AI1188" s="487"/>
      <c r="AJ1188" s="487"/>
      <c r="AK1188" s="487"/>
      <c r="AL1188" s="487"/>
      <c r="AM1188" s="487"/>
      <c r="AN1188" s="487"/>
      <c r="AO1188" s="487"/>
      <c r="AP1188" s="487"/>
      <c r="AQ1188" s="487"/>
      <c r="AR1188" s="487"/>
      <c r="AS1188" s="487"/>
      <c r="AT1188" s="487"/>
      <c r="AU1188" s="487"/>
      <c r="AV1188" s="487"/>
      <c r="AW1188" s="487"/>
      <c r="AX1188" s="487"/>
      <c r="AY1188" s="487"/>
      <c r="AZ1188" s="487"/>
      <c r="BA1188" s="487"/>
      <c r="BB1188" s="487"/>
      <c r="BC1188" s="487"/>
      <c r="BD1188" s="487"/>
      <c r="BE1188" s="487"/>
      <c r="BF1188" s="487"/>
      <c r="BG1188" s="487"/>
      <c r="BH1188" s="487"/>
      <c r="BI1188" s="487"/>
      <c r="BJ1188" s="981"/>
      <c r="BK1188" s="487"/>
      <c r="BL1188" s="487"/>
      <c r="BM1188" s="487"/>
      <c r="BN1188" s="487"/>
      <c r="BO1188" s="487"/>
      <c r="BP1188" s="487"/>
      <c r="BQ1188" s="487"/>
      <c r="BR1188" s="487"/>
      <c r="BS1188" s="487"/>
      <c r="BT1188" s="487"/>
      <c r="BU1188" s="487"/>
      <c r="BV1188" s="487"/>
      <c r="BW1188" s="168"/>
    </row>
    <row r="1189" spans="1:75" s="224" customFormat="1" x14ac:dyDescent="0.5">
      <c r="A1189" s="982" t="s">
        <v>1640</v>
      </c>
      <c r="B1189" s="979"/>
      <c r="C1189" s="980"/>
      <c r="D1189" s="980"/>
      <c r="E1189" s="487"/>
      <c r="F1189" s="487"/>
      <c r="G1189" s="487"/>
      <c r="H1189" s="487"/>
      <c r="I1189" s="487"/>
      <c r="J1189" s="487"/>
      <c r="K1189" s="487"/>
      <c r="L1189" s="487"/>
      <c r="M1189" s="487"/>
      <c r="N1189" s="487"/>
      <c r="O1189" s="487"/>
      <c r="P1189" s="487"/>
      <c r="Q1189" s="487"/>
      <c r="R1189" s="487"/>
      <c r="S1189" s="487"/>
      <c r="T1189" s="487"/>
      <c r="U1189" s="487"/>
      <c r="V1189" s="487"/>
      <c r="W1189" s="487"/>
      <c r="X1189" s="487"/>
      <c r="Y1189" s="487"/>
      <c r="Z1189" s="487"/>
      <c r="AA1189" s="487"/>
      <c r="AB1189" s="487"/>
      <c r="AC1189" s="487"/>
      <c r="AD1189" s="487"/>
      <c r="AE1189" s="487"/>
      <c r="AF1189" s="487"/>
      <c r="AG1189" s="487"/>
      <c r="AH1189" s="487"/>
      <c r="AI1189" s="487"/>
      <c r="AJ1189" s="487"/>
      <c r="AK1189" s="487"/>
      <c r="AL1189" s="487"/>
      <c r="AM1189" s="487"/>
      <c r="AN1189" s="487"/>
      <c r="AO1189" s="487"/>
      <c r="AP1189" s="487"/>
      <c r="AQ1189" s="487"/>
      <c r="AR1189" s="487"/>
      <c r="AS1189" s="487"/>
      <c r="AT1189" s="487"/>
      <c r="AU1189" s="487"/>
      <c r="AV1189" s="487"/>
      <c r="AW1189" s="487"/>
      <c r="AX1189" s="487"/>
      <c r="AY1189" s="487"/>
      <c r="AZ1189" s="487"/>
      <c r="BA1189" s="487"/>
      <c r="BB1189" s="487"/>
      <c r="BC1189" s="487"/>
      <c r="BD1189" s="487"/>
      <c r="BE1189" s="487"/>
      <c r="BF1189" s="487"/>
      <c r="BG1189" s="487"/>
      <c r="BH1189" s="487"/>
      <c r="BI1189" s="487"/>
      <c r="BJ1189" s="981"/>
      <c r="BK1189" s="487"/>
      <c r="BL1189" s="487"/>
      <c r="BM1189" s="487"/>
      <c r="BN1189" s="487"/>
      <c r="BO1189" s="487"/>
      <c r="BP1189" s="487"/>
      <c r="BQ1189" s="487"/>
      <c r="BR1189" s="487"/>
      <c r="BS1189" s="487"/>
      <c r="BT1189" s="487"/>
      <c r="BU1189" s="487"/>
      <c r="BV1189" s="487"/>
      <c r="BW1189" s="223"/>
    </row>
    <row r="1190" spans="1:75" s="224" customFormat="1" x14ac:dyDescent="0.5">
      <c r="A1190" s="983" t="s">
        <v>2171</v>
      </c>
      <c r="B1190" s="979"/>
      <c r="C1190" s="980"/>
      <c r="D1190" s="980"/>
      <c r="E1190" s="487"/>
      <c r="F1190" s="487"/>
      <c r="G1190" s="487"/>
      <c r="H1190" s="487"/>
      <c r="I1190" s="487"/>
      <c r="J1190" s="487"/>
      <c r="K1190" s="487"/>
      <c r="L1190" s="487"/>
      <c r="M1190" s="487"/>
      <c r="N1190" s="487"/>
      <c r="O1190" s="487"/>
      <c r="P1190" s="487"/>
      <c r="Q1190" s="487"/>
      <c r="R1190" s="487"/>
      <c r="S1190" s="487"/>
      <c r="T1190" s="487"/>
      <c r="U1190" s="487"/>
      <c r="V1190" s="487"/>
      <c r="W1190" s="487"/>
      <c r="X1190" s="487"/>
      <c r="Y1190" s="487"/>
      <c r="Z1190" s="487"/>
      <c r="AA1190" s="487"/>
      <c r="AB1190" s="487"/>
      <c r="AC1190" s="487"/>
      <c r="AD1190" s="487"/>
      <c r="AE1190" s="487"/>
      <c r="AF1190" s="487"/>
      <c r="AG1190" s="487"/>
      <c r="AH1190" s="487"/>
      <c r="AI1190" s="487"/>
      <c r="AJ1190" s="487"/>
      <c r="AK1190" s="487"/>
      <c r="AL1190" s="487"/>
      <c r="AM1190" s="487"/>
      <c r="AN1190" s="487"/>
      <c r="AO1190" s="487"/>
      <c r="AP1190" s="487"/>
      <c r="AQ1190" s="487"/>
      <c r="AR1190" s="487"/>
      <c r="AS1190" s="487"/>
      <c r="AT1190" s="487"/>
      <c r="AU1190" s="487"/>
      <c r="AV1190" s="487"/>
      <c r="AW1190" s="487"/>
      <c r="AX1190" s="487"/>
      <c r="AY1190" s="487"/>
      <c r="AZ1190" s="487"/>
      <c r="BA1190" s="487"/>
      <c r="BB1190" s="487"/>
      <c r="BC1190" s="487"/>
      <c r="BD1190" s="487"/>
      <c r="BE1190" s="487"/>
      <c r="BF1190" s="487"/>
      <c r="BG1190" s="487"/>
      <c r="BH1190" s="487"/>
      <c r="BI1190" s="487"/>
      <c r="BJ1190" s="981"/>
      <c r="BK1190" s="487"/>
      <c r="BL1190" s="487"/>
      <c r="BM1190" s="487"/>
      <c r="BN1190" s="487"/>
      <c r="BO1190" s="487"/>
      <c r="BP1190" s="487"/>
      <c r="BQ1190" s="487"/>
      <c r="BR1190" s="487"/>
      <c r="BS1190" s="487"/>
      <c r="BT1190" s="487"/>
      <c r="BU1190" s="487"/>
      <c r="BV1190" s="487"/>
      <c r="BW1190" s="223"/>
    </row>
    <row r="1191" spans="1:75" s="224" customFormat="1" x14ac:dyDescent="0.5">
      <c r="A1191" s="984" t="s">
        <v>2172</v>
      </c>
      <c r="B1191" s="979"/>
      <c r="C1191" s="980"/>
      <c r="D1191" s="980"/>
      <c r="E1191" s="487"/>
      <c r="F1191" s="487"/>
      <c r="G1191" s="487"/>
      <c r="H1191" s="487"/>
      <c r="I1191" s="487"/>
      <c r="J1191" s="487"/>
      <c r="K1191" s="487"/>
      <c r="L1191" s="487"/>
      <c r="M1191" s="487"/>
      <c r="N1191" s="487"/>
      <c r="O1191" s="487"/>
      <c r="P1191" s="487"/>
      <c r="Q1191" s="487"/>
      <c r="R1191" s="487"/>
      <c r="S1191" s="487"/>
      <c r="T1191" s="487"/>
      <c r="U1191" s="487"/>
      <c r="V1191" s="487"/>
      <c r="W1191" s="487"/>
      <c r="X1191" s="487"/>
      <c r="Y1191" s="487"/>
      <c r="Z1191" s="487"/>
      <c r="AA1191" s="487"/>
      <c r="AB1191" s="487"/>
      <c r="AC1191" s="487"/>
      <c r="AD1191" s="487"/>
      <c r="AE1191" s="487"/>
      <c r="AF1191" s="487"/>
      <c r="AG1191" s="487"/>
      <c r="AH1191" s="487"/>
      <c r="AI1191" s="487"/>
      <c r="AJ1191" s="487"/>
      <c r="AK1191" s="487"/>
      <c r="AL1191" s="487"/>
      <c r="AM1191" s="487"/>
      <c r="AN1191" s="487"/>
      <c r="AO1191" s="487"/>
      <c r="AP1191" s="487"/>
      <c r="AQ1191" s="487"/>
      <c r="AR1191" s="487"/>
      <c r="AS1191" s="487"/>
      <c r="AT1191" s="487"/>
      <c r="AU1191" s="487"/>
      <c r="AV1191" s="487"/>
      <c r="AW1191" s="487"/>
      <c r="AX1191" s="487"/>
      <c r="AY1191" s="487"/>
      <c r="AZ1191" s="487"/>
      <c r="BA1191" s="487"/>
      <c r="BB1191" s="487"/>
      <c r="BC1191" s="487"/>
      <c r="BD1191" s="487"/>
      <c r="BE1191" s="487"/>
      <c r="BF1191" s="487"/>
      <c r="BG1191" s="487"/>
      <c r="BH1191" s="487"/>
      <c r="BI1191" s="487"/>
      <c r="BJ1191" s="981"/>
      <c r="BK1191" s="487"/>
      <c r="BL1191" s="487"/>
      <c r="BM1191" s="487"/>
      <c r="BN1191" s="487"/>
      <c r="BO1191" s="487"/>
      <c r="BP1191" s="487"/>
      <c r="BQ1191" s="487"/>
      <c r="BR1191" s="487"/>
      <c r="BS1191" s="487"/>
      <c r="BT1191" s="487"/>
      <c r="BU1191" s="487"/>
      <c r="BV1191" s="487"/>
      <c r="BW1191" s="223"/>
    </row>
    <row r="1192" spans="1:75" s="224" customFormat="1" x14ac:dyDescent="0.5">
      <c r="A1192" s="985" t="s">
        <v>2173</v>
      </c>
      <c r="B1192" s="979"/>
      <c r="C1192" s="980"/>
      <c r="D1192" s="980"/>
      <c r="E1192" s="487"/>
      <c r="F1192" s="487"/>
      <c r="G1192" s="487"/>
      <c r="H1192" s="487"/>
      <c r="I1192" s="487"/>
      <c r="J1192" s="487"/>
      <c r="K1192" s="487"/>
      <c r="L1192" s="487"/>
      <c r="M1192" s="487"/>
      <c r="N1192" s="487"/>
      <c r="O1192" s="487"/>
      <c r="P1192" s="487"/>
      <c r="Q1192" s="487"/>
      <c r="R1192" s="487"/>
      <c r="S1192" s="487"/>
      <c r="T1192" s="487"/>
      <c r="U1192" s="487"/>
      <c r="V1192" s="487"/>
      <c r="W1192" s="487"/>
      <c r="X1192" s="487"/>
      <c r="Y1192" s="487"/>
      <c r="Z1192" s="487"/>
      <c r="AA1192" s="487"/>
      <c r="AB1192" s="487"/>
      <c r="AC1192" s="487"/>
      <c r="AD1192" s="487"/>
      <c r="AE1192" s="487"/>
      <c r="AF1192" s="487"/>
      <c r="AG1192" s="487"/>
      <c r="AH1192" s="487"/>
      <c r="AI1192" s="487"/>
      <c r="AJ1192" s="487"/>
      <c r="AK1192" s="487"/>
      <c r="AL1192" s="487"/>
      <c r="AM1192" s="487"/>
      <c r="AN1192" s="487"/>
      <c r="AO1192" s="487"/>
      <c r="AP1192" s="487"/>
      <c r="AQ1192" s="487"/>
      <c r="AR1192" s="487"/>
      <c r="AS1192" s="487"/>
      <c r="AT1192" s="487"/>
      <c r="AU1192" s="487"/>
      <c r="AV1192" s="487"/>
      <c r="AW1192" s="487"/>
      <c r="AX1192" s="487"/>
      <c r="AY1192" s="487"/>
      <c r="AZ1192" s="487"/>
      <c r="BA1192" s="487"/>
      <c r="BB1192" s="487"/>
      <c r="BC1192" s="487"/>
      <c r="BD1192" s="487"/>
      <c r="BE1192" s="487"/>
      <c r="BF1192" s="487"/>
      <c r="BG1192" s="487"/>
      <c r="BH1192" s="487"/>
      <c r="BI1192" s="487"/>
      <c r="BJ1192" s="981"/>
      <c r="BK1192" s="487"/>
      <c r="BL1192" s="487"/>
      <c r="BM1192" s="487"/>
      <c r="BN1192" s="487"/>
      <c r="BO1192" s="487"/>
      <c r="BP1192" s="487"/>
      <c r="BQ1192" s="487"/>
      <c r="BR1192" s="487"/>
      <c r="BS1192" s="487"/>
      <c r="BT1192" s="487"/>
      <c r="BU1192" s="487"/>
      <c r="BV1192" s="487"/>
      <c r="BW1192" s="223"/>
    </row>
    <row r="1193" spans="1:75" s="224" customFormat="1" x14ac:dyDescent="0.5">
      <c r="A1193" s="986"/>
      <c r="B1193" s="987"/>
      <c r="C1193" s="980"/>
      <c r="D1193" s="980"/>
      <c r="E1193" s="487"/>
      <c r="F1193" s="487"/>
      <c r="G1193" s="487"/>
      <c r="H1193" s="487"/>
      <c r="I1193" s="487"/>
      <c r="J1193" s="487"/>
      <c r="K1193" s="487"/>
      <c r="L1193" s="487"/>
      <c r="M1193" s="487"/>
      <c r="N1193" s="487"/>
      <c r="O1193" s="487"/>
      <c r="P1193" s="487"/>
      <c r="Q1193" s="487"/>
      <c r="R1193" s="487"/>
      <c r="S1193" s="487"/>
      <c r="T1193" s="487"/>
      <c r="U1193" s="487"/>
      <c r="V1193" s="487"/>
      <c r="W1193" s="487"/>
      <c r="X1193" s="487"/>
      <c r="Y1193" s="487"/>
      <c r="Z1193" s="487"/>
      <c r="AA1193" s="487"/>
      <c r="AB1193" s="487"/>
      <c r="AC1193" s="487"/>
      <c r="AD1193" s="487"/>
      <c r="AE1193" s="487"/>
      <c r="AF1193" s="487"/>
      <c r="AG1193" s="487"/>
      <c r="AH1193" s="487"/>
      <c r="AI1193" s="487"/>
      <c r="AJ1193" s="487"/>
      <c r="AK1193" s="487"/>
      <c r="AL1193" s="487"/>
      <c r="AM1193" s="487"/>
      <c r="AN1193" s="487"/>
      <c r="AO1193" s="487"/>
      <c r="AP1193" s="487"/>
      <c r="AQ1193" s="487"/>
      <c r="AR1193" s="487"/>
      <c r="AS1193" s="487"/>
      <c r="AT1193" s="487"/>
      <c r="AU1193" s="487"/>
      <c r="AV1193" s="487"/>
      <c r="AW1193" s="487"/>
      <c r="AX1193" s="487"/>
      <c r="AY1193" s="487"/>
      <c r="AZ1193" s="487"/>
      <c r="BA1193" s="487"/>
      <c r="BB1193" s="487"/>
      <c r="BC1193" s="487"/>
      <c r="BD1193" s="487"/>
      <c r="BE1193" s="487"/>
      <c r="BF1193" s="487"/>
      <c r="BG1193" s="487"/>
      <c r="BH1193" s="487"/>
      <c r="BI1193" s="487"/>
      <c r="BJ1193" s="981"/>
      <c r="BK1193" s="487"/>
      <c r="BL1193" s="487"/>
      <c r="BM1193" s="487"/>
      <c r="BN1193" s="487"/>
      <c r="BO1193" s="487"/>
      <c r="BP1193" s="487"/>
      <c r="BQ1193" s="487"/>
      <c r="BR1193" s="487"/>
      <c r="BS1193" s="487"/>
      <c r="BT1193" s="487"/>
      <c r="BU1193" s="487"/>
      <c r="BV1193" s="487"/>
      <c r="BW1193" s="223"/>
    </row>
    <row r="1194" spans="1:75" s="135" customFormat="1" ht="14.25" x14ac:dyDescent="0.45">
      <c r="A1194" s="988" t="s">
        <v>1584</v>
      </c>
      <c r="B1194" s="989"/>
      <c r="C1194" s="990"/>
      <c r="D1194" s="990"/>
      <c r="E1194" s="990"/>
      <c r="F1194" s="990"/>
      <c r="G1194" s="990"/>
      <c r="H1194" s="990"/>
      <c r="I1194" s="990"/>
      <c r="J1194" s="990"/>
      <c r="K1194" s="990"/>
      <c r="L1194" s="990"/>
      <c r="M1194" s="990"/>
      <c r="N1194" s="990"/>
      <c r="O1194" s="990"/>
      <c r="P1194" s="990"/>
      <c r="Q1194" s="990"/>
      <c r="R1194" s="990"/>
      <c r="S1194" s="990"/>
      <c r="T1194" s="990"/>
      <c r="U1194" s="990"/>
      <c r="V1194" s="990"/>
      <c r="W1194" s="990"/>
      <c r="X1194" s="990"/>
      <c r="Y1194" s="990"/>
      <c r="Z1194" s="990"/>
      <c r="AA1194" s="990"/>
      <c r="AB1194" s="990"/>
      <c r="AC1194" s="990"/>
      <c r="AD1194" s="990"/>
      <c r="AE1194" s="990"/>
      <c r="AF1194" s="990"/>
      <c r="AG1194" s="990"/>
      <c r="AH1194" s="990"/>
      <c r="AI1194" s="990"/>
      <c r="AJ1194" s="990"/>
      <c r="AK1194" s="990"/>
      <c r="AL1194" s="990"/>
      <c r="AM1194" s="990"/>
      <c r="AN1194" s="990"/>
      <c r="AO1194" s="990"/>
      <c r="AP1194" s="990"/>
      <c r="AQ1194" s="990"/>
      <c r="AR1194" s="990"/>
      <c r="AS1194" s="990"/>
      <c r="AT1194" s="990"/>
      <c r="AU1194" s="990"/>
      <c r="AV1194" s="990"/>
      <c r="AW1194" s="990"/>
      <c r="AX1194" s="990"/>
      <c r="AY1194" s="990"/>
      <c r="AZ1194" s="990"/>
      <c r="BA1194" s="990"/>
      <c r="BB1194" s="990"/>
      <c r="BC1194" s="990"/>
      <c r="BD1194" s="990"/>
      <c r="BE1194" s="990"/>
      <c r="BF1194" s="990"/>
      <c r="BG1194" s="990"/>
      <c r="BH1194" s="990"/>
      <c r="BI1194" s="990"/>
      <c r="BJ1194" s="991"/>
      <c r="BK1194" s="990"/>
      <c r="BL1194" s="990"/>
      <c r="BM1194" s="990"/>
      <c r="BN1194" s="990"/>
      <c r="BO1194" s="990"/>
      <c r="BP1194" s="990"/>
      <c r="BQ1194" s="990"/>
      <c r="BR1194" s="990"/>
      <c r="BS1194" s="990"/>
      <c r="BT1194" s="990"/>
      <c r="BU1194" s="990"/>
      <c r="BV1194" s="990"/>
      <c r="BW1194" s="134"/>
    </row>
    <row r="1195" spans="1:75" s="224" customFormat="1" x14ac:dyDescent="0.5">
      <c r="A1195" s="992" t="s">
        <v>1585</v>
      </c>
      <c r="B1195" s="993">
        <v>1</v>
      </c>
      <c r="C1195" s="487"/>
      <c r="D1195" s="980"/>
      <c r="E1195" s="487"/>
      <c r="F1195" s="487"/>
      <c r="G1195" s="487"/>
      <c r="H1195" s="487"/>
      <c r="I1195" s="487"/>
      <c r="J1195" s="487"/>
      <c r="K1195" s="487"/>
      <c r="L1195" s="487"/>
      <c r="M1195" s="487"/>
      <c r="N1195" s="487"/>
      <c r="O1195" s="487"/>
      <c r="P1195" s="487"/>
      <c r="Q1195" s="487"/>
      <c r="R1195" s="487"/>
      <c r="S1195" s="487"/>
      <c r="T1195" s="487"/>
      <c r="U1195" s="487"/>
      <c r="V1195" s="487"/>
      <c r="W1195" s="487"/>
      <c r="X1195" s="487"/>
      <c r="Y1195" s="487"/>
      <c r="Z1195" s="487"/>
      <c r="AA1195" s="487"/>
      <c r="AB1195" s="487"/>
      <c r="AC1195" s="487"/>
      <c r="AD1195" s="487"/>
      <c r="AE1195" s="487"/>
      <c r="AF1195" s="487"/>
      <c r="AG1195" s="487"/>
      <c r="AH1195" s="487"/>
      <c r="AI1195" s="487"/>
      <c r="AJ1195" s="487"/>
      <c r="AK1195" s="487"/>
      <c r="AL1195" s="487"/>
      <c r="AM1195" s="487"/>
      <c r="AN1195" s="487"/>
      <c r="AO1195" s="487"/>
      <c r="AP1195" s="487"/>
      <c r="AQ1195" s="487"/>
      <c r="AR1195" s="487"/>
      <c r="AS1195" s="487"/>
      <c r="AT1195" s="487"/>
      <c r="AU1195" s="487"/>
      <c r="AV1195" s="487"/>
      <c r="AW1195" s="487"/>
      <c r="AX1195" s="487"/>
      <c r="AY1195" s="487"/>
      <c r="AZ1195" s="487"/>
      <c r="BA1195" s="487"/>
      <c r="BB1195" s="487"/>
      <c r="BC1195" s="487"/>
      <c r="BD1195" s="487"/>
      <c r="BE1195" s="487"/>
      <c r="BF1195" s="487"/>
      <c r="BG1195" s="487"/>
      <c r="BH1195" s="487"/>
      <c r="BI1195" s="487"/>
      <c r="BJ1195" s="981"/>
      <c r="BK1195" s="487"/>
      <c r="BL1195" s="487"/>
      <c r="BM1195" s="487"/>
      <c r="BN1195" s="487"/>
      <c r="BO1195" s="487"/>
      <c r="BP1195" s="487"/>
      <c r="BQ1195" s="487"/>
      <c r="BR1195" s="487"/>
      <c r="BS1195" s="487"/>
      <c r="BT1195" s="487"/>
      <c r="BU1195" s="487"/>
      <c r="BV1195" s="487"/>
      <c r="BW1195" s="223"/>
    </row>
    <row r="1196" spans="1:75" s="224" customFormat="1" x14ac:dyDescent="0.5">
      <c r="A1196" s="992" t="s">
        <v>1586</v>
      </c>
      <c r="B1196" s="993">
        <v>2</v>
      </c>
      <c r="C1196" s="487"/>
      <c r="D1196" s="980"/>
      <c r="E1196" s="487"/>
      <c r="F1196" s="487"/>
      <c r="G1196" s="487"/>
      <c r="H1196" s="487"/>
      <c r="I1196" s="487"/>
      <c r="J1196" s="487"/>
      <c r="K1196" s="487"/>
      <c r="L1196" s="487"/>
      <c r="M1196" s="487"/>
      <c r="N1196" s="487"/>
      <c r="O1196" s="487"/>
      <c r="P1196" s="487"/>
      <c r="Q1196" s="487"/>
      <c r="R1196" s="487"/>
      <c r="S1196" s="487"/>
      <c r="T1196" s="487"/>
      <c r="U1196" s="487"/>
      <c r="V1196" s="487"/>
      <c r="W1196" s="487"/>
      <c r="X1196" s="487"/>
      <c r="Y1196" s="487"/>
      <c r="Z1196" s="487"/>
      <c r="AA1196" s="487"/>
      <c r="AB1196" s="487"/>
      <c r="AC1196" s="487"/>
      <c r="AD1196" s="487"/>
      <c r="AE1196" s="487"/>
      <c r="AF1196" s="487"/>
      <c r="AG1196" s="487"/>
      <c r="AH1196" s="487"/>
      <c r="AI1196" s="487"/>
      <c r="AJ1196" s="487"/>
      <c r="AK1196" s="487"/>
      <c r="AL1196" s="487"/>
      <c r="AM1196" s="487"/>
      <c r="AN1196" s="487"/>
      <c r="AO1196" s="487"/>
      <c r="AP1196" s="487"/>
      <c r="AQ1196" s="487"/>
      <c r="AR1196" s="487"/>
      <c r="AS1196" s="487"/>
      <c r="AT1196" s="487"/>
      <c r="AU1196" s="487"/>
      <c r="AV1196" s="487"/>
      <c r="AW1196" s="487"/>
      <c r="AX1196" s="487"/>
      <c r="AY1196" s="487"/>
      <c r="AZ1196" s="487"/>
      <c r="BA1196" s="487"/>
      <c r="BB1196" s="487"/>
      <c r="BC1196" s="487"/>
      <c r="BD1196" s="487"/>
      <c r="BE1196" s="487"/>
      <c r="BF1196" s="487"/>
      <c r="BG1196" s="487"/>
      <c r="BH1196" s="487"/>
      <c r="BI1196" s="487"/>
      <c r="BJ1196" s="981"/>
      <c r="BK1196" s="487"/>
      <c r="BL1196" s="487"/>
      <c r="BM1196" s="487"/>
      <c r="BN1196" s="487"/>
      <c r="BO1196" s="487"/>
      <c r="BP1196" s="487"/>
      <c r="BQ1196" s="487"/>
      <c r="BR1196" s="487"/>
      <c r="BS1196" s="487"/>
      <c r="BT1196" s="487"/>
      <c r="BU1196" s="487"/>
      <c r="BV1196" s="487"/>
      <c r="BW1196" s="223"/>
    </row>
    <row r="1197" spans="1:75" s="224" customFormat="1" x14ac:dyDescent="0.5">
      <c r="A1197" s="992" t="s">
        <v>1587</v>
      </c>
      <c r="B1197" s="993">
        <v>3</v>
      </c>
      <c r="C1197" s="487"/>
      <c r="D1197" s="980"/>
      <c r="E1197" s="487"/>
      <c r="F1197" s="487"/>
      <c r="G1197" s="487"/>
      <c r="H1197" s="487"/>
      <c r="I1197" s="487"/>
      <c r="J1197" s="487"/>
      <c r="K1197" s="487"/>
      <c r="L1197" s="487"/>
      <c r="M1197" s="487"/>
      <c r="N1197" s="487"/>
      <c r="O1197" s="487"/>
      <c r="P1197" s="487"/>
      <c r="Q1197" s="487"/>
      <c r="R1197" s="487"/>
      <c r="S1197" s="487"/>
      <c r="T1197" s="487"/>
      <c r="U1197" s="487"/>
      <c r="V1197" s="487"/>
      <c r="W1197" s="487"/>
      <c r="X1197" s="487"/>
      <c r="Y1197" s="487"/>
      <c r="Z1197" s="487"/>
      <c r="AA1197" s="487"/>
      <c r="AB1197" s="487"/>
      <c r="AC1197" s="487"/>
      <c r="AD1197" s="487"/>
      <c r="AE1197" s="487"/>
      <c r="AF1197" s="487"/>
      <c r="AG1197" s="487"/>
      <c r="AH1197" s="487"/>
      <c r="AI1197" s="487"/>
      <c r="AJ1197" s="487"/>
      <c r="AK1197" s="487"/>
      <c r="AL1197" s="487"/>
      <c r="AM1197" s="487"/>
      <c r="AN1197" s="487"/>
      <c r="AO1197" s="487"/>
      <c r="AP1197" s="487"/>
      <c r="AQ1197" s="487"/>
      <c r="AR1197" s="487"/>
      <c r="AS1197" s="487"/>
      <c r="AT1197" s="487"/>
      <c r="AU1197" s="487"/>
      <c r="AV1197" s="487"/>
      <c r="AW1197" s="487"/>
      <c r="AX1197" s="487"/>
      <c r="AY1197" s="487"/>
      <c r="AZ1197" s="487"/>
      <c r="BA1197" s="487"/>
      <c r="BB1197" s="487"/>
      <c r="BC1197" s="487"/>
      <c r="BD1197" s="487"/>
      <c r="BE1197" s="487"/>
      <c r="BF1197" s="487"/>
      <c r="BG1197" s="487"/>
      <c r="BH1197" s="487"/>
      <c r="BI1197" s="487"/>
      <c r="BJ1197" s="981"/>
      <c r="BK1197" s="487"/>
      <c r="BL1197" s="487"/>
      <c r="BM1197" s="487"/>
      <c r="BN1197" s="487"/>
      <c r="BO1197" s="487"/>
      <c r="BP1197" s="487"/>
      <c r="BQ1197" s="487"/>
      <c r="BR1197" s="487"/>
      <c r="BS1197" s="487"/>
      <c r="BT1197" s="487"/>
      <c r="BU1197" s="487"/>
      <c r="BV1197" s="487"/>
      <c r="BW1197" s="223"/>
    </row>
    <row r="1198" spans="1:75" s="224" customFormat="1" x14ac:dyDescent="0.5">
      <c r="A1198" s="994" t="s">
        <v>1322</v>
      </c>
      <c r="B1198" s="995">
        <v>4</v>
      </c>
      <c r="C1198" s="487"/>
      <c r="D1198" s="980"/>
      <c r="E1198" s="487"/>
      <c r="F1198" s="487"/>
      <c r="G1198" s="487"/>
      <c r="H1198" s="487"/>
      <c r="I1198" s="487"/>
      <c r="J1198" s="487"/>
      <c r="K1198" s="487"/>
      <c r="L1198" s="487"/>
      <c r="M1198" s="487"/>
      <c r="N1198" s="487"/>
      <c r="O1198" s="487"/>
      <c r="P1198" s="487"/>
      <c r="Q1198" s="487"/>
      <c r="R1198" s="487"/>
      <c r="S1198" s="487"/>
      <c r="T1198" s="487"/>
      <c r="U1198" s="487"/>
      <c r="V1198" s="487"/>
      <c r="W1198" s="487"/>
      <c r="X1198" s="487"/>
      <c r="Y1198" s="487"/>
      <c r="Z1198" s="487"/>
      <c r="AA1198" s="487"/>
      <c r="AB1198" s="487"/>
      <c r="AC1198" s="487"/>
      <c r="AD1198" s="487"/>
      <c r="AE1198" s="487"/>
      <c r="AF1198" s="487"/>
      <c r="AG1198" s="487"/>
      <c r="AH1198" s="487"/>
      <c r="AI1198" s="487"/>
      <c r="AJ1198" s="487"/>
      <c r="AK1198" s="487"/>
      <c r="AL1198" s="487"/>
      <c r="AM1198" s="487"/>
      <c r="AN1198" s="487"/>
      <c r="AO1198" s="487"/>
      <c r="AP1198" s="487"/>
      <c r="AQ1198" s="487"/>
      <c r="AR1198" s="487"/>
      <c r="AS1198" s="487"/>
      <c r="AT1198" s="487"/>
      <c r="AU1198" s="487"/>
      <c r="AV1198" s="487"/>
      <c r="AW1198" s="487"/>
      <c r="AX1198" s="487"/>
      <c r="AY1198" s="487"/>
      <c r="AZ1198" s="487"/>
      <c r="BA1198" s="487"/>
      <c r="BB1198" s="487"/>
      <c r="BC1198" s="487"/>
      <c r="BD1198" s="487"/>
      <c r="BE1198" s="487"/>
      <c r="BF1198" s="487"/>
      <c r="BG1198" s="487"/>
      <c r="BH1198" s="487"/>
      <c r="BI1198" s="487"/>
      <c r="BJ1198" s="981"/>
      <c r="BK1198" s="487"/>
      <c r="BL1198" s="487"/>
      <c r="BM1198" s="487"/>
      <c r="BN1198" s="487"/>
      <c r="BO1198" s="487"/>
      <c r="BP1198" s="487"/>
      <c r="BQ1198" s="487"/>
      <c r="BR1198" s="487"/>
      <c r="BS1198" s="487"/>
      <c r="BT1198" s="487"/>
      <c r="BU1198" s="487"/>
      <c r="BV1198" s="487"/>
      <c r="BW1198" s="223"/>
    </row>
    <row r="1199" spans="1:75" s="224" customFormat="1" x14ac:dyDescent="0.5">
      <c r="A1199" s="1366"/>
      <c r="B1199" s="1367"/>
      <c r="C1199" s="980"/>
      <c r="D1199" s="980"/>
      <c r="E1199" s="487"/>
      <c r="F1199" s="487"/>
      <c r="G1199" s="487"/>
      <c r="H1199" s="487"/>
      <c r="I1199" s="487"/>
      <c r="J1199" s="487"/>
      <c r="K1199" s="487"/>
      <c r="L1199" s="487"/>
      <c r="M1199" s="487"/>
      <c r="N1199" s="487"/>
      <c r="O1199" s="487"/>
      <c r="P1199" s="487"/>
      <c r="Q1199" s="487"/>
      <c r="R1199" s="487"/>
      <c r="S1199" s="487"/>
      <c r="T1199" s="487"/>
      <c r="U1199" s="487"/>
      <c r="V1199" s="487"/>
      <c r="W1199" s="487"/>
      <c r="X1199" s="487"/>
      <c r="Y1199" s="487"/>
      <c r="Z1199" s="487"/>
      <c r="AA1199" s="487"/>
      <c r="AB1199" s="487"/>
      <c r="AC1199" s="487"/>
      <c r="AD1199" s="487"/>
      <c r="AE1199" s="487"/>
      <c r="AF1199" s="487"/>
      <c r="AG1199" s="487"/>
      <c r="AH1199" s="487"/>
      <c r="AI1199" s="487"/>
      <c r="AJ1199" s="487"/>
      <c r="AK1199" s="487"/>
      <c r="AL1199" s="487"/>
      <c r="AM1199" s="487"/>
      <c r="AN1199" s="487"/>
      <c r="AO1199" s="487"/>
      <c r="AP1199" s="487"/>
      <c r="AQ1199" s="487"/>
      <c r="AR1199" s="487"/>
      <c r="AS1199" s="487"/>
      <c r="AT1199" s="487"/>
      <c r="AU1199" s="487"/>
      <c r="AV1199" s="487"/>
      <c r="AW1199" s="487"/>
      <c r="AX1199" s="487"/>
      <c r="AY1199" s="487"/>
      <c r="AZ1199" s="487"/>
      <c r="BA1199" s="487"/>
      <c r="BB1199" s="487"/>
      <c r="BC1199" s="487"/>
      <c r="BD1199" s="487"/>
      <c r="BE1199" s="487"/>
      <c r="BF1199" s="487"/>
      <c r="BG1199" s="487"/>
      <c r="BH1199" s="487"/>
      <c r="BI1199" s="487"/>
      <c r="BJ1199" s="981"/>
      <c r="BK1199" s="487"/>
      <c r="BL1199" s="487"/>
      <c r="BM1199" s="487"/>
      <c r="BN1199" s="487"/>
      <c r="BO1199" s="487"/>
      <c r="BP1199" s="487"/>
      <c r="BQ1199" s="487"/>
      <c r="BR1199" s="487"/>
      <c r="BS1199" s="487"/>
      <c r="BT1199" s="487"/>
      <c r="BU1199" s="487"/>
      <c r="BV1199" s="487"/>
      <c r="BW1199" s="223"/>
    </row>
    <row r="1200" spans="1:75" s="224" customFormat="1" x14ac:dyDescent="0.5">
      <c r="A1200" s="997" t="s">
        <v>1588</v>
      </c>
      <c r="B1200" s="487"/>
      <c r="C1200" s="980"/>
      <c r="D1200" s="980"/>
      <c r="E1200" s="487"/>
      <c r="F1200" s="487"/>
      <c r="G1200" s="487"/>
      <c r="H1200" s="487"/>
      <c r="I1200" s="487"/>
      <c r="J1200" s="487"/>
      <c r="K1200" s="487"/>
      <c r="L1200" s="487"/>
      <c r="M1200" s="487"/>
      <c r="N1200" s="487"/>
      <c r="O1200" s="487"/>
      <c r="P1200" s="487"/>
      <c r="Q1200" s="487"/>
      <c r="R1200" s="487"/>
      <c r="S1200" s="487"/>
      <c r="T1200" s="487"/>
      <c r="U1200" s="487"/>
      <c r="V1200" s="487"/>
      <c r="W1200" s="487"/>
      <c r="X1200" s="487"/>
      <c r="Y1200" s="487"/>
      <c r="Z1200" s="487"/>
      <c r="AA1200" s="487"/>
      <c r="AB1200" s="487"/>
      <c r="AC1200" s="487"/>
      <c r="AD1200" s="487"/>
      <c r="AE1200" s="487"/>
      <c r="AF1200" s="487"/>
      <c r="AG1200" s="487"/>
      <c r="AH1200" s="487"/>
      <c r="AI1200" s="487"/>
      <c r="AJ1200" s="487"/>
      <c r="AK1200" s="487"/>
      <c r="AL1200" s="487"/>
      <c r="AM1200" s="487"/>
      <c r="AN1200" s="487"/>
      <c r="AO1200" s="487"/>
      <c r="AP1200" s="487"/>
      <c r="AQ1200" s="487"/>
      <c r="AR1200" s="487"/>
      <c r="AS1200" s="487"/>
      <c r="AT1200" s="487"/>
      <c r="AU1200" s="487"/>
      <c r="AV1200" s="487"/>
      <c r="AW1200" s="487"/>
      <c r="AX1200" s="487"/>
      <c r="AY1200" s="487"/>
      <c r="AZ1200" s="487"/>
      <c r="BA1200" s="487"/>
      <c r="BB1200" s="487"/>
      <c r="BC1200" s="487"/>
      <c r="BD1200" s="487"/>
      <c r="BE1200" s="487"/>
      <c r="BF1200" s="487"/>
      <c r="BG1200" s="487"/>
      <c r="BH1200" s="487"/>
      <c r="BI1200" s="487"/>
      <c r="BJ1200" s="981"/>
      <c r="BK1200" s="487"/>
      <c r="BL1200" s="487"/>
      <c r="BM1200" s="487"/>
      <c r="BN1200" s="487"/>
      <c r="BO1200" s="487"/>
      <c r="BP1200" s="487"/>
      <c r="BQ1200" s="487"/>
      <c r="BR1200" s="487"/>
      <c r="BS1200" s="487"/>
      <c r="BT1200" s="487"/>
      <c r="BU1200" s="487"/>
      <c r="BV1200" s="487"/>
      <c r="BW1200" s="223"/>
    </row>
    <row r="1201" spans="1:75" s="224" customFormat="1" x14ac:dyDescent="0.5">
      <c r="A1201" s="998" t="str">
        <f>MO_RIS_REV</f>
        <v>Net Revenue</v>
      </c>
      <c r="B1201" s="487"/>
      <c r="C1201" s="980"/>
      <c r="D1201" s="980"/>
      <c r="E1201" s="487"/>
      <c r="F1201" s="487"/>
      <c r="G1201" s="487"/>
      <c r="H1201" s="487"/>
      <c r="I1201" s="487"/>
      <c r="J1201" s="487"/>
      <c r="K1201" s="487"/>
      <c r="L1201" s="487"/>
      <c r="M1201" s="487"/>
      <c r="N1201" s="487"/>
      <c r="O1201" s="487"/>
      <c r="P1201" s="487"/>
      <c r="Q1201" s="487"/>
      <c r="R1201" s="487"/>
      <c r="S1201" s="487"/>
      <c r="T1201" s="487"/>
      <c r="U1201" s="487"/>
      <c r="V1201" s="487"/>
      <c r="W1201" s="487"/>
      <c r="X1201" s="487"/>
      <c r="Y1201" s="487"/>
      <c r="Z1201" s="487"/>
      <c r="AA1201" s="487"/>
      <c r="AB1201" s="487"/>
      <c r="AC1201" s="487"/>
      <c r="AD1201" s="487"/>
      <c r="AE1201" s="487"/>
      <c r="AF1201" s="487"/>
      <c r="AG1201" s="487"/>
      <c r="AH1201" s="487"/>
      <c r="AI1201" s="487"/>
      <c r="AJ1201" s="487"/>
      <c r="AK1201" s="487"/>
      <c r="AL1201" s="487"/>
      <c r="AM1201" s="487"/>
      <c r="AN1201" s="487"/>
      <c r="AO1201" s="487"/>
      <c r="AP1201" s="487"/>
      <c r="AQ1201" s="487"/>
      <c r="AR1201" s="487"/>
      <c r="AS1201" s="487"/>
      <c r="AT1201" s="487"/>
      <c r="AU1201" s="487"/>
      <c r="AV1201" s="487"/>
      <c r="AW1201" s="487"/>
      <c r="AX1201" s="487"/>
      <c r="AY1201" s="487"/>
      <c r="AZ1201" s="487"/>
      <c r="BA1201" s="487"/>
      <c r="BB1201" s="487"/>
      <c r="BC1201" s="487"/>
      <c r="BD1201" s="487"/>
      <c r="BE1201" s="487"/>
      <c r="BF1201" s="487"/>
      <c r="BG1201" s="487"/>
      <c r="BH1201" s="487"/>
      <c r="BI1201" s="487"/>
      <c r="BJ1201" s="981"/>
      <c r="BK1201" s="487"/>
      <c r="BL1201" s="487"/>
      <c r="BM1201" s="487"/>
      <c r="BN1201" s="487"/>
      <c r="BO1201" s="487"/>
      <c r="BP1201" s="487"/>
      <c r="BQ1201" s="487"/>
      <c r="BR1201" s="487"/>
      <c r="BS1201" s="487"/>
      <c r="BT1201" s="487"/>
      <c r="BU1201" s="487"/>
      <c r="BV1201" s="487"/>
      <c r="BW1201" s="223"/>
    </row>
    <row r="1202" spans="1:75" s="224" customFormat="1" x14ac:dyDescent="0.5">
      <c r="A1202" s="998" t="str">
        <f>MO_RIS_EBITDA_Adj</f>
        <v>Adjusted EBITDA</v>
      </c>
      <c r="B1202" s="487"/>
      <c r="C1202" s="980"/>
      <c r="D1202" s="980"/>
      <c r="E1202" s="487"/>
      <c r="F1202" s="487"/>
      <c r="G1202" s="487"/>
      <c r="H1202" s="487"/>
      <c r="I1202" s="487"/>
      <c r="J1202" s="487"/>
      <c r="K1202" s="487"/>
      <c r="L1202" s="487"/>
      <c r="M1202" s="487"/>
      <c r="N1202" s="487"/>
      <c r="O1202" s="487"/>
      <c r="P1202" s="487"/>
      <c r="Q1202" s="487"/>
      <c r="R1202" s="487"/>
      <c r="S1202" s="487"/>
      <c r="T1202" s="487"/>
      <c r="U1202" s="487"/>
      <c r="V1202" s="487"/>
      <c r="W1202" s="487"/>
      <c r="X1202" s="487"/>
      <c r="Y1202" s="487"/>
      <c r="Z1202" s="487"/>
      <c r="AA1202" s="487"/>
      <c r="AB1202" s="487"/>
      <c r="AC1202" s="487"/>
      <c r="AD1202" s="487"/>
      <c r="AE1202" s="487"/>
      <c r="AF1202" s="487"/>
      <c r="AG1202" s="487"/>
      <c r="AH1202" s="487"/>
      <c r="AI1202" s="487"/>
      <c r="AJ1202" s="487"/>
      <c r="AK1202" s="487"/>
      <c r="AL1202" s="487"/>
      <c r="AM1202" s="487"/>
      <c r="AN1202" s="487"/>
      <c r="AO1202" s="487"/>
      <c r="AP1202" s="487"/>
      <c r="AQ1202" s="487"/>
      <c r="AR1202" s="487"/>
      <c r="AS1202" s="487"/>
      <c r="AT1202" s="487"/>
      <c r="AU1202" s="487"/>
      <c r="AV1202" s="487"/>
      <c r="AW1202" s="487"/>
      <c r="AX1202" s="487"/>
      <c r="AY1202" s="487"/>
      <c r="AZ1202" s="487"/>
      <c r="BA1202" s="487"/>
      <c r="BB1202" s="487"/>
      <c r="BC1202" s="487"/>
      <c r="BD1202" s="487"/>
      <c r="BE1202" s="487"/>
      <c r="BF1202" s="487"/>
      <c r="BG1202" s="487"/>
      <c r="BH1202" s="487"/>
      <c r="BI1202" s="487"/>
      <c r="BJ1202" s="981"/>
      <c r="BK1202" s="487"/>
      <c r="BL1202" s="487"/>
      <c r="BM1202" s="487"/>
      <c r="BN1202" s="487"/>
      <c r="BO1202" s="487"/>
      <c r="BP1202" s="487"/>
      <c r="BQ1202" s="487"/>
      <c r="BR1202" s="487"/>
      <c r="BS1202" s="487"/>
      <c r="BT1202" s="487"/>
      <c r="BU1202" s="487"/>
      <c r="BV1202" s="487"/>
      <c r="BW1202" s="223"/>
    </row>
    <row r="1203" spans="1:75" s="224" customFormat="1" x14ac:dyDescent="0.5">
      <c r="A1203" s="998" t="str">
        <f>MO_RIS_EPS_WAD_Adj</f>
        <v>Adjusted Earnings Per Share - WAD</v>
      </c>
      <c r="B1203" s="487"/>
      <c r="C1203" s="980"/>
      <c r="D1203" s="980"/>
      <c r="E1203" s="487"/>
      <c r="F1203" s="487"/>
      <c r="G1203" s="487"/>
      <c r="H1203" s="487"/>
      <c r="I1203" s="487"/>
      <c r="J1203" s="487"/>
      <c r="K1203" s="487"/>
      <c r="L1203" s="487"/>
      <c r="M1203" s="487"/>
      <c r="N1203" s="487"/>
      <c r="O1203" s="487"/>
      <c r="P1203" s="487"/>
      <c r="Q1203" s="487"/>
      <c r="R1203" s="487"/>
      <c r="S1203" s="487"/>
      <c r="T1203" s="487"/>
      <c r="U1203" s="487"/>
      <c r="V1203" s="487"/>
      <c r="W1203" s="487"/>
      <c r="X1203" s="487"/>
      <c r="Y1203" s="487"/>
      <c r="Z1203" s="487"/>
      <c r="AA1203" s="487"/>
      <c r="AB1203" s="487"/>
      <c r="AC1203" s="487"/>
      <c r="AD1203" s="487"/>
      <c r="AE1203" s="487"/>
      <c r="AF1203" s="487"/>
      <c r="AG1203" s="487"/>
      <c r="AH1203" s="487"/>
      <c r="AI1203" s="487"/>
      <c r="AJ1203" s="487"/>
      <c r="AK1203" s="487"/>
      <c r="AL1203" s="487"/>
      <c r="AM1203" s="487"/>
      <c r="AN1203" s="487"/>
      <c r="AO1203" s="487"/>
      <c r="AP1203" s="487"/>
      <c r="AQ1203" s="487"/>
      <c r="AR1203" s="487"/>
      <c r="AS1203" s="487"/>
      <c r="AT1203" s="487"/>
      <c r="AU1203" s="487"/>
      <c r="AV1203" s="487"/>
      <c r="AW1203" s="487"/>
      <c r="AX1203" s="487"/>
      <c r="AY1203" s="487"/>
      <c r="AZ1203" s="487"/>
      <c r="BA1203" s="487"/>
      <c r="BB1203" s="487"/>
      <c r="BC1203" s="487"/>
      <c r="BD1203" s="487"/>
      <c r="BE1203" s="487"/>
      <c r="BF1203" s="487"/>
      <c r="BG1203" s="487"/>
      <c r="BH1203" s="487"/>
      <c r="BI1203" s="487"/>
      <c r="BJ1203" s="981"/>
      <c r="BK1203" s="487"/>
      <c r="BL1203" s="487"/>
      <c r="BM1203" s="487"/>
      <c r="BN1203" s="487"/>
      <c r="BO1203" s="487"/>
      <c r="BP1203" s="487"/>
      <c r="BQ1203" s="487"/>
      <c r="BR1203" s="487"/>
      <c r="BS1203" s="487"/>
      <c r="BT1203" s="487"/>
      <c r="BU1203" s="487"/>
      <c r="BV1203" s="487"/>
      <c r="BW1203" s="223"/>
    </row>
    <row r="1204" spans="1:75" s="224" customFormat="1" x14ac:dyDescent="0.5">
      <c r="A1204" s="998" t="str">
        <f>MO_VA_EV_ToEBITDA</f>
        <v>EV/EBITDA - EoP</v>
      </c>
      <c r="B1204" s="487"/>
      <c r="C1204" s="980"/>
      <c r="D1204" s="980"/>
      <c r="E1204" s="487"/>
      <c r="F1204" s="487"/>
      <c r="G1204" s="487"/>
      <c r="H1204" s="487"/>
      <c r="I1204" s="487"/>
      <c r="J1204" s="487"/>
      <c r="K1204" s="487"/>
      <c r="L1204" s="487"/>
      <c r="M1204" s="487"/>
      <c r="N1204" s="487"/>
      <c r="O1204" s="487"/>
      <c r="P1204" s="487"/>
      <c r="Q1204" s="487"/>
      <c r="R1204" s="487"/>
      <c r="S1204" s="487"/>
      <c r="T1204" s="487"/>
      <c r="U1204" s="487"/>
      <c r="V1204" s="487"/>
      <c r="W1204" s="487"/>
      <c r="X1204" s="487"/>
      <c r="Y1204" s="487"/>
      <c r="Z1204" s="487"/>
      <c r="AA1204" s="487"/>
      <c r="AB1204" s="487"/>
      <c r="AC1204" s="487"/>
      <c r="AD1204" s="487"/>
      <c r="AE1204" s="487"/>
      <c r="AF1204" s="487"/>
      <c r="AG1204" s="487"/>
      <c r="AH1204" s="487"/>
      <c r="AI1204" s="487"/>
      <c r="AJ1204" s="487"/>
      <c r="AK1204" s="487"/>
      <c r="AL1204" s="487"/>
      <c r="AM1204" s="487"/>
      <c r="AN1204" s="487"/>
      <c r="AO1204" s="487"/>
      <c r="AP1204" s="487"/>
      <c r="AQ1204" s="487"/>
      <c r="AR1204" s="487"/>
      <c r="AS1204" s="487"/>
      <c r="AT1204" s="487"/>
      <c r="AU1204" s="487"/>
      <c r="AV1204" s="487"/>
      <c r="AW1204" s="487"/>
      <c r="AX1204" s="487"/>
      <c r="AY1204" s="487"/>
      <c r="AZ1204" s="487"/>
      <c r="BA1204" s="487"/>
      <c r="BB1204" s="487"/>
      <c r="BC1204" s="487"/>
      <c r="BD1204" s="487"/>
      <c r="BE1204" s="487"/>
      <c r="BF1204" s="487"/>
      <c r="BG1204" s="487"/>
      <c r="BH1204" s="487"/>
      <c r="BI1204" s="487"/>
      <c r="BJ1204" s="981"/>
      <c r="BK1204" s="487"/>
      <c r="BL1204" s="487"/>
      <c r="BM1204" s="487"/>
      <c r="BN1204" s="487"/>
      <c r="BO1204" s="487"/>
      <c r="BP1204" s="487"/>
      <c r="BQ1204" s="487"/>
      <c r="BR1204" s="487"/>
      <c r="BS1204" s="487"/>
      <c r="BT1204" s="487"/>
      <c r="BU1204" s="487"/>
      <c r="BV1204" s="487"/>
      <c r="BW1204" s="223"/>
    </row>
    <row r="1205" spans="1:75" s="224" customFormat="1" x14ac:dyDescent="0.5">
      <c r="A1205" s="998" t="str">
        <f>MO_VA_P_ToE</f>
        <v>P/E - EoP</v>
      </c>
      <c r="B1205" s="487"/>
      <c r="C1205" s="980"/>
      <c r="D1205" s="980"/>
      <c r="E1205" s="487"/>
      <c r="F1205" s="487"/>
      <c r="G1205" s="487"/>
      <c r="H1205" s="487"/>
      <c r="I1205" s="487"/>
      <c r="J1205" s="487"/>
      <c r="K1205" s="487"/>
      <c r="L1205" s="487"/>
      <c r="M1205" s="487"/>
      <c r="N1205" s="487"/>
      <c r="O1205" s="487"/>
      <c r="P1205" s="487"/>
      <c r="Q1205" s="487"/>
      <c r="R1205" s="487"/>
      <c r="S1205" s="487"/>
      <c r="T1205" s="487"/>
      <c r="U1205" s="487"/>
      <c r="V1205" s="487"/>
      <c r="W1205" s="487"/>
      <c r="X1205" s="487"/>
      <c r="Y1205" s="487"/>
      <c r="Z1205" s="487"/>
      <c r="AA1205" s="487"/>
      <c r="AB1205" s="487"/>
      <c r="AC1205" s="487"/>
      <c r="AD1205" s="487"/>
      <c r="AE1205" s="487"/>
      <c r="AF1205" s="487"/>
      <c r="AG1205" s="487"/>
      <c r="AH1205" s="487"/>
      <c r="AI1205" s="487"/>
      <c r="AJ1205" s="487"/>
      <c r="AK1205" s="487"/>
      <c r="AL1205" s="487"/>
      <c r="AM1205" s="487"/>
      <c r="AN1205" s="487"/>
      <c r="AO1205" s="487"/>
      <c r="AP1205" s="487"/>
      <c r="AQ1205" s="487"/>
      <c r="AR1205" s="487"/>
      <c r="AS1205" s="487"/>
      <c r="AT1205" s="487"/>
      <c r="AU1205" s="487"/>
      <c r="AV1205" s="487"/>
      <c r="AW1205" s="487"/>
      <c r="AX1205" s="487"/>
      <c r="AY1205" s="487"/>
      <c r="AZ1205" s="487"/>
      <c r="BA1205" s="487"/>
      <c r="BB1205" s="487"/>
      <c r="BC1205" s="487"/>
      <c r="BD1205" s="487"/>
      <c r="BE1205" s="487"/>
      <c r="BF1205" s="487"/>
      <c r="BG1205" s="487"/>
      <c r="BH1205" s="487"/>
      <c r="BI1205" s="487"/>
      <c r="BJ1205" s="981"/>
      <c r="BK1205" s="487"/>
      <c r="BL1205" s="487"/>
      <c r="BM1205" s="487"/>
      <c r="BN1205" s="487"/>
      <c r="BO1205" s="487"/>
      <c r="BP1205" s="487"/>
      <c r="BQ1205" s="487"/>
      <c r="BR1205" s="487"/>
      <c r="BS1205" s="487"/>
      <c r="BT1205" s="487"/>
      <c r="BU1205" s="487"/>
      <c r="BV1205" s="487"/>
      <c r="BW1205" s="223"/>
    </row>
    <row r="1206" spans="1:75" s="224" customFormat="1" x14ac:dyDescent="0.5">
      <c r="A1206" s="999"/>
      <c r="B1206" s="487"/>
      <c r="C1206" s="980"/>
      <c r="D1206" s="980"/>
      <c r="E1206" s="487"/>
      <c r="F1206" s="487"/>
      <c r="G1206" s="487"/>
      <c r="H1206" s="487"/>
      <c r="I1206" s="487"/>
      <c r="J1206" s="487"/>
      <c r="K1206" s="487"/>
      <c r="L1206" s="487"/>
      <c r="M1206" s="487"/>
      <c r="N1206" s="487"/>
      <c r="O1206" s="487"/>
      <c r="P1206" s="487"/>
      <c r="Q1206" s="487"/>
      <c r="R1206" s="487"/>
      <c r="S1206" s="487"/>
      <c r="T1206" s="487"/>
      <c r="U1206" s="487"/>
      <c r="V1206" s="487"/>
      <c r="W1206" s="487"/>
      <c r="X1206" s="487"/>
      <c r="Y1206" s="487"/>
      <c r="Z1206" s="487"/>
      <c r="AA1206" s="487"/>
      <c r="AB1206" s="487"/>
      <c r="AC1206" s="487"/>
      <c r="AD1206" s="487"/>
      <c r="AE1206" s="487"/>
      <c r="AF1206" s="487"/>
      <c r="AG1206" s="487"/>
      <c r="AH1206" s="487"/>
      <c r="AI1206" s="487"/>
      <c r="AJ1206" s="487"/>
      <c r="AK1206" s="487"/>
      <c r="AL1206" s="487"/>
      <c r="AM1206" s="487"/>
      <c r="AN1206" s="487"/>
      <c r="AO1206" s="487"/>
      <c r="AP1206" s="487"/>
      <c r="AQ1206" s="487"/>
      <c r="AR1206" s="487"/>
      <c r="AS1206" s="487"/>
      <c r="AT1206" s="487"/>
      <c r="AU1206" s="487"/>
      <c r="AV1206" s="487"/>
      <c r="AW1206" s="487"/>
      <c r="AX1206" s="487"/>
      <c r="AY1206" s="487"/>
      <c r="AZ1206" s="487"/>
      <c r="BA1206" s="487"/>
      <c r="BB1206" s="487"/>
      <c r="BC1206" s="487"/>
      <c r="BD1206" s="487"/>
      <c r="BE1206" s="487"/>
      <c r="BF1206" s="487"/>
      <c r="BG1206" s="487"/>
      <c r="BH1206" s="487"/>
      <c r="BI1206" s="487"/>
      <c r="BJ1206" s="981"/>
      <c r="BK1206" s="487"/>
      <c r="BL1206" s="487"/>
      <c r="BM1206" s="487"/>
      <c r="BN1206" s="487"/>
      <c r="BO1206" s="487"/>
      <c r="BP1206" s="487"/>
      <c r="BQ1206" s="487"/>
      <c r="BR1206" s="487"/>
      <c r="BS1206" s="487"/>
      <c r="BT1206" s="487"/>
      <c r="BU1206" s="487"/>
      <c r="BV1206" s="487"/>
      <c r="BW1206" s="223"/>
    </row>
    <row r="1207" spans="1:75" s="224" customFormat="1" x14ac:dyDescent="0.5">
      <c r="A1207" s="996"/>
      <c r="B1207" s="487"/>
      <c r="C1207" s="980"/>
      <c r="D1207" s="980"/>
      <c r="E1207" s="487"/>
      <c r="F1207" s="487"/>
      <c r="G1207" s="487"/>
      <c r="H1207" s="487"/>
      <c r="I1207" s="487"/>
      <c r="J1207" s="487"/>
      <c r="K1207" s="487"/>
      <c r="L1207" s="487"/>
      <c r="M1207" s="487"/>
      <c r="N1207" s="487"/>
      <c r="O1207" s="487"/>
      <c r="P1207" s="487"/>
      <c r="Q1207" s="487"/>
      <c r="R1207" s="487"/>
      <c r="S1207" s="487"/>
      <c r="T1207" s="487"/>
      <c r="U1207" s="487"/>
      <c r="V1207" s="487"/>
      <c r="W1207" s="487"/>
      <c r="X1207" s="487"/>
      <c r="Y1207" s="487"/>
      <c r="Z1207" s="487"/>
      <c r="AA1207" s="487"/>
      <c r="AB1207" s="487"/>
      <c r="AC1207" s="487"/>
      <c r="AD1207" s="487"/>
      <c r="AE1207" s="487"/>
      <c r="AF1207" s="487"/>
      <c r="AG1207" s="487"/>
      <c r="AH1207" s="487"/>
      <c r="AI1207" s="487"/>
      <c r="AJ1207" s="487"/>
      <c r="AK1207" s="487"/>
      <c r="AL1207" s="487"/>
      <c r="AM1207" s="487"/>
      <c r="AN1207" s="487"/>
      <c r="AO1207" s="487"/>
      <c r="AP1207" s="487"/>
      <c r="AQ1207" s="487"/>
      <c r="AR1207" s="487"/>
      <c r="AS1207" s="487"/>
      <c r="AT1207" s="487"/>
      <c r="AU1207" s="487"/>
      <c r="AV1207" s="487"/>
      <c r="AW1207" s="487"/>
      <c r="AX1207" s="487"/>
      <c r="AY1207" s="487"/>
      <c r="AZ1207" s="487"/>
      <c r="BA1207" s="487"/>
      <c r="BB1207" s="487"/>
      <c r="BC1207" s="487"/>
      <c r="BD1207" s="487"/>
      <c r="BE1207" s="487"/>
      <c r="BF1207" s="487"/>
      <c r="BG1207" s="487"/>
      <c r="BH1207" s="487"/>
      <c r="BI1207" s="487"/>
      <c r="BJ1207" s="981"/>
      <c r="BK1207" s="487"/>
      <c r="BL1207" s="487"/>
      <c r="BM1207" s="487"/>
      <c r="BN1207" s="487"/>
      <c r="BO1207" s="487"/>
      <c r="BP1207" s="487"/>
      <c r="BQ1207" s="487"/>
      <c r="BR1207" s="487"/>
      <c r="BS1207" s="487"/>
      <c r="BT1207" s="487"/>
      <c r="BU1207" s="487"/>
      <c r="BV1207" s="487"/>
      <c r="BW1207" s="223"/>
    </row>
    <row r="1208" spans="1:75" s="224" customFormat="1" x14ac:dyDescent="0.5">
      <c r="A1208" s="1000" t="s">
        <v>1589</v>
      </c>
      <c r="B1208" s="487"/>
      <c r="C1208" s="980"/>
      <c r="D1208" s="980"/>
      <c r="E1208" s="487"/>
      <c r="F1208" s="487"/>
      <c r="G1208" s="487"/>
      <c r="H1208" s="487"/>
      <c r="I1208" s="487"/>
      <c r="J1208" s="487"/>
      <c r="K1208" s="487"/>
      <c r="L1208" s="487"/>
      <c r="M1208" s="487"/>
      <c r="N1208" s="487"/>
      <c r="O1208" s="487"/>
      <c r="P1208" s="487"/>
      <c r="Q1208" s="487"/>
      <c r="R1208" s="487"/>
      <c r="S1208" s="487"/>
      <c r="T1208" s="487"/>
      <c r="U1208" s="487"/>
      <c r="V1208" s="487"/>
      <c r="W1208" s="487"/>
      <c r="X1208" s="487"/>
      <c r="Y1208" s="487"/>
      <c r="Z1208" s="487"/>
      <c r="AA1208" s="487"/>
      <c r="AB1208" s="487"/>
      <c r="AC1208" s="487"/>
      <c r="AD1208" s="487"/>
      <c r="AE1208" s="487"/>
      <c r="AF1208" s="487"/>
      <c r="AG1208" s="487"/>
      <c r="AH1208" s="487"/>
      <c r="AI1208" s="487"/>
      <c r="AJ1208" s="487"/>
      <c r="AK1208" s="487"/>
      <c r="AL1208" s="487"/>
      <c r="AM1208" s="487"/>
      <c r="AN1208" s="487"/>
      <c r="AO1208" s="487"/>
      <c r="AP1208" s="487"/>
      <c r="AQ1208" s="487"/>
      <c r="AR1208" s="487"/>
      <c r="AS1208" s="487"/>
      <c r="AT1208" s="487"/>
      <c r="AU1208" s="487"/>
      <c r="AV1208" s="487"/>
      <c r="AW1208" s="487"/>
      <c r="AX1208" s="487"/>
      <c r="AY1208" s="487"/>
      <c r="AZ1208" s="487"/>
      <c r="BA1208" s="487"/>
      <c r="BB1208" s="487"/>
      <c r="BC1208" s="487"/>
      <c r="BD1208" s="487"/>
      <c r="BE1208" s="487"/>
      <c r="BF1208" s="487"/>
      <c r="BG1208" s="487"/>
      <c r="BH1208" s="487"/>
      <c r="BI1208" s="487"/>
      <c r="BJ1208" s="981"/>
      <c r="BK1208" s="487"/>
      <c r="BL1208" s="487"/>
      <c r="BM1208" s="487"/>
      <c r="BN1208" s="487"/>
      <c r="BO1208" s="487"/>
      <c r="BP1208" s="487"/>
      <c r="BQ1208" s="487"/>
      <c r="BR1208" s="487"/>
      <c r="BS1208" s="487"/>
      <c r="BT1208" s="487"/>
      <c r="BU1208" s="487"/>
      <c r="BV1208" s="487"/>
      <c r="BW1208" s="223"/>
    </row>
    <row r="1209" spans="1:75" s="224" customFormat="1" x14ac:dyDescent="0.5">
      <c r="A1209" s="1001" t="s">
        <v>1590</v>
      </c>
      <c r="B1209" s="487"/>
      <c r="C1209" s="980"/>
      <c r="D1209" s="980"/>
      <c r="E1209" s="487"/>
      <c r="F1209" s="487"/>
      <c r="G1209" s="487"/>
      <c r="H1209" s="487"/>
      <c r="I1209" s="487"/>
      <c r="J1209" s="487"/>
      <c r="K1209" s="487"/>
      <c r="L1209" s="487"/>
      <c r="M1209" s="487"/>
      <c r="N1209" s="487"/>
      <c r="O1209" s="487"/>
      <c r="P1209" s="487"/>
      <c r="Q1209" s="487"/>
      <c r="R1209" s="487"/>
      <c r="S1209" s="487"/>
      <c r="T1209" s="487"/>
      <c r="U1209" s="487"/>
      <c r="V1209" s="487"/>
      <c r="W1209" s="487"/>
      <c r="X1209" s="487"/>
      <c r="Y1209" s="487"/>
      <c r="Z1209" s="487"/>
      <c r="AA1209" s="487"/>
      <c r="AB1209" s="487"/>
      <c r="AC1209" s="487"/>
      <c r="AD1209" s="487"/>
      <c r="AE1209" s="487"/>
      <c r="AF1209" s="487"/>
      <c r="AG1209" s="487"/>
      <c r="AH1209" s="487"/>
      <c r="AI1209" s="487"/>
      <c r="AJ1209" s="487"/>
      <c r="AK1209" s="487"/>
      <c r="AL1209" s="487"/>
      <c r="AM1209" s="487"/>
      <c r="AN1209" s="487"/>
      <c r="AO1209" s="487"/>
      <c r="AP1209" s="487"/>
      <c r="AQ1209" s="487"/>
      <c r="AR1209" s="487"/>
      <c r="AS1209" s="487"/>
      <c r="AT1209" s="487"/>
      <c r="AU1209" s="487"/>
      <c r="AV1209" s="487"/>
      <c r="AW1209" s="487"/>
      <c r="AX1209" s="487"/>
      <c r="AY1209" s="487"/>
      <c r="AZ1209" s="487"/>
      <c r="BA1209" s="487"/>
      <c r="BB1209" s="487"/>
      <c r="BC1209" s="487"/>
      <c r="BD1209" s="487"/>
      <c r="BE1209" s="487"/>
      <c r="BF1209" s="487"/>
      <c r="BG1209" s="487"/>
      <c r="BH1209" s="487"/>
      <c r="BI1209" s="487"/>
      <c r="BJ1209" s="981"/>
      <c r="BK1209" s="487"/>
      <c r="BL1209" s="487"/>
      <c r="BM1209" s="487"/>
      <c r="BN1209" s="487"/>
      <c r="BO1209" s="487"/>
      <c r="BP1209" s="487"/>
      <c r="BQ1209" s="487"/>
      <c r="BR1209" s="487"/>
      <c r="BS1209" s="487"/>
      <c r="BT1209" s="487"/>
      <c r="BU1209" s="487"/>
      <c r="BV1209" s="487"/>
      <c r="BW1209" s="223"/>
    </row>
    <row r="1210" spans="1:75" s="224" customFormat="1" x14ac:dyDescent="0.5">
      <c r="A1210" s="1001" t="s">
        <v>1591</v>
      </c>
      <c r="B1210" s="487"/>
      <c r="C1210" s="980"/>
      <c r="D1210" s="980"/>
      <c r="E1210" s="487"/>
      <c r="F1210" s="487"/>
      <c r="G1210" s="487"/>
      <c r="H1210" s="487"/>
      <c r="I1210" s="487"/>
      <c r="J1210" s="487"/>
      <c r="K1210" s="487"/>
      <c r="L1210" s="487"/>
      <c r="M1210" s="487"/>
      <c r="N1210" s="487"/>
      <c r="O1210" s="487"/>
      <c r="P1210" s="487"/>
      <c r="Q1210" s="487"/>
      <c r="R1210" s="487"/>
      <c r="S1210" s="487"/>
      <c r="T1210" s="487"/>
      <c r="U1210" s="487"/>
      <c r="V1210" s="487"/>
      <c r="W1210" s="487"/>
      <c r="X1210" s="487"/>
      <c r="Y1210" s="487"/>
      <c r="Z1210" s="487"/>
      <c r="AA1210" s="487"/>
      <c r="AB1210" s="487"/>
      <c r="AC1210" s="487"/>
      <c r="AD1210" s="487"/>
      <c r="AE1210" s="487"/>
      <c r="AF1210" s="487"/>
      <c r="AG1210" s="487"/>
      <c r="AH1210" s="487"/>
      <c r="AI1210" s="487"/>
      <c r="AJ1210" s="487"/>
      <c r="AK1210" s="487"/>
      <c r="AL1210" s="487"/>
      <c r="AM1210" s="487"/>
      <c r="AN1210" s="487"/>
      <c r="AO1210" s="487"/>
      <c r="AP1210" s="487"/>
      <c r="AQ1210" s="487"/>
      <c r="AR1210" s="487"/>
      <c r="AS1210" s="487"/>
      <c r="AT1210" s="487"/>
      <c r="AU1210" s="487"/>
      <c r="AV1210" s="487"/>
      <c r="AW1210" s="487"/>
      <c r="AX1210" s="487"/>
      <c r="AY1210" s="487"/>
      <c r="AZ1210" s="487"/>
      <c r="BA1210" s="487"/>
      <c r="BB1210" s="487"/>
      <c r="BC1210" s="487"/>
      <c r="BD1210" s="487"/>
      <c r="BE1210" s="487"/>
      <c r="BF1210" s="487"/>
      <c r="BG1210" s="487"/>
      <c r="BH1210" s="487"/>
      <c r="BI1210" s="487"/>
      <c r="BJ1210" s="981"/>
      <c r="BK1210" s="487"/>
      <c r="BL1210" s="487"/>
      <c r="BM1210" s="487"/>
      <c r="BN1210" s="487"/>
      <c r="BO1210" s="487"/>
      <c r="BP1210" s="487"/>
      <c r="BQ1210" s="487"/>
      <c r="BR1210" s="487"/>
      <c r="BS1210" s="487"/>
      <c r="BT1210" s="487"/>
      <c r="BU1210" s="487"/>
      <c r="BV1210" s="487"/>
      <c r="BW1210" s="223"/>
    </row>
    <row r="1211" spans="1:75" s="224" customFormat="1" x14ac:dyDescent="0.5">
      <c r="A1211" s="1001" t="s">
        <v>1592</v>
      </c>
      <c r="B1211" s="487"/>
      <c r="C1211" s="980"/>
      <c r="D1211" s="980"/>
      <c r="E1211" s="487"/>
      <c r="F1211" s="487"/>
      <c r="G1211" s="487"/>
      <c r="H1211" s="487"/>
      <c r="I1211" s="487"/>
      <c r="J1211" s="487"/>
      <c r="K1211" s="487"/>
      <c r="L1211" s="487"/>
      <c r="M1211" s="487"/>
      <c r="N1211" s="487"/>
      <c r="O1211" s="487"/>
      <c r="P1211" s="487"/>
      <c r="Q1211" s="487"/>
      <c r="R1211" s="487"/>
      <c r="S1211" s="487"/>
      <c r="T1211" s="487"/>
      <c r="U1211" s="487"/>
      <c r="V1211" s="487"/>
      <c r="W1211" s="487"/>
      <c r="X1211" s="487"/>
      <c r="Y1211" s="487"/>
      <c r="Z1211" s="487"/>
      <c r="AA1211" s="487"/>
      <c r="AB1211" s="487"/>
      <c r="AC1211" s="487"/>
      <c r="AD1211" s="487"/>
      <c r="AE1211" s="487"/>
      <c r="AF1211" s="487"/>
      <c r="AG1211" s="487"/>
      <c r="AH1211" s="487"/>
      <c r="AI1211" s="487"/>
      <c r="AJ1211" s="487"/>
      <c r="AK1211" s="487"/>
      <c r="AL1211" s="487"/>
      <c r="AM1211" s="487"/>
      <c r="AN1211" s="487"/>
      <c r="AO1211" s="487"/>
      <c r="AP1211" s="487"/>
      <c r="AQ1211" s="487"/>
      <c r="AR1211" s="487"/>
      <c r="AS1211" s="487"/>
      <c r="AT1211" s="487"/>
      <c r="AU1211" s="487"/>
      <c r="AV1211" s="487"/>
      <c r="AW1211" s="487"/>
      <c r="AX1211" s="487"/>
      <c r="AY1211" s="487"/>
      <c r="AZ1211" s="487"/>
      <c r="BA1211" s="487"/>
      <c r="BB1211" s="487"/>
      <c r="BC1211" s="487"/>
      <c r="BD1211" s="487"/>
      <c r="BE1211" s="487"/>
      <c r="BF1211" s="487"/>
      <c r="BG1211" s="487"/>
      <c r="BH1211" s="487"/>
      <c r="BI1211" s="487"/>
      <c r="BJ1211" s="981"/>
      <c r="BK1211" s="487"/>
      <c r="BL1211" s="487"/>
      <c r="BM1211" s="487"/>
      <c r="BN1211" s="487"/>
      <c r="BO1211" s="487"/>
      <c r="BP1211" s="487"/>
      <c r="BQ1211" s="487"/>
      <c r="BR1211" s="487"/>
      <c r="BS1211" s="487"/>
      <c r="BT1211" s="487"/>
      <c r="BU1211" s="487"/>
      <c r="BV1211" s="487"/>
      <c r="BW1211" s="223"/>
    </row>
    <row r="1212" spans="1:75" s="224" customFormat="1" x14ac:dyDescent="0.5">
      <c r="A1212" s="1001" t="s">
        <v>1593</v>
      </c>
      <c r="B1212" s="487"/>
      <c r="C1212" s="980"/>
      <c r="D1212" s="980"/>
      <c r="E1212" s="487"/>
      <c r="F1212" s="487"/>
      <c r="G1212" s="487"/>
      <c r="H1212" s="487"/>
      <c r="I1212" s="487"/>
      <c r="J1212" s="487"/>
      <c r="K1212" s="487"/>
      <c r="L1212" s="487"/>
      <c r="M1212" s="487"/>
      <c r="N1212" s="487"/>
      <c r="O1212" s="487"/>
      <c r="P1212" s="487"/>
      <c r="Q1212" s="487"/>
      <c r="R1212" s="487"/>
      <c r="S1212" s="487"/>
      <c r="T1212" s="487"/>
      <c r="U1212" s="487"/>
      <c r="V1212" s="487"/>
      <c r="W1212" s="487"/>
      <c r="X1212" s="487"/>
      <c r="Y1212" s="487"/>
      <c r="Z1212" s="487"/>
      <c r="AA1212" s="487"/>
      <c r="AB1212" s="487"/>
      <c r="AC1212" s="487"/>
      <c r="AD1212" s="487"/>
      <c r="AE1212" s="487"/>
      <c r="AF1212" s="487"/>
      <c r="AG1212" s="487"/>
      <c r="AH1212" s="487"/>
      <c r="AI1212" s="487"/>
      <c r="AJ1212" s="487"/>
      <c r="AK1212" s="487"/>
      <c r="AL1212" s="487"/>
      <c r="AM1212" s="487"/>
      <c r="AN1212" s="487"/>
      <c r="AO1212" s="487"/>
      <c r="AP1212" s="487"/>
      <c r="AQ1212" s="487"/>
      <c r="AR1212" s="487"/>
      <c r="AS1212" s="487"/>
      <c r="AT1212" s="487"/>
      <c r="AU1212" s="487"/>
      <c r="AV1212" s="487"/>
      <c r="AW1212" s="487"/>
      <c r="AX1212" s="487"/>
      <c r="AY1212" s="487"/>
      <c r="AZ1212" s="487"/>
      <c r="BA1212" s="487"/>
      <c r="BB1212" s="487"/>
      <c r="BC1212" s="487"/>
      <c r="BD1212" s="487"/>
      <c r="BE1212" s="487"/>
      <c r="BF1212" s="487"/>
      <c r="BG1212" s="487"/>
      <c r="BH1212" s="487"/>
      <c r="BI1212" s="487"/>
      <c r="BJ1212" s="981"/>
      <c r="BK1212" s="487"/>
      <c r="BL1212" s="487"/>
      <c r="BM1212" s="487"/>
      <c r="BN1212" s="487"/>
      <c r="BO1212" s="487"/>
      <c r="BP1212" s="487"/>
      <c r="BQ1212" s="487"/>
      <c r="BR1212" s="487"/>
      <c r="BS1212" s="487"/>
      <c r="BT1212" s="487"/>
      <c r="BU1212" s="487"/>
      <c r="BV1212" s="487"/>
      <c r="BW1212" s="223"/>
    </row>
    <row r="1213" spans="1:75" s="224" customFormat="1" x14ac:dyDescent="0.5">
      <c r="A1213" s="1001" t="s">
        <v>1594</v>
      </c>
      <c r="B1213" s="487"/>
      <c r="C1213" s="980"/>
      <c r="D1213" s="980"/>
      <c r="E1213" s="487"/>
      <c r="F1213" s="487"/>
      <c r="G1213" s="487"/>
      <c r="H1213" s="487"/>
      <c r="I1213" s="487"/>
      <c r="J1213" s="487"/>
      <c r="K1213" s="487"/>
      <c r="L1213" s="487"/>
      <c r="M1213" s="487"/>
      <c r="N1213" s="487"/>
      <c r="O1213" s="487"/>
      <c r="P1213" s="487"/>
      <c r="Q1213" s="487"/>
      <c r="R1213" s="487"/>
      <c r="S1213" s="487"/>
      <c r="T1213" s="487"/>
      <c r="U1213" s="487"/>
      <c r="V1213" s="487"/>
      <c r="W1213" s="487"/>
      <c r="X1213" s="487"/>
      <c r="Y1213" s="487"/>
      <c r="Z1213" s="487"/>
      <c r="AA1213" s="487"/>
      <c r="AB1213" s="487"/>
      <c r="AC1213" s="487"/>
      <c r="AD1213" s="487"/>
      <c r="AE1213" s="487"/>
      <c r="AF1213" s="487"/>
      <c r="AG1213" s="487"/>
      <c r="AH1213" s="487"/>
      <c r="AI1213" s="487"/>
      <c r="AJ1213" s="487"/>
      <c r="AK1213" s="487"/>
      <c r="AL1213" s="487"/>
      <c r="AM1213" s="487"/>
      <c r="AN1213" s="487"/>
      <c r="AO1213" s="487"/>
      <c r="AP1213" s="487"/>
      <c r="AQ1213" s="487"/>
      <c r="AR1213" s="487"/>
      <c r="AS1213" s="487"/>
      <c r="AT1213" s="487"/>
      <c r="AU1213" s="487"/>
      <c r="AV1213" s="487"/>
      <c r="AW1213" s="487"/>
      <c r="AX1213" s="487"/>
      <c r="AY1213" s="487"/>
      <c r="AZ1213" s="487"/>
      <c r="BA1213" s="487"/>
      <c r="BB1213" s="487"/>
      <c r="BC1213" s="487"/>
      <c r="BD1213" s="487"/>
      <c r="BE1213" s="487"/>
      <c r="BF1213" s="487"/>
      <c r="BG1213" s="487"/>
      <c r="BH1213" s="487"/>
      <c r="BI1213" s="487"/>
      <c r="BJ1213" s="981"/>
      <c r="BK1213" s="487"/>
      <c r="BL1213" s="487"/>
      <c r="BM1213" s="487"/>
      <c r="BN1213" s="487"/>
      <c r="BO1213" s="487"/>
      <c r="BP1213" s="487"/>
      <c r="BQ1213" s="487"/>
      <c r="BR1213" s="487"/>
      <c r="BS1213" s="487"/>
      <c r="BT1213" s="487"/>
      <c r="BU1213" s="487"/>
      <c r="BV1213" s="487"/>
      <c r="BW1213" s="223"/>
    </row>
    <row r="1214" spans="1:75" s="224" customFormat="1" x14ac:dyDescent="0.5">
      <c r="A1214" s="1001" t="s">
        <v>1595</v>
      </c>
      <c r="B1214" s="487"/>
      <c r="C1214" s="980"/>
      <c r="D1214" s="980"/>
      <c r="E1214" s="487"/>
      <c r="F1214" s="487"/>
      <c r="G1214" s="487"/>
      <c r="H1214" s="487"/>
      <c r="I1214" s="487"/>
      <c r="J1214" s="487"/>
      <c r="K1214" s="487"/>
      <c r="L1214" s="487"/>
      <c r="M1214" s="487"/>
      <c r="N1214" s="487"/>
      <c r="O1214" s="487"/>
      <c r="P1214" s="487"/>
      <c r="Q1214" s="487"/>
      <c r="R1214" s="487"/>
      <c r="S1214" s="487"/>
      <c r="T1214" s="487"/>
      <c r="U1214" s="487"/>
      <c r="V1214" s="487"/>
      <c r="W1214" s="487"/>
      <c r="X1214" s="487"/>
      <c r="Y1214" s="487"/>
      <c r="Z1214" s="487"/>
      <c r="AA1214" s="487"/>
      <c r="AB1214" s="487"/>
      <c r="AC1214" s="487"/>
      <c r="AD1214" s="487"/>
      <c r="AE1214" s="487"/>
      <c r="AF1214" s="487"/>
      <c r="AG1214" s="487"/>
      <c r="AH1214" s="487"/>
      <c r="AI1214" s="487"/>
      <c r="AJ1214" s="487"/>
      <c r="AK1214" s="487"/>
      <c r="AL1214" s="487"/>
      <c r="AM1214" s="487"/>
      <c r="AN1214" s="487"/>
      <c r="AO1214" s="487"/>
      <c r="AP1214" s="487"/>
      <c r="AQ1214" s="487"/>
      <c r="AR1214" s="487"/>
      <c r="AS1214" s="487"/>
      <c r="AT1214" s="487"/>
      <c r="AU1214" s="487"/>
      <c r="AV1214" s="487"/>
      <c r="AW1214" s="487"/>
      <c r="AX1214" s="487"/>
      <c r="AY1214" s="487"/>
      <c r="AZ1214" s="487"/>
      <c r="BA1214" s="487"/>
      <c r="BB1214" s="487"/>
      <c r="BC1214" s="487"/>
      <c r="BD1214" s="487"/>
      <c r="BE1214" s="487"/>
      <c r="BF1214" s="487"/>
      <c r="BG1214" s="487"/>
      <c r="BH1214" s="487"/>
      <c r="BI1214" s="487"/>
      <c r="BJ1214" s="981"/>
      <c r="BK1214" s="487"/>
      <c r="BL1214" s="487"/>
      <c r="BM1214" s="487"/>
      <c r="BN1214" s="487"/>
      <c r="BO1214" s="487"/>
      <c r="BP1214" s="487"/>
      <c r="BQ1214" s="487"/>
      <c r="BR1214" s="487"/>
      <c r="BS1214" s="487"/>
      <c r="BT1214" s="487"/>
      <c r="BU1214" s="487"/>
      <c r="BV1214" s="487"/>
      <c r="BW1214" s="223"/>
    </row>
    <row r="1215" spans="1:75" s="224" customFormat="1" x14ac:dyDescent="0.5">
      <c r="A1215" s="1001" t="s">
        <v>2174</v>
      </c>
      <c r="B1215" s="487"/>
      <c r="C1215" s="980"/>
      <c r="D1215" s="980"/>
      <c r="E1215" s="487"/>
      <c r="F1215" s="487"/>
      <c r="G1215" s="487"/>
      <c r="H1215" s="487"/>
      <c r="I1215" s="487"/>
      <c r="J1215" s="487"/>
      <c r="K1215" s="487"/>
      <c r="L1215" s="487"/>
      <c r="M1215" s="487"/>
      <c r="N1215" s="487"/>
      <c r="O1215" s="487"/>
      <c r="P1215" s="487"/>
      <c r="Q1215" s="487"/>
      <c r="R1215" s="487"/>
      <c r="S1215" s="487"/>
      <c r="T1215" s="487"/>
      <c r="U1215" s="487"/>
      <c r="V1215" s="487"/>
      <c r="W1215" s="487"/>
      <c r="X1215" s="487"/>
      <c r="Y1215" s="487"/>
      <c r="Z1215" s="487"/>
      <c r="AA1215" s="487"/>
      <c r="AB1215" s="487"/>
      <c r="AC1215" s="487"/>
      <c r="AD1215" s="487"/>
      <c r="AE1215" s="487"/>
      <c r="AF1215" s="487"/>
      <c r="AG1215" s="487"/>
      <c r="AH1215" s="487"/>
      <c r="AI1215" s="487"/>
      <c r="AJ1215" s="487"/>
      <c r="AK1215" s="487"/>
      <c r="AL1215" s="487"/>
      <c r="AM1215" s="487"/>
      <c r="AN1215" s="487"/>
      <c r="AO1215" s="487"/>
      <c r="AP1215" s="487"/>
      <c r="AQ1215" s="487"/>
      <c r="AR1215" s="487"/>
      <c r="AS1215" s="487"/>
      <c r="AT1215" s="487"/>
      <c r="AU1215" s="487"/>
      <c r="AV1215" s="487"/>
      <c r="AW1215" s="487"/>
      <c r="AX1215" s="487"/>
      <c r="AY1215" s="487"/>
      <c r="AZ1215" s="487"/>
      <c r="BA1215" s="487"/>
      <c r="BB1215" s="487"/>
      <c r="BC1215" s="487"/>
      <c r="BD1215" s="487"/>
      <c r="BE1215" s="487"/>
      <c r="BF1215" s="487"/>
      <c r="BG1215" s="487"/>
      <c r="BH1215" s="487"/>
      <c r="BI1215" s="487"/>
      <c r="BJ1215" s="981"/>
      <c r="BK1215" s="487"/>
      <c r="BL1215" s="487"/>
      <c r="BM1215" s="487"/>
      <c r="BN1215" s="487"/>
      <c r="BO1215" s="487"/>
      <c r="BP1215" s="487"/>
      <c r="BQ1215" s="487"/>
      <c r="BR1215" s="487"/>
      <c r="BS1215" s="487"/>
      <c r="BT1215" s="487"/>
      <c r="BU1215" s="487"/>
      <c r="BV1215" s="487"/>
      <c r="BW1215" s="223"/>
    </row>
    <row r="1216" spans="1:75" s="224" customFormat="1" x14ac:dyDescent="0.5">
      <c r="A1216" s="1001" t="s">
        <v>2175</v>
      </c>
      <c r="B1216" s="487"/>
      <c r="C1216" s="980"/>
      <c r="D1216" s="980"/>
      <c r="E1216" s="487"/>
      <c r="F1216" s="487"/>
      <c r="G1216" s="487"/>
      <c r="H1216" s="487"/>
      <c r="I1216" s="487"/>
      <c r="J1216" s="487"/>
      <c r="K1216" s="487"/>
      <c r="L1216" s="487"/>
      <c r="M1216" s="487"/>
      <c r="N1216" s="487"/>
      <c r="O1216" s="487"/>
      <c r="P1216" s="487"/>
      <c r="Q1216" s="487"/>
      <c r="R1216" s="487"/>
      <c r="S1216" s="487"/>
      <c r="T1216" s="487"/>
      <c r="U1216" s="487"/>
      <c r="V1216" s="487"/>
      <c r="W1216" s="487"/>
      <c r="X1216" s="487"/>
      <c r="Y1216" s="487"/>
      <c r="Z1216" s="487"/>
      <c r="AA1216" s="487"/>
      <c r="AB1216" s="487"/>
      <c r="AC1216" s="487"/>
      <c r="AD1216" s="487"/>
      <c r="AE1216" s="487"/>
      <c r="AF1216" s="487"/>
      <c r="AG1216" s="487"/>
      <c r="AH1216" s="487"/>
      <c r="AI1216" s="487"/>
      <c r="AJ1216" s="487"/>
      <c r="AK1216" s="487"/>
      <c r="AL1216" s="487"/>
      <c r="AM1216" s="487"/>
      <c r="AN1216" s="487"/>
      <c r="AO1216" s="487"/>
      <c r="AP1216" s="487"/>
      <c r="AQ1216" s="487"/>
      <c r="AR1216" s="487"/>
      <c r="AS1216" s="487"/>
      <c r="AT1216" s="487"/>
      <c r="AU1216" s="487"/>
      <c r="AV1216" s="487"/>
      <c r="AW1216" s="487"/>
      <c r="AX1216" s="487"/>
      <c r="AY1216" s="487"/>
      <c r="AZ1216" s="487"/>
      <c r="BA1216" s="487"/>
      <c r="BB1216" s="487"/>
      <c r="BC1216" s="487"/>
      <c r="BD1216" s="487"/>
      <c r="BE1216" s="487"/>
      <c r="BF1216" s="487"/>
      <c r="BG1216" s="487"/>
      <c r="BH1216" s="487"/>
      <c r="BI1216" s="487"/>
      <c r="BJ1216" s="981"/>
      <c r="BK1216" s="487"/>
      <c r="BL1216" s="487"/>
      <c r="BM1216" s="487"/>
      <c r="BN1216" s="487"/>
      <c r="BO1216" s="487"/>
      <c r="BP1216" s="487"/>
      <c r="BQ1216" s="487"/>
      <c r="BR1216" s="487"/>
      <c r="BS1216" s="487"/>
      <c r="BT1216" s="487"/>
      <c r="BU1216" s="487"/>
      <c r="BV1216" s="487"/>
      <c r="BW1216" s="223"/>
    </row>
    <row r="1217" spans="1:75" s="224" customFormat="1" x14ac:dyDescent="0.5">
      <c r="A1217" s="1001" t="s">
        <v>2176</v>
      </c>
      <c r="B1217" s="487"/>
      <c r="C1217" s="980"/>
      <c r="D1217" s="980"/>
      <c r="E1217" s="487"/>
      <c r="F1217" s="487"/>
      <c r="G1217" s="487"/>
      <c r="H1217" s="487"/>
      <c r="I1217" s="487"/>
      <c r="J1217" s="487"/>
      <c r="K1217" s="487"/>
      <c r="L1217" s="487"/>
      <c r="M1217" s="487"/>
      <c r="N1217" s="487"/>
      <c r="O1217" s="487"/>
      <c r="P1217" s="487"/>
      <c r="Q1217" s="487"/>
      <c r="R1217" s="487"/>
      <c r="S1217" s="487"/>
      <c r="T1217" s="487"/>
      <c r="U1217" s="487"/>
      <c r="V1217" s="487"/>
      <c r="W1217" s="487"/>
      <c r="X1217" s="487"/>
      <c r="Y1217" s="487"/>
      <c r="Z1217" s="487"/>
      <c r="AA1217" s="487"/>
      <c r="AB1217" s="487"/>
      <c r="AC1217" s="487"/>
      <c r="AD1217" s="487"/>
      <c r="AE1217" s="487"/>
      <c r="AF1217" s="487"/>
      <c r="AG1217" s="487"/>
      <c r="AH1217" s="487"/>
      <c r="AI1217" s="487"/>
      <c r="AJ1217" s="487"/>
      <c r="AK1217" s="487"/>
      <c r="AL1217" s="487"/>
      <c r="AM1217" s="487"/>
      <c r="AN1217" s="487"/>
      <c r="AO1217" s="487"/>
      <c r="AP1217" s="487"/>
      <c r="AQ1217" s="487"/>
      <c r="AR1217" s="487"/>
      <c r="AS1217" s="487"/>
      <c r="AT1217" s="487"/>
      <c r="AU1217" s="487"/>
      <c r="AV1217" s="487"/>
      <c r="AW1217" s="487"/>
      <c r="AX1217" s="487"/>
      <c r="AY1217" s="487"/>
      <c r="AZ1217" s="487"/>
      <c r="BA1217" s="487"/>
      <c r="BB1217" s="487"/>
      <c r="BC1217" s="487"/>
      <c r="BD1217" s="487"/>
      <c r="BE1217" s="487"/>
      <c r="BF1217" s="487"/>
      <c r="BG1217" s="487"/>
      <c r="BH1217" s="487"/>
      <c r="BI1217" s="487"/>
      <c r="BJ1217" s="981"/>
      <c r="BK1217" s="487"/>
      <c r="BL1217" s="487"/>
      <c r="BM1217" s="487"/>
      <c r="BN1217" s="487"/>
      <c r="BO1217" s="487"/>
      <c r="BP1217" s="487"/>
      <c r="BQ1217" s="487"/>
      <c r="BR1217" s="487"/>
      <c r="BS1217" s="487"/>
      <c r="BT1217" s="487"/>
      <c r="BU1217" s="487"/>
      <c r="BV1217" s="487"/>
      <c r="BW1217" s="223"/>
    </row>
    <row r="1218" spans="1:75" s="224" customFormat="1" x14ac:dyDescent="0.5">
      <c r="A1218" s="1001" t="s">
        <v>2177</v>
      </c>
      <c r="B1218" s="487"/>
      <c r="C1218" s="980"/>
      <c r="D1218" s="980"/>
      <c r="E1218" s="487"/>
      <c r="F1218" s="487"/>
      <c r="G1218" s="487"/>
      <c r="H1218" s="487"/>
      <c r="I1218" s="487"/>
      <c r="J1218" s="487"/>
      <c r="K1218" s="487"/>
      <c r="L1218" s="487"/>
      <c r="M1218" s="487"/>
      <c r="N1218" s="487"/>
      <c r="O1218" s="487"/>
      <c r="P1218" s="487"/>
      <c r="Q1218" s="487"/>
      <c r="R1218" s="487"/>
      <c r="S1218" s="487"/>
      <c r="T1218" s="487"/>
      <c r="U1218" s="487"/>
      <c r="V1218" s="487"/>
      <c r="W1218" s="487"/>
      <c r="X1218" s="487"/>
      <c r="Y1218" s="487"/>
      <c r="Z1218" s="487"/>
      <c r="AA1218" s="487"/>
      <c r="AB1218" s="487"/>
      <c r="AC1218" s="487"/>
      <c r="AD1218" s="487"/>
      <c r="AE1218" s="487"/>
      <c r="AF1218" s="487"/>
      <c r="AG1218" s="487"/>
      <c r="AH1218" s="487"/>
      <c r="AI1218" s="487"/>
      <c r="AJ1218" s="487"/>
      <c r="AK1218" s="487"/>
      <c r="AL1218" s="487"/>
      <c r="AM1218" s="487"/>
      <c r="AN1218" s="487"/>
      <c r="AO1218" s="487"/>
      <c r="AP1218" s="487"/>
      <c r="AQ1218" s="487"/>
      <c r="AR1218" s="487"/>
      <c r="AS1218" s="487"/>
      <c r="AT1218" s="487"/>
      <c r="AU1218" s="487"/>
      <c r="AV1218" s="487"/>
      <c r="AW1218" s="487"/>
      <c r="AX1218" s="487"/>
      <c r="AY1218" s="487"/>
      <c r="AZ1218" s="487"/>
      <c r="BA1218" s="487"/>
      <c r="BB1218" s="487"/>
      <c r="BC1218" s="487"/>
      <c r="BD1218" s="487"/>
      <c r="BE1218" s="487"/>
      <c r="BF1218" s="487"/>
      <c r="BG1218" s="487"/>
      <c r="BH1218" s="487"/>
      <c r="BI1218" s="487"/>
      <c r="BJ1218" s="981"/>
      <c r="BK1218" s="487"/>
      <c r="BL1218" s="487"/>
      <c r="BM1218" s="487"/>
      <c r="BN1218" s="487"/>
      <c r="BO1218" s="487"/>
      <c r="BP1218" s="487"/>
      <c r="BQ1218" s="487"/>
      <c r="BR1218" s="487"/>
      <c r="BS1218" s="487"/>
      <c r="BT1218" s="487"/>
      <c r="BU1218" s="487"/>
      <c r="BV1218" s="487"/>
      <c r="BW1218" s="223"/>
    </row>
    <row r="1219" spans="1:75" s="224" customFormat="1" x14ac:dyDescent="0.5">
      <c r="A1219" s="1001" t="s">
        <v>2178</v>
      </c>
      <c r="B1219" s="487"/>
      <c r="C1219" s="980"/>
      <c r="D1219" s="980"/>
      <c r="E1219" s="487"/>
      <c r="F1219" s="487"/>
      <c r="G1219" s="487"/>
      <c r="H1219" s="487"/>
      <c r="I1219" s="487"/>
      <c r="J1219" s="487"/>
      <c r="K1219" s="487"/>
      <c r="L1219" s="487"/>
      <c r="M1219" s="487"/>
      <c r="N1219" s="487"/>
      <c r="O1219" s="487"/>
      <c r="P1219" s="487"/>
      <c r="Q1219" s="487"/>
      <c r="R1219" s="487"/>
      <c r="S1219" s="487"/>
      <c r="T1219" s="487"/>
      <c r="U1219" s="487"/>
      <c r="V1219" s="487"/>
      <c r="W1219" s="487"/>
      <c r="X1219" s="487"/>
      <c r="Y1219" s="487"/>
      <c r="Z1219" s="487"/>
      <c r="AA1219" s="487"/>
      <c r="AB1219" s="487"/>
      <c r="AC1219" s="487"/>
      <c r="AD1219" s="487"/>
      <c r="AE1219" s="487"/>
      <c r="AF1219" s="487"/>
      <c r="AG1219" s="487"/>
      <c r="AH1219" s="487"/>
      <c r="AI1219" s="487"/>
      <c r="AJ1219" s="487"/>
      <c r="AK1219" s="487"/>
      <c r="AL1219" s="487"/>
      <c r="AM1219" s="487"/>
      <c r="AN1219" s="487"/>
      <c r="AO1219" s="487"/>
      <c r="AP1219" s="487"/>
      <c r="AQ1219" s="487"/>
      <c r="AR1219" s="487"/>
      <c r="AS1219" s="487"/>
      <c r="AT1219" s="487"/>
      <c r="AU1219" s="487"/>
      <c r="AV1219" s="487"/>
      <c r="AW1219" s="487"/>
      <c r="AX1219" s="487"/>
      <c r="AY1219" s="487"/>
      <c r="AZ1219" s="487"/>
      <c r="BA1219" s="487"/>
      <c r="BB1219" s="487"/>
      <c r="BC1219" s="487"/>
      <c r="BD1219" s="487"/>
      <c r="BE1219" s="487"/>
      <c r="BF1219" s="487"/>
      <c r="BG1219" s="487"/>
      <c r="BH1219" s="487"/>
      <c r="BI1219" s="487"/>
      <c r="BJ1219" s="981"/>
      <c r="BK1219" s="487"/>
      <c r="BL1219" s="487"/>
      <c r="BM1219" s="487"/>
      <c r="BN1219" s="487"/>
      <c r="BO1219" s="487"/>
      <c r="BP1219" s="487"/>
      <c r="BQ1219" s="487"/>
      <c r="BR1219" s="487"/>
      <c r="BS1219" s="487"/>
      <c r="BT1219" s="487"/>
      <c r="BU1219" s="487"/>
      <c r="BV1219" s="487"/>
      <c r="BW1219" s="223"/>
    </row>
    <row r="1220" spans="1:75" s="224" customFormat="1" x14ac:dyDescent="0.5">
      <c r="A1220" s="999"/>
      <c r="B1220" s="487"/>
      <c r="C1220" s="980"/>
      <c r="D1220" s="980"/>
      <c r="E1220" s="487"/>
      <c r="F1220" s="487"/>
      <c r="G1220" s="487"/>
      <c r="H1220" s="487"/>
      <c r="I1220" s="487"/>
      <c r="J1220" s="487"/>
      <c r="K1220" s="487"/>
      <c r="L1220" s="487"/>
      <c r="M1220" s="487"/>
      <c r="N1220" s="487"/>
      <c r="O1220" s="487"/>
      <c r="P1220" s="487"/>
      <c r="Q1220" s="487"/>
      <c r="R1220" s="487"/>
      <c r="S1220" s="487"/>
      <c r="T1220" s="487"/>
      <c r="U1220" s="487"/>
      <c r="V1220" s="487"/>
      <c r="W1220" s="487"/>
      <c r="X1220" s="487"/>
      <c r="Y1220" s="487"/>
      <c r="Z1220" s="487"/>
      <c r="AA1220" s="487"/>
      <c r="AB1220" s="487"/>
      <c r="AC1220" s="487"/>
      <c r="AD1220" s="487"/>
      <c r="AE1220" s="487"/>
      <c r="AF1220" s="487"/>
      <c r="AG1220" s="487"/>
      <c r="AH1220" s="487"/>
      <c r="AI1220" s="487"/>
      <c r="AJ1220" s="487"/>
      <c r="AK1220" s="487"/>
      <c r="AL1220" s="487"/>
      <c r="AM1220" s="487"/>
      <c r="AN1220" s="487"/>
      <c r="AO1220" s="487"/>
      <c r="AP1220" s="487"/>
      <c r="AQ1220" s="487"/>
      <c r="AR1220" s="487"/>
      <c r="AS1220" s="487"/>
      <c r="AT1220" s="487"/>
      <c r="AU1220" s="487"/>
      <c r="AV1220" s="487"/>
      <c r="AW1220" s="487"/>
      <c r="AX1220" s="487"/>
      <c r="AY1220" s="487"/>
      <c r="AZ1220" s="487"/>
      <c r="BA1220" s="487"/>
      <c r="BB1220" s="487"/>
      <c r="BC1220" s="487"/>
      <c r="BD1220" s="487"/>
      <c r="BE1220" s="487"/>
      <c r="BF1220" s="487"/>
      <c r="BG1220" s="487"/>
      <c r="BH1220" s="487"/>
      <c r="BI1220" s="487"/>
      <c r="BJ1220" s="981"/>
      <c r="BK1220" s="487"/>
      <c r="BL1220" s="487"/>
      <c r="BM1220" s="487"/>
      <c r="BN1220" s="487"/>
      <c r="BO1220" s="487"/>
      <c r="BP1220" s="487"/>
      <c r="BQ1220" s="487"/>
      <c r="BR1220" s="487"/>
      <c r="BS1220" s="487"/>
      <c r="BT1220" s="487"/>
      <c r="BU1220" s="487"/>
      <c r="BV1220" s="487"/>
      <c r="BW1220" s="223"/>
    </row>
    <row r="1221" spans="1:75" s="224" customFormat="1" x14ac:dyDescent="0.5">
      <c r="A1221" s="1002"/>
      <c r="B1221" s="987"/>
      <c r="C1221" s="1003"/>
      <c r="D1221" s="1003"/>
      <c r="E1221" s="987"/>
      <c r="F1221" s="987"/>
      <c r="G1221" s="987"/>
      <c r="H1221" s="987"/>
      <c r="I1221" s="987"/>
      <c r="J1221" s="987"/>
      <c r="K1221" s="987"/>
      <c r="L1221" s="987"/>
      <c r="M1221" s="987"/>
      <c r="N1221" s="987"/>
      <c r="O1221" s="987"/>
      <c r="P1221" s="987"/>
      <c r="Q1221" s="987"/>
      <c r="R1221" s="987"/>
      <c r="S1221" s="987"/>
      <c r="T1221" s="987"/>
      <c r="U1221" s="987"/>
      <c r="V1221" s="987"/>
      <c r="W1221" s="987"/>
      <c r="X1221" s="987"/>
      <c r="Y1221" s="987"/>
      <c r="Z1221" s="987"/>
      <c r="AA1221" s="987"/>
      <c r="AB1221" s="987"/>
      <c r="AC1221" s="987"/>
      <c r="AD1221" s="987"/>
      <c r="AE1221" s="987"/>
      <c r="AF1221" s="987"/>
      <c r="AG1221" s="987"/>
      <c r="AH1221" s="987"/>
      <c r="AI1221" s="987"/>
      <c r="AJ1221" s="987"/>
      <c r="AK1221" s="987"/>
      <c r="AL1221" s="987"/>
      <c r="AM1221" s="987"/>
      <c r="AN1221" s="987"/>
      <c r="AO1221" s="987"/>
      <c r="AP1221" s="987"/>
      <c r="AQ1221" s="987"/>
      <c r="AR1221" s="987"/>
      <c r="AS1221" s="987"/>
      <c r="AT1221" s="987"/>
      <c r="AU1221" s="987"/>
      <c r="AV1221" s="987"/>
      <c r="AW1221" s="987"/>
      <c r="AX1221" s="987"/>
      <c r="AY1221" s="987"/>
      <c r="AZ1221" s="987"/>
      <c r="BA1221" s="987"/>
      <c r="BB1221" s="987"/>
      <c r="BC1221" s="987"/>
      <c r="BD1221" s="987"/>
      <c r="BE1221" s="987"/>
      <c r="BF1221" s="987"/>
      <c r="BG1221" s="987"/>
      <c r="BH1221" s="987"/>
      <c r="BI1221" s="987"/>
      <c r="BJ1221" s="1004"/>
      <c r="BK1221" s="987"/>
      <c r="BL1221" s="987"/>
      <c r="BM1221" s="987"/>
      <c r="BN1221" s="987"/>
      <c r="BO1221" s="987"/>
      <c r="BP1221" s="987"/>
      <c r="BQ1221" s="987"/>
      <c r="BR1221" s="987"/>
      <c r="BS1221" s="987"/>
      <c r="BT1221" s="987"/>
      <c r="BU1221" s="987"/>
      <c r="BV1221" s="987"/>
      <c r="BW1221" s="223"/>
    </row>
    <row r="1222" spans="1:75" s="224" customFormat="1" x14ac:dyDescent="0.5">
      <c r="A1222" s="1005" t="s">
        <v>1596</v>
      </c>
      <c r="B1222" s="1006"/>
      <c r="C1222" s="1007"/>
      <c r="D1222" s="1007"/>
      <c r="E1222" s="1006"/>
      <c r="F1222" s="1006"/>
      <c r="G1222" s="1006"/>
      <c r="H1222" s="1006"/>
      <c r="I1222" s="1006"/>
      <c r="J1222" s="1006"/>
      <c r="K1222" s="1006"/>
      <c r="L1222" s="1006"/>
      <c r="M1222" s="1006"/>
      <c r="N1222" s="1006"/>
      <c r="O1222" s="1006"/>
      <c r="P1222" s="1006"/>
      <c r="Q1222" s="1006"/>
      <c r="R1222" s="1006"/>
      <c r="S1222" s="1006"/>
      <c r="T1222" s="1006"/>
      <c r="U1222" s="1006"/>
      <c r="V1222" s="1006"/>
      <c r="W1222" s="1006"/>
      <c r="X1222" s="1006"/>
      <c r="Y1222" s="1006"/>
      <c r="Z1222" s="1006"/>
      <c r="AA1222" s="1006"/>
      <c r="AB1222" s="1006"/>
      <c r="AC1222" s="1006"/>
      <c r="AD1222" s="1006"/>
      <c r="AE1222" s="1006"/>
      <c r="AF1222" s="1006"/>
      <c r="AG1222" s="1006"/>
      <c r="AH1222" s="1006"/>
      <c r="AI1222" s="1006"/>
      <c r="AJ1222" s="1006"/>
      <c r="AK1222" s="1006"/>
      <c r="AL1222" s="1006"/>
      <c r="AM1222" s="1006"/>
      <c r="AN1222" s="1006"/>
      <c r="AO1222" s="1006"/>
      <c r="AP1222" s="1006"/>
      <c r="AQ1222" s="1006"/>
      <c r="AR1222" s="1006"/>
      <c r="AS1222" s="1006"/>
      <c r="AT1222" s="1006"/>
      <c r="AU1222" s="1006"/>
      <c r="AV1222" s="1006"/>
      <c r="AW1222" s="1006"/>
      <c r="AX1222" s="1006"/>
      <c r="AY1222" s="1006"/>
      <c r="AZ1222" s="1006"/>
      <c r="BA1222" s="1006"/>
      <c r="BB1222" s="1006"/>
      <c r="BC1222" s="1006"/>
      <c r="BD1222" s="1006"/>
      <c r="BE1222" s="1006"/>
      <c r="BF1222" s="1006"/>
      <c r="BG1222" s="1006"/>
      <c r="BH1222" s="1006"/>
      <c r="BI1222" s="1006"/>
      <c r="BJ1222" s="1008"/>
      <c r="BK1222" s="1006"/>
      <c r="BL1222" s="1006"/>
      <c r="BM1222" s="1006"/>
      <c r="BN1222" s="1006"/>
      <c r="BO1222" s="1006"/>
      <c r="BP1222" s="1006"/>
      <c r="BQ1222" s="1006"/>
      <c r="BR1222" s="1006"/>
      <c r="BS1222" s="1006"/>
      <c r="BT1222" s="1006"/>
      <c r="BU1222" s="1006"/>
      <c r="BV1222" s="1009"/>
      <c r="BW1222" s="223"/>
    </row>
    <row r="1223" spans="1:75" s="224" customFormat="1" x14ac:dyDescent="0.5">
      <c r="A1223" s="1010" t="s">
        <v>1597</v>
      </c>
      <c r="B1223" s="487"/>
      <c r="C1223" s="1011"/>
      <c r="D1223" s="1011"/>
      <c r="E1223" s="1012"/>
      <c r="F1223" s="1012"/>
      <c r="G1223" s="1012"/>
      <c r="H1223" s="1012"/>
      <c r="I1223" s="1012"/>
      <c r="J1223" s="1012"/>
      <c r="K1223" s="1012"/>
      <c r="L1223" s="1012"/>
      <c r="M1223" s="1012"/>
      <c r="N1223" s="1012"/>
      <c r="O1223" s="1012"/>
      <c r="P1223" s="1012"/>
      <c r="Q1223" s="1012"/>
      <c r="R1223" s="1012"/>
      <c r="S1223" s="1012"/>
      <c r="T1223" s="1012"/>
      <c r="U1223" s="1012"/>
      <c r="V1223" s="1012"/>
      <c r="W1223" s="1012"/>
      <c r="X1223" s="1012"/>
      <c r="Y1223" s="1012"/>
      <c r="Z1223" s="1012"/>
      <c r="AA1223" s="1012"/>
      <c r="AB1223" s="1012"/>
      <c r="AC1223" s="1013">
        <v>43055</v>
      </c>
      <c r="AD1223" s="1013">
        <v>43173</v>
      </c>
      <c r="AE1223" s="1013">
        <v>43173</v>
      </c>
      <c r="AF1223" s="1013">
        <v>43243</v>
      </c>
      <c r="AG1223" s="1013">
        <v>43334</v>
      </c>
      <c r="AH1223" s="1013">
        <v>43419</v>
      </c>
      <c r="AI1223" s="1013">
        <v>43544</v>
      </c>
      <c r="AJ1223" s="1013">
        <v>43544</v>
      </c>
      <c r="AK1223" s="1013">
        <v>43616</v>
      </c>
      <c r="AL1223" s="1013">
        <v>43705</v>
      </c>
      <c r="AM1223" s="1013">
        <v>43790</v>
      </c>
      <c r="AN1223" s="1012"/>
      <c r="AO1223" s="1012"/>
      <c r="AP1223" s="1012"/>
      <c r="AQ1223" s="1012"/>
      <c r="AR1223" s="1012"/>
      <c r="AS1223" s="1013">
        <v>44272</v>
      </c>
      <c r="AT1223" s="1013">
        <v>44272</v>
      </c>
      <c r="AU1223" s="1013">
        <v>44342</v>
      </c>
      <c r="AV1223" s="1013">
        <v>44433</v>
      </c>
      <c r="AW1223" s="1013">
        <v>44518</v>
      </c>
      <c r="AX1223" s="1013">
        <v>44636</v>
      </c>
      <c r="AY1223" s="1013">
        <v>44636</v>
      </c>
      <c r="AZ1223" s="1013">
        <v>44706</v>
      </c>
      <c r="BA1223" s="1013">
        <v>44797</v>
      </c>
      <c r="BB1223" s="1013">
        <v>44882</v>
      </c>
      <c r="BC1223" s="1013">
        <v>45001</v>
      </c>
      <c r="BD1223" s="1013">
        <v>45001</v>
      </c>
      <c r="BE1223" s="1013">
        <v>45069</v>
      </c>
      <c r="BF1223" s="1013">
        <v>45161</v>
      </c>
      <c r="BG1223" s="1013">
        <v>45246</v>
      </c>
      <c r="BH1223" s="1013">
        <v>45364</v>
      </c>
      <c r="BI1223" s="1013">
        <v>45364</v>
      </c>
      <c r="BJ1223" s="1014">
        <v>45434</v>
      </c>
      <c r="BK1223" s="1012"/>
      <c r="BL1223" s="1012"/>
      <c r="BM1223" s="1012"/>
      <c r="BN1223" s="1012"/>
      <c r="BO1223" s="1012"/>
      <c r="BP1223" s="1012"/>
      <c r="BQ1223" s="1012"/>
      <c r="BR1223" s="1012"/>
      <c r="BS1223" s="1012"/>
      <c r="BT1223" s="1012"/>
      <c r="BU1223" s="1012"/>
      <c r="BV1223" s="1015"/>
      <c r="BW1223" s="223"/>
    </row>
    <row r="1224" spans="1:75" s="224" customFormat="1" x14ac:dyDescent="0.5">
      <c r="A1224" s="1010" t="s">
        <v>1598</v>
      </c>
      <c r="B1224" s="487"/>
      <c r="C1224" s="1016"/>
      <c r="D1224" s="1016"/>
      <c r="E1224" s="1017"/>
      <c r="F1224" s="1017"/>
      <c r="G1224" s="1017"/>
      <c r="H1224" s="1017"/>
      <c r="I1224" s="1017"/>
      <c r="J1224" s="1017"/>
      <c r="K1224" s="1017"/>
      <c r="L1224" s="1017"/>
      <c r="M1224" s="1017"/>
      <c r="N1224" s="1017"/>
      <c r="O1224" s="1017"/>
      <c r="P1224" s="1017"/>
      <c r="Q1224" s="1017"/>
      <c r="R1224" s="1017"/>
      <c r="S1224" s="1017"/>
      <c r="T1224" s="1017"/>
      <c r="U1224" s="1017"/>
      <c r="V1224" s="1017"/>
      <c r="W1224" s="1017"/>
      <c r="X1224" s="1017"/>
      <c r="Y1224" s="1017"/>
      <c r="Z1224" s="1017"/>
      <c r="AA1224" s="1017"/>
      <c r="AB1224" s="1017"/>
      <c r="AC1224" s="1017" t="str">
        <f>AD$5</f>
        <v>Q4-2017</v>
      </c>
      <c r="AD1224" s="1017" t="str">
        <f>AF$5</f>
        <v>Q1-2018</v>
      </c>
      <c r="AE1224" s="1017" t="str">
        <f>AF$5</f>
        <v>Q1-2018</v>
      </c>
      <c r="AF1224" s="1017" t="str">
        <f>AG$5</f>
        <v>Q2-2018</v>
      </c>
      <c r="AG1224" s="1017" t="str">
        <f>AH$5</f>
        <v>Q3-2018</v>
      </c>
      <c r="AH1224" s="1017" t="str">
        <f>AI$5</f>
        <v>Q4-2018</v>
      </c>
      <c r="AI1224" s="1017" t="str">
        <f>AK$5</f>
        <v>Q1-2019</v>
      </c>
      <c r="AJ1224" s="1017" t="str">
        <f>AK$5</f>
        <v>Q1-2019</v>
      </c>
      <c r="AK1224" s="1017" t="str">
        <f>AL$5</f>
        <v>Q2-2019</v>
      </c>
      <c r="AL1224" s="1017" t="str">
        <f>AM$5</f>
        <v>Q3-2019</v>
      </c>
      <c r="AM1224" s="1017" t="str">
        <f>AN$5</f>
        <v>Q4-2019</v>
      </c>
      <c r="AN1224" s="1017" t="str">
        <f>AP$5</f>
        <v>Q1-2020</v>
      </c>
      <c r="AO1224" s="1017" t="str">
        <f>AP$5</f>
        <v>Q1-2020</v>
      </c>
      <c r="AP1224" s="1017" t="str">
        <f>AQ$5</f>
        <v>Q2-2020</v>
      </c>
      <c r="AQ1224" s="1017" t="str">
        <f>AR$5</f>
        <v>Q3-2020</v>
      </c>
      <c r="AR1224" s="1017" t="str">
        <f>AS$5</f>
        <v>Q4-2020</v>
      </c>
      <c r="AS1224" s="1017" t="str">
        <f>AU$5</f>
        <v>Q1-2021</v>
      </c>
      <c r="AT1224" s="1017" t="str">
        <f>AU$5</f>
        <v>Q1-2021</v>
      </c>
      <c r="AU1224" s="1017" t="str">
        <f>AV$5</f>
        <v>Q2-2021</v>
      </c>
      <c r="AV1224" s="1017" t="str">
        <f>AW$5</f>
        <v>Q3-2021</v>
      </c>
      <c r="AW1224" s="1017" t="str">
        <f>AX$5</f>
        <v>Q4-2021</v>
      </c>
      <c r="AX1224" s="1017" t="str">
        <f>AZ$5</f>
        <v>Q1-2022</v>
      </c>
      <c r="AY1224" s="1017" t="str">
        <f>AZ$5</f>
        <v>Q1-2022</v>
      </c>
      <c r="AZ1224" s="1017" t="str">
        <f>BA$5</f>
        <v>Q2-2022</v>
      </c>
      <c r="BA1224" s="1017" t="str">
        <f>BB$5</f>
        <v>Q3-2022</v>
      </c>
      <c r="BB1224" s="1017" t="str">
        <f>BC$5</f>
        <v>Q4-2022</v>
      </c>
      <c r="BC1224" s="1017" t="str">
        <f>BE$5</f>
        <v>Q1-2023</v>
      </c>
      <c r="BD1224" s="1017" t="str">
        <f>BE$5</f>
        <v>Q1-2023</v>
      </c>
      <c r="BE1224" s="1017" t="str">
        <f>BF$5</f>
        <v>Q2-2023</v>
      </c>
      <c r="BF1224" s="1017" t="str">
        <f>BG$5</f>
        <v>Q3-2023</v>
      </c>
      <c r="BG1224" s="1017" t="str">
        <f>BH$5</f>
        <v>Q4-2023</v>
      </c>
      <c r="BH1224" s="1017" t="str">
        <f>BJ$5</f>
        <v>Q1-2024</v>
      </c>
      <c r="BI1224" s="1017" t="str">
        <f>BJ$5</f>
        <v>Q1-2024</v>
      </c>
      <c r="BJ1224" s="1018" t="str">
        <f>BK$5</f>
        <v>Q2-2024</v>
      </c>
      <c r="BK1224" s="1017"/>
      <c r="BL1224" s="1017"/>
      <c r="BM1224" s="1017"/>
      <c r="BN1224" s="1017"/>
      <c r="BO1224" s="1017"/>
      <c r="BP1224" s="1017"/>
      <c r="BQ1224" s="1017"/>
      <c r="BR1224" s="1017"/>
      <c r="BS1224" s="1017"/>
      <c r="BT1224" s="1017"/>
      <c r="BU1224" s="1017"/>
      <c r="BV1224" s="1019"/>
      <c r="BW1224" s="223"/>
    </row>
    <row r="1225" spans="1:75" s="224" customFormat="1" x14ac:dyDescent="0.5">
      <c r="A1225" s="1020"/>
      <c r="B1225" s="1221"/>
      <c r="C1225" s="1021"/>
      <c r="D1225" s="1021"/>
      <c r="E1225" s="1221"/>
      <c r="F1225" s="1221"/>
      <c r="G1225" s="1221"/>
      <c r="H1225" s="1221"/>
      <c r="I1225" s="1221"/>
      <c r="J1225" s="1221"/>
      <c r="K1225" s="1221"/>
      <c r="L1225" s="1221"/>
      <c r="M1225" s="1221"/>
      <c r="N1225" s="1221"/>
      <c r="O1225" s="1221"/>
      <c r="P1225" s="1221"/>
      <c r="Q1225" s="1221"/>
      <c r="R1225" s="1221"/>
      <c r="S1225" s="1221"/>
      <c r="T1225" s="1221"/>
      <c r="U1225" s="1221"/>
      <c r="V1225" s="1221"/>
      <c r="W1225" s="1221"/>
      <c r="X1225" s="1221"/>
      <c r="Y1225" s="1221"/>
      <c r="Z1225" s="1221"/>
      <c r="AA1225" s="1221"/>
      <c r="AB1225" s="1221"/>
      <c r="AC1225" s="1221"/>
      <c r="AD1225" s="1221"/>
      <c r="AE1225" s="1221"/>
      <c r="AF1225" s="1221"/>
      <c r="AG1225" s="1221"/>
      <c r="AH1225" s="1221"/>
      <c r="AI1225" s="1221"/>
      <c r="AJ1225" s="1221"/>
      <c r="AK1225" s="1221"/>
      <c r="AL1225" s="1221"/>
      <c r="AM1225" s="1221"/>
      <c r="AN1225" s="1221"/>
      <c r="AO1225" s="1221"/>
      <c r="AP1225" s="1221"/>
      <c r="AQ1225" s="1221"/>
      <c r="AR1225" s="1221"/>
      <c r="AS1225" s="1221"/>
      <c r="AT1225" s="1221"/>
      <c r="AU1225" s="1221"/>
      <c r="AV1225" s="1221"/>
      <c r="AW1225" s="1221"/>
      <c r="AX1225" s="1221"/>
      <c r="AY1225" s="1221"/>
      <c r="AZ1225" s="1221"/>
      <c r="BA1225" s="1221"/>
      <c r="BB1225" s="1221"/>
      <c r="BC1225" s="1221"/>
      <c r="BD1225" s="1221"/>
      <c r="BE1225" s="1221"/>
      <c r="BF1225" s="1221"/>
      <c r="BG1225" s="1221"/>
      <c r="BH1225" s="1221"/>
      <c r="BI1225" s="1221"/>
      <c r="BJ1225" s="1022"/>
      <c r="BK1225" s="1221"/>
      <c r="BL1225" s="1221"/>
      <c r="BM1225" s="1221"/>
      <c r="BN1225" s="1221"/>
      <c r="BO1225" s="1221"/>
      <c r="BP1225" s="1221"/>
      <c r="BQ1225" s="1221"/>
      <c r="BR1225" s="1221"/>
      <c r="BS1225" s="1221"/>
      <c r="BT1225" s="1221"/>
      <c r="BU1225" s="1221"/>
      <c r="BV1225" s="1023"/>
      <c r="BW1225" s="223"/>
    </row>
    <row r="1226" spans="1:75" s="224" customFormat="1" x14ac:dyDescent="0.5">
      <c r="A1226" s="1002"/>
      <c r="B1226" s="987"/>
      <c r="C1226" s="1003"/>
      <c r="D1226" s="1003"/>
      <c r="E1226" s="987"/>
      <c r="F1226" s="987"/>
      <c r="G1226" s="987"/>
      <c r="H1226" s="987"/>
      <c r="I1226" s="987"/>
      <c r="J1226" s="987"/>
      <c r="K1226" s="987"/>
      <c r="L1226" s="987"/>
      <c r="M1226" s="987"/>
      <c r="N1226" s="987"/>
      <c r="O1226" s="987"/>
      <c r="P1226" s="987"/>
      <c r="Q1226" s="987"/>
      <c r="R1226" s="987"/>
      <c r="S1226" s="987"/>
      <c r="T1226" s="987"/>
      <c r="U1226" s="987"/>
      <c r="V1226" s="987"/>
      <c r="W1226" s="987"/>
      <c r="X1226" s="987"/>
      <c r="Y1226" s="987"/>
      <c r="Z1226" s="987"/>
      <c r="AA1226" s="987"/>
      <c r="AB1226" s="987"/>
      <c r="AC1226" s="987"/>
      <c r="AD1226" s="987"/>
      <c r="AE1226" s="987"/>
      <c r="AF1226" s="987"/>
      <c r="AG1226" s="987"/>
      <c r="AH1226" s="987"/>
      <c r="AI1226" s="987"/>
      <c r="AJ1226" s="987"/>
      <c r="AK1226" s="987"/>
      <c r="AL1226" s="987"/>
      <c r="AM1226" s="987"/>
      <c r="AN1226" s="987"/>
      <c r="AO1226" s="987"/>
      <c r="AP1226" s="987"/>
      <c r="AQ1226" s="987"/>
      <c r="AR1226" s="987"/>
      <c r="AS1226" s="987"/>
      <c r="AT1226" s="987"/>
      <c r="AU1226" s="987"/>
      <c r="AV1226" s="987"/>
      <c r="AW1226" s="987"/>
      <c r="AX1226" s="987"/>
      <c r="AY1226" s="987"/>
      <c r="AZ1226" s="987"/>
      <c r="BA1226" s="987"/>
      <c r="BB1226" s="987"/>
      <c r="BC1226" s="987"/>
      <c r="BD1226" s="987"/>
      <c r="BE1226" s="987"/>
      <c r="BF1226" s="987"/>
      <c r="BG1226" s="987"/>
      <c r="BH1226" s="987"/>
      <c r="BI1226" s="987"/>
      <c r="BJ1226" s="1004"/>
      <c r="BK1226" s="987"/>
      <c r="BL1226" s="987"/>
      <c r="BM1226" s="987"/>
      <c r="BN1226" s="987"/>
      <c r="BO1226" s="987"/>
      <c r="BP1226" s="987"/>
      <c r="BQ1226" s="987"/>
      <c r="BR1226" s="987"/>
      <c r="BS1226" s="987"/>
      <c r="BT1226" s="987"/>
      <c r="BU1226" s="987"/>
      <c r="BV1226" s="987"/>
      <c r="BW1226" s="223"/>
    </row>
    <row r="1227" spans="1:75" s="224" customFormat="1" x14ac:dyDescent="0.5">
      <c r="A1227" s="1005" t="s">
        <v>1599</v>
      </c>
      <c r="B1227" s="1006"/>
      <c r="C1227" s="1007"/>
      <c r="D1227" s="1007"/>
      <c r="E1227" s="1006"/>
      <c r="F1227" s="1006"/>
      <c r="G1227" s="1006"/>
      <c r="H1227" s="1006"/>
      <c r="I1227" s="1006"/>
      <c r="J1227" s="1006"/>
      <c r="K1227" s="1006"/>
      <c r="L1227" s="1006"/>
      <c r="M1227" s="1006"/>
      <c r="N1227" s="1006"/>
      <c r="O1227" s="1006"/>
      <c r="P1227" s="1006"/>
      <c r="Q1227" s="1006"/>
      <c r="R1227" s="1006"/>
      <c r="S1227" s="1006"/>
      <c r="T1227" s="1006"/>
      <c r="U1227" s="1006"/>
      <c r="V1227" s="1006"/>
      <c r="W1227" s="1006"/>
      <c r="X1227" s="1006"/>
      <c r="Y1227" s="1006"/>
      <c r="Z1227" s="1006"/>
      <c r="AA1227" s="1006"/>
      <c r="AB1227" s="1006"/>
      <c r="AC1227" s="1006"/>
      <c r="AD1227" s="1006"/>
      <c r="AE1227" s="1006"/>
      <c r="AF1227" s="1006"/>
      <c r="AG1227" s="1006"/>
      <c r="AH1227" s="1006"/>
      <c r="AI1227" s="1006"/>
      <c r="AJ1227" s="1006"/>
      <c r="AK1227" s="1006"/>
      <c r="AL1227" s="1006"/>
      <c r="AM1227" s="1006"/>
      <c r="AN1227" s="1006"/>
      <c r="AO1227" s="1006"/>
      <c r="AP1227" s="1006"/>
      <c r="AQ1227" s="1006"/>
      <c r="AR1227" s="1006"/>
      <c r="AS1227" s="1006"/>
      <c r="AT1227" s="1006"/>
      <c r="AU1227" s="1006"/>
      <c r="AV1227" s="1006"/>
      <c r="AW1227" s="1006"/>
      <c r="AX1227" s="1006"/>
      <c r="AY1227" s="1006"/>
      <c r="AZ1227" s="1006"/>
      <c r="BA1227" s="1006"/>
      <c r="BB1227" s="1006"/>
      <c r="BC1227" s="1006"/>
      <c r="BD1227" s="1006"/>
      <c r="BE1227" s="1006"/>
      <c r="BF1227" s="1006"/>
      <c r="BG1227" s="1006"/>
      <c r="BH1227" s="1006"/>
      <c r="BI1227" s="1006"/>
      <c r="BJ1227" s="1008"/>
      <c r="BK1227" s="1006"/>
      <c r="BL1227" s="1006"/>
      <c r="BM1227" s="1006"/>
      <c r="BN1227" s="1006"/>
      <c r="BO1227" s="1006"/>
      <c r="BP1227" s="1006"/>
      <c r="BQ1227" s="1006"/>
      <c r="BR1227" s="1006"/>
      <c r="BS1227" s="1006"/>
      <c r="BT1227" s="1006"/>
      <c r="BU1227" s="1006"/>
      <c r="BV1227" s="1009"/>
      <c r="BW1227" s="223"/>
    </row>
    <row r="1228" spans="1:75" s="224" customFormat="1" x14ac:dyDescent="0.5">
      <c r="A1228" s="1010" t="s">
        <v>1597</v>
      </c>
      <c r="B1228" s="487"/>
      <c r="C1228" s="1011"/>
      <c r="D1228" s="1011"/>
      <c r="E1228" s="1012"/>
      <c r="F1228" s="1012"/>
      <c r="G1228" s="1012"/>
      <c r="H1228" s="1012"/>
      <c r="I1228" s="1012"/>
      <c r="J1228" s="1012"/>
      <c r="K1228" s="1012"/>
      <c r="L1228" s="1012"/>
      <c r="M1228" s="1012"/>
      <c r="N1228" s="1012"/>
      <c r="O1228" s="1012"/>
      <c r="P1228" s="1012"/>
      <c r="Q1228" s="1012"/>
      <c r="R1228" s="1012"/>
      <c r="S1228" s="1012"/>
      <c r="T1228" s="1012"/>
      <c r="U1228" s="1012"/>
      <c r="V1228" s="1012"/>
      <c r="W1228" s="1012"/>
      <c r="X1228" s="1012"/>
      <c r="Y1228" s="1012"/>
      <c r="Z1228" s="1012"/>
      <c r="AA1228" s="1012"/>
      <c r="AB1228" s="1012"/>
      <c r="AC1228" s="1012">
        <f t="shared" ref="AC1228:AM1228" si="1579">AC1223</f>
        <v>43055</v>
      </c>
      <c r="AD1228" s="1012">
        <f t="shared" si="1579"/>
        <v>43173</v>
      </c>
      <c r="AE1228" s="1012">
        <f t="shared" si="1579"/>
        <v>43173</v>
      </c>
      <c r="AF1228" s="1012">
        <f t="shared" si="1579"/>
        <v>43243</v>
      </c>
      <c r="AG1228" s="1012">
        <f t="shared" si="1579"/>
        <v>43334</v>
      </c>
      <c r="AH1228" s="1012">
        <f t="shared" si="1579"/>
        <v>43419</v>
      </c>
      <c r="AI1228" s="1012">
        <f t="shared" si="1579"/>
        <v>43544</v>
      </c>
      <c r="AJ1228" s="1012">
        <f t="shared" si="1579"/>
        <v>43544</v>
      </c>
      <c r="AK1228" s="1012">
        <f t="shared" si="1579"/>
        <v>43616</v>
      </c>
      <c r="AL1228" s="1012">
        <f t="shared" si="1579"/>
        <v>43705</v>
      </c>
      <c r="AM1228" s="1012">
        <f t="shared" si="1579"/>
        <v>43790</v>
      </c>
      <c r="AN1228" s="1012"/>
      <c r="AO1228" s="1012"/>
      <c r="AP1228" s="1012"/>
      <c r="AQ1228" s="1012"/>
      <c r="AR1228" s="1012"/>
      <c r="AS1228" s="1012">
        <f t="shared" ref="AS1228:BG1228" si="1580">AS1223</f>
        <v>44272</v>
      </c>
      <c r="AT1228" s="1012">
        <f t="shared" si="1580"/>
        <v>44272</v>
      </c>
      <c r="AU1228" s="1012">
        <f t="shared" si="1580"/>
        <v>44342</v>
      </c>
      <c r="AV1228" s="1012">
        <f t="shared" si="1580"/>
        <v>44433</v>
      </c>
      <c r="AW1228" s="1012">
        <f t="shared" si="1580"/>
        <v>44518</v>
      </c>
      <c r="AX1228" s="1012">
        <f t="shared" si="1580"/>
        <v>44636</v>
      </c>
      <c r="AY1228" s="1012">
        <f t="shared" si="1580"/>
        <v>44636</v>
      </c>
      <c r="AZ1228" s="1012">
        <f t="shared" si="1580"/>
        <v>44706</v>
      </c>
      <c r="BA1228" s="1012">
        <f t="shared" si="1580"/>
        <v>44797</v>
      </c>
      <c r="BB1228" s="1012">
        <f t="shared" si="1580"/>
        <v>44882</v>
      </c>
      <c r="BC1228" s="1012">
        <f t="shared" si="1580"/>
        <v>45001</v>
      </c>
      <c r="BD1228" s="1012">
        <f t="shared" si="1580"/>
        <v>45001</v>
      </c>
      <c r="BE1228" s="1012">
        <f t="shared" si="1580"/>
        <v>45069</v>
      </c>
      <c r="BF1228" s="1012">
        <f t="shared" si="1580"/>
        <v>45161</v>
      </c>
      <c r="BG1228" s="1012">
        <f t="shared" si="1580"/>
        <v>45246</v>
      </c>
      <c r="BH1228" s="1012">
        <f>BH1223</f>
        <v>45364</v>
      </c>
      <c r="BI1228" s="1012">
        <f>BI1223</f>
        <v>45364</v>
      </c>
      <c r="BJ1228" s="1024">
        <f>BJ1223</f>
        <v>45434</v>
      </c>
      <c r="BK1228" s="1012"/>
      <c r="BL1228" s="1012"/>
      <c r="BM1228" s="1012"/>
      <c r="BN1228" s="1012"/>
      <c r="BO1228" s="1012"/>
      <c r="BP1228" s="1012"/>
      <c r="BQ1228" s="1012"/>
      <c r="BR1228" s="1012"/>
      <c r="BS1228" s="1012"/>
      <c r="BT1228" s="1012"/>
      <c r="BU1228" s="1012"/>
      <c r="BV1228" s="1015"/>
      <c r="BW1228" s="223"/>
    </row>
    <row r="1229" spans="1:75" s="224" customFormat="1" x14ac:dyDescent="0.5">
      <c r="A1229" s="1010" t="s">
        <v>1600</v>
      </c>
      <c r="B1229" s="487"/>
      <c r="C1229" s="1016"/>
      <c r="D1229" s="1016"/>
      <c r="E1229" s="1017"/>
      <c r="F1229" s="1017"/>
      <c r="G1229" s="1017"/>
      <c r="H1229" s="1017"/>
      <c r="I1229" s="1017"/>
      <c r="J1229" s="1017"/>
      <c r="K1229" s="1017"/>
      <c r="L1229" s="1017"/>
      <c r="M1229" s="1017"/>
      <c r="N1229" s="1017"/>
      <c r="O1229" s="1017"/>
      <c r="P1229" s="1017"/>
      <c r="Q1229" s="1017"/>
      <c r="R1229" s="1017"/>
      <c r="S1229" s="1017"/>
      <c r="T1229" s="1017"/>
      <c r="U1229" s="1017"/>
      <c r="V1229" s="1017"/>
      <c r="W1229" s="1017"/>
      <c r="X1229" s="1017"/>
      <c r="Y1229" s="1017"/>
      <c r="Z1229" s="1017"/>
      <c r="AA1229" s="1017"/>
      <c r="AB1229" s="1017"/>
      <c r="AC1229" s="1017" t="str">
        <f t="shared" ref="AC1229:BG1229" si="1581">IF(AC1230=AD1230,"",AC1230)</f>
        <v>FY2017</v>
      </c>
      <c r="AD1229" s="1017" t="str">
        <f t="shared" si="1581"/>
        <v/>
      </c>
      <c r="AE1229" s="1017" t="str">
        <f t="shared" si="1581"/>
        <v/>
      </c>
      <c r="AF1229" s="1017" t="str">
        <f t="shared" si="1581"/>
        <v/>
      </c>
      <c r="AG1229" s="1017" t="str">
        <f t="shared" si="1581"/>
        <v/>
      </c>
      <c r="AH1229" s="1017" t="str">
        <f t="shared" si="1581"/>
        <v>FY2018</v>
      </c>
      <c r="AI1229" s="1017" t="str">
        <f t="shared" si="1581"/>
        <v/>
      </c>
      <c r="AJ1229" s="1017" t="str">
        <f t="shared" si="1581"/>
        <v/>
      </c>
      <c r="AK1229" s="1017" t="str">
        <f t="shared" si="1581"/>
        <v/>
      </c>
      <c r="AL1229" s="1017" t="str">
        <f t="shared" si="1581"/>
        <v/>
      </c>
      <c r="AM1229" s="1017" t="str">
        <f t="shared" si="1581"/>
        <v>FY2019</v>
      </c>
      <c r="AN1229" s="1017" t="str">
        <f t="shared" si="1581"/>
        <v/>
      </c>
      <c r="AO1229" s="1017" t="str">
        <f t="shared" si="1581"/>
        <v/>
      </c>
      <c r="AP1229" s="1017" t="str">
        <f t="shared" si="1581"/>
        <v/>
      </c>
      <c r="AQ1229" s="1017" t="str">
        <f t="shared" si="1581"/>
        <v/>
      </c>
      <c r="AR1229" s="1017" t="str">
        <f t="shared" si="1581"/>
        <v>FY2020</v>
      </c>
      <c r="AS1229" s="1017" t="str">
        <f t="shared" si="1581"/>
        <v/>
      </c>
      <c r="AT1229" s="1017" t="str">
        <f t="shared" si="1581"/>
        <v/>
      </c>
      <c r="AU1229" s="1017" t="str">
        <f t="shared" si="1581"/>
        <v/>
      </c>
      <c r="AV1229" s="1017" t="str">
        <f t="shared" si="1581"/>
        <v/>
      </c>
      <c r="AW1229" s="1017" t="str">
        <f t="shared" si="1581"/>
        <v>FY2021</v>
      </c>
      <c r="AX1229" s="1017" t="str">
        <f t="shared" si="1581"/>
        <v/>
      </c>
      <c r="AY1229" s="1017" t="str">
        <f t="shared" si="1581"/>
        <v/>
      </c>
      <c r="AZ1229" s="1017" t="str">
        <f t="shared" si="1581"/>
        <v/>
      </c>
      <c r="BA1229" s="1017" t="str">
        <f t="shared" si="1581"/>
        <v/>
      </c>
      <c r="BB1229" s="1017" t="str">
        <f t="shared" si="1581"/>
        <v>FY2022</v>
      </c>
      <c r="BC1229" s="1017" t="str">
        <f t="shared" si="1581"/>
        <v/>
      </c>
      <c r="BD1229" s="1017" t="str">
        <f t="shared" si="1581"/>
        <v/>
      </c>
      <c r="BE1229" s="1017" t="str">
        <f t="shared" si="1581"/>
        <v/>
      </c>
      <c r="BF1229" s="1017" t="str">
        <f t="shared" si="1581"/>
        <v/>
      </c>
      <c r="BG1229" s="1017" t="str">
        <f t="shared" si="1581"/>
        <v>FY2023</v>
      </c>
      <c r="BH1229" s="1017" t="str">
        <f>IF(BH1230=BI1230,"",BH1230)</f>
        <v/>
      </c>
      <c r="BI1229" s="1017" t="str">
        <f>IF(BI1230=BJ1230,"",BI1230)</f>
        <v/>
      </c>
      <c r="BJ1229" s="1018" t="str">
        <f>IF(BJ1230=BK1230,"",BJ1230)</f>
        <v>FY2024</v>
      </c>
      <c r="BK1229" s="1017"/>
      <c r="BL1229" s="1017"/>
      <c r="BM1229" s="1017"/>
      <c r="BN1229" s="1017"/>
      <c r="BO1229" s="1017"/>
      <c r="BP1229" s="1017"/>
      <c r="BQ1229" s="1017"/>
      <c r="BR1229" s="1017"/>
      <c r="BS1229" s="1017"/>
      <c r="BT1229" s="1017"/>
      <c r="BU1229" s="1017"/>
      <c r="BV1229" s="1019"/>
      <c r="BW1229" s="223"/>
    </row>
    <row r="1230" spans="1:75" s="224" customFormat="1" x14ac:dyDescent="0.5">
      <c r="A1230" s="1010" t="s">
        <v>1598</v>
      </c>
      <c r="B1230" s="487"/>
      <c r="C1230" s="1016"/>
      <c r="D1230" s="1016"/>
      <c r="E1230" s="1017"/>
      <c r="F1230" s="1017"/>
      <c r="G1230" s="1017"/>
      <c r="H1230" s="1017"/>
      <c r="I1230" s="1017"/>
      <c r="J1230" s="1017"/>
      <c r="K1230" s="1017"/>
      <c r="L1230" s="1017"/>
      <c r="M1230" s="1017"/>
      <c r="N1230" s="1017"/>
      <c r="O1230" s="1017"/>
      <c r="P1230" s="1017"/>
      <c r="Q1230" s="1017"/>
      <c r="R1230" s="1017"/>
      <c r="S1230" s="1017"/>
      <c r="T1230" s="1017"/>
      <c r="U1230" s="1017"/>
      <c r="V1230" s="1017"/>
      <c r="W1230" s="1017"/>
      <c r="X1230" s="1017"/>
      <c r="Y1230" s="1017"/>
      <c r="Z1230" s="1017"/>
      <c r="AA1230" s="1017"/>
      <c r="AB1230" s="1017"/>
      <c r="AC1230" s="1017" t="str">
        <f>AE$5</f>
        <v>FY2017</v>
      </c>
      <c r="AD1230" s="1017" t="str">
        <f>AJ$5</f>
        <v>FY2018</v>
      </c>
      <c r="AE1230" s="1017" t="str">
        <f>AJ$5</f>
        <v>FY2018</v>
      </c>
      <c r="AF1230" s="1017" t="str">
        <f>AJ$5</f>
        <v>FY2018</v>
      </c>
      <c r="AG1230" s="1017" t="str">
        <f>AJ$5</f>
        <v>FY2018</v>
      </c>
      <c r="AH1230" s="1017" t="str">
        <f>AJ$5</f>
        <v>FY2018</v>
      </c>
      <c r="AI1230" s="1017" t="str">
        <f>AO$5</f>
        <v>FY2019</v>
      </c>
      <c r="AJ1230" s="1017" t="str">
        <f>AO$5</f>
        <v>FY2019</v>
      </c>
      <c r="AK1230" s="1017" t="str">
        <f>AO$5</f>
        <v>FY2019</v>
      </c>
      <c r="AL1230" s="1017" t="str">
        <f>AO$5</f>
        <v>FY2019</v>
      </c>
      <c r="AM1230" s="1017" t="str">
        <f>AO$5</f>
        <v>FY2019</v>
      </c>
      <c r="AN1230" s="1017" t="str">
        <f>AT$5</f>
        <v>FY2020</v>
      </c>
      <c r="AO1230" s="1017" t="str">
        <f>AT$5</f>
        <v>FY2020</v>
      </c>
      <c r="AP1230" s="1017" t="str">
        <f>AT$5</f>
        <v>FY2020</v>
      </c>
      <c r="AQ1230" s="1017" t="str">
        <f>AT$5</f>
        <v>FY2020</v>
      </c>
      <c r="AR1230" s="1017" t="str">
        <f>AT$5</f>
        <v>FY2020</v>
      </c>
      <c r="AS1230" s="1017" t="str">
        <f>AY$5</f>
        <v>FY2021</v>
      </c>
      <c r="AT1230" s="1017" t="str">
        <f>AY$5</f>
        <v>FY2021</v>
      </c>
      <c r="AU1230" s="1017" t="str">
        <f>AY$5</f>
        <v>FY2021</v>
      </c>
      <c r="AV1230" s="1017" t="str">
        <f>AY$5</f>
        <v>FY2021</v>
      </c>
      <c r="AW1230" s="1017" t="str">
        <f>AY$5</f>
        <v>FY2021</v>
      </c>
      <c r="AX1230" s="1017" t="str">
        <f>BD$5</f>
        <v>FY2022</v>
      </c>
      <c r="AY1230" s="1017" t="str">
        <f>BD$5</f>
        <v>FY2022</v>
      </c>
      <c r="AZ1230" s="1017" t="str">
        <f>BD$5</f>
        <v>FY2022</v>
      </c>
      <c r="BA1230" s="1017" t="str">
        <f>BD$5</f>
        <v>FY2022</v>
      </c>
      <c r="BB1230" s="1017" t="str">
        <f>BD$5</f>
        <v>FY2022</v>
      </c>
      <c r="BC1230" s="1017" t="str">
        <f>BI$5</f>
        <v>FY2023</v>
      </c>
      <c r="BD1230" s="1017" t="str">
        <f>BI$5</f>
        <v>FY2023</v>
      </c>
      <c r="BE1230" s="1017" t="str">
        <f>BI$5</f>
        <v>FY2023</v>
      </c>
      <c r="BF1230" s="1017" t="str">
        <f>BI$5</f>
        <v>FY2023</v>
      </c>
      <c r="BG1230" s="1017" t="str">
        <f>BI$5</f>
        <v>FY2023</v>
      </c>
      <c r="BH1230" s="1017" t="str">
        <f>BN$5</f>
        <v>FY2024</v>
      </c>
      <c r="BI1230" s="1017" t="str">
        <f>BN$5</f>
        <v>FY2024</v>
      </c>
      <c r="BJ1230" s="1018" t="str">
        <f>BN$5</f>
        <v>FY2024</v>
      </c>
      <c r="BK1230" s="1017"/>
      <c r="BL1230" s="1017"/>
      <c r="BM1230" s="1017"/>
      <c r="BN1230" s="1017"/>
      <c r="BO1230" s="1017"/>
      <c r="BP1230" s="1017"/>
      <c r="BQ1230" s="1017"/>
      <c r="BR1230" s="1017"/>
      <c r="BS1230" s="1017"/>
      <c r="BT1230" s="1017"/>
      <c r="BU1230" s="1017"/>
      <c r="BV1230" s="1019"/>
      <c r="BW1230" s="223"/>
    </row>
    <row r="1231" spans="1:75" s="224" customFormat="1" x14ac:dyDescent="0.5">
      <c r="A1231" s="1020"/>
      <c r="B1231" s="1221"/>
      <c r="C1231" s="1021"/>
      <c r="D1231" s="1021"/>
      <c r="E1231" s="1221"/>
      <c r="F1231" s="1221"/>
      <c r="G1231" s="1221"/>
      <c r="H1231" s="1221"/>
      <c r="I1231" s="1221"/>
      <c r="J1231" s="1221"/>
      <c r="K1231" s="1221"/>
      <c r="L1231" s="1221"/>
      <c r="M1231" s="1221"/>
      <c r="N1231" s="1221"/>
      <c r="O1231" s="1221"/>
      <c r="P1231" s="1221"/>
      <c r="Q1231" s="1221"/>
      <c r="R1231" s="1221"/>
      <c r="S1231" s="1221"/>
      <c r="T1231" s="1221"/>
      <c r="U1231" s="1221"/>
      <c r="V1231" s="1221"/>
      <c r="W1231" s="1221"/>
      <c r="X1231" s="1221"/>
      <c r="Y1231" s="1221"/>
      <c r="Z1231" s="1221"/>
      <c r="AA1231" s="1221"/>
      <c r="AB1231" s="1221"/>
      <c r="AC1231" s="1221"/>
      <c r="AD1231" s="1221"/>
      <c r="AE1231" s="1221"/>
      <c r="AF1231" s="1221"/>
      <c r="AG1231" s="1221"/>
      <c r="AH1231" s="1221"/>
      <c r="AI1231" s="1221"/>
      <c r="AJ1231" s="1221"/>
      <c r="AK1231" s="1221"/>
      <c r="AL1231" s="1221"/>
      <c r="AM1231" s="1221"/>
      <c r="AN1231" s="1221"/>
      <c r="AO1231" s="1221"/>
      <c r="AP1231" s="1221"/>
      <c r="AQ1231" s="1221"/>
      <c r="AR1231" s="1221"/>
      <c r="AS1231" s="1221"/>
      <c r="AT1231" s="1221"/>
      <c r="AU1231" s="1221"/>
      <c r="AV1231" s="1221"/>
      <c r="AW1231" s="1221"/>
      <c r="AX1231" s="1221"/>
      <c r="AY1231" s="1221"/>
      <c r="AZ1231" s="1221"/>
      <c r="BA1231" s="1221"/>
      <c r="BB1231" s="1221"/>
      <c r="BC1231" s="1221"/>
      <c r="BD1231" s="1221"/>
      <c r="BE1231" s="1221"/>
      <c r="BF1231" s="1221"/>
      <c r="BG1231" s="1221"/>
      <c r="BH1231" s="1221"/>
      <c r="BI1231" s="1221"/>
      <c r="BJ1231" s="1022"/>
      <c r="BK1231" s="1221"/>
      <c r="BL1231" s="1221"/>
      <c r="BM1231" s="1221"/>
      <c r="BN1231" s="1221"/>
      <c r="BO1231" s="1221"/>
      <c r="BP1231" s="1221"/>
      <c r="BQ1231" s="1221"/>
      <c r="BR1231" s="1221"/>
      <c r="BS1231" s="1221"/>
      <c r="BT1231" s="1221"/>
      <c r="BU1231" s="1221"/>
      <c r="BV1231" s="1023"/>
      <c r="BW1231" s="223"/>
    </row>
    <row r="1232" spans="1:75" s="224" customFormat="1" x14ac:dyDescent="0.5">
      <c r="A1232" s="1002"/>
      <c r="B1232" s="987"/>
      <c r="C1232" s="1003"/>
      <c r="D1232" s="1003"/>
      <c r="E1232" s="987"/>
      <c r="F1232" s="987"/>
      <c r="G1232" s="987"/>
      <c r="H1232" s="987"/>
      <c r="I1232" s="987"/>
      <c r="J1232" s="987"/>
      <c r="K1232" s="987"/>
      <c r="L1232" s="987"/>
      <c r="M1232" s="987"/>
      <c r="N1232" s="987"/>
      <c r="O1232" s="987"/>
      <c r="P1232" s="987"/>
      <c r="Q1232" s="987"/>
      <c r="R1232" s="987"/>
      <c r="S1232" s="987"/>
      <c r="T1232" s="987"/>
      <c r="U1232" s="987"/>
      <c r="V1232" s="987"/>
      <c r="W1232" s="987"/>
      <c r="X1232" s="987"/>
      <c r="Y1232" s="987"/>
      <c r="Z1232" s="987"/>
      <c r="AA1232" s="987"/>
      <c r="AB1232" s="987"/>
      <c r="AC1232" s="987"/>
      <c r="AD1232" s="987"/>
      <c r="AE1232" s="987"/>
      <c r="AF1232" s="987"/>
      <c r="AG1232" s="987"/>
      <c r="AH1232" s="987"/>
      <c r="AI1232" s="987"/>
      <c r="AJ1232" s="987"/>
      <c r="AK1232" s="987"/>
      <c r="AL1232" s="987"/>
      <c r="AM1232" s="987"/>
      <c r="AN1232" s="987"/>
      <c r="AO1232" s="987"/>
      <c r="AP1232" s="987"/>
      <c r="AQ1232" s="987"/>
      <c r="AR1232" s="987"/>
      <c r="AS1232" s="987"/>
      <c r="AT1232" s="987"/>
      <c r="AU1232" s="987"/>
      <c r="AV1232" s="987"/>
      <c r="AW1232" s="987"/>
      <c r="AX1232" s="987"/>
      <c r="AY1232" s="987"/>
      <c r="AZ1232" s="987"/>
      <c r="BA1232" s="987"/>
      <c r="BB1232" s="987"/>
      <c r="BC1232" s="987"/>
      <c r="BD1232" s="987"/>
      <c r="BE1232" s="987"/>
      <c r="BF1232" s="987"/>
      <c r="BG1232" s="987"/>
      <c r="BH1232" s="987"/>
      <c r="BI1232" s="987"/>
      <c r="BJ1232" s="1004"/>
      <c r="BK1232" s="987"/>
      <c r="BL1232" s="987"/>
      <c r="BM1232" s="987"/>
      <c r="BN1232" s="987"/>
      <c r="BO1232" s="987"/>
      <c r="BP1232" s="987"/>
      <c r="BQ1232" s="987"/>
      <c r="BR1232" s="987"/>
      <c r="BS1232" s="987"/>
      <c r="BT1232" s="987"/>
      <c r="BU1232" s="987"/>
      <c r="BV1232" s="987"/>
      <c r="BW1232" s="223"/>
    </row>
    <row r="1233" spans="1:75" s="198" customFormat="1" ht="14.25" x14ac:dyDescent="0.45">
      <c r="A1233" s="1025" t="s">
        <v>1602</v>
      </c>
      <c r="B1233" s="327"/>
      <c r="C1233" s="327"/>
      <c r="D1233" s="327"/>
      <c r="E1233" s="327"/>
      <c r="F1233" s="327"/>
      <c r="G1233" s="327"/>
      <c r="H1233" s="327"/>
      <c r="I1233" s="327"/>
      <c r="J1233" s="327"/>
      <c r="K1233" s="327"/>
      <c r="L1233" s="327"/>
      <c r="M1233" s="327"/>
      <c r="N1233" s="327"/>
      <c r="O1233" s="327"/>
      <c r="P1233" s="327"/>
      <c r="Q1233" s="327"/>
      <c r="R1233" s="327"/>
      <c r="S1233" s="327"/>
      <c r="T1233" s="327"/>
      <c r="U1233" s="327"/>
      <c r="V1233" s="327"/>
      <c r="W1233" s="327"/>
      <c r="X1233" s="327"/>
      <c r="Y1233" s="327"/>
      <c r="Z1233" s="327"/>
      <c r="AA1233" s="327"/>
      <c r="AB1233" s="327"/>
      <c r="AC1233" s="327"/>
      <c r="AD1233" s="327"/>
      <c r="AE1233" s="327"/>
      <c r="AF1233" s="327"/>
      <c r="AG1233" s="327"/>
      <c r="AH1233" s="327"/>
      <c r="AI1233" s="327"/>
      <c r="AJ1233" s="327"/>
      <c r="AK1233" s="327"/>
      <c r="AL1233" s="327"/>
      <c r="AM1233" s="327"/>
      <c r="AN1233" s="327"/>
      <c r="AO1233" s="327"/>
      <c r="AP1233" s="327"/>
      <c r="AQ1233" s="327"/>
      <c r="AR1233" s="327"/>
      <c r="AS1233" s="327"/>
      <c r="AT1233" s="327"/>
      <c r="AU1233" s="327"/>
      <c r="AV1233" s="327"/>
      <c r="AW1233" s="327"/>
      <c r="AX1233" s="327"/>
      <c r="AY1233" s="327"/>
      <c r="AZ1233" s="327"/>
      <c r="BA1233" s="327"/>
      <c r="BB1233" s="327"/>
      <c r="BC1233" s="327"/>
      <c r="BD1233" s="327"/>
      <c r="BE1233" s="327"/>
      <c r="BF1233" s="327"/>
      <c r="BG1233" s="327"/>
      <c r="BH1233" s="327"/>
      <c r="BI1233" s="327"/>
      <c r="BJ1233" s="1026"/>
      <c r="BK1233" s="327" t="str">
        <f>BK5</f>
        <v>Q2-2024</v>
      </c>
      <c r="BL1233" s="327" t="str">
        <f>BL5</f>
        <v>Q3-2024</v>
      </c>
      <c r="BM1233" s="327" t="str">
        <f>BM5</f>
        <v>Q4-2024</v>
      </c>
      <c r="BN1233" s="327" t="str">
        <f t="shared" ref="BN1233:BV1233" si="1582">BN5</f>
        <v>FY2024</v>
      </c>
      <c r="BO1233" s="327" t="str">
        <f t="shared" si="1582"/>
        <v>Q1-2025</v>
      </c>
      <c r="BP1233" s="327" t="str">
        <f t="shared" si="1582"/>
        <v>Q2-2025</v>
      </c>
      <c r="BQ1233" s="327" t="str">
        <f t="shared" si="1582"/>
        <v>Q3-2025</v>
      </c>
      <c r="BR1233" s="327" t="str">
        <f t="shared" si="1582"/>
        <v>Q4-2025</v>
      </c>
      <c r="BS1233" s="327" t="str">
        <f t="shared" si="1582"/>
        <v>FY2025</v>
      </c>
      <c r="BT1233" s="327" t="str">
        <f t="shared" si="1582"/>
        <v>FY2026</v>
      </c>
      <c r="BU1233" s="327" t="str">
        <f t="shared" si="1582"/>
        <v>FY2027</v>
      </c>
      <c r="BV1233" s="1027" t="str">
        <f t="shared" si="1582"/>
        <v>FY2028</v>
      </c>
      <c r="BW1233" s="1028"/>
    </row>
    <row r="1234" spans="1:75" s="198" customFormat="1" ht="14.25" x14ac:dyDescent="0.45">
      <c r="A1234" s="1029" t="s">
        <v>1603</v>
      </c>
      <c r="B1234" s="295"/>
      <c r="C1234" s="295"/>
      <c r="D1234" s="295"/>
      <c r="E1234" s="295"/>
      <c r="F1234" s="295"/>
      <c r="G1234" s="295"/>
      <c r="H1234" s="295"/>
      <c r="I1234" s="295"/>
      <c r="J1234" s="295"/>
      <c r="K1234" s="295"/>
      <c r="L1234" s="295"/>
      <c r="M1234" s="295"/>
      <c r="N1234" s="295"/>
      <c r="O1234" s="295"/>
      <c r="P1234" s="295"/>
      <c r="Q1234" s="295"/>
      <c r="R1234" s="295"/>
      <c r="S1234" s="295"/>
      <c r="T1234" s="295"/>
      <c r="U1234" s="295"/>
      <c r="V1234" s="295"/>
      <c r="W1234" s="295"/>
      <c r="X1234" s="295"/>
      <c r="Y1234" s="295"/>
      <c r="Z1234" s="295"/>
      <c r="AA1234" s="295"/>
      <c r="AB1234" s="295"/>
      <c r="AC1234" s="295"/>
      <c r="AD1234" s="295"/>
      <c r="AE1234" s="295"/>
      <c r="AF1234" s="295"/>
      <c r="AG1234" s="295"/>
      <c r="AH1234" s="295"/>
      <c r="AI1234" s="295"/>
      <c r="AJ1234" s="295"/>
      <c r="AK1234" s="295"/>
      <c r="AL1234" s="295"/>
      <c r="AM1234" s="295"/>
      <c r="AN1234" s="295"/>
      <c r="AO1234" s="295"/>
      <c r="AP1234" s="295"/>
      <c r="AQ1234" s="295"/>
      <c r="AR1234" s="295"/>
      <c r="AS1234" s="295"/>
      <c r="AT1234" s="295"/>
      <c r="AU1234" s="295"/>
      <c r="AV1234" s="295"/>
      <c r="AW1234" s="295"/>
      <c r="AX1234" s="295"/>
      <c r="AY1234" s="295"/>
      <c r="AZ1234" s="295"/>
      <c r="BA1234" s="295"/>
      <c r="BB1234" s="295"/>
      <c r="BC1234" s="295"/>
      <c r="BD1234" s="295"/>
      <c r="BE1234" s="295"/>
      <c r="BF1234" s="295"/>
      <c r="BG1234" s="295"/>
      <c r="BH1234" s="295"/>
      <c r="BI1234" s="295"/>
      <c r="BJ1234" s="1030"/>
      <c r="BK1234" s="295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L1234" s="295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M1234" s="295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N1234" s="295" t="str">
        <f t="shared" ref="BN1234" ca="1" si="1583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FY</v>
      </c>
      <c r="BO1234" s="295" t="str">
        <f t="shared" ref="BO1234:BV1234" ca="1" si="1584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P1234" s="295" t="str">
        <f t="shared" ca="1" si="1584"/>
        <v>FQ</v>
      </c>
      <c r="BQ1234" s="295" t="str">
        <f t="shared" ca="1" si="1584"/>
        <v>FQ</v>
      </c>
      <c r="BR1234" s="295" t="str">
        <f t="shared" ca="1" si="1584"/>
        <v>FQ</v>
      </c>
      <c r="BS1234" s="295" t="str">
        <f t="shared" ca="1" si="1584"/>
        <v>FY</v>
      </c>
      <c r="BT1234" s="295" t="str">
        <f t="shared" ca="1" si="1584"/>
        <v>FY</v>
      </c>
      <c r="BU1234" s="295" t="str">
        <f t="shared" ca="1" si="1584"/>
        <v>FY</v>
      </c>
      <c r="BV1234" s="1031" t="str">
        <f t="shared" ca="1" si="1584"/>
        <v>FY</v>
      </c>
      <c r="BW1234" s="1028"/>
    </row>
    <row r="1235" spans="1:75" s="198" customFormat="1" ht="14.25" x14ac:dyDescent="0.45">
      <c r="A1235" s="1029" t="s">
        <v>1606</v>
      </c>
      <c r="B1235" s="295"/>
      <c r="C1235" s="295"/>
      <c r="D1235" s="295"/>
      <c r="E1235" s="295"/>
      <c r="F1235" s="295"/>
      <c r="G1235" s="295"/>
      <c r="H1235" s="295"/>
      <c r="I1235" s="295"/>
      <c r="J1235" s="295"/>
      <c r="K1235" s="295"/>
      <c r="L1235" s="295"/>
      <c r="M1235" s="295"/>
      <c r="N1235" s="295"/>
      <c r="O1235" s="295"/>
      <c r="P1235" s="295"/>
      <c r="Q1235" s="295"/>
      <c r="R1235" s="295"/>
      <c r="S1235" s="295"/>
      <c r="T1235" s="295"/>
      <c r="U1235" s="295"/>
      <c r="V1235" s="295"/>
      <c r="W1235" s="295"/>
      <c r="X1235" s="295"/>
      <c r="Y1235" s="295"/>
      <c r="Z1235" s="295"/>
      <c r="AA1235" s="295"/>
      <c r="AB1235" s="295"/>
      <c r="AC1235" s="295"/>
      <c r="AD1235" s="295"/>
      <c r="AE1235" s="295"/>
      <c r="AF1235" s="295"/>
      <c r="AG1235" s="295"/>
      <c r="AH1235" s="295"/>
      <c r="AI1235" s="295"/>
      <c r="AJ1235" s="295"/>
      <c r="AK1235" s="295"/>
      <c r="AL1235" s="295"/>
      <c r="AM1235" s="295"/>
      <c r="AN1235" s="295"/>
      <c r="AO1235" s="295"/>
      <c r="AP1235" s="295"/>
      <c r="AQ1235" s="295"/>
      <c r="AR1235" s="295"/>
      <c r="AS1235" s="295"/>
      <c r="AT1235" s="295"/>
      <c r="AU1235" s="295"/>
      <c r="AV1235" s="295"/>
      <c r="AW1235" s="295"/>
      <c r="AX1235" s="295"/>
      <c r="AY1235" s="295"/>
      <c r="AZ1235" s="295"/>
      <c r="BA1235" s="295"/>
      <c r="BB1235" s="295"/>
      <c r="BC1235" s="295"/>
      <c r="BD1235" s="295"/>
      <c r="BE1235" s="295"/>
      <c r="BF1235" s="295"/>
      <c r="BG1235" s="295"/>
      <c r="BH1235" s="295"/>
      <c r="BI1235" s="295"/>
      <c r="BJ1235" s="1030"/>
      <c r="BK1235" s="295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1</v>
      </c>
      <c r="BL1235" s="295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2</v>
      </c>
      <c r="BM1235" s="295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3</v>
      </c>
      <c r="BN1235" s="295">
        <f t="shared" ref="BN1235" ca="1" si="1585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1</v>
      </c>
      <c r="BO1235" s="295">
        <f t="shared" ref="BO1235:BV1235" ca="1" si="1586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4</v>
      </c>
      <c r="BP1235" s="295">
        <f t="shared" ca="1" si="1586"/>
        <v>5</v>
      </c>
      <c r="BQ1235" s="295">
        <f t="shared" ca="1" si="1586"/>
        <v>6</v>
      </c>
      <c r="BR1235" s="295">
        <f t="shared" ca="1" si="1586"/>
        <v>7</v>
      </c>
      <c r="BS1235" s="295">
        <f t="shared" ca="1" si="1586"/>
        <v>2</v>
      </c>
      <c r="BT1235" s="295">
        <f t="shared" ca="1" si="1586"/>
        <v>3</v>
      </c>
      <c r="BU1235" s="295">
        <f t="shared" ca="1" si="1586"/>
        <v>4</v>
      </c>
      <c r="BV1235" s="1031">
        <f t="shared" ca="1" si="1586"/>
        <v>5</v>
      </c>
      <c r="BW1235" s="1028"/>
    </row>
    <row r="1236" spans="1:75" s="217" customFormat="1" x14ac:dyDescent="0.5">
      <c r="A1236" s="1032" t="str">
        <f>$A$626</f>
        <v>Consensus Estimates - Adjusted Gross Margin, %</v>
      </c>
      <c r="B1236" s="422"/>
      <c r="C1236" s="422"/>
      <c r="D1236" s="422"/>
      <c r="E1236" s="422"/>
      <c r="F1236" s="422"/>
      <c r="G1236" s="422"/>
      <c r="H1236" s="422"/>
      <c r="I1236" s="422"/>
      <c r="J1236" s="422"/>
      <c r="K1236" s="422"/>
      <c r="L1236" s="422"/>
      <c r="M1236" s="422"/>
      <c r="N1236" s="422"/>
      <c r="O1236" s="422"/>
      <c r="P1236" s="422"/>
      <c r="Q1236" s="422"/>
      <c r="R1236" s="422"/>
      <c r="S1236" s="422"/>
      <c r="T1236" s="422"/>
      <c r="U1236" s="422"/>
      <c r="V1236" s="422"/>
      <c r="W1236" s="422"/>
      <c r="X1236" s="422"/>
      <c r="Y1236" s="422"/>
      <c r="Z1236" s="422"/>
      <c r="AA1236" s="422"/>
      <c r="AB1236" s="422"/>
      <c r="AC1236" s="422"/>
      <c r="AD1236" s="422"/>
      <c r="AE1236" s="422"/>
      <c r="AF1236" s="422"/>
      <c r="AG1236" s="422"/>
      <c r="AH1236" s="422"/>
      <c r="AI1236" s="422"/>
      <c r="AJ1236" s="422"/>
      <c r="AK1236" s="422"/>
      <c r="AL1236" s="422"/>
      <c r="AM1236" s="422"/>
      <c r="AN1236" s="422"/>
      <c r="AO1236" s="422"/>
      <c r="AP1236" s="422"/>
      <c r="AQ1236" s="422"/>
      <c r="AR1236" s="422"/>
      <c r="AS1236" s="422"/>
      <c r="AT1236" s="422"/>
      <c r="AU1236" s="422"/>
      <c r="AV1236" s="422"/>
      <c r="AW1236" s="422"/>
      <c r="AX1236" s="422"/>
      <c r="AY1236" s="422"/>
      <c r="AZ1236" s="422"/>
      <c r="BA1236" s="422"/>
      <c r="BB1236" s="422"/>
      <c r="BC1236" s="422"/>
      <c r="BD1236" s="422"/>
      <c r="BE1236" s="422"/>
      <c r="BF1236" s="422"/>
      <c r="BG1236" s="422"/>
      <c r="BH1236" s="422"/>
      <c r="BI1236" s="422"/>
      <c r="BJ1236" s="1034"/>
      <c r="BK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L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M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N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O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P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Q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R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S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T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U1236" s="422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V1236" s="1035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W1236" s="1036"/>
    </row>
    <row r="1237" spans="1:75" s="123" customFormat="1" x14ac:dyDescent="0.5">
      <c r="A1237" s="1037" t="str">
        <f>$A$752</f>
        <v>Consensus Estimates - Net Revenue</v>
      </c>
      <c r="B1237" s="118"/>
      <c r="C1237" s="973"/>
      <c r="D1237" s="973"/>
      <c r="E1237" s="973"/>
      <c r="F1237" s="973"/>
      <c r="G1237" s="973"/>
      <c r="H1237" s="118"/>
      <c r="I1237" s="118"/>
      <c r="J1237" s="118"/>
      <c r="K1237" s="118"/>
      <c r="L1237" s="118"/>
      <c r="M1237" s="118"/>
      <c r="N1237" s="118"/>
      <c r="O1237" s="118"/>
      <c r="P1237" s="118"/>
      <c r="Q1237" s="118"/>
      <c r="R1237" s="118"/>
      <c r="S1237" s="118"/>
      <c r="T1237" s="118"/>
      <c r="U1237" s="118"/>
      <c r="V1237" s="118"/>
      <c r="W1237" s="118"/>
      <c r="X1237" s="118"/>
      <c r="Y1237" s="118"/>
      <c r="Z1237" s="118"/>
      <c r="AA1237" s="118"/>
      <c r="AB1237" s="118"/>
      <c r="AC1237" s="118"/>
      <c r="AD1237" s="118"/>
      <c r="AE1237" s="118"/>
      <c r="AF1237" s="118"/>
      <c r="AG1237" s="118"/>
      <c r="AH1237" s="118"/>
      <c r="AI1237" s="118"/>
      <c r="AJ1237" s="118"/>
      <c r="AK1237" s="118"/>
      <c r="AL1237" s="118"/>
      <c r="AM1237" s="118"/>
      <c r="AN1237" s="118"/>
      <c r="AO1237" s="118"/>
      <c r="AP1237" s="118"/>
      <c r="AQ1237" s="118"/>
      <c r="AR1237" s="118"/>
      <c r="AS1237" s="118"/>
      <c r="AT1237" s="118"/>
      <c r="AU1237" s="118"/>
      <c r="AV1237" s="118"/>
      <c r="AW1237" s="118"/>
      <c r="AX1237" s="118"/>
      <c r="AY1237" s="118"/>
      <c r="AZ1237" s="118"/>
      <c r="BA1237" s="118"/>
      <c r="BB1237" s="118"/>
      <c r="BC1237" s="118"/>
      <c r="BD1237" s="118"/>
      <c r="BE1237" s="118"/>
      <c r="BF1237" s="118"/>
      <c r="BG1237" s="118"/>
      <c r="BH1237" s="118"/>
      <c r="BI1237" s="118"/>
      <c r="BJ1237" s="971"/>
      <c r="BK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L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M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N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O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P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Q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R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S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T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U1237" s="11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V1237" s="1038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W1237" s="1039"/>
    </row>
    <row r="1238" spans="1:75" s="123" customFormat="1" x14ac:dyDescent="0.5">
      <c r="A1238" s="1037" t="str">
        <f>A764</f>
        <v>Consensus Estimates - Adjusted EBIT</v>
      </c>
      <c r="B1238" s="118"/>
      <c r="C1238" s="973"/>
      <c r="D1238" s="973"/>
      <c r="E1238" s="973"/>
      <c r="F1238" s="973"/>
      <c r="G1238" s="973"/>
      <c r="H1238" s="118"/>
      <c r="I1238" s="118"/>
      <c r="J1238" s="118"/>
      <c r="K1238" s="118"/>
      <c r="L1238" s="118"/>
      <c r="M1238" s="118"/>
      <c r="N1238" s="118"/>
      <c r="O1238" s="118"/>
      <c r="P1238" s="118"/>
      <c r="Q1238" s="118"/>
      <c r="R1238" s="118"/>
      <c r="S1238" s="118"/>
      <c r="T1238" s="118"/>
      <c r="U1238" s="118"/>
      <c r="V1238" s="118"/>
      <c r="W1238" s="118"/>
      <c r="X1238" s="118"/>
      <c r="Y1238" s="118"/>
      <c r="Z1238" s="118"/>
      <c r="AA1238" s="118"/>
      <c r="AB1238" s="118"/>
      <c r="AC1238" s="118"/>
      <c r="AD1238" s="118"/>
      <c r="AE1238" s="118"/>
      <c r="AF1238" s="118"/>
      <c r="AG1238" s="118"/>
      <c r="AH1238" s="118"/>
      <c r="AI1238" s="118"/>
      <c r="AJ1238" s="118"/>
      <c r="AK1238" s="118"/>
      <c r="AL1238" s="118"/>
      <c r="AM1238" s="118"/>
      <c r="AN1238" s="118"/>
      <c r="AO1238" s="118"/>
      <c r="AP1238" s="118"/>
      <c r="AQ1238" s="118"/>
      <c r="AR1238" s="118"/>
      <c r="AS1238" s="118"/>
      <c r="AT1238" s="118"/>
      <c r="AU1238" s="118"/>
      <c r="AV1238" s="118"/>
      <c r="AW1238" s="118"/>
      <c r="AX1238" s="118"/>
      <c r="AY1238" s="118"/>
      <c r="AZ1238" s="118"/>
      <c r="BA1238" s="118"/>
      <c r="BB1238" s="118"/>
      <c r="BC1238" s="118"/>
      <c r="BD1238" s="118"/>
      <c r="BE1238" s="118"/>
      <c r="BF1238" s="118"/>
      <c r="BG1238" s="118"/>
      <c r="BH1238" s="118"/>
      <c r="BI1238" s="118"/>
      <c r="BJ1238" s="971"/>
      <c r="BK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L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M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N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O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P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Q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R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S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T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U1238" s="11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V1238" s="1038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W1238" s="1039"/>
    </row>
    <row r="1239" spans="1:75" s="123" customFormat="1" x14ac:dyDescent="0.5">
      <c r="A1239" s="1037" t="str">
        <f>$A$770</f>
        <v>Consensus Estimates - Adjusted EBITDA</v>
      </c>
      <c r="B1239" s="118"/>
      <c r="C1239" s="973"/>
      <c r="D1239" s="973"/>
      <c r="E1239" s="973"/>
      <c r="F1239" s="973"/>
      <c r="G1239" s="973"/>
      <c r="H1239" s="118"/>
      <c r="I1239" s="118"/>
      <c r="J1239" s="118"/>
      <c r="K1239" s="118"/>
      <c r="L1239" s="118"/>
      <c r="M1239" s="118"/>
      <c r="N1239" s="118"/>
      <c r="O1239" s="118"/>
      <c r="P1239" s="118"/>
      <c r="Q1239" s="118"/>
      <c r="R1239" s="118"/>
      <c r="S1239" s="118"/>
      <c r="T1239" s="118"/>
      <c r="U1239" s="118"/>
      <c r="V1239" s="118"/>
      <c r="W1239" s="118"/>
      <c r="X1239" s="118"/>
      <c r="Y1239" s="118"/>
      <c r="Z1239" s="118"/>
      <c r="AA1239" s="118"/>
      <c r="AB1239" s="118"/>
      <c r="AC1239" s="118"/>
      <c r="AD1239" s="118"/>
      <c r="AE1239" s="118"/>
      <c r="AF1239" s="118"/>
      <c r="AG1239" s="118"/>
      <c r="AH1239" s="118"/>
      <c r="AI1239" s="118"/>
      <c r="AJ1239" s="118"/>
      <c r="AK1239" s="118"/>
      <c r="AL1239" s="118"/>
      <c r="AM1239" s="118"/>
      <c r="AN1239" s="118"/>
      <c r="AO1239" s="118"/>
      <c r="AP1239" s="118"/>
      <c r="AQ1239" s="118"/>
      <c r="AR1239" s="118"/>
      <c r="AS1239" s="118"/>
      <c r="AT1239" s="118"/>
      <c r="AU1239" s="118"/>
      <c r="AV1239" s="118"/>
      <c r="AW1239" s="118"/>
      <c r="AX1239" s="118"/>
      <c r="AY1239" s="118"/>
      <c r="AZ1239" s="118"/>
      <c r="BA1239" s="118"/>
      <c r="BB1239" s="118"/>
      <c r="BC1239" s="118"/>
      <c r="BD1239" s="118"/>
      <c r="BE1239" s="118"/>
      <c r="BF1239" s="118"/>
      <c r="BG1239" s="118"/>
      <c r="BH1239" s="118"/>
      <c r="BI1239" s="118"/>
      <c r="BJ1239" s="971"/>
      <c r="BK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L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M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N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O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P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Q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R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S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T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U1239" s="11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V1239" s="1038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W1239" s="1039"/>
    </row>
    <row r="1240" spans="1:75" s="1046" customFormat="1" x14ac:dyDescent="0.5">
      <c r="A1240" s="1040" t="str">
        <f>$A$812</f>
        <v>Consensus Estimates - Adjusted Earnings Per Share - WAD</v>
      </c>
      <c r="B1240" s="1041"/>
      <c r="C1240" s="1042"/>
      <c r="D1240" s="1042"/>
      <c r="E1240" s="1042"/>
      <c r="F1240" s="1042"/>
      <c r="G1240" s="1042"/>
      <c r="H1240" s="1041"/>
      <c r="I1240" s="1041"/>
      <c r="J1240" s="1041"/>
      <c r="K1240" s="1041"/>
      <c r="L1240" s="1041"/>
      <c r="M1240" s="1041"/>
      <c r="N1240" s="1041"/>
      <c r="O1240" s="1041"/>
      <c r="P1240" s="1041"/>
      <c r="Q1240" s="1041"/>
      <c r="R1240" s="1041"/>
      <c r="S1240" s="1041"/>
      <c r="T1240" s="1041"/>
      <c r="U1240" s="1041"/>
      <c r="V1240" s="1041"/>
      <c r="W1240" s="1041"/>
      <c r="X1240" s="1041"/>
      <c r="Y1240" s="1041"/>
      <c r="Z1240" s="1041"/>
      <c r="AA1240" s="1041"/>
      <c r="AB1240" s="1041"/>
      <c r="AC1240" s="1041"/>
      <c r="AD1240" s="1041"/>
      <c r="AE1240" s="1041"/>
      <c r="AF1240" s="1041"/>
      <c r="AG1240" s="1041"/>
      <c r="AH1240" s="1041"/>
      <c r="AI1240" s="1041"/>
      <c r="AJ1240" s="1041"/>
      <c r="AK1240" s="1041"/>
      <c r="AL1240" s="1041"/>
      <c r="AM1240" s="1041"/>
      <c r="AN1240" s="1041"/>
      <c r="AO1240" s="1041"/>
      <c r="AP1240" s="1041"/>
      <c r="AQ1240" s="1041"/>
      <c r="AR1240" s="1041"/>
      <c r="AS1240" s="1041"/>
      <c r="AT1240" s="1041"/>
      <c r="AU1240" s="1041"/>
      <c r="AV1240" s="1041"/>
      <c r="AW1240" s="1041"/>
      <c r="AX1240" s="1041"/>
      <c r="AY1240" s="1041"/>
      <c r="AZ1240" s="1041"/>
      <c r="BA1240" s="1041"/>
      <c r="BB1240" s="1041"/>
      <c r="BC1240" s="1041"/>
      <c r="BD1240" s="1041"/>
      <c r="BE1240" s="1041"/>
      <c r="BF1240" s="1041"/>
      <c r="BG1240" s="1041"/>
      <c r="BH1240" s="1041"/>
      <c r="BI1240" s="1041"/>
      <c r="BJ1240" s="1043"/>
      <c r="BK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L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M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N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O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P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Q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R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S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T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U1240" s="1041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V1240" s="1044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W1240" s="1045"/>
    </row>
    <row r="1241" spans="1:75" s="1046" customFormat="1" x14ac:dyDescent="0.5">
      <c r="A1241" s="1040" t="str">
        <f>$A$878</f>
        <v>Consensus Estimates - Cash Flow Per Diluted Share</v>
      </c>
      <c r="B1241" s="1041"/>
      <c r="C1241" s="1042"/>
      <c r="D1241" s="1042"/>
      <c r="E1241" s="1042"/>
      <c r="F1241" s="1042"/>
      <c r="G1241" s="1042"/>
      <c r="H1241" s="1041"/>
      <c r="I1241" s="1041"/>
      <c r="J1241" s="1041"/>
      <c r="K1241" s="1041"/>
      <c r="L1241" s="1041"/>
      <c r="M1241" s="1041"/>
      <c r="N1241" s="1041"/>
      <c r="O1241" s="1041"/>
      <c r="P1241" s="1041"/>
      <c r="Q1241" s="1041"/>
      <c r="R1241" s="1041"/>
      <c r="S1241" s="1041"/>
      <c r="T1241" s="1041"/>
      <c r="U1241" s="1041"/>
      <c r="V1241" s="1041"/>
      <c r="W1241" s="1041"/>
      <c r="X1241" s="1041"/>
      <c r="Y1241" s="1041"/>
      <c r="Z1241" s="1041"/>
      <c r="AA1241" s="1041"/>
      <c r="AB1241" s="1041"/>
      <c r="AC1241" s="1041"/>
      <c r="AD1241" s="1041"/>
      <c r="AE1241" s="1041"/>
      <c r="AF1241" s="1041"/>
      <c r="AG1241" s="1041"/>
      <c r="AH1241" s="1041"/>
      <c r="AI1241" s="1041"/>
      <c r="AJ1241" s="1041"/>
      <c r="AK1241" s="1041"/>
      <c r="AL1241" s="1041"/>
      <c r="AM1241" s="1041"/>
      <c r="AN1241" s="1041"/>
      <c r="AO1241" s="1041"/>
      <c r="AP1241" s="1041"/>
      <c r="AQ1241" s="1041"/>
      <c r="AR1241" s="1041"/>
      <c r="AS1241" s="1041"/>
      <c r="AT1241" s="1041"/>
      <c r="AU1241" s="1041"/>
      <c r="AV1241" s="1041"/>
      <c r="AW1241" s="1041"/>
      <c r="AX1241" s="1041"/>
      <c r="AY1241" s="1041"/>
      <c r="AZ1241" s="1041"/>
      <c r="BA1241" s="1041"/>
      <c r="BB1241" s="1041"/>
      <c r="BC1241" s="1041"/>
      <c r="BD1241" s="1041"/>
      <c r="BE1241" s="1041"/>
      <c r="BF1241" s="1041"/>
      <c r="BG1241" s="1041"/>
      <c r="BH1241" s="1041"/>
      <c r="BI1241" s="1041"/>
      <c r="BJ1241" s="1043"/>
      <c r="BK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L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M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N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O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P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Q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R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S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T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U1241" s="1041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V1241" s="1044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W1241" s="1045"/>
    </row>
    <row r="1242" spans="1:75" s="123" customFormat="1" x14ac:dyDescent="0.5">
      <c r="A1242" s="1037" t="str">
        <f>A880</f>
        <v>Consensus Estimates - Capex</v>
      </c>
      <c r="B1242" s="118"/>
      <c r="C1242" s="973"/>
      <c r="D1242" s="973"/>
      <c r="E1242" s="973"/>
      <c r="F1242" s="973"/>
      <c r="G1242" s="973"/>
      <c r="H1242" s="118"/>
      <c r="I1242" s="118"/>
      <c r="J1242" s="118"/>
      <c r="K1242" s="118"/>
      <c r="L1242" s="118"/>
      <c r="M1242" s="118"/>
      <c r="N1242" s="118"/>
      <c r="O1242" s="118"/>
      <c r="P1242" s="118"/>
      <c r="Q1242" s="118"/>
      <c r="R1242" s="118"/>
      <c r="S1242" s="118"/>
      <c r="T1242" s="118"/>
      <c r="U1242" s="118"/>
      <c r="V1242" s="118"/>
      <c r="W1242" s="118"/>
      <c r="X1242" s="118"/>
      <c r="Y1242" s="118"/>
      <c r="Z1242" s="118"/>
      <c r="AA1242" s="118"/>
      <c r="AB1242" s="118"/>
      <c r="AC1242" s="118"/>
      <c r="AD1242" s="118"/>
      <c r="AE1242" s="118"/>
      <c r="AF1242" s="118"/>
      <c r="AG1242" s="118"/>
      <c r="AH1242" s="118"/>
      <c r="AI1242" s="118"/>
      <c r="AJ1242" s="118"/>
      <c r="AK1242" s="118"/>
      <c r="AL1242" s="118"/>
      <c r="AM1242" s="118"/>
      <c r="AN1242" s="118"/>
      <c r="AO1242" s="118"/>
      <c r="AP1242" s="118"/>
      <c r="AQ1242" s="118"/>
      <c r="AR1242" s="118"/>
      <c r="AS1242" s="118"/>
      <c r="AT1242" s="118"/>
      <c r="AU1242" s="118"/>
      <c r="AV1242" s="118"/>
      <c r="AW1242" s="118"/>
      <c r="AX1242" s="118"/>
      <c r="AY1242" s="118"/>
      <c r="AZ1242" s="118"/>
      <c r="BA1242" s="118"/>
      <c r="BB1242" s="118"/>
      <c r="BC1242" s="118"/>
      <c r="BD1242" s="118"/>
      <c r="BE1242" s="118"/>
      <c r="BF1242" s="118"/>
      <c r="BG1242" s="118"/>
      <c r="BH1242" s="118"/>
      <c r="BI1242" s="118"/>
      <c r="BJ1242" s="971"/>
      <c r="BK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L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M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N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O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P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Q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R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S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T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U1242" s="11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V1242" s="1038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W1242" s="1039"/>
    </row>
    <row r="1243" spans="1:75" s="123" customFormat="1" x14ac:dyDescent="0.5">
      <c r="A1243" s="1047"/>
      <c r="B1243" s="723"/>
      <c r="C1243" s="1048"/>
      <c r="D1243" s="1048"/>
      <c r="E1243" s="723"/>
      <c r="F1243" s="723"/>
      <c r="G1243" s="723"/>
      <c r="H1243" s="723"/>
      <c r="I1243" s="723"/>
      <c r="J1243" s="723"/>
      <c r="K1243" s="723"/>
      <c r="L1243" s="723"/>
      <c r="M1243" s="723"/>
      <c r="N1243" s="723"/>
      <c r="O1243" s="723"/>
      <c r="P1243" s="723"/>
      <c r="Q1243" s="723"/>
      <c r="R1243" s="723"/>
      <c r="S1243" s="723"/>
      <c r="T1243" s="723"/>
      <c r="U1243" s="723"/>
      <c r="V1243" s="723"/>
      <c r="W1243" s="723"/>
      <c r="X1243" s="723"/>
      <c r="Y1243" s="723"/>
      <c r="Z1243" s="723"/>
      <c r="AA1243" s="723"/>
      <c r="AB1243" s="723"/>
      <c r="AC1243" s="723"/>
      <c r="AD1243" s="723"/>
      <c r="AE1243" s="723"/>
      <c r="AF1243" s="723"/>
      <c r="AG1243" s="723"/>
      <c r="AH1243" s="723"/>
      <c r="AI1243" s="723"/>
      <c r="AJ1243" s="723"/>
      <c r="AK1243" s="723"/>
      <c r="AL1243" s="723"/>
      <c r="AM1243" s="723"/>
      <c r="AN1243" s="723"/>
      <c r="AO1243" s="723"/>
      <c r="AP1243" s="723"/>
      <c r="AQ1243" s="723"/>
      <c r="AR1243" s="723"/>
      <c r="AS1243" s="723"/>
      <c r="AT1243" s="723"/>
      <c r="AU1243" s="723"/>
      <c r="AV1243" s="723"/>
      <c r="AW1243" s="723"/>
      <c r="AX1243" s="723"/>
      <c r="AY1243" s="723"/>
      <c r="AZ1243" s="723"/>
      <c r="BA1243" s="723"/>
      <c r="BB1243" s="723"/>
      <c r="BC1243" s="723"/>
      <c r="BD1243" s="723"/>
      <c r="BE1243" s="723"/>
      <c r="BF1243" s="723"/>
      <c r="BG1243" s="723"/>
      <c r="BH1243" s="723"/>
      <c r="BI1243" s="723"/>
      <c r="BJ1243" s="1049"/>
      <c r="BK1243" s="723"/>
      <c r="BL1243" s="723"/>
      <c r="BM1243" s="723"/>
      <c r="BN1243" s="723"/>
      <c r="BO1243" s="723"/>
      <c r="BP1243" s="723"/>
      <c r="BQ1243" s="723"/>
      <c r="BR1243" s="723"/>
      <c r="BS1243" s="723"/>
      <c r="BT1243" s="723"/>
      <c r="BU1243" s="723"/>
      <c r="BV1243" s="1050"/>
      <c r="BW1243" s="1039"/>
    </row>
    <row r="1244" spans="1:75" s="123" customFormat="1" x14ac:dyDescent="0.5">
      <c r="A1244" s="1051"/>
      <c r="B1244" s="1052"/>
      <c r="C1244" s="1053"/>
      <c r="D1244" s="1053"/>
      <c r="E1244" s="1052"/>
      <c r="F1244" s="1052"/>
      <c r="G1244" s="1052"/>
      <c r="H1244" s="1052"/>
      <c r="I1244" s="1052"/>
      <c r="J1244" s="1052"/>
      <c r="K1244" s="1052"/>
      <c r="L1244" s="1052"/>
      <c r="M1244" s="1052"/>
      <c r="N1244" s="1052"/>
      <c r="O1244" s="1052"/>
      <c r="P1244" s="1052"/>
      <c r="Q1244" s="1052"/>
      <c r="R1244" s="1052"/>
      <c r="S1244" s="1052"/>
      <c r="T1244" s="1052"/>
      <c r="U1244" s="1052"/>
      <c r="V1244" s="1052"/>
      <c r="W1244" s="1052"/>
      <c r="X1244" s="1052"/>
      <c r="Y1244" s="1052"/>
      <c r="Z1244" s="1052"/>
      <c r="AA1244" s="1052"/>
      <c r="AB1244" s="1052"/>
      <c r="AC1244" s="1052"/>
      <c r="AD1244" s="1052"/>
      <c r="AE1244" s="1052"/>
      <c r="AF1244" s="1052"/>
      <c r="AG1244" s="1052"/>
      <c r="AH1244" s="1052"/>
      <c r="AI1244" s="1052"/>
      <c r="AJ1244" s="1052"/>
      <c r="AK1244" s="1052"/>
      <c r="AL1244" s="1052"/>
      <c r="AM1244" s="1052"/>
      <c r="AN1244" s="1052"/>
      <c r="AO1244" s="1052"/>
      <c r="AP1244" s="1052"/>
      <c r="AQ1244" s="1052"/>
      <c r="AR1244" s="1052"/>
      <c r="AS1244" s="1052"/>
      <c r="AT1244" s="1052"/>
      <c r="AU1244" s="1052"/>
      <c r="AV1244" s="1052"/>
      <c r="AW1244" s="1052"/>
      <c r="AX1244" s="1052"/>
      <c r="AY1244" s="1052"/>
      <c r="AZ1244" s="1052"/>
      <c r="BA1244" s="1052"/>
      <c r="BB1244" s="1052"/>
      <c r="BC1244" s="1052"/>
      <c r="BD1244" s="1052"/>
      <c r="BE1244" s="1052"/>
      <c r="BF1244" s="1052"/>
      <c r="BG1244" s="1052"/>
      <c r="BH1244" s="1052"/>
      <c r="BI1244" s="1052"/>
      <c r="BJ1244" s="1054"/>
      <c r="BK1244" s="1052"/>
      <c r="BL1244" s="1052"/>
      <c r="BM1244" s="1052"/>
      <c r="BN1244" s="1052"/>
      <c r="BO1244" s="1052"/>
      <c r="BP1244" s="1052"/>
      <c r="BQ1244" s="1052"/>
      <c r="BR1244" s="1052"/>
      <c r="BS1244" s="1052"/>
      <c r="BT1244" s="1052"/>
      <c r="BU1244" s="1052"/>
      <c r="BV1244" s="1052"/>
      <c r="BW1244" s="122"/>
    </row>
    <row r="1245" spans="1:75" s="123" customFormat="1" x14ac:dyDescent="0.5">
      <c r="A1245" s="1055" t="s">
        <v>1607</v>
      </c>
      <c r="B1245" s="1056"/>
      <c r="C1245" s="1057"/>
      <c r="D1245" s="1057"/>
      <c r="E1245" s="1056"/>
      <c r="F1245" s="1056"/>
      <c r="G1245" s="1056"/>
      <c r="H1245" s="1056"/>
      <c r="I1245" s="1056"/>
      <c r="J1245" s="1056"/>
      <c r="K1245" s="1056"/>
      <c r="L1245" s="1056"/>
      <c r="M1245" s="1056"/>
      <c r="N1245" s="1056"/>
      <c r="O1245" s="1056"/>
      <c r="P1245" s="1056"/>
      <c r="Q1245" s="1056"/>
      <c r="R1245" s="1056"/>
      <c r="S1245" s="1056"/>
      <c r="T1245" s="1056"/>
      <c r="U1245" s="1056"/>
      <c r="V1245" s="1056"/>
      <c r="W1245" s="1056"/>
      <c r="X1245" s="1056"/>
      <c r="Y1245" s="1056"/>
      <c r="Z1245" s="1056"/>
      <c r="AA1245" s="1056"/>
      <c r="AB1245" s="1056"/>
      <c r="AC1245" s="1056"/>
      <c r="AD1245" s="1056"/>
      <c r="AE1245" s="1056"/>
      <c r="AF1245" s="1056"/>
      <c r="AG1245" s="1056"/>
      <c r="AH1245" s="1056"/>
      <c r="AI1245" s="1056"/>
      <c r="AJ1245" s="1056"/>
      <c r="AK1245" s="1056"/>
      <c r="AL1245" s="1056"/>
      <c r="AM1245" s="1056"/>
      <c r="AN1245" s="1056"/>
      <c r="AO1245" s="1056"/>
      <c r="AP1245" s="1056"/>
      <c r="AQ1245" s="1056"/>
      <c r="AR1245" s="1056"/>
      <c r="AS1245" s="1056"/>
      <c r="AT1245" s="1056"/>
      <c r="AU1245" s="1056"/>
      <c r="AV1245" s="1056"/>
      <c r="AW1245" s="1056"/>
      <c r="AX1245" s="1056"/>
      <c r="AY1245" s="1056"/>
      <c r="AZ1245" s="1056"/>
      <c r="BA1245" s="1056"/>
      <c r="BB1245" s="1056"/>
      <c r="BC1245" s="1056"/>
      <c r="BD1245" s="1056"/>
      <c r="BE1245" s="1056"/>
      <c r="BF1245" s="1056"/>
      <c r="BG1245" s="1056"/>
      <c r="BH1245" s="1056"/>
      <c r="BI1245" s="1056"/>
      <c r="BJ1245" s="1058"/>
      <c r="BK1245" s="1056"/>
      <c r="BL1245" s="1056"/>
      <c r="BM1245" s="1056"/>
      <c r="BN1245" s="1056"/>
      <c r="BO1245" s="1056"/>
      <c r="BP1245" s="1056"/>
      <c r="BQ1245" s="1056"/>
      <c r="BR1245" s="1056"/>
      <c r="BS1245" s="1056"/>
      <c r="BT1245" s="1056"/>
      <c r="BU1245" s="1056"/>
      <c r="BV1245" s="1059"/>
      <c r="BW1245" s="1039"/>
    </row>
    <row r="1246" spans="1:75" s="123" customFormat="1" x14ac:dyDescent="0.5">
      <c r="A1246" s="1060" t="s">
        <v>1608</v>
      </c>
      <c r="B1246" s="118"/>
      <c r="C1246" s="1061">
        <f t="shared" ref="C1246:AH1246" si="1587">INDEX(MO_Common_QEndDate,0,COLUMN())-INDEX(MO_Common_FPDays,0,COLUMN())+1</f>
        <v>39846</v>
      </c>
      <c r="D1246" s="1061">
        <f t="shared" si="1587"/>
        <v>40210</v>
      </c>
      <c r="E1246" s="1062">
        <f t="shared" si="1587"/>
        <v>40574</v>
      </c>
      <c r="F1246" s="1062">
        <f t="shared" si="1587"/>
        <v>40938</v>
      </c>
      <c r="G1246" s="1062">
        <f t="shared" si="1587"/>
        <v>41309</v>
      </c>
      <c r="H1246" s="1062">
        <f t="shared" si="1587"/>
        <v>41400</v>
      </c>
      <c r="I1246" s="1062">
        <f t="shared" si="1587"/>
        <v>41491</v>
      </c>
      <c r="J1246" s="1062">
        <f t="shared" si="1587"/>
        <v>41582</v>
      </c>
      <c r="K1246" s="1062">
        <f t="shared" si="1587"/>
        <v>41309</v>
      </c>
      <c r="L1246" s="1062">
        <f t="shared" si="1587"/>
        <v>41673</v>
      </c>
      <c r="M1246" s="1062">
        <f t="shared" si="1587"/>
        <v>41764</v>
      </c>
      <c r="N1246" s="1062">
        <f t="shared" si="1587"/>
        <v>41855</v>
      </c>
      <c r="O1246" s="1062">
        <f t="shared" si="1587"/>
        <v>41946</v>
      </c>
      <c r="P1246" s="1062">
        <f t="shared" si="1587"/>
        <v>41673</v>
      </c>
      <c r="Q1246" s="1062">
        <f t="shared" si="1587"/>
        <v>42037</v>
      </c>
      <c r="R1246" s="1062">
        <f t="shared" si="1587"/>
        <v>42128</v>
      </c>
      <c r="S1246" s="1062">
        <f t="shared" si="1587"/>
        <v>42219</v>
      </c>
      <c r="T1246" s="1062">
        <f t="shared" si="1587"/>
        <v>42310</v>
      </c>
      <c r="U1246" s="1062">
        <f t="shared" si="1587"/>
        <v>42037</v>
      </c>
      <c r="V1246" s="1062">
        <f t="shared" si="1587"/>
        <v>42401</v>
      </c>
      <c r="W1246" s="1062">
        <f t="shared" si="1587"/>
        <v>42492</v>
      </c>
      <c r="X1246" s="1062">
        <f t="shared" si="1587"/>
        <v>42583</v>
      </c>
      <c r="Y1246" s="1062">
        <f t="shared" si="1587"/>
        <v>42674</v>
      </c>
      <c r="Z1246" s="1062">
        <f t="shared" si="1587"/>
        <v>42401</v>
      </c>
      <c r="AA1246" s="1062">
        <f t="shared" si="1587"/>
        <v>42765</v>
      </c>
      <c r="AB1246" s="1062">
        <f t="shared" si="1587"/>
        <v>42856</v>
      </c>
      <c r="AC1246" s="1062">
        <f t="shared" si="1587"/>
        <v>42947</v>
      </c>
      <c r="AD1246" s="1062">
        <f t="shared" si="1587"/>
        <v>43038</v>
      </c>
      <c r="AE1246" s="1062">
        <f t="shared" si="1587"/>
        <v>42765</v>
      </c>
      <c r="AF1246" s="1062">
        <f t="shared" si="1587"/>
        <v>43129</v>
      </c>
      <c r="AG1246" s="1062">
        <f t="shared" si="1587"/>
        <v>43220</v>
      </c>
      <c r="AH1246" s="1062">
        <f t="shared" si="1587"/>
        <v>43311</v>
      </c>
      <c r="AI1246" s="1062">
        <f t="shared" ref="AI1246:AQ1246" si="1588">INDEX(MO_Common_QEndDate,0,COLUMN())-INDEX(MO_Common_FPDays,0,COLUMN())+1</f>
        <v>43402</v>
      </c>
      <c r="AJ1246" s="1062">
        <f t="shared" si="1588"/>
        <v>43129</v>
      </c>
      <c r="AK1246" s="1062">
        <f t="shared" si="1588"/>
        <v>43500</v>
      </c>
      <c r="AL1246" s="1062">
        <f t="shared" si="1588"/>
        <v>43591</v>
      </c>
      <c r="AM1246" s="1062">
        <f t="shared" si="1588"/>
        <v>43682</v>
      </c>
      <c r="AN1246" s="1062">
        <f t="shared" si="1588"/>
        <v>43773</v>
      </c>
      <c r="AO1246" s="1062">
        <f t="shared" si="1588"/>
        <v>43500</v>
      </c>
      <c r="AP1246" s="1062">
        <f t="shared" si="1588"/>
        <v>43864</v>
      </c>
      <c r="AQ1246" s="1062">
        <f t="shared" si="1588"/>
        <v>43955</v>
      </c>
      <c r="AR1246" s="1062">
        <f t="shared" ref="AR1246:AW1246" si="1589">INDEX(MO_Common_QEndDate,0,COLUMN())-INDEX(MO_Common_FPDays,0,COLUMN())+1</f>
        <v>44046</v>
      </c>
      <c r="AS1246" s="1062">
        <f t="shared" si="1589"/>
        <v>44137</v>
      </c>
      <c r="AT1246" s="1062">
        <f t="shared" si="1589"/>
        <v>43864</v>
      </c>
      <c r="AU1246" s="1062">
        <f t="shared" si="1589"/>
        <v>44228</v>
      </c>
      <c r="AV1246" s="1062">
        <f t="shared" si="1589"/>
        <v>44319</v>
      </c>
      <c r="AW1246" s="1062">
        <f t="shared" si="1589"/>
        <v>44410</v>
      </c>
      <c r="AX1246" s="1062">
        <f t="shared" ref="AX1246:AY1246" si="1590">INDEX(MO_Common_QEndDate,0,COLUMN())-INDEX(MO_Common_FPDays,0,COLUMN())+1</f>
        <v>44501</v>
      </c>
      <c r="AY1246" s="1062">
        <f t="shared" si="1590"/>
        <v>44228</v>
      </c>
      <c r="AZ1246" s="1062">
        <f t="shared" ref="AZ1246:BD1246" si="1591">INDEX(MO_Common_QEndDate,0,COLUMN())-INDEX(MO_Common_FPDays,0,COLUMN())+1</f>
        <v>44592</v>
      </c>
      <c r="BA1246" s="1062">
        <f t="shared" si="1591"/>
        <v>44683</v>
      </c>
      <c r="BB1246" s="1062">
        <f t="shared" si="1591"/>
        <v>44774</v>
      </c>
      <c r="BC1246" s="1062">
        <f t="shared" si="1591"/>
        <v>44865</v>
      </c>
      <c r="BD1246" s="1062">
        <f t="shared" si="1591"/>
        <v>44592</v>
      </c>
      <c r="BE1246" s="1062">
        <f t="shared" ref="BE1246:BV1246" si="1592">INDEX(MO_Common_QEndDate,0,COLUMN())-INDEX(MO_Common_FPDays,0,COLUMN())+1</f>
        <v>44956</v>
      </c>
      <c r="BF1246" s="1062">
        <f t="shared" si="1592"/>
        <v>45047</v>
      </c>
      <c r="BG1246" s="1062">
        <f t="shared" si="1592"/>
        <v>45138</v>
      </c>
      <c r="BH1246" s="1062">
        <f t="shared" si="1592"/>
        <v>45229</v>
      </c>
      <c r="BI1246" s="1062">
        <f t="shared" si="1592"/>
        <v>44956</v>
      </c>
      <c r="BJ1246" s="1063">
        <f>INDEX(MO_Common_QEndDate,0,COLUMN())-INDEX(MO_Common_FPDays,0,COLUMN())+1</f>
        <v>45320</v>
      </c>
      <c r="BK1246" s="1062">
        <f t="shared" si="1592"/>
        <v>45411</v>
      </c>
      <c r="BL1246" s="1062">
        <f t="shared" si="1592"/>
        <v>45502</v>
      </c>
      <c r="BM1246" s="1062">
        <f t="shared" si="1592"/>
        <v>45593</v>
      </c>
      <c r="BN1246" s="1062">
        <f t="shared" si="1592"/>
        <v>45320</v>
      </c>
      <c r="BO1246" s="1062">
        <f t="shared" si="1592"/>
        <v>45691</v>
      </c>
      <c r="BP1246" s="1062">
        <f t="shared" si="1592"/>
        <v>45782</v>
      </c>
      <c r="BQ1246" s="1062">
        <f t="shared" si="1592"/>
        <v>45873</v>
      </c>
      <c r="BR1246" s="1062">
        <f t="shared" si="1592"/>
        <v>45964</v>
      </c>
      <c r="BS1246" s="1062">
        <f t="shared" si="1592"/>
        <v>45691</v>
      </c>
      <c r="BT1246" s="1062">
        <f t="shared" si="1592"/>
        <v>46055</v>
      </c>
      <c r="BU1246" s="1062">
        <f t="shared" si="1592"/>
        <v>46419</v>
      </c>
      <c r="BV1246" s="1064">
        <f t="shared" si="1592"/>
        <v>46783</v>
      </c>
      <c r="BW1246" s="1039"/>
    </row>
    <row r="1247" spans="1:75" s="123" customFormat="1" x14ac:dyDescent="0.5">
      <c r="A1247" s="1060" t="s">
        <v>1609</v>
      </c>
      <c r="B1247" s="118"/>
      <c r="C1247" s="1061" t="b">
        <f>TRUE</f>
        <v>1</v>
      </c>
      <c r="D1247" s="1061" t="b">
        <f>TRUE</f>
        <v>1</v>
      </c>
      <c r="E1247" s="1062" t="b">
        <f>TRUE</f>
        <v>1</v>
      </c>
      <c r="F1247" s="1062" t="b">
        <f>TRUE</f>
        <v>1</v>
      </c>
      <c r="G1247" s="1062" t="b">
        <f>TRUE</f>
        <v>1</v>
      </c>
      <c r="H1247" s="1062" t="b">
        <f>TRUE</f>
        <v>1</v>
      </c>
      <c r="I1247" s="1062" t="b">
        <f>TRUE</f>
        <v>1</v>
      </c>
      <c r="J1247" s="1062" t="b">
        <f>TRUE</f>
        <v>1</v>
      </c>
      <c r="K1247" s="1062" t="b">
        <f>TRUE</f>
        <v>1</v>
      </c>
      <c r="L1247" s="1062" t="b">
        <f>TRUE</f>
        <v>1</v>
      </c>
      <c r="M1247" s="1062" t="b">
        <f>TRUE</f>
        <v>1</v>
      </c>
      <c r="N1247" s="1062" t="b">
        <f>TRUE</f>
        <v>1</v>
      </c>
      <c r="O1247" s="1062" t="b">
        <f>TRUE</f>
        <v>1</v>
      </c>
      <c r="P1247" s="1062" t="b">
        <f>TRUE</f>
        <v>1</v>
      </c>
      <c r="Q1247" s="1062" t="b">
        <f>TRUE</f>
        <v>1</v>
      </c>
      <c r="R1247" s="1062" t="b">
        <f>TRUE</f>
        <v>1</v>
      </c>
      <c r="S1247" s="1062" t="b">
        <f>TRUE</f>
        <v>1</v>
      </c>
      <c r="T1247" s="1062" t="b">
        <f>TRUE</f>
        <v>1</v>
      </c>
      <c r="U1247" s="1062" t="b">
        <f>TRUE</f>
        <v>1</v>
      </c>
      <c r="V1247" s="1062" t="b">
        <f>TRUE</f>
        <v>1</v>
      </c>
      <c r="W1247" s="1062" t="b">
        <f>TRUE</f>
        <v>1</v>
      </c>
      <c r="X1247" s="1062" t="b">
        <f>TRUE</f>
        <v>1</v>
      </c>
      <c r="Y1247" s="1062" t="b">
        <f>TRUE</f>
        <v>1</v>
      </c>
      <c r="Z1247" s="1062" t="b">
        <f>TRUE</f>
        <v>1</v>
      </c>
      <c r="AA1247" s="1062" t="b">
        <f>TRUE</f>
        <v>1</v>
      </c>
      <c r="AB1247" s="1062" t="b">
        <f>TRUE</f>
        <v>1</v>
      </c>
      <c r="AC1247" s="1062" t="b">
        <f>TRUE</f>
        <v>1</v>
      </c>
      <c r="AD1247" s="1062" t="b">
        <f>TRUE</f>
        <v>1</v>
      </c>
      <c r="AE1247" s="1062" t="b">
        <f>TRUE</f>
        <v>1</v>
      </c>
      <c r="AF1247" s="1062" t="b">
        <f>TRUE</f>
        <v>1</v>
      </c>
      <c r="AG1247" s="1062" t="b">
        <f>TRUE</f>
        <v>1</v>
      </c>
      <c r="AH1247" s="1062" t="b">
        <f>TRUE</f>
        <v>1</v>
      </c>
      <c r="AI1247" s="1062" t="b">
        <f>TRUE</f>
        <v>1</v>
      </c>
      <c r="AJ1247" s="1062" t="b">
        <f>TRUE</f>
        <v>1</v>
      </c>
      <c r="AK1247" s="1062" t="b">
        <f>TRUE</f>
        <v>1</v>
      </c>
      <c r="AL1247" s="1062" t="b">
        <f>TRUE</f>
        <v>1</v>
      </c>
      <c r="AM1247" s="1062" t="b">
        <f>TRUE</f>
        <v>1</v>
      </c>
      <c r="AN1247" s="1062" t="b">
        <f>TRUE</f>
        <v>1</v>
      </c>
      <c r="AO1247" s="1062" t="b">
        <f>TRUE</f>
        <v>1</v>
      </c>
      <c r="AP1247" s="1062" t="b">
        <f>TRUE</f>
        <v>1</v>
      </c>
      <c r="AQ1247" s="1062" t="b">
        <f>TRUE</f>
        <v>1</v>
      </c>
      <c r="AR1247" s="1062" t="b">
        <f>TRUE</f>
        <v>1</v>
      </c>
      <c r="AS1247" s="1062" t="b">
        <f>TRUE</f>
        <v>1</v>
      </c>
      <c r="AT1247" s="1062" t="b">
        <f>TRUE</f>
        <v>1</v>
      </c>
      <c r="AU1247" s="1062" t="b">
        <f>TRUE</f>
        <v>1</v>
      </c>
      <c r="AV1247" s="1062" t="b">
        <f>TRUE</f>
        <v>1</v>
      </c>
      <c r="AW1247" s="1062" t="b">
        <f>TRUE</f>
        <v>1</v>
      </c>
      <c r="AX1247" s="1062" t="b">
        <f>TRUE</f>
        <v>1</v>
      </c>
      <c r="AY1247" s="1062" t="b">
        <f>TRUE</f>
        <v>1</v>
      </c>
      <c r="AZ1247" s="1062" t="b">
        <f>TRUE</f>
        <v>1</v>
      </c>
      <c r="BA1247" s="1062" t="b">
        <f>TRUE</f>
        <v>1</v>
      </c>
      <c r="BB1247" s="1062" t="b">
        <f>TRUE</f>
        <v>1</v>
      </c>
      <c r="BC1247" s="1062" t="b">
        <f>TRUE</f>
        <v>1</v>
      </c>
      <c r="BD1247" s="1062" t="b">
        <f>TRUE</f>
        <v>1</v>
      </c>
      <c r="BE1247" s="1062" t="b">
        <f>TRUE</f>
        <v>1</v>
      </c>
      <c r="BF1247" s="1062" t="b">
        <f>TRUE</f>
        <v>1</v>
      </c>
      <c r="BG1247" s="1062" t="b">
        <f>TRUE</f>
        <v>1</v>
      </c>
      <c r="BH1247" s="1062" t="b">
        <f>TRUE</f>
        <v>1</v>
      </c>
      <c r="BI1247" s="1062" t="b">
        <f>TRUE</f>
        <v>1</v>
      </c>
      <c r="BJ1247" s="1063" t="b">
        <f>TRUE</f>
        <v>1</v>
      </c>
      <c r="BK1247" s="1062" t="b">
        <f>FALSE</f>
        <v>0</v>
      </c>
      <c r="BL1247" s="1062" t="b">
        <f>FALSE</f>
        <v>0</v>
      </c>
      <c r="BM1247" s="1062" t="b">
        <f>FALSE</f>
        <v>0</v>
      </c>
      <c r="BN1247" s="1062" t="b">
        <f>FALSE</f>
        <v>0</v>
      </c>
      <c r="BO1247" s="1062" t="b">
        <f>FALSE</f>
        <v>0</v>
      </c>
      <c r="BP1247" s="1062" t="b">
        <f>FALSE</f>
        <v>0</v>
      </c>
      <c r="BQ1247" s="1062" t="b">
        <f>FALSE</f>
        <v>0</v>
      </c>
      <c r="BR1247" s="1062" t="b">
        <f>FALSE</f>
        <v>0</v>
      </c>
      <c r="BS1247" s="1062" t="b">
        <f>FALSE</f>
        <v>0</v>
      </c>
      <c r="BT1247" s="1062" t="b">
        <f>FALSE</f>
        <v>0</v>
      </c>
      <c r="BU1247" s="1062" t="b">
        <f>FALSE</f>
        <v>0</v>
      </c>
      <c r="BV1247" s="1064" t="b">
        <f>FALSE</f>
        <v>0</v>
      </c>
      <c r="BW1247" s="1039"/>
    </row>
    <row r="1248" spans="1:75" s="921" customFormat="1" x14ac:dyDescent="0.5">
      <c r="A1248" s="1065" t="str">
        <f ca="1">"Stock High: "&amp;IF(OR(MO.RealTimeStockPriceToggle=FALSE,VLOOKUP(MO.DataSourceName,MO_SPT_StockHigh_Sources,COLUMN()+2,FALSE)="N/A"),"Real-Time Off Source",MO.DataSourceName)</f>
        <v>Stock High: Real-Time Off Source</v>
      </c>
      <c r="B1248" s="785"/>
      <c r="C1248" s="1066">
        <f t="shared" ref="C1248:AH1248" ca="1" si="1593">IF(OR(MO.RealTimeStockPriceToggle=FALSE,VLOOKUP(MO.DataSourceName,MO_SPT_StockHigh_Sources,COLUMN(),FALSE)="N/A"),VLOOKUP("Real-Time Off Source",MO_SPT_StockHigh_Sources,COLUMN(),FALSE),VLOOKUP(MO.DataSourceName,MO_SPT_StockHigh_Sources,COLUMN(),FALSE))</f>
        <v>23.23</v>
      </c>
      <c r="D1248" s="1066">
        <f t="shared" ca="1" si="1593"/>
        <v>36.82</v>
      </c>
      <c r="E1248" s="785">
        <f t="shared" ca="1" si="1593"/>
        <v>45.48</v>
      </c>
      <c r="F1248" s="785">
        <f t="shared" ca="1" si="1593"/>
        <v>48.07</v>
      </c>
      <c r="G1248" s="785">
        <f t="shared" ca="1" si="1593"/>
        <v>54.57</v>
      </c>
      <c r="H1248" s="785">
        <f t="shared" ca="1" si="1593"/>
        <v>60.72</v>
      </c>
      <c r="I1248" s="785">
        <f t="shared" ca="1" si="1593"/>
        <v>61.56</v>
      </c>
      <c r="J1248" s="785">
        <f t="shared" ca="1" si="1593"/>
        <v>60.07</v>
      </c>
      <c r="K1248" s="785">
        <f t="shared" ca="1" si="1593"/>
        <v>61.56</v>
      </c>
      <c r="L1248" s="785">
        <f t="shared" ca="1" si="1593"/>
        <v>68.05</v>
      </c>
      <c r="M1248" s="785">
        <f t="shared" ca="1" si="1593"/>
        <v>73.45</v>
      </c>
      <c r="N1248" s="785">
        <f t="shared" ca="1" si="1593"/>
        <v>75.69</v>
      </c>
      <c r="O1248" s="785">
        <f t="shared" ca="1" si="1593"/>
        <v>80.989999999999995</v>
      </c>
      <c r="P1248" s="785">
        <f t="shared" ca="1" si="1593"/>
        <v>80.989999999999995</v>
      </c>
      <c r="Q1248" s="785">
        <f t="shared" ca="1" si="1593"/>
        <v>84.75</v>
      </c>
      <c r="R1248" s="785">
        <f t="shared" ca="1" si="1593"/>
        <v>85.37</v>
      </c>
      <c r="S1248" s="785">
        <f t="shared" ca="1" si="1593"/>
        <v>89.38</v>
      </c>
      <c r="T1248" s="785">
        <f t="shared" ca="1" si="1593"/>
        <v>75.900000000000006</v>
      </c>
      <c r="U1248" s="785">
        <f t="shared" ca="1" si="1593"/>
        <v>89.38</v>
      </c>
      <c r="V1248" s="785">
        <f t="shared" ca="1" si="1593"/>
        <v>61.97</v>
      </c>
      <c r="W1248" s="785">
        <f t="shared" ca="1" si="1593"/>
        <v>61.03</v>
      </c>
      <c r="X1248" s="785">
        <f t="shared" ca="1" si="1593"/>
        <v>57.4</v>
      </c>
      <c r="Y1248" s="785">
        <f t="shared" ca="1" si="1593"/>
        <v>56.94</v>
      </c>
      <c r="Z1248" s="785">
        <f t="shared" ca="1" si="1593"/>
        <v>61.97</v>
      </c>
      <c r="AA1248" s="785">
        <f t="shared" ca="1" si="1593"/>
        <v>55.89</v>
      </c>
      <c r="AB1248" s="785">
        <f t="shared" ca="1" si="1593"/>
        <v>54.85</v>
      </c>
      <c r="AC1248" s="785">
        <f t="shared" ca="1" si="1593"/>
        <v>54.18</v>
      </c>
      <c r="AD1248" s="785">
        <f t="shared" ca="1" si="1593"/>
        <v>55.88</v>
      </c>
      <c r="AE1248" s="785">
        <f t="shared" ca="1" si="1593"/>
        <v>55.89</v>
      </c>
      <c r="AF1248" s="785">
        <f t="shared" ca="1" si="1593"/>
        <v>54.037100000000002</v>
      </c>
      <c r="AG1248" s="785">
        <f t="shared" ca="1" si="1593"/>
        <v>63.609699999999997</v>
      </c>
      <c r="AH1248" s="785">
        <f t="shared" ca="1" si="1593"/>
        <v>72.381500000000003</v>
      </c>
      <c r="AI1248" s="785">
        <f t="shared" ref="AI1248:AQ1248" ca="1" si="1594">IF(OR(MO.RealTimeStockPriceToggle=FALSE,VLOOKUP(MO.DataSourceName,MO_SPT_StockHigh_Sources,COLUMN(),FALSE)="N/A"),VLOOKUP("Real-Time Off Source",MO_SPT_StockHigh_Sources,COLUMN(),FALSE),VLOOKUP(MO.DataSourceName,MO_SPT_StockHigh_Sources,COLUMN(),FALSE))</f>
        <v>64.98</v>
      </c>
      <c r="AJ1248" s="785">
        <f t="shared" ca="1" si="1594"/>
        <v>72.381500000000003</v>
      </c>
      <c r="AK1248" s="785">
        <f t="shared" ca="1" si="1594"/>
        <v>60.24</v>
      </c>
      <c r="AL1248" s="785">
        <f t="shared" ca="1" si="1594"/>
        <v>70.260000000000005</v>
      </c>
      <c r="AM1248" s="785">
        <f t="shared" ca="1" si="1594"/>
        <v>71.23</v>
      </c>
      <c r="AN1248" s="785">
        <f t="shared" ca="1" si="1594"/>
        <v>76.59</v>
      </c>
      <c r="AO1248" s="785">
        <f t="shared" ca="1" si="1594"/>
        <v>76.59</v>
      </c>
      <c r="AP1248" s="785">
        <f t="shared" ca="1" si="1594"/>
        <v>74.48</v>
      </c>
      <c r="AQ1248" s="785">
        <f t="shared" ca="1" si="1594"/>
        <v>87.65</v>
      </c>
      <c r="AR1248" s="785">
        <f t="shared" ref="AR1248:AW1248" ca="1" si="1595">IF(OR(MO.RealTimeStockPriceToggle=FALSE,VLOOKUP(MO.DataSourceName,MO_SPT_StockHigh_Sources,COLUMN(),FALSE)="N/A"),VLOOKUP("Real-Time Off Source",MO_SPT_StockHigh_Sources,COLUMN(),FALSE),VLOOKUP(MO.DataSourceName,MO_SPT_StockHigh_Sources,COLUMN(),FALSE))</f>
        <v>105.76</v>
      </c>
      <c r="AS1248" s="785">
        <f t="shared" ca="1" si="1595"/>
        <v>147.6</v>
      </c>
      <c r="AT1248" s="785">
        <f t="shared" ca="1" si="1595"/>
        <v>147.6</v>
      </c>
      <c r="AU1248" s="785">
        <f t="shared" ca="1" si="1595"/>
        <v>186.89</v>
      </c>
      <c r="AV1248" s="785">
        <f t="shared" ca="1" si="1595"/>
        <v>187.04</v>
      </c>
      <c r="AW1248" s="785">
        <f t="shared" ca="1" si="1595"/>
        <v>194.46</v>
      </c>
      <c r="AX1248" s="785">
        <f t="shared" ref="AX1248:AY1248" ca="1" si="1596">IF(OR(MO.RealTimeStockPriceToggle=FALSE,VLOOKUP(MO.DataSourceName,MO_SPT_StockHigh_Sources,COLUMN(),FALSE)="N/A"),VLOOKUP("Real-Time Off Source",MO_SPT_StockHigh_Sources,COLUMN(),FALSE),VLOOKUP(MO.DataSourceName,MO_SPT_StockHigh_Sources,COLUMN(),FALSE))</f>
        <v>221.63</v>
      </c>
      <c r="AY1248" s="785">
        <f t="shared" ca="1" si="1596"/>
        <v>221.63</v>
      </c>
      <c r="AZ1248" s="785">
        <f t="shared" ref="AZ1248:BD1248" ca="1" si="1597">IF(OR(MO.RealTimeStockPriceToggle=FALSE,VLOOKUP(MO.DataSourceName,MO_SPT_StockHigh_Sources,COLUMN(),FALSE)="N/A"),VLOOKUP("Real-Time Off Source",MO_SPT_StockHigh_Sources,COLUMN(),FALSE),VLOOKUP(MO.DataSourceName,MO_SPT_StockHigh_Sources,COLUMN(),FALSE))</f>
        <v>164.8</v>
      </c>
      <c r="BA1248" s="785">
        <f t="shared" ca="1" si="1597"/>
        <v>144.41999999999999</v>
      </c>
      <c r="BB1248" s="785">
        <f t="shared" ca="1" si="1597"/>
        <v>168.87</v>
      </c>
      <c r="BC1248" s="785">
        <f t="shared" ca="1" si="1597"/>
        <v>135.36000000000001</v>
      </c>
      <c r="BD1248" s="785">
        <f t="shared" ca="1" si="1597"/>
        <v>168.87</v>
      </c>
      <c r="BE1248" s="785">
        <f t="shared" ref="BE1248:BV1248" ca="1" si="1598">IF(OR(MO.RealTimeStockPriceToggle=FALSE,VLOOKUP(MO.DataSourceName,MO_SPT_StockHigh_Sources,COLUMN(),FALSE)="N/A"),VLOOKUP("Real-Time Off Source",MO_SPT_StockHigh_Sources,COLUMN(),FALSE),VLOOKUP(MO.DataSourceName,MO_SPT_StockHigh_Sources,COLUMN(),FALSE))</f>
        <v>143.56</v>
      </c>
      <c r="BF1248" s="785">
        <f t="shared" ca="1" si="1598"/>
        <v>140.66</v>
      </c>
      <c r="BG1248" s="785">
        <f t="shared" ca="1" si="1598"/>
        <v>163.46</v>
      </c>
      <c r="BH1248" s="785">
        <f t="shared" ca="1" si="1598"/>
        <v>210.59</v>
      </c>
      <c r="BI1248" s="785">
        <f t="shared" ca="1" si="1598"/>
        <v>210.59</v>
      </c>
      <c r="BJ1248" s="1067">
        <f ca="1">IF(OR(MO.RealTimeStockPriceToggle=FALSE,VLOOKUP(MO.DataSourceName,MO_SPT_StockHigh_Sources,COLUMN(),FALSE)="N/A"),VLOOKUP("Real-Time Off Source",MO_SPT_StockHigh_Sources,COLUMN(),FALSE),VLOOKUP(MO.DataSourceName,MO_SPT_StockHigh_Sources,COLUMN(),FALSE))</f>
        <v>317.52999999999997</v>
      </c>
      <c r="BK1248" s="785">
        <f t="shared" ca="1" si="1598"/>
        <v>0</v>
      </c>
      <c r="BL1248" s="785">
        <f t="shared" ca="1" si="1598"/>
        <v>0</v>
      </c>
      <c r="BM1248" s="785">
        <f t="shared" ca="1" si="1598"/>
        <v>0</v>
      </c>
      <c r="BN1248" s="785">
        <f t="shared" ca="1" si="1598"/>
        <v>0</v>
      </c>
      <c r="BO1248" s="785">
        <f t="shared" ca="1" si="1598"/>
        <v>0</v>
      </c>
      <c r="BP1248" s="785">
        <f t="shared" ca="1" si="1598"/>
        <v>0</v>
      </c>
      <c r="BQ1248" s="785">
        <f t="shared" ca="1" si="1598"/>
        <v>0</v>
      </c>
      <c r="BR1248" s="785">
        <f t="shared" ca="1" si="1598"/>
        <v>0</v>
      </c>
      <c r="BS1248" s="785">
        <f t="shared" ca="1" si="1598"/>
        <v>0</v>
      </c>
      <c r="BT1248" s="785">
        <f t="shared" ca="1" si="1598"/>
        <v>0</v>
      </c>
      <c r="BU1248" s="785">
        <f t="shared" ca="1" si="1598"/>
        <v>0</v>
      </c>
      <c r="BV1248" s="1068">
        <f t="shared" ca="1" si="1598"/>
        <v>0</v>
      </c>
      <c r="BW1248" s="1069"/>
    </row>
    <row r="1249" spans="1:75" s="921" customFormat="1" hidden="1" outlineLevel="1" x14ac:dyDescent="0.5">
      <c r="A1249" s="1070" t="s">
        <v>1611</v>
      </c>
      <c r="B1249" s="785"/>
      <c r="C1249" s="1368">
        <v>23.23</v>
      </c>
      <c r="D1249" s="1368">
        <v>36.82</v>
      </c>
      <c r="E1249" s="1071">
        <v>45.48</v>
      </c>
      <c r="F1249" s="1071">
        <v>48.07</v>
      </c>
      <c r="G1249" s="1071">
        <v>54.57</v>
      </c>
      <c r="H1249" s="1071">
        <v>60.72</v>
      </c>
      <c r="I1249" s="1071">
        <v>61.56</v>
      </c>
      <c r="J1249" s="1071">
        <v>60.07</v>
      </c>
      <c r="K1249" s="1071">
        <v>61.56</v>
      </c>
      <c r="L1249" s="1071">
        <v>68.05</v>
      </c>
      <c r="M1249" s="1071">
        <v>73.45</v>
      </c>
      <c r="N1249" s="1071">
        <v>75.69</v>
      </c>
      <c r="O1249" s="1071">
        <v>80.989999999999995</v>
      </c>
      <c r="P1249" s="1071">
        <v>80.989999999999995</v>
      </c>
      <c r="Q1249" s="1071">
        <v>84.75</v>
      </c>
      <c r="R1249" s="1071">
        <v>85.37</v>
      </c>
      <c r="S1249" s="1071">
        <v>89.38</v>
      </c>
      <c r="T1249" s="1071">
        <v>75.900000000000006</v>
      </c>
      <c r="U1249" s="1071">
        <v>89.38</v>
      </c>
      <c r="V1249" s="1071">
        <v>61.97</v>
      </c>
      <c r="W1249" s="1071">
        <v>61.03</v>
      </c>
      <c r="X1249" s="1071">
        <v>57.4</v>
      </c>
      <c r="Y1249" s="1071">
        <v>56.94</v>
      </c>
      <c r="Z1249" s="1071">
        <v>61.97</v>
      </c>
      <c r="AA1249" s="1071">
        <v>55.89</v>
      </c>
      <c r="AB1249" s="1071">
        <v>54.85</v>
      </c>
      <c r="AC1249" s="1071">
        <v>54.18</v>
      </c>
      <c r="AD1249" s="1071">
        <v>55.88</v>
      </c>
      <c r="AE1249" s="1071">
        <v>55.89</v>
      </c>
      <c r="AF1249" s="1071">
        <v>54.037100000000002</v>
      </c>
      <c r="AG1249" s="1071">
        <v>63.609699999999997</v>
      </c>
      <c r="AH1249" s="1071">
        <v>72.381500000000003</v>
      </c>
      <c r="AI1249" s="1071">
        <v>64.98</v>
      </c>
      <c r="AJ1249" s="1071">
        <v>72.381500000000003</v>
      </c>
      <c r="AK1249" s="1071">
        <v>60.24</v>
      </c>
      <c r="AL1249" s="1071">
        <v>70.260000000000005</v>
      </c>
      <c r="AM1249" s="1071">
        <v>71.23</v>
      </c>
      <c r="AN1249" s="1071">
        <v>76.59</v>
      </c>
      <c r="AO1249" s="1071">
        <v>76.59</v>
      </c>
      <c r="AP1249" s="1071">
        <v>74.48</v>
      </c>
      <c r="AQ1249" s="1071">
        <v>87.65</v>
      </c>
      <c r="AR1249" s="1071">
        <v>105.76</v>
      </c>
      <c r="AS1249" s="1071">
        <v>147.6</v>
      </c>
      <c r="AT1249" s="1071">
        <v>147.6</v>
      </c>
      <c r="AU1249" s="1071">
        <v>186.89</v>
      </c>
      <c r="AV1249" s="1071">
        <v>187.04</v>
      </c>
      <c r="AW1249" s="1071">
        <v>194.46</v>
      </c>
      <c r="AX1249" s="1071">
        <v>221.63</v>
      </c>
      <c r="AY1249" s="1071">
        <v>221.63</v>
      </c>
      <c r="AZ1249" s="1071">
        <v>164.8</v>
      </c>
      <c r="BA1249" s="1071">
        <v>144.41999999999999</v>
      </c>
      <c r="BB1249" s="1071">
        <v>168.87</v>
      </c>
      <c r="BC1249" s="1071">
        <v>135.36000000000001</v>
      </c>
      <c r="BD1249" s="1071">
        <v>168.87</v>
      </c>
      <c r="BE1249" s="1071">
        <v>143.56</v>
      </c>
      <c r="BF1249" s="1071">
        <v>140.66</v>
      </c>
      <c r="BG1249" s="1071">
        <v>163.46</v>
      </c>
      <c r="BH1249" s="1071">
        <v>210.59</v>
      </c>
      <c r="BI1249" s="1071">
        <v>210.59</v>
      </c>
      <c r="BJ1249" s="1072">
        <v>317.52999999999997</v>
      </c>
      <c r="BK1249" s="785"/>
      <c r="BL1249" s="785"/>
      <c r="BM1249" s="785"/>
      <c r="BN1249" s="785"/>
      <c r="BO1249" s="785"/>
      <c r="BP1249" s="785"/>
      <c r="BQ1249" s="785"/>
      <c r="BR1249" s="785"/>
      <c r="BS1249" s="785"/>
      <c r="BT1249" s="785"/>
      <c r="BU1249" s="785"/>
      <c r="BV1249" s="1068"/>
      <c r="BW1249" s="1069"/>
    </row>
    <row r="1250" spans="1:75" s="921" customFormat="1" hidden="1" outlineLevel="1" x14ac:dyDescent="0.5">
      <c r="A1250" s="1070" t="s">
        <v>103</v>
      </c>
      <c r="B1250" s="785"/>
      <c r="C1250" s="1066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D1250" s="1066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E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F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G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H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I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J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K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L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M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N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O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P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Q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R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S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T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U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V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W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X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Y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Z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A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B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C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D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E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F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G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H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I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J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K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L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M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N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O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P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Q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R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S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T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U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V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W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X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Y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Z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A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B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C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D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E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F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G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H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I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J1250" s="1067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K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L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M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N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O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P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Q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R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S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T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U1250" s="78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V1250" s="1068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W1250" s="1069"/>
    </row>
    <row r="1251" spans="1:75" s="921" customFormat="1" hidden="1" outlineLevel="1" x14ac:dyDescent="0.5">
      <c r="A1251" s="1070" t="s">
        <v>1612</v>
      </c>
      <c r="B1251" s="785"/>
      <c r="C1251" s="1066" t="str">
        <f ca="1">IFERROR(CIQHI(MO.Ticker.CapIQ,"IQ_LASTSALEPRICE",INDEX(MO_SNA_FPStartDate,0,COLUMN()),INDEX(MO_Common_QEndDate,0,COLUMN())),"N/A")</f>
        <v>N/A</v>
      </c>
      <c r="D1251" s="1066" t="str">
        <f ca="1">IFERROR(CIQHI(MO.Ticker.CapIQ,"IQ_LASTSALEPRICE",INDEX(MO_SNA_FPStartDate,0,COLUMN()),INDEX(MO_Common_QEndDate,0,COLUMN())),"N/A")</f>
        <v>N/A</v>
      </c>
      <c r="E1251" s="785" t="str">
        <f ca="1">IFERROR(CIQHI(MO.Ticker.CapIQ,"IQ_LASTSALEPRICE",INDEX(MO_SNA_FPStartDate,0,COLUMN()),INDEX(MO_Common_QEndDate,0,COLUMN())),"N/A")</f>
        <v>N/A</v>
      </c>
      <c r="F1251" s="785" t="str">
        <f ca="1">IFERROR(CIQHI(MO.Ticker.CapIQ,"IQ_LASTSALEPRICE",INDEX(MO_SNA_FPStartDate,0,COLUMN()),INDEX(MO_Common_QEndDate,0,COLUMN())),"N/A")</f>
        <v>N/A</v>
      </c>
      <c r="G1251" s="785" t="str">
        <f ca="1">IFERROR(CIQHI(MO.Ticker.CapIQ,"IQ_LASTSALEPRICE",INDEX(MO_SNA_FPStartDate,0,COLUMN()),INDEX(MO_Common_QEndDate,0,COLUMN())),"N/A")</f>
        <v>N/A</v>
      </c>
      <c r="H1251" s="785" t="str">
        <f ca="1">IFERROR(CIQHI(MO.Ticker.CapIQ,"IQ_LASTSALEPRICE",INDEX(MO_SNA_FPStartDate,0,COLUMN()),INDEX(MO_Common_QEndDate,0,COLUMN())),"N/A")</f>
        <v>N/A</v>
      </c>
      <c r="I1251" s="785" t="str">
        <f ca="1">IFERROR(CIQHI(MO.Ticker.CapIQ,"IQ_LASTSALEPRICE",INDEX(MO_SNA_FPStartDate,0,COLUMN()),INDEX(MO_Common_QEndDate,0,COLUMN())),"N/A")</f>
        <v>N/A</v>
      </c>
      <c r="J1251" s="785" t="str">
        <f ca="1">IFERROR(CIQHI(MO.Ticker.CapIQ,"IQ_LASTSALEPRICE",INDEX(MO_SNA_FPStartDate,0,COLUMN()),INDEX(MO_Common_QEndDate,0,COLUMN())),"N/A")</f>
        <v>N/A</v>
      </c>
      <c r="K1251" s="785" t="str">
        <f ca="1">IFERROR(CIQHI(MO.Ticker.CapIQ,"IQ_LASTSALEPRICE",INDEX(MO_SNA_FPStartDate,0,COLUMN()),INDEX(MO_Common_QEndDate,0,COLUMN())),"N/A")</f>
        <v>N/A</v>
      </c>
      <c r="L1251" s="785" t="str">
        <f ca="1">IFERROR(CIQHI(MO.Ticker.CapIQ,"IQ_LASTSALEPRICE",INDEX(MO_SNA_FPStartDate,0,COLUMN()),INDEX(MO_Common_QEndDate,0,COLUMN())),"N/A")</f>
        <v>N/A</v>
      </c>
      <c r="M1251" s="785" t="str">
        <f ca="1">IFERROR(CIQHI(MO.Ticker.CapIQ,"IQ_LASTSALEPRICE",INDEX(MO_SNA_FPStartDate,0,COLUMN()),INDEX(MO_Common_QEndDate,0,COLUMN())),"N/A")</f>
        <v>N/A</v>
      </c>
      <c r="N1251" s="785" t="str">
        <f ca="1">IFERROR(CIQHI(MO.Ticker.CapIQ,"IQ_LASTSALEPRICE",INDEX(MO_SNA_FPStartDate,0,COLUMN()),INDEX(MO_Common_QEndDate,0,COLUMN())),"N/A")</f>
        <v>N/A</v>
      </c>
      <c r="O1251" s="785" t="str">
        <f ca="1">IFERROR(CIQHI(MO.Ticker.CapIQ,"IQ_LASTSALEPRICE",INDEX(MO_SNA_FPStartDate,0,COLUMN()),INDEX(MO_Common_QEndDate,0,COLUMN())),"N/A")</f>
        <v>N/A</v>
      </c>
      <c r="P1251" s="785" t="str">
        <f ca="1">IFERROR(CIQHI(MO.Ticker.CapIQ,"IQ_LASTSALEPRICE",INDEX(MO_SNA_FPStartDate,0,COLUMN()),INDEX(MO_Common_QEndDate,0,COLUMN())),"N/A")</f>
        <v>N/A</v>
      </c>
      <c r="Q1251" s="785" t="str">
        <f ca="1">IFERROR(CIQHI(MO.Ticker.CapIQ,"IQ_LASTSALEPRICE",INDEX(MO_SNA_FPStartDate,0,COLUMN()),INDEX(MO_Common_QEndDate,0,COLUMN())),"N/A")</f>
        <v>N/A</v>
      </c>
      <c r="R1251" s="785" t="str">
        <f ca="1">IFERROR(CIQHI(MO.Ticker.CapIQ,"IQ_LASTSALEPRICE",INDEX(MO_SNA_FPStartDate,0,COLUMN()),INDEX(MO_Common_QEndDate,0,COLUMN())),"N/A")</f>
        <v>N/A</v>
      </c>
      <c r="S1251" s="785" t="str">
        <f ca="1">IFERROR(CIQHI(MO.Ticker.CapIQ,"IQ_LASTSALEPRICE",INDEX(MO_SNA_FPStartDate,0,COLUMN()),INDEX(MO_Common_QEndDate,0,COLUMN())),"N/A")</f>
        <v>N/A</v>
      </c>
      <c r="T1251" s="785" t="str">
        <f ca="1">IFERROR(CIQHI(MO.Ticker.CapIQ,"IQ_LASTSALEPRICE",INDEX(MO_SNA_FPStartDate,0,COLUMN()),INDEX(MO_Common_QEndDate,0,COLUMN())),"N/A")</f>
        <v>N/A</v>
      </c>
      <c r="U1251" s="785" t="str">
        <f ca="1">IFERROR(CIQHI(MO.Ticker.CapIQ,"IQ_LASTSALEPRICE",INDEX(MO_SNA_FPStartDate,0,COLUMN()),INDEX(MO_Common_QEndDate,0,COLUMN())),"N/A")</f>
        <v>N/A</v>
      </c>
      <c r="V1251" s="785" t="str">
        <f ca="1">IFERROR(CIQHI(MO.Ticker.CapIQ,"IQ_LASTSALEPRICE",INDEX(MO_SNA_FPStartDate,0,COLUMN()),INDEX(MO_Common_QEndDate,0,COLUMN())),"N/A")</f>
        <v>N/A</v>
      </c>
      <c r="W1251" s="785" t="str">
        <f ca="1">IFERROR(CIQHI(MO.Ticker.CapIQ,"IQ_LASTSALEPRICE",INDEX(MO_SNA_FPStartDate,0,COLUMN()),INDEX(MO_Common_QEndDate,0,COLUMN())),"N/A")</f>
        <v>N/A</v>
      </c>
      <c r="X1251" s="785" t="str">
        <f ca="1">IFERROR(CIQHI(MO.Ticker.CapIQ,"IQ_LASTSALEPRICE",INDEX(MO_SNA_FPStartDate,0,COLUMN()),INDEX(MO_Common_QEndDate,0,COLUMN())),"N/A")</f>
        <v>N/A</v>
      </c>
      <c r="Y1251" s="785" t="str">
        <f ca="1">IFERROR(CIQHI(MO.Ticker.CapIQ,"IQ_LASTSALEPRICE",INDEX(MO_SNA_FPStartDate,0,COLUMN()),INDEX(MO_Common_QEndDate,0,COLUMN())),"N/A")</f>
        <v>N/A</v>
      </c>
      <c r="Z1251" s="785" t="str">
        <f ca="1">IFERROR(CIQHI(MO.Ticker.CapIQ,"IQ_LASTSALEPRICE",INDEX(MO_SNA_FPStartDate,0,COLUMN()),INDEX(MO_Common_QEndDate,0,COLUMN())),"N/A")</f>
        <v>N/A</v>
      </c>
      <c r="AA1251" s="785" t="str">
        <f ca="1">IFERROR(CIQHI(MO.Ticker.CapIQ,"IQ_LASTSALEPRICE",INDEX(MO_SNA_FPStartDate,0,COLUMN()),INDEX(MO_Common_QEndDate,0,COLUMN())),"N/A")</f>
        <v>N/A</v>
      </c>
      <c r="AB1251" s="785" t="str">
        <f ca="1">IFERROR(CIQHI(MO.Ticker.CapIQ,"IQ_LASTSALEPRICE",INDEX(MO_SNA_FPStartDate,0,COLUMN()),INDEX(MO_Common_QEndDate,0,COLUMN())),"N/A")</f>
        <v>N/A</v>
      </c>
      <c r="AC1251" s="785" t="str">
        <f ca="1">IFERROR(CIQHI(MO.Ticker.CapIQ,"IQ_LASTSALEPRICE",INDEX(MO_SNA_FPStartDate,0,COLUMN()),INDEX(MO_Common_QEndDate,0,COLUMN())),"N/A")</f>
        <v>N/A</v>
      </c>
      <c r="AD1251" s="785" t="str">
        <f ca="1">IFERROR(CIQHI(MO.Ticker.CapIQ,"IQ_LASTSALEPRICE",INDEX(MO_SNA_FPStartDate,0,COLUMN()),INDEX(MO_Common_QEndDate,0,COLUMN())),"N/A")</f>
        <v>N/A</v>
      </c>
      <c r="AE1251" s="785" t="str">
        <f ca="1">IFERROR(CIQHI(MO.Ticker.CapIQ,"IQ_LASTSALEPRICE",INDEX(MO_SNA_FPStartDate,0,COLUMN()),INDEX(MO_Common_QEndDate,0,COLUMN())),"N/A")</f>
        <v>N/A</v>
      </c>
      <c r="AF1251" s="785" t="str">
        <f ca="1">IFERROR(CIQHI(MO.Ticker.CapIQ,"IQ_LASTSALEPRICE",INDEX(MO_SNA_FPStartDate,0,COLUMN()),INDEX(MO_Common_QEndDate,0,COLUMN())),"N/A")</f>
        <v>N/A</v>
      </c>
      <c r="AG1251" s="785" t="str">
        <f ca="1">IFERROR(CIQHI(MO.Ticker.CapIQ,"IQ_LASTSALEPRICE",INDEX(MO_SNA_FPStartDate,0,COLUMN()),INDEX(MO_Common_QEndDate,0,COLUMN())),"N/A")</f>
        <v>N/A</v>
      </c>
      <c r="AH1251" s="785" t="str">
        <f ca="1">IFERROR(CIQHI(MO.Ticker.CapIQ,"IQ_LASTSALEPRICE",INDEX(MO_SNA_FPStartDate,0,COLUMN()),INDEX(MO_Common_QEndDate,0,COLUMN())),"N/A")</f>
        <v>N/A</v>
      </c>
      <c r="AI1251" s="785" t="str">
        <f ca="1">IFERROR(CIQHI(MO.Ticker.CapIQ,"IQ_LASTSALEPRICE",INDEX(MO_SNA_FPStartDate,0,COLUMN()),INDEX(MO_Common_QEndDate,0,COLUMN())),"N/A")</f>
        <v>N/A</v>
      </c>
      <c r="AJ1251" s="785" t="str">
        <f ca="1">IFERROR(CIQHI(MO.Ticker.CapIQ,"IQ_LASTSALEPRICE",INDEX(MO_SNA_FPStartDate,0,COLUMN()),INDEX(MO_Common_QEndDate,0,COLUMN())),"N/A")</f>
        <v>N/A</v>
      </c>
      <c r="AK1251" s="785" t="str">
        <f ca="1">IFERROR(CIQHI(MO.Ticker.CapIQ,"IQ_LASTSALEPRICE",INDEX(MO_SNA_FPStartDate,0,COLUMN()),INDEX(MO_Common_QEndDate,0,COLUMN())),"N/A")</f>
        <v>N/A</v>
      </c>
      <c r="AL1251" s="785" t="str">
        <f ca="1">IFERROR(CIQHI(MO.Ticker.CapIQ,"IQ_LASTSALEPRICE",INDEX(MO_SNA_FPStartDate,0,COLUMN()),INDEX(MO_Common_QEndDate,0,COLUMN())),"N/A")</f>
        <v>N/A</v>
      </c>
      <c r="AM1251" s="785" t="str">
        <f ca="1">IFERROR(CIQHI(MO.Ticker.CapIQ,"IQ_LASTSALEPRICE",INDEX(MO_SNA_FPStartDate,0,COLUMN()),INDEX(MO_Common_QEndDate,0,COLUMN())),"N/A")</f>
        <v>N/A</v>
      </c>
      <c r="AN1251" s="785" t="str">
        <f ca="1">IFERROR(CIQHI(MO.Ticker.CapIQ,"IQ_LASTSALEPRICE",INDEX(MO_SNA_FPStartDate,0,COLUMN()),INDEX(MO_Common_QEndDate,0,COLUMN())),"N/A")</f>
        <v>N/A</v>
      </c>
      <c r="AO1251" s="785" t="str">
        <f ca="1">IFERROR(CIQHI(MO.Ticker.CapIQ,"IQ_LASTSALEPRICE",INDEX(MO_SNA_FPStartDate,0,COLUMN()),INDEX(MO_Common_QEndDate,0,COLUMN())),"N/A")</f>
        <v>N/A</v>
      </c>
      <c r="AP1251" s="785" t="str">
        <f ca="1">IFERROR(CIQHI(MO.Ticker.CapIQ,"IQ_LASTSALEPRICE",INDEX(MO_SNA_FPStartDate,0,COLUMN()),INDEX(MO_Common_QEndDate,0,COLUMN())),"N/A")</f>
        <v>N/A</v>
      </c>
      <c r="AQ1251" s="785" t="str">
        <f ca="1">IFERROR(CIQHI(MO.Ticker.CapIQ,"IQ_LASTSALEPRICE",INDEX(MO_SNA_FPStartDate,0,COLUMN()),INDEX(MO_Common_QEndDate,0,COLUMN())),"N/A")</f>
        <v>N/A</v>
      </c>
      <c r="AR1251" s="785" t="str">
        <f ca="1">IFERROR(CIQHI(MO.Ticker.CapIQ,"IQ_LASTSALEPRICE",INDEX(MO_SNA_FPStartDate,0,COLUMN()),INDEX(MO_Common_QEndDate,0,COLUMN())),"N/A")</f>
        <v>N/A</v>
      </c>
      <c r="AS1251" s="785" t="str">
        <f ca="1">IFERROR(CIQHI(MO.Ticker.CapIQ,"IQ_LASTSALEPRICE",INDEX(MO_SNA_FPStartDate,0,COLUMN()),INDEX(MO_Common_QEndDate,0,COLUMN())),"N/A")</f>
        <v>N/A</v>
      </c>
      <c r="AT1251" s="785" t="str">
        <f ca="1">IFERROR(CIQHI(MO.Ticker.CapIQ,"IQ_LASTSALEPRICE",INDEX(MO_SNA_FPStartDate,0,COLUMN()),INDEX(MO_Common_QEndDate,0,COLUMN())),"N/A")</f>
        <v>N/A</v>
      </c>
      <c r="AU1251" s="785" t="str">
        <f ca="1">IFERROR(CIQHI(MO.Ticker.CapIQ,"IQ_LASTSALEPRICE",INDEX(MO_SNA_FPStartDate,0,COLUMN()),INDEX(MO_Common_QEndDate,0,COLUMN())),"N/A")</f>
        <v>N/A</v>
      </c>
      <c r="AV1251" s="785" t="str">
        <f ca="1">IFERROR(CIQHI(MO.Ticker.CapIQ,"IQ_LASTSALEPRICE",INDEX(MO_SNA_FPStartDate,0,COLUMN()),INDEX(MO_Common_QEndDate,0,COLUMN())),"N/A")</f>
        <v>N/A</v>
      </c>
      <c r="AW1251" s="785" t="str">
        <f ca="1">IFERROR(CIQHI(MO.Ticker.CapIQ,"IQ_LASTSALEPRICE",INDEX(MO_SNA_FPStartDate,0,COLUMN()),INDEX(MO_Common_QEndDate,0,COLUMN())),"N/A")</f>
        <v>N/A</v>
      </c>
      <c r="AX1251" s="785" t="str">
        <f ca="1">IFERROR(CIQHI(MO.Ticker.CapIQ,"IQ_LASTSALEPRICE",INDEX(MO_SNA_FPStartDate,0,COLUMN()),INDEX(MO_Common_QEndDate,0,COLUMN())),"N/A")</f>
        <v>N/A</v>
      </c>
      <c r="AY1251" s="785" t="str">
        <f ca="1">IFERROR(CIQHI(MO.Ticker.CapIQ,"IQ_LASTSALEPRICE",INDEX(MO_SNA_FPStartDate,0,COLUMN()),INDEX(MO_Common_QEndDate,0,COLUMN())),"N/A")</f>
        <v>N/A</v>
      </c>
      <c r="AZ1251" s="785" t="str">
        <f ca="1">IFERROR(CIQHI(MO.Ticker.CapIQ,"IQ_LASTSALEPRICE",INDEX(MO_SNA_FPStartDate,0,COLUMN()),INDEX(MO_Common_QEndDate,0,COLUMN())),"N/A")</f>
        <v>N/A</v>
      </c>
      <c r="BA1251" s="785" t="str">
        <f ca="1">IFERROR(CIQHI(MO.Ticker.CapIQ,"IQ_LASTSALEPRICE",INDEX(MO_SNA_FPStartDate,0,COLUMN()),INDEX(MO_Common_QEndDate,0,COLUMN())),"N/A")</f>
        <v>N/A</v>
      </c>
      <c r="BB1251" s="785" t="str">
        <f ca="1">IFERROR(CIQHI(MO.Ticker.CapIQ,"IQ_LASTSALEPRICE",INDEX(MO_SNA_FPStartDate,0,COLUMN()),INDEX(MO_Common_QEndDate,0,COLUMN())),"N/A")</f>
        <v>N/A</v>
      </c>
      <c r="BC1251" s="785" t="str">
        <f ca="1">IFERROR(CIQHI(MO.Ticker.CapIQ,"IQ_LASTSALEPRICE",INDEX(MO_SNA_FPStartDate,0,COLUMN()),INDEX(MO_Common_QEndDate,0,COLUMN())),"N/A")</f>
        <v>N/A</v>
      </c>
      <c r="BD1251" s="785" t="str">
        <f ca="1">IFERROR(CIQHI(MO.Ticker.CapIQ,"IQ_LASTSALEPRICE",INDEX(MO_SNA_FPStartDate,0,COLUMN()),INDEX(MO_Common_QEndDate,0,COLUMN())),"N/A")</f>
        <v>N/A</v>
      </c>
      <c r="BE1251" s="785" t="str">
        <f ca="1">IFERROR(CIQHI(MO.Ticker.CapIQ,"IQ_LASTSALEPRICE",INDEX(MO_SNA_FPStartDate,0,COLUMN()),INDEX(MO_Common_QEndDate,0,COLUMN())),"N/A")</f>
        <v>N/A</v>
      </c>
      <c r="BF1251" s="785" t="str">
        <f ca="1">IFERROR(CIQHI(MO.Ticker.CapIQ,"IQ_LASTSALEPRICE",INDEX(MO_SNA_FPStartDate,0,COLUMN()),INDEX(MO_Common_QEndDate,0,COLUMN())),"N/A")</f>
        <v>N/A</v>
      </c>
      <c r="BG1251" s="785" t="str">
        <f ca="1">IFERROR(CIQHI(MO.Ticker.CapIQ,"IQ_LASTSALEPRICE",INDEX(MO_SNA_FPStartDate,0,COLUMN()),INDEX(MO_Common_QEndDate,0,COLUMN())),"N/A")</f>
        <v>N/A</v>
      </c>
      <c r="BH1251" s="785" t="str">
        <f ca="1">IFERROR(CIQHI(MO.Ticker.CapIQ,"IQ_LASTSALEPRICE",INDEX(MO_SNA_FPStartDate,0,COLUMN()),INDEX(MO_Common_QEndDate,0,COLUMN())),"N/A")</f>
        <v>N/A</v>
      </c>
      <c r="BI1251" s="785" t="str">
        <f ca="1">IFERROR(CIQHI(MO.Ticker.CapIQ,"IQ_LASTSALEPRICE",INDEX(MO_SNA_FPStartDate,0,COLUMN()),INDEX(MO_Common_QEndDate,0,COLUMN())),"N/A")</f>
        <v>N/A</v>
      </c>
      <c r="BJ1251" s="1067" t="str">
        <f ca="1">IFERROR(CIQHI(MO.Ticker.CapIQ,"IQ_LASTSALEPRICE",INDEX(MO_SNA_FPStartDate,0,COLUMN()),INDEX(MO_Common_QEndDate,0,COLUMN())),"N/A")</f>
        <v>N/A</v>
      </c>
      <c r="BK1251" s="785" t="str">
        <f ca="1">IFERROR(CIQHI(MO.Ticker.CapIQ,"IQ_LASTSALEPRICE",INDEX(MO_SNA_FPStartDate,0,COLUMN()),INDEX(MO_Common_QEndDate,0,COLUMN())),"N/A")</f>
        <v>N/A</v>
      </c>
      <c r="BL1251" s="785" t="str">
        <f ca="1">IFERROR(CIQHI(MO.Ticker.CapIQ,"IQ_LASTSALEPRICE",INDEX(MO_SNA_FPStartDate,0,COLUMN()),INDEX(MO_Common_QEndDate,0,COLUMN())),"N/A")</f>
        <v>N/A</v>
      </c>
      <c r="BM1251" s="785" t="str">
        <f ca="1">IFERROR(CIQHI(MO.Ticker.CapIQ,"IQ_LASTSALEPRICE",INDEX(MO_SNA_FPStartDate,0,COLUMN()),INDEX(MO_Common_QEndDate,0,COLUMN())),"N/A")</f>
        <v>N/A</v>
      </c>
      <c r="BN1251" s="785" t="str">
        <f ca="1">IFERROR(CIQHI(MO.Ticker.CapIQ,"IQ_LASTSALEPRICE",INDEX(MO_SNA_FPStartDate,0,COLUMN()),INDEX(MO_Common_QEndDate,0,COLUMN())),"N/A")</f>
        <v>N/A</v>
      </c>
      <c r="BO1251" s="785" t="str">
        <f ca="1">IFERROR(CIQHI(MO.Ticker.CapIQ,"IQ_LASTSALEPRICE",INDEX(MO_SNA_FPStartDate,0,COLUMN()),INDEX(MO_Common_QEndDate,0,COLUMN())),"N/A")</f>
        <v>N/A</v>
      </c>
      <c r="BP1251" s="785" t="str">
        <f ca="1">IFERROR(CIQHI(MO.Ticker.CapIQ,"IQ_LASTSALEPRICE",INDEX(MO_SNA_FPStartDate,0,COLUMN()),INDEX(MO_Common_QEndDate,0,COLUMN())),"N/A")</f>
        <v>N/A</v>
      </c>
      <c r="BQ1251" s="785" t="str">
        <f ca="1">IFERROR(CIQHI(MO.Ticker.CapIQ,"IQ_LASTSALEPRICE",INDEX(MO_SNA_FPStartDate,0,COLUMN()),INDEX(MO_Common_QEndDate,0,COLUMN())),"N/A")</f>
        <v>N/A</v>
      </c>
      <c r="BR1251" s="785" t="str">
        <f ca="1">IFERROR(CIQHI(MO.Ticker.CapIQ,"IQ_LASTSALEPRICE",INDEX(MO_SNA_FPStartDate,0,COLUMN()),INDEX(MO_Common_QEndDate,0,COLUMN())),"N/A")</f>
        <v>N/A</v>
      </c>
      <c r="BS1251" s="785" t="str">
        <f ca="1">IFERROR(CIQHI(MO.Ticker.CapIQ,"IQ_LASTSALEPRICE",INDEX(MO_SNA_FPStartDate,0,COLUMN()),INDEX(MO_Common_QEndDate,0,COLUMN())),"N/A")</f>
        <v>N/A</v>
      </c>
      <c r="BT1251" s="785" t="str">
        <f ca="1">IFERROR(CIQHI(MO.Ticker.CapIQ,"IQ_LASTSALEPRICE",INDEX(MO_SNA_FPStartDate,0,COLUMN()),INDEX(MO_Common_QEndDate,0,COLUMN())),"N/A")</f>
        <v>N/A</v>
      </c>
      <c r="BU1251" s="785" t="str">
        <f ca="1">IFERROR(CIQHI(MO.Ticker.CapIQ,"IQ_LASTSALEPRICE",INDEX(MO_SNA_FPStartDate,0,COLUMN()),INDEX(MO_Common_QEndDate,0,COLUMN())),"N/A")</f>
        <v>N/A</v>
      </c>
      <c r="BV1251" s="1068" t="str">
        <f ca="1">IFERROR(CIQHI(MO.Ticker.CapIQ,"IQ_LASTSALEPRICE",INDEX(MO_SNA_FPStartDate,0,COLUMN()),INDEX(MO_Common_QEndDate,0,COLUMN())),"N/A")</f>
        <v>N/A</v>
      </c>
      <c r="BW1251" s="1069"/>
    </row>
    <row r="1252" spans="1:75" s="921" customFormat="1" hidden="1" outlineLevel="1" x14ac:dyDescent="0.5">
      <c r="A1252" s="1070" t="s">
        <v>1613</v>
      </c>
      <c r="B1252" s="785"/>
      <c r="C1252" s="1066" t="str">
        <f ca="1">IFERROR(FDS(MO.Ticker.FactSet,"P_PRICE_HIGH"&amp;"("&amp;INDEX(MO_SNA_FPStartDate,0,COLUMN())&amp;","&amp;INDEX(MO_Common_QEndDate,0,COLUMN())&amp;",,,,""PRICE"",""CLOSE"")"),"N/A")</f>
        <v>N/A</v>
      </c>
      <c r="D1252" s="1066" t="str">
        <f ca="1">IFERROR(FDS(MO.Ticker.FactSet,"P_PRICE_HIGH"&amp;"("&amp;INDEX(MO_SNA_FPStartDate,0,COLUMN())&amp;","&amp;INDEX(MO_Common_QEndDate,0,COLUMN())&amp;",,,,""PRICE"",""CLOSE"")"),"N/A")</f>
        <v>N/A</v>
      </c>
      <c r="E1252" s="785" t="str">
        <f ca="1">IFERROR(FDS(MO.Ticker.FactSet,"P_PRICE_HIGH"&amp;"("&amp;INDEX(MO_SNA_FPStartDate,0,COLUMN())&amp;","&amp;INDEX(MO_Common_QEndDate,0,COLUMN())&amp;",,,,""PRICE"",""CLOSE"")"),"N/A")</f>
        <v>N/A</v>
      </c>
      <c r="F1252" s="785" t="str">
        <f ca="1">IFERROR(FDS(MO.Ticker.FactSet,"P_PRICE_HIGH"&amp;"("&amp;INDEX(MO_SNA_FPStartDate,0,COLUMN())&amp;","&amp;INDEX(MO_Common_QEndDate,0,COLUMN())&amp;",,,,""PRICE"",""CLOSE"")"),"N/A")</f>
        <v>N/A</v>
      </c>
      <c r="G1252" s="785" t="str">
        <f ca="1">IFERROR(FDS(MO.Ticker.FactSet,"P_PRICE_HIGH"&amp;"("&amp;INDEX(MO_SNA_FPStartDate,0,COLUMN())&amp;","&amp;INDEX(MO_Common_QEndDate,0,COLUMN())&amp;",,,,""PRICE"",""CLOSE"")"),"N/A")</f>
        <v>N/A</v>
      </c>
      <c r="H1252" s="785" t="str">
        <f ca="1">IFERROR(FDS(MO.Ticker.FactSet,"P_PRICE_HIGH"&amp;"("&amp;INDEX(MO_SNA_FPStartDate,0,COLUMN())&amp;","&amp;INDEX(MO_Common_QEndDate,0,COLUMN())&amp;",,,,""PRICE"",""CLOSE"")"),"N/A")</f>
        <v>N/A</v>
      </c>
      <c r="I1252" s="785" t="str">
        <f ca="1">IFERROR(FDS(MO.Ticker.FactSet,"P_PRICE_HIGH"&amp;"("&amp;INDEX(MO_SNA_FPStartDate,0,COLUMN())&amp;","&amp;INDEX(MO_Common_QEndDate,0,COLUMN())&amp;",,,,""PRICE"",""CLOSE"")"),"N/A")</f>
        <v>N/A</v>
      </c>
      <c r="J1252" s="785" t="str">
        <f ca="1">IFERROR(FDS(MO.Ticker.FactSet,"P_PRICE_HIGH"&amp;"("&amp;INDEX(MO_SNA_FPStartDate,0,COLUMN())&amp;","&amp;INDEX(MO_Common_QEndDate,0,COLUMN())&amp;",,,,""PRICE"",""CLOSE"")"),"N/A")</f>
        <v>N/A</v>
      </c>
      <c r="K1252" s="785" t="str">
        <f ca="1">IFERROR(FDS(MO.Ticker.FactSet,"P_PRICE_HIGH"&amp;"("&amp;INDEX(MO_SNA_FPStartDate,0,COLUMN())&amp;","&amp;INDEX(MO_Common_QEndDate,0,COLUMN())&amp;",,,,""PRICE"",""CLOSE"")"),"N/A")</f>
        <v>N/A</v>
      </c>
      <c r="L1252" s="785" t="str">
        <f ca="1">IFERROR(FDS(MO.Ticker.FactSet,"P_PRICE_HIGH"&amp;"("&amp;INDEX(MO_SNA_FPStartDate,0,COLUMN())&amp;","&amp;INDEX(MO_Common_QEndDate,0,COLUMN())&amp;",,,,""PRICE"",""CLOSE"")"),"N/A")</f>
        <v>N/A</v>
      </c>
      <c r="M1252" s="785" t="str">
        <f ca="1">IFERROR(FDS(MO.Ticker.FactSet,"P_PRICE_HIGH"&amp;"("&amp;INDEX(MO_SNA_FPStartDate,0,COLUMN())&amp;","&amp;INDEX(MO_Common_QEndDate,0,COLUMN())&amp;",,,,""PRICE"",""CLOSE"")"),"N/A")</f>
        <v>N/A</v>
      </c>
      <c r="N1252" s="785" t="str">
        <f ca="1">IFERROR(FDS(MO.Ticker.FactSet,"P_PRICE_HIGH"&amp;"("&amp;INDEX(MO_SNA_FPStartDate,0,COLUMN())&amp;","&amp;INDEX(MO_Common_QEndDate,0,COLUMN())&amp;",,,,""PRICE"",""CLOSE"")"),"N/A")</f>
        <v>N/A</v>
      </c>
      <c r="O1252" s="785" t="str">
        <f ca="1">IFERROR(FDS(MO.Ticker.FactSet,"P_PRICE_HIGH"&amp;"("&amp;INDEX(MO_SNA_FPStartDate,0,COLUMN())&amp;","&amp;INDEX(MO_Common_QEndDate,0,COLUMN())&amp;",,,,""PRICE"",""CLOSE"")"),"N/A")</f>
        <v>N/A</v>
      </c>
      <c r="P1252" s="785" t="str">
        <f ca="1">IFERROR(FDS(MO.Ticker.FactSet,"P_PRICE_HIGH"&amp;"("&amp;INDEX(MO_SNA_FPStartDate,0,COLUMN())&amp;","&amp;INDEX(MO_Common_QEndDate,0,COLUMN())&amp;",,,,""PRICE"",""CLOSE"")"),"N/A")</f>
        <v>N/A</v>
      </c>
      <c r="Q1252" s="785" t="str">
        <f ca="1">IFERROR(FDS(MO.Ticker.FactSet,"P_PRICE_HIGH"&amp;"("&amp;INDEX(MO_SNA_FPStartDate,0,COLUMN())&amp;","&amp;INDEX(MO_Common_QEndDate,0,COLUMN())&amp;",,,,""PRICE"",""CLOSE"")"),"N/A")</f>
        <v>N/A</v>
      </c>
      <c r="R1252" s="785" t="str">
        <f ca="1">IFERROR(FDS(MO.Ticker.FactSet,"P_PRICE_HIGH"&amp;"("&amp;INDEX(MO_SNA_FPStartDate,0,COLUMN())&amp;","&amp;INDEX(MO_Common_QEndDate,0,COLUMN())&amp;",,,,""PRICE"",""CLOSE"")"),"N/A")</f>
        <v>N/A</v>
      </c>
      <c r="S1252" s="785" t="str">
        <f ca="1">IFERROR(FDS(MO.Ticker.FactSet,"P_PRICE_HIGH"&amp;"("&amp;INDEX(MO_SNA_FPStartDate,0,COLUMN())&amp;","&amp;INDEX(MO_Common_QEndDate,0,COLUMN())&amp;",,,,""PRICE"",""CLOSE"")"),"N/A")</f>
        <v>N/A</v>
      </c>
      <c r="T1252" s="785" t="str">
        <f ca="1">IFERROR(FDS(MO.Ticker.FactSet,"P_PRICE_HIGH"&amp;"("&amp;INDEX(MO_SNA_FPStartDate,0,COLUMN())&amp;","&amp;INDEX(MO_Common_QEndDate,0,COLUMN())&amp;",,,,""PRICE"",""CLOSE"")"),"N/A")</f>
        <v>N/A</v>
      </c>
      <c r="U1252" s="785" t="str">
        <f ca="1">IFERROR(FDS(MO.Ticker.FactSet,"P_PRICE_HIGH"&amp;"("&amp;INDEX(MO_SNA_FPStartDate,0,COLUMN())&amp;","&amp;INDEX(MO_Common_QEndDate,0,COLUMN())&amp;",,,,""PRICE"",""CLOSE"")"),"N/A")</f>
        <v>N/A</v>
      </c>
      <c r="V1252" s="785" t="str">
        <f ca="1">IFERROR(FDS(MO.Ticker.FactSet,"P_PRICE_HIGH"&amp;"("&amp;INDEX(MO_SNA_FPStartDate,0,COLUMN())&amp;","&amp;INDEX(MO_Common_QEndDate,0,COLUMN())&amp;",,,,""PRICE"",""CLOSE"")"),"N/A")</f>
        <v>N/A</v>
      </c>
      <c r="W1252" s="785" t="str">
        <f ca="1">IFERROR(FDS(MO.Ticker.FactSet,"P_PRICE_HIGH"&amp;"("&amp;INDEX(MO_SNA_FPStartDate,0,COLUMN())&amp;","&amp;INDEX(MO_Common_QEndDate,0,COLUMN())&amp;",,,,""PRICE"",""CLOSE"")"),"N/A")</f>
        <v>N/A</v>
      </c>
      <c r="X1252" s="785" t="str">
        <f ca="1">IFERROR(FDS(MO.Ticker.FactSet,"P_PRICE_HIGH"&amp;"("&amp;INDEX(MO_SNA_FPStartDate,0,COLUMN())&amp;","&amp;INDEX(MO_Common_QEndDate,0,COLUMN())&amp;",,,,""PRICE"",""CLOSE"")"),"N/A")</f>
        <v>N/A</v>
      </c>
      <c r="Y1252" s="785" t="str">
        <f ca="1">IFERROR(FDS(MO.Ticker.FactSet,"P_PRICE_HIGH"&amp;"("&amp;INDEX(MO_SNA_FPStartDate,0,COLUMN())&amp;","&amp;INDEX(MO_Common_QEndDate,0,COLUMN())&amp;",,,,""PRICE"",""CLOSE"")"),"N/A")</f>
        <v>N/A</v>
      </c>
      <c r="Z1252" s="785" t="str">
        <f ca="1">IFERROR(FDS(MO.Ticker.FactSet,"P_PRICE_HIGH"&amp;"("&amp;INDEX(MO_SNA_FPStartDate,0,COLUMN())&amp;","&amp;INDEX(MO_Common_QEndDate,0,COLUMN())&amp;",,,,""PRICE"",""CLOSE"")"),"N/A")</f>
        <v>N/A</v>
      </c>
      <c r="AA1252" s="785" t="str">
        <f ca="1">IFERROR(FDS(MO.Ticker.FactSet,"P_PRICE_HIGH"&amp;"("&amp;INDEX(MO_SNA_FPStartDate,0,COLUMN())&amp;","&amp;INDEX(MO_Common_QEndDate,0,COLUMN())&amp;",,,,""PRICE"",""CLOSE"")"),"N/A")</f>
        <v>N/A</v>
      </c>
      <c r="AB1252" s="785" t="str">
        <f ca="1">IFERROR(FDS(MO.Ticker.FactSet,"P_PRICE_HIGH"&amp;"("&amp;INDEX(MO_SNA_FPStartDate,0,COLUMN())&amp;","&amp;INDEX(MO_Common_QEndDate,0,COLUMN())&amp;",,,,""PRICE"",""CLOSE"")"),"N/A")</f>
        <v>N/A</v>
      </c>
      <c r="AC1252" s="785" t="str">
        <f ca="1">IFERROR(FDS(MO.Ticker.FactSet,"P_PRICE_HIGH"&amp;"("&amp;INDEX(MO_SNA_FPStartDate,0,COLUMN())&amp;","&amp;INDEX(MO_Common_QEndDate,0,COLUMN())&amp;",,,,""PRICE"",""CLOSE"")"),"N/A")</f>
        <v>N/A</v>
      </c>
      <c r="AD1252" s="785" t="str">
        <f ca="1">IFERROR(FDS(MO.Ticker.FactSet,"P_PRICE_HIGH"&amp;"("&amp;INDEX(MO_SNA_FPStartDate,0,COLUMN())&amp;","&amp;INDEX(MO_Common_QEndDate,0,COLUMN())&amp;",,,,""PRICE"",""CLOSE"")"),"N/A")</f>
        <v>N/A</v>
      </c>
      <c r="AE1252" s="785" t="str">
        <f ca="1">IFERROR(FDS(MO.Ticker.FactSet,"P_PRICE_HIGH"&amp;"("&amp;INDEX(MO_SNA_FPStartDate,0,COLUMN())&amp;","&amp;INDEX(MO_Common_QEndDate,0,COLUMN())&amp;",,,,""PRICE"",""CLOSE"")"),"N/A")</f>
        <v>N/A</v>
      </c>
      <c r="AF1252" s="785" t="str">
        <f ca="1">IFERROR(FDS(MO.Ticker.FactSet,"P_PRICE_HIGH"&amp;"("&amp;INDEX(MO_SNA_FPStartDate,0,COLUMN())&amp;","&amp;INDEX(MO_Common_QEndDate,0,COLUMN())&amp;",,,,""PRICE"",""CLOSE"")"),"N/A")</f>
        <v>N/A</v>
      </c>
      <c r="AG1252" s="785" t="str">
        <f ca="1">IFERROR(FDS(MO.Ticker.FactSet,"P_PRICE_HIGH"&amp;"("&amp;INDEX(MO_SNA_FPStartDate,0,COLUMN())&amp;","&amp;INDEX(MO_Common_QEndDate,0,COLUMN())&amp;",,,,""PRICE"",""CLOSE"")"),"N/A")</f>
        <v>N/A</v>
      </c>
      <c r="AH1252" s="785" t="str">
        <f ca="1">IFERROR(FDS(MO.Ticker.FactSet,"P_PRICE_HIGH"&amp;"("&amp;INDEX(MO_SNA_FPStartDate,0,COLUMN())&amp;","&amp;INDEX(MO_Common_QEndDate,0,COLUMN())&amp;",,,,""PRICE"",""CLOSE"")"),"N/A")</f>
        <v>N/A</v>
      </c>
      <c r="AI1252" s="785" t="str">
        <f ca="1">IFERROR(FDS(MO.Ticker.FactSet,"P_PRICE_HIGH"&amp;"("&amp;INDEX(MO_SNA_FPStartDate,0,COLUMN())&amp;","&amp;INDEX(MO_Common_QEndDate,0,COLUMN())&amp;",,,,""PRICE"",""CLOSE"")"),"N/A")</f>
        <v>N/A</v>
      </c>
      <c r="AJ1252" s="785" t="str">
        <f ca="1">IFERROR(FDS(MO.Ticker.FactSet,"P_PRICE_HIGH"&amp;"("&amp;INDEX(MO_SNA_FPStartDate,0,COLUMN())&amp;","&amp;INDEX(MO_Common_QEndDate,0,COLUMN())&amp;",,,,""PRICE"",""CLOSE"")"),"N/A")</f>
        <v>N/A</v>
      </c>
      <c r="AK1252" s="785" t="str">
        <f ca="1">IFERROR(FDS(MO.Ticker.FactSet,"P_PRICE_HIGH"&amp;"("&amp;INDEX(MO_SNA_FPStartDate,0,COLUMN())&amp;","&amp;INDEX(MO_Common_QEndDate,0,COLUMN())&amp;",,,,""PRICE"",""CLOSE"")"),"N/A")</f>
        <v>N/A</v>
      </c>
      <c r="AL1252" s="785" t="str">
        <f ca="1">IFERROR(FDS(MO.Ticker.FactSet,"P_PRICE_HIGH"&amp;"("&amp;INDEX(MO_SNA_FPStartDate,0,COLUMN())&amp;","&amp;INDEX(MO_Common_QEndDate,0,COLUMN())&amp;",,,,""PRICE"",""CLOSE"")"),"N/A")</f>
        <v>N/A</v>
      </c>
      <c r="AM1252" s="785" t="str">
        <f ca="1">IFERROR(FDS(MO.Ticker.FactSet,"P_PRICE_HIGH"&amp;"("&amp;INDEX(MO_SNA_FPStartDate,0,COLUMN())&amp;","&amp;INDEX(MO_Common_QEndDate,0,COLUMN())&amp;",,,,""PRICE"",""CLOSE"")"),"N/A")</f>
        <v>N/A</v>
      </c>
      <c r="AN1252" s="785" t="str">
        <f ca="1">IFERROR(FDS(MO.Ticker.FactSet,"P_PRICE_HIGH"&amp;"("&amp;INDEX(MO_SNA_FPStartDate,0,COLUMN())&amp;","&amp;INDEX(MO_Common_QEndDate,0,COLUMN())&amp;",,,,""PRICE"",""CLOSE"")"),"N/A")</f>
        <v>N/A</v>
      </c>
      <c r="AO1252" s="785" t="str">
        <f ca="1">IFERROR(FDS(MO.Ticker.FactSet,"P_PRICE_HIGH"&amp;"("&amp;INDEX(MO_SNA_FPStartDate,0,COLUMN())&amp;","&amp;INDEX(MO_Common_QEndDate,0,COLUMN())&amp;",,,,""PRICE"",""CLOSE"")"),"N/A")</f>
        <v>N/A</v>
      </c>
      <c r="AP1252" s="785" t="str">
        <f ca="1">IFERROR(FDS(MO.Ticker.FactSet,"P_PRICE_HIGH"&amp;"("&amp;INDEX(MO_SNA_FPStartDate,0,COLUMN())&amp;","&amp;INDEX(MO_Common_QEndDate,0,COLUMN())&amp;",,,,""PRICE"",""CLOSE"")"),"N/A")</f>
        <v>N/A</v>
      </c>
      <c r="AQ1252" s="785" t="str">
        <f ca="1">IFERROR(FDS(MO.Ticker.FactSet,"P_PRICE_HIGH"&amp;"("&amp;INDEX(MO_SNA_FPStartDate,0,COLUMN())&amp;","&amp;INDEX(MO_Common_QEndDate,0,COLUMN())&amp;",,,,""PRICE"",""CLOSE"")"),"N/A")</f>
        <v>N/A</v>
      </c>
      <c r="AR1252" s="785" t="str">
        <f ca="1">IFERROR(FDS(MO.Ticker.FactSet,"P_PRICE_HIGH"&amp;"("&amp;INDEX(MO_SNA_FPStartDate,0,COLUMN())&amp;","&amp;INDEX(MO_Common_QEndDate,0,COLUMN())&amp;",,,,""PRICE"",""CLOSE"")"),"N/A")</f>
        <v>N/A</v>
      </c>
      <c r="AS1252" s="785" t="str">
        <f ca="1">IFERROR(FDS(MO.Ticker.FactSet,"P_PRICE_HIGH"&amp;"("&amp;INDEX(MO_SNA_FPStartDate,0,COLUMN())&amp;","&amp;INDEX(MO_Common_QEndDate,0,COLUMN())&amp;",,,,""PRICE"",""CLOSE"")"),"N/A")</f>
        <v>N/A</v>
      </c>
      <c r="AT1252" s="785" t="str">
        <f ca="1">IFERROR(FDS(MO.Ticker.FactSet,"P_PRICE_HIGH"&amp;"("&amp;INDEX(MO_SNA_FPStartDate,0,COLUMN())&amp;","&amp;INDEX(MO_Common_QEndDate,0,COLUMN())&amp;",,,,""PRICE"",""CLOSE"")"),"N/A")</f>
        <v>N/A</v>
      </c>
      <c r="AU1252" s="785" t="str">
        <f ca="1">IFERROR(FDS(MO.Ticker.FactSet,"P_PRICE_HIGH"&amp;"("&amp;INDEX(MO_SNA_FPStartDate,0,COLUMN())&amp;","&amp;INDEX(MO_Common_QEndDate,0,COLUMN())&amp;",,,,""PRICE"",""CLOSE"")"),"N/A")</f>
        <v>N/A</v>
      </c>
      <c r="AV1252" s="785" t="str">
        <f ca="1">IFERROR(FDS(MO.Ticker.FactSet,"P_PRICE_HIGH"&amp;"("&amp;INDEX(MO_SNA_FPStartDate,0,COLUMN())&amp;","&amp;INDEX(MO_Common_QEndDate,0,COLUMN())&amp;",,,,""PRICE"",""CLOSE"")"),"N/A")</f>
        <v>N/A</v>
      </c>
      <c r="AW1252" s="785" t="str">
        <f ca="1">IFERROR(FDS(MO.Ticker.FactSet,"P_PRICE_HIGH"&amp;"("&amp;INDEX(MO_SNA_FPStartDate,0,COLUMN())&amp;","&amp;INDEX(MO_Common_QEndDate,0,COLUMN())&amp;",,,,""PRICE"",""CLOSE"")"),"N/A")</f>
        <v>N/A</v>
      </c>
      <c r="AX1252" s="785" t="str">
        <f ca="1">IFERROR(FDS(MO.Ticker.FactSet,"P_PRICE_HIGH"&amp;"("&amp;INDEX(MO_SNA_FPStartDate,0,COLUMN())&amp;","&amp;INDEX(MO_Common_QEndDate,0,COLUMN())&amp;",,,,""PRICE"",""CLOSE"")"),"N/A")</f>
        <v>N/A</v>
      </c>
      <c r="AY1252" s="785" t="str">
        <f ca="1">IFERROR(FDS(MO.Ticker.FactSet,"P_PRICE_HIGH"&amp;"("&amp;INDEX(MO_SNA_FPStartDate,0,COLUMN())&amp;","&amp;INDEX(MO_Common_QEndDate,0,COLUMN())&amp;",,,,""PRICE"",""CLOSE"")"),"N/A")</f>
        <v>N/A</v>
      </c>
      <c r="AZ1252" s="785" t="str">
        <f ca="1">IFERROR(FDS(MO.Ticker.FactSet,"P_PRICE_HIGH"&amp;"("&amp;INDEX(MO_SNA_FPStartDate,0,COLUMN())&amp;","&amp;INDEX(MO_Common_QEndDate,0,COLUMN())&amp;",,,,""PRICE"",""CLOSE"")"),"N/A")</f>
        <v>N/A</v>
      </c>
      <c r="BA1252" s="785" t="str">
        <f ca="1">IFERROR(FDS(MO.Ticker.FactSet,"P_PRICE_HIGH"&amp;"("&amp;INDEX(MO_SNA_FPStartDate,0,COLUMN())&amp;","&amp;INDEX(MO_Common_QEndDate,0,COLUMN())&amp;",,,,""PRICE"",""CLOSE"")"),"N/A")</f>
        <v>N/A</v>
      </c>
      <c r="BB1252" s="785" t="str">
        <f ca="1">IFERROR(FDS(MO.Ticker.FactSet,"P_PRICE_HIGH"&amp;"("&amp;INDEX(MO_SNA_FPStartDate,0,COLUMN())&amp;","&amp;INDEX(MO_Common_QEndDate,0,COLUMN())&amp;",,,,""PRICE"",""CLOSE"")"),"N/A")</f>
        <v>N/A</v>
      </c>
      <c r="BC1252" s="785" t="str">
        <f ca="1">IFERROR(FDS(MO.Ticker.FactSet,"P_PRICE_HIGH"&amp;"("&amp;INDEX(MO_SNA_FPStartDate,0,COLUMN())&amp;","&amp;INDEX(MO_Common_QEndDate,0,COLUMN())&amp;",,,,""PRICE"",""CLOSE"")"),"N/A")</f>
        <v>N/A</v>
      </c>
      <c r="BD1252" s="785" t="str">
        <f ca="1">IFERROR(FDS(MO.Ticker.FactSet,"P_PRICE_HIGH"&amp;"("&amp;INDEX(MO_SNA_FPStartDate,0,COLUMN())&amp;","&amp;INDEX(MO_Common_QEndDate,0,COLUMN())&amp;",,,,""PRICE"",""CLOSE"")"),"N/A")</f>
        <v>N/A</v>
      </c>
      <c r="BE1252" s="785" t="str">
        <f ca="1">IFERROR(FDS(MO.Ticker.FactSet,"P_PRICE_HIGH"&amp;"("&amp;INDEX(MO_SNA_FPStartDate,0,COLUMN())&amp;","&amp;INDEX(MO_Common_QEndDate,0,COLUMN())&amp;",,,,""PRICE"",""CLOSE"")"),"N/A")</f>
        <v>N/A</v>
      </c>
      <c r="BF1252" s="785" t="str">
        <f ca="1">IFERROR(FDS(MO.Ticker.FactSet,"P_PRICE_HIGH"&amp;"("&amp;INDEX(MO_SNA_FPStartDate,0,COLUMN())&amp;","&amp;INDEX(MO_Common_QEndDate,0,COLUMN())&amp;",,,,""PRICE"",""CLOSE"")"),"N/A")</f>
        <v>N/A</v>
      </c>
      <c r="BG1252" s="785" t="str">
        <f ca="1">IFERROR(FDS(MO.Ticker.FactSet,"P_PRICE_HIGH"&amp;"("&amp;INDEX(MO_SNA_FPStartDate,0,COLUMN())&amp;","&amp;INDEX(MO_Common_QEndDate,0,COLUMN())&amp;",,,,""PRICE"",""CLOSE"")"),"N/A")</f>
        <v>N/A</v>
      </c>
      <c r="BH1252" s="785" t="str">
        <f ca="1">IFERROR(FDS(MO.Ticker.FactSet,"P_PRICE_HIGH"&amp;"("&amp;INDEX(MO_SNA_FPStartDate,0,COLUMN())&amp;","&amp;INDEX(MO_Common_QEndDate,0,COLUMN())&amp;",,,,""PRICE"",""CLOSE"")"),"N/A")</f>
        <v>N/A</v>
      </c>
      <c r="BI1252" s="785" t="str">
        <f ca="1">IFERROR(FDS(MO.Ticker.FactSet,"P_PRICE_HIGH"&amp;"("&amp;INDEX(MO_SNA_FPStartDate,0,COLUMN())&amp;","&amp;INDEX(MO_Common_QEndDate,0,COLUMN())&amp;",,,,""PRICE"",""CLOSE"")"),"N/A")</f>
        <v>N/A</v>
      </c>
      <c r="BJ1252" s="1067" t="str">
        <f ca="1">IFERROR(FDS(MO.Ticker.FactSet,"P_PRICE_HIGH"&amp;"("&amp;INDEX(MO_SNA_FPStartDate,0,COLUMN())&amp;","&amp;INDEX(MO_Common_QEndDate,0,COLUMN())&amp;",,,,""PRICE"",""CLOSE"")"),"N/A")</f>
        <v>N/A</v>
      </c>
      <c r="BK1252" s="785" t="str">
        <f ca="1">IFERROR(FDS(MO.Ticker.FactSet,"P_PRICE_HIGH"&amp;"("&amp;INDEX(MO_SNA_FPStartDate,0,COLUMN())&amp;","&amp;INDEX(MO_Common_QEndDate,0,COLUMN())&amp;",,,,""PRICE"",""CLOSE"")"),"N/A")</f>
        <v>N/A</v>
      </c>
      <c r="BL1252" s="785" t="str">
        <f ca="1">IFERROR(FDS(MO.Ticker.FactSet,"P_PRICE_HIGH"&amp;"("&amp;INDEX(MO_SNA_FPStartDate,0,COLUMN())&amp;","&amp;INDEX(MO_Common_QEndDate,0,COLUMN())&amp;",,,,""PRICE"",""CLOSE"")"),"N/A")</f>
        <v>N/A</v>
      </c>
      <c r="BM1252" s="785" t="str">
        <f ca="1">IFERROR(FDS(MO.Ticker.FactSet,"P_PRICE_HIGH"&amp;"("&amp;INDEX(MO_SNA_FPStartDate,0,COLUMN())&amp;","&amp;INDEX(MO_Common_QEndDate,0,COLUMN())&amp;",,,,""PRICE"",""CLOSE"")"),"N/A")</f>
        <v>N/A</v>
      </c>
      <c r="BN1252" s="785" t="str">
        <f ca="1">IFERROR(FDS(MO.Ticker.FactSet,"P_PRICE_HIGH"&amp;"("&amp;INDEX(MO_SNA_FPStartDate,0,COLUMN())&amp;","&amp;INDEX(MO_Common_QEndDate,0,COLUMN())&amp;",,,,""PRICE"",""CLOSE"")"),"N/A")</f>
        <v>N/A</v>
      </c>
      <c r="BO1252" s="785" t="str">
        <f ca="1">IFERROR(FDS(MO.Ticker.FactSet,"P_PRICE_HIGH"&amp;"("&amp;INDEX(MO_SNA_FPStartDate,0,COLUMN())&amp;","&amp;INDEX(MO_Common_QEndDate,0,COLUMN())&amp;",,,,""PRICE"",""CLOSE"")"),"N/A")</f>
        <v>N/A</v>
      </c>
      <c r="BP1252" s="785" t="str">
        <f ca="1">IFERROR(FDS(MO.Ticker.FactSet,"P_PRICE_HIGH"&amp;"("&amp;INDEX(MO_SNA_FPStartDate,0,COLUMN())&amp;","&amp;INDEX(MO_Common_QEndDate,0,COLUMN())&amp;",,,,""PRICE"",""CLOSE"")"),"N/A")</f>
        <v>N/A</v>
      </c>
      <c r="BQ1252" s="785" t="str">
        <f ca="1">IFERROR(FDS(MO.Ticker.FactSet,"P_PRICE_HIGH"&amp;"("&amp;INDEX(MO_SNA_FPStartDate,0,COLUMN())&amp;","&amp;INDEX(MO_Common_QEndDate,0,COLUMN())&amp;",,,,""PRICE"",""CLOSE"")"),"N/A")</f>
        <v>N/A</v>
      </c>
      <c r="BR1252" s="785" t="str">
        <f ca="1">IFERROR(FDS(MO.Ticker.FactSet,"P_PRICE_HIGH"&amp;"("&amp;INDEX(MO_SNA_FPStartDate,0,COLUMN())&amp;","&amp;INDEX(MO_Common_QEndDate,0,COLUMN())&amp;",,,,""PRICE"",""CLOSE"")"),"N/A")</f>
        <v>N/A</v>
      </c>
      <c r="BS1252" s="785" t="str">
        <f ca="1">IFERROR(FDS(MO.Ticker.FactSet,"P_PRICE_HIGH"&amp;"("&amp;INDEX(MO_SNA_FPStartDate,0,COLUMN())&amp;","&amp;INDEX(MO_Common_QEndDate,0,COLUMN())&amp;",,,,""PRICE"",""CLOSE"")"),"N/A")</f>
        <v>N/A</v>
      </c>
      <c r="BT1252" s="785" t="str">
        <f ca="1">IFERROR(FDS(MO.Ticker.FactSet,"P_PRICE_HIGH"&amp;"("&amp;INDEX(MO_SNA_FPStartDate,0,COLUMN())&amp;","&amp;INDEX(MO_Common_QEndDate,0,COLUMN())&amp;",,,,""PRICE"",""CLOSE"")"),"N/A")</f>
        <v>N/A</v>
      </c>
      <c r="BU1252" s="785" t="str">
        <f ca="1">IFERROR(FDS(MO.Ticker.FactSet,"P_PRICE_HIGH"&amp;"("&amp;INDEX(MO_SNA_FPStartDate,0,COLUMN())&amp;","&amp;INDEX(MO_Common_QEndDate,0,COLUMN())&amp;",,,,""PRICE"",""CLOSE"")"),"N/A")</f>
        <v>N/A</v>
      </c>
      <c r="BV1252" s="1068" t="str">
        <f ca="1">IFERROR(FDS(MO.Ticker.FactSet,"P_PRICE_HIGH"&amp;"("&amp;INDEX(MO_SNA_FPStartDate,0,COLUMN())&amp;","&amp;INDEX(MO_Common_QEndDate,0,COLUMN())&amp;",,,,""PRICE"",""CLOSE"")"),"N/A")</f>
        <v>N/A</v>
      </c>
      <c r="BW1252" s="1069"/>
    </row>
    <row r="1253" spans="1:75" s="921" customFormat="1" hidden="1" outlineLevel="1" x14ac:dyDescent="0.5">
      <c r="A1253" s="1070" t="s">
        <v>1614</v>
      </c>
      <c r="B1253" s="785"/>
      <c r="C1253" s="1066" t="str">
        <f ca="1">IFERROR(_xll.TR(MO.Ticker.Thomson,"MAX(TR.Pricehigh)","sdate:#1 edate:#2",,INDEX(MO_SNA_FPStartDate,0,COLUMN()),INDEX(MO_Common_QEndDate,0,COLUMN())),"N/A")</f>
        <v>N/A</v>
      </c>
      <c r="D1253" s="1066" t="str">
        <f ca="1">IFERROR(_xll.TR(MO.Ticker.Thomson,"MAX(TR.Pricehigh)","sdate:#1 edate:#2",,INDEX(MO_SNA_FPStartDate,0,COLUMN()),INDEX(MO_Common_QEndDate,0,COLUMN())),"N/A")</f>
        <v>N/A</v>
      </c>
      <c r="E1253" s="785" t="str">
        <f ca="1">IFERROR(_xll.TR(MO.Ticker.Thomson,"MAX(TR.Pricehigh)","sdate:#1 edate:#2",,INDEX(MO_SNA_FPStartDate,0,COLUMN()),INDEX(MO_Common_QEndDate,0,COLUMN())),"N/A")</f>
        <v>N/A</v>
      </c>
      <c r="F1253" s="785" t="str">
        <f ca="1">IFERROR(_xll.TR(MO.Ticker.Thomson,"MAX(TR.Pricehigh)","sdate:#1 edate:#2",,INDEX(MO_SNA_FPStartDate,0,COLUMN()),INDEX(MO_Common_QEndDate,0,COLUMN())),"N/A")</f>
        <v>N/A</v>
      </c>
      <c r="G1253" s="785" t="str">
        <f ca="1">IFERROR(_xll.TR(MO.Ticker.Thomson,"MAX(TR.Pricehigh)","sdate:#1 edate:#2",,INDEX(MO_SNA_FPStartDate,0,COLUMN()),INDEX(MO_Common_QEndDate,0,COLUMN())),"N/A")</f>
        <v>N/A</v>
      </c>
      <c r="H1253" s="785" t="str">
        <f ca="1">IFERROR(_xll.TR(MO.Ticker.Thomson,"MAX(TR.Pricehigh)","sdate:#1 edate:#2",,INDEX(MO_SNA_FPStartDate,0,COLUMN()),INDEX(MO_Common_QEndDate,0,COLUMN())),"N/A")</f>
        <v>N/A</v>
      </c>
      <c r="I1253" s="785" t="str">
        <f ca="1">IFERROR(_xll.TR(MO.Ticker.Thomson,"MAX(TR.Pricehigh)","sdate:#1 edate:#2",,INDEX(MO_SNA_FPStartDate,0,COLUMN()),INDEX(MO_Common_QEndDate,0,COLUMN())),"N/A")</f>
        <v>N/A</v>
      </c>
      <c r="J1253" s="785" t="str">
        <f ca="1">IFERROR(_xll.TR(MO.Ticker.Thomson,"MAX(TR.Pricehigh)","sdate:#1 edate:#2",,INDEX(MO_SNA_FPStartDate,0,COLUMN()),INDEX(MO_Common_QEndDate,0,COLUMN())),"N/A")</f>
        <v>N/A</v>
      </c>
      <c r="K1253" s="785" t="str">
        <f ca="1">IFERROR(_xll.TR(MO.Ticker.Thomson,"MAX(TR.Pricehigh)","sdate:#1 edate:#2",,INDEX(MO_SNA_FPStartDate,0,COLUMN()),INDEX(MO_Common_QEndDate,0,COLUMN())),"N/A")</f>
        <v>N/A</v>
      </c>
      <c r="L1253" s="785" t="str">
        <f ca="1">IFERROR(_xll.TR(MO.Ticker.Thomson,"MAX(TR.Pricehigh)","sdate:#1 edate:#2",,INDEX(MO_SNA_FPStartDate,0,COLUMN()),INDEX(MO_Common_QEndDate,0,COLUMN())),"N/A")</f>
        <v>N/A</v>
      </c>
      <c r="M1253" s="785" t="str">
        <f ca="1">IFERROR(_xll.TR(MO.Ticker.Thomson,"MAX(TR.Pricehigh)","sdate:#1 edate:#2",,INDEX(MO_SNA_FPStartDate,0,COLUMN()),INDEX(MO_Common_QEndDate,0,COLUMN())),"N/A")</f>
        <v>N/A</v>
      </c>
      <c r="N1253" s="785" t="str">
        <f ca="1">IFERROR(_xll.TR(MO.Ticker.Thomson,"MAX(TR.Pricehigh)","sdate:#1 edate:#2",,INDEX(MO_SNA_FPStartDate,0,COLUMN()),INDEX(MO_Common_QEndDate,0,COLUMN())),"N/A")</f>
        <v>N/A</v>
      </c>
      <c r="O1253" s="785" t="str">
        <f ca="1">IFERROR(_xll.TR(MO.Ticker.Thomson,"MAX(TR.Pricehigh)","sdate:#1 edate:#2",,INDEX(MO_SNA_FPStartDate,0,COLUMN()),INDEX(MO_Common_QEndDate,0,COLUMN())),"N/A")</f>
        <v>N/A</v>
      </c>
      <c r="P1253" s="785" t="str">
        <f ca="1">IFERROR(_xll.TR(MO.Ticker.Thomson,"MAX(TR.Pricehigh)","sdate:#1 edate:#2",,INDEX(MO_SNA_FPStartDate,0,COLUMN()),INDEX(MO_Common_QEndDate,0,COLUMN())),"N/A")</f>
        <v>N/A</v>
      </c>
      <c r="Q1253" s="785" t="str">
        <f ca="1">IFERROR(_xll.TR(MO.Ticker.Thomson,"MAX(TR.Pricehigh)","sdate:#1 edate:#2",,INDEX(MO_SNA_FPStartDate,0,COLUMN()),INDEX(MO_Common_QEndDate,0,COLUMN())),"N/A")</f>
        <v>N/A</v>
      </c>
      <c r="R1253" s="785" t="str">
        <f ca="1">IFERROR(_xll.TR(MO.Ticker.Thomson,"MAX(TR.Pricehigh)","sdate:#1 edate:#2",,INDEX(MO_SNA_FPStartDate,0,COLUMN()),INDEX(MO_Common_QEndDate,0,COLUMN())),"N/A")</f>
        <v>N/A</v>
      </c>
      <c r="S1253" s="785" t="str">
        <f ca="1">IFERROR(_xll.TR(MO.Ticker.Thomson,"MAX(TR.Pricehigh)","sdate:#1 edate:#2",,INDEX(MO_SNA_FPStartDate,0,COLUMN()),INDEX(MO_Common_QEndDate,0,COLUMN())),"N/A")</f>
        <v>N/A</v>
      </c>
      <c r="T1253" s="785" t="str">
        <f ca="1">IFERROR(_xll.TR(MO.Ticker.Thomson,"MAX(TR.Pricehigh)","sdate:#1 edate:#2",,INDEX(MO_SNA_FPStartDate,0,COLUMN()),INDEX(MO_Common_QEndDate,0,COLUMN())),"N/A")</f>
        <v>N/A</v>
      </c>
      <c r="U1253" s="785" t="str">
        <f ca="1">IFERROR(_xll.TR(MO.Ticker.Thomson,"MAX(TR.Pricehigh)","sdate:#1 edate:#2",,INDEX(MO_SNA_FPStartDate,0,COLUMN()),INDEX(MO_Common_QEndDate,0,COLUMN())),"N/A")</f>
        <v>N/A</v>
      </c>
      <c r="V1253" s="785" t="str">
        <f ca="1">IFERROR(_xll.TR(MO.Ticker.Thomson,"MAX(TR.Pricehigh)","sdate:#1 edate:#2",,INDEX(MO_SNA_FPStartDate,0,COLUMN()),INDEX(MO_Common_QEndDate,0,COLUMN())),"N/A")</f>
        <v>N/A</v>
      </c>
      <c r="W1253" s="785" t="str">
        <f ca="1">IFERROR(_xll.TR(MO.Ticker.Thomson,"MAX(TR.Pricehigh)","sdate:#1 edate:#2",,INDEX(MO_SNA_FPStartDate,0,COLUMN()),INDEX(MO_Common_QEndDate,0,COLUMN())),"N/A")</f>
        <v>N/A</v>
      </c>
      <c r="X1253" s="785" t="str">
        <f ca="1">IFERROR(_xll.TR(MO.Ticker.Thomson,"MAX(TR.Pricehigh)","sdate:#1 edate:#2",,INDEX(MO_SNA_FPStartDate,0,COLUMN()),INDEX(MO_Common_QEndDate,0,COLUMN())),"N/A")</f>
        <v>N/A</v>
      </c>
      <c r="Y1253" s="785" t="str">
        <f ca="1">IFERROR(_xll.TR(MO.Ticker.Thomson,"MAX(TR.Pricehigh)","sdate:#1 edate:#2",,INDEX(MO_SNA_FPStartDate,0,COLUMN()),INDEX(MO_Common_QEndDate,0,COLUMN())),"N/A")</f>
        <v>N/A</v>
      </c>
      <c r="Z1253" s="785" t="str">
        <f ca="1">IFERROR(_xll.TR(MO.Ticker.Thomson,"MAX(TR.Pricehigh)","sdate:#1 edate:#2",,INDEX(MO_SNA_FPStartDate,0,COLUMN()),INDEX(MO_Common_QEndDate,0,COLUMN())),"N/A")</f>
        <v>N/A</v>
      </c>
      <c r="AA1253" s="785" t="str">
        <f ca="1">IFERROR(_xll.TR(MO.Ticker.Thomson,"MAX(TR.Pricehigh)","sdate:#1 edate:#2",,INDEX(MO_SNA_FPStartDate,0,COLUMN()),INDEX(MO_Common_QEndDate,0,COLUMN())),"N/A")</f>
        <v>N/A</v>
      </c>
      <c r="AB1253" s="785" t="str">
        <f ca="1">IFERROR(_xll.TR(MO.Ticker.Thomson,"MAX(TR.Pricehigh)","sdate:#1 edate:#2",,INDEX(MO_SNA_FPStartDate,0,COLUMN()),INDEX(MO_Common_QEndDate,0,COLUMN())),"N/A")</f>
        <v>N/A</v>
      </c>
      <c r="AC1253" s="785" t="str">
        <f ca="1">IFERROR(_xll.TR(MO.Ticker.Thomson,"MAX(TR.Pricehigh)","sdate:#1 edate:#2",,INDEX(MO_SNA_FPStartDate,0,COLUMN()),INDEX(MO_Common_QEndDate,0,COLUMN())),"N/A")</f>
        <v>N/A</v>
      </c>
      <c r="AD1253" s="785" t="str">
        <f ca="1">IFERROR(_xll.TR(MO.Ticker.Thomson,"MAX(TR.Pricehigh)","sdate:#1 edate:#2",,INDEX(MO_SNA_FPStartDate,0,COLUMN()),INDEX(MO_Common_QEndDate,0,COLUMN())),"N/A")</f>
        <v>N/A</v>
      </c>
      <c r="AE1253" s="785" t="str">
        <f ca="1">IFERROR(_xll.TR(MO.Ticker.Thomson,"MAX(TR.Pricehigh)","sdate:#1 edate:#2",,INDEX(MO_SNA_FPStartDate,0,COLUMN()),INDEX(MO_Common_QEndDate,0,COLUMN())),"N/A")</f>
        <v>N/A</v>
      </c>
      <c r="AF1253" s="785" t="str">
        <f ca="1">IFERROR(_xll.TR(MO.Ticker.Thomson,"MAX(TR.Pricehigh)","sdate:#1 edate:#2",,INDEX(MO_SNA_FPStartDate,0,COLUMN()),INDEX(MO_Common_QEndDate,0,COLUMN())),"N/A")</f>
        <v>N/A</v>
      </c>
      <c r="AG1253" s="785" t="str">
        <f ca="1">IFERROR(_xll.TR(MO.Ticker.Thomson,"MAX(TR.Pricehigh)","sdate:#1 edate:#2",,INDEX(MO_SNA_FPStartDate,0,COLUMN()),INDEX(MO_Common_QEndDate,0,COLUMN())),"N/A")</f>
        <v>N/A</v>
      </c>
      <c r="AH1253" s="785" t="str">
        <f ca="1">IFERROR(_xll.TR(MO.Ticker.Thomson,"MAX(TR.Pricehigh)","sdate:#1 edate:#2",,INDEX(MO_SNA_FPStartDate,0,COLUMN()),INDEX(MO_Common_QEndDate,0,COLUMN())),"N/A")</f>
        <v>N/A</v>
      </c>
      <c r="AI1253" s="785" t="str">
        <f ca="1">IFERROR(_xll.TR(MO.Ticker.Thomson,"MAX(TR.Pricehigh)","sdate:#1 edate:#2",,INDEX(MO_SNA_FPStartDate,0,COLUMN()),INDEX(MO_Common_QEndDate,0,COLUMN())),"N/A")</f>
        <v>N/A</v>
      </c>
      <c r="AJ1253" s="785" t="str">
        <f ca="1">IFERROR(_xll.TR(MO.Ticker.Thomson,"MAX(TR.Pricehigh)","sdate:#1 edate:#2",,INDEX(MO_SNA_FPStartDate,0,COLUMN()),INDEX(MO_Common_QEndDate,0,COLUMN())),"N/A")</f>
        <v>N/A</v>
      </c>
      <c r="AK1253" s="785" t="str">
        <f ca="1">IFERROR(_xll.TR(MO.Ticker.Thomson,"MAX(TR.Pricehigh)","sdate:#1 edate:#2",,INDEX(MO_SNA_FPStartDate,0,COLUMN()),INDEX(MO_Common_QEndDate,0,COLUMN())),"N/A")</f>
        <v>N/A</v>
      </c>
      <c r="AL1253" s="785" t="str">
        <f ca="1">IFERROR(_xll.TR(MO.Ticker.Thomson,"MAX(TR.Pricehigh)","sdate:#1 edate:#2",,INDEX(MO_SNA_FPStartDate,0,COLUMN()),INDEX(MO_Common_QEndDate,0,COLUMN())),"N/A")</f>
        <v>N/A</v>
      </c>
      <c r="AM1253" s="785" t="str">
        <f ca="1">IFERROR(_xll.TR(MO.Ticker.Thomson,"MAX(TR.Pricehigh)","sdate:#1 edate:#2",,INDEX(MO_SNA_FPStartDate,0,COLUMN()),INDEX(MO_Common_QEndDate,0,COLUMN())),"N/A")</f>
        <v>N/A</v>
      </c>
      <c r="AN1253" s="785" t="str">
        <f ca="1">IFERROR(_xll.TR(MO.Ticker.Thomson,"MAX(TR.Pricehigh)","sdate:#1 edate:#2",,INDEX(MO_SNA_FPStartDate,0,COLUMN()),INDEX(MO_Common_QEndDate,0,COLUMN())),"N/A")</f>
        <v>N/A</v>
      </c>
      <c r="AO1253" s="785" t="str">
        <f ca="1">IFERROR(_xll.TR(MO.Ticker.Thomson,"MAX(TR.Pricehigh)","sdate:#1 edate:#2",,INDEX(MO_SNA_FPStartDate,0,COLUMN()),INDEX(MO_Common_QEndDate,0,COLUMN())),"N/A")</f>
        <v>N/A</v>
      </c>
      <c r="AP1253" s="785" t="str">
        <f ca="1">IFERROR(_xll.TR(MO.Ticker.Thomson,"MAX(TR.Pricehigh)","sdate:#1 edate:#2",,INDEX(MO_SNA_FPStartDate,0,COLUMN()),INDEX(MO_Common_QEndDate,0,COLUMN())),"N/A")</f>
        <v>N/A</v>
      </c>
      <c r="AQ1253" s="785" t="str">
        <f ca="1">IFERROR(_xll.TR(MO.Ticker.Thomson,"MAX(TR.Pricehigh)","sdate:#1 edate:#2",,INDEX(MO_SNA_FPStartDate,0,COLUMN()),INDEX(MO_Common_QEndDate,0,COLUMN())),"N/A")</f>
        <v>N/A</v>
      </c>
      <c r="AR1253" s="785" t="str">
        <f ca="1">IFERROR(_xll.TR(MO.Ticker.Thomson,"MAX(TR.Pricehigh)","sdate:#1 edate:#2",,INDEX(MO_SNA_FPStartDate,0,COLUMN()),INDEX(MO_Common_QEndDate,0,COLUMN())),"N/A")</f>
        <v>N/A</v>
      </c>
      <c r="AS1253" s="785" t="str">
        <f ca="1">IFERROR(_xll.TR(MO.Ticker.Thomson,"MAX(TR.Pricehigh)","sdate:#1 edate:#2",,INDEX(MO_SNA_FPStartDate,0,COLUMN()),INDEX(MO_Common_QEndDate,0,COLUMN())),"N/A")</f>
        <v>N/A</v>
      </c>
      <c r="AT1253" s="785" t="str">
        <f ca="1">IFERROR(_xll.TR(MO.Ticker.Thomson,"MAX(TR.Pricehigh)","sdate:#1 edate:#2",,INDEX(MO_SNA_FPStartDate,0,COLUMN()),INDEX(MO_Common_QEndDate,0,COLUMN())),"N/A")</f>
        <v>N/A</v>
      </c>
      <c r="AU1253" s="785" t="str">
        <f ca="1">IFERROR(_xll.TR(MO.Ticker.Thomson,"MAX(TR.Pricehigh)","sdate:#1 edate:#2",,INDEX(MO_SNA_FPStartDate,0,COLUMN()),INDEX(MO_Common_QEndDate,0,COLUMN())),"N/A")</f>
        <v>N/A</v>
      </c>
      <c r="AV1253" s="785" t="str">
        <f ca="1">IFERROR(_xll.TR(MO.Ticker.Thomson,"MAX(TR.Pricehigh)","sdate:#1 edate:#2",,INDEX(MO_SNA_FPStartDate,0,COLUMN()),INDEX(MO_Common_QEndDate,0,COLUMN())),"N/A")</f>
        <v>N/A</v>
      </c>
      <c r="AW1253" s="785" t="str">
        <f ca="1">IFERROR(_xll.TR(MO.Ticker.Thomson,"MAX(TR.Pricehigh)","sdate:#1 edate:#2",,INDEX(MO_SNA_FPStartDate,0,COLUMN()),INDEX(MO_Common_QEndDate,0,COLUMN())),"N/A")</f>
        <v>N/A</v>
      </c>
      <c r="AX1253" s="785" t="str">
        <f ca="1">IFERROR(_xll.TR(MO.Ticker.Thomson,"MAX(TR.Pricehigh)","sdate:#1 edate:#2",,INDEX(MO_SNA_FPStartDate,0,COLUMN()),INDEX(MO_Common_QEndDate,0,COLUMN())),"N/A")</f>
        <v>N/A</v>
      </c>
      <c r="AY1253" s="785" t="str">
        <f ca="1">IFERROR(_xll.TR(MO.Ticker.Thomson,"MAX(TR.Pricehigh)","sdate:#1 edate:#2",,INDEX(MO_SNA_FPStartDate,0,COLUMN()),INDEX(MO_Common_QEndDate,0,COLUMN())),"N/A")</f>
        <v>N/A</v>
      </c>
      <c r="AZ1253" s="785" t="str">
        <f ca="1">IFERROR(_xll.TR(MO.Ticker.Thomson,"MAX(TR.Pricehigh)","sdate:#1 edate:#2",,INDEX(MO_SNA_FPStartDate,0,COLUMN()),INDEX(MO_Common_QEndDate,0,COLUMN())),"N/A")</f>
        <v>N/A</v>
      </c>
      <c r="BA1253" s="785" t="str">
        <f ca="1">IFERROR(_xll.TR(MO.Ticker.Thomson,"MAX(TR.Pricehigh)","sdate:#1 edate:#2",,INDEX(MO_SNA_FPStartDate,0,COLUMN()),INDEX(MO_Common_QEndDate,0,COLUMN())),"N/A")</f>
        <v>N/A</v>
      </c>
      <c r="BB1253" s="785" t="str">
        <f ca="1">IFERROR(_xll.TR(MO.Ticker.Thomson,"MAX(TR.Pricehigh)","sdate:#1 edate:#2",,INDEX(MO_SNA_FPStartDate,0,COLUMN()),INDEX(MO_Common_QEndDate,0,COLUMN())),"N/A")</f>
        <v>N/A</v>
      </c>
      <c r="BC1253" s="785" t="str">
        <f ca="1">IFERROR(_xll.TR(MO.Ticker.Thomson,"MAX(TR.Pricehigh)","sdate:#1 edate:#2",,INDEX(MO_SNA_FPStartDate,0,COLUMN()),INDEX(MO_Common_QEndDate,0,COLUMN())),"N/A")</f>
        <v>N/A</v>
      </c>
      <c r="BD1253" s="785" t="str">
        <f ca="1">IFERROR(_xll.TR(MO.Ticker.Thomson,"MAX(TR.Pricehigh)","sdate:#1 edate:#2",,INDEX(MO_SNA_FPStartDate,0,COLUMN()),INDEX(MO_Common_QEndDate,0,COLUMN())),"N/A")</f>
        <v>N/A</v>
      </c>
      <c r="BE1253" s="785" t="str">
        <f ca="1">IFERROR(_xll.TR(MO.Ticker.Thomson,"MAX(TR.Pricehigh)","sdate:#1 edate:#2",,INDEX(MO_SNA_FPStartDate,0,COLUMN()),INDEX(MO_Common_QEndDate,0,COLUMN())),"N/A")</f>
        <v>N/A</v>
      </c>
      <c r="BF1253" s="785" t="str">
        <f ca="1">IFERROR(_xll.TR(MO.Ticker.Thomson,"MAX(TR.Pricehigh)","sdate:#1 edate:#2",,INDEX(MO_SNA_FPStartDate,0,COLUMN()),INDEX(MO_Common_QEndDate,0,COLUMN())),"N/A")</f>
        <v>N/A</v>
      </c>
      <c r="BG1253" s="785" t="str">
        <f ca="1">IFERROR(_xll.TR(MO.Ticker.Thomson,"MAX(TR.Pricehigh)","sdate:#1 edate:#2",,INDEX(MO_SNA_FPStartDate,0,COLUMN()),INDEX(MO_Common_QEndDate,0,COLUMN())),"N/A")</f>
        <v>N/A</v>
      </c>
      <c r="BH1253" s="785" t="str">
        <f ca="1">IFERROR(_xll.TR(MO.Ticker.Thomson,"MAX(TR.Pricehigh)","sdate:#1 edate:#2",,INDEX(MO_SNA_FPStartDate,0,COLUMN()),INDEX(MO_Common_QEndDate,0,COLUMN())),"N/A")</f>
        <v>N/A</v>
      </c>
      <c r="BI1253" s="785" t="str">
        <f ca="1">IFERROR(_xll.TR(MO.Ticker.Thomson,"MAX(TR.Pricehigh)","sdate:#1 edate:#2",,INDEX(MO_SNA_FPStartDate,0,COLUMN()),INDEX(MO_Common_QEndDate,0,COLUMN())),"N/A")</f>
        <v>N/A</v>
      </c>
      <c r="BJ1253" s="1067" t="str">
        <f ca="1">IFERROR(_xll.TR(MO.Ticker.Thomson,"MAX(TR.Pricehigh)","sdate:#1 edate:#2",,INDEX(MO_SNA_FPStartDate,0,COLUMN()),INDEX(MO_Common_QEndDate,0,COLUMN())),"N/A")</f>
        <v>N/A</v>
      </c>
      <c r="BK1253" s="785" t="str">
        <f ca="1">IFERROR(_xll.TR(MO.Ticker.Thomson,"MAX(TR.Pricehigh)","sdate:#1 edate:#2",,INDEX(MO_SNA_FPStartDate,0,COLUMN()),INDEX(MO_Common_QEndDate,0,COLUMN())),"N/A")</f>
        <v>N/A</v>
      </c>
      <c r="BL1253" s="785" t="str">
        <f ca="1">IFERROR(_xll.TR(MO.Ticker.Thomson,"MAX(TR.Pricehigh)","sdate:#1 edate:#2",,INDEX(MO_SNA_FPStartDate,0,COLUMN()),INDEX(MO_Common_QEndDate,0,COLUMN())),"N/A")</f>
        <v>N/A</v>
      </c>
      <c r="BM1253" s="785" t="str">
        <f ca="1">IFERROR(_xll.TR(MO.Ticker.Thomson,"MAX(TR.Pricehigh)","sdate:#1 edate:#2",,INDEX(MO_SNA_FPStartDate,0,COLUMN()),INDEX(MO_Common_QEndDate,0,COLUMN())),"N/A")</f>
        <v>N/A</v>
      </c>
      <c r="BN1253" s="785" t="str">
        <f ca="1">IFERROR(_xll.TR(MO.Ticker.Thomson,"MAX(TR.Pricehigh)","sdate:#1 edate:#2",,INDEX(MO_SNA_FPStartDate,0,COLUMN()),INDEX(MO_Common_QEndDate,0,COLUMN())),"N/A")</f>
        <v>N/A</v>
      </c>
      <c r="BO1253" s="785" t="str">
        <f ca="1">IFERROR(_xll.TR(MO.Ticker.Thomson,"MAX(TR.Pricehigh)","sdate:#1 edate:#2",,INDEX(MO_SNA_FPStartDate,0,COLUMN()),INDEX(MO_Common_QEndDate,0,COLUMN())),"N/A")</f>
        <v>N/A</v>
      </c>
      <c r="BP1253" s="785" t="str">
        <f ca="1">IFERROR(_xll.TR(MO.Ticker.Thomson,"MAX(TR.Pricehigh)","sdate:#1 edate:#2",,INDEX(MO_SNA_FPStartDate,0,COLUMN()),INDEX(MO_Common_QEndDate,0,COLUMN())),"N/A")</f>
        <v>N/A</v>
      </c>
      <c r="BQ1253" s="785" t="str">
        <f ca="1">IFERROR(_xll.TR(MO.Ticker.Thomson,"MAX(TR.Pricehigh)","sdate:#1 edate:#2",,INDEX(MO_SNA_FPStartDate,0,COLUMN()),INDEX(MO_Common_QEndDate,0,COLUMN())),"N/A")</f>
        <v>N/A</v>
      </c>
      <c r="BR1253" s="785" t="str">
        <f ca="1">IFERROR(_xll.TR(MO.Ticker.Thomson,"MAX(TR.Pricehigh)","sdate:#1 edate:#2",,INDEX(MO_SNA_FPStartDate,0,COLUMN()),INDEX(MO_Common_QEndDate,0,COLUMN())),"N/A")</f>
        <v>N/A</v>
      </c>
      <c r="BS1253" s="785" t="str">
        <f ca="1">IFERROR(_xll.TR(MO.Ticker.Thomson,"MAX(TR.Pricehigh)","sdate:#1 edate:#2",,INDEX(MO_SNA_FPStartDate,0,COLUMN()),INDEX(MO_Common_QEndDate,0,COLUMN())),"N/A")</f>
        <v>N/A</v>
      </c>
      <c r="BT1253" s="785" t="str">
        <f ca="1">IFERROR(_xll.TR(MO.Ticker.Thomson,"MAX(TR.Pricehigh)","sdate:#1 edate:#2",,INDEX(MO_SNA_FPStartDate,0,COLUMN()),INDEX(MO_Common_QEndDate,0,COLUMN())),"N/A")</f>
        <v>N/A</v>
      </c>
      <c r="BU1253" s="785" t="str">
        <f ca="1">IFERROR(_xll.TR(MO.Ticker.Thomson,"MAX(TR.Pricehigh)","sdate:#1 edate:#2",,INDEX(MO_SNA_FPStartDate,0,COLUMN()),INDEX(MO_Common_QEndDate,0,COLUMN())),"N/A")</f>
        <v>N/A</v>
      </c>
      <c r="BV1253" s="1068" t="str">
        <f ca="1">IFERROR(_xll.TR(MO.Ticker.Thomson,"MAX(TR.Pricehigh)","sdate:#1 edate:#2",,INDEX(MO_SNA_FPStartDate,0,COLUMN()),INDEX(MO_Common_QEndDate,0,COLUMN())),"N/A")</f>
        <v>N/A</v>
      </c>
      <c r="BW1253" s="1069"/>
    </row>
    <row r="1254" spans="1:75" s="123" customFormat="1" hidden="1" outlineLevel="1" x14ac:dyDescent="0.5">
      <c r="A1254" s="1073"/>
      <c r="B1254" s="118"/>
      <c r="C1254" s="973"/>
      <c r="D1254" s="973"/>
      <c r="E1254" s="118"/>
      <c r="F1254" s="118"/>
      <c r="G1254" s="118"/>
      <c r="H1254" s="118"/>
      <c r="I1254" s="118"/>
      <c r="J1254" s="118"/>
      <c r="K1254" s="118"/>
      <c r="L1254" s="118"/>
      <c r="M1254" s="118"/>
      <c r="N1254" s="118"/>
      <c r="O1254" s="118"/>
      <c r="P1254" s="118"/>
      <c r="Q1254" s="118"/>
      <c r="R1254" s="118"/>
      <c r="S1254" s="118"/>
      <c r="T1254" s="118"/>
      <c r="U1254" s="118"/>
      <c r="V1254" s="118"/>
      <c r="W1254" s="118"/>
      <c r="X1254" s="118"/>
      <c r="Y1254" s="118"/>
      <c r="Z1254" s="118"/>
      <c r="AA1254" s="118"/>
      <c r="AB1254" s="118"/>
      <c r="AC1254" s="118"/>
      <c r="AD1254" s="118"/>
      <c r="AE1254" s="118"/>
      <c r="AF1254" s="118"/>
      <c r="AG1254" s="118"/>
      <c r="AH1254" s="118"/>
      <c r="AI1254" s="118"/>
      <c r="AJ1254" s="118"/>
      <c r="AK1254" s="118"/>
      <c r="AL1254" s="118"/>
      <c r="AM1254" s="118"/>
      <c r="AN1254" s="118"/>
      <c r="AO1254" s="118"/>
      <c r="AP1254" s="118"/>
      <c r="AQ1254" s="118"/>
      <c r="AR1254" s="118"/>
      <c r="AS1254" s="118"/>
      <c r="AT1254" s="118"/>
      <c r="AU1254" s="118"/>
      <c r="AV1254" s="118"/>
      <c r="AW1254" s="118"/>
      <c r="AX1254" s="118"/>
      <c r="AY1254" s="118"/>
      <c r="AZ1254" s="118"/>
      <c r="BA1254" s="118"/>
      <c r="BB1254" s="118"/>
      <c r="BC1254" s="118"/>
      <c r="BD1254" s="118"/>
      <c r="BE1254" s="118"/>
      <c r="BF1254" s="118"/>
      <c r="BG1254" s="118"/>
      <c r="BH1254" s="118"/>
      <c r="BI1254" s="118"/>
      <c r="BJ1254" s="971"/>
      <c r="BK1254" s="118"/>
      <c r="BL1254" s="118"/>
      <c r="BM1254" s="118"/>
      <c r="BN1254" s="118"/>
      <c r="BO1254" s="118"/>
      <c r="BP1254" s="118"/>
      <c r="BQ1254" s="118"/>
      <c r="BR1254" s="118"/>
      <c r="BS1254" s="118"/>
      <c r="BT1254" s="118"/>
      <c r="BU1254" s="118"/>
      <c r="BV1254" s="1074"/>
      <c r="BW1254" s="1039"/>
    </row>
    <row r="1255" spans="1:75" s="921" customFormat="1" collapsed="1" x14ac:dyDescent="0.5">
      <c r="A1255" s="1065" t="str">
        <f ca="1">"Stock Low: "&amp;IF(OR(MO.RealTimeStockPriceToggle=FALSE,VLOOKUP(MO.DataSourceName,MO_SPT_StockLow_Sources,COLUMN()+2,FALSE)="N/A"),"Real-Time Off Source",MO.DataSourceName)</f>
        <v>Stock Low: Real-Time Off Source</v>
      </c>
      <c r="B1255" s="785"/>
      <c r="C1255" s="1066">
        <f t="shared" ref="C1255:AH1255" ca="1" si="1599">IF(OR(MO.RealTimeStockPriceToggle=FALSE,VLOOKUP(MO.DataSourceName,MO_SPT_StockLow_Sources,COLUMN(),FALSE)="N/A"),VLOOKUP("Real-Time Off Source",MO_SPT_StockLow_Sources,COLUMN(),FALSE),VLOOKUP(MO.DataSourceName,MO_SPT_StockLow_Sources,COLUMN(),FALSE))</f>
        <v>7.55</v>
      </c>
      <c r="D1255" s="1066">
        <f t="shared" ca="1" si="1599"/>
        <v>18.420000000000002</v>
      </c>
      <c r="E1255" s="785">
        <f t="shared" ca="1" si="1599"/>
        <v>27.9</v>
      </c>
      <c r="F1255" s="785">
        <f t="shared" ca="1" si="1599"/>
        <v>32.67</v>
      </c>
      <c r="G1255" s="785">
        <f t="shared" ca="1" si="1599"/>
        <v>43.63</v>
      </c>
      <c r="H1255" s="785">
        <f t="shared" ca="1" si="1599"/>
        <v>51.98</v>
      </c>
      <c r="I1255" s="785">
        <f t="shared" ca="1" si="1599"/>
        <v>51.7</v>
      </c>
      <c r="J1255" s="785">
        <f t="shared" ca="1" si="1599"/>
        <v>51.91</v>
      </c>
      <c r="K1255" s="785">
        <f t="shared" ca="1" si="1599"/>
        <v>43.63</v>
      </c>
      <c r="L1255" s="785">
        <f t="shared" ca="1" si="1599"/>
        <v>52.46</v>
      </c>
      <c r="M1255" s="785">
        <f t="shared" ca="1" si="1599"/>
        <v>60.47</v>
      </c>
      <c r="N1255" s="785">
        <f t="shared" ca="1" si="1599"/>
        <v>62.35</v>
      </c>
      <c r="O1255" s="785">
        <f t="shared" ca="1" si="1599"/>
        <v>64.17</v>
      </c>
      <c r="P1255" s="785">
        <f t="shared" ca="1" si="1599"/>
        <v>52.46</v>
      </c>
      <c r="Q1255" s="785">
        <f t="shared" ca="1" si="1599"/>
        <v>73.14</v>
      </c>
      <c r="R1255" s="785">
        <f t="shared" ca="1" si="1599"/>
        <v>74.75</v>
      </c>
      <c r="S1255" s="785">
        <f t="shared" ca="1" si="1599"/>
        <v>71.03</v>
      </c>
      <c r="T1255" s="785">
        <f t="shared" ca="1" si="1599"/>
        <v>47.33</v>
      </c>
      <c r="U1255" s="785">
        <f t="shared" ca="1" si="1599"/>
        <v>47.33</v>
      </c>
      <c r="V1255" s="785">
        <f t="shared" ca="1" si="1599"/>
        <v>49.39</v>
      </c>
      <c r="W1255" s="785">
        <f t="shared" ca="1" si="1599"/>
        <v>47.66</v>
      </c>
      <c r="X1255" s="785">
        <f t="shared" ca="1" si="1599"/>
        <v>45.96</v>
      </c>
      <c r="Y1255" s="785">
        <f t="shared" ca="1" si="1599"/>
        <v>45.98</v>
      </c>
      <c r="Z1255" s="785">
        <f t="shared" ca="1" si="1599"/>
        <v>45.96</v>
      </c>
      <c r="AA1255" s="785">
        <f t="shared" ca="1" si="1599"/>
        <v>46.44</v>
      </c>
      <c r="AB1255" s="785">
        <f t="shared" ca="1" si="1599"/>
        <v>43.96</v>
      </c>
      <c r="AC1255" s="785">
        <f t="shared" ca="1" si="1599"/>
        <v>42.68</v>
      </c>
      <c r="AD1255" s="785">
        <f t="shared" ca="1" si="1599"/>
        <v>44.01</v>
      </c>
      <c r="AE1255" s="785">
        <f t="shared" ca="1" si="1599"/>
        <v>42.68</v>
      </c>
      <c r="AF1255" s="785">
        <f t="shared" ca="1" si="1599"/>
        <v>46.935699999999997</v>
      </c>
      <c r="AG1255" s="785">
        <f t="shared" ca="1" si="1599"/>
        <v>46.610900000000001</v>
      </c>
      <c r="AH1255" s="785">
        <f t="shared" ca="1" si="1599"/>
        <v>55.73</v>
      </c>
      <c r="AI1255" s="785">
        <f t="shared" ref="AI1255:AQ1255" ca="1" si="1600">IF(OR(MO.RealTimeStockPriceToggle=FALSE,VLOOKUP(MO.DataSourceName,MO_SPT_StockLow_Sources,COLUMN(),FALSE)="N/A"),VLOOKUP("Real-Time Off Source",MO_SPT_StockLow_Sources,COLUMN(),FALSE),VLOOKUP(MO.DataSourceName,MO_SPT_StockLow_Sources,COLUMN(),FALSE))</f>
        <v>45.54</v>
      </c>
      <c r="AJ1255" s="785">
        <f t="shared" ca="1" si="1600"/>
        <v>45.54</v>
      </c>
      <c r="AK1255" s="785">
        <f t="shared" ca="1" si="1600"/>
        <v>52.88</v>
      </c>
      <c r="AL1255" s="785">
        <f t="shared" ca="1" si="1600"/>
        <v>51.13</v>
      </c>
      <c r="AM1255" s="785">
        <f t="shared" ca="1" si="1600"/>
        <v>62.19</v>
      </c>
      <c r="AN1255" s="785">
        <f t="shared" ca="1" si="1600"/>
        <v>67.42</v>
      </c>
      <c r="AO1255" s="785">
        <f t="shared" ca="1" si="1600"/>
        <v>51.13</v>
      </c>
      <c r="AP1255" s="785">
        <f t="shared" ca="1" si="1600"/>
        <v>30.66</v>
      </c>
      <c r="AQ1255" s="785">
        <f t="shared" ca="1" si="1600"/>
        <v>62.61</v>
      </c>
      <c r="AR1255" s="785">
        <f t="shared" ref="AR1255:AW1255" ca="1" si="1601">IF(OR(MO.RealTimeStockPriceToggle=FALSE,VLOOKUP(MO.DataSourceName,MO_SPT_StockLow_Sources,COLUMN(),FALSE)="N/A"),VLOOKUP("Real-Time Off Source",MO_SPT_StockLow_Sources,COLUMN(),FALSE),VLOOKUP(MO.DataSourceName,MO_SPT_StockLow_Sources,COLUMN(),FALSE))</f>
        <v>84.56</v>
      </c>
      <c r="AS1255" s="785">
        <f t="shared" ca="1" si="1601"/>
        <v>89.82</v>
      </c>
      <c r="AT1255" s="785">
        <f t="shared" ca="1" si="1601"/>
        <v>30.66</v>
      </c>
      <c r="AU1255" s="785">
        <f t="shared" ca="1" si="1601"/>
        <v>124.34</v>
      </c>
      <c r="AV1255" s="785">
        <f t="shared" ca="1" si="1601"/>
        <v>150.93</v>
      </c>
      <c r="AW1255" s="785">
        <f t="shared" ca="1" si="1601"/>
        <v>152.84</v>
      </c>
      <c r="AX1255" s="785">
        <f t="shared" ref="AX1255:AY1255" ca="1" si="1602">IF(OR(MO.RealTimeStockPriceToggle=FALSE,VLOOKUP(MO.DataSourceName,MO_SPT_StockLow_Sources,COLUMN(),FALSE)="N/A"),VLOOKUP("Real-Time Off Source",MO_SPT_StockLow_Sources,COLUMN(),FALSE),VLOOKUP(MO.DataSourceName,MO_SPT_StockLow_Sources,COLUMN(),FALSE))</f>
        <v>142.58000000000001</v>
      </c>
      <c r="AY1255" s="785">
        <f t="shared" ca="1" si="1602"/>
        <v>124.34</v>
      </c>
      <c r="AZ1255" s="785">
        <f t="shared" ref="AZ1255:BD1255" ca="1" si="1603">IF(OR(MO.RealTimeStockPriceToggle=FALSE,VLOOKUP(MO.DataSourceName,MO_SPT_StockLow_Sources,COLUMN(),FALSE)="N/A"),VLOOKUP("Real-Time Off Source",MO_SPT_StockLow_Sources,COLUMN(),FALSE),VLOOKUP(MO.DataSourceName,MO_SPT_StockLow_Sources,COLUMN(),FALSE))</f>
        <v>130.47999999999999</v>
      </c>
      <c r="BA1255" s="785">
        <f t="shared" ca="1" si="1603"/>
        <v>105.47</v>
      </c>
      <c r="BB1255" s="785">
        <f t="shared" ca="1" si="1603"/>
        <v>113.51</v>
      </c>
      <c r="BC1255" s="785">
        <f t="shared" ca="1" si="1603"/>
        <v>111.71</v>
      </c>
      <c r="BD1255" s="785">
        <f t="shared" ca="1" si="1603"/>
        <v>105.47</v>
      </c>
      <c r="BE1255" s="785">
        <f t="shared" ref="BE1255:BV1255" ca="1" si="1604">IF(OR(MO.RealTimeStockPriceToggle=FALSE,VLOOKUP(MO.DataSourceName,MO_SPT_StockLow_Sources,COLUMN(),FALSE)="N/A"),VLOOKUP("Real-Time Off Source",MO_SPT_StockLow_Sources,COLUMN(),FALSE),VLOOKUP(MO.DataSourceName,MO_SPT_StockLow_Sources,COLUMN(),FALSE))</f>
        <v>116.86</v>
      </c>
      <c r="BF1255" s="785">
        <f t="shared" ca="1" si="1604"/>
        <v>111.16</v>
      </c>
      <c r="BG1255" s="785">
        <f t="shared" ca="1" si="1604"/>
        <v>125.15</v>
      </c>
      <c r="BH1255" s="785">
        <f t="shared" ca="1" si="1604"/>
        <v>147.52000000000001</v>
      </c>
      <c r="BI1255" s="785">
        <f t="shared" ca="1" si="1604"/>
        <v>111.16</v>
      </c>
      <c r="BJ1255" s="1067">
        <f ca="1">IF(OR(MO.RealTimeStockPriceToggle=FALSE,VLOOKUP(MO.DataSourceName,MO_SPT_StockLow_Sources,COLUMN(),FALSE)="N/A"),VLOOKUP("Real-Time Off Source",MO_SPT_StockLow_Sources,COLUMN(),FALSE),VLOOKUP(MO.DataSourceName,MO_SPT_StockLow_Sources,COLUMN(),FALSE))</f>
        <v>193.39</v>
      </c>
      <c r="BK1255" s="785">
        <f t="shared" ca="1" si="1604"/>
        <v>0</v>
      </c>
      <c r="BL1255" s="785">
        <f t="shared" ca="1" si="1604"/>
        <v>0</v>
      </c>
      <c r="BM1255" s="785">
        <f t="shared" ca="1" si="1604"/>
        <v>0</v>
      </c>
      <c r="BN1255" s="785">
        <f t="shared" ca="1" si="1604"/>
        <v>0</v>
      </c>
      <c r="BO1255" s="785">
        <f t="shared" ca="1" si="1604"/>
        <v>0</v>
      </c>
      <c r="BP1255" s="785">
        <f t="shared" ca="1" si="1604"/>
        <v>0</v>
      </c>
      <c r="BQ1255" s="785">
        <f t="shared" ca="1" si="1604"/>
        <v>0</v>
      </c>
      <c r="BR1255" s="785">
        <f t="shared" ca="1" si="1604"/>
        <v>0</v>
      </c>
      <c r="BS1255" s="785">
        <f t="shared" ca="1" si="1604"/>
        <v>0</v>
      </c>
      <c r="BT1255" s="785">
        <f t="shared" ca="1" si="1604"/>
        <v>0</v>
      </c>
      <c r="BU1255" s="785">
        <f t="shared" ca="1" si="1604"/>
        <v>0</v>
      </c>
      <c r="BV1255" s="1068">
        <f t="shared" ca="1" si="1604"/>
        <v>0</v>
      </c>
      <c r="BW1255" s="1069"/>
    </row>
    <row r="1256" spans="1:75" s="921" customFormat="1" hidden="1" outlineLevel="1" x14ac:dyDescent="0.5">
      <c r="A1256" s="1070" t="s">
        <v>1611</v>
      </c>
      <c r="B1256" s="785"/>
      <c r="C1256" s="1368">
        <v>7.55</v>
      </c>
      <c r="D1256" s="1368">
        <v>18.420000000000002</v>
      </c>
      <c r="E1256" s="1071">
        <v>27.9</v>
      </c>
      <c r="F1256" s="1071">
        <v>32.67</v>
      </c>
      <c r="G1256" s="1071">
        <v>43.63</v>
      </c>
      <c r="H1256" s="1071">
        <v>51.98</v>
      </c>
      <c r="I1256" s="1071">
        <v>51.7</v>
      </c>
      <c r="J1256" s="1071">
        <v>51.91</v>
      </c>
      <c r="K1256" s="1071">
        <v>43.63</v>
      </c>
      <c r="L1256" s="1071">
        <v>52.46</v>
      </c>
      <c r="M1256" s="1071">
        <v>60.47</v>
      </c>
      <c r="N1256" s="1071">
        <v>62.35</v>
      </c>
      <c r="O1256" s="1071">
        <v>64.17</v>
      </c>
      <c r="P1256" s="1071">
        <v>52.46</v>
      </c>
      <c r="Q1256" s="1071">
        <v>73.14</v>
      </c>
      <c r="R1256" s="1071">
        <v>74.75</v>
      </c>
      <c r="S1256" s="1071">
        <v>71.03</v>
      </c>
      <c r="T1256" s="1071">
        <v>47.33</v>
      </c>
      <c r="U1256" s="1071">
        <v>47.33</v>
      </c>
      <c r="V1256" s="1071">
        <v>49.39</v>
      </c>
      <c r="W1256" s="1071">
        <v>47.66</v>
      </c>
      <c r="X1256" s="1071">
        <v>45.96</v>
      </c>
      <c r="Y1256" s="1071">
        <v>45.98</v>
      </c>
      <c r="Z1256" s="1071">
        <v>45.96</v>
      </c>
      <c r="AA1256" s="1071">
        <v>46.44</v>
      </c>
      <c r="AB1256" s="1071">
        <v>43.96</v>
      </c>
      <c r="AC1256" s="1071">
        <v>42.68</v>
      </c>
      <c r="AD1256" s="1071">
        <v>44.01</v>
      </c>
      <c r="AE1256" s="1071">
        <v>42.68</v>
      </c>
      <c r="AF1256" s="1071">
        <v>46.935699999999997</v>
      </c>
      <c r="AG1256" s="1071">
        <v>46.610900000000001</v>
      </c>
      <c r="AH1256" s="1071">
        <v>55.73</v>
      </c>
      <c r="AI1256" s="1071">
        <v>45.54</v>
      </c>
      <c r="AJ1256" s="1071">
        <v>45.54</v>
      </c>
      <c r="AK1256" s="1071">
        <v>52.88</v>
      </c>
      <c r="AL1256" s="1071">
        <v>51.13</v>
      </c>
      <c r="AM1256" s="1071">
        <v>62.19</v>
      </c>
      <c r="AN1256" s="1071">
        <v>67.42</v>
      </c>
      <c r="AO1256" s="1071">
        <v>51.13</v>
      </c>
      <c r="AP1256" s="1071">
        <v>30.66</v>
      </c>
      <c r="AQ1256" s="1071">
        <v>62.61</v>
      </c>
      <c r="AR1256" s="1071">
        <v>84.56</v>
      </c>
      <c r="AS1256" s="1071">
        <v>89.82</v>
      </c>
      <c r="AT1256" s="1071">
        <v>30.66</v>
      </c>
      <c r="AU1256" s="1071">
        <v>124.34</v>
      </c>
      <c r="AV1256" s="1071">
        <v>150.93</v>
      </c>
      <c r="AW1256" s="1071">
        <v>152.84</v>
      </c>
      <c r="AX1256" s="1071">
        <v>142.58000000000001</v>
      </c>
      <c r="AY1256" s="1071">
        <v>124.34</v>
      </c>
      <c r="AZ1256" s="1071">
        <v>130.47999999999999</v>
      </c>
      <c r="BA1256" s="1071">
        <v>105.47</v>
      </c>
      <c r="BB1256" s="1071">
        <v>113.51</v>
      </c>
      <c r="BC1256" s="1071">
        <v>111.71</v>
      </c>
      <c r="BD1256" s="1071">
        <v>105.47</v>
      </c>
      <c r="BE1256" s="1071">
        <v>116.86</v>
      </c>
      <c r="BF1256" s="1071">
        <v>111.16</v>
      </c>
      <c r="BG1256" s="1071">
        <v>125.15</v>
      </c>
      <c r="BH1256" s="1071">
        <v>147.52000000000001</v>
      </c>
      <c r="BI1256" s="1071">
        <v>111.16</v>
      </c>
      <c r="BJ1256" s="1072">
        <v>193.39</v>
      </c>
      <c r="BK1256" s="785"/>
      <c r="BL1256" s="785"/>
      <c r="BM1256" s="785"/>
      <c r="BN1256" s="785"/>
      <c r="BO1256" s="785"/>
      <c r="BP1256" s="785"/>
      <c r="BQ1256" s="785"/>
      <c r="BR1256" s="785"/>
      <c r="BS1256" s="785"/>
      <c r="BT1256" s="785"/>
      <c r="BU1256" s="785"/>
      <c r="BV1256" s="1068"/>
      <c r="BW1256" s="1069"/>
    </row>
    <row r="1257" spans="1:75" s="921" customFormat="1" hidden="1" outlineLevel="1" x14ac:dyDescent="0.5">
      <c r="A1257" s="1070" t="s">
        <v>103</v>
      </c>
      <c r="B1257" s="785"/>
      <c r="C1257" s="1066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D1257" s="1066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E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F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G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H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I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J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K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L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M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N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O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P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Q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R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S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T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U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V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W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X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Y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Z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A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B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C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D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E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F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G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H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I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J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K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L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M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N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O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P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Q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R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S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T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U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V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W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X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Y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Z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A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B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C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D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E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F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G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H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I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J1257" s="1067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K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L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M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N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O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P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Q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R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S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T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U1257" s="78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V1257" s="1068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W1257" s="1069"/>
    </row>
    <row r="1258" spans="1:75" s="921" customFormat="1" hidden="1" outlineLevel="1" x14ac:dyDescent="0.5">
      <c r="A1258" s="1070" t="s">
        <v>1612</v>
      </c>
      <c r="B1258" s="785"/>
      <c r="C1258" s="1066" t="str">
        <f ca="1">IFERROR(CIQLO(MO.Ticker.CapIQ,"IQ_LASTSALEPRICE",INDEX(MO_SNA_FPStartDate,0,COLUMN()),INDEX(MO_Common_QEndDate,0,COLUMN())),"N/A")</f>
        <v>N/A</v>
      </c>
      <c r="D1258" s="1066" t="str">
        <f ca="1">IFERROR(CIQLO(MO.Ticker.CapIQ,"IQ_LASTSALEPRICE",INDEX(MO_SNA_FPStartDate,0,COLUMN()),INDEX(MO_Common_QEndDate,0,COLUMN())),"N/A")</f>
        <v>N/A</v>
      </c>
      <c r="E1258" s="785" t="str">
        <f ca="1">IFERROR(CIQLO(MO.Ticker.CapIQ,"IQ_LASTSALEPRICE",INDEX(MO_SNA_FPStartDate,0,COLUMN()),INDEX(MO_Common_QEndDate,0,COLUMN())),"N/A")</f>
        <v>N/A</v>
      </c>
      <c r="F1258" s="785" t="str">
        <f ca="1">IFERROR(CIQLO(MO.Ticker.CapIQ,"IQ_LASTSALEPRICE",INDEX(MO_SNA_FPStartDate,0,COLUMN()),INDEX(MO_Common_QEndDate,0,COLUMN())),"N/A")</f>
        <v>N/A</v>
      </c>
      <c r="G1258" s="785" t="str">
        <f ca="1">IFERROR(CIQLO(MO.Ticker.CapIQ,"IQ_LASTSALEPRICE",INDEX(MO_SNA_FPStartDate,0,COLUMN()),INDEX(MO_Common_QEndDate,0,COLUMN())),"N/A")</f>
        <v>N/A</v>
      </c>
      <c r="H1258" s="785" t="str">
        <f ca="1">IFERROR(CIQLO(MO.Ticker.CapIQ,"IQ_LASTSALEPRICE",INDEX(MO_SNA_FPStartDate,0,COLUMN()),INDEX(MO_Common_QEndDate,0,COLUMN())),"N/A")</f>
        <v>N/A</v>
      </c>
      <c r="I1258" s="785" t="str">
        <f ca="1">IFERROR(CIQLO(MO.Ticker.CapIQ,"IQ_LASTSALEPRICE",INDEX(MO_SNA_FPStartDate,0,COLUMN()),INDEX(MO_Common_QEndDate,0,COLUMN())),"N/A")</f>
        <v>N/A</v>
      </c>
      <c r="J1258" s="785" t="str">
        <f ca="1">IFERROR(CIQLO(MO.Ticker.CapIQ,"IQ_LASTSALEPRICE",INDEX(MO_SNA_FPStartDate,0,COLUMN()),INDEX(MO_Common_QEndDate,0,COLUMN())),"N/A")</f>
        <v>N/A</v>
      </c>
      <c r="K1258" s="785" t="str">
        <f ca="1">IFERROR(CIQLO(MO.Ticker.CapIQ,"IQ_LASTSALEPRICE",INDEX(MO_SNA_FPStartDate,0,COLUMN()),INDEX(MO_Common_QEndDate,0,COLUMN())),"N/A")</f>
        <v>N/A</v>
      </c>
      <c r="L1258" s="785" t="str">
        <f ca="1">IFERROR(CIQLO(MO.Ticker.CapIQ,"IQ_LASTSALEPRICE",INDEX(MO_SNA_FPStartDate,0,COLUMN()),INDEX(MO_Common_QEndDate,0,COLUMN())),"N/A")</f>
        <v>N/A</v>
      </c>
      <c r="M1258" s="785" t="str">
        <f ca="1">IFERROR(CIQLO(MO.Ticker.CapIQ,"IQ_LASTSALEPRICE",INDEX(MO_SNA_FPStartDate,0,COLUMN()),INDEX(MO_Common_QEndDate,0,COLUMN())),"N/A")</f>
        <v>N/A</v>
      </c>
      <c r="N1258" s="785" t="str">
        <f ca="1">IFERROR(CIQLO(MO.Ticker.CapIQ,"IQ_LASTSALEPRICE",INDEX(MO_SNA_FPStartDate,0,COLUMN()),INDEX(MO_Common_QEndDate,0,COLUMN())),"N/A")</f>
        <v>N/A</v>
      </c>
      <c r="O1258" s="785" t="str">
        <f ca="1">IFERROR(CIQLO(MO.Ticker.CapIQ,"IQ_LASTSALEPRICE",INDEX(MO_SNA_FPStartDate,0,COLUMN()),INDEX(MO_Common_QEndDate,0,COLUMN())),"N/A")</f>
        <v>N/A</v>
      </c>
      <c r="P1258" s="785" t="str">
        <f ca="1">IFERROR(CIQLO(MO.Ticker.CapIQ,"IQ_LASTSALEPRICE",INDEX(MO_SNA_FPStartDate,0,COLUMN()),INDEX(MO_Common_QEndDate,0,COLUMN())),"N/A")</f>
        <v>N/A</v>
      </c>
      <c r="Q1258" s="785" t="str">
        <f ca="1">IFERROR(CIQLO(MO.Ticker.CapIQ,"IQ_LASTSALEPRICE",INDEX(MO_SNA_FPStartDate,0,COLUMN()),INDEX(MO_Common_QEndDate,0,COLUMN())),"N/A")</f>
        <v>N/A</v>
      </c>
      <c r="R1258" s="785" t="str">
        <f ca="1">IFERROR(CIQLO(MO.Ticker.CapIQ,"IQ_LASTSALEPRICE",INDEX(MO_SNA_FPStartDate,0,COLUMN()),INDEX(MO_Common_QEndDate,0,COLUMN())),"N/A")</f>
        <v>N/A</v>
      </c>
      <c r="S1258" s="785" t="str">
        <f ca="1">IFERROR(CIQLO(MO.Ticker.CapIQ,"IQ_LASTSALEPRICE",INDEX(MO_SNA_FPStartDate,0,COLUMN()),INDEX(MO_Common_QEndDate,0,COLUMN())),"N/A")</f>
        <v>N/A</v>
      </c>
      <c r="T1258" s="785" t="str">
        <f ca="1">IFERROR(CIQLO(MO.Ticker.CapIQ,"IQ_LASTSALEPRICE",INDEX(MO_SNA_FPStartDate,0,COLUMN()),INDEX(MO_Common_QEndDate,0,COLUMN())),"N/A")</f>
        <v>N/A</v>
      </c>
      <c r="U1258" s="785" t="str">
        <f ca="1">IFERROR(CIQLO(MO.Ticker.CapIQ,"IQ_LASTSALEPRICE",INDEX(MO_SNA_FPStartDate,0,COLUMN()),INDEX(MO_Common_QEndDate,0,COLUMN())),"N/A")</f>
        <v>N/A</v>
      </c>
      <c r="V1258" s="785" t="str">
        <f ca="1">IFERROR(CIQLO(MO.Ticker.CapIQ,"IQ_LASTSALEPRICE",INDEX(MO_SNA_FPStartDate,0,COLUMN()),INDEX(MO_Common_QEndDate,0,COLUMN())),"N/A")</f>
        <v>N/A</v>
      </c>
      <c r="W1258" s="785" t="str">
        <f ca="1">IFERROR(CIQLO(MO.Ticker.CapIQ,"IQ_LASTSALEPRICE",INDEX(MO_SNA_FPStartDate,0,COLUMN()),INDEX(MO_Common_QEndDate,0,COLUMN())),"N/A")</f>
        <v>N/A</v>
      </c>
      <c r="X1258" s="785" t="str">
        <f ca="1">IFERROR(CIQLO(MO.Ticker.CapIQ,"IQ_LASTSALEPRICE",INDEX(MO_SNA_FPStartDate,0,COLUMN()),INDEX(MO_Common_QEndDate,0,COLUMN())),"N/A")</f>
        <v>N/A</v>
      </c>
      <c r="Y1258" s="785" t="str">
        <f ca="1">IFERROR(CIQLO(MO.Ticker.CapIQ,"IQ_LASTSALEPRICE",INDEX(MO_SNA_FPStartDate,0,COLUMN()),INDEX(MO_Common_QEndDate,0,COLUMN())),"N/A")</f>
        <v>N/A</v>
      </c>
      <c r="Z1258" s="785" t="str">
        <f ca="1">IFERROR(CIQLO(MO.Ticker.CapIQ,"IQ_LASTSALEPRICE",INDEX(MO_SNA_FPStartDate,0,COLUMN()),INDEX(MO_Common_QEndDate,0,COLUMN())),"N/A")</f>
        <v>N/A</v>
      </c>
      <c r="AA1258" s="785" t="str">
        <f ca="1">IFERROR(CIQLO(MO.Ticker.CapIQ,"IQ_LASTSALEPRICE",INDEX(MO_SNA_FPStartDate,0,COLUMN()),INDEX(MO_Common_QEndDate,0,COLUMN())),"N/A")</f>
        <v>N/A</v>
      </c>
      <c r="AB1258" s="785" t="str">
        <f ca="1">IFERROR(CIQLO(MO.Ticker.CapIQ,"IQ_LASTSALEPRICE",INDEX(MO_SNA_FPStartDate,0,COLUMN()),INDEX(MO_Common_QEndDate,0,COLUMN())),"N/A")</f>
        <v>N/A</v>
      </c>
      <c r="AC1258" s="785" t="str">
        <f ca="1">IFERROR(CIQLO(MO.Ticker.CapIQ,"IQ_LASTSALEPRICE",INDEX(MO_SNA_FPStartDate,0,COLUMN()),INDEX(MO_Common_QEndDate,0,COLUMN())),"N/A")</f>
        <v>N/A</v>
      </c>
      <c r="AD1258" s="785" t="str">
        <f ca="1">IFERROR(CIQLO(MO.Ticker.CapIQ,"IQ_LASTSALEPRICE",INDEX(MO_SNA_FPStartDate,0,COLUMN()),INDEX(MO_Common_QEndDate,0,COLUMN())),"N/A")</f>
        <v>N/A</v>
      </c>
      <c r="AE1258" s="785" t="str">
        <f ca="1">IFERROR(CIQLO(MO.Ticker.CapIQ,"IQ_LASTSALEPRICE",INDEX(MO_SNA_FPStartDate,0,COLUMN()),INDEX(MO_Common_QEndDate,0,COLUMN())),"N/A")</f>
        <v>N/A</v>
      </c>
      <c r="AF1258" s="785" t="str">
        <f ca="1">IFERROR(CIQLO(MO.Ticker.CapIQ,"IQ_LASTSALEPRICE",INDEX(MO_SNA_FPStartDate,0,COLUMN()),INDEX(MO_Common_QEndDate,0,COLUMN())),"N/A")</f>
        <v>N/A</v>
      </c>
      <c r="AG1258" s="785" t="str">
        <f ca="1">IFERROR(CIQLO(MO.Ticker.CapIQ,"IQ_LASTSALEPRICE",INDEX(MO_SNA_FPStartDate,0,COLUMN()),INDEX(MO_Common_QEndDate,0,COLUMN())),"N/A")</f>
        <v>N/A</v>
      </c>
      <c r="AH1258" s="785" t="str">
        <f ca="1">IFERROR(CIQLO(MO.Ticker.CapIQ,"IQ_LASTSALEPRICE",INDEX(MO_SNA_FPStartDate,0,COLUMN()),INDEX(MO_Common_QEndDate,0,COLUMN())),"N/A")</f>
        <v>N/A</v>
      </c>
      <c r="AI1258" s="785" t="str">
        <f ca="1">IFERROR(CIQLO(MO.Ticker.CapIQ,"IQ_LASTSALEPRICE",INDEX(MO_SNA_FPStartDate,0,COLUMN()),INDEX(MO_Common_QEndDate,0,COLUMN())),"N/A")</f>
        <v>N/A</v>
      </c>
      <c r="AJ1258" s="785" t="str">
        <f ca="1">IFERROR(CIQLO(MO.Ticker.CapIQ,"IQ_LASTSALEPRICE",INDEX(MO_SNA_FPStartDate,0,COLUMN()),INDEX(MO_Common_QEndDate,0,COLUMN())),"N/A")</f>
        <v>N/A</v>
      </c>
      <c r="AK1258" s="785" t="str">
        <f ca="1">IFERROR(CIQLO(MO.Ticker.CapIQ,"IQ_LASTSALEPRICE",INDEX(MO_SNA_FPStartDate,0,COLUMN()),INDEX(MO_Common_QEndDate,0,COLUMN())),"N/A")</f>
        <v>N/A</v>
      </c>
      <c r="AL1258" s="785" t="str">
        <f ca="1">IFERROR(CIQLO(MO.Ticker.CapIQ,"IQ_LASTSALEPRICE",INDEX(MO_SNA_FPStartDate,0,COLUMN()),INDEX(MO_Common_QEndDate,0,COLUMN())),"N/A")</f>
        <v>N/A</v>
      </c>
      <c r="AM1258" s="785" t="str">
        <f ca="1">IFERROR(CIQLO(MO.Ticker.CapIQ,"IQ_LASTSALEPRICE",INDEX(MO_SNA_FPStartDate,0,COLUMN()),INDEX(MO_Common_QEndDate,0,COLUMN())),"N/A")</f>
        <v>N/A</v>
      </c>
      <c r="AN1258" s="785" t="str">
        <f ca="1">IFERROR(CIQLO(MO.Ticker.CapIQ,"IQ_LASTSALEPRICE",INDEX(MO_SNA_FPStartDate,0,COLUMN()),INDEX(MO_Common_QEndDate,0,COLUMN())),"N/A")</f>
        <v>N/A</v>
      </c>
      <c r="AO1258" s="785" t="str">
        <f ca="1">IFERROR(CIQLO(MO.Ticker.CapIQ,"IQ_LASTSALEPRICE",INDEX(MO_SNA_FPStartDate,0,COLUMN()),INDEX(MO_Common_QEndDate,0,COLUMN())),"N/A")</f>
        <v>N/A</v>
      </c>
      <c r="AP1258" s="785" t="str">
        <f ca="1">IFERROR(CIQLO(MO.Ticker.CapIQ,"IQ_LASTSALEPRICE",INDEX(MO_SNA_FPStartDate,0,COLUMN()),INDEX(MO_Common_QEndDate,0,COLUMN())),"N/A")</f>
        <v>N/A</v>
      </c>
      <c r="AQ1258" s="785" t="str">
        <f ca="1">IFERROR(CIQLO(MO.Ticker.CapIQ,"IQ_LASTSALEPRICE",INDEX(MO_SNA_FPStartDate,0,COLUMN()),INDEX(MO_Common_QEndDate,0,COLUMN())),"N/A")</f>
        <v>N/A</v>
      </c>
      <c r="AR1258" s="785" t="str">
        <f ca="1">IFERROR(CIQLO(MO.Ticker.CapIQ,"IQ_LASTSALEPRICE",INDEX(MO_SNA_FPStartDate,0,COLUMN()),INDEX(MO_Common_QEndDate,0,COLUMN())),"N/A")</f>
        <v>N/A</v>
      </c>
      <c r="AS1258" s="785" t="str">
        <f ca="1">IFERROR(CIQLO(MO.Ticker.CapIQ,"IQ_LASTSALEPRICE",INDEX(MO_SNA_FPStartDate,0,COLUMN()),INDEX(MO_Common_QEndDate,0,COLUMN())),"N/A")</f>
        <v>N/A</v>
      </c>
      <c r="AT1258" s="785" t="str">
        <f ca="1">IFERROR(CIQLO(MO.Ticker.CapIQ,"IQ_LASTSALEPRICE",INDEX(MO_SNA_FPStartDate,0,COLUMN()),INDEX(MO_Common_QEndDate,0,COLUMN())),"N/A")</f>
        <v>N/A</v>
      </c>
      <c r="AU1258" s="785" t="str">
        <f ca="1">IFERROR(CIQLO(MO.Ticker.CapIQ,"IQ_LASTSALEPRICE",INDEX(MO_SNA_FPStartDate,0,COLUMN()),INDEX(MO_Common_QEndDate,0,COLUMN())),"N/A")</f>
        <v>N/A</v>
      </c>
      <c r="AV1258" s="785" t="str">
        <f ca="1">IFERROR(CIQLO(MO.Ticker.CapIQ,"IQ_LASTSALEPRICE",INDEX(MO_SNA_FPStartDate,0,COLUMN()),INDEX(MO_Common_QEndDate,0,COLUMN())),"N/A")</f>
        <v>N/A</v>
      </c>
      <c r="AW1258" s="785" t="str">
        <f ca="1">IFERROR(CIQLO(MO.Ticker.CapIQ,"IQ_LASTSALEPRICE",INDEX(MO_SNA_FPStartDate,0,COLUMN()),INDEX(MO_Common_QEndDate,0,COLUMN())),"N/A")</f>
        <v>N/A</v>
      </c>
      <c r="AX1258" s="785" t="str">
        <f ca="1">IFERROR(CIQLO(MO.Ticker.CapIQ,"IQ_LASTSALEPRICE",INDEX(MO_SNA_FPStartDate,0,COLUMN()),INDEX(MO_Common_QEndDate,0,COLUMN())),"N/A")</f>
        <v>N/A</v>
      </c>
      <c r="AY1258" s="785" t="str">
        <f ca="1">IFERROR(CIQLO(MO.Ticker.CapIQ,"IQ_LASTSALEPRICE",INDEX(MO_SNA_FPStartDate,0,COLUMN()),INDEX(MO_Common_QEndDate,0,COLUMN())),"N/A")</f>
        <v>N/A</v>
      </c>
      <c r="AZ1258" s="785" t="str">
        <f ca="1">IFERROR(CIQLO(MO.Ticker.CapIQ,"IQ_LASTSALEPRICE",INDEX(MO_SNA_FPStartDate,0,COLUMN()),INDEX(MO_Common_QEndDate,0,COLUMN())),"N/A")</f>
        <v>N/A</v>
      </c>
      <c r="BA1258" s="785" t="str">
        <f ca="1">IFERROR(CIQLO(MO.Ticker.CapIQ,"IQ_LASTSALEPRICE",INDEX(MO_SNA_FPStartDate,0,COLUMN()),INDEX(MO_Common_QEndDate,0,COLUMN())),"N/A")</f>
        <v>N/A</v>
      </c>
      <c r="BB1258" s="785" t="str">
        <f ca="1">IFERROR(CIQLO(MO.Ticker.CapIQ,"IQ_LASTSALEPRICE",INDEX(MO_SNA_FPStartDate,0,COLUMN()),INDEX(MO_Common_QEndDate,0,COLUMN())),"N/A")</f>
        <v>N/A</v>
      </c>
      <c r="BC1258" s="785" t="str">
        <f ca="1">IFERROR(CIQLO(MO.Ticker.CapIQ,"IQ_LASTSALEPRICE",INDEX(MO_SNA_FPStartDate,0,COLUMN()),INDEX(MO_Common_QEndDate,0,COLUMN())),"N/A")</f>
        <v>N/A</v>
      </c>
      <c r="BD1258" s="785" t="str">
        <f ca="1">IFERROR(CIQLO(MO.Ticker.CapIQ,"IQ_LASTSALEPRICE",INDEX(MO_SNA_FPStartDate,0,COLUMN()),INDEX(MO_Common_QEndDate,0,COLUMN())),"N/A")</f>
        <v>N/A</v>
      </c>
      <c r="BE1258" s="785" t="str">
        <f ca="1">IFERROR(CIQLO(MO.Ticker.CapIQ,"IQ_LASTSALEPRICE",INDEX(MO_SNA_FPStartDate,0,COLUMN()),INDEX(MO_Common_QEndDate,0,COLUMN())),"N/A")</f>
        <v>N/A</v>
      </c>
      <c r="BF1258" s="785" t="str">
        <f ca="1">IFERROR(CIQLO(MO.Ticker.CapIQ,"IQ_LASTSALEPRICE",INDEX(MO_SNA_FPStartDate,0,COLUMN()),INDEX(MO_Common_QEndDate,0,COLUMN())),"N/A")</f>
        <v>N/A</v>
      </c>
      <c r="BG1258" s="785" t="str">
        <f ca="1">IFERROR(CIQLO(MO.Ticker.CapIQ,"IQ_LASTSALEPRICE",INDEX(MO_SNA_FPStartDate,0,COLUMN()),INDEX(MO_Common_QEndDate,0,COLUMN())),"N/A")</f>
        <v>N/A</v>
      </c>
      <c r="BH1258" s="785" t="str">
        <f ca="1">IFERROR(CIQLO(MO.Ticker.CapIQ,"IQ_LASTSALEPRICE",INDEX(MO_SNA_FPStartDate,0,COLUMN()),INDEX(MO_Common_QEndDate,0,COLUMN())),"N/A")</f>
        <v>N/A</v>
      </c>
      <c r="BI1258" s="785" t="str">
        <f ca="1">IFERROR(CIQLO(MO.Ticker.CapIQ,"IQ_LASTSALEPRICE",INDEX(MO_SNA_FPStartDate,0,COLUMN()),INDEX(MO_Common_QEndDate,0,COLUMN())),"N/A")</f>
        <v>N/A</v>
      </c>
      <c r="BJ1258" s="1067" t="str">
        <f ca="1">IFERROR(CIQLO(MO.Ticker.CapIQ,"IQ_LASTSALEPRICE",INDEX(MO_SNA_FPStartDate,0,COLUMN()),INDEX(MO_Common_QEndDate,0,COLUMN())),"N/A")</f>
        <v>N/A</v>
      </c>
      <c r="BK1258" s="785" t="str">
        <f ca="1">IFERROR(CIQLO(MO.Ticker.CapIQ,"IQ_LASTSALEPRICE",INDEX(MO_SNA_FPStartDate,0,COLUMN()),INDEX(MO_Common_QEndDate,0,COLUMN())),"N/A")</f>
        <v>N/A</v>
      </c>
      <c r="BL1258" s="785" t="str">
        <f ca="1">IFERROR(CIQLO(MO.Ticker.CapIQ,"IQ_LASTSALEPRICE",INDEX(MO_SNA_FPStartDate,0,COLUMN()),INDEX(MO_Common_QEndDate,0,COLUMN())),"N/A")</f>
        <v>N/A</v>
      </c>
      <c r="BM1258" s="785" t="str">
        <f ca="1">IFERROR(CIQLO(MO.Ticker.CapIQ,"IQ_LASTSALEPRICE",INDEX(MO_SNA_FPStartDate,0,COLUMN()),INDEX(MO_Common_QEndDate,0,COLUMN())),"N/A")</f>
        <v>N/A</v>
      </c>
      <c r="BN1258" s="785" t="str">
        <f ca="1">IFERROR(CIQLO(MO.Ticker.CapIQ,"IQ_LASTSALEPRICE",INDEX(MO_SNA_FPStartDate,0,COLUMN()),INDEX(MO_Common_QEndDate,0,COLUMN())),"N/A")</f>
        <v>N/A</v>
      </c>
      <c r="BO1258" s="785" t="str">
        <f ca="1">IFERROR(CIQLO(MO.Ticker.CapIQ,"IQ_LASTSALEPRICE",INDEX(MO_SNA_FPStartDate,0,COLUMN()),INDEX(MO_Common_QEndDate,0,COLUMN())),"N/A")</f>
        <v>N/A</v>
      </c>
      <c r="BP1258" s="785" t="str">
        <f ca="1">IFERROR(CIQLO(MO.Ticker.CapIQ,"IQ_LASTSALEPRICE",INDEX(MO_SNA_FPStartDate,0,COLUMN()),INDEX(MO_Common_QEndDate,0,COLUMN())),"N/A")</f>
        <v>N/A</v>
      </c>
      <c r="BQ1258" s="785" t="str">
        <f ca="1">IFERROR(CIQLO(MO.Ticker.CapIQ,"IQ_LASTSALEPRICE",INDEX(MO_SNA_FPStartDate,0,COLUMN()),INDEX(MO_Common_QEndDate,0,COLUMN())),"N/A")</f>
        <v>N/A</v>
      </c>
      <c r="BR1258" s="785" t="str">
        <f ca="1">IFERROR(CIQLO(MO.Ticker.CapIQ,"IQ_LASTSALEPRICE",INDEX(MO_SNA_FPStartDate,0,COLUMN()),INDEX(MO_Common_QEndDate,0,COLUMN())),"N/A")</f>
        <v>N/A</v>
      </c>
      <c r="BS1258" s="785" t="str">
        <f ca="1">IFERROR(CIQLO(MO.Ticker.CapIQ,"IQ_LASTSALEPRICE",INDEX(MO_SNA_FPStartDate,0,COLUMN()),INDEX(MO_Common_QEndDate,0,COLUMN())),"N/A")</f>
        <v>N/A</v>
      </c>
      <c r="BT1258" s="785" t="str">
        <f ca="1">IFERROR(CIQLO(MO.Ticker.CapIQ,"IQ_LASTSALEPRICE",INDEX(MO_SNA_FPStartDate,0,COLUMN()),INDEX(MO_Common_QEndDate,0,COLUMN())),"N/A")</f>
        <v>N/A</v>
      </c>
      <c r="BU1258" s="785" t="str">
        <f ca="1">IFERROR(CIQLO(MO.Ticker.CapIQ,"IQ_LASTSALEPRICE",INDEX(MO_SNA_FPStartDate,0,COLUMN()),INDEX(MO_Common_QEndDate,0,COLUMN())),"N/A")</f>
        <v>N/A</v>
      </c>
      <c r="BV1258" s="1068" t="str">
        <f ca="1">IFERROR(CIQLO(MO.Ticker.CapIQ,"IQ_LASTSALEPRICE",INDEX(MO_SNA_FPStartDate,0,COLUMN()),INDEX(MO_Common_QEndDate,0,COLUMN())),"N/A")</f>
        <v>N/A</v>
      </c>
      <c r="BW1258" s="1069"/>
    </row>
    <row r="1259" spans="1:75" s="921" customFormat="1" hidden="1" outlineLevel="1" x14ac:dyDescent="0.5">
      <c r="A1259" s="1070" t="s">
        <v>1613</v>
      </c>
      <c r="B1259" s="785"/>
      <c r="C1259" s="1066" t="str">
        <f ca="1">IFERROR(FDS(MO.Ticker.FactSet,"P_PRICE_LOW"&amp;"("&amp;INDEX(MO_SNA_FPStartDate,0,COLUMN())&amp;","&amp;INDEX(MO_Common_QEndDate,0,COLUMN())&amp;",,,,""PRICE"",""CLOSE"")"),"N/A")</f>
        <v>N/A</v>
      </c>
      <c r="D1259" s="1066" t="str">
        <f ca="1">IFERROR(FDS(MO.Ticker.FactSet,"P_PRICE_LOW"&amp;"("&amp;INDEX(MO_SNA_FPStartDate,0,COLUMN())&amp;","&amp;INDEX(MO_Common_QEndDate,0,COLUMN())&amp;",,,,""PRICE"",""CLOSE"")"),"N/A")</f>
        <v>N/A</v>
      </c>
      <c r="E1259" s="785" t="str">
        <f ca="1">IFERROR(FDS(MO.Ticker.FactSet,"P_PRICE_LOW"&amp;"("&amp;INDEX(MO_SNA_FPStartDate,0,COLUMN())&amp;","&amp;INDEX(MO_Common_QEndDate,0,COLUMN())&amp;",,,,""PRICE"",""CLOSE"")"),"N/A")</f>
        <v>N/A</v>
      </c>
      <c r="F1259" s="785" t="str">
        <f ca="1">IFERROR(FDS(MO.Ticker.FactSet,"P_PRICE_LOW"&amp;"("&amp;INDEX(MO_SNA_FPStartDate,0,COLUMN())&amp;","&amp;INDEX(MO_Common_QEndDate,0,COLUMN())&amp;",,,,""PRICE"",""CLOSE"")"),"N/A")</f>
        <v>N/A</v>
      </c>
      <c r="G1259" s="785" t="str">
        <f ca="1">IFERROR(FDS(MO.Ticker.FactSet,"P_PRICE_LOW"&amp;"("&amp;INDEX(MO_SNA_FPStartDate,0,COLUMN())&amp;","&amp;INDEX(MO_Common_QEndDate,0,COLUMN())&amp;",,,,""PRICE"",""CLOSE"")"),"N/A")</f>
        <v>N/A</v>
      </c>
      <c r="H1259" s="785" t="str">
        <f ca="1">IFERROR(FDS(MO.Ticker.FactSet,"P_PRICE_LOW"&amp;"("&amp;INDEX(MO_SNA_FPStartDate,0,COLUMN())&amp;","&amp;INDEX(MO_Common_QEndDate,0,COLUMN())&amp;",,,,""PRICE"",""CLOSE"")"),"N/A")</f>
        <v>N/A</v>
      </c>
      <c r="I1259" s="785" t="str">
        <f ca="1">IFERROR(FDS(MO.Ticker.FactSet,"P_PRICE_LOW"&amp;"("&amp;INDEX(MO_SNA_FPStartDate,0,COLUMN())&amp;","&amp;INDEX(MO_Common_QEndDate,0,COLUMN())&amp;",,,,""PRICE"",""CLOSE"")"),"N/A")</f>
        <v>N/A</v>
      </c>
      <c r="J1259" s="785" t="str">
        <f ca="1">IFERROR(FDS(MO.Ticker.FactSet,"P_PRICE_LOW"&amp;"("&amp;INDEX(MO_SNA_FPStartDate,0,COLUMN())&amp;","&amp;INDEX(MO_Common_QEndDate,0,COLUMN())&amp;",,,,""PRICE"",""CLOSE"")"),"N/A")</f>
        <v>N/A</v>
      </c>
      <c r="K1259" s="785" t="str">
        <f ca="1">IFERROR(FDS(MO.Ticker.FactSet,"P_PRICE_LOW"&amp;"("&amp;INDEX(MO_SNA_FPStartDate,0,COLUMN())&amp;","&amp;INDEX(MO_Common_QEndDate,0,COLUMN())&amp;",,,,""PRICE"",""CLOSE"")"),"N/A")</f>
        <v>N/A</v>
      </c>
      <c r="L1259" s="785" t="str">
        <f ca="1">IFERROR(FDS(MO.Ticker.FactSet,"P_PRICE_LOW"&amp;"("&amp;INDEX(MO_SNA_FPStartDate,0,COLUMN())&amp;","&amp;INDEX(MO_Common_QEndDate,0,COLUMN())&amp;",,,,""PRICE"",""CLOSE"")"),"N/A")</f>
        <v>N/A</v>
      </c>
      <c r="M1259" s="785" t="str">
        <f ca="1">IFERROR(FDS(MO.Ticker.FactSet,"P_PRICE_LOW"&amp;"("&amp;INDEX(MO_SNA_FPStartDate,0,COLUMN())&amp;","&amp;INDEX(MO_Common_QEndDate,0,COLUMN())&amp;",,,,""PRICE"",""CLOSE"")"),"N/A")</f>
        <v>N/A</v>
      </c>
      <c r="N1259" s="785" t="str">
        <f ca="1">IFERROR(FDS(MO.Ticker.FactSet,"P_PRICE_LOW"&amp;"("&amp;INDEX(MO_SNA_FPStartDate,0,COLUMN())&amp;","&amp;INDEX(MO_Common_QEndDate,0,COLUMN())&amp;",,,,""PRICE"",""CLOSE"")"),"N/A")</f>
        <v>N/A</v>
      </c>
      <c r="O1259" s="785" t="str">
        <f ca="1">IFERROR(FDS(MO.Ticker.FactSet,"P_PRICE_LOW"&amp;"("&amp;INDEX(MO_SNA_FPStartDate,0,COLUMN())&amp;","&amp;INDEX(MO_Common_QEndDate,0,COLUMN())&amp;",,,,""PRICE"",""CLOSE"")"),"N/A")</f>
        <v>N/A</v>
      </c>
      <c r="P1259" s="785" t="str">
        <f ca="1">IFERROR(FDS(MO.Ticker.FactSet,"P_PRICE_LOW"&amp;"("&amp;INDEX(MO_SNA_FPStartDate,0,COLUMN())&amp;","&amp;INDEX(MO_Common_QEndDate,0,COLUMN())&amp;",,,,""PRICE"",""CLOSE"")"),"N/A")</f>
        <v>N/A</v>
      </c>
      <c r="Q1259" s="785" t="str">
        <f ca="1">IFERROR(FDS(MO.Ticker.FactSet,"P_PRICE_LOW"&amp;"("&amp;INDEX(MO_SNA_FPStartDate,0,COLUMN())&amp;","&amp;INDEX(MO_Common_QEndDate,0,COLUMN())&amp;",,,,""PRICE"",""CLOSE"")"),"N/A")</f>
        <v>N/A</v>
      </c>
      <c r="R1259" s="785" t="str">
        <f ca="1">IFERROR(FDS(MO.Ticker.FactSet,"P_PRICE_LOW"&amp;"("&amp;INDEX(MO_SNA_FPStartDate,0,COLUMN())&amp;","&amp;INDEX(MO_Common_QEndDate,0,COLUMN())&amp;",,,,""PRICE"",""CLOSE"")"),"N/A")</f>
        <v>N/A</v>
      </c>
      <c r="S1259" s="785" t="str">
        <f ca="1">IFERROR(FDS(MO.Ticker.FactSet,"P_PRICE_LOW"&amp;"("&amp;INDEX(MO_SNA_FPStartDate,0,COLUMN())&amp;","&amp;INDEX(MO_Common_QEndDate,0,COLUMN())&amp;",,,,""PRICE"",""CLOSE"")"),"N/A")</f>
        <v>N/A</v>
      </c>
      <c r="T1259" s="785" t="str">
        <f ca="1">IFERROR(FDS(MO.Ticker.FactSet,"P_PRICE_LOW"&amp;"("&amp;INDEX(MO_SNA_FPStartDate,0,COLUMN())&amp;","&amp;INDEX(MO_Common_QEndDate,0,COLUMN())&amp;",,,,""PRICE"",""CLOSE"")"),"N/A")</f>
        <v>N/A</v>
      </c>
      <c r="U1259" s="785" t="str">
        <f ca="1">IFERROR(FDS(MO.Ticker.FactSet,"P_PRICE_LOW"&amp;"("&amp;INDEX(MO_SNA_FPStartDate,0,COLUMN())&amp;","&amp;INDEX(MO_Common_QEndDate,0,COLUMN())&amp;",,,,""PRICE"",""CLOSE"")"),"N/A")</f>
        <v>N/A</v>
      </c>
      <c r="V1259" s="785" t="str">
        <f ca="1">IFERROR(FDS(MO.Ticker.FactSet,"P_PRICE_LOW"&amp;"("&amp;INDEX(MO_SNA_FPStartDate,0,COLUMN())&amp;","&amp;INDEX(MO_Common_QEndDate,0,COLUMN())&amp;",,,,""PRICE"",""CLOSE"")"),"N/A")</f>
        <v>N/A</v>
      </c>
      <c r="W1259" s="785" t="str">
        <f ca="1">IFERROR(FDS(MO.Ticker.FactSet,"P_PRICE_LOW"&amp;"("&amp;INDEX(MO_SNA_FPStartDate,0,COLUMN())&amp;","&amp;INDEX(MO_Common_QEndDate,0,COLUMN())&amp;",,,,""PRICE"",""CLOSE"")"),"N/A")</f>
        <v>N/A</v>
      </c>
      <c r="X1259" s="785" t="str">
        <f ca="1">IFERROR(FDS(MO.Ticker.FactSet,"P_PRICE_LOW"&amp;"("&amp;INDEX(MO_SNA_FPStartDate,0,COLUMN())&amp;","&amp;INDEX(MO_Common_QEndDate,0,COLUMN())&amp;",,,,""PRICE"",""CLOSE"")"),"N/A")</f>
        <v>N/A</v>
      </c>
      <c r="Y1259" s="785" t="str">
        <f ca="1">IFERROR(FDS(MO.Ticker.FactSet,"P_PRICE_LOW"&amp;"("&amp;INDEX(MO_SNA_FPStartDate,0,COLUMN())&amp;","&amp;INDEX(MO_Common_QEndDate,0,COLUMN())&amp;",,,,""PRICE"",""CLOSE"")"),"N/A")</f>
        <v>N/A</v>
      </c>
      <c r="Z1259" s="785" t="str">
        <f ca="1">IFERROR(FDS(MO.Ticker.FactSet,"P_PRICE_LOW"&amp;"("&amp;INDEX(MO_SNA_FPStartDate,0,COLUMN())&amp;","&amp;INDEX(MO_Common_QEndDate,0,COLUMN())&amp;",,,,""PRICE"",""CLOSE"")"),"N/A")</f>
        <v>N/A</v>
      </c>
      <c r="AA1259" s="785" t="str">
        <f ca="1">IFERROR(FDS(MO.Ticker.FactSet,"P_PRICE_LOW"&amp;"("&amp;INDEX(MO_SNA_FPStartDate,0,COLUMN())&amp;","&amp;INDEX(MO_Common_QEndDate,0,COLUMN())&amp;",,,,""PRICE"",""CLOSE"")"),"N/A")</f>
        <v>N/A</v>
      </c>
      <c r="AB1259" s="785" t="str">
        <f ca="1">IFERROR(FDS(MO.Ticker.FactSet,"P_PRICE_LOW"&amp;"("&amp;INDEX(MO_SNA_FPStartDate,0,COLUMN())&amp;","&amp;INDEX(MO_Common_QEndDate,0,COLUMN())&amp;",,,,""PRICE"",""CLOSE"")"),"N/A")</f>
        <v>N/A</v>
      </c>
      <c r="AC1259" s="785" t="str">
        <f ca="1">IFERROR(FDS(MO.Ticker.FactSet,"P_PRICE_LOW"&amp;"("&amp;INDEX(MO_SNA_FPStartDate,0,COLUMN())&amp;","&amp;INDEX(MO_Common_QEndDate,0,COLUMN())&amp;",,,,""PRICE"",""CLOSE"")"),"N/A")</f>
        <v>N/A</v>
      </c>
      <c r="AD1259" s="785" t="str">
        <f ca="1">IFERROR(FDS(MO.Ticker.FactSet,"P_PRICE_LOW"&amp;"("&amp;INDEX(MO_SNA_FPStartDate,0,COLUMN())&amp;","&amp;INDEX(MO_Common_QEndDate,0,COLUMN())&amp;",,,,""PRICE"",""CLOSE"")"),"N/A")</f>
        <v>N/A</v>
      </c>
      <c r="AE1259" s="785" t="str">
        <f ca="1">IFERROR(FDS(MO.Ticker.FactSet,"P_PRICE_LOW"&amp;"("&amp;INDEX(MO_SNA_FPStartDate,0,COLUMN())&amp;","&amp;INDEX(MO_Common_QEndDate,0,COLUMN())&amp;",,,,""PRICE"",""CLOSE"")"),"N/A")</f>
        <v>N/A</v>
      </c>
      <c r="AF1259" s="785" t="str">
        <f ca="1">IFERROR(FDS(MO.Ticker.FactSet,"P_PRICE_LOW"&amp;"("&amp;INDEX(MO_SNA_FPStartDate,0,COLUMN())&amp;","&amp;INDEX(MO_Common_QEndDate,0,COLUMN())&amp;",,,,""PRICE"",""CLOSE"")"),"N/A")</f>
        <v>N/A</v>
      </c>
      <c r="AG1259" s="785" t="str">
        <f ca="1">IFERROR(FDS(MO.Ticker.FactSet,"P_PRICE_LOW"&amp;"("&amp;INDEX(MO_SNA_FPStartDate,0,COLUMN())&amp;","&amp;INDEX(MO_Common_QEndDate,0,COLUMN())&amp;",,,,""PRICE"",""CLOSE"")"),"N/A")</f>
        <v>N/A</v>
      </c>
      <c r="AH1259" s="785" t="str">
        <f ca="1">IFERROR(FDS(MO.Ticker.FactSet,"P_PRICE_LOW"&amp;"("&amp;INDEX(MO_SNA_FPStartDate,0,COLUMN())&amp;","&amp;INDEX(MO_Common_QEndDate,0,COLUMN())&amp;",,,,""PRICE"",""CLOSE"")"),"N/A")</f>
        <v>N/A</v>
      </c>
      <c r="AI1259" s="785" t="str">
        <f ca="1">IFERROR(FDS(MO.Ticker.FactSet,"P_PRICE_LOW"&amp;"("&amp;INDEX(MO_SNA_FPStartDate,0,COLUMN())&amp;","&amp;INDEX(MO_Common_QEndDate,0,COLUMN())&amp;",,,,""PRICE"",""CLOSE"")"),"N/A")</f>
        <v>N/A</v>
      </c>
      <c r="AJ1259" s="785" t="str">
        <f ca="1">IFERROR(FDS(MO.Ticker.FactSet,"P_PRICE_LOW"&amp;"("&amp;INDEX(MO_SNA_FPStartDate,0,COLUMN())&amp;","&amp;INDEX(MO_Common_QEndDate,0,COLUMN())&amp;",,,,""PRICE"",""CLOSE"")"),"N/A")</f>
        <v>N/A</v>
      </c>
      <c r="AK1259" s="785" t="str">
        <f ca="1">IFERROR(FDS(MO.Ticker.FactSet,"P_PRICE_LOW"&amp;"("&amp;INDEX(MO_SNA_FPStartDate,0,COLUMN())&amp;","&amp;INDEX(MO_Common_QEndDate,0,COLUMN())&amp;",,,,""PRICE"",""CLOSE"")"),"N/A")</f>
        <v>N/A</v>
      </c>
      <c r="AL1259" s="785" t="str">
        <f ca="1">IFERROR(FDS(MO.Ticker.FactSet,"P_PRICE_LOW"&amp;"("&amp;INDEX(MO_SNA_FPStartDate,0,COLUMN())&amp;","&amp;INDEX(MO_Common_QEndDate,0,COLUMN())&amp;",,,,""PRICE"",""CLOSE"")"),"N/A")</f>
        <v>N/A</v>
      </c>
      <c r="AM1259" s="785" t="str">
        <f ca="1">IFERROR(FDS(MO.Ticker.FactSet,"P_PRICE_LOW"&amp;"("&amp;INDEX(MO_SNA_FPStartDate,0,COLUMN())&amp;","&amp;INDEX(MO_Common_QEndDate,0,COLUMN())&amp;",,,,""PRICE"",""CLOSE"")"),"N/A")</f>
        <v>N/A</v>
      </c>
      <c r="AN1259" s="785" t="str">
        <f ca="1">IFERROR(FDS(MO.Ticker.FactSet,"P_PRICE_LOW"&amp;"("&amp;INDEX(MO_SNA_FPStartDate,0,COLUMN())&amp;","&amp;INDEX(MO_Common_QEndDate,0,COLUMN())&amp;",,,,""PRICE"",""CLOSE"")"),"N/A")</f>
        <v>N/A</v>
      </c>
      <c r="AO1259" s="785" t="str">
        <f ca="1">IFERROR(FDS(MO.Ticker.FactSet,"P_PRICE_LOW"&amp;"("&amp;INDEX(MO_SNA_FPStartDate,0,COLUMN())&amp;","&amp;INDEX(MO_Common_QEndDate,0,COLUMN())&amp;",,,,""PRICE"",""CLOSE"")"),"N/A")</f>
        <v>N/A</v>
      </c>
      <c r="AP1259" s="785" t="str">
        <f ca="1">IFERROR(FDS(MO.Ticker.FactSet,"P_PRICE_LOW"&amp;"("&amp;INDEX(MO_SNA_FPStartDate,0,COLUMN())&amp;","&amp;INDEX(MO_Common_QEndDate,0,COLUMN())&amp;",,,,""PRICE"",""CLOSE"")"),"N/A")</f>
        <v>N/A</v>
      </c>
      <c r="AQ1259" s="785" t="str">
        <f ca="1">IFERROR(FDS(MO.Ticker.FactSet,"P_PRICE_LOW"&amp;"("&amp;INDEX(MO_SNA_FPStartDate,0,COLUMN())&amp;","&amp;INDEX(MO_Common_QEndDate,0,COLUMN())&amp;",,,,""PRICE"",""CLOSE"")"),"N/A")</f>
        <v>N/A</v>
      </c>
      <c r="AR1259" s="785" t="str">
        <f ca="1">IFERROR(FDS(MO.Ticker.FactSet,"P_PRICE_LOW"&amp;"("&amp;INDEX(MO_SNA_FPStartDate,0,COLUMN())&amp;","&amp;INDEX(MO_Common_QEndDate,0,COLUMN())&amp;",,,,""PRICE"",""CLOSE"")"),"N/A")</f>
        <v>N/A</v>
      </c>
      <c r="AS1259" s="785" t="str">
        <f ca="1">IFERROR(FDS(MO.Ticker.FactSet,"P_PRICE_LOW"&amp;"("&amp;INDEX(MO_SNA_FPStartDate,0,COLUMN())&amp;","&amp;INDEX(MO_Common_QEndDate,0,COLUMN())&amp;",,,,""PRICE"",""CLOSE"")"),"N/A")</f>
        <v>N/A</v>
      </c>
      <c r="AT1259" s="785" t="str">
        <f ca="1">IFERROR(FDS(MO.Ticker.FactSet,"P_PRICE_LOW"&amp;"("&amp;INDEX(MO_SNA_FPStartDate,0,COLUMN())&amp;","&amp;INDEX(MO_Common_QEndDate,0,COLUMN())&amp;",,,,""PRICE"",""CLOSE"")"),"N/A")</f>
        <v>N/A</v>
      </c>
      <c r="AU1259" s="785" t="str">
        <f ca="1">IFERROR(FDS(MO.Ticker.FactSet,"P_PRICE_LOW"&amp;"("&amp;INDEX(MO_SNA_FPStartDate,0,COLUMN())&amp;","&amp;INDEX(MO_Common_QEndDate,0,COLUMN())&amp;",,,,""PRICE"",""CLOSE"")"),"N/A")</f>
        <v>N/A</v>
      </c>
      <c r="AV1259" s="785" t="str">
        <f ca="1">IFERROR(FDS(MO.Ticker.FactSet,"P_PRICE_LOW"&amp;"("&amp;INDEX(MO_SNA_FPStartDate,0,COLUMN())&amp;","&amp;INDEX(MO_Common_QEndDate,0,COLUMN())&amp;",,,,""PRICE"",""CLOSE"")"),"N/A")</f>
        <v>N/A</v>
      </c>
      <c r="AW1259" s="785" t="str">
        <f ca="1">IFERROR(FDS(MO.Ticker.FactSet,"P_PRICE_LOW"&amp;"("&amp;INDEX(MO_SNA_FPStartDate,0,COLUMN())&amp;","&amp;INDEX(MO_Common_QEndDate,0,COLUMN())&amp;",,,,""PRICE"",""CLOSE"")"),"N/A")</f>
        <v>N/A</v>
      </c>
      <c r="AX1259" s="785" t="str">
        <f ca="1">IFERROR(FDS(MO.Ticker.FactSet,"P_PRICE_LOW"&amp;"("&amp;INDEX(MO_SNA_FPStartDate,0,COLUMN())&amp;","&amp;INDEX(MO_Common_QEndDate,0,COLUMN())&amp;",,,,""PRICE"",""CLOSE"")"),"N/A")</f>
        <v>N/A</v>
      </c>
      <c r="AY1259" s="785" t="str">
        <f ca="1">IFERROR(FDS(MO.Ticker.FactSet,"P_PRICE_LOW"&amp;"("&amp;INDEX(MO_SNA_FPStartDate,0,COLUMN())&amp;","&amp;INDEX(MO_Common_QEndDate,0,COLUMN())&amp;",,,,""PRICE"",""CLOSE"")"),"N/A")</f>
        <v>N/A</v>
      </c>
      <c r="AZ1259" s="785" t="str">
        <f ca="1">IFERROR(FDS(MO.Ticker.FactSet,"P_PRICE_LOW"&amp;"("&amp;INDEX(MO_SNA_FPStartDate,0,COLUMN())&amp;","&amp;INDEX(MO_Common_QEndDate,0,COLUMN())&amp;",,,,""PRICE"",""CLOSE"")"),"N/A")</f>
        <v>N/A</v>
      </c>
      <c r="BA1259" s="785" t="str">
        <f ca="1">IFERROR(FDS(MO.Ticker.FactSet,"P_PRICE_LOW"&amp;"("&amp;INDEX(MO_SNA_FPStartDate,0,COLUMN())&amp;","&amp;INDEX(MO_Common_QEndDate,0,COLUMN())&amp;",,,,""PRICE"",""CLOSE"")"),"N/A")</f>
        <v>N/A</v>
      </c>
      <c r="BB1259" s="785" t="str">
        <f ca="1">IFERROR(FDS(MO.Ticker.FactSet,"P_PRICE_LOW"&amp;"("&amp;INDEX(MO_SNA_FPStartDate,0,COLUMN())&amp;","&amp;INDEX(MO_Common_QEndDate,0,COLUMN())&amp;",,,,""PRICE"",""CLOSE"")"),"N/A")</f>
        <v>N/A</v>
      </c>
      <c r="BC1259" s="785" t="str">
        <f ca="1">IFERROR(FDS(MO.Ticker.FactSet,"P_PRICE_LOW"&amp;"("&amp;INDEX(MO_SNA_FPStartDate,0,COLUMN())&amp;","&amp;INDEX(MO_Common_QEndDate,0,COLUMN())&amp;",,,,""PRICE"",""CLOSE"")"),"N/A")</f>
        <v>N/A</v>
      </c>
      <c r="BD1259" s="785" t="str">
        <f ca="1">IFERROR(FDS(MO.Ticker.FactSet,"P_PRICE_LOW"&amp;"("&amp;INDEX(MO_SNA_FPStartDate,0,COLUMN())&amp;","&amp;INDEX(MO_Common_QEndDate,0,COLUMN())&amp;",,,,""PRICE"",""CLOSE"")"),"N/A")</f>
        <v>N/A</v>
      </c>
      <c r="BE1259" s="785" t="str">
        <f ca="1">IFERROR(FDS(MO.Ticker.FactSet,"P_PRICE_LOW"&amp;"("&amp;INDEX(MO_SNA_FPStartDate,0,COLUMN())&amp;","&amp;INDEX(MO_Common_QEndDate,0,COLUMN())&amp;",,,,""PRICE"",""CLOSE"")"),"N/A")</f>
        <v>N/A</v>
      </c>
      <c r="BF1259" s="785" t="str">
        <f ca="1">IFERROR(FDS(MO.Ticker.FactSet,"P_PRICE_LOW"&amp;"("&amp;INDEX(MO_SNA_FPStartDate,0,COLUMN())&amp;","&amp;INDEX(MO_Common_QEndDate,0,COLUMN())&amp;",,,,""PRICE"",""CLOSE"")"),"N/A")</f>
        <v>N/A</v>
      </c>
      <c r="BG1259" s="785" t="str">
        <f ca="1">IFERROR(FDS(MO.Ticker.FactSet,"P_PRICE_LOW"&amp;"("&amp;INDEX(MO_SNA_FPStartDate,0,COLUMN())&amp;","&amp;INDEX(MO_Common_QEndDate,0,COLUMN())&amp;",,,,""PRICE"",""CLOSE"")"),"N/A")</f>
        <v>N/A</v>
      </c>
      <c r="BH1259" s="785" t="str">
        <f ca="1">IFERROR(FDS(MO.Ticker.FactSet,"P_PRICE_LOW"&amp;"("&amp;INDEX(MO_SNA_FPStartDate,0,COLUMN())&amp;","&amp;INDEX(MO_Common_QEndDate,0,COLUMN())&amp;",,,,""PRICE"",""CLOSE"")"),"N/A")</f>
        <v>N/A</v>
      </c>
      <c r="BI1259" s="785" t="str">
        <f ca="1">IFERROR(FDS(MO.Ticker.FactSet,"P_PRICE_LOW"&amp;"("&amp;INDEX(MO_SNA_FPStartDate,0,COLUMN())&amp;","&amp;INDEX(MO_Common_QEndDate,0,COLUMN())&amp;",,,,""PRICE"",""CLOSE"")"),"N/A")</f>
        <v>N/A</v>
      </c>
      <c r="BJ1259" s="1067" t="str">
        <f ca="1">IFERROR(FDS(MO.Ticker.FactSet,"P_PRICE_LOW"&amp;"("&amp;INDEX(MO_SNA_FPStartDate,0,COLUMN())&amp;","&amp;INDEX(MO_Common_QEndDate,0,COLUMN())&amp;",,,,""PRICE"",""CLOSE"")"),"N/A")</f>
        <v>N/A</v>
      </c>
      <c r="BK1259" s="785" t="str">
        <f ca="1">IFERROR(FDS(MO.Ticker.FactSet,"P_PRICE_LOW"&amp;"("&amp;INDEX(MO_SNA_FPStartDate,0,COLUMN())&amp;","&amp;INDEX(MO_Common_QEndDate,0,COLUMN())&amp;",,,,""PRICE"",""CLOSE"")"),"N/A")</f>
        <v>N/A</v>
      </c>
      <c r="BL1259" s="785" t="str">
        <f ca="1">IFERROR(FDS(MO.Ticker.FactSet,"P_PRICE_LOW"&amp;"("&amp;INDEX(MO_SNA_FPStartDate,0,COLUMN())&amp;","&amp;INDEX(MO_Common_QEndDate,0,COLUMN())&amp;",,,,""PRICE"",""CLOSE"")"),"N/A")</f>
        <v>N/A</v>
      </c>
      <c r="BM1259" s="785" t="str">
        <f ca="1">IFERROR(FDS(MO.Ticker.FactSet,"P_PRICE_LOW"&amp;"("&amp;INDEX(MO_SNA_FPStartDate,0,COLUMN())&amp;","&amp;INDEX(MO_Common_QEndDate,0,COLUMN())&amp;",,,,""PRICE"",""CLOSE"")"),"N/A")</f>
        <v>N/A</v>
      </c>
      <c r="BN1259" s="785" t="str">
        <f ca="1">IFERROR(FDS(MO.Ticker.FactSet,"P_PRICE_LOW"&amp;"("&amp;INDEX(MO_SNA_FPStartDate,0,COLUMN())&amp;","&amp;INDEX(MO_Common_QEndDate,0,COLUMN())&amp;",,,,""PRICE"",""CLOSE"")"),"N/A")</f>
        <v>N/A</v>
      </c>
      <c r="BO1259" s="785" t="str">
        <f ca="1">IFERROR(FDS(MO.Ticker.FactSet,"P_PRICE_LOW"&amp;"("&amp;INDEX(MO_SNA_FPStartDate,0,COLUMN())&amp;","&amp;INDEX(MO_Common_QEndDate,0,COLUMN())&amp;",,,,""PRICE"",""CLOSE"")"),"N/A")</f>
        <v>N/A</v>
      </c>
      <c r="BP1259" s="785" t="str">
        <f ca="1">IFERROR(FDS(MO.Ticker.FactSet,"P_PRICE_LOW"&amp;"("&amp;INDEX(MO_SNA_FPStartDate,0,COLUMN())&amp;","&amp;INDEX(MO_Common_QEndDate,0,COLUMN())&amp;",,,,""PRICE"",""CLOSE"")"),"N/A")</f>
        <v>N/A</v>
      </c>
      <c r="BQ1259" s="785" t="str">
        <f ca="1">IFERROR(FDS(MO.Ticker.FactSet,"P_PRICE_LOW"&amp;"("&amp;INDEX(MO_SNA_FPStartDate,0,COLUMN())&amp;","&amp;INDEX(MO_Common_QEndDate,0,COLUMN())&amp;",,,,""PRICE"",""CLOSE"")"),"N/A")</f>
        <v>N/A</v>
      </c>
      <c r="BR1259" s="785" t="str">
        <f ca="1">IFERROR(FDS(MO.Ticker.FactSet,"P_PRICE_LOW"&amp;"("&amp;INDEX(MO_SNA_FPStartDate,0,COLUMN())&amp;","&amp;INDEX(MO_Common_QEndDate,0,COLUMN())&amp;",,,,""PRICE"",""CLOSE"")"),"N/A")</f>
        <v>N/A</v>
      </c>
      <c r="BS1259" s="785" t="str">
        <f ca="1">IFERROR(FDS(MO.Ticker.FactSet,"P_PRICE_LOW"&amp;"("&amp;INDEX(MO_SNA_FPStartDate,0,COLUMN())&amp;","&amp;INDEX(MO_Common_QEndDate,0,COLUMN())&amp;",,,,""PRICE"",""CLOSE"")"),"N/A")</f>
        <v>N/A</v>
      </c>
      <c r="BT1259" s="785" t="str">
        <f ca="1">IFERROR(FDS(MO.Ticker.FactSet,"P_PRICE_LOW"&amp;"("&amp;INDEX(MO_SNA_FPStartDate,0,COLUMN())&amp;","&amp;INDEX(MO_Common_QEndDate,0,COLUMN())&amp;",,,,""PRICE"",""CLOSE"")"),"N/A")</f>
        <v>N/A</v>
      </c>
      <c r="BU1259" s="785" t="str">
        <f ca="1">IFERROR(FDS(MO.Ticker.FactSet,"P_PRICE_LOW"&amp;"("&amp;INDEX(MO_SNA_FPStartDate,0,COLUMN())&amp;","&amp;INDEX(MO_Common_QEndDate,0,COLUMN())&amp;",,,,""PRICE"",""CLOSE"")"),"N/A")</f>
        <v>N/A</v>
      </c>
      <c r="BV1259" s="1068" t="str">
        <f ca="1">IFERROR(FDS(MO.Ticker.FactSet,"P_PRICE_LOW"&amp;"("&amp;INDEX(MO_SNA_FPStartDate,0,COLUMN())&amp;","&amp;INDEX(MO_Common_QEndDate,0,COLUMN())&amp;",,,,""PRICE"",""CLOSE"")"),"N/A")</f>
        <v>N/A</v>
      </c>
      <c r="BW1259" s="1069"/>
    </row>
    <row r="1260" spans="1:75" s="921" customFormat="1" hidden="1" outlineLevel="1" x14ac:dyDescent="0.5">
      <c r="A1260" s="1070" t="s">
        <v>1614</v>
      </c>
      <c r="B1260" s="785"/>
      <c r="C1260" s="1066" t="str">
        <f ca="1">IFERROR(_xll.TR(MO.Ticker.Thomson,"Min(TR.PriceLow)","sdate:#1 edate:#2",,INDEX(MO_SNA_FPStartDate,0,COLUMN()),INDEX(MO_Common_QEndDate,0,COLUMN())),"N/A")</f>
        <v>N/A</v>
      </c>
      <c r="D1260" s="1066" t="str">
        <f ca="1">IFERROR(_xll.TR(MO.Ticker.Thomson,"Min(TR.PriceLow)","sdate:#1 edate:#2",,INDEX(MO_SNA_FPStartDate,0,COLUMN()),INDEX(MO_Common_QEndDate,0,COLUMN())),"N/A")</f>
        <v>N/A</v>
      </c>
      <c r="E1260" s="785" t="str">
        <f ca="1">IFERROR(_xll.TR(MO.Ticker.Thomson,"Min(TR.PriceLow)","sdate:#1 edate:#2",,INDEX(MO_SNA_FPStartDate,0,COLUMN()),INDEX(MO_Common_QEndDate,0,COLUMN())),"N/A")</f>
        <v>N/A</v>
      </c>
      <c r="F1260" s="785" t="str">
        <f ca="1">IFERROR(_xll.TR(MO.Ticker.Thomson,"Min(TR.PriceLow)","sdate:#1 edate:#2",,INDEX(MO_SNA_FPStartDate,0,COLUMN()),INDEX(MO_Common_QEndDate,0,COLUMN())),"N/A")</f>
        <v>N/A</v>
      </c>
      <c r="G1260" s="785" t="str">
        <f ca="1">IFERROR(_xll.TR(MO.Ticker.Thomson,"Min(TR.PriceLow)","sdate:#1 edate:#2",,INDEX(MO_SNA_FPStartDate,0,COLUMN()),INDEX(MO_Common_QEndDate,0,COLUMN())),"N/A")</f>
        <v>N/A</v>
      </c>
      <c r="H1260" s="785" t="str">
        <f ca="1">IFERROR(_xll.TR(MO.Ticker.Thomson,"Min(TR.PriceLow)","sdate:#1 edate:#2",,INDEX(MO_SNA_FPStartDate,0,COLUMN()),INDEX(MO_Common_QEndDate,0,COLUMN())),"N/A")</f>
        <v>N/A</v>
      </c>
      <c r="I1260" s="785" t="str">
        <f ca="1">IFERROR(_xll.TR(MO.Ticker.Thomson,"Min(TR.PriceLow)","sdate:#1 edate:#2",,INDEX(MO_SNA_FPStartDate,0,COLUMN()),INDEX(MO_Common_QEndDate,0,COLUMN())),"N/A")</f>
        <v>N/A</v>
      </c>
      <c r="J1260" s="785" t="str">
        <f ca="1">IFERROR(_xll.TR(MO.Ticker.Thomson,"Min(TR.PriceLow)","sdate:#1 edate:#2",,INDEX(MO_SNA_FPStartDate,0,COLUMN()),INDEX(MO_Common_QEndDate,0,COLUMN())),"N/A")</f>
        <v>N/A</v>
      </c>
      <c r="K1260" s="785" t="str">
        <f ca="1">IFERROR(_xll.TR(MO.Ticker.Thomson,"Min(TR.PriceLow)","sdate:#1 edate:#2",,INDEX(MO_SNA_FPStartDate,0,COLUMN()),INDEX(MO_Common_QEndDate,0,COLUMN())),"N/A")</f>
        <v>N/A</v>
      </c>
      <c r="L1260" s="785" t="str">
        <f ca="1">IFERROR(_xll.TR(MO.Ticker.Thomson,"Min(TR.PriceLow)","sdate:#1 edate:#2",,INDEX(MO_SNA_FPStartDate,0,COLUMN()),INDEX(MO_Common_QEndDate,0,COLUMN())),"N/A")</f>
        <v>N/A</v>
      </c>
      <c r="M1260" s="785" t="str">
        <f ca="1">IFERROR(_xll.TR(MO.Ticker.Thomson,"Min(TR.PriceLow)","sdate:#1 edate:#2",,INDEX(MO_SNA_FPStartDate,0,COLUMN()),INDEX(MO_Common_QEndDate,0,COLUMN())),"N/A")</f>
        <v>N/A</v>
      </c>
      <c r="N1260" s="785" t="str">
        <f ca="1">IFERROR(_xll.TR(MO.Ticker.Thomson,"Min(TR.PriceLow)","sdate:#1 edate:#2",,INDEX(MO_SNA_FPStartDate,0,COLUMN()),INDEX(MO_Common_QEndDate,0,COLUMN())),"N/A")</f>
        <v>N/A</v>
      </c>
      <c r="O1260" s="785" t="str">
        <f ca="1">IFERROR(_xll.TR(MO.Ticker.Thomson,"Min(TR.PriceLow)","sdate:#1 edate:#2",,INDEX(MO_SNA_FPStartDate,0,COLUMN()),INDEX(MO_Common_QEndDate,0,COLUMN())),"N/A")</f>
        <v>N/A</v>
      </c>
      <c r="P1260" s="785" t="str">
        <f ca="1">IFERROR(_xll.TR(MO.Ticker.Thomson,"Min(TR.PriceLow)","sdate:#1 edate:#2",,INDEX(MO_SNA_FPStartDate,0,COLUMN()),INDEX(MO_Common_QEndDate,0,COLUMN())),"N/A")</f>
        <v>N/A</v>
      </c>
      <c r="Q1260" s="785" t="str">
        <f ca="1">IFERROR(_xll.TR(MO.Ticker.Thomson,"Min(TR.PriceLow)","sdate:#1 edate:#2",,INDEX(MO_SNA_FPStartDate,0,COLUMN()),INDEX(MO_Common_QEndDate,0,COLUMN())),"N/A")</f>
        <v>N/A</v>
      </c>
      <c r="R1260" s="785" t="str">
        <f ca="1">IFERROR(_xll.TR(MO.Ticker.Thomson,"Min(TR.PriceLow)","sdate:#1 edate:#2",,INDEX(MO_SNA_FPStartDate,0,COLUMN()),INDEX(MO_Common_QEndDate,0,COLUMN())),"N/A")</f>
        <v>N/A</v>
      </c>
      <c r="S1260" s="785" t="str">
        <f ca="1">IFERROR(_xll.TR(MO.Ticker.Thomson,"Min(TR.PriceLow)","sdate:#1 edate:#2",,INDEX(MO_SNA_FPStartDate,0,COLUMN()),INDEX(MO_Common_QEndDate,0,COLUMN())),"N/A")</f>
        <v>N/A</v>
      </c>
      <c r="T1260" s="785" t="str">
        <f ca="1">IFERROR(_xll.TR(MO.Ticker.Thomson,"Min(TR.PriceLow)","sdate:#1 edate:#2",,INDEX(MO_SNA_FPStartDate,0,COLUMN()),INDEX(MO_Common_QEndDate,0,COLUMN())),"N/A")</f>
        <v>N/A</v>
      </c>
      <c r="U1260" s="785" t="str">
        <f ca="1">IFERROR(_xll.TR(MO.Ticker.Thomson,"Min(TR.PriceLow)","sdate:#1 edate:#2",,INDEX(MO_SNA_FPStartDate,0,COLUMN()),INDEX(MO_Common_QEndDate,0,COLUMN())),"N/A")</f>
        <v>N/A</v>
      </c>
      <c r="V1260" s="785" t="str">
        <f ca="1">IFERROR(_xll.TR(MO.Ticker.Thomson,"Min(TR.PriceLow)","sdate:#1 edate:#2",,INDEX(MO_SNA_FPStartDate,0,COLUMN()),INDEX(MO_Common_QEndDate,0,COLUMN())),"N/A")</f>
        <v>N/A</v>
      </c>
      <c r="W1260" s="785" t="str">
        <f ca="1">IFERROR(_xll.TR(MO.Ticker.Thomson,"Min(TR.PriceLow)","sdate:#1 edate:#2",,INDEX(MO_SNA_FPStartDate,0,COLUMN()),INDEX(MO_Common_QEndDate,0,COLUMN())),"N/A")</f>
        <v>N/A</v>
      </c>
      <c r="X1260" s="785" t="str">
        <f ca="1">IFERROR(_xll.TR(MO.Ticker.Thomson,"Min(TR.PriceLow)","sdate:#1 edate:#2",,INDEX(MO_SNA_FPStartDate,0,COLUMN()),INDEX(MO_Common_QEndDate,0,COLUMN())),"N/A")</f>
        <v>N/A</v>
      </c>
      <c r="Y1260" s="785" t="str">
        <f ca="1">IFERROR(_xll.TR(MO.Ticker.Thomson,"Min(TR.PriceLow)","sdate:#1 edate:#2",,INDEX(MO_SNA_FPStartDate,0,COLUMN()),INDEX(MO_Common_QEndDate,0,COLUMN())),"N/A")</f>
        <v>N/A</v>
      </c>
      <c r="Z1260" s="785" t="str">
        <f ca="1">IFERROR(_xll.TR(MO.Ticker.Thomson,"Min(TR.PriceLow)","sdate:#1 edate:#2",,INDEX(MO_SNA_FPStartDate,0,COLUMN()),INDEX(MO_Common_QEndDate,0,COLUMN())),"N/A")</f>
        <v>N/A</v>
      </c>
      <c r="AA1260" s="785" t="str">
        <f ca="1">IFERROR(_xll.TR(MO.Ticker.Thomson,"Min(TR.PriceLow)","sdate:#1 edate:#2",,INDEX(MO_SNA_FPStartDate,0,COLUMN()),INDEX(MO_Common_QEndDate,0,COLUMN())),"N/A")</f>
        <v>N/A</v>
      </c>
      <c r="AB1260" s="785" t="str">
        <f ca="1">IFERROR(_xll.TR(MO.Ticker.Thomson,"Min(TR.PriceLow)","sdate:#1 edate:#2",,INDEX(MO_SNA_FPStartDate,0,COLUMN()),INDEX(MO_Common_QEndDate,0,COLUMN())),"N/A")</f>
        <v>N/A</v>
      </c>
      <c r="AC1260" s="785" t="str">
        <f ca="1">IFERROR(_xll.TR(MO.Ticker.Thomson,"Min(TR.PriceLow)","sdate:#1 edate:#2",,INDEX(MO_SNA_FPStartDate,0,COLUMN()),INDEX(MO_Common_QEndDate,0,COLUMN())),"N/A")</f>
        <v>N/A</v>
      </c>
      <c r="AD1260" s="785" t="str">
        <f ca="1">IFERROR(_xll.TR(MO.Ticker.Thomson,"Min(TR.PriceLow)","sdate:#1 edate:#2",,INDEX(MO_SNA_FPStartDate,0,COLUMN()),INDEX(MO_Common_QEndDate,0,COLUMN())),"N/A")</f>
        <v>N/A</v>
      </c>
      <c r="AE1260" s="785" t="str">
        <f ca="1">IFERROR(_xll.TR(MO.Ticker.Thomson,"Min(TR.PriceLow)","sdate:#1 edate:#2",,INDEX(MO_SNA_FPStartDate,0,COLUMN()),INDEX(MO_Common_QEndDate,0,COLUMN())),"N/A")</f>
        <v>N/A</v>
      </c>
      <c r="AF1260" s="785" t="str">
        <f ca="1">IFERROR(_xll.TR(MO.Ticker.Thomson,"Min(TR.PriceLow)","sdate:#1 edate:#2",,INDEX(MO_SNA_FPStartDate,0,COLUMN()),INDEX(MO_Common_QEndDate,0,COLUMN())),"N/A")</f>
        <v>N/A</v>
      </c>
      <c r="AG1260" s="785" t="str">
        <f ca="1">IFERROR(_xll.TR(MO.Ticker.Thomson,"Min(TR.PriceLow)","sdate:#1 edate:#2",,INDEX(MO_SNA_FPStartDate,0,COLUMN()),INDEX(MO_Common_QEndDate,0,COLUMN())),"N/A")</f>
        <v>N/A</v>
      </c>
      <c r="AH1260" s="785" t="str">
        <f ca="1">IFERROR(_xll.TR(MO.Ticker.Thomson,"Min(TR.PriceLow)","sdate:#1 edate:#2",,INDEX(MO_SNA_FPStartDate,0,COLUMN()),INDEX(MO_Common_QEndDate,0,COLUMN())),"N/A")</f>
        <v>N/A</v>
      </c>
      <c r="AI1260" s="785" t="str">
        <f ca="1">IFERROR(_xll.TR(MO.Ticker.Thomson,"Min(TR.PriceLow)","sdate:#1 edate:#2",,INDEX(MO_SNA_FPStartDate,0,COLUMN()),INDEX(MO_Common_QEndDate,0,COLUMN())),"N/A")</f>
        <v>N/A</v>
      </c>
      <c r="AJ1260" s="785" t="str">
        <f ca="1">IFERROR(_xll.TR(MO.Ticker.Thomson,"Min(TR.PriceLow)","sdate:#1 edate:#2",,INDEX(MO_SNA_FPStartDate,0,COLUMN()),INDEX(MO_Common_QEndDate,0,COLUMN())),"N/A")</f>
        <v>N/A</v>
      </c>
      <c r="AK1260" s="785" t="str">
        <f ca="1">IFERROR(_xll.TR(MO.Ticker.Thomson,"Min(TR.PriceLow)","sdate:#1 edate:#2",,INDEX(MO_SNA_FPStartDate,0,COLUMN()),INDEX(MO_Common_QEndDate,0,COLUMN())),"N/A")</f>
        <v>N/A</v>
      </c>
      <c r="AL1260" s="785" t="str">
        <f ca="1">IFERROR(_xll.TR(MO.Ticker.Thomson,"Min(TR.PriceLow)","sdate:#1 edate:#2",,INDEX(MO_SNA_FPStartDate,0,COLUMN()),INDEX(MO_Common_QEndDate,0,COLUMN())),"N/A")</f>
        <v>N/A</v>
      </c>
      <c r="AM1260" s="785" t="str">
        <f ca="1">IFERROR(_xll.TR(MO.Ticker.Thomson,"Min(TR.PriceLow)","sdate:#1 edate:#2",,INDEX(MO_SNA_FPStartDate,0,COLUMN()),INDEX(MO_Common_QEndDate,0,COLUMN())),"N/A")</f>
        <v>N/A</v>
      </c>
      <c r="AN1260" s="785" t="str">
        <f ca="1">IFERROR(_xll.TR(MO.Ticker.Thomson,"Min(TR.PriceLow)","sdate:#1 edate:#2",,INDEX(MO_SNA_FPStartDate,0,COLUMN()),INDEX(MO_Common_QEndDate,0,COLUMN())),"N/A")</f>
        <v>N/A</v>
      </c>
      <c r="AO1260" s="785" t="str">
        <f ca="1">IFERROR(_xll.TR(MO.Ticker.Thomson,"Min(TR.PriceLow)","sdate:#1 edate:#2",,INDEX(MO_SNA_FPStartDate,0,COLUMN()),INDEX(MO_Common_QEndDate,0,COLUMN())),"N/A")</f>
        <v>N/A</v>
      </c>
      <c r="AP1260" s="785" t="str">
        <f ca="1">IFERROR(_xll.TR(MO.Ticker.Thomson,"Min(TR.PriceLow)","sdate:#1 edate:#2",,INDEX(MO_SNA_FPStartDate,0,COLUMN()),INDEX(MO_Common_QEndDate,0,COLUMN())),"N/A")</f>
        <v>N/A</v>
      </c>
      <c r="AQ1260" s="785" t="str">
        <f ca="1">IFERROR(_xll.TR(MO.Ticker.Thomson,"Min(TR.PriceLow)","sdate:#1 edate:#2",,INDEX(MO_SNA_FPStartDate,0,COLUMN()),INDEX(MO_Common_QEndDate,0,COLUMN())),"N/A")</f>
        <v>N/A</v>
      </c>
      <c r="AR1260" s="785" t="str">
        <f ca="1">IFERROR(_xll.TR(MO.Ticker.Thomson,"Min(TR.PriceLow)","sdate:#1 edate:#2",,INDEX(MO_SNA_FPStartDate,0,COLUMN()),INDEX(MO_Common_QEndDate,0,COLUMN())),"N/A")</f>
        <v>N/A</v>
      </c>
      <c r="AS1260" s="785" t="str">
        <f ca="1">IFERROR(_xll.TR(MO.Ticker.Thomson,"Min(TR.PriceLow)","sdate:#1 edate:#2",,INDEX(MO_SNA_FPStartDate,0,COLUMN()),INDEX(MO_Common_QEndDate,0,COLUMN())),"N/A")</f>
        <v>N/A</v>
      </c>
      <c r="AT1260" s="785" t="str">
        <f ca="1">IFERROR(_xll.TR(MO.Ticker.Thomson,"Min(TR.PriceLow)","sdate:#1 edate:#2",,INDEX(MO_SNA_FPStartDate,0,COLUMN()),INDEX(MO_Common_QEndDate,0,COLUMN())),"N/A")</f>
        <v>N/A</v>
      </c>
      <c r="AU1260" s="785" t="str">
        <f ca="1">IFERROR(_xll.TR(MO.Ticker.Thomson,"Min(TR.PriceLow)","sdate:#1 edate:#2",,INDEX(MO_SNA_FPStartDate,0,COLUMN()),INDEX(MO_Common_QEndDate,0,COLUMN())),"N/A")</f>
        <v>N/A</v>
      </c>
      <c r="AV1260" s="785" t="str">
        <f ca="1">IFERROR(_xll.TR(MO.Ticker.Thomson,"Min(TR.PriceLow)","sdate:#1 edate:#2",,INDEX(MO_SNA_FPStartDate,0,COLUMN()),INDEX(MO_Common_QEndDate,0,COLUMN())),"N/A")</f>
        <v>N/A</v>
      </c>
      <c r="AW1260" s="785" t="str">
        <f ca="1">IFERROR(_xll.TR(MO.Ticker.Thomson,"Min(TR.PriceLow)","sdate:#1 edate:#2",,INDEX(MO_SNA_FPStartDate,0,COLUMN()),INDEX(MO_Common_QEndDate,0,COLUMN())),"N/A")</f>
        <v>N/A</v>
      </c>
      <c r="AX1260" s="785" t="str">
        <f ca="1">IFERROR(_xll.TR(MO.Ticker.Thomson,"Min(TR.PriceLow)","sdate:#1 edate:#2",,INDEX(MO_SNA_FPStartDate,0,COLUMN()),INDEX(MO_Common_QEndDate,0,COLUMN())),"N/A")</f>
        <v>N/A</v>
      </c>
      <c r="AY1260" s="785" t="str">
        <f ca="1">IFERROR(_xll.TR(MO.Ticker.Thomson,"Min(TR.PriceLow)","sdate:#1 edate:#2",,INDEX(MO_SNA_FPStartDate,0,COLUMN()),INDEX(MO_Common_QEndDate,0,COLUMN())),"N/A")</f>
        <v>N/A</v>
      </c>
      <c r="AZ1260" s="785" t="str">
        <f ca="1">IFERROR(_xll.TR(MO.Ticker.Thomson,"Min(TR.PriceLow)","sdate:#1 edate:#2",,INDEX(MO_SNA_FPStartDate,0,COLUMN()),INDEX(MO_Common_QEndDate,0,COLUMN())),"N/A")</f>
        <v>N/A</v>
      </c>
      <c r="BA1260" s="785" t="str">
        <f ca="1">IFERROR(_xll.TR(MO.Ticker.Thomson,"Min(TR.PriceLow)","sdate:#1 edate:#2",,INDEX(MO_SNA_FPStartDate,0,COLUMN()),INDEX(MO_Common_QEndDate,0,COLUMN())),"N/A")</f>
        <v>N/A</v>
      </c>
      <c r="BB1260" s="785" t="str">
        <f ca="1">IFERROR(_xll.TR(MO.Ticker.Thomson,"Min(TR.PriceLow)","sdate:#1 edate:#2",,INDEX(MO_SNA_FPStartDate,0,COLUMN()),INDEX(MO_Common_QEndDate,0,COLUMN())),"N/A")</f>
        <v>N/A</v>
      </c>
      <c r="BC1260" s="785" t="str">
        <f ca="1">IFERROR(_xll.TR(MO.Ticker.Thomson,"Min(TR.PriceLow)","sdate:#1 edate:#2",,INDEX(MO_SNA_FPStartDate,0,COLUMN()),INDEX(MO_Common_QEndDate,0,COLUMN())),"N/A")</f>
        <v>N/A</v>
      </c>
      <c r="BD1260" s="785" t="str">
        <f ca="1">IFERROR(_xll.TR(MO.Ticker.Thomson,"Min(TR.PriceLow)","sdate:#1 edate:#2",,INDEX(MO_SNA_FPStartDate,0,COLUMN()),INDEX(MO_Common_QEndDate,0,COLUMN())),"N/A")</f>
        <v>N/A</v>
      </c>
      <c r="BE1260" s="785" t="str">
        <f ca="1">IFERROR(_xll.TR(MO.Ticker.Thomson,"Min(TR.PriceLow)","sdate:#1 edate:#2",,INDEX(MO_SNA_FPStartDate,0,COLUMN()),INDEX(MO_Common_QEndDate,0,COLUMN())),"N/A")</f>
        <v>N/A</v>
      </c>
      <c r="BF1260" s="785" t="str">
        <f ca="1">IFERROR(_xll.TR(MO.Ticker.Thomson,"Min(TR.PriceLow)","sdate:#1 edate:#2",,INDEX(MO_SNA_FPStartDate,0,COLUMN()),INDEX(MO_Common_QEndDate,0,COLUMN())),"N/A")</f>
        <v>N/A</v>
      </c>
      <c r="BG1260" s="785" t="str">
        <f ca="1">IFERROR(_xll.TR(MO.Ticker.Thomson,"Min(TR.PriceLow)","sdate:#1 edate:#2",,INDEX(MO_SNA_FPStartDate,0,COLUMN()),INDEX(MO_Common_QEndDate,0,COLUMN())),"N/A")</f>
        <v>N/A</v>
      </c>
      <c r="BH1260" s="785" t="str">
        <f ca="1">IFERROR(_xll.TR(MO.Ticker.Thomson,"Min(TR.PriceLow)","sdate:#1 edate:#2",,INDEX(MO_SNA_FPStartDate,0,COLUMN()),INDEX(MO_Common_QEndDate,0,COLUMN())),"N/A")</f>
        <v>N/A</v>
      </c>
      <c r="BI1260" s="785" t="str">
        <f ca="1">IFERROR(_xll.TR(MO.Ticker.Thomson,"Min(TR.PriceLow)","sdate:#1 edate:#2",,INDEX(MO_SNA_FPStartDate,0,COLUMN()),INDEX(MO_Common_QEndDate,0,COLUMN())),"N/A")</f>
        <v>N/A</v>
      </c>
      <c r="BJ1260" s="1067" t="str">
        <f ca="1">IFERROR(_xll.TR(MO.Ticker.Thomson,"Min(TR.PriceLow)","sdate:#1 edate:#2",,INDEX(MO_SNA_FPStartDate,0,COLUMN()),INDEX(MO_Common_QEndDate,0,COLUMN())),"N/A")</f>
        <v>N/A</v>
      </c>
      <c r="BK1260" s="785" t="str">
        <f ca="1">IFERROR(_xll.TR(MO.Ticker.Thomson,"Min(TR.PriceLow)","sdate:#1 edate:#2",,INDEX(MO_SNA_FPStartDate,0,COLUMN()),INDEX(MO_Common_QEndDate,0,COLUMN())),"N/A")</f>
        <v>N/A</v>
      </c>
      <c r="BL1260" s="785" t="str">
        <f ca="1">IFERROR(_xll.TR(MO.Ticker.Thomson,"Min(TR.PriceLow)","sdate:#1 edate:#2",,INDEX(MO_SNA_FPStartDate,0,COLUMN()),INDEX(MO_Common_QEndDate,0,COLUMN())),"N/A")</f>
        <v>N/A</v>
      </c>
      <c r="BM1260" s="785" t="str">
        <f ca="1">IFERROR(_xll.TR(MO.Ticker.Thomson,"Min(TR.PriceLow)","sdate:#1 edate:#2",,INDEX(MO_SNA_FPStartDate,0,COLUMN()),INDEX(MO_Common_QEndDate,0,COLUMN())),"N/A")</f>
        <v>N/A</v>
      </c>
      <c r="BN1260" s="785" t="str">
        <f ca="1">IFERROR(_xll.TR(MO.Ticker.Thomson,"Min(TR.PriceLow)","sdate:#1 edate:#2",,INDEX(MO_SNA_FPStartDate,0,COLUMN()),INDEX(MO_Common_QEndDate,0,COLUMN())),"N/A")</f>
        <v>N/A</v>
      </c>
      <c r="BO1260" s="785" t="str">
        <f ca="1">IFERROR(_xll.TR(MO.Ticker.Thomson,"Min(TR.PriceLow)","sdate:#1 edate:#2",,INDEX(MO_SNA_FPStartDate,0,COLUMN()),INDEX(MO_Common_QEndDate,0,COLUMN())),"N/A")</f>
        <v>N/A</v>
      </c>
      <c r="BP1260" s="785" t="str">
        <f ca="1">IFERROR(_xll.TR(MO.Ticker.Thomson,"Min(TR.PriceLow)","sdate:#1 edate:#2",,INDEX(MO_SNA_FPStartDate,0,COLUMN()),INDEX(MO_Common_QEndDate,0,COLUMN())),"N/A")</f>
        <v>N/A</v>
      </c>
      <c r="BQ1260" s="785" t="str">
        <f ca="1">IFERROR(_xll.TR(MO.Ticker.Thomson,"Min(TR.PriceLow)","sdate:#1 edate:#2",,INDEX(MO_SNA_FPStartDate,0,COLUMN()),INDEX(MO_Common_QEndDate,0,COLUMN())),"N/A")</f>
        <v>N/A</v>
      </c>
      <c r="BR1260" s="785" t="str">
        <f ca="1">IFERROR(_xll.TR(MO.Ticker.Thomson,"Min(TR.PriceLow)","sdate:#1 edate:#2",,INDEX(MO_SNA_FPStartDate,0,COLUMN()),INDEX(MO_Common_QEndDate,0,COLUMN())),"N/A")</f>
        <v>N/A</v>
      </c>
      <c r="BS1260" s="785" t="str">
        <f ca="1">IFERROR(_xll.TR(MO.Ticker.Thomson,"Min(TR.PriceLow)","sdate:#1 edate:#2",,INDEX(MO_SNA_FPStartDate,0,COLUMN()),INDEX(MO_Common_QEndDate,0,COLUMN())),"N/A")</f>
        <v>N/A</v>
      </c>
      <c r="BT1260" s="785" t="str">
        <f ca="1">IFERROR(_xll.TR(MO.Ticker.Thomson,"Min(TR.PriceLow)","sdate:#1 edate:#2",,INDEX(MO_SNA_FPStartDate,0,COLUMN()),INDEX(MO_Common_QEndDate,0,COLUMN())),"N/A")</f>
        <v>N/A</v>
      </c>
      <c r="BU1260" s="785" t="str">
        <f ca="1">IFERROR(_xll.TR(MO.Ticker.Thomson,"Min(TR.PriceLow)","sdate:#1 edate:#2",,INDEX(MO_SNA_FPStartDate,0,COLUMN()),INDEX(MO_Common_QEndDate,0,COLUMN())),"N/A")</f>
        <v>N/A</v>
      </c>
      <c r="BV1260" s="1068" t="str">
        <f ca="1">IFERROR(_xll.TR(MO.Ticker.Thomson,"Min(TR.PriceLow)","sdate:#1 edate:#2",,INDEX(MO_SNA_FPStartDate,0,COLUMN()),INDEX(MO_Common_QEndDate,0,COLUMN())),"N/A")</f>
        <v>N/A</v>
      </c>
      <c r="BW1260" s="1069"/>
    </row>
    <row r="1261" spans="1:75" s="123" customFormat="1" hidden="1" outlineLevel="1" x14ac:dyDescent="0.5">
      <c r="A1261" s="1073"/>
      <c r="B1261" s="118"/>
      <c r="C1261" s="973"/>
      <c r="D1261" s="973"/>
      <c r="E1261" s="118"/>
      <c r="F1261" s="118"/>
      <c r="G1261" s="118"/>
      <c r="H1261" s="118"/>
      <c r="I1261" s="118"/>
      <c r="J1261" s="118"/>
      <c r="K1261" s="118"/>
      <c r="L1261" s="118"/>
      <c r="M1261" s="118"/>
      <c r="N1261" s="118"/>
      <c r="O1261" s="118"/>
      <c r="P1261" s="118"/>
      <c r="Q1261" s="118"/>
      <c r="R1261" s="118"/>
      <c r="S1261" s="118"/>
      <c r="T1261" s="118"/>
      <c r="U1261" s="118"/>
      <c r="V1261" s="118"/>
      <c r="W1261" s="118"/>
      <c r="X1261" s="118"/>
      <c r="Y1261" s="118"/>
      <c r="Z1261" s="118"/>
      <c r="AA1261" s="118"/>
      <c r="AB1261" s="118"/>
      <c r="AC1261" s="118"/>
      <c r="AD1261" s="118"/>
      <c r="AE1261" s="118"/>
      <c r="AF1261" s="118"/>
      <c r="AG1261" s="118"/>
      <c r="AH1261" s="118"/>
      <c r="AI1261" s="118"/>
      <c r="AJ1261" s="118"/>
      <c r="AK1261" s="118"/>
      <c r="AL1261" s="118"/>
      <c r="AM1261" s="118"/>
      <c r="AN1261" s="118"/>
      <c r="AO1261" s="118"/>
      <c r="AP1261" s="118"/>
      <c r="AQ1261" s="118"/>
      <c r="AR1261" s="118"/>
      <c r="AS1261" s="118"/>
      <c r="AT1261" s="118"/>
      <c r="AU1261" s="118"/>
      <c r="AV1261" s="118"/>
      <c r="AW1261" s="118"/>
      <c r="AX1261" s="118"/>
      <c r="AY1261" s="118"/>
      <c r="AZ1261" s="118"/>
      <c r="BA1261" s="118"/>
      <c r="BB1261" s="118"/>
      <c r="BC1261" s="118"/>
      <c r="BD1261" s="118"/>
      <c r="BE1261" s="118"/>
      <c r="BF1261" s="118"/>
      <c r="BG1261" s="118"/>
      <c r="BH1261" s="118"/>
      <c r="BI1261" s="118"/>
      <c r="BJ1261" s="971"/>
      <c r="BK1261" s="118"/>
      <c r="BL1261" s="118"/>
      <c r="BM1261" s="118"/>
      <c r="BN1261" s="118"/>
      <c r="BO1261" s="118"/>
      <c r="BP1261" s="118"/>
      <c r="BQ1261" s="118"/>
      <c r="BR1261" s="118"/>
      <c r="BS1261" s="118"/>
      <c r="BT1261" s="118"/>
      <c r="BU1261" s="118"/>
      <c r="BV1261" s="1074"/>
      <c r="BW1261" s="1039"/>
    </row>
    <row r="1262" spans="1:75" s="921" customFormat="1" collapsed="1" x14ac:dyDescent="0.5">
      <c r="A1262" s="1065" t="str">
        <f ca="1">"Stock Average: "&amp;IF(OR(MO.RealTimeStockPriceToggle=FALSE,VLOOKUP(MO.DataSourceName,MO_SPT_StockAverage_Sources,COLUMN()+2,FALSE)="N/A"),"Real-Time Off Source",MO.DataSourceName)</f>
        <v>Stock Average: Real-Time Off Source</v>
      </c>
      <c r="B1262" s="785"/>
      <c r="C1262" s="1066">
        <f t="shared" ref="C1262:AH1262" ca="1" si="1605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15.64625</v>
      </c>
      <c r="D1262" s="1066">
        <f t="shared" ca="1" si="1605"/>
        <v>29.028749999999999</v>
      </c>
      <c r="E1262" s="785">
        <f t="shared" ca="1" si="1605"/>
        <v>37.136249999999997</v>
      </c>
      <c r="F1262" s="785">
        <f t="shared" ca="1" si="1605"/>
        <v>39.962499999999999</v>
      </c>
      <c r="G1262" s="785">
        <f t="shared" ca="1" si="1605"/>
        <v>49.1</v>
      </c>
      <c r="H1262" s="785">
        <f t="shared" ca="1" si="1605"/>
        <v>56.35</v>
      </c>
      <c r="I1262" s="785">
        <f t="shared" ca="1" si="1605"/>
        <v>56.63</v>
      </c>
      <c r="J1262" s="785">
        <f t="shared" ca="1" si="1605"/>
        <v>55.99</v>
      </c>
      <c r="K1262" s="785">
        <f t="shared" ca="1" si="1605"/>
        <v>54.517499999999998</v>
      </c>
      <c r="L1262" s="785">
        <f t="shared" ca="1" si="1605"/>
        <v>60.255000000000003</v>
      </c>
      <c r="M1262" s="785">
        <f t="shared" ca="1" si="1605"/>
        <v>66.959999999999994</v>
      </c>
      <c r="N1262" s="785">
        <f t="shared" ca="1" si="1605"/>
        <v>69.02</v>
      </c>
      <c r="O1262" s="785">
        <f t="shared" ca="1" si="1605"/>
        <v>72.58</v>
      </c>
      <c r="P1262" s="785">
        <f t="shared" ca="1" si="1605"/>
        <v>67.203749999999999</v>
      </c>
      <c r="Q1262" s="785">
        <f t="shared" ca="1" si="1605"/>
        <v>78.944999999999993</v>
      </c>
      <c r="R1262" s="785">
        <f t="shared" ca="1" si="1605"/>
        <v>80.06</v>
      </c>
      <c r="S1262" s="785">
        <f t="shared" ca="1" si="1605"/>
        <v>80.204999999999998</v>
      </c>
      <c r="T1262" s="785">
        <f t="shared" ca="1" si="1605"/>
        <v>61.615000000000002</v>
      </c>
      <c r="U1262" s="785">
        <f t="shared" ca="1" si="1605"/>
        <v>75.206249999999997</v>
      </c>
      <c r="V1262" s="785">
        <f t="shared" ca="1" si="1605"/>
        <v>55.68</v>
      </c>
      <c r="W1262" s="785">
        <f t="shared" ca="1" si="1605"/>
        <v>54.344999999999999</v>
      </c>
      <c r="X1262" s="785">
        <f t="shared" ca="1" si="1605"/>
        <v>51.68</v>
      </c>
      <c r="Y1262" s="785">
        <f t="shared" ca="1" si="1605"/>
        <v>51.46</v>
      </c>
      <c r="Z1262" s="785">
        <f t="shared" ca="1" si="1605"/>
        <v>53.291249999999998</v>
      </c>
      <c r="AA1262" s="785">
        <f t="shared" ca="1" si="1605"/>
        <v>51.164999999999999</v>
      </c>
      <c r="AB1262" s="785">
        <f t="shared" ca="1" si="1605"/>
        <v>49.405000000000001</v>
      </c>
      <c r="AC1262" s="785">
        <f t="shared" ca="1" si="1605"/>
        <v>48.43</v>
      </c>
      <c r="AD1262" s="785">
        <f t="shared" ca="1" si="1605"/>
        <v>49.945</v>
      </c>
      <c r="AE1262" s="785">
        <f t="shared" ca="1" si="1605"/>
        <v>49.736249999999998</v>
      </c>
      <c r="AF1262" s="785">
        <f t="shared" ca="1" si="1605"/>
        <v>50.318453968253998</v>
      </c>
      <c r="AG1262" s="785">
        <f t="shared" ca="1" si="1605"/>
        <v>56.250880952381003</v>
      </c>
      <c r="AH1262" s="785">
        <f t="shared" ca="1" si="1605"/>
        <v>62.831870312500001</v>
      </c>
      <c r="AI1262" s="785">
        <f t="shared" ref="AI1262:AQ1262" ca="1" si="1606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54.5011430769231</v>
      </c>
      <c r="AJ1262" s="785">
        <f t="shared" ca="1" si="1606"/>
        <v>55.990910196078403</v>
      </c>
      <c r="AK1262" s="785">
        <f t="shared" ca="1" si="1606"/>
        <v>57.009365079365097</v>
      </c>
      <c r="AL1262" s="785">
        <f t="shared" ca="1" si="1606"/>
        <v>60.775238095238102</v>
      </c>
      <c r="AM1262" s="785">
        <f t="shared" ca="1" si="1606"/>
        <v>66.632031249999997</v>
      </c>
      <c r="AN1262" s="785">
        <f t="shared" ca="1" si="1606"/>
        <v>71.841147540983599</v>
      </c>
      <c r="AO1262" s="785">
        <f t="shared" ca="1" si="1606"/>
        <v>64.012709163346699</v>
      </c>
      <c r="AP1262" s="785">
        <f t="shared" ca="1" si="1606"/>
        <v>55.830317460317502</v>
      </c>
      <c r="AQ1262" s="785">
        <f t="shared" ca="1" si="1606"/>
        <v>79.522698412698404</v>
      </c>
      <c r="AR1262" s="785">
        <f t="shared" ref="AR1262:AW1262" ca="1" si="1607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93.781406250000003</v>
      </c>
      <c r="AS1262" s="785">
        <f t="shared" ca="1" si="1607"/>
        <v>109.83196721311501</v>
      </c>
      <c r="AT1262" s="785">
        <f t="shared" ca="1" si="1607"/>
        <v>84.577689243027905</v>
      </c>
      <c r="AU1262" s="785">
        <f t="shared" ca="1" si="1607"/>
        <v>152.585079365079</v>
      </c>
      <c r="AV1262" s="785">
        <f t="shared" ca="1" si="1607"/>
        <v>164.36666666666699</v>
      </c>
      <c r="AW1262" s="785">
        <f t="shared" ca="1" si="1607"/>
        <v>175.89046875</v>
      </c>
      <c r="AX1262" s="785">
        <f t="shared" ref="AX1262:AY1262" ca="1" si="1608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178.29516129032299</v>
      </c>
      <c r="AY1262" s="785">
        <f t="shared" ca="1" si="1608"/>
        <v>167.77480158730199</v>
      </c>
      <c r="AZ1262" s="785">
        <f t="shared" ref="AZ1262:BD1262" ca="1" si="1609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148.51015873015899</v>
      </c>
      <c r="BA1262" s="785">
        <f t="shared" ca="1" si="1609"/>
        <v>125.76516129032299</v>
      </c>
      <c r="BB1262" s="785">
        <f t="shared" ca="1" si="1609"/>
        <v>138.63234374999999</v>
      </c>
      <c r="BC1262" s="785">
        <f t="shared" ca="1" si="1609"/>
        <v>120.66819672131101</v>
      </c>
      <c r="BD1262" s="785">
        <f t="shared" ca="1" si="1609"/>
        <v>133.54723999999999</v>
      </c>
      <c r="BE1262" s="785">
        <f t="shared" ref="BE1262:BV1262" ca="1" si="1610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123.663333333333</v>
      </c>
      <c r="BF1262" s="785">
        <f t="shared" ca="1" si="1610"/>
        <v>122.361451612903</v>
      </c>
      <c r="BG1262" s="785">
        <f t="shared" ca="1" si="1610"/>
        <v>145.87531250000001</v>
      </c>
      <c r="BH1262" s="785">
        <f t="shared" ca="1" si="1610"/>
        <v>187.539344262295</v>
      </c>
      <c r="BI1262" s="785">
        <f t="shared" ca="1" si="1610"/>
        <v>144.61248000000001</v>
      </c>
      <c r="BJ1262" s="1067">
        <f ca="1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259.91349206349201</v>
      </c>
      <c r="BK1262" s="785">
        <f t="shared" ca="1" si="1610"/>
        <v>0</v>
      </c>
      <c r="BL1262" s="785">
        <f t="shared" ca="1" si="1610"/>
        <v>0</v>
      </c>
      <c r="BM1262" s="785">
        <f t="shared" ca="1" si="1610"/>
        <v>0</v>
      </c>
      <c r="BN1262" s="785">
        <f t="shared" ca="1" si="1610"/>
        <v>0</v>
      </c>
      <c r="BO1262" s="785">
        <f t="shared" ca="1" si="1610"/>
        <v>0</v>
      </c>
      <c r="BP1262" s="785">
        <f t="shared" ca="1" si="1610"/>
        <v>0</v>
      </c>
      <c r="BQ1262" s="785">
        <f t="shared" ca="1" si="1610"/>
        <v>0</v>
      </c>
      <c r="BR1262" s="785">
        <f t="shared" ca="1" si="1610"/>
        <v>0</v>
      </c>
      <c r="BS1262" s="785">
        <f t="shared" ca="1" si="1610"/>
        <v>0</v>
      </c>
      <c r="BT1262" s="785">
        <f t="shared" ca="1" si="1610"/>
        <v>0</v>
      </c>
      <c r="BU1262" s="785">
        <f t="shared" ca="1" si="1610"/>
        <v>0</v>
      </c>
      <c r="BV1262" s="1068">
        <f t="shared" ca="1" si="1610"/>
        <v>0</v>
      </c>
      <c r="BW1262" s="1069"/>
    </row>
    <row r="1263" spans="1:75" s="921" customFormat="1" hidden="1" outlineLevel="1" x14ac:dyDescent="0.5">
      <c r="A1263" s="1070" t="s">
        <v>1611</v>
      </c>
      <c r="B1263" s="785"/>
      <c r="C1263" s="1368">
        <v>15.64625</v>
      </c>
      <c r="D1263" s="1368">
        <v>29.028749999999999</v>
      </c>
      <c r="E1263" s="1071">
        <v>37.136249999999997</v>
      </c>
      <c r="F1263" s="1071">
        <v>39.962499999999999</v>
      </c>
      <c r="G1263" s="1071">
        <v>49.1</v>
      </c>
      <c r="H1263" s="1071">
        <v>56.35</v>
      </c>
      <c r="I1263" s="1071">
        <v>56.63</v>
      </c>
      <c r="J1263" s="1071">
        <v>55.99</v>
      </c>
      <c r="K1263" s="1071">
        <v>54.517499999999998</v>
      </c>
      <c r="L1263" s="1071">
        <v>60.255000000000003</v>
      </c>
      <c r="M1263" s="1071">
        <v>66.959999999999994</v>
      </c>
      <c r="N1263" s="1071">
        <v>69.02</v>
      </c>
      <c r="O1263" s="1071">
        <v>72.58</v>
      </c>
      <c r="P1263" s="1071">
        <v>67.203749999999999</v>
      </c>
      <c r="Q1263" s="1071">
        <v>78.944999999999993</v>
      </c>
      <c r="R1263" s="1071">
        <v>80.06</v>
      </c>
      <c r="S1263" s="1071">
        <v>80.204999999999998</v>
      </c>
      <c r="T1263" s="1071">
        <v>61.615000000000002</v>
      </c>
      <c r="U1263" s="1071">
        <v>75.206249999999997</v>
      </c>
      <c r="V1263" s="1071">
        <v>55.68</v>
      </c>
      <c r="W1263" s="1071">
        <v>54.344999999999999</v>
      </c>
      <c r="X1263" s="1071">
        <v>51.68</v>
      </c>
      <c r="Y1263" s="1071">
        <v>51.46</v>
      </c>
      <c r="Z1263" s="1071">
        <v>53.291249999999998</v>
      </c>
      <c r="AA1263" s="1071">
        <v>51.164999999999999</v>
      </c>
      <c r="AB1263" s="1071">
        <v>49.405000000000001</v>
      </c>
      <c r="AC1263" s="1071">
        <v>48.43</v>
      </c>
      <c r="AD1263" s="1071">
        <v>49.945</v>
      </c>
      <c r="AE1263" s="1071">
        <v>49.736249999999998</v>
      </c>
      <c r="AF1263" s="1071">
        <v>50.318453968253998</v>
      </c>
      <c r="AG1263" s="1071">
        <v>56.250880952381003</v>
      </c>
      <c r="AH1263" s="1071">
        <v>62.831870312500001</v>
      </c>
      <c r="AI1263" s="1071">
        <v>54.5011430769231</v>
      </c>
      <c r="AJ1263" s="1071">
        <v>55.990910196078403</v>
      </c>
      <c r="AK1263" s="1071">
        <v>57.009365079365097</v>
      </c>
      <c r="AL1263" s="1071">
        <v>60.775238095238102</v>
      </c>
      <c r="AM1263" s="1071">
        <v>66.632031249999997</v>
      </c>
      <c r="AN1263" s="1071">
        <v>71.841147540983599</v>
      </c>
      <c r="AO1263" s="1071">
        <v>64.012709163346699</v>
      </c>
      <c r="AP1263" s="1071">
        <v>55.830317460317502</v>
      </c>
      <c r="AQ1263" s="1071">
        <v>79.522698412698404</v>
      </c>
      <c r="AR1263" s="1071">
        <v>93.781406250000003</v>
      </c>
      <c r="AS1263" s="1071">
        <v>109.83196721311501</v>
      </c>
      <c r="AT1263" s="1071">
        <v>84.577689243027905</v>
      </c>
      <c r="AU1263" s="1071">
        <v>152.585079365079</v>
      </c>
      <c r="AV1263" s="1071">
        <v>164.36666666666699</v>
      </c>
      <c r="AW1263" s="1071">
        <v>175.89046875</v>
      </c>
      <c r="AX1263" s="1071">
        <v>178.29516129032299</v>
      </c>
      <c r="AY1263" s="1071">
        <v>167.77480158730199</v>
      </c>
      <c r="AZ1263" s="1071">
        <v>148.51015873015899</v>
      </c>
      <c r="BA1263" s="1071">
        <v>125.76516129032299</v>
      </c>
      <c r="BB1263" s="1071">
        <v>138.63234374999999</v>
      </c>
      <c r="BC1263" s="1071">
        <v>120.66819672131101</v>
      </c>
      <c r="BD1263" s="1071">
        <v>133.54723999999999</v>
      </c>
      <c r="BE1263" s="1071">
        <v>123.663333333333</v>
      </c>
      <c r="BF1263" s="1071">
        <v>122.361451612903</v>
      </c>
      <c r="BG1263" s="1071">
        <v>145.87531250000001</v>
      </c>
      <c r="BH1263" s="1071">
        <v>187.539344262295</v>
      </c>
      <c r="BI1263" s="1071">
        <v>144.61248000000001</v>
      </c>
      <c r="BJ1263" s="1072">
        <v>259.91349206349201</v>
      </c>
      <c r="BK1263" s="785"/>
      <c r="BL1263" s="785"/>
      <c r="BM1263" s="785"/>
      <c r="BN1263" s="785"/>
      <c r="BO1263" s="785"/>
      <c r="BP1263" s="785"/>
      <c r="BQ1263" s="785"/>
      <c r="BR1263" s="785"/>
      <c r="BS1263" s="785"/>
      <c r="BT1263" s="785"/>
      <c r="BU1263" s="785"/>
      <c r="BV1263" s="1068"/>
      <c r="BW1263" s="1069"/>
    </row>
    <row r="1264" spans="1:75" s="921" customFormat="1" hidden="1" outlineLevel="1" x14ac:dyDescent="0.5">
      <c r="A1264" s="1070" t="s">
        <v>103</v>
      </c>
      <c r="B1264" s="785"/>
      <c r="C1264" s="1066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D1264" s="1066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E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F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G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H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I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J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K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L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M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N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O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P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Q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R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S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T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U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V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W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X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Y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Z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A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B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C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D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E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F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G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H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I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J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K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L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M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N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O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P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Q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R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S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T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U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V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W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X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Y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Z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A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B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C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D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E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F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G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H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I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J1264" s="1067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K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L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M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N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O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P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Q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R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S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T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U1264" s="78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V1264" s="1068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W1264" s="1069"/>
    </row>
    <row r="1265" spans="1:75" s="921" customFormat="1" hidden="1" outlineLevel="1" x14ac:dyDescent="0.5">
      <c r="A1265" s="1070" t="s">
        <v>1612</v>
      </c>
      <c r="B1265" s="785"/>
      <c r="C1265" s="1066" t="str">
        <f ca="1">IFERROR(CIQAVG(MO.Ticker.CapIQ,"IQ_LASTSALEPRICE",INDEX(MO_SNA_FPStartDate,0,COLUMN()),INDEX(MO_Common_QEndDate,0,COLUMN())),"N/A")</f>
        <v>N/A</v>
      </c>
      <c r="D1265" s="1066" t="str">
        <f ca="1">IFERROR(CIQAVG(MO.Ticker.CapIQ,"IQ_LASTSALEPRICE",INDEX(MO_SNA_FPStartDate,0,COLUMN()),INDEX(MO_Common_QEndDate,0,COLUMN())),"N/A")</f>
        <v>N/A</v>
      </c>
      <c r="E1265" s="785" t="str">
        <f ca="1">IFERROR(CIQAVG(MO.Ticker.CapIQ,"IQ_LASTSALEPRICE",INDEX(MO_SNA_FPStartDate,0,COLUMN()),INDEX(MO_Common_QEndDate,0,COLUMN())),"N/A")</f>
        <v>N/A</v>
      </c>
      <c r="F1265" s="785" t="str">
        <f ca="1">IFERROR(CIQAVG(MO.Ticker.CapIQ,"IQ_LASTSALEPRICE",INDEX(MO_SNA_FPStartDate,0,COLUMN()),INDEX(MO_Common_QEndDate,0,COLUMN())),"N/A")</f>
        <v>N/A</v>
      </c>
      <c r="G1265" s="785" t="str">
        <f ca="1">IFERROR(CIQAVG(MO.Ticker.CapIQ,"IQ_LASTSALEPRICE",INDEX(MO_SNA_FPStartDate,0,COLUMN()),INDEX(MO_Common_QEndDate,0,COLUMN())),"N/A")</f>
        <v>N/A</v>
      </c>
      <c r="H1265" s="785" t="str">
        <f ca="1">IFERROR(CIQAVG(MO.Ticker.CapIQ,"IQ_LASTSALEPRICE",INDEX(MO_SNA_FPStartDate,0,COLUMN()),INDEX(MO_Common_QEndDate,0,COLUMN())),"N/A")</f>
        <v>N/A</v>
      </c>
      <c r="I1265" s="785" t="str">
        <f ca="1">IFERROR(CIQAVG(MO.Ticker.CapIQ,"IQ_LASTSALEPRICE",INDEX(MO_SNA_FPStartDate,0,COLUMN()),INDEX(MO_Common_QEndDate,0,COLUMN())),"N/A")</f>
        <v>N/A</v>
      </c>
      <c r="J1265" s="785" t="str">
        <f ca="1">IFERROR(CIQAVG(MO.Ticker.CapIQ,"IQ_LASTSALEPRICE",INDEX(MO_SNA_FPStartDate,0,COLUMN()),INDEX(MO_Common_QEndDate,0,COLUMN())),"N/A")</f>
        <v>N/A</v>
      </c>
      <c r="K1265" s="785" t="str">
        <f ca="1">IFERROR(CIQAVG(MO.Ticker.CapIQ,"IQ_LASTSALEPRICE",INDEX(MO_SNA_FPStartDate,0,COLUMN()),INDEX(MO_Common_QEndDate,0,COLUMN())),"N/A")</f>
        <v>N/A</v>
      </c>
      <c r="L1265" s="785" t="str">
        <f ca="1">IFERROR(CIQAVG(MO.Ticker.CapIQ,"IQ_LASTSALEPRICE",INDEX(MO_SNA_FPStartDate,0,COLUMN()),INDEX(MO_Common_QEndDate,0,COLUMN())),"N/A")</f>
        <v>N/A</v>
      </c>
      <c r="M1265" s="785" t="str">
        <f ca="1">IFERROR(CIQAVG(MO.Ticker.CapIQ,"IQ_LASTSALEPRICE",INDEX(MO_SNA_FPStartDate,0,COLUMN()),INDEX(MO_Common_QEndDate,0,COLUMN())),"N/A")</f>
        <v>N/A</v>
      </c>
      <c r="N1265" s="785" t="str">
        <f ca="1">IFERROR(CIQAVG(MO.Ticker.CapIQ,"IQ_LASTSALEPRICE",INDEX(MO_SNA_FPStartDate,0,COLUMN()),INDEX(MO_Common_QEndDate,0,COLUMN())),"N/A")</f>
        <v>N/A</v>
      </c>
      <c r="O1265" s="785" t="str">
        <f ca="1">IFERROR(CIQAVG(MO.Ticker.CapIQ,"IQ_LASTSALEPRICE",INDEX(MO_SNA_FPStartDate,0,COLUMN()),INDEX(MO_Common_QEndDate,0,COLUMN())),"N/A")</f>
        <v>N/A</v>
      </c>
      <c r="P1265" s="785" t="str">
        <f ca="1">IFERROR(CIQAVG(MO.Ticker.CapIQ,"IQ_LASTSALEPRICE",INDEX(MO_SNA_FPStartDate,0,COLUMN()),INDEX(MO_Common_QEndDate,0,COLUMN())),"N/A")</f>
        <v>N/A</v>
      </c>
      <c r="Q1265" s="785" t="str">
        <f ca="1">IFERROR(CIQAVG(MO.Ticker.CapIQ,"IQ_LASTSALEPRICE",INDEX(MO_SNA_FPStartDate,0,COLUMN()),INDEX(MO_Common_QEndDate,0,COLUMN())),"N/A")</f>
        <v>N/A</v>
      </c>
      <c r="R1265" s="785" t="str">
        <f ca="1">IFERROR(CIQAVG(MO.Ticker.CapIQ,"IQ_LASTSALEPRICE",INDEX(MO_SNA_FPStartDate,0,COLUMN()),INDEX(MO_Common_QEndDate,0,COLUMN())),"N/A")</f>
        <v>N/A</v>
      </c>
      <c r="S1265" s="785" t="str">
        <f ca="1">IFERROR(CIQAVG(MO.Ticker.CapIQ,"IQ_LASTSALEPRICE",INDEX(MO_SNA_FPStartDate,0,COLUMN()),INDEX(MO_Common_QEndDate,0,COLUMN())),"N/A")</f>
        <v>N/A</v>
      </c>
      <c r="T1265" s="785" t="str">
        <f ca="1">IFERROR(CIQAVG(MO.Ticker.CapIQ,"IQ_LASTSALEPRICE",INDEX(MO_SNA_FPStartDate,0,COLUMN()),INDEX(MO_Common_QEndDate,0,COLUMN())),"N/A")</f>
        <v>N/A</v>
      </c>
      <c r="U1265" s="785" t="str">
        <f ca="1">IFERROR(CIQAVG(MO.Ticker.CapIQ,"IQ_LASTSALEPRICE",INDEX(MO_SNA_FPStartDate,0,COLUMN()),INDEX(MO_Common_QEndDate,0,COLUMN())),"N/A")</f>
        <v>N/A</v>
      </c>
      <c r="V1265" s="785" t="str">
        <f ca="1">IFERROR(CIQAVG(MO.Ticker.CapIQ,"IQ_LASTSALEPRICE",INDEX(MO_SNA_FPStartDate,0,COLUMN()),INDEX(MO_Common_QEndDate,0,COLUMN())),"N/A")</f>
        <v>N/A</v>
      </c>
      <c r="W1265" s="785" t="str">
        <f ca="1">IFERROR(CIQAVG(MO.Ticker.CapIQ,"IQ_LASTSALEPRICE",INDEX(MO_SNA_FPStartDate,0,COLUMN()),INDEX(MO_Common_QEndDate,0,COLUMN())),"N/A")</f>
        <v>N/A</v>
      </c>
      <c r="X1265" s="785" t="str">
        <f ca="1">IFERROR(CIQAVG(MO.Ticker.CapIQ,"IQ_LASTSALEPRICE",INDEX(MO_SNA_FPStartDate,0,COLUMN()),INDEX(MO_Common_QEndDate,0,COLUMN())),"N/A")</f>
        <v>N/A</v>
      </c>
      <c r="Y1265" s="785" t="str">
        <f ca="1">IFERROR(CIQAVG(MO.Ticker.CapIQ,"IQ_LASTSALEPRICE",INDEX(MO_SNA_FPStartDate,0,COLUMN()),INDEX(MO_Common_QEndDate,0,COLUMN())),"N/A")</f>
        <v>N/A</v>
      </c>
      <c r="Z1265" s="785" t="str">
        <f ca="1">IFERROR(CIQAVG(MO.Ticker.CapIQ,"IQ_LASTSALEPRICE",INDEX(MO_SNA_FPStartDate,0,COLUMN()),INDEX(MO_Common_QEndDate,0,COLUMN())),"N/A")</f>
        <v>N/A</v>
      </c>
      <c r="AA1265" s="785" t="str">
        <f ca="1">IFERROR(CIQAVG(MO.Ticker.CapIQ,"IQ_LASTSALEPRICE",INDEX(MO_SNA_FPStartDate,0,COLUMN()),INDEX(MO_Common_QEndDate,0,COLUMN())),"N/A")</f>
        <v>N/A</v>
      </c>
      <c r="AB1265" s="785" t="str">
        <f ca="1">IFERROR(CIQAVG(MO.Ticker.CapIQ,"IQ_LASTSALEPRICE",INDEX(MO_SNA_FPStartDate,0,COLUMN()),INDEX(MO_Common_QEndDate,0,COLUMN())),"N/A")</f>
        <v>N/A</v>
      </c>
      <c r="AC1265" s="785" t="str">
        <f ca="1">IFERROR(CIQAVG(MO.Ticker.CapIQ,"IQ_LASTSALEPRICE",INDEX(MO_SNA_FPStartDate,0,COLUMN()),INDEX(MO_Common_QEndDate,0,COLUMN())),"N/A")</f>
        <v>N/A</v>
      </c>
      <c r="AD1265" s="785" t="str">
        <f ca="1">IFERROR(CIQAVG(MO.Ticker.CapIQ,"IQ_LASTSALEPRICE",INDEX(MO_SNA_FPStartDate,0,COLUMN()),INDEX(MO_Common_QEndDate,0,COLUMN())),"N/A")</f>
        <v>N/A</v>
      </c>
      <c r="AE1265" s="785" t="str">
        <f ca="1">IFERROR(CIQAVG(MO.Ticker.CapIQ,"IQ_LASTSALEPRICE",INDEX(MO_SNA_FPStartDate,0,COLUMN()),INDEX(MO_Common_QEndDate,0,COLUMN())),"N/A")</f>
        <v>N/A</v>
      </c>
      <c r="AF1265" s="785" t="str">
        <f ca="1">IFERROR(CIQAVG(MO.Ticker.CapIQ,"IQ_LASTSALEPRICE",INDEX(MO_SNA_FPStartDate,0,COLUMN()),INDEX(MO_Common_QEndDate,0,COLUMN())),"N/A")</f>
        <v>N/A</v>
      </c>
      <c r="AG1265" s="785" t="str">
        <f ca="1">IFERROR(CIQAVG(MO.Ticker.CapIQ,"IQ_LASTSALEPRICE",INDEX(MO_SNA_FPStartDate,0,COLUMN()),INDEX(MO_Common_QEndDate,0,COLUMN())),"N/A")</f>
        <v>N/A</v>
      </c>
      <c r="AH1265" s="785" t="str">
        <f ca="1">IFERROR(CIQAVG(MO.Ticker.CapIQ,"IQ_LASTSALEPRICE",INDEX(MO_SNA_FPStartDate,0,COLUMN()),INDEX(MO_Common_QEndDate,0,COLUMN())),"N/A")</f>
        <v>N/A</v>
      </c>
      <c r="AI1265" s="785" t="str">
        <f ca="1">IFERROR(CIQAVG(MO.Ticker.CapIQ,"IQ_LASTSALEPRICE",INDEX(MO_SNA_FPStartDate,0,COLUMN()),INDEX(MO_Common_QEndDate,0,COLUMN())),"N/A")</f>
        <v>N/A</v>
      </c>
      <c r="AJ1265" s="785" t="str">
        <f ca="1">IFERROR(CIQAVG(MO.Ticker.CapIQ,"IQ_LASTSALEPRICE",INDEX(MO_SNA_FPStartDate,0,COLUMN()),INDEX(MO_Common_QEndDate,0,COLUMN())),"N/A")</f>
        <v>N/A</v>
      </c>
      <c r="AK1265" s="785" t="str">
        <f ca="1">IFERROR(CIQAVG(MO.Ticker.CapIQ,"IQ_LASTSALEPRICE",INDEX(MO_SNA_FPStartDate,0,COLUMN()),INDEX(MO_Common_QEndDate,0,COLUMN())),"N/A")</f>
        <v>N/A</v>
      </c>
      <c r="AL1265" s="785" t="str">
        <f ca="1">IFERROR(CIQAVG(MO.Ticker.CapIQ,"IQ_LASTSALEPRICE",INDEX(MO_SNA_FPStartDate,0,COLUMN()),INDEX(MO_Common_QEndDate,0,COLUMN())),"N/A")</f>
        <v>N/A</v>
      </c>
      <c r="AM1265" s="785" t="str">
        <f ca="1">IFERROR(CIQAVG(MO.Ticker.CapIQ,"IQ_LASTSALEPRICE",INDEX(MO_SNA_FPStartDate,0,COLUMN()),INDEX(MO_Common_QEndDate,0,COLUMN())),"N/A")</f>
        <v>N/A</v>
      </c>
      <c r="AN1265" s="785" t="str">
        <f ca="1">IFERROR(CIQAVG(MO.Ticker.CapIQ,"IQ_LASTSALEPRICE",INDEX(MO_SNA_FPStartDate,0,COLUMN()),INDEX(MO_Common_QEndDate,0,COLUMN())),"N/A")</f>
        <v>N/A</v>
      </c>
      <c r="AO1265" s="785" t="str">
        <f ca="1">IFERROR(CIQAVG(MO.Ticker.CapIQ,"IQ_LASTSALEPRICE",INDEX(MO_SNA_FPStartDate,0,COLUMN()),INDEX(MO_Common_QEndDate,0,COLUMN())),"N/A")</f>
        <v>N/A</v>
      </c>
      <c r="AP1265" s="785" t="str">
        <f ca="1">IFERROR(CIQAVG(MO.Ticker.CapIQ,"IQ_LASTSALEPRICE",INDEX(MO_SNA_FPStartDate,0,COLUMN()),INDEX(MO_Common_QEndDate,0,COLUMN())),"N/A")</f>
        <v>N/A</v>
      </c>
      <c r="AQ1265" s="785" t="str">
        <f ca="1">IFERROR(CIQAVG(MO.Ticker.CapIQ,"IQ_LASTSALEPRICE",INDEX(MO_SNA_FPStartDate,0,COLUMN()),INDEX(MO_Common_QEndDate,0,COLUMN())),"N/A")</f>
        <v>N/A</v>
      </c>
      <c r="AR1265" s="785" t="str">
        <f ca="1">IFERROR(CIQAVG(MO.Ticker.CapIQ,"IQ_LASTSALEPRICE",INDEX(MO_SNA_FPStartDate,0,COLUMN()),INDEX(MO_Common_QEndDate,0,COLUMN())),"N/A")</f>
        <v>N/A</v>
      </c>
      <c r="AS1265" s="785" t="str">
        <f ca="1">IFERROR(CIQAVG(MO.Ticker.CapIQ,"IQ_LASTSALEPRICE",INDEX(MO_SNA_FPStartDate,0,COLUMN()),INDEX(MO_Common_QEndDate,0,COLUMN())),"N/A")</f>
        <v>N/A</v>
      </c>
      <c r="AT1265" s="785" t="str">
        <f ca="1">IFERROR(CIQAVG(MO.Ticker.CapIQ,"IQ_LASTSALEPRICE",INDEX(MO_SNA_FPStartDate,0,COLUMN()),INDEX(MO_Common_QEndDate,0,COLUMN())),"N/A")</f>
        <v>N/A</v>
      </c>
      <c r="AU1265" s="785" t="str">
        <f ca="1">IFERROR(CIQAVG(MO.Ticker.CapIQ,"IQ_LASTSALEPRICE",INDEX(MO_SNA_FPStartDate,0,COLUMN()),INDEX(MO_Common_QEndDate,0,COLUMN())),"N/A")</f>
        <v>N/A</v>
      </c>
      <c r="AV1265" s="785" t="str">
        <f ca="1">IFERROR(CIQAVG(MO.Ticker.CapIQ,"IQ_LASTSALEPRICE",INDEX(MO_SNA_FPStartDate,0,COLUMN()),INDEX(MO_Common_QEndDate,0,COLUMN())),"N/A")</f>
        <v>N/A</v>
      </c>
      <c r="AW1265" s="785" t="str">
        <f ca="1">IFERROR(CIQAVG(MO.Ticker.CapIQ,"IQ_LASTSALEPRICE",INDEX(MO_SNA_FPStartDate,0,COLUMN()),INDEX(MO_Common_QEndDate,0,COLUMN())),"N/A")</f>
        <v>N/A</v>
      </c>
      <c r="AX1265" s="785" t="str">
        <f ca="1">IFERROR(CIQAVG(MO.Ticker.CapIQ,"IQ_LASTSALEPRICE",INDEX(MO_SNA_FPStartDate,0,COLUMN()),INDEX(MO_Common_QEndDate,0,COLUMN())),"N/A")</f>
        <v>N/A</v>
      </c>
      <c r="AY1265" s="785" t="str">
        <f ca="1">IFERROR(CIQAVG(MO.Ticker.CapIQ,"IQ_LASTSALEPRICE",INDEX(MO_SNA_FPStartDate,0,COLUMN()),INDEX(MO_Common_QEndDate,0,COLUMN())),"N/A")</f>
        <v>N/A</v>
      </c>
      <c r="AZ1265" s="785" t="str">
        <f ca="1">IFERROR(CIQAVG(MO.Ticker.CapIQ,"IQ_LASTSALEPRICE",INDEX(MO_SNA_FPStartDate,0,COLUMN()),INDEX(MO_Common_QEndDate,0,COLUMN())),"N/A")</f>
        <v>N/A</v>
      </c>
      <c r="BA1265" s="785" t="str">
        <f ca="1">IFERROR(CIQAVG(MO.Ticker.CapIQ,"IQ_LASTSALEPRICE",INDEX(MO_SNA_FPStartDate,0,COLUMN()),INDEX(MO_Common_QEndDate,0,COLUMN())),"N/A")</f>
        <v>N/A</v>
      </c>
      <c r="BB1265" s="785" t="str">
        <f ca="1">IFERROR(CIQAVG(MO.Ticker.CapIQ,"IQ_LASTSALEPRICE",INDEX(MO_SNA_FPStartDate,0,COLUMN()),INDEX(MO_Common_QEndDate,0,COLUMN())),"N/A")</f>
        <v>N/A</v>
      </c>
      <c r="BC1265" s="785" t="str">
        <f ca="1">IFERROR(CIQAVG(MO.Ticker.CapIQ,"IQ_LASTSALEPRICE",INDEX(MO_SNA_FPStartDate,0,COLUMN()),INDEX(MO_Common_QEndDate,0,COLUMN())),"N/A")</f>
        <v>N/A</v>
      </c>
      <c r="BD1265" s="785" t="str">
        <f ca="1">IFERROR(CIQAVG(MO.Ticker.CapIQ,"IQ_LASTSALEPRICE",INDEX(MO_SNA_FPStartDate,0,COLUMN()),INDEX(MO_Common_QEndDate,0,COLUMN())),"N/A")</f>
        <v>N/A</v>
      </c>
      <c r="BE1265" s="785" t="str">
        <f ca="1">IFERROR(CIQAVG(MO.Ticker.CapIQ,"IQ_LASTSALEPRICE",INDEX(MO_SNA_FPStartDate,0,COLUMN()),INDEX(MO_Common_QEndDate,0,COLUMN())),"N/A")</f>
        <v>N/A</v>
      </c>
      <c r="BF1265" s="785" t="str">
        <f ca="1">IFERROR(CIQAVG(MO.Ticker.CapIQ,"IQ_LASTSALEPRICE",INDEX(MO_SNA_FPStartDate,0,COLUMN()),INDEX(MO_Common_QEndDate,0,COLUMN())),"N/A")</f>
        <v>N/A</v>
      </c>
      <c r="BG1265" s="785" t="str">
        <f ca="1">IFERROR(CIQAVG(MO.Ticker.CapIQ,"IQ_LASTSALEPRICE",INDEX(MO_SNA_FPStartDate,0,COLUMN()),INDEX(MO_Common_QEndDate,0,COLUMN())),"N/A")</f>
        <v>N/A</v>
      </c>
      <c r="BH1265" s="785" t="str">
        <f ca="1">IFERROR(CIQAVG(MO.Ticker.CapIQ,"IQ_LASTSALEPRICE",INDEX(MO_SNA_FPStartDate,0,COLUMN()),INDEX(MO_Common_QEndDate,0,COLUMN())),"N/A")</f>
        <v>N/A</v>
      </c>
      <c r="BI1265" s="785" t="str">
        <f ca="1">IFERROR(CIQAVG(MO.Ticker.CapIQ,"IQ_LASTSALEPRICE",INDEX(MO_SNA_FPStartDate,0,COLUMN()),INDEX(MO_Common_QEndDate,0,COLUMN())),"N/A")</f>
        <v>N/A</v>
      </c>
      <c r="BJ1265" s="1067" t="str">
        <f ca="1">IFERROR(CIQAVG(MO.Ticker.CapIQ,"IQ_LASTSALEPRICE",INDEX(MO_SNA_FPStartDate,0,COLUMN()),INDEX(MO_Common_QEndDate,0,COLUMN())),"N/A")</f>
        <v>N/A</v>
      </c>
      <c r="BK1265" s="785" t="str">
        <f ca="1">IFERROR(CIQAVG(MO.Ticker.CapIQ,"IQ_LASTSALEPRICE",INDEX(MO_SNA_FPStartDate,0,COLUMN()),INDEX(MO_Common_QEndDate,0,COLUMN())),"N/A")</f>
        <v>N/A</v>
      </c>
      <c r="BL1265" s="785" t="str">
        <f ca="1">IFERROR(CIQAVG(MO.Ticker.CapIQ,"IQ_LASTSALEPRICE",INDEX(MO_SNA_FPStartDate,0,COLUMN()),INDEX(MO_Common_QEndDate,0,COLUMN())),"N/A")</f>
        <v>N/A</v>
      </c>
      <c r="BM1265" s="785" t="str">
        <f ca="1">IFERROR(CIQAVG(MO.Ticker.CapIQ,"IQ_LASTSALEPRICE",INDEX(MO_SNA_FPStartDate,0,COLUMN()),INDEX(MO_Common_QEndDate,0,COLUMN())),"N/A")</f>
        <v>N/A</v>
      </c>
      <c r="BN1265" s="785" t="str">
        <f ca="1">IFERROR(CIQAVG(MO.Ticker.CapIQ,"IQ_LASTSALEPRICE",INDEX(MO_SNA_FPStartDate,0,COLUMN()),INDEX(MO_Common_QEndDate,0,COLUMN())),"N/A")</f>
        <v>N/A</v>
      </c>
      <c r="BO1265" s="785" t="str">
        <f ca="1">IFERROR(CIQAVG(MO.Ticker.CapIQ,"IQ_LASTSALEPRICE",INDEX(MO_SNA_FPStartDate,0,COLUMN()),INDEX(MO_Common_QEndDate,0,COLUMN())),"N/A")</f>
        <v>N/A</v>
      </c>
      <c r="BP1265" s="785" t="str">
        <f ca="1">IFERROR(CIQAVG(MO.Ticker.CapIQ,"IQ_LASTSALEPRICE",INDEX(MO_SNA_FPStartDate,0,COLUMN()),INDEX(MO_Common_QEndDate,0,COLUMN())),"N/A")</f>
        <v>N/A</v>
      </c>
      <c r="BQ1265" s="785" t="str">
        <f ca="1">IFERROR(CIQAVG(MO.Ticker.CapIQ,"IQ_LASTSALEPRICE",INDEX(MO_SNA_FPStartDate,0,COLUMN()),INDEX(MO_Common_QEndDate,0,COLUMN())),"N/A")</f>
        <v>N/A</v>
      </c>
      <c r="BR1265" s="785" t="str">
        <f ca="1">IFERROR(CIQAVG(MO.Ticker.CapIQ,"IQ_LASTSALEPRICE",INDEX(MO_SNA_FPStartDate,0,COLUMN()),INDEX(MO_Common_QEndDate,0,COLUMN())),"N/A")</f>
        <v>N/A</v>
      </c>
      <c r="BS1265" s="785" t="str">
        <f ca="1">IFERROR(CIQAVG(MO.Ticker.CapIQ,"IQ_LASTSALEPRICE",INDEX(MO_SNA_FPStartDate,0,COLUMN()),INDEX(MO_Common_QEndDate,0,COLUMN())),"N/A")</f>
        <v>N/A</v>
      </c>
      <c r="BT1265" s="785" t="str">
        <f ca="1">IFERROR(CIQAVG(MO.Ticker.CapIQ,"IQ_LASTSALEPRICE",INDEX(MO_SNA_FPStartDate,0,COLUMN()),INDEX(MO_Common_QEndDate,0,COLUMN())),"N/A")</f>
        <v>N/A</v>
      </c>
      <c r="BU1265" s="785" t="str">
        <f ca="1">IFERROR(CIQAVG(MO.Ticker.CapIQ,"IQ_LASTSALEPRICE",INDEX(MO_SNA_FPStartDate,0,COLUMN()),INDEX(MO_Common_QEndDate,0,COLUMN())),"N/A")</f>
        <v>N/A</v>
      </c>
      <c r="BV1265" s="1068" t="str">
        <f ca="1">IFERROR(CIQAVG(MO.Ticker.CapIQ,"IQ_LASTSALEPRICE",INDEX(MO_SNA_FPStartDate,0,COLUMN()),INDEX(MO_Common_QEndDate,0,COLUMN())),"N/A")</f>
        <v>N/A</v>
      </c>
      <c r="BW1265" s="1069"/>
    </row>
    <row r="1266" spans="1:75" s="921" customFormat="1" hidden="1" outlineLevel="1" x14ac:dyDescent="0.5">
      <c r="A1266" s="1070" t="s">
        <v>1613</v>
      </c>
      <c r="B1266" s="785"/>
      <c r="C1266" s="1066" t="str">
        <f ca="1">IFERROR(FDS(MO.Ticker.FactSet,"P_PRICE_AVG"&amp;"("&amp;INDEX(MO_SNA_FPStartDate,0,COLUMN())&amp;","&amp;INDEX(MO_Common_QEndDate,0,COLUMN())&amp;",,,,""PRICE"",""CLOSE"")"),"N/A")</f>
        <v>N/A</v>
      </c>
      <c r="D1266" s="1066" t="str">
        <f ca="1">IFERROR(FDS(MO.Ticker.FactSet,"P_PRICE_AVG"&amp;"("&amp;INDEX(MO_SNA_FPStartDate,0,COLUMN())&amp;","&amp;INDEX(MO_Common_QEndDate,0,COLUMN())&amp;",,,,""PRICE"",""CLOSE"")"),"N/A")</f>
        <v>N/A</v>
      </c>
      <c r="E1266" s="785" t="str">
        <f ca="1">IFERROR(FDS(MO.Ticker.FactSet,"P_PRICE_AVG"&amp;"("&amp;INDEX(MO_SNA_FPStartDate,0,COLUMN())&amp;","&amp;INDEX(MO_Common_QEndDate,0,COLUMN())&amp;",,,,""PRICE"",""CLOSE"")"),"N/A")</f>
        <v>N/A</v>
      </c>
      <c r="F1266" s="785" t="str">
        <f ca="1">IFERROR(FDS(MO.Ticker.FactSet,"P_PRICE_AVG"&amp;"("&amp;INDEX(MO_SNA_FPStartDate,0,COLUMN())&amp;","&amp;INDEX(MO_Common_QEndDate,0,COLUMN())&amp;",,,,""PRICE"",""CLOSE"")"),"N/A")</f>
        <v>N/A</v>
      </c>
      <c r="G1266" s="785" t="str">
        <f ca="1">IFERROR(FDS(MO.Ticker.FactSet,"P_PRICE_AVG"&amp;"("&amp;INDEX(MO_SNA_FPStartDate,0,COLUMN())&amp;","&amp;INDEX(MO_Common_QEndDate,0,COLUMN())&amp;",,,,""PRICE"",""CLOSE"")"),"N/A")</f>
        <v>N/A</v>
      </c>
      <c r="H1266" s="785" t="str">
        <f ca="1">IFERROR(FDS(MO.Ticker.FactSet,"P_PRICE_AVG"&amp;"("&amp;INDEX(MO_SNA_FPStartDate,0,COLUMN())&amp;","&amp;INDEX(MO_Common_QEndDate,0,COLUMN())&amp;",,,,""PRICE"",""CLOSE"")"),"N/A")</f>
        <v>N/A</v>
      </c>
      <c r="I1266" s="785" t="str">
        <f ca="1">IFERROR(FDS(MO.Ticker.FactSet,"P_PRICE_AVG"&amp;"("&amp;INDEX(MO_SNA_FPStartDate,0,COLUMN())&amp;","&amp;INDEX(MO_Common_QEndDate,0,COLUMN())&amp;",,,,""PRICE"",""CLOSE"")"),"N/A")</f>
        <v>N/A</v>
      </c>
      <c r="J1266" s="785" t="str">
        <f ca="1">IFERROR(FDS(MO.Ticker.FactSet,"P_PRICE_AVG"&amp;"("&amp;INDEX(MO_SNA_FPStartDate,0,COLUMN())&amp;","&amp;INDEX(MO_Common_QEndDate,0,COLUMN())&amp;",,,,""PRICE"",""CLOSE"")"),"N/A")</f>
        <v>N/A</v>
      </c>
      <c r="K1266" s="785" t="str">
        <f ca="1">IFERROR(FDS(MO.Ticker.FactSet,"P_PRICE_AVG"&amp;"("&amp;INDEX(MO_SNA_FPStartDate,0,COLUMN())&amp;","&amp;INDEX(MO_Common_QEndDate,0,COLUMN())&amp;",,,,""PRICE"",""CLOSE"")"),"N/A")</f>
        <v>N/A</v>
      </c>
      <c r="L1266" s="785" t="str">
        <f ca="1">IFERROR(FDS(MO.Ticker.FactSet,"P_PRICE_AVG"&amp;"("&amp;INDEX(MO_SNA_FPStartDate,0,COLUMN())&amp;","&amp;INDEX(MO_Common_QEndDate,0,COLUMN())&amp;",,,,""PRICE"",""CLOSE"")"),"N/A")</f>
        <v>N/A</v>
      </c>
      <c r="M1266" s="785" t="str">
        <f ca="1">IFERROR(FDS(MO.Ticker.FactSet,"P_PRICE_AVG"&amp;"("&amp;INDEX(MO_SNA_FPStartDate,0,COLUMN())&amp;","&amp;INDEX(MO_Common_QEndDate,0,COLUMN())&amp;",,,,""PRICE"",""CLOSE"")"),"N/A")</f>
        <v>N/A</v>
      </c>
      <c r="N1266" s="785" t="str">
        <f ca="1">IFERROR(FDS(MO.Ticker.FactSet,"P_PRICE_AVG"&amp;"("&amp;INDEX(MO_SNA_FPStartDate,0,COLUMN())&amp;","&amp;INDEX(MO_Common_QEndDate,0,COLUMN())&amp;",,,,""PRICE"",""CLOSE"")"),"N/A")</f>
        <v>N/A</v>
      </c>
      <c r="O1266" s="785" t="str">
        <f ca="1">IFERROR(FDS(MO.Ticker.FactSet,"P_PRICE_AVG"&amp;"("&amp;INDEX(MO_SNA_FPStartDate,0,COLUMN())&amp;","&amp;INDEX(MO_Common_QEndDate,0,COLUMN())&amp;",,,,""PRICE"",""CLOSE"")"),"N/A")</f>
        <v>N/A</v>
      </c>
      <c r="P1266" s="785" t="str">
        <f ca="1">IFERROR(FDS(MO.Ticker.FactSet,"P_PRICE_AVG"&amp;"("&amp;INDEX(MO_SNA_FPStartDate,0,COLUMN())&amp;","&amp;INDEX(MO_Common_QEndDate,0,COLUMN())&amp;",,,,""PRICE"",""CLOSE"")"),"N/A")</f>
        <v>N/A</v>
      </c>
      <c r="Q1266" s="785" t="str">
        <f ca="1">IFERROR(FDS(MO.Ticker.FactSet,"P_PRICE_AVG"&amp;"("&amp;INDEX(MO_SNA_FPStartDate,0,COLUMN())&amp;","&amp;INDEX(MO_Common_QEndDate,0,COLUMN())&amp;",,,,""PRICE"",""CLOSE"")"),"N/A")</f>
        <v>N/A</v>
      </c>
      <c r="R1266" s="785" t="str">
        <f ca="1">IFERROR(FDS(MO.Ticker.FactSet,"P_PRICE_AVG"&amp;"("&amp;INDEX(MO_SNA_FPStartDate,0,COLUMN())&amp;","&amp;INDEX(MO_Common_QEndDate,0,COLUMN())&amp;",,,,""PRICE"",""CLOSE"")"),"N/A")</f>
        <v>N/A</v>
      </c>
      <c r="S1266" s="785" t="str">
        <f ca="1">IFERROR(FDS(MO.Ticker.FactSet,"P_PRICE_AVG"&amp;"("&amp;INDEX(MO_SNA_FPStartDate,0,COLUMN())&amp;","&amp;INDEX(MO_Common_QEndDate,0,COLUMN())&amp;",,,,""PRICE"",""CLOSE"")"),"N/A")</f>
        <v>N/A</v>
      </c>
      <c r="T1266" s="785" t="str">
        <f ca="1">IFERROR(FDS(MO.Ticker.FactSet,"P_PRICE_AVG"&amp;"("&amp;INDEX(MO_SNA_FPStartDate,0,COLUMN())&amp;","&amp;INDEX(MO_Common_QEndDate,0,COLUMN())&amp;",,,,""PRICE"",""CLOSE"")"),"N/A")</f>
        <v>N/A</v>
      </c>
      <c r="U1266" s="785" t="str">
        <f ca="1">IFERROR(FDS(MO.Ticker.FactSet,"P_PRICE_AVG"&amp;"("&amp;INDEX(MO_SNA_FPStartDate,0,COLUMN())&amp;","&amp;INDEX(MO_Common_QEndDate,0,COLUMN())&amp;",,,,""PRICE"",""CLOSE"")"),"N/A")</f>
        <v>N/A</v>
      </c>
      <c r="V1266" s="785" t="str">
        <f ca="1">IFERROR(FDS(MO.Ticker.FactSet,"P_PRICE_AVG"&amp;"("&amp;INDEX(MO_SNA_FPStartDate,0,COLUMN())&amp;","&amp;INDEX(MO_Common_QEndDate,0,COLUMN())&amp;",,,,""PRICE"",""CLOSE"")"),"N/A")</f>
        <v>N/A</v>
      </c>
      <c r="W1266" s="785" t="str">
        <f ca="1">IFERROR(FDS(MO.Ticker.FactSet,"P_PRICE_AVG"&amp;"("&amp;INDEX(MO_SNA_FPStartDate,0,COLUMN())&amp;","&amp;INDEX(MO_Common_QEndDate,0,COLUMN())&amp;",,,,""PRICE"",""CLOSE"")"),"N/A")</f>
        <v>N/A</v>
      </c>
      <c r="X1266" s="785" t="str">
        <f ca="1">IFERROR(FDS(MO.Ticker.FactSet,"P_PRICE_AVG"&amp;"("&amp;INDEX(MO_SNA_FPStartDate,0,COLUMN())&amp;","&amp;INDEX(MO_Common_QEndDate,0,COLUMN())&amp;",,,,""PRICE"",""CLOSE"")"),"N/A")</f>
        <v>N/A</v>
      </c>
      <c r="Y1266" s="785" t="str">
        <f ca="1">IFERROR(FDS(MO.Ticker.FactSet,"P_PRICE_AVG"&amp;"("&amp;INDEX(MO_SNA_FPStartDate,0,COLUMN())&amp;","&amp;INDEX(MO_Common_QEndDate,0,COLUMN())&amp;",,,,""PRICE"",""CLOSE"")"),"N/A")</f>
        <v>N/A</v>
      </c>
      <c r="Z1266" s="785" t="str">
        <f ca="1">IFERROR(FDS(MO.Ticker.FactSet,"P_PRICE_AVG"&amp;"("&amp;INDEX(MO_SNA_FPStartDate,0,COLUMN())&amp;","&amp;INDEX(MO_Common_QEndDate,0,COLUMN())&amp;",,,,""PRICE"",""CLOSE"")"),"N/A")</f>
        <v>N/A</v>
      </c>
      <c r="AA1266" s="785" t="str">
        <f ca="1">IFERROR(FDS(MO.Ticker.FactSet,"P_PRICE_AVG"&amp;"("&amp;INDEX(MO_SNA_FPStartDate,0,COLUMN())&amp;","&amp;INDEX(MO_Common_QEndDate,0,COLUMN())&amp;",,,,""PRICE"",""CLOSE"")"),"N/A")</f>
        <v>N/A</v>
      </c>
      <c r="AB1266" s="785" t="str">
        <f ca="1">IFERROR(FDS(MO.Ticker.FactSet,"P_PRICE_AVG"&amp;"("&amp;INDEX(MO_SNA_FPStartDate,0,COLUMN())&amp;","&amp;INDEX(MO_Common_QEndDate,0,COLUMN())&amp;",,,,""PRICE"",""CLOSE"")"),"N/A")</f>
        <v>N/A</v>
      </c>
      <c r="AC1266" s="785" t="str">
        <f ca="1">IFERROR(FDS(MO.Ticker.FactSet,"P_PRICE_AVG"&amp;"("&amp;INDEX(MO_SNA_FPStartDate,0,COLUMN())&amp;","&amp;INDEX(MO_Common_QEndDate,0,COLUMN())&amp;",,,,""PRICE"",""CLOSE"")"),"N/A")</f>
        <v>N/A</v>
      </c>
      <c r="AD1266" s="785" t="str">
        <f ca="1">IFERROR(FDS(MO.Ticker.FactSet,"P_PRICE_AVG"&amp;"("&amp;INDEX(MO_SNA_FPStartDate,0,COLUMN())&amp;","&amp;INDEX(MO_Common_QEndDate,0,COLUMN())&amp;",,,,""PRICE"",""CLOSE"")"),"N/A")</f>
        <v>N/A</v>
      </c>
      <c r="AE1266" s="785" t="str">
        <f ca="1">IFERROR(FDS(MO.Ticker.FactSet,"P_PRICE_AVG"&amp;"("&amp;INDEX(MO_SNA_FPStartDate,0,COLUMN())&amp;","&amp;INDEX(MO_Common_QEndDate,0,COLUMN())&amp;",,,,""PRICE"",""CLOSE"")"),"N/A")</f>
        <v>N/A</v>
      </c>
      <c r="AF1266" s="785" t="str">
        <f ca="1">IFERROR(FDS(MO.Ticker.FactSet,"P_PRICE_AVG"&amp;"("&amp;INDEX(MO_SNA_FPStartDate,0,COLUMN())&amp;","&amp;INDEX(MO_Common_QEndDate,0,COLUMN())&amp;",,,,""PRICE"",""CLOSE"")"),"N/A")</f>
        <v>N/A</v>
      </c>
      <c r="AG1266" s="785" t="str">
        <f ca="1">IFERROR(FDS(MO.Ticker.FactSet,"P_PRICE_AVG"&amp;"("&amp;INDEX(MO_SNA_FPStartDate,0,COLUMN())&amp;","&amp;INDEX(MO_Common_QEndDate,0,COLUMN())&amp;",,,,""PRICE"",""CLOSE"")"),"N/A")</f>
        <v>N/A</v>
      </c>
      <c r="AH1266" s="785" t="str">
        <f ca="1">IFERROR(FDS(MO.Ticker.FactSet,"P_PRICE_AVG"&amp;"("&amp;INDEX(MO_SNA_FPStartDate,0,COLUMN())&amp;","&amp;INDEX(MO_Common_QEndDate,0,COLUMN())&amp;",,,,""PRICE"",""CLOSE"")"),"N/A")</f>
        <v>N/A</v>
      </c>
      <c r="AI1266" s="785" t="str">
        <f ca="1">IFERROR(FDS(MO.Ticker.FactSet,"P_PRICE_AVG"&amp;"("&amp;INDEX(MO_SNA_FPStartDate,0,COLUMN())&amp;","&amp;INDEX(MO_Common_QEndDate,0,COLUMN())&amp;",,,,""PRICE"",""CLOSE"")"),"N/A")</f>
        <v>N/A</v>
      </c>
      <c r="AJ1266" s="785" t="str">
        <f ca="1">IFERROR(FDS(MO.Ticker.FactSet,"P_PRICE_AVG"&amp;"("&amp;INDEX(MO_SNA_FPStartDate,0,COLUMN())&amp;","&amp;INDEX(MO_Common_QEndDate,0,COLUMN())&amp;",,,,""PRICE"",""CLOSE"")"),"N/A")</f>
        <v>N/A</v>
      </c>
      <c r="AK1266" s="785" t="str">
        <f ca="1">IFERROR(FDS(MO.Ticker.FactSet,"P_PRICE_AVG"&amp;"("&amp;INDEX(MO_SNA_FPStartDate,0,COLUMN())&amp;","&amp;INDEX(MO_Common_QEndDate,0,COLUMN())&amp;",,,,""PRICE"",""CLOSE"")"),"N/A")</f>
        <v>N/A</v>
      </c>
      <c r="AL1266" s="785" t="str">
        <f ca="1">IFERROR(FDS(MO.Ticker.FactSet,"P_PRICE_AVG"&amp;"("&amp;INDEX(MO_SNA_FPStartDate,0,COLUMN())&amp;","&amp;INDEX(MO_Common_QEndDate,0,COLUMN())&amp;",,,,""PRICE"",""CLOSE"")"),"N/A")</f>
        <v>N/A</v>
      </c>
      <c r="AM1266" s="785" t="str">
        <f ca="1">IFERROR(FDS(MO.Ticker.FactSet,"P_PRICE_AVG"&amp;"("&amp;INDEX(MO_SNA_FPStartDate,0,COLUMN())&amp;","&amp;INDEX(MO_Common_QEndDate,0,COLUMN())&amp;",,,,""PRICE"",""CLOSE"")"),"N/A")</f>
        <v>N/A</v>
      </c>
      <c r="AN1266" s="785" t="str">
        <f ca="1">IFERROR(FDS(MO.Ticker.FactSet,"P_PRICE_AVG"&amp;"("&amp;INDEX(MO_SNA_FPStartDate,0,COLUMN())&amp;","&amp;INDEX(MO_Common_QEndDate,0,COLUMN())&amp;",,,,""PRICE"",""CLOSE"")"),"N/A")</f>
        <v>N/A</v>
      </c>
      <c r="AO1266" s="785" t="str">
        <f ca="1">IFERROR(FDS(MO.Ticker.FactSet,"P_PRICE_AVG"&amp;"("&amp;INDEX(MO_SNA_FPStartDate,0,COLUMN())&amp;","&amp;INDEX(MO_Common_QEndDate,0,COLUMN())&amp;",,,,""PRICE"",""CLOSE"")"),"N/A")</f>
        <v>N/A</v>
      </c>
      <c r="AP1266" s="785" t="str">
        <f ca="1">IFERROR(FDS(MO.Ticker.FactSet,"P_PRICE_AVG"&amp;"("&amp;INDEX(MO_SNA_FPStartDate,0,COLUMN())&amp;","&amp;INDEX(MO_Common_QEndDate,0,COLUMN())&amp;",,,,""PRICE"",""CLOSE"")"),"N/A")</f>
        <v>N/A</v>
      </c>
      <c r="AQ1266" s="785" t="str">
        <f ca="1">IFERROR(FDS(MO.Ticker.FactSet,"P_PRICE_AVG"&amp;"("&amp;INDEX(MO_SNA_FPStartDate,0,COLUMN())&amp;","&amp;INDEX(MO_Common_QEndDate,0,COLUMN())&amp;",,,,""PRICE"",""CLOSE"")"),"N/A")</f>
        <v>N/A</v>
      </c>
      <c r="AR1266" s="785" t="str">
        <f ca="1">IFERROR(FDS(MO.Ticker.FactSet,"P_PRICE_AVG"&amp;"("&amp;INDEX(MO_SNA_FPStartDate,0,COLUMN())&amp;","&amp;INDEX(MO_Common_QEndDate,0,COLUMN())&amp;",,,,""PRICE"",""CLOSE"")"),"N/A")</f>
        <v>N/A</v>
      </c>
      <c r="AS1266" s="785" t="str">
        <f ca="1">IFERROR(FDS(MO.Ticker.FactSet,"P_PRICE_AVG"&amp;"("&amp;INDEX(MO_SNA_FPStartDate,0,COLUMN())&amp;","&amp;INDEX(MO_Common_QEndDate,0,COLUMN())&amp;",,,,""PRICE"",""CLOSE"")"),"N/A")</f>
        <v>N/A</v>
      </c>
      <c r="AT1266" s="785" t="str">
        <f ca="1">IFERROR(FDS(MO.Ticker.FactSet,"P_PRICE_AVG"&amp;"("&amp;INDEX(MO_SNA_FPStartDate,0,COLUMN())&amp;","&amp;INDEX(MO_Common_QEndDate,0,COLUMN())&amp;",,,,""PRICE"",""CLOSE"")"),"N/A")</f>
        <v>N/A</v>
      </c>
      <c r="AU1266" s="785" t="str">
        <f ca="1">IFERROR(FDS(MO.Ticker.FactSet,"P_PRICE_AVG"&amp;"("&amp;INDEX(MO_SNA_FPStartDate,0,COLUMN())&amp;","&amp;INDEX(MO_Common_QEndDate,0,COLUMN())&amp;",,,,""PRICE"",""CLOSE"")"),"N/A")</f>
        <v>N/A</v>
      </c>
      <c r="AV1266" s="785" t="str">
        <f ca="1">IFERROR(FDS(MO.Ticker.FactSet,"P_PRICE_AVG"&amp;"("&amp;INDEX(MO_SNA_FPStartDate,0,COLUMN())&amp;","&amp;INDEX(MO_Common_QEndDate,0,COLUMN())&amp;",,,,""PRICE"",""CLOSE"")"),"N/A")</f>
        <v>N/A</v>
      </c>
      <c r="AW1266" s="785" t="str">
        <f ca="1">IFERROR(FDS(MO.Ticker.FactSet,"P_PRICE_AVG"&amp;"("&amp;INDEX(MO_SNA_FPStartDate,0,COLUMN())&amp;","&amp;INDEX(MO_Common_QEndDate,0,COLUMN())&amp;",,,,""PRICE"",""CLOSE"")"),"N/A")</f>
        <v>N/A</v>
      </c>
      <c r="AX1266" s="785" t="str">
        <f ca="1">IFERROR(FDS(MO.Ticker.FactSet,"P_PRICE_AVG"&amp;"("&amp;INDEX(MO_SNA_FPStartDate,0,COLUMN())&amp;","&amp;INDEX(MO_Common_QEndDate,0,COLUMN())&amp;",,,,""PRICE"",""CLOSE"")"),"N/A")</f>
        <v>N/A</v>
      </c>
      <c r="AY1266" s="785" t="str">
        <f ca="1">IFERROR(FDS(MO.Ticker.FactSet,"P_PRICE_AVG"&amp;"("&amp;INDEX(MO_SNA_FPStartDate,0,COLUMN())&amp;","&amp;INDEX(MO_Common_QEndDate,0,COLUMN())&amp;",,,,""PRICE"",""CLOSE"")"),"N/A")</f>
        <v>N/A</v>
      </c>
      <c r="AZ1266" s="785" t="str">
        <f ca="1">IFERROR(FDS(MO.Ticker.FactSet,"P_PRICE_AVG"&amp;"("&amp;INDEX(MO_SNA_FPStartDate,0,COLUMN())&amp;","&amp;INDEX(MO_Common_QEndDate,0,COLUMN())&amp;",,,,""PRICE"",""CLOSE"")"),"N/A")</f>
        <v>N/A</v>
      </c>
      <c r="BA1266" s="785" t="str">
        <f ca="1">IFERROR(FDS(MO.Ticker.FactSet,"P_PRICE_AVG"&amp;"("&amp;INDEX(MO_SNA_FPStartDate,0,COLUMN())&amp;","&amp;INDEX(MO_Common_QEndDate,0,COLUMN())&amp;",,,,""PRICE"",""CLOSE"")"),"N/A")</f>
        <v>N/A</v>
      </c>
      <c r="BB1266" s="785" t="str">
        <f ca="1">IFERROR(FDS(MO.Ticker.FactSet,"P_PRICE_AVG"&amp;"("&amp;INDEX(MO_SNA_FPStartDate,0,COLUMN())&amp;","&amp;INDEX(MO_Common_QEndDate,0,COLUMN())&amp;",,,,""PRICE"",""CLOSE"")"),"N/A")</f>
        <v>N/A</v>
      </c>
      <c r="BC1266" s="785" t="str">
        <f ca="1">IFERROR(FDS(MO.Ticker.FactSet,"P_PRICE_AVG"&amp;"("&amp;INDEX(MO_SNA_FPStartDate,0,COLUMN())&amp;","&amp;INDEX(MO_Common_QEndDate,0,COLUMN())&amp;",,,,""PRICE"",""CLOSE"")"),"N/A")</f>
        <v>N/A</v>
      </c>
      <c r="BD1266" s="785" t="str">
        <f ca="1">IFERROR(FDS(MO.Ticker.FactSet,"P_PRICE_AVG"&amp;"("&amp;INDEX(MO_SNA_FPStartDate,0,COLUMN())&amp;","&amp;INDEX(MO_Common_QEndDate,0,COLUMN())&amp;",,,,""PRICE"",""CLOSE"")"),"N/A")</f>
        <v>N/A</v>
      </c>
      <c r="BE1266" s="785" t="str">
        <f ca="1">IFERROR(FDS(MO.Ticker.FactSet,"P_PRICE_AVG"&amp;"("&amp;INDEX(MO_SNA_FPStartDate,0,COLUMN())&amp;","&amp;INDEX(MO_Common_QEndDate,0,COLUMN())&amp;",,,,""PRICE"",""CLOSE"")"),"N/A")</f>
        <v>N/A</v>
      </c>
      <c r="BF1266" s="785" t="str">
        <f ca="1">IFERROR(FDS(MO.Ticker.FactSet,"P_PRICE_AVG"&amp;"("&amp;INDEX(MO_SNA_FPStartDate,0,COLUMN())&amp;","&amp;INDEX(MO_Common_QEndDate,0,COLUMN())&amp;",,,,""PRICE"",""CLOSE"")"),"N/A")</f>
        <v>N/A</v>
      </c>
      <c r="BG1266" s="785" t="str">
        <f ca="1">IFERROR(FDS(MO.Ticker.FactSet,"P_PRICE_AVG"&amp;"("&amp;INDEX(MO_SNA_FPStartDate,0,COLUMN())&amp;","&amp;INDEX(MO_Common_QEndDate,0,COLUMN())&amp;",,,,""PRICE"",""CLOSE"")"),"N/A")</f>
        <v>N/A</v>
      </c>
      <c r="BH1266" s="785" t="str">
        <f ca="1">IFERROR(FDS(MO.Ticker.FactSet,"P_PRICE_AVG"&amp;"("&amp;INDEX(MO_SNA_FPStartDate,0,COLUMN())&amp;","&amp;INDEX(MO_Common_QEndDate,0,COLUMN())&amp;",,,,""PRICE"",""CLOSE"")"),"N/A")</f>
        <v>N/A</v>
      </c>
      <c r="BI1266" s="785" t="str">
        <f ca="1">IFERROR(FDS(MO.Ticker.FactSet,"P_PRICE_AVG"&amp;"("&amp;INDEX(MO_SNA_FPStartDate,0,COLUMN())&amp;","&amp;INDEX(MO_Common_QEndDate,0,COLUMN())&amp;",,,,""PRICE"",""CLOSE"")"),"N/A")</f>
        <v>N/A</v>
      </c>
      <c r="BJ1266" s="1067" t="str">
        <f ca="1">IFERROR(FDS(MO.Ticker.FactSet,"P_PRICE_AVG"&amp;"("&amp;INDEX(MO_SNA_FPStartDate,0,COLUMN())&amp;","&amp;INDEX(MO_Common_QEndDate,0,COLUMN())&amp;",,,,""PRICE"",""CLOSE"")"),"N/A")</f>
        <v>N/A</v>
      </c>
      <c r="BK1266" s="785" t="str">
        <f ca="1">IFERROR(FDS(MO.Ticker.FactSet,"P_PRICE_AVG"&amp;"("&amp;INDEX(MO_SNA_FPStartDate,0,COLUMN())&amp;","&amp;INDEX(MO_Common_QEndDate,0,COLUMN())&amp;",,,,""PRICE"",""CLOSE"")"),"N/A")</f>
        <v>N/A</v>
      </c>
      <c r="BL1266" s="785" t="str">
        <f ca="1">IFERROR(FDS(MO.Ticker.FactSet,"P_PRICE_AVG"&amp;"("&amp;INDEX(MO_SNA_FPStartDate,0,COLUMN())&amp;","&amp;INDEX(MO_Common_QEndDate,0,COLUMN())&amp;",,,,""PRICE"",""CLOSE"")"),"N/A")</f>
        <v>N/A</v>
      </c>
      <c r="BM1266" s="785" t="str">
        <f ca="1">IFERROR(FDS(MO.Ticker.FactSet,"P_PRICE_AVG"&amp;"("&amp;INDEX(MO_SNA_FPStartDate,0,COLUMN())&amp;","&amp;INDEX(MO_Common_QEndDate,0,COLUMN())&amp;",,,,""PRICE"",""CLOSE"")"),"N/A")</f>
        <v>N/A</v>
      </c>
      <c r="BN1266" s="785" t="str">
        <f ca="1">IFERROR(FDS(MO.Ticker.FactSet,"P_PRICE_AVG"&amp;"("&amp;INDEX(MO_SNA_FPStartDate,0,COLUMN())&amp;","&amp;INDEX(MO_Common_QEndDate,0,COLUMN())&amp;",,,,""PRICE"",""CLOSE"")"),"N/A")</f>
        <v>N/A</v>
      </c>
      <c r="BO1266" s="785" t="str">
        <f ca="1">IFERROR(FDS(MO.Ticker.FactSet,"P_PRICE_AVG"&amp;"("&amp;INDEX(MO_SNA_FPStartDate,0,COLUMN())&amp;","&amp;INDEX(MO_Common_QEndDate,0,COLUMN())&amp;",,,,""PRICE"",""CLOSE"")"),"N/A")</f>
        <v>N/A</v>
      </c>
      <c r="BP1266" s="785" t="str">
        <f ca="1">IFERROR(FDS(MO.Ticker.FactSet,"P_PRICE_AVG"&amp;"("&amp;INDEX(MO_SNA_FPStartDate,0,COLUMN())&amp;","&amp;INDEX(MO_Common_QEndDate,0,COLUMN())&amp;",,,,""PRICE"",""CLOSE"")"),"N/A")</f>
        <v>N/A</v>
      </c>
      <c r="BQ1266" s="785" t="str">
        <f ca="1">IFERROR(FDS(MO.Ticker.FactSet,"P_PRICE_AVG"&amp;"("&amp;INDEX(MO_SNA_FPStartDate,0,COLUMN())&amp;","&amp;INDEX(MO_Common_QEndDate,0,COLUMN())&amp;",,,,""PRICE"",""CLOSE"")"),"N/A")</f>
        <v>N/A</v>
      </c>
      <c r="BR1266" s="785" t="str">
        <f ca="1">IFERROR(FDS(MO.Ticker.FactSet,"P_PRICE_AVG"&amp;"("&amp;INDEX(MO_SNA_FPStartDate,0,COLUMN())&amp;","&amp;INDEX(MO_Common_QEndDate,0,COLUMN())&amp;",,,,""PRICE"",""CLOSE"")"),"N/A")</f>
        <v>N/A</v>
      </c>
      <c r="BS1266" s="785" t="str">
        <f ca="1">IFERROR(FDS(MO.Ticker.FactSet,"P_PRICE_AVG"&amp;"("&amp;INDEX(MO_SNA_FPStartDate,0,COLUMN())&amp;","&amp;INDEX(MO_Common_QEndDate,0,COLUMN())&amp;",,,,""PRICE"",""CLOSE"")"),"N/A")</f>
        <v>N/A</v>
      </c>
      <c r="BT1266" s="785" t="str">
        <f ca="1">IFERROR(FDS(MO.Ticker.FactSet,"P_PRICE_AVG"&amp;"("&amp;INDEX(MO_SNA_FPStartDate,0,COLUMN())&amp;","&amp;INDEX(MO_Common_QEndDate,0,COLUMN())&amp;",,,,""PRICE"",""CLOSE"")"),"N/A")</f>
        <v>N/A</v>
      </c>
      <c r="BU1266" s="785" t="str">
        <f ca="1">IFERROR(FDS(MO.Ticker.FactSet,"P_PRICE_AVG"&amp;"("&amp;INDEX(MO_SNA_FPStartDate,0,COLUMN())&amp;","&amp;INDEX(MO_Common_QEndDate,0,COLUMN())&amp;",,,,""PRICE"",""CLOSE"")"),"N/A")</f>
        <v>N/A</v>
      </c>
      <c r="BV1266" s="1068" t="str">
        <f ca="1">IFERROR(FDS(MO.Ticker.FactSet,"P_PRICE_AVG"&amp;"("&amp;INDEX(MO_SNA_FPStartDate,0,COLUMN())&amp;","&amp;INDEX(MO_Common_QEndDate,0,COLUMN())&amp;",,,,""PRICE"",""CLOSE"")"),"N/A")</f>
        <v>N/A</v>
      </c>
      <c r="BW1266" s="1069"/>
    </row>
    <row r="1267" spans="1:75" s="921" customFormat="1" hidden="1" outlineLevel="1" x14ac:dyDescent="0.5">
      <c r="A1267" s="1070" t="s">
        <v>1614</v>
      </c>
      <c r="B1267" s="785"/>
      <c r="C1267" s="1066" t="str">
        <f ca="1">IFERROR(_xll.TR(MO.Ticker.Thomson,"AVG(TR.Priceclose)","sdate:#1 edate:#2",,INDEX(MO_SNA_FPStartDate,0,COLUMN()),INDEX(MO_Common_QEndDate,0,COLUMN())),"N/A")</f>
        <v>N/A</v>
      </c>
      <c r="D1267" s="1066" t="str">
        <f ca="1">IFERROR(_xll.TR(MO.Ticker.Thomson,"AVG(TR.Priceclose)","sdate:#1 edate:#2",,INDEX(MO_SNA_FPStartDate,0,COLUMN()),INDEX(MO_Common_QEndDate,0,COLUMN())),"N/A")</f>
        <v>N/A</v>
      </c>
      <c r="E1267" s="785" t="str">
        <f ca="1">IFERROR(_xll.TR(MO.Ticker.Thomson,"AVG(TR.Priceclose)","sdate:#1 edate:#2",,INDEX(MO_SNA_FPStartDate,0,COLUMN()),INDEX(MO_Common_QEndDate,0,COLUMN())),"N/A")</f>
        <v>N/A</v>
      </c>
      <c r="F1267" s="785" t="str">
        <f ca="1">IFERROR(_xll.TR(MO.Ticker.Thomson,"AVG(TR.Priceclose)","sdate:#1 edate:#2",,INDEX(MO_SNA_FPStartDate,0,COLUMN()),INDEX(MO_Common_QEndDate,0,COLUMN())),"N/A")</f>
        <v>N/A</v>
      </c>
      <c r="G1267" s="785" t="str">
        <f ca="1">IFERROR(_xll.TR(MO.Ticker.Thomson,"AVG(TR.Priceclose)","sdate:#1 edate:#2",,INDEX(MO_SNA_FPStartDate,0,COLUMN()),INDEX(MO_Common_QEndDate,0,COLUMN())),"N/A")</f>
        <v>N/A</v>
      </c>
      <c r="H1267" s="785" t="str">
        <f ca="1">IFERROR(_xll.TR(MO.Ticker.Thomson,"AVG(TR.Priceclose)","sdate:#1 edate:#2",,INDEX(MO_SNA_FPStartDate,0,COLUMN()),INDEX(MO_Common_QEndDate,0,COLUMN())),"N/A")</f>
        <v>N/A</v>
      </c>
      <c r="I1267" s="785" t="str">
        <f ca="1">IFERROR(_xll.TR(MO.Ticker.Thomson,"AVG(TR.Priceclose)","sdate:#1 edate:#2",,INDEX(MO_SNA_FPStartDate,0,COLUMN()),INDEX(MO_Common_QEndDate,0,COLUMN())),"N/A")</f>
        <v>N/A</v>
      </c>
      <c r="J1267" s="785" t="str">
        <f ca="1">IFERROR(_xll.TR(MO.Ticker.Thomson,"AVG(TR.Priceclose)","sdate:#1 edate:#2",,INDEX(MO_SNA_FPStartDate,0,COLUMN()),INDEX(MO_Common_QEndDate,0,COLUMN())),"N/A")</f>
        <v>N/A</v>
      </c>
      <c r="K1267" s="785" t="str">
        <f ca="1">IFERROR(_xll.TR(MO.Ticker.Thomson,"AVG(TR.Priceclose)","sdate:#1 edate:#2",,INDEX(MO_SNA_FPStartDate,0,COLUMN()),INDEX(MO_Common_QEndDate,0,COLUMN())),"N/A")</f>
        <v>N/A</v>
      </c>
      <c r="L1267" s="785" t="str">
        <f ca="1">IFERROR(_xll.TR(MO.Ticker.Thomson,"AVG(TR.Priceclose)","sdate:#1 edate:#2",,INDEX(MO_SNA_FPStartDate,0,COLUMN()),INDEX(MO_Common_QEndDate,0,COLUMN())),"N/A")</f>
        <v>N/A</v>
      </c>
      <c r="M1267" s="785" t="str">
        <f ca="1">IFERROR(_xll.TR(MO.Ticker.Thomson,"AVG(TR.Priceclose)","sdate:#1 edate:#2",,INDEX(MO_SNA_FPStartDate,0,COLUMN()),INDEX(MO_Common_QEndDate,0,COLUMN())),"N/A")</f>
        <v>N/A</v>
      </c>
      <c r="N1267" s="785" t="str">
        <f ca="1">IFERROR(_xll.TR(MO.Ticker.Thomson,"AVG(TR.Priceclose)","sdate:#1 edate:#2",,INDEX(MO_SNA_FPStartDate,0,COLUMN()),INDEX(MO_Common_QEndDate,0,COLUMN())),"N/A")</f>
        <v>N/A</v>
      </c>
      <c r="O1267" s="785" t="str">
        <f ca="1">IFERROR(_xll.TR(MO.Ticker.Thomson,"AVG(TR.Priceclose)","sdate:#1 edate:#2",,INDEX(MO_SNA_FPStartDate,0,COLUMN()),INDEX(MO_Common_QEndDate,0,COLUMN())),"N/A")</f>
        <v>N/A</v>
      </c>
      <c r="P1267" s="785" t="str">
        <f ca="1">IFERROR(_xll.TR(MO.Ticker.Thomson,"AVG(TR.Priceclose)","sdate:#1 edate:#2",,INDEX(MO_SNA_FPStartDate,0,COLUMN()),INDEX(MO_Common_QEndDate,0,COLUMN())),"N/A")</f>
        <v>N/A</v>
      </c>
      <c r="Q1267" s="785" t="str">
        <f ca="1">IFERROR(_xll.TR(MO.Ticker.Thomson,"AVG(TR.Priceclose)","sdate:#1 edate:#2",,INDEX(MO_SNA_FPStartDate,0,COLUMN()),INDEX(MO_Common_QEndDate,0,COLUMN())),"N/A")</f>
        <v>N/A</v>
      </c>
      <c r="R1267" s="785" t="str">
        <f ca="1">IFERROR(_xll.TR(MO.Ticker.Thomson,"AVG(TR.Priceclose)","sdate:#1 edate:#2",,INDEX(MO_SNA_FPStartDate,0,COLUMN()),INDEX(MO_Common_QEndDate,0,COLUMN())),"N/A")</f>
        <v>N/A</v>
      </c>
      <c r="S1267" s="785" t="str">
        <f ca="1">IFERROR(_xll.TR(MO.Ticker.Thomson,"AVG(TR.Priceclose)","sdate:#1 edate:#2",,INDEX(MO_SNA_FPStartDate,0,COLUMN()),INDEX(MO_Common_QEndDate,0,COLUMN())),"N/A")</f>
        <v>N/A</v>
      </c>
      <c r="T1267" s="785" t="str">
        <f ca="1">IFERROR(_xll.TR(MO.Ticker.Thomson,"AVG(TR.Priceclose)","sdate:#1 edate:#2",,INDEX(MO_SNA_FPStartDate,0,COLUMN()),INDEX(MO_Common_QEndDate,0,COLUMN())),"N/A")</f>
        <v>N/A</v>
      </c>
      <c r="U1267" s="785" t="str">
        <f ca="1">IFERROR(_xll.TR(MO.Ticker.Thomson,"AVG(TR.Priceclose)","sdate:#1 edate:#2",,INDEX(MO_SNA_FPStartDate,0,COLUMN()),INDEX(MO_Common_QEndDate,0,COLUMN())),"N/A")</f>
        <v>N/A</v>
      </c>
      <c r="V1267" s="785" t="str">
        <f ca="1">IFERROR(_xll.TR(MO.Ticker.Thomson,"AVG(TR.Priceclose)","sdate:#1 edate:#2",,INDEX(MO_SNA_FPStartDate,0,COLUMN()),INDEX(MO_Common_QEndDate,0,COLUMN())),"N/A")</f>
        <v>N/A</v>
      </c>
      <c r="W1267" s="785" t="str">
        <f ca="1">IFERROR(_xll.TR(MO.Ticker.Thomson,"AVG(TR.Priceclose)","sdate:#1 edate:#2",,INDEX(MO_SNA_FPStartDate,0,COLUMN()),INDEX(MO_Common_QEndDate,0,COLUMN())),"N/A")</f>
        <v>N/A</v>
      </c>
      <c r="X1267" s="785" t="str">
        <f ca="1">IFERROR(_xll.TR(MO.Ticker.Thomson,"AVG(TR.Priceclose)","sdate:#1 edate:#2",,INDEX(MO_SNA_FPStartDate,0,COLUMN()),INDEX(MO_Common_QEndDate,0,COLUMN())),"N/A")</f>
        <v>N/A</v>
      </c>
      <c r="Y1267" s="785" t="str">
        <f ca="1">IFERROR(_xll.TR(MO.Ticker.Thomson,"AVG(TR.Priceclose)","sdate:#1 edate:#2",,INDEX(MO_SNA_FPStartDate,0,COLUMN()),INDEX(MO_Common_QEndDate,0,COLUMN())),"N/A")</f>
        <v>N/A</v>
      </c>
      <c r="Z1267" s="785" t="str">
        <f ca="1">IFERROR(_xll.TR(MO.Ticker.Thomson,"AVG(TR.Priceclose)","sdate:#1 edate:#2",,INDEX(MO_SNA_FPStartDate,0,COLUMN()),INDEX(MO_Common_QEndDate,0,COLUMN())),"N/A")</f>
        <v>N/A</v>
      </c>
      <c r="AA1267" s="785" t="str">
        <f ca="1">IFERROR(_xll.TR(MO.Ticker.Thomson,"AVG(TR.Priceclose)","sdate:#1 edate:#2",,INDEX(MO_SNA_FPStartDate,0,COLUMN()),INDEX(MO_Common_QEndDate,0,COLUMN())),"N/A")</f>
        <v>N/A</v>
      </c>
      <c r="AB1267" s="785" t="str">
        <f ca="1">IFERROR(_xll.TR(MO.Ticker.Thomson,"AVG(TR.Priceclose)","sdate:#1 edate:#2",,INDEX(MO_SNA_FPStartDate,0,COLUMN()),INDEX(MO_Common_QEndDate,0,COLUMN())),"N/A")</f>
        <v>N/A</v>
      </c>
      <c r="AC1267" s="785" t="str">
        <f ca="1">IFERROR(_xll.TR(MO.Ticker.Thomson,"AVG(TR.Priceclose)","sdate:#1 edate:#2",,INDEX(MO_SNA_FPStartDate,0,COLUMN()),INDEX(MO_Common_QEndDate,0,COLUMN())),"N/A")</f>
        <v>N/A</v>
      </c>
      <c r="AD1267" s="785" t="str">
        <f ca="1">IFERROR(_xll.TR(MO.Ticker.Thomson,"AVG(TR.Priceclose)","sdate:#1 edate:#2",,INDEX(MO_SNA_FPStartDate,0,COLUMN()),INDEX(MO_Common_QEndDate,0,COLUMN())),"N/A")</f>
        <v>N/A</v>
      </c>
      <c r="AE1267" s="785" t="str">
        <f ca="1">IFERROR(_xll.TR(MO.Ticker.Thomson,"AVG(TR.Priceclose)","sdate:#1 edate:#2",,INDEX(MO_SNA_FPStartDate,0,COLUMN()),INDEX(MO_Common_QEndDate,0,COLUMN())),"N/A")</f>
        <v>N/A</v>
      </c>
      <c r="AF1267" s="785" t="str">
        <f ca="1">IFERROR(_xll.TR(MO.Ticker.Thomson,"AVG(TR.Priceclose)","sdate:#1 edate:#2",,INDEX(MO_SNA_FPStartDate,0,COLUMN()),INDEX(MO_Common_QEndDate,0,COLUMN())),"N/A")</f>
        <v>N/A</v>
      </c>
      <c r="AG1267" s="785" t="str">
        <f ca="1">IFERROR(_xll.TR(MO.Ticker.Thomson,"AVG(TR.Priceclose)","sdate:#1 edate:#2",,INDEX(MO_SNA_FPStartDate,0,COLUMN()),INDEX(MO_Common_QEndDate,0,COLUMN())),"N/A")</f>
        <v>N/A</v>
      </c>
      <c r="AH1267" s="785" t="str">
        <f ca="1">IFERROR(_xll.TR(MO.Ticker.Thomson,"AVG(TR.Priceclose)","sdate:#1 edate:#2",,INDEX(MO_SNA_FPStartDate,0,COLUMN()),INDEX(MO_Common_QEndDate,0,COLUMN())),"N/A")</f>
        <v>N/A</v>
      </c>
      <c r="AI1267" s="785" t="str">
        <f ca="1">IFERROR(_xll.TR(MO.Ticker.Thomson,"AVG(TR.Priceclose)","sdate:#1 edate:#2",,INDEX(MO_SNA_FPStartDate,0,COLUMN()),INDEX(MO_Common_QEndDate,0,COLUMN())),"N/A")</f>
        <v>N/A</v>
      </c>
      <c r="AJ1267" s="785" t="str">
        <f ca="1">IFERROR(_xll.TR(MO.Ticker.Thomson,"AVG(TR.Priceclose)","sdate:#1 edate:#2",,INDEX(MO_SNA_FPStartDate,0,COLUMN()),INDEX(MO_Common_QEndDate,0,COLUMN())),"N/A")</f>
        <v>N/A</v>
      </c>
      <c r="AK1267" s="785" t="str">
        <f ca="1">IFERROR(_xll.TR(MO.Ticker.Thomson,"AVG(TR.Priceclose)","sdate:#1 edate:#2",,INDEX(MO_SNA_FPStartDate,0,COLUMN()),INDEX(MO_Common_QEndDate,0,COLUMN())),"N/A")</f>
        <v>N/A</v>
      </c>
      <c r="AL1267" s="785" t="str">
        <f ca="1">IFERROR(_xll.TR(MO.Ticker.Thomson,"AVG(TR.Priceclose)","sdate:#1 edate:#2",,INDEX(MO_SNA_FPStartDate,0,COLUMN()),INDEX(MO_Common_QEndDate,0,COLUMN())),"N/A")</f>
        <v>N/A</v>
      </c>
      <c r="AM1267" s="785" t="str">
        <f ca="1">IFERROR(_xll.TR(MO.Ticker.Thomson,"AVG(TR.Priceclose)","sdate:#1 edate:#2",,INDEX(MO_SNA_FPStartDate,0,COLUMN()),INDEX(MO_Common_QEndDate,0,COLUMN())),"N/A")</f>
        <v>N/A</v>
      </c>
      <c r="AN1267" s="785" t="str">
        <f ca="1">IFERROR(_xll.TR(MO.Ticker.Thomson,"AVG(TR.Priceclose)","sdate:#1 edate:#2",,INDEX(MO_SNA_FPStartDate,0,COLUMN()),INDEX(MO_Common_QEndDate,0,COLUMN())),"N/A")</f>
        <v>N/A</v>
      </c>
      <c r="AO1267" s="785" t="str">
        <f ca="1">IFERROR(_xll.TR(MO.Ticker.Thomson,"AVG(TR.Priceclose)","sdate:#1 edate:#2",,INDEX(MO_SNA_FPStartDate,0,COLUMN()),INDEX(MO_Common_QEndDate,0,COLUMN())),"N/A")</f>
        <v>N/A</v>
      </c>
      <c r="AP1267" s="785" t="str">
        <f ca="1">IFERROR(_xll.TR(MO.Ticker.Thomson,"AVG(TR.Priceclose)","sdate:#1 edate:#2",,INDEX(MO_SNA_FPStartDate,0,COLUMN()),INDEX(MO_Common_QEndDate,0,COLUMN())),"N/A")</f>
        <v>N/A</v>
      </c>
      <c r="AQ1267" s="785" t="str">
        <f ca="1">IFERROR(_xll.TR(MO.Ticker.Thomson,"AVG(TR.Priceclose)","sdate:#1 edate:#2",,INDEX(MO_SNA_FPStartDate,0,COLUMN()),INDEX(MO_Common_QEndDate,0,COLUMN())),"N/A")</f>
        <v>N/A</v>
      </c>
      <c r="AR1267" s="785" t="str">
        <f ca="1">IFERROR(_xll.TR(MO.Ticker.Thomson,"AVG(TR.Priceclose)","sdate:#1 edate:#2",,INDEX(MO_SNA_FPStartDate,0,COLUMN()),INDEX(MO_Common_QEndDate,0,COLUMN())),"N/A")</f>
        <v>N/A</v>
      </c>
      <c r="AS1267" s="785" t="str">
        <f ca="1">IFERROR(_xll.TR(MO.Ticker.Thomson,"AVG(TR.Priceclose)","sdate:#1 edate:#2",,INDEX(MO_SNA_FPStartDate,0,COLUMN()),INDEX(MO_Common_QEndDate,0,COLUMN())),"N/A")</f>
        <v>N/A</v>
      </c>
      <c r="AT1267" s="785" t="str">
        <f ca="1">IFERROR(_xll.TR(MO.Ticker.Thomson,"AVG(TR.Priceclose)","sdate:#1 edate:#2",,INDEX(MO_SNA_FPStartDate,0,COLUMN()),INDEX(MO_Common_QEndDate,0,COLUMN())),"N/A")</f>
        <v>N/A</v>
      </c>
      <c r="AU1267" s="785" t="str">
        <f ca="1">IFERROR(_xll.TR(MO.Ticker.Thomson,"AVG(TR.Priceclose)","sdate:#1 edate:#2",,INDEX(MO_SNA_FPStartDate,0,COLUMN()),INDEX(MO_Common_QEndDate,0,COLUMN())),"N/A")</f>
        <v>N/A</v>
      </c>
      <c r="AV1267" s="785" t="str">
        <f ca="1">IFERROR(_xll.TR(MO.Ticker.Thomson,"AVG(TR.Priceclose)","sdate:#1 edate:#2",,INDEX(MO_SNA_FPStartDate,0,COLUMN()),INDEX(MO_Common_QEndDate,0,COLUMN())),"N/A")</f>
        <v>N/A</v>
      </c>
      <c r="AW1267" s="785" t="str">
        <f ca="1">IFERROR(_xll.TR(MO.Ticker.Thomson,"AVG(TR.Priceclose)","sdate:#1 edate:#2",,INDEX(MO_SNA_FPStartDate,0,COLUMN()),INDEX(MO_Common_QEndDate,0,COLUMN())),"N/A")</f>
        <v>N/A</v>
      </c>
      <c r="AX1267" s="785" t="str">
        <f ca="1">IFERROR(_xll.TR(MO.Ticker.Thomson,"AVG(TR.Priceclose)","sdate:#1 edate:#2",,INDEX(MO_SNA_FPStartDate,0,COLUMN()),INDEX(MO_Common_QEndDate,0,COLUMN())),"N/A")</f>
        <v>N/A</v>
      </c>
      <c r="AY1267" s="785" t="str">
        <f ca="1">IFERROR(_xll.TR(MO.Ticker.Thomson,"AVG(TR.Priceclose)","sdate:#1 edate:#2",,INDEX(MO_SNA_FPStartDate,0,COLUMN()),INDEX(MO_Common_QEndDate,0,COLUMN())),"N/A")</f>
        <v>N/A</v>
      </c>
      <c r="AZ1267" s="785" t="str">
        <f ca="1">IFERROR(_xll.TR(MO.Ticker.Thomson,"AVG(TR.Priceclose)","sdate:#1 edate:#2",,INDEX(MO_SNA_FPStartDate,0,COLUMN()),INDEX(MO_Common_QEndDate,0,COLUMN())),"N/A")</f>
        <v>N/A</v>
      </c>
      <c r="BA1267" s="785" t="str">
        <f ca="1">IFERROR(_xll.TR(MO.Ticker.Thomson,"AVG(TR.Priceclose)","sdate:#1 edate:#2",,INDEX(MO_SNA_FPStartDate,0,COLUMN()),INDEX(MO_Common_QEndDate,0,COLUMN())),"N/A")</f>
        <v>N/A</v>
      </c>
      <c r="BB1267" s="785" t="str">
        <f ca="1">IFERROR(_xll.TR(MO.Ticker.Thomson,"AVG(TR.Priceclose)","sdate:#1 edate:#2",,INDEX(MO_SNA_FPStartDate,0,COLUMN()),INDEX(MO_Common_QEndDate,0,COLUMN())),"N/A")</f>
        <v>N/A</v>
      </c>
      <c r="BC1267" s="785" t="str">
        <f ca="1">IFERROR(_xll.TR(MO.Ticker.Thomson,"AVG(TR.Priceclose)","sdate:#1 edate:#2",,INDEX(MO_SNA_FPStartDate,0,COLUMN()),INDEX(MO_Common_QEndDate,0,COLUMN())),"N/A")</f>
        <v>N/A</v>
      </c>
      <c r="BD1267" s="785" t="str">
        <f ca="1">IFERROR(_xll.TR(MO.Ticker.Thomson,"AVG(TR.Priceclose)","sdate:#1 edate:#2",,INDEX(MO_SNA_FPStartDate,0,COLUMN()),INDEX(MO_Common_QEndDate,0,COLUMN())),"N/A")</f>
        <v>N/A</v>
      </c>
      <c r="BE1267" s="785" t="str">
        <f ca="1">IFERROR(_xll.TR(MO.Ticker.Thomson,"AVG(TR.Priceclose)","sdate:#1 edate:#2",,INDEX(MO_SNA_FPStartDate,0,COLUMN()),INDEX(MO_Common_QEndDate,0,COLUMN())),"N/A")</f>
        <v>N/A</v>
      </c>
      <c r="BF1267" s="785" t="str">
        <f ca="1">IFERROR(_xll.TR(MO.Ticker.Thomson,"AVG(TR.Priceclose)","sdate:#1 edate:#2",,INDEX(MO_SNA_FPStartDate,0,COLUMN()),INDEX(MO_Common_QEndDate,0,COLUMN())),"N/A")</f>
        <v>N/A</v>
      </c>
      <c r="BG1267" s="785" t="str">
        <f ca="1">IFERROR(_xll.TR(MO.Ticker.Thomson,"AVG(TR.Priceclose)","sdate:#1 edate:#2",,INDEX(MO_SNA_FPStartDate,0,COLUMN()),INDEX(MO_Common_QEndDate,0,COLUMN())),"N/A")</f>
        <v>N/A</v>
      </c>
      <c r="BH1267" s="785" t="str">
        <f ca="1">IFERROR(_xll.TR(MO.Ticker.Thomson,"AVG(TR.Priceclose)","sdate:#1 edate:#2",,INDEX(MO_SNA_FPStartDate,0,COLUMN()),INDEX(MO_Common_QEndDate,0,COLUMN())),"N/A")</f>
        <v>N/A</v>
      </c>
      <c r="BI1267" s="785" t="str">
        <f ca="1">IFERROR(_xll.TR(MO.Ticker.Thomson,"AVG(TR.Priceclose)","sdate:#1 edate:#2",,INDEX(MO_SNA_FPStartDate,0,COLUMN()),INDEX(MO_Common_QEndDate,0,COLUMN())),"N/A")</f>
        <v>N/A</v>
      </c>
      <c r="BJ1267" s="1067" t="str">
        <f ca="1">IFERROR(_xll.TR(MO.Ticker.Thomson,"AVG(TR.Priceclose)","sdate:#1 edate:#2",,INDEX(MO_SNA_FPStartDate,0,COLUMN()),INDEX(MO_Common_QEndDate,0,COLUMN())),"N/A")</f>
        <v>N/A</v>
      </c>
      <c r="BK1267" s="785" t="str">
        <f ca="1">IFERROR(_xll.TR(MO.Ticker.Thomson,"AVG(TR.Priceclose)","sdate:#1 edate:#2",,INDEX(MO_SNA_FPStartDate,0,COLUMN()),INDEX(MO_Common_QEndDate,0,COLUMN())),"N/A")</f>
        <v>N/A</v>
      </c>
      <c r="BL1267" s="785" t="str">
        <f ca="1">IFERROR(_xll.TR(MO.Ticker.Thomson,"AVG(TR.Priceclose)","sdate:#1 edate:#2",,INDEX(MO_SNA_FPStartDate,0,COLUMN()),INDEX(MO_Common_QEndDate,0,COLUMN())),"N/A")</f>
        <v>N/A</v>
      </c>
      <c r="BM1267" s="785" t="str">
        <f ca="1">IFERROR(_xll.TR(MO.Ticker.Thomson,"AVG(TR.Priceclose)","sdate:#1 edate:#2",,INDEX(MO_SNA_FPStartDate,0,COLUMN()),INDEX(MO_Common_QEndDate,0,COLUMN())),"N/A")</f>
        <v>N/A</v>
      </c>
      <c r="BN1267" s="785" t="str">
        <f ca="1">IFERROR(_xll.TR(MO.Ticker.Thomson,"AVG(TR.Priceclose)","sdate:#1 edate:#2",,INDEX(MO_SNA_FPStartDate,0,COLUMN()),INDEX(MO_Common_QEndDate,0,COLUMN())),"N/A")</f>
        <v>N/A</v>
      </c>
      <c r="BO1267" s="785" t="str">
        <f ca="1">IFERROR(_xll.TR(MO.Ticker.Thomson,"AVG(TR.Priceclose)","sdate:#1 edate:#2",,INDEX(MO_SNA_FPStartDate,0,COLUMN()),INDEX(MO_Common_QEndDate,0,COLUMN())),"N/A")</f>
        <v>N/A</v>
      </c>
      <c r="BP1267" s="785" t="str">
        <f ca="1">IFERROR(_xll.TR(MO.Ticker.Thomson,"AVG(TR.Priceclose)","sdate:#1 edate:#2",,INDEX(MO_SNA_FPStartDate,0,COLUMN()),INDEX(MO_Common_QEndDate,0,COLUMN())),"N/A")</f>
        <v>N/A</v>
      </c>
      <c r="BQ1267" s="785" t="str">
        <f ca="1">IFERROR(_xll.TR(MO.Ticker.Thomson,"AVG(TR.Priceclose)","sdate:#1 edate:#2",,INDEX(MO_SNA_FPStartDate,0,COLUMN()),INDEX(MO_Common_QEndDate,0,COLUMN())),"N/A")</f>
        <v>N/A</v>
      </c>
      <c r="BR1267" s="785" t="str">
        <f ca="1">IFERROR(_xll.TR(MO.Ticker.Thomson,"AVG(TR.Priceclose)","sdate:#1 edate:#2",,INDEX(MO_SNA_FPStartDate,0,COLUMN()),INDEX(MO_Common_QEndDate,0,COLUMN())),"N/A")</f>
        <v>N/A</v>
      </c>
      <c r="BS1267" s="785" t="str">
        <f ca="1">IFERROR(_xll.TR(MO.Ticker.Thomson,"AVG(TR.Priceclose)","sdate:#1 edate:#2",,INDEX(MO_SNA_FPStartDate,0,COLUMN()),INDEX(MO_Common_QEndDate,0,COLUMN())),"N/A")</f>
        <v>N/A</v>
      </c>
      <c r="BT1267" s="785" t="str">
        <f ca="1">IFERROR(_xll.TR(MO.Ticker.Thomson,"AVG(TR.Priceclose)","sdate:#1 edate:#2",,INDEX(MO_SNA_FPStartDate,0,COLUMN()),INDEX(MO_Common_QEndDate,0,COLUMN())),"N/A")</f>
        <v>N/A</v>
      </c>
      <c r="BU1267" s="785" t="str">
        <f ca="1">IFERROR(_xll.TR(MO.Ticker.Thomson,"AVG(TR.Priceclose)","sdate:#1 edate:#2",,INDEX(MO_SNA_FPStartDate,0,COLUMN()),INDEX(MO_Common_QEndDate,0,COLUMN())),"N/A")</f>
        <v>N/A</v>
      </c>
      <c r="BV1267" s="1068" t="str">
        <f ca="1">IFERROR(_xll.TR(MO.Ticker.Thomson,"AVG(TR.Priceclose)","sdate:#1 edate:#2",,INDEX(MO_SNA_FPStartDate,0,COLUMN()),INDEX(MO_Common_QEndDate,0,COLUMN())),"N/A")</f>
        <v>N/A</v>
      </c>
      <c r="BW1267" s="1069"/>
    </row>
    <row r="1268" spans="1:75" s="123" customFormat="1" hidden="1" outlineLevel="1" x14ac:dyDescent="0.5">
      <c r="A1268" s="1073"/>
      <c r="B1268" s="118"/>
      <c r="C1268" s="973"/>
      <c r="D1268" s="973"/>
      <c r="E1268" s="118"/>
      <c r="F1268" s="118"/>
      <c r="G1268" s="118"/>
      <c r="H1268" s="118"/>
      <c r="I1268" s="118"/>
      <c r="J1268" s="118"/>
      <c r="K1268" s="118"/>
      <c r="L1268" s="118"/>
      <c r="M1268" s="118"/>
      <c r="N1268" s="118"/>
      <c r="O1268" s="118"/>
      <c r="P1268" s="118"/>
      <c r="Q1268" s="118"/>
      <c r="R1268" s="118"/>
      <c r="S1268" s="118"/>
      <c r="T1268" s="118"/>
      <c r="U1268" s="118"/>
      <c r="V1268" s="118"/>
      <c r="W1268" s="118"/>
      <c r="X1268" s="118"/>
      <c r="Y1268" s="118"/>
      <c r="Z1268" s="118"/>
      <c r="AA1268" s="118"/>
      <c r="AB1268" s="118"/>
      <c r="AC1268" s="118"/>
      <c r="AD1268" s="118"/>
      <c r="AE1268" s="118"/>
      <c r="AF1268" s="118"/>
      <c r="AG1268" s="118"/>
      <c r="AH1268" s="118"/>
      <c r="AI1268" s="118"/>
      <c r="AJ1268" s="118"/>
      <c r="AK1268" s="118"/>
      <c r="AL1268" s="118"/>
      <c r="AM1268" s="118"/>
      <c r="AN1268" s="118"/>
      <c r="AO1268" s="118"/>
      <c r="AP1268" s="118"/>
      <c r="AQ1268" s="118"/>
      <c r="AR1268" s="118"/>
      <c r="AS1268" s="118"/>
      <c r="AT1268" s="118"/>
      <c r="AU1268" s="118"/>
      <c r="AV1268" s="118"/>
      <c r="AW1268" s="118"/>
      <c r="AX1268" s="118"/>
      <c r="AY1268" s="118"/>
      <c r="AZ1268" s="118"/>
      <c r="BA1268" s="118"/>
      <c r="BB1268" s="118"/>
      <c r="BC1268" s="118"/>
      <c r="BD1268" s="118"/>
      <c r="BE1268" s="118"/>
      <c r="BF1268" s="118"/>
      <c r="BG1268" s="118"/>
      <c r="BH1268" s="118"/>
      <c r="BI1268" s="118"/>
      <c r="BJ1268" s="971"/>
      <c r="BK1268" s="118"/>
      <c r="BL1268" s="118"/>
      <c r="BM1268" s="118"/>
      <c r="BN1268" s="118"/>
      <c r="BO1268" s="118"/>
      <c r="BP1268" s="118"/>
      <c r="BQ1268" s="118"/>
      <c r="BR1268" s="118"/>
      <c r="BS1268" s="118"/>
      <c r="BT1268" s="118"/>
      <c r="BU1268" s="118"/>
      <c r="BV1268" s="1074"/>
      <c r="BW1268" s="1039"/>
    </row>
    <row r="1269" spans="1:75" s="937" customFormat="1" collapsed="1" x14ac:dyDescent="0.5">
      <c r="A1269" s="1075" t="str">
        <f ca="1">"FX Average: "&amp;IF(OR(MO.RealTimeStockPriceToggle=FALSE,VLOOKUP(MO.DataSourceName,MO_SPT_FXAverage_Sources,COLUMN()+2,FALSE)="N/A"),"Real-Time Off Source",MO.DataSourceName)</f>
        <v>FX Average: Real-Time Off Source</v>
      </c>
      <c r="B1269" s="1076"/>
      <c r="C1269" s="1077">
        <f t="shared" ref="C1269:AH1269" ca="1" si="1611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D1269" s="1077">
        <f t="shared" ca="1" si="1611"/>
        <v>1</v>
      </c>
      <c r="E1269" s="1076">
        <f t="shared" ca="1" si="1611"/>
        <v>1</v>
      </c>
      <c r="F1269" s="1076">
        <f t="shared" ca="1" si="1611"/>
        <v>1</v>
      </c>
      <c r="G1269" s="1076">
        <f t="shared" ca="1" si="1611"/>
        <v>1</v>
      </c>
      <c r="H1269" s="1076">
        <f t="shared" ca="1" si="1611"/>
        <v>1</v>
      </c>
      <c r="I1269" s="1076">
        <f t="shared" ca="1" si="1611"/>
        <v>1</v>
      </c>
      <c r="J1269" s="1076">
        <f t="shared" ca="1" si="1611"/>
        <v>1</v>
      </c>
      <c r="K1269" s="1076">
        <f t="shared" ca="1" si="1611"/>
        <v>1</v>
      </c>
      <c r="L1269" s="1076">
        <f t="shared" ca="1" si="1611"/>
        <v>1</v>
      </c>
      <c r="M1269" s="1076">
        <f t="shared" ca="1" si="1611"/>
        <v>1</v>
      </c>
      <c r="N1269" s="1076">
        <f t="shared" ca="1" si="1611"/>
        <v>1</v>
      </c>
      <c r="O1269" s="1076">
        <f t="shared" ca="1" si="1611"/>
        <v>1</v>
      </c>
      <c r="P1269" s="1076">
        <f t="shared" ca="1" si="1611"/>
        <v>1</v>
      </c>
      <c r="Q1269" s="1076">
        <f t="shared" ca="1" si="1611"/>
        <v>1</v>
      </c>
      <c r="R1269" s="1076">
        <f t="shared" ca="1" si="1611"/>
        <v>1</v>
      </c>
      <c r="S1269" s="1076">
        <f t="shared" ca="1" si="1611"/>
        <v>1</v>
      </c>
      <c r="T1269" s="1076">
        <f t="shared" ca="1" si="1611"/>
        <v>1</v>
      </c>
      <c r="U1269" s="1076">
        <f t="shared" ca="1" si="1611"/>
        <v>1</v>
      </c>
      <c r="V1269" s="1076">
        <f t="shared" ca="1" si="1611"/>
        <v>1</v>
      </c>
      <c r="W1269" s="1076">
        <f t="shared" ca="1" si="1611"/>
        <v>1</v>
      </c>
      <c r="X1269" s="1076">
        <f t="shared" ca="1" si="1611"/>
        <v>1</v>
      </c>
      <c r="Y1269" s="1076">
        <f t="shared" ca="1" si="1611"/>
        <v>1</v>
      </c>
      <c r="Z1269" s="1076">
        <f t="shared" ca="1" si="1611"/>
        <v>1</v>
      </c>
      <c r="AA1269" s="1076">
        <f t="shared" ca="1" si="1611"/>
        <v>1</v>
      </c>
      <c r="AB1269" s="1076">
        <f t="shared" ca="1" si="1611"/>
        <v>1</v>
      </c>
      <c r="AC1269" s="1076">
        <f t="shared" ca="1" si="1611"/>
        <v>1</v>
      </c>
      <c r="AD1269" s="1076">
        <f t="shared" ca="1" si="1611"/>
        <v>1</v>
      </c>
      <c r="AE1269" s="1076">
        <f t="shared" ca="1" si="1611"/>
        <v>1</v>
      </c>
      <c r="AF1269" s="1076">
        <f t="shared" ca="1" si="1611"/>
        <v>1</v>
      </c>
      <c r="AG1269" s="1076">
        <f t="shared" ca="1" si="1611"/>
        <v>1</v>
      </c>
      <c r="AH1269" s="1076">
        <f t="shared" ca="1" si="1611"/>
        <v>1</v>
      </c>
      <c r="AI1269" s="1076">
        <f t="shared" ref="AI1269:BB1269" ca="1" si="1612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AJ1269" s="1076">
        <f t="shared" ca="1" si="1612"/>
        <v>1</v>
      </c>
      <c r="AK1269" s="1076">
        <f t="shared" ca="1" si="1612"/>
        <v>1</v>
      </c>
      <c r="AL1269" s="1076">
        <f t="shared" ca="1" si="1612"/>
        <v>1</v>
      </c>
      <c r="AM1269" s="1076">
        <f t="shared" ca="1" si="1612"/>
        <v>1</v>
      </c>
      <c r="AN1269" s="1076">
        <f t="shared" ca="1" si="1612"/>
        <v>1</v>
      </c>
      <c r="AO1269" s="1076">
        <f t="shared" ca="1" si="1612"/>
        <v>1</v>
      </c>
      <c r="AP1269" s="1076">
        <f t="shared" ca="1" si="1612"/>
        <v>1</v>
      </c>
      <c r="AQ1269" s="1076">
        <f t="shared" ca="1" si="1612"/>
        <v>1</v>
      </c>
      <c r="AR1269" s="1076">
        <f t="shared" ca="1" si="1612"/>
        <v>1</v>
      </c>
      <c r="AS1269" s="1076">
        <f t="shared" ca="1" si="1612"/>
        <v>1</v>
      </c>
      <c r="AT1269" s="1076">
        <f t="shared" ca="1" si="1612"/>
        <v>1</v>
      </c>
      <c r="AU1269" s="1076">
        <f t="shared" ca="1" si="1612"/>
        <v>1</v>
      </c>
      <c r="AV1269" s="1076">
        <f t="shared" ca="1" si="1612"/>
        <v>1</v>
      </c>
      <c r="AW1269" s="1076">
        <f t="shared" ca="1" si="1612"/>
        <v>1</v>
      </c>
      <c r="AX1269" s="1076">
        <f t="shared" ca="1" si="1612"/>
        <v>1</v>
      </c>
      <c r="AY1269" s="1076">
        <f t="shared" ca="1" si="1612"/>
        <v>1</v>
      </c>
      <c r="AZ1269" s="1076">
        <f t="shared" ca="1" si="1612"/>
        <v>1</v>
      </c>
      <c r="BA1269" s="1076">
        <f t="shared" ca="1" si="1612"/>
        <v>1</v>
      </c>
      <c r="BB1269" s="1076">
        <f t="shared" ca="1" si="1612"/>
        <v>1</v>
      </c>
      <c r="BC1269" s="1076">
        <f t="shared" ref="BC1269:BD1269" ca="1" si="1613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D1269" s="1076">
        <f t="shared" ca="1" si="1613"/>
        <v>1</v>
      </c>
      <c r="BE1269" s="1076">
        <f t="shared" ref="BE1269:BV1269" ca="1" si="1614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F1269" s="1076">
        <f t="shared" ca="1" si="1614"/>
        <v>1</v>
      </c>
      <c r="BG1269" s="1076">
        <f t="shared" ca="1" si="1614"/>
        <v>1</v>
      </c>
      <c r="BH1269" s="1076">
        <f t="shared" ca="1" si="1614"/>
        <v>1</v>
      </c>
      <c r="BI1269" s="1076">
        <f t="shared" ca="1" si="1614"/>
        <v>1</v>
      </c>
      <c r="BJ1269" s="1078">
        <f ca="1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K1269" s="1076">
        <f t="shared" ca="1" si="1614"/>
        <v>1</v>
      </c>
      <c r="BL1269" s="1076">
        <f t="shared" ca="1" si="1614"/>
        <v>1</v>
      </c>
      <c r="BM1269" s="1076">
        <f t="shared" ca="1" si="1614"/>
        <v>1</v>
      </c>
      <c r="BN1269" s="1076">
        <f t="shared" ca="1" si="1614"/>
        <v>1</v>
      </c>
      <c r="BO1269" s="1076">
        <f t="shared" ca="1" si="1614"/>
        <v>1</v>
      </c>
      <c r="BP1269" s="1076">
        <f t="shared" ca="1" si="1614"/>
        <v>1</v>
      </c>
      <c r="BQ1269" s="1076">
        <f t="shared" ca="1" si="1614"/>
        <v>1</v>
      </c>
      <c r="BR1269" s="1076">
        <f t="shared" ca="1" si="1614"/>
        <v>1</v>
      </c>
      <c r="BS1269" s="1076">
        <f t="shared" ca="1" si="1614"/>
        <v>1</v>
      </c>
      <c r="BT1269" s="1076">
        <f t="shared" ca="1" si="1614"/>
        <v>1</v>
      </c>
      <c r="BU1269" s="1076">
        <f t="shared" ca="1" si="1614"/>
        <v>1</v>
      </c>
      <c r="BV1269" s="1079">
        <f t="shared" ca="1" si="1614"/>
        <v>1</v>
      </c>
      <c r="BW1269" s="1080"/>
    </row>
    <row r="1270" spans="1:75" s="937" customFormat="1" hidden="1" outlineLevel="1" x14ac:dyDescent="0.5">
      <c r="A1270" s="1081" t="s">
        <v>1611</v>
      </c>
      <c r="B1270" s="1076"/>
      <c r="C1270" s="1082">
        <v>1</v>
      </c>
      <c r="D1270" s="1082">
        <v>1</v>
      </c>
      <c r="E1270" s="1083">
        <v>1</v>
      </c>
      <c r="F1270" s="1083">
        <v>1</v>
      </c>
      <c r="G1270" s="1083">
        <v>1</v>
      </c>
      <c r="H1270" s="1083">
        <v>1</v>
      </c>
      <c r="I1270" s="1083">
        <v>1</v>
      </c>
      <c r="J1270" s="1083">
        <v>1</v>
      </c>
      <c r="K1270" s="1083">
        <v>1</v>
      </c>
      <c r="L1270" s="1083">
        <v>1</v>
      </c>
      <c r="M1270" s="1083">
        <v>1</v>
      </c>
      <c r="N1270" s="1083">
        <v>1</v>
      </c>
      <c r="O1270" s="1083">
        <v>1</v>
      </c>
      <c r="P1270" s="1083">
        <v>1</v>
      </c>
      <c r="Q1270" s="1083">
        <v>1</v>
      </c>
      <c r="R1270" s="1083">
        <v>1</v>
      </c>
      <c r="S1270" s="1083">
        <v>1</v>
      </c>
      <c r="T1270" s="1083">
        <v>1</v>
      </c>
      <c r="U1270" s="1083">
        <v>1</v>
      </c>
      <c r="V1270" s="1083">
        <v>1</v>
      </c>
      <c r="W1270" s="1083">
        <v>1</v>
      </c>
      <c r="X1270" s="1083">
        <v>1</v>
      </c>
      <c r="Y1270" s="1083">
        <v>1</v>
      </c>
      <c r="Z1270" s="1083">
        <v>1</v>
      </c>
      <c r="AA1270" s="1083">
        <v>1</v>
      </c>
      <c r="AB1270" s="1083">
        <v>1</v>
      </c>
      <c r="AC1270" s="1083">
        <v>1</v>
      </c>
      <c r="AD1270" s="1083">
        <v>1</v>
      </c>
      <c r="AE1270" s="1083">
        <v>1</v>
      </c>
      <c r="AF1270" s="1083">
        <v>1</v>
      </c>
      <c r="AG1270" s="1083">
        <v>1</v>
      </c>
      <c r="AH1270" s="1083">
        <v>1</v>
      </c>
      <c r="AI1270" s="1083">
        <v>1</v>
      </c>
      <c r="AJ1270" s="1083">
        <v>1</v>
      </c>
      <c r="AK1270" s="1083">
        <v>1</v>
      </c>
      <c r="AL1270" s="1083">
        <v>1</v>
      </c>
      <c r="AM1270" s="1083">
        <v>1</v>
      </c>
      <c r="AN1270" s="1083">
        <v>1</v>
      </c>
      <c r="AO1270" s="1083">
        <v>1</v>
      </c>
      <c r="AP1270" s="1083">
        <v>1</v>
      </c>
      <c r="AQ1270" s="1083">
        <v>1</v>
      </c>
      <c r="AR1270" s="1083">
        <v>1</v>
      </c>
      <c r="AS1270" s="1083">
        <v>1</v>
      </c>
      <c r="AT1270" s="1083">
        <v>1</v>
      </c>
      <c r="AU1270" s="1083">
        <v>1</v>
      </c>
      <c r="AV1270" s="1083">
        <v>1</v>
      </c>
      <c r="AW1270" s="1083">
        <v>1</v>
      </c>
      <c r="AX1270" s="1083">
        <v>1</v>
      </c>
      <c r="AY1270" s="1083">
        <v>1</v>
      </c>
      <c r="AZ1270" s="1083">
        <v>1</v>
      </c>
      <c r="BA1270" s="1083">
        <v>1</v>
      </c>
      <c r="BB1270" s="1083">
        <v>1</v>
      </c>
      <c r="BC1270" s="1083">
        <v>1</v>
      </c>
      <c r="BD1270" s="1083">
        <v>1</v>
      </c>
      <c r="BE1270" s="1083">
        <v>1</v>
      </c>
      <c r="BF1270" s="1083">
        <v>1</v>
      </c>
      <c r="BG1270" s="1083">
        <v>1</v>
      </c>
      <c r="BH1270" s="1083">
        <v>1</v>
      </c>
      <c r="BI1270" s="1083">
        <v>1</v>
      </c>
      <c r="BJ1270" s="1084">
        <v>1</v>
      </c>
      <c r="BK1270" s="1076">
        <f t="shared" ref="BK1270:BV1270" si="1615">MO.MRFX.Hardcoded</f>
        <v>1</v>
      </c>
      <c r="BL1270" s="1076">
        <f t="shared" si="1615"/>
        <v>1</v>
      </c>
      <c r="BM1270" s="1076">
        <f t="shared" si="1615"/>
        <v>1</v>
      </c>
      <c r="BN1270" s="1076">
        <f t="shared" si="1615"/>
        <v>1</v>
      </c>
      <c r="BO1270" s="1076">
        <f t="shared" si="1615"/>
        <v>1</v>
      </c>
      <c r="BP1270" s="1076">
        <f t="shared" si="1615"/>
        <v>1</v>
      </c>
      <c r="BQ1270" s="1076">
        <f t="shared" si="1615"/>
        <v>1</v>
      </c>
      <c r="BR1270" s="1076">
        <f t="shared" si="1615"/>
        <v>1</v>
      </c>
      <c r="BS1270" s="1076">
        <f t="shared" si="1615"/>
        <v>1</v>
      </c>
      <c r="BT1270" s="1076">
        <f t="shared" si="1615"/>
        <v>1</v>
      </c>
      <c r="BU1270" s="1076">
        <f t="shared" si="1615"/>
        <v>1</v>
      </c>
      <c r="BV1270" s="1079">
        <f t="shared" si="1615"/>
        <v>1</v>
      </c>
      <c r="BW1270" s="1080"/>
    </row>
    <row r="1271" spans="1:75" s="937" customFormat="1" hidden="1" outlineLevel="1" x14ac:dyDescent="0.5">
      <c r="A1271" s="1081" t="s">
        <v>103</v>
      </c>
      <c r="B1271" s="1076"/>
      <c r="C1271" s="1077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D1271" s="1077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E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F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G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H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I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J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K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L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M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N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O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P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Q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R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S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T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U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V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W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X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Y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Z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A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B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C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D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E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F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G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H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I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J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K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L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M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N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O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P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Q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R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S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T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U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V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W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X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Y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Z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A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B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C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D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E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F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G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H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I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J1271" s="1078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K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L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M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N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O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P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Q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R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S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T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U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V1271" s="1079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W1271" s="1080"/>
    </row>
    <row r="1272" spans="1:75" s="937" customFormat="1" hidden="1" outlineLevel="1" x14ac:dyDescent="0.5">
      <c r="A1272" s="1081" t="s">
        <v>1612</v>
      </c>
      <c r="B1272" s="1076"/>
      <c r="C1272" s="1077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D1272" s="1077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E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F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G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H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I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J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K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L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M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N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O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P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Q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R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S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T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U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V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W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X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Y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Z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A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B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C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D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E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F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G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H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I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J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K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L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M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N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O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P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Q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R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S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T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U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V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W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X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Y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Z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A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B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C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D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E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F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G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H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I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J1272" s="1078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K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L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M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N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O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P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Q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R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S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T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U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V1272" s="1079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W1272" s="1080"/>
    </row>
    <row r="1273" spans="1:75" s="937" customFormat="1" hidden="1" outlineLevel="1" x14ac:dyDescent="0.5">
      <c r="A1273" s="1081" t="s">
        <v>1613</v>
      </c>
      <c r="B1273" s="1076"/>
      <c r="C1273" s="1077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D1273" s="1077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E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F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G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H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I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J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K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L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M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N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O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P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Q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R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S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T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U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V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W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X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Y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Z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A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B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C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D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E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F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G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H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I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J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K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L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M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N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O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P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Q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R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S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T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U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V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W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X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Y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Z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A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B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C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D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E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F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G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H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I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J1273" s="1078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K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L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M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N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O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P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Q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R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S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T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U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V1273" s="1079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W1273" s="1080"/>
    </row>
    <row r="1274" spans="1:75" s="937" customFormat="1" hidden="1" outlineLevel="1" x14ac:dyDescent="0.5">
      <c r="A1274" s="1081" t="s">
        <v>1614</v>
      </c>
      <c r="B1274" s="1076"/>
      <c r="C1274" s="1077" t="str">
        <f t="shared" ref="C1274:BN1274" si="1616">"N/A"</f>
        <v>N/A</v>
      </c>
      <c r="D1274" s="1077" t="str">
        <f t="shared" si="1616"/>
        <v>N/A</v>
      </c>
      <c r="E1274" s="1076" t="str">
        <f t="shared" si="1616"/>
        <v>N/A</v>
      </c>
      <c r="F1274" s="1076" t="str">
        <f t="shared" si="1616"/>
        <v>N/A</v>
      </c>
      <c r="G1274" s="1076" t="str">
        <f t="shared" si="1616"/>
        <v>N/A</v>
      </c>
      <c r="H1274" s="1076" t="str">
        <f t="shared" si="1616"/>
        <v>N/A</v>
      </c>
      <c r="I1274" s="1076" t="str">
        <f t="shared" si="1616"/>
        <v>N/A</v>
      </c>
      <c r="J1274" s="1076" t="str">
        <f t="shared" si="1616"/>
        <v>N/A</v>
      </c>
      <c r="K1274" s="1076" t="str">
        <f t="shared" si="1616"/>
        <v>N/A</v>
      </c>
      <c r="L1274" s="1076" t="str">
        <f t="shared" si="1616"/>
        <v>N/A</v>
      </c>
      <c r="M1274" s="1076" t="str">
        <f t="shared" si="1616"/>
        <v>N/A</v>
      </c>
      <c r="N1274" s="1076" t="str">
        <f t="shared" si="1616"/>
        <v>N/A</v>
      </c>
      <c r="O1274" s="1076" t="str">
        <f t="shared" si="1616"/>
        <v>N/A</v>
      </c>
      <c r="P1274" s="1076" t="str">
        <f t="shared" si="1616"/>
        <v>N/A</v>
      </c>
      <c r="Q1274" s="1076" t="str">
        <f t="shared" si="1616"/>
        <v>N/A</v>
      </c>
      <c r="R1274" s="1076" t="str">
        <f t="shared" si="1616"/>
        <v>N/A</v>
      </c>
      <c r="S1274" s="1076" t="str">
        <f t="shared" si="1616"/>
        <v>N/A</v>
      </c>
      <c r="T1274" s="1076" t="str">
        <f t="shared" si="1616"/>
        <v>N/A</v>
      </c>
      <c r="U1274" s="1076" t="str">
        <f t="shared" si="1616"/>
        <v>N/A</v>
      </c>
      <c r="V1274" s="1076" t="str">
        <f t="shared" si="1616"/>
        <v>N/A</v>
      </c>
      <c r="W1274" s="1076" t="str">
        <f t="shared" si="1616"/>
        <v>N/A</v>
      </c>
      <c r="X1274" s="1076" t="str">
        <f t="shared" si="1616"/>
        <v>N/A</v>
      </c>
      <c r="Y1274" s="1076" t="str">
        <f t="shared" si="1616"/>
        <v>N/A</v>
      </c>
      <c r="Z1274" s="1076" t="str">
        <f t="shared" si="1616"/>
        <v>N/A</v>
      </c>
      <c r="AA1274" s="1076" t="str">
        <f t="shared" si="1616"/>
        <v>N/A</v>
      </c>
      <c r="AB1274" s="1076" t="str">
        <f t="shared" si="1616"/>
        <v>N/A</v>
      </c>
      <c r="AC1274" s="1076" t="str">
        <f t="shared" si="1616"/>
        <v>N/A</v>
      </c>
      <c r="AD1274" s="1076" t="str">
        <f t="shared" si="1616"/>
        <v>N/A</v>
      </c>
      <c r="AE1274" s="1076" t="str">
        <f t="shared" si="1616"/>
        <v>N/A</v>
      </c>
      <c r="AF1274" s="1076" t="str">
        <f t="shared" si="1616"/>
        <v>N/A</v>
      </c>
      <c r="AG1274" s="1076" t="str">
        <f t="shared" si="1616"/>
        <v>N/A</v>
      </c>
      <c r="AH1274" s="1076" t="str">
        <f t="shared" si="1616"/>
        <v>N/A</v>
      </c>
      <c r="AI1274" s="1076" t="str">
        <f t="shared" si="1616"/>
        <v>N/A</v>
      </c>
      <c r="AJ1274" s="1076" t="str">
        <f t="shared" si="1616"/>
        <v>N/A</v>
      </c>
      <c r="AK1274" s="1076" t="str">
        <f t="shared" si="1616"/>
        <v>N/A</v>
      </c>
      <c r="AL1274" s="1076" t="str">
        <f t="shared" si="1616"/>
        <v>N/A</v>
      </c>
      <c r="AM1274" s="1076" t="str">
        <f t="shared" si="1616"/>
        <v>N/A</v>
      </c>
      <c r="AN1274" s="1076" t="str">
        <f t="shared" si="1616"/>
        <v>N/A</v>
      </c>
      <c r="AO1274" s="1076" t="str">
        <f t="shared" si="1616"/>
        <v>N/A</v>
      </c>
      <c r="AP1274" s="1076" t="str">
        <f t="shared" si="1616"/>
        <v>N/A</v>
      </c>
      <c r="AQ1274" s="1076" t="str">
        <f t="shared" si="1616"/>
        <v>N/A</v>
      </c>
      <c r="AR1274" s="1076" t="str">
        <f t="shared" si="1616"/>
        <v>N/A</v>
      </c>
      <c r="AS1274" s="1076" t="str">
        <f t="shared" si="1616"/>
        <v>N/A</v>
      </c>
      <c r="AT1274" s="1076" t="str">
        <f t="shared" si="1616"/>
        <v>N/A</v>
      </c>
      <c r="AU1274" s="1076" t="str">
        <f t="shared" si="1616"/>
        <v>N/A</v>
      </c>
      <c r="AV1274" s="1076" t="str">
        <f t="shared" si="1616"/>
        <v>N/A</v>
      </c>
      <c r="AW1274" s="1076" t="str">
        <f t="shared" si="1616"/>
        <v>N/A</v>
      </c>
      <c r="AX1274" s="1076" t="str">
        <f t="shared" si="1616"/>
        <v>N/A</v>
      </c>
      <c r="AY1274" s="1076" t="str">
        <f t="shared" si="1616"/>
        <v>N/A</v>
      </c>
      <c r="AZ1274" s="1076" t="str">
        <f t="shared" si="1616"/>
        <v>N/A</v>
      </c>
      <c r="BA1274" s="1076" t="str">
        <f t="shared" si="1616"/>
        <v>N/A</v>
      </c>
      <c r="BB1274" s="1076" t="str">
        <f t="shared" si="1616"/>
        <v>N/A</v>
      </c>
      <c r="BC1274" s="1076" t="str">
        <f t="shared" si="1616"/>
        <v>N/A</v>
      </c>
      <c r="BD1274" s="1076" t="str">
        <f t="shared" si="1616"/>
        <v>N/A</v>
      </c>
      <c r="BE1274" s="1076" t="str">
        <f t="shared" si="1616"/>
        <v>N/A</v>
      </c>
      <c r="BF1274" s="1076" t="str">
        <f t="shared" si="1616"/>
        <v>N/A</v>
      </c>
      <c r="BG1274" s="1076" t="str">
        <f t="shared" si="1616"/>
        <v>N/A</v>
      </c>
      <c r="BH1274" s="1076" t="str">
        <f t="shared" si="1616"/>
        <v>N/A</v>
      </c>
      <c r="BI1274" s="1076" t="str">
        <f t="shared" si="1616"/>
        <v>N/A</v>
      </c>
      <c r="BJ1274" s="1078" t="str">
        <f>"N/A"</f>
        <v>N/A</v>
      </c>
      <c r="BK1274" s="1076" t="str">
        <f t="shared" si="1616"/>
        <v>N/A</v>
      </c>
      <c r="BL1274" s="1076" t="str">
        <f t="shared" si="1616"/>
        <v>N/A</v>
      </c>
      <c r="BM1274" s="1076" t="str">
        <f t="shared" si="1616"/>
        <v>N/A</v>
      </c>
      <c r="BN1274" s="1076" t="str">
        <f t="shared" si="1616"/>
        <v>N/A</v>
      </c>
      <c r="BO1274" s="1076" t="str">
        <f t="shared" ref="BO1274:CF1274" si="1617">"N/A"</f>
        <v>N/A</v>
      </c>
      <c r="BP1274" s="1076" t="str">
        <f t="shared" si="1617"/>
        <v>N/A</v>
      </c>
      <c r="BQ1274" s="1076" t="str">
        <f t="shared" si="1617"/>
        <v>N/A</v>
      </c>
      <c r="BR1274" s="1076" t="str">
        <f t="shared" si="1617"/>
        <v>N/A</v>
      </c>
      <c r="BS1274" s="1076" t="str">
        <f t="shared" si="1617"/>
        <v>N/A</v>
      </c>
      <c r="BT1274" s="1076" t="str">
        <f t="shared" si="1617"/>
        <v>N/A</v>
      </c>
      <c r="BU1274" s="1076" t="str">
        <f t="shared" si="1617"/>
        <v>N/A</v>
      </c>
      <c r="BV1274" s="1079" t="str">
        <f t="shared" si="1617"/>
        <v>N/A</v>
      </c>
      <c r="BW1274" s="1080"/>
    </row>
    <row r="1275" spans="1:75" s="123" customFormat="1" hidden="1" outlineLevel="1" collapsed="1" x14ac:dyDescent="0.5">
      <c r="A1275" s="1073"/>
      <c r="B1275" s="118"/>
      <c r="C1275" s="973"/>
      <c r="D1275" s="973"/>
      <c r="E1275" s="118"/>
      <c r="F1275" s="118"/>
      <c r="G1275" s="118"/>
      <c r="H1275" s="118"/>
      <c r="I1275" s="118"/>
      <c r="J1275" s="118"/>
      <c r="K1275" s="118"/>
      <c r="L1275" s="118"/>
      <c r="M1275" s="118"/>
      <c r="N1275" s="118"/>
      <c r="O1275" s="118"/>
      <c r="P1275" s="118"/>
      <c r="Q1275" s="118"/>
      <c r="R1275" s="118"/>
      <c r="S1275" s="118"/>
      <c r="T1275" s="118"/>
      <c r="U1275" s="118"/>
      <c r="V1275" s="118"/>
      <c r="W1275" s="118"/>
      <c r="X1275" s="118"/>
      <c r="Y1275" s="118"/>
      <c r="Z1275" s="118"/>
      <c r="AA1275" s="118"/>
      <c r="AB1275" s="118"/>
      <c r="AC1275" s="118"/>
      <c r="AD1275" s="118"/>
      <c r="AE1275" s="118"/>
      <c r="AF1275" s="118"/>
      <c r="AG1275" s="118"/>
      <c r="AH1275" s="118"/>
      <c r="AI1275" s="118"/>
      <c r="AJ1275" s="118"/>
      <c r="AK1275" s="118"/>
      <c r="AL1275" s="118"/>
      <c r="AM1275" s="118"/>
      <c r="AN1275" s="118"/>
      <c r="AO1275" s="118"/>
      <c r="AP1275" s="118"/>
      <c r="AQ1275" s="118"/>
      <c r="AR1275" s="118"/>
      <c r="AS1275" s="118"/>
      <c r="AT1275" s="118"/>
      <c r="AU1275" s="118"/>
      <c r="AV1275" s="118"/>
      <c r="AW1275" s="118"/>
      <c r="AX1275" s="118"/>
      <c r="AY1275" s="118"/>
      <c r="AZ1275" s="118"/>
      <c r="BA1275" s="118"/>
      <c r="BB1275" s="118"/>
      <c r="BC1275" s="118"/>
      <c r="BD1275" s="118"/>
      <c r="BE1275" s="118"/>
      <c r="BF1275" s="118"/>
      <c r="BG1275" s="118"/>
      <c r="BH1275" s="118"/>
      <c r="BI1275" s="118"/>
      <c r="BJ1275" s="971"/>
      <c r="BK1275" s="118"/>
      <c r="BL1275" s="118"/>
      <c r="BM1275" s="118"/>
      <c r="BN1275" s="118"/>
      <c r="BO1275" s="118"/>
      <c r="BP1275" s="118"/>
      <c r="BQ1275" s="118"/>
      <c r="BR1275" s="118"/>
      <c r="BS1275" s="118"/>
      <c r="BT1275" s="118"/>
      <c r="BU1275" s="118"/>
      <c r="BV1275" s="1074"/>
      <c r="BW1275" s="1039"/>
    </row>
    <row r="1276" spans="1:75" s="123" customFormat="1" collapsed="1" x14ac:dyDescent="0.5">
      <c r="A1276" s="1073" t="s">
        <v>1618</v>
      </c>
      <c r="B1276" s="118"/>
      <c r="C1276" s="1061">
        <f t="shared" ref="C1276:AH1276" si="1618">WORKDAY(INDEX(MO_Common_QEndDate,0,COLUMN()),-1)</f>
        <v>40207</v>
      </c>
      <c r="D1276" s="1061">
        <f t="shared" si="1618"/>
        <v>40571</v>
      </c>
      <c r="E1276" s="1062">
        <f t="shared" si="1618"/>
        <v>40935</v>
      </c>
      <c r="F1276" s="1062">
        <f t="shared" si="1618"/>
        <v>41306</v>
      </c>
      <c r="G1276" s="1062">
        <f t="shared" si="1618"/>
        <v>41397</v>
      </c>
      <c r="H1276" s="1062">
        <f t="shared" si="1618"/>
        <v>41488</v>
      </c>
      <c r="I1276" s="1062">
        <f t="shared" si="1618"/>
        <v>41579</v>
      </c>
      <c r="J1276" s="1062">
        <f t="shared" si="1618"/>
        <v>41670</v>
      </c>
      <c r="K1276" s="1062">
        <f t="shared" si="1618"/>
        <v>41670</v>
      </c>
      <c r="L1276" s="1062">
        <f t="shared" si="1618"/>
        <v>41761</v>
      </c>
      <c r="M1276" s="1062">
        <f t="shared" si="1618"/>
        <v>41852</v>
      </c>
      <c r="N1276" s="1062">
        <f t="shared" si="1618"/>
        <v>41943</v>
      </c>
      <c r="O1276" s="1062">
        <f t="shared" si="1618"/>
        <v>42034</v>
      </c>
      <c r="P1276" s="1062">
        <f t="shared" si="1618"/>
        <v>42034</v>
      </c>
      <c r="Q1276" s="1062">
        <f t="shared" si="1618"/>
        <v>42125</v>
      </c>
      <c r="R1276" s="1062">
        <f t="shared" si="1618"/>
        <v>42216</v>
      </c>
      <c r="S1276" s="1062">
        <f t="shared" si="1618"/>
        <v>42307</v>
      </c>
      <c r="T1276" s="1062">
        <f t="shared" si="1618"/>
        <v>42398</v>
      </c>
      <c r="U1276" s="1062">
        <f t="shared" si="1618"/>
        <v>42398</v>
      </c>
      <c r="V1276" s="1062">
        <f t="shared" si="1618"/>
        <v>42489</v>
      </c>
      <c r="W1276" s="1062">
        <f t="shared" si="1618"/>
        <v>42580</v>
      </c>
      <c r="X1276" s="1062">
        <f t="shared" si="1618"/>
        <v>42671</v>
      </c>
      <c r="Y1276" s="1062">
        <f t="shared" si="1618"/>
        <v>42762</v>
      </c>
      <c r="Z1276" s="1062">
        <f t="shared" si="1618"/>
        <v>42762</v>
      </c>
      <c r="AA1276" s="1062">
        <f t="shared" si="1618"/>
        <v>42853</v>
      </c>
      <c r="AB1276" s="1062">
        <f t="shared" si="1618"/>
        <v>42944</v>
      </c>
      <c r="AC1276" s="1062">
        <f t="shared" si="1618"/>
        <v>43035</v>
      </c>
      <c r="AD1276" s="1062">
        <f t="shared" si="1618"/>
        <v>43126</v>
      </c>
      <c r="AE1276" s="1062">
        <f t="shared" si="1618"/>
        <v>43126</v>
      </c>
      <c r="AF1276" s="1062">
        <f t="shared" si="1618"/>
        <v>43217</v>
      </c>
      <c r="AG1276" s="1062">
        <f t="shared" si="1618"/>
        <v>43308</v>
      </c>
      <c r="AH1276" s="1062">
        <f t="shared" si="1618"/>
        <v>43399</v>
      </c>
      <c r="AI1276" s="1062">
        <f t="shared" ref="AI1276:AZ1276" si="1619">WORKDAY(INDEX(MO_Common_QEndDate,0,COLUMN()),-1)</f>
        <v>43497</v>
      </c>
      <c r="AJ1276" s="1062">
        <f t="shared" si="1619"/>
        <v>43497</v>
      </c>
      <c r="AK1276" s="1062">
        <f t="shared" si="1619"/>
        <v>43588</v>
      </c>
      <c r="AL1276" s="1062">
        <f t="shared" si="1619"/>
        <v>43679</v>
      </c>
      <c r="AM1276" s="1062">
        <f t="shared" si="1619"/>
        <v>43770</v>
      </c>
      <c r="AN1276" s="1062">
        <f t="shared" si="1619"/>
        <v>43861</v>
      </c>
      <c r="AO1276" s="1062">
        <f t="shared" si="1619"/>
        <v>43861</v>
      </c>
      <c r="AP1276" s="1062">
        <f t="shared" si="1619"/>
        <v>43952</v>
      </c>
      <c r="AQ1276" s="1062">
        <f t="shared" si="1619"/>
        <v>44043</v>
      </c>
      <c r="AR1276" s="1062">
        <f t="shared" si="1619"/>
        <v>44134</v>
      </c>
      <c r="AS1276" s="1062">
        <f t="shared" si="1619"/>
        <v>44225</v>
      </c>
      <c r="AT1276" s="1062">
        <f t="shared" si="1619"/>
        <v>44225</v>
      </c>
      <c r="AU1276" s="1062">
        <f t="shared" si="1619"/>
        <v>44316</v>
      </c>
      <c r="AV1276" s="1062">
        <f t="shared" si="1619"/>
        <v>44407</v>
      </c>
      <c r="AW1276" s="1062">
        <f t="shared" si="1619"/>
        <v>44498</v>
      </c>
      <c r="AX1276" s="1062">
        <f t="shared" si="1619"/>
        <v>44589</v>
      </c>
      <c r="AY1276" s="1062">
        <f t="shared" si="1619"/>
        <v>44589</v>
      </c>
      <c r="AZ1276" s="1062">
        <f t="shared" si="1619"/>
        <v>44680</v>
      </c>
      <c r="BA1276" s="1062">
        <f t="shared" ref="BA1276:BD1276" si="1620">WORKDAY(INDEX(MO_Common_QEndDate,0,COLUMN()),-1)</f>
        <v>44771</v>
      </c>
      <c r="BB1276" s="1062">
        <f t="shared" si="1620"/>
        <v>44862</v>
      </c>
      <c r="BC1276" s="1062">
        <f t="shared" si="1620"/>
        <v>44953</v>
      </c>
      <c r="BD1276" s="1062">
        <f t="shared" si="1620"/>
        <v>44953</v>
      </c>
      <c r="BE1276" s="1062">
        <f t="shared" ref="BE1276:BV1276" si="1621">WORKDAY(INDEX(MO_Common_QEndDate,0,COLUMN()),-1)</f>
        <v>45044</v>
      </c>
      <c r="BF1276" s="1062">
        <f t="shared" si="1621"/>
        <v>45135</v>
      </c>
      <c r="BG1276" s="1062">
        <f t="shared" si="1621"/>
        <v>45226</v>
      </c>
      <c r="BH1276" s="1062">
        <f t="shared" si="1621"/>
        <v>45317</v>
      </c>
      <c r="BI1276" s="1062">
        <f t="shared" si="1621"/>
        <v>45317</v>
      </c>
      <c r="BJ1276" s="1063">
        <f>WORKDAY(INDEX(MO_Common_QEndDate,0,COLUMN()),-1)</f>
        <v>45408</v>
      </c>
      <c r="BK1276" s="1062">
        <f t="shared" si="1621"/>
        <v>45499</v>
      </c>
      <c r="BL1276" s="1062">
        <f t="shared" si="1621"/>
        <v>45590</v>
      </c>
      <c r="BM1276" s="1062">
        <f t="shared" si="1621"/>
        <v>45688</v>
      </c>
      <c r="BN1276" s="1062">
        <f t="shared" si="1621"/>
        <v>45688</v>
      </c>
      <c r="BO1276" s="1062">
        <f t="shared" si="1621"/>
        <v>45779</v>
      </c>
      <c r="BP1276" s="1062">
        <f t="shared" si="1621"/>
        <v>45870</v>
      </c>
      <c r="BQ1276" s="1062">
        <f t="shared" si="1621"/>
        <v>45961</v>
      </c>
      <c r="BR1276" s="1062">
        <f t="shared" si="1621"/>
        <v>46052</v>
      </c>
      <c r="BS1276" s="1062">
        <f t="shared" si="1621"/>
        <v>46052</v>
      </c>
      <c r="BT1276" s="1062">
        <f t="shared" si="1621"/>
        <v>46416</v>
      </c>
      <c r="BU1276" s="1062">
        <f t="shared" si="1621"/>
        <v>46780</v>
      </c>
      <c r="BV1276" s="1064">
        <f t="shared" si="1621"/>
        <v>47144</v>
      </c>
      <c r="BW1276" s="1039"/>
    </row>
    <row r="1277" spans="1:75" s="123" customFormat="1" collapsed="1" x14ac:dyDescent="0.5">
      <c r="A1277" s="1073" t="s">
        <v>1619</v>
      </c>
      <c r="B1277" s="118"/>
      <c r="C1277" s="1085">
        <v>18.98</v>
      </c>
      <c r="D1277" s="1085">
        <v>32.340000000000003</v>
      </c>
      <c r="E1277" s="1086">
        <v>35.119999999999997</v>
      </c>
      <c r="F1277" s="1086">
        <v>45.02</v>
      </c>
      <c r="G1277" s="1086">
        <v>53.83</v>
      </c>
      <c r="H1277" s="1086">
        <v>60.6</v>
      </c>
      <c r="I1277" s="1086">
        <v>52</v>
      </c>
      <c r="J1277" s="1086">
        <v>54.52</v>
      </c>
      <c r="K1277" s="1086">
        <v>54.52</v>
      </c>
      <c r="L1277" s="1086">
        <v>63.06</v>
      </c>
      <c r="M1277" s="1086">
        <v>67.2</v>
      </c>
      <c r="N1277" s="1086">
        <v>65.03</v>
      </c>
      <c r="O1277" s="1086">
        <v>78.25</v>
      </c>
      <c r="P1277" s="1086">
        <v>78.25</v>
      </c>
      <c r="Q1277" s="1086">
        <v>75.010000000000005</v>
      </c>
      <c r="R1277" s="1086">
        <v>84.66</v>
      </c>
      <c r="S1277" s="1086">
        <v>73.75</v>
      </c>
      <c r="T1277" s="1086">
        <v>51.66</v>
      </c>
      <c r="U1277" s="1086">
        <v>51.66</v>
      </c>
      <c r="V1277" s="1086">
        <v>58.78</v>
      </c>
      <c r="W1277" s="1086">
        <v>54.08</v>
      </c>
      <c r="X1277" s="1086">
        <v>46.52</v>
      </c>
      <c r="Y1277" s="1086">
        <v>47.5</v>
      </c>
      <c r="Z1277" s="1086">
        <v>47.5</v>
      </c>
      <c r="AA1277" s="1086">
        <v>54.05</v>
      </c>
      <c r="AB1277" s="1086">
        <v>46.32</v>
      </c>
      <c r="AC1277" s="1086">
        <v>52.42</v>
      </c>
      <c r="AD1277" s="1086">
        <v>53.41</v>
      </c>
      <c r="AE1277" s="1086">
        <v>53.41</v>
      </c>
      <c r="AF1277" s="1086">
        <v>49.18</v>
      </c>
      <c r="AG1277" s="1086">
        <v>58.16</v>
      </c>
      <c r="AH1277" s="1086">
        <v>56.9</v>
      </c>
      <c r="AI1277" s="1086">
        <v>54</v>
      </c>
      <c r="AJ1277" s="1086">
        <v>54</v>
      </c>
      <c r="AK1277" s="1086">
        <v>56.64</v>
      </c>
      <c r="AL1277" s="1086">
        <v>64.040000000000006</v>
      </c>
      <c r="AM1277" s="1086">
        <v>66.790000000000006</v>
      </c>
      <c r="AN1277" s="1086">
        <v>70.08</v>
      </c>
      <c r="AO1277" s="1086">
        <v>70.08</v>
      </c>
      <c r="AP1277" s="1086">
        <v>60.25</v>
      </c>
      <c r="AQ1277" s="1086">
        <v>87.12</v>
      </c>
      <c r="AR1277" s="1086">
        <v>91.21</v>
      </c>
      <c r="AS1277" s="1086">
        <v>128.91999999999999</v>
      </c>
      <c r="AT1277" s="1086">
        <v>128.91999999999999</v>
      </c>
      <c r="AU1277" s="1086">
        <v>170.75</v>
      </c>
      <c r="AV1277" s="1086">
        <v>151.69999999999999</v>
      </c>
      <c r="AW1277" s="1086">
        <v>185.73</v>
      </c>
      <c r="AX1277" s="1086">
        <v>154.81</v>
      </c>
      <c r="AY1277" s="1086">
        <v>154.81</v>
      </c>
      <c r="AZ1277" s="1086">
        <v>130.47999999999999</v>
      </c>
      <c r="BA1277" s="1086">
        <v>144.41999999999999</v>
      </c>
      <c r="BB1277" s="1086">
        <v>122.75</v>
      </c>
      <c r="BC1277" s="1086">
        <v>126.67</v>
      </c>
      <c r="BD1277" s="1086">
        <v>126.67</v>
      </c>
      <c r="BE1277" s="1086">
        <v>121.04</v>
      </c>
      <c r="BF1277" s="1086">
        <v>140.66</v>
      </c>
      <c r="BG1277" s="1086">
        <v>145.82</v>
      </c>
      <c r="BH1277" s="1086">
        <v>208.55</v>
      </c>
      <c r="BI1277" s="1086">
        <v>208.55</v>
      </c>
      <c r="BJ1277" s="1087">
        <v>282.16000000000003</v>
      </c>
      <c r="BK1277" s="1088"/>
      <c r="BL1277" s="1088"/>
      <c r="BM1277" s="1088"/>
      <c r="BN1277" s="1088"/>
      <c r="BO1277" s="1088"/>
      <c r="BP1277" s="1088"/>
      <c r="BQ1277" s="1088"/>
      <c r="BR1277" s="1088"/>
      <c r="BS1277" s="1088"/>
      <c r="BT1277" s="1088"/>
      <c r="BU1277" s="1088"/>
      <c r="BV1277" s="1089"/>
      <c r="BW1277" s="1039"/>
    </row>
    <row r="1278" spans="1:75" s="123" customFormat="1" collapsed="1" x14ac:dyDescent="0.5">
      <c r="A1278" s="1073" t="s">
        <v>1620</v>
      </c>
      <c r="B1278" s="118"/>
      <c r="C1278" s="1082">
        <v>1</v>
      </c>
      <c r="D1278" s="1082">
        <v>1</v>
      </c>
      <c r="E1278" s="1083">
        <v>1</v>
      </c>
      <c r="F1278" s="1083">
        <v>1</v>
      </c>
      <c r="G1278" s="1083">
        <v>1</v>
      </c>
      <c r="H1278" s="1083">
        <v>1</v>
      </c>
      <c r="I1278" s="1083">
        <v>1</v>
      </c>
      <c r="J1278" s="1083">
        <v>1</v>
      </c>
      <c r="K1278" s="1083">
        <v>1</v>
      </c>
      <c r="L1278" s="1083">
        <v>1</v>
      </c>
      <c r="M1278" s="1083">
        <v>1</v>
      </c>
      <c r="N1278" s="1083">
        <v>1</v>
      </c>
      <c r="O1278" s="1083">
        <v>1</v>
      </c>
      <c r="P1278" s="1083">
        <v>1</v>
      </c>
      <c r="Q1278" s="1083">
        <v>1</v>
      </c>
      <c r="R1278" s="1083">
        <v>1</v>
      </c>
      <c r="S1278" s="1083">
        <v>1</v>
      </c>
      <c r="T1278" s="1083">
        <v>1</v>
      </c>
      <c r="U1278" s="1083">
        <v>1</v>
      </c>
      <c r="V1278" s="1083">
        <v>1</v>
      </c>
      <c r="W1278" s="1083">
        <v>1</v>
      </c>
      <c r="X1278" s="1083">
        <v>1</v>
      </c>
      <c r="Y1278" s="1083">
        <v>1</v>
      </c>
      <c r="Z1278" s="1083">
        <v>1</v>
      </c>
      <c r="AA1278" s="1083">
        <v>1</v>
      </c>
      <c r="AB1278" s="1083">
        <v>1</v>
      </c>
      <c r="AC1278" s="1083">
        <v>1</v>
      </c>
      <c r="AD1278" s="1083">
        <v>1</v>
      </c>
      <c r="AE1278" s="1083">
        <v>1</v>
      </c>
      <c r="AF1278" s="1083">
        <v>1</v>
      </c>
      <c r="AG1278" s="1083">
        <v>1</v>
      </c>
      <c r="AH1278" s="1083">
        <v>1</v>
      </c>
      <c r="AI1278" s="1083">
        <v>1</v>
      </c>
      <c r="AJ1278" s="1083">
        <v>1</v>
      </c>
      <c r="AK1278" s="1083">
        <v>1</v>
      </c>
      <c r="AL1278" s="1083">
        <v>1</v>
      </c>
      <c r="AM1278" s="1083">
        <v>1</v>
      </c>
      <c r="AN1278" s="1083">
        <v>1</v>
      </c>
      <c r="AO1278" s="1083">
        <v>1</v>
      </c>
      <c r="AP1278" s="1083">
        <v>1</v>
      </c>
      <c r="AQ1278" s="1083">
        <v>1</v>
      </c>
      <c r="AR1278" s="1083">
        <v>1</v>
      </c>
      <c r="AS1278" s="1083">
        <v>1</v>
      </c>
      <c r="AT1278" s="1083">
        <v>1</v>
      </c>
      <c r="AU1278" s="1083">
        <v>1</v>
      </c>
      <c r="AV1278" s="1083">
        <v>1</v>
      </c>
      <c r="AW1278" s="1083">
        <v>1</v>
      </c>
      <c r="AX1278" s="1083">
        <v>1</v>
      </c>
      <c r="AY1278" s="1083">
        <v>1</v>
      </c>
      <c r="AZ1278" s="1083">
        <v>1</v>
      </c>
      <c r="BA1278" s="1083">
        <v>1</v>
      </c>
      <c r="BB1278" s="1083">
        <v>1</v>
      </c>
      <c r="BC1278" s="1083">
        <v>1</v>
      </c>
      <c r="BD1278" s="1083">
        <v>1</v>
      </c>
      <c r="BE1278" s="1083">
        <v>1</v>
      </c>
      <c r="BF1278" s="1083">
        <v>1</v>
      </c>
      <c r="BG1278" s="1083">
        <v>1</v>
      </c>
      <c r="BH1278" s="1083">
        <v>1</v>
      </c>
      <c r="BI1278" s="1083">
        <v>1</v>
      </c>
      <c r="BJ1278" s="1084">
        <v>1</v>
      </c>
      <c r="BK1278" s="1076"/>
      <c r="BL1278" s="1076"/>
      <c r="BM1278" s="1076"/>
      <c r="BN1278" s="1076"/>
      <c r="BO1278" s="1076"/>
      <c r="BP1278" s="1076"/>
      <c r="BQ1278" s="1076"/>
      <c r="BR1278" s="1076"/>
      <c r="BS1278" s="1076"/>
      <c r="BT1278" s="1076"/>
      <c r="BU1278" s="1076"/>
      <c r="BV1278" s="1079"/>
      <c r="BW1278" s="1039"/>
    </row>
    <row r="1279" spans="1:75" s="123" customFormat="1" collapsed="1" x14ac:dyDescent="0.5">
      <c r="A1279" s="1090"/>
      <c r="B1279" s="723"/>
      <c r="C1279" s="1091"/>
      <c r="D1279" s="1091"/>
      <c r="E1279" s="1092"/>
      <c r="F1279" s="1092"/>
      <c r="G1279" s="1092"/>
      <c r="H1279" s="1092"/>
      <c r="I1279" s="1092"/>
      <c r="J1279" s="1092"/>
      <c r="K1279" s="1092"/>
      <c r="L1279" s="1092"/>
      <c r="M1279" s="1092"/>
      <c r="N1279" s="1092"/>
      <c r="O1279" s="1092"/>
      <c r="P1279" s="1092"/>
      <c r="Q1279" s="1092"/>
      <c r="R1279" s="1092"/>
      <c r="S1279" s="1092"/>
      <c r="T1279" s="1092"/>
      <c r="U1279" s="1092"/>
      <c r="V1279" s="1092"/>
      <c r="W1279" s="1092"/>
      <c r="X1279" s="1092"/>
      <c r="Y1279" s="1092"/>
      <c r="Z1279" s="1092"/>
      <c r="AA1279" s="1092"/>
      <c r="AB1279" s="1092"/>
      <c r="AC1279" s="1092"/>
      <c r="AD1279" s="1092"/>
      <c r="AE1279" s="1092"/>
      <c r="AF1279" s="1092"/>
      <c r="AG1279" s="1092"/>
      <c r="AH1279" s="1092"/>
      <c r="AI1279" s="1092"/>
      <c r="AJ1279" s="1092"/>
      <c r="AK1279" s="1092"/>
      <c r="AL1279" s="1092"/>
      <c r="AM1279" s="1092"/>
      <c r="AN1279" s="1092"/>
      <c r="AO1279" s="1092"/>
      <c r="AP1279" s="1092"/>
      <c r="AQ1279" s="1092"/>
      <c r="AR1279" s="1092"/>
      <c r="AS1279" s="1092"/>
      <c r="AT1279" s="1092"/>
      <c r="AU1279" s="1092"/>
      <c r="AV1279" s="1092"/>
      <c r="AW1279" s="1092"/>
      <c r="AX1279" s="1092"/>
      <c r="AY1279" s="1092"/>
      <c r="AZ1279" s="1092"/>
      <c r="BA1279" s="1092"/>
      <c r="BB1279" s="1092"/>
      <c r="BC1279" s="1092"/>
      <c r="BD1279" s="1092"/>
      <c r="BE1279" s="1092"/>
      <c r="BF1279" s="1092"/>
      <c r="BG1279" s="1092"/>
      <c r="BH1279" s="1092"/>
      <c r="BI1279" s="1092"/>
      <c r="BJ1279" s="1093"/>
      <c r="BK1279" s="1092"/>
      <c r="BL1279" s="1092"/>
      <c r="BM1279" s="1092"/>
      <c r="BN1279" s="1092"/>
      <c r="BO1279" s="1092"/>
      <c r="BP1279" s="1092"/>
      <c r="BQ1279" s="1092"/>
      <c r="BR1279" s="1092"/>
      <c r="BS1279" s="1092"/>
      <c r="BT1279" s="1092"/>
      <c r="BU1279" s="1092"/>
      <c r="BV1279" s="1094"/>
      <c r="BW1279" s="1039"/>
    </row>
    <row r="1280" spans="1:75" s="123" customFormat="1" x14ac:dyDescent="0.5">
      <c r="A1280" s="1051"/>
      <c r="B1280" s="1052"/>
      <c r="C1280" s="1057"/>
      <c r="D1280" s="1057"/>
      <c r="E1280" s="1056"/>
      <c r="F1280" s="1056"/>
      <c r="G1280" s="1056"/>
      <c r="H1280" s="1056"/>
      <c r="I1280" s="1056"/>
      <c r="J1280" s="1056"/>
      <c r="K1280" s="1056"/>
      <c r="L1280" s="1056"/>
      <c r="M1280" s="1056"/>
      <c r="N1280" s="1056"/>
      <c r="O1280" s="1056"/>
      <c r="P1280" s="1056"/>
      <c r="Q1280" s="1056"/>
      <c r="R1280" s="1056"/>
      <c r="S1280" s="1056"/>
      <c r="T1280" s="1056"/>
      <c r="U1280" s="1056"/>
      <c r="V1280" s="1056"/>
      <c r="W1280" s="1056"/>
      <c r="X1280" s="1056"/>
      <c r="Y1280" s="1056"/>
      <c r="Z1280" s="1056"/>
      <c r="AA1280" s="1056"/>
      <c r="AB1280" s="1056"/>
      <c r="AC1280" s="1056"/>
      <c r="AD1280" s="1056"/>
      <c r="AE1280" s="1056"/>
      <c r="AF1280" s="1056"/>
      <c r="AG1280" s="1056"/>
      <c r="AH1280" s="1056"/>
      <c r="AI1280" s="1056"/>
      <c r="AJ1280" s="1056"/>
      <c r="AK1280" s="1056"/>
      <c r="AL1280" s="1056"/>
      <c r="AM1280" s="1056"/>
      <c r="AN1280" s="1056"/>
      <c r="AO1280" s="1056"/>
      <c r="AP1280" s="1056"/>
      <c r="AQ1280" s="1056"/>
      <c r="AR1280" s="1056"/>
      <c r="AS1280" s="1056"/>
      <c r="AT1280" s="1056"/>
      <c r="AU1280" s="1056"/>
      <c r="AV1280" s="1056"/>
      <c r="AW1280" s="1056"/>
      <c r="AX1280" s="1056"/>
      <c r="AY1280" s="1056"/>
      <c r="AZ1280" s="1056"/>
      <c r="BA1280" s="1056"/>
      <c r="BB1280" s="1056"/>
      <c r="BC1280" s="1056"/>
      <c r="BD1280" s="1056"/>
      <c r="BE1280" s="1056"/>
      <c r="BF1280" s="1056"/>
      <c r="BG1280" s="1056"/>
      <c r="BH1280" s="1056"/>
      <c r="BI1280" s="1056"/>
      <c r="BJ1280" s="1058"/>
      <c r="BK1280" s="1056"/>
      <c r="BL1280" s="1056"/>
      <c r="BM1280" s="1056"/>
      <c r="BN1280" s="1056"/>
      <c r="BO1280" s="1056"/>
      <c r="BP1280" s="1056"/>
      <c r="BQ1280" s="1056"/>
      <c r="BR1280" s="1056"/>
      <c r="BS1280" s="1056"/>
      <c r="BT1280" s="1056"/>
      <c r="BU1280" s="1056"/>
      <c r="BV1280" s="1056"/>
      <c r="BW1280" s="122"/>
    </row>
    <row r="1281" spans="1:75" s="123" customFormat="1" x14ac:dyDescent="0.5">
      <c r="A1281" s="1095" t="s">
        <v>1621</v>
      </c>
      <c r="B1281" s="1056"/>
      <c r="C1281" s="118"/>
      <c r="D1281" s="118"/>
      <c r="E1281" s="118"/>
      <c r="F1281" s="118"/>
      <c r="G1281" s="118"/>
      <c r="H1281" s="118"/>
      <c r="I1281" s="118"/>
      <c r="J1281" s="118"/>
      <c r="K1281" s="118"/>
      <c r="L1281" s="118"/>
      <c r="M1281" s="118"/>
      <c r="N1281" s="118"/>
      <c r="O1281" s="118"/>
      <c r="P1281" s="118"/>
      <c r="Q1281" s="118"/>
      <c r="R1281" s="118"/>
      <c r="S1281" s="118"/>
      <c r="T1281" s="118"/>
      <c r="U1281" s="118"/>
      <c r="V1281" s="118"/>
      <c r="W1281" s="118"/>
      <c r="X1281" s="118"/>
      <c r="Y1281" s="118"/>
      <c r="Z1281" s="118"/>
      <c r="AA1281" s="118"/>
      <c r="AB1281" s="118"/>
      <c r="AC1281" s="118"/>
      <c r="AD1281" s="118"/>
      <c r="AE1281" s="118"/>
      <c r="AF1281" s="118"/>
      <c r="AG1281" s="118"/>
      <c r="AH1281" s="118"/>
      <c r="AI1281" s="118"/>
      <c r="AJ1281" s="118"/>
      <c r="AK1281" s="118"/>
      <c r="AL1281" s="118"/>
      <c r="AM1281" s="118"/>
      <c r="AN1281" s="118"/>
      <c r="AO1281" s="118"/>
      <c r="AP1281" s="118"/>
      <c r="AQ1281" s="118"/>
      <c r="AR1281" s="118"/>
      <c r="AS1281" s="118"/>
      <c r="AT1281" s="118"/>
      <c r="AU1281" s="118"/>
      <c r="AV1281" s="118"/>
      <c r="AW1281" s="118"/>
      <c r="AX1281" s="118"/>
      <c r="AY1281" s="118"/>
      <c r="AZ1281" s="118"/>
      <c r="BA1281" s="118"/>
      <c r="BB1281" s="118"/>
      <c r="BC1281" s="118"/>
      <c r="BD1281" s="118"/>
      <c r="BE1281" s="118"/>
      <c r="BF1281" s="118"/>
      <c r="BG1281" s="118"/>
      <c r="BH1281" s="118"/>
      <c r="BI1281" s="118"/>
      <c r="BJ1281" s="971"/>
      <c r="BK1281" s="118"/>
      <c r="BL1281" s="118"/>
      <c r="BM1281" s="118"/>
      <c r="BN1281" s="118"/>
      <c r="BO1281" s="118"/>
      <c r="BP1281" s="118"/>
      <c r="BQ1281" s="118"/>
      <c r="BR1281" s="118"/>
      <c r="BS1281" s="118"/>
      <c r="BT1281" s="118"/>
      <c r="BU1281" s="118"/>
      <c r="BV1281" s="118"/>
      <c r="BW1281" s="122"/>
    </row>
    <row r="1282" spans="1:75" s="921" customFormat="1" x14ac:dyDescent="0.5">
      <c r="A1282" s="915" t="s">
        <v>1622</v>
      </c>
      <c r="B1282" s="785">
        <f>FP.LastPrice</f>
        <v>292.52</v>
      </c>
      <c r="C1282" s="785"/>
      <c r="D1282" s="785"/>
      <c r="E1282" s="785"/>
      <c r="F1282" s="785"/>
      <c r="G1282" s="785"/>
      <c r="H1282" s="785"/>
      <c r="I1282" s="785"/>
      <c r="J1282" s="785"/>
      <c r="K1282" s="785"/>
      <c r="L1282" s="785"/>
      <c r="M1282" s="785"/>
      <c r="N1282" s="785"/>
      <c r="O1282" s="785"/>
      <c r="P1282" s="785"/>
      <c r="Q1282" s="785"/>
      <c r="R1282" s="785"/>
      <c r="S1282" s="785"/>
      <c r="T1282" s="785"/>
      <c r="U1282" s="785"/>
      <c r="V1282" s="785"/>
      <c r="W1282" s="785"/>
      <c r="X1282" s="785"/>
      <c r="Y1282" s="785"/>
      <c r="Z1282" s="785"/>
      <c r="AA1282" s="785"/>
      <c r="AB1282" s="785"/>
      <c r="AC1282" s="785"/>
      <c r="AD1282" s="785"/>
      <c r="AE1282" s="785"/>
      <c r="AF1282" s="785"/>
      <c r="AG1282" s="785"/>
      <c r="AH1282" s="785"/>
      <c r="AI1282" s="785"/>
      <c r="AJ1282" s="785"/>
      <c r="AK1282" s="785"/>
      <c r="AL1282" s="785"/>
      <c r="AM1282" s="785"/>
      <c r="AN1282" s="785"/>
      <c r="AO1282" s="785"/>
      <c r="AP1282" s="785"/>
      <c r="AQ1282" s="785"/>
      <c r="AR1282" s="785"/>
      <c r="AS1282" s="785"/>
      <c r="AT1282" s="785"/>
      <c r="AU1282" s="785"/>
      <c r="AV1282" s="785"/>
      <c r="AW1282" s="785"/>
      <c r="AX1282" s="785"/>
      <c r="AY1282" s="785"/>
      <c r="AZ1282" s="785"/>
      <c r="BA1282" s="785"/>
      <c r="BB1282" s="785"/>
      <c r="BC1282" s="785"/>
      <c r="BD1282" s="785"/>
      <c r="BE1282" s="785"/>
      <c r="BF1282" s="785"/>
      <c r="BG1282" s="785"/>
      <c r="BH1282" s="785"/>
      <c r="BI1282" s="785"/>
      <c r="BJ1282" s="1067"/>
      <c r="BK1282" s="785"/>
      <c r="BL1282" s="785"/>
      <c r="BM1282" s="785"/>
      <c r="BN1282" s="785"/>
      <c r="BO1282" s="785"/>
      <c r="BP1282" s="785"/>
      <c r="BQ1282" s="785"/>
      <c r="BR1282" s="785"/>
      <c r="BS1282" s="785"/>
      <c r="BT1282" s="785"/>
      <c r="BU1282" s="785"/>
      <c r="BV1282" s="785"/>
      <c r="BW1282" s="787"/>
    </row>
    <row r="1283" spans="1:75" x14ac:dyDescent="0.5">
      <c r="A1283" s="464" t="s">
        <v>1623</v>
      </c>
      <c r="B1283" s="1096">
        <f>FP.LastPriceDate</f>
        <v>45450</v>
      </c>
      <c r="C1283" s="127"/>
      <c r="D1283" s="127"/>
      <c r="E1283" s="127"/>
      <c r="F1283" s="127"/>
      <c r="G1283" s="127"/>
      <c r="H1283" s="127"/>
      <c r="I1283" s="127"/>
      <c r="J1283" s="127"/>
      <c r="K1283" s="127"/>
      <c r="L1283" s="127"/>
      <c r="M1283" s="127"/>
      <c r="N1283" s="127"/>
      <c r="O1283" s="127"/>
      <c r="P1283" s="127"/>
      <c r="Q1283" s="127"/>
      <c r="R1283" s="127"/>
      <c r="S1283" s="127"/>
      <c r="T1283" s="127"/>
      <c r="U1283" s="127"/>
      <c r="V1283" s="127"/>
      <c r="W1283" s="127"/>
      <c r="X1283" s="127"/>
      <c r="Y1283" s="127"/>
      <c r="Z1283" s="127"/>
      <c r="AA1283" s="127"/>
      <c r="AB1283" s="127"/>
      <c r="AC1283" s="127"/>
      <c r="AD1283" s="127"/>
      <c r="AE1283" s="127"/>
      <c r="AF1283" s="127"/>
      <c r="AG1283" s="127"/>
      <c r="AH1283" s="127"/>
      <c r="AI1283" s="127"/>
      <c r="AJ1283" s="127"/>
      <c r="AK1283" s="127"/>
      <c r="AL1283" s="127"/>
      <c r="AM1283" s="127"/>
      <c r="AN1283" s="127"/>
      <c r="AO1283" s="127"/>
      <c r="AP1283" s="127"/>
      <c r="AQ1283" s="127"/>
      <c r="AR1283" s="127"/>
      <c r="AS1283" s="127"/>
      <c r="AT1283" s="127"/>
      <c r="AU1283" s="127"/>
      <c r="AV1283" s="127"/>
      <c r="AW1283" s="127"/>
      <c r="AX1283" s="127"/>
      <c r="AY1283" s="127"/>
      <c r="AZ1283" s="127"/>
      <c r="BA1283" s="127"/>
      <c r="BB1283" s="127"/>
      <c r="BC1283" s="127"/>
      <c r="BD1283" s="127"/>
      <c r="BE1283" s="127"/>
      <c r="BF1283" s="127"/>
      <c r="BG1283" s="127"/>
      <c r="BH1283" s="127"/>
      <c r="BI1283" s="127"/>
      <c r="BJ1283" s="1097"/>
      <c r="BK1283" s="127"/>
      <c r="BL1283" s="127"/>
      <c r="BM1283" s="127"/>
      <c r="BN1283" s="127"/>
      <c r="BO1283" s="127"/>
      <c r="BP1283" s="127"/>
      <c r="BQ1283" s="127"/>
      <c r="BR1283" s="127"/>
      <c r="BS1283" s="127"/>
      <c r="BT1283" s="127"/>
      <c r="BU1283" s="127"/>
      <c r="BV1283" s="127"/>
      <c r="BW1283" s="152"/>
    </row>
    <row r="1284" spans="1:75" x14ac:dyDescent="0.5">
      <c r="A1284" s="464" t="s">
        <v>1624</v>
      </c>
      <c r="B1284" s="152" t="b">
        <f>IF(FP.RealTimeToggle="ON",TRUE,FALSE)</f>
        <v>0</v>
      </c>
      <c r="C1284" s="127"/>
      <c r="D1284" s="127"/>
      <c r="E1284" s="127"/>
      <c r="F1284" s="127"/>
      <c r="G1284" s="127"/>
      <c r="H1284" s="127"/>
      <c r="I1284" s="127"/>
      <c r="J1284" s="127"/>
      <c r="K1284" s="127"/>
      <c r="L1284" s="127"/>
      <c r="M1284" s="127"/>
      <c r="N1284" s="127"/>
      <c r="O1284" s="127"/>
      <c r="P1284" s="127"/>
      <c r="Q1284" s="127"/>
      <c r="R1284" s="127"/>
      <c r="S1284" s="127"/>
      <c r="T1284" s="127"/>
      <c r="U1284" s="127"/>
      <c r="V1284" s="127"/>
      <c r="W1284" s="127"/>
      <c r="X1284" s="127"/>
      <c r="Y1284" s="127"/>
      <c r="Z1284" s="127"/>
      <c r="AA1284" s="127"/>
      <c r="AB1284" s="127"/>
      <c r="AC1284" s="127"/>
      <c r="AD1284" s="127"/>
      <c r="AE1284" s="127"/>
      <c r="AF1284" s="127"/>
      <c r="AG1284" s="127"/>
      <c r="AH1284" s="127"/>
      <c r="AI1284" s="127"/>
      <c r="AJ1284" s="127"/>
      <c r="AK1284" s="127"/>
      <c r="AL1284" s="127"/>
      <c r="AM1284" s="127"/>
      <c r="AN1284" s="127"/>
      <c r="AO1284" s="127"/>
      <c r="AP1284" s="127"/>
      <c r="AQ1284" s="127"/>
      <c r="AR1284" s="127"/>
      <c r="AS1284" s="127"/>
      <c r="AT1284" s="127"/>
      <c r="AU1284" s="127"/>
      <c r="AV1284" s="127"/>
      <c r="AW1284" s="127"/>
      <c r="AX1284" s="127"/>
      <c r="AY1284" s="127"/>
      <c r="AZ1284" s="127"/>
      <c r="BA1284" s="127"/>
      <c r="BB1284" s="127"/>
      <c r="BC1284" s="127"/>
      <c r="BD1284" s="127"/>
      <c r="BE1284" s="127"/>
      <c r="BF1284" s="127"/>
      <c r="BG1284" s="127"/>
      <c r="BH1284" s="127"/>
      <c r="BI1284" s="127"/>
      <c r="BJ1284" s="1097"/>
      <c r="BK1284" s="127"/>
      <c r="BL1284" s="127"/>
      <c r="BM1284" s="127"/>
      <c r="BN1284" s="127"/>
      <c r="BO1284" s="127"/>
      <c r="BP1284" s="127"/>
      <c r="BQ1284" s="127"/>
      <c r="BR1284" s="127"/>
      <c r="BS1284" s="127"/>
      <c r="BT1284" s="127"/>
      <c r="BU1284" s="127"/>
      <c r="BV1284" s="127"/>
      <c r="BW1284" s="152"/>
    </row>
    <row r="1285" spans="1:75" s="921" customFormat="1" x14ac:dyDescent="0.5">
      <c r="A1285" s="915" t="s">
        <v>1625</v>
      </c>
      <c r="B1285" s="787" t="str">
        <f ca="1">IFERROR(CHOOSE(MO.DataSourceIndex,BDP(MO.Ticker.Bloomberg&amp;" EQUITY","LAST_PRICE"),CIQ(MO.Ticker.CapIQ,"IQ_LASTSALEPRICE"),FDS(MO.Ticker.FactSet,"FG_PRICE(NOW)"),_xll.TR(MO.Ticker.Thomson,"TRDPRC_1")),"N/A")</f>
        <v>N/A</v>
      </c>
      <c r="C1285" s="785"/>
      <c r="D1285" s="785"/>
      <c r="E1285" s="785"/>
      <c r="F1285" s="785"/>
      <c r="G1285" s="785"/>
      <c r="H1285" s="785"/>
      <c r="I1285" s="785"/>
      <c r="J1285" s="785"/>
      <c r="K1285" s="785"/>
      <c r="L1285" s="785"/>
      <c r="M1285" s="785"/>
      <c r="N1285" s="785"/>
      <c r="O1285" s="785"/>
      <c r="P1285" s="785"/>
      <c r="Q1285" s="785"/>
      <c r="R1285" s="785"/>
      <c r="S1285" s="785"/>
      <c r="T1285" s="785"/>
      <c r="U1285" s="785"/>
      <c r="V1285" s="785"/>
      <c r="W1285" s="785"/>
      <c r="X1285" s="785"/>
      <c r="Y1285" s="785"/>
      <c r="Z1285" s="785"/>
      <c r="AA1285" s="785"/>
      <c r="AB1285" s="785"/>
      <c r="AC1285" s="785"/>
      <c r="AD1285" s="785"/>
      <c r="AE1285" s="785"/>
      <c r="AF1285" s="785"/>
      <c r="AG1285" s="785"/>
      <c r="AH1285" s="785"/>
      <c r="AI1285" s="785"/>
      <c r="AJ1285" s="785"/>
      <c r="AK1285" s="785"/>
      <c r="AL1285" s="785"/>
      <c r="AM1285" s="785"/>
      <c r="AN1285" s="785"/>
      <c r="AO1285" s="785"/>
      <c r="AP1285" s="785"/>
      <c r="AQ1285" s="785"/>
      <c r="AR1285" s="785"/>
      <c r="AS1285" s="785"/>
      <c r="AT1285" s="785"/>
      <c r="AU1285" s="785"/>
      <c r="AV1285" s="785"/>
      <c r="AW1285" s="785"/>
      <c r="AX1285" s="785"/>
      <c r="AY1285" s="785"/>
      <c r="AZ1285" s="785"/>
      <c r="BA1285" s="785"/>
      <c r="BB1285" s="785"/>
      <c r="BC1285" s="785"/>
      <c r="BD1285" s="785"/>
      <c r="BE1285" s="785"/>
      <c r="BF1285" s="785"/>
      <c r="BG1285" s="785"/>
      <c r="BH1285" s="785"/>
      <c r="BI1285" s="785"/>
      <c r="BJ1285" s="1067"/>
      <c r="BK1285" s="785"/>
      <c r="BL1285" s="785"/>
      <c r="BM1285" s="785"/>
      <c r="BN1285" s="785"/>
      <c r="BO1285" s="785"/>
      <c r="BP1285" s="785"/>
      <c r="BQ1285" s="785"/>
      <c r="BR1285" s="785"/>
      <c r="BS1285" s="785"/>
      <c r="BT1285" s="785"/>
      <c r="BU1285" s="785"/>
      <c r="BV1285" s="785"/>
      <c r="BW1285" s="787"/>
    </row>
    <row r="1286" spans="1:75" s="921" customFormat="1" x14ac:dyDescent="0.5">
      <c r="A1286" s="915" t="s">
        <v>1626</v>
      </c>
      <c r="B1286" s="787" t="b">
        <f>OR(AND(OR(EXACT(HP.TradeCurrency.HardCoded,"GBp"),EXACT(HP.TradeCurrency.HardCoded,"GBX")),EXACT(HP.ReportCurrency,"GBP")),AND(OR(EXACT(HP.TradeCurrency.HardCoded,"ZAc"),EXACT(HP.TradeCurrency.HardCoded,"ZAC")),EXACT(HP.ReportCurrency,"ZAR")))</f>
        <v>0</v>
      </c>
      <c r="C1286" s="785"/>
      <c r="D1286" s="785"/>
      <c r="E1286" s="785"/>
      <c r="F1286" s="785"/>
      <c r="G1286" s="785"/>
      <c r="H1286" s="785"/>
      <c r="I1286" s="785"/>
      <c r="J1286" s="785"/>
      <c r="K1286" s="785"/>
      <c r="L1286" s="785"/>
      <c r="M1286" s="785"/>
      <c r="N1286" s="785"/>
      <c r="O1286" s="785"/>
      <c r="P1286" s="785"/>
      <c r="Q1286" s="785"/>
      <c r="R1286" s="785"/>
      <c r="S1286" s="785"/>
      <c r="T1286" s="785"/>
      <c r="U1286" s="785"/>
      <c r="V1286" s="785"/>
      <c r="W1286" s="785"/>
      <c r="X1286" s="785"/>
      <c r="Y1286" s="785"/>
      <c r="Z1286" s="785"/>
      <c r="AA1286" s="785"/>
      <c r="AB1286" s="785"/>
      <c r="AC1286" s="785"/>
      <c r="AD1286" s="785"/>
      <c r="AE1286" s="785"/>
      <c r="AF1286" s="785"/>
      <c r="AG1286" s="785"/>
      <c r="AH1286" s="785"/>
      <c r="AI1286" s="785"/>
      <c r="AJ1286" s="785"/>
      <c r="AK1286" s="785"/>
      <c r="AL1286" s="785"/>
      <c r="AM1286" s="785"/>
      <c r="AN1286" s="785"/>
      <c r="AO1286" s="785"/>
      <c r="AP1286" s="785"/>
      <c r="AQ1286" s="785"/>
      <c r="AR1286" s="785"/>
      <c r="AS1286" s="785"/>
      <c r="AT1286" s="785"/>
      <c r="AU1286" s="785"/>
      <c r="AV1286" s="785"/>
      <c r="AW1286" s="785"/>
      <c r="AX1286" s="785"/>
      <c r="AY1286" s="785"/>
      <c r="AZ1286" s="785"/>
      <c r="BA1286" s="785"/>
      <c r="BB1286" s="785"/>
      <c r="BC1286" s="785"/>
      <c r="BD1286" s="785"/>
      <c r="BE1286" s="785"/>
      <c r="BF1286" s="785"/>
      <c r="BG1286" s="785"/>
      <c r="BH1286" s="785"/>
      <c r="BI1286" s="785"/>
      <c r="BJ1286" s="1067"/>
      <c r="BK1286" s="785"/>
      <c r="BL1286" s="785"/>
      <c r="BM1286" s="785"/>
      <c r="BN1286" s="785"/>
      <c r="BO1286" s="785"/>
      <c r="BP1286" s="785"/>
      <c r="BQ1286" s="785"/>
      <c r="BR1286" s="785"/>
      <c r="BS1286" s="785"/>
      <c r="BT1286" s="785"/>
      <c r="BU1286" s="785"/>
      <c r="BV1286" s="785"/>
      <c r="BW1286" s="787"/>
    </row>
    <row r="1287" spans="1:75" s="921" customFormat="1" x14ac:dyDescent="0.5">
      <c r="A1287" s="915" t="s">
        <v>1627</v>
      </c>
      <c r="B1287" s="787" t="str">
        <f ca="1">IFERROR(CHOOSE(MO.DataSourceIndex,BDP(HP.Ticker&amp;" Equity","CRNCY"),CIQ(HP.Ticker,"IQ_TRADING_CURRENCY"),FDS(HP.Ticker,"P_CURRENCY(""ISO"")"),_xll.TR(HP.Ticker,"Currency")),HP.TradeCurrency.HardCoded)</f>
        <v>USD</v>
      </c>
      <c r="C1287" s="785"/>
      <c r="D1287" s="785"/>
      <c r="E1287" s="785"/>
      <c r="F1287" s="785"/>
      <c r="G1287" s="785"/>
      <c r="H1287" s="785"/>
      <c r="I1287" s="785"/>
      <c r="J1287" s="785"/>
      <c r="K1287" s="785"/>
      <c r="L1287" s="785"/>
      <c r="M1287" s="785"/>
      <c r="N1287" s="785"/>
      <c r="O1287" s="785"/>
      <c r="P1287" s="785"/>
      <c r="Q1287" s="785"/>
      <c r="R1287" s="785"/>
      <c r="S1287" s="785"/>
      <c r="T1287" s="785"/>
      <c r="U1287" s="785"/>
      <c r="V1287" s="785"/>
      <c r="W1287" s="785"/>
      <c r="X1287" s="785"/>
      <c r="Y1287" s="785"/>
      <c r="Z1287" s="785"/>
      <c r="AA1287" s="785"/>
      <c r="AB1287" s="785"/>
      <c r="AC1287" s="785"/>
      <c r="AD1287" s="785"/>
      <c r="AE1287" s="785"/>
      <c r="AF1287" s="785"/>
      <c r="AG1287" s="785"/>
      <c r="AH1287" s="785"/>
      <c r="AI1287" s="785"/>
      <c r="AJ1287" s="785"/>
      <c r="AK1287" s="785"/>
      <c r="AL1287" s="785"/>
      <c r="AM1287" s="785"/>
      <c r="AN1287" s="785"/>
      <c r="AO1287" s="785"/>
      <c r="AP1287" s="785"/>
      <c r="AQ1287" s="785"/>
      <c r="AR1287" s="785"/>
      <c r="AS1287" s="785"/>
      <c r="AT1287" s="785"/>
      <c r="AU1287" s="785"/>
      <c r="AV1287" s="785"/>
      <c r="AW1287" s="785"/>
      <c r="AX1287" s="785"/>
      <c r="AY1287" s="785"/>
      <c r="AZ1287" s="785"/>
      <c r="BA1287" s="785"/>
      <c r="BB1287" s="785"/>
      <c r="BC1287" s="785"/>
      <c r="BD1287" s="785"/>
      <c r="BE1287" s="785"/>
      <c r="BF1287" s="785"/>
      <c r="BG1287" s="785"/>
      <c r="BH1287" s="785"/>
      <c r="BI1287" s="785"/>
      <c r="BJ1287" s="1067"/>
      <c r="BK1287" s="785"/>
      <c r="BL1287" s="785"/>
      <c r="BM1287" s="785"/>
      <c r="BN1287" s="785"/>
      <c r="BO1287" s="785"/>
      <c r="BP1287" s="785"/>
      <c r="BQ1287" s="785"/>
      <c r="BR1287" s="785"/>
      <c r="BS1287" s="785"/>
      <c r="BT1287" s="785"/>
      <c r="BU1287" s="785"/>
      <c r="BV1287" s="785"/>
      <c r="BW1287" s="787"/>
    </row>
    <row r="1288" spans="1:75" s="921" customFormat="1" x14ac:dyDescent="0.5">
      <c r="A1288" s="915" t="s">
        <v>1628</v>
      </c>
      <c r="B1288" s="1071" t="s">
        <v>102</v>
      </c>
      <c r="C1288" s="785"/>
      <c r="D1288" s="785"/>
      <c r="E1288" s="785"/>
      <c r="F1288" s="785"/>
      <c r="G1288" s="785"/>
      <c r="H1288" s="785"/>
      <c r="I1288" s="785"/>
      <c r="J1288" s="785"/>
      <c r="K1288" s="785"/>
      <c r="L1288" s="785"/>
      <c r="M1288" s="785"/>
      <c r="N1288" s="785"/>
      <c r="O1288" s="785"/>
      <c r="P1288" s="785"/>
      <c r="Q1288" s="785"/>
      <c r="R1288" s="785"/>
      <c r="S1288" s="785"/>
      <c r="T1288" s="785"/>
      <c r="U1288" s="785"/>
      <c r="V1288" s="785"/>
      <c r="W1288" s="785"/>
      <c r="X1288" s="785"/>
      <c r="Y1288" s="785"/>
      <c r="Z1288" s="785"/>
      <c r="AA1288" s="785"/>
      <c r="AB1288" s="785"/>
      <c r="AC1288" s="785"/>
      <c r="AD1288" s="785"/>
      <c r="AE1288" s="785"/>
      <c r="AF1288" s="785"/>
      <c r="AG1288" s="785"/>
      <c r="AH1288" s="785"/>
      <c r="AI1288" s="785"/>
      <c r="AJ1288" s="785"/>
      <c r="AK1288" s="785"/>
      <c r="AL1288" s="785"/>
      <c r="AM1288" s="785"/>
      <c r="AN1288" s="785"/>
      <c r="AO1288" s="785"/>
      <c r="AP1288" s="785"/>
      <c r="AQ1288" s="785"/>
      <c r="AR1288" s="785"/>
      <c r="AS1288" s="785"/>
      <c r="AT1288" s="785"/>
      <c r="AU1288" s="785"/>
      <c r="AV1288" s="785"/>
      <c r="AW1288" s="785"/>
      <c r="AX1288" s="785"/>
      <c r="AY1288" s="785"/>
      <c r="AZ1288" s="785"/>
      <c r="BA1288" s="785"/>
      <c r="BB1288" s="785"/>
      <c r="BC1288" s="785"/>
      <c r="BD1288" s="785"/>
      <c r="BE1288" s="785"/>
      <c r="BF1288" s="785"/>
      <c r="BG1288" s="785"/>
      <c r="BH1288" s="785"/>
      <c r="BI1288" s="785"/>
      <c r="BJ1288" s="1067"/>
      <c r="BK1288" s="785"/>
      <c r="BL1288" s="785"/>
      <c r="BM1288" s="785"/>
      <c r="BN1288" s="785"/>
      <c r="BO1288" s="785"/>
      <c r="BP1288" s="785"/>
      <c r="BQ1288" s="785"/>
      <c r="BR1288" s="785"/>
      <c r="BS1288" s="785"/>
      <c r="BT1288" s="785"/>
      <c r="BU1288" s="785"/>
      <c r="BV1288" s="785"/>
      <c r="BW1288" s="787"/>
    </row>
    <row r="1289" spans="1:75" s="921" customFormat="1" x14ac:dyDescent="0.5">
      <c r="A1289" s="915" t="s">
        <v>1629</v>
      </c>
      <c r="B1289" s="1071" t="s">
        <v>102</v>
      </c>
      <c r="C1289" s="785"/>
      <c r="D1289" s="785"/>
      <c r="E1289" s="785"/>
      <c r="F1289" s="785"/>
      <c r="G1289" s="785"/>
      <c r="H1289" s="785"/>
      <c r="I1289" s="785"/>
      <c r="J1289" s="785"/>
      <c r="K1289" s="785"/>
      <c r="L1289" s="785"/>
      <c r="M1289" s="785"/>
      <c r="N1289" s="785"/>
      <c r="O1289" s="785"/>
      <c r="P1289" s="785"/>
      <c r="Q1289" s="785"/>
      <c r="R1289" s="785"/>
      <c r="S1289" s="785"/>
      <c r="T1289" s="785"/>
      <c r="U1289" s="785"/>
      <c r="V1289" s="785"/>
      <c r="W1289" s="785"/>
      <c r="X1289" s="785"/>
      <c r="Y1289" s="785"/>
      <c r="Z1289" s="785"/>
      <c r="AA1289" s="785"/>
      <c r="AB1289" s="785"/>
      <c r="AC1289" s="785"/>
      <c r="AD1289" s="785"/>
      <c r="AE1289" s="785"/>
      <c r="AF1289" s="785"/>
      <c r="AG1289" s="785"/>
      <c r="AH1289" s="785"/>
      <c r="AI1289" s="785"/>
      <c r="AJ1289" s="785"/>
      <c r="AK1289" s="785"/>
      <c r="AL1289" s="785"/>
      <c r="AM1289" s="785"/>
      <c r="AN1289" s="785"/>
      <c r="AO1289" s="785"/>
      <c r="AP1289" s="785"/>
      <c r="AQ1289" s="785"/>
      <c r="AR1289" s="785"/>
      <c r="AS1289" s="785"/>
      <c r="AT1289" s="785"/>
      <c r="AU1289" s="785"/>
      <c r="AV1289" s="785"/>
      <c r="AW1289" s="785"/>
      <c r="AX1289" s="785"/>
      <c r="AY1289" s="785"/>
      <c r="AZ1289" s="785"/>
      <c r="BA1289" s="785"/>
      <c r="BB1289" s="785"/>
      <c r="BC1289" s="785"/>
      <c r="BD1289" s="785"/>
      <c r="BE1289" s="785"/>
      <c r="BF1289" s="785"/>
      <c r="BG1289" s="785"/>
      <c r="BH1289" s="785"/>
      <c r="BI1289" s="785"/>
      <c r="BJ1289" s="1067"/>
      <c r="BK1289" s="785"/>
      <c r="BL1289" s="785"/>
      <c r="BM1289" s="785"/>
      <c r="BN1289" s="785"/>
      <c r="BO1289" s="785"/>
      <c r="BP1289" s="785"/>
      <c r="BQ1289" s="785"/>
      <c r="BR1289" s="785"/>
      <c r="BS1289" s="785"/>
      <c r="BT1289" s="785"/>
      <c r="BU1289" s="785"/>
      <c r="BV1289" s="785"/>
      <c r="BW1289" s="787"/>
    </row>
    <row r="1290" spans="1:75" s="921" customFormat="1" x14ac:dyDescent="0.5">
      <c r="A1290" s="915" t="s">
        <v>1630</v>
      </c>
      <c r="B1290" s="936">
        <f ca="1">IF(EXACT(MO.ReportFX,HP.TradeCurrency),1,IF(OR(INDEX(MO_SPT_FXAverage,1,MO.MRFPColumnNumber+1)="N/A",ISERROR(INDEX(MO_SPT_FXAverage,1,MO.MRFPColumnNumber+1))),MO.MRFX.Hardcoded,INDEX(MO_SPT_FXAverage,1,MO.MRFPColumnNumber+1)))</f>
        <v>1</v>
      </c>
      <c r="C1290" s="785"/>
      <c r="D1290" s="785"/>
      <c r="E1290" s="785"/>
      <c r="F1290" s="785"/>
      <c r="G1290" s="785"/>
      <c r="H1290" s="785"/>
      <c r="I1290" s="785"/>
      <c r="J1290" s="785"/>
      <c r="K1290" s="785"/>
      <c r="L1290" s="785"/>
      <c r="M1290" s="785"/>
      <c r="N1290" s="785"/>
      <c r="O1290" s="785"/>
      <c r="P1290" s="785"/>
      <c r="Q1290" s="785"/>
      <c r="R1290" s="785"/>
      <c r="S1290" s="785"/>
      <c r="T1290" s="785"/>
      <c r="U1290" s="785"/>
      <c r="V1290" s="785"/>
      <c r="W1290" s="785"/>
      <c r="X1290" s="785"/>
      <c r="Y1290" s="785"/>
      <c r="Z1290" s="785"/>
      <c r="AA1290" s="785"/>
      <c r="AB1290" s="785"/>
      <c r="AC1290" s="785"/>
      <c r="AD1290" s="785"/>
      <c r="AE1290" s="785"/>
      <c r="AF1290" s="785"/>
      <c r="AG1290" s="785"/>
      <c r="AH1290" s="785"/>
      <c r="AI1290" s="785"/>
      <c r="AJ1290" s="785"/>
      <c r="AK1290" s="785"/>
      <c r="AL1290" s="785"/>
      <c r="AM1290" s="785"/>
      <c r="AN1290" s="785"/>
      <c r="AO1290" s="785"/>
      <c r="AP1290" s="785"/>
      <c r="AQ1290" s="785"/>
      <c r="AR1290" s="785"/>
      <c r="AS1290" s="785"/>
      <c r="AT1290" s="785"/>
      <c r="AU1290" s="785"/>
      <c r="AV1290" s="785"/>
      <c r="AW1290" s="785"/>
      <c r="AX1290" s="785"/>
      <c r="AY1290" s="785"/>
      <c r="AZ1290" s="785"/>
      <c r="BA1290" s="785"/>
      <c r="BB1290" s="785"/>
      <c r="BC1290" s="785"/>
      <c r="BD1290" s="785"/>
      <c r="BE1290" s="785"/>
      <c r="BF1290" s="785"/>
      <c r="BG1290" s="785"/>
      <c r="BH1290" s="785"/>
      <c r="BI1290" s="785"/>
      <c r="BJ1290" s="1067"/>
      <c r="BK1290" s="785"/>
      <c r="BL1290" s="785"/>
      <c r="BM1290" s="785"/>
      <c r="BN1290" s="785"/>
      <c r="BO1290" s="785"/>
      <c r="BP1290" s="785"/>
      <c r="BQ1290" s="785"/>
      <c r="BR1290" s="785"/>
      <c r="BS1290" s="785"/>
      <c r="BT1290" s="785"/>
      <c r="BU1290" s="785"/>
      <c r="BV1290" s="785"/>
      <c r="BW1290" s="787"/>
    </row>
    <row r="1291" spans="1:75" s="921" customFormat="1" x14ac:dyDescent="0.5">
      <c r="A1291" s="915" t="s">
        <v>1631</v>
      </c>
      <c r="B1291" s="1083">
        <v>1</v>
      </c>
      <c r="C1291" s="785"/>
      <c r="D1291" s="785"/>
      <c r="E1291" s="785"/>
      <c r="F1291" s="785"/>
      <c r="G1291" s="785"/>
      <c r="H1291" s="785"/>
      <c r="I1291" s="785"/>
      <c r="J1291" s="785"/>
      <c r="K1291" s="785"/>
      <c r="L1291" s="785"/>
      <c r="M1291" s="785"/>
      <c r="N1291" s="785"/>
      <c r="O1291" s="785"/>
      <c r="P1291" s="785"/>
      <c r="Q1291" s="785"/>
      <c r="R1291" s="785"/>
      <c r="S1291" s="785"/>
      <c r="T1291" s="785"/>
      <c r="U1291" s="785"/>
      <c r="V1291" s="785"/>
      <c r="W1291" s="785"/>
      <c r="X1291" s="785"/>
      <c r="Y1291" s="785"/>
      <c r="Z1291" s="785"/>
      <c r="AA1291" s="785"/>
      <c r="AB1291" s="785"/>
      <c r="AC1291" s="785"/>
      <c r="AD1291" s="785"/>
      <c r="AE1291" s="785"/>
      <c r="AF1291" s="785"/>
      <c r="AG1291" s="785"/>
      <c r="AH1291" s="785"/>
      <c r="AI1291" s="785"/>
      <c r="AJ1291" s="785"/>
      <c r="AK1291" s="785"/>
      <c r="AL1291" s="785"/>
      <c r="AM1291" s="785"/>
      <c r="AN1291" s="785"/>
      <c r="AO1291" s="785"/>
      <c r="AP1291" s="785"/>
      <c r="AQ1291" s="785"/>
      <c r="AR1291" s="785"/>
      <c r="AS1291" s="785"/>
      <c r="AT1291" s="785"/>
      <c r="AU1291" s="785"/>
      <c r="AV1291" s="785"/>
      <c r="AW1291" s="785"/>
      <c r="AX1291" s="785"/>
      <c r="AY1291" s="785"/>
      <c r="AZ1291" s="785"/>
      <c r="BA1291" s="785"/>
      <c r="BB1291" s="785"/>
      <c r="BC1291" s="785"/>
      <c r="BD1291" s="785"/>
      <c r="BE1291" s="785"/>
      <c r="BF1291" s="785"/>
      <c r="BG1291" s="785"/>
      <c r="BH1291" s="785"/>
      <c r="BI1291" s="785"/>
      <c r="BJ1291" s="1067"/>
      <c r="BK1291" s="785"/>
      <c r="BL1291" s="785"/>
      <c r="BM1291" s="785"/>
      <c r="BN1291" s="785"/>
      <c r="BO1291" s="785"/>
      <c r="BP1291" s="785"/>
      <c r="BQ1291" s="785"/>
      <c r="BR1291" s="785"/>
      <c r="BS1291" s="785"/>
      <c r="BT1291" s="785"/>
      <c r="BU1291" s="785"/>
      <c r="BV1291" s="785"/>
      <c r="BW1291" s="787"/>
    </row>
    <row r="1292" spans="1:75" s="224" customFormat="1" x14ac:dyDescent="0.5">
      <c r="A1292" s="533" t="s">
        <v>1632</v>
      </c>
      <c r="B1292" s="223">
        <f>MATCH(MO.MRFP,MO_Common_ColumnHeader,0)</f>
        <v>62</v>
      </c>
      <c r="C1292" s="487"/>
      <c r="D1292" s="487"/>
      <c r="E1292" s="487"/>
      <c r="F1292" s="487"/>
      <c r="G1292" s="487"/>
      <c r="H1292" s="487"/>
      <c r="I1292" s="487"/>
      <c r="J1292" s="487"/>
      <c r="K1292" s="487"/>
      <c r="L1292" s="487"/>
      <c r="M1292" s="487"/>
      <c r="N1292" s="487"/>
      <c r="O1292" s="487"/>
      <c r="P1292" s="487"/>
      <c r="Q1292" s="487"/>
      <c r="R1292" s="487"/>
      <c r="S1292" s="487"/>
      <c r="T1292" s="487"/>
      <c r="U1292" s="487"/>
      <c r="V1292" s="487"/>
      <c r="W1292" s="487"/>
      <c r="X1292" s="487"/>
      <c r="Y1292" s="487"/>
      <c r="Z1292" s="487"/>
      <c r="AA1292" s="487"/>
      <c r="AB1292" s="487"/>
      <c r="AC1292" s="487"/>
      <c r="AD1292" s="487"/>
      <c r="AE1292" s="487"/>
      <c r="AF1292" s="487"/>
      <c r="AG1292" s="487"/>
      <c r="AH1292" s="487"/>
      <c r="AI1292" s="487"/>
      <c r="AJ1292" s="487"/>
      <c r="AK1292" s="487"/>
      <c r="AL1292" s="487"/>
      <c r="AM1292" s="487"/>
      <c r="AN1292" s="487"/>
      <c r="AO1292" s="487"/>
      <c r="AP1292" s="487"/>
      <c r="AQ1292" s="487"/>
      <c r="AR1292" s="487"/>
      <c r="AS1292" s="487"/>
      <c r="AT1292" s="487"/>
      <c r="AU1292" s="487"/>
      <c r="AV1292" s="487"/>
      <c r="AW1292" s="487"/>
      <c r="AX1292" s="487"/>
      <c r="AY1292" s="487"/>
      <c r="AZ1292" s="487"/>
      <c r="BA1292" s="487"/>
      <c r="BB1292" s="487"/>
      <c r="BC1292" s="487"/>
      <c r="BD1292" s="487"/>
      <c r="BE1292" s="487"/>
      <c r="BF1292" s="487"/>
      <c r="BG1292" s="487"/>
      <c r="BH1292" s="487"/>
      <c r="BI1292" s="487"/>
      <c r="BJ1292" s="981"/>
      <c r="BK1292" s="487"/>
      <c r="BL1292" s="487"/>
      <c r="BM1292" s="487"/>
      <c r="BN1292" s="487"/>
      <c r="BO1292" s="487"/>
      <c r="BP1292" s="487"/>
      <c r="BQ1292" s="487"/>
      <c r="BR1292" s="487"/>
      <c r="BS1292" s="487"/>
      <c r="BT1292" s="487"/>
      <c r="BU1292" s="487"/>
      <c r="BV1292" s="487"/>
      <c r="BW1292" s="223"/>
    </row>
    <row r="1293" spans="1:75" s="224" customFormat="1" x14ac:dyDescent="0.5">
      <c r="A1293" s="533" t="s">
        <v>1633</v>
      </c>
      <c r="B1293" s="256" t="s">
        <v>164</v>
      </c>
      <c r="C1293" s="487"/>
      <c r="D1293" s="487"/>
      <c r="E1293" s="487"/>
      <c r="F1293" s="487"/>
      <c r="G1293" s="487"/>
      <c r="H1293" s="487"/>
      <c r="I1293" s="487"/>
      <c r="J1293" s="487"/>
      <c r="K1293" s="487"/>
      <c r="L1293" s="487"/>
      <c r="M1293" s="487"/>
      <c r="N1293" s="487"/>
      <c r="O1293" s="487"/>
      <c r="P1293" s="487"/>
      <c r="Q1293" s="487"/>
      <c r="R1293" s="487"/>
      <c r="S1293" s="487"/>
      <c r="T1293" s="487"/>
      <c r="U1293" s="487"/>
      <c r="V1293" s="487"/>
      <c r="W1293" s="487"/>
      <c r="X1293" s="487"/>
      <c r="Y1293" s="487"/>
      <c r="Z1293" s="487"/>
      <c r="AA1293" s="487"/>
      <c r="AB1293" s="487"/>
      <c r="AC1293" s="487"/>
      <c r="AD1293" s="487"/>
      <c r="AE1293" s="487"/>
      <c r="AF1293" s="487"/>
      <c r="AG1293" s="487"/>
      <c r="AH1293" s="487"/>
      <c r="AI1293" s="487"/>
      <c r="AJ1293" s="487"/>
      <c r="AK1293" s="487"/>
      <c r="AL1293" s="487"/>
      <c r="AM1293" s="487"/>
      <c r="AN1293" s="487"/>
      <c r="AO1293" s="487"/>
      <c r="AP1293" s="487"/>
      <c r="AQ1293" s="487"/>
      <c r="AR1293" s="487"/>
      <c r="AS1293" s="487"/>
      <c r="AT1293" s="487"/>
      <c r="AU1293" s="487"/>
      <c r="AV1293" s="487"/>
      <c r="AW1293" s="487"/>
      <c r="AX1293" s="487"/>
      <c r="AY1293" s="487"/>
      <c r="AZ1293" s="487"/>
      <c r="BA1293" s="487"/>
      <c r="BB1293" s="487"/>
      <c r="BC1293" s="487"/>
      <c r="BD1293" s="487"/>
      <c r="BE1293" s="487"/>
      <c r="BF1293" s="487"/>
      <c r="BG1293" s="487"/>
      <c r="BH1293" s="487"/>
      <c r="BI1293" s="487"/>
      <c r="BJ1293" s="981"/>
      <c r="BK1293" s="487"/>
      <c r="BL1293" s="487"/>
      <c r="BM1293" s="487"/>
      <c r="BN1293" s="487"/>
      <c r="BO1293" s="487"/>
      <c r="BP1293" s="487"/>
      <c r="BQ1293" s="487"/>
      <c r="BR1293" s="487"/>
      <c r="BS1293" s="487"/>
      <c r="BT1293" s="487"/>
      <c r="BU1293" s="487"/>
      <c r="BV1293" s="487"/>
      <c r="BW1293" s="223"/>
    </row>
    <row r="1294" spans="1:75" s="224" customFormat="1" x14ac:dyDescent="0.5">
      <c r="A1294" s="533" t="s">
        <v>1634</v>
      </c>
      <c r="B1294" s="223" t="str">
        <f>"FY"&amp;RIGHT(MO.MRFP,4)</f>
        <v>FY2024</v>
      </c>
      <c r="C1294" s="487"/>
      <c r="D1294" s="487"/>
      <c r="E1294" s="487"/>
      <c r="F1294" s="487"/>
      <c r="G1294" s="487"/>
      <c r="H1294" s="487"/>
      <c r="I1294" s="487"/>
      <c r="J1294" s="487"/>
      <c r="K1294" s="487"/>
      <c r="L1294" s="487"/>
      <c r="M1294" s="487"/>
      <c r="N1294" s="487"/>
      <c r="O1294" s="487"/>
      <c r="P1294" s="487"/>
      <c r="Q1294" s="487"/>
      <c r="R1294" s="487"/>
      <c r="S1294" s="487"/>
      <c r="T1294" s="487"/>
      <c r="U1294" s="487"/>
      <c r="V1294" s="487"/>
      <c r="W1294" s="487"/>
      <c r="X1294" s="487"/>
      <c r="Y1294" s="487"/>
      <c r="Z1294" s="487"/>
      <c r="AA1294" s="487"/>
      <c r="AB1294" s="487"/>
      <c r="AC1294" s="487"/>
      <c r="AD1294" s="487"/>
      <c r="AE1294" s="487"/>
      <c r="AF1294" s="487"/>
      <c r="AG1294" s="487"/>
      <c r="AH1294" s="487"/>
      <c r="AI1294" s="487"/>
      <c r="AJ1294" s="487"/>
      <c r="AK1294" s="487"/>
      <c r="AL1294" s="487"/>
      <c r="AM1294" s="487"/>
      <c r="AN1294" s="487"/>
      <c r="AO1294" s="487"/>
      <c r="AP1294" s="487"/>
      <c r="AQ1294" s="487"/>
      <c r="AR1294" s="487"/>
      <c r="AS1294" s="487"/>
      <c r="AT1294" s="487"/>
      <c r="AU1294" s="487"/>
      <c r="AV1294" s="487"/>
      <c r="AW1294" s="487"/>
      <c r="AX1294" s="487"/>
      <c r="AY1294" s="487"/>
      <c r="AZ1294" s="487"/>
      <c r="BA1294" s="487"/>
      <c r="BB1294" s="487"/>
      <c r="BC1294" s="487"/>
      <c r="BD1294" s="487"/>
      <c r="BE1294" s="487"/>
      <c r="BF1294" s="487"/>
      <c r="BG1294" s="487"/>
      <c r="BH1294" s="487"/>
      <c r="BI1294" s="487"/>
      <c r="BJ1294" s="981"/>
      <c r="BK1294" s="487"/>
      <c r="BL1294" s="487"/>
      <c r="BM1294" s="487"/>
      <c r="BN1294" s="487"/>
      <c r="BO1294" s="487"/>
      <c r="BP1294" s="487"/>
      <c r="BQ1294" s="487"/>
      <c r="BR1294" s="487"/>
      <c r="BS1294" s="487"/>
      <c r="BT1294" s="487"/>
      <c r="BU1294" s="487"/>
      <c r="BV1294" s="487"/>
      <c r="BW1294" s="223"/>
    </row>
    <row r="1295" spans="1:75" s="224" customFormat="1" x14ac:dyDescent="0.5">
      <c r="A1295" s="533" t="s">
        <v>1635</v>
      </c>
      <c r="B1295" s="223" t="str">
        <f>"FY"&amp;RIGHT(MO.MRFP,4)+IF(LEFT(MO.MRFP,2)="FY",1,0)</f>
        <v>FY2024</v>
      </c>
      <c r="C1295" s="487"/>
      <c r="D1295" s="487"/>
      <c r="E1295" s="487"/>
      <c r="F1295" s="487"/>
      <c r="G1295" s="487"/>
      <c r="H1295" s="487"/>
      <c r="I1295" s="487"/>
      <c r="J1295" s="487"/>
      <c r="K1295" s="487"/>
      <c r="L1295" s="487"/>
      <c r="M1295" s="487"/>
      <c r="N1295" s="487"/>
      <c r="O1295" s="487"/>
      <c r="P1295" s="487"/>
      <c r="Q1295" s="487"/>
      <c r="R1295" s="487"/>
      <c r="S1295" s="487"/>
      <c r="T1295" s="487"/>
      <c r="U1295" s="487"/>
      <c r="V1295" s="487"/>
      <c r="W1295" s="487"/>
      <c r="X1295" s="487"/>
      <c r="Y1295" s="487"/>
      <c r="Z1295" s="487"/>
      <c r="AA1295" s="487"/>
      <c r="AB1295" s="487"/>
      <c r="AC1295" s="487"/>
      <c r="AD1295" s="487"/>
      <c r="AE1295" s="487"/>
      <c r="AF1295" s="487"/>
      <c r="AG1295" s="487"/>
      <c r="AH1295" s="487"/>
      <c r="AI1295" s="487"/>
      <c r="AJ1295" s="487"/>
      <c r="AK1295" s="487"/>
      <c r="AL1295" s="487"/>
      <c r="AM1295" s="487"/>
      <c r="AN1295" s="487"/>
      <c r="AO1295" s="487"/>
      <c r="AP1295" s="487"/>
      <c r="AQ1295" s="487"/>
      <c r="AR1295" s="487"/>
      <c r="AS1295" s="487"/>
      <c r="AT1295" s="487"/>
      <c r="AU1295" s="487"/>
      <c r="AV1295" s="487"/>
      <c r="AW1295" s="487"/>
      <c r="AX1295" s="487"/>
      <c r="AY1295" s="487"/>
      <c r="AZ1295" s="487"/>
      <c r="BA1295" s="487"/>
      <c r="BB1295" s="487"/>
      <c r="BC1295" s="487"/>
      <c r="BD1295" s="487"/>
      <c r="BE1295" s="487"/>
      <c r="BF1295" s="487"/>
      <c r="BG1295" s="487"/>
      <c r="BH1295" s="487"/>
      <c r="BI1295" s="487"/>
      <c r="BJ1295" s="981"/>
      <c r="BK1295" s="487"/>
      <c r="BL1295" s="487"/>
      <c r="BM1295" s="487"/>
      <c r="BN1295" s="487"/>
      <c r="BO1295" s="487"/>
      <c r="BP1295" s="487"/>
      <c r="BQ1295" s="487"/>
      <c r="BR1295" s="487"/>
      <c r="BS1295" s="487"/>
      <c r="BT1295" s="487"/>
      <c r="BU1295" s="487"/>
      <c r="BV1295" s="487"/>
      <c r="BW1295" s="223"/>
    </row>
    <row r="1296" spans="1:75" s="224" customFormat="1" x14ac:dyDescent="0.5">
      <c r="A1296" s="533" t="s">
        <v>1636</v>
      </c>
      <c r="B1296" s="223">
        <f>COUNTA(tb_KPIs)-1</f>
        <v>11</v>
      </c>
      <c r="C1296" s="487"/>
      <c r="D1296" s="487"/>
      <c r="E1296" s="487"/>
      <c r="F1296" s="487"/>
      <c r="G1296" s="487"/>
      <c r="H1296" s="487"/>
      <c r="I1296" s="487"/>
      <c r="J1296" s="487"/>
      <c r="K1296" s="487"/>
      <c r="L1296" s="487"/>
      <c r="M1296" s="487"/>
      <c r="N1296" s="487"/>
      <c r="O1296" s="487"/>
      <c r="P1296" s="487"/>
      <c r="Q1296" s="487"/>
      <c r="R1296" s="487"/>
      <c r="S1296" s="487"/>
      <c r="T1296" s="487"/>
      <c r="U1296" s="487"/>
      <c r="V1296" s="487"/>
      <c r="W1296" s="487"/>
      <c r="X1296" s="487"/>
      <c r="Y1296" s="487"/>
      <c r="Z1296" s="487"/>
      <c r="AA1296" s="487"/>
      <c r="AB1296" s="487"/>
      <c r="AC1296" s="487"/>
      <c r="AD1296" s="487"/>
      <c r="AE1296" s="487"/>
      <c r="AF1296" s="487"/>
      <c r="AG1296" s="487"/>
      <c r="AH1296" s="487"/>
      <c r="AI1296" s="487"/>
      <c r="AJ1296" s="487"/>
      <c r="AK1296" s="487"/>
      <c r="AL1296" s="487"/>
      <c r="AM1296" s="487"/>
      <c r="AN1296" s="487"/>
      <c r="AO1296" s="487"/>
      <c r="AP1296" s="487"/>
      <c r="AQ1296" s="487"/>
      <c r="AR1296" s="487"/>
      <c r="AS1296" s="487"/>
      <c r="AT1296" s="487"/>
      <c r="AU1296" s="487"/>
      <c r="AV1296" s="487"/>
      <c r="AW1296" s="487"/>
      <c r="AX1296" s="487"/>
      <c r="AY1296" s="487"/>
      <c r="AZ1296" s="487"/>
      <c r="BA1296" s="487"/>
      <c r="BB1296" s="487"/>
      <c r="BC1296" s="487"/>
      <c r="BD1296" s="487"/>
      <c r="BE1296" s="487"/>
      <c r="BF1296" s="487"/>
      <c r="BG1296" s="487"/>
      <c r="BH1296" s="487"/>
      <c r="BI1296" s="487"/>
      <c r="BJ1296" s="981"/>
      <c r="BK1296" s="487"/>
      <c r="BL1296" s="487"/>
      <c r="BM1296" s="487"/>
      <c r="BN1296" s="487"/>
      <c r="BO1296" s="487"/>
      <c r="BP1296" s="487"/>
      <c r="BQ1296" s="487"/>
      <c r="BR1296" s="487"/>
      <c r="BS1296" s="487"/>
      <c r="BT1296" s="487"/>
      <c r="BU1296" s="487"/>
      <c r="BV1296" s="487"/>
      <c r="BW1296" s="223"/>
    </row>
    <row r="1297" spans="1:75" s="224" customFormat="1" x14ac:dyDescent="0.5">
      <c r="A1297" s="1098" t="s">
        <v>1637</v>
      </c>
      <c r="B1297" s="1099">
        <f>IF(MO.DataSourceName="Bloomberg",1,IF(MO.DataSourceName="Capital IQ",2,IF(MO.DataSourceName="FactSet",3,IF(MO.DataSourceName="Refinitiv",4,1))))</f>
        <v>1</v>
      </c>
      <c r="C1297" s="487"/>
      <c r="D1297" s="487"/>
      <c r="E1297" s="487"/>
      <c r="F1297" s="487"/>
      <c r="G1297" s="487"/>
      <c r="H1297" s="487"/>
      <c r="I1297" s="487"/>
      <c r="J1297" s="487"/>
      <c r="K1297" s="487"/>
      <c r="L1297" s="487"/>
      <c r="M1297" s="487"/>
      <c r="N1297" s="487"/>
      <c r="O1297" s="487"/>
      <c r="P1297" s="487"/>
      <c r="Q1297" s="487"/>
      <c r="R1297" s="487"/>
      <c r="S1297" s="487"/>
      <c r="T1297" s="487"/>
      <c r="U1297" s="487"/>
      <c r="V1297" s="487"/>
      <c r="W1297" s="487"/>
      <c r="X1297" s="487"/>
      <c r="Y1297" s="487"/>
      <c r="Z1297" s="487"/>
      <c r="AA1297" s="487"/>
      <c r="AB1297" s="487"/>
      <c r="AC1297" s="487"/>
      <c r="AD1297" s="487"/>
      <c r="AE1297" s="487"/>
      <c r="AF1297" s="487"/>
      <c r="AG1297" s="487"/>
      <c r="AH1297" s="487"/>
      <c r="AI1297" s="487"/>
      <c r="AJ1297" s="487"/>
      <c r="AK1297" s="487"/>
      <c r="AL1297" s="487"/>
      <c r="AM1297" s="487"/>
      <c r="AN1297" s="487"/>
      <c r="AO1297" s="487"/>
      <c r="AP1297" s="487"/>
      <c r="AQ1297" s="487"/>
      <c r="AR1297" s="487"/>
      <c r="AS1297" s="487"/>
      <c r="AT1297" s="487"/>
      <c r="AU1297" s="487"/>
      <c r="AV1297" s="487"/>
      <c r="AW1297" s="487"/>
      <c r="AX1297" s="487"/>
      <c r="AY1297" s="487"/>
      <c r="AZ1297" s="487"/>
      <c r="BA1297" s="487"/>
      <c r="BB1297" s="487"/>
      <c r="BC1297" s="487"/>
      <c r="BD1297" s="487"/>
      <c r="BE1297" s="487"/>
      <c r="BF1297" s="487"/>
      <c r="BG1297" s="487"/>
      <c r="BH1297" s="487"/>
      <c r="BI1297" s="487"/>
      <c r="BJ1297" s="981"/>
      <c r="BK1297" s="487"/>
      <c r="BL1297" s="487"/>
      <c r="BM1297" s="487"/>
      <c r="BN1297" s="487"/>
      <c r="BO1297" s="487"/>
      <c r="BP1297" s="487"/>
      <c r="BQ1297" s="487"/>
      <c r="BR1297" s="487"/>
      <c r="BS1297" s="487"/>
      <c r="BT1297" s="487"/>
      <c r="BU1297" s="487"/>
      <c r="BV1297" s="487"/>
      <c r="BW1297" s="223"/>
    </row>
    <row r="1298" spans="1:75" x14ac:dyDescent="0.5">
      <c r="A1298" s="1100"/>
      <c r="B1298" s="1100"/>
      <c r="C1298" s="127"/>
      <c r="D1298" s="127"/>
      <c r="E1298" s="127"/>
      <c r="F1298" s="127"/>
      <c r="G1298" s="127"/>
      <c r="H1298" s="127"/>
      <c r="I1298" s="127"/>
      <c r="J1298" s="127"/>
      <c r="K1298" s="127"/>
      <c r="L1298" s="127"/>
      <c r="M1298" s="127"/>
      <c r="N1298" s="127"/>
      <c r="O1298" s="127"/>
      <c r="P1298" s="127"/>
      <c r="Q1298" s="127"/>
      <c r="R1298" s="127"/>
      <c r="S1298" s="127"/>
      <c r="T1298" s="127"/>
      <c r="U1298" s="127"/>
      <c r="V1298" s="127"/>
      <c r="W1298" s="127"/>
      <c r="X1298" s="127"/>
      <c r="Y1298" s="127"/>
      <c r="Z1298" s="127"/>
      <c r="AA1298" s="127"/>
      <c r="AB1298" s="127"/>
      <c r="AC1298" s="127"/>
      <c r="AD1298" s="127"/>
      <c r="AE1298" s="127"/>
      <c r="AF1298" s="127"/>
      <c r="AG1298" s="127"/>
      <c r="AH1298" s="127"/>
      <c r="AI1298" s="127"/>
      <c r="AJ1298" s="127"/>
      <c r="AK1298" s="127"/>
      <c r="AL1298" s="127"/>
      <c r="AM1298" s="127"/>
      <c r="AN1298" s="127"/>
      <c r="AO1298" s="127"/>
      <c r="AP1298" s="127"/>
      <c r="AQ1298" s="127"/>
      <c r="AR1298" s="127"/>
      <c r="AS1298" s="127"/>
      <c r="AT1298" s="127"/>
      <c r="AU1298" s="127"/>
      <c r="AV1298" s="127"/>
      <c r="AW1298" s="127"/>
      <c r="AX1298" s="127"/>
      <c r="AY1298" s="127"/>
      <c r="AZ1298" s="127"/>
      <c r="BA1298" s="127"/>
      <c r="BB1298" s="127"/>
      <c r="BC1298" s="127"/>
      <c r="BD1298" s="127"/>
      <c r="BE1298" s="127"/>
      <c r="BF1298" s="127"/>
      <c r="BG1298" s="127"/>
      <c r="BH1298" s="127"/>
      <c r="BI1298" s="127"/>
      <c r="BJ1298" s="1097"/>
      <c r="BK1298" s="127"/>
      <c r="BL1298" s="127"/>
      <c r="BM1298" s="127"/>
      <c r="BN1298" s="127"/>
      <c r="BO1298" s="127"/>
      <c r="BP1298" s="127"/>
      <c r="BQ1298" s="127"/>
      <c r="BR1298" s="127"/>
      <c r="BS1298" s="127"/>
      <c r="BT1298" s="127"/>
      <c r="BU1298" s="127"/>
      <c r="BV1298" s="127"/>
      <c r="BW1298" s="152"/>
    </row>
    <row r="1299" spans="1:75" x14ac:dyDescent="0.5">
      <c r="A1299" s="755" t="s">
        <v>2179</v>
      </c>
      <c r="B1299" s="1101"/>
      <c r="C1299" s="1101"/>
      <c r="D1299" s="1101"/>
      <c r="E1299" s="1101"/>
      <c r="F1299" s="1101"/>
      <c r="G1299" s="1101"/>
      <c r="H1299" s="1101"/>
      <c r="I1299" s="1101"/>
      <c r="J1299" s="1101"/>
      <c r="K1299" s="1101"/>
      <c r="L1299" s="1101"/>
      <c r="M1299" s="1101"/>
      <c r="N1299" s="1101"/>
      <c r="O1299" s="1101"/>
      <c r="P1299" s="1101"/>
      <c r="Q1299" s="1101"/>
      <c r="R1299" s="1101"/>
      <c r="S1299" s="1101"/>
      <c r="T1299" s="1101"/>
      <c r="U1299" s="1101"/>
      <c r="V1299" s="1101"/>
      <c r="W1299" s="1101"/>
      <c r="X1299" s="1101"/>
      <c r="Y1299" s="1101"/>
      <c r="Z1299" s="1101"/>
      <c r="AA1299" s="1101"/>
      <c r="AB1299" s="1101"/>
      <c r="AC1299" s="1101"/>
      <c r="AD1299" s="1101"/>
      <c r="AE1299" s="1101"/>
      <c r="AF1299" s="1101"/>
      <c r="AG1299" s="1101"/>
      <c r="AH1299" s="1101"/>
      <c r="AI1299" s="1101"/>
      <c r="AJ1299" s="1101"/>
      <c r="AK1299" s="1101"/>
      <c r="AL1299" s="1101"/>
      <c r="AM1299" s="1101"/>
      <c r="AN1299" s="1101"/>
      <c r="AO1299" s="1101"/>
      <c r="AP1299" s="1101"/>
      <c r="AQ1299" s="1101"/>
      <c r="AR1299" s="1101"/>
      <c r="AS1299" s="1101"/>
      <c r="AT1299" s="1101"/>
      <c r="AU1299" s="1101"/>
      <c r="AV1299" s="1101"/>
      <c r="AW1299" s="1101"/>
      <c r="AX1299" s="1101"/>
      <c r="AY1299" s="1101"/>
      <c r="AZ1299" s="1101"/>
      <c r="BA1299" s="1101"/>
      <c r="BB1299" s="1101"/>
      <c r="BC1299" s="1101"/>
      <c r="BD1299" s="1101"/>
      <c r="BE1299" s="1101"/>
      <c r="BF1299" s="1101"/>
      <c r="BG1299" s="1101"/>
      <c r="BH1299" s="1101"/>
      <c r="BI1299" s="1101"/>
      <c r="BJ1299" s="1101"/>
      <c r="BK1299" s="1101"/>
      <c r="BL1299" s="1101"/>
      <c r="BM1299" s="1101"/>
      <c r="BN1299" s="1101"/>
      <c r="BO1299" s="1101"/>
      <c r="BP1299" s="1101"/>
      <c r="BQ1299" s="1101"/>
      <c r="BR1299" s="1101"/>
      <c r="BS1299" s="1101"/>
      <c r="BT1299" s="1101"/>
      <c r="BU1299" s="1101"/>
      <c r="BV1299" s="1101"/>
      <c r="BW1299" s="152"/>
    </row>
    <row r="1300" spans="1:75" x14ac:dyDescent="0.5">
      <c r="A1300" s="152"/>
      <c r="B1300" s="152"/>
      <c r="C1300" s="152"/>
      <c r="D1300" s="152"/>
      <c r="E1300" s="152"/>
      <c r="F1300" s="152"/>
      <c r="G1300" s="152"/>
      <c r="H1300" s="152"/>
      <c r="I1300" s="152"/>
      <c r="J1300" s="152"/>
      <c r="K1300" s="152"/>
      <c r="L1300" s="152"/>
      <c r="M1300" s="152"/>
      <c r="N1300" s="152"/>
      <c r="O1300" s="152"/>
      <c r="P1300" s="152"/>
      <c r="Q1300" s="152"/>
      <c r="R1300" s="152"/>
      <c r="S1300" s="152"/>
      <c r="T1300" s="152"/>
      <c r="U1300" s="152"/>
      <c r="V1300" s="152"/>
      <c r="W1300" s="152"/>
      <c r="X1300" s="152"/>
      <c r="Y1300" s="152"/>
      <c r="Z1300" s="152"/>
      <c r="AA1300" s="152"/>
      <c r="AB1300" s="152"/>
      <c r="AC1300" s="152"/>
      <c r="AD1300" s="152"/>
      <c r="AE1300" s="152"/>
      <c r="AF1300" s="152"/>
      <c r="AG1300" s="152"/>
      <c r="AH1300" s="152"/>
      <c r="AI1300" s="152"/>
      <c r="AJ1300" s="152"/>
      <c r="AK1300" s="152"/>
      <c r="AL1300" s="152"/>
      <c r="AM1300" s="152"/>
      <c r="AN1300" s="152"/>
      <c r="AO1300" s="152"/>
      <c r="AP1300" s="152"/>
      <c r="AQ1300" s="152"/>
      <c r="AR1300" s="152"/>
      <c r="AS1300" s="152"/>
      <c r="AT1300" s="152"/>
      <c r="AU1300" s="152"/>
      <c r="AV1300" s="152"/>
      <c r="AW1300" s="152"/>
      <c r="AX1300" s="152"/>
      <c r="AY1300" s="152"/>
      <c r="AZ1300" s="152"/>
      <c r="BA1300" s="152"/>
      <c r="BB1300" s="152"/>
      <c r="BC1300" s="152"/>
      <c r="BD1300" s="152"/>
      <c r="BE1300" s="152"/>
      <c r="BF1300" s="152"/>
      <c r="BG1300" s="152"/>
      <c r="BH1300" s="152"/>
      <c r="BI1300" s="152"/>
      <c r="BJ1300" s="152"/>
      <c r="BK1300" s="152"/>
      <c r="BL1300" s="152"/>
      <c r="BM1300" s="152"/>
      <c r="BN1300" s="152"/>
      <c r="BO1300" s="152"/>
      <c r="BP1300" s="152"/>
      <c r="BQ1300" s="152"/>
      <c r="BR1300" s="152"/>
      <c r="BS1300" s="152"/>
      <c r="BT1300" s="152"/>
      <c r="BU1300" s="152"/>
      <c r="BV1300" s="152"/>
      <c r="BW1300" s="152"/>
    </row>
  </sheetData>
  <conditionalFormatting sqref="C650:BV650">
    <cfRule type="cellIs" dxfId="15" priority="7" operator="notEqual">
      <formula>0</formula>
    </cfRule>
    <cfRule type="cellIs" dxfId="14" priority="8" operator="equal">
      <formula>0</formula>
    </cfRule>
  </conditionalFormatting>
  <conditionalFormatting sqref="C1065:BV1065">
    <cfRule type="cellIs" dxfId="13" priority="5" operator="notEqual">
      <formula>0</formula>
    </cfRule>
    <cfRule type="cellIs" dxfId="12" priority="6" operator="equal">
      <formula>0</formula>
    </cfRule>
  </conditionalFormatting>
  <conditionalFormatting sqref="C1156:BV1156">
    <cfRule type="cellIs" dxfId="11" priority="3" operator="notEqual">
      <formula>0</formula>
    </cfRule>
    <cfRule type="cellIs" dxfId="10" priority="4" operator="equal">
      <formula>0</formula>
    </cfRule>
  </conditionalFormatting>
  <conditionalFormatting sqref="C1159:BV1174 C1175:J1175 L1175:O1175 Q1175:T1175 V1175:Y1175 AA1175:AD1175 AF1175:AI1175 AK1175:AN1175 AP1175:AS1175 AU1175:AX1175 AZ1175:BC1175 BE1175:BH1175 BJ1175:BV1175 C1176:BV1177 C1178:J1178 L1178:O1178 Q1178:Y1178 AA1178:BV1178 C1179:BV1183">
    <cfRule type="cellIs" dxfId="9" priority="1" operator="notEqual">
      <formula>0</formula>
    </cfRule>
    <cfRule type="cellIs" dxfId="8" priority="2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C0DE-9F29-49DF-B464-17FF4036530A}">
  <dimension ref="A1:BW1160"/>
  <sheetViews>
    <sheetView topLeftCell="F1" workbookViewId="0">
      <selection activeCell="A2" sqref="A2"/>
    </sheetView>
  </sheetViews>
  <sheetFormatPr defaultColWidth="8.5625" defaultRowHeight="15.75" outlineLevelRow="3" outlineLevelCol="1" x14ac:dyDescent="0.5"/>
  <cols>
    <col min="1" max="1" width="47.5625" customWidth="1"/>
    <col min="2" max="2" width="10.0625" customWidth="1"/>
    <col min="3" max="4" width="9.125" hidden="1" customWidth="1" outlineLevel="1"/>
    <col min="5" max="5" width="9.125" customWidth="1" collapsed="1"/>
    <col min="6" max="6" width="9.125" customWidth="1"/>
    <col min="7" max="10" width="9.125" hidden="1" customWidth="1" outlineLevel="1"/>
    <col min="11" max="11" width="9.125" customWidth="1" collapsed="1"/>
    <col min="12" max="15" width="9.125" hidden="1" customWidth="1" outlineLevel="1"/>
    <col min="16" max="16" width="9.125" customWidth="1" collapsed="1"/>
    <col min="17" max="20" width="9.125" hidden="1" customWidth="1" outlineLevel="1"/>
    <col min="21" max="21" width="9.125" customWidth="1" collapsed="1"/>
    <col min="22" max="25" width="9.125" hidden="1" customWidth="1" outlineLevel="1"/>
    <col min="26" max="26" width="9.125" customWidth="1" collapsed="1"/>
    <col min="27" max="30" width="9.125" hidden="1" customWidth="1" outlineLevel="1"/>
    <col min="31" max="31" width="9.125" customWidth="1" collapsed="1"/>
    <col min="32" max="35" width="9.125" hidden="1" customWidth="1" outlineLevel="1"/>
    <col min="36" max="36" width="9.125" customWidth="1" collapsed="1"/>
    <col min="37" max="40" width="9.125" hidden="1" customWidth="1" outlineLevel="1"/>
    <col min="41" max="41" width="9.125" customWidth="1" collapsed="1"/>
    <col min="42" max="45" width="9.125" hidden="1" customWidth="1" outlineLevel="1"/>
    <col min="46" max="46" width="9.125" customWidth="1" collapsed="1"/>
    <col min="47" max="50" width="9.125" hidden="1" customWidth="1" outlineLevel="1"/>
    <col min="51" max="51" width="9.125" customWidth="1" collapsed="1"/>
    <col min="52" max="55" width="9.125" hidden="1" customWidth="1" outlineLevel="1"/>
    <col min="56" max="56" width="9.125" customWidth="1" collapsed="1"/>
    <col min="57" max="60" width="9.125" customWidth="1" outlineLevel="1"/>
    <col min="61" max="61" width="9.125" customWidth="1"/>
    <col min="62" max="65" width="9.125" customWidth="1" outlineLevel="1"/>
    <col min="66" max="66" width="9.125" customWidth="1"/>
    <col min="67" max="70" width="9.125" customWidth="1" outlineLevel="1"/>
    <col min="71" max="74" width="9.125" customWidth="1"/>
    <col min="75" max="75" width="8.3125" customWidth="1"/>
  </cols>
  <sheetData>
    <row r="1" spans="1:75" ht="29.25" x14ac:dyDescent="0.9">
      <c r="A1" s="1104" t="s">
        <v>2188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971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22"/>
    </row>
    <row r="2" spans="1:75" x14ac:dyDescent="0.5">
      <c r="A2" s="124" t="str">
        <f>CHOOSE(MO.DataSourceIndex,MO.Ticker.Bloomberg,MO.Ticker.CapIQ,MO.Ticker.FactSet,MO.Ticker.Thomson)</f>
        <v>WSM US</v>
      </c>
      <c r="B2" s="125"/>
      <c r="C2" s="126">
        <f>EOMONTH(C4,-12)</f>
        <v>39813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 t="s">
        <v>2190</v>
      </c>
      <c r="BI2" s="127"/>
      <c r="BJ2" s="109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34"/>
    </row>
    <row r="3" spans="1:75" x14ac:dyDescent="0.5">
      <c r="A3" s="1376" t="str">
        <f ca="1">HP.TradeCurrency</f>
        <v>USD</v>
      </c>
      <c r="B3" s="1377">
        <f ca="1">IF(MO.RealTime="OFF",MO.LastPriceHardcoded,MO.LastPriceFormula)</f>
        <v>292.52</v>
      </c>
      <c r="C3" s="1378">
        <f>C4-C2</f>
        <v>365</v>
      </c>
      <c r="D3" s="1378">
        <f t="shared" ref="D3:J3" si="0">D4-C4</f>
        <v>365</v>
      </c>
      <c r="E3" s="1378">
        <f t="shared" si="0"/>
        <v>365</v>
      </c>
      <c r="F3" s="1378">
        <f t="shared" si="0"/>
        <v>366</v>
      </c>
      <c r="G3" s="1379">
        <f t="shared" si="0"/>
        <v>90</v>
      </c>
      <c r="H3" s="1379">
        <f t="shared" si="0"/>
        <v>91</v>
      </c>
      <c r="I3" s="1379">
        <f t="shared" si="0"/>
        <v>92</v>
      </c>
      <c r="J3" s="1379">
        <f t="shared" si="0"/>
        <v>92</v>
      </c>
      <c r="K3" s="1378">
        <f>K4-F4</f>
        <v>365</v>
      </c>
      <c r="L3" s="1379">
        <f>L4-K4</f>
        <v>90</v>
      </c>
      <c r="M3" s="1379">
        <f>M4-L4</f>
        <v>91</v>
      </c>
      <c r="N3" s="1379">
        <f>N4-M4</f>
        <v>92</v>
      </c>
      <c r="O3" s="1379">
        <f>O4-N4</f>
        <v>92</v>
      </c>
      <c r="P3" s="1378">
        <f>P4-K4</f>
        <v>365</v>
      </c>
      <c r="Q3" s="1379">
        <f>Q4-P4</f>
        <v>90</v>
      </c>
      <c r="R3" s="1379">
        <f>R4-Q4</f>
        <v>91</v>
      </c>
      <c r="S3" s="1379">
        <f>S4-R4</f>
        <v>92</v>
      </c>
      <c r="T3" s="1379">
        <f>T4-S4</f>
        <v>92</v>
      </c>
      <c r="U3" s="1378">
        <f>U4-P4</f>
        <v>365</v>
      </c>
      <c r="V3" s="1379">
        <f>V4-U4</f>
        <v>91</v>
      </c>
      <c r="W3" s="1379">
        <f>W4-V4</f>
        <v>91</v>
      </c>
      <c r="X3" s="1379">
        <f>X4-W4</f>
        <v>92</v>
      </c>
      <c r="Y3" s="1379">
        <f>Y4-X4</f>
        <v>92</v>
      </c>
      <c r="Z3" s="1378">
        <f>Z4-U4</f>
        <v>366</v>
      </c>
      <c r="AA3" s="1379">
        <f>AA4-Z4</f>
        <v>90</v>
      </c>
      <c r="AB3" s="1379">
        <f>AB4-AA4</f>
        <v>91</v>
      </c>
      <c r="AC3" s="1379">
        <f>AC4-AB4</f>
        <v>92</v>
      </c>
      <c r="AD3" s="1379">
        <f>AD4-AC4</f>
        <v>92</v>
      </c>
      <c r="AE3" s="1378">
        <f>AE4-Z4</f>
        <v>365</v>
      </c>
      <c r="AF3" s="1379">
        <f>AF4-AE4</f>
        <v>90</v>
      </c>
      <c r="AG3" s="1379">
        <f>AG4-AF4</f>
        <v>91</v>
      </c>
      <c r="AH3" s="1379">
        <f>AH4-AG4</f>
        <v>92</v>
      </c>
      <c r="AI3" s="1379">
        <f>AI4-AH4</f>
        <v>92</v>
      </c>
      <c r="AJ3" s="1378">
        <f>AJ4-AE4</f>
        <v>365</v>
      </c>
      <c r="AK3" s="1379">
        <f>AK4-AJ4</f>
        <v>90</v>
      </c>
      <c r="AL3" s="1379">
        <f>AL4-AK4</f>
        <v>91</v>
      </c>
      <c r="AM3" s="1379">
        <f>AM4-AL4</f>
        <v>92</v>
      </c>
      <c r="AN3" s="1379">
        <f>AN4-AM4</f>
        <v>92</v>
      </c>
      <c r="AO3" s="1378">
        <f>AO4-AJ4</f>
        <v>365</v>
      </c>
      <c r="AP3" s="1379">
        <f>AP4-AO4</f>
        <v>91</v>
      </c>
      <c r="AQ3" s="1379">
        <f>AQ4-AP4</f>
        <v>91</v>
      </c>
      <c r="AR3" s="1379">
        <f>AR4-AQ4</f>
        <v>92</v>
      </c>
      <c r="AS3" s="1379">
        <f>AS4-AR4</f>
        <v>92</v>
      </c>
      <c r="AT3" s="1378">
        <f>AT4-AO4</f>
        <v>366</v>
      </c>
      <c r="AU3" s="1379">
        <f>AU4-AT4</f>
        <v>90</v>
      </c>
      <c r="AV3" s="1379">
        <f>AV4-AU4</f>
        <v>91</v>
      </c>
      <c r="AW3" s="1379">
        <f>AW4-AV4</f>
        <v>92</v>
      </c>
      <c r="AX3" s="1379">
        <f>AX4-AW4</f>
        <v>92</v>
      </c>
      <c r="AY3" s="1378">
        <f>AY4-AT4</f>
        <v>365</v>
      </c>
      <c r="AZ3" s="1379">
        <f>AZ4-AY4</f>
        <v>90</v>
      </c>
      <c r="BA3" s="1379">
        <f>BA4-AZ4</f>
        <v>91</v>
      </c>
      <c r="BB3" s="1379">
        <f>BB4-BA4</f>
        <v>92</v>
      </c>
      <c r="BC3" s="1379">
        <f>BC4-BB4</f>
        <v>92</v>
      </c>
      <c r="BD3" s="1378">
        <f>BD4-AY4</f>
        <v>365</v>
      </c>
      <c r="BE3" s="1379">
        <f>BE4-BD4</f>
        <v>90</v>
      </c>
      <c r="BF3" s="1379">
        <f>BF4-BE4</f>
        <v>91</v>
      </c>
      <c r="BG3" s="1379">
        <f>BG4-BF4</f>
        <v>92</v>
      </c>
      <c r="BH3" s="1379">
        <f>BH4-BG4</f>
        <v>92</v>
      </c>
      <c r="BI3" s="1378">
        <f>BI4-BD4</f>
        <v>365</v>
      </c>
      <c r="BJ3" s="1380">
        <f>BJ4-BI4</f>
        <v>91</v>
      </c>
      <c r="BK3" s="139">
        <f>BK4-BJ4</f>
        <v>91</v>
      </c>
      <c r="BL3" s="139">
        <f>BL4-BK4</f>
        <v>92</v>
      </c>
      <c r="BM3" s="139">
        <f>BM4-BL4</f>
        <v>92</v>
      </c>
      <c r="BN3" s="138">
        <f>BN4-BI4</f>
        <v>366</v>
      </c>
      <c r="BO3" s="139">
        <f>BO4-BN4</f>
        <v>90</v>
      </c>
      <c r="BP3" s="139">
        <f>BP4-BO4</f>
        <v>91</v>
      </c>
      <c r="BQ3" s="139">
        <f>BQ4-BP4</f>
        <v>92</v>
      </c>
      <c r="BR3" s="139">
        <f>BR4-BQ4</f>
        <v>92</v>
      </c>
      <c r="BS3" s="138">
        <f>BS4-BN4</f>
        <v>365</v>
      </c>
      <c r="BT3" s="138">
        <f>BT4-BS4</f>
        <v>365</v>
      </c>
      <c r="BU3" s="138">
        <f>BU4-BT4</f>
        <v>365</v>
      </c>
      <c r="BV3" s="138">
        <f>BV4-BU4</f>
        <v>366</v>
      </c>
      <c r="BW3" s="143"/>
    </row>
    <row r="4" spans="1:75" x14ac:dyDescent="0.5">
      <c r="A4" s="145" t="str">
        <f>FP.DataSourceName</f>
        <v>Bloomberg</v>
      </c>
      <c r="B4" s="146" t="str">
        <f ca="1">IF(AND(MO.RealTimeStockPriceToggle,MO.LastPriceFormula&lt;&gt;"N/A"),"ON","OFF")</f>
        <v>OFF</v>
      </c>
      <c r="C4" s="1107">
        <v>40178</v>
      </c>
      <c r="D4" s="151">
        <f>EOMONTH(C4,12)</f>
        <v>40543</v>
      </c>
      <c r="E4" s="151">
        <f>EOMONTH(D4,12)</f>
        <v>40908</v>
      </c>
      <c r="F4" s="151">
        <f>EOMONTH(E4,12)</f>
        <v>41274</v>
      </c>
      <c r="G4" s="149">
        <f>EOMONTH(F4,3)</f>
        <v>41364</v>
      </c>
      <c r="H4" s="149">
        <f>EOMONTH(G4,3)</f>
        <v>41455</v>
      </c>
      <c r="I4" s="149">
        <f>EOMONTH(H4,3)</f>
        <v>41547</v>
      </c>
      <c r="J4" s="149">
        <f>EOMONTH(I4,3)</f>
        <v>41639</v>
      </c>
      <c r="K4" s="151">
        <f>J4</f>
        <v>41639</v>
      </c>
      <c r="L4" s="149">
        <f>EOMONTH(K4,3)</f>
        <v>41729</v>
      </c>
      <c r="M4" s="149">
        <f>EOMONTH(L4,3)</f>
        <v>41820</v>
      </c>
      <c r="N4" s="149">
        <f>EOMONTH(M4,3)</f>
        <v>41912</v>
      </c>
      <c r="O4" s="149">
        <f>EOMONTH(N4,3)</f>
        <v>42004</v>
      </c>
      <c r="P4" s="151">
        <f>O4</f>
        <v>42004</v>
      </c>
      <c r="Q4" s="149">
        <f>EOMONTH(P4,3)</f>
        <v>42094</v>
      </c>
      <c r="R4" s="149">
        <f>EOMONTH(Q4,3)</f>
        <v>42185</v>
      </c>
      <c r="S4" s="149">
        <f>EOMONTH(R4,3)</f>
        <v>42277</v>
      </c>
      <c r="T4" s="149">
        <f>EOMONTH(S4,3)</f>
        <v>42369</v>
      </c>
      <c r="U4" s="151">
        <f>T4</f>
        <v>42369</v>
      </c>
      <c r="V4" s="149">
        <f>EOMONTH(U4,3)</f>
        <v>42460</v>
      </c>
      <c r="W4" s="149">
        <f>EOMONTH(V4,3)</f>
        <v>42551</v>
      </c>
      <c r="X4" s="149">
        <f>EOMONTH(W4,3)</f>
        <v>42643</v>
      </c>
      <c r="Y4" s="1381">
        <f>EOMONTH(X4,3)</f>
        <v>42735</v>
      </c>
      <c r="Z4" s="1382">
        <f>Y4</f>
        <v>42735</v>
      </c>
      <c r="AA4" s="1381">
        <f>EOMONTH(Z4,3)</f>
        <v>42825</v>
      </c>
      <c r="AB4" s="149">
        <f>EOMONTH(AA4,3)</f>
        <v>42916</v>
      </c>
      <c r="AC4" s="149">
        <f>EOMONTH(AB4,3)</f>
        <v>43008</v>
      </c>
      <c r="AD4" s="1381">
        <f>EOMONTH(AC4,3)</f>
        <v>43100</v>
      </c>
      <c r="AE4" s="1382">
        <f>AD4</f>
        <v>43100</v>
      </c>
      <c r="AF4" s="1381">
        <f>EOMONTH(AE4,3)</f>
        <v>43190</v>
      </c>
      <c r="AG4" s="149">
        <f>EOMONTH(AF4,3)</f>
        <v>43281</v>
      </c>
      <c r="AH4" s="149">
        <f>EOMONTH(AG4,3)</f>
        <v>43373</v>
      </c>
      <c r="AI4" s="1381">
        <f>EOMONTH(AH4,3)</f>
        <v>43465</v>
      </c>
      <c r="AJ4" s="1382">
        <f>AI4</f>
        <v>43465</v>
      </c>
      <c r="AK4" s="1381">
        <f>EOMONTH(AJ4,3)</f>
        <v>43555</v>
      </c>
      <c r="AL4" s="149">
        <f>EOMONTH(AK4,3)</f>
        <v>43646</v>
      </c>
      <c r="AM4" s="149">
        <f>EOMONTH(AL4,3)</f>
        <v>43738</v>
      </c>
      <c r="AN4" s="1381">
        <f>EOMONTH(AM4,3)</f>
        <v>43830</v>
      </c>
      <c r="AO4" s="1382">
        <f>AN4</f>
        <v>43830</v>
      </c>
      <c r="AP4" s="1381">
        <f>EOMONTH(AO4,3)</f>
        <v>43921</v>
      </c>
      <c r="AQ4" s="149">
        <f>EOMONTH(AP4,3)</f>
        <v>44012</v>
      </c>
      <c r="AR4" s="149">
        <f>EOMONTH(AQ4,3)</f>
        <v>44104</v>
      </c>
      <c r="AS4" s="1381">
        <f>EOMONTH(AR4,3)</f>
        <v>44196</v>
      </c>
      <c r="AT4" s="1382">
        <f>AS4</f>
        <v>44196</v>
      </c>
      <c r="AU4" s="1381">
        <f>EOMONTH(AT4,3)</f>
        <v>44286</v>
      </c>
      <c r="AV4" s="149">
        <f>EOMONTH(AU4,3)</f>
        <v>44377</v>
      </c>
      <c r="AW4" s="149">
        <f>EOMONTH(AV4,3)</f>
        <v>44469</v>
      </c>
      <c r="AX4" s="1381">
        <f>EOMONTH(AW4,3)</f>
        <v>44561</v>
      </c>
      <c r="AY4" s="1382">
        <f>AX4</f>
        <v>44561</v>
      </c>
      <c r="AZ4" s="1381">
        <f>EOMONTH(AY4,3)</f>
        <v>44651</v>
      </c>
      <c r="BA4" s="149">
        <f>EOMONTH(AZ4,3)</f>
        <v>44742</v>
      </c>
      <c r="BB4" s="149">
        <f>EOMONTH(BA4,3)</f>
        <v>44834</v>
      </c>
      <c r="BC4" s="1381">
        <f>EOMONTH(BB4,3)</f>
        <v>44926</v>
      </c>
      <c r="BD4" s="1382">
        <f>BC4</f>
        <v>44926</v>
      </c>
      <c r="BE4" s="1381">
        <f>EOMONTH(BD4,3)</f>
        <v>45016</v>
      </c>
      <c r="BF4" s="149">
        <f>EOMONTH(BE4,3)</f>
        <v>45107</v>
      </c>
      <c r="BG4" s="149">
        <f>EOMONTH(BF4,3)</f>
        <v>45199</v>
      </c>
      <c r="BH4" s="1381">
        <f>EOMONTH(BG4,3)</f>
        <v>45291</v>
      </c>
      <c r="BI4" s="1382">
        <f>BH4</f>
        <v>45291</v>
      </c>
      <c r="BJ4" s="1383">
        <f>EOMONTH(BI4,3)</f>
        <v>45382</v>
      </c>
      <c r="BK4" s="149">
        <f>EOMONTH(BJ4,3)</f>
        <v>45473</v>
      </c>
      <c r="BL4" s="149">
        <f>EOMONTH(BK4,3)</f>
        <v>45565</v>
      </c>
      <c r="BM4" s="149">
        <f>EOMONTH(BL4,3)</f>
        <v>45657</v>
      </c>
      <c r="BN4" s="151">
        <f>BM4</f>
        <v>45657</v>
      </c>
      <c r="BO4" s="149">
        <f>EOMONTH(BN4,3)</f>
        <v>45747</v>
      </c>
      <c r="BP4" s="149">
        <f>EOMONTH(BO4,3)</f>
        <v>45838</v>
      </c>
      <c r="BQ4" s="149">
        <f>EOMONTH(BP4,3)</f>
        <v>45930</v>
      </c>
      <c r="BR4" s="149">
        <f>EOMONTH(BQ4,3)</f>
        <v>46022</v>
      </c>
      <c r="BS4" s="151">
        <f>BR4</f>
        <v>46022</v>
      </c>
      <c r="BT4" s="151">
        <f>EOMONTH(BS4,12)</f>
        <v>46387</v>
      </c>
      <c r="BU4" s="151">
        <f>EOMONTH(BT4,12)</f>
        <v>46752</v>
      </c>
      <c r="BV4" s="151">
        <f>EOMONTH(BU4,12)</f>
        <v>47118</v>
      </c>
      <c r="BW4" s="152"/>
    </row>
    <row r="5" spans="1:75" x14ac:dyDescent="0.5">
      <c r="A5" s="153" t="str">
        <f>MO.ReportCurrency</f>
        <v>USD</v>
      </c>
      <c r="B5" s="154"/>
      <c r="C5" s="155" t="s">
        <v>105</v>
      </c>
      <c r="D5" s="156" t="str">
        <f>CONCATENATE("FY",RIGHT(C5,4)+1)</f>
        <v>FY2010</v>
      </c>
      <c r="E5" s="156" t="str">
        <f>CONCATENATE("FY",RIGHT(D5,4)+1)</f>
        <v>FY2011</v>
      </c>
      <c r="F5" s="156" t="str">
        <f>CONCATENATE("FY",RIGHT(E5,4)+1)</f>
        <v>FY2012</v>
      </c>
      <c r="G5" s="157" t="str">
        <f>CONCATENATE("Q1","-",RIGHT(F5,4)+1)</f>
        <v>Q1-2013</v>
      </c>
      <c r="H5" s="157" t="str">
        <f>CONCATENATE("Q2","-",RIGHT(G5,4))</f>
        <v>Q2-2013</v>
      </c>
      <c r="I5" s="157" t="str">
        <f>CONCATENATE("Q3","-",RIGHT(H5,4))</f>
        <v>Q3-2013</v>
      </c>
      <c r="J5" s="157" t="str">
        <f>CONCATENATE("Q4","-",RIGHT(I5,4))</f>
        <v>Q4-2013</v>
      </c>
      <c r="K5" s="156" t="str">
        <f>CONCATENATE("FY",RIGHT(F5,4)+1)</f>
        <v>FY2013</v>
      </c>
      <c r="L5" s="157" t="str">
        <f>CONCATENATE("Q1","-",RIGHT(K5,4)+1)</f>
        <v>Q1-2014</v>
      </c>
      <c r="M5" s="157" t="str">
        <f>CONCATENATE("Q2","-",RIGHT(L5,4))</f>
        <v>Q2-2014</v>
      </c>
      <c r="N5" s="157" t="str">
        <f>CONCATENATE("Q3","-",RIGHT(M5,4))</f>
        <v>Q3-2014</v>
      </c>
      <c r="O5" s="157" t="str">
        <f>CONCATENATE("Q4","-",RIGHT(N5,4))</f>
        <v>Q4-2014</v>
      </c>
      <c r="P5" s="156" t="str">
        <f>CONCATENATE("FY",RIGHT(K5,4)+1)</f>
        <v>FY2014</v>
      </c>
      <c r="Q5" s="157" t="str">
        <f>CONCATENATE("Q1","-",RIGHT(P5,4)+1)</f>
        <v>Q1-2015</v>
      </c>
      <c r="R5" s="157" t="str">
        <f>CONCATENATE("Q2","-",RIGHT(Q5,4))</f>
        <v>Q2-2015</v>
      </c>
      <c r="S5" s="157" t="str">
        <f>CONCATENATE("Q3","-",RIGHT(R5,4))</f>
        <v>Q3-2015</v>
      </c>
      <c r="T5" s="157" t="str">
        <f>CONCATENATE("Q4","-",RIGHT(S5,4))</f>
        <v>Q4-2015</v>
      </c>
      <c r="U5" s="156" t="str">
        <f>CONCATENATE("FY",RIGHT(P5,4)+1)</f>
        <v>FY2015</v>
      </c>
      <c r="V5" s="157" t="str">
        <f>CONCATENATE("Q1","-",RIGHT(U5,4)+1)</f>
        <v>Q1-2016</v>
      </c>
      <c r="W5" s="157" t="str">
        <f>CONCATENATE("Q2","-",RIGHT(V5,4))</f>
        <v>Q2-2016</v>
      </c>
      <c r="X5" s="157" t="str">
        <f>CONCATENATE("Q3","-",RIGHT(W5,4))</f>
        <v>Q3-2016</v>
      </c>
      <c r="Y5" s="1384" t="str">
        <f>CONCATENATE("Q4","-",RIGHT(X5,4))</f>
        <v>Q4-2016</v>
      </c>
      <c r="Z5" s="1385" t="str">
        <f>CONCATENATE("FY",RIGHT(U5,4)+1)</f>
        <v>FY2016</v>
      </c>
      <c r="AA5" s="1384" t="str">
        <f>CONCATENATE("Q1","-",RIGHT(Z5,4)+1)</f>
        <v>Q1-2017</v>
      </c>
      <c r="AB5" s="157" t="str">
        <f>CONCATENATE("Q2","-",RIGHT(AA5,4))</f>
        <v>Q2-2017</v>
      </c>
      <c r="AC5" s="157" t="str">
        <f>CONCATENATE("Q3","-",RIGHT(AB5,4))</f>
        <v>Q3-2017</v>
      </c>
      <c r="AD5" s="1384" t="str">
        <f>CONCATENATE("Q4","-",RIGHT(AC5,4))</f>
        <v>Q4-2017</v>
      </c>
      <c r="AE5" s="1385" t="str">
        <f>CONCATENATE("FY",RIGHT(Z5,4)+1)</f>
        <v>FY2017</v>
      </c>
      <c r="AF5" s="1384" t="str">
        <f>CONCATENATE("Q1","-",RIGHT(AE5,4)+1)</f>
        <v>Q1-2018</v>
      </c>
      <c r="AG5" s="157" t="str">
        <f>CONCATENATE("Q2","-",RIGHT(AF5,4))</f>
        <v>Q2-2018</v>
      </c>
      <c r="AH5" s="157" t="str">
        <f>CONCATENATE("Q3","-",RIGHT(AG5,4))</f>
        <v>Q3-2018</v>
      </c>
      <c r="AI5" s="1384" t="str">
        <f>CONCATENATE("Q4","-",RIGHT(AH5,4))</f>
        <v>Q4-2018</v>
      </c>
      <c r="AJ5" s="1385" t="str">
        <f>CONCATENATE("FY",RIGHT(AE5,4)+1)</f>
        <v>FY2018</v>
      </c>
      <c r="AK5" s="1384" t="str">
        <f>CONCATENATE("Q1","-",RIGHT(AJ5,4)+1)</f>
        <v>Q1-2019</v>
      </c>
      <c r="AL5" s="157" t="str">
        <f>CONCATENATE("Q2","-",RIGHT(AK5,4))</f>
        <v>Q2-2019</v>
      </c>
      <c r="AM5" s="157" t="str">
        <f>CONCATENATE("Q3","-",RIGHT(AL5,4))</f>
        <v>Q3-2019</v>
      </c>
      <c r="AN5" s="1384" t="str">
        <f>CONCATENATE("Q4","-",RIGHT(AM5,4))</f>
        <v>Q4-2019</v>
      </c>
      <c r="AO5" s="1385" t="str">
        <f>CONCATENATE("FY",RIGHT(AJ5,4)+1)</f>
        <v>FY2019</v>
      </c>
      <c r="AP5" s="1384" t="str">
        <f>CONCATENATE("Q1","-",RIGHT(AO5,4)+1)</f>
        <v>Q1-2020</v>
      </c>
      <c r="AQ5" s="157" t="str">
        <f>CONCATENATE("Q2","-",RIGHT(AP5,4))</f>
        <v>Q2-2020</v>
      </c>
      <c r="AR5" s="157" t="str">
        <f>CONCATENATE("Q3","-",RIGHT(AQ5,4))</f>
        <v>Q3-2020</v>
      </c>
      <c r="AS5" s="1384" t="str">
        <f>CONCATENATE("Q4","-",RIGHT(AR5,4))</f>
        <v>Q4-2020</v>
      </c>
      <c r="AT5" s="1385" t="str">
        <f>CONCATENATE("FY",RIGHT(AO5,4)+1)</f>
        <v>FY2020</v>
      </c>
      <c r="AU5" s="1384" t="str">
        <f>CONCATENATE("Q1","-",RIGHT(AT5,4)+1)</f>
        <v>Q1-2021</v>
      </c>
      <c r="AV5" s="157" t="str">
        <f>CONCATENATE("Q2","-",RIGHT(AU5,4))</f>
        <v>Q2-2021</v>
      </c>
      <c r="AW5" s="157" t="str">
        <f>CONCATENATE("Q3","-",RIGHT(AV5,4))</f>
        <v>Q3-2021</v>
      </c>
      <c r="AX5" s="1384" t="str">
        <f>CONCATENATE("Q4","-",RIGHT(AW5,4))</f>
        <v>Q4-2021</v>
      </c>
      <c r="AY5" s="1385" t="str">
        <f>CONCATENATE("FY",RIGHT(AT5,4)+1)</f>
        <v>FY2021</v>
      </c>
      <c r="AZ5" s="1384" t="str">
        <f>CONCATENATE("Q1","-",RIGHT(AY5,4)+1)</f>
        <v>Q1-2022</v>
      </c>
      <c r="BA5" s="157" t="str">
        <f>CONCATENATE("Q2","-",RIGHT(AZ5,4))</f>
        <v>Q2-2022</v>
      </c>
      <c r="BB5" s="157" t="str">
        <f>CONCATENATE("Q3","-",RIGHT(BA5,4))</f>
        <v>Q3-2022</v>
      </c>
      <c r="BC5" s="1384" t="str">
        <f>CONCATENATE("Q4","-",RIGHT(BB5,4))</f>
        <v>Q4-2022</v>
      </c>
      <c r="BD5" s="1385" t="str">
        <f>CONCATENATE("FY",RIGHT(AY5,4)+1)</f>
        <v>FY2022</v>
      </c>
      <c r="BE5" s="1384" t="str">
        <f>CONCATENATE("Q1","-",RIGHT(BD5,4)+1)</f>
        <v>Q1-2023</v>
      </c>
      <c r="BF5" s="157" t="str">
        <f>CONCATENATE("Q2","-",RIGHT(BE5,4))</f>
        <v>Q2-2023</v>
      </c>
      <c r="BG5" s="157" t="str">
        <f>CONCATENATE("Q3","-",RIGHT(BF5,4))</f>
        <v>Q3-2023</v>
      </c>
      <c r="BH5" s="1384" t="str">
        <f>CONCATENATE("Q4","-",RIGHT(BG5,4))</f>
        <v>Q4-2023</v>
      </c>
      <c r="BI5" s="1385" t="str">
        <f>CONCATENATE("FY",RIGHT(BD5,4)+1)</f>
        <v>FY2023</v>
      </c>
      <c r="BJ5" s="1386" t="str">
        <f>CONCATENATE("Q1","-",RIGHT(BI5,4)+1)</f>
        <v>Q1-2024</v>
      </c>
      <c r="BK5" s="157" t="str">
        <f>CONCATENATE("Q2","-",RIGHT(BJ5,4))</f>
        <v>Q2-2024</v>
      </c>
      <c r="BL5" s="157" t="str">
        <f>CONCATENATE("Q3","-",RIGHT(BK5,4))</f>
        <v>Q3-2024</v>
      </c>
      <c r="BM5" s="157" t="str">
        <f>CONCATENATE("Q4","-",RIGHT(BL5,4))</f>
        <v>Q4-2024</v>
      </c>
      <c r="BN5" s="156" t="str">
        <f>CONCATENATE("FY",RIGHT(BI5,4)+1)</f>
        <v>FY2024</v>
      </c>
      <c r="BO5" s="157" t="str">
        <f>CONCATENATE("Q1","-",RIGHT(BN5,4)+1)</f>
        <v>Q1-2025</v>
      </c>
      <c r="BP5" s="157" t="str">
        <f>CONCATENATE("Q2","-",RIGHT(BO5,4))</f>
        <v>Q2-2025</v>
      </c>
      <c r="BQ5" s="157" t="str">
        <f>CONCATENATE("Q3","-",RIGHT(BP5,4))</f>
        <v>Q3-2025</v>
      </c>
      <c r="BR5" s="157" t="str">
        <f>CONCATENATE("Q4","-",RIGHT(BQ5,4))</f>
        <v>Q4-2025</v>
      </c>
      <c r="BS5" s="156" t="str">
        <f>CONCATENATE("FY",RIGHT(BN5,4)+1)</f>
        <v>FY2025</v>
      </c>
      <c r="BT5" s="156" t="str">
        <f>CONCATENATE("FY",RIGHT(BS5,4)+1)</f>
        <v>FY2026</v>
      </c>
      <c r="BU5" s="156" t="str">
        <f>CONCATENATE("FY",RIGHT(BT5,4)+1)</f>
        <v>FY2027</v>
      </c>
      <c r="BV5" s="156" t="str">
        <f>CONCATENATE("FY",RIGHT(BU5,4)+1)</f>
        <v>FY2028</v>
      </c>
      <c r="BW5" s="134"/>
    </row>
    <row r="6" spans="1:75" x14ac:dyDescent="0.5">
      <c r="A6" s="755" t="s">
        <v>2191</v>
      </c>
      <c r="B6" s="755"/>
      <c r="C6" s="755"/>
      <c r="D6" s="755"/>
      <c r="E6" s="755"/>
      <c r="F6" s="755"/>
      <c r="G6" s="755"/>
      <c r="H6" s="755"/>
      <c r="I6" s="755"/>
      <c r="J6" s="755"/>
      <c r="K6" s="755"/>
      <c r="L6" s="755"/>
      <c r="M6" s="755"/>
      <c r="N6" s="755"/>
      <c r="O6" s="755"/>
      <c r="P6" s="755"/>
      <c r="Q6" s="755"/>
      <c r="R6" s="755"/>
      <c r="S6" s="755"/>
      <c r="T6" s="755"/>
      <c r="U6" s="755"/>
      <c r="V6" s="755"/>
      <c r="W6" s="755"/>
      <c r="X6" s="755"/>
      <c r="Y6" s="755"/>
      <c r="Z6" s="755"/>
      <c r="AA6" s="755"/>
      <c r="AB6" s="755"/>
      <c r="AC6" s="755"/>
      <c r="AD6" s="755"/>
      <c r="AE6" s="755"/>
      <c r="AF6" s="755"/>
      <c r="AG6" s="755"/>
      <c r="AH6" s="755"/>
      <c r="AI6" s="755"/>
      <c r="AJ6" s="755"/>
      <c r="AK6" s="755"/>
      <c r="AL6" s="755"/>
      <c r="AM6" s="755"/>
      <c r="AN6" s="755"/>
      <c r="AO6" s="755"/>
      <c r="AP6" s="755"/>
      <c r="AQ6" s="755"/>
      <c r="AR6" s="755"/>
      <c r="AS6" s="755"/>
      <c r="AT6" s="755"/>
      <c r="AU6" s="755"/>
      <c r="AV6" s="755"/>
      <c r="AW6" s="755"/>
      <c r="AX6" s="755"/>
      <c r="AY6" s="755"/>
      <c r="AZ6" s="755"/>
      <c r="BA6" s="755"/>
      <c r="BB6" s="755"/>
      <c r="BC6" s="755"/>
      <c r="BD6" s="755"/>
      <c r="BE6" s="755"/>
      <c r="BF6" s="755"/>
      <c r="BG6" s="755"/>
      <c r="BH6" s="755"/>
      <c r="BI6" s="755"/>
      <c r="BJ6" s="756"/>
      <c r="BK6" s="755"/>
      <c r="BL6" s="755"/>
      <c r="BM6" s="755"/>
      <c r="BN6" s="755"/>
      <c r="BO6" s="755"/>
      <c r="BP6" s="755"/>
      <c r="BQ6" s="755"/>
      <c r="BR6" s="755"/>
      <c r="BS6" s="755"/>
      <c r="BT6" s="755"/>
      <c r="BU6" s="755"/>
      <c r="BV6" s="755"/>
      <c r="BW6" s="168"/>
    </row>
    <row r="7" spans="1:75" s="224" customFormat="1" x14ac:dyDescent="0.5">
      <c r="A7" s="163" t="s">
        <v>2192</v>
      </c>
      <c r="B7" s="1121"/>
      <c r="C7" s="840"/>
      <c r="D7" s="840"/>
      <c r="E7" s="840"/>
      <c r="F7" s="840"/>
      <c r="G7" s="247">
        <f>F9</f>
        <v>1299</v>
      </c>
      <c r="H7" s="247">
        <f>G9</f>
        <v>1366</v>
      </c>
      <c r="I7" s="247">
        <f>H9</f>
        <v>1506</v>
      </c>
      <c r="J7" s="247">
        <f>I9</f>
        <v>1775</v>
      </c>
      <c r="K7" s="840">
        <f>F9</f>
        <v>1299</v>
      </c>
      <c r="L7" s="247">
        <f>K9</f>
        <v>2092</v>
      </c>
      <c r="M7" s="247">
        <f>L9</f>
        <v>2409</v>
      </c>
      <c r="N7" s="247">
        <f>M9</f>
        <v>2635</v>
      </c>
      <c r="O7" s="247">
        <f>N9</f>
        <v>2858</v>
      </c>
      <c r="P7" s="840">
        <f>K9</f>
        <v>2092</v>
      </c>
      <c r="Q7" s="247">
        <f>P9</f>
        <v>3217</v>
      </c>
      <c r="R7" s="247">
        <f>Q9</f>
        <v>3597</v>
      </c>
      <c r="S7" s="247">
        <f>R9</f>
        <v>4044</v>
      </c>
      <c r="T7" s="247">
        <f>S9</f>
        <v>4591</v>
      </c>
      <c r="U7" s="840">
        <f>P9</f>
        <v>3217</v>
      </c>
      <c r="V7" s="247">
        <f>U9</f>
        <v>5360</v>
      </c>
      <c r="W7" s="247">
        <f>V9</f>
        <v>6074</v>
      </c>
      <c r="X7" s="247">
        <f>W9</f>
        <v>6672</v>
      </c>
      <c r="Y7" s="247">
        <f>X9</f>
        <v>7362</v>
      </c>
      <c r="Z7" s="840">
        <f>U9</f>
        <v>5360</v>
      </c>
      <c r="AA7" s="247">
        <f>Z9</f>
        <v>8250</v>
      </c>
      <c r="AB7" s="247">
        <f>AA9</f>
        <v>8855</v>
      </c>
      <c r="AC7" s="247">
        <f>AB9</f>
        <v>9547</v>
      </c>
      <c r="AD7" s="247">
        <f>AC9</f>
        <v>10250</v>
      </c>
      <c r="AE7" s="840">
        <f>Z9</f>
        <v>8250</v>
      </c>
      <c r="AF7" s="247">
        <f>AE9</f>
        <v>10990</v>
      </c>
      <c r="AG7" s="247">
        <f>AF9</f>
        <v>11795</v>
      </c>
      <c r="AH7" s="247">
        <f>AG9</f>
        <v>12792</v>
      </c>
      <c r="AI7" s="247">
        <f>AH9</f>
        <v>13860</v>
      </c>
      <c r="AJ7" s="840">
        <f>AE9</f>
        <v>10990</v>
      </c>
      <c r="AK7" s="247">
        <f>AJ9</f>
        <v>15155</v>
      </c>
      <c r="AL7" s="247">
        <f>AK9</f>
        <v>16408</v>
      </c>
      <c r="AM7" s="247">
        <f>AL9</f>
        <v>17799</v>
      </c>
      <c r="AN7" s="247">
        <f>AM9</f>
        <v>19071</v>
      </c>
      <c r="AO7" s="840">
        <f>AJ9</f>
        <v>15155</v>
      </c>
      <c r="AP7" s="247">
        <f>AO9</f>
        <v>20290</v>
      </c>
      <c r="AQ7" s="247">
        <f>AP9</f>
        <v>21108</v>
      </c>
      <c r="AR7" s="247">
        <f>AQ9</f>
        <v>25979</v>
      </c>
      <c r="AS7" s="247">
        <f>AR9</f>
        <v>28783</v>
      </c>
      <c r="AT7" s="840">
        <f>AO9</f>
        <v>20290</v>
      </c>
      <c r="AU7" s="247">
        <f>AT9</f>
        <v>31194</v>
      </c>
      <c r="AV7" s="247">
        <f>AU9</f>
        <v>33193</v>
      </c>
      <c r="AW7" s="247">
        <f>AV9</f>
        <v>31067</v>
      </c>
      <c r="AX7" s="247">
        <f>AW9</f>
        <v>29213</v>
      </c>
      <c r="AY7" s="840">
        <f>AT9</f>
        <v>31194</v>
      </c>
      <c r="AZ7" s="247">
        <f>AY9</f>
        <v>27300</v>
      </c>
      <c r="BA7" s="247">
        <f>AZ9</f>
        <v>25400</v>
      </c>
      <c r="BB7" s="247">
        <f>BA9</f>
        <v>23600</v>
      </c>
      <c r="BC7" s="247">
        <f>BB9</f>
        <v>22600</v>
      </c>
      <c r="BD7" s="840">
        <f>AY9</f>
        <v>27300</v>
      </c>
      <c r="BE7" s="247">
        <f>BD9</f>
        <v>22100</v>
      </c>
      <c r="BF7" s="247">
        <f>BE9</f>
        <v>21700</v>
      </c>
      <c r="BG7" s="247">
        <f>BF9</f>
        <v>21800</v>
      </c>
      <c r="BH7" s="247">
        <f>BG9</f>
        <v>22300</v>
      </c>
      <c r="BI7" s="840">
        <f>BD9</f>
        <v>22100</v>
      </c>
      <c r="BJ7" s="977">
        <f>BI9</f>
        <v>22400</v>
      </c>
      <c r="BK7" s="247">
        <f>BJ9</f>
        <v>22300</v>
      </c>
      <c r="BL7" s="247">
        <f>BK9</f>
        <v>22236</v>
      </c>
      <c r="BM7" s="247">
        <f>BL9</f>
        <v>22746</v>
      </c>
      <c r="BN7" s="840">
        <f>BI9</f>
        <v>22400</v>
      </c>
      <c r="BO7" s="247">
        <f>BN9</f>
        <v>22848</v>
      </c>
      <c r="BP7" s="247">
        <f>BO9</f>
        <v>22969</v>
      </c>
      <c r="BQ7" s="247">
        <f>BP9</f>
        <v>22903.08</v>
      </c>
      <c r="BR7" s="247">
        <f>BQ9</f>
        <v>23428.38</v>
      </c>
      <c r="BS7" s="840">
        <f>BN9</f>
        <v>22848</v>
      </c>
      <c r="BT7" s="840">
        <f>BS9</f>
        <v>23533.440000000002</v>
      </c>
      <c r="BU7" s="840">
        <f>BT9</f>
        <v>24239.443200000002</v>
      </c>
      <c r="BV7" s="840">
        <f>BU9</f>
        <v>24966.626496000001</v>
      </c>
      <c r="BW7" s="168"/>
    </row>
    <row r="8" spans="1:75" s="224" customFormat="1" x14ac:dyDescent="0.5">
      <c r="A8" s="218" t="s">
        <v>2193</v>
      </c>
      <c r="B8" s="494"/>
      <c r="C8" s="425"/>
      <c r="D8" s="425"/>
      <c r="E8" s="425"/>
      <c r="F8" s="425"/>
      <c r="G8" s="487">
        <f t="shared" ref="G8:BM8" si="1">G9-G7</f>
        <v>67</v>
      </c>
      <c r="H8" s="487">
        <f t="shared" si="1"/>
        <v>140</v>
      </c>
      <c r="I8" s="487">
        <f t="shared" si="1"/>
        <v>269</v>
      </c>
      <c r="J8" s="487">
        <f t="shared" si="1"/>
        <v>317</v>
      </c>
      <c r="K8" s="425">
        <f t="shared" si="1"/>
        <v>793</v>
      </c>
      <c r="L8" s="487">
        <f t="shared" si="1"/>
        <v>317</v>
      </c>
      <c r="M8" s="487">
        <f t="shared" si="1"/>
        <v>226</v>
      </c>
      <c r="N8" s="487">
        <f t="shared" si="1"/>
        <v>223</v>
      </c>
      <c r="O8" s="487">
        <f t="shared" si="1"/>
        <v>359</v>
      </c>
      <c r="P8" s="425">
        <f t="shared" si="1"/>
        <v>1125</v>
      </c>
      <c r="Q8" s="487">
        <f t="shared" si="1"/>
        <v>380</v>
      </c>
      <c r="R8" s="487">
        <f t="shared" si="1"/>
        <v>447</v>
      </c>
      <c r="S8" s="487">
        <f t="shared" si="1"/>
        <v>547</v>
      </c>
      <c r="T8" s="487">
        <f t="shared" si="1"/>
        <v>769</v>
      </c>
      <c r="U8" s="425">
        <f t="shared" si="1"/>
        <v>2143</v>
      </c>
      <c r="V8" s="487">
        <f t="shared" si="1"/>
        <v>714</v>
      </c>
      <c r="W8" s="487">
        <f t="shared" si="1"/>
        <v>598</v>
      </c>
      <c r="X8" s="487">
        <f t="shared" si="1"/>
        <v>690</v>
      </c>
      <c r="Y8" s="487">
        <f t="shared" si="1"/>
        <v>888</v>
      </c>
      <c r="Z8" s="425">
        <f t="shared" si="1"/>
        <v>2890</v>
      </c>
      <c r="AA8" s="487">
        <f t="shared" si="1"/>
        <v>605</v>
      </c>
      <c r="AB8" s="487">
        <f t="shared" si="1"/>
        <v>692</v>
      </c>
      <c r="AC8" s="487">
        <f t="shared" si="1"/>
        <v>703</v>
      </c>
      <c r="AD8" s="487">
        <f t="shared" si="1"/>
        <v>740</v>
      </c>
      <c r="AE8" s="425">
        <f t="shared" si="1"/>
        <v>2740</v>
      </c>
      <c r="AF8" s="487">
        <f t="shared" si="1"/>
        <v>805</v>
      </c>
      <c r="AG8" s="487">
        <f t="shared" si="1"/>
        <v>997</v>
      </c>
      <c r="AH8" s="487">
        <f t="shared" si="1"/>
        <v>1068</v>
      </c>
      <c r="AI8" s="487">
        <f t="shared" si="1"/>
        <v>1295</v>
      </c>
      <c r="AJ8" s="425">
        <f t="shared" si="1"/>
        <v>4165</v>
      </c>
      <c r="AK8" s="487">
        <f t="shared" si="1"/>
        <v>1253</v>
      </c>
      <c r="AL8" s="487">
        <f t="shared" si="1"/>
        <v>1391</v>
      </c>
      <c r="AM8" s="487">
        <f t="shared" si="1"/>
        <v>1272</v>
      </c>
      <c r="AN8" s="487">
        <f t="shared" si="1"/>
        <v>1219</v>
      </c>
      <c r="AO8" s="425">
        <f t="shared" si="1"/>
        <v>5135</v>
      </c>
      <c r="AP8" s="487">
        <f t="shared" si="1"/>
        <v>818</v>
      </c>
      <c r="AQ8" s="487">
        <f t="shared" si="1"/>
        <v>4871</v>
      </c>
      <c r="AR8" s="487">
        <f t="shared" si="1"/>
        <v>2804</v>
      </c>
      <c r="AS8" s="487">
        <f t="shared" si="1"/>
        <v>2411</v>
      </c>
      <c r="AT8" s="425">
        <f t="shared" si="1"/>
        <v>10904</v>
      </c>
      <c r="AU8" s="487">
        <f t="shared" si="1"/>
        <v>1999</v>
      </c>
      <c r="AV8" s="487">
        <f t="shared" si="1"/>
        <v>-2126</v>
      </c>
      <c r="AW8" s="487">
        <f t="shared" si="1"/>
        <v>-1854</v>
      </c>
      <c r="AX8" s="487">
        <f t="shared" si="1"/>
        <v>-1913</v>
      </c>
      <c r="AY8" s="425">
        <f t="shared" si="1"/>
        <v>-3894</v>
      </c>
      <c r="AZ8" s="487">
        <f t="shared" si="1"/>
        <v>-1900</v>
      </c>
      <c r="BA8" s="487">
        <f t="shared" si="1"/>
        <v>-1800</v>
      </c>
      <c r="BB8" s="487">
        <f t="shared" si="1"/>
        <v>-1000</v>
      </c>
      <c r="BC8" s="487">
        <f t="shared" si="1"/>
        <v>-500</v>
      </c>
      <c r="BD8" s="425">
        <f t="shared" si="1"/>
        <v>-5200</v>
      </c>
      <c r="BE8" s="487">
        <f t="shared" si="1"/>
        <v>-400</v>
      </c>
      <c r="BF8" s="487">
        <f t="shared" si="1"/>
        <v>100</v>
      </c>
      <c r="BG8" s="487">
        <f t="shared" si="1"/>
        <v>500</v>
      </c>
      <c r="BH8" s="487">
        <f t="shared" si="1"/>
        <v>100</v>
      </c>
      <c r="BI8" s="425">
        <f t="shared" si="1"/>
        <v>300</v>
      </c>
      <c r="BJ8" s="981">
        <f>BJ9-BJ7</f>
        <v>-100</v>
      </c>
      <c r="BK8" s="487">
        <f t="shared" si="1"/>
        <v>-64</v>
      </c>
      <c r="BL8" s="487">
        <f t="shared" si="1"/>
        <v>510</v>
      </c>
      <c r="BM8" s="487">
        <f t="shared" si="1"/>
        <v>102</v>
      </c>
      <c r="BN8" s="425">
        <f>SUM(BJ8,BK8,BL8,BM8)</f>
        <v>448</v>
      </c>
      <c r="BO8" s="487">
        <f>BO9-BO7</f>
        <v>121</v>
      </c>
      <c r="BP8" s="487">
        <f>BP9-BP7</f>
        <v>-65.919999999998254</v>
      </c>
      <c r="BQ8" s="487">
        <f>BQ9-BQ7</f>
        <v>525.29999999999927</v>
      </c>
      <c r="BR8" s="487">
        <f>BR9-BR7</f>
        <v>105.06000000000131</v>
      </c>
      <c r="BS8" s="425">
        <f>SUM(BO8,BP8,BQ8,BR8)</f>
        <v>685.44000000000233</v>
      </c>
      <c r="BT8" s="425">
        <f>BT9-BT7</f>
        <v>706.0031999999992</v>
      </c>
      <c r="BU8" s="425">
        <f>BU9-BU7</f>
        <v>727.18329599999925</v>
      </c>
      <c r="BV8" s="425">
        <f>BV9-BV7</f>
        <v>748.99879488000079</v>
      </c>
      <c r="BW8" s="223"/>
    </row>
    <row r="9" spans="1:75" s="224" customFormat="1" x14ac:dyDescent="0.5">
      <c r="A9" s="360" t="s">
        <v>2194</v>
      </c>
      <c r="B9" s="1127"/>
      <c r="C9" s="1128"/>
      <c r="D9" s="1128"/>
      <c r="E9" s="1128"/>
      <c r="F9" s="1234">
        <v>1299</v>
      </c>
      <c r="G9" s="371">
        <v>1366</v>
      </c>
      <c r="H9" s="371">
        <v>1506</v>
      </c>
      <c r="I9" s="371">
        <v>1775</v>
      </c>
      <c r="J9" s="371">
        <v>2092</v>
      </c>
      <c r="K9" s="1234">
        <v>2092</v>
      </c>
      <c r="L9" s="371">
        <v>2409</v>
      </c>
      <c r="M9" s="371">
        <v>2635</v>
      </c>
      <c r="N9" s="371">
        <v>2858</v>
      </c>
      <c r="O9" s="371">
        <v>3217</v>
      </c>
      <c r="P9" s="1234">
        <v>3217</v>
      </c>
      <c r="Q9" s="371">
        <v>3597</v>
      </c>
      <c r="R9" s="371">
        <v>4044</v>
      </c>
      <c r="S9" s="371">
        <v>4591</v>
      </c>
      <c r="T9" s="371">
        <v>5360</v>
      </c>
      <c r="U9" s="1234">
        <v>5360</v>
      </c>
      <c r="V9" s="371">
        <v>6074</v>
      </c>
      <c r="W9" s="371">
        <v>6672</v>
      </c>
      <c r="X9" s="371">
        <v>7362</v>
      </c>
      <c r="Y9" s="371">
        <v>8250</v>
      </c>
      <c r="Z9" s="1234">
        <v>8250</v>
      </c>
      <c r="AA9" s="371">
        <v>8855</v>
      </c>
      <c r="AB9" s="371">
        <v>9547</v>
      </c>
      <c r="AC9" s="371">
        <v>10250</v>
      </c>
      <c r="AD9" s="371">
        <v>10990</v>
      </c>
      <c r="AE9" s="1234">
        <v>10990</v>
      </c>
      <c r="AF9" s="371">
        <v>11795</v>
      </c>
      <c r="AG9" s="371">
        <v>12792</v>
      </c>
      <c r="AH9" s="371">
        <v>13860</v>
      </c>
      <c r="AI9" s="371">
        <v>15155</v>
      </c>
      <c r="AJ9" s="1234">
        <v>15155</v>
      </c>
      <c r="AK9" s="371">
        <v>16408</v>
      </c>
      <c r="AL9" s="371">
        <v>17799</v>
      </c>
      <c r="AM9" s="371">
        <v>19071</v>
      </c>
      <c r="AN9" s="371">
        <v>20290</v>
      </c>
      <c r="AO9" s="1234">
        <v>20290</v>
      </c>
      <c r="AP9" s="371">
        <v>21108</v>
      </c>
      <c r="AQ9" s="371">
        <v>25979</v>
      </c>
      <c r="AR9" s="371">
        <v>28783</v>
      </c>
      <c r="AS9" s="371">
        <v>31194</v>
      </c>
      <c r="AT9" s="1234">
        <v>31194</v>
      </c>
      <c r="AU9" s="371">
        <v>33193</v>
      </c>
      <c r="AV9" s="371">
        <v>31067</v>
      </c>
      <c r="AW9" s="371">
        <v>29213</v>
      </c>
      <c r="AX9" s="371">
        <v>27300</v>
      </c>
      <c r="AY9" s="1128">
        <f>AX9</f>
        <v>27300</v>
      </c>
      <c r="AZ9" s="371">
        <v>25400</v>
      </c>
      <c r="BA9" s="371">
        <v>23600</v>
      </c>
      <c r="BB9" s="371">
        <v>22600</v>
      </c>
      <c r="BC9" s="371">
        <v>22100</v>
      </c>
      <c r="BD9" s="1128">
        <f>BC9</f>
        <v>22100</v>
      </c>
      <c r="BE9" s="371">
        <v>21700</v>
      </c>
      <c r="BF9" s="371">
        <v>21800</v>
      </c>
      <c r="BG9" s="371">
        <v>22300</v>
      </c>
      <c r="BH9" s="371">
        <v>22400</v>
      </c>
      <c r="BI9" s="1128">
        <f>BH9</f>
        <v>22400</v>
      </c>
      <c r="BJ9" s="1240">
        <v>22300</v>
      </c>
      <c r="BK9" s="287">
        <f>BF9*(1+BK11)</f>
        <v>22236</v>
      </c>
      <c r="BL9" s="287">
        <f>BG9*(1+BL11)</f>
        <v>22746</v>
      </c>
      <c r="BM9" s="287">
        <f>BH9*(1+BM11)</f>
        <v>22848</v>
      </c>
      <c r="BN9" s="1128">
        <f>BN7+BN8</f>
        <v>22848</v>
      </c>
      <c r="BO9" s="287">
        <f>BJ9*(1+BO11)</f>
        <v>22969</v>
      </c>
      <c r="BP9" s="287">
        <f>BK9*(1+BP11)</f>
        <v>22903.08</v>
      </c>
      <c r="BQ9" s="287">
        <f>BL9*(1+BQ11)</f>
        <v>23428.38</v>
      </c>
      <c r="BR9" s="287">
        <f>BM9*(1+BR11)</f>
        <v>23533.440000000002</v>
      </c>
      <c r="BS9" s="1128">
        <f>BS7+BS8</f>
        <v>23533.440000000002</v>
      </c>
      <c r="BT9" s="1128">
        <f>BS9*(1+BT11)</f>
        <v>24239.443200000002</v>
      </c>
      <c r="BU9" s="1128">
        <f>BT9*(1+BU11)</f>
        <v>24966.626496000001</v>
      </c>
      <c r="BV9" s="1128">
        <f>BU9*(1+BV11)</f>
        <v>25715.625290880002</v>
      </c>
      <c r="BW9" s="168"/>
    </row>
    <row r="10" spans="1:75" s="177" customFormat="1" ht="14.25" x14ac:dyDescent="0.45">
      <c r="A10" s="170" t="s">
        <v>2195</v>
      </c>
      <c r="B10" s="491"/>
      <c r="C10" s="417"/>
      <c r="D10" s="417"/>
      <c r="E10" s="417"/>
      <c r="F10" s="417"/>
      <c r="G10" s="378">
        <f>G9/F9-1</f>
        <v>5.1578137028483351E-2</v>
      </c>
      <c r="H10" s="378">
        <f t="shared" ref="H10:J10" si="2">H9/G9-1</f>
        <v>0.10248901903367491</v>
      </c>
      <c r="I10" s="378">
        <f t="shared" si="2"/>
        <v>0.17861885790172649</v>
      </c>
      <c r="J10" s="378">
        <f t="shared" si="2"/>
        <v>0.17859154929577459</v>
      </c>
      <c r="K10" s="417"/>
      <c r="L10" s="378">
        <f>L9/J9-1</f>
        <v>0.15152963671128106</v>
      </c>
      <c r="M10" s="378">
        <f t="shared" ref="M10:O10" si="3">M9/L9-1</f>
        <v>9.3814860938148614E-2</v>
      </c>
      <c r="N10" s="378">
        <f t="shared" si="3"/>
        <v>8.4629981024668011E-2</v>
      </c>
      <c r="O10" s="378">
        <f t="shared" si="3"/>
        <v>0.12561231630510838</v>
      </c>
      <c r="P10" s="417"/>
      <c r="Q10" s="378">
        <f>Q9/O9-1</f>
        <v>0.11812247435498913</v>
      </c>
      <c r="R10" s="378">
        <f t="shared" ref="R10:T10" si="4">R9/Q9-1</f>
        <v>0.1242702251876564</v>
      </c>
      <c r="S10" s="378">
        <f t="shared" si="4"/>
        <v>0.13526211671612276</v>
      </c>
      <c r="T10" s="378">
        <f t="shared" si="4"/>
        <v>0.16750163363101711</v>
      </c>
      <c r="U10" s="417"/>
      <c r="V10" s="378">
        <f>V9/T9-1</f>
        <v>0.13320895522388065</v>
      </c>
      <c r="W10" s="378">
        <f t="shared" ref="W10:Y10" si="5">W9/V9-1</f>
        <v>9.8452420151465159E-2</v>
      </c>
      <c r="X10" s="378">
        <f t="shared" si="5"/>
        <v>0.10341726618705027</v>
      </c>
      <c r="Y10" s="378">
        <f t="shared" si="5"/>
        <v>0.12061939690301537</v>
      </c>
      <c r="Z10" s="417"/>
      <c r="AA10" s="378">
        <f>AA9/Y9-1</f>
        <v>7.333333333333325E-2</v>
      </c>
      <c r="AB10" s="378">
        <f t="shared" ref="AB10:AD10" si="6">AB9/AA9-1</f>
        <v>7.8147939017504164E-2</v>
      </c>
      <c r="AC10" s="378">
        <f t="shared" si="6"/>
        <v>7.3635697077615969E-2</v>
      </c>
      <c r="AD10" s="378">
        <f t="shared" si="6"/>
        <v>7.2195121951219576E-2</v>
      </c>
      <c r="AE10" s="417"/>
      <c r="AF10" s="378">
        <f>AF9/AD9-1</f>
        <v>7.3248407643312197E-2</v>
      </c>
      <c r="AG10" s="378">
        <f t="shared" ref="AG10:AI10" si="7">AG9/AF9-1</f>
        <v>8.4527342094107727E-2</v>
      </c>
      <c r="AH10" s="378">
        <f t="shared" si="7"/>
        <v>8.3489681050656683E-2</v>
      </c>
      <c r="AI10" s="378">
        <f t="shared" si="7"/>
        <v>9.3434343434343425E-2</v>
      </c>
      <c r="AJ10" s="417"/>
      <c r="AK10" s="378">
        <f>AK9/AI9-1</f>
        <v>8.26789838337183E-2</v>
      </c>
      <c r="AL10" s="378">
        <f t="shared" ref="AL10:AN10" si="8">AL9/AK9-1</f>
        <v>8.4775719161384711E-2</v>
      </c>
      <c r="AM10" s="378">
        <f t="shared" si="8"/>
        <v>7.1464689027473494E-2</v>
      </c>
      <c r="AN10" s="378">
        <f t="shared" si="8"/>
        <v>6.391903937916199E-2</v>
      </c>
      <c r="AO10" s="417"/>
      <c r="AP10" s="378">
        <f>AP9/AN9-1</f>
        <v>4.0315426318383363E-2</v>
      </c>
      <c r="AQ10" s="378">
        <f t="shared" ref="AQ10:AS10" si="9">AQ9/AP9-1</f>
        <v>0.23076558650748535</v>
      </c>
      <c r="AR10" s="378">
        <f t="shared" si="9"/>
        <v>0.10793333076715816</v>
      </c>
      <c r="AS10" s="378">
        <f t="shared" si="9"/>
        <v>8.3764722231872923E-2</v>
      </c>
      <c r="AT10" s="417"/>
      <c r="AU10" s="378">
        <f>AU9/AS9-1</f>
        <v>6.4082836442905577E-2</v>
      </c>
      <c r="AV10" s="378">
        <f t="shared" ref="AV10" si="10">AV9/AU9-1</f>
        <v>-6.4049649022384192E-2</v>
      </c>
      <c r="AW10" s="378">
        <f>AW9/AV9-1</f>
        <v>-5.9677471271767479E-2</v>
      </c>
      <c r="AX10" s="378">
        <f>AX9/AW9-1</f>
        <v>-6.5484544552082968E-2</v>
      </c>
      <c r="AY10" s="417"/>
      <c r="AZ10" s="378">
        <f>AZ9/AX9-1</f>
        <v>-6.9597069597069572E-2</v>
      </c>
      <c r="BA10" s="378">
        <f>BA9/AZ9-1</f>
        <v>-7.086614173228345E-2</v>
      </c>
      <c r="BB10" s="378">
        <f>BB9/BA9-1</f>
        <v>-4.2372881355932202E-2</v>
      </c>
      <c r="BC10" s="378">
        <f>BC9/BB9-1</f>
        <v>-2.2123893805309769E-2</v>
      </c>
      <c r="BD10" s="417"/>
      <c r="BE10" s="378">
        <f>BE9/BC9-1</f>
        <v>-1.8099547511312264E-2</v>
      </c>
      <c r="BF10" s="378">
        <f>BF9/BE9-1</f>
        <v>4.6082949308756671E-3</v>
      </c>
      <c r="BG10" s="378">
        <f>BG9/BF9-1</f>
        <v>2.2935779816513735E-2</v>
      </c>
      <c r="BH10" s="378">
        <f>BH9/BG9-1</f>
        <v>4.484304932735439E-3</v>
      </c>
      <c r="BI10" s="417"/>
      <c r="BJ10" s="1130">
        <f>BJ9/BH9-1</f>
        <v>-4.4642857142856984E-3</v>
      </c>
      <c r="BK10" s="378">
        <f>BK9/BJ9-1</f>
        <v>-2.8699551569506543E-3</v>
      </c>
      <c r="BL10" s="378">
        <f>BL9/BK9-1</f>
        <v>2.2935779816513735E-2</v>
      </c>
      <c r="BM10" s="378">
        <f>BM9/BL9-1</f>
        <v>4.484304932735439E-3</v>
      </c>
      <c r="BN10" s="417"/>
      <c r="BO10" s="378">
        <f>BO9/BM9-1</f>
        <v>5.2958683473389723E-3</v>
      </c>
      <c r="BP10" s="378">
        <f>BP9/BO9-1</f>
        <v>-2.8699551569505433E-3</v>
      </c>
      <c r="BQ10" s="378">
        <f>BQ9/BP9-1</f>
        <v>2.2935779816513735E-2</v>
      </c>
      <c r="BR10" s="378">
        <f>BR9/BQ9-1</f>
        <v>4.484304932735439E-3</v>
      </c>
      <c r="BS10" s="417"/>
      <c r="BT10" s="417"/>
      <c r="BU10" s="417"/>
      <c r="BV10" s="417"/>
      <c r="BW10" s="176"/>
    </row>
    <row r="11" spans="1:75" s="177" customFormat="1" ht="14.25" x14ac:dyDescent="0.45">
      <c r="A11" s="170" t="s">
        <v>2196</v>
      </c>
      <c r="B11" s="491"/>
      <c r="C11" s="417"/>
      <c r="D11" s="417"/>
      <c r="E11" s="417"/>
      <c r="F11" s="417"/>
      <c r="G11" s="378"/>
      <c r="H11" s="378"/>
      <c r="I11" s="378"/>
      <c r="J11" s="378"/>
      <c r="K11" s="417">
        <f t="shared" ref="K11:BJ11" si="11">K9/F9-1</f>
        <v>0.61046959199384143</v>
      </c>
      <c r="L11" s="378">
        <f t="shared" si="11"/>
        <v>0.76354319180087837</v>
      </c>
      <c r="M11" s="378">
        <f t="shared" si="11"/>
        <v>0.74966799468791501</v>
      </c>
      <c r="N11" s="378">
        <f t="shared" si="11"/>
        <v>0.61014084507042243</v>
      </c>
      <c r="O11" s="378">
        <f t="shared" si="11"/>
        <v>0.53776290630975154</v>
      </c>
      <c r="P11" s="417">
        <f t="shared" si="11"/>
        <v>0.53776290630975154</v>
      </c>
      <c r="Q11" s="378">
        <f t="shared" si="11"/>
        <v>0.49315068493150682</v>
      </c>
      <c r="R11" s="378">
        <f t="shared" si="11"/>
        <v>0.53472485768500944</v>
      </c>
      <c r="S11" s="378">
        <f t="shared" si="11"/>
        <v>0.60636808957312804</v>
      </c>
      <c r="T11" s="378">
        <f t="shared" si="11"/>
        <v>0.66614858563879387</v>
      </c>
      <c r="U11" s="417">
        <f t="shared" si="11"/>
        <v>0.66614858563879387</v>
      </c>
      <c r="V11" s="378">
        <f t="shared" si="11"/>
        <v>0.68862941340005568</v>
      </c>
      <c r="W11" s="378">
        <f t="shared" si="11"/>
        <v>0.64985163204747765</v>
      </c>
      <c r="X11" s="378">
        <f t="shared" si="11"/>
        <v>0.60357220649096055</v>
      </c>
      <c r="Y11" s="378">
        <f t="shared" si="11"/>
        <v>0.53917910447761197</v>
      </c>
      <c r="Z11" s="417">
        <f t="shared" si="11"/>
        <v>0.53917910447761197</v>
      </c>
      <c r="AA11" s="378">
        <f t="shared" si="11"/>
        <v>0.45785314455054338</v>
      </c>
      <c r="AB11" s="378">
        <f t="shared" si="11"/>
        <v>0.43090527577937654</v>
      </c>
      <c r="AC11" s="378">
        <f t="shared" si="11"/>
        <v>0.39228470524314041</v>
      </c>
      <c r="AD11" s="378">
        <f t="shared" si="11"/>
        <v>0.33212121212121204</v>
      </c>
      <c r="AE11" s="417">
        <f t="shared" si="11"/>
        <v>0.33212121212121204</v>
      </c>
      <c r="AF11" s="378">
        <f t="shared" si="11"/>
        <v>0.33201581027667992</v>
      </c>
      <c r="AG11" s="378">
        <f t="shared" si="11"/>
        <v>0.3398973499528648</v>
      </c>
      <c r="AH11" s="378">
        <f t="shared" si="11"/>
        <v>0.3521951219512196</v>
      </c>
      <c r="AI11" s="378">
        <f t="shared" si="11"/>
        <v>0.37898089171974525</v>
      </c>
      <c r="AJ11" s="417">
        <f t="shared" si="11"/>
        <v>0.37898089171974525</v>
      </c>
      <c r="AK11" s="378">
        <f t="shared" si="11"/>
        <v>0.39109792284866463</v>
      </c>
      <c r="AL11" s="378">
        <f t="shared" si="11"/>
        <v>0.39141651031894931</v>
      </c>
      <c r="AM11" s="378">
        <f t="shared" si="11"/>
        <v>0.37597402597402607</v>
      </c>
      <c r="AN11" s="378">
        <f t="shared" si="11"/>
        <v>0.33883206862421633</v>
      </c>
      <c r="AO11" s="417">
        <f t="shared" si="11"/>
        <v>0.33883206862421633</v>
      </c>
      <c r="AP11" s="378">
        <f t="shared" si="11"/>
        <v>0.28644563627498787</v>
      </c>
      <c r="AQ11" s="378">
        <f t="shared" si="11"/>
        <v>0.45957638069554463</v>
      </c>
      <c r="AR11" s="378">
        <f t="shared" si="11"/>
        <v>0.50925488962298782</v>
      </c>
      <c r="AS11" s="378">
        <f t="shared" si="11"/>
        <v>0.53740758994578619</v>
      </c>
      <c r="AT11" s="417">
        <f t="shared" si="11"/>
        <v>0.53740758994578619</v>
      </c>
      <c r="AU11" s="378">
        <f t="shared" si="11"/>
        <v>0.57253174151980302</v>
      </c>
      <c r="AV11" s="378">
        <f t="shared" si="11"/>
        <v>0.19585049463027837</v>
      </c>
      <c r="AW11" s="378">
        <f t="shared" si="11"/>
        <v>1.4939373936003975E-2</v>
      </c>
      <c r="AX11" s="378">
        <f t="shared" si="11"/>
        <v>-0.12483169840353914</v>
      </c>
      <c r="AY11" s="417">
        <f t="shared" si="11"/>
        <v>-0.12483169840353914</v>
      </c>
      <c r="AZ11" s="378">
        <f t="shared" si="11"/>
        <v>-0.23477841713614311</v>
      </c>
      <c r="BA11" s="378">
        <f t="shared" si="11"/>
        <v>-0.240351498374481</v>
      </c>
      <c r="BB11" s="378">
        <f t="shared" si="11"/>
        <v>-0.22637182076472806</v>
      </c>
      <c r="BC11" s="378">
        <f t="shared" si="11"/>
        <v>-0.19047619047619047</v>
      </c>
      <c r="BD11" s="417">
        <f t="shared" si="11"/>
        <v>-0.19047619047619047</v>
      </c>
      <c r="BE11" s="378">
        <f t="shared" si="11"/>
        <v>-0.14566929133858264</v>
      </c>
      <c r="BF11" s="378">
        <f t="shared" si="11"/>
        <v>-7.6271186440677985E-2</v>
      </c>
      <c r="BG11" s="378">
        <f t="shared" si="11"/>
        <v>-1.3274336283185861E-2</v>
      </c>
      <c r="BH11" s="378">
        <f t="shared" si="11"/>
        <v>1.3574660633484115E-2</v>
      </c>
      <c r="BI11" s="417">
        <f t="shared" si="11"/>
        <v>1.3574660633484115E-2</v>
      </c>
      <c r="BJ11" s="1130">
        <f t="shared" si="11"/>
        <v>2.7649769585253559E-2</v>
      </c>
      <c r="BK11" s="766">
        <v>0.02</v>
      </c>
      <c r="BL11" s="766">
        <v>0.02</v>
      </c>
      <c r="BM11" s="766">
        <v>0.02</v>
      </c>
      <c r="BN11" s="417">
        <f>BN9/BI9-1</f>
        <v>2.0000000000000018E-2</v>
      </c>
      <c r="BO11" s="766">
        <v>0.03</v>
      </c>
      <c r="BP11" s="766">
        <v>0.03</v>
      </c>
      <c r="BQ11" s="766">
        <v>0.03</v>
      </c>
      <c r="BR11" s="766">
        <v>0.03</v>
      </c>
      <c r="BS11" s="417">
        <f>BS9/BN9-1</f>
        <v>3.0000000000000027E-2</v>
      </c>
      <c r="BT11" s="767">
        <v>0.03</v>
      </c>
      <c r="BU11" s="767">
        <v>0.03</v>
      </c>
      <c r="BV11" s="767">
        <v>0.03</v>
      </c>
      <c r="BW11" s="176"/>
    </row>
    <row r="12" spans="1:75" s="217" customFormat="1" ht="7.5" customHeight="1" x14ac:dyDescent="0.5">
      <c r="A12" s="178"/>
      <c r="B12" s="1387"/>
      <c r="C12" s="840"/>
      <c r="D12" s="840"/>
      <c r="E12" s="840"/>
      <c r="F12" s="840"/>
      <c r="G12" s="247"/>
      <c r="H12" s="247"/>
      <c r="I12" s="247"/>
      <c r="J12" s="247"/>
      <c r="K12" s="840"/>
      <c r="L12" s="247"/>
      <c r="M12" s="247"/>
      <c r="N12" s="247"/>
      <c r="O12" s="247"/>
      <c r="P12" s="840"/>
      <c r="Q12" s="247"/>
      <c r="R12" s="247"/>
      <c r="S12" s="247"/>
      <c r="T12" s="247"/>
      <c r="U12" s="840"/>
      <c r="V12" s="247"/>
      <c r="W12" s="247"/>
      <c r="X12" s="247"/>
      <c r="Y12" s="247"/>
      <c r="Z12" s="840"/>
      <c r="AA12" s="247"/>
      <c r="AB12" s="247"/>
      <c r="AC12" s="247"/>
      <c r="AD12" s="247"/>
      <c r="AE12" s="840"/>
      <c r="AF12" s="247"/>
      <c r="AG12" s="247"/>
      <c r="AH12" s="247"/>
      <c r="AI12" s="247"/>
      <c r="AJ12" s="840"/>
      <c r="AK12" s="247"/>
      <c r="AL12" s="247"/>
      <c r="AM12" s="247"/>
      <c r="AN12" s="247"/>
      <c r="AO12" s="840"/>
      <c r="AP12" s="247"/>
      <c r="AQ12" s="247"/>
      <c r="AR12" s="247"/>
      <c r="AS12" s="247"/>
      <c r="AT12" s="840"/>
      <c r="AU12" s="247"/>
      <c r="AV12" s="247"/>
      <c r="AW12" s="247"/>
      <c r="AX12" s="247"/>
      <c r="AY12" s="840"/>
      <c r="AZ12" s="247"/>
      <c r="BA12" s="247"/>
      <c r="BB12" s="247"/>
      <c r="BC12" s="247"/>
      <c r="BD12" s="840"/>
      <c r="BE12" s="247"/>
      <c r="BF12" s="247"/>
      <c r="BG12" s="247"/>
      <c r="BH12" s="247"/>
      <c r="BI12" s="840"/>
      <c r="BJ12" s="977"/>
      <c r="BK12" s="247"/>
      <c r="BL12" s="247"/>
      <c r="BM12" s="247"/>
      <c r="BN12" s="840"/>
      <c r="BO12" s="247"/>
      <c r="BP12" s="247"/>
      <c r="BQ12" s="247"/>
      <c r="BR12" s="247"/>
      <c r="BS12" s="840"/>
      <c r="BT12" s="840"/>
      <c r="BU12" s="840"/>
      <c r="BV12" s="840"/>
      <c r="BW12" s="161"/>
    </row>
    <row r="13" spans="1:75" s="890" customFormat="1" ht="14.25" x14ac:dyDescent="0.45">
      <c r="A13" s="1388" t="s">
        <v>2197</v>
      </c>
      <c r="B13" s="1389"/>
      <c r="C13" s="1390"/>
      <c r="D13" s="1390"/>
      <c r="E13" s="1390"/>
      <c r="F13" s="1390"/>
      <c r="G13" s="888">
        <f t="shared" ref="G13:BE13" si="12">G21/G9</f>
        <v>0.40629575402635432</v>
      </c>
      <c r="H13" s="888">
        <f t="shared" si="12"/>
        <v>0.46679946879150064</v>
      </c>
      <c r="I13" s="888">
        <f t="shared" si="12"/>
        <v>0.49802816901408453</v>
      </c>
      <c r="J13" s="888">
        <f t="shared" si="12"/>
        <v>0.56022944550669218</v>
      </c>
      <c r="K13" s="1391">
        <f t="shared" si="12"/>
        <v>1.5841300191204588</v>
      </c>
      <c r="L13" s="889">
        <f t="shared" si="12"/>
        <v>0.47239518472395187</v>
      </c>
      <c r="M13" s="889">
        <f t="shared" si="12"/>
        <v>0.41138519924098671</v>
      </c>
      <c r="N13" s="889">
        <f t="shared" si="12"/>
        <v>0.45976207137858643</v>
      </c>
      <c r="O13" s="889">
        <f t="shared" si="12"/>
        <v>0.52875349704693819</v>
      </c>
      <c r="P13" s="1391">
        <f t="shared" si="12"/>
        <v>1.6279142057817844</v>
      </c>
      <c r="Q13" s="889">
        <f t="shared" si="12"/>
        <v>0.49958298582151794</v>
      </c>
      <c r="R13" s="889">
        <f t="shared" si="12"/>
        <v>0.48442136498516319</v>
      </c>
      <c r="S13" s="889">
        <f t="shared" si="12"/>
        <v>0.50598998039642784</v>
      </c>
      <c r="T13" s="889">
        <f t="shared" si="12"/>
        <v>0.57667910447761195</v>
      </c>
      <c r="U13" s="1391">
        <f t="shared" si="12"/>
        <v>1.710820895522388</v>
      </c>
      <c r="V13" s="889">
        <f t="shared" si="12"/>
        <v>0.49324991768192294</v>
      </c>
      <c r="W13" s="889">
        <f t="shared" si="12"/>
        <v>0.43914868105515587</v>
      </c>
      <c r="X13" s="889">
        <f t="shared" si="12"/>
        <v>0.46414017929910351</v>
      </c>
      <c r="Y13" s="889">
        <f t="shared" si="12"/>
        <v>0.57224242424242422</v>
      </c>
      <c r="Z13" s="1391">
        <f t="shared" si="12"/>
        <v>1.7047272727272726</v>
      </c>
      <c r="AA13" s="889">
        <f t="shared" si="12"/>
        <v>0.47577639751552797</v>
      </c>
      <c r="AB13" s="889">
        <f t="shared" si="12"/>
        <v>0.44809887922907721</v>
      </c>
      <c r="AC13" s="889">
        <f t="shared" si="12"/>
        <v>0.46039024390243904</v>
      </c>
      <c r="AD13" s="889">
        <f t="shared" si="12"/>
        <v>0.56433121019108279</v>
      </c>
      <c r="AE13" s="1391">
        <f t="shared" si="12"/>
        <v>1.7662420382165605</v>
      </c>
      <c r="AF13" s="889">
        <f t="shared" si="12"/>
        <v>0.49919457397202205</v>
      </c>
      <c r="AG13" s="889">
        <f t="shared" si="12"/>
        <v>0.50437773608505321</v>
      </c>
      <c r="AH13" s="889">
        <f t="shared" si="12"/>
        <v>0.50057720057720057</v>
      </c>
      <c r="AI13" s="889">
        <f t="shared" si="12"/>
        <v>0.58106235565819864</v>
      </c>
      <c r="AJ13" s="1391">
        <f t="shared" si="12"/>
        <v>1.8531177829099308</v>
      </c>
      <c r="AK13" s="889">
        <f t="shared" si="12"/>
        <v>0.49750121891760118</v>
      </c>
      <c r="AL13" s="889">
        <f t="shared" si="12"/>
        <v>0.51474801955166016</v>
      </c>
      <c r="AM13" s="889">
        <f t="shared" si="12"/>
        <v>0.47826542918567461</v>
      </c>
      <c r="AN13" s="889">
        <f t="shared" si="12"/>
        <v>0.55174963035978319</v>
      </c>
      <c r="AO13" s="1392">
        <f t="shared" si="12"/>
        <v>1.8551503203548545</v>
      </c>
      <c r="AP13" s="889">
        <f t="shared" si="12"/>
        <v>0.46787947697555426</v>
      </c>
      <c r="AQ13" s="889">
        <f t="shared" si="12"/>
        <v>0.72720274067516066</v>
      </c>
      <c r="AR13" s="889">
        <f t="shared" si="12"/>
        <v>0.54747594065941707</v>
      </c>
      <c r="AS13" s="889">
        <f t="shared" si="12"/>
        <v>0.52808232352375462</v>
      </c>
      <c r="AT13" s="1392">
        <f t="shared" si="12"/>
        <v>1.9554722061934988</v>
      </c>
      <c r="AU13" s="889">
        <f t="shared" si="12"/>
        <v>0.44274395203808031</v>
      </c>
      <c r="AV13" s="889">
        <f t="shared" si="12"/>
        <v>0.44693726462162425</v>
      </c>
      <c r="AW13" s="889">
        <f t="shared" si="12"/>
        <v>0.37709239037414849</v>
      </c>
      <c r="AX13" s="889">
        <f t="shared" si="12"/>
        <v>0.4432234432234432</v>
      </c>
      <c r="AY13" s="1392">
        <f t="shared" si="12"/>
        <v>1.8936630036630036</v>
      </c>
      <c r="AZ13" s="889">
        <f t="shared" si="12"/>
        <v>0.40944881889763779</v>
      </c>
      <c r="BA13" s="889">
        <f t="shared" si="12"/>
        <v>0.42372881355932202</v>
      </c>
      <c r="BB13" s="889">
        <f t="shared" si="12"/>
        <v>0.38495575221238937</v>
      </c>
      <c r="BC13" s="889">
        <f t="shared" si="12"/>
        <v>0.49773755656108598</v>
      </c>
      <c r="BD13" s="1392">
        <f t="shared" si="12"/>
        <v>1.8144796380090498</v>
      </c>
      <c r="BE13" s="889">
        <f t="shared" si="12"/>
        <v>0.44700460829493088</v>
      </c>
      <c r="BF13" s="889">
        <f>BF21/BF9</f>
        <v>0.47247706422018348</v>
      </c>
      <c r="BG13" s="889">
        <f>BG21/BG9</f>
        <v>0.44394618834080718</v>
      </c>
      <c r="BH13" s="889">
        <f>BH21/BH9</f>
        <v>0.5044642857142857</v>
      </c>
      <c r="BI13" s="1392">
        <f>BI21/BI9</f>
        <v>1.8392857142857142</v>
      </c>
      <c r="BJ13" s="1393">
        <f>BJ21/BJ9</f>
        <v>0.43049327354260092</v>
      </c>
      <c r="BK13" s="888">
        <f>BF13*(1+BK14)</f>
        <v>0.47720183486238532</v>
      </c>
      <c r="BL13" s="888">
        <f>BG13*(1+BL14)</f>
        <v>0.44838565022421528</v>
      </c>
      <c r="BM13" s="888">
        <f>BH13*(1+BM14)</f>
        <v>0.5095089285714286</v>
      </c>
      <c r="BN13" s="1390">
        <f>BN21/BN9</f>
        <v>1.8404805672268909</v>
      </c>
      <c r="BO13" s="888">
        <f>BJ13*(1+BO14)</f>
        <v>0.43910313901345294</v>
      </c>
      <c r="BP13" s="888">
        <f>BK13*(1+BP14)</f>
        <v>0.48674587155963306</v>
      </c>
      <c r="BQ13" s="888">
        <f>BL13*(1+BQ14)</f>
        <v>0.45735336322869957</v>
      </c>
      <c r="BR13" s="888">
        <f>BM13*(1+BR14)</f>
        <v>0.51969910714285716</v>
      </c>
      <c r="BS13" s="1390">
        <f>BS21/BS9</f>
        <v>1.8772901785714284</v>
      </c>
      <c r="BT13" s="1390">
        <f>BS13*(1+BT14)</f>
        <v>1.9336088839285714</v>
      </c>
      <c r="BU13" s="1390">
        <f>BT13*(1+BU14)</f>
        <v>1.9916171504464286</v>
      </c>
      <c r="BV13" s="1390">
        <f>BU13*(1+BV14)</f>
        <v>2.0513656649598215</v>
      </c>
      <c r="BW13" s="889"/>
    </row>
    <row r="14" spans="1:75" s="177" customFormat="1" ht="14.25" x14ac:dyDescent="0.45">
      <c r="A14" s="189" t="s">
        <v>2198</v>
      </c>
      <c r="B14" s="491"/>
      <c r="C14" s="417"/>
      <c r="D14" s="417"/>
      <c r="E14" s="417"/>
      <c r="F14" s="417"/>
      <c r="G14" s="378"/>
      <c r="H14" s="378"/>
      <c r="I14" s="378"/>
      <c r="J14" s="378"/>
      <c r="K14" s="417"/>
      <c r="L14" s="378">
        <f t="shared" ref="L14:BJ14" si="13">L13/G13-1</f>
        <v>0.16268796816742026</v>
      </c>
      <c r="M14" s="378">
        <f t="shared" si="13"/>
        <v>-0.11871108100010519</v>
      </c>
      <c r="N14" s="378">
        <f t="shared" si="13"/>
        <v>-7.6835207356345192E-2</v>
      </c>
      <c r="O14" s="378">
        <f t="shared" si="13"/>
        <v>-5.6184030868434598E-2</v>
      </c>
      <c r="P14" s="417">
        <f t="shared" si="13"/>
        <v>2.7639263275646586E-2</v>
      </c>
      <c r="Q14" s="378">
        <f t="shared" si="13"/>
        <v>5.7553086857677238E-2</v>
      </c>
      <c r="R14" s="378">
        <f t="shared" si="13"/>
        <v>0.17753717411061354</v>
      </c>
      <c r="S14" s="378">
        <f t="shared" si="13"/>
        <v>0.10054746116665969</v>
      </c>
      <c r="T14" s="378">
        <f t="shared" si="13"/>
        <v>9.0638847210157136E-2</v>
      </c>
      <c r="U14" s="417">
        <f t="shared" si="13"/>
        <v>5.0928168969929688E-2</v>
      </c>
      <c r="V14" s="378">
        <f t="shared" si="13"/>
        <v>-1.2676709013980658E-2</v>
      </c>
      <c r="W14" s="378">
        <f t="shared" si="13"/>
        <v>-9.3457240333307601E-2</v>
      </c>
      <c r="X14" s="378">
        <f t="shared" si="13"/>
        <v>-8.2708754557820008E-2</v>
      </c>
      <c r="Y14" s="378">
        <f t="shared" si="13"/>
        <v>-7.6934992108075306E-3</v>
      </c>
      <c r="Z14" s="417">
        <f t="shared" si="13"/>
        <v>-3.5618122335679958E-3</v>
      </c>
      <c r="AA14" s="378">
        <f t="shared" si="13"/>
        <v>-3.5425287546956952E-2</v>
      </c>
      <c r="AB14" s="378">
        <f t="shared" si="13"/>
        <v>2.0380792565325212E-2</v>
      </c>
      <c r="AC14" s="378">
        <f t="shared" si="13"/>
        <v>-8.0793164735860623E-3</v>
      </c>
      <c r="AD14" s="378">
        <f t="shared" si="13"/>
        <v>-1.3824934531575295E-2</v>
      </c>
      <c r="AE14" s="417">
        <f t="shared" si="13"/>
        <v>3.6084813373622238E-2</v>
      </c>
      <c r="AF14" s="378">
        <f t="shared" si="13"/>
        <v>4.9220971403336033E-2</v>
      </c>
      <c r="AG14" s="378">
        <f t="shared" si="13"/>
        <v>0.12559472800467586</v>
      </c>
      <c r="AH14" s="378">
        <f t="shared" si="13"/>
        <v>8.7288897206252436E-2</v>
      </c>
      <c r="AI14" s="378">
        <f t="shared" si="13"/>
        <v>2.9647740839020109E-2</v>
      </c>
      <c r="AJ14" s="417">
        <f t="shared" si="13"/>
        <v>4.918677214878886E-2</v>
      </c>
      <c r="AK14" s="378">
        <f t="shared" si="13"/>
        <v>-3.3921743999481002E-3</v>
      </c>
      <c r="AL14" s="378">
        <f t="shared" si="13"/>
        <v>2.0560549613272805E-2</v>
      </c>
      <c r="AM14" s="378">
        <f t="shared" si="13"/>
        <v>-4.4572088712388269E-2</v>
      </c>
      <c r="AN14" s="378">
        <f t="shared" si="13"/>
        <v>-5.0446780819610071E-2</v>
      </c>
      <c r="AO14" s="417">
        <f t="shared" si="13"/>
        <v>1.0968204307726381E-3</v>
      </c>
      <c r="AP14" s="378">
        <f t="shared" si="13"/>
        <v>-5.9541043952603956E-2</v>
      </c>
      <c r="AQ14" s="378">
        <f t="shared" si="13"/>
        <v>0.4127353832435261</v>
      </c>
      <c r="AR14" s="378">
        <f t="shared" si="13"/>
        <v>0.14471150798330701</v>
      </c>
      <c r="AS14" s="378">
        <f t="shared" si="13"/>
        <v>-4.289501167512455E-2</v>
      </c>
      <c r="AT14" s="1394">
        <f t="shared" si="13"/>
        <v>5.4077496975800221E-2</v>
      </c>
      <c r="AU14" s="378">
        <f t="shared" si="13"/>
        <v>-5.3722221585682517E-2</v>
      </c>
      <c r="AV14" s="378">
        <f t="shared" si="13"/>
        <v>-0.38540211742509123</v>
      </c>
      <c r="AW14" s="378">
        <f t="shared" si="13"/>
        <v>-0.31121650766981124</v>
      </c>
      <c r="AX14" s="378">
        <f t="shared" si="13"/>
        <v>-0.16069252182892702</v>
      </c>
      <c r="AY14" s="1394">
        <f t="shared" si="13"/>
        <v>-3.1608325771508849E-2</v>
      </c>
      <c r="AZ14" s="378">
        <f t="shared" si="13"/>
        <v>-7.5201779690440174E-2</v>
      </c>
      <c r="BA14" s="378">
        <f t="shared" si="13"/>
        <v>-5.1927760111814436E-2</v>
      </c>
      <c r="BB14" s="378">
        <f t="shared" si="13"/>
        <v>2.0852613415080823E-2</v>
      </c>
      <c r="BC14" s="378">
        <f t="shared" si="13"/>
        <v>0.12299465240641716</v>
      </c>
      <c r="BD14" s="1394">
        <f t="shared" si="13"/>
        <v>-4.1814919286475738E-2</v>
      </c>
      <c r="BE14" s="378">
        <f t="shared" si="13"/>
        <v>9.1722793335696551E-2</v>
      </c>
      <c r="BF14" s="378">
        <f t="shared" si="13"/>
        <v>0.11504587155963297</v>
      </c>
      <c r="BG14" s="378">
        <f t="shared" si="13"/>
        <v>0.15323952373588989</v>
      </c>
      <c r="BH14" s="378">
        <f t="shared" si="13"/>
        <v>1.3514610389610437E-2</v>
      </c>
      <c r="BI14" s="1394">
        <f t="shared" si="13"/>
        <v>1.367117919486982E-2</v>
      </c>
      <c r="BJ14" s="1130">
        <f t="shared" si="13"/>
        <v>-3.6937728260367009E-2</v>
      </c>
      <c r="BK14" s="766">
        <v>0.01</v>
      </c>
      <c r="BL14" s="766">
        <v>0.01</v>
      </c>
      <c r="BM14" s="766">
        <v>0.01</v>
      </c>
      <c r="BN14" s="417">
        <f>BN13/BI13-1</f>
        <v>6.4962878355245834E-4</v>
      </c>
      <c r="BO14" s="766">
        <v>0.02</v>
      </c>
      <c r="BP14" s="766">
        <v>0.02</v>
      </c>
      <c r="BQ14" s="766">
        <v>0.02</v>
      </c>
      <c r="BR14" s="766">
        <v>0.02</v>
      </c>
      <c r="BS14" s="417">
        <f>BS13/BN13-1</f>
        <v>1.9999999999999796E-2</v>
      </c>
      <c r="BT14" s="767">
        <v>0.03</v>
      </c>
      <c r="BU14" s="767">
        <v>0.03</v>
      </c>
      <c r="BV14" s="767">
        <v>0.03</v>
      </c>
      <c r="BW14" s="176"/>
    </row>
    <row r="15" spans="1:75" s="1402" customFormat="1" x14ac:dyDescent="0.5">
      <c r="A15" s="1395" t="s">
        <v>2199</v>
      </c>
      <c r="B15" s="1396"/>
      <c r="C15" s="1397"/>
      <c r="D15" s="1397"/>
      <c r="E15" s="1397"/>
      <c r="F15" s="1397">
        <f>F21/F9</f>
        <v>1.3772132409545805</v>
      </c>
      <c r="G15" s="1398"/>
      <c r="H15" s="1398"/>
      <c r="I15" s="1398"/>
      <c r="J15" s="1398"/>
      <c r="K15" s="1397">
        <f>K21/K9</f>
        <v>1.5841300191204588</v>
      </c>
      <c r="L15" s="1398">
        <f>(L21+J21+I21+H21)/L9</f>
        <v>1.6176836861768369</v>
      </c>
      <c r="M15" s="1398">
        <f>(M21+L21+J21+I21)/M9</f>
        <v>1.6235294117647059</v>
      </c>
      <c r="N15" s="1398">
        <f>(N21+M21+L21+J21)/N9</f>
        <v>1.6473058082575227</v>
      </c>
      <c r="O15" s="1398">
        <f>(O21+N21+M21+L21)/O9</f>
        <v>1.6279142057817844</v>
      </c>
      <c r="P15" s="1397">
        <f>P21/P9</f>
        <v>1.6279142057817844</v>
      </c>
      <c r="Q15" s="1398">
        <f>(Q21+O21+N21+M21)/Q9</f>
        <v>1.6391437308868502</v>
      </c>
      <c r="R15" s="1398">
        <f>(R21+Q21+O21+N21)/R9</f>
        <v>1.67433234421365</v>
      </c>
      <c r="S15" s="1398">
        <f>(S21+R21+Q21+O21)/S9</f>
        <v>1.6946199085166631</v>
      </c>
      <c r="T15" s="1398">
        <f>(T21+S21+R21+Q21)/T9</f>
        <v>1.710820895522388</v>
      </c>
      <c r="U15" s="1397">
        <f>U21/U9</f>
        <v>1.710820895522388</v>
      </c>
      <c r="V15" s="1398">
        <f>(V21+T21+S21+R21)/V9</f>
        <v>1.7071122818570958</v>
      </c>
      <c r="W15" s="1398">
        <f>(W21+V21+T21+S21)/W9</f>
        <v>1.6996402877697843</v>
      </c>
      <c r="X15" s="1398">
        <f>(X21+W21+V21+T21)/X9</f>
        <v>1.6889432219505569</v>
      </c>
      <c r="Y15" s="1398">
        <f>(Y21+X21+W21+V21)/Y9</f>
        <v>1.7047272727272726</v>
      </c>
      <c r="Z15" s="1397">
        <f>Z21/Z9</f>
        <v>1.7047272727272726</v>
      </c>
      <c r="AA15" s="1398">
        <f>(AA21+Y21+X21+W21)/AA9</f>
        <v>1.7256916996047431</v>
      </c>
      <c r="AB15" s="1398">
        <f>(AB21+AA21+Y21+X21)/AB9</f>
        <v>1.7418037079710904</v>
      </c>
      <c r="AC15" s="1398">
        <f>(AC21+AB21+AA21+Y21)/AC9</f>
        <v>1.7493658536585366</v>
      </c>
      <c r="AD15" s="1398">
        <f>(AD21+AC21+AB21+AA21)/AD9</f>
        <v>1.7663330300272975</v>
      </c>
      <c r="AE15" s="1397">
        <f>AE21/AE9</f>
        <v>1.7662420382165605</v>
      </c>
      <c r="AF15" s="1398">
        <f>(AF21+AD21+AC21+AB21)/AF9</f>
        <v>1.7877914370495973</v>
      </c>
      <c r="AG15" s="1398">
        <f>(AG21+AF21+AD21+AC21)/AG9</f>
        <v>1.8184021263289556</v>
      </c>
      <c r="AH15" s="1398">
        <f>(AH21+AG21+AF21+AD21)/AH9</f>
        <v>1.8383838383838385</v>
      </c>
      <c r="AI15" s="1398">
        <f>(AI21+AH21+AG21+AF21)/AI9</f>
        <v>1.8531177829099308</v>
      </c>
      <c r="AJ15" s="1397">
        <f>AJ21/AJ9</f>
        <v>1.8531177829099308</v>
      </c>
      <c r="AK15" s="1398">
        <f>(AK21+AI21+AH21+AG21)/AK9</f>
        <v>1.8502559726962458</v>
      </c>
      <c r="AL15" s="1398">
        <f>(AL21+AK21+AI21+AH21)/AL9</f>
        <v>1.8579133659194336</v>
      </c>
      <c r="AM15" s="1398">
        <f>(AM21+AL21+AK21+AI21)/AM9</f>
        <v>1.8484610141051858</v>
      </c>
      <c r="AN15" s="1398">
        <f>(AN21+AM21+AL21+AK21)/AN9</f>
        <v>1.8551503203548545</v>
      </c>
      <c r="AO15" s="1397">
        <f>AO21/AO9</f>
        <v>1.8551503203548545</v>
      </c>
      <c r="AP15" s="1398">
        <f>(AP21+AN21+AM21+AL21)/AP9</f>
        <v>1.8644115974985787</v>
      </c>
      <c r="AQ15" s="1398">
        <f>(AQ21+AP21+AN21+AM21)/AQ9</f>
        <v>1.8893721852265291</v>
      </c>
      <c r="AR15" s="1398">
        <f>(AR21+AQ21+AP21+AN21)/AR9</f>
        <v>1.9358996629955181</v>
      </c>
      <c r="AS15" s="1398">
        <f>(AS21+AR21+AQ21+AP21)/AS9</f>
        <v>1.9554722061934988</v>
      </c>
      <c r="AT15" s="1399">
        <f>AT21/AT9</f>
        <v>1.9554722061934988</v>
      </c>
      <c r="AU15" s="1398">
        <f>(AU21+AS21+AR21+AQ21)/AU9</f>
        <v>1.9829180851384327</v>
      </c>
      <c r="AV15" s="1398">
        <f>(AV21+AU21+AS21+AR21)/AV9</f>
        <v>1.9574468085106382</v>
      </c>
      <c r="AW15" s="1398">
        <f>(AW21+AV21+AU21+AS21)/AW9</f>
        <v>1.9193509738814911</v>
      </c>
      <c r="AX15" s="1398">
        <f>(AX21+AW21+AV21+AU21)/AX9</f>
        <v>1.8936630036630036</v>
      </c>
      <c r="AY15" s="1399">
        <f>AY21/AY9</f>
        <v>1.8936630036630036</v>
      </c>
      <c r="AZ15" s="1398">
        <f>(AZ21+AX21+AW21+AV21)/AZ9</f>
        <v>1.8661811023622048</v>
      </c>
      <c r="BA15" s="1398">
        <f>(BA21+AZ21+AX21+AW21)/BA9</f>
        <v>1.8438983050847457</v>
      </c>
      <c r="BB15" s="1398">
        <f>(BB21+BA21+AZ21+AX21)/BB9</f>
        <v>1.8230088495575221</v>
      </c>
      <c r="BC15" s="1398">
        <f>(BC21+BB21+BA21+AZ21)/BC9</f>
        <v>1.8144796380090498</v>
      </c>
      <c r="BD15" s="1399">
        <f>BD21/BD9</f>
        <v>1.8144796380090498</v>
      </c>
      <c r="BE15" s="1398">
        <f>(BE21+BC21+BB21+BA21)/BE9</f>
        <v>1.8156682027649769</v>
      </c>
      <c r="BF15" s="1398">
        <f>(BF21+BE21+BC21+BB21)/BF9</f>
        <v>1.8211009174311927</v>
      </c>
      <c r="BG15" s="1398">
        <f>(BG21+BF21+BE21+BC21)/BG9</f>
        <v>1.8340807174887892</v>
      </c>
      <c r="BH15" s="1398">
        <f>(BH21+BG21+BF21+BE21)/BH9</f>
        <v>1.8392857142857142</v>
      </c>
      <c r="BI15" s="1399">
        <f>BI21/BI9</f>
        <v>1.8392857142857142</v>
      </c>
      <c r="BJ15" s="1400">
        <f>(BJ21+BH21+BG21+BF21)/BJ9</f>
        <v>1.8430493273542601</v>
      </c>
      <c r="BK15" s="1398">
        <f>(BK21+BJ21+BH21+BG21)/BK9</f>
        <v>1.8623430473106672</v>
      </c>
      <c r="BL15" s="1398">
        <f>(BL21+BK21+BJ21+BH21)/BL9</f>
        <v>1.8337307658489406</v>
      </c>
      <c r="BM15" s="1398">
        <f>(BM21+BL21+BK21+BJ21)/BM9</f>
        <v>1.8404805672268909</v>
      </c>
      <c r="BN15" s="1399">
        <f>BN21/BN9</f>
        <v>1.8404805672268909</v>
      </c>
      <c r="BO15" s="1398">
        <f>(BO21+BM21+BL21+BK21)/BO9</f>
        <v>1.8519334755540076</v>
      </c>
      <c r="BP15" s="1398">
        <f>(BP21+BO21+BM21+BL21)/BP9</f>
        <v>1.8807068584661977</v>
      </c>
      <c r="BQ15" s="1398">
        <f>(BQ21+BP21+BO21+BM21)/BQ9</f>
        <v>1.8605660324785582</v>
      </c>
      <c r="BR15" s="1398">
        <f>(BR21+BQ21+BP21+BO21)/BR9</f>
        <v>1.8772901785714289</v>
      </c>
      <c r="BS15" s="1399">
        <f>BS21/BS9</f>
        <v>1.8772901785714284</v>
      </c>
      <c r="BT15" s="1399">
        <f>BT21/BT9</f>
        <v>1.9336088839285714</v>
      </c>
      <c r="BU15" s="1399">
        <f>BU21/BU9</f>
        <v>1.9916171504464286</v>
      </c>
      <c r="BV15" s="1399">
        <f>BV21/BV9</f>
        <v>2.0513656649598215</v>
      </c>
      <c r="BW15" s="1401"/>
    </row>
    <row r="16" spans="1:75" s="177" customFormat="1" ht="14.25" x14ac:dyDescent="0.45">
      <c r="A16" s="170" t="s">
        <v>2200</v>
      </c>
      <c r="B16" s="491"/>
      <c r="C16" s="417"/>
      <c r="D16" s="417"/>
      <c r="E16" s="417"/>
      <c r="F16" s="417"/>
      <c r="G16" s="378"/>
      <c r="H16" s="378"/>
      <c r="I16" s="378"/>
      <c r="J16" s="378"/>
      <c r="K16" s="417">
        <f>K15/F15-1</f>
        <v>0.15024309381636436</v>
      </c>
      <c r="L16" s="378"/>
      <c r="M16" s="378"/>
      <c r="N16" s="378"/>
      <c r="O16" s="378"/>
      <c r="P16" s="417">
        <f t="shared" ref="P16:BN16" si="14">P15/K15-1</f>
        <v>2.7639263275646586E-2</v>
      </c>
      <c r="Q16" s="378">
        <f t="shared" si="14"/>
        <v>1.3265909085558691E-2</v>
      </c>
      <c r="R16" s="378">
        <f t="shared" si="14"/>
        <v>3.1291661291016348E-2</v>
      </c>
      <c r="S16" s="378">
        <f t="shared" si="14"/>
        <v>2.8722110989936933E-2</v>
      </c>
      <c r="T16" s="378">
        <f t="shared" si="14"/>
        <v>5.0928168969929688E-2</v>
      </c>
      <c r="U16" s="417">
        <f t="shared" si="14"/>
        <v>5.0928168969929688E-2</v>
      </c>
      <c r="V16" s="378">
        <f t="shared" si="14"/>
        <v>4.1465888371773119E-2</v>
      </c>
      <c r="W16" s="378">
        <f t="shared" si="14"/>
        <v>1.5115244977256914E-2</v>
      </c>
      <c r="X16" s="378">
        <f t="shared" si="14"/>
        <v>-3.3498287949863537E-3</v>
      </c>
      <c r="Y16" s="378">
        <f t="shared" si="14"/>
        <v>-3.5618122335679958E-3</v>
      </c>
      <c r="Z16" s="417">
        <f t="shared" si="14"/>
        <v>-3.5618122335679958E-3</v>
      </c>
      <c r="AA16" s="378">
        <f t="shared" si="14"/>
        <v>1.0883535866448968E-2</v>
      </c>
      <c r="AB16" s="378">
        <f t="shared" si="14"/>
        <v>2.4807260986165369E-2</v>
      </c>
      <c r="AC16" s="378">
        <f t="shared" si="14"/>
        <v>3.577540732138873E-2</v>
      </c>
      <c r="AD16" s="378">
        <f t="shared" si="14"/>
        <v>3.6138189542463284E-2</v>
      </c>
      <c r="AE16" s="417">
        <f t="shared" si="14"/>
        <v>3.6084813373622238E-2</v>
      </c>
      <c r="AF16" s="378">
        <f t="shared" si="14"/>
        <v>3.598541817120493E-2</v>
      </c>
      <c r="AG16" s="378">
        <f t="shared" si="14"/>
        <v>4.3976492877655815E-2</v>
      </c>
      <c r="AH16" s="378">
        <f t="shared" si="14"/>
        <v>5.0885859318183346E-2</v>
      </c>
      <c r="AI16" s="378">
        <f t="shared" si="14"/>
        <v>4.9132723788385624E-2</v>
      </c>
      <c r="AJ16" s="417">
        <f t="shared" si="14"/>
        <v>4.918677214878886E-2</v>
      </c>
      <c r="AK16" s="378">
        <f t="shared" si="14"/>
        <v>3.4939498171964622E-2</v>
      </c>
      <c r="AL16" s="378">
        <f t="shared" si="14"/>
        <v>2.1728548937766767E-2</v>
      </c>
      <c r="AM16" s="378">
        <f t="shared" si="14"/>
        <v>5.4815406396340194E-3</v>
      </c>
      <c r="AN16" s="378">
        <f t="shared" si="14"/>
        <v>1.0968204307726381E-3</v>
      </c>
      <c r="AO16" s="417">
        <f t="shared" si="14"/>
        <v>1.0968204307726381E-3</v>
      </c>
      <c r="AP16" s="378">
        <f t="shared" si="14"/>
        <v>7.6506305134120822E-3</v>
      </c>
      <c r="AQ16" s="378">
        <f t="shared" si="14"/>
        <v>1.6932339195227852E-2</v>
      </c>
      <c r="AR16" s="378">
        <f t="shared" si="14"/>
        <v>4.7303485560749037E-2</v>
      </c>
      <c r="AS16" s="378">
        <f t="shared" si="14"/>
        <v>5.4077496975800221E-2</v>
      </c>
      <c r="AT16" s="1394">
        <f t="shared" si="14"/>
        <v>5.4077496975800221E-2</v>
      </c>
      <c r="AU16" s="378">
        <f t="shared" si="14"/>
        <v>6.3562406390761828E-2</v>
      </c>
      <c r="AV16" s="378">
        <f t="shared" si="14"/>
        <v>3.6030287635438585E-2</v>
      </c>
      <c r="AW16" s="378">
        <f t="shared" si="14"/>
        <v>-8.5483196419489094E-3</v>
      </c>
      <c r="AX16" s="378">
        <f t="shared" si="14"/>
        <v>-3.1608325771508849E-2</v>
      </c>
      <c r="AY16" s="1394">
        <f t="shared" si="14"/>
        <v>-3.1608325771508849E-2</v>
      </c>
      <c r="AZ16" s="378">
        <f t="shared" si="14"/>
        <v>-5.8871308729870342E-2</v>
      </c>
      <c r="BA16" s="378">
        <f t="shared" si="14"/>
        <v>-5.8008474576271229E-2</v>
      </c>
      <c r="BB16" s="378">
        <f t="shared" si="14"/>
        <v>-5.0195157443839955E-2</v>
      </c>
      <c r="BC16" s="378">
        <f t="shared" si="14"/>
        <v>-4.1814919286475738E-2</v>
      </c>
      <c r="BD16" s="1394">
        <f t="shared" si="14"/>
        <v>-4.1814919286475738E-2</v>
      </c>
      <c r="BE16" s="378">
        <f t="shared" si="14"/>
        <v>-2.7067522832210034E-2</v>
      </c>
      <c r="BF16" s="378">
        <f t="shared" si="14"/>
        <v>-1.2363690335137623E-2</v>
      </c>
      <c r="BG16" s="378">
        <f t="shared" si="14"/>
        <v>6.0734032826854634E-3</v>
      </c>
      <c r="BH16" s="378">
        <f t="shared" si="14"/>
        <v>1.367117919486982E-2</v>
      </c>
      <c r="BI16" s="1394">
        <f t="shared" si="14"/>
        <v>1.367117919486982E-2</v>
      </c>
      <c r="BJ16" s="1130">
        <f>BJ15/BE15-1</f>
        <v>1.5080467096127981E-2</v>
      </c>
      <c r="BK16" s="378">
        <f t="shared" si="14"/>
        <v>2.2646811873363815E-2</v>
      </c>
      <c r="BL16" s="378">
        <f t="shared" si="14"/>
        <v>-1.9080492832823648E-4</v>
      </c>
      <c r="BM16" s="378">
        <f t="shared" si="14"/>
        <v>6.4962878355245834E-4</v>
      </c>
      <c r="BN16" s="417">
        <f t="shared" si="14"/>
        <v>6.4962878355245834E-4</v>
      </c>
      <c r="BO16" s="378">
        <f>BO15/BJ15-1</f>
        <v>4.8203529161647829E-3</v>
      </c>
      <c r="BP16" s="378">
        <f>BP15/BK15-1</f>
        <v>9.8605953301937888E-3</v>
      </c>
      <c r="BQ16" s="378">
        <f>BQ15/BL15-1</f>
        <v>1.4634245729739925E-2</v>
      </c>
      <c r="BR16" s="378">
        <f>BR15/BM15-1</f>
        <v>2.0000000000000018E-2</v>
      </c>
      <c r="BS16" s="417">
        <f>BS15/BN15-1</f>
        <v>1.9999999999999796E-2</v>
      </c>
      <c r="BT16" s="417">
        <f>BT15/BS15-1</f>
        <v>3.0000000000000027E-2</v>
      </c>
      <c r="BU16" s="417">
        <f>BU15/BT15-1</f>
        <v>3.0000000000000027E-2</v>
      </c>
      <c r="BV16" s="417">
        <f>BV15/BU15-1</f>
        <v>3.0000000000000027E-2</v>
      </c>
      <c r="BW16" s="176"/>
    </row>
    <row r="17" spans="1:75" s="217" customFormat="1" ht="7.5" customHeight="1" x14ac:dyDescent="0.5">
      <c r="A17" s="178"/>
      <c r="B17" s="1387"/>
      <c r="C17" s="840"/>
      <c r="D17" s="840"/>
      <c r="E17" s="840"/>
      <c r="F17" s="840"/>
      <c r="G17" s="247"/>
      <c r="H17" s="247"/>
      <c r="I17" s="247"/>
      <c r="J17" s="247"/>
      <c r="K17" s="840"/>
      <c r="L17" s="247"/>
      <c r="M17" s="247"/>
      <c r="N17" s="247"/>
      <c r="O17" s="247"/>
      <c r="P17" s="840"/>
      <c r="Q17" s="247"/>
      <c r="R17" s="247"/>
      <c r="S17" s="247"/>
      <c r="T17" s="247"/>
      <c r="U17" s="840"/>
      <c r="V17" s="247"/>
      <c r="W17" s="247"/>
      <c r="X17" s="247"/>
      <c r="Y17" s="247"/>
      <c r="Z17" s="840"/>
      <c r="AA17" s="247"/>
      <c r="AB17" s="247"/>
      <c r="AC17" s="247"/>
      <c r="AD17" s="247"/>
      <c r="AE17" s="840"/>
      <c r="AF17" s="247"/>
      <c r="AG17" s="247"/>
      <c r="AH17" s="247"/>
      <c r="AI17" s="247"/>
      <c r="AJ17" s="840"/>
      <c r="AK17" s="247"/>
      <c r="AL17" s="247"/>
      <c r="AM17" s="247"/>
      <c r="AN17" s="247"/>
      <c r="AO17" s="840"/>
      <c r="AP17" s="247"/>
      <c r="AQ17" s="247"/>
      <c r="AR17" s="247"/>
      <c r="AS17" s="247"/>
      <c r="AT17" s="840"/>
      <c r="AU17" s="247"/>
      <c r="AV17" s="247"/>
      <c r="AW17" s="247"/>
      <c r="AX17" s="247"/>
      <c r="AY17" s="840"/>
      <c r="AZ17" s="247"/>
      <c r="BA17" s="247"/>
      <c r="BB17" s="247"/>
      <c r="BC17" s="247"/>
      <c r="BD17" s="840"/>
      <c r="BE17" s="247"/>
      <c r="BF17" s="247"/>
      <c r="BG17" s="247"/>
      <c r="BH17" s="247"/>
      <c r="BI17" s="840"/>
      <c r="BJ17" s="977"/>
      <c r="BK17" s="247"/>
      <c r="BL17" s="247"/>
      <c r="BM17" s="247"/>
      <c r="BN17" s="840"/>
      <c r="BO17" s="247"/>
      <c r="BP17" s="247"/>
      <c r="BQ17" s="247"/>
      <c r="BR17" s="247"/>
      <c r="BS17" s="840"/>
      <c r="BT17" s="840"/>
      <c r="BU17" s="840"/>
      <c r="BV17" s="840"/>
      <c r="BW17" s="161"/>
    </row>
    <row r="18" spans="1:75" hidden="1" outlineLevel="1" x14ac:dyDescent="0.5">
      <c r="A18" s="349" t="s">
        <v>2201</v>
      </c>
      <c r="B18" s="1403"/>
      <c r="C18" s="220"/>
      <c r="D18" s="220"/>
      <c r="E18" s="220"/>
      <c r="F18" s="220"/>
      <c r="G18" s="221"/>
      <c r="H18" s="221"/>
      <c r="I18" s="221"/>
      <c r="J18" s="221"/>
      <c r="K18" s="220"/>
      <c r="L18" s="581">
        <v>577</v>
      </c>
      <c r="M18" s="581">
        <v>560</v>
      </c>
      <c r="N18" s="581">
        <v>654</v>
      </c>
      <c r="O18" s="581">
        <v>856</v>
      </c>
      <c r="P18" s="580">
        <f>SUM(L18,M18,N18,O18)</f>
        <v>2647</v>
      </c>
      <c r="Q18" s="581">
        <v>968</v>
      </c>
      <c r="R18" s="581">
        <v>1109</v>
      </c>
      <c r="S18" s="581">
        <v>1282</v>
      </c>
      <c r="T18" s="581">
        <v>1679</v>
      </c>
      <c r="U18" s="580">
        <f>SUM(Q18,R18,S18,T18)</f>
        <v>5038</v>
      </c>
      <c r="V18" s="581">
        <v>1659</v>
      </c>
      <c r="W18" s="581">
        <v>1687</v>
      </c>
      <c r="X18" s="581">
        <v>1943</v>
      </c>
      <c r="Y18" s="581">
        <v>2739</v>
      </c>
      <c r="Z18" s="580">
        <f>SUM(V18,W18,X18,Y18)</f>
        <v>8028</v>
      </c>
      <c r="AA18" s="581">
        <v>2544</v>
      </c>
      <c r="AB18" s="581">
        <v>2622</v>
      </c>
      <c r="AC18" s="581">
        <v>2880</v>
      </c>
      <c r="AD18" s="581">
        <v>3869</v>
      </c>
      <c r="AE18" s="580">
        <f>SUM(AA18,AB18,AC18,AD18)</f>
        <v>11915</v>
      </c>
      <c r="AF18" s="581">
        <v>3800</v>
      </c>
      <c r="AG18" s="581">
        <v>4300</v>
      </c>
      <c r="AH18" s="581">
        <v>4600</v>
      </c>
      <c r="AI18" s="581">
        <v>5800</v>
      </c>
      <c r="AJ18" s="580">
        <f>SUM(AF18,AG18,AH18,AI18)</f>
        <v>18500</v>
      </c>
      <c r="AK18" s="581">
        <v>5400</v>
      </c>
      <c r="AL18" s="581">
        <v>6200</v>
      </c>
      <c r="AM18" s="581">
        <v>6100</v>
      </c>
      <c r="AN18" s="581">
        <v>7700</v>
      </c>
      <c r="AO18" s="580">
        <f>SUM(AK18,AL18,AM18,AN18)</f>
        <v>25400</v>
      </c>
      <c r="AP18" s="581">
        <v>6900</v>
      </c>
      <c r="AQ18" s="581">
        <v>12700</v>
      </c>
      <c r="AR18" s="581">
        <v>11300</v>
      </c>
      <c r="AS18" s="581">
        <v>11900</v>
      </c>
      <c r="AT18" s="580">
        <f>SUM(AP18,AQ18,AR18,AS18)</f>
        <v>42800</v>
      </c>
      <c r="AU18" s="581">
        <v>10900</v>
      </c>
      <c r="AV18" s="581">
        <v>10500</v>
      </c>
      <c r="AW18" s="581">
        <v>8400</v>
      </c>
      <c r="AX18" s="581">
        <v>9200</v>
      </c>
      <c r="AY18" s="580">
        <f>SUM(AU18,AV18,AW18,AX18)</f>
        <v>39000</v>
      </c>
      <c r="AZ18" s="581">
        <v>8100</v>
      </c>
      <c r="BA18" s="581">
        <v>7800</v>
      </c>
      <c r="BB18" s="581">
        <v>6800</v>
      </c>
      <c r="BC18" s="581">
        <v>8500</v>
      </c>
      <c r="BD18" s="580">
        <f>SUM(AZ18,BA18,BB18,BC18)</f>
        <v>31200</v>
      </c>
      <c r="BE18" s="581">
        <v>7600</v>
      </c>
      <c r="BF18" s="581">
        <v>8300</v>
      </c>
      <c r="BG18" s="581">
        <v>7900</v>
      </c>
      <c r="BH18" s="581">
        <v>9000</v>
      </c>
      <c r="BI18" s="580">
        <f>SUM(BE18,BF18,BG18,BH18)</f>
        <v>32800</v>
      </c>
      <c r="BJ18" s="1404">
        <v>7700</v>
      </c>
      <c r="BK18" s="221"/>
      <c r="BL18" s="221"/>
      <c r="BM18" s="221"/>
      <c r="BN18" s="220"/>
      <c r="BO18" s="221"/>
      <c r="BP18" s="221"/>
      <c r="BQ18" s="221"/>
      <c r="BR18" s="221"/>
      <c r="BS18" s="220"/>
      <c r="BT18" s="220"/>
      <c r="BU18" s="220"/>
      <c r="BV18" s="220"/>
      <c r="BW18" s="168"/>
    </row>
    <row r="19" spans="1:75" hidden="1" outlineLevel="1" x14ac:dyDescent="0.5">
      <c r="A19" s="734" t="s">
        <v>2202</v>
      </c>
      <c r="B19" s="493"/>
      <c r="C19" s="423"/>
      <c r="D19" s="423"/>
      <c r="E19" s="423"/>
      <c r="F19" s="423"/>
      <c r="G19" s="422"/>
      <c r="H19" s="422"/>
      <c r="I19" s="422"/>
      <c r="J19" s="422"/>
      <c r="K19" s="423"/>
      <c r="L19" s="422">
        <f t="shared" ref="L19:BJ19" si="15">L18/L21</f>
        <v>0.50702987697715285</v>
      </c>
      <c r="M19" s="422">
        <f t="shared" si="15"/>
        <v>0.51660516605166051</v>
      </c>
      <c r="N19" s="422">
        <f t="shared" si="15"/>
        <v>0.49771689497716892</v>
      </c>
      <c r="O19" s="422">
        <f t="shared" si="15"/>
        <v>0.50323339212228102</v>
      </c>
      <c r="P19" s="423">
        <f t="shared" si="15"/>
        <v>0.50544204697345807</v>
      </c>
      <c r="Q19" s="422">
        <f t="shared" si="15"/>
        <v>0.53867557039510294</v>
      </c>
      <c r="R19" s="422">
        <f t="shared" si="15"/>
        <v>0.56610515569167941</v>
      </c>
      <c r="S19" s="422">
        <f t="shared" si="15"/>
        <v>0.55187257856220406</v>
      </c>
      <c r="T19" s="422">
        <f t="shared" si="15"/>
        <v>0.54318990617923002</v>
      </c>
      <c r="U19" s="423">
        <f t="shared" si="15"/>
        <v>0.54940021810250816</v>
      </c>
      <c r="V19" s="422">
        <f t="shared" si="15"/>
        <v>0.55373831775700932</v>
      </c>
      <c r="W19" s="422">
        <f t="shared" si="15"/>
        <v>0.57576791808873717</v>
      </c>
      <c r="X19" s="422">
        <f t="shared" si="15"/>
        <v>0.56862745098039214</v>
      </c>
      <c r="Y19" s="422">
        <f t="shared" si="15"/>
        <v>0.58017369201440372</v>
      </c>
      <c r="Z19" s="423">
        <f t="shared" si="15"/>
        <v>0.57081911262798635</v>
      </c>
      <c r="AA19" s="422">
        <f t="shared" si="15"/>
        <v>0.60384524092095893</v>
      </c>
      <c r="AB19" s="422">
        <f t="shared" si="15"/>
        <v>0.61290322580645162</v>
      </c>
      <c r="AC19" s="422">
        <f t="shared" si="15"/>
        <v>0.61029879211697391</v>
      </c>
      <c r="AD19" s="422">
        <f t="shared" si="15"/>
        <v>0.62383102225088682</v>
      </c>
      <c r="AE19" s="423">
        <f t="shared" si="15"/>
        <v>0.61382721137499352</v>
      </c>
      <c r="AF19" s="422">
        <f t="shared" si="15"/>
        <v>0.64538043478260865</v>
      </c>
      <c r="AG19" s="422">
        <f t="shared" si="15"/>
        <v>0.66646001239925601</v>
      </c>
      <c r="AH19" s="422">
        <f t="shared" si="15"/>
        <v>0.66301527817814931</v>
      </c>
      <c r="AI19" s="422">
        <f t="shared" si="15"/>
        <v>0.65864183511242336</v>
      </c>
      <c r="AJ19" s="423">
        <f t="shared" si="15"/>
        <v>0.65873807149978636</v>
      </c>
      <c r="AK19" s="422">
        <f t="shared" si="15"/>
        <v>0.66152149944873206</v>
      </c>
      <c r="AL19" s="422">
        <f t="shared" si="15"/>
        <v>0.67670814232700283</v>
      </c>
      <c r="AM19" s="422">
        <f t="shared" si="15"/>
        <v>0.66878631728977089</v>
      </c>
      <c r="AN19" s="422">
        <f t="shared" si="15"/>
        <v>0.6878070567217508</v>
      </c>
      <c r="AO19" s="423">
        <f t="shared" si="15"/>
        <v>0.67479609999734336</v>
      </c>
      <c r="AP19" s="422">
        <f t="shared" si="15"/>
        <v>0.69866342648845692</v>
      </c>
      <c r="AQ19" s="422">
        <f t="shared" si="15"/>
        <v>0.672242218928647</v>
      </c>
      <c r="AR19" s="422">
        <f t="shared" si="15"/>
        <v>0.71709607818251042</v>
      </c>
      <c r="AS19" s="422">
        <f t="shared" si="15"/>
        <v>0.72239422084623328</v>
      </c>
      <c r="AT19" s="423">
        <f t="shared" si="15"/>
        <v>0.7016508467351924</v>
      </c>
      <c r="AU19" s="422">
        <f t="shared" si="15"/>
        <v>0.74169842133913988</v>
      </c>
      <c r="AV19" s="422">
        <f t="shared" si="15"/>
        <v>0.75621173928700036</v>
      </c>
      <c r="AW19" s="422">
        <f t="shared" si="15"/>
        <v>0.76252723311546844</v>
      </c>
      <c r="AX19" s="422">
        <f t="shared" si="15"/>
        <v>0.76033057851239672</v>
      </c>
      <c r="AY19" s="423">
        <f t="shared" si="15"/>
        <v>0.75439580633305603</v>
      </c>
      <c r="AZ19" s="422">
        <f t="shared" si="15"/>
        <v>0.77884615384615385</v>
      </c>
      <c r="BA19" s="422">
        <f t="shared" si="15"/>
        <v>0.78</v>
      </c>
      <c r="BB19" s="422">
        <f t="shared" si="15"/>
        <v>0.7816091954022989</v>
      </c>
      <c r="BC19" s="422">
        <f t="shared" si="15"/>
        <v>0.77272727272727271</v>
      </c>
      <c r="BD19" s="423">
        <f t="shared" si="15"/>
        <v>0.77805486284289271</v>
      </c>
      <c r="BE19" s="422">
        <f t="shared" si="15"/>
        <v>0.78350515463917525</v>
      </c>
      <c r="BF19" s="422">
        <f t="shared" si="15"/>
        <v>0.80582524271844658</v>
      </c>
      <c r="BG19" s="422">
        <f t="shared" si="15"/>
        <v>0.79797979797979801</v>
      </c>
      <c r="BH19" s="422">
        <f t="shared" si="15"/>
        <v>0.79646017699115046</v>
      </c>
      <c r="BI19" s="423">
        <f t="shared" si="15"/>
        <v>0.79611650485436891</v>
      </c>
      <c r="BJ19" s="1034">
        <f t="shared" si="15"/>
        <v>0.80208333333333337</v>
      </c>
      <c r="BK19" s="422"/>
      <c r="BL19" s="422"/>
      <c r="BM19" s="422"/>
      <c r="BN19" s="423"/>
      <c r="BO19" s="422"/>
      <c r="BP19" s="422"/>
      <c r="BQ19" s="422"/>
      <c r="BR19" s="422"/>
      <c r="BS19" s="423"/>
      <c r="BT19" s="423"/>
      <c r="BU19" s="423"/>
      <c r="BV19" s="423"/>
      <c r="BW19" s="168"/>
    </row>
    <row r="20" spans="1:75" hidden="1" outlineLevel="1" x14ac:dyDescent="0.5">
      <c r="A20" s="351" t="s">
        <v>2203</v>
      </c>
      <c r="B20" s="1405"/>
      <c r="C20" s="576"/>
      <c r="D20" s="576"/>
      <c r="E20" s="576"/>
      <c r="F20" s="576"/>
      <c r="G20" s="578"/>
      <c r="H20" s="578"/>
      <c r="I20" s="578"/>
      <c r="J20" s="578"/>
      <c r="K20" s="576"/>
      <c r="L20" s="1406">
        <v>561</v>
      </c>
      <c r="M20" s="1406">
        <v>524</v>
      </c>
      <c r="N20" s="1406">
        <v>660</v>
      </c>
      <c r="O20" s="1406">
        <v>845</v>
      </c>
      <c r="P20" s="1407">
        <f>SUM(L20,M20,N20,O20)</f>
        <v>2590</v>
      </c>
      <c r="Q20" s="1406">
        <v>829</v>
      </c>
      <c r="R20" s="1406">
        <v>850</v>
      </c>
      <c r="S20" s="1406">
        <v>1041</v>
      </c>
      <c r="T20" s="1406">
        <v>1412</v>
      </c>
      <c r="U20" s="1407">
        <f>SUM(Q20,R20,S20,T20)</f>
        <v>4132</v>
      </c>
      <c r="V20" s="1406">
        <v>1337</v>
      </c>
      <c r="W20" s="1406">
        <v>1243</v>
      </c>
      <c r="X20" s="1406">
        <v>1474</v>
      </c>
      <c r="Y20" s="1406">
        <v>1982</v>
      </c>
      <c r="Z20" s="1407">
        <f>SUM(V20,W20,X20,Y20)</f>
        <v>6036</v>
      </c>
      <c r="AA20" s="1406">
        <v>1669</v>
      </c>
      <c r="AB20" s="1406">
        <v>1656</v>
      </c>
      <c r="AC20" s="1406">
        <v>1839</v>
      </c>
      <c r="AD20" s="1406">
        <v>2333</v>
      </c>
      <c r="AE20" s="1407">
        <f>SUM(AA20,AB20,AC20,AD20)</f>
        <v>7497</v>
      </c>
      <c r="AF20" s="1408">
        <f t="shared" ref="AF20:BJ20" si="16">+AF21-AF18</f>
        <v>2088</v>
      </c>
      <c r="AG20" s="1408">
        <f t="shared" si="16"/>
        <v>2152</v>
      </c>
      <c r="AH20" s="1408">
        <f t="shared" si="16"/>
        <v>2338</v>
      </c>
      <c r="AI20" s="1408">
        <f t="shared" si="16"/>
        <v>3006</v>
      </c>
      <c r="AJ20" s="1407">
        <f t="shared" si="16"/>
        <v>9584</v>
      </c>
      <c r="AK20" s="1408">
        <f t="shared" si="16"/>
        <v>2763</v>
      </c>
      <c r="AL20" s="1408">
        <f t="shared" si="16"/>
        <v>2962</v>
      </c>
      <c r="AM20" s="1408">
        <f t="shared" si="16"/>
        <v>3021</v>
      </c>
      <c r="AN20" s="1408">
        <f t="shared" si="16"/>
        <v>3495</v>
      </c>
      <c r="AO20" s="1407">
        <f t="shared" si="16"/>
        <v>12241</v>
      </c>
      <c r="AP20" s="1408">
        <f t="shared" si="16"/>
        <v>2976</v>
      </c>
      <c r="AQ20" s="1408">
        <f t="shared" si="16"/>
        <v>6192</v>
      </c>
      <c r="AR20" s="1408">
        <f t="shared" si="16"/>
        <v>4458</v>
      </c>
      <c r="AS20" s="1408">
        <f t="shared" si="16"/>
        <v>4573</v>
      </c>
      <c r="AT20" s="1407">
        <f t="shared" si="16"/>
        <v>18199</v>
      </c>
      <c r="AU20" s="1408">
        <f t="shared" si="16"/>
        <v>3796</v>
      </c>
      <c r="AV20" s="1408">
        <f t="shared" si="16"/>
        <v>3385</v>
      </c>
      <c r="AW20" s="1408">
        <f t="shared" si="16"/>
        <v>2616</v>
      </c>
      <c r="AX20" s="1408">
        <f t="shared" si="16"/>
        <v>2900</v>
      </c>
      <c r="AY20" s="1407">
        <f t="shared" si="16"/>
        <v>12697</v>
      </c>
      <c r="AZ20" s="1408">
        <f t="shared" si="16"/>
        <v>2300</v>
      </c>
      <c r="BA20" s="1408">
        <f t="shared" si="16"/>
        <v>2200</v>
      </c>
      <c r="BB20" s="1408">
        <f t="shared" si="16"/>
        <v>1900</v>
      </c>
      <c r="BC20" s="1408">
        <f t="shared" si="16"/>
        <v>2500</v>
      </c>
      <c r="BD20" s="1407">
        <f t="shared" si="16"/>
        <v>8900</v>
      </c>
      <c r="BE20" s="1408">
        <f t="shared" si="16"/>
        <v>2100</v>
      </c>
      <c r="BF20" s="1408">
        <f t="shared" si="16"/>
        <v>2000</v>
      </c>
      <c r="BG20" s="1408">
        <f t="shared" si="16"/>
        <v>2000</v>
      </c>
      <c r="BH20" s="1408">
        <f t="shared" si="16"/>
        <v>2300</v>
      </c>
      <c r="BI20" s="1407">
        <f t="shared" si="16"/>
        <v>8400</v>
      </c>
      <c r="BJ20" s="1409">
        <f t="shared" si="16"/>
        <v>1900</v>
      </c>
      <c r="BK20" s="578"/>
      <c r="BL20" s="578"/>
      <c r="BM20" s="578"/>
      <c r="BN20" s="576"/>
      <c r="BO20" s="578"/>
      <c r="BP20" s="578"/>
      <c r="BQ20" s="578"/>
      <c r="BR20" s="578"/>
      <c r="BS20" s="576"/>
      <c r="BT20" s="576"/>
      <c r="BU20" s="576"/>
      <c r="BV20" s="576"/>
      <c r="BW20" s="168"/>
    </row>
    <row r="21" spans="1:75" collapsed="1" x14ac:dyDescent="0.5">
      <c r="A21" s="1247" t="s">
        <v>2204</v>
      </c>
      <c r="B21" s="1121"/>
      <c r="C21" s="840"/>
      <c r="D21" s="840"/>
      <c r="E21" s="840"/>
      <c r="F21" s="1122">
        <v>1789</v>
      </c>
      <c r="G21" s="1410">
        <v>555</v>
      </c>
      <c r="H21" s="1410">
        <v>703</v>
      </c>
      <c r="I21" s="1410">
        <v>884</v>
      </c>
      <c r="J21" s="1410">
        <v>1172</v>
      </c>
      <c r="K21" s="1122">
        <v>3314</v>
      </c>
      <c r="L21" s="168">
        <f>L18+L20</f>
        <v>1138</v>
      </c>
      <c r="M21" s="168">
        <f>M18+M20</f>
        <v>1084</v>
      </c>
      <c r="N21" s="168">
        <f>N18+N20</f>
        <v>1314</v>
      </c>
      <c r="O21" s="168">
        <f>P21-SUM(L21,M21,N21)</f>
        <v>1701</v>
      </c>
      <c r="P21" s="1123">
        <f>P18+P20</f>
        <v>5237</v>
      </c>
      <c r="Q21" s="168">
        <f>Q18+Q20</f>
        <v>1797</v>
      </c>
      <c r="R21" s="168">
        <f>R18+R20</f>
        <v>1959</v>
      </c>
      <c r="S21" s="168">
        <f>S18+S20</f>
        <v>2323</v>
      </c>
      <c r="T21" s="168">
        <f>U21-SUM(Q21,R21,S21)</f>
        <v>3091</v>
      </c>
      <c r="U21" s="1123">
        <f>U18+U20</f>
        <v>9170</v>
      </c>
      <c r="V21" s="168">
        <f>V18+V20</f>
        <v>2996</v>
      </c>
      <c r="W21" s="168">
        <f>W18+W20</f>
        <v>2930</v>
      </c>
      <c r="X21" s="168">
        <f>X18+X20</f>
        <v>3417</v>
      </c>
      <c r="Y21" s="168">
        <f>Z21-SUM(V21,W21,X21)</f>
        <v>4721</v>
      </c>
      <c r="Z21" s="1123">
        <f>Z18+Z20</f>
        <v>14064</v>
      </c>
      <c r="AA21" s="168">
        <f>AA18+AA20</f>
        <v>4213</v>
      </c>
      <c r="AB21" s="168">
        <f>AB18+AB20</f>
        <v>4278</v>
      </c>
      <c r="AC21" s="168">
        <f>AC18+AC20</f>
        <v>4719</v>
      </c>
      <c r="AD21" s="168">
        <f>AD18+AD20</f>
        <v>6202</v>
      </c>
      <c r="AE21" s="1122">
        <v>19411</v>
      </c>
      <c r="AF21" s="1410">
        <v>5888</v>
      </c>
      <c r="AG21" s="1410">
        <v>6452</v>
      </c>
      <c r="AH21" s="1410">
        <v>6938</v>
      </c>
      <c r="AI21" s="1410">
        <v>8806</v>
      </c>
      <c r="AJ21" s="1122">
        <v>28084</v>
      </c>
      <c r="AK21" s="1410">
        <v>8163</v>
      </c>
      <c r="AL21" s="1410">
        <v>9162</v>
      </c>
      <c r="AM21" s="1410">
        <v>9121</v>
      </c>
      <c r="AN21" s="1410">
        <v>11195</v>
      </c>
      <c r="AO21" s="1122">
        <v>37641</v>
      </c>
      <c r="AP21" s="1410">
        <v>9876</v>
      </c>
      <c r="AQ21" s="1410">
        <v>18892</v>
      </c>
      <c r="AR21" s="1410">
        <v>15758</v>
      </c>
      <c r="AS21" s="1410">
        <v>16473</v>
      </c>
      <c r="AT21" s="1122">
        <v>60999</v>
      </c>
      <c r="AU21" s="1410">
        <v>14696</v>
      </c>
      <c r="AV21" s="1410">
        <v>13885</v>
      </c>
      <c r="AW21" s="1410">
        <v>11016</v>
      </c>
      <c r="AX21" s="1410">
        <v>12100</v>
      </c>
      <c r="AY21" s="1123">
        <f>SUM(AU21,AV21,AW21,AX21)</f>
        <v>51697</v>
      </c>
      <c r="AZ21" s="1410">
        <v>10400</v>
      </c>
      <c r="BA21" s="1410">
        <v>10000</v>
      </c>
      <c r="BB21" s="1410">
        <v>8700</v>
      </c>
      <c r="BC21" s="1410">
        <v>11000</v>
      </c>
      <c r="BD21" s="1123">
        <f>SUM(AZ21,BA21,BB21,BC21)</f>
        <v>40100</v>
      </c>
      <c r="BE21" s="1410">
        <v>9700</v>
      </c>
      <c r="BF21" s="1410">
        <v>10300</v>
      </c>
      <c r="BG21" s="1410">
        <v>9900</v>
      </c>
      <c r="BH21" s="1410">
        <v>11300</v>
      </c>
      <c r="BI21" s="1123">
        <f>SUM(BE21,BF21,BG21,BH21)</f>
        <v>41200</v>
      </c>
      <c r="BJ21" s="1411">
        <v>9600</v>
      </c>
      <c r="BK21" s="247">
        <f>BK13*BK9</f>
        <v>10611.06</v>
      </c>
      <c r="BL21" s="247">
        <f>BL13*BL9</f>
        <v>10198.980000000001</v>
      </c>
      <c r="BM21" s="247">
        <f>BM13*BM9</f>
        <v>11641.26</v>
      </c>
      <c r="BN21" s="840">
        <f>SUM(BJ21,BK21,BL21,BM21)</f>
        <v>42051.3</v>
      </c>
      <c r="BO21" s="247">
        <f>BO13*BO9</f>
        <v>10085.76</v>
      </c>
      <c r="BP21" s="247">
        <f>BP13*BP9</f>
        <v>11147.979636000002</v>
      </c>
      <c r="BQ21" s="247">
        <f>BQ13*BQ9</f>
        <v>10715.048388000001</v>
      </c>
      <c r="BR21" s="247">
        <f>BR13*BR9</f>
        <v>12230.307756000002</v>
      </c>
      <c r="BS21" s="840">
        <f>SUM(BO21,BP21,BQ21,BR21)</f>
        <v>44179.095780000003</v>
      </c>
      <c r="BT21" s="840">
        <f>BT13*BT9</f>
        <v>46869.602713002001</v>
      </c>
      <c r="BU21" s="840">
        <f>BU13*BU9</f>
        <v>49723.961518223827</v>
      </c>
      <c r="BV21" s="840">
        <f>BV13*BV9</f>
        <v>52752.150774683658</v>
      </c>
      <c r="BW21" s="168"/>
    </row>
    <row r="22" spans="1:75" s="177" customFormat="1" ht="14.25" x14ac:dyDescent="0.45">
      <c r="A22" s="523" t="s">
        <v>2205</v>
      </c>
      <c r="B22" s="491"/>
      <c r="C22" s="417"/>
      <c r="D22" s="417"/>
      <c r="E22" s="417"/>
      <c r="F22" s="417"/>
      <c r="G22" s="378"/>
      <c r="H22" s="176">
        <f t="shared" ref="H22:J22" si="17">H21/G21-1</f>
        <v>0.26666666666666661</v>
      </c>
      <c r="I22" s="176">
        <f t="shared" si="17"/>
        <v>0.25746799431009948</v>
      </c>
      <c r="J22" s="176">
        <f t="shared" si="17"/>
        <v>0.32579185520361986</v>
      </c>
      <c r="K22" s="417"/>
      <c r="L22" s="176">
        <f>L21/J21-1</f>
        <v>-2.9010238907849817E-2</v>
      </c>
      <c r="M22" s="176">
        <f t="shared" ref="M22:O22" si="18">M21/L21-1</f>
        <v>-4.7451669595782064E-2</v>
      </c>
      <c r="N22" s="176">
        <f t="shared" si="18"/>
        <v>0.21217712177121761</v>
      </c>
      <c r="O22" s="176">
        <f t="shared" si="18"/>
        <v>0.29452054794520555</v>
      </c>
      <c r="P22" s="417"/>
      <c r="Q22" s="176">
        <f>Q21/O21-1</f>
        <v>5.6437389770723101E-2</v>
      </c>
      <c r="R22" s="176">
        <f t="shared" ref="R22:T22" si="19">R21/Q21-1</f>
        <v>9.0150250417362354E-2</v>
      </c>
      <c r="S22" s="176">
        <f t="shared" si="19"/>
        <v>0.18580908626850423</v>
      </c>
      <c r="T22" s="176">
        <f t="shared" si="19"/>
        <v>0.33060697374085235</v>
      </c>
      <c r="U22" s="417"/>
      <c r="V22" s="176">
        <f>V21/T21-1</f>
        <v>-3.0734390164995129E-2</v>
      </c>
      <c r="W22" s="176">
        <f t="shared" ref="W22:Y22" si="20">W21/V21-1</f>
        <v>-2.2029372496662258E-2</v>
      </c>
      <c r="X22" s="176">
        <f t="shared" si="20"/>
        <v>0.16621160409556324</v>
      </c>
      <c r="Y22" s="176">
        <f t="shared" si="20"/>
        <v>0.38162130523851334</v>
      </c>
      <c r="Z22" s="417"/>
      <c r="AA22" s="176">
        <f>AA21/Y21-1</f>
        <v>-0.10760432111840712</v>
      </c>
      <c r="AB22" s="176">
        <f t="shared" ref="AB22:AD22" si="21">AB21/AA21-1</f>
        <v>1.5428435793971129E-2</v>
      </c>
      <c r="AC22" s="176">
        <f t="shared" si="21"/>
        <v>0.10308555399719488</v>
      </c>
      <c r="AD22" s="176">
        <f t="shared" si="21"/>
        <v>0.3142614960796779</v>
      </c>
      <c r="AE22" s="417"/>
      <c r="AF22" s="176">
        <f>AF21/AD21-1</f>
        <v>-5.0628829409867793E-2</v>
      </c>
      <c r="AG22" s="176">
        <f t="shared" ref="AG22:AI22" si="22">AG21/AF21-1</f>
        <v>9.5788043478260976E-2</v>
      </c>
      <c r="AH22" s="176">
        <f t="shared" si="22"/>
        <v>7.5325480471171824E-2</v>
      </c>
      <c r="AI22" s="176">
        <f t="shared" si="22"/>
        <v>0.26924185644277898</v>
      </c>
      <c r="AJ22" s="417"/>
      <c r="AK22" s="176">
        <f>AK21/AI21-1</f>
        <v>-7.3018396547808284E-2</v>
      </c>
      <c r="AL22" s="176">
        <f t="shared" ref="AL22:AN22" si="23">AL21/AK21-1</f>
        <v>0.12238147739801541</v>
      </c>
      <c r="AM22" s="176">
        <f t="shared" si="23"/>
        <v>-4.4750054573237108E-3</v>
      </c>
      <c r="AN22" s="176">
        <f t="shared" si="23"/>
        <v>0.22738734787852199</v>
      </c>
      <c r="AO22" s="417"/>
      <c r="AP22" s="176">
        <f>AP21/AN21-1</f>
        <v>-0.11782045556051812</v>
      </c>
      <c r="AQ22" s="176">
        <f t="shared" ref="AQ22:AS22" si="24">AQ21/AP21-1</f>
        <v>0.91292021061158368</v>
      </c>
      <c r="AR22" s="176">
        <f t="shared" si="24"/>
        <v>-0.16589032394664405</v>
      </c>
      <c r="AS22" s="176">
        <f t="shared" si="24"/>
        <v>4.5373778398273945E-2</v>
      </c>
      <c r="AT22" s="417"/>
      <c r="AU22" s="176">
        <f>AU21/AS21-1</f>
        <v>-0.10787348995325685</v>
      </c>
      <c r="AV22" s="176">
        <f t="shared" ref="AV22" si="25">AV21/AU21-1</f>
        <v>-5.518508437670111E-2</v>
      </c>
      <c r="AW22" s="176">
        <f>AW21/AV21-1</f>
        <v>-0.20662585523946708</v>
      </c>
      <c r="AX22" s="176">
        <f>AX21/AW21-1</f>
        <v>9.8402323892520016E-2</v>
      </c>
      <c r="AY22" s="417"/>
      <c r="AZ22" s="176">
        <f>AZ21/AX21-1</f>
        <v>-0.14049586776859502</v>
      </c>
      <c r="BA22" s="176">
        <f>BA21/AZ21-1</f>
        <v>-3.8461538461538436E-2</v>
      </c>
      <c r="BB22" s="176">
        <f>BB21/BA21-1</f>
        <v>-0.13</v>
      </c>
      <c r="BC22" s="176">
        <f>BC21/BB21-1</f>
        <v>0.26436781609195403</v>
      </c>
      <c r="BD22" s="417"/>
      <c r="BE22" s="176">
        <f>BE21/BC21-1</f>
        <v>-0.11818181818181817</v>
      </c>
      <c r="BF22" s="176">
        <f>BF21/BE21-1</f>
        <v>6.1855670103092786E-2</v>
      </c>
      <c r="BG22" s="176">
        <f>BG21/BF21-1</f>
        <v>-3.8834951456310662E-2</v>
      </c>
      <c r="BH22" s="176">
        <f>BH21/BG21-1</f>
        <v>0.14141414141414144</v>
      </c>
      <c r="BI22" s="417"/>
      <c r="BJ22" s="1167">
        <f>BJ21/BH21-1</f>
        <v>-0.15044247787610621</v>
      </c>
      <c r="BK22" s="378">
        <f>BK21/BJ21-1</f>
        <v>0.10531874999999991</v>
      </c>
      <c r="BL22" s="378">
        <f>BL21/BK21-1</f>
        <v>-3.8834951456310551E-2</v>
      </c>
      <c r="BM22" s="378">
        <f>BM21/BL21-1</f>
        <v>0.14141414141414121</v>
      </c>
      <c r="BN22" s="417"/>
      <c r="BO22" s="378">
        <f>BO21/BM21-1</f>
        <v>-0.13361955664593006</v>
      </c>
      <c r="BP22" s="378">
        <f>BP21/BO21-1</f>
        <v>0.10531875000000013</v>
      </c>
      <c r="BQ22" s="378">
        <f>BQ21/BP21-1</f>
        <v>-3.8834951456310773E-2</v>
      </c>
      <c r="BR22" s="378">
        <f>BR21/BQ21-1</f>
        <v>0.14141414141414144</v>
      </c>
      <c r="BS22" s="417"/>
      <c r="BT22" s="417"/>
      <c r="BU22" s="417"/>
      <c r="BV22" s="417"/>
      <c r="BW22" s="176"/>
    </row>
    <row r="23" spans="1:75" s="1413" customFormat="1" ht="14.25" x14ac:dyDescent="0.45">
      <c r="A23" s="189" t="s">
        <v>2206</v>
      </c>
      <c r="B23" s="1412"/>
      <c r="C23" s="172"/>
      <c r="D23" s="172"/>
      <c r="E23" s="172"/>
      <c r="F23" s="172"/>
      <c r="G23" s="175"/>
      <c r="H23" s="175"/>
      <c r="I23" s="175"/>
      <c r="J23" s="175"/>
      <c r="K23" s="172">
        <f t="shared" ref="K23:BN23" si="26">K21/F21-1</f>
        <v>0.85243152599217442</v>
      </c>
      <c r="L23" s="175">
        <f t="shared" si="26"/>
        <v>1.0504504504504504</v>
      </c>
      <c r="M23" s="175">
        <f t="shared" si="26"/>
        <v>0.54196301564722615</v>
      </c>
      <c r="N23" s="175">
        <f t="shared" si="26"/>
        <v>0.48642533936651589</v>
      </c>
      <c r="O23" s="175">
        <f t="shared" si="26"/>
        <v>0.45136518771331069</v>
      </c>
      <c r="P23" s="172">
        <f t="shared" si="26"/>
        <v>0.5802655401327701</v>
      </c>
      <c r="Q23" s="175">
        <f t="shared" si="26"/>
        <v>0.57908611599297011</v>
      </c>
      <c r="R23" s="175">
        <f t="shared" si="26"/>
        <v>0.80719557195571956</v>
      </c>
      <c r="S23" s="175">
        <f t="shared" si="26"/>
        <v>0.76788432267884321</v>
      </c>
      <c r="T23" s="175">
        <f t="shared" si="26"/>
        <v>0.81716637272192827</v>
      </c>
      <c r="U23" s="172">
        <f t="shared" si="26"/>
        <v>0.75100248233721589</v>
      </c>
      <c r="V23" s="175">
        <f t="shared" si="26"/>
        <v>0.66722314969393426</v>
      </c>
      <c r="W23" s="175">
        <f t="shared" si="26"/>
        <v>0.49566105155691687</v>
      </c>
      <c r="X23" s="175">
        <f t="shared" si="26"/>
        <v>0.47094274644855783</v>
      </c>
      <c r="Y23" s="175">
        <f t="shared" si="26"/>
        <v>0.52733743125202204</v>
      </c>
      <c r="Z23" s="172">
        <f t="shared" si="26"/>
        <v>0.53369683751363151</v>
      </c>
      <c r="AA23" s="175">
        <f t="shared" si="26"/>
        <v>0.4062082777036049</v>
      </c>
      <c r="AB23" s="175">
        <f t="shared" si="26"/>
        <v>0.46006825938566553</v>
      </c>
      <c r="AC23" s="175">
        <f t="shared" si="26"/>
        <v>0.38103599648814757</v>
      </c>
      <c r="AD23" s="175">
        <f t="shared" si="26"/>
        <v>0.31370472357551371</v>
      </c>
      <c r="AE23" s="172">
        <f t="shared" si="26"/>
        <v>0.38019055745164954</v>
      </c>
      <c r="AF23" s="175">
        <f t="shared" si="26"/>
        <v>0.39757892238309989</v>
      </c>
      <c r="AG23" s="175">
        <f t="shared" si="26"/>
        <v>0.5081813931743806</v>
      </c>
      <c r="AH23" s="175">
        <f t="shared" si="26"/>
        <v>0.47022674295401568</v>
      </c>
      <c r="AI23" s="175">
        <f t="shared" si="26"/>
        <v>0.41986455981941306</v>
      </c>
      <c r="AJ23" s="172">
        <f t="shared" si="26"/>
        <v>0.44680851063829796</v>
      </c>
      <c r="AK23" s="175">
        <f t="shared" si="26"/>
        <v>0.38637907608695654</v>
      </c>
      <c r="AL23" s="175">
        <f t="shared" si="26"/>
        <v>0.42002479851208929</v>
      </c>
      <c r="AM23" s="175">
        <f t="shared" si="26"/>
        <v>0.31464398962236961</v>
      </c>
      <c r="AN23" s="175">
        <f t="shared" si="26"/>
        <v>0.27129230070406551</v>
      </c>
      <c r="AO23" s="172">
        <f t="shared" si="26"/>
        <v>0.3403005269904571</v>
      </c>
      <c r="AP23" s="175">
        <f t="shared" si="26"/>
        <v>0.20984932010290325</v>
      </c>
      <c r="AQ23" s="175">
        <f t="shared" si="26"/>
        <v>1.061995197555119</v>
      </c>
      <c r="AR23" s="175">
        <f t="shared" si="26"/>
        <v>0.72766144063150962</v>
      </c>
      <c r="AS23" s="461">
        <f t="shared" si="26"/>
        <v>0.47146047342563646</v>
      </c>
      <c r="AT23" s="1226">
        <f t="shared" si="26"/>
        <v>0.62054674424165146</v>
      </c>
      <c r="AU23" s="175">
        <f t="shared" si="26"/>
        <v>0.48805184285135672</v>
      </c>
      <c r="AV23" s="175">
        <f t="shared" si="26"/>
        <v>-0.26503281812407364</v>
      </c>
      <c r="AW23" s="175">
        <f t="shared" si="26"/>
        <v>-0.30092651351694377</v>
      </c>
      <c r="AX23" s="461">
        <f t="shared" si="26"/>
        <v>-0.26546469981181331</v>
      </c>
      <c r="AY23" s="1226">
        <f t="shared" si="26"/>
        <v>-0.15249430318529811</v>
      </c>
      <c r="AZ23" s="175">
        <f t="shared" si="26"/>
        <v>-0.29232444202504082</v>
      </c>
      <c r="BA23" s="175">
        <f t="shared" si="26"/>
        <v>-0.27979834353619015</v>
      </c>
      <c r="BB23" s="175">
        <f t="shared" si="26"/>
        <v>-0.210239651416122</v>
      </c>
      <c r="BC23" s="461">
        <f t="shared" si="26"/>
        <v>-9.0909090909090939E-2</v>
      </c>
      <c r="BD23" s="1226">
        <f t="shared" si="26"/>
        <v>-0.22432636323190902</v>
      </c>
      <c r="BE23" s="175">
        <f t="shared" si="26"/>
        <v>-6.7307692307692291E-2</v>
      </c>
      <c r="BF23" s="175">
        <f t="shared" si="26"/>
        <v>3.0000000000000027E-2</v>
      </c>
      <c r="BG23" s="175">
        <f t="shared" si="26"/>
        <v>0.13793103448275867</v>
      </c>
      <c r="BH23" s="461">
        <f>BH21/BC21-1</f>
        <v>2.7272727272727337E-2</v>
      </c>
      <c r="BI23" s="1226">
        <f t="shared" si="26"/>
        <v>2.7431421446383997E-2</v>
      </c>
      <c r="BJ23" s="1111">
        <f>BJ21/BE21-1</f>
        <v>-1.0309278350515427E-2</v>
      </c>
      <c r="BK23" s="175">
        <f t="shared" si="26"/>
        <v>3.0200000000000005E-2</v>
      </c>
      <c r="BL23" s="175">
        <f t="shared" si="26"/>
        <v>3.0200000000000227E-2</v>
      </c>
      <c r="BM23" s="175">
        <f t="shared" si="26"/>
        <v>3.0200000000000005E-2</v>
      </c>
      <c r="BN23" s="172">
        <f t="shared" si="26"/>
        <v>2.0662621359223365E-2</v>
      </c>
      <c r="BO23" s="175">
        <f>BO21/BJ21-1</f>
        <v>5.0599999999999978E-2</v>
      </c>
      <c r="BP23" s="175">
        <f>BP21/BK21-1</f>
        <v>5.06000000000002E-2</v>
      </c>
      <c r="BQ23" s="175">
        <f>BQ21/BL21-1</f>
        <v>5.0599999999999978E-2</v>
      </c>
      <c r="BR23" s="175">
        <f>BR21/BM21-1</f>
        <v>5.06000000000002E-2</v>
      </c>
      <c r="BS23" s="172">
        <f>BS21/BN21-1</f>
        <v>5.0599999999999978E-2</v>
      </c>
      <c r="BT23" s="172">
        <f>BT21/BS21-1</f>
        <v>6.0899999999999954E-2</v>
      </c>
      <c r="BU23" s="172">
        <f>BU21/BT21-1</f>
        <v>6.0900000000000176E-2</v>
      </c>
      <c r="BV23" s="172">
        <f>BV21/BU21-1</f>
        <v>6.0899999999999954E-2</v>
      </c>
      <c r="BW23" s="176"/>
    </row>
    <row r="24" spans="1:75" s="217" customFormat="1" x14ac:dyDescent="0.5">
      <c r="A24" s="640" t="s">
        <v>2207</v>
      </c>
      <c r="B24" s="1414"/>
      <c r="C24" s="213"/>
      <c r="D24" s="213"/>
      <c r="E24" s="213"/>
      <c r="F24" s="213"/>
      <c r="G24" s="214"/>
      <c r="H24" s="214"/>
      <c r="I24" s="214"/>
      <c r="J24" s="214"/>
      <c r="K24" s="213"/>
      <c r="L24" s="341">
        <v>0.27600000000000002</v>
      </c>
      <c r="M24" s="341">
        <v>0.28199999999999997</v>
      </c>
      <c r="N24" s="341">
        <v>0.28699999999999998</v>
      </c>
      <c r="O24" s="341">
        <v>0.29699999999999999</v>
      </c>
      <c r="P24" s="1415">
        <v>0.28999999999999998</v>
      </c>
      <c r="Q24" s="341">
        <v>0.33800000000000002</v>
      </c>
      <c r="R24" s="341">
        <v>0.34100000000000003</v>
      </c>
      <c r="S24" s="341">
        <v>0.35099999999999998</v>
      </c>
      <c r="T24" s="341">
        <v>0.36399999999999999</v>
      </c>
      <c r="U24" s="213">
        <f>SUM(Q24*Q21,R24*R21,S24*S21,T24*T21)/U21</f>
        <v>0.3506981461286805</v>
      </c>
      <c r="V24" s="341">
        <v>0.38600000000000001</v>
      </c>
      <c r="W24" s="341">
        <v>0.38400000000000001</v>
      </c>
      <c r="X24" s="341">
        <v>0.40300000000000002</v>
      </c>
      <c r="Y24" s="341">
        <v>0.433</v>
      </c>
      <c r="Z24" s="213">
        <f>SUM(V24*V21,W24*W21,X24*X21,Y24*Y21)/Z21</f>
        <v>0.40549061433447103</v>
      </c>
      <c r="AA24" s="341">
        <v>0.44600000000000001</v>
      </c>
      <c r="AB24" s="341">
        <v>0.441</v>
      </c>
      <c r="AC24" s="341">
        <v>0.45400000000000001</v>
      </c>
      <c r="AD24" s="341">
        <v>0.47299999999999998</v>
      </c>
      <c r="AE24" s="213">
        <f>SUM(AA24*AA21,AB24*AB21,AC24*AC21,AD24*AD21)/AE21</f>
        <v>0.45549265880171036</v>
      </c>
      <c r="AF24" s="341">
        <v>0.49199999999999999</v>
      </c>
      <c r="AG24" s="341">
        <v>0.49199999999999999</v>
      </c>
      <c r="AH24" s="341">
        <v>0.49399999999999999</v>
      </c>
      <c r="AI24" s="341">
        <v>0.51800000000000002</v>
      </c>
      <c r="AJ24" s="213">
        <f>SUM(AF24*AF21,AG24*AG21,AH24*AH21,AI24*AI21)/AJ21</f>
        <v>0.50064663153396949</v>
      </c>
      <c r="AK24" s="341">
        <v>0.53400000000000003</v>
      </c>
      <c r="AL24" s="341">
        <v>0.53500000000000003</v>
      </c>
      <c r="AM24" s="341">
        <v>0.53800000000000003</v>
      </c>
      <c r="AN24" s="341">
        <v>0.54800000000000004</v>
      </c>
      <c r="AO24" s="213">
        <f>SUM(AK24*AK21,AL24*AL21,AM24*AM21,AN24*AN21)/AO21</f>
        <v>0.53937647777689213</v>
      </c>
      <c r="AP24" s="341">
        <v>0.54800000000000004</v>
      </c>
      <c r="AQ24" s="341">
        <v>0.60599999999999998</v>
      </c>
      <c r="AR24" s="341">
        <v>0.6</v>
      </c>
      <c r="AS24" s="341">
        <v>0.59899999999999998</v>
      </c>
      <c r="AT24" s="213">
        <f>SUM(AP24*AP21,AQ24*AQ21,AR24*AR21,AS24*AS21)/AT21</f>
        <v>0.59316918310136235</v>
      </c>
      <c r="AU24" s="341">
        <v>0.6</v>
      </c>
      <c r="AV24" s="341">
        <v>0.59399999999999997</v>
      </c>
      <c r="AW24" s="341">
        <v>0.57699999999999996</v>
      </c>
      <c r="AX24" s="341">
        <v>0.59</v>
      </c>
      <c r="AY24" s="213">
        <f>SUM(AU24*AU21,AV24*AV21,AW24*AW21,AX24*AX21)/AY21</f>
        <v>0.59114691374741279</v>
      </c>
      <c r="AZ24" s="341">
        <v>0.59399999999999997</v>
      </c>
      <c r="BA24" s="341">
        <v>0.59</v>
      </c>
      <c r="BB24" s="341">
        <v>0.58599999999999997</v>
      </c>
      <c r="BC24" s="341">
        <v>0.61699999999999999</v>
      </c>
      <c r="BD24" s="213">
        <f>SUM(AZ24*AZ21,BA24*BA21,BB24*BB21,BC24*BC21)/BD21</f>
        <v>0.5975760598503741</v>
      </c>
      <c r="BE24" s="341">
        <v>0.621</v>
      </c>
      <c r="BF24" s="341">
        <v>0.61599999999999999</v>
      </c>
      <c r="BG24" s="341">
        <v>0.61699999999999999</v>
      </c>
      <c r="BH24" s="341">
        <v>0.628</v>
      </c>
      <c r="BI24" s="213">
        <f>SUM(BE24*BE21,BF24*BF21,BG24*BG21,BH24*BH21)/BI21</f>
        <v>0.62070873786407765</v>
      </c>
      <c r="BJ24" s="1416">
        <v>0.63100000000000001</v>
      </c>
      <c r="BK24" s="214"/>
      <c r="BL24" s="214"/>
      <c r="BM24" s="214"/>
      <c r="BN24" s="213"/>
      <c r="BO24" s="214"/>
      <c r="BP24" s="214"/>
      <c r="BQ24" s="214"/>
      <c r="BR24" s="214"/>
      <c r="BS24" s="213"/>
      <c r="BT24" s="213"/>
      <c r="BU24" s="213"/>
      <c r="BV24" s="213"/>
      <c r="BW24" s="216"/>
    </row>
    <row r="25" spans="1:75" s="217" customFormat="1" ht="7.5" customHeight="1" x14ac:dyDescent="0.5">
      <c r="A25" s="640"/>
      <c r="B25" s="1414"/>
      <c r="C25" s="213"/>
      <c r="D25" s="213"/>
      <c r="E25" s="213"/>
      <c r="F25" s="213"/>
      <c r="G25" s="214"/>
      <c r="H25" s="214"/>
      <c r="I25" s="214"/>
      <c r="J25" s="214"/>
      <c r="K25" s="213"/>
      <c r="L25" s="214"/>
      <c r="M25" s="214"/>
      <c r="N25" s="214"/>
      <c r="O25" s="214"/>
      <c r="P25" s="213"/>
      <c r="Q25" s="214"/>
      <c r="R25" s="214"/>
      <c r="S25" s="214"/>
      <c r="T25" s="214"/>
      <c r="U25" s="213"/>
      <c r="V25" s="214"/>
      <c r="W25" s="214"/>
      <c r="X25" s="214"/>
      <c r="Y25" s="214"/>
      <c r="Z25" s="213"/>
      <c r="AA25" s="214"/>
      <c r="AB25" s="214"/>
      <c r="AC25" s="214"/>
      <c r="AD25" s="214"/>
      <c r="AE25" s="213"/>
      <c r="AF25" s="214"/>
      <c r="AG25" s="214"/>
      <c r="AH25" s="214"/>
      <c r="AI25" s="214"/>
      <c r="AJ25" s="213"/>
      <c r="AK25" s="214"/>
      <c r="AL25" s="214"/>
      <c r="AM25" s="214"/>
      <c r="AN25" s="214"/>
      <c r="AO25" s="213"/>
      <c r="AP25" s="214"/>
      <c r="AQ25" s="214"/>
      <c r="AR25" s="214"/>
      <c r="AS25" s="214"/>
      <c r="AT25" s="213"/>
      <c r="AU25" s="214"/>
      <c r="AV25" s="214"/>
      <c r="AW25" s="214"/>
      <c r="AX25" s="214"/>
      <c r="AY25" s="213"/>
      <c r="AZ25" s="214"/>
      <c r="BA25" s="214"/>
      <c r="BB25" s="214"/>
      <c r="BC25" s="214"/>
      <c r="BD25" s="213"/>
      <c r="BE25" s="214"/>
      <c r="BF25" s="214"/>
      <c r="BG25" s="214"/>
      <c r="BH25" s="214"/>
      <c r="BI25" s="213"/>
      <c r="BJ25" s="1117"/>
      <c r="BK25" s="214"/>
      <c r="BL25" s="214"/>
      <c r="BM25" s="214"/>
      <c r="BN25" s="213"/>
      <c r="BO25" s="214"/>
      <c r="BP25" s="214"/>
      <c r="BQ25" s="214"/>
      <c r="BR25" s="214"/>
      <c r="BS25" s="213"/>
      <c r="BT25" s="213"/>
      <c r="BU25" s="213"/>
      <c r="BV25" s="213"/>
      <c r="BW25" s="216"/>
    </row>
    <row r="26" spans="1:75" x14ac:dyDescent="0.5">
      <c r="A26" s="1417" t="s">
        <v>2208</v>
      </c>
      <c r="B26" s="1418"/>
      <c r="C26" s="1419"/>
      <c r="D26" s="1419"/>
      <c r="E26" s="1419"/>
      <c r="F26" s="1420">
        <f t="shared" ref="F26:AR26" si="27">F28/F21*1000</f>
        <v>217.60201229737282</v>
      </c>
      <c r="G26" s="1421">
        <f t="shared" si="27"/>
        <v>217.32792792792793</v>
      </c>
      <c r="H26" s="1421">
        <f t="shared" si="27"/>
        <v>210.16785206258891</v>
      </c>
      <c r="I26" s="1421">
        <f t="shared" si="27"/>
        <v>205.53506787330318</v>
      </c>
      <c r="J26" s="1421">
        <f t="shared" si="27"/>
        <v>190.60409556313996</v>
      </c>
      <c r="K26" s="1420">
        <f t="shared" si="27"/>
        <v>203.21243210621606</v>
      </c>
      <c r="L26" s="1421">
        <f t="shared" si="27"/>
        <v>198.59402460456943</v>
      </c>
      <c r="M26" s="1421">
        <f t="shared" si="27"/>
        <v>224.66236162361622</v>
      </c>
      <c r="N26" s="1421">
        <f t="shared" si="27"/>
        <v>217.27701674277017</v>
      </c>
      <c r="O26" s="1421">
        <f t="shared" si="27"/>
        <v>203.79188712522037</v>
      </c>
      <c r="P26" s="1420">
        <f t="shared" si="27"/>
        <v>210.36585831582966</v>
      </c>
      <c r="Q26" s="1421">
        <f t="shared" si="27"/>
        <v>205.56260434056762</v>
      </c>
      <c r="R26" s="1421">
        <f t="shared" si="27"/>
        <v>224.7559979581419</v>
      </c>
      <c r="S26" s="1421">
        <f t="shared" si="27"/>
        <v>234.59793370641412</v>
      </c>
      <c r="T26" s="1421">
        <f t="shared" si="27"/>
        <v>221.79682950501459</v>
      </c>
      <c r="U26" s="1420">
        <f t="shared" si="27"/>
        <v>222.49051254089423</v>
      </c>
      <c r="V26" s="1421">
        <f t="shared" si="27"/>
        <v>237.59879839786382</v>
      </c>
      <c r="W26" s="1421">
        <f t="shared" si="27"/>
        <v>257.90341296928324</v>
      </c>
      <c r="X26" s="1421">
        <f t="shared" si="27"/>
        <v>243.60491659350308</v>
      </c>
      <c r="Y26" s="1421">
        <f t="shared" si="27"/>
        <v>203.13662359669556</v>
      </c>
      <c r="Z26" s="1420">
        <f t="shared" si="27"/>
        <v>231.71992320819112</v>
      </c>
      <c r="AA26" s="1421">
        <f t="shared" si="27"/>
        <v>223.20246854972703</v>
      </c>
      <c r="AB26" s="1421">
        <f t="shared" si="27"/>
        <v>257.70476858345023</v>
      </c>
      <c r="AC26" s="1421">
        <f t="shared" si="27"/>
        <v>250.3121424030515</v>
      </c>
      <c r="AD26" s="1421">
        <f t="shared" si="27"/>
        <v>228.83053853595621</v>
      </c>
      <c r="AE26" s="1420">
        <f t="shared" si="27"/>
        <v>239.20678996445315</v>
      </c>
      <c r="AF26" s="1421">
        <f t="shared" si="27"/>
        <v>235.88485054347828</v>
      </c>
      <c r="AG26" s="1421">
        <f t="shared" si="27"/>
        <v>254.32749535027898</v>
      </c>
      <c r="AH26" s="1421">
        <f t="shared" si="27"/>
        <v>243.94004035745169</v>
      </c>
      <c r="AI26" s="1421">
        <f t="shared" si="27"/>
        <v>226.64228934817169</v>
      </c>
      <c r="AJ26" s="1420">
        <f t="shared" si="27"/>
        <v>239.21375160233586</v>
      </c>
      <c r="AK26" s="1421">
        <f t="shared" si="27"/>
        <v>236.57736126424109</v>
      </c>
      <c r="AL26" s="1421">
        <f t="shared" si="27"/>
        <v>254.50327439423708</v>
      </c>
      <c r="AM26" s="1421">
        <f t="shared" si="27"/>
        <v>252.1302488762197</v>
      </c>
      <c r="AN26" s="1421">
        <f t="shared" si="27"/>
        <v>225.60553818669035</v>
      </c>
      <c r="AO26" s="1420">
        <f t="shared" si="27"/>
        <v>241.44613586249037</v>
      </c>
      <c r="AP26" s="1421">
        <f t="shared" si="27"/>
        <v>235.17436208991492</v>
      </c>
      <c r="AQ26" s="1421">
        <f t="shared" si="27"/>
        <v>227.30446749947066</v>
      </c>
      <c r="AR26" s="1421">
        <f t="shared" si="27"/>
        <v>242.87758598806954</v>
      </c>
      <c r="AS26" s="1422">
        <v>223</v>
      </c>
      <c r="AT26" s="1420">
        <f t="shared" ref="AT26:BE26" si="28">AT28/AT21*1000</f>
        <v>231.43923670879849</v>
      </c>
      <c r="AU26" s="1421">
        <f t="shared" si="28"/>
        <v>236.63023952095807</v>
      </c>
      <c r="AV26" s="1421">
        <f t="shared" si="28"/>
        <v>277.82686352178609</v>
      </c>
      <c r="AW26" s="1421">
        <f t="shared" si="28"/>
        <v>283.32271241830063</v>
      </c>
      <c r="AX26" s="1421">
        <f t="shared" si="28"/>
        <v>268.74157024793385</v>
      </c>
      <c r="AY26" s="1420">
        <f t="shared" si="28"/>
        <v>265.16045418496236</v>
      </c>
      <c r="AZ26" s="1421">
        <f t="shared" si="28"/>
        <v>287.78846153846155</v>
      </c>
      <c r="BA26" s="1421">
        <f t="shared" si="28"/>
        <v>328.40000000000003</v>
      </c>
      <c r="BB26" s="1421">
        <f t="shared" si="28"/>
        <v>326.43678160919541</v>
      </c>
      <c r="BC26" s="1421">
        <f t="shared" si="28"/>
        <v>281.90909090909088</v>
      </c>
      <c r="BD26" s="1420">
        <f t="shared" si="28"/>
        <v>304.68827930174564</v>
      </c>
      <c r="BE26" s="1421">
        <f t="shared" si="28"/>
        <v>285.97938144329896</v>
      </c>
      <c r="BF26" s="1421">
        <f>BF28/BF21*1000</f>
        <v>307.86407766990294</v>
      </c>
      <c r="BG26" s="1421">
        <f>BG28/BG21*1000</f>
        <v>297.37373737373741</v>
      </c>
      <c r="BH26" s="1421">
        <f>BH28/BH21*1000</f>
        <v>275.57522123893807</v>
      </c>
      <c r="BI26" s="1420">
        <f>BI28/BI21*1000</f>
        <v>291.33495145631065</v>
      </c>
      <c r="BJ26" s="1423">
        <f>BJ28/BJ21*1000</f>
        <v>284.27083333333331</v>
      </c>
      <c r="BK26" s="1424">
        <f>BF26*(1+BK27)</f>
        <v>303.2461165048544</v>
      </c>
      <c r="BL26" s="1424">
        <f>BG26*(1+BL27)</f>
        <v>292.91313131313137</v>
      </c>
      <c r="BM26" s="1424">
        <f>BH26*(1+BM27)</f>
        <v>271.44159292035397</v>
      </c>
      <c r="BN26" s="1419">
        <f>BN28/BN21*1000</f>
        <v>287.60347630156497</v>
      </c>
      <c r="BO26" s="1424">
        <f>BJ26*(1+BO27)</f>
        <v>287.11354166666666</v>
      </c>
      <c r="BP26" s="1424">
        <f>BK26*(1+BP27)</f>
        <v>306.27857766990297</v>
      </c>
      <c r="BQ26" s="1424">
        <f>BL26*(1+BQ27)</f>
        <v>295.84226262626271</v>
      </c>
      <c r="BR26" s="1424">
        <f>BM26*(1+BR27)</f>
        <v>274.15600884955751</v>
      </c>
      <c r="BS26" s="1419">
        <f>BS28/BS21*1000</f>
        <v>290.47951106458072</v>
      </c>
      <c r="BT26" s="1419">
        <f>BS26*(1+BT27)</f>
        <v>293.38430617522653</v>
      </c>
      <c r="BU26" s="1419">
        <f>BT26*(1+BU27)</f>
        <v>296.3181492369788</v>
      </c>
      <c r="BV26" s="1419">
        <f>BU26*(1+BV27)</f>
        <v>299.28133072934861</v>
      </c>
      <c r="BW26" s="1421"/>
    </row>
    <row r="27" spans="1:75" s="177" customFormat="1" ht="14.25" x14ac:dyDescent="0.45">
      <c r="A27" s="523" t="s">
        <v>2209</v>
      </c>
      <c r="B27" s="491"/>
      <c r="C27" s="417"/>
      <c r="D27" s="417"/>
      <c r="E27" s="417"/>
      <c r="F27" s="417"/>
      <c r="G27" s="378"/>
      <c r="H27" s="378"/>
      <c r="I27" s="378"/>
      <c r="J27" s="378"/>
      <c r="K27" s="1168">
        <f t="shared" ref="K27:BJ27" si="29">K26/F26-1</f>
        <v>-6.612797390628955E-2</v>
      </c>
      <c r="L27" s="176">
        <f t="shared" si="29"/>
        <v>-8.6201085621960161E-2</v>
      </c>
      <c r="M27" s="176">
        <f t="shared" si="29"/>
        <v>6.8966349604747235E-2</v>
      </c>
      <c r="N27" s="176">
        <f t="shared" si="29"/>
        <v>5.7128688505384551E-2</v>
      </c>
      <c r="O27" s="176">
        <f t="shared" si="29"/>
        <v>6.9189444870620731E-2</v>
      </c>
      <c r="P27" s="1168">
        <f t="shared" si="29"/>
        <v>3.5201715443642811E-2</v>
      </c>
      <c r="Q27" s="176">
        <f t="shared" si="29"/>
        <v>3.5089574068875917E-2</v>
      </c>
      <c r="R27" s="176">
        <f t="shared" si="29"/>
        <v>4.1678692349256252E-4</v>
      </c>
      <c r="S27" s="176">
        <f t="shared" si="29"/>
        <v>7.971812768466835E-2</v>
      </c>
      <c r="T27" s="176">
        <f t="shared" si="29"/>
        <v>8.8349652352603503E-2</v>
      </c>
      <c r="U27" s="1168">
        <f t="shared" si="29"/>
        <v>5.7636036199664176E-2</v>
      </c>
      <c r="V27" s="176">
        <f t="shared" si="29"/>
        <v>0.15584641068382243</v>
      </c>
      <c r="W27" s="176">
        <f t="shared" si="29"/>
        <v>0.14748178163109427</v>
      </c>
      <c r="X27" s="176">
        <f t="shared" si="29"/>
        <v>3.8393274590221571E-2</v>
      </c>
      <c r="Y27" s="176">
        <f t="shared" si="29"/>
        <v>-8.4131977675078295E-2</v>
      </c>
      <c r="Z27" s="1168">
        <f t="shared" si="29"/>
        <v>4.1482266195959738E-2</v>
      </c>
      <c r="AA27" s="176">
        <f t="shared" si="29"/>
        <v>-6.0590920262272752E-2</v>
      </c>
      <c r="AB27" s="176">
        <f t="shared" si="29"/>
        <v>-7.702278288835851E-4</v>
      </c>
      <c r="AC27" s="176">
        <f t="shared" si="29"/>
        <v>2.7533211986606076E-2</v>
      </c>
      <c r="AD27" s="176">
        <f t="shared" si="29"/>
        <v>0.12648588169050679</v>
      </c>
      <c r="AE27" s="1168">
        <f t="shared" si="29"/>
        <v>3.2309982899206169E-2</v>
      </c>
      <c r="AF27" s="176">
        <f t="shared" si="29"/>
        <v>5.6820079437991389E-2</v>
      </c>
      <c r="AG27" s="176">
        <f t="shared" si="29"/>
        <v>-1.3105202716020448E-2</v>
      </c>
      <c r="AH27" s="176">
        <f t="shared" si="29"/>
        <v>-2.5456623815473867E-2</v>
      </c>
      <c r="AI27" s="176">
        <f t="shared" si="29"/>
        <v>-9.5627498050950832E-3</v>
      </c>
      <c r="AJ27" s="1168">
        <f t="shared" si="29"/>
        <v>2.9103011180087179E-5</v>
      </c>
      <c r="AK27" s="176">
        <f t="shared" si="29"/>
        <v>2.9357999005330537E-3</v>
      </c>
      <c r="AL27" s="176">
        <f t="shared" si="29"/>
        <v>6.9115234165306738E-4</v>
      </c>
      <c r="AM27" s="176">
        <f t="shared" si="29"/>
        <v>3.3574678870949892E-2</v>
      </c>
      <c r="AN27" s="176">
        <f t="shared" si="29"/>
        <v>-4.574394145342664E-3</v>
      </c>
      <c r="AO27" s="1168">
        <f t="shared" si="29"/>
        <v>9.3321736112628173E-3</v>
      </c>
      <c r="AP27" s="176">
        <f t="shared" si="29"/>
        <v>-5.9304033438732917E-3</v>
      </c>
      <c r="AQ27" s="176">
        <f t="shared" si="29"/>
        <v>-0.10687016487117662</v>
      </c>
      <c r="AR27" s="176">
        <f t="shared" si="29"/>
        <v>-3.6697948498407462E-2</v>
      </c>
      <c r="AS27" s="176">
        <f t="shared" si="29"/>
        <v>-1.1549087879811903E-2</v>
      </c>
      <c r="AT27" s="1168">
        <f t="shared" si="29"/>
        <v>-4.1445679459500839E-2</v>
      </c>
      <c r="AU27" s="176">
        <f t="shared" si="29"/>
        <v>6.1906298718332753E-3</v>
      </c>
      <c r="AV27" s="176">
        <f t="shared" si="29"/>
        <v>0.22226750128627848</v>
      </c>
      <c r="AW27" s="176">
        <f t="shared" si="29"/>
        <v>0.16652473823672564</v>
      </c>
      <c r="AX27" s="176">
        <f t="shared" si="29"/>
        <v>0.20511914909387374</v>
      </c>
      <c r="AY27" s="1168">
        <f t="shared" si="29"/>
        <v>0.14570224978140844</v>
      </c>
      <c r="AZ27" s="176">
        <f t="shared" si="29"/>
        <v>0.21619477764578976</v>
      </c>
      <c r="BA27" s="176">
        <f t="shared" si="29"/>
        <v>0.18203112484206629</v>
      </c>
      <c r="BB27" s="176">
        <f t="shared" si="29"/>
        <v>0.15217300732050276</v>
      </c>
      <c r="BC27" s="176">
        <f t="shared" si="29"/>
        <v>4.8996962580106329E-2</v>
      </c>
      <c r="BD27" s="1168">
        <f t="shared" si="29"/>
        <v>0.14907134338067873</v>
      </c>
      <c r="BE27" s="176">
        <f t="shared" si="29"/>
        <v>-6.2861453356801711E-3</v>
      </c>
      <c r="BF27" s="176">
        <f t="shared" si="29"/>
        <v>-6.2533259226848603E-2</v>
      </c>
      <c r="BG27" s="176">
        <f t="shared" si="29"/>
        <v>-8.9031156636790287E-2</v>
      </c>
      <c r="BH27" s="176">
        <f t="shared" si="29"/>
        <v>-2.2467773741270847E-2</v>
      </c>
      <c r="BI27" s="1168">
        <f t="shared" si="29"/>
        <v>-4.3826194680139374E-2</v>
      </c>
      <c r="BJ27" s="1167">
        <f t="shared" si="29"/>
        <v>-5.9743751502042697E-3</v>
      </c>
      <c r="BK27" s="766">
        <v>-1.4999999999999999E-2</v>
      </c>
      <c r="BL27" s="766">
        <v>-1.4999999999999999E-2</v>
      </c>
      <c r="BM27" s="766">
        <v>-1.4999999999999999E-2</v>
      </c>
      <c r="BN27" s="417">
        <f>BN26/BI26-1</f>
        <v>-1.2808195982297876E-2</v>
      </c>
      <c r="BO27" s="766">
        <v>0.01</v>
      </c>
      <c r="BP27" s="766">
        <v>0.01</v>
      </c>
      <c r="BQ27" s="766">
        <v>0.01</v>
      </c>
      <c r="BR27" s="766">
        <v>0.01</v>
      </c>
      <c r="BS27" s="417">
        <f>BS26/BN26-1</f>
        <v>1.0000000000000453E-2</v>
      </c>
      <c r="BT27" s="767">
        <v>0.01</v>
      </c>
      <c r="BU27" s="767">
        <v>0.01</v>
      </c>
      <c r="BV27" s="767">
        <v>0.01</v>
      </c>
      <c r="BW27" s="176"/>
    </row>
    <row r="28" spans="1:75" s="123" customFormat="1" x14ac:dyDescent="0.5">
      <c r="A28" s="516" t="s">
        <v>2210</v>
      </c>
      <c r="B28" s="495"/>
      <c r="C28" s="518"/>
      <c r="D28" s="518"/>
      <c r="E28" s="518"/>
      <c r="F28" s="632">
        <v>389.29</v>
      </c>
      <c r="G28" s="633">
        <v>120.617</v>
      </c>
      <c r="H28" s="633">
        <v>147.74799999999999</v>
      </c>
      <c r="I28" s="633">
        <v>181.69300000000001</v>
      </c>
      <c r="J28" s="520">
        <f>K28-SUM(G28,H28,I28)</f>
        <v>223.38800000000003</v>
      </c>
      <c r="K28" s="632">
        <v>673.44600000000003</v>
      </c>
      <c r="L28" s="633">
        <v>226</v>
      </c>
      <c r="M28" s="633">
        <v>243.53399999999999</v>
      </c>
      <c r="N28" s="633">
        <v>285.50200000000001</v>
      </c>
      <c r="O28" s="520">
        <f>P28-SUM(L28,M28,N28)</f>
        <v>346.64999999999986</v>
      </c>
      <c r="P28" s="632">
        <v>1101.6859999999999</v>
      </c>
      <c r="Q28" s="633">
        <v>369.39600000000002</v>
      </c>
      <c r="R28" s="633">
        <v>440.29700000000003</v>
      </c>
      <c r="S28" s="633">
        <v>544.971</v>
      </c>
      <c r="T28" s="520">
        <f>U28-SUM(Q28,R28,S28)</f>
        <v>685.57400000000007</v>
      </c>
      <c r="U28" s="632">
        <v>2040.2380000000001</v>
      </c>
      <c r="V28" s="633">
        <v>711.846</v>
      </c>
      <c r="W28" s="633">
        <v>755.65700000000004</v>
      </c>
      <c r="X28" s="633">
        <v>832.39800000000002</v>
      </c>
      <c r="Y28" s="520">
        <f>Z28-SUM(V28,W28,X28)</f>
        <v>959.00799999999981</v>
      </c>
      <c r="Z28" s="632">
        <v>3258.9090000000001</v>
      </c>
      <c r="AA28" s="633">
        <v>940.35199999999998</v>
      </c>
      <c r="AB28" s="633">
        <v>1102.461</v>
      </c>
      <c r="AC28" s="633">
        <v>1181.223</v>
      </c>
      <c r="AD28" s="520">
        <f>AE28-SUM(AA28,AB28,AC28)</f>
        <v>1419.2070000000003</v>
      </c>
      <c r="AE28" s="632">
        <v>4643.2430000000004</v>
      </c>
      <c r="AF28" s="633">
        <v>1388.89</v>
      </c>
      <c r="AG28" s="633">
        <v>1640.921</v>
      </c>
      <c r="AH28" s="633">
        <v>1692.4559999999999</v>
      </c>
      <c r="AI28" s="520">
        <f>AJ28-SUM(AF28,AG28,AH28)</f>
        <v>1995.8119999999999</v>
      </c>
      <c r="AJ28" s="632">
        <v>6718.0789999999997</v>
      </c>
      <c r="AK28" s="633">
        <v>1931.181</v>
      </c>
      <c r="AL28" s="633">
        <v>2331.759</v>
      </c>
      <c r="AM28" s="633">
        <v>2299.6799999999998</v>
      </c>
      <c r="AN28" s="520">
        <f>AO28-SUM(AK28,AL28,AM28)</f>
        <v>2525.6539999999986</v>
      </c>
      <c r="AO28" s="632">
        <v>9088.2739999999994</v>
      </c>
      <c r="AP28" s="633">
        <v>2322.5819999999999</v>
      </c>
      <c r="AQ28" s="633">
        <v>4294.2359999999999</v>
      </c>
      <c r="AR28" s="633">
        <v>3827.2649999999999</v>
      </c>
      <c r="AS28" s="520">
        <f>(AS21*AS26)/1000</f>
        <v>3673.4789999999998</v>
      </c>
      <c r="AT28" s="519">
        <f>SUM(AP28,AQ28,AR28,AS28)</f>
        <v>14117.561999999998</v>
      </c>
      <c r="AU28" s="520">
        <f>AU32</f>
        <v>3477.518</v>
      </c>
      <c r="AV28" s="520">
        <f>AV32</f>
        <v>3857.6260000000002</v>
      </c>
      <c r="AW28" s="520">
        <f>AW32</f>
        <v>3121.0830000000001</v>
      </c>
      <c r="AX28" s="520">
        <f t="shared" ref="AX28:BE28" si="30">AX32</f>
        <v>3251.7729999999992</v>
      </c>
      <c r="AY28" s="519">
        <f t="shared" si="30"/>
        <v>13708</v>
      </c>
      <c r="AZ28" s="520">
        <f t="shared" si="30"/>
        <v>2993</v>
      </c>
      <c r="BA28" s="520">
        <f t="shared" si="30"/>
        <v>3284</v>
      </c>
      <c r="BB28" s="520">
        <f t="shared" si="30"/>
        <v>2840</v>
      </c>
      <c r="BC28" s="520">
        <f t="shared" si="30"/>
        <v>3101</v>
      </c>
      <c r="BD28" s="519">
        <f t="shared" si="30"/>
        <v>12218</v>
      </c>
      <c r="BE28" s="520">
        <f t="shared" si="30"/>
        <v>2774</v>
      </c>
      <c r="BF28" s="520">
        <f>BF32</f>
        <v>3171</v>
      </c>
      <c r="BG28" s="520">
        <f>BG32</f>
        <v>2944</v>
      </c>
      <c r="BH28" s="520">
        <f>BH32</f>
        <v>3114</v>
      </c>
      <c r="BI28" s="519">
        <f>BI32</f>
        <v>12003</v>
      </c>
      <c r="BJ28" s="1270">
        <f>BJ32</f>
        <v>2729</v>
      </c>
      <c r="BK28" s="327">
        <f>(BK21*BK26)/1000</f>
        <v>3217.762737</v>
      </c>
      <c r="BL28" s="327">
        <f>(BL21*BL26)/1000</f>
        <v>2987.4151680000009</v>
      </c>
      <c r="BM28" s="327">
        <f>(BM21*BM26)/1000</f>
        <v>3159.9221579999999</v>
      </c>
      <c r="BN28" s="518">
        <f>SUM(BJ28,BK28,BL28,BM28)</f>
        <v>12094.100063</v>
      </c>
      <c r="BO28" s="327">
        <f>(BO21*BO26)/1000</f>
        <v>2895.7582740000003</v>
      </c>
      <c r="BP28" s="327">
        <f>(BP21*BP26)/1000</f>
        <v>3414.3873468071233</v>
      </c>
      <c r="BQ28" s="327">
        <f>(BQ21*BQ26)/1000</f>
        <v>3169.9641592558091</v>
      </c>
      <c r="BR28" s="327">
        <f>(BR21*BR26)/1000</f>
        <v>3353.0123613867486</v>
      </c>
      <c r="BS28" s="518">
        <f>SUM(BO28,BP28,BQ28,BR28)</f>
        <v>12833.122141449681</v>
      </c>
      <c r="BT28" s="518">
        <f>(BT21*BT26)/1000</f>
        <v>13750.805872662608</v>
      </c>
      <c r="BU28" s="518">
        <f>(BU21*BU26)/1000</f>
        <v>14734.11224981084</v>
      </c>
      <c r="BV28" s="518">
        <f>(BV21*BV26)/1000</f>
        <v>15787.733882682563</v>
      </c>
      <c r="BW28" s="197"/>
    </row>
    <row r="29" spans="1:75" s="1413" customFormat="1" ht="14.25" x14ac:dyDescent="0.45">
      <c r="A29" s="564" t="s">
        <v>2211</v>
      </c>
      <c r="B29" s="1412"/>
      <c r="C29" s="172"/>
      <c r="D29" s="172"/>
      <c r="E29" s="172"/>
      <c r="F29" s="172"/>
      <c r="G29" s="175"/>
      <c r="H29" s="175"/>
      <c r="I29" s="175"/>
      <c r="J29" s="175"/>
      <c r="K29" s="172"/>
      <c r="L29" s="461">
        <f t="shared" ref="L29:BN29" si="31">L28/G28-1</f>
        <v>0.87369939560758425</v>
      </c>
      <c r="M29" s="461">
        <f t="shared" si="31"/>
        <v>0.64830657606194331</v>
      </c>
      <c r="N29" s="461">
        <f t="shared" si="31"/>
        <v>0.57134286956569591</v>
      </c>
      <c r="O29" s="461">
        <f t="shared" si="31"/>
        <v>0.5517843393557389</v>
      </c>
      <c r="P29" s="1226">
        <f t="shared" si="31"/>
        <v>0.63589359800191825</v>
      </c>
      <c r="Q29" s="461">
        <f t="shared" si="31"/>
        <v>0.63449557522123889</v>
      </c>
      <c r="R29" s="461">
        <f t="shared" si="31"/>
        <v>0.80794878743830445</v>
      </c>
      <c r="S29" s="461">
        <f t="shared" si="31"/>
        <v>0.90881675084587843</v>
      </c>
      <c r="T29" s="461">
        <f t="shared" si="31"/>
        <v>0.97771239001875188</v>
      </c>
      <c r="U29" s="1226">
        <f t="shared" si="31"/>
        <v>0.8519233247949054</v>
      </c>
      <c r="V29" s="461">
        <f t="shared" si="31"/>
        <v>0.92705389338271127</v>
      </c>
      <c r="W29" s="461">
        <f t="shared" si="31"/>
        <v>0.7162438081567668</v>
      </c>
      <c r="X29" s="461">
        <f t="shared" si="31"/>
        <v>0.52741705521945215</v>
      </c>
      <c r="Y29" s="461">
        <f t="shared" si="31"/>
        <v>0.39883951258361572</v>
      </c>
      <c r="Z29" s="1226">
        <f t="shared" si="31"/>
        <v>0.59731805799127358</v>
      </c>
      <c r="AA29" s="461">
        <f t="shared" si="31"/>
        <v>0.32100482407711772</v>
      </c>
      <c r="AB29" s="461">
        <f t="shared" si="31"/>
        <v>0.45894367418021664</v>
      </c>
      <c r="AC29" s="461">
        <f t="shared" si="31"/>
        <v>0.41906035334058944</v>
      </c>
      <c r="AD29" s="461">
        <f t="shared" si="31"/>
        <v>0.47986982381794596</v>
      </c>
      <c r="AE29" s="1226">
        <f t="shared" si="31"/>
        <v>0.42478449076055824</v>
      </c>
      <c r="AF29" s="461">
        <f t="shared" si="31"/>
        <v>0.47698946777377005</v>
      </c>
      <c r="AG29" s="461">
        <f t="shared" si="31"/>
        <v>0.48841637028430029</v>
      </c>
      <c r="AH29" s="461">
        <f t="shared" si="31"/>
        <v>0.43279973383518611</v>
      </c>
      <c r="AI29" s="461">
        <f t="shared" si="31"/>
        <v>0.40628675027673866</v>
      </c>
      <c r="AJ29" s="1226">
        <f t="shared" si="31"/>
        <v>0.44685061712255836</v>
      </c>
      <c r="AK29" s="461">
        <f t="shared" si="31"/>
        <v>0.39044920764063384</v>
      </c>
      <c r="AL29" s="461">
        <f t="shared" si="31"/>
        <v>0.42100625197678609</v>
      </c>
      <c r="AM29" s="461">
        <f t="shared" si="31"/>
        <v>0.35878273940356498</v>
      </c>
      <c r="AN29" s="461">
        <f t="shared" si="31"/>
        <v>0.26547690864670548</v>
      </c>
      <c r="AO29" s="1226">
        <f t="shared" si="31"/>
        <v>0.35280844419959934</v>
      </c>
      <c r="AP29" s="461">
        <f t="shared" si="31"/>
        <v>0.20267442564938243</v>
      </c>
      <c r="AQ29" s="461">
        <f t="shared" si="31"/>
        <v>0.84162943082882924</v>
      </c>
      <c r="AR29" s="461">
        <f t="shared" si="31"/>
        <v>0.66425981006053014</v>
      </c>
      <c r="AS29" s="461">
        <f t="shared" si="31"/>
        <v>0.45446644710637396</v>
      </c>
      <c r="AT29" s="1226">
        <f t="shared" si="31"/>
        <v>0.55338208333067418</v>
      </c>
      <c r="AU29" s="461">
        <f t="shared" si="31"/>
        <v>0.49726382104054889</v>
      </c>
      <c r="AV29" s="461">
        <f t="shared" si="31"/>
        <v>-0.1016734990810938</v>
      </c>
      <c r="AW29" s="461">
        <f t="shared" si="31"/>
        <v>-0.18451348417211766</v>
      </c>
      <c r="AX29" s="461">
        <f t="shared" si="31"/>
        <v>-0.11479744405779935</v>
      </c>
      <c r="AY29" s="1226">
        <f t="shared" si="31"/>
        <v>-2.9010816456835675E-2</v>
      </c>
      <c r="AZ29" s="461">
        <f t="shared" si="31"/>
        <v>-0.13932868212328453</v>
      </c>
      <c r="BA29" s="461">
        <f t="shared" si="31"/>
        <v>-0.1486992258969636</v>
      </c>
      <c r="BB29" s="461">
        <f t="shared" si="31"/>
        <v>-9.0059444109624742E-2</v>
      </c>
      <c r="BC29" s="461">
        <f t="shared" si="31"/>
        <v>-4.636639765444861E-2</v>
      </c>
      <c r="BD29" s="1226">
        <f t="shared" si="31"/>
        <v>-0.10869565217391308</v>
      </c>
      <c r="BE29" s="461">
        <f t="shared" si="31"/>
        <v>-7.3170731707317027E-2</v>
      </c>
      <c r="BF29" s="461">
        <f t="shared" si="31"/>
        <v>-3.4409257003654048E-2</v>
      </c>
      <c r="BG29" s="461">
        <f t="shared" si="31"/>
        <v>3.6619718309859106E-2</v>
      </c>
      <c r="BH29" s="461">
        <f t="shared" si="31"/>
        <v>4.1921960657851365E-3</v>
      </c>
      <c r="BI29" s="1226">
        <f t="shared" si="31"/>
        <v>-1.7596988050417428E-2</v>
      </c>
      <c r="BJ29" s="1363">
        <f>BJ28/BE28-1</f>
        <v>-1.6222062004325855E-2</v>
      </c>
      <c r="BK29" s="175">
        <f t="shared" si="31"/>
        <v>1.4747000000000066E-2</v>
      </c>
      <c r="BL29" s="175">
        <f t="shared" si="31"/>
        <v>1.4747000000000288E-2</v>
      </c>
      <c r="BM29" s="175">
        <f t="shared" si="31"/>
        <v>1.4746999999999844E-2</v>
      </c>
      <c r="BN29" s="172">
        <f t="shared" si="31"/>
        <v>7.5897744730484273E-3</v>
      </c>
      <c r="BO29" s="175">
        <f>BO28/BJ28-1</f>
        <v>6.1106000000000105E-2</v>
      </c>
      <c r="BP29" s="175">
        <f>BP28/BK28-1</f>
        <v>6.1106000000000327E-2</v>
      </c>
      <c r="BQ29" s="175">
        <f>BQ28/BL28-1</f>
        <v>6.1106000000000105E-2</v>
      </c>
      <c r="BR29" s="175">
        <f>BR28/BM28-1</f>
        <v>6.1106000000000327E-2</v>
      </c>
      <c r="BS29" s="172">
        <f>BS28/BN28-1</f>
        <v>6.1106000000000327E-2</v>
      </c>
      <c r="BT29" s="172">
        <f>BT28/BS28-1</f>
        <v>7.1509000000000045E-2</v>
      </c>
      <c r="BU29" s="172">
        <f>BU28/BT28-1</f>
        <v>7.1509000000000045E-2</v>
      </c>
      <c r="BV29" s="172">
        <f>BV28/BU28-1</f>
        <v>7.1509000000000045E-2</v>
      </c>
      <c r="BW29" s="176"/>
    </row>
    <row r="30" spans="1:75" s="1413" customFormat="1" ht="7.5" customHeight="1" x14ac:dyDescent="0.45">
      <c r="A30" s="170"/>
      <c r="B30" s="1412"/>
      <c r="C30" s="172"/>
      <c r="D30" s="172"/>
      <c r="E30" s="172"/>
      <c r="F30" s="172"/>
      <c r="G30" s="175"/>
      <c r="H30" s="175"/>
      <c r="I30" s="175"/>
      <c r="J30" s="175"/>
      <c r="K30" s="172"/>
      <c r="L30" s="175"/>
      <c r="M30" s="175"/>
      <c r="N30" s="175"/>
      <c r="O30" s="175"/>
      <c r="P30" s="172"/>
      <c r="Q30" s="175"/>
      <c r="R30" s="175"/>
      <c r="S30" s="175"/>
      <c r="T30" s="175"/>
      <c r="U30" s="172"/>
      <c r="V30" s="175"/>
      <c r="W30" s="175"/>
      <c r="X30" s="175"/>
      <c r="Y30" s="175"/>
      <c r="Z30" s="172"/>
      <c r="AA30" s="175"/>
      <c r="AB30" s="175"/>
      <c r="AC30" s="175"/>
      <c r="AD30" s="175"/>
      <c r="AE30" s="172"/>
      <c r="AF30" s="175"/>
      <c r="AG30" s="175"/>
      <c r="AH30" s="175"/>
      <c r="AI30" s="175"/>
      <c r="AJ30" s="172"/>
      <c r="AK30" s="175"/>
      <c r="AL30" s="175"/>
      <c r="AM30" s="175"/>
      <c r="AN30" s="175"/>
      <c r="AO30" s="172"/>
      <c r="AP30" s="175"/>
      <c r="AQ30" s="175"/>
      <c r="AR30" s="175"/>
      <c r="AS30" s="175"/>
      <c r="AT30" s="172"/>
      <c r="AU30" s="175"/>
      <c r="AV30" s="175"/>
      <c r="AW30" s="175"/>
      <c r="AX30" s="175"/>
      <c r="AY30" s="172"/>
      <c r="AZ30" s="175"/>
      <c r="BA30" s="175"/>
      <c r="BB30" s="175"/>
      <c r="BC30" s="175"/>
      <c r="BD30" s="172"/>
      <c r="BE30" s="175"/>
      <c r="BF30" s="175"/>
      <c r="BG30" s="175"/>
      <c r="BH30" s="175"/>
      <c r="BI30" s="172"/>
      <c r="BJ30" s="1111"/>
      <c r="BK30" s="175"/>
      <c r="BL30" s="175"/>
      <c r="BM30" s="175"/>
      <c r="BN30" s="172"/>
      <c r="BO30" s="175"/>
      <c r="BP30" s="175"/>
      <c r="BQ30" s="175"/>
      <c r="BR30" s="175"/>
      <c r="BS30" s="172"/>
      <c r="BT30" s="172"/>
      <c r="BU30" s="172"/>
      <c r="BV30" s="172"/>
      <c r="BW30" s="176"/>
    </row>
    <row r="31" spans="1:75" s="123" customFormat="1" x14ac:dyDescent="0.5">
      <c r="A31" s="184" t="s">
        <v>1842</v>
      </c>
      <c r="B31" s="489"/>
      <c r="C31" s="401"/>
      <c r="D31" s="401"/>
      <c r="E31" s="401"/>
      <c r="F31" s="401">
        <f>F32-F28</f>
        <v>211.738</v>
      </c>
      <c r="G31" s="302">
        <v>59.213999999999999</v>
      </c>
      <c r="H31" s="118">
        <f>114.842-G31</f>
        <v>55.628</v>
      </c>
      <c r="I31" s="302">
        <v>55.609000000000002</v>
      </c>
      <c r="J31" s="118">
        <f>K31-SUM(G31,H31,I31)</f>
        <v>71.945999999999998</v>
      </c>
      <c r="K31" s="403">
        <v>242.39699999999999</v>
      </c>
      <c r="L31" s="302">
        <v>52.707000000000001</v>
      </c>
      <c r="M31" s="302">
        <v>51.902999999999999</v>
      </c>
      <c r="N31" s="302">
        <v>50.686</v>
      </c>
      <c r="O31" s="118">
        <f>P31-SUM(L31,M31,N31)</f>
        <v>61.968999999999994</v>
      </c>
      <c r="P31" s="403">
        <v>217.26499999999999</v>
      </c>
      <c r="Q31" s="302">
        <v>54.975000000000001</v>
      </c>
      <c r="R31" s="302">
        <v>51.454999999999998</v>
      </c>
      <c r="S31" s="302">
        <v>49.000999999999998</v>
      </c>
      <c r="T31" s="118">
        <f>U31-SUM(Q31,R31,S31)</f>
        <v>54.21599999999998</v>
      </c>
      <c r="U31" s="403">
        <v>209.64699999999999</v>
      </c>
      <c r="V31" s="302">
        <v>35.502000000000002</v>
      </c>
      <c r="W31" s="302">
        <v>31.271000000000001</v>
      </c>
      <c r="X31" s="302">
        <v>29.126999999999999</v>
      </c>
      <c r="Y31" s="118">
        <f>Z31-SUM(V31,W31,X31)</f>
        <v>25.551000000000002</v>
      </c>
      <c r="Z31" s="403">
        <v>121.45099999999999</v>
      </c>
      <c r="AA31" s="302">
        <v>20.472999999999999</v>
      </c>
      <c r="AB31" s="302">
        <v>20.395</v>
      </c>
      <c r="AC31" s="302">
        <v>16.975000000000001</v>
      </c>
      <c r="AD31" s="118">
        <f>AE31-SUM(AA31,AB31,AC31)</f>
        <v>19.809000000000005</v>
      </c>
      <c r="AE31" s="403">
        <v>77.652000000000001</v>
      </c>
      <c r="AF31" s="302">
        <v>15.379</v>
      </c>
      <c r="AG31" s="302">
        <v>14.335000000000001</v>
      </c>
      <c r="AH31" s="302">
        <v>13.189</v>
      </c>
      <c r="AI31" s="302">
        <v>18.192</v>
      </c>
      <c r="AJ31" s="401">
        <f>SUM(AF31,AG31,AH31,AI31)</f>
        <v>61.094999999999999</v>
      </c>
      <c r="AK31" s="302">
        <v>13.648</v>
      </c>
      <c r="AL31" s="302">
        <v>11.492000000000001</v>
      </c>
      <c r="AM31" s="302">
        <v>5.8070000000000004</v>
      </c>
      <c r="AN31" s="118">
        <f>AN32-AN28</f>
        <v>7.8360000000020591</v>
      </c>
      <c r="AO31" s="401">
        <f>SUM(AK31,AL31,AM31,AN31)</f>
        <v>38.783000000002062</v>
      </c>
      <c r="AP31" s="118">
        <f>AP32-AP28</f>
        <v>7.4810000000002219</v>
      </c>
      <c r="AQ31" s="118">
        <f>AQ32-AQ28</f>
        <v>10.435999999999694</v>
      </c>
      <c r="AR31" s="118">
        <f>AR32-AR28</f>
        <v>12.305000000000291</v>
      </c>
      <c r="AS31" s="118">
        <f>AS32-AS28</f>
        <v>-2.6279999999992469</v>
      </c>
      <c r="AT31" s="401">
        <f>SUM(AP31,AQ31,AR31,AS31)</f>
        <v>27.59400000000096</v>
      </c>
      <c r="AU31" s="118">
        <f>AU32-AU28</f>
        <v>0</v>
      </c>
      <c r="AV31" s="118">
        <f>AV32-AV28</f>
        <v>0</v>
      </c>
      <c r="AW31" s="118">
        <f>AW32-AW28</f>
        <v>0</v>
      </c>
      <c r="AX31" s="118">
        <f>AX32-AX28</f>
        <v>0</v>
      </c>
      <c r="AY31" s="401">
        <f>SUM(AU31,AV31,AW31,AX31)</f>
        <v>0</v>
      </c>
      <c r="AZ31" s="118">
        <f>AZ32-AZ28</f>
        <v>0</v>
      </c>
      <c r="BA31" s="118">
        <f>BA32-BA28</f>
        <v>0</v>
      </c>
      <c r="BB31" s="118">
        <f>BB32-BB28</f>
        <v>0</v>
      </c>
      <c r="BC31" s="118">
        <f>BC32-BC28</f>
        <v>0</v>
      </c>
      <c r="BD31" s="401">
        <f>SUM(AZ31,BA31,BB31,BC31)</f>
        <v>0</v>
      </c>
      <c r="BE31" s="118">
        <f>BE32-BE28</f>
        <v>0</v>
      </c>
      <c r="BF31" s="118">
        <f>BF32-BF28</f>
        <v>0</v>
      </c>
      <c r="BG31" s="118">
        <f>BG32-BG28</f>
        <v>0</v>
      </c>
      <c r="BH31" s="118">
        <f>BH32-BH28</f>
        <v>0</v>
      </c>
      <c r="BI31" s="401">
        <f>SUM(BE31,BF31,BG31,BH31)</f>
        <v>0</v>
      </c>
      <c r="BJ31" s="971">
        <f>BJ32-BJ28</f>
        <v>0</v>
      </c>
      <c r="BK31" s="302">
        <v>0</v>
      </c>
      <c r="BL31" s="302">
        <v>0</v>
      </c>
      <c r="BM31" s="302">
        <v>0</v>
      </c>
      <c r="BN31" s="401">
        <f>SUM(BJ31,BK31,BL31,BM31)</f>
        <v>0</v>
      </c>
      <c r="BO31" s="302">
        <v>0</v>
      </c>
      <c r="BP31" s="302">
        <v>0</v>
      </c>
      <c r="BQ31" s="302">
        <v>0</v>
      </c>
      <c r="BR31" s="302">
        <v>0</v>
      </c>
      <c r="BS31" s="401">
        <f>SUM(BO31,BP31,BQ31,BR31)</f>
        <v>0</v>
      </c>
      <c r="BT31" s="403">
        <v>0</v>
      </c>
      <c r="BU31" s="403">
        <v>0</v>
      </c>
      <c r="BV31" s="403">
        <v>0</v>
      </c>
      <c r="BW31" s="122"/>
    </row>
    <row r="32" spans="1:75" s="123" customFormat="1" x14ac:dyDescent="0.5">
      <c r="A32" s="516" t="s">
        <v>187</v>
      </c>
      <c r="B32" s="495"/>
      <c r="C32" s="518"/>
      <c r="D32" s="518"/>
      <c r="E32" s="518">
        <f>E227</f>
        <v>517.33600000000001</v>
      </c>
      <c r="F32" s="632">
        <v>601.02800000000002</v>
      </c>
      <c r="G32" s="520">
        <f t="shared" ref="G32:AM32" si="32">G28+G31</f>
        <v>179.83100000000002</v>
      </c>
      <c r="H32" s="520">
        <f t="shared" si="32"/>
        <v>203.37599999999998</v>
      </c>
      <c r="I32" s="520">
        <f t="shared" si="32"/>
        <v>237.30200000000002</v>
      </c>
      <c r="J32" s="520">
        <f t="shared" si="32"/>
        <v>295.33400000000006</v>
      </c>
      <c r="K32" s="519">
        <f t="shared" si="32"/>
        <v>915.84300000000007</v>
      </c>
      <c r="L32" s="520">
        <f t="shared" si="32"/>
        <v>278.70699999999999</v>
      </c>
      <c r="M32" s="520">
        <f t="shared" si="32"/>
        <v>295.43700000000001</v>
      </c>
      <c r="N32" s="520">
        <f t="shared" si="32"/>
        <v>336.18799999999999</v>
      </c>
      <c r="O32" s="520">
        <f t="shared" si="32"/>
        <v>408.61899999999986</v>
      </c>
      <c r="P32" s="519">
        <f t="shared" si="32"/>
        <v>1318.951</v>
      </c>
      <c r="Q32" s="520">
        <f t="shared" si="32"/>
        <v>424.37100000000004</v>
      </c>
      <c r="R32" s="520">
        <f t="shared" si="32"/>
        <v>491.75200000000001</v>
      </c>
      <c r="S32" s="520">
        <f t="shared" si="32"/>
        <v>593.97199999999998</v>
      </c>
      <c r="T32" s="520">
        <f t="shared" si="32"/>
        <v>739.79000000000008</v>
      </c>
      <c r="U32" s="519">
        <f t="shared" si="32"/>
        <v>2249.8850000000002</v>
      </c>
      <c r="V32" s="520">
        <f t="shared" si="32"/>
        <v>747.34799999999996</v>
      </c>
      <c r="W32" s="520">
        <f t="shared" si="32"/>
        <v>786.928</v>
      </c>
      <c r="X32" s="520">
        <f t="shared" si="32"/>
        <v>861.52499999999998</v>
      </c>
      <c r="Y32" s="520">
        <f t="shared" si="32"/>
        <v>984.55899999999986</v>
      </c>
      <c r="Z32" s="519">
        <f t="shared" si="32"/>
        <v>3380.36</v>
      </c>
      <c r="AA32" s="520">
        <f t="shared" si="32"/>
        <v>960.82499999999993</v>
      </c>
      <c r="AB32" s="520">
        <f t="shared" si="32"/>
        <v>1122.856</v>
      </c>
      <c r="AC32" s="520">
        <f t="shared" si="32"/>
        <v>1198.1979999999999</v>
      </c>
      <c r="AD32" s="520">
        <f t="shared" si="32"/>
        <v>1439.0160000000003</v>
      </c>
      <c r="AE32" s="519">
        <f t="shared" si="32"/>
        <v>4720.8950000000004</v>
      </c>
      <c r="AF32" s="520">
        <f t="shared" si="32"/>
        <v>1404.269</v>
      </c>
      <c r="AG32" s="520">
        <f t="shared" si="32"/>
        <v>1655.2560000000001</v>
      </c>
      <c r="AH32" s="520">
        <f t="shared" si="32"/>
        <v>1705.645</v>
      </c>
      <c r="AI32" s="520">
        <f t="shared" si="32"/>
        <v>2014.0039999999999</v>
      </c>
      <c r="AJ32" s="519">
        <f t="shared" si="32"/>
        <v>6779.174</v>
      </c>
      <c r="AK32" s="520">
        <f t="shared" si="32"/>
        <v>1944.829</v>
      </c>
      <c r="AL32" s="520">
        <f t="shared" si="32"/>
        <v>2343.2510000000002</v>
      </c>
      <c r="AM32" s="520">
        <f t="shared" si="32"/>
        <v>2305.4869999999996</v>
      </c>
      <c r="AN32" s="520">
        <f>AN173</f>
        <v>2533.4900000000007</v>
      </c>
      <c r="AO32" s="519">
        <f>AO28+AO31</f>
        <v>9127.0570000000007</v>
      </c>
      <c r="AP32" s="520">
        <f>AP173</f>
        <v>2330.0630000000001</v>
      </c>
      <c r="AQ32" s="520">
        <f>AQ173</f>
        <v>4304.6719999999996</v>
      </c>
      <c r="AR32" s="520">
        <f>AR173</f>
        <v>3839.57</v>
      </c>
      <c r="AS32" s="520">
        <f>AS173</f>
        <v>3670.8510000000006</v>
      </c>
      <c r="AT32" s="519">
        <f>AT28+AT31</f>
        <v>14145.155999999999</v>
      </c>
      <c r="AU32" s="520">
        <f t="shared" ref="AU32:BF32" si="33">AU173</f>
        <v>3477.518</v>
      </c>
      <c r="AV32" s="520">
        <f t="shared" si="33"/>
        <v>3857.6260000000002</v>
      </c>
      <c r="AW32" s="520">
        <f t="shared" si="33"/>
        <v>3121.0830000000001</v>
      </c>
      <c r="AX32" s="520">
        <f t="shared" si="33"/>
        <v>3251.7729999999992</v>
      </c>
      <c r="AY32" s="519">
        <f t="shared" si="33"/>
        <v>13708</v>
      </c>
      <c r="AZ32" s="520">
        <f t="shared" si="33"/>
        <v>2993</v>
      </c>
      <c r="BA32" s="520">
        <f t="shared" si="33"/>
        <v>3284</v>
      </c>
      <c r="BB32" s="520">
        <f t="shared" si="33"/>
        <v>2840</v>
      </c>
      <c r="BC32" s="520">
        <f t="shared" si="33"/>
        <v>3101</v>
      </c>
      <c r="BD32" s="519">
        <f t="shared" si="33"/>
        <v>12218</v>
      </c>
      <c r="BE32" s="520">
        <f t="shared" si="33"/>
        <v>2774</v>
      </c>
      <c r="BF32" s="520">
        <f t="shared" si="33"/>
        <v>3171</v>
      </c>
      <c r="BG32" s="520">
        <f>BG173</f>
        <v>2944</v>
      </c>
      <c r="BH32" s="520">
        <f>BH173</f>
        <v>3114</v>
      </c>
      <c r="BI32" s="519">
        <f>BI173</f>
        <v>12003</v>
      </c>
      <c r="BJ32" s="1270">
        <f>BJ173</f>
        <v>2729</v>
      </c>
      <c r="BK32" s="327">
        <f>BK28+BK31</f>
        <v>3217.762737</v>
      </c>
      <c r="BL32" s="327">
        <f>BL28+BL31</f>
        <v>2987.4151680000009</v>
      </c>
      <c r="BM32" s="327">
        <f>BM28+BM31</f>
        <v>3159.9221579999999</v>
      </c>
      <c r="BN32" s="518">
        <f t="shared" ref="BN32:BV32" si="34">BN28+BN31</f>
        <v>12094.100063</v>
      </c>
      <c r="BO32" s="327">
        <f t="shared" si="34"/>
        <v>2895.7582740000003</v>
      </c>
      <c r="BP32" s="327">
        <f t="shared" si="34"/>
        <v>3414.3873468071233</v>
      </c>
      <c r="BQ32" s="327">
        <f t="shared" si="34"/>
        <v>3169.9641592558091</v>
      </c>
      <c r="BR32" s="327">
        <f t="shared" si="34"/>
        <v>3353.0123613867486</v>
      </c>
      <c r="BS32" s="518">
        <f t="shared" si="34"/>
        <v>12833.122141449681</v>
      </c>
      <c r="BT32" s="518">
        <f t="shared" si="34"/>
        <v>13750.805872662608</v>
      </c>
      <c r="BU32" s="518">
        <f t="shared" si="34"/>
        <v>14734.11224981084</v>
      </c>
      <c r="BV32" s="518">
        <f t="shared" si="34"/>
        <v>15787.733882682563</v>
      </c>
      <c r="BW32" s="161"/>
    </row>
    <row r="33" spans="1:75" s="205" customFormat="1" ht="14.25" x14ac:dyDescent="0.45">
      <c r="A33" s="1295" t="s">
        <v>2212</v>
      </c>
      <c r="B33" s="490"/>
      <c r="C33" s="414"/>
      <c r="D33" s="414"/>
      <c r="E33" s="414"/>
      <c r="F33" s="414"/>
      <c r="G33" s="413"/>
      <c r="H33" s="413"/>
      <c r="I33" s="413"/>
      <c r="J33" s="413"/>
      <c r="K33" s="414"/>
      <c r="L33" s="413"/>
      <c r="M33" s="413"/>
      <c r="N33" s="413"/>
      <c r="O33" s="413"/>
      <c r="P33" s="414"/>
      <c r="Q33" s="413"/>
      <c r="R33" s="413"/>
      <c r="S33" s="413"/>
      <c r="T33" s="413"/>
      <c r="U33" s="414"/>
      <c r="V33" s="413"/>
      <c r="W33" s="413"/>
      <c r="X33" s="413"/>
      <c r="Y33" s="413"/>
      <c r="Z33" s="414"/>
      <c r="AA33" s="413"/>
      <c r="AB33" s="413"/>
      <c r="AC33" s="413"/>
      <c r="AD33" s="413"/>
      <c r="AE33" s="414"/>
      <c r="AF33" s="413"/>
      <c r="AG33" s="413"/>
      <c r="AH33" s="413"/>
      <c r="AI33" s="413"/>
      <c r="AJ33" s="414"/>
      <c r="AK33" s="413"/>
      <c r="AL33" s="413"/>
      <c r="AM33" s="413"/>
      <c r="AN33" s="413"/>
      <c r="AO33" s="414"/>
      <c r="AP33" s="413"/>
      <c r="AQ33" s="413"/>
      <c r="AR33" s="413"/>
      <c r="AS33" s="413"/>
      <c r="AT33" s="414"/>
      <c r="AU33" s="413"/>
      <c r="AV33" s="413"/>
      <c r="AW33" s="413"/>
      <c r="AX33" s="413"/>
      <c r="AY33" s="414"/>
      <c r="AZ33" s="413"/>
      <c r="BA33" s="413"/>
      <c r="BB33" s="413"/>
      <c r="BC33" s="413"/>
      <c r="BD33" s="414"/>
      <c r="BE33" s="413"/>
      <c r="BF33" s="413"/>
      <c r="BG33" s="413"/>
      <c r="BH33" s="413"/>
      <c r="BI33" s="414"/>
      <c r="BJ33" s="1216"/>
      <c r="BK33" s="413" t="str">
        <f ca="1">BK228</f>
        <v>N/A</v>
      </c>
      <c r="BL33" s="413" t="str">
        <f ca="1">BL228</f>
        <v>N/A</v>
      </c>
      <c r="BM33" s="413" t="str">
        <f ca="1">BM228</f>
        <v>N/A</v>
      </c>
      <c r="BN33" s="414" t="str">
        <f t="shared" ref="BN33:BV33" ca="1" si="35">BN228</f>
        <v>N/A</v>
      </c>
      <c r="BO33" s="413" t="str">
        <f t="shared" ca="1" si="35"/>
        <v>N/A</v>
      </c>
      <c r="BP33" s="413" t="str">
        <f t="shared" ca="1" si="35"/>
        <v>N/A</v>
      </c>
      <c r="BQ33" s="413" t="str">
        <f t="shared" ca="1" si="35"/>
        <v>N/A</v>
      </c>
      <c r="BR33" s="413" t="str">
        <f t="shared" ca="1" si="35"/>
        <v>N/A</v>
      </c>
      <c r="BS33" s="414" t="str">
        <f t="shared" ca="1" si="35"/>
        <v>N/A</v>
      </c>
      <c r="BT33" s="414" t="str">
        <f t="shared" ca="1" si="35"/>
        <v>N/A</v>
      </c>
      <c r="BU33" s="414" t="str">
        <f t="shared" ca="1" si="35"/>
        <v>N/A</v>
      </c>
      <c r="BV33" s="414" t="str">
        <f t="shared" ca="1" si="35"/>
        <v>N/A</v>
      </c>
      <c r="BW33" s="176"/>
    </row>
    <row r="34" spans="1:75" s="205" customFormat="1" ht="14.25" x14ac:dyDescent="0.45">
      <c r="A34" s="1295" t="s">
        <v>2213</v>
      </c>
      <c r="B34" s="490"/>
      <c r="C34" s="414"/>
      <c r="D34" s="414"/>
      <c r="E34" s="414"/>
      <c r="F34" s="414"/>
      <c r="G34" s="413" t="str">
        <f t="shared" ref="G34:BR34" si="36">G510</f>
        <v/>
      </c>
      <c r="H34" s="413" t="str">
        <f t="shared" si="36"/>
        <v/>
      </c>
      <c r="I34" s="413" t="str">
        <f t="shared" si="36"/>
        <v/>
      </c>
      <c r="J34" s="413" t="str">
        <f t="shared" si="36"/>
        <v/>
      </c>
      <c r="K34" s="414" t="str">
        <f t="shared" si="36"/>
        <v/>
      </c>
      <c r="L34" s="413" t="str">
        <f t="shared" si="36"/>
        <v/>
      </c>
      <c r="M34" s="413" t="str">
        <f t="shared" si="36"/>
        <v/>
      </c>
      <c r="N34" s="413" t="str">
        <f t="shared" si="36"/>
        <v/>
      </c>
      <c r="O34" s="413" t="str">
        <f t="shared" si="36"/>
        <v/>
      </c>
      <c r="P34" s="414" t="str">
        <f t="shared" si="36"/>
        <v/>
      </c>
      <c r="Q34" s="413" t="str">
        <f t="shared" si="36"/>
        <v/>
      </c>
      <c r="R34" s="413" t="str">
        <f t="shared" si="36"/>
        <v/>
      </c>
      <c r="S34" s="413" t="str">
        <f t="shared" si="36"/>
        <v/>
      </c>
      <c r="T34" s="413" t="str">
        <f t="shared" si="36"/>
        <v/>
      </c>
      <c r="U34" s="414" t="str">
        <f t="shared" si="36"/>
        <v/>
      </c>
      <c r="V34" s="413" t="str">
        <f t="shared" si="36"/>
        <v/>
      </c>
      <c r="W34" s="413" t="str">
        <f t="shared" si="36"/>
        <v/>
      </c>
      <c r="X34" s="413" t="str">
        <f t="shared" si="36"/>
        <v/>
      </c>
      <c r="Y34" s="413" t="str">
        <f t="shared" si="36"/>
        <v/>
      </c>
      <c r="Z34" s="414" t="str">
        <f t="shared" si="36"/>
        <v/>
      </c>
      <c r="AA34" s="413" t="str">
        <f t="shared" si="36"/>
        <v/>
      </c>
      <c r="AB34" s="413" t="str">
        <f t="shared" si="36"/>
        <v/>
      </c>
      <c r="AC34" s="413" t="str">
        <f t="shared" si="36"/>
        <v/>
      </c>
      <c r="AD34" s="413" t="str">
        <f t="shared" si="36"/>
        <v/>
      </c>
      <c r="AE34" s="414" t="str">
        <f t="shared" si="36"/>
        <v/>
      </c>
      <c r="AF34" s="413" t="str">
        <f t="shared" si="36"/>
        <v/>
      </c>
      <c r="AG34" s="413" t="str">
        <f t="shared" si="36"/>
        <v/>
      </c>
      <c r="AH34" s="413" t="str">
        <f t="shared" si="36"/>
        <v/>
      </c>
      <c r="AI34" s="413" t="str">
        <f t="shared" si="36"/>
        <v/>
      </c>
      <c r="AJ34" s="414" t="str">
        <f t="shared" si="36"/>
        <v/>
      </c>
      <c r="AK34" s="413" t="str">
        <f t="shared" si="36"/>
        <v/>
      </c>
      <c r="AL34" s="413" t="str">
        <f t="shared" si="36"/>
        <v/>
      </c>
      <c r="AM34" s="413" t="str">
        <f t="shared" si="36"/>
        <v/>
      </c>
      <c r="AN34" s="413" t="str">
        <f t="shared" si="36"/>
        <v/>
      </c>
      <c r="AO34" s="414" t="str">
        <f t="shared" si="36"/>
        <v/>
      </c>
      <c r="AP34" s="413">
        <f t="shared" si="36"/>
        <v>2256.0016399999995</v>
      </c>
      <c r="AQ34" s="413">
        <f t="shared" si="36"/>
        <v>3632.0390500000003</v>
      </c>
      <c r="AR34" s="413">
        <f t="shared" si="36"/>
        <v>3342.95615</v>
      </c>
      <c r="AS34" s="413" t="str">
        <f t="shared" si="36"/>
        <v/>
      </c>
      <c r="AT34" s="414" t="str">
        <f t="shared" si="36"/>
        <v/>
      </c>
      <c r="AU34" s="413" t="str">
        <f t="shared" si="36"/>
        <v/>
      </c>
      <c r="AV34" s="413" t="str">
        <f t="shared" si="36"/>
        <v/>
      </c>
      <c r="AW34" s="413" t="str">
        <f t="shared" si="36"/>
        <v/>
      </c>
      <c r="AX34" s="413">
        <f t="shared" si="36"/>
        <v>3303.7659000000008</v>
      </c>
      <c r="AY34" s="414" t="str">
        <f t="shared" si="36"/>
        <v/>
      </c>
      <c r="AZ34" s="413" t="str">
        <f t="shared" si="36"/>
        <v/>
      </c>
      <c r="BA34" s="413" t="str">
        <f t="shared" si="36"/>
        <v/>
      </c>
      <c r="BB34" s="413">
        <f t="shared" si="36"/>
        <v>2808.9747000000002</v>
      </c>
      <c r="BC34" s="413">
        <f t="shared" si="36"/>
        <v>2991.631159999999</v>
      </c>
      <c r="BD34" s="414" t="str">
        <f t="shared" si="36"/>
        <v/>
      </c>
      <c r="BE34" s="413">
        <f t="shared" si="36"/>
        <v>2753.56</v>
      </c>
      <c r="BF34" s="413">
        <f t="shared" si="36"/>
        <v>3563.1400000000003</v>
      </c>
      <c r="BG34" s="413">
        <f t="shared" si="36"/>
        <v>2982</v>
      </c>
      <c r="BH34" s="413">
        <f t="shared" si="36"/>
        <v>3147.5150000000003</v>
      </c>
      <c r="BI34" s="414" t="str">
        <f t="shared" si="36"/>
        <v/>
      </c>
      <c r="BJ34" s="1216">
        <f>BJ510</f>
        <v>2635.3</v>
      </c>
      <c r="BK34" s="413">
        <f t="shared" si="36"/>
        <v>3218.5650000000001</v>
      </c>
      <c r="BL34" s="413" t="str">
        <f t="shared" si="36"/>
        <v/>
      </c>
      <c r="BM34" s="413" t="str">
        <f t="shared" si="36"/>
        <v/>
      </c>
      <c r="BN34" s="414" t="str">
        <f t="shared" si="36"/>
        <v/>
      </c>
      <c r="BO34" s="413" t="str">
        <f t="shared" si="36"/>
        <v/>
      </c>
      <c r="BP34" s="413" t="str">
        <f t="shared" si="36"/>
        <v/>
      </c>
      <c r="BQ34" s="413" t="str">
        <f t="shared" si="36"/>
        <v/>
      </c>
      <c r="BR34" s="413" t="str">
        <f t="shared" si="36"/>
        <v/>
      </c>
      <c r="BS34" s="414" t="str">
        <f t="shared" ref="BS34:BZ34" si="37">BS510</f>
        <v/>
      </c>
      <c r="BT34" s="414" t="str">
        <f t="shared" si="37"/>
        <v/>
      </c>
      <c r="BU34" s="414" t="str">
        <f t="shared" si="37"/>
        <v/>
      </c>
      <c r="BV34" s="414" t="str">
        <f t="shared" si="37"/>
        <v/>
      </c>
      <c r="BW34" s="176"/>
    </row>
    <row r="35" spans="1:75" s="177" customFormat="1" ht="14.25" x14ac:dyDescent="0.45">
      <c r="A35" s="523" t="s">
        <v>2214</v>
      </c>
      <c r="B35" s="491"/>
      <c r="C35" s="417"/>
      <c r="D35" s="417"/>
      <c r="E35" s="417"/>
      <c r="F35" s="417"/>
      <c r="G35" s="378"/>
      <c r="H35" s="176">
        <f t="shared" ref="H35:J35" si="38">H32/G32-1</f>
        <v>0.13092848285334546</v>
      </c>
      <c r="I35" s="176">
        <f t="shared" si="38"/>
        <v>0.16681417669734899</v>
      </c>
      <c r="J35" s="176">
        <f t="shared" si="38"/>
        <v>0.24454913991453942</v>
      </c>
      <c r="K35" s="417"/>
      <c r="L35" s="176">
        <f>L32/J32-1</f>
        <v>-5.6298969979751923E-2</v>
      </c>
      <c r="M35" s="176">
        <f t="shared" ref="M35:O35" si="39">M32/L32-1</f>
        <v>6.0027197020527057E-2</v>
      </c>
      <c r="N35" s="176">
        <f t="shared" si="39"/>
        <v>0.13793465273476224</v>
      </c>
      <c r="O35" s="176">
        <f t="shared" si="39"/>
        <v>0.21544790414886861</v>
      </c>
      <c r="P35" s="417"/>
      <c r="Q35" s="176">
        <f>Q32/O32-1</f>
        <v>3.8549357714644072E-2</v>
      </c>
      <c r="R35" s="176">
        <f t="shared" ref="R35:T35" si="40">R32/Q32-1</f>
        <v>0.15877852162376782</v>
      </c>
      <c r="S35" s="176">
        <f t="shared" si="40"/>
        <v>0.20786900714181122</v>
      </c>
      <c r="T35" s="176">
        <f t="shared" si="40"/>
        <v>0.24549642070670008</v>
      </c>
      <c r="U35" s="417"/>
      <c r="V35" s="176">
        <f>V32/T32-1</f>
        <v>1.0216412765784666E-2</v>
      </c>
      <c r="W35" s="176">
        <f t="shared" ref="W35:Y35" si="41">W32/V32-1</f>
        <v>5.2960602022083414E-2</v>
      </c>
      <c r="X35" s="176">
        <f t="shared" si="41"/>
        <v>9.4795203627269453E-2</v>
      </c>
      <c r="Y35" s="176">
        <f t="shared" si="41"/>
        <v>0.14280955282783414</v>
      </c>
      <c r="Z35" s="417"/>
      <c r="AA35" s="176">
        <f>AA32/Y32-1</f>
        <v>-2.4106224207995575E-2</v>
      </c>
      <c r="AB35" s="176">
        <f t="shared" ref="AB35:AD35" si="42">AB32/AA32-1</f>
        <v>0.1686373689277445</v>
      </c>
      <c r="AC35" s="176">
        <f t="shared" si="42"/>
        <v>6.7098541576123605E-2</v>
      </c>
      <c r="AD35" s="176">
        <f t="shared" si="42"/>
        <v>0.20098347685441009</v>
      </c>
      <c r="AE35" s="417"/>
      <c r="AF35" s="176">
        <f>AF32/AD32-1</f>
        <v>-2.4146361124546378E-2</v>
      </c>
      <c r="AG35" s="176">
        <f t="shared" ref="AG35:AI35" si="43">AG32/AF32-1</f>
        <v>0.1787314253892951</v>
      </c>
      <c r="AH35" s="176">
        <f t="shared" si="43"/>
        <v>3.0441816854915427E-2</v>
      </c>
      <c r="AI35" s="176">
        <f t="shared" si="43"/>
        <v>0.1807873267883997</v>
      </c>
      <c r="AJ35" s="417"/>
      <c r="AK35" s="176">
        <f>AK32/AI32-1</f>
        <v>-3.4347002289965678E-2</v>
      </c>
      <c r="AL35" s="176">
        <f t="shared" ref="AL35:AN35" si="44">AL32/AK32-1</f>
        <v>0.20486222696185652</v>
      </c>
      <c r="AM35" s="176">
        <f t="shared" si="44"/>
        <v>-1.611607121900327E-2</v>
      </c>
      <c r="AN35" s="176">
        <f t="shared" si="44"/>
        <v>9.8895808130777141E-2</v>
      </c>
      <c r="AO35" s="417"/>
      <c r="AP35" s="176">
        <f>AP32/AN32-1</f>
        <v>-8.0295165956842385E-2</v>
      </c>
      <c r="AQ35" s="176">
        <f t="shared" ref="AQ35:AS35" si="45">AQ32/AP32-1</f>
        <v>0.8474487599691507</v>
      </c>
      <c r="AR35" s="176">
        <f t="shared" si="45"/>
        <v>-0.10804586272775241</v>
      </c>
      <c r="AS35" s="176">
        <f t="shared" si="45"/>
        <v>-4.3942160189812784E-2</v>
      </c>
      <c r="AT35" s="417"/>
      <c r="AU35" s="176">
        <f>AU32/AS32-1</f>
        <v>-5.2667079105090497E-2</v>
      </c>
      <c r="AV35" s="176">
        <f t="shared" ref="AV35" si="46">AV32/AU32-1</f>
        <v>0.10930439468609521</v>
      </c>
      <c r="AW35" s="176">
        <f>AW32/AV32-1</f>
        <v>-0.19093167663220856</v>
      </c>
      <c r="AX35" s="176">
        <f>AX32/AW32-1</f>
        <v>4.1873285651166325E-2</v>
      </c>
      <c r="AY35" s="417"/>
      <c r="AZ35" s="176">
        <f>AZ32/AX32-1</f>
        <v>-7.957904810698635E-2</v>
      </c>
      <c r="BA35" s="176">
        <f>BA32/AZ32-1</f>
        <v>9.7226862679585802E-2</v>
      </c>
      <c r="BB35" s="176">
        <f>BB32/BA32-1</f>
        <v>-0.1352009744214373</v>
      </c>
      <c r="BC35" s="176">
        <f>BC32/BB32-1</f>
        <v>9.1901408450704158E-2</v>
      </c>
      <c r="BD35" s="417"/>
      <c r="BE35" s="176">
        <f>BE32/BC32-1</f>
        <v>-0.10544985488552083</v>
      </c>
      <c r="BF35" s="176">
        <f>BF32/BE32-1</f>
        <v>0.14311463590483053</v>
      </c>
      <c r="BG35" s="176">
        <f>BG32/BF32-1</f>
        <v>-7.1586250394197415E-2</v>
      </c>
      <c r="BH35" s="176">
        <f>BH32/BG32-1</f>
        <v>5.7744565217391353E-2</v>
      </c>
      <c r="BI35" s="417"/>
      <c r="BJ35" s="1167">
        <f>BJ32/BH32-1</f>
        <v>-0.1236351958895312</v>
      </c>
      <c r="BK35" s="378">
        <f>BK32/BJ32-1</f>
        <v>0.17909957383657016</v>
      </c>
      <c r="BL35" s="378">
        <f>BL32/BK32-1</f>
        <v>-7.1586250394197193E-2</v>
      </c>
      <c r="BM35" s="378">
        <f>BM32/BL32-1</f>
        <v>5.7744565217390909E-2</v>
      </c>
      <c r="BN35" s="417"/>
      <c r="BO35" s="378">
        <f>BO32/BM32-1</f>
        <v>-8.3598225143367455E-2</v>
      </c>
      <c r="BP35" s="378">
        <f>BP32/BO32-1</f>
        <v>0.1790995738365706</v>
      </c>
      <c r="BQ35" s="378">
        <f>BQ32/BP32-1</f>
        <v>-7.1586250394197415E-2</v>
      </c>
      <c r="BR35" s="378">
        <f>BR32/BQ32-1</f>
        <v>5.7744565217391131E-2</v>
      </c>
      <c r="BS35" s="417"/>
      <c r="BT35" s="417"/>
      <c r="BU35" s="417"/>
      <c r="BV35" s="417"/>
      <c r="BW35" s="176"/>
    </row>
    <row r="36" spans="1:75" s="1413" customFormat="1" ht="14.25" x14ac:dyDescent="0.45">
      <c r="A36" s="523" t="s">
        <v>191</v>
      </c>
      <c r="B36" s="1412"/>
      <c r="C36" s="172"/>
      <c r="D36" s="172"/>
      <c r="E36" s="172"/>
      <c r="F36" s="1226">
        <f>F32/E32-1</f>
        <v>0.16177493930443654</v>
      </c>
      <c r="G36" s="175"/>
      <c r="H36" s="175"/>
      <c r="I36" s="175"/>
      <c r="J36" s="175"/>
      <c r="K36" s="1226">
        <f t="shared" ref="K36:BN36" si="47">K32/F32-1</f>
        <v>0.5237942325482341</v>
      </c>
      <c r="L36" s="461">
        <f t="shared" si="47"/>
        <v>0.5498273378894627</v>
      </c>
      <c r="M36" s="461">
        <f t="shared" si="47"/>
        <v>0.4526640311541188</v>
      </c>
      <c r="N36" s="461">
        <f t="shared" si="47"/>
        <v>0.41670950940152185</v>
      </c>
      <c r="O36" s="461">
        <f t="shared" si="47"/>
        <v>0.38358265556962556</v>
      </c>
      <c r="P36" s="1226">
        <f t="shared" si="47"/>
        <v>0.44014967630914903</v>
      </c>
      <c r="Q36" s="461">
        <f t="shared" si="47"/>
        <v>0.52264205778828687</v>
      </c>
      <c r="R36" s="461">
        <f t="shared" si="47"/>
        <v>0.66449022972748839</v>
      </c>
      <c r="S36" s="461">
        <f t="shared" si="47"/>
        <v>0.76678525110949836</v>
      </c>
      <c r="T36" s="461">
        <f t="shared" si="47"/>
        <v>0.81046402639133364</v>
      </c>
      <c r="U36" s="1226">
        <f t="shared" si="47"/>
        <v>0.70581393850112706</v>
      </c>
      <c r="V36" s="461">
        <f t="shared" si="47"/>
        <v>0.76107226931152194</v>
      </c>
      <c r="W36" s="461">
        <f t="shared" si="47"/>
        <v>0.60025378646146832</v>
      </c>
      <c r="X36" s="461">
        <f t="shared" si="47"/>
        <v>0.45044715912534605</v>
      </c>
      <c r="Y36" s="461">
        <f t="shared" si="47"/>
        <v>0.33086281241974036</v>
      </c>
      <c r="Z36" s="1226">
        <f t="shared" si="47"/>
        <v>0.50245901457185571</v>
      </c>
      <c r="AA36" s="461">
        <f t="shared" si="47"/>
        <v>0.28564604441304442</v>
      </c>
      <c r="AB36" s="461">
        <f t="shared" si="47"/>
        <v>0.42688530589837947</v>
      </c>
      <c r="AC36" s="461">
        <f t="shared" si="47"/>
        <v>0.39078726676532871</v>
      </c>
      <c r="AD36" s="461">
        <f t="shared" si="47"/>
        <v>0.4615843235397783</v>
      </c>
      <c r="AE36" s="1226">
        <f t="shared" si="47"/>
        <v>0.39656575039344921</v>
      </c>
      <c r="AF36" s="461">
        <f t="shared" si="47"/>
        <v>0.46152421096453589</v>
      </c>
      <c r="AG36" s="461">
        <f t="shared" si="47"/>
        <v>0.47414806529065179</v>
      </c>
      <c r="AH36" s="461">
        <f t="shared" si="47"/>
        <v>0.42350846855027324</v>
      </c>
      <c r="AI36" s="461">
        <f t="shared" si="47"/>
        <v>0.39957026190118761</v>
      </c>
      <c r="AJ36" s="1226">
        <f t="shared" si="47"/>
        <v>0.43599338684719724</v>
      </c>
      <c r="AK36" s="461">
        <f t="shared" si="47"/>
        <v>0.38494049217065962</v>
      </c>
      <c r="AL36" s="461">
        <f t="shared" si="47"/>
        <v>0.41564265587921145</v>
      </c>
      <c r="AM36" s="461">
        <f t="shared" si="47"/>
        <v>0.35168044933148446</v>
      </c>
      <c r="AN36" s="461">
        <f t="shared" si="47"/>
        <v>0.25793692564662285</v>
      </c>
      <c r="AO36" s="1226">
        <f t="shared" si="47"/>
        <v>0.34633762166305226</v>
      </c>
      <c r="AP36" s="461">
        <f t="shared" si="47"/>
        <v>0.1980811680615624</v>
      </c>
      <c r="AQ36" s="461">
        <f t="shared" si="47"/>
        <v>0.83705117377523752</v>
      </c>
      <c r="AR36" s="461">
        <f t="shared" si="47"/>
        <v>0.66540518337340471</v>
      </c>
      <c r="AS36" s="461">
        <f t="shared" si="47"/>
        <v>0.44893052666479827</v>
      </c>
      <c r="AT36" s="1226">
        <f t="shared" si="47"/>
        <v>0.54980471799398178</v>
      </c>
      <c r="AU36" s="461">
        <f t="shared" si="47"/>
        <v>0.49245664173028803</v>
      </c>
      <c r="AV36" s="461">
        <f t="shared" si="47"/>
        <v>-0.10385135034678583</v>
      </c>
      <c r="AW36" s="461">
        <f t="shared" si="47"/>
        <v>-0.18712694390257245</v>
      </c>
      <c r="AX36" s="461">
        <f t="shared" si="47"/>
        <v>-0.11416371844022033</v>
      </c>
      <c r="AY36" s="1226">
        <f t="shared" si="47"/>
        <v>-3.0904996735278023E-2</v>
      </c>
      <c r="AZ36" s="461">
        <f t="shared" si="47"/>
        <v>-0.13932868212328453</v>
      </c>
      <c r="BA36" s="461">
        <f t="shared" si="47"/>
        <v>-0.1486992258969636</v>
      </c>
      <c r="BB36" s="461">
        <f t="shared" si="47"/>
        <v>-9.0059444109624742E-2</v>
      </c>
      <c r="BC36" s="461">
        <f t="shared" si="47"/>
        <v>-4.636639765444861E-2</v>
      </c>
      <c r="BD36" s="1226">
        <f t="shared" si="47"/>
        <v>-0.10869565217391308</v>
      </c>
      <c r="BE36" s="461">
        <f t="shared" si="47"/>
        <v>-7.3170731707317027E-2</v>
      </c>
      <c r="BF36" s="461">
        <f t="shared" si="47"/>
        <v>-3.4409257003654048E-2</v>
      </c>
      <c r="BG36" s="461">
        <f t="shared" si="47"/>
        <v>3.6619718309859106E-2</v>
      </c>
      <c r="BH36" s="461">
        <f t="shared" si="47"/>
        <v>4.1921960657851365E-3</v>
      </c>
      <c r="BI36" s="1226">
        <f t="shared" si="47"/>
        <v>-1.7596988050417428E-2</v>
      </c>
      <c r="BJ36" s="1363">
        <f>BJ32/BE32-1</f>
        <v>-1.6222062004325855E-2</v>
      </c>
      <c r="BK36" s="175">
        <f t="shared" si="47"/>
        <v>1.4747000000000066E-2</v>
      </c>
      <c r="BL36" s="175">
        <f t="shared" si="47"/>
        <v>1.4747000000000288E-2</v>
      </c>
      <c r="BM36" s="175">
        <f t="shared" si="47"/>
        <v>1.4746999999999844E-2</v>
      </c>
      <c r="BN36" s="172">
        <f t="shared" si="47"/>
        <v>7.5897744730484273E-3</v>
      </c>
      <c r="BO36" s="175">
        <f>BO32/BJ32-1</f>
        <v>6.1106000000000105E-2</v>
      </c>
      <c r="BP36" s="175">
        <f>BP32/BK32-1</f>
        <v>6.1106000000000327E-2</v>
      </c>
      <c r="BQ36" s="175">
        <f>BQ32/BL32-1</f>
        <v>6.1106000000000105E-2</v>
      </c>
      <c r="BR36" s="175">
        <f>BR32/BM32-1</f>
        <v>6.1106000000000327E-2</v>
      </c>
      <c r="BS36" s="172">
        <f>BS32/BN32-1</f>
        <v>6.1106000000000327E-2</v>
      </c>
      <c r="BT36" s="172">
        <f>BT32/BS32-1</f>
        <v>7.1509000000000045E-2</v>
      </c>
      <c r="BU36" s="172">
        <f>BU32/BT32-1</f>
        <v>7.1509000000000045E-2</v>
      </c>
      <c r="BV36" s="172">
        <f>BV32/BU32-1</f>
        <v>7.1509000000000045E-2</v>
      </c>
      <c r="BW36" s="176"/>
    </row>
    <row r="37" spans="1:75" s="217" customFormat="1" ht="7.5" customHeight="1" x14ac:dyDescent="0.5">
      <c r="A37" s="178"/>
      <c r="B37" s="1387"/>
      <c r="C37" s="840"/>
      <c r="D37" s="840"/>
      <c r="E37" s="840"/>
      <c r="F37" s="840"/>
      <c r="G37" s="247"/>
      <c r="H37" s="247"/>
      <c r="I37" s="247"/>
      <c r="J37" s="247"/>
      <c r="K37" s="840"/>
      <c r="L37" s="247"/>
      <c r="M37" s="247"/>
      <c r="N37" s="247"/>
      <c r="O37" s="247"/>
      <c r="P37" s="840"/>
      <c r="Q37" s="247"/>
      <c r="R37" s="247"/>
      <c r="S37" s="247"/>
      <c r="T37" s="247"/>
      <c r="U37" s="840"/>
      <c r="V37" s="247"/>
      <c r="W37" s="247"/>
      <c r="X37" s="247"/>
      <c r="Y37" s="247"/>
      <c r="Z37" s="840"/>
      <c r="AA37" s="247"/>
      <c r="AB37" s="247"/>
      <c r="AC37" s="247"/>
      <c r="AD37" s="247"/>
      <c r="AE37" s="840"/>
      <c r="AF37" s="247"/>
      <c r="AG37" s="247"/>
      <c r="AH37" s="247"/>
      <c r="AI37" s="247"/>
      <c r="AJ37" s="840"/>
      <c r="AK37" s="247"/>
      <c r="AL37" s="247"/>
      <c r="AM37" s="247"/>
      <c r="AN37" s="247"/>
      <c r="AO37" s="840"/>
      <c r="AP37" s="247"/>
      <c r="AQ37" s="247"/>
      <c r="AR37" s="247"/>
      <c r="AS37" s="247"/>
      <c r="AT37" s="840"/>
      <c r="AU37" s="247"/>
      <c r="AV37" s="247"/>
      <c r="AW37" s="247"/>
      <c r="AX37" s="247"/>
      <c r="AY37" s="840"/>
      <c r="AZ37" s="247"/>
      <c r="BA37" s="247"/>
      <c r="BB37" s="247"/>
      <c r="BC37" s="247"/>
      <c r="BD37" s="840"/>
      <c r="BE37" s="247"/>
      <c r="BF37" s="247"/>
      <c r="BG37" s="247"/>
      <c r="BH37" s="247"/>
      <c r="BI37" s="840"/>
      <c r="BJ37" s="977"/>
      <c r="BK37" s="247"/>
      <c r="BL37" s="247"/>
      <c r="BM37" s="247"/>
      <c r="BN37" s="840"/>
      <c r="BO37" s="247"/>
      <c r="BP37" s="247"/>
      <c r="BQ37" s="247"/>
      <c r="BR37" s="247"/>
      <c r="BS37" s="840"/>
      <c r="BT37" s="840"/>
      <c r="BU37" s="840"/>
      <c r="BV37" s="840"/>
      <c r="BW37" s="161"/>
    </row>
    <row r="38" spans="1:75" s="370" customFormat="1" x14ac:dyDescent="0.5">
      <c r="A38" s="1235" t="s">
        <v>2215</v>
      </c>
      <c r="B38" s="1236"/>
      <c r="C38" s="1238"/>
      <c r="D38" s="1238"/>
      <c r="E38" s="1238"/>
      <c r="F38" s="1237">
        <f>F28*1000/F9</f>
        <v>299.68437259430328</v>
      </c>
      <c r="G38" s="569"/>
      <c r="H38" s="569"/>
      <c r="I38" s="569"/>
      <c r="J38" s="569"/>
      <c r="K38" s="1237">
        <f>K28*1000/K9</f>
        <v>321.91491395793497</v>
      </c>
      <c r="L38" s="572">
        <f>SUM(L28,J28,I28,H28)*1000/L9</f>
        <v>323.29970942299707</v>
      </c>
      <c r="M38" s="572">
        <f>SUM(M28,L28,J28,I28)*1000/M9</f>
        <v>331.92220113851994</v>
      </c>
      <c r="N38" s="572">
        <f>SUM(N28,M28,L28,J28)*1000/N9</f>
        <v>342.34569629111269</v>
      </c>
      <c r="O38" s="572">
        <f>SUM(O28,N28,M28,L28)*1000/O9</f>
        <v>342.45756916381714</v>
      </c>
      <c r="P38" s="1237">
        <f>P28*1000/P9</f>
        <v>342.4575691638172</v>
      </c>
      <c r="Q38" s="572">
        <f>SUM(Q28,O28,N28,M28)*1000/Q9</f>
        <v>346.14456491520707</v>
      </c>
      <c r="R38" s="572">
        <f>SUM(R28,Q28,O28,N28)*1000/R9</f>
        <v>356.53931750741833</v>
      </c>
      <c r="S38" s="572">
        <f>SUM(S28,R28,Q28,O28)*1000/S9</f>
        <v>370.57590938793288</v>
      </c>
      <c r="T38" s="572">
        <f>SUM(T28,S28,R28,Q28)*1000/T9</f>
        <v>380.64141791044779</v>
      </c>
      <c r="U38" s="1237">
        <f>U28*1000/U9</f>
        <v>380.64141791044779</v>
      </c>
      <c r="V38" s="572">
        <f>SUM(V28,T28,S28,R28)*1000/V9</f>
        <v>392.27658873888709</v>
      </c>
      <c r="W38" s="572">
        <f>SUM(W28,V28,T28,S28)*1000/W9</f>
        <v>404.38369304556358</v>
      </c>
      <c r="X38" s="572">
        <f>SUM(X28,W28,V28,T28)*1000/X9</f>
        <v>405.52499320836728</v>
      </c>
      <c r="Y38" s="572">
        <f>SUM(Y28,X28,W28,V28)*1000/Y9</f>
        <v>395.01927272727272</v>
      </c>
      <c r="Z38" s="1237">
        <f>Z28*1000/Z9</f>
        <v>395.01927272727272</v>
      </c>
      <c r="AA38" s="572">
        <f>SUM(AA28,Y28,X28,W28)*1000/AA9</f>
        <v>393.83568605307738</v>
      </c>
      <c r="AB38" s="572">
        <f>SUM(AB28,AA28,Y28,X28)*1000/AB9</f>
        <v>401.61506232324291</v>
      </c>
      <c r="AC38" s="572">
        <f>SUM(AC28,AB28,AA28,Y28)*1000/AC9</f>
        <v>408.10185365853658</v>
      </c>
      <c r="AD38" s="572">
        <f>SUM(AD28,AC28,AB28,AA28)*1000/AD9</f>
        <v>422.49708826205642</v>
      </c>
      <c r="AE38" s="1237">
        <f>AE28*1000/AE9</f>
        <v>422.49708826205642</v>
      </c>
      <c r="AF38" s="572">
        <f>SUM(AF28,AD28,AC28,AB28)*1000/AF9</f>
        <v>431.68978380669785</v>
      </c>
      <c r="AG38" s="572">
        <f>SUM(AG28,AF28,AD28,AC28)*1000/AG9</f>
        <v>440.13766416510322</v>
      </c>
      <c r="AH38" s="572">
        <f>SUM(AH28,AG28,AF28,AD28)*1000/AH9</f>
        <v>443.10779220779222</v>
      </c>
      <c r="AI38" s="572">
        <f>SUM(AI28,AH28,AG28,AF28)*1000/AI9</f>
        <v>443.29125701088753</v>
      </c>
      <c r="AJ38" s="1237">
        <f>AJ28*1000/AJ9</f>
        <v>443.29125701088748</v>
      </c>
      <c r="AK38" s="572">
        <f>SUM(AK28,AI28,AH28,AG28)*1000/AK9</f>
        <v>442.48963920039006</v>
      </c>
      <c r="AL38" s="572">
        <f>SUM(AL28,AK28,AI28,AH28)*1000/AL9</f>
        <v>446.7221754031126</v>
      </c>
      <c r="AM38" s="572">
        <f>SUM(AM28,AL28,AK28,AI28)*1000/AM9</f>
        <v>448.76681873000894</v>
      </c>
      <c r="AN38" s="572">
        <f>SUM(AN28,AM28,AL28,AK28)*1000/AN9</f>
        <v>447.91887629374077</v>
      </c>
      <c r="AO38" s="1237">
        <f>AO28*1000/AO9</f>
        <v>447.91887629374077</v>
      </c>
      <c r="AP38" s="572">
        <f>SUM(AP28,AN28,AM28,AL28)*1000/AP9</f>
        <v>449.10342050407428</v>
      </c>
      <c r="AQ38" s="572">
        <f>SUM(AQ28,AP28,AN28,AM28)*1000/AQ9</f>
        <v>440.43850802571302</v>
      </c>
      <c r="AR38" s="572">
        <f>SUM(AR28,AQ28,AP28,AN28)*1000/AR9</f>
        <v>450.60407184796583</v>
      </c>
      <c r="AS38" s="572">
        <f>SUM(AS28,AR28,AQ28,AP28)*1000/AS9</f>
        <v>452.5729948066936</v>
      </c>
      <c r="AT38" s="1237">
        <f>AT28*1000/AT9</f>
        <v>452.57299480669354</v>
      </c>
      <c r="AU38" s="572">
        <f>SUM(AU28,AS28,AR28,AQ28)*1000/AU9</f>
        <v>460.11201156870425</v>
      </c>
      <c r="AV38" s="572">
        <f>SUM(AV28,AU28,AS28,AR28)*1000/AV9</f>
        <v>477.54491904593294</v>
      </c>
      <c r="AW38" s="572">
        <f>SUM(AW28,AV28,AU28,AS28)*1000/AW9</f>
        <v>483.67870468626984</v>
      </c>
      <c r="AX38" s="572">
        <f>SUM(AX28,AW28,AV28,AU28)*1000/AX9</f>
        <v>502.12454212454213</v>
      </c>
      <c r="AY38" s="1237">
        <f>AY28*1000/AY9</f>
        <v>502.12454212454213</v>
      </c>
      <c r="AZ38" s="572">
        <f>SUM(AZ28,AX28,AW28,AV28)*1000/AZ9</f>
        <v>520.6095275590551</v>
      </c>
      <c r="BA38" s="572">
        <f>SUM(BA28,AZ28,AX28,AW28)*1000/BA9</f>
        <v>536.01084745762716</v>
      </c>
      <c r="BB38" s="572">
        <f>SUM(BB28,BA28,AZ28,AX28)*1000/BB9</f>
        <v>547.29084070796455</v>
      </c>
      <c r="BC38" s="572">
        <f>SUM(BC28,BB28,BA28,AZ28)*1000/BC9</f>
        <v>552.85067873303171</v>
      </c>
      <c r="BD38" s="1237">
        <f>BD28*1000/BD9</f>
        <v>552.85067873303171</v>
      </c>
      <c r="BE38" s="572">
        <f>SUM(BE28,BC28,BB28,BA28)*1000/BE9</f>
        <v>552.9493087557604</v>
      </c>
      <c r="BF38" s="572">
        <f>SUM(BF28,BE28,BC28,BB28)*1000/BF9</f>
        <v>545.2293577981651</v>
      </c>
      <c r="BG38" s="572">
        <f>SUM(BG28,BF28,BE28,BC28)*1000/BG9</f>
        <v>537.66816143497761</v>
      </c>
      <c r="BH38" s="572">
        <f>SUM(BH28,BG28,BF28,BE28)*1000/BH9</f>
        <v>535.84821428571433</v>
      </c>
      <c r="BI38" s="1237">
        <f>BI28*1000/BI9</f>
        <v>535.84821428571433</v>
      </c>
      <c r="BJ38" s="1425">
        <f>SUM(BJ28,BH28,BG28,BF28)*1000/BJ9</f>
        <v>536.23318385650225</v>
      </c>
      <c r="BK38" s="569">
        <f>SUM(BG28,BH28,BJ28,BK28)/BK9*1000</f>
        <v>539.87959781435518</v>
      </c>
      <c r="BL38" s="569">
        <f>SUM(BH28,BJ28,BK28,BL28)/BL9*1000</f>
        <v>529.68336872417149</v>
      </c>
      <c r="BM38" s="569">
        <f>SUM(BJ28,BK28,BL28,BM28)/BM9*1000</f>
        <v>529.32860919992993</v>
      </c>
      <c r="BN38" s="1238">
        <f>BN28*1000/BN9</f>
        <v>529.32860919992993</v>
      </c>
      <c r="BO38" s="569">
        <f>SUM(BK28,BL28,BM28,BO28)/BO9*1000</f>
        <v>533.80026718620741</v>
      </c>
      <c r="BP38" s="569">
        <f>SUM(BL28,BM28,BO28,BP28)/BP9*1000</f>
        <v>543.9217322214796</v>
      </c>
      <c r="BQ38" s="569">
        <f>SUM(BM28,BO28,BP28,BQ28)/BQ9*1000</f>
        <v>539.51796658851072</v>
      </c>
      <c r="BR38" s="569">
        <f>SUM(BO28,BP28,BQ28,BR28)/BR9*1000</f>
        <v>545.31433319776795</v>
      </c>
      <c r="BS38" s="1238">
        <f>BS28*1000/BS9</f>
        <v>545.31433319776795</v>
      </c>
      <c r="BT38" s="1238">
        <f>BT28*1000/BT9</f>
        <v>567.29050082563811</v>
      </c>
      <c r="BU38" s="1238">
        <f>BU28*1000/BU9</f>
        <v>590.15230800891129</v>
      </c>
      <c r="BV38" s="1238">
        <f>BV28*1000/BV9</f>
        <v>613.93544602167049</v>
      </c>
      <c r="BW38" s="161"/>
    </row>
    <row r="39" spans="1:75" s="177" customFormat="1" ht="14.25" x14ac:dyDescent="0.45">
      <c r="A39" s="564" t="s">
        <v>2216</v>
      </c>
      <c r="B39" s="491"/>
      <c r="C39" s="417"/>
      <c r="D39" s="417"/>
      <c r="E39" s="417"/>
      <c r="F39" s="417"/>
      <c r="G39" s="378"/>
      <c r="H39" s="378"/>
      <c r="I39" s="378"/>
      <c r="J39" s="378"/>
      <c r="K39" s="1168">
        <f>K38/F38-1</f>
        <v>7.4179848522586189E-2</v>
      </c>
      <c r="L39" s="378"/>
      <c r="M39" s="378"/>
      <c r="N39" s="378"/>
      <c r="O39" s="378"/>
      <c r="P39" s="1168">
        <f t="shared" ref="P39:BN39" si="48">P38/K38-1</f>
        <v>6.3813928200190606E-2</v>
      </c>
      <c r="Q39" s="176">
        <f t="shared" si="48"/>
        <v>7.0661540441783632E-2</v>
      </c>
      <c r="R39" s="176">
        <f t="shared" si="48"/>
        <v>7.4165320320423556E-2</v>
      </c>
      <c r="S39" s="176">
        <f t="shared" si="48"/>
        <v>8.2461130379786418E-2</v>
      </c>
      <c r="T39" s="176">
        <f t="shared" si="48"/>
        <v>0.11149950295992772</v>
      </c>
      <c r="U39" s="1168">
        <f t="shared" si="48"/>
        <v>0.1114995029599275</v>
      </c>
      <c r="V39" s="176">
        <f t="shared" si="48"/>
        <v>0.13327386444730305</v>
      </c>
      <c r="W39" s="176">
        <f t="shared" si="48"/>
        <v>0.13419102238885561</v>
      </c>
      <c r="X39" s="176">
        <f t="shared" si="48"/>
        <v>9.4310188371819814E-2</v>
      </c>
      <c r="Y39" s="176">
        <f t="shared" si="48"/>
        <v>3.7772701919178919E-2</v>
      </c>
      <c r="Z39" s="1168">
        <f t="shared" si="48"/>
        <v>3.7772701919178919E-2</v>
      </c>
      <c r="AA39" s="176">
        <f t="shared" si="48"/>
        <v>3.9744847358915703E-3</v>
      </c>
      <c r="AB39" s="176">
        <f t="shared" si="48"/>
        <v>-6.8465439381817372E-3</v>
      </c>
      <c r="AC39" s="176">
        <f t="shared" si="48"/>
        <v>6.3543813410416039E-3</v>
      </c>
      <c r="AD39" s="176">
        <f t="shared" si="48"/>
        <v>6.9560695975851239E-2</v>
      </c>
      <c r="AE39" s="1168">
        <f t="shared" si="48"/>
        <v>6.9560695975851239E-2</v>
      </c>
      <c r="AF39" s="176">
        <f t="shared" si="48"/>
        <v>9.611647469782314E-2</v>
      </c>
      <c r="AG39" s="176">
        <f t="shared" si="48"/>
        <v>9.5919215825762683E-2</v>
      </c>
      <c r="AH39" s="176">
        <f t="shared" si="48"/>
        <v>8.5777455396087277E-2</v>
      </c>
      <c r="AI39" s="176">
        <f t="shared" si="48"/>
        <v>4.9217306643148717E-2</v>
      </c>
      <c r="AJ39" s="1168">
        <f t="shared" si="48"/>
        <v>4.9217306643148717E-2</v>
      </c>
      <c r="AK39" s="176">
        <f t="shared" si="48"/>
        <v>2.5017630249337008E-2</v>
      </c>
      <c r="AL39" s="176">
        <f t="shared" si="48"/>
        <v>1.4960117649780225E-2</v>
      </c>
      <c r="AM39" s="176">
        <f t="shared" si="48"/>
        <v>1.2771218700579734E-2</v>
      </c>
      <c r="AN39" s="176">
        <f t="shared" si="48"/>
        <v>1.0439229760715873E-2</v>
      </c>
      <c r="AO39" s="1168">
        <f t="shared" si="48"/>
        <v>1.0439229760716096E-2</v>
      </c>
      <c r="AP39" s="176">
        <f t="shared" si="48"/>
        <v>1.4946748393105391E-2</v>
      </c>
      <c r="AQ39" s="176">
        <f t="shared" si="48"/>
        <v>-1.4066163990469782E-2</v>
      </c>
      <c r="AR39" s="176">
        <f t="shared" si="48"/>
        <v>4.0940039264851791E-3</v>
      </c>
      <c r="AS39" s="176">
        <f t="shared" si="48"/>
        <v>1.039053891066799E-2</v>
      </c>
      <c r="AT39" s="1168">
        <f t="shared" si="48"/>
        <v>1.039053891066799E-2</v>
      </c>
      <c r="AU39" s="176">
        <f t="shared" si="48"/>
        <v>2.4512374125928327E-2</v>
      </c>
      <c r="AV39" s="176">
        <f t="shared" si="48"/>
        <v>8.4248789204538932E-2</v>
      </c>
      <c r="AW39" s="176">
        <f t="shared" si="48"/>
        <v>7.3400652379065567E-2</v>
      </c>
      <c r="AX39" s="176">
        <f t="shared" si="48"/>
        <v>0.10948851983316721</v>
      </c>
      <c r="AY39" s="1168">
        <f t="shared" si="48"/>
        <v>0.10948851983316721</v>
      </c>
      <c r="AZ39" s="176">
        <f t="shared" si="48"/>
        <v>0.1314843222286044</v>
      </c>
      <c r="BA39" s="176">
        <f t="shared" si="48"/>
        <v>0.12243021772381302</v>
      </c>
      <c r="BB39" s="176">
        <f t="shared" si="48"/>
        <v>0.13151733869068249</v>
      </c>
      <c r="BC39" s="176">
        <f t="shared" si="48"/>
        <v>0.10102301790281332</v>
      </c>
      <c r="BD39" s="1168">
        <f t="shared" si="48"/>
        <v>0.10102301790281332</v>
      </c>
      <c r="BE39" s="176">
        <f t="shared" si="48"/>
        <v>6.2119072903514816E-2</v>
      </c>
      <c r="BF39" s="176">
        <f t="shared" si="48"/>
        <v>1.7198365264924353E-2</v>
      </c>
      <c r="BG39" s="176">
        <f t="shared" si="48"/>
        <v>-1.7582386835743979E-2</v>
      </c>
      <c r="BH39" s="176">
        <f t="shared" si="48"/>
        <v>-3.0754171246170747E-2</v>
      </c>
      <c r="BI39" s="1168">
        <f t="shared" si="48"/>
        <v>-3.0754171246170747E-2</v>
      </c>
      <c r="BJ39" s="1167">
        <f>BJ38/BE38-1</f>
        <v>-3.0230845096583248E-2</v>
      </c>
      <c r="BK39" s="378">
        <f t="shared" si="48"/>
        <v>-9.811944106264181E-3</v>
      </c>
      <c r="BL39" s="378">
        <f t="shared" si="48"/>
        <v>-1.4850782106002991E-2</v>
      </c>
      <c r="BM39" s="378">
        <f t="shared" si="48"/>
        <v>-1.2166887771521306E-2</v>
      </c>
      <c r="BN39" s="417">
        <f t="shared" si="48"/>
        <v>-1.2166887771521306E-2</v>
      </c>
      <c r="BO39" s="378">
        <f>BO38/BJ38-1</f>
        <v>-4.5370498200012488E-3</v>
      </c>
      <c r="BP39" s="378">
        <f>BP38/BK38-1</f>
        <v>7.4871034643437806E-3</v>
      </c>
      <c r="BQ39" s="378">
        <f>BQ38/BL38-1</f>
        <v>1.8566937240312997E-2</v>
      </c>
      <c r="BR39" s="378">
        <f>BR38/BM38-1</f>
        <v>3.0200000000000227E-2</v>
      </c>
      <c r="BS39" s="417">
        <f>BS38/BN38-1</f>
        <v>3.0200000000000227E-2</v>
      </c>
      <c r="BT39" s="417">
        <f>BT38/BS38-1</f>
        <v>4.0300000000000225E-2</v>
      </c>
      <c r="BU39" s="417">
        <f>BU38/BT38-1</f>
        <v>4.0300000000000002E-2</v>
      </c>
      <c r="BV39" s="417">
        <f>BV38/BU38-1</f>
        <v>4.0300000000000225E-2</v>
      </c>
      <c r="BW39" s="176"/>
    </row>
    <row r="40" spans="1:75" s="370" customFormat="1" x14ac:dyDescent="0.5">
      <c r="A40" s="1426"/>
      <c r="B40" s="1427"/>
      <c r="C40" s="1428"/>
      <c r="D40" s="1428"/>
      <c r="E40" s="1428"/>
      <c r="F40" s="1428"/>
      <c r="G40" s="1429"/>
      <c r="H40" s="1429"/>
      <c r="I40" s="1429"/>
      <c r="J40" s="1429"/>
      <c r="K40" s="1428"/>
      <c r="L40" s="1429"/>
      <c r="M40" s="1429"/>
      <c r="N40" s="1429"/>
      <c r="O40" s="1429"/>
      <c r="P40" s="1428"/>
      <c r="Q40" s="1429"/>
      <c r="R40" s="1429"/>
      <c r="S40" s="1429"/>
      <c r="T40" s="1429"/>
      <c r="U40" s="1428"/>
      <c r="V40" s="1429"/>
      <c r="W40" s="1429"/>
      <c r="X40" s="1429"/>
      <c r="Y40" s="1429"/>
      <c r="Z40" s="1428"/>
      <c r="AA40" s="1429"/>
      <c r="AB40" s="1429"/>
      <c r="AC40" s="1429"/>
      <c r="AD40" s="1429"/>
      <c r="AE40" s="1428"/>
      <c r="AF40" s="1429"/>
      <c r="AG40" s="1429"/>
      <c r="AH40" s="1429"/>
      <c r="AI40" s="1429"/>
      <c r="AJ40" s="1428"/>
      <c r="AK40" s="1429"/>
      <c r="AL40" s="1429"/>
      <c r="AM40" s="1429"/>
      <c r="AN40" s="1429"/>
      <c r="AO40" s="1428"/>
      <c r="AP40" s="1429"/>
      <c r="AQ40" s="1429"/>
      <c r="AR40" s="1429"/>
      <c r="AS40" s="1429"/>
      <c r="AT40" s="1428"/>
      <c r="AU40" s="1429"/>
      <c r="AV40" s="1429"/>
      <c r="AW40" s="1429"/>
      <c r="AX40" s="1429"/>
      <c r="AY40" s="1428"/>
      <c r="AZ40" s="1429"/>
      <c r="BA40" s="1429"/>
      <c r="BB40" s="1429"/>
      <c r="BC40" s="1429"/>
      <c r="BD40" s="1428"/>
      <c r="BE40" s="1429"/>
      <c r="BF40" s="1429"/>
      <c r="BG40" s="1429"/>
      <c r="BH40" s="1429"/>
      <c r="BI40" s="1428"/>
      <c r="BJ40" s="1430"/>
      <c r="BK40" s="1429"/>
      <c r="BL40" s="1429"/>
      <c r="BM40" s="1429"/>
      <c r="BN40" s="1428"/>
      <c r="BO40" s="1429"/>
      <c r="BP40" s="1429"/>
      <c r="BQ40" s="1429"/>
      <c r="BR40" s="1429"/>
      <c r="BS40" s="1428"/>
      <c r="BT40" s="1428"/>
      <c r="BU40" s="1428"/>
      <c r="BV40" s="1428"/>
      <c r="BW40" s="572"/>
    </row>
    <row r="41" spans="1:75" x14ac:dyDescent="0.5">
      <c r="A41" s="239" t="s">
        <v>2217</v>
      </c>
      <c r="B41" s="239"/>
      <c r="C41" s="239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41"/>
      <c r="BK41" s="239"/>
      <c r="BL41" s="239"/>
      <c r="BM41" s="239"/>
      <c r="BN41" s="239"/>
      <c r="BO41" s="239"/>
      <c r="BP41" s="239"/>
      <c r="BQ41" s="239"/>
      <c r="BR41" s="239"/>
      <c r="BS41" s="239"/>
      <c r="BT41" s="239"/>
      <c r="BU41" s="239"/>
      <c r="BV41" s="239"/>
      <c r="BW41" s="572"/>
    </row>
    <row r="42" spans="1:75" hidden="1" outlineLevel="1" x14ac:dyDescent="0.5">
      <c r="A42" s="464" t="s">
        <v>2218</v>
      </c>
      <c r="B42" s="489"/>
      <c r="C42" s="401"/>
      <c r="D42" s="401"/>
      <c r="E42" s="401"/>
      <c r="F42" s="403">
        <v>542.73599999999999</v>
      </c>
      <c r="G42" s="302">
        <v>168.10300000000001</v>
      </c>
      <c r="H42" s="122">
        <f>359.652-G42</f>
        <v>191.54899999999998</v>
      </c>
      <c r="I42" s="302">
        <v>221.42099999999999</v>
      </c>
      <c r="J42" s="122">
        <f>K42-SUM(G42,H42,I42)</f>
        <v>275.928</v>
      </c>
      <c r="K42" s="403">
        <v>857.00099999999998</v>
      </c>
      <c r="L42" s="302">
        <v>260.13499999999999</v>
      </c>
      <c r="M42" s="302">
        <v>276.69400000000002</v>
      </c>
      <c r="N42" s="302">
        <v>314.75400000000002</v>
      </c>
      <c r="O42" s="122">
        <f>P42-SUM(L42,M42,N42)</f>
        <v>384.63199999999995</v>
      </c>
      <c r="P42" s="403">
        <v>1236.2149999999999</v>
      </c>
      <c r="Q42" s="302">
        <v>400.58</v>
      </c>
      <c r="R42" s="302">
        <v>464.66699999999997</v>
      </c>
      <c r="S42" s="302">
        <v>566.22699999999998</v>
      </c>
      <c r="T42" s="122">
        <f>U42-SUM(Q42,R42,S42)</f>
        <v>704.01800000000026</v>
      </c>
      <c r="U42" s="403">
        <v>2135.4920000000002</v>
      </c>
      <c r="V42" s="302">
        <v>705.92100000000005</v>
      </c>
      <c r="W42" s="302">
        <v>732.673</v>
      </c>
      <c r="X42" s="302">
        <v>787.80100000000004</v>
      </c>
      <c r="Y42" s="122">
        <f>Z42-SUM(V42,W42,X42)</f>
        <v>884.10199999999986</v>
      </c>
      <c r="Z42" s="403">
        <v>3110.4969999999998</v>
      </c>
      <c r="AA42" s="302">
        <v>858.029</v>
      </c>
      <c r="AB42" s="302">
        <v>997.06799999999998</v>
      </c>
      <c r="AC42" s="302">
        <v>1050.644</v>
      </c>
      <c r="AD42" s="122">
        <f>AE42-SUM(AA42,AB42,AC42)</f>
        <v>1247.3159999999998</v>
      </c>
      <c r="AE42" s="403">
        <v>4153.0569999999998</v>
      </c>
      <c r="AF42" s="302">
        <v>1201.5840000000001</v>
      </c>
      <c r="AG42" s="302">
        <v>1411.3440000000001</v>
      </c>
      <c r="AH42" s="302">
        <v>1473.2449999999999</v>
      </c>
      <c r="AI42" s="302">
        <f>1708.705+18.192</f>
        <v>1726.8969999999999</v>
      </c>
      <c r="AJ42" s="674">
        <f>SUM(AF42,AG42,AH42,AI42)</f>
        <v>5813.07</v>
      </c>
      <c r="AK42" s="302">
        <v>1657.6980000000001</v>
      </c>
      <c r="AL42" s="302">
        <v>2000.518</v>
      </c>
      <c r="AM42" s="302">
        <v>1966.654</v>
      </c>
      <c r="AN42" s="302">
        <v>2139.9609999999998</v>
      </c>
      <c r="AO42" s="674">
        <f>SUM(AK42,AL42,AM42,AN42)</f>
        <v>7764.8310000000001</v>
      </c>
      <c r="AP42" s="302">
        <v>1974.9829999999999</v>
      </c>
      <c r="AQ42" s="302">
        <v>3651.7040000000002</v>
      </c>
      <c r="AR42" s="302">
        <v>3274.8719999999998</v>
      </c>
      <c r="AS42" s="302">
        <v>2999.0990000000002</v>
      </c>
      <c r="AT42" s="674">
        <f>SUM(AP42,AQ42,AR42,AS42)</f>
        <v>11900.657999999999</v>
      </c>
      <c r="AU42" s="302">
        <v>2820.6860000000001</v>
      </c>
      <c r="AV42" s="302">
        <v>3098.1570000000002</v>
      </c>
      <c r="AW42" s="302">
        <v>2594.9639999999999</v>
      </c>
      <c r="AX42" s="122">
        <f>AY42-SUM(AU42,AV42,AW42)</f>
        <v>2735.1929999999993</v>
      </c>
      <c r="AY42" s="403">
        <v>11249</v>
      </c>
      <c r="AZ42" s="302">
        <v>2542</v>
      </c>
      <c r="BA42" s="302">
        <v>2796</v>
      </c>
      <c r="BB42" s="302">
        <v>2440</v>
      </c>
      <c r="BC42" s="122">
        <f>BD42-SUM(AZ42,BA42,BB42)</f>
        <v>2686</v>
      </c>
      <c r="BD42" s="403">
        <v>10464</v>
      </c>
      <c r="BE42" s="302">
        <v>2415</v>
      </c>
      <c r="BF42" s="302">
        <v>2785</v>
      </c>
      <c r="BG42" s="302">
        <v>2572</v>
      </c>
      <c r="BH42" s="122">
        <f>BI42-SUM(BE42,BF42,BG42)</f>
        <v>2710</v>
      </c>
      <c r="BI42" s="403">
        <v>10482</v>
      </c>
      <c r="BJ42" s="1207">
        <v>2391</v>
      </c>
      <c r="BK42" s="118"/>
      <c r="BL42" s="118"/>
      <c r="BM42" s="118"/>
      <c r="BN42" s="401"/>
      <c r="BO42" s="118"/>
      <c r="BP42" s="118"/>
      <c r="BQ42" s="118"/>
      <c r="BR42" s="118"/>
      <c r="BS42" s="401"/>
      <c r="BT42" s="401"/>
      <c r="BU42" s="401"/>
      <c r="BV42" s="401"/>
      <c r="BW42" s="122"/>
    </row>
    <row r="43" spans="1:75" s="177" customFormat="1" ht="14.25" hidden="1" outlineLevel="1" x14ac:dyDescent="0.45">
      <c r="A43" s="523" t="s">
        <v>2219</v>
      </c>
      <c r="B43" s="491"/>
      <c r="C43" s="417"/>
      <c r="D43" s="417"/>
      <c r="E43" s="417"/>
      <c r="F43" s="417"/>
      <c r="G43" s="378"/>
      <c r="H43" s="378"/>
      <c r="I43" s="378"/>
      <c r="J43" s="378"/>
      <c r="K43" s="417">
        <f t="shared" ref="K43:BJ43" si="49">K42/F42-1</f>
        <v>0.57903842752277357</v>
      </c>
      <c r="L43" s="378">
        <f t="shared" si="49"/>
        <v>0.54747387018673055</v>
      </c>
      <c r="M43" s="378">
        <f t="shared" si="49"/>
        <v>0.44450767166625793</v>
      </c>
      <c r="N43" s="378">
        <f t="shared" si="49"/>
        <v>0.42151828417358805</v>
      </c>
      <c r="O43" s="378">
        <f t="shared" si="49"/>
        <v>0.3939578440752658</v>
      </c>
      <c r="P43" s="417">
        <f t="shared" si="49"/>
        <v>0.44248956535639983</v>
      </c>
      <c r="Q43" s="378">
        <f t="shared" si="49"/>
        <v>0.53989274799623277</v>
      </c>
      <c r="R43" s="378">
        <f t="shared" si="49"/>
        <v>0.67935336508923205</v>
      </c>
      <c r="S43" s="378">
        <f t="shared" si="49"/>
        <v>0.79895092675549773</v>
      </c>
      <c r="T43" s="378">
        <f t="shared" si="49"/>
        <v>0.83036772811414639</v>
      </c>
      <c r="U43" s="417">
        <f t="shared" si="49"/>
        <v>0.72744385078647356</v>
      </c>
      <c r="V43" s="378">
        <f t="shared" si="49"/>
        <v>0.76224724149982537</v>
      </c>
      <c r="W43" s="378">
        <f t="shared" si="49"/>
        <v>0.57677003101145563</v>
      </c>
      <c r="X43" s="378">
        <f t="shared" si="49"/>
        <v>0.3913165567872956</v>
      </c>
      <c r="Y43" s="378">
        <f t="shared" si="49"/>
        <v>0.25579459616089295</v>
      </c>
      <c r="Z43" s="417">
        <f t="shared" si="49"/>
        <v>0.4565716003618836</v>
      </c>
      <c r="AA43" s="378">
        <f t="shared" si="49"/>
        <v>0.21547453610248168</v>
      </c>
      <c r="AB43" s="378">
        <f t="shared" si="49"/>
        <v>0.3608635776123863</v>
      </c>
      <c r="AC43" s="378">
        <f t="shared" si="49"/>
        <v>0.33364136374541276</v>
      </c>
      <c r="AD43" s="378">
        <f t="shared" si="49"/>
        <v>0.41082816236135655</v>
      </c>
      <c r="AE43" s="417">
        <f t="shared" si="49"/>
        <v>0.33517473252666696</v>
      </c>
      <c r="AF43" s="378">
        <f t="shared" si="49"/>
        <v>0.4004002195729981</v>
      </c>
      <c r="AG43" s="378">
        <f t="shared" si="49"/>
        <v>0.41549422907966171</v>
      </c>
      <c r="AH43" s="378">
        <f t="shared" si="49"/>
        <v>0.40223044151967735</v>
      </c>
      <c r="AI43" s="378">
        <f t="shared" si="49"/>
        <v>0.38449037773908157</v>
      </c>
      <c r="AJ43" s="417">
        <f t="shared" si="49"/>
        <v>0.39970869650958307</v>
      </c>
      <c r="AK43" s="378">
        <f t="shared" si="49"/>
        <v>0.379593936004474</v>
      </c>
      <c r="AL43" s="378">
        <f t="shared" si="49"/>
        <v>0.41745598521692795</v>
      </c>
      <c r="AM43" s="378">
        <f t="shared" si="49"/>
        <v>0.33491306605486537</v>
      </c>
      <c r="AN43" s="176">
        <f t="shared" si="49"/>
        <v>0.23919434685450258</v>
      </c>
      <c r="AO43" s="1168">
        <f t="shared" si="49"/>
        <v>0.33575391316464454</v>
      </c>
      <c r="AP43" s="176">
        <f t="shared" si="49"/>
        <v>0.19140096688299058</v>
      </c>
      <c r="AQ43" s="176">
        <f t="shared" si="49"/>
        <v>0.82537922678026399</v>
      </c>
      <c r="AR43" s="176">
        <f t="shared" si="49"/>
        <v>0.66519987755853327</v>
      </c>
      <c r="AS43" s="176">
        <f t="shared" si="49"/>
        <v>0.40147367171644732</v>
      </c>
      <c r="AT43" s="1168">
        <f t="shared" si="49"/>
        <v>0.53263580366398178</v>
      </c>
      <c r="AU43" s="176">
        <f t="shared" si="49"/>
        <v>0.42820773647165589</v>
      </c>
      <c r="AV43" s="176">
        <f t="shared" si="49"/>
        <v>-0.15158594453438723</v>
      </c>
      <c r="AW43" s="176">
        <f t="shared" si="49"/>
        <v>-0.20761361054722138</v>
      </c>
      <c r="AX43" s="176">
        <f t="shared" si="49"/>
        <v>-8.7995094526723161E-2</v>
      </c>
      <c r="AY43" s="1168">
        <f t="shared" si="49"/>
        <v>-5.4758148667073625E-2</v>
      </c>
      <c r="AZ43" s="176">
        <f t="shared" si="49"/>
        <v>-9.8800788177060506E-2</v>
      </c>
      <c r="BA43" s="176">
        <f t="shared" si="49"/>
        <v>-9.7527981958306253E-2</v>
      </c>
      <c r="BB43" s="176">
        <f t="shared" si="49"/>
        <v>-5.9717206096115416E-2</v>
      </c>
      <c r="BC43" s="176">
        <f t="shared" si="49"/>
        <v>-1.79852025067333E-2</v>
      </c>
      <c r="BD43" s="1168">
        <f t="shared" si="49"/>
        <v>-6.9783980798293177E-2</v>
      </c>
      <c r="BE43" s="176">
        <f t="shared" si="49"/>
        <v>-4.9960660896931519E-2</v>
      </c>
      <c r="BF43" s="176">
        <f t="shared" si="49"/>
        <v>-3.9341917024320328E-3</v>
      </c>
      <c r="BG43" s="176">
        <f t="shared" si="49"/>
        <v>5.4098360655737698E-2</v>
      </c>
      <c r="BH43" s="176">
        <f t="shared" si="49"/>
        <v>8.9352196574832288E-3</v>
      </c>
      <c r="BI43" s="1168">
        <f t="shared" si="49"/>
        <v>1.7201834862385912E-3</v>
      </c>
      <c r="BJ43" s="1167">
        <f t="shared" si="49"/>
        <v>-9.9378881987577383E-3</v>
      </c>
      <c r="BK43" s="378"/>
      <c r="BL43" s="378"/>
      <c r="BM43" s="378"/>
      <c r="BN43" s="417"/>
      <c r="BO43" s="378"/>
      <c r="BP43" s="378"/>
      <c r="BQ43" s="378"/>
      <c r="BR43" s="378"/>
      <c r="BS43" s="417"/>
      <c r="BT43" s="417"/>
      <c r="BU43" s="417"/>
      <c r="BV43" s="417"/>
      <c r="BW43" s="176"/>
    </row>
    <row r="44" spans="1:75" hidden="1" outlineLevel="1" x14ac:dyDescent="0.5">
      <c r="A44" s="464" t="s">
        <v>1950</v>
      </c>
      <c r="B44" s="489"/>
      <c r="C44" s="401"/>
      <c r="D44" s="401"/>
      <c r="E44" s="401"/>
      <c r="F44" s="403">
        <v>58.292000000000002</v>
      </c>
      <c r="G44" s="302">
        <v>11.728</v>
      </c>
      <c r="H44" s="122">
        <f>23.556-G44</f>
        <v>11.828000000000001</v>
      </c>
      <c r="I44" s="302">
        <v>15.881</v>
      </c>
      <c r="J44" s="122">
        <f>K44-SUM(G44,H44,I44)</f>
        <v>19.405000000000001</v>
      </c>
      <c r="K44" s="403">
        <v>58.841999999999999</v>
      </c>
      <c r="L44" s="302">
        <v>18.571999999999999</v>
      </c>
      <c r="M44" s="302">
        <v>18.742999999999999</v>
      </c>
      <c r="N44" s="302">
        <v>21.434000000000001</v>
      </c>
      <c r="O44" s="122">
        <f>P44-SUM(L44,M44,N44)</f>
        <v>23.987000000000009</v>
      </c>
      <c r="P44" s="403">
        <v>82.736000000000004</v>
      </c>
      <c r="Q44" s="302">
        <v>23.791</v>
      </c>
      <c r="R44" s="302">
        <v>27.085000000000001</v>
      </c>
      <c r="S44" s="302">
        <v>27.745000000000001</v>
      </c>
      <c r="T44" s="122">
        <f>U44-SUM(Q44,R44,S44)</f>
        <v>35.771999999999991</v>
      </c>
      <c r="U44" s="403">
        <v>114.393</v>
      </c>
      <c r="V44" s="302">
        <v>41.427</v>
      </c>
      <c r="W44" s="302">
        <v>54.255000000000003</v>
      </c>
      <c r="X44" s="302">
        <v>73.724000000000004</v>
      </c>
      <c r="Y44" s="122">
        <f>Z44-SUM(V44,W44,X44)</f>
        <v>100.45699999999999</v>
      </c>
      <c r="Z44" s="403">
        <v>269.863</v>
      </c>
      <c r="AA44" s="302">
        <v>102.79600000000001</v>
      </c>
      <c r="AB44" s="302">
        <v>125.788</v>
      </c>
      <c r="AC44" s="302">
        <v>147.554</v>
      </c>
      <c r="AD44" s="122">
        <f>AE44-SUM(AA44,AB44,AC44)</f>
        <v>191.69999999999993</v>
      </c>
      <c r="AE44" s="403">
        <v>567.83799999999997</v>
      </c>
      <c r="AF44" s="302">
        <v>202.685</v>
      </c>
      <c r="AG44" s="302">
        <v>243.91200000000001</v>
      </c>
      <c r="AH44" s="302">
        <v>232.4</v>
      </c>
      <c r="AI44" s="302">
        <v>287.10700000000003</v>
      </c>
      <c r="AJ44" s="674">
        <f>SUM(AF44,AG44,AH44,AI44)</f>
        <v>966.10400000000004</v>
      </c>
      <c r="AK44" s="302">
        <v>287.13099999999997</v>
      </c>
      <c r="AL44" s="302">
        <v>342.733</v>
      </c>
      <c r="AM44" s="302">
        <v>338.83300000000003</v>
      </c>
      <c r="AN44" s="302">
        <v>393.529</v>
      </c>
      <c r="AO44" s="674">
        <f>SUM(AK44,AL44,AM44,AN44)</f>
        <v>1362.2260000000001</v>
      </c>
      <c r="AP44" s="302">
        <v>355.08</v>
      </c>
      <c r="AQ44" s="302">
        <v>652.96799999999996</v>
      </c>
      <c r="AR44" s="302">
        <v>564.69799999999998</v>
      </c>
      <c r="AS44" s="302">
        <v>671.75199999999995</v>
      </c>
      <c r="AT44" s="674">
        <f>SUM(AP44,AQ44,AR44,AS44)</f>
        <v>2244.498</v>
      </c>
      <c r="AU44" s="302">
        <v>656.83199999999999</v>
      </c>
      <c r="AV44" s="302">
        <v>759.46900000000005</v>
      </c>
      <c r="AW44" s="302">
        <v>526.11900000000003</v>
      </c>
      <c r="AX44" s="122">
        <f>AY44-SUM(AU44,AV44,AW44)</f>
        <v>516.57999999999993</v>
      </c>
      <c r="AY44" s="403">
        <v>2459</v>
      </c>
      <c r="AZ44" s="302">
        <v>451</v>
      </c>
      <c r="BA44" s="302">
        <v>488</v>
      </c>
      <c r="BB44" s="302">
        <v>400</v>
      </c>
      <c r="BC44" s="122">
        <f>BD44-SUM(AZ44,BA44,BB44)</f>
        <v>415</v>
      </c>
      <c r="BD44" s="403">
        <v>1754</v>
      </c>
      <c r="BE44" s="302">
        <v>359</v>
      </c>
      <c r="BF44" s="302">
        <v>386</v>
      </c>
      <c r="BG44" s="302">
        <v>372</v>
      </c>
      <c r="BH44" s="122">
        <f>BI44-SUM(BE44,BF44,BG44)</f>
        <v>404</v>
      </c>
      <c r="BI44" s="403">
        <v>1521</v>
      </c>
      <c r="BJ44" s="1207">
        <v>338</v>
      </c>
      <c r="BK44" s="118"/>
      <c r="BL44" s="118"/>
      <c r="BM44" s="118"/>
      <c r="BN44" s="401"/>
      <c r="BO44" s="118"/>
      <c r="BP44" s="118"/>
      <c r="BQ44" s="118"/>
      <c r="BR44" s="118"/>
      <c r="BS44" s="401"/>
      <c r="BT44" s="401"/>
      <c r="BU44" s="401"/>
      <c r="BV44" s="401"/>
      <c r="BW44" s="122"/>
    </row>
    <row r="45" spans="1:75" s="177" customFormat="1" ht="14.25" hidden="1" outlineLevel="1" x14ac:dyDescent="0.45">
      <c r="A45" s="523" t="s">
        <v>2220</v>
      </c>
      <c r="B45" s="491"/>
      <c r="C45" s="417"/>
      <c r="D45" s="417"/>
      <c r="E45" s="417"/>
      <c r="F45" s="417"/>
      <c r="G45" s="378"/>
      <c r="H45" s="378"/>
      <c r="I45" s="378"/>
      <c r="J45" s="378"/>
      <c r="K45" s="417"/>
      <c r="L45" s="378"/>
      <c r="M45" s="378"/>
      <c r="N45" s="378"/>
      <c r="O45" s="378"/>
      <c r="P45" s="417"/>
      <c r="Q45" s="378"/>
      <c r="R45" s="378"/>
      <c r="S45" s="378"/>
      <c r="T45" s="378"/>
      <c r="U45" s="417"/>
      <c r="V45" s="378"/>
      <c r="W45" s="378"/>
      <c r="X45" s="378"/>
      <c r="Y45" s="378"/>
      <c r="Z45" s="417"/>
      <c r="AA45" s="378"/>
      <c r="AB45" s="378"/>
      <c r="AC45" s="378"/>
      <c r="AD45" s="378"/>
      <c r="AE45" s="417"/>
      <c r="AF45" s="378"/>
      <c r="AG45" s="378"/>
      <c r="AH45" s="378"/>
      <c r="AI45" s="378"/>
      <c r="AJ45" s="417"/>
      <c r="AK45" s="378"/>
      <c r="AL45" s="378"/>
      <c r="AM45" s="378"/>
      <c r="AN45" s="766">
        <v>0.373</v>
      </c>
      <c r="AO45" s="767">
        <v>0.45700000000000002</v>
      </c>
      <c r="AP45" s="766">
        <v>0.255</v>
      </c>
      <c r="AQ45" s="766">
        <v>0.96899999999999997</v>
      </c>
      <c r="AR45" s="766">
        <v>0.63900000000000001</v>
      </c>
      <c r="AS45" s="766">
        <v>0.66700000000000004</v>
      </c>
      <c r="AT45" s="767">
        <v>0.64900000000000002</v>
      </c>
      <c r="AU45" s="766">
        <v>0.72499999999999998</v>
      </c>
      <c r="AV45" s="766">
        <v>3.2000000000000001E-2</v>
      </c>
      <c r="AW45" s="766">
        <v>-0.121</v>
      </c>
      <c r="AX45" s="766">
        <v>-0.24399999999999999</v>
      </c>
      <c r="AY45" s="767">
        <v>2.1000000000000001E-2</v>
      </c>
      <c r="AZ45" s="766">
        <v>-0.29599999999999999</v>
      </c>
      <c r="BA45" s="766">
        <v>-0.34399999999999997</v>
      </c>
      <c r="BB45" s="766">
        <v>-0.22600000000000001</v>
      </c>
      <c r="BC45" s="378"/>
      <c r="BD45" s="767">
        <v>-0.23799999999999999</v>
      </c>
      <c r="BE45" s="766">
        <v>-0.14399999999999999</v>
      </c>
      <c r="BF45" s="766">
        <v>-0.182</v>
      </c>
      <c r="BG45" s="766">
        <v>-7.8E-2</v>
      </c>
      <c r="BH45" s="766">
        <v>-4.5999999999999999E-2</v>
      </c>
      <c r="BI45" s="767">
        <v>-0.11600000000000001</v>
      </c>
      <c r="BJ45" s="1249">
        <v>-7.4999999999999997E-2</v>
      </c>
      <c r="BK45" s="378"/>
      <c r="BL45" s="378"/>
      <c r="BM45" s="378"/>
      <c r="BN45" s="417"/>
      <c r="BO45" s="378"/>
      <c r="BP45" s="378"/>
      <c r="BQ45" s="378"/>
      <c r="BR45" s="378"/>
      <c r="BS45" s="417"/>
      <c r="BT45" s="417"/>
      <c r="BU45" s="417"/>
      <c r="BV45" s="417"/>
      <c r="BW45" s="176"/>
    </row>
    <row r="46" spans="1:75" s="177" customFormat="1" ht="14.25" hidden="1" outlineLevel="1" x14ac:dyDescent="0.45">
      <c r="A46" s="1431" t="s">
        <v>1951</v>
      </c>
      <c r="B46" s="1432"/>
      <c r="C46" s="770"/>
      <c r="D46" s="770"/>
      <c r="E46" s="770"/>
      <c r="F46" s="770"/>
      <c r="G46" s="771"/>
      <c r="H46" s="771"/>
      <c r="I46" s="771"/>
      <c r="J46" s="771"/>
      <c r="K46" s="770">
        <f t="shared" ref="K46:BJ46" si="50">K44/F44-1</f>
        <v>9.4352569820901344E-3</v>
      </c>
      <c r="L46" s="771">
        <f t="shared" si="50"/>
        <v>0.58356070941336968</v>
      </c>
      <c r="M46" s="771">
        <f t="shared" si="50"/>
        <v>0.58462969225566419</v>
      </c>
      <c r="N46" s="771">
        <f t="shared" si="50"/>
        <v>0.34966311945091633</v>
      </c>
      <c r="O46" s="771">
        <f t="shared" si="50"/>
        <v>0.23612471012625647</v>
      </c>
      <c r="P46" s="770">
        <f t="shared" si="50"/>
        <v>0.40607049386492644</v>
      </c>
      <c r="Q46" s="771">
        <f t="shared" si="50"/>
        <v>0.28101443032522089</v>
      </c>
      <c r="R46" s="771">
        <f t="shared" si="50"/>
        <v>0.44507282718881735</v>
      </c>
      <c r="S46" s="771">
        <f t="shared" si="50"/>
        <v>0.29443874218531296</v>
      </c>
      <c r="T46" s="771">
        <f t="shared" si="50"/>
        <v>0.49130779172051442</v>
      </c>
      <c r="U46" s="770">
        <f t="shared" si="50"/>
        <v>0.38262666795590783</v>
      </c>
      <c r="V46" s="771">
        <f t="shared" si="50"/>
        <v>0.74128872262620304</v>
      </c>
      <c r="W46" s="771">
        <f t="shared" si="50"/>
        <v>1.0031382684142516</v>
      </c>
      <c r="X46" s="771">
        <f t="shared" si="50"/>
        <v>1.6571994954045772</v>
      </c>
      <c r="Y46" s="771">
        <f t="shared" si="50"/>
        <v>1.8082578553058264</v>
      </c>
      <c r="Z46" s="770">
        <f t="shared" si="50"/>
        <v>1.3590866574003653</v>
      </c>
      <c r="AA46" s="771">
        <f t="shared" si="50"/>
        <v>1.4813768798126827</v>
      </c>
      <c r="AB46" s="771">
        <f t="shared" si="50"/>
        <v>1.3184591281909501</v>
      </c>
      <c r="AC46" s="771">
        <f t="shared" si="50"/>
        <v>1.0014377950192608</v>
      </c>
      <c r="AD46" s="771">
        <f t="shared" si="50"/>
        <v>0.90827916421951627</v>
      </c>
      <c r="AE46" s="770">
        <f t="shared" si="50"/>
        <v>1.1041713758462626</v>
      </c>
      <c r="AF46" s="771">
        <f t="shared" si="50"/>
        <v>0.97172068952099289</v>
      </c>
      <c r="AG46" s="771">
        <f t="shared" si="50"/>
        <v>0.93907208954749266</v>
      </c>
      <c r="AH46" s="771">
        <f t="shared" si="50"/>
        <v>0.57501660409070587</v>
      </c>
      <c r="AI46" s="771">
        <f t="shared" si="50"/>
        <v>0.49768909754825308</v>
      </c>
      <c r="AJ46" s="770">
        <f t="shared" si="50"/>
        <v>0.70137257457232538</v>
      </c>
      <c r="AK46" s="771">
        <f t="shared" si="50"/>
        <v>0.41663665293435614</v>
      </c>
      <c r="AL46" s="771">
        <f t="shared" si="50"/>
        <v>0.40515021811144991</v>
      </c>
      <c r="AM46" s="771">
        <f t="shared" si="50"/>
        <v>0.45797332185886419</v>
      </c>
      <c r="AN46" s="1433">
        <f t="shared" si="50"/>
        <v>0.37067016826479304</v>
      </c>
      <c r="AO46" s="1434">
        <f t="shared" si="50"/>
        <v>0.41002003925043273</v>
      </c>
      <c r="AP46" s="1433">
        <f t="shared" si="50"/>
        <v>0.23664808049287611</v>
      </c>
      <c r="AQ46" s="1433">
        <f t="shared" si="50"/>
        <v>0.90517983386484513</v>
      </c>
      <c r="AR46" s="1433">
        <f t="shared" si="50"/>
        <v>0.66659681908196644</v>
      </c>
      <c r="AS46" s="1433">
        <f t="shared" si="50"/>
        <v>0.70699491015909866</v>
      </c>
      <c r="AT46" s="1434">
        <f t="shared" si="50"/>
        <v>0.64766932946515476</v>
      </c>
      <c r="AU46" s="1433">
        <f t="shared" si="50"/>
        <v>0.84981412639405218</v>
      </c>
      <c r="AV46" s="1433">
        <f t="shared" si="50"/>
        <v>0.1631029391945702</v>
      </c>
      <c r="AW46" s="1433">
        <f t="shared" si="50"/>
        <v>-6.831793277114484E-2</v>
      </c>
      <c r="AX46" s="1433">
        <f t="shared" si="50"/>
        <v>-0.23099596279579371</v>
      </c>
      <c r="AY46" s="1434">
        <f t="shared" si="50"/>
        <v>9.5567917636816713E-2</v>
      </c>
      <c r="AZ46" s="1433">
        <f t="shared" si="50"/>
        <v>-0.31337084673097537</v>
      </c>
      <c r="BA46" s="1433">
        <f t="shared" si="50"/>
        <v>-0.3574457943642203</v>
      </c>
      <c r="BB46" s="1433">
        <f t="shared" si="50"/>
        <v>-0.23971572971133914</v>
      </c>
      <c r="BC46" s="1433">
        <f t="shared" si="50"/>
        <v>-0.19663943629253933</v>
      </c>
      <c r="BD46" s="1434">
        <f t="shared" si="50"/>
        <v>-0.28670191134607559</v>
      </c>
      <c r="BE46" s="1433">
        <f t="shared" si="50"/>
        <v>-0.2039911308203991</v>
      </c>
      <c r="BF46" s="1433">
        <f t="shared" si="50"/>
        <v>-0.20901639344262291</v>
      </c>
      <c r="BG46" s="1433">
        <f t="shared" si="50"/>
        <v>-6.9999999999999951E-2</v>
      </c>
      <c r="BH46" s="1433">
        <f t="shared" si="50"/>
        <v>-2.6506024096385583E-2</v>
      </c>
      <c r="BI46" s="1434">
        <f t="shared" si="50"/>
        <v>-0.13283922462941844</v>
      </c>
      <c r="BJ46" s="1435">
        <f t="shared" si="50"/>
        <v>-5.8495821727019504E-2</v>
      </c>
      <c r="BK46" s="771"/>
      <c r="BL46" s="771"/>
      <c r="BM46" s="771"/>
      <c r="BN46" s="770"/>
      <c r="BO46" s="771"/>
      <c r="BP46" s="771"/>
      <c r="BQ46" s="771"/>
      <c r="BR46" s="771"/>
      <c r="BS46" s="770"/>
      <c r="BT46" s="770"/>
      <c r="BU46" s="770"/>
      <c r="BV46" s="770"/>
      <c r="BW46" s="176"/>
    </row>
    <row r="47" spans="1:75" hidden="1" outlineLevel="1" x14ac:dyDescent="0.5">
      <c r="A47" s="516" t="s">
        <v>187</v>
      </c>
      <c r="B47" s="495"/>
      <c r="C47" s="518"/>
      <c r="D47" s="518"/>
      <c r="E47" s="518"/>
      <c r="F47" s="519">
        <f t="shared" ref="F47:BJ47" si="51">F42+F44</f>
        <v>601.02800000000002</v>
      </c>
      <c r="G47" s="520">
        <f t="shared" si="51"/>
        <v>179.83100000000002</v>
      </c>
      <c r="H47" s="520">
        <f t="shared" si="51"/>
        <v>203.37699999999998</v>
      </c>
      <c r="I47" s="520">
        <f t="shared" si="51"/>
        <v>237.30199999999999</v>
      </c>
      <c r="J47" s="520">
        <f t="shared" si="51"/>
        <v>295.33299999999997</v>
      </c>
      <c r="K47" s="519">
        <f t="shared" si="51"/>
        <v>915.84299999999996</v>
      </c>
      <c r="L47" s="520">
        <f t="shared" si="51"/>
        <v>278.70699999999999</v>
      </c>
      <c r="M47" s="520">
        <f t="shared" si="51"/>
        <v>295.43700000000001</v>
      </c>
      <c r="N47" s="520">
        <f t="shared" si="51"/>
        <v>336.18800000000005</v>
      </c>
      <c r="O47" s="520">
        <f t="shared" si="51"/>
        <v>408.61899999999997</v>
      </c>
      <c r="P47" s="519">
        <f t="shared" si="51"/>
        <v>1318.951</v>
      </c>
      <c r="Q47" s="520">
        <f t="shared" si="51"/>
        <v>424.37099999999998</v>
      </c>
      <c r="R47" s="520">
        <f t="shared" si="51"/>
        <v>491.75199999999995</v>
      </c>
      <c r="S47" s="520">
        <f t="shared" si="51"/>
        <v>593.97199999999998</v>
      </c>
      <c r="T47" s="520">
        <f t="shared" si="51"/>
        <v>739.79000000000019</v>
      </c>
      <c r="U47" s="519">
        <f t="shared" si="51"/>
        <v>2249.8850000000002</v>
      </c>
      <c r="V47" s="520">
        <f t="shared" si="51"/>
        <v>747.34800000000007</v>
      </c>
      <c r="W47" s="520">
        <f t="shared" si="51"/>
        <v>786.928</v>
      </c>
      <c r="X47" s="520">
        <f t="shared" si="51"/>
        <v>861.52500000000009</v>
      </c>
      <c r="Y47" s="520">
        <f t="shared" si="51"/>
        <v>984.55899999999986</v>
      </c>
      <c r="Z47" s="519">
        <f t="shared" si="51"/>
        <v>3380.3599999999997</v>
      </c>
      <c r="AA47" s="520">
        <f t="shared" si="51"/>
        <v>960.82500000000005</v>
      </c>
      <c r="AB47" s="520">
        <f t="shared" si="51"/>
        <v>1122.856</v>
      </c>
      <c r="AC47" s="520">
        <f t="shared" si="51"/>
        <v>1198.1980000000001</v>
      </c>
      <c r="AD47" s="520">
        <f t="shared" si="51"/>
        <v>1439.0159999999996</v>
      </c>
      <c r="AE47" s="519">
        <f t="shared" si="51"/>
        <v>4720.8949999999995</v>
      </c>
      <c r="AF47" s="520">
        <f t="shared" si="51"/>
        <v>1404.269</v>
      </c>
      <c r="AG47" s="520">
        <f t="shared" si="51"/>
        <v>1655.2560000000001</v>
      </c>
      <c r="AH47" s="520">
        <f t="shared" si="51"/>
        <v>1705.645</v>
      </c>
      <c r="AI47" s="520">
        <f t="shared" si="51"/>
        <v>2014.0039999999999</v>
      </c>
      <c r="AJ47" s="519">
        <f t="shared" si="51"/>
        <v>6779.174</v>
      </c>
      <c r="AK47" s="520">
        <f t="shared" si="51"/>
        <v>1944.8290000000002</v>
      </c>
      <c r="AL47" s="520">
        <f t="shared" si="51"/>
        <v>2343.2510000000002</v>
      </c>
      <c r="AM47" s="520">
        <f t="shared" si="51"/>
        <v>2305.4870000000001</v>
      </c>
      <c r="AN47" s="520">
        <f t="shared" si="51"/>
        <v>2533.4899999999998</v>
      </c>
      <c r="AO47" s="519">
        <f t="shared" si="51"/>
        <v>9127.0570000000007</v>
      </c>
      <c r="AP47" s="520">
        <f t="shared" si="51"/>
        <v>2330.0630000000001</v>
      </c>
      <c r="AQ47" s="520">
        <f t="shared" si="51"/>
        <v>4304.6720000000005</v>
      </c>
      <c r="AR47" s="520">
        <f t="shared" si="51"/>
        <v>3839.5699999999997</v>
      </c>
      <c r="AS47" s="520">
        <f t="shared" si="51"/>
        <v>3670.8510000000001</v>
      </c>
      <c r="AT47" s="519">
        <f t="shared" si="51"/>
        <v>14145.155999999999</v>
      </c>
      <c r="AU47" s="520">
        <f t="shared" si="51"/>
        <v>3477.518</v>
      </c>
      <c r="AV47" s="520">
        <f t="shared" si="51"/>
        <v>3857.6260000000002</v>
      </c>
      <c r="AW47" s="520">
        <f t="shared" si="51"/>
        <v>3121.0830000000001</v>
      </c>
      <c r="AX47" s="520">
        <f t="shared" si="51"/>
        <v>3251.7729999999992</v>
      </c>
      <c r="AY47" s="519">
        <f t="shared" si="51"/>
        <v>13708</v>
      </c>
      <c r="AZ47" s="520">
        <f t="shared" si="51"/>
        <v>2993</v>
      </c>
      <c r="BA47" s="520">
        <f t="shared" si="51"/>
        <v>3284</v>
      </c>
      <c r="BB47" s="520">
        <f t="shared" si="51"/>
        <v>2840</v>
      </c>
      <c r="BC47" s="520">
        <f t="shared" si="51"/>
        <v>3101</v>
      </c>
      <c r="BD47" s="519">
        <f t="shared" si="51"/>
        <v>12218</v>
      </c>
      <c r="BE47" s="520">
        <f t="shared" si="51"/>
        <v>2774</v>
      </c>
      <c r="BF47" s="520">
        <f t="shared" si="51"/>
        <v>3171</v>
      </c>
      <c r="BG47" s="520">
        <f t="shared" si="51"/>
        <v>2944</v>
      </c>
      <c r="BH47" s="520">
        <f t="shared" si="51"/>
        <v>3114</v>
      </c>
      <c r="BI47" s="519">
        <f t="shared" si="51"/>
        <v>12003</v>
      </c>
      <c r="BJ47" s="1270">
        <f t="shared" si="51"/>
        <v>2729</v>
      </c>
      <c r="BK47" s="327"/>
      <c r="BL47" s="327"/>
      <c r="BM47" s="327"/>
      <c r="BN47" s="518"/>
      <c r="BO47" s="327"/>
      <c r="BP47" s="327"/>
      <c r="BQ47" s="327"/>
      <c r="BR47" s="327"/>
      <c r="BS47" s="518"/>
      <c r="BT47" s="518"/>
      <c r="BU47" s="518"/>
      <c r="BV47" s="518"/>
      <c r="BW47" s="197"/>
    </row>
    <row r="48" spans="1:75" s="177" customFormat="1" ht="14.25" hidden="1" outlineLevel="1" x14ac:dyDescent="0.45">
      <c r="A48" s="564" t="s">
        <v>191</v>
      </c>
      <c r="B48" s="491"/>
      <c r="C48" s="417"/>
      <c r="D48" s="417"/>
      <c r="E48" s="417"/>
      <c r="F48" s="417"/>
      <c r="G48" s="378"/>
      <c r="H48" s="378"/>
      <c r="I48" s="378"/>
      <c r="J48" s="378"/>
      <c r="K48" s="417">
        <f t="shared" ref="K48:BJ48" si="52">K47/F47-1</f>
        <v>0.52379423254823387</v>
      </c>
      <c r="L48" s="378">
        <f t="shared" si="52"/>
        <v>0.5498273378894627</v>
      </c>
      <c r="M48" s="378">
        <f t="shared" si="52"/>
        <v>0.45265688843871255</v>
      </c>
      <c r="N48" s="378">
        <f t="shared" si="52"/>
        <v>0.41670950940152229</v>
      </c>
      <c r="O48" s="378">
        <f t="shared" si="52"/>
        <v>0.38358734039203202</v>
      </c>
      <c r="P48" s="417">
        <f t="shared" si="52"/>
        <v>0.44014967630914925</v>
      </c>
      <c r="Q48" s="378">
        <f t="shared" si="52"/>
        <v>0.52264205778828665</v>
      </c>
      <c r="R48" s="378">
        <f t="shared" si="52"/>
        <v>0.66449022972748817</v>
      </c>
      <c r="S48" s="378">
        <f t="shared" si="52"/>
        <v>0.76678525110949791</v>
      </c>
      <c r="T48" s="378">
        <f t="shared" si="52"/>
        <v>0.81046402639133341</v>
      </c>
      <c r="U48" s="417">
        <f t="shared" si="52"/>
        <v>0.70581393850112706</v>
      </c>
      <c r="V48" s="378">
        <f t="shared" si="52"/>
        <v>0.76107226931152239</v>
      </c>
      <c r="W48" s="378">
        <f t="shared" si="52"/>
        <v>0.60025378646146854</v>
      </c>
      <c r="X48" s="378">
        <f t="shared" si="52"/>
        <v>0.45044715912534627</v>
      </c>
      <c r="Y48" s="378">
        <f t="shared" si="52"/>
        <v>0.33086281241974014</v>
      </c>
      <c r="Z48" s="417">
        <f t="shared" si="52"/>
        <v>0.50245901457185571</v>
      </c>
      <c r="AA48" s="378">
        <f t="shared" si="52"/>
        <v>0.28564604441304442</v>
      </c>
      <c r="AB48" s="378">
        <f t="shared" si="52"/>
        <v>0.42688530589837947</v>
      </c>
      <c r="AC48" s="378">
        <f t="shared" si="52"/>
        <v>0.39078726676532893</v>
      </c>
      <c r="AD48" s="378">
        <f t="shared" si="52"/>
        <v>0.46158432353977763</v>
      </c>
      <c r="AE48" s="417">
        <f t="shared" si="52"/>
        <v>0.39656575039344921</v>
      </c>
      <c r="AF48" s="378">
        <f t="shared" si="52"/>
        <v>0.46152421096453566</v>
      </c>
      <c r="AG48" s="378">
        <f t="shared" si="52"/>
        <v>0.47414806529065179</v>
      </c>
      <c r="AH48" s="378">
        <f t="shared" si="52"/>
        <v>0.4235084685502728</v>
      </c>
      <c r="AI48" s="378">
        <f t="shared" si="52"/>
        <v>0.39957026190118827</v>
      </c>
      <c r="AJ48" s="417">
        <f t="shared" si="52"/>
        <v>0.43599338684719746</v>
      </c>
      <c r="AK48" s="378">
        <f t="shared" si="52"/>
        <v>0.38494049217065984</v>
      </c>
      <c r="AL48" s="378">
        <f t="shared" si="52"/>
        <v>0.41564265587921145</v>
      </c>
      <c r="AM48" s="378">
        <f t="shared" si="52"/>
        <v>0.35168044933148468</v>
      </c>
      <c r="AN48" s="176">
        <f t="shared" si="52"/>
        <v>0.25793692564662241</v>
      </c>
      <c r="AO48" s="1168">
        <f t="shared" si="52"/>
        <v>0.34633762166305226</v>
      </c>
      <c r="AP48" s="176">
        <f t="shared" si="52"/>
        <v>0.19808116806156217</v>
      </c>
      <c r="AQ48" s="176">
        <f t="shared" si="52"/>
        <v>0.83705117377523797</v>
      </c>
      <c r="AR48" s="176">
        <f t="shared" si="52"/>
        <v>0.66540518337340426</v>
      </c>
      <c r="AS48" s="176">
        <f t="shared" si="52"/>
        <v>0.44893052666479849</v>
      </c>
      <c r="AT48" s="1168">
        <f t="shared" si="52"/>
        <v>0.54980471799398178</v>
      </c>
      <c r="AU48" s="176">
        <f t="shared" si="52"/>
        <v>0.49245664173028803</v>
      </c>
      <c r="AV48" s="176">
        <f t="shared" si="52"/>
        <v>-0.10385135034678605</v>
      </c>
      <c r="AW48" s="176">
        <f t="shared" si="52"/>
        <v>-0.18712694390257234</v>
      </c>
      <c r="AX48" s="176">
        <f t="shared" si="52"/>
        <v>-0.11416371844022022</v>
      </c>
      <c r="AY48" s="1168">
        <f t="shared" si="52"/>
        <v>-3.0904996735278023E-2</v>
      </c>
      <c r="AZ48" s="176">
        <f t="shared" si="52"/>
        <v>-0.13932868212328453</v>
      </c>
      <c r="BA48" s="176">
        <f t="shared" si="52"/>
        <v>-0.1486992258969636</v>
      </c>
      <c r="BB48" s="176">
        <f t="shared" si="52"/>
        <v>-9.0059444109624742E-2</v>
      </c>
      <c r="BC48" s="176">
        <f t="shared" si="52"/>
        <v>-4.636639765444861E-2</v>
      </c>
      <c r="BD48" s="1168">
        <f t="shared" si="52"/>
        <v>-0.10869565217391308</v>
      </c>
      <c r="BE48" s="176">
        <f t="shared" si="52"/>
        <v>-7.3170731707317027E-2</v>
      </c>
      <c r="BF48" s="176">
        <f t="shared" si="52"/>
        <v>-3.4409257003654048E-2</v>
      </c>
      <c r="BG48" s="176">
        <f t="shared" si="52"/>
        <v>3.6619718309859106E-2</v>
      </c>
      <c r="BH48" s="176">
        <f t="shared" si="52"/>
        <v>4.1921960657851365E-3</v>
      </c>
      <c r="BI48" s="1168">
        <f t="shared" si="52"/>
        <v>-1.7596988050417428E-2</v>
      </c>
      <c r="BJ48" s="1167">
        <f t="shared" si="52"/>
        <v>-1.6222062004325855E-2</v>
      </c>
      <c r="BK48" s="378"/>
      <c r="BL48" s="378"/>
      <c r="BM48" s="378"/>
      <c r="BN48" s="417"/>
      <c r="BO48" s="378"/>
      <c r="BP48" s="378"/>
      <c r="BQ48" s="378"/>
      <c r="BR48" s="378"/>
      <c r="BS48" s="417"/>
      <c r="BT48" s="417"/>
      <c r="BU48" s="417"/>
      <c r="BV48" s="417"/>
      <c r="BW48" s="176"/>
    </row>
    <row r="49" spans="1:75" hidden="1" outlineLevel="2" x14ac:dyDescent="0.5">
      <c r="A49" s="206"/>
      <c r="B49" s="485"/>
      <c r="C49" s="397"/>
      <c r="D49" s="397"/>
      <c r="E49" s="397"/>
      <c r="F49" s="397"/>
      <c r="G49" s="295"/>
      <c r="H49" s="295"/>
      <c r="I49" s="295"/>
      <c r="J49" s="295"/>
      <c r="K49" s="397"/>
      <c r="L49" s="295"/>
      <c r="M49" s="295"/>
      <c r="N49" s="295"/>
      <c r="O49" s="295"/>
      <c r="P49" s="397"/>
      <c r="Q49" s="295"/>
      <c r="R49" s="295"/>
      <c r="S49" s="295"/>
      <c r="T49" s="295"/>
      <c r="U49" s="397"/>
      <c r="V49" s="295"/>
      <c r="W49" s="295"/>
      <c r="X49" s="295"/>
      <c r="Y49" s="295"/>
      <c r="Z49" s="397"/>
      <c r="AA49" s="295"/>
      <c r="AB49" s="295"/>
      <c r="AC49" s="295"/>
      <c r="AD49" s="295"/>
      <c r="AE49" s="397"/>
      <c r="AF49" s="295"/>
      <c r="AG49" s="295"/>
      <c r="AH49" s="295"/>
      <c r="AI49" s="295"/>
      <c r="AJ49" s="397"/>
      <c r="AK49" s="295"/>
      <c r="AL49" s="295"/>
      <c r="AM49" s="295"/>
      <c r="AN49" s="295"/>
      <c r="AO49" s="397"/>
      <c r="AP49" s="295"/>
      <c r="AQ49" s="295"/>
      <c r="AR49" s="295"/>
      <c r="AS49" s="295"/>
      <c r="AT49" s="397"/>
      <c r="AU49" s="295"/>
      <c r="AV49" s="295"/>
      <c r="AW49" s="295"/>
      <c r="AX49" s="295"/>
      <c r="AY49" s="397"/>
      <c r="AZ49" s="295"/>
      <c r="BA49" s="295"/>
      <c r="BB49" s="295"/>
      <c r="BC49" s="295"/>
      <c r="BD49" s="397"/>
      <c r="BE49" s="295"/>
      <c r="BF49" s="295"/>
      <c r="BG49" s="295"/>
      <c r="BH49" s="295"/>
      <c r="BI49" s="397"/>
      <c r="BJ49" s="1030"/>
      <c r="BK49" s="295"/>
      <c r="BL49" s="295"/>
      <c r="BM49" s="295"/>
      <c r="BN49" s="397"/>
      <c r="BO49" s="295"/>
      <c r="BP49" s="295"/>
      <c r="BQ49" s="295"/>
      <c r="BR49" s="295"/>
      <c r="BS49" s="397"/>
      <c r="BT49" s="397"/>
      <c r="BU49" s="397"/>
      <c r="BV49" s="397"/>
      <c r="BW49" s="197"/>
    </row>
    <row r="50" spans="1:75" s="217" customFormat="1" hidden="1" outlineLevel="2" x14ac:dyDescent="0.5">
      <c r="A50" s="599" t="s">
        <v>2221</v>
      </c>
      <c r="B50" s="493"/>
      <c r="C50" s="423"/>
      <c r="D50" s="423"/>
      <c r="E50" s="423"/>
      <c r="F50" s="1227">
        <f t="shared" ref="F50:BJ50" si="53">F42/F$47</f>
        <v>0.90301283800421939</v>
      </c>
      <c r="G50" s="216">
        <f t="shared" si="53"/>
        <v>0.93478321312788115</v>
      </c>
      <c r="H50" s="216">
        <f t="shared" si="53"/>
        <v>0.94184199786603207</v>
      </c>
      <c r="I50" s="216">
        <f t="shared" si="53"/>
        <v>0.93307683879613323</v>
      </c>
      <c r="J50" s="216">
        <f t="shared" si="53"/>
        <v>0.93429450823307936</v>
      </c>
      <c r="K50" s="1227">
        <f t="shared" si="53"/>
        <v>0.9357509966227836</v>
      </c>
      <c r="L50" s="216">
        <f t="shared" si="53"/>
        <v>0.93336371171158239</v>
      </c>
      <c r="M50" s="216">
        <f t="shared" si="53"/>
        <v>0.93655838639033029</v>
      </c>
      <c r="N50" s="216">
        <f t="shared" si="53"/>
        <v>0.93624400632979154</v>
      </c>
      <c r="O50" s="216">
        <f t="shared" si="53"/>
        <v>0.94129739439428894</v>
      </c>
      <c r="P50" s="1227">
        <f t="shared" si="53"/>
        <v>0.93727136186257098</v>
      </c>
      <c r="Q50" s="216">
        <f t="shared" si="53"/>
        <v>0.94393820501400894</v>
      </c>
      <c r="R50" s="216">
        <f t="shared" si="53"/>
        <v>0.9449214238071223</v>
      </c>
      <c r="S50" s="216">
        <f t="shared" si="53"/>
        <v>0.95328904392799663</v>
      </c>
      <c r="T50" s="216">
        <f t="shared" si="53"/>
        <v>0.95164573730382962</v>
      </c>
      <c r="U50" s="1227">
        <f t="shared" si="53"/>
        <v>0.94915606797680774</v>
      </c>
      <c r="V50" s="216">
        <f t="shared" si="53"/>
        <v>0.94456799242120137</v>
      </c>
      <c r="W50" s="216">
        <f t="shared" si="53"/>
        <v>0.93105468352886156</v>
      </c>
      <c r="X50" s="216">
        <f t="shared" si="53"/>
        <v>0.91442616290879541</v>
      </c>
      <c r="Y50" s="216">
        <f t="shared" si="53"/>
        <v>0.89796751642105754</v>
      </c>
      <c r="Z50" s="1227">
        <f t="shared" si="53"/>
        <v>0.92016737862239528</v>
      </c>
      <c r="AA50" s="216">
        <f t="shared" si="53"/>
        <v>0.89301277547940572</v>
      </c>
      <c r="AB50" s="216">
        <f t="shared" si="53"/>
        <v>0.88797494959282397</v>
      </c>
      <c r="AC50" s="216">
        <f t="shared" si="53"/>
        <v>0.87685340820131563</v>
      </c>
      <c r="AD50" s="216">
        <f t="shared" si="53"/>
        <v>0.86678396904551458</v>
      </c>
      <c r="AE50" s="1227">
        <f t="shared" si="53"/>
        <v>0.87971814666498627</v>
      </c>
      <c r="AF50" s="216">
        <f t="shared" si="53"/>
        <v>0.85566511829286274</v>
      </c>
      <c r="AG50" s="216">
        <f t="shared" si="53"/>
        <v>0.85264394148095524</v>
      </c>
      <c r="AH50" s="216">
        <f t="shared" si="53"/>
        <v>0.86374655921953269</v>
      </c>
      <c r="AI50" s="216">
        <f t="shared" si="53"/>
        <v>0.85744467240382838</v>
      </c>
      <c r="AJ50" s="1227">
        <f t="shared" si="53"/>
        <v>0.85748942275268336</v>
      </c>
      <c r="AK50" s="216">
        <f t="shared" si="53"/>
        <v>0.85236182718377806</v>
      </c>
      <c r="AL50" s="216">
        <f t="shared" si="53"/>
        <v>0.85373611277665085</v>
      </c>
      <c r="AM50" s="216">
        <f t="shared" si="53"/>
        <v>0.85303191906959352</v>
      </c>
      <c r="AN50" s="216">
        <f t="shared" si="53"/>
        <v>0.84466921124614658</v>
      </c>
      <c r="AO50" s="1227">
        <f t="shared" si="53"/>
        <v>0.85074860384897344</v>
      </c>
      <c r="AP50" s="216">
        <f t="shared" si="53"/>
        <v>0.84760927065062186</v>
      </c>
      <c r="AQ50" s="216">
        <f t="shared" si="53"/>
        <v>0.84831178775061133</v>
      </c>
      <c r="AR50" s="216">
        <f t="shared" si="53"/>
        <v>0.85292676002781564</v>
      </c>
      <c r="AS50" s="216">
        <f t="shared" si="53"/>
        <v>0.81700374109436746</v>
      </c>
      <c r="AT50" s="1227">
        <f t="shared" si="53"/>
        <v>0.84132391328876122</v>
      </c>
      <c r="AU50" s="216">
        <f t="shared" si="53"/>
        <v>0.81112046005225569</v>
      </c>
      <c r="AV50" s="216">
        <f t="shared" si="53"/>
        <v>0.80312529000996991</v>
      </c>
      <c r="AW50" s="216">
        <f t="shared" si="53"/>
        <v>0.83143062840687032</v>
      </c>
      <c r="AX50" s="216">
        <f t="shared" si="53"/>
        <v>0.8411389724928523</v>
      </c>
      <c r="AY50" s="1227">
        <f t="shared" si="53"/>
        <v>0.82061569886197838</v>
      </c>
      <c r="AZ50" s="216">
        <f t="shared" si="53"/>
        <v>0.84931506849315064</v>
      </c>
      <c r="BA50" s="216">
        <f t="shared" si="53"/>
        <v>0.85140073081607792</v>
      </c>
      <c r="BB50" s="216">
        <f t="shared" si="53"/>
        <v>0.85915492957746475</v>
      </c>
      <c r="BC50" s="216">
        <f t="shared" si="53"/>
        <v>0.86617220251531768</v>
      </c>
      <c r="BD50" s="1227">
        <f t="shared" si="53"/>
        <v>0.85644131609101326</v>
      </c>
      <c r="BE50" s="216">
        <f t="shared" si="53"/>
        <v>0.87058399423215571</v>
      </c>
      <c r="BF50" s="216">
        <f t="shared" si="53"/>
        <v>0.87827183853673918</v>
      </c>
      <c r="BG50" s="216">
        <f t="shared" si="53"/>
        <v>0.87364130434782605</v>
      </c>
      <c r="BH50" s="216">
        <f t="shared" si="53"/>
        <v>0.87026332691072572</v>
      </c>
      <c r="BI50" s="1227">
        <f t="shared" si="53"/>
        <v>0.87328167958010494</v>
      </c>
      <c r="BJ50" s="1436">
        <f t="shared" si="53"/>
        <v>0.87614510809820445</v>
      </c>
      <c r="BK50" s="422"/>
      <c r="BL50" s="422"/>
      <c r="BM50" s="422"/>
      <c r="BN50" s="423"/>
      <c r="BO50" s="422"/>
      <c r="BP50" s="422"/>
      <c r="BQ50" s="422"/>
      <c r="BR50" s="422"/>
      <c r="BS50" s="423"/>
      <c r="BT50" s="423"/>
      <c r="BU50" s="423"/>
      <c r="BV50" s="423"/>
      <c r="BW50" s="216"/>
    </row>
    <row r="51" spans="1:75" s="217" customFormat="1" hidden="1" outlineLevel="2" x14ac:dyDescent="0.5">
      <c r="A51" s="1437" t="s">
        <v>1953</v>
      </c>
      <c r="B51" s="1209"/>
      <c r="C51" s="1210"/>
      <c r="D51" s="1210"/>
      <c r="E51" s="1210"/>
      <c r="F51" s="1438">
        <f t="shared" ref="F51:BJ51" si="54">F44/F$47</f>
        <v>9.6987161995780558E-2</v>
      </c>
      <c r="G51" s="1439">
        <f t="shared" si="54"/>
        <v>6.521678687211882E-2</v>
      </c>
      <c r="H51" s="1439">
        <f t="shared" si="54"/>
        <v>5.8158002133967962E-2</v>
      </c>
      <c r="I51" s="1439">
        <f t="shared" si="54"/>
        <v>6.6923161203866807E-2</v>
      </c>
      <c r="J51" s="1439">
        <f t="shared" si="54"/>
        <v>6.570549176692074E-2</v>
      </c>
      <c r="K51" s="1438">
        <f t="shared" si="54"/>
        <v>6.4249003377216396E-2</v>
      </c>
      <c r="L51" s="1439">
        <f t="shared" si="54"/>
        <v>6.6636288288417583E-2</v>
      </c>
      <c r="M51" s="1439">
        <f t="shared" si="54"/>
        <v>6.3441613609669739E-2</v>
      </c>
      <c r="N51" s="1439">
        <f t="shared" si="54"/>
        <v>6.375599367020833E-2</v>
      </c>
      <c r="O51" s="1439">
        <f t="shared" si="54"/>
        <v>5.8702605605710972E-2</v>
      </c>
      <c r="P51" s="1438">
        <f t="shared" si="54"/>
        <v>6.2728638137428919E-2</v>
      </c>
      <c r="Q51" s="1439">
        <f t="shared" si="54"/>
        <v>5.6061794985991037E-2</v>
      </c>
      <c r="R51" s="1439">
        <f t="shared" si="54"/>
        <v>5.5078576192877718E-2</v>
      </c>
      <c r="S51" s="1439">
        <f t="shared" si="54"/>
        <v>4.6710956072003394E-2</v>
      </c>
      <c r="T51" s="1439">
        <f t="shared" si="54"/>
        <v>4.8354262696170512E-2</v>
      </c>
      <c r="U51" s="1438">
        <f t="shared" si="54"/>
        <v>5.084393202319229E-2</v>
      </c>
      <c r="V51" s="1439">
        <f t="shared" si="54"/>
        <v>5.5432007578798626E-2</v>
      </c>
      <c r="W51" s="1439">
        <f t="shared" si="54"/>
        <v>6.8945316471138399E-2</v>
      </c>
      <c r="X51" s="1439">
        <f t="shared" si="54"/>
        <v>8.5573837091204544E-2</v>
      </c>
      <c r="Y51" s="1439">
        <f t="shared" si="54"/>
        <v>0.10203248357894246</v>
      </c>
      <c r="Z51" s="1438">
        <f t="shared" si="54"/>
        <v>7.9832621377604759E-2</v>
      </c>
      <c r="AA51" s="1439">
        <f t="shared" si="54"/>
        <v>0.10698722452059428</v>
      </c>
      <c r="AB51" s="1439">
        <f t="shared" si="54"/>
        <v>0.11202505040717599</v>
      </c>
      <c r="AC51" s="1439">
        <f t="shared" si="54"/>
        <v>0.12314659179868435</v>
      </c>
      <c r="AD51" s="1439">
        <f t="shared" si="54"/>
        <v>0.13321603095448556</v>
      </c>
      <c r="AE51" s="1438">
        <f t="shared" si="54"/>
        <v>0.12028185333501382</v>
      </c>
      <c r="AF51" s="1439">
        <f t="shared" si="54"/>
        <v>0.14433488170713732</v>
      </c>
      <c r="AG51" s="1439">
        <f t="shared" si="54"/>
        <v>0.14735605851904479</v>
      </c>
      <c r="AH51" s="1439">
        <f t="shared" si="54"/>
        <v>0.13625344078046722</v>
      </c>
      <c r="AI51" s="1439">
        <f t="shared" si="54"/>
        <v>0.14255532759617162</v>
      </c>
      <c r="AJ51" s="1438">
        <f t="shared" si="54"/>
        <v>0.14251057724731656</v>
      </c>
      <c r="AK51" s="1439">
        <f t="shared" si="54"/>
        <v>0.14763817281622185</v>
      </c>
      <c r="AL51" s="1439">
        <f t="shared" si="54"/>
        <v>0.1462638872233491</v>
      </c>
      <c r="AM51" s="1439">
        <f t="shared" si="54"/>
        <v>0.14696808093040648</v>
      </c>
      <c r="AN51" s="1439">
        <f t="shared" si="54"/>
        <v>0.15533078875385339</v>
      </c>
      <c r="AO51" s="1438">
        <f t="shared" si="54"/>
        <v>0.14925139615102656</v>
      </c>
      <c r="AP51" s="1439">
        <f t="shared" si="54"/>
        <v>0.15239072934937808</v>
      </c>
      <c r="AQ51" s="1439">
        <f t="shared" si="54"/>
        <v>0.15168821224938855</v>
      </c>
      <c r="AR51" s="1439">
        <f t="shared" si="54"/>
        <v>0.14707323997218438</v>
      </c>
      <c r="AS51" s="1439">
        <f t="shared" si="54"/>
        <v>0.18299625890563248</v>
      </c>
      <c r="AT51" s="1438">
        <f t="shared" si="54"/>
        <v>0.15867608671123884</v>
      </c>
      <c r="AU51" s="1439">
        <f t="shared" si="54"/>
        <v>0.18887953994774434</v>
      </c>
      <c r="AV51" s="1439">
        <f t="shared" si="54"/>
        <v>0.19687470999003015</v>
      </c>
      <c r="AW51" s="1439">
        <f t="shared" si="54"/>
        <v>0.16856937159312971</v>
      </c>
      <c r="AX51" s="1439">
        <f t="shared" si="54"/>
        <v>0.15886102750714765</v>
      </c>
      <c r="AY51" s="1438">
        <f t="shared" si="54"/>
        <v>0.17938430113802159</v>
      </c>
      <c r="AZ51" s="1439">
        <f t="shared" si="54"/>
        <v>0.15068493150684931</v>
      </c>
      <c r="BA51" s="1439">
        <f t="shared" si="54"/>
        <v>0.14859926918392205</v>
      </c>
      <c r="BB51" s="1439">
        <f t="shared" si="54"/>
        <v>0.14084507042253522</v>
      </c>
      <c r="BC51" s="1439">
        <f t="shared" si="54"/>
        <v>0.13382779748468235</v>
      </c>
      <c r="BD51" s="1438">
        <f t="shared" si="54"/>
        <v>0.14355868390898674</v>
      </c>
      <c r="BE51" s="1439">
        <f t="shared" si="54"/>
        <v>0.12941600576784426</v>
      </c>
      <c r="BF51" s="1439">
        <f t="shared" si="54"/>
        <v>0.12172816146326081</v>
      </c>
      <c r="BG51" s="1439">
        <f t="shared" si="54"/>
        <v>0.12635869565217392</v>
      </c>
      <c r="BH51" s="1439">
        <f t="shared" si="54"/>
        <v>0.12973667308927425</v>
      </c>
      <c r="BI51" s="1438">
        <f t="shared" si="54"/>
        <v>0.12671832041989503</v>
      </c>
      <c r="BJ51" s="1440">
        <f t="shared" si="54"/>
        <v>0.12385489190179554</v>
      </c>
      <c r="BK51" s="1211"/>
      <c r="BL51" s="1211"/>
      <c r="BM51" s="1211"/>
      <c r="BN51" s="1210"/>
      <c r="BO51" s="1211"/>
      <c r="BP51" s="1211"/>
      <c r="BQ51" s="1211"/>
      <c r="BR51" s="1211"/>
      <c r="BS51" s="1210"/>
      <c r="BT51" s="1210"/>
      <c r="BU51" s="1210"/>
      <c r="BV51" s="1210"/>
      <c r="BW51" s="216"/>
    </row>
    <row r="52" spans="1:75" s="217" customFormat="1" hidden="1" outlineLevel="2" x14ac:dyDescent="0.5">
      <c r="A52" s="1441" t="s">
        <v>675</v>
      </c>
      <c r="B52" s="1387"/>
      <c r="C52" s="730"/>
      <c r="D52" s="730"/>
      <c r="E52" s="730"/>
      <c r="F52" s="1349">
        <f t="shared" ref="F52:BJ52" si="55">F47/F$47</f>
        <v>1</v>
      </c>
      <c r="G52" s="161">
        <f t="shared" si="55"/>
        <v>1</v>
      </c>
      <c r="H52" s="161">
        <f t="shared" si="55"/>
        <v>1</v>
      </c>
      <c r="I52" s="161">
        <f t="shared" si="55"/>
        <v>1</v>
      </c>
      <c r="J52" s="161">
        <f t="shared" si="55"/>
        <v>1</v>
      </c>
      <c r="K52" s="1349">
        <f t="shared" si="55"/>
        <v>1</v>
      </c>
      <c r="L52" s="161">
        <f t="shared" si="55"/>
        <v>1</v>
      </c>
      <c r="M52" s="161">
        <f t="shared" si="55"/>
        <v>1</v>
      </c>
      <c r="N52" s="161">
        <f t="shared" si="55"/>
        <v>1</v>
      </c>
      <c r="O52" s="161">
        <f t="shared" si="55"/>
        <v>1</v>
      </c>
      <c r="P52" s="1349">
        <f t="shared" si="55"/>
        <v>1</v>
      </c>
      <c r="Q52" s="161">
        <f t="shared" si="55"/>
        <v>1</v>
      </c>
      <c r="R52" s="161">
        <f t="shared" si="55"/>
        <v>1</v>
      </c>
      <c r="S52" s="161">
        <f t="shared" si="55"/>
        <v>1</v>
      </c>
      <c r="T52" s="161">
        <f t="shared" si="55"/>
        <v>1</v>
      </c>
      <c r="U52" s="1349">
        <f t="shared" si="55"/>
        <v>1</v>
      </c>
      <c r="V52" s="161">
        <f t="shared" si="55"/>
        <v>1</v>
      </c>
      <c r="W52" s="161">
        <f t="shared" si="55"/>
        <v>1</v>
      </c>
      <c r="X52" s="161">
        <f t="shared" si="55"/>
        <v>1</v>
      </c>
      <c r="Y52" s="161">
        <f t="shared" si="55"/>
        <v>1</v>
      </c>
      <c r="Z52" s="1349">
        <f t="shared" si="55"/>
        <v>1</v>
      </c>
      <c r="AA52" s="161">
        <f t="shared" si="55"/>
        <v>1</v>
      </c>
      <c r="AB52" s="161">
        <f t="shared" si="55"/>
        <v>1</v>
      </c>
      <c r="AC52" s="161">
        <f t="shared" si="55"/>
        <v>1</v>
      </c>
      <c r="AD52" s="161">
        <f t="shared" si="55"/>
        <v>1</v>
      </c>
      <c r="AE52" s="1349">
        <f t="shared" si="55"/>
        <v>1</v>
      </c>
      <c r="AF52" s="161">
        <f t="shared" si="55"/>
        <v>1</v>
      </c>
      <c r="AG52" s="161">
        <f t="shared" si="55"/>
        <v>1</v>
      </c>
      <c r="AH52" s="161">
        <f t="shared" si="55"/>
        <v>1</v>
      </c>
      <c r="AI52" s="161">
        <f t="shared" si="55"/>
        <v>1</v>
      </c>
      <c r="AJ52" s="1349">
        <f t="shared" si="55"/>
        <v>1</v>
      </c>
      <c r="AK52" s="161">
        <f t="shared" si="55"/>
        <v>1</v>
      </c>
      <c r="AL52" s="161">
        <f t="shared" si="55"/>
        <v>1</v>
      </c>
      <c r="AM52" s="161">
        <f t="shared" si="55"/>
        <v>1</v>
      </c>
      <c r="AN52" s="161">
        <f t="shared" si="55"/>
        <v>1</v>
      </c>
      <c r="AO52" s="1349">
        <f t="shared" si="55"/>
        <v>1</v>
      </c>
      <c r="AP52" s="161">
        <f t="shared" si="55"/>
        <v>1</v>
      </c>
      <c r="AQ52" s="161">
        <f t="shared" si="55"/>
        <v>1</v>
      </c>
      <c r="AR52" s="161">
        <f t="shared" si="55"/>
        <v>1</v>
      </c>
      <c r="AS52" s="161">
        <f t="shared" si="55"/>
        <v>1</v>
      </c>
      <c r="AT52" s="1349">
        <f t="shared" si="55"/>
        <v>1</v>
      </c>
      <c r="AU52" s="161">
        <f t="shared" si="55"/>
        <v>1</v>
      </c>
      <c r="AV52" s="161">
        <f t="shared" si="55"/>
        <v>1</v>
      </c>
      <c r="AW52" s="161">
        <f t="shared" si="55"/>
        <v>1</v>
      </c>
      <c r="AX52" s="161">
        <f t="shared" si="55"/>
        <v>1</v>
      </c>
      <c r="AY52" s="1349">
        <f t="shared" si="55"/>
        <v>1</v>
      </c>
      <c r="AZ52" s="161">
        <f t="shared" si="55"/>
        <v>1</v>
      </c>
      <c r="BA52" s="161">
        <f t="shared" si="55"/>
        <v>1</v>
      </c>
      <c r="BB52" s="161">
        <f t="shared" si="55"/>
        <v>1</v>
      </c>
      <c r="BC52" s="161">
        <f t="shared" si="55"/>
        <v>1</v>
      </c>
      <c r="BD52" s="1349">
        <f t="shared" si="55"/>
        <v>1</v>
      </c>
      <c r="BE52" s="161">
        <f t="shared" si="55"/>
        <v>1</v>
      </c>
      <c r="BF52" s="161">
        <f t="shared" si="55"/>
        <v>1</v>
      </c>
      <c r="BG52" s="161">
        <f t="shared" si="55"/>
        <v>1</v>
      </c>
      <c r="BH52" s="161">
        <f t="shared" si="55"/>
        <v>1</v>
      </c>
      <c r="BI52" s="1349">
        <f t="shared" si="55"/>
        <v>1</v>
      </c>
      <c r="BJ52" s="1350">
        <f t="shared" si="55"/>
        <v>1</v>
      </c>
      <c r="BK52" s="473"/>
      <c r="BL52" s="473"/>
      <c r="BM52" s="473"/>
      <c r="BN52" s="730"/>
      <c r="BO52" s="473"/>
      <c r="BP52" s="473"/>
      <c r="BQ52" s="473"/>
      <c r="BR52" s="473"/>
      <c r="BS52" s="730"/>
      <c r="BT52" s="730"/>
      <c r="BU52" s="730"/>
      <c r="BV52" s="730"/>
      <c r="BW52" s="161"/>
    </row>
    <row r="53" spans="1:75" hidden="1" outlineLevel="1" x14ac:dyDescent="0.5">
      <c r="A53" s="206"/>
      <c r="B53" s="485"/>
      <c r="C53" s="397"/>
      <c r="D53" s="397"/>
      <c r="E53" s="397"/>
      <c r="F53" s="397"/>
      <c r="G53" s="295"/>
      <c r="H53" s="295"/>
      <c r="I53" s="295"/>
      <c r="J53" s="295"/>
      <c r="K53" s="397"/>
      <c r="L53" s="295"/>
      <c r="M53" s="295"/>
      <c r="N53" s="295"/>
      <c r="O53" s="295"/>
      <c r="P53" s="397"/>
      <c r="Q53" s="295"/>
      <c r="R53" s="295"/>
      <c r="S53" s="295"/>
      <c r="T53" s="295"/>
      <c r="U53" s="397"/>
      <c r="V53" s="295"/>
      <c r="W53" s="295"/>
      <c r="X53" s="295"/>
      <c r="Y53" s="295"/>
      <c r="Z53" s="397"/>
      <c r="AA53" s="295"/>
      <c r="AB53" s="295"/>
      <c r="AC53" s="295"/>
      <c r="AD53" s="295"/>
      <c r="AE53" s="397"/>
      <c r="AF53" s="295"/>
      <c r="AG53" s="295"/>
      <c r="AH53" s="295"/>
      <c r="AI53" s="295"/>
      <c r="AJ53" s="397"/>
      <c r="AK53" s="295"/>
      <c r="AL53" s="295"/>
      <c r="AM53" s="295"/>
      <c r="AN53" s="295"/>
      <c r="AO53" s="397"/>
      <c r="AP53" s="295"/>
      <c r="AQ53" s="295"/>
      <c r="AR53" s="295"/>
      <c r="AS53" s="295"/>
      <c r="AT53" s="397"/>
      <c r="AU53" s="295"/>
      <c r="AV53" s="295"/>
      <c r="AW53" s="295"/>
      <c r="AX53" s="295"/>
      <c r="AY53" s="397"/>
      <c r="AZ53" s="295"/>
      <c r="BA53" s="295"/>
      <c r="BB53" s="295"/>
      <c r="BC53" s="295"/>
      <c r="BD53" s="397"/>
      <c r="BE53" s="295"/>
      <c r="BF53" s="295"/>
      <c r="BG53" s="295"/>
      <c r="BH53" s="295"/>
      <c r="BI53" s="397"/>
      <c r="BJ53" s="1030"/>
      <c r="BK53" s="295"/>
      <c r="BL53" s="295"/>
      <c r="BM53" s="295"/>
      <c r="BN53" s="397"/>
      <c r="BO53" s="295"/>
      <c r="BP53" s="295"/>
      <c r="BQ53" s="295"/>
      <c r="BR53" s="295"/>
      <c r="BS53" s="397"/>
      <c r="BT53" s="397"/>
      <c r="BU53" s="397"/>
      <c r="BV53" s="397"/>
      <c r="BW53" s="197"/>
    </row>
    <row r="54" spans="1:75" s="1447" customFormat="1" hidden="1" outlineLevel="1" x14ac:dyDescent="0.5">
      <c r="A54" s="464" t="s">
        <v>2222</v>
      </c>
      <c r="B54" s="1442"/>
      <c r="C54" s="1443"/>
      <c r="D54" s="1443"/>
      <c r="E54" s="1443"/>
      <c r="F54" s="1443"/>
      <c r="G54" s="184"/>
      <c r="H54" s="184"/>
      <c r="I54" s="184"/>
      <c r="J54" s="184"/>
      <c r="K54" s="1443"/>
      <c r="L54" s="184"/>
      <c r="M54" s="184"/>
      <c r="N54" s="184"/>
      <c r="O54" s="184"/>
      <c r="P54" s="1443"/>
      <c r="Q54" s="184"/>
      <c r="R54" s="184"/>
      <c r="S54" s="184"/>
      <c r="T54" s="1444">
        <v>17.927</v>
      </c>
      <c r="U54" s="1445">
        <v>30.984999999999999</v>
      </c>
      <c r="V54" s="1444">
        <v>-1.0389999999999999</v>
      </c>
      <c r="W54" s="1444">
        <v>-2.92</v>
      </c>
      <c r="X54" s="1444">
        <v>-7.8570000000000002</v>
      </c>
      <c r="Y54" s="1444">
        <v>11.992000000000001</v>
      </c>
      <c r="Z54" s="1445">
        <v>0.17599999999999999</v>
      </c>
      <c r="AA54" s="1444">
        <v>3.7280000000000002</v>
      </c>
      <c r="AB54" s="1444">
        <v>20.425000000000001</v>
      </c>
      <c r="AC54" s="1444">
        <v>4.5309999999999997</v>
      </c>
      <c r="AD54" s="1444">
        <v>7.2039999999999997</v>
      </c>
      <c r="AE54" s="1445">
        <v>35.887999999999998</v>
      </c>
      <c r="AF54" s="1444">
        <v>-7.9379999999999997</v>
      </c>
      <c r="AG54" s="1444">
        <v>7.2</v>
      </c>
      <c r="AH54" s="1444">
        <v>-26.036000000000001</v>
      </c>
      <c r="AI54" s="1444">
        <v>7.7249999999999996</v>
      </c>
      <c r="AJ54" s="1445">
        <v>-19.048999999999999</v>
      </c>
      <c r="AK54" s="1444">
        <v>-27.782</v>
      </c>
      <c r="AL54" s="1444">
        <v>-0.34200000000000003</v>
      </c>
      <c r="AM54" s="1444">
        <v>-62.878</v>
      </c>
      <c r="AN54" s="1444">
        <v>-88.007999999999996</v>
      </c>
      <c r="AO54" s="1445">
        <v>-179.01</v>
      </c>
      <c r="AP54" s="1444">
        <v>-45.094999999999999</v>
      </c>
      <c r="AQ54" s="1444">
        <v>434.57400000000001</v>
      </c>
      <c r="AR54" s="1444">
        <v>377.00700000000001</v>
      </c>
      <c r="AS54" s="1444">
        <v>275.40600000000001</v>
      </c>
      <c r="AT54" s="1445">
        <v>1041.8920000000001</v>
      </c>
      <c r="AU54" s="1444">
        <v>227.23500000000001</v>
      </c>
      <c r="AV54" s="1444">
        <v>322.56099999999998</v>
      </c>
      <c r="AW54" s="1444">
        <v>167.09100000000001</v>
      </c>
      <c r="AX54" s="1444">
        <v>65</v>
      </c>
      <c r="AY54" s="1445">
        <v>782</v>
      </c>
      <c r="AZ54" s="1444">
        <v>-30</v>
      </c>
      <c r="BA54" s="1444">
        <v>-28</v>
      </c>
      <c r="BB54" s="1444">
        <v>-51</v>
      </c>
      <c r="BC54" s="1444">
        <v>11</v>
      </c>
      <c r="BD54" s="1445">
        <v>-98</v>
      </c>
      <c r="BE54" s="1444">
        <v>29</v>
      </c>
      <c r="BF54" s="1444">
        <v>161</v>
      </c>
      <c r="BG54" s="1444">
        <v>123</v>
      </c>
      <c r="BH54" s="1444">
        <v>131</v>
      </c>
      <c r="BI54" s="1445">
        <v>444</v>
      </c>
      <c r="BJ54" s="1446">
        <v>121</v>
      </c>
      <c r="BK54" s="184"/>
      <c r="BL54" s="184"/>
      <c r="BM54" s="184"/>
      <c r="BN54" s="1443"/>
      <c r="BO54" s="184"/>
      <c r="BP54" s="184"/>
      <c r="BQ54" s="184"/>
      <c r="BR54" s="184"/>
      <c r="BS54" s="1443"/>
      <c r="BT54" s="1443"/>
      <c r="BU54" s="1443"/>
      <c r="BV54" s="1443"/>
      <c r="BW54" s="464"/>
    </row>
    <row r="55" spans="1:75" s="1447" customFormat="1" hidden="1" outlineLevel="1" x14ac:dyDescent="0.5">
      <c r="A55" s="464" t="s">
        <v>2223</v>
      </c>
      <c r="B55" s="1442"/>
      <c r="C55" s="1443"/>
      <c r="D55" s="1443"/>
      <c r="E55" s="1443"/>
      <c r="F55" s="1443"/>
      <c r="G55" s="184"/>
      <c r="H55" s="184"/>
      <c r="I55" s="184"/>
      <c r="J55" s="184"/>
      <c r="K55" s="1443"/>
      <c r="L55" s="184"/>
      <c r="M55" s="184"/>
      <c r="N55" s="184"/>
      <c r="O55" s="184"/>
      <c r="P55" s="1443"/>
      <c r="Q55" s="184"/>
      <c r="R55" s="184"/>
      <c r="S55" s="184"/>
      <c r="T55" s="1444">
        <v>-15.099</v>
      </c>
      <c r="U55" s="1445">
        <v>-46.914000000000001</v>
      </c>
      <c r="V55" s="1444">
        <v>-19.920999999999999</v>
      </c>
      <c r="W55" s="1444">
        <v>-21.937000000000001</v>
      </c>
      <c r="X55" s="1444">
        <v>-22.992000000000001</v>
      </c>
      <c r="Y55" s="1444">
        <v>-24.018000000000001</v>
      </c>
      <c r="Z55" s="1445">
        <v>-88.867999999999995</v>
      </c>
      <c r="AA55" s="1444">
        <v>-24.623999999999999</v>
      </c>
      <c r="AB55" s="1444">
        <v>-22.670999999999999</v>
      </c>
      <c r="AC55" s="1444">
        <v>-27.202999999999999</v>
      </c>
      <c r="AD55" s="1444">
        <v>-28.422999999999998</v>
      </c>
      <c r="AE55" s="1445">
        <v>-102.92100000000001</v>
      </c>
      <c r="AF55" s="1444">
        <v>-42.021999999999998</v>
      </c>
      <c r="AG55" s="1444">
        <v>-42.009</v>
      </c>
      <c r="AH55" s="1444">
        <v>-50.369</v>
      </c>
      <c r="AI55" s="1444">
        <v>-61.536999999999999</v>
      </c>
      <c r="AJ55" s="1445">
        <v>-195.93700000000001</v>
      </c>
      <c r="AK55" s="1444">
        <v>-74.436000000000007</v>
      </c>
      <c r="AL55" s="1444">
        <v>-69.641000000000005</v>
      </c>
      <c r="AM55" s="1444">
        <v>-81.305999999999997</v>
      </c>
      <c r="AN55" s="1444">
        <v>-92.150999999999996</v>
      </c>
      <c r="AO55" s="1445">
        <v>-317.53399999999999</v>
      </c>
      <c r="AP55" s="1444">
        <v>-82.182000000000002</v>
      </c>
      <c r="AQ55" s="1444">
        <v>5.2389999999999999</v>
      </c>
      <c r="AR55" s="1444">
        <v>-5.8949999999999996</v>
      </c>
      <c r="AS55" s="1444">
        <v>-12.166</v>
      </c>
      <c r="AT55" s="1445">
        <v>-95.004000000000005</v>
      </c>
      <c r="AU55" s="1444">
        <v>-21.468</v>
      </c>
      <c r="AV55" s="1444">
        <v>-11.721</v>
      </c>
      <c r="AW55" s="1444">
        <v>-66.040000000000006</v>
      </c>
      <c r="AX55" s="1444">
        <v>-69</v>
      </c>
      <c r="AY55" s="1445">
        <v>-168</v>
      </c>
      <c r="AZ55" s="1444">
        <v>-83</v>
      </c>
      <c r="BA55" s="1444">
        <v>-80</v>
      </c>
      <c r="BB55" s="1444">
        <v>-73</v>
      </c>
      <c r="BC55" s="1444">
        <v>-82</v>
      </c>
      <c r="BD55" s="1445">
        <v>-318</v>
      </c>
      <c r="BE55" s="1444">
        <v>-43</v>
      </c>
      <c r="BF55" s="1444">
        <v>-33</v>
      </c>
      <c r="BG55" s="1444">
        <v>-23</v>
      </c>
      <c r="BH55" s="1448">
        <v>-39</v>
      </c>
      <c r="BI55" s="1449">
        <v>-138</v>
      </c>
      <c r="BJ55" s="1446">
        <v>-46</v>
      </c>
      <c r="BK55" s="184"/>
      <c r="BL55" s="184"/>
      <c r="BM55" s="184"/>
      <c r="BN55" s="1443"/>
      <c r="BO55" s="184"/>
      <c r="BP55" s="184"/>
      <c r="BQ55" s="184"/>
      <c r="BR55" s="184"/>
      <c r="BS55" s="1443"/>
      <c r="BT55" s="1443"/>
      <c r="BU55" s="1443"/>
      <c r="BV55" s="1443"/>
      <c r="BW55" s="464"/>
    </row>
    <row r="56" spans="1:75" hidden="1" outlineLevel="1" x14ac:dyDescent="0.5">
      <c r="A56" s="516" t="s">
        <v>2224</v>
      </c>
      <c r="B56" s="495"/>
      <c r="C56" s="518"/>
      <c r="D56" s="518"/>
      <c r="E56" s="518"/>
      <c r="F56" s="518"/>
      <c r="G56" s="327"/>
      <c r="H56" s="327"/>
      <c r="I56" s="327"/>
      <c r="J56" s="327"/>
      <c r="K56" s="518"/>
      <c r="L56" s="327"/>
      <c r="M56" s="327"/>
      <c r="N56" s="327"/>
      <c r="O56" s="327"/>
      <c r="P56" s="518"/>
      <c r="Q56" s="327"/>
      <c r="R56" s="327"/>
      <c r="S56" s="327"/>
      <c r="T56" s="520">
        <f t="shared" ref="T56:BJ56" si="56">T54+T55</f>
        <v>2.8279999999999994</v>
      </c>
      <c r="U56" s="519">
        <f t="shared" si="56"/>
        <v>-15.929000000000002</v>
      </c>
      <c r="V56" s="520">
        <f t="shared" si="56"/>
        <v>-20.96</v>
      </c>
      <c r="W56" s="520">
        <f t="shared" si="56"/>
        <v>-24.856999999999999</v>
      </c>
      <c r="X56" s="520">
        <f t="shared" si="56"/>
        <v>-30.849</v>
      </c>
      <c r="Y56" s="520">
        <f t="shared" si="56"/>
        <v>-12.026</v>
      </c>
      <c r="Z56" s="519">
        <f t="shared" si="56"/>
        <v>-88.691999999999993</v>
      </c>
      <c r="AA56" s="520">
        <f t="shared" si="56"/>
        <v>-20.895999999999997</v>
      </c>
      <c r="AB56" s="520">
        <f t="shared" si="56"/>
        <v>-2.2459999999999987</v>
      </c>
      <c r="AC56" s="520">
        <f t="shared" si="56"/>
        <v>-22.672000000000001</v>
      </c>
      <c r="AD56" s="520">
        <f t="shared" si="56"/>
        <v>-21.218999999999998</v>
      </c>
      <c r="AE56" s="519">
        <f t="shared" si="56"/>
        <v>-67.033000000000015</v>
      </c>
      <c r="AF56" s="520">
        <f t="shared" si="56"/>
        <v>-49.96</v>
      </c>
      <c r="AG56" s="520">
        <f t="shared" si="56"/>
        <v>-34.808999999999997</v>
      </c>
      <c r="AH56" s="520">
        <f t="shared" si="56"/>
        <v>-76.405000000000001</v>
      </c>
      <c r="AI56" s="520">
        <f t="shared" si="56"/>
        <v>-53.811999999999998</v>
      </c>
      <c r="AJ56" s="519">
        <f t="shared" si="56"/>
        <v>-214.98600000000002</v>
      </c>
      <c r="AK56" s="520">
        <f t="shared" si="56"/>
        <v>-102.218</v>
      </c>
      <c r="AL56" s="520">
        <f t="shared" si="56"/>
        <v>-69.983000000000004</v>
      </c>
      <c r="AM56" s="520">
        <f t="shared" si="56"/>
        <v>-144.184</v>
      </c>
      <c r="AN56" s="520">
        <f t="shared" si="56"/>
        <v>-180.15899999999999</v>
      </c>
      <c r="AO56" s="519">
        <f t="shared" si="56"/>
        <v>-496.54399999999998</v>
      </c>
      <c r="AP56" s="520">
        <f t="shared" si="56"/>
        <v>-127.277</v>
      </c>
      <c r="AQ56" s="520">
        <f t="shared" si="56"/>
        <v>439.81299999999999</v>
      </c>
      <c r="AR56" s="520">
        <f t="shared" si="56"/>
        <v>371.11200000000002</v>
      </c>
      <c r="AS56" s="520">
        <f t="shared" si="56"/>
        <v>263.24</v>
      </c>
      <c r="AT56" s="519">
        <f t="shared" si="56"/>
        <v>946.88800000000003</v>
      </c>
      <c r="AU56" s="520">
        <f t="shared" si="56"/>
        <v>205.76700000000002</v>
      </c>
      <c r="AV56" s="520">
        <f t="shared" si="56"/>
        <v>310.83999999999997</v>
      </c>
      <c r="AW56" s="520">
        <f t="shared" si="56"/>
        <v>101.051</v>
      </c>
      <c r="AX56" s="520">
        <f t="shared" si="56"/>
        <v>-4</v>
      </c>
      <c r="AY56" s="519">
        <f t="shared" si="56"/>
        <v>614</v>
      </c>
      <c r="AZ56" s="520">
        <f t="shared" si="56"/>
        <v>-113</v>
      </c>
      <c r="BA56" s="520">
        <f t="shared" si="56"/>
        <v>-108</v>
      </c>
      <c r="BB56" s="520">
        <f t="shared" si="56"/>
        <v>-124</v>
      </c>
      <c r="BC56" s="520">
        <f t="shared" si="56"/>
        <v>-71</v>
      </c>
      <c r="BD56" s="519">
        <f t="shared" si="56"/>
        <v>-416</v>
      </c>
      <c r="BE56" s="520">
        <f t="shared" si="56"/>
        <v>-14</v>
      </c>
      <c r="BF56" s="520">
        <f t="shared" si="56"/>
        <v>128</v>
      </c>
      <c r="BG56" s="520">
        <f t="shared" si="56"/>
        <v>100</v>
      </c>
      <c r="BH56" s="197">
        <f t="shared" si="56"/>
        <v>92</v>
      </c>
      <c r="BI56" s="672">
        <f t="shared" si="56"/>
        <v>306</v>
      </c>
      <c r="BJ56" s="1270">
        <f t="shared" si="56"/>
        <v>75</v>
      </c>
      <c r="BK56" s="327"/>
      <c r="BL56" s="327"/>
      <c r="BM56" s="327"/>
      <c r="BN56" s="518"/>
      <c r="BO56" s="327"/>
      <c r="BP56" s="327"/>
      <c r="BQ56" s="327"/>
      <c r="BR56" s="327"/>
      <c r="BS56" s="518"/>
      <c r="BT56" s="518"/>
      <c r="BU56" s="518"/>
      <c r="BV56" s="518"/>
      <c r="BW56" s="197"/>
    </row>
    <row r="57" spans="1:75" s="217" customFormat="1" hidden="1" outlineLevel="2" x14ac:dyDescent="0.5">
      <c r="A57" s="178"/>
      <c r="B57" s="1387"/>
      <c r="C57" s="730"/>
      <c r="D57" s="730"/>
      <c r="E57" s="730"/>
      <c r="F57" s="730"/>
      <c r="G57" s="473"/>
      <c r="H57" s="473"/>
      <c r="I57" s="473"/>
      <c r="J57" s="473"/>
      <c r="K57" s="730"/>
      <c r="L57" s="473"/>
      <c r="M57" s="473"/>
      <c r="N57" s="473"/>
      <c r="O57" s="473"/>
      <c r="P57" s="730"/>
      <c r="Q57" s="473"/>
      <c r="R57" s="473"/>
      <c r="S57" s="473"/>
      <c r="T57" s="473"/>
      <c r="U57" s="730"/>
      <c r="V57" s="473"/>
      <c r="W57" s="473"/>
      <c r="X57" s="473"/>
      <c r="Y57" s="473"/>
      <c r="Z57" s="730"/>
      <c r="AA57" s="473"/>
      <c r="AB57" s="473"/>
      <c r="AC57" s="473"/>
      <c r="AD57" s="473"/>
      <c r="AE57" s="730"/>
      <c r="AF57" s="473"/>
      <c r="AG57" s="473"/>
      <c r="AH57" s="473"/>
      <c r="AI57" s="473"/>
      <c r="AJ57" s="730"/>
      <c r="AK57" s="473"/>
      <c r="AL57" s="473"/>
      <c r="AM57" s="473"/>
      <c r="AN57" s="473"/>
      <c r="AO57" s="730"/>
      <c r="AP57" s="473"/>
      <c r="AQ57" s="473"/>
      <c r="AR57" s="473"/>
      <c r="AS57" s="473"/>
      <c r="AT57" s="730"/>
      <c r="AU57" s="473"/>
      <c r="AV57" s="473"/>
      <c r="AW57" s="473"/>
      <c r="AX57" s="473"/>
      <c r="AY57" s="730"/>
      <c r="AZ57" s="473"/>
      <c r="BA57" s="473"/>
      <c r="BB57" s="473"/>
      <c r="BC57" s="473"/>
      <c r="BD57" s="730"/>
      <c r="BE57" s="473"/>
      <c r="BF57" s="473"/>
      <c r="BG57" s="473"/>
      <c r="BH57" s="473"/>
      <c r="BI57" s="730"/>
      <c r="BJ57" s="1246"/>
      <c r="BK57" s="473"/>
      <c r="BL57" s="473"/>
      <c r="BM57" s="473"/>
      <c r="BN57" s="730"/>
      <c r="BO57" s="473"/>
      <c r="BP57" s="473"/>
      <c r="BQ57" s="473"/>
      <c r="BR57" s="473"/>
      <c r="BS57" s="730"/>
      <c r="BT57" s="730"/>
      <c r="BU57" s="730"/>
      <c r="BV57" s="730"/>
      <c r="BW57" s="161"/>
    </row>
    <row r="58" spans="1:75" s="217" customFormat="1" hidden="1" outlineLevel="2" x14ac:dyDescent="0.5">
      <c r="A58" s="599" t="s">
        <v>2225</v>
      </c>
      <c r="B58" s="493"/>
      <c r="C58" s="423"/>
      <c r="D58" s="423"/>
      <c r="E58" s="423"/>
      <c r="F58" s="423"/>
      <c r="G58" s="422"/>
      <c r="H58" s="422"/>
      <c r="I58" s="422"/>
      <c r="J58" s="422"/>
      <c r="K58" s="423"/>
      <c r="L58" s="422"/>
      <c r="M58" s="422"/>
      <c r="N58" s="422"/>
      <c r="O58" s="422"/>
      <c r="P58" s="423"/>
      <c r="Q58" s="422"/>
      <c r="R58" s="422"/>
      <c r="S58" s="422"/>
      <c r="T58" s="216">
        <f t="shared" ref="T58:AW58" si="57">T54/T56</f>
        <v>6.3391089108910901</v>
      </c>
      <c r="U58" s="1227">
        <f t="shared" si="57"/>
        <v>-1.9451942997049403</v>
      </c>
      <c r="V58" s="216">
        <f t="shared" si="57"/>
        <v>4.9570610687022898E-2</v>
      </c>
      <c r="W58" s="216">
        <f t="shared" si="57"/>
        <v>0.11747193949390514</v>
      </c>
      <c r="X58" s="216">
        <f t="shared" si="57"/>
        <v>0.25469221044442286</v>
      </c>
      <c r="Y58" s="216">
        <f t="shared" si="57"/>
        <v>-0.99717279228338607</v>
      </c>
      <c r="Z58" s="1227">
        <f t="shared" si="57"/>
        <v>-1.9843954358904977E-3</v>
      </c>
      <c r="AA58" s="216">
        <f t="shared" si="57"/>
        <v>-0.17840735068912714</v>
      </c>
      <c r="AB58" s="422"/>
      <c r="AC58" s="216">
        <f t="shared" si="57"/>
        <v>-0.19985003528581508</v>
      </c>
      <c r="AD58" s="216">
        <f t="shared" si="57"/>
        <v>-0.33950704557236444</v>
      </c>
      <c r="AE58" s="1227">
        <f t="shared" si="57"/>
        <v>-0.53537809735503394</v>
      </c>
      <c r="AF58" s="216">
        <f t="shared" si="57"/>
        <v>0.15888710968775019</v>
      </c>
      <c r="AG58" s="216">
        <f t="shared" si="57"/>
        <v>-0.20684305782987161</v>
      </c>
      <c r="AH58" s="216">
        <f t="shared" si="57"/>
        <v>0.34076303906812383</v>
      </c>
      <c r="AI58" s="216">
        <f t="shared" si="57"/>
        <v>-0.14355534081617483</v>
      </c>
      <c r="AJ58" s="1227">
        <f t="shared" si="57"/>
        <v>8.8605769678025539E-2</v>
      </c>
      <c r="AK58" s="216">
        <f t="shared" si="57"/>
        <v>0.2717916609599092</v>
      </c>
      <c r="AL58" s="216">
        <f t="shared" si="57"/>
        <v>4.8869011045539635E-3</v>
      </c>
      <c r="AM58" s="216">
        <f t="shared" si="57"/>
        <v>0.43609554458192312</v>
      </c>
      <c r="AN58" s="216">
        <f t="shared" si="57"/>
        <v>0.4885018233893394</v>
      </c>
      <c r="AO58" s="1227">
        <f t="shared" si="57"/>
        <v>0.36051185796223495</v>
      </c>
      <c r="AP58" s="216">
        <f t="shared" si="57"/>
        <v>0.35430596258554176</v>
      </c>
      <c r="AQ58" s="216">
        <f t="shared" si="57"/>
        <v>0.98808811926887119</v>
      </c>
      <c r="AR58" s="216">
        <f t="shared" si="57"/>
        <v>1.0158846924917544</v>
      </c>
      <c r="AS58" s="216">
        <f t="shared" si="57"/>
        <v>1.0462163804892872</v>
      </c>
      <c r="AT58" s="1227">
        <f t="shared" si="57"/>
        <v>1.1003328799182164</v>
      </c>
      <c r="AU58" s="216">
        <f t="shared" si="57"/>
        <v>1.1043315983612532</v>
      </c>
      <c r="AV58" s="216">
        <f t="shared" si="57"/>
        <v>1.0377075022519624</v>
      </c>
      <c r="AW58" s="216">
        <f t="shared" si="57"/>
        <v>1.653531385142156</v>
      </c>
      <c r="AX58" s="422"/>
      <c r="AY58" s="1227">
        <f t="shared" ref="AY58:BJ58" si="58">AY54/AY56</f>
        <v>1.273615635179153</v>
      </c>
      <c r="AZ58" s="216">
        <f t="shared" si="58"/>
        <v>0.26548672566371684</v>
      </c>
      <c r="BA58" s="216">
        <f t="shared" si="58"/>
        <v>0.25925925925925924</v>
      </c>
      <c r="BB58" s="216">
        <f t="shared" si="58"/>
        <v>0.41129032258064518</v>
      </c>
      <c r="BC58" s="422">
        <f t="shared" si="58"/>
        <v>-0.15492957746478872</v>
      </c>
      <c r="BD58" s="1227">
        <f t="shared" si="58"/>
        <v>0.23557692307692307</v>
      </c>
      <c r="BE58" s="216">
        <f t="shared" si="58"/>
        <v>-2.0714285714285716</v>
      </c>
      <c r="BF58" s="216">
        <f t="shared" si="58"/>
        <v>1.2578125</v>
      </c>
      <c r="BG58" s="216">
        <f t="shared" si="58"/>
        <v>1.23</v>
      </c>
      <c r="BH58" s="422">
        <f t="shared" si="58"/>
        <v>1.423913043478261</v>
      </c>
      <c r="BI58" s="1227">
        <f t="shared" si="58"/>
        <v>1.4509803921568627</v>
      </c>
      <c r="BJ58" s="1436">
        <f t="shared" si="58"/>
        <v>1.6133333333333333</v>
      </c>
      <c r="BK58" s="422"/>
      <c r="BL58" s="422"/>
      <c r="BM58" s="422"/>
      <c r="BN58" s="423"/>
      <c r="BO58" s="422"/>
      <c r="BP58" s="422"/>
      <c r="BQ58" s="422"/>
      <c r="BR58" s="422"/>
      <c r="BS58" s="423"/>
      <c r="BT58" s="423"/>
      <c r="BU58" s="423"/>
      <c r="BV58" s="423"/>
      <c r="BW58" s="216"/>
    </row>
    <row r="59" spans="1:75" s="217" customFormat="1" hidden="1" outlineLevel="2" x14ac:dyDescent="0.5">
      <c r="A59" s="599" t="s">
        <v>2226</v>
      </c>
      <c r="B59" s="493"/>
      <c r="C59" s="423"/>
      <c r="D59" s="423"/>
      <c r="E59" s="423"/>
      <c r="F59" s="423"/>
      <c r="G59" s="422"/>
      <c r="H59" s="422"/>
      <c r="I59" s="422"/>
      <c r="J59" s="422"/>
      <c r="K59" s="423"/>
      <c r="L59" s="422"/>
      <c r="M59" s="422"/>
      <c r="N59" s="422"/>
      <c r="O59" s="422"/>
      <c r="P59" s="423"/>
      <c r="Q59" s="422"/>
      <c r="R59" s="422"/>
      <c r="S59" s="422"/>
      <c r="T59" s="216">
        <f t="shared" ref="T59:AW59" si="59">T55/T56</f>
        <v>-5.3391089108910901</v>
      </c>
      <c r="U59" s="1227">
        <f t="shared" si="59"/>
        <v>2.9451942997049403</v>
      </c>
      <c r="V59" s="216">
        <f t="shared" si="59"/>
        <v>0.95042938931297705</v>
      </c>
      <c r="W59" s="216">
        <f t="shared" si="59"/>
        <v>0.88252806050609489</v>
      </c>
      <c r="X59" s="216">
        <f t="shared" si="59"/>
        <v>0.74530778955557719</v>
      </c>
      <c r="Y59" s="216">
        <f t="shared" si="59"/>
        <v>1.9971727922833862</v>
      </c>
      <c r="Z59" s="1227">
        <f t="shared" si="59"/>
        <v>1.0019843954358905</v>
      </c>
      <c r="AA59" s="216">
        <f t="shared" si="59"/>
        <v>1.1784073506891273</v>
      </c>
      <c r="AB59" s="422"/>
      <c r="AC59" s="216">
        <f t="shared" si="59"/>
        <v>1.199850035285815</v>
      </c>
      <c r="AD59" s="216">
        <f t="shared" si="59"/>
        <v>1.3395070455723646</v>
      </c>
      <c r="AE59" s="1227">
        <f t="shared" si="59"/>
        <v>1.5353780973550337</v>
      </c>
      <c r="AF59" s="216">
        <f t="shared" si="59"/>
        <v>0.84111289031224978</v>
      </c>
      <c r="AG59" s="216">
        <f t="shared" si="59"/>
        <v>1.2068430578298717</v>
      </c>
      <c r="AH59" s="216">
        <f t="shared" si="59"/>
        <v>0.65923696093187623</v>
      </c>
      <c r="AI59" s="216">
        <f t="shared" si="59"/>
        <v>1.1435553408161749</v>
      </c>
      <c r="AJ59" s="1227">
        <f t="shared" si="59"/>
        <v>0.91139423032197442</v>
      </c>
      <c r="AK59" s="216">
        <f t="shared" si="59"/>
        <v>0.72820833904009086</v>
      </c>
      <c r="AL59" s="216">
        <f t="shared" si="59"/>
        <v>0.99511309889544608</v>
      </c>
      <c r="AM59" s="216">
        <f t="shared" si="59"/>
        <v>0.56390445541807688</v>
      </c>
      <c r="AN59" s="216">
        <f t="shared" si="59"/>
        <v>0.51149817661066055</v>
      </c>
      <c r="AO59" s="1227">
        <f t="shared" si="59"/>
        <v>0.63948814203776505</v>
      </c>
      <c r="AP59" s="216">
        <f t="shared" si="59"/>
        <v>0.64569403741445819</v>
      </c>
      <c r="AQ59" s="216">
        <f t="shared" si="59"/>
        <v>1.1911880731128912E-2</v>
      </c>
      <c r="AR59" s="216">
        <f t="shared" si="59"/>
        <v>-1.5884692491754508E-2</v>
      </c>
      <c r="AS59" s="216">
        <f t="shared" si="59"/>
        <v>-4.6216380489287341E-2</v>
      </c>
      <c r="AT59" s="1227">
        <f t="shared" si="59"/>
        <v>-0.10033287991821631</v>
      </c>
      <c r="AU59" s="216">
        <f t="shared" si="59"/>
        <v>-0.10433159836125325</v>
      </c>
      <c r="AV59" s="216">
        <f t="shared" si="59"/>
        <v>-3.7707502251962427E-2</v>
      </c>
      <c r="AW59" s="216">
        <f t="shared" si="59"/>
        <v>-0.65353138514215603</v>
      </c>
      <c r="AX59" s="422"/>
      <c r="AY59" s="1227">
        <f t="shared" ref="AY59:BJ59" si="60">AY55/AY56</f>
        <v>-0.2736156351791531</v>
      </c>
      <c r="AZ59" s="216">
        <f t="shared" si="60"/>
        <v>0.73451327433628322</v>
      </c>
      <c r="BA59" s="216">
        <f t="shared" si="60"/>
        <v>0.7407407407407407</v>
      </c>
      <c r="BB59" s="216">
        <f t="shared" si="60"/>
        <v>0.58870967741935487</v>
      </c>
      <c r="BC59" s="422">
        <f t="shared" si="60"/>
        <v>1.1549295774647887</v>
      </c>
      <c r="BD59" s="1227">
        <f t="shared" si="60"/>
        <v>0.76442307692307687</v>
      </c>
      <c r="BE59" s="216">
        <f t="shared" si="60"/>
        <v>3.0714285714285716</v>
      </c>
      <c r="BF59" s="216">
        <f t="shared" si="60"/>
        <v>-0.2578125</v>
      </c>
      <c r="BG59" s="216">
        <f t="shared" si="60"/>
        <v>-0.23</v>
      </c>
      <c r="BH59" s="422">
        <f t="shared" si="60"/>
        <v>-0.42391304347826086</v>
      </c>
      <c r="BI59" s="1227">
        <f t="shared" si="60"/>
        <v>-0.45098039215686275</v>
      </c>
      <c r="BJ59" s="1436">
        <f t="shared" si="60"/>
        <v>-0.61333333333333329</v>
      </c>
      <c r="BK59" s="422"/>
      <c r="BL59" s="422"/>
      <c r="BM59" s="422"/>
      <c r="BN59" s="423"/>
      <c r="BO59" s="422"/>
      <c r="BP59" s="422"/>
      <c r="BQ59" s="422"/>
      <c r="BR59" s="422"/>
      <c r="BS59" s="423"/>
      <c r="BT59" s="423"/>
      <c r="BU59" s="423"/>
      <c r="BV59" s="423"/>
      <c r="BW59" s="216"/>
    </row>
    <row r="60" spans="1:75" s="217" customFormat="1" hidden="1" outlineLevel="2" x14ac:dyDescent="0.5">
      <c r="A60" s="606" t="s">
        <v>2227</v>
      </c>
      <c r="B60" s="1213"/>
      <c r="C60" s="1214"/>
      <c r="D60" s="1214"/>
      <c r="E60" s="1214"/>
      <c r="F60" s="1214"/>
      <c r="G60" s="480"/>
      <c r="H60" s="480"/>
      <c r="I60" s="480"/>
      <c r="J60" s="480"/>
      <c r="K60" s="1214"/>
      <c r="L60" s="480"/>
      <c r="M60" s="480"/>
      <c r="N60" s="480"/>
      <c r="O60" s="480"/>
      <c r="P60" s="1214"/>
      <c r="Q60" s="480"/>
      <c r="R60" s="480"/>
      <c r="S60" s="480"/>
      <c r="T60" s="1229">
        <f t="shared" ref="T60:AW60" si="61">T56/T56</f>
        <v>1</v>
      </c>
      <c r="U60" s="1228">
        <f t="shared" si="61"/>
        <v>1</v>
      </c>
      <c r="V60" s="1229">
        <f t="shared" si="61"/>
        <v>1</v>
      </c>
      <c r="W60" s="1229">
        <f t="shared" si="61"/>
        <v>1</v>
      </c>
      <c r="X60" s="1229">
        <f t="shared" si="61"/>
        <v>1</v>
      </c>
      <c r="Y60" s="1229">
        <f t="shared" si="61"/>
        <v>1</v>
      </c>
      <c r="Z60" s="1228">
        <f t="shared" si="61"/>
        <v>1</v>
      </c>
      <c r="AA60" s="1229">
        <f t="shared" si="61"/>
        <v>1</v>
      </c>
      <c r="AB60" s="480"/>
      <c r="AC60" s="1229">
        <f t="shared" si="61"/>
        <v>1</v>
      </c>
      <c r="AD60" s="1229">
        <f t="shared" si="61"/>
        <v>1</v>
      </c>
      <c r="AE60" s="1228">
        <f t="shared" si="61"/>
        <v>1</v>
      </c>
      <c r="AF60" s="1229">
        <f t="shared" si="61"/>
        <v>1</v>
      </c>
      <c r="AG60" s="1229">
        <f t="shared" si="61"/>
        <v>1</v>
      </c>
      <c r="AH60" s="1229">
        <f t="shared" si="61"/>
        <v>1</v>
      </c>
      <c r="AI60" s="1229">
        <f t="shared" si="61"/>
        <v>1</v>
      </c>
      <c r="AJ60" s="1228">
        <f t="shared" si="61"/>
        <v>1</v>
      </c>
      <c r="AK60" s="1229">
        <f t="shared" si="61"/>
        <v>1</v>
      </c>
      <c r="AL60" s="1229">
        <f t="shared" si="61"/>
        <v>1</v>
      </c>
      <c r="AM60" s="1229">
        <f t="shared" si="61"/>
        <v>1</v>
      </c>
      <c r="AN60" s="1229">
        <f t="shared" si="61"/>
        <v>1</v>
      </c>
      <c r="AO60" s="1228">
        <f t="shared" si="61"/>
        <v>1</v>
      </c>
      <c r="AP60" s="1229">
        <f t="shared" si="61"/>
        <v>1</v>
      </c>
      <c r="AQ60" s="1229">
        <f t="shared" si="61"/>
        <v>1</v>
      </c>
      <c r="AR60" s="1229">
        <f t="shared" si="61"/>
        <v>1</v>
      </c>
      <c r="AS60" s="1229">
        <f t="shared" si="61"/>
        <v>1</v>
      </c>
      <c r="AT60" s="1228">
        <f t="shared" si="61"/>
        <v>1</v>
      </c>
      <c r="AU60" s="1229">
        <f t="shared" si="61"/>
        <v>1</v>
      </c>
      <c r="AV60" s="1229">
        <f t="shared" si="61"/>
        <v>1</v>
      </c>
      <c r="AW60" s="1229">
        <f t="shared" si="61"/>
        <v>1</v>
      </c>
      <c r="AX60" s="480"/>
      <c r="AY60" s="1228">
        <f t="shared" ref="AY60:BJ60" si="62">AY56/AY56</f>
        <v>1</v>
      </c>
      <c r="AZ60" s="1229">
        <f t="shared" si="62"/>
        <v>1</v>
      </c>
      <c r="BA60" s="1229">
        <f t="shared" si="62"/>
        <v>1</v>
      </c>
      <c r="BB60" s="1229">
        <f t="shared" si="62"/>
        <v>1</v>
      </c>
      <c r="BC60" s="480">
        <f t="shared" si="62"/>
        <v>1</v>
      </c>
      <c r="BD60" s="1228">
        <f t="shared" si="62"/>
        <v>1</v>
      </c>
      <c r="BE60" s="1229">
        <f t="shared" si="62"/>
        <v>1</v>
      </c>
      <c r="BF60" s="1229">
        <f t="shared" si="62"/>
        <v>1</v>
      </c>
      <c r="BG60" s="1229">
        <f t="shared" si="62"/>
        <v>1</v>
      </c>
      <c r="BH60" s="480">
        <f t="shared" si="62"/>
        <v>1</v>
      </c>
      <c r="BI60" s="1228">
        <f t="shared" si="62"/>
        <v>1</v>
      </c>
      <c r="BJ60" s="1450">
        <f t="shared" si="62"/>
        <v>1</v>
      </c>
      <c r="BK60" s="480"/>
      <c r="BL60" s="480"/>
      <c r="BM60" s="480"/>
      <c r="BN60" s="1214"/>
      <c r="BO60" s="480"/>
      <c r="BP60" s="480"/>
      <c r="BQ60" s="480"/>
      <c r="BR60" s="480"/>
      <c r="BS60" s="1214"/>
      <c r="BT60" s="1214"/>
      <c r="BU60" s="1214"/>
      <c r="BV60" s="1214"/>
      <c r="BW60" s="161"/>
    </row>
    <row r="61" spans="1:75" hidden="1" outlineLevel="1" x14ac:dyDescent="0.5">
      <c r="A61" s="206"/>
      <c r="B61" s="485"/>
      <c r="C61" s="397"/>
      <c r="D61" s="397"/>
      <c r="E61" s="397"/>
      <c r="F61" s="397"/>
      <c r="G61" s="295"/>
      <c r="H61" s="295"/>
      <c r="I61" s="295"/>
      <c r="J61" s="295"/>
      <c r="K61" s="397"/>
      <c r="L61" s="295"/>
      <c r="M61" s="295"/>
      <c r="N61" s="295"/>
      <c r="O61" s="295"/>
      <c r="P61" s="397"/>
      <c r="Q61" s="295"/>
      <c r="R61" s="295"/>
      <c r="S61" s="295"/>
      <c r="T61" s="295"/>
      <c r="U61" s="397"/>
      <c r="V61" s="295"/>
      <c r="W61" s="295"/>
      <c r="X61" s="295"/>
      <c r="Y61" s="295"/>
      <c r="Z61" s="397"/>
      <c r="AA61" s="295"/>
      <c r="AB61" s="295"/>
      <c r="AC61" s="295"/>
      <c r="AD61" s="295"/>
      <c r="AE61" s="397"/>
      <c r="AF61" s="295"/>
      <c r="AG61" s="295"/>
      <c r="AH61" s="295"/>
      <c r="AI61" s="295"/>
      <c r="AJ61" s="397"/>
      <c r="AK61" s="295"/>
      <c r="AL61" s="295"/>
      <c r="AM61" s="295"/>
      <c r="AN61" s="295"/>
      <c r="AO61" s="397"/>
      <c r="AP61" s="295"/>
      <c r="AQ61" s="295"/>
      <c r="AR61" s="295"/>
      <c r="AS61" s="295"/>
      <c r="AT61" s="397"/>
      <c r="AU61" s="295"/>
      <c r="AV61" s="295"/>
      <c r="AW61" s="295"/>
      <c r="AX61" s="295"/>
      <c r="AY61" s="397"/>
      <c r="AZ61" s="295"/>
      <c r="BA61" s="295"/>
      <c r="BB61" s="295"/>
      <c r="BC61" s="295"/>
      <c r="BD61" s="397"/>
      <c r="BE61" s="295"/>
      <c r="BF61" s="295"/>
      <c r="BG61" s="295"/>
      <c r="BH61" s="295"/>
      <c r="BI61" s="397"/>
      <c r="BJ61" s="1030"/>
      <c r="BK61" s="295"/>
      <c r="BL61" s="295"/>
      <c r="BM61" s="295"/>
      <c r="BN61" s="397"/>
      <c r="BO61" s="295"/>
      <c r="BP61" s="295"/>
      <c r="BQ61" s="295"/>
      <c r="BR61" s="295"/>
      <c r="BS61" s="397"/>
      <c r="BT61" s="397"/>
      <c r="BU61" s="397"/>
      <c r="BV61" s="397"/>
      <c r="BW61" s="197"/>
    </row>
    <row r="62" spans="1:75" s="217" customFormat="1" hidden="1" outlineLevel="1" x14ac:dyDescent="0.5">
      <c r="A62" s="599" t="s">
        <v>2228</v>
      </c>
      <c r="B62" s="493"/>
      <c r="C62" s="423"/>
      <c r="D62" s="423"/>
      <c r="E62" s="423"/>
      <c r="F62" s="423"/>
      <c r="G62" s="422"/>
      <c r="H62" s="422"/>
      <c r="I62" s="422"/>
      <c r="J62" s="422"/>
      <c r="K62" s="423"/>
      <c r="L62" s="422"/>
      <c r="M62" s="422"/>
      <c r="N62" s="422"/>
      <c r="O62" s="422"/>
      <c r="P62" s="423"/>
      <c r="Q62" s="422"/>
      <c r="R62" s="422"/>
      <c r="S62" s="422"/>
      <c r="T62" s="216">
        <f t="shared" ref="T62:BJ62" si="63">T54/T42</f>
        <v>2.5463837572334787E-2</v>
      </c>
      <c r="U62" s="1227">
        <f t="shared" si="63"/>
        <v>1.4509536912336828E-2</v>
      </c>
      <c r="V62" s="216">
        <f t="shared" si="63"/>
        <v>-1.4718360836410871E-3</v>
      </c>
      <c r="W62" s="216">
        <f t="shared" si="63"/>
        <v>-3.9854068595403403E-3</v>
      </c>
      <c r="X62" s="216">
        <f t="shared" si="63"/>
        <v>-9.9733308284706418E-3</v>
      </c>
      <c r="Y62" s="216">
        <f t="shared" si="63"/>
        <v>1.3564045777523411E-2</v>
      </c>
      <c r="Z62" s="1227">
        <f t="shared" si="63"/>
        <v>5.6582597572027879E-5</v>
      </c>
      <c r="AA62" s="216">
        <f t="shared" si="63"/>
        <v>4.3448414913715037E-3</v>
      </c>
      <c r="AB62" s="216">
        <f t="shared" si="63"/>
        <v>2.048506220237737E-2</v>
      </c>
      <c r="AC62" s="216">
        <f t="shared" si="63"/>
        <v>4.3125930381746813E-3</v>
      </c>
      <c r="AD62" s="216">
        <f t="shared" si="63"/>
        <v>5.7756013712643795E-3</v>
      </c>
      <c r="AE62" s="1227">
        <f t="shared" si="63"/>
        <v>8.641345399304657E-3</v>
      </c>
      <c r="AF62" s="216">
        <f t="shared" si="63"/>
        <v>-6.6062797107817673E-3</v>
      </c>
      <c r="AG62" s="216">
        <f t="shared" si="63"/>
        <v>5.1015202530354043E-3</v>
      </c>
      <c r="AH62" s="216">
        <f t="shared" si="63"/>
        <v>-1.7672552766172633E-2</v>
      </c>
      <c r="AI62" s="216">
        <f t="shared" si="63"/>
        <v>4.4733414905463384E-3</v>
      </c>
      <c r="AJ62" s="1227">
        <f t="shared" si="63"/>
        <v>-3.2769259616691354E-3</v>
      </c>
      <c r="AK62" s="216">
        <f t="shared" si="63"/>
        <v>-1.675938560582205E-2</v>
      </c>
      <c r="AL62" s="216">
        <f t="shared" si="63"/>
        <v>-1.7095572246788083E-4</v>
      </c>
      <c r="AM62" s="216">
        <f t="shared" si="63"/>
        <v>-3.1972070328588557E-2</v>
      </c>
      <c r="AN62" s="216">
        <f t="shared" si="63"/>
        <v>-4.1125983137075862E-2</v>
      </c>
      <c r="AO62" s="1227">
        <f t="shared" si="63"/>
        <v>-2.3053946698904329E-2</v>
      </c>
      <c r="AP62" s="216">
        <f t="shared" si="63"/>
        <v>-2.2833107930549275E-2</v>
      </c>
      <c r="AQ62" s="216">
        <f t="shared" si="63"/>
        <v>0.11900581208115443</v>
      </c>
      <c r="AR62" s="216">
        <f t="shared" si="63"/>
        <v>0.1151211406125186</v>
      </c>
      <c r="AS62" s="216">
        <f t="shared" si="63"/>
        <v>9.1829579483704932E-2</v>
      </c>
      <c r="AT62" s="1227">
        <f t="shared" si="63"/>
        <v>8.7549108629119507E-2</v>
      </c>
      <c r="AU62" s="216">
        <f t="shared" si="63"/>
        <v>8.0560189967972332E-2</v>
      </c>
      <c r="AV62" s="216">
        <f t="shared" si="63"/>
        <v>0.10411383283674777</v>
      </c>
      <c r="AW62" s="216">
        <f t="shared" si="63"/>
        <v>6.439048865417786E-2</v>
      </c>
      <c r="AX62" s="216">
        <f t="shared" si="63"/>
        <v>2.376431937344093E-2</v>
      </c>
      <c r="AY62" s="1227">
        <f t="shared" si="63"/>
        <v>6.9517290425815628E-2</v>
      </c>
      <c r="AZ62" s="216">
        <f t="shared" si="63"/>
        <v>-1.1801730920535013E-2</v>
      </c>
      <c r="BA62" s="216">
        <f t="shared" si="63"/>
        <v>-1.0014306151645207E-2</v>
      </c>
      <c r="BB62" s="216">
        <f t="shared" si="63"/>
        <v>-2.0901639344262295E-2</v>
      </c>
      <c r="BC62" s="216">
        <f t="shared" si="63"/>
        <v>4.0953090096798213E-3</v>
      </c>
      <c r="BD62" s="1227">
        <f t="shared" si="63"/>
        <v>-9.3654434250764525E-3</v>
      </c>
      <c r="BE62" s="216">
        <f t="shared" si="63"/>
        <v>1.2008281573498964E-2</v>
      </c>
      <c r="BF62" s="216">
        <f t="shared" si="63"/>
        <v>5.7809694793536807E-2</v>
      </c>
      <c r="BG62" s="216">
        <f t="shared" si="63"/>
        <v>4.7822706065318819E-2</v>
      </c>
      <c r="BH62" s="216">
        <f t="shared" si="63"/>
        <v>4.8339483394833946E-2</v>
      </c>
      <c r="BI62" s="1227">
        <f t="shared" si="63"/>
        <v>4.2358328563251287E-2</v>
      </c>
      <c r="BJ62" s="1436">
        <f t="shared" si="63"/>
        <v>5.0606440819740695E-2</v>
      </c>
      <c r="BK62" s="422"/>
      <c r="BL62" s="422"/>
      <c r="BM62" s="422"/>
      <c r="BN62" s="423"/>
      <c r="BO62" s="422"/>
      <c r="BP62" s="422"/>
      <c r="BQ62" s="422"/>
      <c r="BR62" s="422"/>
      <c r="BS62" s="423"/>
      <c r="BT62" s="423"/>
      <c r="BU62" s="423"/>
      <c r="BV62" s="423"/>
      <c r="BW62" s="216"/>
    </row>
    <row r="63" spans="1:75" s="217" customFormat="1" hidden="1" outlineLevel="1" x14ac:dyDescent="0.5">
      <c r="A63" s="599" t="s">
        <v>2229</v>
      </c>
      <c r="B63" s="493"/>
      <c r="C63" s="423"/>
      <c r="D63" s="423"/>
      <c r="E63" s="423"/>
      <c r="F63" s="423"/>
      <c r="G63" s="422"/>
      <c r="H63" s="422"/>
      <c r="I63" s="422"/>
      <c r="J63" s="422"/>
      <c r="K63" s="423"/>
      <c r="L63" s="422"/>
      <c r="M63" s="422"/>
      <c r="N63" s="422"/>
      <c r="O63" s="422"/>
      <c r="P63" s="423"/>
      <c r="Q63" s="422"/>
      <c r="R63" s="422"/>
      <c r="S63" s="422"/>
      <c r="T63" s="216">
        <f t="shared" ref="T63:BJ63" si="64">T55/T44</f>
        <v>-0.42208990271720909</v>
      </c>
      <c r="U63" s="1227">
        <f t="shared" si="64"/>
        <v>-0.41011250688416251</v>
      </c>
      <c r="V63" s="216">
        <f t="shared" si="64"/>
        <v>-0.48086996403311849</v>
      </c>
      <c r="W63" s="216">
        <f t="shared" si="64"/>
        <v>-0.40433139802783152</v>
      </c>
      <c r="X63" s="216">
        <f t="shared" si="64"/>
        <v>-0.31186587814009004</v>
      </c>
      <c r="Y63" s="216">
        <f t="shared" si="64"/>
        <v>-0.2390873707158287</v>
      </c>
      <c r="Z63" s="1227">
        <f t="shared" si="64"/>
        <v>-0.32930783397501695</v>
      </c>
      <c r="AA63" s="216">
        <f t="shared" si="64"/>
        <v>-0.23954239464570604</v>
      </c>
      <c r="AB63" s="216">
        <f t="shared" si="64"/>
        <v>-0.18023181861544821</v>
      </c>
      <c r="AC63" s="216">
        <f t="shared" si="64"/>
        <v>-0.18435962427314745</v>
      </c>
      <c r="AD63" s="216">
        <f t="shared" si="64"/>
        <v>-0.14826812728221184</v>
      </c>
      <c r="AE63" s="1227">
        <f t="shared" si="64"/>
        <v>-0.18125063838630034</v>
      </c>
      <c r="AF63" s="216">
        <f t="shared" si="64"/>
        <v>-0.20732663985988109</v>
      </c>
      <c r="AG63" s="216">
        <f t="shared" si="64"/>
        <v>-0.17223014857817573</v>
      </c>
      <c r="AH63" s="216">
        <f t="shared" si="64"/>
        <v>-0.21673407917383819</v>
      </c>
      <c r="AI63" s="216">
        <f t="shared" si="64"/>
        <v>-0.21433472538112966</v>
      </c>
      <c r="AJ63" s="1227">
        <f t="shared" si="64"/>
        <v>-0.20281149855502101</v>
      </c>
      <c r="AK63" s="216">
        <f t="shared" si="64"/>
        <v>-0.25924055570453908</v>
      </c>
      <c r="AL63" s="216">
        <f t="shared" si="64"/>
        <v>-0.20319315618863665</v>
      </c>
      <c r="AM63" s="216">
        <f t="shared" si="64"/>
        <v>-0.23995891781497078</v>
      </c>
      <c r="AN63" s="216">
        <f t="shared" si="64"/>
        <v>-0.23416571586846205</v>
      </c>
      <c r="AO63" s="1227">
        <f t="shared" si="64"/>
        <v>-0.23309935355807329</v>
      </c>
      <c r="AP63" s="216">
        <f t="shared" si="64"/>
        <v>-0.23144643460628592</v>
      </c>
      <c r="AQ63" s="216">
        <f t="shared" si="64"/>
        <v>8.0233640852231652E-3</v>
      </c>
      <c r="AR63" s="216">
        <f t="shared" si="64"/>
        <v>-1.0439208213947986E-2</v>
      </c>
      <c r="AS63" s="216">
        <f t="shared" si="64"/>
        <v>-1.8110850432897858E-2</v>
      </c>
      <c r="AT63" s="1227">
        <f t="shared" si="64"/>
        <v>-4.2327504858547436E-2</v>
      </c>
      <c r="AU63" s="216">
        <f t="shared" si="64"/>
        <v>-3.2684156679333526E-2</v>
      </c>
      <c r="AV63" s="216">
        <f t="shared" si="64"/>
        <v>-1.5433151320198717E-2</v>
      </c>
      <c r="AW63" s="216">
        <f t="shared" si="64"/>
        <v>-0.12552293302465792</v>
      </c>
      <c r="AX63" s="216">
        <f t="shared" si="64"/>
        <v>-0.13357079252003565</v>
      </c>
      <c r="AY63" s="1227">
        <f t="shared" si="64"/>
        <v>-6.8320455469703126E-2</v>
      </c>
      <c r="AZ63" s="216">
        <f t="shared" si="64"/>
        <v>-0.18403547671840353</v>
      </c>
      <c r="BA63" s="216">
        <f t="shared" si="64"/>
        <v>-0.16393442622950818</v>
      </c>
      <c r="BB63" s="216">
        <f t="shared" si="64"/>
        <v>-0.1825</v>
      </c>
      <c r="BC63" s="216">
        <f t="shared" si="64"/>
        <v>-0.19759036144578312</v>
      </c>
      <c r="BD63" s="1227">
        <f t="shared" si="64"/>
        <v>-0.18129988597491448</v>
      </c>
      <c r="BE63" s="216">
        <f t="shared" si="64"/>
        <v>-0.11977715877437325</v>
      </c>
      <c r="BF63" s="216">
        <f t="shared" si="64"/>
        <v>-8.549222797927461E-2</v>
      </c>
      <c r="BG63" s="216">
        <f t="shared" si="64"/>
        <v>-6.1827956989247312E-2</v>
      </c>
      <c r="BH63" s="216">
        <f t="shared" si="64"/>
        <v>-9.6534653465346537E-2</v>
      </c>
      <c r="BI63" s="1227">
        <f t="shared" si="64"/>
        <v>-9.0729783037475351E-2</v>
      </c>
      <c r="BJ63" s="1436">
        <f t="shared" si="64"/>
        <v>-0.13609467455621302</v>
      </c>
      <c r="BK63" s="422"/>
      <c r="BL63" s="422"/>
      <c r="BM63" s="422"/>
      <c r="BN63" s="423"/>
      <c r="BO63" s="422"/>
      <c r="BP63" s="422"/>
      <c r="BQ63" s="422"/>
      <c r="BR63" s="422"/>
      <c r="BS63" s="423"/>
      <c r="BT63" s="423"/>
      <c r="BU63" s="423"/>
      <c r="BV63" s="423"/>
      <c r="BW63" s="216"/>
    </row>
    <row r="64" spans="1:75" s="217" customFormat="1" hidden="1" outlineLevel="1" x14ac:dyDescent="0.5">
      <c r="A64" s="606" t="s">
        <v>1044</v>
      </c>
      <c r="B64" s="1213"/>
      <c r="C64" s="1214"/>
      <c r="D64" s="1214"/>
      <c r="E64" s="1214"/>
      <c r="F64" s="1214"/>
      <c r="G64" s="480"/>
      <c r="H64" s="480"/>
      <c r="I64" s="480"/>
      <c r="J64" s="480"/>
      <c r="K64" s="1214"/>
      <c r="L64" s="480"/>
      <c r="M64" s="480"/>
      <c r="N64" s="480"/>
      <c r="O64" s="480"/>
      <c r="P64" s="1214"/>
      <c r="Q64" s="480"/>
      <c r="R64" s="480"/>
      <c r="S64" s="480"/>
      <c r="T64" s="1229">
        <f t="shared" ref="T64:BJ64" si="65">T56/T47</f>
        <v>3.8227064437205134E-3</v>
      </c>
      <c r="U64" s="1228">
        <f t="shared" si="65"/>
        <v>-7.0799174180013651E-3</v>
      </c>
      <c r="V64" s="1229">
        <f t="shared" si="65"/>
        <v>-2.8045836745398393E-2</v>
      </c>
      <c r="W64" s="1229">
        <f t="shared" si="65"/>
        <v>-3.1587387918589754E-2</v>
      </c>
      <c r="X64" s="1229">
        <f t="shared" si="65"/>
        <v>-3.5807434491163921E-2</v>
      </c>
      <c r="Y64" s="1229">
        <f t="shared" si="65"/>
        <v>-1.2214605727031088E-2</v>
      </c>
      <c r="Z64" s="1228">
        <f t="shared" si="65"/>
        <v>-2.6237442165923157E-2</v>
      </c>
      <c r="AA64" s="1229">
        <f t="shared" si="65"/>
        <v>-2.1747976998933206E-2</v>
      </c>
      <c r="AB64" s="1229">
        <f t="shared" si="65"/>
        <v>-2.0002564888106744E-3</v>
      </c>
      <c r="AC64" s="1229">
        <f t="shared" si="65"/>
        <v>-1.8921747490815374E-2</v>
      </c>
      <c r="AD64" s="1229">
        <f t="shared" si="65"/>
        <v>-1.4745492753381479E-2</v>
      </c>
      <c r="AE64" s="1228">
        <f t="shared" si="65"/>
        <v>-1.4199214343890305E-2</v>
      </c>
      <c r="AF64" s="1229">
        <f t="shared" si="65"/>
        <v>-3.557722914911602E-2</v>
      </c>
      <c r="AG64" s="1229">
        <f t="shared" si="65"/>
        <v>-2.1029375516536414E-2</v>
      </c>
      <c r="AH64" s="1229">
        <f t="shared" si="65"/>
        <v>-4.4795370666228906E-2</v>
      </c>
      <c r="AI64" s="1229">
        <f t="shared" si="65"/>
        <v>-2.6718914163030461E-2</v>
      </c>
      <c r="AJ64" s="1228">
        <f t="shared" si="65"/>
        <v>-3.1712713082744301E-2</v>
      </c>
      <c r="AK64" s="1229">
        <f t="shared" si="65"/>
        <v>-5.2558862501536123E-2</v>
      </c>
      <c r="AL64" s="1229">
        <f t="shared" si="65"/>
        <v>-2.9865771955287758E-2</v>
      </c>
      <c r="AM64" s="1229">
        <f t="shared" si="65"/>
        <v>-6.2539498162427279E-2</v>
      </c>
      <c r="AN64" s="1229">
        <f t="shared" si="65"/>
        <v>-7.1110997083075125E-2</v>
      </c>
      <c r="AO64" s="1228">
        <f t="shared" si="65"/>
        <v>-5.4403516927745706E-2</v>
      </c>
      <c r="AP64" s="1229">
        <f t="shared" si="65"/>
        <v>-5.4623844934664857E-2</v>
      </c>
      <c r="AQ64" s="1229">
        <f t="shared" si="65"/>
        <v>0.10217108295359087</v>
      </c>
      <c r="AR64" s="1229">
        <f t="shared" si="65"/>
        <v>9.6654573298572508E-2</v>
      </c>
      <c r="AS64" s="1229">
        <f t="shared" si="65"/>
        <v>7.1710892106489746E-2</v>
      </c>
      <c r="AT64" s="1228">
        <f t="shared" si="65"/>
        <v>6.6940795845588416E-2</v>
      </c>
      <c r="AU64" s="1229">
        <f t="shared" si="65"/>
        <v>5.917064987154632E-2</v>
      </c>
      <c r="AV64" s="1229">
        <f t="shared" si="65"/>
        <v>8.0578055000666199E-2</v>
      </c>
      <c r="AW64" s="1229">
        <f t="shared" si="65"/>
        <v>3.237690250467546E-2</v>
      </c>
      <c r="AX64" s="1229">
        <f t="shared" si="65"/>
        <v>-1.2300981649088054E-3</v>
      </c>
      <c r="AY64" s="1228">
        <f t="shared" si="65"/>
        <v>4.4791362707907789E-2</v>
      </c>
      <c r="AZ64" s="1229">
        <f t="shared" si="65"/>
        <v>-3.7754761109254929E-2</v>
      </c>
      <c r="BA64" s="1229">
        <f t="shared" si="65"/>
        <v>-3.2886723507917173E-2</v>
      </c>
      <c r="BB64" s="1229">
        <f t="shared" si="65"/>
        <v>-4.3661971830985913E-2</v>
      </c>
      <c r="BC64" s="1229">
        <f t="shared" si="65"/>
        <v>-2.2895840051596259E-2</v>
      </c>
      <c r="BD64" s="1228">
        <f t="shared" si="65"/>
        <v>-3.4048125716156494E-2</v>
      </c>
      <c r="BE64" s="1229">
        <f t="shared" si="65"/>
        <v>-5.0468637346791634E-3</v>
      </c>
      <c r="BF64" s="1229">
        <f t="shared" si="65"/>
        <v>4.0365815200252286E-2</v>
      </c>
      <c r="BG64" s="1229">
        <f t="shared" si="65"/>
        <v>3.3967391304347824E-2</v>
      </c>
      <c r="BH64" s="1229">
        <f t="shared" si="65"/>
        <v>2.9543994861913937E-2</v>
      </c>
      <c r="BI64" s="1228">
        <f t="shared" si="65"/>
        <v>2.5493626593351661E-2</v>
      </c>
      <c r="BJ64" s="1450">
        <f t="shared" si="65"/>
        <v>2.7482594356907291E-2</v>
      </c>
      <c r="BK64" s="480"/>
      <c r="BL64" s="480"/>
      <c r="BM64" s="480"/>
      <c r="BN64" s="1214"/>
      <c r="BO64" s="480"/>
      <c r="BP64" s="480"/>
      <c r="BQ64" s="480"/>
      <c r="BR64" s="480"/>
      <c r="BS64" s="1214"/>
      <c r="BT64" s="1214"/>
      <c r="BU64" s="1214"/>
      <c r="BV64" s="1214"/>
      <c r="BW64" s="161"/>
    </row>
    <row r="65" spans="1:75" collapsed="1" x14ac:dyDescent="0.5">
      <c r="A65" s="752"/>
      <c r="B65" s="489"/>
      <c r="C65" s="401"/>
      <c r="D65" s="401"/>
      <c r="E65" s="401"/>
      <c r="F65" s="401"/>
      <c r="G65" s="118"/>
      <c r="H65" s="118"/>
      <c r="I65" s="118"/>
      <c r="J65" s="118"/>
      <c r="K65" s="401"/>
      <c r="L65" s="118"/>
      <c r="M65" s="118"/>
      <c r="N65" s="118"/>
      <c r="O65" s="118"/>
      <c r="P65" s="401"/>
      <c r="Q65" s="118"/>
      <c r="R65" s="118"/>
      <c r="S65" s="118"/>
      <c r="T65" s="118"/>
      <c r="U65" s="401"/>
      <c r="V65" s="118"/>
      <c r="W65" s="118"/>
      <c r="X65" s="118"/>
      <c r="Y65" s="118"/>
      <c r="Z65" s="401"/>
      <c r="AA65" s="118"/>
      <c r="AB65" s="118"/>
      <c r="AC65" s="118"/>
      <c r="AD65" s="118"/>
      <c r="AE65" s="401"/>
      <c r="AF65" s="118"/>
      <c r="AG65" s="118"/>
      <c r="AH65" s="118"/>
      <c r="AI65" s="118"/>
      <c r="AJ65" s="401"/>
      <c r="AK65" s="118"/>
      <c r="AL65" s="118"/>
      <c r="AM65" s="118"/>
      <c r="AN65" s="118"/>
      <c r="AO65" s="401"/>
      <c r="AP65" s="118"/>
      <c r="AQ65" s="118"/>
      <c r="AR65" s="118"/>
      <c r="AS65" s="118"/>
      <c r="AT65" s="401"/>
      <c r="AU65" s="118"/>
      <c r="AV65" s="118"/>
      <c r="AW65" s="118"/>
      <c r="AX65" s="118"/>
      <c r="AY65" s="401"/>
      <c r="AZ65" s="118"/>
      <c r="BA65" s="118"/>
      <c r="BB65" s="118"/>
      <c r="BC65" s="118"/>
      <c r="BD65" s="401"/>
      <c r="BE65" s="118"/>
      <c r="BF65" s="118"/>
      <c r="BG65" s="118"/>
      <c r="BH65" s="118"/>
      <c r="BI65" s="401"/>
      <c r="BJ65" s="971"/>
      <c r="BK65" s="118"/>
      <c r="BL65" s="118"/>
      <c r="BM65" s="118"/>
      <c r="BN65" s="401"/>
      <c r="BO65" s="118"/>
      <c r="BP65" s="118"/>
      <c r="BQ65" s="118"/>
      <c r="BR65" s="118"/>
      <c r="BS65" s="401"/>
      <c r="BT65" s="401"/>
      <c r="BU65" s="401"/>
      <c r="BV65" s="401"/>
      <c r="BW65" s="122"/>
    </row>
    <row r="66" spans="1:75" x14ac:dyDescent="0.5">
      <c r="A66" s="159" t="s">
        <v>2230</v>
      </c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159"/>
      <c r="BF66" s="159"/>
      <c r="BG66" s="159"/>
      <c r="BH66" s="159"/>
      <c r="BI66" s="159"/>
      <c r="BJ66" s="160"/>
      <c r="BK66" s="159"/>
      <c r="BL66" s="159"/>
      <c r="BM66" s="159"/>
      <c r="BN66" s="159"/>
      <c r="BO66" s="159"/>
      <c r="BP66" s="159"/>
      <c r="BQ66" s="159"/>
      <c r="BR66" s="159"/>
      <c r="BS66" s="159"/>
      <c r="BT66" s="159"/>
      <c r="BU66" s="159"/>
      <c r="BV66" s="159"/>
      <c r="BW66" s="122"/>
    </row>
    <row r="67" spans="1:75" hidden="1" outlineLevel="1" x14ac:dyDescent="0.5">
      <c r="A67" s="752" t="s">
        <v>187</v>
      </c>
      <c r="B67" s="489"/>
      <c r="C67" s="401"/>
      <c r="D67" s="401"/>
      <c r="E67" s="401">
        <f t="shared" ref="E67:BP67" si="66">E32</f>
        <v>517.33600000000001</v>
      </c>
      <c r="F67" s="401">
        <f t="shared" si="66"/>
        <v>601.02800000000002</v>
      </c>
      <c r="G67" s="118">
        <f t="shared" si="66"/>
        <v>179.83100000000002</v>
      </c>
      <c r="H67" s="118">
        <f t="shared" si="66"/>
        <v>203.37599999999998</v>
      </c>
      <c r="I67" s="118">
        <f t="shared" si="66"/>
        <v>237.30200000000002</v>
      </c>
      <c r="J67" s="118">
        <f t="shared" si="66"/>
        <v>295.33400000000006</v>
      </c>
      <c r="K67" s="401">
        <f t="shared" si="66"/>
        <v>915.84300000000007</v>
      </c>
      <c r="L67" s="118">
        <f t="shared" si="66"/>
        <v>278.70699999999999</v>
      </c>
      <c r="M67" s="118">
        <f t="shared" si="66"/>
        <v>295.43700000000001</v>
      </c>
      <c r="N67" s="118">
        <f t="shared" si="66"/>
        <v>336.18799999999999</v>
      </c>
      <c r="O67" s="118">
        <f t="shared" si="66"/>
        <v>408.61899999999986</v>
      </c>
      <c r="P67" s="401">
        <f t="shared" si="66"/>
        <v>1318.951</v>
      </c>
      <c r="Q67" s="118">
        <f t="shared" si="66"/>
        <v>424.37100000000004</v>
      </c>
      <c r="R67" s="118">
        <f t="shared" si="66"/>
        <v>491.75200000000001</v>
      </c>
      <c r="S67" s="118">
        <f t="shared" si="66"/>
        <v>593.97199999999998</v>
      </c>
      <c r="T67" s="118">
        <f t="shared" si="66"/>
        <v>739.79000000000008</v>
      </c>
      <c r="U67" s="401">
        <f t="shared" si="66"/>
        <v>2249.8850000000002</v>
      </c>
      <c r="V67" s="118">
        <f t="shared" si="66"/>
        <v>747.34799999999996</v>
      </c>
      <c r="W67" s="118">
        <f t="shared" si="66"/>
        <v>786.928</v>
      </c>
      <c r="X67" s="118">
        <f t="shared" si="66"/>
        <v>861.52499999999998</v>
      </c>
      <c r="Y67" s="118">
        <f t="shared" si="66"/>
        <v>984.55899999999986</v>
      </c>
      <c r="Z67" s="401">
        <f t="shared" si="66"/>
        <v>3380.36</v>
      </c>
      <c r="AA67" s="118">
        <f t="shared" si="66"/>
        <v>960.82499999999993</v>
      </c>
      <c r="AB67" s="118">
        <f t="shared" si="66"/>
        <v>1122.856</v>
      </c>
      <c r="AC67" s="118">
        <f t="shared" si="66"/>
        <v>1198.1979999999999</v>
      </c>
      <c r="AD67" s="118">
        <f t="shared" si="66"/>
        <v>1439.0160000000003</v>
      </c>
      <c r="AE67" s="401">
        <f t="shared" si="66"/>
        <v>4720.8950000000004</v>
      </c>
      <c r="AF67" s="118">
        <f t="shared" si="66"/>
        <v>1404.269</v>
      </c>
      <c r="AG67" s="118">
        <f t="shared" si="66"/>
        <v>1655.2560000000001</v>
      </c>
      <c r="AH67" s="118">
        <f t="shared" si="66"/>
        <v>1705.645</v>
      </c>
      <c r="AI67" s="118">
        <f t="shared" si="66"/>
        <v>2014.0039999999999</v>
      </c>
      <c r="AJ67" s="401">
        <f t="shared" si="66"/>
        <v>6779.174</v>
      </c>
      <c r="AK67" s="118">
        <f t="shared" si="66"/>
        <v>1944.829</v>
      </c>
      <c r="AL67" s="118">
        <f t="shared" si="66"/>
        <v>2343.2510000000002</v>
      </c>
      <c r="AM67" s="118">
        <f t="shared" si="66"/>
        <v>2305.4869999999996</v>
      </c>
      <c r="AN67" s="118">
        <f t="shared" si="66"/>
        <v>2533.4900000000007</v>
      </c>
      <c r="AO67" s="401">
        <f t="shared" si="66"/>
        <v>9127.0570000000007</v>
      </c>
      <c r="AP67" s="118">
        <f t="shared" si="66"/>
        <v>2330.0630000000001</v>
      </c>
      <c r="AQ67" s="118">
        <f t="shared" si="66"/>
        <v>4304.6719999999996</v>
      </c>
      <c r="AR67" s="118">
        <f t="shared" si="66"/>
        <v>3839.57</v>
      </c>
      <c r="AS67" s="118">
        <f t="shared" si="66"/>
        <v>3670.8510000000006</v>
      </c>
      <c r="AT67" s="401">
        <f t="shared" si="66"/>
        <v>14145.155999999999</v>
      </c>
      <c r="AU67" s="118">
        <f t="shared" si="66"/>
        <v>3477.518</v>
      </c>
      <c r="AV67" s="118">
        <f t="shared" si="66"/>
        <v>3857.6260000000002</v>
      </c>
      <c r="AW67" s="118">
        <f t="shared" si="66"/>
        <v>3121.0830000000001</v>
      </c>
      <c r="AX67" s="118">
        <f t="shared" si="66"/>
        <v>3251.7729999999992</v>
      </c>
      <c r="AY67" s="401">
        <f t="shared" si="66"/>
        <v>13708</v>
      </c>
      <c r="AZ67" s="118">
        <f t="shared" si="66"/>
        <v>2993</v>
      </c>
      <c r="BA67" s="118">
        <f t="shared" si="66"/>
        <v>3284</v>
      </c>
      <c r="BB67" s="118">
        <f t="shared" si="66"/>
        <v>2840</v>
      </c>
      <c r="BC67" s="118">
        <f t="shared" si="66"/>
        <v>3101</v>
      </c>
      <c r="BD67" s="401">
        <f t="shared" si="66"/>
        <v>12218</v>
      </c>
      <c r="BE67" s="118">
        <f t="shared" si="66"/>
        <v>2774</v>
      </c>
      <c r="BF67" s="118">
        <f t="shared" si="66"/>
        <v>3171</v>
      </c>
      <c r="BG67" s="118">
        <f t="shared" si="66"/>
        <v>2944</v>
      </c>
      <c r="BH67" s="118">
        <f t="shared" si="66"/>
        <v>3114</v>
      </c>
      <c r="BI67" s="401">
        <f t="shared" si="66"/>
        <v>12003</v>
      </c>
      <c r="BJ67" s="971">
        <f>BJ32</f>
        <v>2729</v>
      </c>
      <c r="BK67" s="118">
        <f t="shared" si="66"/>
        <v>3217.762737</v>
      </c>
      <c r="BL67" s="118">
        <f t="shared" si="66"/>
        <v>2987.4151680000009</v>
      </c>
      <c r="BM67" s="118">
        <f t="shared" si="66"/>
        <v>3159.9221579999999</v>
      </c>
      <c r="BN67" s="401">
        <f t="shared" si="66"/>
        <v>12094.100063</v>
      </c>
      <c r="BO67" s="118">
        <f t="shared" si="66"/>
        <v>2895.7582740000003</v>
      </c>
      <c r="BP67" s="118">
        <f t="shared" si="66"/>
        <v>3414.3873468071233</v>
      </c>
      <c r="BQ67" s="118">
        <f t="shared" ref="BQ67:BX67" si="67">BQ32</f>
        <v>3169.9641592558091</v>
      </c>
      <c r="BR67" s="118">
        <f t="shared" si="67"/>
        <v>3353.0123613867486</v>
      </c>
      <c r="BS67" s="401">
        <f t="shared" si="67"/>
        <v>12833.122141449681</v>
      </c>
      <c r="BT67" s="401">
        <f t="shared" si="67"/>
        <v>13750.805872662608</v>
      </c>
      <c r="BU67" s="401">
        <f t="shared" si="67"/>
        <v>14734.11224981084</v>
      </c>
      <c r="BV67" s="401">
        <f t="shared" si="67"/>
        <v>15787.733882682563</v>
      </c>
      <c r="BW67" s="122"/>
    </row>
    <row r="68" spans="1:75" hidden="1" outlineLevel="1" x14ac:dyDescent="0.5">
      <c r="A68" s="752"/>
      <c r="B68" s="489"/>
      <c r="C68" s="401"/>
      <c r="D68" s="401"/>
      <c r="E68" s="401"/>
      <c r="F68" s="401"/>
      <c r="G68" s="118"/>
      <c r="H68" s="118"/>
      <c r="I68" s="118"/>
      <c r="J68" s="118"/>
      <c r="K68" s="401"/>
      <c r="L68" s="118"/>
      <c r="M68" s="118"/>
      <c r="N68" s="118"/>
      <c r="O68" s="118"/>
      <c r="P68" s="401"/>
      <c r="Q68" s="118"/>
      <c r="R68" s="118"/>
      <c r="S68" s="118"/>
      <c r="T68" s="118"/>
      <c r="U68" s="401"/>
      <c r="V68" s="118"/>
      <c r="W68" s="118"/>
      <c r="X68" s="118"/>
      <c r="Y68" s="118"/>
      <c r="Z68" s="401"/>
      <c r="AA68" s="118"/>
      <c r="AB68" s="118"/>
      <c r="AC68" s="118"/>
      <c r="AD68" s="118"/>
      <c r="AE68" s="401"/>
      <c r="AF68" s="118"/>
      <c r="AG68" s="118"/>
      <c r="AH68" s="118"/>
      <c r="AI68" s="118"/>
      <c r="AJ68" s="401"/>
      <c r="AK68" s="118"/>
      <c r="AL68" s="118"/>
      <c r="AM68" s="118"/>
      <c r="AN68" s="118"/>
      <c r="AO68" s="401"/>
      <c r="AP68" s="118"/>
      <c r="AQ68" s="118"/>
      <c r="AR68" s="118"/>
      <c r="AS68" s="118"/>
      <c r="AT68" s="401"/>
      <c r="AU68" s="118"/>
      <c r="AV68" s="118"/>
      <c r="AW68" s="118"/>
      <c r="AX68" s="118"/>
      <c r="AY68" s="401"/>
      <c r="AZ68" s="118"/>
      <c r="BA68" s="118"/>
      <c r="BB68" s="118"/>
      <c r="BC68" s="118"/>
      <c r="BD68" s="401"/>
      <c r="BE68" s="118"/>
      <c r="BF68" s="118"/>
      <c r="BG68" s="118"/>
      <c r="BH68" s="118"/>
      <c r="BI68" s="401"/>
      <c r="BJ68" s="971"/>
      <c r="BK68" s="118"/>
      <c r="BL68" s="118"/>
      <c r="BM68" s="118"/>
      <c r="BN68" s="401"/>
      <c r="BO68" s="118"/>
      <c r="BP68" s="118"/>
      <c r="BQ68" s="118"/>
      <c r="BR68" s="118"/>
      <c r="BS68" s="401"/>
      <c r="BT68" s="401"/>
      <c r="BU68" s="401"/>
      <c r="BV68" s="401"/>
      <c r="BW68" s="122"/>
    </row>
    <row r="69" spans="1:75" s="198" customFormat="1" ht="14.25" collapsed="1" x14ac:dyDescent="0.45">
      <c r="A69" s="1113" t="s">
        <v>2231</v>
      </c>
      <c r="B69" s="485"/>
      <c r="C69" s="397"/>
      <c r="D69" s="397"/>
      <c r="E69" s="397"/>
      <c r="F69" s="397">
        <f t="shared" ref="F69:BJ69" si="68">F176</f>
        <v>25.73</v>
      </c>
      <c r="G69" s="295">
        <f t="shared" si="68"/>
        <v>7.2</v>
      </c>
      <c r="H69" s="295">
        <f t="shared" si="68"/>
        <v>7.782</v>
      </c>
      <c r="I69" s="295">
        <f t="shared" si="68"/>
        <v>9.6950000000000003</v>
      </c>
      <c r="J69" s="295">
        <f t="shared" si="68"/>
        <v>10.823</v>
      </c>
      <c r="K69" s="397">
        <f t="shared" si="68"/>
        <v>35.5</v>
      </c>
      <c r="L69" s="295">
        <f t="shared" si="68"/>
        <v>10.968999999999999</v>
      </c>
      <c r="M69" s="295">
        <f t="shared" si="68"/>
        <v>12.113</v>
      </c>
      <c r="N69" s="295">
        <f t="shared" si="68"/>
        <v>14.239000000000001</v>
      </c>
      <c r="O69" s="295">
        <f t="shared" si="68"/>
        <v>18.483000000000001</v>
      </c>
      <c r="P69" s="397">
        <f t="shared" si="68"/>
        <v>55.804000000000002</v>
      </c>
      <c r="Q69" s="295">
        <f t="shared" si="68"/>
        <v>15.978</v>
      </c>
      <c r="R69" s="295">
        <f t="shared" si="68"/>
        <v>18.329999999999998</v>
      </c>
      <c r="S69" s="295">
        <f t="shared" si="68"/>
        <v>21.109000000000002</v>
      </c>
      <c r="T69" s="295">
        <f t="shared" si="68"/>
        <v>25.812999999999999</v>
      </c>
      <c r="U69" s="397">
        <f t="shared" si="68"/>
        <v>81.23</v>
      </c>
      <c r="V69" s="295">
        <f t="shared" si="68"/>
        <v>27.35</v>
      </c>
      <c r="W69" s="295">
        <f t="shared" si="68"/>
        <v>30.064</v>
      </c>
      <c r="X69" s="295">
        <f t="shared" si="68"/>
        <v>33.872</v>
      </c>
      <c r="Y69" s="295">
        <f t="shared" si="68"/>
        <v>36.597000000000001</v>
      </c>
      <c r="Z69" s="397">
        <f t="shared" si="68"/>
        <v>127.883</v>
      </c>
      <c r="AA69" s="295">
        <f t="shared" si="68"/>
        <v>35.058</v>
      </c>
      <c r="AB69" s="295">
        <f t="shared" si="68"/>
        <v>39.125</v>
      </c>
      <c r="AC69" s="295">
        <f t="shared" si="68"/>
        <v>42.948999999999998</v>
      </c>
      <c r="AD69" s="295">
        <f t="shared" si="68"/>
        <v>52.384</v>
      </c>
      <c r="AE69" s="397">
        <f t="shared" si="68"/>
        <v>169.51599999999999</v>
      </c>
      <c r="AF69" s="295">
        <f t="shared" si="68"/>
        <v>53.884</v>
      </c>
      <c r="AG69" s="295">
        <f t="shared" si="68"/>
        <v>61.792000000000002</v>
      </c>
      <c r="AH69" s="295">
        <f t="shared" si="68"/>
        <v>66.664000000000001</v>
      </c>
      <c r="AI69" s="295">
        <f t="shared" si="68"/>
        <v>77.705999999999989</v>
      </c>
      <c r="AJ69" s="397">
        <f t="shared" si="68"/>
        <v>260.04599999999999</v>
      </c>
      <c r="AK69" s="295">
        <f t="shared" si="68"/>
        <v>76.472999999999999</v>
      </c>
      <c r="AL69" s="295">
        <f t="shared" si="68"/>
        <v>88.501999999999995</v>
      </c>
      <c r="AM69" s="295">
        <f t="shared" si="68"/>
        <v>91.254999999999995</v>
      </c>
      <c r="AN69" s="295">
        <f t="shared" si="68"/>
        <v>100.49699999999996</v>
      </c>
      <c r="AO69" s="397">
        <f t="shared" si="68"/>
        <v>356.72699999999998</v>
      </c>
      <c r="AP69" s="295">
        <f t="shared" si="68"/>
        <v>89.462999999999994</v>
      </c>
      <c r="AQ69" s="295">
        <f t="shared" si="68"/>
        <v>143.773</v>
      </c>
      <c r="AR69" s="295">
        <f t="shared" si="68"/>
        <v>139.589</v>
      </c>
      <c r="AS69" s="295">
        <f t="shared" si="68"/>
        <v>136.73400000000004</v>
      </c>
      <c r="AT69" s="397">
        <f t="shared" si="68"/>
        <v>509.55900000000003</v>
      </c>
      <c r="AU69" s="295">
        <f t="shared" si="68"/>
        <v>147.24100000000001</v>
      </c>
      <c r="AV69" s="295">
        <f t="shared" si="68"/>
        <v>144.63</v>
      </c>
      <c r="AW69" s="295">
        <f t="shared" si="68"/>
        <v>139.93100000000001</v>
      </c>
      <c r="AX69" s="295">
        <f t="shared" si="68"/>
        <v>152.19799999999998</v>
      </c>
      <c r="AY69" s="397">
        <f t="shared" si="68"/>
        <v>584</v>
      </c>
      <c r="AZ69" s="295">
        <f t="shared" si="68"/>
        <v>151</v>
      </c>
      <c r="BA69" s="295">
        <f t="shared" si="68"/>
        <v>162</v>
      </c>
      <c r="BB69" s="295">
        <f t="shared" si="68"/>
        <v>156</v>
      </c>
      <c r="BC69" s="295">
        <f t="shared" si="68"/>
        <v>163</v>
      </c>
      <c r="BD69" s="397">
        <f t="shared" si="68"/>
        <v>632</v>
      </c>
      <c r="BE69" s="295">
        <f t="shared" si="68"/>
        <v>139</v>
      </c>
      <c r="BF69" s="295">
        <f t="shared" si="68"/>
        <v>144</v>
      </c>
      <c r="BG69" s="295">
        <f t="shared" si="68"/>
        <v>136</v>
      </c>
      <c r="BH69" s="295">
        <f t="shared" si="68"/>
        <v>138</v>
      </c>
      <c r="BI69" s="397">
        <f t="shared" si="68"/>
        <v>557</v>
      </c>
      <c r="BJ69" s="1030">
        <f t="shared" si="68"/>
        <v>117</v>
      </c>
      <c r="BK69" s="295">
        <f>BK70*BK67</f>
        <v>130.03475431500001</v>
      </c>
      <c r="BL69" s="295">
        <f>BL70*BL67</f>
        <v>123.06851616000003</v>
      </c>
      <c r="BM69" s="295">
        <f>BM70*BM67</f>
        <v>124.23547521</v>
      </c>
      <c r="BN69" s="397">
        <f>SUM(BJ69,BK69,BL69,BM69)</f>
        <v>494.33874568500005</v>
      </c>
      <c r="BO69" s="295">
        <f>BO70*BO67</f>
        <v>109.67061063000001</v>
      </c>
      <c r="BP69" s="295">
        <f>BP70*BP67</f>
        <v>120.90872127813684</v>
      </c>
      <c r="BQ69" s="295">
        <f>BQ70*BQ67</f>
        <v>114.73892011219397</v>
      </c>
      <c r="BR69" s="295">
        <f>BR70*BR67</f>
        <v>115.06194635124857</v>
      </c>
      <c r="BS69" s="397">
        <f>SUM(BO69,BP69,BQ69,BR69)</f>
        <v>460.38019837157935</v>
      </c>
      <c r="BT69" s="397">
        <f>BT70*BT67</f>
        <v>424.54749661361961</v>
      </c>
      <c r="BU69" s="397">
        <f>BU70*BU67</f>
        <v>381.23590229990879</v>
      </c>
      <c r="BV69" s="397">
        <f>BV70*BV67</f>
        <v>329.55903102406012</v>
      </c>
      <c r="BW69" s="197"/>
    </row>
    <row r="70" spans="1:75" s="217" customFormat="1" x14ac:dyDescent="0.5">
      <c r="A70" s="526" t="s">
        <v>2232</v>
      </c>
      <c r="B70" s="493"/>
      <c r="C70" s="423"/>
      <c r="D70" s="423"/>
      <c r="E70" s="423"/>
      <c r="F70" s="423">
        <f t="shared" ref="F70:BI70" si="69">F69/F67</f>
        <v>4.2809985558077163E-2</v>
      </c>
      <c r="G70" s="422">
        <f t="shared" si="69"/>
        <v>4.0037590849186178E-2</v>
      </c>
      <c r="H70" s="422">
        <f t="shared" si="69"/>
        <v>3.8264101958933212E-2</v>
      </c>
      <c r="I70" s="422">
        <f t="shared" si="69"/>
        <v>4.0855112894118042E-2</v>
      </c>
      <c r="J70" s="422">
        <f t="shared" si="69"/>
        <v>3.6646644138500807E-2</v>
      </c>
      <c r="K70" s="423">
        <f t="shared" si="69"/>
        <v>3.8762102238047345E-2</v>
      </c>
      <c r="L70" s="422">
        <f t="shared" si="69"/>
        <v>3.9356743820571423E-2</v>
      </c>
      <c r="M70" s="422">
        <f t="shared" si="69"/>
        <v>4.1000280939760422E-2</v>
      </c>
      <c r="N70" s="422">
        <f t="shared" si="69"/>
        <v>4.2354277963520412E-2</v>
      </c>
      <c r="O70" s="422">
        <f t="shared" si="69"/>
        <v>4.5232845266617576E-2</v>
      </c>
      <c r="P70" s="423">
        <f t="shared" si="69"/>
        <v>4.2309380712399473E-2</v>
      </c>
      <c r="Q70" s="422">
        <f t="shared" si="69"/>
        <v>3.7651017623730174E-2</v>
      </c>
      <c r="R70" s="422">
        <f t="shared" si="69"/>
        <v>3.7274886528168669E-2</v>
      </c>
      <c r="S70" s="422">
        <f t="shared" si="69"/>
        <v>3.55387122625309E-2</v>
      </c>
      <c r="T70" s="422">
        <f t="shared" si="69"/>
        <v>3.4892334311088277E-2</v>
      </c>
      <c r="U70" s="423">
        <f t="shared" si="69"/>
        <v>3.6104067541229884E-2</v>
      </c>
      <c r="V70" s="422">
        <f t="shared" si="69"/>
        <v>3.6596070371500297E-2</v>
      </c>
      <c r="W70" s="422">
        <f t="shared" si="69"/>
        <v>3.8204257568672101E-2</v>
      </c>
      <c r="X70" s="422">
        <f t="shared" si="69"/>
        <v>3.9316328603348716E-2</v>
      </c>
      <c r="Y70" s="422">
        <f t="shared" si="69"/>
        <v>3.717095674306975E-2</v>
      </c>
      <c r="Z70" s="423">
        <f t="shared" si="69"/>
        <v>3.7831177744382251E-2</v>
      </c>
      <c r="AA70" s="422">
        <f t="shared" si="69"/>
        <v>3.64873936460854E-2</v>
      </c>
      <c r="AB70" s="422">
        <f t="shared" si="69"/>
        <v>3.4844183047514556E-2</v>
      </c>
      <c r="AC70" s="422">
        <f t="shared" si="69"/>
        <v>3.5844660064530236E-2</v>
      </c>
      <c r="AD70" s="422">
        <f t="shared" si="69"/>
        <v>3.6402652923942465E-2</v>
      </c>
      <c r="AE70" s="423">
        <f t="shared" si="69"/>
        <v>3.5907598029610903E-2</v>
      </c>
      <c r="AF70" s="422">
        <f t="shared" si="69"/>
        <v>3.8371565561868846E-2</v>
      </c>
      <c r="AG70" s="422">
        <f t="shared" si="69"/>
        <v>3.7330781462202825E-2</v>
      </c>
      <c r="AH70" s="422">
        <f t="shared" si="69"/>
        <v>3.9084334665185315E-2</v>
      </c>
      <c r="AI70" s="422">
        <f t="shared" si="69"/>
        <v>3.8582842933777686E-2</v>
      </c>
      <c r="AJ70" s="423">
        <f t="shared" si="69"/>
        <v>3.8359540557595953E-2</v>
      </c>
      <c r="AK70" s="422">
        <f t="shared" si="69"/>
        <v>3.9321194819698799E-2</v>
      </c>
      <c r="AL70" s="422">
        <f t="shared" si="69"/>
        <v>3.7768894582782632E-2</v>
      </c>
      <c r="AM70" s="422">
        <f t="shared" si="69"/>
        <v>3.9581658885953386E-2</v>
      </c>
      <c r="AN70" s="422">
        <f t="shared" si="69"/>
        <v>3.9667415304579817E-2</v>
      </c>
      <c r="AO70" s="423">
        <f t="shared" si="69"/>
        <v>3.9084559239632222E-2</v>
      </c>
      <c r="AP70" s="422">
        <f t="shared" si="69"/>
        <v>3.8395099188305207E-2</v>
      </c>
      <c r="AQ70" s="422">
        <f t="shared" si="69"/>
        <v>3.3399292675493047E-2</v>
      </c>
      <c r="AR70" s="422">
        <f t="shared" si="69"/>
        <v>3.6355373127720032E-2</v>
      </c>
      <c r="AS70" s="422">
        <f t="shared" si="69"/>
        <v>3.7248583502844441E-2</v>
      </c>
      <c r="AT70" s="423">
        <f t="shared" si="69"/>
        <v>3.6023568775063353E-2</v>
      </c>
      <c r="AU70" s="422">
        <f t="shared" si="69"/>
        <v>4.234083044286184E-2</v>
      </c>
      <c r="AV70" s="422">
        <f t="shared" si="69"/>
        <v>3.7491970450219896E-2</v>
      </c>
      <c r="AW70" s="422">
        <f t="shared" si="69"/>
        <v>4.4834116875456374E-2</v>
      </c>
      <c r="AX70" s="422">
        <f t="shared" si="69"/>
        <v>4.6804620125697582E-2</v>
      </c>
      <c r="AY70" s="423">
        <f t="shared" si="69"/>
        <v>4.2602859644003503E-2</v>
      </c>
      <c r="AZ70" s="422">
        <f t="shared" si="69"/>
        <v>5.045105245573004E-2</v>
      </c>
      <c r="BA70" s="422">
        <f t="shared" si="69"/>
        <v>4.933008526187576E-2</v>
      </c>
      <c r="BB70" s="422">
        <f t="shared" si="69"/>
        <v>5.4929577464788736E-2</v>
      </c>
      <c r="BC70" s="422">
        <f t="shared" si="69"/>
        <v>5.2563689132537894E-2</v>
      </c>
      <c r="BD70" s="423">
        <f t="shared" si="69"/>
        <v>5.172696022262236E-2</v>
      </c>
      <c r="BE70" s="422">
        <f t="shared" si="69"/>
        <v>5.0108147080028836E-2</v>
      </c>
      <c r="BF70" s="422">
        <f t="shared" si="69"/>
        <v>4.5411542100283822E-2</v>
      </c>
      <c r="BG70" s="422">
        <f t="shared" si="69"/>
        <v>4.619565217391304E-2</v>
      </c>
      <c r="BH70" s="422">
        <f t="shared" si="69"/>
        <v>4.4315992292870907E-2</v>
      </c>
      <c r="BI70" s="423">
        <f t="shared" si="69"/>
        <v>4.6405065400316588E-2</v>
      </c>
      <c r="BJ70" s="1034">
        <f>BJ69/BJ67</f>
        <v>4.2872847196775372E-2</v>
      </c>
      <c r="BK70" s="422">
        <f>BF70-(BK71/10000)</f>
        <v>4.0411542100283825E-2</v>
      </c>
      <c r="BL70" s="422">
        <f>BG70-(BL71/10000)</f>
        <v>4.1195652173913043E-2</v>
      </c>
      <c r="BM70" s="422">
        <f>BH70-(BM71/10000)</f>
        <v>3.9315992292870909E-2</v>
      </c>
      <c r="BN70" s="423">
        <f>BN69/BN67</f>
        <v>4.0874372058269291E-2</v>
      </c>
      <c r="BO70" s="422">
        <f>BJ70-(BO71/10000)</f>
        <v>3.7872847196775375E-2</v>
      </c>
      <c r="BP70" s="422">
        <f>BK70-(BP71/10000)</f>
        <v>3.5411542100283827E-2</v>
      </c>
      <c r="BQ70" s="422">
        <f>BL70-(BQ71/10000)</f>
        <v>3.6195652173913045E-2</v>
      </c>
      <c r="BR70" s="422">
        <f>BM70-(BR71/10000)</f>
        <v>3.4315992292870912E-2</v>
      </c>
      <c r="BS70" s="423">
        <f>BS69/BS67</f>
        <v>3.5874372058269287E-2</v>
      </c>
      <c r="BT70" s="423">
        <f>BS70-(BT71/10000)</f>
        <v>3.0874372058269286E-2</v>
      </c>
      <c r="BU70" s="423">
        <f>BT70-(BU71/10000)</f>
        <v>2.5874372058269285E-2</v>
      </c>
      <c r="BV70" s="423">
        <f>BU70-(BV71/10000)</f>
        <v>2.0874372058269284E-2</v>
      </c>
      <c r="BW70" s="216"/>
    </row>
    <row r="71" spans="1:75" s="224" customFormat="1" x14ac:dyDescent="0.5">
      <c r="A71" s="272" t="s">
        <v>2233</v>
      </c>
      <c r="B71" s="494"/>
      <c r="C71" s="425"/>
      <c r="D71" s="425"/>
      <c r="E71" s="425"/>
      <c r="F71" s="425"/>
      <c r="G71" s="487"/>
      <c r="H71" s="487"/>
      <c r="I71" s="487"/>
      <c r="J71" s="487"/>
      <c r="K71" s="425">
        <f t="shared" ref="K71:BI71" si="70">(F70-K70)*10000</f>
        <v>40.478833200298176</v>
      </c>
      <c r="L71" s="487">
        <f t="shared" si="70"/>
        <v>6.8084702861475472</v>
      </c>
      <c r="M71" s="487">
        <f t="shared" si="70"/>
        <v>-27.3617898082721</v>
      </c>
      <c r="N71" s="487">
        <f t="shared" si="70"/>
        <v>-14.991650694023695</v>
      </c>
      <c r="O71" s="487">
        <f t="shared" si="70"/>
        <v>-85.862011281167682</v>
      </c>
      <c r="P71" s="425">
        <f t="shared" si="70"/>
        <v>-35.472784743521281</v>
      </c>
      <c r="Q71" s="487">
        <f t="shared" si="70"/>
        <v>17.057261968412494</v>
      </c>
      <c r="R71" s="487">
        <f t="shared" si="70"/>
        <v>37.253944115917534</v>
      </c>
      <c r="S71" s="487">
        <f t="shared" si="70"/>
        <v>68.155657009895123</v>
      </c>
      <c r="T71" s="487">
        <f t="shared" si="70"/>
        <v>103.40510955529298</v>
      </c>
      <c r="U71" s="425">
        <f t="shared" si="70"/>
        <v>62.053131711695897</v>
      </c>
      <c r="V71" s="487">
        <f t="shared" si="70"/>
        <v>10.549472522298764</v>
      </c>
      <c r="W71" s="487">
        <f t="shared" si="70"/>
        <v>-9.2937104050343216</v>
      </c>
      <c r="X71" s="487">
        <f t="shared" si="70"/>
        <v>-37.776163408178157</v>
      </c>
      <c r="Y71" s="487">
        <f t="shared" si="70"/>
        <v>-22.786224319814725</v>
      </c>
      <c r="Z71" s="425">
        <f t="shared" si="70"/>
        <v>-17.271102031523668</v>
      </c>
      <c r="AA71" s="487">
        <f t="shared" si="70"/>
        <v>1.0867672541489681</v>
      </c>
      <c r="AB71" s="487">
        <f t="shared" si="70"/>
        <v>33.60074521157545</v>
      </c>
      <c r="AC71" s="487">
        <f t="shared" si="70"/>
        <v>34.7166853881848</v>
      </c>
      <c r="AD71" s="487">
        <f t="shared" si="70"/>
        <v>7.683038191272848</v>
      </c>
      <c r="AE71" s="425">
        <f t="shared" si="70"/>
        <v>19.23579714771348</v>
      </c>
      <c r="AF71" s="487">
        <f t="shared" si="70"/>
        <v>-18.841719157834461</v>
      </c>
      <c r="AG71" s="487">
        <f t="shared" si="70"/>
        <v>-24.865984146882695</v>
      </c>
      <c r="AH71" s="487">
        <f t="shared" si="70"/>
        <v>-32.396746006550792</v>
      </c>
      <c r="AI71" s="487">
        <f t="shared" si="70"/>
        <v>-21.801900098352213</v>
      </c>
      <c r="AJ71" s="425">
        <f t="shared" si="70"/>
        <v>-24.519425279850502</v>
      </c>
      <c r="AK71" s="487">
        <f t="shared" si="70"/>
        <v>-9.4962925782995224</v>
      </c>
      <c r="AL71" s="487">
        <f t="shared" si="70"/>
        <v>-4.3811312057980691</v>
      </c>
      <c r="AM71" s="487">
        <f t="shared" si="70"/>
        <v>-4.973242207680709</v>
      </c>
      <c r="AN71" s="487">
        <f t="shared" si="70"/>
        <v>-10.84572370802131</v>
      </c>
      <c r="AO71" s="425">
        <f t="shared" si="70"/>
        <v>-7.2501868203626865</v>
      </c>
      <c r="AP71" s="487">
        <f t="shared" si="70"/>
        <v>9.2609563139359192</v>
      </c>
      <c r="AQ71" s="487">
        <f t="shared" si="70"/>
        <v>43.696019072895844</v>
      </c>
      <c r="AR71" s="487">
        <f t="shared" si="70"/>
        <v>32.262857582333531</v>
      </c>
      <c r="AS71" s="487">
        <f t="shared" si="70"/>
        <v>24.188318017353758</v>
      </c>
      <c r="AT71" s="425">
        <f t="shared" si="70"/>
        <v>30.60990464568869</v>
      </c>
      <c r="AU71" s="487">
        <f t="shared" si="70"/>
        <v>-39.457312545566339</v>
      </c>
      <c r="AV71" s="487">
        <f t="shared" si="70"/>
        <v>-40.926777747268481</v>
      </c>
      <c r="AW71" s="487">
        <f t="shared" si="70"/>
        <v>-84.787437477363426</v>
      </c>
      <c r="AX71" s="487">
        <f t="shared" si="70"/>
        <v>-95.560366228531407</v>
      </c>
      <c r="AY71" s="425">
        <f t="shared" si="70"/>
        <v>-65.7929086894015</v>
      </c>
      <c r="AZ71" s="487">
        <f t="shared" si="70"/>
        <v>-81.102220128681992</v>
      </c>
      <c r="BA71" s="487">
        <f t="shared" si="70"/>
        <v>-118.38114811655865</v>
      </c>
      <c r="BB71" s="487">
        <f t="shared" si="70"/>
        <v>-100.95460589332362</v>
      </c>
      <c r="BC71" s="487">
        <f t="shared" si="70"/>
        <v>-57.59069006840312</v>
      </c>
      <c r="BD71" s="425">
        <f t="shared" si="70"/>
        <v>-91.241005786188566</v>
      </c>
      <c r="BE71" s="487">
        <f t="shared" si="70"/>
        <v>3.4290537570120376</v>
      </c>
      <c r="BF71" s="487">
        <f t="shared" si="70"/>
        <v>39.185431615919377</v>
      </c>
      <c r="BG71" s="487">
        <f t="shared" si="70"/>
        <v>87.339252908756947</v>
      </c>
      <c r="BH71" s="487">
        <f t="shared" si="70"/>
        <v>82.476968396669875</v>
      </c>
      <c r="BI71" s="425">
        <f t="shared" si="70"/>
        <v>53.21894822305773</v>
      </c>
      <c r="BJ71" s="981">
        <f>(BE70-BJ70)*10000</f>
        <v>72.352998832534638</v>
      </c>
      <c r="BK71" s="256">
        <v>50</v>
      </c>
      <c r="BL71" s="256">
        <v>50</v>
      </c>
      <c r="BM71" s="256">
        <v>50</v>
      </c>
      <c r="BN71" s="425">
        <f>(BI70-BN70)*10000</f>
        <v>55.306933420472966</v>
      </c>
      <c r="BO71" s="256">
        <v>50</v>
      </c>
      <c r="BP71" s="256">
        <v>50</v>
      </c>
      <c r="BQ71" s="256">
        <v>50</v>
      </c>
      <c r="BR71" s="256">
        <v>50</v>
      </c>
      <c r="BS71" s="425">
        <f>(BN70-BS70)*10000</f>
        <v>50.000000000000043</v>
      </c>
      <c r="BT71" s="427">
        <v>50</v>
      </c>
      <c r="BU71" s="427">
        <v>50</v>
      </c>
      <c r="BV71" s="427">
        <v>50</v>
      </c>
      <c r="BW71" s="223"/>
    </row>
    <row r="72" spans="1:75" s="217" customFormat="1" ht="7.5" customHeight="1" x14ac:dyDescent="0.5">
      <c r="A72" s="178"/>
      <c r="B72" s="1387"/>
      <c r="C72" s="840"/>
      <c r="D72" s="840"/>
      <c r="E72" s="840"/>
      <c r="F72" s="840"/>
      <c r="G72" s="247"/>
      <c r="H72" s="247"/>
      <c r="I72" s="247"/>
      <c r="J72" s="247"/>
      <c r="K72" s="840"/>
      <c r="L72" s="247"/>
      <c r="M72" s="247"/>
      <c r="N72" s="247"/>
      <c r="O72" s="247"/>
      <c r="P72" s="840"/>
      <c r="Q72" s="247"/>
      <c r="R72" s="247"/>
      <c r="S72" s="247"/>
      <c r="T72" s="247"/>
      <c r="U72" s="840"/>
      <c r="V72" s="247"/>
      <c r="W72" s="247"/>
      <c r="X72" s="247"/>
      <c r="Y72" s="247"/>
      <c r="Z72" s="840"/>
      <c r="AA72" s="247"/>
      <c r="AB72" s="247"/>
      <c r="AC72" s="247"/>
      <c r="AD72" s="247"/>
      <c r="AE72" s="840"/>
      <c r="AF72" s="247"/>
      <c r="AG72" s="247"/>
      <c r="AH72" s="247"/>
      <c r="AI72" s="247"/>
      <c r="AJ72" s="840"/>
      <c r="AK72" s="247"/>
      <c r="AL72" s="247"/>
      <c r="AM72" s="247"/>
      <c r="AN72" s="247"/>
      <c r="AO72" s="840"/>
      <c r="AP72" s="247"/>
      <c r="AQ72" s="247"/>
      <c r="AR72" s="247"/>
      <c r="AS72" s="247"/>
      <c r="AT72" s="840"/>
      <c r="AU72" s="247"/>
      <c r="AV72" s="247"/>
      <c r="AW72" s="247"/>
      <c r="AX72" s="247"/>
      <c r="AY72" s="840"/>
      <c r="AZ72" s="247"/>
      <c r="BA72" s="247"/>
      <c r="BB72" s="247"/>
      <c r="BC72" s="247"/>
      <c r="BD72" s="840"/>
      <c r="BE72" s="247"/>
      <c r="BF72" s="247"/>
      <c r="BG72" s="247"/>
      <c r="BH72" s="247"/>
      <c r="BI72" s="840"/>
      <c r="BJ72" s="977"/>
      <c r="BK72" s="247"/>
      <c r="BL72" s="247"/>
      <c r="BM72" s="247"/>
      <c r="BN72" s="840"/>
      <c r="BO72" s="247"/>
      <c r="BP72" s="247"/>
      <c r="BQ72" s="247"/>
      <c r="BR72" s="247"/>
      <c r="BS72" s="840"/>
      <c r="BT72" s="840"/>
      <c r="BU72" s="840"/>
      <c r="BV72" s="840"/>
      <c r="BW72" s="161"/>
    </row>
    <row r="73" spans="1:75" s="198" customFormat="1" ht="14.25" x14ac:dyDescent="0.45">
      <c r="A73" s="1113" t="s">
        <v>2234</v>
      </c>
      <c r="B73" s="485"/>
      <c r="C73" s="397"/>
      <c r="D73" s="397"/>
      <c r="E73" s="397"/>
      <c r="F73" s="397">
        <f t="shared" ref="F73:BJ73" si="71">F177</f>
        <v>65.504000000000005</v>
      </c>
      <c r="G73" s="295">
        <f t="shared" si="71"/>
        <v>20.039000000000001</v>
      </c>
      <c r="H73" s="295">
        <f t="shared" si="71"/>
        <v>23.138000000000002</v>
      </c>
      <c r="I73" s="295">
        <f t="shared" si="71"/>
        <v>28.384</v>
      </c>
      <c r="J73" s="295">
        <f t="shared" si="71"/>
        <v>36.907999999999987</v>
      </c>
      <c r="K73" s="397">
        <f t="shared" si="71"/>
        <v>108.46899999999999</v>
      </c>
      <c r="L73" s="295">
        <f t="shared" si="71"/>
        <v>44.204000000000001</v>
      </c>
      <c r="M73" s="295">
        <f t="shared" si="71"/>
        <v>42.511000000000003</v>
      </c>
      <c r="N73" s="295">
        <f t="shared" si="71"/>
        <v>49.762999999999998</v>
      </c>
      <c r="O73" s="295">
        <f t="shared" si="71"/>
        <v>54.805999999999997</v>
      </c>
      <c r="P73" s="397">
        <f t="shared" si="71"/>
        <v>191.28399999999999</v>
      </c>
      <c r="Q73" s="295">
        <f t="shared" si="71"/>
        <v>57.999000000000002</v>
      </c>
      <c r="R73" s="295">
        <f t="shared" si="71"/>
        <v>61.539000000000001</v>
      </c>
      <c r="S73" s="295">
        <f t="shared" si="71"/>
        <v>70.710999999999999</v>
      </c>
      <c r="T73" s="295">
        <f t="shared" si="71"/>
        <v>87.974999999999994</v>
      </c>
      <c r="U73" s="397">
        <f t="shared" si="71"/>
        <v>278.22399999999999</v>
      </c>
      <c r="V73" s="295">
        <f t="shared" si="71"/>
        <v>97.677000000000007</v>
      </c>
      <c r="W73" s="295">
        <f t="shared" si="71"/>
        <v>94.426000000000002</v>
      </c>
      <c r="X73" s="295">
        <f t="shared" si="71"/>
        <v>101.333</v>
      </c>
      <c r="Y73" s="295">
        <f t="shared" si="71"/>
        <v>115.68899999999999</v>
      </c>
      <c r="Z73" s="397">
        <f t="shared" si="71"/>
        <v>409.125</v>
      </c>
      <c r="AA73" s="295">
        <f t="shared" si="71"/>
        <v>118.265</v>
      </c>
      <c r="AB73" s="295">
        <f t="shared" si="71"/>
        <v>124.241</v>
      </c>
      <c r="AC73" s="295">
        <f t="shared" si="71"/>
        <v>141.714</v>
      </c>
      <c r="AD73" s="295">
        <f t="shared" si="71"/>
        <v>165.73899999999992</v>
      </c>
      <c r="AE73" s="397">
        <f t="shared" si="71"/>
        <v>549.95899999999995</v>
      </c>
      <c r="AF73" s="295">
        <f t="shared" si="71"/>
        <v>161.64599999999999</v>
      </c>
      <c r="AG73" s="295">
        <f t="shared" si="71"/>
        <v>177.58199999999999</v>
      </c>
      <c r="AH73" s="295">
        <f t="shared" si="71"/>
        <v>202.58699999999999</v>
      </c>
      <c r="AI73" s="295">
        <f t="shared" si="71"/>
        <v>232.37400000000002</v>
      </c>
      <c r="AJ73" s="397">
        <f t="shared" si="71"/>
        <v>774.18899999999996</v>
      </c>
      <c r="AK73" s="295">
        <f t="shared" si="71"/>
        <v>243.96899999999999</v>
      </c>
      <c r="AL73" s="295">
        <f t="shared" si="71"/>
        <v>259.166</v>
      </c>
      <c r="AM73" s="295">
        <f t="shared" si="71"/>
        <v>281.846</v>
      </c>
      <c r="AN73" s="295">
        <f t="shared" si="71"/>
        <v>310.85899999999992</v>
      </c>
      <c r="AO73" s="397">
        <f t="shared" si="71"/>
        <v>1095.8399999999999</v>
      </c>
      <c r="AP73" s="295">
        <f t="shared" si="71"/>
        <v>275.76</v>
      </c>
      <c r="AQ73" s="295">
        <f t="shared" si="71"/>
        <v>417.77699999999999</v>
      </c>
      <c r="AR73" s="295">
        <f t="shared" si="71"/>
        <v>344.02499999999998</v>
      </c>
      <c r="AS73" s="295">
        <f t="shared" si="71"/>
        <v>374.6110000000001</v>
      </c>
      <c r="AT73" s="397">
        <f t="shared" si="71"/>
        <v>1412.173</v>
      </c>
      <c r="AU73" s="295">
        <f t="shared" si="71"/>
        <v>365.863</v>
      </c>
      <c r="AV73" s="295">
        <f t="shared" si="71"/>
        <v>351.77499999999998</v>
      </c>
      <c r="AW73" s="295">
        <f t="shared" si="71"/>
        <v>315.024</v>
      </c>
      <c r="AX73" s="295">
        <f t="shared" si="71"/>
        <v>345.33800000000019</v>
      </c>
      <c r="AY73" s="397">
        <f t="shared" si="71"/>
        <v>1378</v>
      </c>
      <c r="AZ73" s="295">
        <f t="shared" si="71"/>
        <v>336</v>
      </c>
      <c r="BA73" s="295">
        <f t="shared" si="71"/>
        <v>378</v>
      </c>
      <c r="BB73" s="295">
        <f t="shared" si="71"/>
        <v>353</v>
      </c>
      <c r="BC73" s="295">
        <f t="shared" si="71"/>
        <v>406</v>
      </c>
      <c r="BD73" s="397">
        <f t="shared" si="71"/>
        <v>1473</v>
      </c>
      <c r="BE73" s="295">
        <f t="shared" si="71"/>
        <v>327</v>
      </c>
      <c r="BF73" s="295">
        <f t="shared" si="71"/>
        <v>352</v>
      </c>
      <c r="BG73" s="295">
        <f t="shared" si="71"/>
        <v>337</v>
      </c>
      <c r="BH73" s="295">
        <f t="shared" si="71"/>
        <v>381</v>
      </c>
      <c r="BI73" s="397">
        <f t="shared" si="71"/>
        <v>1397</v>
      </c>
      <c r="BJ73" s="1030">
        <f t="shared" si="71"/>
        <v>324</v>
      </c>
      <c r="BK73" s="295">
        <f>BK74*BK67</f>
        <v>382.93304589600001</v>
      </c>
      <c r="BL73" s="295">
        <f>BL74*BL67</f>
        <v>327.03266316000008</v>
      </c>
      <c r="BM73" s="295">
        <f>BM74*BM67</f>
        <v>370.81899620999997</v>
      </c>
      <c r="BN73" s="397">
        <f>SUM(BJ73,BK73,BL73,BM73)</f>
        <v>1404.7847052660002</v>
      </c>
      <c r="BO73" s="295">
        <f>BO74*BO67</f>
        <v>329.31955263000003</v>
      </c>
      <c r="BP73" s="295">
        <f>BP74*BP67</f>
        <v>389.26061586448554</v>
      </c>
      <c r="BQ73" s="295">
        <f>BQ74*BQ67</f>
        <v>331.16650027877603</v>
      </c>
      <c r="BR73" s="295">
        <f>BR74*BR67</f>
        <v>376.71319998547455</v>
      </c>
      <c r="BS73" s="397">
        <f>SUM(BO73,BP73,BQ73,BR73)</f>
        <v>1426.4598687587363</v>
      </c>
      <c r="BT73" s="397">
        <f>BT74*BT67</f>
        <v>1459.7105581504918</v>
      </c>
      <c r="BU73" s="397">
        <f>BU74*BU67</f>
        <v>1490.4224392042213</v>
      </c>
      <c r="BV73" s="397">
        <f>BV74*BV67</f>
        <v>1518.062387995863</v>
      </c>
      <c r="BW73" s="197"/>
    </row>
    <row r="74" spans="1:75" s="217" customFormat="1" x14ac:dyDescent="0.5">
      <c r="A74" s="526" t="s">
        <v>2235</v>
      </c>
      <c r="B74" s="493"/>
      <c r="C74" s="423"/>
      <c r="D74" s="423"/>
      <c r="E74" s="423"/>
      <c r="F74" s="423">
        <f t="shared" ref="F74:BI74" si="72">F73/F67</f>
        <v>0.10898660295360615</v>
      </c>
      <c r="G74" s="422">
        <f t="shared" si="72"/>
        <v>0.11143240042039471</v>
      </c>
      <c r="H74" s="422">
        <f t="shared" si="72"/>
        <v>0.11376956966407051</v>
      </c>
      <c r="I74" s="422">
        <f t="shared" si="72"/>
        <v>0.11961129699707544</v>
      </c>
      <c r="J74" s="422">
        <f t="shared" si="72"/>
        <v>0.12497037252737571</v>
      </c>
      <c r="K74" s="423">
        <f t="shared" si="72"/>
        <v>0.1184362385255988</v>
      </c>
      <c r="L74" s="422">
        <f t="shared" si="72"/>
        <v>0.15860383843965167</v>
      </c>
      <c r="M74" s="422">
        <f t="shared" si="72"/>
        <v>0.14389192958227981</v>
      </c>
      <c r="N74" s="422">
        <f t="shared" si="72"/>
        <v>0.14802134519970969</v>
      </c>
      <c r="O74" s="422">
        <f t="shared" si="72"/>
        <v>0.13412494279512216</v>
      </c>
      <c r="P74" s="423">
        <f t="shared" si="72"/>
        <v>0.1450273740267834</v>
      </c>
      <c r="Q74" s="422">
        <f t="shared" si="72"/>
        <v>0.13667050764543287</v>
      </c>
      <c r="R74" s="422">
        <f t="shared" si="72"/>
        <v>0.1251423481755031</v>
      </c>
      <c r="S74" s="422">
        <f t="shared" si="72"/>
        <v>0.11904769921814497</v>
      </c>
      <c r="T74" s="422">
        <f t="shared" si="72"/>
        <v>0.11891888238554182</v>
      </c>
      <c r="U74" s="423">
        <f t="shared" si="72"/>
        <v>0.12366143158428096</v>
      </c>
      <c r="V74" s="422">
        <f t="shared" si="72"/>
        <v>0.1306981486536393</v>
      </c>
      <c r="W74" s="422">
        <f t="shared" si="72"/>
        <v>0.11999318870341379</v>
      </c>
      <c r="X74" s="422">
        <f t="shared" si="72"/>
        <v>0.11762049853457532</v>
      </c>
      <c r="Y74" s="422">
        <f t="shared" si="72"/>
        <v>0.11750336952889569</v>
      </c>
      <c r="Z74" s="423">
        <f t="shared" si="72"/>
        <v>0.12103000863813321</v>
      </c>
      <c r="AA74" s="422">
        <f t="shared" si="72"/>
        <v>0.12308693050243281</v>
      </c>
      <c r="AB74" s="422">
        <f t="shared" si="72"/>
        <v>0.11064731363594263</v>
      </c>
      <c r="AC74" s="422">
        <f t="shared" si="72"/>
        <v>0.11827260603005514</v>
      </c>
      <c r="AD74" s="422">
        <f t="shared" si="72"/>
        <v>0.11517523085219336</v>
      </c>
      <c r="AE74" s="423">
        <f t="shared" si="72"/>
        <v>0.11649464773099166</v>
      </c>
      <c r="AF74" s="422">
        <f t="shared" si="72"/>
        <v>0.11511042399996012</v>
      </c>
      <c r="AG74" s="422">
        <f t="shared" si="72"/>
        <v>0.10728370717278776</v>
      </c>
      <c r="AH74" s="422">
        <f t="shared" si="72"/>
        <v>0.11877442257914161</v>
      </c>
      <c r="AI74" s="422">
        <f t="shared" si="72"/>
        <v>0.11537911543373301</v>
      </c>
      <c r="AJ74" s="423">
        <f t="shared" si="72"/>
        <v>0.1142010811346633</v>
      </c>
      <c r="AK74" s="422">
        <f t="shared" si="72"/>
        <v>0.12544496199922975</v>
      </c>
      <c r="AL74" s="422">
        <f t="shared" si="72"/>
        <v>0.11060104103230937</v>
      </c>
      <c r="AM74" s="422">
        <f t="shared" si="72"/>
        <v>0.12225009293047415</v>
      </c>
      <c r="AN74" s="422">
        <f t="shared" si="72"/>
        <v>0.12269991197912754</v>
      </c>
      <c r="AO74" s="423">
        <f t="shared" si="72"/>
        <v>0.12006498918545154</v>
      </c>
      <c r="AP74" s="422">
        <f t="shared" si="72"/>
        <v>0.1183487313433156</v>
      </c>
      <c r="AQ74" s="422">
        <f t="shared" si="72"/>
        <v>9.7051993740754239E-2</v>
      </c>
      <c r="AR74" s="422">
        <f t="shared" si="72"/>
        <v>8.9599877069567679E-2</v>
      </c>
      <c r="AS74" s="422">
        <f t="shared" si="72"/>
        <v>0.10205017855532683</v>
      </c>
      <c r="AT74" s="423">
        <f t="shared" si="72"/>
        <v>9.983438853555239E-2</v>
      </c>
      <c r="AU74" s="422">
        <f t="shared" si="72"/>
        <v>0.10520808231618067</v>
      </c>
      <c r="AV74" s="422">
        <f t="shared" si="72"/>
        <v>9.1189503596253232E-2</v>
      </c>
      <c r="AW74" s="422">
        <f t="shared" si="72"/>
        <v>0.10093419495732731</v>
      </c>
      <c r="AX74" s="422">
        <f t="shared" si="72"/>
        <v>0.10619991001831933</v>
      </c>
      <c r="AY74" s="423">
        <f t="shared" si="72"/>
        <v>0.10052524073533703</v>
      </c>
      <c r="AZ74" s="422">
        <f t="shared" si="72"/>
        <v>0.11226194453725359</v>
      </c>
      <c r="BA74" s="422">
        <f t="shared" si="72"/>
        <v>0.11510353227771011</v>
      </c>
      <c r="BB74" s="422">
        <f t="shared" si="72"/>
        <v>0.12429577464788732</v>
      </c>
      <c r="BC74" s="422">
        <f t="shared" si="72"/>
        <v>0.1309255079006772</v>
      </c>
      <c r="BD74" s="423">
        <f t="shared" si="72"/>
        <v>0.12055982975937142</v>
      </c>
      <c r="BE74" s="422">
        <f t="shared" si="72"/>
        <v>0.11788031723143474</v>
      </c>
      <c r="BF74" s="422">
        <f t="shared" si="72"/>
        <v>0.11100599180069379</v>
      </c>
      <c r="BG74" s="422">
        <f t="shared" si="72"/>
        <v>0.11447010869565218</v>
      </c>
      <c r="BH74" s="422">
        <f t="shared" si="72"/>
        <v>0.12235067437379576</v>
      </c>
      <c r="BI74" s="423">
        <f t="shared" si="72"/>
        <v>0.11638756977422311</v>
      </c>
      <c r="BJ74" s="1034">
        <f>BJ73/BJ67</f>
        <v>0.1187248076218395</v>
      </c>
      <c r="BK74" s="422">
        <f>BF74-(BK75/10000)</f>
        <v>0.11900599180069379</v>
      </c>
      <c r="BL74" s="422">
        <f>BG74-(BL75/10000)</f>
        <v>0.10947010869565217</v>
      </c>
      <c r="BM74" s="422">
        <f>BH74-(BM75/10000)</f>
        <v>0.11735067437379576</v>
      </c>
      <c r="BN74" s="423">
        <f>BN73/BN67</f>
        <v>0.11615454626208348</v>
      </c>
      <c r="BO74" s="422">
        <f>BJ74-(BO75/10000)</f>
        <v>0.11372480762183949</v>
      </c>
      <c r="BP74" s="422">
        <f>BK74-(BP75/10000)</f>
        <v>0.11400599180069379</v>
      </c>
      <c r="BQ74" s="422">
        <f>BL74-(BQ75/10000)</f>
        <v>0.10447010869565217</v>
      </c>
      <c r="BR74" s="422">
        <f>BM74-(BR75/10000)</f>
        <v>0.11235067437379576</v>
      </c>
      <c r="BS74" s="423">
        <f>BS73/BS67</f>
        <v>0.11115454626208347</v>
      </c>
      <c r="BT74" s="423">
        <f>BS74-(BT75/10000)</f>
        <v>0.10615454626208347</v>
      </c>
      <c r="BU74" s="423">
        <f>BT74-(BU75/10000)</f>
        <v>0.10115454626208346</v>
      </c>
      <c r="BV74" s="423">
        <f>BU74-(BV75/10000)</f>
        <v>9.615454626208346E-2</v>
      </c>
      <c r="BW74" s="216"/>
    </row>
    <row r="75" spans="1:75" s="224" customFormat="1" x14ac:dyDescent="0.5">
      <c r="A75" s="272" t="s">
        <v>2236</v>
      </c>
      <c r="B75" s="494"/>
      <c r="C75" s="425"/>
      <c r="D75" s="425"/>
      <c r="E75" s="425"/>
      <c r="F75" s="425"/>
      <c r="G75" s="487"/>
      <c r="H75" s="487"/>
      <c r="I75" s="487"/>
      <c r="J75" s="487"/>
      <c r="K75" s="425">
        <f t="shared" ref="K75:BI75" si="73">(F74-K74)*10000</f>
        <v>-94.496355719926456</v>
      </c>
      <c r="L75" s="487">
        <f t="shared" si="73"/>
        <v>-471.71438019256965</v>
      </c>
      <c r="M75" s="487">
        <f t="shared" si="73"/>
        <v>-301.22359918209304</v>
      </c>
      <c r="N75" s="487">
        <f t="shared" si="73"/>
        <v>-284.10048202634249</v>
      </c>
      <c r="O75" s="487">
        <f t="shared" si="73"/>
        <v>-91.545702677464504</v>
      </c>
      <c r="P75" s="425">
        <f t="shared" si="73"/>
        <v>-265.91135501184596</v>
      </c>
      <c r="Q75" s="487">
        <f t="shared" si="73"/>
        <v>219.33330794218801</v>
      </c>
      <c r="R75" s="487">
        <f t="shared" si="73"/>
        <v>187.4958140677671</v>
      </c>
      <c r="S75" s="487">
        <f t="shared" si="73"/>
        <v>289.73645981564727</v>
      </c>
      <c r="T75" s="487">
        <f t="shared" si="73"/>
        <v>152.06060409580334</v>
      </c>
      <c r="U75" s="425">
        <f t="shared" si="73"/>
        <v>213.65942442502435</v>
      </c>
      <c r="V75" s="487">
        <f t="shared" si="73"/>
        <v>59.723589917935747</v>
      </c>
      <c r="W75" s="487">
        <f t="shared" si="73"/>
        <v>51.491594720893126</v>
      </c>
      <c r="X75" s="487">
        <f t="shared" si="73"/>
        <v>14.272006835696487</v>
      </c>
      <c r="Y75" s="487">
        <f t="shared" si="73"/>
        <v>14.155128566461366</v>
      </c>
      <c r="Z75" s="425">
        <f t="shared" si="73"/>
        <v>26.314229461477517</v>
      </c>
      <c r="AA75" s="487">
        <f t="shared" si="73"/>
        <v>76.112181512064808</v>
      </c>
      <c r="AB75" s="487">
        <f t="shared" si="73"/>
        <v>93.458750674711567</v>
      </c>
      <c r="AC75" s="487">
        <f t="shared" si="73"/>
        <v>-6.5210749547982285</v>
      </c>
      <c r="AD75" s="487">
        <f t="shared" si="73"/>
        <v>23.281386767023264</v>
      </c>
      <c r="AE75" s="425">
        <f t="shared" si="73"/>
        <v>45.353609071415448</v>
      </c>
      <c r="AF75" s="487">
        <f t="shared" si="73"/>
        <v>79.765065024726965</v>
      </c>
      <c r="AG75" s="487">
        <f t="shared" si="73"/>
        <v>33.63606463154867</v>
      </c>
      <c r="AH75" s="487">
        <f t="shared" si="73"/>
        <v>-5.0181654908647291</v>
      </c>
      <c r="AI75" s="487">
        <f t="shared" si="73"/>
        <v>-2.0388458153965114</v>
      </c>
      <c r="AJ75" s="425">
        <f t="shared" si="73"/>
        <v>22.935665963283586</v>
      </c>
      <c r="AK75" s="487">
        <f t="shared" si="73"/>
        <v>-103.34537999269629</v>
      </c>
      <c r="AL75" s="487">
        <f t="shared" si="73"/>
        <v>-33.173338595216123</v>
      </c>
      <c r="AM75" s="487">
        <f t="shared" si="73"/>
        <v>-34.756703513325327</v>
      </c>
      <c r="AN75" s="487">
        <f t="shared" si="73"/>
        <v>-73.207965453945263</v>
      </c>
      <c r="AO75" s="425">
        <f t="shared" si="73"/>
        <v>-58.639080507882355</v>
      </c>
      <c r="AP75" s="487">
        <f t="shared" si="73"/>
        <v>70.96230655914151</v>
      </c>
      <c r="AQ75" s="487">
        <f t="shared" si="73"/>
        <v>135.49047291555135</v>
      </c>
      <c r="AR75" s="487">
        <f t="shared" si="73"/>
        <v>326.50215860906468</v>
      </c>
      <c r="AS75" s="487">
        <f t="shared" si="73"/>
        <v>206.49733423800706</v>
      </c>
      <c r="AT75" s="425">
        <f t="shared" si="73"/>
        <v>202.30600649899151</v>
      </c>
      <c r="AU75" s="487">
        <f t="shared" si="73"/>
        <v>131.40649027134924</v>
      </c>
      <c r="AV75" s="487">
        <f t="shared" si="73"/>
        <v>58.62490144501006</v>
      </c>
      <c r="AW75" s="487">
        <f t="shared" si="73"/>
        <v>-113.34317887759626</v>
      </c>
      <c r="AX75" s="487">
        <f t="shared" si="73"/>
        <v>-41.497314629924951</v>
      </c>
      <c r="AY75" s="425">
        <f t="shared" si="73"/>
        <v>-6.9085219978463899</v>
      </c>
      <c r="AZ75" s="487">
        <f t="shared" si="73"/>
        <v>-70.538622210729173</v>
      </c>
      <c r="BA75" s="487">
        <f t="shared" si="73"/>
        <v>-239.14028681456881</v>
      </c>
      <c r="BB75" s="487">
        <f t="shared" si="73"/>
        <v>-233.61579690560021</v>
      </c>
      <c r="BC75" s="487">
        <f t="shared" si="73"/>
        <v>-247.25597882357869</v>
      </c>
      <c r="BD75" s="425">
        <f t="shared" si="73"/>
        <v>-200.34589024034392</v>
      </c>
      <c r="BE75" s="487">
        <f t="shared" si="73"/>
        <v>-56.183726941811535</v>
      </c>
      <c r="BF75" s="487">
        <f t="shared" si="73"/>
        <v>40.975404770163259</v>
      </c>
      <c r="BG75" s="487">
        <f t="shared" si="73"/>
        <v>98.256659522351498</v>
      </c>
      <c r="BH75" s="487">
        <f t="shared" si="73"/>
        <v>85.748335268814316</v>
      </c>
      <c r="BI75" s="425">
        <f t="shared" si="73"/>
        <v>41.722599851483075</v>
      </c>
      <c r="BJ75" s="981">
        <f>(BE74-BJ74)*10000</f>
        <v>-8.4449039040475355</v>
      </c>
      <c r="BK75" s="256">
        <v>-80</v>
      </c>
      <c r="BL75" s="256">
        <v>50</v>
      </c>
      <c r="BM75" s="256">
        <v>50</v>
      </c>
      <c r="BN75" s="425">
        <f>(BI74-BN74)*10000</f>
        <v>2.3302351213963512</v>
      </c>
      <c r="BO75" s="256">
        <v>50</v>
      </c>
      <c r="BP75" s="256">
        <v>50</v>
      </c>
      <c r="BQ75" s="256">
        <v>50</v>
      </c>
      <c r="BR75" s="256">
        <v>50</v>
      </c>
      <c r="BS75" s="425">
        <f>(BN74-BS74)*10000</f>
        <v>50.000000000000043</v>
      </c>
      <c r="BT75" s="427">
        <v>50</v>
      </c>
      <c r="BU75" s="427">
        <v>50</v>
      </c>
      <c r="BV75" s="427">
        <v>50</v>
      </c>
      <c r="BW75" s="223"/>
    </row>
    <row r="76" spans="1:75" s="217" customFormat="1" ht="7.5" customHeight="1" x14ac:dyDescent="0.5">
      <c r="A76" s="178"/>
      <c r="B76" s="1387"/>
      <c r="C76" s="840"/>
      <c r="D76" s="840"/>
      <c r="E76" s="840"/>
      <c r="F76" s="840"/>
      <c r="G76" s="247"/>
      <c r="H76" s="247"/>
      <c r="I76" s="247"/>
      <c r="J76" s="247"/>
      <c r="K76" s="840"/>
      <c r="L76" s="247"/>
      <c r="M76" s="247"/>
      <c r="N76" s="247"/>
      <c r="O76" s="247"/>
      <c r="P76" s="840"/>
      <c r="Q76" s="247"/>
      <c r="R76" s="247"/>
      <c r="S76" s="247"/>
      <c r="T76" s="247"/>
      <c r="U76" s="840"/>
      <c r="V76" s="247"/>
      <c r="W76" s="247"/>
      <c r="X76" s="247"/>
      <c r="Y76" s="247"/>
      <c r="Z76" s="840"/>
      <c r="AA76" s="247"/>
      <c r="AB76" s="247"/>
      <c r="AC76" s="247"/>
      <c r="AD76" s="247"/>
      <c r="AE76" s="840"/>
      <c r="AF76" s="247"/>
      <c r="AG76" s="247"/>
      <c r="AH76" s="247"/>
      <c r="AI76" s="247"/>
      <c r="AJ76" s="840"/>
      <c r="AK76" s="247"/>
      <c r="AL76" s="247"/>
      <c r="AM76" s="247"/>
      <c r="AN76" s="247"/>
      <c r="AO76" s="840"/>
      <c r="AP76" s="247"/>
      <c r="AQ76" s="247"/>
      <c r="AR76" s="247"/>
      <c r="AS76" s="247"/>
      <c r="AT76" s="840"/>
      <c r="AU76" s="247"/>
      <c r="AV76" s="247"/>
      <c r="AW76" s="247"/>
      <c r="AX76" s="247"/>
      <c r="AY76" s="840"/>
      <c r="AZ76" s="247"/>
      <c r="BA76" s="247"/>
      <c r="BB76" s="247"/>
      <c r="BC76" s="247"/>
      <c r="BD76" s="840"/>
      <c r="BE76" s="247"/>
      <c r="BF76" s="247"/>
      <c r="BG76" s="247"/>
      <c r="BH76" s="247"/>
      <c r="BI76" s="840"/>
      <c r="BJ76" s="977"/>
      <c r="BK76" s="247"/>
      <c r="BL76" s="247"/>
      <c r="BM76" s="247"/>
      <c r="BN76" s="840"/>
      <c r="BO76" s="247"/>
      <c r="BP76" s="247"/>
      <c r="BQ76" s="247"/>
      <c r="BR76" s="247"/>
      <c r="BS76" s="840"/>
      <c r="BT76" s="840"/>
      <c r="BU76" s="840"/>
      <c r="BV76" s="840"/>
      <c r="BW76" s="161"/>
    </row>
    <row r="77" spans="1:75" s="198" customFormat="1" ht="14.25" hidden="1" outlineLevel="1" x14ac:dyDescent="0.45">
      <c r="A77" s="1113" t="s">
        <v>2237</v>
      </c>
      <c r="B77" s="485"/>
      <c r="C77" s="397"/>
      <c r="D77" s="397"/>
      <c r="E77" s="397">
        <f t="shared" ref="E77:Z77" si="74">E178</f>
        <v>106.794</v>
      </c>
      <c r="F77" s="397">
        <f t="shared" si="74"/>
        <v>22.135999999999999</v>
      </c>
      <c r="G77" s="295">
        <f t="shared" si="74"/>
        <v>6.84</v>
      </c>
      <c r="H77" s="295">
        <f t="shared" si="74"/>
        <v>7.7149999999999999</v>
      </c>
      <c r="I77" s="295">
        <f t="shared" si="74"/>
        <v>8.5229999999999997</v>
      </c>
      <c r="J77" s="295">
        <f t="shared" si="74"/>
        <v>10.428000000000001</v>
      </c>
      <c r="K77" s="397">
        <f t="shared" si="74"/>
        <v>33.506</v>
      </c>
      <c r="L77" s="295">
        <f t="shared" si="74"/>
        <v>15.170999999999999</v>
      </c>
      <c r="M77" s="295">
        <f t="shared" si="74"/>
        <v>13.26</v>
      </c>
      <c r="N77" s="295">
        <f t="shared" si="74"/>
        <v>13.436999999999999</v>
      </c>
      <c r="O77" s="295">
        <f t="shared" si="74"/>
        <v>38.244999999999997</v>
      </c>
      <c r="P77" s="397">
        <f t="shared" si="74"/>
        <v>80.113</v>
      </c>
      <c r="Q77" s="295">
        <f t="shared" si="74"/>
        <v>23.234000000000002</v>
      </c>
      <c r="R77" s="295">
        <f t="shared" si="74"/>
        <v>23.814</v>
      </c>
      <c r="S77" s="295">
        <f t="shared" si="74"/>
        <v>27.082999999999998</v>
      </c>
      <c r="T77" s="295">
        <f t="shared" si="74"/>
        <v>32.018000000000001</v>
      </c>
      <c r="U77" s="397">
        <f t="shared" si="74"/>
        <v>106.149</v>
      </c>
      <c r="V77" s="295">
        <f t="shared" si="74"/>
        <v>37.856000000000002</v>
      </c>
      <c r="W77" s="295">
        <f t="shared" si="74"/>
        <v>43.273000000000003</v>
      </c>
      <c r="X77" s="295">
        <f t="shared" si="74"/>
        <v>48.55</v>
      </c>
      <c r="Y77" s="295">
        <f t="shared" si="74"/>
        <v>47.856000000000002</v>
      </c>
      <c r="Z77" s="397">
        <f t="shared" si="74"/>
        <v>177.535</v>
      </c>
      <c r="AA77" s="295"/>
      <c r="AB77" s="295"/>
      <c r="AC77" s="295"/>
      <c r="AD77" s="295"/>
      <c r="AE77" s="397"/>
      <c r="AF77" s="295"/>
      <c r="AG77" s="295"/>
      <c r="AH77" s="295"/>
      <c r="AI77" s="295"/>
      <c r="AJ77" s="397"/>
      <c r="AK77" s="295"/>
      <c r="AL77" s="295"/>
      <c r="AM77" s="295"/>
      <c r="AN77" s="295"/>
      <c r="AO77" s="397"/>
      <c r="AP77" s="295"/>
      <c r="AQ77" s="295"/>
      <c r="AR77" s="295"/>
      <c r="AS77" s="295"/>
      <c r="AT77" s="397"/>
      <c r="AU77" s="295"/>
      <c r="AV77" s="295"/>
      <c r="AW77" s="295"/>
      <c r="AX77" s="295"/>
      <c r="AY77" s="397"/>
      <c r="AZ77" s="295"/>
      <c r="BA77" s="295"/>
      <c r="BB77" s="295"/>
      <c r="BC77" s="295"/>
      <c r="BD77" s="397"/>
      <c r="BE77" s="295"/>
      <c r="BF77" s="295"/>
      <c r="BG77" s="295"/>
      <c r="BH77" s="295"/>
      <c r="BI77" s="397"/>
      <c r="BJ77" s="1030"/>
      <c r="BK77" s="295"/>
      <c r="BL77" s="295"/>
      <c r="BM77" s="295"/>
      <c r="BN77" s="397"/>
      <c r="BO77" s="295"/>
      <c r="BP77" s="295"/>
      <c r="BQ77" s="295"/>
      <c r="BR77" s="295"/>
      <c r="BS77" s="397"/>
      <c r="BT77" s="397"/>
      <c r="BU77" s="397"/>
      <c r="BV77" s="397"/>
      <c r="BW77" s="197"/>
    </row>
    <row r="78" spans="1:75" s="217" customFormat="1" hidden="1" outlineLevel="1" x14ac:dyDescent="0.5">
      <c r="A78" s="526" t="s">
        <v>2238</v>
      </c>
      <c r="B78" s="493"/>
      <c r="C78" s="423"/>
      <c r="D78" s="423"/>
      <c r="E78" s="423">
        <f t="shared" ref="E78:Z78" si="75">E77/E67</f>
        <v>0.20643063695547961</v>
      </c>
      <c r="F78" s="423">
        <f t="shared" si="75"/>
        <v>3.6830230871107497E-2</v>
      </c>
      <c r="G78" s="422">
        <f t="shared" si="75"/>
        <v>3.8035711306726866E-2</v>
      </c>
      <c r="H78" s="422">
        <f t="shared" si="75"/>
        <v>3.7934662890409886E-2</v>
      </c>
      <c r="I78" s="422">
        <f t="shared" si="75"/>
        <v>3.5916258607175663E-2</v>
      </c>
      <c r="J78" s="422">
        <f t="shared" si="75"/>
        <v>3.5309175374321947E-2</v>
      </c>
      <c r="K78" s="423">
        <f t="shared" si="75"/>
        <v>3.6584873171493365E-2</v>
      </c>
      <c r="L78" s="422">
        <f t="shared" si="75"/>
        <v>5.4433509025607535E-2</v>
      </c>
      <c r="M78" s="422">
        <f t="shared" si="75"/>
        <v>4.4882665339818641E-2</v>
      </c>
      <c r="N78" s="422">
        <f t="shared" si="75"/>
        <v>3.9968707984818018E-2</v>
      </c>
      <c r="O78" s="422">
        <f t="shared" si="75"/>
        <v>9.3595745670171995E-2</v>
      </c>
      <c r="P78" s="423">
        <f t="shared" si="75"/>
        <v>6.0739936510150867E-2</v>
      </c>
      <c r="Q78" s="422">
        <f t="shared" si="75"/>
        <v>5.4749264205141257E-2</v>
      </c>
      <c r="R78" s="422">
        <f t="shared" si="75"/>
        <v>4.8426849306154318E-2</v>
      </c>
      <c r="S78" s="422">
        <f t="shared" si="75"/>
        <v>4.5596425420726901E-2</v>
      </c>
      <c r="T78" s="422">
        <f t="shared" si="75"/>
        <v>4.3279849687073352E-2</v>
      </c>
      <c r="U78" s="423">
        <f t="shared" si="75"/>
        <v>4.7179744742509057E-2</v>
      </c>
      <c r="V78" s="422">
        <f t="shared" si="75"/>
        <v>5.06537784271852E-2</v>
      </c>
      <c r="W78" s="422">
        <f t="shared" si="75"/>
        <v>5.4989783055120679E-2</v>
      </c>
      <c r="X78" s="422">
        <f t="shared" si="75"/>
        <v>5.6353559095789443E-2</v>
      </c>
      <c r="Y78" s="422">
        <f t="shared" si="75"/>
        <v>4.8606533483519024E-2</v>
      </c>
      <c r="Z78" s="423">
        <f t="shared" si="75"/>
        <v>5.2519554130329313E-2</v>
      </c>
      <c r="AA78" s="422"/>
      <c r="AB78" s="422"/>
      <c r="AC78" s="422"/>
      <c r="AD78" s="422"/>
      <c r="AE78" s="423"/>
      <c r="AF78" s="422"/>
      <c r="AG78" s="422"/>
      <c r="AH78" s="422"/>
      <c r="AI78" s="422"/>
      <c r="AJ78" s="423"/>
      <c r="AK78" s="422"/>
      <c r="AL78" s="422"/>
      <c r="AM78" s="422"/>
      <c r="AN78" s="422"/>
      <c r="AO78" s="423"/>
      <c r="AP78" s="422"/>
      <c r="AQ78" s="422"/>
      <c r="AR78" s="422"/>
      <c r="AS78" s="422"/>
      <c r="AT78" s="423"/>
      <c r="AU78" s="422"/>
      <c r="AV78" s="422"/>
      <c r="AW78" s="422"/>
      <c r="AX78" s="422"/>
      <c r="AY78" s="423"/>
      <c r="AZ78" s="422"/>
      <c r="BA78" s="422"/>
      <c r="BB78" s="422"/>
      <c r="BC78" s="422"/>
      <c r="BD78" s="423"/>
      <c r="BE78" s="422"/>
      <c r="BF78" s="422"/>
      <c r="BG78" s="422"/>
      <c r="BH78" s="422"/>
      <c r="BI78" s="423"/>
      <c r="BJ78" s="1034"/>
      <c r="BK78" s="422"/>
      <c r="BL78" s="422"/>
      <c r="BM78" s="422"/>
      <c r="BN78" s="423"/>
      <c r="BO78" s="422"/>
      <c r="BP78" s="422"/>
      <c r="BQ78" s="422"/>
      <c r="BR78" s="422"/>
      <c r="BS78" s="423"/>
      <c r="BT78" s="423"/>
      <c r="BU78" s="423"/>
      <c r="BV78" s="423"/>
      <c r="BW78" s="216"/>
    </row>
    <row r="79" spans="1:75" s="224" customFormat="1" hidden="1" outlineLevel="1" x14ac:dyDescent="0.5">
      <c r="A79" s="272" t="s">
        <v>2239</v>
      </c>
      <c r="B79" s="494"/>
      <c r="C79" s="425"/>
      <c r="D79" s="425"/>
      <c r="E79" s="425"/>
      <c r="F79" s="425">
        <f>(E78-F78)*10000</f>
        <v>1696.0040608437209</v>
      </c>
      <c r="G79" s="487"/>
      <c r="H79" s="487"/>
      <c r="I79" s="487"/>
      <c r="J79" s="487"/>
      <c r="K79" s="425">
        <f t="shared" ref="K79:Z79" si="76">(F78-K78)*10000</f>
        <v>2.4535769961413214</v>
      </c>
      <c r="L79" s="487">
        <f t="shared" si="76"/>
        <v>-163.97797718880668</v>
      </c>
      <c r="M79" s="487">
        <f t="shared" si="76"/>
        <v>-69.480024494087544</v>
      </c>
      <c r="N79" s="487">
        <f t="shared" si="76"/>
        <v>-40.524493776423547</v>
      </c>
      <c r="O79" s="487">
        <f t="shared" si="76"/>
        <v>-582.86570295850049</v>
      </c>
      <c r="P79" s="425">
        <f t="shared" si="76"/>
        <v>-241.55063338657502</v>
      </c>
      <c r="Q79" s="487">
        <f t="shared" si="76"/>
        <v>-3.1575517953372212</v>
      </c>
      <c r="R79" s="487">
        <f t="shared" si="76"/>
        <v>-35.441839663356774</v>
      </c>
      <c r="S79" s="487">
        <f t="shared" si="76"/>
        <v>-56.277174359088825</v>
      </c>
      <c r="T79" s="487">
        <f t="shared" si="76"/>
        <v>503.15895983098642</v>
      </c>
      <c r="U79" s="425">
        <f t="shared" si="76"/>
        <v>135.60191767641811</v>
      </c>
      <c r="V79" s="487">
        <f t="shared" si="76"/>
        <v>40.954857779560569</v>
      </c>
      <c r="W79" s="487">
        <f t="shared" si="76"/>
        <v>-65.629337489663612</v>
      </c>
      <c r="X79" s="487">
        <f t="shared" si="76"/>
        <v>-107.57133675062542</v>
      </c>
      <c r="Y79" s="487">
        <f t="shared" si="76"/>
        <v>-53.26683796445672</v>
      </c>
      <c r="Z79" s="425">
        <f t="shared" si="76"/>
        <v>-53.398093878202559</v>
      </c>
      <c r="AA79" s="487"/>
      <c r="AB79" s="487"/>
      <c r="AC79" s="487"/>
      <c r="AD79" s="487"/>
      <c r="AE79" s="425"/>
      <c r="AF79" s="487"/>
      <c r="AG79" s="487"/>
      <c r="AH79" s="487"/>
      <c r="AI79" s="487"/>
      <c r="AJ79" s="425"/>
      <c r="AK79" s="487"/>
      <c r="AL79" s="487"/>
      <c r="AM79" s="487"/>
      <c r="AN79" s="487"/>
      <c r="AO79" s="425"/>
      <c r="AP79" s="487"/>
      <c r="AQ79" s="487"/>
      <c r="AR79" s="487"/>
      <c r="AS79" s="487"/>
      <c r="AT79" s="425"/>
      <c r="AU79" s="487"/>
      <c r="AV79" s="487"/>
      <c r="AW79" s="487"/>
      <c r="AX79" s="487"/>
      <c r="AY79" s="425"/>
      <c r="AZ79" s="487"/>
      <c r="BA79" s="487"/>
      <c r="BB79" s="487"/>
      <c r="BC79" s="487"/>
      <c r="BD79" s="425"/>
      <c r="BE79" s="487"/>
      <c r="BF79" s="487"/>
      <c r="BG79" s="487"/>
      <c r="BH79" s="487"/>
      <c r="BI79" s="425"/>
      <c r="BJ79" s="981"/>
      <c r="BK79" s="487"/>
      <c r="BL79" s="487"/>
      <c r="BM79" s="487"/>
      <c r="BN79" s="425"/>
      <c r="BO79" s="487"/>
      <c r="BP79" s="487"/>
      <c r="BQ79" s="487"/>
      <c r="BR79" s="487"/>
      <c r="BS79" s="425"/>
      <c r="BT79" s="425"/>
      <c r="BU79" s="425"/>
      <c r="BV79" s="425"/>
      <c r="BW79" s="223"/>
    </row>
    <row r="80" spans="1:75" s="217" customFormat="1" hidden="1" outlineLevel="1" x14ac:dyDescent="0.5">
      <c r="A80" s="178"/>
      <c r="B80" s="1387"/>
      <c r="C80" s="840"/>
      <c r="D80" s="840"/>
      <c r="E80" s="840"/>
      <c r="F80" s="840"/>
      <c r="G80" s="247"/>
      <c r="H80" s="247"/>
      <c r="I80" s="247"/>
      <c r="J80" s="247"/>
      <c r="K80" s="840"/>
      <c r="L80" s="247"/>
      <c r="M80" s="247"/>
      <c r="N80" s="247"/>
      <c r="O80" s="247"/>
      <c r="P80" s="840"/>
      <c r="Q80" s="247"/>
      <c r="R80" s="247"/>
      <c r="S80" s="247"/>
      <c r="T80" s="247"/>
      <c r="U80" s="840"/>
      <c r="V80" s="247"/>
      <c r="W80" s="247"/>
      <c r="X80" s="247"/>
      <c r="Y80" s="247"/>
      <c r="Z80" s="840"/>
      <c r="AA80" s="247"/>
      <c r="AB80" s="247"/>
      <c r="AC80" s="247"/>
      <c r="AD80" s="247"/>
      <c r="AE80" s="840"/>
      <c r="AF80" s="247"/>
      <c r="AG80" s="247"/>
      <c r="AH80" s="247"/>
      <c r="AI80" s="247"/>
      <c r="AJ80" s="840"/>
      <c r="AK80" s="247"/>
      <c r="AL80" s="247"/>
      <c r="AM80" s="247"/>
      <c r="AN80" s="247"/>
      <c r="AO80" s="840"/>
      <c r="AP80" s="247"/>
      <c r="AQ80" s="247"/>
      <c r="AR80" s="247"/>
      <c r="AS80" s="247"/>
      <c r="AT80" s="840"/>
      <c r="AU80" s="247"/>
      <c r="AV80" s="247"/>
      <c r="AW80" s="247"/>
      <c r="AX80" s="247"/>
      <c r="AY80" s="840"/>
      <c r="AZ80" s="247"/>
      <c r="BA80" s="247"/>
      <c r="BB80" s="247"/>
      <c r="BC80" s="247"/>
      <c r="BD80" s="840"/>
      <c r="BE80" s="247"/>
      <c r="BF80" s="247"/>
      <c r="BG80" s="247"/>
      <c r="BH80" s="247"/>
      <c r="BI80" s="840"/>
      <c r="BJ80" s="977"/>
      <c r="BK80" s="247"/>
      <c r="BL80" s="247"/>
      <c r="BM80" s="247"/>
      <c r="BN80" s="840"/>
      <c r="BO80" s="247"/>
      <c r="BP80" s="247"/>
      <c r="BQ80" s="247"/>
      <c r="BR80" s="247"/>
      <c r="BS80" s="840"/>
      <c r="BT80" s="840"/>
      <c r="BU80" s="840"/>
      <c r="BV80" s="840"/>
      <c r="BW80" s="161"/>
    </row>
    <row r="81" spans="1:75" s="198" customFormat="1" ht="14.25" collapsed="1" x14ac:dyDescent="0.45">
      <c r="A81" s="1113" t="s">
        <v>2240</v>
      </c>
      <c r="B81" s="485"/>
      <c r="C81" s="397"/>
      <c r="D81" s="397"/>
      <c r="E81" s="397">
        <f t="shared" ref="E81:BI81" si="77">E179</f>
        <v>36.771999999999998</v>
      </c>
      <c r="F81" s="397">
        <f t="shared" si="77"/>
        <v>52.960999999999999</v>
      </c>
      <c r="G81" s="295">
        <f t="shared" si="77"/>
        <v>15.327</v>
      </c>
      <c r="H81" s="295">
        <f t="shared" si="77"/>
        <v>14.686999999999999</v>
      </c>
      <c r="I81" s="295">
        <f t="shared" si="77"/>
        <v>15.53</v>
      </c>
      <c r="J81" s="295">
        <f t="shared" si="77"/>
        <v>16.702000000000005</v>
      </c>
      <c r="K81" s="397">
        <f t="shared" si="77"/>
        <v>62.246000000000002</v>
      </c>
      <c r="L81" s="295">
        <f t="shared" si="77"/>
        <v>22.768999999999998</v>
      </c>
      <c r="M81" s="295">
        <f t="shared" si="77"/>
        <v>23.585999999999999</v>
      </c>
      <c r="N81" s="295">
        <f t="shared" si="77"/>
        <v>25.202999999999999</v>
      </c>
      <c r="O81" s="295">
        <f t="shared" si="77"/>
        <v>59.143000000000001</v>
      </c>
      <c r="P81" s="397">
        <f t="shared" si="77"/>
        <v>130.70099999999999</v>
      </c>
      <c r="Q81" s="295">
        <f t="shared" si="77"/>
        <v>32.619999999999997</v>
      </c>
      <c r="R81" s="295">
        <f t="shared" si="77"/>
        <v>36.354999999999997</v>
      </c>
      <c r="S81" s="295">
        <f t="shared" si="77"/>
        <v>40.911999999999999</v>
      </c>
      <c r="T81" s="295">
        <f t="shared" si="77"/>
        <v>45.692999999999998</v>
      </c>
      <c r="U81" s="397">
        <f t="shared" si="77"/>
        <v>155.58000000000001</v>
      </c>
      <c r="V81" s="295">
        <f t="shared" si="77"/>
        <v>58.281999999999996</v>
      </c>
      <c r="W81" s="295">
        <f t="shared" si="77"/>
        <v>69.480999999999995</v>
      </c>
      <c r="X81" s="295">
        <f t="shared" si="77"/>
        <v>79.525999999999996</v>
      </c>
      <c r="Y81" s="295">
        <f t="shared" si="77"/>
        <v>82.195999999999998</v>
      </c>
      <c r="Z81" s="397">
        <f t="shared" si="77"/>
        <v>289.48500000000001</v>
      </c>
      <c r="AA81" s="295">
        <f t="shared" si="77"/>
        <v>139.76599999999999</v>
      </c>
      <c r="AB81" s="295">
        <f t="shared" si="77"/>
        <v>143.65199999999999</v>
      </c>
      <c r="AC81" s="295">
        <f t="shared" si="77"/>
        <v>169.60300000000001</v>
      </c>
      <c r="AD81" s="295">
        <f t="shared" si="77"/>
        <v>181.78000000000003</v>
      </c>
      <c r="AE81" s="397">
        <f t="shared" si="77"/>
        <v>634.80100000000004</v>
      </c>
      <c r="AF81" s="295">
        <f t="shared" si="77"/>
        <v>211.363</v>
      </c>
      <c r="AG81" s="295">
        <f t="shared" si="77"/>
        <v>240.97200000000001</v>
      </c>
      <c r="AH81" s="295">
        <f t="shared" si="77"/>
        <v>268.78500000000003</v>
      </c>
      <c r="AI81" s="295">
        <f t="shared" si="77"/>
        <v>304.64699999999993</v>
      </c>
      <c r="AJ81" s="397">
        <f t="shared" si="77"/>
        <v>1025.7670000000001</v>
      </c>
      <c r="AK81" s="295">
        <f t="shared" si="77"/>
        <v>343.64800000000002</v>
      </c>
      <c r="AL81" s="295">
        <f t="shared" si="77"/>
        <v>383.10899999999998</v>
      </c>
      <c r="AM81" s="295">
        <f t="shared" si="77"/>
        <v>426.529</v>
      </c>
      <c r="AN81" s="295">
        <f t="shared" si="77"/>
        <v>471.41999999999985</v>
      </c>
      <c r="AO81" s="397">
        <f t="shared" si="77"/>
        <v>1624.7059999999999</v>
      </c>
      <c r="AP81" s="295">
        <f t="shared" si="77"/>
        <v>475.96800000000002</v>
      </c>
      <c r="AQ81" s="295">
        <f t="shared" si="77"/>
        <v>459.48200000000003</v>
      </c>
      <c r="AR81" s="295">
        <f t="shared" si="77"/>
        <v>441.96</v>
      </c>
      <c r="AS81" s="295">
        <f t="shared" si="77"/>
        <v>452.67999999999984</v>
      </c>
      <c r="AT81" s="397">
        <f t="shared" si="77"/>
        <v>1830.09</v>
      </c>
      <c r="AU81" s="295">
        <f t="shared" si="77"/>
        <v>451.36900000000003</v>
      </c>
      <c r="AV81" s="295">
        <f t="shared" si="77"/>
        <v>486.44799999999998</v>
      </c>
      <c r="AW81" s="295">
        <f t="shared" si="77"/>
        <v>497.57100000000003</v>
      </c>
      <c r="AX81" s="295">
        <f t="shared" si="77"/>
        <v>579.61200000000008</v>
      </c>
      <c r="AY81" s="397">
        <f t="shared" si="77"/>
        <v>2015</v>
      </c>
      <c r="AZ81" s="295">
        <f t="shared" si="77"/>
        <v>626</v>
      </c>
      <c r="BA81" s="295">
        <f t="shared" si="77"/>
        <v>688</v>
      </c>
      <c r="BB81" s="295">
        <f t="shared" si="77"/>
        <v>656</v>
      </c>
      <c r="BC81" s="295">
        <f t="shared" si="77"/>
        <v>655</v>
      </c>
      <c r="BD81" s="397">
        <f t="shared" si="77"/>
        <v>2625</v>
      </c>
      <c r="BE81" s="295">
        <f t="shared" si="77"/>
        <v>624</v>
      </c>
      <c r="BF81" s="295">
        <f t="shared" si="77"/>
        <v>630</v>
      </c>
      <c r="BG81" s="295">
        <f t="shared" si="77"/>
        <v>596</v>
      </c>
      <c r="BH81" s="295">
        <f t="shared" si="77"/>
        <v>597</v>
      </c>
      <c r="BI81" s="397">
        <f t="shared" si="77"/>
        <v>2447</v>
      </c>
      <c r="BJ81" s="1030">
        <f>BJ179</f>
        <v>534</v>
      </c>
      <c r="BK81" s="295">
        <f>BK82*BK67</f>
        <v>668.25047463299995</v>
      </c>
      <c r="BL81" s="295">
        <f>BL82*BL67</f>
        <v>634.6633636800002</v>
      </c>
      <c r="BM81" s="295">
        <f>BM82*BM67</f>
        <v>637.40318058000003</v>
      </c>
      <c r="BN81" s="397">
        <f>SUM(BJ81,BK81,BL81,BM81)</f>
        <v>2474.3170188930003</v>
      </c>
      <c r="BO81" s="295">
        <f>BO82*BO67</f>
        <v>537.67302126000004</v>
      </c>
      <c r="BP81" s="295">
        <f>BP82*BP67</f>
        <v>743.22846160399558</v>
      </c>
      <c r="BQ81" s="295">
        <f>BQ82*BQ67</f>
        <v>705.14474477358851</v>
      </c>
      <c r="BR81" s="295">
        <f>BR82*BR67</f>
        <v>709.88246294638918</v>
      </c>
      <c r="BS81" s="397">
        <f>SUM(BO81,BP81,BQ81,BR81)</f>
        <v>2695.9286905839735</v>
      </c>
      <c r="BT81" s="397">
        <f>BT82*BT67</f>
        <v>2819.9578259556301</v>
      </c>
      <c r="BU81" s="397">
        <f>BU82*BU67</f>
        <v>2947.939628882837</v>
      </c>
      <c r="BV81" s="397">
        <f>BV82*BV67</f>
        <v>3079.8051743912069</v>
      </c>
      <c r="BW81" s="197"/>
    </row>
    <row r="82" spans="1:75" s="217" customFormat="1" x14ac:dyDescent="0.5">
      <c r="A82" s="526" t="s">
        <v>2241</v>
      </c>
      <c r="B82" s="493"/>
      <c r="C82" s="423"/>
      <c r="D82" s="423"/>
      <c r="E82" s="423">
        <f t="shared" ref="E82:BJ82" si="78">E81/E67</f>
        <v>7.1079530517883918E-2</v>
      </c>
      <c r="F82" s="423">
        <f t="shared" si="78"/>
        <v>8.8117358925041758E-2</v>
      </c>
      <c r="G82" s="422">
        <f t="shared" si="78"/>
        <v>8.5230021520205076E-2</v>
      </c>
      <c r="H82" s="422">
        <f t="shared" si="78"/>
        <v>7.2215994020926766E-2</v>
      </c>
      <c r="I82" s="422">
        <f t="shared" si="78"/>
        <v>6.5444033341480468E-2</v>
      </c>
      <c r="J82" s="422">
        <f t="shared" si="78"/>
        <v>5.6552919745102161E-2</v>
      </c>
      <c r="K82" s="423">
        <f t="shared" si="78"/>
        <v>6.7965797631253391E-2</v>
      </c>
      <c r="L82" s="422">
        <f t="shared" si="78"/>
        <v>8.1695113506298725E-2</v>
      </c>
      <c r="M82" s="422">
        <f t="shared" si="78"/>
        <v>7.9834279389514512E-2</v>
      </c>
      <c r="N82" s="422">
        <f t="shared" si="78"/>
        <v>7.4966982759646389E-2</v>
      </c>
      <c r="O82" s="422">
        <f t="shared" si="78"/>
        <v>0.14473874195766723</v>
      </c>
      <c r="P82" s="423">
        <f t="shared" si="78"/>
        <v>9.9094659316380965E-2</v>
      </c>
      <c r="Q82" s="422">
        <f t="shared" si="78"/>
        <v>7.6866703898239977E-2</v>
      </c>
      <c r="R82" s="422">
        <f t="shared" si="78"/>
        <v>7.3929541720216693E-2</v>
      </c>
      <c r="S82" s="422">
        <f t="shared" si="78"/>
        <v>6.8878667681304837E-2</v>
      </c>
      <c r="T82" s="422">
        <f t="shared" si="78"/>
        <v>6.1764825153083971E-2</v>
      </c>
      <c r="U82" s="423">
        <f t="shared" si="78"/>
        <v>6.915020101027386E-2</v>
      </c>
      <c r="V82" s="422">
        <f t="shared" si="78"/>
        <v>7.7985088606646435E-2</v>
      </c>
      <c r="W82" s="422">
        <f t="shared" si="78"/>
        <v>8.8293973527438341E-2</v>
      </c>
      <c r="X82" s="422">
        <f t="shared" si="78"/>
        <v>9.2308406604567475E-2</v>
      </c>
      <c r="Y82" s="422">
        <f t="shared" si="78"/>
        <v>8.3485093326047505E-2</v>
      </c>
      <c r="Z82" s="423">
        <f t="shared" si="78"/>
        <v>8.5637328568554827E-2</v>
      </c>
      <c r="AA82" s="422">
        <f t="shared" si="78"/>
        <v>0.14546457471443811</v>
      </c>
      <c r="AB82" s="422">
        <f t="shared" si="78"/>
        <v>0.12793448135825072</v>
      </c>
      <c r="AC82" s="422">
        <f t="shared" si="78"/>
        <v>0.14154839183507237</v>
      </c>
      <c r="AD82" s="422">
        <f t="shared" si="78"/>
        <v>0.12632243143926128</v>
      </c>
      <c r="AE82" s="423">
        <f t="shared" si="78"/>
        <v>0.1344662399820373</v>
      </c>
      <c r="AF82" s="422">
        <f t="shared" si="78"/>
        <v>0.15051460938039649</v>
      </c>
      <c r="AG82" s="422">
        <f t="shared" si="78"/>
        <v>0.14557989821514014</v>
      </c>
      <c r="AH82" s="422">
        <f t="shared" si="78"/>
        <v>0.1575855468166002</v>
      </c>
      <c r="AI82" s="422">
        <f t="shared" si="78"/>
        <v>0.1512643470420118</v>
      </c>
      <c r="AJ82" s="423">
        <f t="shared" si="78"/>
        <v>0.15131150196174342</v>
      </c>
      <c r="AK82" s="422">
        <f t="shared" si="78"/>
        <v>0.17669831126541205</v>
      </c>
      <c r="AL82" s="422">
        <f t="shared" si="78"/>
        <v>0.16349464910075787</v>
      </c>
      <c r="AM82" s="422">
        <f t="shared" si="78"/>
        <v>0.18500603126367665</v>
      </c>
      <c r="AN82" s="422">
        <f t="shared" si="78"/>
        <v>0.18607533481482055</v>
      </c>
      <c r="AO82" s="423">
        <f t="shared" si="78"/>
        <v>0.17800984479443918</v>
      </c>
      <c r="AP82" s="422">
        <f t="shared" si="78"/>
        <v>0.20427258833774023</v>
      </c>
      <c r="AQ82" s="422">
        <f t="shared" si="78"/>
        <v>0.10674030448777516</v>
      </c>
      <c r="AR82" s="422">
        <f t="shared" si="78"/>
        <v>0.11510663954557411</v>
      </c>
      <c r="AS82" s="422">
        <f t="shared" si="78"/>
        <v>0.12331745418160524</v>
      </c>
      <c r="AT82" s="423">
        <f t="shared" si="78"/>
        <v>0.12937927301756164</v>
      </c>
      <c r="AU82" s="422">
        <f t="shared" si="78"/>
        <v>0.12979630874664058</v>
      </c>
      <c r="AV82" s="422">
        <f t="shared" si="78"/>
        <v>0.12610035291135013</v>
      </c>
      <c r="AW82" s="422">
        <f t="shared" si="78"/>
        <v>0.1594225465968063</v>
      </c>
      <c r="AX82" s="422">
        <f t="shared" si="78"/>
        <v>0.17824491438978066</v>
      </c>
      <c r="AY82" s="423">
        <f t="shared" si="78"/>
        <v>0.1469944557922381</v>
      </c>
      <c r="AZ82" s="422">
        <f t="shared" si="78"/>
        <v>0.20915469428666889</v>
      </c>
      <c r="BA82" s="422">
        <f t="shared" si="78"/>
        <v>0.20950060901339829</v>
      </c>
      <c r="BB82" s="422">
        <f t="shared" si="78"/>
        <v>0.23098591549295774</v>
      </c>
      <c r="BC82" s="422">
        <f t="shared" si="78"/>
        <v>0.21122218639148663</v>
      </c>
      <c r="BD82" s="423">
        <f t="shared" si="78"/>
        <v>0.21484694712718938</v>
      </c>
      <c r="BE82" s="422">
        <f t="shared" si="78"/>
        <v>0.22494592645998557</v>
      </c>
      <c r="BF82" s="422">
        <f t="shared" si="78"/>
        <v>0.19867549668874171</v>
      </c>
      <c r="BG82" s="422">
        <f t="shared" si="78"/>
        <v>0.20244565217391305</v>
      </c>
      <c r="BH82" s="422">
        <f t="shared" si="78"/>
        <v>0.19171483622350674</v>
      </c>
      <c r="BI82" s="423">
        <f t="shared" si="78"/>
        <v>0.20386570024160627</v>
      </c>
      <c r="BJ82" s="1034">
        <f t="shared" si="78"/>
        <v>0.19567607182117991</v>
      </c>
      <c r="BK82" s="422">
        <f>BF82-(BK83/10000)</f>
        <v>0.20767549668874172</v>
      </c>
      <c r="BL82" s="422">
        <f>BG82-(BL83/10000)</f>
        <v>0.21244565217391306</v>
      </c>
      <c r="BM82" s="422">
        <f>BH82-(BM83/10000)</f>
        <v>0.20171483622350675</v>
      </c>
      <c r="BN82" s="423">
        <f>BN81/BN67</f>
        <v>0.20458876691973013</v>
      </c>
      <c r="BO82" s="422">
        <f>BJ82-(BO83/10000)</f>
        <v>0.1856760718211799</v>
      </c>
      <c r="BP82" s="422">
        <f>BK82-(BP83/10000)</f>
        <v>0.21767549668874173</v>
      </c>
      <c r="BQ82" s="422">
        <f>BL82-(BQ83/10000)</f>
        <v>0.22244565217391307</v>
      </c>
      <c r="BR82" s="422">
        <f>BM82-(BR83/10000)</f>
        <v>0.21171483622350676</v>
      </c>
      <c r="BS82" s="423">
        <f>BS81/BS67</f>
        <v>0.21007582261501256</v>
      </c>
      <c r="BT82" s="423">
        <f>BS82-(BT83/10000)</f>
        <v>0.20507582261501256</v>
      </c>
      <c r="BU82" s="423">
        <f>BT82-(BU83/10000)</f>
        <v>0.20007582261501256</v>
      </c>
      <c r="BV82" s="423">
        <f>BU82-(BV83/10000)</f>
        <v>0.19507582261501255</v>
      </c>
      <c r="BW82" s="216"/>
    </row>
    <row r="83" spans="1:75" s="224" customFormat="1" x14ac:dyDescent="0.5">
      <c r="A83" s="272" t="s">
        <v>2242</v>
      </c>
      <c r="B83" s="494"/>
      <c r="C83" s="425"/>
      <c r="D83" s="425"/>
      <c r="E83" s="425"/>
      <c r="F83" s="425">
        <f>(E82-F82)*10000</f>
        <v>-170.37828407157841</v>
      </c>
      <c r="G83" s="487"/>
      <c r="H83" s="487"/>
      <c r="I83" s="487"/>
      <c r="J83" s="487"/>
      <c r="K83" s="425">
        <f t="shared" ref="K83:BI83" si="79">(F82-K82)*10000</f>
        <v>201.51561293788367</v>
      </c>
      <c r="L83" s="487">
        <f t="shared" si="79"/>
        <v>35.349080139063517</v>
      </c>
      <c r="M83" s="487">
        <f t="shared" si="79"/>
        <v>-76.182853685877461</v>
      </c>
      <c r="N83" s="487">
        <f t="shared" si="79"/>
        <v>-95.22949418165922</v>
      </c>
      <c r="O83" s="487">
        <f t="shared" si="79"/>
        <v>-881.85822212565074</v>
      </c>
      <c r="P83" s="425">
        <f t="shared" si="79"/>
        <v>-311.28861685127572</v>
      </c>
      <c r="Q83" s="487">
        <f t="shared" si="79"/>
        <v>48.284096080587481</v>
      </c>
      <c r="R83" s="487">
        <f t="shared" si="79"/>
        <v>59.04737669297819</v>
      </c>
      <c r="S83" s="487">
        <f t="shared" si="79"/>
        <v>60.883150783415523</v>
      </c>
      <c r="T83" s="487">
        <f t="shared" si="79"/>
        <v>829.73916804583257</v>
      </c>
      <c r="U83" s="425">
        <f t="shared" si="79"/>
        <v>299.44458306107106</v>
      </c>
      <c r="V83" s="487">
        <f t="shared" si="79"/>
        <v>-11.183847084064585</v>
      </c>
      <c r="W83" s="487">
        <f t="shared" si="79"/>
        <v>-143.64431807221646</v>
      </c>
      <c r="X83" s="487">
        <f t="shared" si="79"/>
        <v>-234.29738923262639</v>
      </c>
      <c r="Y83" s="487">
        <f t="shared" si="79"/>
        <v>-217.20268172963534</v>
      </c>
      <c r="Z83" s="425">
        <f t="shared" si="79"/>
        <v>-164.87127558280969</v>
      </c>
      <c r="AA83" s="487">
        <f t="shared" si="79"/>
        <v>-674.79486107791672</v>
      </c>
      <c r="AB83" s="487">
        <f t="shared" si="79"/>
        <v>-396.40507830812385</v>
      </c>
      <c r="AC83" s="487">
        <f t="shared" si="79"/>
        <v>-492.39985230504891</v>
      </c>
      <c r="AD83" s="487">
        <f t="shared" si="79"/>
        <v>-428.37338113213775</v>
      </c>
      <c r="AE83" s="425">
        <f t="shared" si="79"/>
        <v>-488.28911413482473</v>
      </c>
      <c r="AF83" s="487">
        <f t="shared" si="79"/>
        <v>-50.500346659583805</v>
      </c>
      <c r="AG83" s="487">
        <f t="shared" si="79"/>
        <v>-176.45416856889418</v>
      </c>
      <c r="AH83" s="487">
        <f t="shared" si="79"/>
        <v>-160.37154981527829</v>
      </c>
      <c r="AI83" s="487">
        <f t="shared" si="79"/>
        <v>-249.41915602750524</v>
      </c>
      <c r="AJ83" s="425">
        <f t="shared" si="79"/>
        <v>-168.45261979706123</v>
      </c>
      <c r="AK83" s="487">
        <f t="shared" si="79"/>
        <v>-261.83701885015563</v>
      </c>
      <c r="AL83" s="487">
        <f t="shared" si="79"/>
        <v>-179.14750885617724</v>
      </c>
      <c r="AM83" s="487">
        <f t="shared" si="79"/>
        <v>-274.20484447076456</v>
      </c>
      <c r="AN83" s="487">
        <f t="shared" si="79"/>
        <v>-348.1098777280875</v>
      </c>
      <c r="AO83" s="425">
        <f t="shared" si="79"/>
        <v>-266.98342832695761</v>
      </c>
      <c r="AP83" s="487">
        <f t="shared" si="79"/>
        <v>-275.74277072328181</v>
      </c>
      <c r="AQ83" s="487">
        <f t="shared" si="79"/>
        <v>567.54344612982709</v>
      </c>
      <c r="AR83" s="487">
        <f t="shared" si="79"/>
        <v>698.99391718102538</v>
      </c>
      <c r="AS83" s="487">
        <f t="shared" si="79"/>
        <v>627.57880633215314</v>
      </c>
      <c r="AT83" s="425">
        <f t="shared" si="79"/>
        <v>486.30571776877548</v>
      </c>
      <c r="AU83" s="487">
        <f t="shared" si="79"/>
        <v>744.76279591099649</v>
      </c>
      <c r="AV83" s="487">
        <f t="shared" si="79"/>
        <v>-193.60048423574972</v>
      </c>
      <c r="AW83" s="487">
        <f t="shared" si="79"/>
        <v>-443.15907051232188</v>
      </c>
      <c r="AX83" s="487">
        <f t="shared" si="79"/>
        <v>-549.27460208175421</v>
      </c>
      <c r="AY83" s="425">
        <f t="shared" si="79"/>
        <v>-176.1518277467647</v>
      </c>
      <c r="AZ83" s="487">
        <f t="shared" si="79"/>
        <v>-793.58385540028303</v>
      </c>
      <c r="BA83" s="487">
        <f t="shared" si="79"/>
        <v>-834.00256102048149</v>
      </c>
      <c r="BB83" s="487">
        <f t="shared" si="79"/>
        <v>-715.63368896151451</v>
      </c>
      <c r="BC83" s="487">
        <f t="shared" si="79"/>
        <v>-329.77272001705973</v>
      </c>
      <c r="BD83" s="425">
        <f t="shared" si="79"/>
        <v>-678.52491334951276</v>
      </c>
      <c r="BE83" s="487">
        <f t="shared" si="79"/>
        <v>-157.91232173316683</v>
      </c>
      <c r="BF83" s="487">
        <f t="shared" si="79"/>
        <v>108.25112324656577</v>
      </c>
      <c r="BG83" s="487">
        <f t="shared" si="79"/>
        <v>285.40263319044692</v>
      </c>
      <c r="BH83" s="487">
        <f t="shared" si="79"/>
        <v>195.07350167979888</v>
      </c>
      <c r="BI83" s="425">
        <f t="shared" si="79"/>
        <v>109.81246885583107</v>
      </c>
      <c r="BJ83" s="981">
        <f>(BE82-BJ82)*10000</f>
        <v>292.69854638805657</v>
      </c>
      <c r="BK83" s="256">
        <v>-90</v>
      </c>
      <c r="BL83" s="256">
        <v>-100</v>
      </c>
      <c r="BM83" s="256">
        <v>-100</v>
      </c>
      <c r="BN83" s="425">
        <f>(BI82-BN82)*10000</f>
        <v>-7.2306667812385701</v>
      </c>
      <c r="BO83" s="256">
        <v>100</v>
      </c>
      <c r="BP83" s="256">
        <v>-100</v>
      </c>
      <c r="BQ83" s="256">
        <v>-100</v>
      </c>
      <c r="BR83" s="256">
        <v>-100</v>
      </c>
      <c r="BS83" s="425">
        <f>(BN82-BS82)*10000</f>
        <v>-54.870556952824337</v>
      </c>
      <c r="BT83" s="427">
        <v>50</v>
      </c>
      <c r="BU83" s="427">
        <v>50</v>
      </c>
      <c r="BV83" s="427">
        <v>50</v>
      </c>
      <c r="BW83" s="223"/>
    </row>
    <row r="84" spans="1:75" s="217" customFormat="1" ht="7.5" customHeight="1" x14ac:dyDescent="0.5">
      <c r="A84" s="178"/>
      <c r="B84" s="1387"/>
      <c r="C84" s="840"/>
      <c r="D84" s="840"/>
      <c r="E84" s="840"/>
      <c r="F84" s="840"/>
      <c r="G84" s="247"/>
      <c r="H84" s="247"/>
      <c r="I84" s="247"/>
      <c r="J84" s="247"/>
      <c r="K84" s="840"/>
      <c r="L84" s="247"/>
      <c r="M84" s="247"/>
      <c r="N84" s="247"/>
      <c r="O84" s="247"/>
      <c r="P84" s="840"/>
      <c r="Q84" s="247"/>
      <c r="R84" s="247"/>
      <c r="S84" s="247"/>
      <c r="T84" s="247"/>
      <c r="U84" s="840"/>
      <c r="V84" s="247"/>
      <c r="W84" s="247"/>
      <c r="X84" s="247"/>
      <c r="Y84" s="247"/>
      <c r="Z84" s="840"/>
      <c r="AA84" s="247"/>
      <c r="AB84" s="247"/>
      <c r="AC84" s="247"/>
      <c r="AD84" s="247"/>
      <c r="AE84" s="840"/>
      <c r="AF84" s="247"/>
      <c r="AG84" s="247"/>
      <c r="AH84" s="247"/>
      <c r="AI84" s="247"/>
      <c r="AJ84" s="840"/>
      <c r="AK84" s="247"/>
      <c r="AL84" s="247"/>
      <c r="AM84" s="247"/>
      <c r="AN84" s="247"/>
      <c r="AO84" s="840"/>
      <c r="AP84" s="247"/>
      <c r="AQ84" s="247"/>
      <c r="AR84" s="247"/>
      <c r="AS84" s="247"/>
      <c r="AT84" s="840"/>
      <c r="AU84" s="247"/>
      <c r="AV84" s="247"/>
      <c r="AW84" s="247"/>
      <c r="AX84" s="247"/>
      <c r="AY84" s="840"/>
      <c r="AZ84" s="247"/>
      <c r="BA84" s="247"/>
      <c r="BB84" s="247"/>
      <c r="BC84" s="247"/>
      <c r="BD84" s="840"/>
      <c r="BE84" s="247"/>
      <c r="BF84" s="247"/>
      <c r="BG84" s="247"/>
      <c r="BH84" s="247"/>
      <c r="BI84" s="840"/>
      <c r="BJ84" s="977"/>
      <c r="BK84" s="247"/>
      <c r="BL84" s="247"/>
      <c r="BM84" s="247"/>
      <c r="BN84" s="840"/>
      <c r="BO84" s="247"/>
      <c r="BP84" s="247"/>
      <c r="BQ84" s="247"/>
      <c r="BR84" s="247"/>
      <c r="BS84" s="840"/>
      <c r="BT84" s="840"/>
      <c r="BU84" s="840"/>
      <c r="BV84" s="840"/>
      <c r="BW84" s="161"/>
    </row>
    <row r="85" spans="1:75" s="198" customFormat="1" ht="14.25" x14ac:dyDescent="0.45">
      <c r="A85" s="192" t="s">
        <v>679</v>
      </c>
      <c r="B85" s="495"/>
      <c r="C85" s="518"/>
      <c r="D85" s="518"/>
      <c r="E85" s="518">
        <f t="shared" ref="E85:BP85" si="80">E81+E77+E73+E69</f>
        <v>143.566</v>
      </c>
      <c r="F85" s="518">
        <f t="shared" si="80"/>
        <v>166.33099999999999</v>
      </c>
      <c r="G85" s="327">
        <f t="shared" si="80"/>
        <v>49.406000000000006</v>
      </c>
      <c r="H85" s="327">
        <f t="shared" si="80"/>
        <v>53.322000000000003</v>
      </c>
      <c r="I85" s="327">
        <f t="shared" si="80"/>
        <v>62.131999999999998</v>
      </c>
      <c r="J85" s="327">
        <f t="shared" si="80"/>
        <v>74.86099999999999</v>
      </c>
      <c r="K85" s="518">
        <f t="shared" si="80"/>
        <v>239.721</v>
      </c>
      <c r="L85" s="327">
        <f t="shared" si="80"/>
        <v>93.113</v>
      </c>
      <c r="M85" s="327">
        <f t="shared" si="80"/>
        <v>91.47</v>
      </c>
      <c r="N85" s="327">
        <f t="shared" si="80"/>
        <v>102.642</v>
      </c>
      <c r="O85" s="327">
        <f t="shared" si="80"/>
        <v>170.67700000000002</v>
      </c>
      <c r="P85" s="518">
        <f t="shared" si="80"/>
        <v>457.90199999999993</v>
      </c>
      <c r="Q85" s="327">
        <f t="shared" si="80"/>
        <v>129.83100000000002</v>
      </c>
      <c r="R85" s="327">
        <f t="shared" si="80"/>
        <v>140.03800000000001</v>
      </c>
      <c r="S85" s="327">
        <f t="shared" si="80"/>
        <v>159.81500000000003</v>
      </c>
      <c r="T85" s="327">
        <f t="shared" si="80"/>
        <v>191.49899999999997</v>
      </c>
      <c r="U85" s="518">
        <f t="shared" si="80"/>
        <v>621.18299999999999</v>
      </c>
      <c r="V85" s="327">
        <f t="shared" si="80"/>
        <v>221.16499999999999</v>
      </c>
      <c r="W85" s="327">
        <f t="shared" si="80"/>
        <v>237.244</v>
      </c>
      <c r="X85" s="327">
        <f t="shared" si="80"/>
        <v>263.28100000000001</v>
      </c>
      <c r="Y85" s="327">
        <f t="shared" si="80"/>
        <v>282.33799999999997</v>
      </c>
      <c r="Z85" s="518">
        <f t="shared" si="80"/>
        <v>1004.028</v>
      </c>
      <c r="AA85" s="327">
        <f t="shared" si="80"/>
        <v>293.089</v>
      </c>
      <c r="AB85" s="327">
        <f t="shared" si="80"/>
        <v>307.01799999999997</v>
      </c>
      <c r="AC85" s="327">
        <f t="shared" si="80"/>
        <v>354.26600000000002</v>
      </c>
      <c r="AD85" s="327">
        <f t="shared" si="80"/>
        <v>399.90299999999996</v>
      </c>
      <c r="AE85" s="518">
        <f t="shared" si="80"/>
        <v>1354.2760000000001</v>
      </c>
      <c r="AF85" s="327">
        <f t="shared" si="80"/>
        <v>426.89300000000003</v>
      </c>
      <c r="AG85" s="327">
        <f t="shared" si="80"/>
        <v>480.346</v>
      </c>
      <c r="AH85" s="327">
        <f t="shared" si="80"/>
        <v>538.03600000000006</v>
      </c>
      <c r="AI85" s="327">
        <f t="shared" si="80"/>
        <v>614.72699999999998</v>
      </c>
      <c r="AJ85" s="518">
        <f t="shared" si="80"/>
        <v>2060.002</v>
      </c>
      <c r="AK85" s="327">
        <f t="shared" si="80"/>
        <v>664.08999999999992</v>
      </c>
      <c r="AL85" s="327">
        <f t="shared" si="80"/>
        <v>730.77699999999993</v>
      </c>
      <c r="AM85" s="327">
        <f t="shared" si="80"/>
        <v>799.63</v>
      </c>
      <c r="AN85" s="327">
        <f t="shared" si="80"/>
        <v>882.77599999999973</v>
      </c>
      <c r="AO85" s="518">
        <f t="shared" si="80"/>
        <v>3077.2729999999997</v>
      </c>
      <c r="AP85" s="327">
        <f t="shared" si="80"/>
        <v>841.19100000000003</v>
      </c>
      <c r="AQ85" s="327">
        <f t="shared" si="80"/>
        <v>1021.032</v>
      </c>
      <c r="AR85" s="327">
        <f t="shared" si="80"/>
        <v>925.57399999999984</v>
      </c>
      <c r="AS85" s="327">
        <f t="shared" si="80"/>
        <v>964.02499999999998</v>
      </c>
      <c r="AT85" s="518">
        <f t="shared" si="80"/>
        <v>3751.8220000000001</v>
      </c>
      <c r="AU85" s="327">
        <f t="shared" si="80"/>
        <v>964.47299999999996</v>
      </c>
      <c r="AV85" s="327">
        <f t="shared" si="80"/>
        <v>982.85299999999995</v>
      </c>
      <c r="AW85" s="327">
        <f t="shared" si="80"/>
        <v>952.52600000000007</v>
      </c>
      <c r="AX85" s="327">
        <f t="shared" si="80"/>
        <v>1077.1480000000001</v>
      </c>
      <c r="AY85" s="518">
        <f t="shared" si="80"/>
        <v>3977</v>
      </c>
      <c r="AZ85" s="327">
        <f t="shared" si="80"/>
        <v>1113</v>
      </c>
      <c r="BA85" s="327">
        <f t="shared" si="80"/>
        <v>1228</v>
      </c>
      <c r="BB85" s="327">
        <f t="shared" si="80"/>
        <v>1165</v>
      </c>
      <c r="BC85" s="327">
        <f t="shared" si="80"/>
        <v>1224</v>
      </c>
      <c r="BD85" s="518">
        <f t="shared" si="80"/>
        <v>4730</v>
      </c>
      <c r="BE85" s="327">
        <f t="shared" si="80"/>
        <v>1090</v>
      </c>
      <c r="BF85" s="327">
        <f t="shared" si="80"/>
        <v>1126</v>
      </c>
      <c r="BG85" s="327">
        <f t="shared" si="80"/>
        <v>1069</v>
      </c>
      <c r="BH85" s="327">
        <f t="shared" si="80"/>
        <v>1116</v>
      </c>
      <c r="BI85" s="518">
        <f t="shared" si="80"/>
        <v>4401</v>
      </c>
      <c r="BJ85" s="1026">
        <f>BJ81+BJ77+BJ73+BJ69</f>
        <v>975</v>
      </c>
      <c r="BK85" s="327">
        <f t="shared" si="80"/>
        <v>1181.218274844</v>
      </c>
      <c r="BL85" s="327">
        <f t="shared" si="80"/>
        <v>1084.7645430000002</v>
      </c>
      <c r="BM85" s="327">
        <f t="shared" si="80"/>
        <v>1132.4576520000001</v>
      </c>
      <c r="BN85" s="518">
        <f t="shared" si="80"/>
        <v>4373.4404698440012</v>
      </c>
      <c r="BO85" s="327">
        <f t="shared" si="80"/>
        <v>976.66318452000019</v>
      </c>
      <c r="BP85" s="327">
        <f t="shared" si="80"/>
        <v>1253.397798746618</v>
      </c>
      <c r="BQ85" s="327">
        <f t="shared" ref="BQ85:BX85" si="81">BQ81+BQ77+BQ73+BQ69</f>
        <v>1151.0501651645584</v>
      </c>
      <c r="BR85" s="327">
        <f t="shared" si="81"/>
        <v>1201.6576092831122</v>
      </c>
      <c r="BS85" s="518">
        <f t="shared" si="81"/>
        <v>4582.7687577142888</v>
      </c>
      <c r="BT85" s="518">
        <f t="shared" si="81"/>
        <v>4704.215880719742</v>
      </c>
      <c r="BU85" s="518">
        <f t="shared" si="81"/>
        <v>4819.5979703869671</v>
      </c>
      <c r="BV85" s="518">
        <f t="shared" si="81"/>
        <v>4927.4265934111299</v>
      </c>
      <c r="BW85" s="197"/>
    </row>
    <row r="86" spans="1:75" s="177" customFormat="1" ht="14.25" x14ac:dyDescent="0.45">
      <c r="A86" s="170" t="s">
        <v>2243</v>
      </c>
      <c r="B86" s="491"/>
      <c r="C86" s="417"/>
      <c r="D86" s="417"/>
      <c r="E86" s="417"/>
      <c r="F86" s="417">
        <f>F85/E85-1</f>
        <v>0.15856818466767897</v>
      </c>
      <c r="G86" s="378"/>
      <c r="H86" s="378"/>
      <c r="I86" s="378"/>
      <c r="J86" s="378"/>
      <c r="K86" s="417">
        <f t="shared" ref="K86:BN86" si="82">K85/F85-1</f>
        <v>0.44122863446982241</v>
      </c>
      <c r="L86" s="378">
        <f t="shared" si="82"/>
        <v>0.88464963769582616</v>
      </c>
      <c r="M86" s="378">
        <f t="shared" si="82"/>
        <v>0.71542702824350157</v>
      </c>
      <c r="N86" s="378">
        <f t="shared" si="82"/>
        <v>0.65199896993497708</v>
      </c>
      <c r="O86" s="378">
        <f t="shared" si="82"/>
        <v>1.2799187828108098</v>
      </c>
      <c r="P86" s="417">
        <f t="shared" si="82"/>
        <v>0.9101455441951265</v>
      </c>
      <c r="Q86" s="378">
        <f t="shared" si="82"/>
        <v>0.39433806235434377</v>
      </c>
      <c r="R86" s="378">
        <f t="shared" si="82"/>
        <v>0.53097190335629185</v>
      </c>
      <c r="S86" s="378">
        <f t="shared" si="82"/>
        <v>0.55701369809629608</v>
      </c>
      <c r="T86" s="378">
        <f t="shared" si="82"/>
        <v>0.12199651974196835</v>
      </c>
      <c r="U86" s="417">
        <f t="shared" si="82"/>
        <v>0.35658503347877946</v>
      </c>
      <c r="V86" s="378">
        <f t="shared" si="82"/>
        <v>0.70348375965678422</v>
      </c>
      <c r="W86" s="378">
        <f t="shared" si="82"/>
        <v>0.69414016195604034</v>
      </c>
      <c r="X86" s="378">
        <f t="shared" si="82"/>
        <v>0.64741106904858725</v>
      </c>
      <c r="Y86" s="378">
        <f t="shared" si="82"/>
        <v>0.47435756844683263</v>
      </c>
      <c r="Z86" s="417">
        <f t="shared" si="82"/>
        <v>0.6163159648605967</v>
      </c>
      <c r="AA86" s="378">
        <f t="shared" si="82"/>
        <v>0.32520516356566365</v>
      </c>
      <c r="AB86" s="378">
        <f t="shared" si="82"/>
        <v>0.29410227445161929</v>
      </c>
      <c r="AC86" s="378">
        <f t="shared" si="82"/>
        <v>0.34558133705052785</v>
      </c>
      <c r="AD86" s="378">
        <f t="shared" si="82"/>
        <v>0.41639807606485846</v>
      </c>
      <c r="AE86" s="417">
        <f t="shared" si="82"/>
        <v>0.34884286095606898</v>
      </c>
      <c r="AF86" s="378">
        <f t="shared" si="82"/>
        <v>0.45653026896267024</v>
      </c>
      <c r="AG86" s="378">
        <f t="shared" si="82"/>
        <v>0.56455321837807571</v>
      </c>
      <c r="AH86" s="378">
        <f t="shared" si="82"/>
        <v>0.51873451022677886</v>
      </c>
      <c r="AI86" s="378">
        <f t="shared" si="82"/>
        <v>0.5371902686401453</v>
      </c>
      <c r="AJ86" s="417">
        <f t="shared" si="82"/>
        <v>0.52110943411830379</v>
      </c>
      <c r="AK86" s="378">
        <f t="shared" si="82"/>
        <v>0.55563572136343264</v>
      </c>
      <c r="AL86" s="378">
        <f t="shared" si="82"/>
        <v>0.5213554396206066</v>
      </c>
      <c r="AM86" s="378">
        <f t="shared" si="82"/>
        <v>0.48620166680296473</v>
      </c>
      <c r="AN86" s="378">
        <f t="shared" si="82"/>
        <v>0.43604559422312628</v>
      </c>
      <c r="AO86" s="417">
        <f t="shared" si="82"/>
        <v>0.4938203943491315</v>
      </c>
      <c r="AP86" s="378">
        <f t="shared" si="82"/>
        <v>0.2666822268066078</v>
      </c>
      <c r="AQ86" s="378">
        <f t="shared" si="82"/>
        <v>0.39718682990844001</v>
      </c>
      <c r="AR86" s="378">
        <f t="shared" si="82"/>
        <v>0.15750284506584267</v>
      </c>
      <c r="AS86" s="378">
        <f t="shared" si="82"/>
        <v>9.2038070812981099E-2</v>
      </c>
      <c r="AT86" s="417">
        <f t="shared" si="82"/>
        <v>0.2192034960824083</v>
      </c>
      <c r="AU86" s="378">
        <f t="shared" si="82"/>
        <v>0.14655648954874678</v>
      </c>
      <c r="AV86" s="378">
        <f t="shared" si="82"/>
        <v>-3.7392559684711224E-2</v>
      </c>
      <c r="AW86" s="378">
        <f t="shared" si="82"/>
        <v>2.9119227636040135E-2</v>
      </c>
      <c r="AX86" s="378">
        <f t="shared" si="82"/>
        <v>0.11734446720780078</v>
      </c>
      <c r="AY86" s="417">
        <f t="shared" si="82"/>
        <v>6.001830577250189E-2</v>
      </c>
      <c r="AZ86" s="378">
        <f t="shared" si="82"/>
        <v>0.15399809014871346</v>
      </c>
      <c r="BA86" s="378">
        <f t="shared" si="82"/>
        <v>0.24942387111806141</v>
      </c>
      <c r="BB86" s="378">
        <f t="shared" si="82"/>
        <v>0.22306372739431768</v>
      </c>
      <c r="BC86" s="378">
        <f t="shared" si="82"/>
        <v>0.13633409707858135</v>
      </c>
      <c r="BD86" s="417">
        <f t="shared" si="82"/>
        <v>0.18933869751068655</v>
      </c>
      <c r="BE86" s="378">
        <f t="shared" si="82"/>
        <v>-2.0664869721473522E-2</v>
      </c>
      <c r="BF86" s="378">
        <f t="shared" si="82"/>
        <v>-8.3061889250814369E-2</v>
      </c>
      <c r="BG86" s="378">
        <f t="shared" si="82"/>
        <v>-8.2403433476394894E-2</v>
      </c>
      <c r="BH86" s="378">
        <f t="shared" si="82"/>
        <v>-8.8235294117647078E-2</v>
      </c>
      <c r="BI86" s="417">
        <f t="shared" si="82"/>
        <v>-6.9556025369978847E-2</v>
      </c>
      <c r="BJ86" s="1130">
        <f>BJ85/BE85-1</f>
        <v>-0.10550458715596334</v>
      </c>
      <c r="BK86" s="378">
        <f t="shared" si="82"/>
        <v>4.9039320465364078E-2</v>
      </c>
      <c r="BL86" s="378">
        <f t="shared" si="82"/>
        <v>1.4747000000000288E-2</v>
      </c>
      <c r="BM86" s="378">
        <f t="shared" si="82"/>
        <v>1.4747000000000066E-2</v>
      </c>
      <c r="BN86" s="417">
        <f t="shared" si="82"/>
        <v>-6.2621063749145334E-3</v>
      </c>
      <c r="BO86" s="378">
        <f>BO85/BJ85-1</f>
        <v>1.7058302769232814E-3</v>
      </c>
      <c r="BP86" s="378">
        <f>BP85/BK85-1</f>
        <v>6.1106000000000549E-2</v>
      </c>
      <c r="BQ86" s="378">
        <f>BQ85/BL85-1</f>
        <v>6.1106000000000105E-2</v>
      </c>
      <c r="BR86" s="378">
        <f>BR85/BM85-1</f>
        <v>6.1106000000000105E-2</v>
      </c>
      <c r="BS86" s="417">
        <f>BS85/BN85-1</f>
        <v>4.7863527425069607E-2</v>
      </c>
      <c r="BT86" s="417">
        <f>BT85/BS85-1</f>
        <v>2.6500818484680888E-2</v>
      </c>
      <c r="BU86" s="417">
        <f>BU85/BT85-1</f>
        <v>2.452737982117692E-2</v>
      </c>
      <c r="BV86" s="417">
        <f>BV85/BU85-1</f>
        <v>2.2372949712132328E-2</v>
      </c>
      <c r="BW86" s="176"/>
    </row>
    <row r="87" spans="1:75" s="217" customFormat="1" x14ac:dyDescent="0.5">
      <c r="A87" s="211" t="s">
        <v>2244</v>
      </c>
      <c r="B87" s="493"/>
      <c r="C87" s="423"/>
      <c r="D87" s="423"/>
      <c r="E87" s="423">
        <f t="shared" ref="E87:BP87" si="83">E85/E67</f>
        <v>0.27751016747336354</v>
      </c>
      <c r="F87" s="423">
        <f t="shared" si="83"/>
        <v>0.27674417830783254</v>
      </c>
      <c r="G87" s="422">
        <f t="shared" si="83"/>
        <v>0.27473572409651287</v>
      </c>
      <c r="H87" s="422">
        <f t="shared" si="83"/>
        <v>0.26218432853434037</v>
      </c>
      <c r="I87" s="422">
        <f t="shared" si="83"/>
        <v>0.26182670183984963</v>
      </c>
      <c r="J87" s="422">
        <f t="shared" si="83"/>
        <v>0.25347911178530064</v>
      </c>
      <c r="K87" s="423">
        <f t="shared" si="83"/>
        <v>0.26174901156639291</v>
      </c>
      <c r="L87" s="422">
        <f t="shared" si="83"/>
        <v>0.33408920479212939</v>
      </c>
      <c r="M87" s="422">
        <f t="shared" si="83"/>
        <v>0.30960915525137339</v>
      </c>
      <c r="N87" s="422">
        <f t="shared" si="83"/>
        <v>0.3053113139076945</v>
      </c>
      <c r="O87" s="422">
        <f t="shared" si="83"/>
        <v>0.41769227568957901</v>
      </c>
      <c r="P87" s="423">
        <f t="shared" si="83"/>
        <v>0.34717135056571469</v>
      </c>
      <c r="Q87" s="422">
        <f t="shared" si="83"/>
        <v>0.30593749337254433</v>
      </c>
      <c r="R87" s="422">
        <f t="shared" si="83"/>
        <v>0.28477362573004278</v>
      </c>
      <c r="S87" s="422">
        <f t="shared" si="83"/>
        <v>0.26906150458270767</v>
      </c>
      <c r="T87" s="422">
        <f t="shared" si="83"/>
        <v>0.2588558915367874</v>
      </c>
      <c r="U87" s="423">
        <f t="shared" si="83"/>
        <v>0.27609544487829374</v>
      </c>
      <c r="V87" s="422">
        <f t="shared" si="83"/>
        <v>0.29593308605897117</v>
      </c>
      <c r="W87" s="422">
        <f t="shared" si="83"/>
        <v>0.30148120285464491</v>
      </c>
      <c r="X87" s="422">
        <f t="shared" si="83"/>
        <v>0.30559879283828095</v>
      </c>
      <c r="Y87" s="422">
        <f t="shared" si="83"/>
        <v>0.28676595308153197</v>
      </c>
      <c r="Z87" s="423">
        <f t="shared" si="83"/>
        <v>0.2970180690813996</v>
      </c>
      <c r="AA87" s="422">
        <f t="shared" si="83"/>
        <v>0.30503889886295632</v>
      </c>
      <c r="AB87" s="422">
        <f t="shared" si="83"/>
        <v>0.27342597804170793</v>
      </c>
      <c r="AC87" s="422">
        <f t="shared" si="83"/>
        <v>0.29566565792965777</v>
      </c>
      <c r="AD87" s="422">
        <f t="shared" si="83"/>
        <v>0.2779003152153971</v>
      </c>
      <c r="AE87" s="423">
        <f t="shared" si="83"/>
        <v>0.2868684857426399</v>
      </c>
      <c r="AF87" s="422">
        <f t="shared" si="83"/>
        <v>0.30399659894222547</v>
      </c>
      <c r="AG87" s="422">
        <f t="shared" si="83"/>
        <v>0.29019438685013071</v>
      </c>
      <c r="AH87" s="422">
        <f t="shared" si="83"/>
        <v>0.31544430406092716</v>
      </c>
      <c r="AI87" s="422">
        <f t="shared" si="83"/>
        <v>0.3052263054095225</v>
      </c>
      <c r="AJ87" s="423">
        <f t="shared" si="83"/>
        <v>0.30387212365400268</v>
      </c>
      <c r="AK87" s="422">
        <f t="shared" si="83"/>
        <v>0.34146446808434056</v>
      </c>
      <c r="AL87" s="422">
        <f t="shared" si="83"/>
        <v>0.31186458471584982</v>
      </c>
      <c r="AM87" s="422">
        <f t="shared" si="83"/>
        <v>0.34683778308010416</v>
      </c>
      <c r="AN87" s="422">
        <f t="shared" si="83"/>
        <v>0.34844266209852792</v>
      </c>
      <c r="AO87" s="423">
        <f t="shared" si="83"/>
        <v>0.33715939321952293</v>
      </c>
      <c r="AP87" s="422">
        <f t="shared" si="83"/>
        <v>0.36101641886936103</v>
      </c>
      <c r="AQ87" s="422">
        <f t="shared" si="83"/>
        <v>0.23719159090402245</v>
      </c>
      <c r="AR87" s="422">
        <f t="shared" si="83"/>
        <v>0.24106188974286177</v>
      </c>
      <c r="AS87" s="422">
        <f t="shared" si="83"/>
        <v>0.26261621623977649</v>
      </c>
      <c r="AT87" s="423">
        <f t="shared" si="83"/>
        <v>0.26523723032817736</v>
      </c>
      <c r="AU87" s="422">
        <f t="shared" si="83"/>
        <v>0.27734522150568308</v>
      </c>
      <c r="AV87" s="422">
        <f t="shared" si="83"/>
        <v>0.25478182695782325</v>
      </c>
      <c r="AW87" s="422">
        <f t="shared" si="83"/>
        <v>0.30519085842958998</v>
      </c>
      <c r="AX87" s="422">
        <f t="shared" si="83"/>
        <v>0.33124944453379751</v>
      </c>
      <c r="AY87" s="423">
        <f t="shared" si="83"/>
        <v>0.29012255617157862</v>
      </c>
      <c r="AZ87" s="422">
        <f t="shared" si="83"/>
        <v>0.37186769127965252</v>
      </c>
      <c r="BA87" s="422">
        <f t="shared" si="83"/>
        <v>0.37393422655298414</v>
      </c>
      <c r="BB87" s="422">
        <f t="shared" si="83"/>
        <v>0.41021126760563381</v>
      </c>
      <c r="BC87" s="422">
        <f t="shared" si="83"/>
        <v>0.39471138342470169</v>
      </c>
      <c r="BD87" s="423">
        <f t="shared" si="83"/>
        <v>0.3871337371091832</v>
      </c>
      <c r="BE87" s="422">
        <f t="shared" si="83"/>
        <v>0.39293439077144915</v>
      </c>
      <c r="BF87" s="422">
        <f t="shared" si="83"/>
        <v>0.35509303058971931</v>
      </c>
      <c r="BG87" s="422">
        <f t="shared" si="83"/>
        <v>0.36311141304347827</v>
      </c>
      <c r="BH87" s="422">
        <f t="shared" si="83"/>
        <v>0.3583815028901734</v>
      </c>
      <c r="BI87" s="423">
        <f t="shared" si="83"/>
        <v>0.36665833541614595</v>
      </c>
      <c r="BJ87" s="1034">
        <f>BJ85/BJ67</f>
        <v>0.35727372663979479</v>
      </c>
      <c r="BK87" s="422">
        <f t="shared" si="83"/>
        <v>0.36709303058971932</v>
      </c>
      <c r="BL87" s="422">
        <f t="shared" si="83"/>
        <v>0.36311141304347822</v>
      </c>
      <c r="BM87" s="422">
        <f t="shared" si="83"/>
        <v>0.35838150289017345</v>
      </c>
      <c r="BN87" s="423">
        <f t="shared" si="83"/>
        <v>0.36161768524008292</v>
      </c>
      <c r="BO87" s="422">
        <f t="shared" si="83"/>
        <v>0.33727372663979482</v>
      </c>
      <c r="BP87" s="422">
        <f t="shared" si="83"/>
        <v>0.36709303058971937</v>
      </c>
      <c r="BQ87" s="422">
        <f t="shared" ref="BQ87:BX87" si="84">BQ85/BQ67</f>
        <v>0.36311141304347827</v>
      </c>
      <c r="BR87" s="422">
        <f t="shared" si="84"/>
        <v>0.3583815028901734</v>
      </c>
      <c r="BS87" s="423">
        <f t="shared" si="84"/>
        <v>0.35710474093536532</v>
      </c>
      <c r="BT87" s="423">
        <f t="shared" si="84"/>
        <v>0.34210474093536536</v>
      </c>
      <c r="BU87" s="423">
        <f t="shared" si="84"/>
        <v>0.32710474093536529</v>
      </c>
      <c r="BV87" s="423">
        <f t="shared" si="84"/>
        <v>0.31210474093536528</v>
      </c>
      <c r="BW87" s="216"/>
    </row>
    <row r="88" spans="1:75" s="224" customFormat="1" x14ac:dyDescent="0.5">
      <c r="A88" s="218" t="s">
        <v>2245</v>
      </c>
      <c r="B88" s="494"/>
      <c r="C88" s="425"/>
      <c r="D88" s="425"/>
      <c r="E88" s="425"/>
      <c r="F88" s="425">
        <f>(E87-F87)*10000</f>
        <v>7.6598916553100027</v>
      </c>
      <c r="G88" s="487"/>
      <c r="H88" s="487"/>
      <c r="I88" s="487"/>
      <c r="J88" s="487"/>
      <c r="K88" s="425">
        <f t="shared" ref="K88:BS88" si="85">(F87-K87)*10000</f>
        <v>149.95166741439635</v>
      </c>
      <c r="L88" s="487">
        <f t="shared" si="85"/>
        <v>-593.5348069561652</v>
      </c>
      <c r="M88" s="487">
        <f t="shared" si="85"/>
        <v>-474.24826717033022</v>
      </c>
      <c r="N88" s="487">
        <f t="shared" si="85"/>
        <v>-434.84612067844876</v>
      </c>
      <c r="O88" s="487">
        <f t="shared" si="85"/>
        <v>-1642.1316390427837</v>
      </c>
      <c r="P88" s="425">
        <f t="shared" si="85"/>
        <v>-854.22338999321778</v>
      </c>
      <c r="Q88" s="487">
        <f t="shared" si="85"/>
        <v>281.51711419585058</v>
      </c>
      <c r="R88" s="487">
        <f t="shared" si="85"/>
        <v>248.35529521330614</v>
      </c>
      <c r="S88" s="487">
        <f t="shared" si="85"/>
        <v>362.49809324986836</v>
      </c>
      <c r="T88" s="487">
        <f t="shared" si="85"/>
        <v>1588.3638415279161</v>
      </c>
      <c r="U88" s="425">
        <f t="shared" si="85"/>
        <v>710.75905687420948</v>
      </c>
      <c r="V88" s="487">
        <f t="shared" si="85"/>
        <v>100.04407313573161</v>
      </c>
      <c r="W88" s="487">
        <f t="shared" si="85"/>
        <v>-167.07577124602136</v>
      </c>
      <c r="X88" s="487">
        <f t="shared" si="85"/>
        <v>-365.37288255573287</v>
      </c>
      <c r="Y88" s="487">
        <f t="shared" si="85"/>
        <v>-279.1006154474457</v>
      </c>
      <c r="Z88" s="425">
        <f t="shared" si="85"/>
        <v>-209.22624203105866</v>
      </c>
      <c r="AA88" s="487">
        <f t="shared" si="85"/>
        <v>-91.058128039851468</v>
      </c>
      <c r="AB88" s="487">
        <f t="shared" si="85"/>
        <v>280.55224812936984</v>
      </c>
      <c r="AC88" s="487">
        <f t="shared" si="85"/>
        <v>99.331349086231867</v>
      </c>
      <c r="AD88" s="487">
        <f t="shared" si="85"/>
        <v>88.656378661348683</v>
      </c>
      <c r="AE88" s="425">
        <f t="shared" si="85"/>
        <v>101.49583338759705</v>
      </c>
      <c r="AF88" s="487">
        <f t="shared" si="85"/>
        <v>10.422999207308493</v>
      </c>
      <c r="AG88" s="487">
        <f t="shared" si="85"/>
        <v>-167.68408808422785</v>
      </c>
      <c r="AH88" s="487">
        <f t="shared" si="85"/>
        <v>-197.78646131269394</v>
      </c>
      <c r="AI88" s="487">
        <f t="shared" si="85"/>
        <v>-273.25990194125404</v>
      </c>
      <c r="AJ88" s="425">
        <f t="shared" si="85"/>
        <v>-170.03637911362779</v>
      </c>
      <c r="AK88" s="487">
        <f t="shared" si="85"/>
        <v>-374.67869142115086</v>
      </c>
      <c r="AL88" s="487">
        <f t="shared" si="85"/>
        <v>-216.70197865719109</v>
      </c>
      <c r="AM88" s="487">
        <f t="shared" si="85"/>
        <v>-313.93479019176993</v>
      </c>
      <c r="AN88" s="487">
        <f t="shared" si="85"/>
        <v>-432.1635668900542</v>
      </c>
      <c r="AO88" s="425">
        <f t="shared" si="85"/>
        <v>-332.87269565520251</v>
      </c>
      <c r="AP88" s="487">
        <f t="shared" si="85"/>
        <v>-195.51950785020477</v>
      </c>
      <c r="AQ88" s="487">
        <f t="shared" si="85"/>
        <v>746.72993811827371</v>
      </c>
      <c r="AR88" s="487">
        <f t="shared" si="85"/>
        <v>1057.7589333724238</v>
      </c>
      <c r="AS88" s="487">
        <f t="shared" si="85"/>
        <v>858.26445858751435</v>
      </c>
      <c r="AT88" s="425">
        <f t="shared" si="85"/>
        <v>719.22162891345567</v>
      </c>
      <c r="AU88" s="487">
        <f t="shared" si="85"/>
        <v>836.71197363677948</v>
      </c>
      <c r="AV88" s="487">
        <f t="shared" si="85"/>
        <v>-175.90236053800805</v>
      </c>
      <c r="AW88" s="487">
        <f t="shared" si="85"/>
        <v>-641.28968686728206</v>
      </c>
      <c r="AX88" s="487">
        <f t="shared" si="85"/>
        <v>-686.33228294021023</v>
      </c>
      <c r="AY88" s="425">
        <f t="shared" si="85"/>
        <v>-248.8532584340125</v>
      </c>
      <c r="AZ88" s="487">
        <f t="shared" si="85"/>
        <v>-945.22469773969442</v>
      </c>
      <c r="BA88" s="487">
        <f t="shared" si="85"/>
        <v>-1191.5239959516089</v>
      </c>
      <c r="BB88" s="487">
        <f t="shared" si="85"/>
        <v>-1050.2040917604384</v>
      </c>
      <c r="BC88" s="487">
        <f t="shared" si="85"/>
        <v>-634.61938890904185</v>
      </c>
      <c r="BD88" s="425">
        <f t="shared" si="85"/>
        <v>-970.11180937604581</v>
      </c>
      <c r="BE88" s="487">
        <f t="shared" si="85"/>
        <v>-210.66699491796626</v>
      </c>
      <c r="BF88" s="487">
        <f t="shared" si="85"/>
        <v>188.41195963264835</v>
      </c>
      <c r="BG88" s="487">
        <f t="shared" si="85"/>
        <v>470.99854562155542</v>
      </c>
      <c r="BH88" s="487">
        <f t="shared" si="85"/>
        <v>363.29880534528291</v>
      </c>
      <c r="BI88" s="425">
        <f t="shared" si="85"/>
        <v>204.75401693037242</v>
      </c>
      <c r="BJ88" s="981">
        <f>(BE87-BJ87)*10000</f>
        <v>356.60664131654363</v>
      </c>
      <c r="BK88" s="487">
        <f t="shared" si="85"/>
        <v>-120.00000000000011</v>
      </c>
      <c r="BL88" s="487">
        <f t="shared" si="85"/>
        <v>5.5511151231257827E-13</v>
      </c>
      <c r="BM88" s="487">
        <f t="shared" si="85"/>
        <v>-5.5511151231257827E-13</v>
      </c>
      <c r="BN88" s="425">
        <f t="shared" si="85"/>
        <v>50.406501760630327</v>
      </c>
      <c r="BO88" s="487">
        <f t="shared" si="85"/>
        <v>199.99999999999963</v>
      </c>
      <c r="BP88" s="487">
        <f t="shared" si="85"/>
        <v>-5.5511151231257827E-13</v>
      </c>
      <c r="BQ88" s="487">
        <f t="shared" si="85"/>
        <v>-5.5511151231257827E-13</v>
      </c>
      <c r="BR88" s="487">
        <f t="shared" si="85"/>
        <v>5.5511151231257827E-13</v>
      </c>
      <c r="BS88" s="425">
        <f t="shared" si="85"/>
        <v>45.129443047176032</v>
      </c>
      <c r="BT88" s="425">
        <f>(BS87-BT87)*10000</f>
        <v>149.99999999999957</v>
      </c>
      <c r="BU88" s="425">
        <f>(BT87-BU87)*10000</f>
        <v>150.00000000000068</v>
      </c>
      <c r="BV88" s="425">
        <f>(BU87-BV87)*10000</f>
        <v>150.00000000000014</v>
      </c>
      <c r="BW88" s="223"/>
    </row>
    <row r="89" spans="1:75" x14ac:dyDescent="0.5">
      <c r="A89" s="752"/>
      <c r="B89" s="489"/>
      <c r="C89" s="401"/>
      <c r="D89" s="401"/>
      <c r="E89" s="401"/>
      <c r="F89" s="401"/>
      <c r="G89" s="118"/>
      <c r="H89" s="118"/>
      <c r="I89" s="118"/>
      <c r="J89" s="118"/>
      <c r="K89" s="401"/>
      <c r="L89" s="118"/>
      <c r="M89" s="118"/>
      <c r="N89" s="118"/>
      <c r="O89" s="118"/>
      <c r="P89" s="401"/>
      <c r="Q89" s="118"/>
      <c r="R89" s="118"/>
      <c r="S89" s="118"/>
      <c r="T89" s="118"/>
      <c r="U89" s="401"/>
      <c r="V89" s="118"/>
      <c r="W89" s="118"/>
      <c r="X89" s="118"/>
      <c r="Y89" s="118"/>
      <c r="Z89" s="401"/>
      <c r="AA89" s="118"/>
      <c r="AB89" s="118"/>
      <c r="AC89" s="118"/>
      <c r="AD89" s="118"/>
      <c r="AE89" s="401"/>
      <c r="AF89" s="118"/>
      <c r="AG89" s="118"/>
      <c r="AH89" s="118"/>
      <c r="AI89" s="118"/>
      <c r="AJ89" s="401"/>
      <c r="AK89" s="118"/>
      <c r="AL89" s="118"/>
      <c r="AM89" s="118"/>
      <c r="AN89" s="118"/>
      <c r="AO89" s="401"/>
      <c r="AP89" s="118"/>
      <c r="AQ89" s="118"/>
      <c r="AR89" s="118"/>
      <c r="AS89" s="118"/>
      <c r="AT89" s="401"/>
      <c r="AU89" s="118"/>
      <c r="AV89" s="118"/>
      <c r="AW89" s="118"/>
      <c r="AX89" s="118"/>
      <c r="AY89" s="401"/>
      <c r="AZ89" s="118"/>
      <c r="BA89" s="118"/>
      <c r="BB89" s="118"/>
      <c r="BC89" s="118"/>
      <c r="BD89" s="401"/>
      <c r="BE89" s="118"/>
      <c r="BF89" s="118"/>
      <c r="BG89" s="118"/>
      <c r="BH89" s="118"/>
      <c r="BI89" s="401"/>
      <c r="BJ89" s="971"/>
      <c r="BK89" s="118"/>
      <c r="BL89" s="118"/>
      <c r="BM89" s="118"/>
      <c r="BN89" s="401"/>
      <c r="BO89" s="118"/>
      <c r="BP89" s="118"/>
      <c r="BQ89" s="118"/>
      <c r="BR89" s="118"/>
      <c r="BS89" s="401"/>
      <c r="BT89" s="401"/>
      <c r="BU89" s="401"/>
      <c r="BV89" s="401"/>
      <c r="BW89" s="122"/>
    </row>
    <row r="90" spans="1:75" x14ac:dyDescent="0.5">
      <c r="A90" s="159" t="s">
        <v>698</v>
      </c>
      <c r="B90" s="15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239"/>
      <c r="AN90" s="239"/>
      <c r="AO90" s="239"/>
      <c r="AP90" s="239"/>
      <c r="AQ90" s="239"/>
      <c r="AR90" s="239"/>
      <c r="AS90" s="239"/>
      <c r="AT90" s="239"/>
      <c r="AU90" s="239"/>
      <c r="AV90" s="239"/>
      <c r="AW90" s="239"/>
      <c r="AX90" s="239"/>
      <c r="AY90" s="239"/>
      <c r="AZ90" s="239"/>
      <c r="BA90" s="239"/>
      <c r="BB90" s="239"/>
      <c r="BC90" s="239"/>
      <c r="BD90" s="239"/>
      <c r="BE90" s="239"/>
      <c r="BF90" s="239"/>
      <c r="BG90" s="239"/>
      <c r="BH90" s="239"/>
      <c r="BI90" s="239"/>
      <c r="BJ90" s="241"/>
      <c r="BK90" s="239"/>
      <c r="BL90" s="239"/>
      <c r="BM90" s="239"/>
      <c r="BN90" s="239"/>
      <c r="BO90" s="239"/>
      <c r="BP90" s="239"/>
      <c r="BQ90" s="239"/>
      <c r="BR90" s="239"/>
      <c r="BS90" s="239"/>
      <c r="BT90" s="239"/>
      <c r="BU90" s="239"/>
      <c r="BV90" s="239"/>
      <c r="BW90" s="122"/>
    </row>
    <row r="91" spans="1:75" s="198" customFormat="1" ht="14.25" hidden="1" outlineLevel="1" x14ac:dyDescent="0.45">
      <c r="A91" s="206" t="s">
        <v>187</v>
      </c>
      <c r="B91" s="485"/>
      <c r="C91" s="397"/>
      <c r="D91" s="397"/>
      <c r="E91" s="397">
        <f t="shared" ref="E91:BI91" si="86">E173</f>
        <v>517.33600000000001</v>
      </c>
      <c r="F91" s="397">
        <f t="shared" si="86"/>
        <v>601.02800000000002</v>
      </c>
      <c r="G91" s="295">
        <f t="shared" si="86"/>
        <v>179.83099999999999</v>
      </c>
      <c r="H91" s="295">
        <f t="shared" si="86"/>
        <v>203.37700000000001</v>
      </c>
      <c r="I91" s="295">
        <f t="shared" si="86"/>
        <v>237.30199999999999</v>
      </c>
      <c r="J91" s="295">
        <f t="shared" si="86"/>
        <v>295.33299999999997</v>
      </c>
      <c r="K91" s="397">
        <f t="shared" si="86"/>
        <v>915.84299999999996</v>
      </c>
      <c r="L91" s="295">
        <f t="shared" si="86"/>
        <v>278.70699999999999</v>
      </c>
      <c r="M91" s="295">
        <f t="shared" si="86"/>
        <v>295.43700000000001</v>
      </c>
      <c r="N91" s="295">
        <f t="shared" si="86"/>
        <v>336.18799999999999</v>
      </c>
      <c r="O91" s="295">
        <f t="shared" si="86"/>
        <v>408.61900000000003</v>
      </c>
      <c r="P91" s="397">
        <f t="shared" si="86"/>
        <v>1318.951</v>
      </c>
      <c r="Q91" s="295">
        <f t="shared" si="86"/>
        <v>424.37099999999998</v>
      </c>
      <c r="R91" s="295">
        <f t="shared" si="86"/>
        <v>491.75200000000001</v>
      </c>
      <c r="S91" s="295">
        <f t="shared" si="86"/>
        <v>593.97199999999998</v>
      </c>
      <c r="T91" s="295">
        <f t="shared" si="86"/>
        <v>739.79</v>
      </c>
      <c r="U91" s="397">
        <f t="shared" si="86"/>
        <v>2249.8850000000002</v>
      </c>
      <c r="V91" s="295">
        <f t="shared" si="86"/>
        <v>747.34799999999996</v>
      </c>
      <c r="W91" s="295">
        <f t="shared" si="86"/>
        <v>786.928</v>
      </c>
      <c r="X91" s="295">
        <f t="shared" si="86"/>
        <v>861.52499999999998</v>
      </c>
      <c r="Y91" s="295">
        <f t="shared" si="86"/>
        <v>984.55899999999997</v>
      </c>
      <c r="Z91" s="397">
        <f t="shared" si="86"/>
        <v>3380.36</v>
      </c>
      <c r="AA91" s="295">
        <f t="shared" si="86"/>
        <v>960.82500000000005</v>
      </c>
      <c r="AB91" s="295">
        <f t="shared" si="86"/>
        <v>1122.856</v>
      </c>
      <c r="AC91" s="295">
        <f t="shared" si="86"/>
        <v>1198.1980000000001</v>
      </c>
      <c r="AD91" s="295">
        <f t="shared" si="86"/>
        <v>1439.0160000000005</v>
      </c>
      <c r="AE91" s="397">
        <f t="shared" si="86"/>
        <v>4720.8950000000004</v>
      </c>
      <c r="AF91" s="295">
        <f t="shared" si="86"/>
        <v>1404.269</v>
      </c>
      <c r="AG91" s="295">
        <f t="shared" si="86"/>
        <v>1655.2560000000001</v>
      </c>
      <c r="AH91" s="295">
        <f t="shared" si="86"/>
        <v>1705.645</v>
      </c>
      <c r="AI91" s="295">
        <f t="shared" si="86"/>
        <v>2014.0039999999999</v>
      </c>
      <c r="AJ91" s="397">
        <f t="shared" si="86"/>
        <v>6779.174</v>
      </c>
      <c r="AK91" s="295">
        <f t="shared" si="86"/>
        <v>1944.829</v>
      </c>
      <c r="AL91" s="295">
        <f t="shared" si="86"/>
        <v>2343.2510000000002</v>
      </c>
      <c r="AM91" s="295">
        <f t="shared" si="86"/>
        <v>2305.4870000000001</v>
      </c>
      <c r="AN91" s="295">
        <f t="shared" si="86"/>
        <v>2533.4900000000007</v>
      </c>
      <c r="AO91" s="397">
        <f t="shared" si="86"/>
        <v>9127.0570000000007</v>
      </c>
      <c r="AP91" s="295">
        <f t="shared" si="86"/>
        <v>2330.0630000000001</v>
      </c>
      <c r="AQ91" s="295">
        <f t="shared" si="86"/>
        <v>4304.6719999999996</v>
      </c>
      <c r="AR91" s="295">
        <f t="shared" si="86"/>
        <v>3839.57</v>
      </c>
      <c r="AS91" s="295">
        <f t="shared" si="86"/>
        <v>3670.8510000000006</v>
      </c>
      <c r="AT91" s="397">
        <f t="shared" si="86"/>
        <v>14145.156000000001</v>
      </c>
      <c r="AU91" s="295">
        <f t="shared" si="86"/>
        <v>3477.518</v>
      </c>
      <c r="AV91" s="295">
        <f t="shared" si="86"/>
        <v>3857.6260000000002</v>
      </c>
      <c r="AW91" s="295">
        <f t="shared" si="86"/>
        <v>3121.0830000000001</v>
      </c>
      <c r="AX91" s="295">
        <f t="shared" si="86"/>
        <v>3251.7729999999992</v>
      </c>
      <c r="AY91" s="397">
        <f t="shared" si="86"/>
        <v>13708</v>
      </c>
      <c r="AZ91" s="295">
        <f t="shared" si="86"/>
        <v>2993</v>
      </c>
      <c r="BA91" s="295">
        <f t="shared" si="86"/>
        <v>3284</v>
      </c>
      <c r="BB91" s="295">
        <f t="shared" si="86"/>
        <v>2840</v>
      </c>
      <c r="BC91" s="295">
        <f t="shared" si="86"/>
        <v>3101</v>
      </c>
      <c r="BD91" s="397">
        <f t="shared" si="86"/>
        <v>12218</v>
      </c>
      <c r="BE91" s="295">
        <f t="shared" si="86"/>
        <v>2774</v>
      </c>
      <c r="BF91" s="295">
        <f t="shared" si="86"/>
        <v>3171</v>
      </c>
      <c r="BG91" s="295">
        <f t="shared" si="86"/>
        <v>2944</v>
      </c>
      <c r="BH91" s="295">
        <f t="shared" si="86"/>
        <v>3114</v>
      </c>
      <c r="BI91" s="397">
        <f t="shared" si="86"/>
        <v>12003</v>
      </c>
      <c r="BJ91" s="1030">
        <f>BJ173</f>
        <v>2729</v>
      </c>
      <c r="BK91" s="295">
        <f>BK32</f>
        <v>3217.762737</v>
      </c>
      <c r="BL91" s="295">
        <f>BL32</f>
        <v>2987.4151680000009</v>
      </c>
      <c r="BM91" s="295">
        <f>BM32</f>
        <v>3159.9221579999999</v>
      </c>
      <c r="BN91" s="397">
        <f>SUM(BJ91,BK91,BL91,BM91)</f>
        <v>12094.100063</v>
      </c>
      <c r="BO91" s="295">
        <f>BO32</f>
        <v>2895.7582740000003</v>
      </c>
      <c r="BP91" s="295">
        <f>BP32</f>
        <v>3414.3873468071233</v>
      </c>
      <c r="BQ91" s="295">
        <f>BQ32</f>
        <v>3169.9641592558091</v>
      </c>
      <c r="BR91" s="295">
        <f>BR32</f>
        <v>3353.0123613867486</v>
      </c>
      <c r="BS91" s="397">
        <f>SUM(BO91,BP91,BQ91,BR91)</f>
        <v>12833.122141449681</v>
      </c>
      <c r="BT91" s="397">
        <f>BT32</f>
        <v>13750.805872662608</v>
      </c>
      <c r="BU91" s="397">
        <f>BU32</f>
        <v>14734.11224981084</v>
      </c>
      <c r="BV91" s="397">
        <f>BV32</f>
        <v>15787.733882682563</v>
      </c>
      <c r="BW91" s="197"/>
    </row>
    <row r="92" spans="1:75" s="123" customFormat="1" hidden="1" outlineLevel="1" x14ac:dyDescent="0.5">
      <c r="A92" s="496" t="s">
        <v>2246</v>
      </c>
      <c r="B92" s="489"/>
      <c r="C92" s="401"/>
      <c r="D92" s="401"/>
      <c r="E92" s="401"/>
      <c r="F92" s="401">
        <f>K92-45.4</f>
        <v>87.799999999999955</v>
      </c>
      <c r="G92" s="118"/>
      <c r="H92" s="118"/>
      <c r="I92" s="118"/>
      <c r="J92" s="118"/>
      <c r="K92" s="401">
        <f>P92-66.4</f>
        <v>133.19999999999996</v>
      </c>
      <c r="L92" s="118"/>
      <c r="M92" s="118"/>
      <c r="N92" s="118"/>
      <c r="O92" s="118"/>
      <c r="P92" s="401">
        <f>U92-127.8</f>
        <v>199.59999999999997</v>
      </c>
      <c r="Q92" s="118"/>
      <c r="R92" s="118"/>
      <c r="S92" s="118"/>
      <c r="T92" s="118"/>
      <c r="U92" s="401">
        <f>Z92-172.6</f>
        <v>327.39999999999998</v>
      </c>
      <c r="V92" s="118"/>
      <c r="W92" s="118"/>
      <c r="X92" s="118"/>
      <c r="Y92" s="118"/>
      <c r="Z92" s="401">
        <f>AE92-200</f>
        <v>500</v>
      </c>
      <c r="AA92" s="118"/>
      <c r="AB92" s="118"/>
      <c r="AC92" s="118"/>
      <c r="AD92" s="118"/>
      <c r="AE92" s="403">
        <v>700</v>
      </c>
      <c r="AF92" s="118"/>
      <c r="AG92" s="118"/>
      <c r="AH92" s="118"/>
      <c r="AI92" s="118"/>
      <c r="AJ92" s="403">
        <v>1100</v>
      </c>
      <c r="AK92" s="118"/>
      <c r="AL92" s="118"/>
      <c r="AM92" s="118"/>
      <c r="AN92" s="118"/>
      <c r="AO92" s="403">
        <v>1400</v>
      </c>
      <c r="AP92" s="118"/>
      <c r="AQ92" s="118"/>
      <c r="AR92" s="118"/>
      <c r="AS92" s="118"/>
      <c r="AT92" s="403">
        <v>2000</v>
      </c>
      <c r="AU92" s="118"/>
      <c r="AV92" s="118"/>
      <c r="AW92" s="118"/>
      <c r="AX92" s="118"/>
      <c r="AY92" s="403">
        <v>2100</v>
      </c>
      <c r="AZ92" s="118"/>
      <c r="BA92" s="118"/>
      <c r="BB92" s="118"/>
      <c r="BC92" s="118"/>
      <c r="BD92" s="403">
        <v>2200</v>
      </c>
      <c r="BE92" s="118"/>
      <c r="BF92" s="118"/>
      <c r="BG92" s="118"/>
      <c r="BH92" s="118"/>
      <c r="BI92" s="403">
        <v>1900</v>
      </c>
      <c r="BJ92" s="971"/>
      <c r="BK92" s="118"/>
      <c r="BL92" s="118"/>
      <c r="BM92" s="118"/>
      <c r="BN92" s="401"/>
      <c r="BO92" s="118"/>
      <c r="BP92" s="118"/>
      <c r="BQ92" s="118"/>
      <c r="BR92" s="118"/>
      <c r="BS92" s="401"/>
      <c r="BT92" s="401"/>
      <c r="BU92" s="401"/>
      <c r="BV92" s="401"/>
      <c r="BW92" s="122"/>
    </row>
    <row r="93" spans="1:75" s="123" customFormat="1" hidden="1" outlineLevel="1" x14ac:dyDescent="0.5">
      <c r="A93" s="497" t="s">
        <v>2247</v>
      </c>
      <c r="B93" s="486"/>
      <c r="C93" s="406"/>
      <c r="D93" s="406"/>
      <c r="E93" s="406"/>
      <c r="F93" s="406">
        <f>F94-F92</f>
        <v>368.07900000000006</v>
      </c>
      <c r="G93" s="723"/>
      <c r="H93" s="723"/>
      <c r="I93" s="723"/>
      <c r="J93" s="723"/>
      <c r="K93" s="406">
        <f>K94-K92</f>
        <v>558.40200000000004</v>
      </c>
      <c r="L93" s="723"/>
      <c r="M93" s="723"/>
      <c r="N93" s="723"/>
      <c r="O93" s="723"/>
      <c r="P93" s="406">
        <f>P94-P92</f>
        <v>808.25299999999993</v>
      </c>
      <c r="Q93" s="723"/>
      <c r="R93" s="723"/>
      <c r="S93" s="723"/>
      <c r="T93" s="723"/>
      <c r="U93" s="406">
        <f>U94-U92</f>
        <v>1381.761</v>
      </c>
      <c r="V93" s="723"/>
      <c r="W93" s="723"/>
      <c r="X93" s="723"/>
      <c r="Y93" s="723"/>
      <c r="Z93" s="406">
        <f>Z94-Z92</f>
        <v>2072.549</v>
      </c>
      <c r="AA93" s="723"/>
      <c r="AB93" s="723"/>
      <c r="AC93" s="723"/>
      <c r="AD93" s="723"/>
      <c r="AE93" s="406">
        <f>AE94-AE92</f>
        <v>2902.0720000000001</v>
      </c>
      <c r="AF93" s="723"/>
      <c r="AG93" s="723"/>
      <c r="AH93" s="723"/>
      <c r="AI93" s="723"/>
      <c r="AJ93" s="406">
        <f>AJ94-AJ92</f>
        <v>4092.451</v>
      </c>
      <c r="AK93" s="723"/>
      <c r="AL93" s="723"/>
      <c r="AM93" s="723"/>
      <c r="AN93" s="723"/>
      <c r="AO93" s="406">
        <f>AO94-AO92</f>
        <v>5579.7250000000004</v>
      </c>
      <c r="AP93" s="723"/>
      <c r="AQ93" s="723"/>
      <c r="AR93" s="723"/>
      <c r="AS93" s="723"/>
      <c r="AT93" s="406">
        <f>AT94-AT92</f>
        <v>8032.9850000000006</v>
      </c>
      <c r="AU93" s="723"/>
      <c r="AV93" s="723"/>
      <c r="AW93" s="723"/>
      <c r="AX93" s="723"/>
      <c r="AY93" s="406">
        <f>AY94-AY92</f>
        <v>7713</v>
      </c>
      <c r="AZ93" s="723"/>
      <c r="BA93" s="723"/>
      <c r="BB93" s="723"/>
      <c r="BC93" s="723"/>
      <c r="BD93" s="406">
        <f>BD94-BD92</f>
        <v>6602</v>
      </c>
      <c r="BE93" s="723"/>
      <c r="BF93" s="723"/>
      <c r="BG93" s="723"/>
      <c r="BH93" s="723"/>
      <c r="BI93" s="406">
        <f>BI94-BI92</f>
        <v>6436</v>
      </c>
      <c r="BJ93" s="1049"/>
      <c r="BK93" s="723"/>
      <c r="BL93" s="723"/>
      <c r="BM93" s="723"/>
      <c r="BN93" s="406"/>
      <c r="BO93" s="723"/>
      <c r="BP93" s="723"/>
      <c r="BQ93" s="723"/>
      <c r="BR93" s="723"/>
      <c r="BS93" s="406"/>
      <c r="BT93" s="406"/>
      <c r="BU93" s="406"/>
      <c r="BV93" s="406"/>
      <c r="BW93" s="122"/>
    </row>
    <row r="94" spans="1:75" s="123" customFormat="1" hidden="1" outlineLevel="1" x14ac:dyDescent="0.5">
      <c r="A94" s="184" t="s">
        <v>1855</v>
      </c>
      <c r="B94" s="489"/>
      <c r="C94" s="401"/>
      <c r="D94" s="401"/>
      <c r="E94" s="401">
        <f t="shared" ref="E94:BI94" si="87">E174</f>
        <v>385.82400000000001</v>
      </c>
      <c r="F94" s="401">
        <f t="shared" si="87"/>
        <v>455.87900000000002</v>
      </c>
      <c r="G94" s="118">
        <f t="shared" si="87"/>
        <v>135.798</v>
      </c>
      <c r="H94" s="118">
        <f t="shared" si="87"/>
        <v>152.53899999999999</v>
      </c>
      <c r="I94" s="118">
        <f t="shared" si="87"/>
        <v>178.65600000000001</v>
      </c>
      <c r="J94" s="118">
        <f t="shared" si="87"/>
        <v>224.60899999999998</v>
      </c>
      <c r="K94" s="401">
        <f t="shared" si="87"/>
        <v>691.60199999999998</v>
      </c>
      <c r="L94" s="118">
        <f t="shared" si="87"/>
        <v>213.5</v>
      </c>
      <c r="M94" s="118">
        <f t="shared" si="87"/>
        <v>226.983</v>
      </c>
      <c r="N94" s="118">
        <f t="shared" si="87"/>
        <v>257.161</v>
      </c>
      <c r="O94" s="118">
        <f t="shared" si="87"/>
        <v>310.209</v>
      </c>
      <c r="P94" s="401">
        <f t="shared" si="87"/>
        <v>1007.853</v>
      </c>
      <c r="Q94" s="118">
        <f t="shared" si="87"/>
        <v>321.536</v>
      </c>
      <c r="R94" s="118">
        <f t="shared" si="87"/>
        <v>370.95100000000002</v>
      </c>
      <c r="S94" s="118">
        <f t="shared" si="87"/>
        <v>452.58600000000001</v>
      </c>
      <c r="T94" s="118">
        <f t="shared" si="87"/>
        <v>564.08799999999997</v>
      </c>
      <c r="U94" s="401">
        <f t="shared" si="87"/>
        <v>1709.1610000000001</v>
      </c>
      <c r="V94" s="118">
        <f t="shared" si="87"/>
        <v>568.29200000000003</v>
      </c>
      <c r="W94" s="118">
        <f t="shared" si="87"/>
        <v>598.41399999999999</v>
      </c>
      <c r="X94" s="118">
        <f t="shared" si="87"/>
        <v>659.86400000000003</v>
      </c>
      <c r="Y94" s="118">
        <f t="shared" si="87"/>
        <v>745.97900000000004</v>
      </c>
      <c r="Z94" s="401">
        <f t="shared" si="87"/>
        <v>2572.549</v>
      </c>
      <c r="AA94" s="118">
        <f t="shared" si="87"/>
        <v>723.94200000000001</v>
      </c>
      <c r="AB94" s="118">
        <f t="shared" si="87"/>
        <v>853.39</v>
      </c>
      <c r="AC94" s="118">
        <f t="shared" si="87"/>
        <v>917.88900000000001</v>
      </c>
      <c r="AD94" s="118">
        <f t="shared" si="87"/>
        <v>1106.8510000000001</v>
      </c>
      <c r="AE94" s="401">
        <f t="shared" si="87"/>
        <v>3602.0720000000001</v>
      </c>
      <c r="AF94" s="118">
        <f t="shared" si="87"/>
        <v>1080.4449999999999</v>
      </c>
      <c r="AG94" s="118">
        <f t="shared" si="87"/>
        <v>1270.249</v>
      </c>
      <c r="AH94" s="118">
        <f t="shared" si="87"/>
        <v>1312.875</v>
      </c>
      <c r="AI94" s="118">
        <f t="shared" si="87"/>
        <v>1528.8820000000001</v>
      </c>
      <c r="AJ94" s="401">
        <f t="shared" si="87"/>
        <v>5192.451</v>
      </c>
      <c r="AK94" s="118">
        <f t="shared" si="87"/>
        <v>1474.373</v>
      </c>
      <c r="AL94" s="118">
        <f t="shared" si="87"/>
        <v>1783.6510000000001</v>
      </c>
      <c r="AM94" s="118">
        <f t="shared" si="87"/>
        <v>1765.566</v>
      </c>
      <c r="AN94" s="118">
        <f t="shared" si="87"/>
        <v>1956.1350000000002</v>
      </c>
      <c r="AO94" s="401">
        <f t="shared" si="87"/>
        <v>6979.7250000000004</v>
      </c>
      <c r="AP94" s="118">
        <f t="shared" si="87"/>
        <v>1750.94</v>
      </c>
      <c r="AQ94" s="118">
        <f t="shared" si="87"/>
        <v>2983.6419999999998</v>
      </c>
      <c r="AR94" s="118">
        <f t="shared" si="87"/>
        <v>2692.1419999999998</v>
      </c>
      <c r="AS94" s="118">
        <f t="shared" si="87"/>
        <v>2606.2610000000004</v>
      </c>
      <c r="AT94" s="401">
        <f t="shared" si="87"/>
        <v>10032.985000000001</v>
      </c>
      <c r="AU94" s="118">
        <f t="shared" si="87"/>
        <v>2474.491</v>
      </c>
      <c r="AV94" s="118">
        <f t="shared" si="87"/>
        <v>2729.5659999999998</v>
      </c>
      <c r="AW94" s="118">
        <f t="shared" si="87"/>
        <v>2238.355</v>
      </c>
      <c r="AX94" s="118">
        <f t="shared" si="87"/>
        <v>2370.5879999999997</v>
      </c>
      <c r="AY94" s="401">
        <f t="shared" si="87"/>
        <v>9813</v>
      </c>
      <c r="AZ94" s="118">
        <f t="shared" si="87"/>
        <v>2190</v>
      </c>
      <c r="BA94" s="118">
        <f t="shared" si="87"/>
        <v>2388</v>
      </c>
      <c r="BB94" s="118">
        <f t="shared" si="87"/>
        <v>2016</v>
      </c>
      <c r="BC94" s="118">
        <f t="shared" si="87"/>
        <v>2208</v>
      </c>
      <c r="BD94" s="401">
        <f t="shared" si="87"/>
        <v>8802</v>
      </c>
      <c r="BE94" s="118">
        <f t="shared" si="87"/>
        <v>1953</v>
      </c>
      <c r="BF94" s="118">
        <f t="shared" si="87"/>
        <v>2186</v>
      </c>
      <c r="BG94" s="118">
        <f t="shared" si="87"/>
        <v>2027</v>
      </c>
      <c r="BH94" s="118">
        <f t="shared" si="87"/>
        <v>2170</v>
      </c>
      <c r="BI94" s="401">
        <f t="shared" si="87"/>
        <v>8336</v>
      </c>
      <c r="BJ94" s="971">
        <f>BJ174</f>
        <v>1910</v>
      </c>
      <c r="BK94" s="118">
        <f>BK91-BK95</f>
        <v>2234.3257556849999</v>
      </c>
      <c r="BL94" s="118">
        <f>BL91-BL95</f>
        <v>2050.9173386640005</v>
      </c>
      <c r="BM94" s="118">
        <f>BM91-BM95</f>
        <v>2195.6811456839996</v>
      </c>
      <c r="BN94" s="401">
        <f>SUM(BJ94,BK94,BL94,BM94)</f>
        <v>8390.9242400330004</v>
      </c>
      <c r="BO94" s="118">
        <f>BO91-BO95</f>
        <v>2020.9209434520003</v>
      </c>
      <c r="BP94" s="118">
        <f>BP91-BP95</f>
        <v>2364.0276906182744</v>
      </c>
      <c r="BQ94" s="118">
        <f>BQ91-BQ95</f>
        <v>2169.9007652418913</v>
      </c>
      <c r="BR94" s="118">
        <f>BR91-BR95</f>
        <v>2323.1444130493933</v>
      </c>
      <c r="BS94" s="401">
        <f>SUM(BO94,BP94,BQ94,BR94)</f>
        <v>8877.9938123615593</v>
      </c>
      <c r="BT94" s="401">
        <f>BT91-BT95</f>
        <v>9485.3486601443983</v>
      </c>
      <c r="BU94" s="401">
        <f>BU91-BU95</f>
        <v>10134.168232983044</v>
      </c>
      <c r="BV94" s="401">
        <f>BV91-BV95</f>
        <v>10827.277001390063</v>
      </c>
      <c r="BW94" s="122"/>
    </row>
    <row r="95" spans="1:75" s="198" customFormat="1" ht="14.25" collapsed="1" x14ac:dyDescent="0.45">
      <c r="A95" s="192" t="s">
        <v>704</v>
      </c>
      <c r="B95" s="495"/>
      <c r="C95" s="518"/>
      <c r="D95" s="518"/>
      <c r="E95" s="518">
        <f t="shared" ref="E95:BI95" si="88">E91-E94</f>
        <v>131.512</v>
      </c>
      <c r="F95" s="518">
        <f t="shared" si="88"/>
        <v>145.149</v>
      </c>
      <c r="G95" s="327">
        <f t="shared" si="88"/>
        <v>44.032999999999987</v>
      </c>
      <c r="H95" s="327">
        <f t="shared" si="88"/>
        <v>50.838000000000022</v>
      </c>
      <c r="I95" s="327">
        <f t="shared" si="88"/>
        <v>58.645999999999987</v>
      </c>
      <c r="J95" s="327">
        <f t="shared" si="88"/>
        <v>70.72399999999999</v>
      </c>
      <c r="K95" s="518">
        <f t="shared" si="88"/>
        <v>224.24099999999999</v>
      </c>
      <c r="L95" s="327">
        <f t="shared" si="88"/>
        <v>65.206999999999994</v>
      </c>
      <c r="M95" s="327">
        <f t="shared" si="88"/>
        <v>68.454000000000008</v>
      </c>
      <c r="N95" s="327">
        <f t="shared" si="88"/>
        <v>79.026999999999987</v>
      </c>
      <c r="O95" s="327">
        <f t="shared" si="88"/>
        <v>98.410000000000025</v>
      </c>
      <c r="P95" s="518">
        <f t="shared" si="88"/>
        <v>311.09800000000007</v>
      </c>
      <c r="Q95" s="327">
        <f t="shared" si="88"/>
        <v>102.83499999999998</v>
      </c>
      <c r="R95" s="327">
        <f t="shared" si="88"/>
        <v>120.80099999999999</v>
      </c>
      <c r="S95" s="327">
        <f t="shared" si="88"/>
        <v>141.38599999999997</v>
      </c>
      <c r="T95" s="327">
        <f t="shared" si="88"/>
        <v>175.702</v>
      </c>
      <c r="U95" s="518">
        <f t="shared" si="88"/>
        <v>540.72400000000016</v>
      </c>
      <c r="V95" s="327">
        <f t="shared" si="88"/>
        <v>179.05599999999993</v>
      </c>
      <c r="W95" s="327">
        <f t="shared" si="88"/>
        <v>188.51400000000001</v>
      </c>
      <c r="X95" s="327">
        <f t="shared" si="88"/>
        <v>201.66099999999994</v>
      </c>
      <c r="Y95" s="327">
        <f t="shared" si="88"/>
        <v>238.57999999999993</v>
      </c>
      <c r="Z95" s="518">
        <f t="shared" si="88"/>
        <v>807.81100000000015</v>
      </c>
      <c r="AA95" s="327">
        <f t="shared" si="88"/>
        <v>236.88300000000004</v>
      </c>
      <c r="AB95" s="327">
        <f t="shared" si="88"/>
        <v>269.46600000000001</v>
      </c>
      <c r="AC95" s="327">
        <f t="shared" si="88"/>
        <v>280.30900000000008</v>
      </c>
      <c r="AD95" s="327">
        <f t="shared" si="88"/>
        <v>332.16500000000042</v>
      </c>
      <c r="AE95" s="518">
        <f t="shared" si="88"/>
        <v>1118.8230000000003</v>
      </c>
      <c r="AF95" s="327">
        <f t="shared" si="88"/>
        <v>323.82400000000007</v>
      </c>
      <c r="AG95" s="327">
        <f t="shared" si="88"/>
        <v>385.00700000000006</v>
      </c>
      <c r="AH95" s="327">
        <f t="shared" si="88"/>
        <v>392.77</v>
      </c>
      <c r="AI95" s="327">
        <f t="shared" si="88"/>
        <v>485.12199999999984</v>
      </c>
      <c r="AJ95" s="518">
        <f t="shared" si="88"/>
        <v>1586.723</v>
      </c>
      <c r="AK95" s="327">
        <f t="shared" si="88"/>
        <v>470.4559999999999</v>
      </c>
      <c r="AL95" s="327">
        <f t="shared" si="88"/>
        <v>559.60000000000014</v>
      </c>
      <c r="AM95" s="327">
        <f t="shared" si="88"/>
        <v>539.92100000000005</v>
      </c>
      <c r="AN95" s="327">
        <f t="shared" si="88"/>
        <v>577.35500000000047</v>
      </c>
      <c r="AO95" s="518">
        <f t="shared" si="88"/>
        <v>2147.3320000000003</v>
      </c>
      <c r="AP95" s="327">
        <f t="shared" si="88"/>
        <v>579.12300000000005</v>
      </c>
      <c r="AQ95" s="327">
        <f t="shared" si="88"/>
        <v>1321.0299999999997</v>
      </c>
      <c r="AR95" s="327">
        <f t="shared" si="88"/>
        <v>1147.4280000000003</v>
      </c>
      <c r="AS95" s="327">
        <f t="shared" si="88"/>
        <v>1064.5900000000001</v>
      </c>
      <c r="AT95" s="518">
        <f t="shared" si="88"/>
        <v>4112.1710000000003</v>
      </c>
      <c r="AU95" s="327">
        <f t="shared" si="88"/>
        <v>1003.027</v>
      </c>
      <c r="AV95" s="327">
        <f t="shared" si="88"/>
        <v>1128.0600000000004</v>
      </c>
      <c r="AW95" s="327">
        <f t="shared" si="88"/>
        <v>882.72800000000007</v>
      </c>
      <c r="AX95" s="327">
        <f t="shared" si="88"/>
        <v>881.18499999999949</v>
      </c>
      <c r="AY95" s="518">
        <f t="shared" si="88"/>
        <v>3895</v>
      </c>
      <c r="AZ95" s="327">
        <f t="shared" si="88"/>
        <v>803</v>
      </c>
      <c r="BA95" s="327">
        <f t="shared" si="88"/>
        <v>896</v>
      </c>
      <c r="BB95" s="327">
        <f t="shared" si="88"/>
        <v>824</v>
      </c>
      <c r="BC95" s="327">
        <f t="shared" si="88"/>
        <v>893</v>
      </c>
      <c r="BD95" s="518">
        <f t="shared" si="88"/>
        <v>3416</v>
      </c>
      <c r="BE95" s="327">
        <f t="shared" si="88"/>
        <v>821</v>
      </c>
      <c r="BF95" s="327">
        <f t="shared" si="88"/>
        <v>985</v>
      </c>
      <c r="BG95" s="327">
        <f t="shared" si="88"/>
        <v>917</v>
      </c>
      <c r="BH95" s="327">
        <f t="shared" si="88"/>
        <v>944</v>
      </c>
      <c r="BI95" s="518">
        <f t="shared" si="88"/>
        <v>3667</v>
      </c>
      <c r="BJ95" s="1026">
        <f>BJ91-BJ94</f>
        <v>819</v>
      </c>
      <c r="BK95" s="327">
        <f>BK97*BK91</f>
        <v>983.43698131500003</v>
      </c>
      <c r="BL95" s="327">
        <f>BL97*BL91</f>
        <v>936.49782933600034</v>
      </c>
      <c r="BM95" s="327">
        <f>BM97*BM91</f>
        <v>964.24101231600002</v>
      </c>
      <c r="BN95" s="518">
        <f>BN91-BN94</f>
        <v>3703.1758229669995</v>
      </c>
      <c r="BO95" s="327">
        <f>BO97*BO91</f>
        <v>874.83733054800007</v>
      </c>
      <c r="BP95" s="327">
        <f>BP97*BP91</f>
        <v>1050.3596561888492</v>
      </c>
      <c r="BQ95" s="327">
        <f>BQ97*BQ91</f>
        <v>1000.0633940139176</v>
      </c>
      <c r="BR95" s="327">
        <f>BR97*BR91</f>
        <v>1029.8679483373553</v>
      </c>
      <c r="BS95" s="518">
        <f>BS91-BS94</f>
        <v>3955.128329088122</v>
      </c>
      <c r="BT95" s="518">
        <f>BT97*BT91</f>
        <v>4265.4572125182094</v>
      </c>
      <c r="BU95" s="518">
        <f>BU97*BU91</f>
        <v>4599.944016827797</v>
      </c>
      <c r="BV95" s="518">
        <f>BV97*BV91</f>
        <v>4960.4568812925008</v>
      </c>
      <c r="BW95" s="197"/>
    </row>
    <row r="96" spans="1:75" s="177" customFormat="1" ht="14.25" x14ac:dyDescent="0.45">
      <c r="A96" s="170" t="s">
        <v>2248</v>
      </c>
      <c r="B96" s="491"/>
      <c r="C96" s="417"/>
      <c r="D96" s="417"/>
      <c r="E96" s="417"/>
      <c r="F96" s="417">
        <f>F95/E95-1</f>
        <v>0.10369395948658688</v>
      </c>
      <c r="G96" s="378"/>
      <c r="H96" s="378"/>
      <c r="I96" s="378"/>
      <c r="J96" s="378"/>
      <c r="K96" s="417">
        <f t="shared" ref="K96:BS96" si="89">K95/F95-1</f>
        <v>0.5449021350474339</v>
      </c>
      <c r="L96" s="378">
        <f t="shared" si="89"/>
        <v>0.48086662276020298</v>
      </c>
      <c r="M96" s="378">
        <f t="shared" si="89"/>
        <v>0.34651245131594433</v>
      </c>
      <c r="N96" s="378">
        <f t="shared" si="89"/>
        <v>0.34752583296388506</v>
      </c>
      <c r="O96" s="378">
        <f t="shared" si="89"/>
        <v>0.39146541485210173</v>
      </c>
      <c r="P96" s="417">
        <f t="shared" si="89"/>
        <v>0.38733773038828789</v>
      </c>
      <c r="Q96" s="378">
        <f t="shared" si="89"/>
        <v>0.57705461070130482</v>
      </c>
      <c r="R96" s="378">
        <f t="shared" si="89"/>
        <v>0.76470330440879963</v>
      </c>
      <c r="S96" s="378">
        <f t="shared" si="89"/>
        <v>0.78908474318903665</v>
      </c>
      <c r="T96" s="378">
        <f t="shared" si="89"/>
        <v>0.78540798699319136</v>
      </c>
      <c r="U96" s="417">
        <f t="shared" si="89"/>
        <v>0.73811467768998851</v>
      </c>
      <c r="V96" s="378">
        <f t="shared" si="89"/>
        <v>0.74119706325667289</v>
      </c>
      <c r="W96" s="378">
        <f t="shared" si="89"/>
        <v>0.56053343929272126</v>
      </c>
      <c r="X96" s="378">
        <f t="shared" si="89"/>
        <v>0.42631519386643646</v>
      </c>
      <c r="Y96" s="378">
        <f t="shared" si="89"/>
        <v>0.3578672980387243</v>
      </c>
      <c r="Z96" s="417">
        <f t="shared" si="89"/>
        <v>0.49394330564206501</v>
      </c>
      <c r="AA96" s="378">
        <f t="shared" si="89"/>
        <v>0.3229548297739262</v>
      </c>
      <c r="AB96" s="378">
        <f t="shared" si="89"/>
        <v>0.42942168751392473</v>
      </c>
      <c r="AC96" s="378">
        <f t="shared" si="89"/>
        <v>0.39000104135157598</v>
      </c>
      <c r="AD96" s="378">
        <f t="shared" si="89"/>
        <v>0.39225836197502106</v>
      </c>
      <c r="AE96" s="417">
        <f t="shared" si="89"/>
        <v>0.38500589865698798</v>
      </c>
      <c r="AF96" s="378">
        <f t="shared" si="89"/>
        <v>0.36702084995546325</v>
      </c>
      <c r="AG96" s="378">
        <f t="shared" si="89"/>
        <v>0.42877765655036271</v>
      </c>
      <c r="AH96" s="378">
        <f t="shared" si="89"/>
        <v>0.4012036716623435</v>
      </c>
      <c r="AI96" s="378">
        <f t="shared" si="89"/>
        <v>0.4604849999247338</v>
      </c>
      <c r="AJ96" s="417">
        <f t="shared" si="89"/>
        <v>0.41820734825794559</v>
      </c>
      <c r="AK96" s="378">
        <f t="shared" si="89"/>
        <v>0.45281387420327035</v>
      </c>
      <c r="AL96" s="378">
        <f t="shared" si="89"/>
        <v>0.45348006659619178</v>
      </c>
      <c r="AM96" s="378">
        <f t="shared" si="89"/>
        <v>0.37464928584158685</v>
      </c>
      <c r="AN96" s="378">
        <f t="shared" si="89"/>
        <v>0.19012330918820552</v>
      </c>
      <c r="AO96" s="417">
        <f t="shared" si="89"/>
        <v>0.35331245592330895</v>
      </c>
      <c r="AP96" s="378">
        <f t="shared" si="89"/>
        <v>0.23098228102096718</v>
      </c>
      <c r="AQ96" s="378">
        <f t="shared" si="89"/>
        <v>1.3606683345246595</v>
      </c>
      <c r="AR96" s="378">
        <f t="shared" si="89"/>
        <v>1.1251775722744628</v>
      </c>
      <c r="AS96" s="378">
        <f t="shared" si="89"/>
        <v>0.84390886023330403</v>
      </c>
      <c r="AT96" s="417">
        <f t="shared" si="89"/>
        <v>0.91501407327790929</v>
      </c>
      <c r="AU96" s="378">
        <f t="shared" si="89"/>
        <v>0.73197576335251746</v>
      </c>
      <c r="AV96" s="378">
        <f t="shared" si="89"/>
        <v>-0.14607541085365161</v>
      </c>
      <c r="AW96" s="378">
        <f t="shared" si="89"/>
        <v>-0.23068985592124314</v>
      </c>
      <c r="AX96" s="378">
        <f t="shared" si="89"/>
        <v>-0.17227759043387658</v>
      </c>
      <c r="AY96" s="417">
        <f t="shared" si="89"/>
        <v>-5.2811762934955819E-2</v>
      </c>
      <c r="AZ96" s="378">
        <f t="shared" si="89"/>
        <v>-0.19942334553307139</v>
      </c>
      <c r="BA96" s="378">
        <f t="shared" si="89"/>
        <v>-0.20571600801375844</v>
      </c>
      <c r="BB96" s="378">
        <f t="shared" si="89"/>
        <v>-6.6530120263546766E-2</v>
      </c>
      <c r="BC96" s="378">
        <f t="shared" si="89"/>
        <v>1.3408081163433838E-2</v>
      </c>
      <c r="BD96" s="417">
        <f t="shared" si="89"/>
        <v>-0.12297817715019255</v>
      </c>
      <c r="BE96" s="378">
        <f t="shared" si="89"/>
        <v>2.2415940224159492E-2</v>
      </c>
      <c r="BF96" s="378">
        <f t="shared" si="89"/>
        <v>9.9330357142857206E-2</v>
      </c>
      <c r="BG96" s="378">
        <f t="shared" si="89"/>
        <v>0.11286407766990281</v>
      </c>
      <c r="BH96" s="378">
        <f t="shared" si="89"/>
        <v>5.7110862262037987E-2</v>
      </c>
      <c r="BI96" s="417">
        <f t="shared" si="89"/>
        <v>7.3477751756440224E-2</v>
      </c>
      <c r="BJ96" s="1130">
        <f>BJ95/BE95-1</f>
        <v>-2.4360535931789995E-3</v>
      </c>
      <c r="BK96" s="378">
        <f t="shared" si="89"/>
        <v>-1.5868209999999605E-3</v>
      </c>
      <c r="BL96" s="378">
        <f t="shared" si="89"/>
        <v>2.1262627411123614E-2</v>
      </c>
      <c r="BM96" s="378">
        <f t="shared" si="89"/>
        <v>2.1441750334745713E-2</v>
      </c>
      <c r="BN96" s="417">
        <f t="shared" si="89"/>
        <v>9.8652366967546534E-3</v>
      </c>
      <c r="BO96" s="378">
        <f t="shared" si="89"/>
        <v>6.8177448776556959E-2</v>
      </c>
      <c r="BP96" s="378">
        <f t="shared" si="89"/>
        <v>6.8049784729839802E-2</v>
      </c>
      <c r="BQ96" s="378">
        <f t="shared" si="89"/>
        <v>6.7875827029932001E-2</v>
      </c>
      <c r="BR96" s="378">
        <f t="shared" si="89"/>
        <v>6.8060718412844334E-2</v>
      </c>
      <c r="BS96" s="417">
        <f t="shared" si="89"/>
        <v>6.8036873798570374E-2</v>
      </c>
      <c r="BT96" s="417">
        <f>BT95/BS95-1</f>
        <v>7.8462405669055935E-2</v>
      </c>
      <c r="BU96" s="417">
        <f>BU95/BT95-1</f>
        <v>7.8417573461513124E-2</v>
      </c>
      <c r="BV96" s="417">
        <f>BV95/BU95-1</f>
        <v>7.8373315663376353E-2</v>
      </c>
      <c r="BW96" s="176"/>
    </row>
    <row r="97" spans="1:75" s="217" customFormat="1" x14ac:dyDescent="0.5">
      <c r="A97" s="211" t="s">
        <v>2249</v>
      </c>
      <c r="B97" s="493"/>
      <c r="C97" s="423"/>
      <c r="D97" s="423"/>
      <c r="E97" s="423">
        <f>E95/E91</f>
        <v>0.25421002984520696</v>
      </c>
      <c r="F97" s="423">
        <f>F95/F91</f>
        <v>0.24150122789620448</v>
      </c>
      <c r="G97" s="422">
        <f t="shared" ref="G97:BJ97" si="90">G95/G91</f>
        <v>0.24485767192530758</v>
      </c>
      <c r="H97" s="422">
        <f t="shared" si="90"/>
        <v>0.24996926889471288</v>
      </c>
      <c r="I97" s="422">
        <f t="shared" si="90"/>
        <v>0.24713656016384181</v>
      </c>
      <c r="J97" s="422">
        <f t="shared" si="90"/>
        <v>0.23947205358019591</v>
      </c>
      <c r="K97" s="423">
        <f t="shared" si="90"/>
        <v>0.24484655121019649</v>
      </c>
      <c r="L97" s="422">
        <f t="shared" si="90"/>
        <v>0.23396254848281528</v>
      </c>
      <c r="M97" s="422">
        <f t="shared" si="90"/>
        <v>0.23170422120452078</v>
      </c>
      <c r="N97" s="422">
        <f t="shared" si="90"/>
        <v>0.23506787868692514</v>
      </c>
      <c r="O97" s="422">
        <f t="shared" si="90"/>
        <v>0.24083559501638449</v>
      </c>
      <c r="P97" s="423">
        <f t="shared" si="90"/>
        <v>0.23586774641362723</v>
      </c>
      <c r="Q97" s="422">
        <f t="shared" si="90"/>
        <v>0.24232334443211243</v>
      </c>
      <c r="R97" s="422">
        <f t="shared" si="90"/>
        <v>0.24565431355642678</v>
      </c>
      <c r="S97" s="422">
        <f t="shared" si="90"/>
        <v>0.2380347895186978</v>
      </c>
      <c r="T97" s="422">
        <f t="shared" si="90"/>
        <v>0.23750253450303466</v>
      </c>
      <c r="U97" s="423">
        <f t="shared" si="90"/>
        <v>0.2403340615186999</v>
      </c>
      <c r="V97" s="422">
        <f t="shared" si="90"/>
        <v>0.23958851833416284</v>
      </c>
      <c r="W97" s="422">
        <f t="shared" si="90"/>
        <v>0.23955685907732349</v>
      </c>
      <c r="X97" s="422">
        <f t="shared" si="90"/>
        <v>0.23407446098488141</v>
      </c>
      <c r="Y97" s="422">
        <f t="shared" si="90"/>
        <v>0.24232168920298319</v>
      </c>
      <c r="Z97" s="423">
        <f t="shared" si="90"/>
        <v>0.23897188465133895</v>
      </c>
      <c r="AA97" s="422">
        <f t="shared" si="90"/>
        <v>0.24654125361017878</v>
      </c>
      <c r="AB97" s="422">
        <f t="shared" si="90"/>
        <v>0.23998268700527942</v>
      </c>
      <c r="AC97" s="422">
        <f t="shared" si="90"/>
        <v>0.23394213644155645</v>
      </c>
      <c r="AD97" s="422">
        <f t="shared" si="90"/>
        <v>0.23082787126758861</v>
      </c>
      <c r="AE97" s="423">
        <f t="shared" si="90"/>
        <v>0.23699383273722466</v>
      </c>
      <c r="AF97" s="422">
        <f t="shared" si="90"/>
        <v>0.23059969279390208</v>
      </c>
      <c r="AG97" s="422">
        <f t="shared" si="90"/>
        <v>0.23259664970252339</v>
      </c>
      <c r="AH97" s="422">
        <f t="shared" si="90"/>
        <v>0.23027652295759082</v>
      </c>
      <c r="AI97" s="422">
        <f t="shared" si="90"/>
        <v>0.24087439746892253</v>
      </c>
      <c r="AJ97" s="423">
        <f t="shared" si="90"/>
        <v>0.23405845608919315</v>
      </c>
      <c r="AK97" s="422">
        <f t="shared" si="90"/>
        <v>0.24190095890178515</v>
      </c>
      <c r="AL97" s="422">
        <f t="shared" si="90"/>
        <v>0.23881351165538822</v>
      </c>
      <c r="AM97" s="422">
        <f t="shared" si="90"/>
        <v>0.23418956602227645</v>
      </c>
      <c r="AN97" s="422">
        <f t="shared" si="90"/>
        <v>0.22788919632601681</v>
      </c>
      <c r="AO97" s="423">
        <f t="shared" si="90"/>
        <v>0.23527101890565602</v>
      </c>
      <c r="AP97" s="422">
        <f t="shared" si="90"/>
        <v>0.24854392349048074</v>
      </c>
      <c r="AQ97" s="422">
        <f t="shared" si="90"/>
        <v>0.30688284728778403</v>
      </c>
      <c r="AR97" s="422">
        <f t="shared" si="90"/>
        <v>0.29884283917209487</v>
      </c>
      <c r="AS97" s="422">
        <f t="shared" si="90"/>
        <v>0.290011771112475</v>
      </c>
      <c r="AT97" s="423">
        <f t="shared" si="90"/>
        <v>0.29071231169171979</v>
      </c>
      <c r="AU97" s="422">
        <f t="shared" si="90"/>
        <v>0.28843186433542545</v>
      </c>
      <c r="AV97" s="422">
        <f t="shared" si="90"/>
        <v>0.2924233712651253</v>
      </c>
      <c r="AW97" s="422">
        <f t="shared" si="90"/>
        <v>0.28282746726056307</v>
      </c>
      <c r="AX97" s="422">
        <f t="shared" si="90"/>
        <v>0.27098601286129126</v>
      </c>
      <c r="AY97" s="423">
        <f t="shared" si="90"/>
        <v>0.2841406477969069</v>
      </c>
      <c r="AZ97" s="422">
        <f t="shared" si="90"/>
        <v>0.26829268292682928</v>
      </c>
      <c r="BA97" s="422">
        <f t="shared" si="90"/>
        <v>0.27283800243605361</v>
      </c>
      <c r="BB97" s="422">
        <f t="shared" si="90"/>
        <v>0.29014084507042254</v>
      </c>
      <c r="BC97" s="422">
        <f t="shared" si="90"/>
        <v>0.28797162205740084</v>
      </c>
      <c r="BD97" s="423">
        <f t="shared" si="90"/>
        <v>0.27958749386151582</v>
      </c>
      <c r="BE97" s="422">
        <f t="shared" si="90"/>
        <v>0.29596250901225668</v>
      </c>
      <c r="BF97" s="422">
        <f t="shared" si="90"/>
        <v>0.31062756228319144</v>
      </c>
      <c r="BG97" s="422">
        <f t="shared" si="90"/>
        <v>0.31148097826086957</v>
      </c>
      <c r="BH97" s="422">
        <f t="shared" si="90"/>
        <v>0.3031470777135517</v>
      </c>
      <c r="BI97" s="423">
        <f t="shared" si="90"/>
        <v>0.30550695659418481</v>
      </c>
      <c r="BJ97" s="1034">
        <f t="shared" si="90"/>
        <v>0.30010993037742761</v>
      </c>
      <c r="BK97" s="422">
        <f>BF97+(BK100/10000)</f>
        <v>0.30562756228319143</v>
      </c>
      <c r="BL97" s="422">
        <f>BG97+(BL100/10000)</f>
        <v>0.31348097826086957</v>
      </c>
      <c r="BM97" s="422">
        <f>BH97+(BM100/10000)</f>
        <v>0.30514707771355171</v>
      </c>
      <c r="BN97" s="423">
        <f>BN95/BN91</f>
        <v>0.30619688969634745</v>
      </c>
      <c r="BO97" s="422">
        <f>BJ97+(BO100/10000)</f>
        <v>0.30210993037742762</v>
      </c>
      <c r="BP97" s="422">
        <f>BK97+(BP100/10000)</f>
        <v>0.30762756228319144</v>
      </c>
      <c r="BQ97" s="422">
        <f>BL97+(BQ100/10000)</f>
        <v>0.31548097826086957</v>
      </c>
      <c r="BR97" s="422">
        <f>BM97+(BR100/10000)</f>
        <v>0.30714707771355171</v>
      </c>
      <c r="BS97" s="423">
        <f>BS95/BS91</f>
        <v>0.30819688969634745</v>
      </c>
      <c r="BT97" s="423">
        <f>BS97+(BT100/10000)</f>
        <v>0.31019688969634746</v>
      </c>
      <c r="BU97" s="423">
        <f>BT97+(BU100/10000)</f>
        <v>0.31219688969634746</v>
      </c>
      <c r="BV97" s="423">
        <f>BU97+(BV100/10000)</f>
        <v>0.31419688969634746</v>
      </c>
      <c r="BW97" s="216"/>
    </row>
    <row r="98" spans="1:75" s="177" customFormat="1" ht="14.25" x14ac:dyDescent="0.45">
      <c r="A98" s="170" t="str">
        <f>A157</f>
        <v>Consensus Estimates - Gross Margin, %</v>
      </c>
      <c r="B98" s="491"/>
      <c r="C98" s="417"/>
      <c r="D98" s="417"/>
      <c r="E98" s="417"/>
      <c r="F98" s="417"/>
      <c r="G98" s="378"/>
      <c r="H98" s="378"/>
      <c r="I98" s="378"/>
      <c r="J98" s="378"/>
      <c r="K98" s="417"/>
      <c r="L98" s="378"/>
      <c r="M98" s="378"/>
      <c r="N98" s="378"/>
      <c r="O98" s="378"/>
      <c r="P98" s="417"/>
      <c r="Q98" s="378"/>
      <c r="R98" s="378"/>
      <c r="S98" s="378"/>
      <c r="T98" s="378"/>
      <c r="U98" s="417"/>
      <c r="V98" s="378"/>
      <c r="W98" s="378"/>
      <c r="X98" s="378"/>
      <c r="Y98" s="378"/>
      <c r="Z98" s="417"/>
      <c r="AA98" s="378"/>
      <c r="AB98" s="378"/>
      <c r="AC98" s="378"/>
      <c r="AD98" s="378"/>
      <c r="AE98" s="417"/>
      <c r="AF98" s="378"/>
      <c r="AG98" s="378"/>
      <c r="AH98" s="378"/>
      <c r="AI98" s="378"/>
      <c r="AJ98" s="417"/>
      <c r="AK98" s="378"/>
      <c r="AL98" s="378"/>
      <c r="AM98" s="378"/>
      <c r="AN98" s="378"/>
      <c r="AO98" s="417"/>
      <c r="AP98" s="378"/>
      <c r="AQ98" s="378"/>
      <c r="AR98" s="378"/>
      <c r="AS98" s="378"/>
      <c r="AT98" s="417"/>
      <c r="AU98" s="378"/>
      <c r="AV98" s="378"/>
      <c r="AW98" s="378"/>
      <c r="AX98" s="378"/>
      <c r="AY98" s="417"/>
      <c r="AZ98" s="378"/>
      <c r="BA98" s="378"/>
      <c r="BB98" s="378"/>
      <c r="BC98" s="378"/>
      <c r="BD98" s="417"/>
      <c r="BE98" s="378"/>
      <c r="BF98" s="378"/>
      <c r="BG98" s="378"/>
      <c r="BH98" s="378"/>
      <c r="BI98" s="417"/>
      <c r="BJ98" s="1130"/>
      <c r="BK98" s="378" t="str">
        <f ca="1">BK157</f>
        <v>-</v>
      </c>
      <c r="BL98" s="378" t="str">
        <f ca="1">BL157</f>
        <v>-</v>
      </c>
      <c r="BM98" s="378" t="str">
        <f ca="1">BM157</f>
        <v>-</v>
      </c>
      <c r="BN98" s="417" t="str">
        <f t="shared" ref="BN98:BV98" ca="1" si="91">BN157</f>
        <v>-</v>
      </c>
      <c r="BO98" s="378" t="str">
        <f t="shared" ca="1" si="91"/>
        <v>-</v>
      </c>
      <c r="BP98" s="378" t="str">
        <f t="shared" ca="1" si="91"/>
        <v>-</v>
      </c>
      <c r="BQ98" s="378" t="str">
        <f t="shared" ca="1" si="91"/>
        <v>-</v>
      </c>
      <c r="BR98" s="378" t="str">
        <f t="shared" ca="1" si="91"/>
        <v>-</v>
      </c>
      <c r="BS98" s="417" t="str">
        <f t="shared" ca="1" si="91"/>
        <v>-</v>
      </c>
      <c r="BT98" s="417" t="str">
        <f t="shared" ca="1" si="91"/>
        <v>-</v>
      </c>
      <c r="BU98" s="417" t="str">
        <f t="shared" ca="1" si="91"/>
        <v>-</v>
      </c>
      <c r="BV98" s="417" t="str">
        <f t="shared" ca="1" si="91"/>
        <v>-</v>
      </c>
      <c r="BW98" s="176"/>
    </row>
    <row r="99" spans="1:75" s="177" customFormat="1" ht="14.25" x14ac:dyDescent="0.45">
      <c r="A99" s="170" t="s">
        <v>2251</v>
      </c>
      <c r="B99" s="491"/>
      <c r="C99" s="417"/>
      <c r="D99" s="417"/>
      <c r="E99" s="417"/>
      <c r="F99" s="417"/>
      <c r="G99" s="378" t="str">
        <f t="shared" ref="G99:BR99" si="92">G571</f>
        <v/>
      </c>
      <c r="H99" s="378" t="str">
        <f t="shared" si="92"/>
        <v/>
      </c>
      <c r="I99" s="378" t="str">
        <f t="shared" si="92"/>
        <v/>
      </c>
      <c r="J99" s="378" t="str">
        <f t="shared" si="92"/>
        <v/>
      </c>
      <c r="K99" s="417" t="str">
        <f t="shared" si="92"/>
        <v/>
      </c>
      <c r="L99" s="378" t="str">
        <f t="shared" si="92"/>
        <v/>
      </c>
      <c r="M99" s="378" t="str">
        <f t="shared" si="92"/>
        <v/>
      </c>
      <c r="N99" s="378" t="str">
        <f t="shared" si="92"/>
        <v/>
      </c>
      <c r="O99" s="378" t="str">
        <f t="shared" si="92"/>
        <v/>
      </c>
      <c r="P99" s="417" t="str">
        <f t="shared" si="92"/>
        <v/>
      </c>
      <c r="Q99" s="378" t="str">
        <f t="shared" si="92"/>
        <v/>
      </c>
      <c r="R99" s="378" t="str">
        <f t="shared" si="92"/>
        <v/>
      </c>
      <c r="S99" s="378" t="str">
        <f t="shared" si="92"/>
        <v/>
      </c>
      <c r="T99" s="378" t="str">
        <f t="shared" si="92"/>
        <v/>
      </c>
      <c r="U99" s="417" t="str">
        <f t="shared" si="92"/>
        <v/>
      </c>
      <c r="V99" s="378" t="str">
        <f t="shared" si="92"/>
        <v/>
      </c>
      <c r="W99" s="378" t="str">
        <f t="shared" si="92"/>
        <v/>
      </c>
      <c r="X99" s="378" t="str">
        <f t="shared" si="92"/>
        <v/>
      </c>
      <c r="Y99" s="378" t="str">
        <f t="shared" si="92"/>
        <v/>
      </c>
      <c r="Z99" s="417" t="str">
        <f t="shared" si="92"/>
        <v/>
      </c>
      <c r="AA99" s="378" t="str">
        <f t="shared" si="92"/>
        <v/>
      </c>
      <c r="AB99" s="378" t="str">
        <f t="shared" si="92"/>
        <v/>
      </c>
      <c r="AC99" s="378" t="str">
        <f t="shared" si="92"/>
        <v/>
      </c>
      <c r="AD99" s="378" t="str">
        <f t="shared" si="92"/>
        <v/>
      </c>
      <c r="AE99" s="417" t="str">
        <f t="shared" si="92"/>
        <v/>
      </c>
      <c r="AF99" s="378" t="str">
        <f t="shared" si="92"/>
        <v/>
      </c>
      <c r="AG99" s="378" t="str">
        <f t="shared" si="92"/>
        <v/>
      </c>
      <c r="AH99" s="378" t="str">
        <f t="shared" si="92"/>
        <v/>
      </c>
      <c r="AI99" s="378" t="str">
        <f t="shared" si="92"/>
        <v/>
      </c>
      <c r="AJ99" s="417" t="str">
        <f t="shared" si="92"/>
        <v/>
      </c>
      <c r="AK99" s="378">
        <f t="shared" si="92"/>
        <v>0.23499999999999999</v>
      </c>
      <c r="AL99" s="378" t="str">
        <f t="shared" si="92"/>
        <v/>
      </c>
      <c r="AM99" s="378" t="str">
        <f t="shared" si="92"/>
        <v/>
      </c>
      <c r="AN99" s="378" t="str">
        <f t="shared" si="92"/>
        <v/>
      </c>
      <c r="AO99" s="417" t="str">
        <f t="shared" si="92"/>
        <v/>
      </c>
      <c r="AP99" s="378">
        <f t="shared" si="92"/>
        <v>0.23499999999999999</v>
      </c>
      <c r="AQ99" s="378">
        <f t="shared" si="92"/>
        <v>0.26</v>
      </c>
      <c r="AR99" s="378">
        <f t="shared" si="92"/>
        <v>0.26500000000000001</v>
      </c>
      <c r="AS99" s="378">
        <f t="shared" si="92"/>
        <v>0.27</v>
      </c>
      <c r="AT99" s="417" t="str">
        <f t="shared" si="92"/>
        <v/>
      </c>
      <c r="AU99" s="378">
        <f t="shared" si="92"/>
        <v>0.27</v>
      </c>
      <c r="AV99" s="378">
        <f t="shared" si="92"/>
        <v>0.27500000000000002</v>
      </c>
      <c r="AW99" s="378">
        <f t="shared" si="92"/>
        <v>0.27500000000000002</v>
      </c>
      <c r="AX99" s="378">
        <f t="shared" si="92"/>
        <v>0.27500000000000002</v>
      </c>
      <c r="AY99" s="417" t="str">
        <f t="shared" si="92"/>
        <v/>
      </c>
      <c r="AZ99" s="378">
        <f t="shared" si="92"/>
        <v>0.27500000000000002</v>
      </c>
      <c r="BA99" s="378">
        <f t="shared" si="92"/>
        <v>0.27500000000000002</v>
      </c>
      <c r="BB99" s="378">
        <f t="shared" si="92"/>
        <v>0.27500000000000002</v>
      </c>
      <c r="BC99" s="378">
        <f t="shared" si="92"/>
        <v>0.28500000000000003</v>
      </c>
      <c r="BD99" s="417" t="str">
        <f t="shared" si="92"/>
        <v/>
      </c>
      <c r="BE99" s="378">
        <f t="shared" si="92"/>
        <v>0.28500000000000003</v>
      </c>
      <c r="BF99" s="378">
        <f t="shared" si="92"/>
        <v>0.29499999999999998</v>
      </c>
      <c r="BG99" s="378">
        <f t="shared" si="92"/>
        <v>0.3</v>
      </c>
      <c r="BH99" s="378">
        <f t="shared" si="92"/>
        <v>0.30499999999999999</v>
      </c>
      <c r="BI99" s="417" t="str">
        <f t="shared" si="92"/>
        <v/>
      </c>
      <c r="BJ99" s="1130">
        <f>BJ571</f>
        <v>0.30499999999999999</v>
      </c>
      <c r="BK99" s="378">
        <f t="shared" si="92"/>
        <v>0.30499999999999999</v>
      </c>
      <c r="BL99" s="378" t="str">
        <f t="shared" si="92"/>
        <v/>
      </c>
      <c r="BM99" s="378" t="str">
        <f t="shared" si="92"/>
        <v/>
      </c>
      <c r="BN99" s="417" t="str">
        <f t="shared" si="92"/>
        <v/>
      </c>
      <c r="BO99" s="378" t="str">
        <f t="shared" si="92"/>
        <v/>
      </c>
      <c r="BP99" s="378" t="str">
        <f t="shared" si="92"/>
        <v/>
      </c>
      <c r="BQ99" s="378" t="str">
        <f t="shared" si="92"/>
        <v/>
      </c>
      <c r="BR99" s="378" t="str">
        <f t="shared" si="92"/>
        <v/>
      </c>
      <c r="BS99" s="417" t="str">
        <f t="shared" ref="BS99:BZ99" si="93">BS571</f>
        <v/>
      </c>
      <c r="BT99" s="417">
        <f t="shared" si="93"/>
        <v>0</v>
      </c>
      <c r="BU99" s="417">
        <f t="shared" si="93"/>
        <v>0</v>
      </c>
      <c r="BV99" s="417">
        <f t="shared" si="93"/>
        <v>0</v>
      </c>
      <c r="BW99" s="176"/>
    </row>
    <row r="100" spans="1:75" s="224" customFormat="1" x14ac:dyDescent="0.5">
      <c r="A100" s="218" t="s">
        <v>2252</v>
      </c>
      <c r="B100" s="494"/>
      <c r="C100" s="425"/>
      <c r="D100" s="425"/>
      <c r="E100" s="425"/>
      <c r="F100" s="425">
        <f>(F97-E97)*10000</f>
        <v>-127.08801949002479</v>
      </c>
      <c r="G100" s="487"/>
      <c r="H100" s="487"/>
      <c r="I100" s="487"/>
      <c r="J100" s="487"/>
      <c r="K100" s="425">
        <f t="shared" ref="K100:BJ100" si="94">(K97-F97)*10000</f>
        <v>33.453233139920101</v>
      </c>
      <c r="L100" s="487">
        <f t="shared" si="94"/>
        <v>-108.95123442492299</v>
      </c>
      <c r="M100" s="487">
        <f t="shared" si="94"/>
        <v>-182.65047690192105</v>
      </c>
      <c r="N100" s="487">
        <f t="shared" si="94"/>
        <v>-120.6868147691667</v>
      </c>
      <c r="O100" s="487">
        <f t="shared" si="94"/>
        <v>13.635414361885811</v>
      </c>
      <c r="P100" s="425">
        <f t="shared" si="94"/>
        <v>-89.788047965692613</v>
      </c>
      <c r="Q100" s="487">
        <f t="shared" si="94"/>
        <v>83.607959492971446</v>
      </c>
      <c r="R100" s="487">
        <f t="shared" si="94"/>
        <v>139.50092351906002</v>
      </c>
      <c r="S100" s="487">
        <f t="shared" si="94"/>
        <v>29.669108317726678</v>
      </c>
      <c r="T100" s="487">
        <f t="shared" si="94"/>
        <v>-33.330605133498338</v>
      </c>
      <c r="U100" s="425">
        <f t="shared" si="94"/>
        <v>44.663151050726711</v>
      </c>
      <c r="V100" s="487">
        <f t="shared" si="94"/>
        <v>-27.348260979495887</v>
      </c>
      <c r="W100" s="487">
        <f t="shared" si="94"/>
        <v>-60.974544791032869</v>
      </c>
      <c r="X100" s="487">
        <f t="shared" si="94"/>
        <v>-39.603285338163928</v>
      </c>
      <c r="Y100" s="487">
        <f t="shared" si="94"/>
        <v>48.191546999485354</v>
      </c>
      <c r="Z100" s="425">
        <f t="shared" si="94"/>
        <v>-13.621768673609536</v>
      </c>
      <c r="AA100" s="487">
        <f t="shared" si="94"/>
        <v>69.527352760159474</v>
      </c>
      <c r="AB100" s="487">
        <f t="shared" si="94"/>
        <v>4.2582792795592406</v>
      </c>
      <c r="AC100" s="487">
        <f t="shared" si="94"/>
        <v>-1.3232454332495758</v>
      </c>
      <c r="AD100" s="487">
        <f t="shared" si="94"/>
        <v>-114.93817935394584</v>
      </c>
      <c r="AE100" s="425">
        <f t="shared" si="94"/>
        <v>-19.780519141142928</v>
      </c>
      <c r="AF100" s="487">
        <f t="shared" si="94"/>
        <v>-159.41560816276706</v>
      </c>
      <c r="AG100" s="487">
        <f t="shared" si="94"/>
        <v>-73.860373027560271</v>
      </c>
      <c r="AH100" s="487">
        <f t="shared" si="94"/>
        <v>-36.656134839656296</v>
      </c>
      <c r="AI100" s="487">
        <f t="shared" si="94"/>
        <v>100.46526201333921</v>
      </c>
      <c r="AJ100" s="425">
        <f t="shared" si="94"/>
        <v>-29.35376648031507</v>
      </c>
      <c r="AK100" s="487">
        <f t="shared" si="94"/>
        <v>113.01266107883067</v>
      </c>
      <c r="AL100" s="487">
        <f t="shared" si="94"/>
        <v>62.168619528648328</v>
      </c>
      <c r="AM100" s="487">
        <f t="shared" si="94"/>
        <v>39.130430646856226</v>
      </c>
      <c r="AN100" s="487">
        <f t="shared" si="94"/>
        <v>-129.85201142905717</v>
      </c>
      <c r="AO100" s="425">
        <f t="shared" si="94"/>
        <v>12.125628164628699</v>
      </c>
      <c r="AP100" s="487">
        <f t="shared" si="94"/>
        <v>66.429645886955939</v>
      </c>
      <c r="AQ100" s="487">
        <f t="shared" si="94"/>
        <v>680.69335632395814</v>
      </c>
      <c r="AR100" s="487">
        <f t="shared" si="94"/>
        <v>646.53273149818415</v>
      </c>
      <c r="AS100" s="487">
        <f t="shared" si="94"/>
        <v>621.22574786458188</v>
      </c>
      <c r="AT100" s="425">
        <f t="shared" si="94"/>
        <v>554.41292786063775</v>
      </c>
      <c r="AU100" s="487">
        <f t="shared" si="94"/>
        <v>398.87940844944706</v>
      </c>
      <c r="AV100" s="487">
        <f t="shared" si="94"/>
        <v>-144.59476022658734</v>
      </c>
      <c r="AW100" s="487">
        <f t="shared" si="94"/>
        <v>-160.15371911531795</v>
      </c>
      <c r="AX100" s="487">
        <f t="shared" si="94"/>
        <v>-190.25758251183746</v>
      </c>
      <c r="AY100" s="425">
        <f t="shared" si="94"/>
        <v>-65.71663894812896</v>
      </c>
      <c r="AZ100" s="487">
        <f t="shared" si="94"/>
        <v>-201.39181408596164</v>
      </c>
      <c r="BA100" s="487">
        <f t="shared" si="94"/>
        <v>-195.85368829071692</v>
      </c>
      <c r="BB100" s="487">
        <f t="shared" si="94"/>
        <v>73.133778098594675</v>
      </c>
      <c r="BC100" s="487">
        <f t="shared" si="94"/>
        <v>169.85609196109584</v>
      </c>
      <c r="BD100" s="425">
        <f t="shared" si="94"/>
        <v>-45.531539353910745</v>
      </c>
      <c r="BE100" s="487">
        <f t="shared" si="94"/>
        <v>276.69826085427394</v>
      </c>
      <c r="BF100" s="487">
        <f t="shared" si="94"/>
        <v>377.89559847137832</v>
      </c>
      <c r="BG100" s="487">
        <f t="shared" si="94"/>
        <v>213.40133190447031</v>
      </c>
      <c r="BH100" s="487">
        <f t="shared" si="94"/>
        <v>151.75455656150859</v>
      </c>
      <c r="BI100" s="425">
        <f t="shared" si="94"/>
        <v>259.19462732668984</v>
      </c>
      <c r="BJ100" s="981">
        <f t="shared" si="94"/>
        <v>41.474213651709334</v>
      </c>
      <c r="BK100" s="256">
        <v>-50</v>
      </c>
      <c r="BL100" s="256">
        <v>20</v>
      </c>
      <c r="BM100" s="256">
        <v>20</v>
      </c>
      <c r="BN100" s="425">
        <f>(BN97-BI97)*10000</f>
        <v>6.8993310216264314</v>
      </c>
      <c r="BO100" s="256">
        <v>20</v>
      </c>
      <c r="BP100" s="256">
        <v>20</v>
      </c>
      <c r="BQ100" s="256">
        <v>20</v>
      </c>
      <c r="BR100" s="256">
        <v>20</v>
      </c>
      <c r="BS100" s="425">
        <f>(BS97-BN97)*10000</f>
        <v>20.000000000000018</v>
      </c>
      <c r="BT100" s="427">
        <v>20</v>
      </c>
      <c r="BU100" s="427">
        <v>20</v>
      </c>
      <c r="BV100" s="427">
        <v>20</v>
      </c>
      <c r="BW100" s="223"/>
    </row>
    <row r="101" spans="1:75" ht="7.5" customHeight="1" x14ac:dyDescent="0.5">
      <c r="A101" s="752"/>
      <c r="B101" s="489"/>
      <c r="C101" s="401"/>
      <c r="D101" s="401"/>
      <c r="E101" s="401"/>
      <c r="F101" s="401"/>
      <c r="G101" s="118"/>
      <c r="H101" s="118"/>
      <c r="I101" s="118"/>
      <c r="J101" s="118"/>
      <c r="K101" s="401"/>
      <c r="L101" s="118"/>
      <c r="M101" s="118"/>
      <c r="N101" s="118"/>
      <c r="O101" s="118"/>
      <c r="P101" s="401"/>
      <c r="Q101" s="118"/>
      <c r="R101" s="118"/>
      <c r="S101" s="118"/>
      <c r="T101" s="118"/>
      <c r="U101" s="401"/>
      <c r="V101" s="118"/>
      <c r="W101" s="118"/>
      <c r="X101" s="118"/>
      <c r="Y101" s="118"/>
      <c r="Z101" s="401"/>
      <c r="AA101" s="118"/>
      <c r="AB101" s="118"/>
      <c r="AC101" s="118"/>
      <c r="AD101" s="118"/>
      <c r="AE101" s="401"/>
      <c r="AF101" s="118"/>
      <c r="AG101" s="118"/>
      <c r="AH101" s="118"/>
      <c r="AI101" s="118"/>
      <c r="AJ101" s="401"/>
      <c r="AK101" s="118"/>
      <c r="AL101" s="118"/>
      <c r="AM101" s="118"/>
      <c r="AN101" s="118"/>
      <c r="AO101" s="401"/>
      <c r="AP101" s="118"/>
      <c r="AQ101" s="118"/>
      <c r="AR101" s="118"/>
      <c r="AS101" s="118"/>
      <c r="AT101" s="401"/>
      <c r="AU101" s="118"/>
      <c r="AV101" s="118"/>
      <c r="AW101" s="118"/>
      <c r="AX101" s="118"/>
      <c r="AY101" s="401"/>
      <c r="AZ101" s="118"/>
      <c r="BA101" s="118"/>
      <c r="BB101" s="118"/>
      <c r="BC101" s="118"/>
      <c r="BD101" s="401"/>
      <c r="BE101" s="118"/>
      <c r="BF101" s="118"/>
      <c r="BG101" s="118"/>
      <c r="BH101" s="118"/>
      <c r="BI101" s="401"/>
      <c r="BJ101" s="971"/>
      <c r="BK101" s="118"/>
      <c r="BL101" s="118"/>
      <c r="BM101" s="118"/>
      <c r="BN101" s="401"/>
      <c r="BO101" s="118"/>
      <c r="BP101" s="118"/>
      <c r="BQ101" s="118"/>
      <c r="BR101" s="118"/>
      <c r="BS101" s="401"/>
      <c r="BT101" s="401"/>
      <c r="BU101" s="401"/>
      <c r="BV101" s="401"/>
      <c r="BW101" s="122"/>
    </row>
    <row r="102" spans="1:75" s="123" customFormat="1" x14ac:dyDescent="0.5">
      <c r="A102" s="752" t="s">
        <v>2253</v>
      </c>
      <c r="B102" s="489"/>
      <c r="C102" s="401"/>
      <c r="D102" s="401"/>
      <c r="E102" s="401">
        <f t="shared" ref="E102:BI102" si="95">E176+E177+E178+E179</f>
        <v>143.566</v>
      </c>
      <c r="F102" s="401">
        <f t="shared" si="95"/>
        <v>166.33100000000002</v>
      </c>
      <c r="G102" s="118">
        <f t="shared" si="95"/>
        <v>49.405999999999999</v>
      </c>
      <c r="H102" s="118">
        <f t="shared" si="95"/>
        <v>53.322000000000003</v>
      </c>
      <c r="I102" s="118">
        <f t="shared" si="95"/>
        <v>62.132000000000005</v>
      </c>
      <c r="J102" s="118">
        <f t="shared" si="95"/>
        <v>74.86099999999999</v>
      </c>
      <c r="K102" s="401">
        <f t="shared" si="95"/>
        <v>239.721</v>
      </c>
      <c r="L102" s="118">
        <f t="shared" si="95"/>
        <v>93.113</v>
      </c>
      <c r="M102" s="118">
        <f t="shared" si="95"/>
        <v>91.47</v>
      </c>
      <c r="N102" s="118">
        <f t="shared" si="95"/>
        <v>102.642</v>
      </c>
      <c r="O102" s="118">
        <f t="shared" si="95"/>
        <v>170.67699999999999</v>
      </c>
      <c r="P102" s="401">
        <f t="shared" si="95"/>
        <v>457.90200000000004</v>
      </c>
      <c r="Q102" s="118">
        <f t="shared" si="95"/>
        <v>129.83100000000002</v>
      </c>
      <c r="R102" s="118">
        <f t="shared" si="95"/>
        <v>140.03799999999998</v>
      </c>
      <c r="S102" s="118">
        <f t="shared" si="95"/>
        <v>159.815</v>
      </c>
      <c r="T102" s="118">
        <f t="shared" si="95"/>
        <v>191.49899999999997</v>
      </c>
      <c r="U102" s="401">
        <f t="shared" si="95"/>
        <v>621.18299999999999</v>
      </c>
      <c r="V102" s="118">
        <f t="shared" si="95"/>
        <v>221.16500000000002</v>
      </c>
      <c r="W102" s="118">
        <f t="shared" si="95"/>
        <v>237.244</v>
      </c>
      <c r="X102" s="118">
        <f t="shared" si="95"/>
        <v>263.28100000000001</v>
      </c>
      <c r="Y102" s="118">
        <f t="shared" si="95"/>
        <v>282.33799999999997</v>
      </c>
      <c r="Z102" s="401">
        <f t="shared" si="95"/>
        <v>1004.028</v>
      </c>
      <c r="AA102" s="118">
        <f t="shared" si="95"/>
        <v>293.089</v>
      </c>
      <c r="AB102" s="118">
        <f t="shared" si="95"/>
        <v>307.01799999999997</v>
      </c>
      <c r="AC102" s="118">
        <f t="shared" si="95"/>
        <v>354.26600000000002</v>
      </c>
      <c r="AD102" s="118">
        <f t="shared" si="95"/>
        <v>399.90299999999996</v>
      </c>
      <c r="AE102" s="401">
        <f t="shared" si="95"/>
        <v>1354.2759999999998</v>
      </c>
      <c r="AF102" s="118">
        <f t="shared" si="95"/>
        <v>426.89299999999997</v>
      </c>
      <c r="AG102" s="118">
        <f t="shared" si="95"/>
        <v>480.346</v>
      </c>
      <c r="AH102" s="118">
        <f t="shared" si="95"/>
        <v>538.03600000000006</v>
      </c>
      <c r="AI102" s="118">
        <f t="shared" si="95"/>
        <v>614.72699999999998</v>
      </c>
      <c r="AJ102" s="401">
        <f t="shared" si="95"/>
        <v>2060.002</v>
      </c>
      <c r="AK102" s="118">
        <f t="shared" si="95"/>
        <v>664.09</v>
      </c>
      <c r="AL102" s="118">
        <f t="shared" si="95"/>
        <v>730.77700000000004</v>
      </c>
      <c r="AM102" s="118">
        <f t="shared" si="95"/>
        <v>799.63</v>
      </c>
      <c r="AN102" s="118">
        <f t="shared" si="95"/>
        <v>882.77599999999973</v>
      </c>
      <c r="AO102" s="401">
        <f t="shared" si="95"/>
        <v>3077.2730000000001</v>
      </c>
      <c r="AP102" s="118">
        <f t="shared" si="95"/>
        <v>841.19100000000003</v>
      </c>
      <c r="AQ102" s="118">
        <f t="shared" si="95"/>
        <v>1021.0319999999999</v>
      </c>
      <c r="AR102" s="118">
        <f t="shared" si="95"/>
        <v>925.57399999999996</v>
      </c>
      <c r="AS102" s="118">
        <f t="shared" si="95"/>
        <v>964.02499999999998</v>
      </c>
      <c r="AT102" s="401">
        <f t="shared" si="95"/>
        <v>3751.8220000000001</v>
      </c>
      <c r="AU102" s="118">
        <f t="shared" si="95"/>
        <v>964.47300000000007</v>
      </c>
      <c r="AV102" s="118">
        <f t="shared" si="95"/>
        <v>982.85299999999995</v>
      </c>
      <c r="AW102" s="118">
        <f t="shared" si="95"/>
        <v>952.52600000000007</v>
      </c>
      <c r="AX102" s="118">
        <f t="shared" si="95"/>
        <v>1077.1480000000001</v>
      </c>
      <c r="AY102" s="401">
        <f t="shared" si="95"/>
        <v>3977</v>
      </c>
      <c r="AZ102" s="118">
        <f t="shared" si="95"/>
        <v>1113</v>
      </c>
      <c r="BA102" s="118">
        <f t="shared" si="95"/>
        <v>1228</v>
      </c>
      <c r="BB102" s="118">
        <f t="shared" si="95"/>
        <v>1165</v>
      </c>
      <c r="BC102" s="118">
        <f t="shared" si="95"/>
        <v>1224</v>
      </c>
      <c r="BD102" s="401">
        <f t="shared" si="95"/>
        <v>4730</v>
      </c>
      <c r="BE102" s="118">
        <f t="shared" si="95"/>
        <v>1090</v>
      </c>
      <c r="BF102" s="118">
        <f t="shared" si="95"/>
        <v>1126</v>
      </c>
      <c r="BG102" s="118">
        <f t="shared" si="95"/>
        <v>1069</v>
      </c>
      <c r="BH102" s="118">
        <f t="shared" si="95"/>
        <v>1116</v>
      </c>
      <c r="BI102" s="401">
        <f t="shared" si="95"/>
        <v>4401</v>
      </c>
      <c r="BJ102" s="971">
        <f>BJ176+BJ177+BJ178+BJ179</f>
        <v>975</v>
      </c>
      <c r="BK102" s="118">
        <f>BK85</f>
        <v>1181.218274844</v>
      </c>
      <c r="BL102" s="118">
        <f>BL85</f>
        <v>1084.7645430000002</v>
      </c>
      <c r="BM102" s="118">
        <f>BM85</f>
        <v>1132.4576520000001</v>
      </c>
      <c r="BN102" s="401">
        <f>SUM(BJ102,BK102,BL102,BM102)</f>
        <v>4373.4404698440003</v>
      </c>
      <c r="BO102" s="118">
        <f>BO85</f>
        <v>976.66318452000019</v>
      </c>
      <c r="BP102" s="118">
        <f>BP85</f>
        <v>1253.397798746618</v>
      </c>
      <c r="BQ102" s="118">
        <f>BQ85</f>
        <v>1151.0501651645584</v>
      </c>
      <c r="BR102" s="118">
        <f>BR85</f>
        <v>1201.6576092831122</v>
      </c>
      <c r="BS102" s="401">
        <f>SUM(BO102,BP102,BQ102,BR102)</f>
        <v>4582.7687577142888</v>
      </c>
      <c r="BT102" s="401">
        <f>BT85</f>
        <v>4704.215880719742</v>
      </c>
      <c r="BU102" s="401">
        <f>BU85</f>
        <v>4819.5979703869671</v>
      </c>
      <c r="BV102" s="401">
        <f>BV85</f>
        <v>4927.4265934111299</v>
      </c>
      <c r="BW102" s="122"/>
    </row>
    <row r="103" spans="1:75" s="177" customFormat="1" ht="14.25" x14ac:dyDescent="0.45">
      <c r="A103" s="170" t="s">
        <v>2243</v>
      </c>
      <c r="B103" s="491"/>
      <c r="C103" s="417"/>
      <c r="D103" s="417"/>
      <c r="E103" s="417"/>
      <c r="F103" s="417">
        <f>F102/E102-1</f>
        <v>0.15856818466767897</v>
      </c>
      <c r="G103" s="378"/>
      <c r="H103" s="378"/>
      <c r="I103" s="378"/>
      <c r="J103" s="378"/>
      <c r="K103" s="417">
        <f t="shared" ref="K103:BS103" si="96">K102/F102-1</f>
        <v>0.44122863446982219</v>
      </c>
      <c r="L103" s="378">
        <f t="shared" si="96"/>
        <v>0.88464963769582639</v>
      </c>
      <c r="M103" s="378">
        <f t="shared" si="96"/>
        <v>0.71542702824350157</v>
      </c>
      <c r="N103" s="378">
        <f t="shared" si="96"/>
        <v>0.65199896993497686</v>
      </c>
      <c r="O103" s="378">
        <f t="shared" si="96"/>
        <v>1.2799187828108094</v>
      </c>
      <c r="P103" s="417">
        <f t="shared" si="96"/>
        <v>0.91014554419512694</v>
      </c>
      <c r="Q103" s="378">
        <f t="shared" si="96"/>
        <v>0.39433806235434377</v>
      </c>
      <c r="R103" s="378">
        <f t="shared" si="96"/>
        <v>0.53097190335629141</v>
      </c>
      <c r="S103" s="378">
        <f t="shared" si="96"/>
        <v>0.55701369809629586</v>
      </c>
      <c r="T103" s="378">
        <f t="shared" si="96"/>
        <v>0.12199651974196857</v>
      </c>
      <c r="U103" s="417">
        <f t="shared" si="96"/>
        <v>0.35658503347877923</v>
      </c>
      <c r="V103" s="378">
        <f t="shared" si="96"/>
        <v>0.70348375965678445</v>
      </c>
      <c r="W103" s="378">
        <f t="shared" si="96"/>
        <v>0.69414016195604078</v>
      </c>
      <c r="X103" s="378">
        <f t="shared" si="96"/>
        <v>0.64741106904858747</v>
      </c>
      <c r="Y103" s="378">
        <f t="shared" si="96"/>
        <v>0.47435756844683263</v>
      </c>
      <c r="Z103" s="417">
        <f t="shared" si="96"/>
        <v>0.6163159648605967</v>
      </c>
      <c r="AA103" s="378">
        <f t="shared" si="96"/>
        <v>0.32520516356566342</v>
      </c>
      <c r="AB103" s="378">
        <f t="shared" si="96"/>
        <v>0.29410227445161929</v>
      </c>
      <c r="AC103" s="378">
        <f t="shared" si="96"/>
        <v>0.34558133705052785</v>
      </c>
      <c r="AD103" s="378">
        <f t="shared" si="96"/>
        <v>0.41639807606485846</v>
      </c>
      <c r="AE103" s="417">
        <f t="shared" si="96"/>
        <v>0.34884286095606876</v>
      </c>
      <c r="AF103" s="378">
        <f t="shared" si="96"/>
        <v>0.45653026896267002</v>
      </c>
      <c r="AG103" s="378">
        <f t="shared" si="96"/>
        <v>0.56455321837807571</v>
      </c>
      <c r="AH103" s="378">
        <f t="shared" si="96"/>
        <v>0.51873451022677886</v>
      </c>
      <c r="AI103" s="378">
        <f t="shared" si="96"/>
        <v>0.5371902686401453</v>
      </c>
      <c r="AJ103" s="417">
        <f t="shared" si="96"/>
        <v>0.52110943411830402</v>
      </c>
      <c r="AK103" s="378">
        <f t="shared" si="96"/>
        <v>0.55563572136343309</v>
      </c>
      <c r="AL103" s="378">
        <f t="shared" si="96"/>
        <v>0.52135543962060682</v>
      </c>
      <c r="AM103" s="378">
        <f t="shared" si="96"/>
        <v>0.48620166680296473</v>
      </c>
      <c r="AN103" s="378">
        <f t="shared" si="96"/>
        <v>0.43604559422312628</v>
      </c>
      <c r="AO103" s="417">
        <f t="shared" si="96"/>
        <v>0.49382039434913172</v>
      </c>
      <c r="AP103" s="378">
        <f t="shared" si="96"/>
        <v>0.26668222680660758</v>
      </c>
      <c r="AQ103" s="378">
        <f t="shared" si="96"/>
        <v>0.39718682990843979</v>
      </c>
      <c r="AR103" s="378">
        <f t="shared" si="96"/>
        <v>0.15750284506584289</v>
      </c>
      <c r="AS103" s="378">
        <f t="shared" si="96"/>
        <v>9.2038070812981099E-2</v>
      </c>
      <c r="AT103" s="417">
        <f t="shared" si="96"/>
        <v>0.21920349608240808</v>
      </c>
      <c r="AU103" s="378">
        <f t="shared" si="96"/>
        <v>0.146556489548747</v>
      </c>
      <c r="AV103" s="378">
        <f t="shared" si="96"/>
        <v>-3.7392559684711113E-2</v>
      </c>
      <c r="AW103" s="378">
        <f t="shared" si="96"/>
        <v>2.9119227636040135E-2</v>
      </c>
      <c r="AX103" s="378">
        <f t="shared" si="96"/>
        <v>0.11734446720780078</v>
      </c>
      <c r="AY103" s="417">
        <f t="shared" si="96"/>
        <v>6.001830577250189E-2</v>
      </c>
      <c r="AZ103" s="378">
        <f t="shared" si="96"/>
        <v>0.15399809014871324</v>
      </c>
      <c r="BA103" s="378">
        <f t="shared" si="96"/>
        <v>0.24942387111806141</v>
      </c>
      <c r="BB103" s="378">
        <f t="shared" si="96"/>
        <v>0.22306372739431768</v>
      </c>
      <c r="BC103" s="378">
        <f t="shared" si="96"/>
        <v>0.13633409707858135</v>
      </c>
      <c r="BD103" s="417">
        <f t="shared" si="96"/>
        <v>0.18933869751068655</v>
      </c>
      <c r="BE103" s="378">
        <f t="shared" si="96"/>
        <v>-2.0664869721473522E-2</v>
      </c>
      <c r="BF103" s="378">
        <f t="shared" si="96"/>
        <v>-8.3061889250814369E-2</v>
      </c>
      <c r="BG103" s="378">
        <f t="shared" si="96"/>
        <v>-8.2403433476394894E-2</v>
      </c>
      <c r="BH103" s="378">
        <f t="shared" si="96"/>
        <v>-8.8235294117647078E-2</v>
      </c>
      <c r="BI103" s="417">
        <f t="shared" si="96"/>
        <v>-6.9556025369978847E-2</v>
      </c>
      <c r="BJ103" s="1130">
        <f>BJ102/BE102-1</f>
        <v>-0.10550458715596334</v>
      </c>
      <c r="BK103" s="378">
        <f t="shared" si="96"/>
        <v>4.9039320465364078E-2</v>
      </c>
      <c r="BL103" s="378">
        <f t="shared" si="96"/>
        <v>1.4747000000000288E-2</v>
      </c>
      <c r="BM103" s="378">
        <f t="shared" si="96"/>
        <v>1.4747000000000066E-2</v>
      </c>
      <c r="BN103" s="417">
        <f t="shared" si="96"/>
        <v>-6.2621063749147554E-3</v>
      </c>
      <c r="BO103" s="378">
        <f t="shared" si="96"/>
        <v>1.7058302769232814E-3</v>
      </c>
      <c r="BP103" s="378">
        <f t="shared" si="96"/>
        <v>6.1106000000000549E-2</v>
      </c>
      <c r="BQ103" s="378">
        <f t="shared" si="96"/>
        <v>6.1106000000000105E-2</v>
      </c>
      <c r="BR103" s="378">
        <f t="shared" si="96"/>
        <v>6.1106000000000105E-2</v>
      </c>
      <c r="BS103" s="417">
        <f t="shared" si="96"/>
        <v>4.7863527425069829E-2</v>
      </c>
      <c r="BT103" s="417">
        <f>BT102/BS102-1</f>
        <v>2.6500818484680888E-2</v>
      </c>
      <c r="BU103" s="417">
        <f>BU102/BT102-1</f>
        <v>2.452737982117692E-2</v>
      </c>
      <c r="BV103" s="417">
        <f>BV102/BU102-1</f>
        <v>2.2372949712132328E-2</v>
      </c>
      <c r="BW103" s="176"/>
    </row>
    <row r="104" spans="1:75" s="217" customFormat="1" x14ac:dyDescent="0.5">
      <c r="A104" s="211" t="s">
        <v>2254</v>
      </c>
      <c r="B104" s="493"/>
      <c r="C104" s="423"/>
      <c r="D104" s="423"/>
      <c r="E104" s="423">
        <f t="shared" ref="E104:BP104" si="97">E102/E91</f>
        <v>0.27751016747336354</v>
      </c>
      <c r="F104" s="423">
        <f t="shared" si="97"/>
        <v>0.2767441783078326</v>
      </c>
      <c r="G104" s="422">
        <f t="shared" si="97"/>
        <v>0.27473572409651287</v>
      </c>
      <c r="H104" s="422">
        <f t="shared" si="97"/>
        <v>0.26218303938006754</v>
      </c>
      <c r="I104" s="422">
        <f t="shared" si="97"/>
        <v>0.26182670183984968</v>
      </c>
      <c r="J104" s="422">
        <f t="shared" si="97"/>
        <v>0.2534799700676863</v>
      </c>
      <c r="K104" s="423">
        <f t="shared" si="97"/>
        <v>0.26174901156639296</v>
      </c>
      <c r="L104" s="422">
        <f t="shared" si="97"/>
        <v>0.33408920479212939</v>
      </c>
      <c r="M104" s="422">
        <f t="shared" si="97"/>
        <v>0.30960915525137339</v>
      </c>
      <c r="N104" s="422">
        <f t="shared" si="97"/>
        <v>0.3053113139076945</v>
      </c>
      <c r="O104" s="422">
        <f t="shared" si="97"/>
        <v>0.41769227568957873</v>
      </c>
      <c r="P104" s="423">
        <f t="shared" si="97"/>
        <v>0.34717135056571474</v>
      </c>
      <c r="Q104" s="422">
        <f t="shared" si="97"/>
        <v>0.30593749337254433</v>
      </c>
      <c r="R104" s="422">
        <f t="shared" si="97"/>
        <v>0.28477362573004272</v>
      </c>
      <c r="S104" s="422">
        <f t="shared" si="97"/>
        <v>0.26906150458270761</v>
      </c>
      <c r="T104" s="422">
        <f t="shared" si="97"/>
        <v>0.25885589153678745</v>
      </c>
      <c r="U104" s="423">
        <f t="shared" si="97"/>
        <v>0.27609544487829374</v>
      </c>
      <c r="V104" s="422">
        <f t="shared" si="97"/>
        <v>0.29593308605897123</v>
      </c>
      <c r="W104" s="422">
        <f t="shared" si="97"/>
        <v>0.30148120285464491</v>
      </c>
      <c r="X104" s="422">
        <f t="shared" si="97"/>
        <v>0.30559879283828095</v>
      </c>
      <c r="Y104" s="422">
        <f t="shared" si="97"/>
        <v>0.28676595308153191</v>
      </c>
      <c r="Z104" s="423">
        <f t="shared" si="97"/>
        <v>0.2970180690813996</v>
      </c>
      <c r="AA104" s="422">
        <f t="shared" si="97"/>
        <v>0.30503889886295632</v>
      </c>
      <c r="AB104" s="422">
        <f t="shared" si="97"/>
        <v>0.27342597804170793</v>
      </c>
      <c r="AC104" s="422">
        <f t="shared" si="97"/>
        <v>0.29566565792965771</v>
      </c>
      <c r="AD104" s="422">
        <f t="shared" si="97"/>
        <v>0.27790031521539704</v>
      </c>
      <c r="AE104" s="423">
        <f t="shared" si="97"/>
        <v>0.28686848574263984</v>
      </c>
      <c r="AF104" s="422">
        <f t="shared" si="97"/>
        <v>0.30399659894222542</v>
      </c>
      <c r="AG104" s="422">
        <f t="shared" si="97"/>
        <v>0.29019438685013071</v>
      </c>
      <c r="AH104" s="422">
        <f t="shared" si="97"/>
        <v>0.31544430406092716</v>
      </c>
      <c r="AI104" s="422">
        <f t="shared" si="97"/>
        <v>0.3052263054095225</v>
      </c>
      <c r="AJ104" s="423">
        <f t="shared" si="97"/>
        <v>0.30387212365400268</v>
      </c>
      <c r="AK104" s="422">
        <f t="shared" si="97"/>
        <v>0.34146446808434061</v>
      </c>
      <c r="AL104" s="422">
        <f t="shared" si="97"/>
        <v>0.31186458471584988</v>
      </c>
      <c r="AM104" s="422">
        <f t="shared" si="97"/>
        <v>0.3468377830801041</v>
      </c>
      <c r="AN104" s="422">
        <f t="shared" si="97"/>
        <v>0.34844266209852792</v>
      </c>
      <c r="AO104" s="423">
        <f t="shared" si="97"/>
        <v>0.33715939321952298</v>
      </c>
      <c r="AP104" s="422">
        <f t="shared" si="97"/>
        <v>0.36101641886936103</v>
      </c>
      <c r="AQ104" s="422">
        <f t="shared" si="97"/>
        <v>0.23719159090402242</v>
      </c>
      <c r="AR104" s="422">
        <f t="shared" si="97"/>
        <v>0.2410618897428618</v>
      </c>
      <c r="AS104" s="422">
        <f t="shared" si="97"/>
        <v>0.26261621623977649</v>
      </c>
      <c r="AT104" s="423">
        <f t="shared" si="97"/>
        <v>0.26523723032817736</v>
      </c>
      <c r="AU104" s="422">
        <f t="shared" si="97"/>
        <v>0.27734522150568308</v>
      </c>
      <c r="AV104" s="422">
        <f t="shared" si="97"/>
        <v>0.25478182695782325</v>
      </c>
      <c r="AW104" s="422">
        <f t="shared" si="97"/>
        <v>0.30519085842958998</v>
      </c>
      <c r="AX104" s="422">
        <f t="shared" si="97"/>
        <v>0.33124944453379751</v>
      </c>
      <c r="AY104" s="423">
        <f t="shared" si="97"/>
        <v>0.29012255617157862</v>
      </c>
      <c r="AZ104" s="422">
        <f t="shared" si="97"/>
        <v>0.37186769127965252</v>
      </c>
      <c r="BA104" s="422">
        <f t="shared" si="97"/>
        <v>0.37393422655298414</v>
      </c>
      <c r="BB104" s="422">
        <f t="shared" si="97"/>
        <v>0.41021126760563381</v>
      </c>
      <c r="BC104" s="422">
        <f t="shared" si="97"/>
        <v>0.39471138342470169</v>
      </c>
      <c r="BD104" s="423">
        <f t="shared" si="97"/>
        <v>0.3871337371091832</v>
      </c>
      <c r="BE104" s="422">
        <f t="shared" si="97"/>
        <v>0.39293439077144915</v>
      </c>
      <c r="BF104" s="422">
        <f t="shared" si="97"/>
        <v>0.35509303058971931</v>
      </c>
      <c r="BG104" s="422">
        <f t="shared" si="97"/>
        <v>0.36311141304347827</v>
      </c>
      <c r="BH104" s="422">
        <f t="shared" si="97"/>
        <v>0.3583815028901734</v>
      </c>
      <c r="BI104" s="423">
        <f t="shared" si="97"/>
        <v>0.36665833541614595</v>
      </c>
      <c r="BJ104" s="1034">
        <f>BJ102/BJ91</f>
        <v>0.35727372663979479</v>
      </c>
      <c r="BK104" s="422">
        <f t="shared" si="97"/>
        <v>0.36709303058971932</v>
      </c>
      <c r="BL104" s="422">
        <f t="shared" si="97"/>
        <v>0.36311141304347822</v>
      </c>
      <c r="BM104" s="422">
        <f t="shared" si="97"/>
        <v>0.35838150289017345</v>
      </c>
      <c r="BN104" s="423">
        <f t="shared" si="97"/>
        <v>0.36161768524008286</v>
      </c>
      <c r="BO104" s="422">
        <f t="shared" si="97"/>
        <v>0.33727372663979482</v>
      </c>
      <c r="BP104" s="422">
        <f t="shared" si="97"/>
        <v>0.36709303058971937</v>
      </c>
      <c r="BQ104" s="422">
        <f t="shared" ref="BQ104:BX104" si="98">BQ102/BQ91</f>
        <v>0.36311141304347827</v>
      </c>
      <c r="BR104" s="422">
        <f t="shared" si="98"/>
        <v>0.3583815028901734</v>
      </c>
      <c r="BS104" s="423">
        <f t="shared" si="98"/>
        <v>0.35710474093536532</v>
      </c>
      <c r="BT104" s="423">
        <f t="shared" si="98"/>
        <v>0.34210474093536536</v>
      </c>
      <c r="BU104" s="423">
        <f t="shared" si="98"/>
        <v>0.32710474093536529</v>
      </c>
      <c r="BV104" s="423">
        <f t="shared" si="98"/>
        <v>0.31210474093536528</v>
      </c>
      <c r="BW104" s="216"/>
    </row>
    <row r="105" spans="1:75" s="224" customFormat="1" x14ac:dyDescent="0.5">
      <c r="A105" s="218" t="s">
        <v>2245</v>
      </c>
      <c r="B105" s="494"/>
      <c r="C105" s="425"/>
      <c r="D105" s="425"/>
      <c r="E105" s="425"/>
      <c r="F105" s="425">
        <f>(E104-F104)*10000</f>
        <v>7.6598916553094476</v>
      </c>
      <c r="G105" s="487"/>
      <c r="H105" s="487"/>
      <c r="I105" s="487"/>
      <c r="J105" s="487"/>
      <c r="K105" s="425">
        <f t="shared" ref="K105:BN105" si="99">(F104-K104)*10000</f>
        <v>149.95166741439635</v>
      </c>
      <c r="L105" s="487">
        <f t="shared" si="99"/>
        <v>-593.5348069561652</v>
      </c>
      <c r="M105" s="487">
        <f t="shared" si="99"/>
        <v>-474.26115871305853</v>
      </c>
      <c r="N105" s="487">
        <f t="shared" si="99"/>
        <v>-434.84612067844819</v>
      </c>
      <c r="O105" s="487">
        <f t="shared" si="99"/>
        <v>-1642.1230562189244</v>
      </c>
      <c r="P105" s="425">
        <f t="shared" si="99"/>
        <v>-854.22338999321778</v>
      </c>
      <c r="Q105" s="487">
        <f t="shared" si="99"/>
        <v>281.51711419585058</v>
      </c>
      <c r="R105" s="487">
        <f t="shared" si="99"/>
        <v>248.35529521330668</v>
      </c>
      <c r="S105" s="487">
        <f t="shared" si="99"/>
        <v>362.49809324986893</v>
      </c>
      <c r="T105" s="487">
        <f t="shared" si="99"/>
        <v>1588.3638415279127</v>
      </c>
      <c r="U105" s="425">
        <f t="shared" si="99"/>
        <v>710.75905687421005</v>
      </c>
      <c r="V105" s="487">
        <f t="shared" si="99"/>
        <v>100.04407313573105</v>
      </c>
      <c r="W105" s="487">
        <f t="shared" si="99"/>
        <v>-167.0757712460219</v>
      </c>
      <c r="X105" s="487">
        <f t="shared" si="99"/>
        <v>-365.37288255573344</v>
      </c>
      <c r="Y105" s="487">
        <f t="shared" si="99"/>
        <v>-279.10061544744457</v>
      </c>
      <c r="Z105" s="425">
        <f t="shared" si="99"/>
        <v>-209.22624203105866</v>
      </c>
      <c r="AA105" s="487">
        <f t="shared" si="99"/>
        <v>-91.058128039850914</v>
      </c>
      <c r="AB105" s="487">
        <f t="shared" si="99"/>
        <v>280.55224812936984</v>
      </c>
      <c r="AC105" s="487">
        <f t="shared" si="99"/>
        <v>99.331349086232422</v>
      </c>
      <c r="AD105" s="487">
        <f t="shared" si="99"/>
        <v>88.656378661348683</v>
      </c>
      <c r="AE105" s="425">
        <f t="shared" si="99"/>
        <v>101.4958333875976</v>
      </c>
      <c r="AF105" s="487">
        <f t="shared" si="99"/>
        <v>10.422999207309047</v>
      </c>
      <c r="AG105" s="487">
        <f t="shared" si="99"/>
        <v>-167.68408808422785</v>
      </c>
      <c r="AH105" s="487">
        <f t="shared" si="99"/>
        <v>-197.78646131269451</v>
      </c>
      <c r="AI105" s="487">
        <f t="shared" si="99"/>
        <v>-273.25990194125461</v>
      </c>
      <c r="AJ105" s="425">
        <f t="shared" si="99"/>
        <v>-170.03637911362836</v>
      </c>
      <c r="AK105" s="487">
        <f t="shared" si="99"/>
        <v>-374.67869142115194</v>
      </c>
      <c r="AL105" s="487">
        <f t="shared" si="99"/>
        <v>-216.70197865719166</v>
      </c>
      <c r="AM105" s="487">
        <f t="shared" si="99"/>
        <v>-313.93479019176942</v>
      </c>
      <c r="AN105" s="487">
        <f t="shared" si="99"/>
        <v>-432.1635668900542</v>
      </c>
      <c r="AO105" s="425">
        <f t="shared" si="99"/>
        <v>-332.87269565520307</v>
      </c>
      <c r="AP105" s="487">
        <f t="shared" si="99"/>
        <v>-195.51950785020423</v>
      </c>
      <c r="AQ105" s="487">
        <f t="shared" si="99"/>
        <v>746.72993811827462</v>
      </c>
      <c r="AR105" s="487">
        <f t="shared" si="99"/>
        <v>1057.7589333724229</v>
      </c>
      <c r="AS105" s="487">
        <f t="shared" si="99"/>
        <v>858.26445858751435</v>
      </c>
      <c r="AT105" s="425">
        <f t="shared" si="99"/>
        <v>719.22162891345624</v>
      </c>
      <c r="AU105" s="487">
        <f t="shared" si="99"/>
        <v>836.71197363677948</v>
      </c>
      <c r="AV105" s="487">
        <f t="shared" si="99"/>
        <v>-175.90236053800834</v>
      </c>
      <c r="AW105" s="487">
        <f t="shared" si="99"/>
        <v>-641.28968686728183</v>
      </c>
      <c r="AX105" s="487">
        <f t="shared" si="99"/>
        <v>-686.33228294021023</v>
      </c>
      <c r="AY105" s="425">
        <f t="shared" si="99"/>
        <v>-248.8532584340125</v>
      </c>
      <c r="AZ105" s="487">
        <f t="shared" si="99"/>
        <v>-945.22469773969442</v>
      </c>
      <c r="BA105" s="487">
        <f t="shared" si="99"/>
        <v>-1191.5239959516089</v>
      </c>
      <c r="BB105" s="487">
        <f t="shared" si="99"/>
        <v>-1050.2040917604384</v>
      </c>
      <c r="BC105" s="487">
        <f t="shared" si="99"/>
        <v>-634.61938890904185</v>
      </c>
      <c r="BD105" s="425">
        <f t="shared" si="99"/>
        <v>-970.11180937604581</v>
      </c>
      <c r="BE105" s="487">
        <f t="shared" si="99"/>
        <v>-210.66699491796626</v>
      </c>
      <c r="BF105" s="487">
        <f t="shared" si="99"/>
        <v>188.41195963264835</v>
      </c>
      <c r="BG105" s="487">
        <f t="shared" si="99"/>
        <v>470.99854562155542</v>
      </c>
      <c r="BH105" s="487">
        <f t="shared" si="99"/>
        <v>363.29880534528291</v>
      </c>
      <c r="BI105" s="425">
        <f t="shared" si="99"/>
        <v>204.75401693037242</v>
      </c>
      <c r="BJ105" s="981">
        <f>(BE104-BJ104)*10000</f>
        <v>356.60664131654363</v>
      </c>
      <c r="BK105" s="487">
        <f t="shared" si="99"/>
        <v>-120.00000000000011</v>
      </c>
      <c r="BL105" s="487">
        <f t="shared" si="99"/>
        <v>5.5511151231257827E-13</v>
      </c>
      <c r="BM105" s="487">
        <f t="shared" si="99"/>
        <v>-5.5511151231257827E-13</v>
      </c>
      <c r="BN105" s="425">
        <f t="shared" si="99"/>
        <v>50.406501760630881</v>
      </c>
      <c r="BO105" s="487">
        <f>(BJ104-BO104)*10000</f>
        <v>199.99999999999963</v>
      </c>
      <c r="BP105" s="487">
        <f>(BK104-BP104)*10000</f>
        <v>-5.5511151231257827E-13</v>
      </c>
      <c r="BQ105" s="487">
        <f>(BL104-BQ104)*10000</f>
        <v>-5.5511151231257827E-13</v>
      </c>
      <c r="BR105" s="487">
        <f>(BM104-BR104)*10000</f>
        <v>5.5511151231257827E-13</v>
      </c>
      <c r="BS105" s="425">
        <f>(BN104-BS104)*10000</f>
        <v>45.129443047175478</v>
      </c>
      <c r="BT105" s="425">
        <f>(BS104-BT104)*10000</f>
        <v>149.99999999999957</v>
      </c>
      <c r="BU105" s="425">
        <f>(BT104-BU104)*10000</f>
        <v>150.00000000000068</v>
      </c>
      <c r="BV105" s="425">
        <f>(BU104-BV104)*10000</f>
        <v>150.00000000000014</v>
      </c>
      <c r="BW105" s="223"/>
    </row>
    <row r="106" spans="1:75" ht="7.5" customHeight="1" x14ac:dyDescent="0.5">
      <c r="A106" s="752"/>
      <c r="B106" s="489"/>
      <c r="C106" s="401"/>
      <c r="D106" s="401"/>
      <c r="E106" s="401"/>
      <c r="F106" s="401"/>
      <c r="G106" s="118"/>
      <c r="H106" s="118"/>
      <c r="I106" s="118"/>
      <c r="J106" s="118"/>
      <c r="K106" s="401"/>
      <c r="L106" s="118"/>
      <c r="M106" s="118"/>
      <c r="N106" s="118"/>
      <c r="O106" s="118"/>
      <c r="P106" s="401"/>
      <c r="Q106" s="118"/>
      <c r="R106" s="118"/>
      <c r="S106" s="118"/>
      <c r="T106" s="118"/>
      <c r="U106" s="401"/>
      <c r="V106" s="118"/>
      <c r="W106" s="118"/>
      <c r="X106" s="118"/>
      <c r="Y106" s="118"/>
      <c r="Z106" s="401"/>
      <c r="AA106" s="118"/>
      <c r="AB106" s="118"/>
      <c r="AC106" s="118"/>
      <c r="AD106" s="118"/>
      <c r="AE106" s="401"/>
      <c r="AF106" s="118"/>
      <c r="AG106" s="118"/>
      <c r="AH106" s="118"/>
      <c r="AI106" s="118"/>
      <c r="AJ106" s="401"/>
      <c r="AK106" s="118"/>
      <c r="AL106" s="118"/>
      <c r="AM106" s="118"/>
      <c r="AN106" s="118"/>
      <c r="AO106" s="401"/>
      <c r="AP106" s="118"/>
      <c r="AQ106" s="118"/>
      <c r="AR106" s="118"/>
      <c r="AS106" s="118"/>
      <c r="AT106" s="401"/>
      <c r="AU106" s="118"/>
      <c r="AV106" s="118"/>
      <c r="AW106" s="118"/>
      <c r="AX106" s="118"/>
      <c r="AY106" s="401"/>
      <c r="AZ106" s="118"/>
      <c r="BA106" s="118"/>
      <c r="BB106" s="118"/>
      <c r="BC106" s="118"/>
      <c r="BD106" s="401"/>
      <c r="BE106" s="118"/>
      <c r="BF106" s="118"/>
      <c r="BG106" s="118"/>
      <c r="BH106" s="118"/>
      <c r="BI106" s="401"/>
      <c r="BJ106" s="971"/>
      <c r="BK106" s="118"/>
      <c r="BL106" s="118"/>
      <c r="BM106" s="118"/>
      <c r="BN106" s="401"/>
      <c r="BO106" s="118"/>
      <c r="BP106" s="118"/>
      <c r="BQ106" s="118"/>
      <c r="BR106" s="118"/>
      <c r="BS106" s="401"/>
      <c r="BT106" s="401"/>
      <c r="BU106" s="401"/>
      <c r="BV106" s="401"/>
      <c r="BW106" s="122"/>
    </row>
    <row r="107" spans="1:75" x14ac:dyDescent="0.5">
      <c r="A107" s="184" t="s">
        <v>2255</v>
      </c>
      <c r="B107" s="489"/>
      <c r="C107" s="401"/>
      <c r="D107" s="401"/>
      <c r="E107" s="401">
        <f t="shared" ref="E107:BI107" si="100">E180</f>
        <v>0</v>
      </c>
      <c r="F107" s="401">
        <f t="shared" si="100"/>
        <v>0.21199999999999999</v>
      </c>
      <c r="G107" s="118">
        <f t="shared" si="100"/>
        <v>5.2999999999999999E-2</v>
      </c>
      <c r="H107" s="118">
        <f t="shared" si="100"/>
        <v>5.2999999999999999E-2</v>
      </c>
      <c r="I107" s="118">
        <f t="shared" si="100"/>
        <v>0.184</v>
      </c>
      <c r="J107" s="118">
        <f t="shared" si="100"/>
        <v>0.24900000000000005</v>
      </c>
      <c r="K107" s="401">
        <f t="shared" si="100"/>
        <v>0.53900000000000003</v>
      </c>
      <c r="L107" s="118">
        <f t="shared" si="100"/>
        <v>0.249</v>
      </c>
      <c r="M107" s="118">
        <f t="shared" si="100"/>
        <v>0.25</v>
      </c>
      <c r="N107" s="118">
        <f t="shared" si="100"/>
        <v>0.249</v>
      </c>
      <c r="O107" s="118">
        <f t="shared" si="100"/>
        <v>0.23200000000000001</v>
      </c>
      <c r="P107" s="401">
        <f t="shared" si="100"/>
        <v>0.98</v>
      </c>
      <c r="Q107" s="118">
        <f t="shared" si="100"/>
        <v>0.25</v>
      </c>
      <c r="R107" s="118">
        <f t="shared" si="100"/>
        <v>0.23599999999999999</v>
      </c>
      <c r="S107" s="118">
        <f t="shared" si="100"/>
        <v>0.20799999999999999</v>
      </c>
      <c r="T107" s="118">
        <f t="shared" si="100"/>
        <v>0.19700000000000001</v>
      </c>
      <c r="U107" s="401">
        <f t="shared" si="100"/>
        <v>0.89100000000000001</v>
      </c>
      <c r="V107" s="118">
        <f t="shared" si="100"/>
        <v>0</v>
      </c>
      <c r="W107" s="118">
        <f t="shared" si="100"/>
        <v>0</v>
      </c>
      <c r="X107" s="118">
        <f t="shared" si="100"/>
        <v>0</v>
      </c>
      <c r="Y107" s="118">
        <f t="shared" si="100"/>
        <v>0</v>
      </c>
      <c r="Z107" s="401">
        <f t="shared" si="100"/>
        <v>0</v>
      </c>
      <c r="AA107" s="118">
        <f t="shared" si="100"/>
        <v>0</v>
      </c>
      <c r="AB107" s="118">
        <f t="shared" si="100"/>
        <v>0</v>
      </c>
      <c r="AC107" s="118">
        <f t="shared" si="100"/>
        <v>0</v>
      </c>
      <c r="AD107" s="118">
        <f t="shared" si="100"/>
        <v>0</v>
      </c>
      <c r="AE107" s="401">
        <f t="shared" si="100"/>
        <v>0</v>
      </c>
      <c r="AF107" s="118">
        <f t="shared" si="100"/>
        <v>0</v>
      </c>
      <c r="AG107" s="118">
        <f t="shared" si="100"/>
        <v>0</v>
      </c>
      <c r="AH107" s="118">
        <f t="shared" si="100"/>
        <v>0</v>
      </c>
      <c r="AI107" s="118">
        <f t="shared" si="100"/>
        <v>0</v>
      </c>
      <c r="AJ107" s="401">
        <f t="shared" si="100"/>
        <v>0</v>
      </c>
      <c r="AK107" s="118">
        <f t="shared" si="100"/>
        <v>0</v>
      </c>
      <c r="AL107" s="118">
        <f t="shared" si="100"/>
        <v>0</v>
      </c>
      <c r="AM107" s="118">
        <f t="shared" si="100"/>
        <v>0</v>
      </c>
      <c r="AN107" s="118">
        <f t="shared" si="100"/>
        <v>0</v>
      </c>
      <c r="AO107" s="401">
        <f t="shared" si="100"/>
        <v>0</v>
      </c>
      <c r="AP107" s="118">
        <f t="shared" si="100"/>
        <v>0</v>
      </c>
      <c r="AQ107" s="118">
        <f t="shared" si="100"/>
        <v>0</v>
      </c>
      <c r="AR107" s="118">
        <f t="shared" si="100"/>
        <v>0</v>
      </c>
      <c r="AS107" s="118">
        <f t="shared" si="100"/>
        <v>0</v>
      </c>
      <c r="AT107" s="401">
        <f t="shared" si="100"/>
        <v>0</v>
      </c>
      <c r="AU107" s="118">
        <f t="shared" si="100"/>
        <v>0</v>
      </c>
      <c r="AV107" s="118">
        <f t="shared" si="100"/>
        <v>0</v>
      </c>
      <c r="AW107" s="118">
        <f t="shared" si="100"/>
        <v>0</v>
      </c>
      <c r="AX107" s="118">
        <f t="shared" si="100"/>
        <v>0</v>
      </c>
      <c r="AY107" s="401">
        <f t="shared" si="100"/>
        <v>0</v>
      </c>
      <c r="AZ107" s="118">
        <f t="shared" si="100"/>
        <v>0</v>
      </c>
      <c r="BA107" s="118">
        <f t="shared" si="100"/>
        <v>0</v>
      </c>
      <c r="BB107" s="118">
        <f t="shared" si="100"/>
        <v>0</v>
      </c>
      <c r="BC107" s="118">
        <f t="shared" si="100"/>
        <v>0</v>
      </c>
      <c r="BD107" s="401">
        <f t="shared" si="100"/>
        <v>0</v>
      </c>
      <c r="BE107" s="118">
        <f t="shared" si="100"/>
        <v>0</v>
      </c>
      <c r="BF107" s="118">
        <f t="shared" si="100"/>
        <v>0</v>
      </c>
      <c r="BG107" s="118">
        <f t="shared" si="100"/>
        <v>0</v>
      </c>
      <c r="BH107" s="118">
        <f t="shared" si="100"/>
        <v>0</v>
      </c>
      <c r="BI107" s="401">
        <f t="shared" si="100"/>
        <v>0</v>
      </c>
      <c r="BJ107" s="971">
        <f>BJ180</f>
        <v>0</v>
      </c>
      <c r="BK107" s="302">
        <v>0</v>
      </c>
      <c r="BL107" s="302">
        <v>0</v>
      </c>
      <c r="BM107" s="302">
        <v>0</v>
      </c>
      <c r="BN107" s="401">
        <f>SUM(BJ107,BK107,BL107,BM107)</f>
        <v>0</v>
      </c>
      <c r="BO107" s="302">
        <v>0</v>
      </c>
      <c r="BP107" s="302">
        <v>0</v>
      </c>
      <c r="BQ107" s="302">
        <v>0</v>
      </c>
      <c r="BR107" s="302">
        <v>0</v>
      </c>
      <c r="BS107" s="401">
        <f>SUM(BO107,BP107,BQ107,BR107)</f>
        <v>0</v>
      </c>
      <c r="BT107" s="403">
        <v>0</v>
      </c>
      <c r="BU107" s="403">
        <v>0</v>
      </c>
      <c r="BV107" s="403">
        <v>0</v>
      </c>
      <c r="BW107" s="122"/>
    </row>
    <row r="108" spans="1:75" x14ac:dyDescent="0.5">
      <c r="A108" s="184" t="s">
        <v>2256</v>
      </c>
      <c r="B108" s="489"/>
      <c r="C108" s="401"/>
      <c r="D108" s="401"/>
      <c r="E108" s="401">
        <f t="shared" ref="E108:BG108" si="101">E182+E181</f>
        <v>0</v>
      </c>
      <c r="F108" s="401">
        <f t="shared" si="101"/>
        <v>0</v>
      </c>
      <c r="G108" s="118">
        <f t="shared" si="101"/>
        <v>0</v>
      </c>
      <c r="H108" s="118">
        <f t="shared" si="101"/>
        <v>0</v>
      </c>
      <c r="I108" s="118">
        <f t="shared" si="101"/>
        <v>0</v>
      </c>
      <c r="J108" s="118">
        <f t="shared" si="101"/>
        <v>0</v>
      </c>
      <c r="K108" s="401">
        <f t="shared" si="101"/>
        <v>0</v>
      </c>
      <c r="L108" s="118">
        <f t="shared" si="101"/>
        <v>0</v>
      </c>
      <c r="M108" s="118">
        <f t="shared" si="101"/>
        <v>0</v>
      </c>
      <c r="N108" s="118">
        <f t="shared" si="101"/>
        <v>0</v>
      </c>
      <c r="O108" s="118">
        <f t="shared" si="101"/>
        <v>0</v>
      </c>
      <c r="P108" s="401">
        <f t="shared" si="101"/>
        <v>0</v>
      </c>
      <c r="Q108" s="118">
        <f t="shared" si="101"/>
        <v>0</v>
      </c>
      <c r="R108" s="118">
        <f t="shared" si="101"/>
        <v>0</v>
      </c>
      <c r="S108" s="118">
        <f t="shared" si="101"/>
        <v>0</v>
      </c>
      <c r="T108" s="118">
        <f t="shared" si="101"/>
        <v>0</v>
      </c>
      <c r="U108" s="401">
        <f t="shared" si="101"/>
        <v>0</v>
      </c>
      <c r="V108" s="118">
        <f t="shared" si="101"/>
        <v>0</v>
      </c>
      <c r="W108" s="118">
        <f t="shared" si="101"/>
        <v>0</v>
      </c>
      <c r="X108" s="118">
        <f t="shared" si="101"/>
        <v>0</v>
      </c>
      <c r="Y108" s="118">
        <f t="shared" si="101"/>
        <v>0</v>
      </c>
      <c r="Z108" s="401">
        <f t="shared" si="101"/>
        <v>0</v>
      </c>
      <c r="AA108" s="118">
        <f t="shared" si="101"/>
        <v>0</v>
      </c>
      <c r="AB108" s="118">
        <f t="shared" si="101"/>
        <v>0</v>
      </c>
      <c r="AC108" s="118">
        <f t="shared" si="101"/>
        <v>0</v>
      </c>
      <c r="AD108" s="118">
        <f t="shared" si="101"/>
        <v>0</v>
      </c>
      <c r="AE108" s="401">
        <f t="shared" si="101"/>
        <v>0</v>
      </c>
      <c r="AF108" s="118">
        <f t="shared" si="101"/>
        <v>0</v>
      </c>
      <c r="AG108" s="118">
        <f t="shared" si="101"/>
        <v>0</v>
      </c>
      <c r="AH108" s="118">
        <f t="shared" si="101"/>
        <v>0</v>
      </c>
      <c r="AI108" s="118">
        <f t="shared" si="101"/>
        <v>0</v>
      </c>
      <c r="AJ108" s="401">
        <f t="shared" si="101"/>
        <v>0</v>
      </c>
      <c r="AK108" s="118">
        <f t="shared" si="101"/>
        <v>0</v>
      </c>
      <c r="AL108" s="118">
        <f t="shared" si="101"/>
        <v>0</v>
      </c>
      <c r="AM108" s="118">
        <f t="shared" si="101"/>
        <v>0</v>
      </c>
      <c r="AN108" s="118">
        <f t="shared" si="101"/>
        <v>0</v>
      </c>
      <c r="AO108" s="401">
        <f t="shared" si="101"/>
        <v>0</v>
      </c>
      <c r="AP108" s="118">
        <f t="shared" si="101"/>
        <v>0</v>
      </c>
      <c r="AQ108" s="118">
        <f t="shared" si="101"/>
        <v>0</v>
      </c>
      <c r="AR108" s="118">
        <f t="shared" si="101"/>
        <v>0</v>
      </c>
      <c r="AS108" s="118">
        <f t="shared" si="101"/>
        <v>0</v>
      </c>
      <c r="AT108" s="401">
        <f t="shared" si="101"/>
        <v>0</v>
      </c>
      <c r="AU108" s="118">
        <f t="shared" si="101"/>
        <v>12.212</v>
      </c>
      <c r="AV108" s="118">
        <f t="shared" si="101"/>
        <v>0</v>
      </c>
      <c r="AW108" s="118">
        <f t="shared" si="101"/>
        <v>0</v>
      </c>
      <c r="AX108" s="118">
        <f t="shared" si="101"/>
        <v>0</v>
      </c>
      <c r="AY108" s="401">
        <f t="shared" si="101"/>
        <v>12</v>
      </c>
      <c r="AZ108" s="118">
        <f t="shared" si="101"/>
        <v>0</v>
      </c>
      <c r="BA108" s="118">
        <f t="shared" si="101"/>
        <v>40</v>
      </c>
      <c r="BB108" s="118">
        <f t="shared" si="101"/>
        <v>31</v>
      </c>
      <c r="BC108" s="118">
        <f t="shared" si="101"/>
        <v>-1</v>
      </c>
      <c r="BD108" s="401">
        <f t="shared" si="101"/>
        <v>70</v>
      </c>
      <c r="BE108" s="118">
        <f t="shared" si="101"/>
        <v>78</v>
      </c>
      <c r="BF108" s="118">
        <f t="shared" si="101"/>
        <v>1</v>
      </c>
      <c r="BG108" s="118">
        <f t="shared" si="101"/>
        <v>0</v>
      </c>
      <c r="BH108" s="118">
        <f>BH182+BH181</f>
        <v>0</v>
      </c>
      <c r="BI108" s="401">
        <f>BI182+BI181</f>
        <v>79</v>
      </c>
      <c r="BJ108" s="971">
        <f>BJ182+BJ181</f>
        <v>79</v>
      </c>
      <c r="BK108" s="302">
        <v>0</v>
      </c>
      <c r="BL108" s="302">
        <v>0</v>
      </c>
      <c r="BM108" s="302">
        <v>0</v>
      </c>
      <c r="BN108" s="401">
        <f>SUM(BJ108,BK108,BL108,BM108)</f>
        <v>79</v>
      </c>
      <c r="BO108" s="302">
        <v>0</v>
      </c>
      <c r="BP108" s="302">
        <v>0</v>
      </c>
      <c r="BQ108" s="302">
        <v>0</v>
      </c>
      <c r="BR108" s="302">
        <v>0</v>
      </c>
      <c r="BS108" s="401">
        <f>SUM(BO108,BP108,BQ108,BR108)</f>
        <v>0</v>
      </c>
      <c r="BT108" s="403">
        <v>0</v>
      </c>
      <c r="BU108" s="403">
        <v>0</v>
      </c>
      <c r="BV108" s="403">
        <v>0</v>
      </c>
      <c r="BW108" s="122"/>
    </row>
    <row r="109" spans="1:75" s="135" customFormat="1" ht="14.25" x14ac:dyDescent="0.45">
      <c r="A109" s="516" t="s">
        <v>745</v>
      </c>
      <c r="B109" s="495"/>
      <c r="C109" s="518"/>
      <c r="D109" s="518"/>
      <c r="E109" s="518">
        <f t="shared" ref="E109:BP109" si="102">E95-E102-E107-E108</f>
        <v>-12.054000000000002</v>
      </c>
      <c r="F109" s="518">
        <f t="shared" si="102"/>
        <v>-21.394000000000016</v>
      </c>
      <c r="G109" s="327">
        <f t="shared" si="102"/>
        <v>-5.4260000000000117</v>
      </c>
      <c r="H109" s="327">
        <f t="shared" si="102"/>
        <v>-2.5369999999999804</v>
      </c>
      <c r="I109" s="327">
        <f t="shared" si="102"/>
        <v>-3.6700000000000186</v>
      </c>
      <c r="J109" s="327">
        <f t="shared" si="102"/>
        <v>-4.3860000000000001</v>
      </c>
      <c r="K109" s="518">
        <f t="shared" si="102"/>
        <v>-16.01900000000002</v>
      </c>
      <c r="L109" s="327">
        <f t="shared" si="102"/>
        <v>-28.155000000000005</v>
      </c>
      <c r="M109" s="327">
        <f t="shared" si="102"/>
        <v>-23.265999999999991</v>
      </c>
      <c r="N109" s="327">
        <f t="shared" si="102"/>
        <v>-23.864000000000008</v>
      </c>
      <c r="O109" s="327">
        <f t="shared" si="102"/>
        <v>-72.498999999999967</v>
      </c>
      <c r="P109" s="518">
        <f t="shared" si="102"/>
        <v>-147.78399999999996</v>
      </c>
      <c r="Q109" s="327">
        <f t="shared" si="102"/>
        <v>-27.246000000000038</v>
      </c>
      <c r="R109" s="327">
        <f t="shared" si="102"/>
        <v>-19.472999999999995</v>
      </c>
      <c r="S109" s="327">
        <f t="shared" si="102"/>
        <v>-18.637000000000029</v>
      </c>
      <c r="T109" s="327">
        <f t="shared" si="102"/>
        <v>-15.993999999999968</v>
      </c>
      <c r="U109" s="518">
        <f t="shared" si="102"/>
        <v>-81.349999999999838</v>
      </c>
      <c r="V109" s="327">
        <f t="shared" si="102"/>
        <v>-42.109000000000094</v>
      </c>
      <c r="W109" s="327">
        <f t="shared" si="102"/>
        <v>-48.72999999999999</v>
      </c>
      <c r="X109" s="327">
        <f t="shared" si="102"/>
        <v>-61.620000000000061</v>
      </c>
      <c r="Y109" s="327">
        <f t="shared" si="102"/>
        <v>-43.758000000000038</v>
      </c>
      <c r="Z109" s="518">
        <f t="shared" si="102"/>
        <v>-196.21699999999987</v>
      </c>
      <c r="AA109" s="327">
        <f t="shared" si="102"/>
        <v>-56.20599999999996</v>
      </c>
      <c r="AB109" s="327">
        <f t="shared" si="102"/>
        <v>-37.551999999999964</v>
      </c>
      <c r="AC109" s="327">
        <f t="shared" si="102"/>
        <v>-73.956999999999937</v>
      </c>
      <c r="AD109" s="327">
        <f t="shared" si="102"/>
        <v>-67.737999999999545</v>
      </c>
      <c r="AE109" s="518">
        <f t="shared" si="102"/>
        <v>-235.45299999999952</v>
      </c>
      <c r="AF109" s="327">
        <f t="shared" si="102"/>
        <v>-103.0689999999999</v>
      </c>
      <c r="AG109" s="327">
        <f t="shared" si="102"/>
        <v>-95.338999999999942</v>
      </c>
      <c r="AH109" s="327">
        <f t="shared" si="102"/>
        <v>-145.26600000000008</v>
      </c>
      <c r="AI109" s="327">
        <f t="shared" si="102"/>
        <v>-129.60500000000013</v>
      </c>
      <c r="AJ109" s="518">
        <f t="shared" si="102"/>
        <v>-473.279</v>
      </c>
      <c r="AK109" s="327">
        <f t="shared" si="102"/>
        <v>-193.63400000000013</v>
      </c>
      <c r="AL109" s="327">
        <f t="shared" si="102"/>
        <v>-171.17699999999991</v>
      </c>
      <c r="AM109" s="327">
        <f t="shared" si="102"/>
        <v>-259.70899999999995</v>
      </c>
      <c r="AN109" s="327">
        <f t="shared" si="102"/>
        <v>-305.42099999999925</v>
      </c>
      <c r="AO109" s="518">
        <f t="shared" si="102"/>
        <v>-929.9409999999998</v>
      </c>
      <c r="AP109" s="327">
        <f t="shared" si="102"/>
        <v>-262.06799999999998</v>
      </c>
      <c r="AQ109" s="327">
        <f t="shared" si="102"/>
        <v>299.99799999999982</v>
      </c>
      <c r="AR109" s="327">
        <f t="shared" si="102"/>
        <v>221.85400000000038</v>
      </c>
      <c r="AS109" s="327">
        <f t="shared" si="102"/>
        <v>100.56500000000017</v>
      </c>
      <c r="AT109" s="518">
        <f t="shared" si="102"/>
        <v>360.34900000000016</v>
      </c>
      <c r="AU109" s="327">
        <f t="shared" si="102"/>
        <v>26.341999999999974</v>
      </c>
      <c r="AV109" s="327">
        <f t="shared" si="102"/>
        <v>145.20700000000045</v>
      </c>
      <c r="AW109" s="327">
        <f t="shared" si="102"/>
        <v>-69.798000000000002</v>
      </c>
      <c r="AX109" s="327">
        <f t="shared" si="102"/>
        <v>-195.96300000000065</v>
      </c>
      <c r="AY109" s="518">
        <f t="shared" si="102"/>
        <v>-94</v>
      </c>
      <c r="AZ109" s="327">
        <f t="shared" si="102"/>
        <v>-310</v>
      </c>
      <c r="BA109" s="327">
        <f t="shared" si="102"/>
        <v>-372</v>
      </c>
      <c r="BB109" s="327">
        <f t="shared" si="102"/>
        <v>-372</v>
      </c>
      <c r="BC109" s="327">
        <f t="shared" si="102"/>
        <v>-330</v>
      </c>
      <c r="BD109" s="518">
        <f t="shared" si="102"/>
        <v>-1384</v>
      </c>
      <c r="BE109" s="327">
        <f t="shared" si="102"/>
        <v>-347</v>
      </c>
      <c r="BF109" s="327">
        <f t="shared" si="102"/>
        <v>-142</v>
      </c>
      <c r="BG109" s="327">
        <f t="shared" si="102"/>
        <v>-152</v>
      </c>
      <c r="BH109" s="327">
        <f t="shared" si="102"/>
        <v>-172</v>
      </c>
      <c r="BI109" s="518">
        <f t="shared" si="102"/>
        <v>-813</v>
      </c>
      <c r="BJ109" s="1026">
        <f>BJ95-BJ102-BJ107-BJ108</f>
        <v>-235</v>
      </c>
      <c r="BK109" s="327">
        <f t="shared" si="102"/>
        <v>-197.78129352899998</v>
      </c>
      <c r="BL109" s="327">
        <f t="shared" si="102"/>
        <v>-148.26671366399989</v>
      </c>
      <c r="BM109" s="327">
        <f t="shared" si="102"/>
        <v>-168.21663968400003</v>
      </c>
      <c r="BN109" s="518">
        <f t="shared" si="102"/>
        <v>-749.26464687700081</v>
      </c>
      <c r="BO109" s="327">
        <f t="shared" si="102"/>
        <v>-101.82585397200012</v>
      </c>
      <c r="BP109" s="327">
        <f t="shared" si="102"/>
        <v>-203.03814255776888</v>
      </c>
      <c r="BQ109" s="327">
        <f t="shared" ref="BQ109:BX109" si="103">BQ95-BQ102-BQ107-BQ108</f>
        <v>-150.98677115064083</v>
      </c>
      <c r="BR109" s="327">
        <f t="shared" si="103"/>
        <v>-171.78966094575685</v>
      </c>
      <c r="BS109" s="518">
        <f t="shared" si="103"/>
        <v>-627.64042862616679</v>
      </c>
      <c r="BT109" s="518">
        <f t="shared" si="103"/>
        <v>-438.7586682015326</v>
      </c>
      <c r="BU109" s="518">
        <f t="shared" si="103"/>
        <v>-219.65395355917008</v>
      </c>
      <c r="BV109" s="518">
        <f t="shared" si="103"/>
        <v>33.030287881370896</v>
      </c>
      <c r="BW109" s="197"/>
    </row>
    <row r="110" spans="1:75" s="177" customFormat="1" ht="14.25" x14ac:dyDescent="0.45">
      <c r="A110" s="170" t="s">
        <v>2257</v>
      </c>
      <c r="B110" s="491"/>
      <c r="C110" s="417"/>
      <c r="D110" s="417"/>
      <c r="E110" s="417"/>
      <c r="F110" s="417" t="str">
        <f>IF(OR(E109&lt;0,F109&lt;0),"NMF",F109/E109-1)</f>
        <v>NMF</v>
      </c>
      <c r="G110" s="378"/>
      <c r="H110" s="378"/>
      <c r="I110" s="378"/>
      <c r="J110" s="378"/>
      <c r="K110" s="417" t="str">
        <f t="shared" ref="K110" si="104">IF(OR(F109&lt;0,K109&lt;0),"NMF",K109/F109-1)</f>
        <v>NMF</v>
      </c>
      <c r="L110" s="378" t="str">
        <f>IF(OR(G109&lt;0,L109&lt;0),"NMF",L109/G109-1)</f>
        <v>NMF</v>
      </c>
      <c r="M110" s="378" t="str">
        <f t="shared" ref="M110:BN110" si="105">IF(OR(H109&lt;0,M109&lt;0),"NMF",M109/H109-1)</f>
        <v>NMF</v>
      </c>
      <c r="N110" s="378" t="str">
        <f t="shared" si="105"/>
        <v>NMF</v>
      </c>
      <c r="O110" s="378" t="str">
        <f t="shared" si="105"/>
        <v>NMF</v>
      </c>
      <c r="P110" s="417" t="str">
        <f t="shared" si="105"/>
        <v>NMF</v>
      </c>
      <c r="Q110" s="378" t="str">
        <f t="shared" si="105"/>
        <v>NMF</v>
      </c>
      <c r="R110" s="378" t="str">
        <f t="shared" si="105"/>
        <v>NMF</v>
      </c>
      <c r="S110" s="378" t="str">
        <f t="shared" si="105"/>
        <v>NMF</v>
      </c>
      <c r="T110" s="378" t="str">
        <f t="shared" si="105"/>
        <v>NMF</v>
      </c>
      <c r="U110" s="417" t="str">
        <f t="shared" si="105"/>
        <v>NMF</v>
      </c>
      <c r="V110" s="378" t="str">
        <f t="shared" si="105"/>
        <v>NMF</v>
      </c>
      <c r="W110" s="378" t="str">
        <f t="shared" si="105"/>
        <v>NMF</v>
      </c>
      <c r="X110" s="378" t="str">
        <f t="shared" si="105"/>
        <v>NMF</v>
      </c>
      <c r="Y110" s="378" t="str">
        <f t="shared" si="105"/>
        <v>NMF</v>
      </c>
      <c r="Z110" s="417" t="str">
        <f t="shared" si="105"/>
        <v>NMF</v>
      </c>
      <c r="AA110" s="378" t="str">
        <f t="shared" si="105"/>
        <v>NMF</v>
      </c>
      <c r="AB110" s="378" t="str">
        <f t="shared" si="105"/>
        <v>NMF</v>
      </c>
      <c r="AC110" s="378" t="str">
        <f t="shared" si="105"/>
        <v>NMF</v>
      </c>
      <c r="AD110" s="378" t="str">
        <f t="shared" si="105"/>
        <v>NMF</v>
      </c>
      <c r="AE110" s="417" t="str">
        <f t="shared" si="105"/>
        <v>NMF</v>
      </c>
      <c r="AF110" s="378" t="str">
        <f t="shared" si="105"/>
        <v>NMF</v>
      </c>
      <c r="AG110" s="378" t="str">
        <f t="shared" si="105"/>
        <v>NMF</v>
      </c>
      <c r="AH110" s="378" t="str">
        <f t="shared" si="105"/>
        <v>NMF</v>
      </c>
      <c r="AI110" s="378" t="str">
        <f t="shared" si="105"/>
        <v>NMF</v>
      </c>
      <c r="AJ110" s="417" t="str">
        <f t="shared" si="105"/>
        <v>NMF</v>
      </c>
      <c r="AK110" s="378" t="str">
        <f t="shared" si="105"/>
        <v>NMF</v>
      </c>
      <c r="AL110" s="378" t="str">
        <f t="shared" si="105"/>
        <v>NMF</v>
      </c>
      <c r="AM110" s="378" t="str">
        <f t="shared" si="105"/>
        <v>NMF</v>
      </c>
      <c r="AN110" s="378" t="str">
        <f t="shared" si="105"/>
        <v>NMF</v>
      </c>
      <c r="AO110" s="417" t="str">
        <f t="shared" si="105"/>
        <v>NMF</v>
      </c>
      <c r="AP110" s="378" t="str">
        <f t="shared" si="105"/>
        <v>NMF</v>
      </c>
      <c r="AQ110" s="378" t="str">
        <f t="shared" si="105"/>
        <v>NMF</v>
      </c>
      <c r="AR110" s="378" t="str">
        <f t="shared" si="105"/>
        <v>NMF</v>
      </c>
      <c r="AS110" s="378" t="str">
        <f t="shared" si="105"/>
        <v>NMF</v>
      </c>
      <c r="AT110" s="417" t="str">
        <f t="shared" si="105"/>
        <v>NMF</v>
      </c>
      <c r="AU110" s="378" t="str">
        <f t="shared" si="105"/>
        <v>NMF</v>
      </c>
      <c r="AV110" s="378">
        <f t="shared" si="105"/>
        <v>-0.51597343982293031</v>
      </c>
      <c r="AW110" s="378" t="str">
        <f t="shared" si="105"/>
        <v>NMF</v>
      </c>
      <c r="AX110" s="378" t="str">
        <f t="shared" si="105"/>
        <v>NMF</v>
      </c>
      <c r="AY110" s="417" t="str">
        <f t="shared" si="105"/>
        <v>NMF</v>
      </c>
      <c r="AZ110" s="378" t="str">
        <f t="shared" si="105"/>
        <v>NMF</v>
      </c>
      <c r="BA110" s="378" t="str">
        <f t="shared" si="105"/>
        <v>NMF</v>
      </c>
      <c r="BB110" s="378" t="str">
        <f t="shared" si="105"/>
        <v>NMF</v>
      </c>
      <c r="BC110" s="378" t="str">
        <f t="shared" si="105"/>
        <v>NMF</v>
      </c>
      <c r="BD110" s="417" t="str">
        <f t="shared" si="105"/>
        <v>NMF</v>
      </c>
      <c r="BE110" s="378" t="str">
        <f t="shared" si="105"/>
        <v>NMF</v>
      </c>
      <c r="BF110" s="378" t="str">
        <f t="shared" si="105"/>
        <v>NMF</v>
      </c>
      <c r="BG110" s="378" t="str">
        <f t="shared" si="105"/>
        <v>NMF</v>
      </c>
      <c r="BH110" s="378" t="str">
        <f t="shared" si="105"/>
        <v>NMF</v>
      </c>
      <c r="BI110" s="417" t="str">
        <f t="shared" si="105"/>
        <v>NMF</v>
      </c>
      <c r="BJ110" s="1130" t="str">
        <f>IF(OR(BE109&lt;0,BJ109&lt;0),"NMF",BJ109/BE109-1)</f>
        <v>NMF</v>
      </c>
      <c r="BK110" s="378" t="str">
        <f t="shared" si="105"/>
        <v>NMF</v>
      </c>
      <c r="BL110" s="378" t="str">
        <f t="shared" si="105"/>
        <v>NMF</v>
      </c>
      <c r="BM110" s="378" t="str">
        <f t="shared" si="105"/>
        <v>NMF</v>
      </c>
      <c r="BN110" s="417" t="str">
        <f t="shared" si="105"/>
        <v>NMF</v>
      </c>
      <c r="BO110" s="378" t="str">
        <f>IF(OR(BJ109&lt;0,BO109&lt;0),"NMF",BO109/BJ109-1)</f>
        <v>NMF</v>
      </c>
      <c r="BP110" s="378" t="str">
        <f>IF(OR(BK109&lt;0,BP109&lt;0),"NMF",BP109/BK109-1)</f>
        <v>NMF</v>
      </c>
      <c r="BQ110" s="378" t="str">
        <f>IF(OR(BL109&lt;0,BQ109&lt;0),"NMF",BQ109/BL109-1)</f>
        <v>NMF</v>
      </c>
      <c r="BR110" s="378" t="str">
        <f>IF(OR(BM109&lt;0,BR109&lt;0),"NMF",BR109/BM109-1)</f>
        <v>NMF</v>
      </c>
      <c r="BS110" s="417" t="str">
        <f>IF(OR(BN109&lt;0,BS109&lt;0),"NMF",BS109/BN109-1)</f>
        <v>NMF</v>
      </c>
      <c r="BT110" s="417" t="str">
        <f>IF(OR(BS109&lt;0,BT109&lt;0),"NMF",BT109/BS109-1)</f>
        <v>NMF</v>
      </c>
      <c r="BU110" s="417" t="str">
        <f>IF(OR(BT109&lt;0,BU109&lt;0),"NMF",BU109/BT109-1)</f>
        <v>NMF</v>
      </c>
      <c r="BV110" s="417" t="str">
        <f>IF(OR(BU109&lt;0,BV109&lt;0),"NMF",BV109/BU109-1)</f>
        <v>NMF</v>
      </c>
      <c r="BW110" s="176"/>
    </row>
    <row r="111" spans="1:75" s="217" customFormat="1" x14ac:dyDescent="0.5">
      <c r="A111" s="211" t="s">
        <v>2258</v>
      </c>
      <c r="B111" s="493"/>
      <c r="C111" s="423"/>
      <c r="D111" s="423"/>
      <c r="E111" s="423">
        <f t="shared" ref="E111:BP111" si="106">E109/E91</f>
        <v>-2.330013762815656E-2</v>
      </c>
      <c r="F111" s="423">
        <f t="shared" si="106"/>
        <v>-3.559567940262353E-2</v>
      </c>
      <c r="G111" s="422">
        <f t="shared" si="106"/>
        <v>-3.0172773326067319E-2</v>
      </c>
      <c r="H111" s="422">
        <f t="shared" si="106"/>
        <v>-1.2474370258190356E-2</v>
      </c>
      <c r="I111" s="422">
        <f t="shared" si="106"/>
        <v>-1.5465524942899843E-2</v>
      </c>
      <c r="J111" s="422">
        <f t="shared" si="106"/>
        <v>-1.4851032563242172E-2</v>
      </c>
      <c r="K111" s="423">
        <f t="shared" si="106"/>
        <v>-1.7490989176092431E-2</v>
      </c>
      <c r="L111" s="422">
        <f t="shared" si="106"/>
        <v>-0.10102006766963156</v>
      </c>
      <c r="M111" s="422">
        <f t="shared" si="106"/>
        <v>-7.8751138144511318E-2</v>
      </c>
      <c r="N111" s="422">
        <f t="shared" si="106"/>
        <v>-7.0984092234107135E-2</v>
      </c>
      <c r="O111" s="422">
        <f t="shared" si="106"/>
        <v>-0.17742444673399907</v>
      </c>
      <c r="P111" s="423">
        <f t="shared" si="106"/>
        <v>-0.11204661886605337</v>
      </c>
      <c r="Q111" s="422">
        <f t="shared" si="106"/>
        <v>-6.4203256113165227E-2</v>
      </c>
      <c r="R111" s="422">
        <f t="shared" si="106"/>
        <v>-3.9599228879597839E-2</v>
      </c>
      <c r="S111" s="422">
        <f t="shared" si="106"/>
        <v>-3.1376899921208457E-2</v>
      </c>
      <c r="T111" s="422">
        <f t="shared" si="106"/>
        <v>-2.1619648819259478E-2</v>
      </c>
      <c r="U111" s="423">
        <f t="shared" si="106"/>
        <v>-3.6157403600628399E-2</v>
      </c>
      <c r="V111" s="422">
        <f t="shared" si="106"/>
        <v>-5.6344567724808385E-2</v>
      </c>
      <c r="W111" s="422">
        <f t="shared" si="106"/>
        <v>-6.1924343777321422E-2</v>
      </c>
      <c r="X111" s="422">
        <f t="shared" si="106"/>
        <v>-7.152433185339957E-2</v>
      </c>
      <c r="Y111" s="422">
        <f t="shared" si="106"/>
        <v>-4.4444263878548711E-2</v>
      </c>
      <c r="Z111" s="423">
        <f t="shared" si="106"/>
        <v>-5.8046184430060661E-2</v>
      </c>
      <c r="AA111" s="422">
        <f t="shared" si="106"/>
        <v>-5.8497645252777515E-2</v>
      </c>
      <c r="AB111" s="422">
        <f t="shared" si="106"/>
        <v>-3.3443291036428506E-2</v>
      </c>
      <c r="AC111" s="422">
        <f t="shared" si="106"/>
        <v>-6.1723521488101243E-2</v>
      </c>
      <c r="AD111" s="422">
        <f t="shared" si="106"/>
        <v>-4.7072443947808448E-2</v>
      </c>
      <c r="AE111" s="423">
        <f t="shared" si="106"/>
        <v>-4.987465300541518E-2</v>
      </c>
      <c r="AF111" s="422">
        <f t="shared" si="106"/>
        <v>-7.3396906148323365E-2</v>
      </c>
      <c r="AG111" s="422">
        <f t="shared" si="106"/>
        <v>-5.7597737147607339E-2</v>
      </c>
      <c r="AH111" s="422">
        <f t="shared" si="106"/>
        <v>-8.5167781103336324E-2</v>
      </c>
      <c r="AI111" s="422">
        <f t="shared" si="106"/>
        <v>-6.4351907940599987E-2</v>
      </c>
      <c r="AJ111" s="423">
        <f t="shared" si="106"/>
        <v>-6.9813667564809515E-2</v>
      </c>
      <c r="AK111" s="422">
        <f t="shared" si="106"/>
        <v>-9.9563509182555451E-2</v>
      </c>
      <c r="AL111" s="422">
        <f t="shared" si="106"/>
        <v>-7.3051073060461685E-2</v>
      </c>
      <c r="AM111" s="422">
        <f t="shared" si="106"/>
        <v>-0.11264821705782767</v>
      </c>
      <c r="AN111" s="422">
        <f t="shared" si="106"/>
        <v>-0.12055346577251111</v>
      </c>
      <c r="AO111" s="423">
        <f t="shared" si="106"/>
        <v>-0.10188837431386696</v>
      </c>
      <c r="AP111" s="422">
        <f t="shared" si="106"/>
        <v>-0.11247249537888031</v>
      </c>
      <c r="AQ111" s="422">
        <f t="shared" si="106"/>
        <v>6.9691256383761613E-2</v>
      </c>
      <c r="AR111" s="422">
        <f t="shared" si="106"/>
        <v>5.7780949429233057E-2</v>
      </c>
      <c r="AS111" s="422">
        <f t="shared" si="106"/>
        <v>2.7395554872698499E-2</v>
      </c>
      <c r="AT111" s="423">
        <f t="shared" si="106"/>
        <v>2.5475081363542412E-2</v>
      </c>
      <c r="AU111" s="422">
        <f t="shared" si="106"/>
        <v>7.5749428184124345E-3</v>
      </c>
      <c r="AV111" s="422">
        <f t="shared" si="106"/>
        <v>3.7641544307302065E-2</v>
      </c>
      <c r="AW111" s="422">
        <f t="shared" si="106"/>
        <v>-2.2363391169026903E-2</v>
      </c>
      <c r="AX111" s="422">
        <f t="shared" si="106"/>
        <v>-6.0263431672506258E-2</v>
      </c>
      <c r="AY111" s="423">
        <f t="shared" si="106"/>
        <v>-6.85730960023344E-3</v>
      </c>
      <c r="AZ111" s="422">
        <f t="shared" si="106"/>
        <v>-0.10357500835282325</v>
      </c>
      <c r="BA111" s="422">
        <f t="shared" si="106"/>
        <v>-0.11327649208282582</v>
      </c>
      <c r="BB111" s="422">
        <f t="shared" si="106"/>
        <v>-0.13098591549295774</v>
      </c>
      <c r="BC111" s="422">
        <f t="shared" si="106"/>
        <v>-0.10641728474685586</v>
      </c>
      <c r="BD111" s="423">
        <f t="shared" si="106"/>
        <v>-0.11327549517105909</v>
      </c>
      <c r="BE111" s="422">
        <f t="shared" si="106"/>
        <v>-0.12509012256669069</v>
      </c>
      <c r="BF111" s="422">
        <f t="shared" si="106"/>
        <v>-4.4780826237779882E-2</v>
      </c>
      <c r="BG111" s="422">
        <f t="shared" si="106"/>
        <v>-5.1630434782608696E-2</v>
      </c>
      <c r="BH111" s="422">
        <f t="shared" si="106"/>
        <v>-5.5234425176621707E-2</v>
      </c>
      <c r="BI111" s="423">
        <f t="shared" si="106"/>
        <v>-6.7733066733316666E-2</v>
      </c>
      <c r="BJ111" s="1034">
        <f>BJ109/BJ91</f>
        <v>-8.611212898497618E-2</v>
      </c>
      <c r="BK111" s="422">
        <f t="shared" si="106"/>
        <v>-6.1465468306527903E-2</v>
      </c>
      <c r="BL111" s="422">
        <f t="shared" si="106"/>
        <v>-4.9630434782608646E-2</v>
      </c>
      <c r="BM111" s="422">
        <f t="shared" si="106"/>
        <v>-5.3234425176621719E-2</v>
      </c>
      <c r="BN111" s="423">
        <f t="shared" si="106"/>
        <v>-6.1952906208313785E-2</v>
      </c>
      <c r="BO111" s="422">
        <f t="shared" si="106"/>
        <v>-3.5163796262367208E-2</v>
      </c>
      <c r="BP111" s="422">
        <f t="shared" si="106"/>
        <v>-5.9465468306527901E-2</v>
      </c>
      <c r="BQ111" s="422">
        <f t="shared" ref="BQ111:BX111" si="107">BQ109/BQ91</f>
        <v>-4.7630434782608699E-2</v>
      </c>
      <c r="BR111" s="422">
        <f t="shared" si="107"/>
        <v>-5.1234425176621655E-2</v>
      </c>
      <c r="BS111" s="423">
        <f t="shared" si="107"/>
        <v>-4.8907851239017822E-2</v>
      </c>
      <c r="BT111" s="423">
        <f t="shared" si="107"/>
        <v>-3.1907851239017931E-2</v>
      </c>
      <c r="BU111" s="423">
        <f t="shared" si="107"/>
        <v>-1.4907851239017814E-2</v>
      </c>
      <c r="BV111" s="423">
        <f t="shared" si="107"/>
        <v>2.092148760982192E-3</v>
      </c>
      <c r="BW111" s="216"/>
    </row>
    <row r="112" spans="1:75" s="224" customFormat="1" x14ac:dyDescent="0.5">
      <c r="A112" s="218" t="s">
        <v>2259</v>
      </c>
      <c r="B112" s="494"/>
      <c r="C112" s="425"/>
      <c r="D112" s="425"/>
      <c r="E112" s="425"/>
      <c r="F112" s="425">
        <f>(F111-E111)*10000</f>
        <v>-122.9554177446697</v>
      </c>
      <c r="G112" s="487"/>
      <c r="H112" s="487"/>
      <c r="I112" s="487"/>
      <c r="J112" s="487"/>
      <c r="K112" s="425">
        <f t="shared" ref="K112:BS112" si="108">(K111-F111)*10000</f>
        <v>181.04690226531099</v>
      </c>
      <c r="L112" s="487">
        <f t="shared" si="108"/>
        <v>-708.47294343564238</v>
      </c>
      <c r="M112" s="487">
        <f t="shared" si="108"/>
        <v>-662.76767886320965</v>
      </c>
      <c r="N112" s="487">
        <f t="shared" si="108"/>
        <v>-555.18567291207296</v>
      </c>
      <c r="O112" s="487">
        <f t="shared" si="108"/>
        <v>-1625.7341417075691</v>
      </c>
      <c r="P112" s="425">
        <f t="shared" si="108"/>
        <v>-945.55629689960938</v>
      </c>
      <c r="Q112" s="487">
        <f t="shared" si="108"/>
        <v>368.16811556466337</v>
      </c>
      <c r="R112" s="487">
        <f t="shared" si="108"/>
        <v>391.51909264913479</v>
      </c>
      <c r="S112" s="487">
        <f t="shared" si="108"/>
        <v>396.07192312898678</v>
      </c>
      <c r="T112" s="487">
        <f t="shared" si="108"/>
        <v>1558.0479791473958</v>
      </c>
      <c r="U112" s="425">
        <f t="shared" si="108"/>
        <v>758.89215265424968</v>
      </c>
      <c r="V112" s="487">
        <f t="shared" si="108"/>
        <v>78.586883883568419</v>
      </c>
      <c r="W112" s="487">
        <f t="shared" si="108"/>
        <v>-223.25114897723583</v>
      </c>
      <c r="X112" s="487">
        <f t="shared" si="108"/>
        <v>-401.47431932191114</v>
      </c>
      <c r="Y112" s="487">
        <f t="shared" si="108"/>
        <v>-228.24615059289232</v>
      </c>
      <c r="Z112" s="425">
        <f t="shared" si="108"/>
        <v>-218.88780829432264</v>
      </c>
      <c r="AA112" s="487">
        <f t="shared" si="108"/>
        <v>-21.530775279691301</v>
      </c>
      <c r="AB112" s="487">
        <f t="shared" si="108"/>
        <v>284.81052740892915</v>
      </c>
      <c r="AC112" s="487">
        <f t="shared" si="108"/>
        <v>98.008103652983266</v>
      </c>
      <c r="AD112" s="487">
        <f t="shared" si="108"/>
        <v>-26.281800692597376</v>
      </c>
      <c r="AE112" s="425">
        <f t="shared" si="108"/>
        <v>81.71531424645481</v>
      </c>
      <c r="AF112" s="487">
        <f t="shared" si="108"/>
        <v>-148.99260895545851</v>
      </c>
      <c r="AG112" s="487">
        <f t="shared" si="108"/>
        <v>-241.54446111178834</v>
      </c>
      <c r="AH112" s="487">
        <f t="shared" si="108"/>
        <v>-234.4425961523508</v>
      </c>
      <c r="AI112" s="487">
        <f t="shared" si="108"/>
        <v>-172.79463992791537</v>
      </c>
      <c r="AJ112" s="425">
        <f t="shared" si="108"/>
        <v>-199.39014559394334</v>
      </c>
      <c r="AK112" s="487">
        <f t="shared" si="108"/>
        <v>-261.66603034232088</v>
      </c>
      <c r="AL112" s="487">
        <f t="shared" si="108"/>
        <v>-154.53335912854345</v>
      </c>
      <c r="AM112" s="487">
        <f t="shared" si="108"/>
        <v>-274.80435954491344</v>
      </c>
      <c r="AN112" s="487">
        <f t="shared" si="108"/>
        <v>-562.01557831911123</v>
      </c>
      <c r="AO112" s="425">
        <f t="shared" si="108"/>
        <v>-320.74706749057452</v>
      </c>
      <c r="AP112" s="487">
        <f t="shared" si="108"/>
        <v>-129.08986196324855</v>
      </c>
      <c r="AQ112" s="487">
        <f t="shared" si="108"/>
        <v>1427.4232944422329</v>
      </c>
      <c r="AR112" s="487">
        <f t="shared" si="108"/>
        <v>1704.2916648706073</v>
      </c>
      <c r="AS112" s="487">
        <f t="shared" si="108"/>
        <v>1479.4902064520959</v>
      </c>
      <c r="AT112" s="425">
        <f t="shared" si="108"/>
        <v>1273.6345567740937</v>
      </c>
      <c r="AU112" s="487">
        <f t="shared" si="108"/>
        <v>1200.4743819729274</v>
      </c>
      <c r="AV112" s="487">
        <f t="shared" si="108"/>
        <v>-320.49712076459548</v>
      </c>
      <c r="AW112" s="487">
        <f t="shared" si="108"/>
        <v>-801.44340598259964</v>
      </c>
      <c r="AX112" s="487">
        <f t="shared" si="108"/>
        <v>-876.58986545204766</v>
      </c>
      <c r="AY112" s="425">
        <f t="shared" si="108"/>
        <v>-323.32390963775856</v>
      </c>
      <c r="AZ112" s="487">
        <f t="shared" si="108"/>
        <v>-1111.4995117123569</v>
      </c>
      <c r="BA112" s="487">
        <f t="shared" si="108"/>
        <v>-1509.1803639012787</v>
      </c>
      <c r="BB112" s="487">
        <f t="shared" si="108"/>
        <v>-1086.2252432393084</v>
      </c>
      <c r="BC112" s="487">
        <f t="shared" si="108"/>
        <v>-461.53853074349598</v>
      </c>
      <c r="BD112" s="425">
        <f t="shared" si="108"/>
        <v>-1064.1818557082565</v>
      </c>
      <c r="BE112" s="487">
        <f t="shared" si="108"/>
        <v>-215.1511421386744</v>
      </c>
      <c r="BF112" s="487">
        <f t="shared" si="108"/>
        <v>684.95665845045937</v>
      </c>
      <c r="BG112" s="487">
        <f t="shared" si="108"/>
        <v>793.55480710349036</v>
      </c>
      <c r="BH112" s="487">
        <f t="shared" si="108"/>
        <v>511.82859570234149</v>
      </c>
      <c r="BI112" s="425">
        <f t="shared" si="108"/>
        <v>455.42428437742421</v>
      </c>
      <c r="BJ112" s="981">
        <f>(BJ111-BE111)*10000</f>
        <v>389.77993581714514</v>
      </c>
      <c r="BK112" s="487">
        <f t="shared" si="108"/>
        <v>-166.84642068748022</v>
      </c>
      <c r="BL112" s="487">
        <f t="shared" si="108"/>
        <v>20.000000000000504</v>
      </c>
      <c r="BM112" s="487">
        <f t="shared" si="108"/>
        <v>19.999999999999879</v>
      </c>
      <c r="BN112" s="425">
        <f t="shared" si="108"/>
        <v>57.801605250028807</v>
      </c>
      <c r="BO112" s="487">
        <f t="shared" si="108"/>
        <v>509.48332722608973</v>
      </c>
      <c r="BP112" s="487">
        <f t="shared" si="108"/>
        <v>20.000000000000018</v>
      </c>
      <c r="BQ112" s="487">
        <f t="shared" si="108"/>
        <v>19.999999999999464</v>
      </c>
      <c r="BR112" s="487">
        <f t="shared" si="108"/>
        <v>20.000000000000643</v>
      </c>
      <c r="BS112" s="425">
        <f t="shared" si="108"/>
        <v>130.45054969295964</v>
      </c>
      <c r="BT112" s="425">
        <f>(BT111-BS111)*10000</f>
        <v>169.99999999999889</v>
      </c>
      <c r="BU112" s="425">
        <f>(BU111-BT111)*10000</f>
        <v>170.00000000000119</v>
      </c>
      <c r="BV112" s="425">
        <f>(BV111-BU111)*10000</f>
        <v>170.00000000000006</v>
      </c>
      <c r="BW112" s="223"/>
    </row>
    <row r="113" spans="1:75" ht="7.5" customHeight="1" x14ac:dyDescent="0.5">
      <c r="A113" s="752"/>
      <c r="B113" s="489"/>
      <c r="C113" s="401"/>
      <c r="D113" s="401"/>
      <c r="E113" s="401"/>
      <c r="F113" s="401"/>
      <c r="G113" s="118"/>
      <c r="H113" s="118"/>
      <c r="I113" s="118"/>
      <c r="J113" s="118"/>
      <c r="K113" s="401"/>
      <c r="L113" s="118"/>
      <c r="M113" s="118"/>
      <c r="N113" s="118"/>
      <c r="O113" s="118"/>
      <c r="P113" s="401"/>
      <c r="Q113" s="118"/>
      <c r="R113" s="118"/>
      <c r="S113" s="118"/>
      <c r="T113" s="118"/>
      <c r="U113" s="401"/>
      <c r="V113" s="118"/>
      <c r="W113" s="118"/>
      <c r="X113" s="118"/>
      <c r="Y113" s="118"/>
      <c r="Z113" s="401"/>
      <c r="AA113" s="118"/>
      <c r="AB113" s="118"/>
      <c r="AC113" s="118"/>
      <c r="AD113" s="118"/>
      <c r="AE113" s="401"/>
      <c r="AF113" s="118"/>
      <c r="AG113" s="118"/>
      <c r="AH113" s="118"/>
      <c r="AI113" s="118"/>
      <c r="AJ113" s="401"/>
      <c r="AK113" s="118"/>
      <c r="AL113" s="118"/>
      <c r="AM113" s="118"/>
      <c r="AN113" s="118"/>
      <c r="AO113" s="401"/>
      <c r="AP113" s="118"/>
      <c r="AQ113" s="118"/>
      <c r="AR113" s="118"/>
      <c r="AS113" s="118"/>
      <c r="AT113" s="401"/>
      <c r="AU113" s="118"/>
      <c r="AV113" s="118"/>
      <c r="AW113" s="118"/>
      <c r="AX113" s="118"/>
      <c r="AY113" s="401"/>
      <c r="AZ113" s="118"/>
      <c r="BA113" s="118"/>
      <c r="BB113" s="118"/>
      <c r="BC113" s="118"/>
      <c r="BD113" s="401"/>
      <c r="BE113" s="118"/>
      <c r="BF113" s="118"/>
      <c r="BG113" s="118"/>
      <c r="BH113" s="118"/>
      <c r="BI113" s="401"/>
      <c r="BJ113" s="971"/>
      <c r="BK113" s="118"/>
      <c r="BL113" s="118"/>
      <c r="BM113" s="118"/>
      <c r="BN113" s="401"/>
      <c r="BO113" s="118"/>
      <c r="BP113" s="118"/>
      <c r="BQ113" s="118"/>
      <c r="BR113" s="118"/>
      <c r="BS113" s="401"/>
      <c r="BT113" s="401"/>
      <c r="BU113" s="401"/>
      <c r="BV113" s="401"/>
      <c r="BW113" s="122"/>
    </row>
    <row r="114" spans="1:75" ht="15" customHeight="1" x14ac:dyDescent="0.5">
      <c r="A114" s="184" t="s">
        <v>2260</v>
      </c>
      <c r="B114" s="489"/>
      <c r="C114" s="401"/>
      <c r="D114" s="401"/>
      <c r="E114" s="401"/>
      <c r="F114" s="401">
        <f t="shared" ref="F114:BI115" si="109">F242</f>
        <v>9.3350000000000009</v>
      </c>
      <c r="G114" s="118">
        <f t="shared" si="109"/>
        <v>2.8839999999999999</v>
      </c>
      <c r="H114" s="118">
        <f t="shared" si="109"/>
        <v>2.9790000000000005</v>
      </c>
      <c r="I114" s="118">
        <f t="shared" si="109"/>
        <v>3.4889999999999999</v>
      </c>
      <c r="J114" s="118">
        <f t="shared" si="109"/>
        <v>3.738999999999999</v>
      </c>
      <c r="K114" s="401">
        <f t="shared" si="109"/>
        <v>13.090999999999999</v>
      </c>
      <c r="L114" s="118">
        <f t="shared" si="109"/>
        <v>4.1980000000000004</v>
      </c>
      <c r="M114" s="118">
        <f t="shared" si="109"/>
        <v>4.6929999999999996</v>
      </c>
      <c r="N114" s="118">
        <f t="shared" si="109"/>
        <v>5.5470000000000006</v>
      </c>
      <c r="O114" s="118">
        <f t="shared" si="109"/>
        <v>7.5649999999999995</v>
      </c>
      <c r="P114" s="401">
        <f t="shared" si="109"/>
        <v>22.003</v>
      </c>
      <c r="Q114" s="118">
        <f t="shared" si="109"/>
        <v>6.7439999999999998</v>
      </c>
      <c r="R114" s="118">
        <f t="shared" si="109"/>
        <v>7.4</v>
      </c>
      <c r="S114" s="118">
        <f t="shared" si="109"/>
        <v>9.206999999999999</v>
      </c>
      <c r="T114" s="118">
        <f t="shared" si="109"/>
        <v>9.0949999999999989</v>
      </c>
      <c r="U114" s="401">
        <f t="shared" si="109"/>
        <v>32.445999999999998</v>
      </c>
      <c r="V114" s="118">
        <f t="shared" si="109"/>
        <v>10.487</v>
      </c>
      <c r="W114" s="118">
        <f t="shared" si="109"/>
        <v>12.578000000000001</v>
      </c>
      <c r="X114" s="118">
        <f t="shared" si="109"/>
        <v>15.462999999999997</v>
      </c>
      <c r="Y114" s="118">
        <f t="shared" si="109"/>
        <v>17.044000000000004</v>
      </c>
      <c r="Z114" s="401">
        <f t="shared" si="109"/>
        <v>55.572000000000003</v>
      </c>
      <c r="AA114" s="118">
        <f t="shared" si="109"/>
        <v>20.352</v>
      </c>
      <c r="AB114" s="118">
        <f t="shared" si="109"/>
        <v>19.322999999999997</v>
      </c>
      <c r="AC114" s="118">
        <f t="shared" si="109"/>
        <v>22.913000000000004</v>
      </c>
      <c r="AD114" s="118">
        <f t="shared" si="109"/>
        <v>24.431999999999995</v>
      </c>
      <c r="AE114" s="401">
        <f t="shared" si="109"/>
        <v>87.02</v>
      </c>
      <c r="AF114" s="118">
        <f t="shared" si="109"/>
        <v>25.962</v>
      </c>
      <c r="AG114" s="118">
        <f t="shared" si="109"/>
        <v>28.919999999999998</v>
      </c>
      <c r="AH114" s="118">
        <f t="shared" si="109"/>
        <v>32.544000000000004</v>
      </c>
      <c r="AI114" s="118">
        <f t="shared" si="109"/>
        <v>36.116</v>
      </c>
      <c r="AJ114" s="401">
        <f t="shared" si="109"/>
        <v>123.542</v>
      </c>
      <c r="AK114" s="118">
        <f t="shared" si="109"/>
        <v>39.582999999999998</v>
      </c>
      <c r="AL114" s="118">
        <f t="shared" si="109"/>
        <v>44.338999999999999</v>
      </c>
      <c r="AM114" s="118">
        <f t="shared" si="109"/>
        <v>50.25</v>
      </c>
      <c r="AN114" s="118">
        <f t="shared" si="109"/>
        <v>58.247000000000014</v>
      </c>
      <c r="AO114" s="401">
        <f t="shared" si="109"/>
        <v>192.41900000000001</v>
      </c>
      <c r="AP114" s="118">
        <f t="shared" si="109"/>
        <v>66.843000000000004</v>
      </c>
      <c r="AQ114" s="118">
        <f t="shared" si="109"/>
        <v>69.11399999999999</v>
      </c>
      <c r="AR114" s="118">
        <f t="shared" si="109"/>
        <v>72.575000000000017</v>
      </c>
      <c r="AS114" s="118">
        <f t="shared" si="109"/>
        <v>77.179000000000002</v>
      </c>
      <c r="AT114" s="401">
        <f t="shared" si="109"/>
        <v>285.71100000000001</v>
      </c>
      <c r="AU114" s="118">
        <f t="shared" si="109"/>
        <v>80.311999999999998</v>
      </c>
      <c r="AV114" s="118">
        <f t="shared" si="109"/>
        <v>77.924999999999997</v>
      </c>
      <c r="AW114" s="118">
        <f t="shared" si="109"/>
        <v>81.917000000000002</v>
      </c>
      <c r="AX114" s="118">
        <f t="shared" si="109"/>
        <v>81.846000000000004</v>
      </c>
      <c r="AY114" s="401">
        <f t="shared" si="109"/>
        <v>322</v>
      </c>
      <c r="AZ114" s="118">
        <f t="shared" si="109"/>
        <v>85</v>
      </c>
      <c r="BA114" s="118">
        <f t="shared" si="109"/>
        <v>91</v>
      </c>
      <c r="BB114" s="118">
        <f t="shared" si="109"/>
        <v>94</v>
      </c>
      <c r="BC114" s="118">
        <f t="shared" si="109"/>
        <v>101</v>
      </c>
      <c r="BD114" s="401">
        <f t="shared" si="109"/>
        <v>371</v>
      </c>
      <c r="BE114" s="118">
        <f t="shared" si="109"/>
        <v>104</v>
      </c>
      <c r="BF114" s="118">
        <f t="shared" si="109"/>
        <v>102</v>
      </c>
      <c r="BG114" s="118">
        <f t="shared" si="109"/>
        <v>106</v>
      </c>
      <c r="BH114" s="118">
        <f t="shared" si="109"/>
        <v>105</v>
      </c>
      <c r="BI114" s="401">
        <f t="shared" si="109"/>
        <v>417</v>
      </c>
      <c r="BJ114" s="971">
        <f>BJ242</f>
        <v>104</v>
      </c>
      <c r="BK114" s="118">
        <f>BK930</f>
        <v>105.07857021857923</v>
      </c>
      <c r="BL114" s="118">
        <f>BL930</f>
        <v>97.507028696407787</v>
      </c>
      <c r="BM114" s="118">
        <f>BM930</f>
        <v>97.127508206673753</v>
      </c>
      <c r="BN114" s="401">
        <f>SUM(BJ114,BK114,BL114,BM114)</f>
        <v>403.71310712166076</v>
      </c>
      <c r="BO114" s="118">
        <f>BO930</f>
        <v>94.956027591867411</v>
      </c>
      <c r="BP114" s="118">
        <f>BP930</f>
        <v>95.984947677028302</v>
      </c>
      <c r="BQ114" s="118">
        <f>BQ930</f>
        <v>96.871430783817445</v>
      </c>
      <c r="BR114" s="118">
        <f>BR930</f>
        <v>96.581016926011245</v>
      </c>
      <c r="BS114" s="401">
        <f>SUM(BO114,BP114,BQ114,BR114)</f>
        <v>384.3934229787244</v>
      </c>
      <c r="BT114" s="401">
        <f>BT930</f>
        <v>389.92123207235119</v>
      </c>
      <c r="BU114" s="401">
        <f>BU930</f>
        <v>383.88007251962307</v>
      </c>
      <c r="BV114" s="401">
        <f>BV930</f>
        <v>381.25811070353592</v>
      </c>
      <c r="BW114" s="122"/>
    </row>
    <row r="115" spans="1:75" s="123" customFormat="1" x14ac:dyDescent="0.5">
      <c r="A115" s="184" t="s">
        <v>2261</v>
      </c>
      <c r="B115" s="489"/>
      <c r="C115" s="401"/>
      <c r="D115" s="401"/>
      <c r="E115" s="401"/>
      <c r="F115" s="401">
        <f t="shared" si="109"/>
        <v>0</v>
      </c>
      <c r="G115" s="118">
        <f t="shared" si="109"/>
        <v>0</v>
      </c>
      <c r="H115" s="118">
        <f t="shared" si="109"/>
        <v>0</v>
      </c>
      <c r="I115" s="118">
        <f t="shared" si="109"/>
        <v>0</v>
      </c>
      <c r="J115" s="118">
        <f t="shared" si="109"/>
        <v>0</v>
      </c>
      <c r="K115" s="401">
        <f t="shared" si="109"/>
        <v>0</v>
      </c>
      <c r="L115" s="118">
        <f t="shared" si="109"/>
        <v>4.5540000000000003</v>
      </c>
      <c r="M115" s="118">
        <f t="shared" si="109"/>
        <v>0.97399999999999931</v>
      </c>
      <c r="N115" s="118">
        <f t="shared" si="109"/>
        <v>0</v>
      </c>
      <c r="O115" s="118">
        <f t="shared" si="109"/>
        <v>55.280999999999999</v>
      </c>
      <c r="P115" s="401">
        <f t="shared" si="109"/>
        <v>60.808999999999997</v>
      </c>
      <c r="Q115" s="118">
        <f t="shared" si="109"/>
        <v>7.6420000000000003</v>
      </c>
      <c r="R115" s="118">
        <f t="shared" si="109"/>
        <v>6.5919999999999996</v>
      </c>
      <c r="S115" s="118">
        <f t="shared" si="109"/>
        <v>7.5069999999999997</v>
      </c>
      <c r="T115" s="118">
        <f t="shared" si="109"/>
        <v>9.2740000000000009</v>
      </c>
      <c r="U115" s="401">
        <f t="shared" si="109"/>
        <v>31.015000000000001</v>
      </c>
      <c r="V115" s="118">
        <f t="shared" si="109"/>
        <v>9.7149999999999999</v>
      </c>
      <c r="W115" s="118">
        <f t="shared" si="109"/>
        <v>10.747</v>
      </c>
      <c r="X115" s="118">
        <f t="shared" si="109"/>
        <v>14.726000000000003</v>
      </c>
      <c r="Y115" s="118">
        <f t="shared" si="109"/>
        <v>14.213999999999999</v>
      </c>
      <c r="Z115" s="401">
        <f t="shared" si="109"/>
        <v>49.402000000000001</v>
      </c>
      <c r="AA115" s="118">
        <f t="shared" si="109"/>
        <v>13.629</v>
      </c>
      <c r="AB115" s="118">
        <f t="shared" si="109"/>
        <v>14.833</v>
      </c>
      <c r="AC115" s="118">
        <f t="shared" si="109"/>
        <v>18.278000000000002</v>
      </c>
      <c r="AD115" s="118">
        <f t="shared" si="109"/>
        <v>21.1</v>
      </c>
      <c r="AE115" s="401">
        <f t="shared" si="109"/>
        <v>67.84</v>
      </c>
      <c r="AF115" s="118">
        <f t="shared" si="109"/>
        <v>24.4</v>
      </c>
      <c r="AG115" s="118">
        <f t="shared" si="109"/>
        <v>29.813000000000002</v>
      </c>
      <c r="AH115" s="118">
        <f t="shared" si="109"/>
        <v>33.934999999999995</v>
      </c>
      <c r="AI115" s="118">
        <f t="shared" si="109"/>
        <v>39.415999999999997</v>
      </c>
      <c r="AJ115" s="401">
        <f t="shared" si="109"/>
        <v>127.56399999999999</v>
      </c>
      <c r="AK115" s="118">
        <f t="shared" si="109"/>
        <v>47.06</v>
      </c>
      <c r="AL115" s="118">
        <f t="shared" si="109"/>
        <v>53.186999999999998</v>
      </c>
      <c r="AM115" s="118">
        <f t="shared" si="109"/>
        <v>61.76700000000001</v>
      </c>
      <c r="AN115" s="118">
        <f t="shared" si="109"/>
        <v>65.436999999999983</v>
      </c>
      <c r="AO115" s="401">
        <f t="shared" si="109"/>
        <v>227.45099999999999</v>
      </c>
      <c r="AP115" s="118">
        <f t="shared" si="109"/>
        <v>59.448999999999998</v>
      </c>
      <c r="AQ115" s="118">
        <f t="shared" si="109"/>
        <v>67.632000000000005</v>
      </c>
      <c r="AR115" s="118">
        <f t="shared" si="109"/>
        <v>70.118000000000009</v>
      </c>
      <c r="AS115" s="118">
        <f t="shared" si="109"/>
        <v>79.009000000000015</v>
      </c>
      <c r="AT115" s="401">
        <f t="shared" si="109"/>
        <v>276.20800000000003</v>
      </c>
      <c r="AU115" s="118">
        <f t="shared" si="109"/>
        <v>74.524000000000001</v>
      </c>
      <c r="AV115" s="118">
        <f t="shared" si="109"/>
        <v>79.359000000000009</v>
      </c>
      <c r="AW115" s="118">
        <f t="shared" si="109"/>
        <v>83.19</v>
      </c>
      <c r="AX115" s="118">
        <f t="shared" si="109"/>
        <v>106.92699999999999</v>
      </c>
      <c r="AY115" s="401">
        <f t="shared" si="109"/>
        <v>344</v>
      </c>
      <c r="AZ115" s="118">
        <f t="shared" si="109"/>
        <v>104</v>
      </c>
      <c r="BA115" s="118">
        <f t="shared" si="109"/>
        <v>129</v>
      </c>
      <c r="BB115" s="118">
        <f t="shared" si="109"/>
        <v>122</v>
      </c>
      <c r="BC115" s="118">
        <f t="shared" si="109"/>
        <v>158</v>
      </c>
      <c r="BD115" s="401">
        <f t="shared" si="109"/>
        <v>513</v>
      </c>
      <c r="BE115" s="118">
        <f t="shared" si="109"/>
        <v>144</v>
      </c>
      <c r="BF115" s="118">
        <f t="shared" si="109"/>
        <v>164</v>
      </c>
      <c r="BG115" s="118">
        <f t="shared" si="109"/>
        <v>139</v>
      </c>
      <c r="BH115" s="118">
        <f t="shared" si="109"/>
        <v>158</v>
      </c>
      <c r="BI115" s="401">
        <f t="shared" si="109"/>
        <v>605</v>
      </c>
      <c r="BJ115" s="971">
        <f>BJ243</f>
        <v>119</v>
      </c>
      <c r="BK115" s="118">
        <f>BK243</f>
        <v>109.40393305800001</v>
      </c>
      <c r="BL115" s="118">
        <f>BL243</f>
        <v>101.57211571200004</v>
      </c>
      <c r="BM115" s="118">
        <f>BM243</f>
        <v>107.437353372</v>
      </c>
      <c r="BN115" s="401">
        <f>SUM(BJ115,BK115,BL115,BM115)</f>
        <v>437.41340214200005</v>
      </c>
      <c r="BO115" s="118">
        <f>BO243</f>
        <v>98.455781316000014</v>
      </c>
      <c r="BP115" s="118">
        <f>BP243</f>
        <v>116.0891697914422</v>
      </c>
      <c r="BQ115" s="118">
        <f>BQ243</f>
        <v>107.77878141469752</v>
      </c>
      <c r="BR115" s="118">
        <f>BR243</f>
        <v>114.00242028714946</v>
      </c>
      <c r="BS115" s="401">
        <f>SUM(BO115,BP115,BQ115,BR115)</f>
        <v>436.32615280928917</v>
      </c>
      <c r="BT115" s="401">
        <f>BT243</f>
        <v>467.52739967052872</v>
      </c>
      <c r="BU115" s="401">
        <f>BU243</f>
        <v>500.95981649356861</v>
      </c>
      <c r="BV115" s="401">
        <f>BV243</f>
        <v>536.78295201120716</v>
      </c>
      <c r="BW115" s="122"/>
    </row>
    <row r="116" spans="1:75" s="123" customFormat="1" x14ac:dyDescent="0.5">
      <c r="A116" s="184" t="s">
        <v>2262</v>
      </c>
      <c r="B116" s="489"/>
      <c r="C116" s="401"/>
      <c r="D116" s="401"/>
      <c r="E116" s="401"/>
      <c r="F116" s="401">
        <f t="shared" ref="F116:BI116" si="110">F200-F243</f>
        <v>0</v>
      </c>
      <c r="G116" s="118">
        <f t="shared" si="110"/>
        <v>0</v>
      </c>
      <c r="H116" s="118">
        <f t="shared" si="110"/>
        <v>0</v>
      </c>
      <c r="I116" s="118">
        <f t="shared" si="110"/>
        <v>0</v>
      </c>
      <c r="J116" s="118">
        <f t="shared" si="110"/>
        <v>0</v>
      </c>
      <c r="K116" s="401">
        <f t="shared" si="110"/>
        <v>0</v>
      </c>
      <c r="L116" s="118">
        <f t="shared" si="110"/>
        <v>0</v>
      </c>
      <c r="M116" s="118">
        <f t="shared" si="110"/>
        <v>0</v>
      </c>
      <c r="N116" s="118">
        <f t="shared" si="110"/>
        <v>0</v>
      </c>
      <c r="O116" s="118">
        <f t="shared" si="110"/>
        <v>2.4350000000000023</v>
      </c>
      <c r="P116" s="401">
        <f t="shared" si="110"/>
        <v>2.4350000000000023</v>
      </c>
      <c r="Q116" s="118">
        <f t="shared" si="110"/>
        <v>0.52000000000000046</v>
      </c>
      <c r="R116" s="118">
        <f t="shared" si="110"/>
        <v>0.50900000000000034</v>
      </c>
      <c r="S116" s="118">
        <f t="shared" si="110"/>
        <v>0.47800000000000065</v>
      </c>
      <c r="T116" s="118">
        <f t="shared" si="110"/>
        <v>0.4529999999999994</v>
      </c>
      <c r="U116" s="401">
        <f t="shared" si="110"/>
        <v>1.9600000000000009</v>
      </c>
      <c r="V116" s="118">
        <f t="shared" si="110"/>
        <v>0.94700000000000095</v>
      </c>
      <c r="W116" s="118">
        <f t="shared" si="110"/>
        <v>0.54800000000000004</v>
      </c>
      <c r="X116" s="118">
        <f t="shared" si="110"/>
        <v>0.58199999999999719</v>
      </c>
      <c r="Y116" s="118">
        <f t="shared" si="110"/>
        <v>0.47400000000000198</v>
      </c>
      <c r="Z116" s="401">
        <f t="shared" si="110"/>
        <v>2.5510000000000019</v>
      </c>
      <c r="AA116" s="118">
        <f t="shared" si="110"/>
        <v>1.3290000000000006</v>
      </c>
      <c r="AB116" s="118">
        <f t="shared" si="110"/>
        <v>1.1500000000000004</v>
      </c>
      <c r="AC116" s="118">
        <f t="shared" si="110"/>
        <v>1.3199999999999967</v>
      </c>
      <c r="AD116" s="118">
        <f t="shared" si="110"/>
        <v>0.98699999999999832</v>
      </c>
      <c r="AE116" s="401">
        <f t="shared" si="110"/>
        <v>4.7860000000000014</v>
      </c>
      <c r="AF116" s="118">
        <f t="shared" si="110"/>
        <v>2.7469999999999999</v>
      </c>
      <c r="AG116" s="118">
        <f t="shared" si="110"/>
        <v>1.796999999999997</v>
      </c>
      <c r="AH116" s="118">
        <f t="shared" si="110"/>
        <v>2.382000000000005</v>
      </c>
      <c r="AI116" s="118">
        <f t="shared" si="110"/>
        <v>1.9250000000000043</v>
      </c>
      <c r="AJ116" s="401">
        <f t="shared" si="110"/>
        <v>8.8509999999999991</v>
      </c>
      <c r="AK116" s="118">
        <f t="shared" si="110"/>
        <v>4.7729999999999961</v>
      </c>
      <c r="AL116" s="118">
        <f t="shared" si="110"/>
        <v>3.6679999999999993</v>
      </c>
      <c r="AM116" s="118">
        <f t="shared" si="110"/>
        <v>3.5079999999999956</v>
      </c>
      <c r="AN116" s="118">
        <f t="shared" si="110"/>
        <v>1.5780000000000172</v>
      </c>
      <c r="AO116" s="401">
        <f t="shared" si="110"/>
        <v>13.527000000000015</v>
      </c>
      <c r="AP116" s="118">
        <f t="shared" si="110"/>
        <v>4.5429999999999993</v>
      </c>
      <c r="AQ116" s="118">
        <f t="shared" si="110"/>
        <v>3.0689999999999884</v>
      </c>
      <c r="AR116" s="118">
        <f t="shared" si="110"/>
        <v>6.5649999999999977</v>
      </c>
      <c r="AS116" s="118">
        <f t="shared" si="110"/>
        <v>6.4869999999999806</v>
      </c>
      <c r="AT116" s="401">
        <f t="shared" si="110"/>
        <v>20.663999999999987</v>
      </c>
      <c r="AU116" s="118">
        <f t="shared" si="110"/>
        <v>12.376999999999995</v>
      </c>
      <c r="AV116" s="118">
        <f t="shared" si="110"/>
        <v>8.3489999999999895</v>
      </c>
      <c r="AW116" s="118">
        <f t="shared" si="110"/>
        <v>5.7420000000000044</v>
      </c>
      <c r="AX116" s="118">
        <f t="shared" si="110"/>
        <v>3.0730000000000075</v>
      </c>
      <c r="AY116" s="401">
        <f t="shared" si="110"/>
        <v>30</v>
      </c>
      <c r="AZ116" s="118">
        <f t="shared" si="110"/>
        <v>8</v>
      </c>
      <c r="BA116" s="118">
        <f t="shared" si="110"/>
        <v>4</v>
      </c>
      <c r="BB116" s="118">
        <f t="shared" si="110"/>
        <v>1</v>
      </c>
      <c r="BC116" s="118">
        <f t="shared" si="110"/>
        <v>1</v>
      </c>
      <c r="BD116" s="401">
        <f t="shared" si="110"/>
        <v>14</v>
      </c>
      <c r="BE116" s="118">
        <f t="shared" si="110"/>
        <v>7</v>
      </c>
      <c r="BF116" s="118">
        <f t="shared" si="110"/>
        <v>3</v>
      </c>
      <c r="BG116" s="118">
        <f t="shared" si="110"/>
        <v>7</v>
      </c>
      <c r="BH116" s="118">
        <f t="shared" si="110"/>
        <v>1</v>
      </c>
      <c r="BI116" s="401">
        <f t="shared" si="110"/>
        <v>18</v>
      </c>
      <c r="BJ116" s="971">
        <f>BJ200-BJ243</f>
        <v>8</v>
      </c>
      <c r="BK116" s="302">
        <v>7</v>
      </c>
      <c r="BL116" s="302">
        <v>7</v>
      </c>
      <c r="BM116" s="302">
        <v>7</v>
      </c>
      <c r="BN116" s="401">
        <f>SUM(BJ116,BK116,BL116,BM116)</f>
        <v>29</v>
      </c>
      <c r="BO116" s="302">
        <v>7</v>
      </c>
      <c r="BP116" s="302">
        <v>7</v>
      </c>
      <c r="BQ116" s="302">
        <v>7</v>
      </c>
      <c r="BR116" s="302">
        <v>7</v>
      </c>
      <c r="BS116" s="401">
        <f>SUM(BO116,BP116,BQ116,BR116)</f>
        <v>28</v>
      </c>
      <c r="BT116" s="403">
        <v>28</v>
      </c>
      <c r="BU116" s="403">
        <v>28</v>
      </c>
      <c r="BV116" s="403">
        <v>28</v>
      </c>
      <c r="BW116" s="122"/>
    </row>
    <row r="117" spans="1:75" s="123" customFormat="1" x14ac:dyDescent="0.5">
      <c r="A117" s="184" t="s">
        <v>2263</v>
      </c>
      <c r="B117" s="489"/>
      <c r="C117" s="401"/>
      <c r="D117" s="401"/>
      <c r="E117" s="401"/>
      <c r="F117" s="401">
        <f t="shared" ref="F117:BG117" si="111">+F203</f>
        <v>0</v>
      </c>
      <c r="G117" s="118">
        <f t="shared" si="111"/>
        <v>0</v>
      </c>
      <c r="H117" s="118">
        <f t="shared" si="111"/>
        <v>0</v>
      </c>
      <c r="I117" s="118">
        <f t="shared" si="111"/>
        <v>0</v>
      </c>
      <c r="J117" s="118">
        <f t="shared" si="111"/>
        <v>0</v>
      </c>
      <c r="K117" s="401">
        <f t="shared" si="111"/>
        <v>0</v>
      </c>
      <c r="L117" s="118">
        <f t="shared" si="111"/>
        <v>0</v>
      </c>
      <c r="M117" s="118">
        <f t="shared" si="111"/>
        <v>0</v>
      </c>
      <c r="N117" s="118">
        <f t="shared" si="111"/>
        <v>0</v>
      </c>
      <c r="O117" s="118">
        <f t="shared" si="111"/>
        <v>0</v>
      </c>
      <c r="P117" s="401">
        <f t="shared" si="111"/>
        <v>0</v>
      </c>
      <c r="Q117" s="118">
        <f t="shared" si="111"/>
        <v>0</v>
      </c>
      <c r="R117" s="118">
        <f t="shared" si="111"/>
        <v>0</v>
      </c>
      <c r="S117" s="118">
        <f t="shared" si="111"/>
        <v>0</v>
      </c>
      <c r="T117" s="118">
        <f t="shared" si="111"/>
        <v>0</v>
      </c>
      <c r="U117" s="401">
        <f t="shared" si="111"/>
        <v>0</v>
      </c>
      <c r="V117" s="118">
        <f t="shared" si="111"/>
        <v>0</v>
      </c>
      <c r="W117" s="118">
        <f t="shared" si="111"/>
        <v>0</v>
      </c>
      <c r="X117" s="118">
        <f t="shared" si="111"/>
        <v>0</v>
      </c>
      <c r="Y117" s="118">
        <f t="shared" si="111"/>
        <v>0</v>
      </c>
      <c r="Z117" s="401">
        <f t="shared" si="111"/>
        <v>0</v>
      </c>
      <c r="AA117" s="118">
        <f t="shared" si="111"/>
        <v>0</v>
      </c>
      <c r="AB117" s="118">
        <f t="shared" si="111"/>
        <v>0</v>
      </c>
      <c r="AC117" s="118">
        <f t="shared" si="111"/>
        <v>0</v>
      </c>
      <c r="AD117" s="118">
        <f t="shared" si="111"/>
        <v>0</v>
      </c>
      <c r="AE117" s="401">
        <f t="shared" si="111"/>
        <v>0</v>
      </c>
      <c r="AF117" s="118">
        <f t="shared" si="111"/>
        <v>0</v>
      </c>
      <c r="AG117" s="118">
        <f t="shared" si="111"/>
        <v>0</v>
      </c>
      <c r="AH117" s="118">
        <f t="shared" si="111"/>
        <v>0</v>
      </c>
      <c r="AI117" s="118">
        <f t="shared" si="111"/>
        <v>0</v>
      </c>
      <c r="AJ117" s="401">
        <f t="shared" si="111"/>
        <v>0</v>
      </c>
      <c r="AK117" s="118">
        <f t="shared" si="111"/>
        <v>0</v>
      </c>
      <c r="AL117" s="118">
        <f t="shared" si="111"/>
        <v>0</v>
      </c>
      <c r="AM117" s="118">
        <f t="shared" si="111"/>
        <v>0</v>
      </c>
      <c r="AN117" s="118">
        <f t="shared" si="111"/>
        <v>0</v>
      </c>
      <c r="AO117" s="401">
        <f t="shared" si="111"/>
        <v>0</v>
      </c>
      <c r="AP117" s="118">
        <f t="shared" si="111"/>
        <v>0</v>
      </c>
      <c r="AQ117" s="118">
        <f t="shared" si="111"/>
        <v>0</v>
      </c>
      <c r="AR117" s="118">
        <f t="shared" si="111"/>
        <v>0</v>
      </c>
      <c r="AS117" s="118">
        <f t="shared" si="111"/>
        <v>0</v>
      </c>
      <c r="AT117" s="401">
        <f t="shared" si="111"/>
        <v>0</v>
      </c>
      <c r="AU117" s="118">
        <f t="shared" si="111"/>
        <v>0</v>
      </c>
      <c r="AV117" s="118">
        <f t="shared" si="111"/>
        <v>0</v>
      </c>
      <c r="AW117" s="118">
        <f t="shared" si="111"/>
        <v>0</v>
      </c>
      <c r="AX117" s="118">
        <f t="shared" si="111"/>
        <v>0</v>
      </c>
      <c r="AY117" s="401">
        <f t="shared" si="111"/>
        <v>0</v>
      </c>
      <c r="AZ117" s="118">
        <f t="shared" si="111"/>
        <v>0</v>
      </c>
      <c r="BA117" s="118">
        <f t="shared" si="111"/>
        <v>0</v>
      </c>
      <c r="BB117" s="118">
        <f t="shared" si="111"/>
        <v>31</v>
      </c>
      <c r="BC117" s="118">
        <f t="shared" si="111"/>
        <v>0</v>
      </c>
      <c r="BD117" s="401">
        <f t="shared" si="111"/>
        <v>31</v>
      </c>
      <c r="BE117" s="118">
        <f t="shared" si="111"/>
        <v>65</v>
      </c>
      <c r="BF117" s="118">
        <f t="shared" si="111"/>
        <v>0</v>
      </c>
      <c r="BG117" s="118">
        <f t="shared" si="111"/>
        <v>0</v>
      </c>
      <c r="BH117" s="118">
        <f>+BH203</f>
        <v>0</v>
      </c>
      <c r="BI117" s="401">
        <f>+BI203</f>
        <v>65</v>
      </c>
      <c r="BJ117" s="971">
        <f>+BJ203</f>
        <v>79</v>
      </c>
      <c r="BK117" s="302">
        <v>80</v>
      </c>
      <c r="BL117" s="302">
        <v>0</v>
      </c>
      <c r="BM117" s="302">
        <v>0</v>
      </c>
      <c r="BN117" s="401">
        <f>SUM(BJ117,BK117,BL117,BM117)</f>
        <v>159</v>
      </c>
      <c r="BO117" s="302">
        <v>0</v>
      </c>
      <c r="BP117" s="302">
        <v>0</v>
      </c>
      <c r="BQ117" s="302">
        <v>0</v>
      </c>
      <c r="BR117" s="302">
        <v>0</v>
      </c>
      <c r="BS117" s="401">
        <f>SUM(BO117,BP117,BQ117,BR117)</f>
        <v>0</v>
      </c>
      <c r="BT117" s="403">
        <v>0</v>
      </c>
      <c r="BU117" s="403">
        <v>0</v>
      </c>
      <c r="BV117" s="403">
        <v>0</v>
      </c>
      <c r="BW117" s="122"/>
    </row>
    <row r="118" spans="1:75" s="123" customFormat="1" x14ac:dyDescent="0.5">
      <c r="A118" s="184" t="s">
        <v>746</v>
      </c>
      <c r="B118" s="489"/>
      <c r="C118" s="401"/>
      <c r="D118" s="401"/>
      <c r="E118" s="401"/>
      <c r="F118" s="401">
        <f t="shared" ref="F118:BG118" si="112">F205</f>
        <v>0</v>
      </c>
      <c r="G118" s="118">
        <f t="shared" si="112"/>
        <v>0</v>
      </c>
      <c r="H118" s="118">
        <f t="shared" si="112"/>
        <v>0</v>
      </c>
      <c r="I118" s="118">
        <f t="shared" si="112"/>
        <v>0</v>
      </c>
      <c r="J118" s="118">
        <f t="shared" si="112"/>
        <v>0</v>
      </c>
      <c r="K118" s="401">
        <f t="shared" si="112"/>
        <v>0</v>
      </c>
      <c r="L118" s="118">
        <f t="shared" si="112"/>
        <v>0</v>
      </c>
      <c r="M118" s="118">
        <f t="shared" si="112"/>
        <v>0</v>
      </c>
      <c r="N118" s="118">
        <f t="shared" si="112"/>
        <v>0</v>
      </c>
      <c r="O118" s="118">
        <f t="shared" si="112"/>
        <v>0</v>
      </c>
      <c r="P118" s="401">
        <f t="shared" si="112"/>
        <v>0</v>
      </c>
      <c r="Q118" s="118">
        <f t="shared" si="112"/>
        <v>0</v>
      </c>
      <c r="R118" s="118">
        <f t="shared" si="112"/>
        <v>0</v>
      </c>
      <c r="S118" s="118">
        <f t="shared" si="112"/>
        <v>0</v>
      </c>
      <c r="T118" s="118">
        <f t="shared" si="112"/>
        <v>0</v>
      </c>
      <c r="U118" s="401">
        <f t="shared" si="112"/>
        <v>0</v>
      </c>
      <c r="V118" s="118">
        <f t="shared" si="112"/>
        <v>0</v>
      </c>
      <c r="W118" s="118">
        <f t="shared" si="112"/>
        <v>0</v>
      </c>
      <c r="X118" s="118">
        <f t="shared" si="112"/>
        <v>0</v>
      </c>
      <c r="Y118" s="118">
        <f t="shared" si="112"/>
        <v>0</v>
      </c>
      <c r="Z118" s="401">
        <f t="shared" si="112"/>
        <v>0</v>
      </c>
      <c r="AA118" s="118">
        <f t="shared" si="112"/>
        <v>0</v>
      </c>
      <c r="AB118" s="118">
        <f t="shared" si="112"/>
        <v>0</v>
      </c>
      <c r="AC118" s="118">
        <f t="shared" si="112"/>
        <v>8.7739999999999991</v>
      </c>
      <c r="AD118" s="118">
        <f t="shared" si="112"/>
        <v>0</v>
      </c>
      <c r="AE118" s="401">
        <f t="shared" si="112"/>
        <v>8.7739999999999991</v>
      </c>
      <c r="AF118" s="118">
        <f t="shared" si="112"/>
        <v>0</v>
      </c>
      <c r="AG118" s="118">
        <f t="shared" si="112"/>
        <v>0</v>
      </c>
      <c r="AH118" s="118">
        <f t="shared" si="112"/>
        <v>0</v>
      </c>
      <c r="AI118" s="118">
        <f t="shared" si="112"/>
        <v>-1.6639999999999999</v>
      </c>
      <c r="AJ118" s="401">
        <f t="shared" si="112"/>
        <v>-1.6639999999999999</v>
      </c>
      <c r="AK118" s="118">
        <f t="shared" si="112"/>
        <v>0</v>
      </c>
      <c r="AL118" s="118">
        <f t="shared" si="112"/>
        <v>0</v>
      </c>
      <c r="AM118" s="118">
        <f t="shared" si="112"/>
        <v>0</v>
      </c>
      <c r="AN118" s="118">
        <f t="shared" si="112"/>
        <v>0</v>
      </c>
      <c r="AO118" s="401">
        <f t="shared" si="112"/>
        <v>0</v>
      </c>
      <c r="AP118" s="118">
        <f t="shared" si="112"/>
        <v>3.956</v>
      </c>
      <c r="AQ118" s="118">
        <f t="shared" si="112"/>
        <v>0</v>
      </c>
      <c r="AR118" s="118">
        <f t="shared" si="112"/>
        <v>0</v>
      </c>
      <c r="AS118" s="118">
        <f t="shared" si="112"/>
        <v>0</v>
      </c>
      <c r="AT118" s="401">
        <f t="shared" si="112"/>
        <v>3.956</v>
      </c>
      <c r="AU118" s="118">
        <f t="shared" si="112"/>
        <v>12.212</v>
      </c>
      <c r="AV118" s="118">
        <f t="shared" si="112"/>
        <v>0</v>
      </c>
      <c r="AW118" s="118">
        <f t="shared" si="112"/>
        <v>0</v>
      </c>
      <c r="AX118" s="118">
        <f t="shared" si="112"/>
        <v>0</v>
      </c>
      <c r="AY118" s="401">
        <f t="shared" si="112"/>
        <v>12</v>
      </c>
      <c r="AZ118" s="118">
        <f t="shared" si="112"/>
        <v>0</v>
      </c>
      <c r="BA118" s="118">
        <f t="shared" si="112"/>
        <v>40</v>
      </c>
      <c r="BB118" s="118">
        <f t="shared" si="112"/>
        <v>0</v>
      </c>
      <c r="BC118" s="118">
        <f t="shared" si="112"/>
        <v>-1</v>
      </c>
      <c r="BD118" s="401">
        <f t="shared" si="112"/>
        <v>39</v>
      </c>
      <c r="BE118" s="118">
        <f t="shared" si="112"/>
        <v>13</v>
      </c>
      <c r="BF118" s="118">
        <f t="shared" si="112"/>
        <v>1</v>
      </c>
      <c r="BG118" s="118">
        <f t="shared" si="112"/>
        <v>0</v>
      </c>
      <c r="BH118" s="118">
        <f>BH205</f>
        <v>0</v>
      </c>
      <c r="BI118" s="401">
        <f>BI205</f>
        <v>14</v>
      </c>
      <c r="BJ118" s="971">
        <f>BJ205</f>
        <v>0</v>
      </c>
      <c r="BK118" s="302">
        <v>58</v>
      </c>
      <c r="BL118" s="302">
        <v>0</v>
      </c>
      <c r="BM118" s="302">
        <v>0</v>
      </c>
      <c r="BN118" s="401">
        <f>SUM(BJ118,BK118,BL118,BM118)</f>
        <v>58</v>
      </c>
      <c r="BO118" s="302">
        <v>0</v>
      </c>
      <c r="BP118" s="302">
        <v>0</v>
      </c>
      <c r="BQ118" s="302">
        <v>0</v>
      </c>
      <c r="BR118" s="302">
        <v>0</v>
      </c>
      <c r="BS118" s="401">
        <f>SUM(BO118,BP118,BQ118,BR118)</f>
        <v>0</v>
      </c>
      <c r="BT118" s="403">
        <v>0</v>
      </c>
      <c r="BU118" s="403">
        <v>0</v>
      </c>
      <c r="BV118" s="403">
        <v>0</v>
      </c>
      <c r="BW118" s="122"/>
    </row>
    <row r="119" spans="1:75" s="198" customFormat="1" ht="14.25" x14ac:dyDescent="0.45">
      <c r="A119" s="192" t="s">
        <v>2224</v>
      </c>
      <c r="B119" s="495"/>
      <c r="C119" s="518"/>
      <c r="D119" s="518"/>
      <c r="E119" s="518"/>
      <c r="F119" s="518">
        <f t="shared" ref="F119:BI119" si="113">F207</f>
        <v>-12.059000000000005</v>
      </c>
      <c r="G119" s="327">
        <f t="shared" si="113"/>
        <v>-2.5420000000000096</v>
      </c>
      <c r="H119" s="327">
        <f t="shared" si="113"/>
        <v>0.44200000000002254</v>
      </c>
      <c r="I119" s="327">
        <f t="shared" si="113"/>
        <v>-0.1810000000000162</v>
      </c>
      <c r="J119" s="327">
        <f t="shared" si="113"/>
        <v>-0.64699999999999658</v>
      </c>
      <c r="K119" s="518">
        <f t="shared" si="113"/>
        <v>-2.9280000000000062</v>
      </c>
      <c r="L119" s="327">
        <f t="shared" si="113"/>
        <v>-19.403000000000002</v>
      </c>
      <c r="M119" s="327">
        <f t="shared" si="113"/>
        <v>-17.59899999999999</v>
      </c>
      <c r="N119" s="327">
        <f t="shared" si="113"/>
        <v>-18.317</v>
      </c>
      <c r="O119" s="327">
        <f t="shared" si="113"/>
        <v>-7.2179999999999751</v>
      </c>
      <c r="P119" s="518">
        <f t="shared" si="113"/>
        <v>-62.53700000000002</v>
      </c>
      <c r="Q119" s="327">
        <f t="shared" si="113"/>
        <v>-12.340000000000037</v>
      </c>
      <c r="R119" s="327">
        <f t="shared" si="113"/>
        <v>-4.9719999999999844</v>
      </c>
      <c r="S119" s="327">
        <f t="shared" si="113"/>
        <v>-1.4450000000000307</v>
      </c>
      <c r="T119" s="327">
        <f t="shared" si="113"/>
        <v>2.8280000000000283</v>
      </c>
      <c r="U119" s="518">
        <f t="shared" si="113"/>
        <v>-15.928999999999801</v>
      </c>
      <c r="V119" s="327">
        <f t="shared" si="113"/>
        <v>-20.96000000000009</v>
      </c>
      <c r="W119" s="327">
        <f t="shared" si="113"/>
        <v>-24.856999999999978</v>
      </c>
      <c r="X119" s="327">
        <f t="shared" si="113"/>
        <v>-30.849000000000057</v>
      </c>
      <c r="Y119" s="327">
        <f t="shared" si="113"/>
        <v>-12.026000000000034</v>
      </c>
      <c r="Z119" s="518">
        <f t="shared" si="113"/>
        <v>-88.691999999999879</v>
      </c>
      <c r="AA119" s="327">
        <f t="shared" si="113"/>
        <v>-20.895999999999955</v>
      </c>
      <c r="AB119" s="327">
        <f t="shared" si="113"/>
        <v>-2.24599999999996</v>
      </c>
      <c r="AC119" s="327">
        <f t="shared" si="113"/>
        <v>-22.67199999999993</v>
      </c>
      <c r="AD119" s="327">
        <f t="shared" si="113"/>
        <v>-21.21899999999955</v>
      </c>
      <c r="AE119" s="518">
        <f t="shared" si="113"/>
        <v>-67.032999999999532</v>
      </c>
      <c r="AF119" s="327">
        <f t="shared" si="113"/>
        <v>-49.959999999999887</v>
      </c>
      <c r="AG119" s="327">
        <f t="shared" si="113"/>
        <v>-34.808999999999934</v>
      </c>
      <c r="AH119" s="327">
        <f t="shared" si="113"/>
        <v>-76.405000000000101</v>
      </c>
      <c r="AI119" s="327">
        <f t="shared" si="113"/>
        <v>-53.812000000000147</v>
      </c>
      <c r="AJ119" s="518">
        <f t="shared" si="113"/>
        <v>-214.98599999999999</v>
      </c>
      <c r="AK119" s="327">
        <f t="shared" si="113"/>
        <v>-102.21800000000013</v>
      </c>
      <c r="AL119" s="327">
        <f t="shared" si="113"/>
        <v>-69.982999999999919</v>
      </c>
      <c r="AM119" s="327">
        <f t="shared" si="113"/>
        <v>-144.18399999999997</v>
      </c>
      <c r="AN119" s="327">
        <f t="shared" si="113"/>
        <v>-180.15899999999925</v>
      </c>
      <c r="AO119" s="518">
        <f t="shared" si="113"/>
        <v>-496.54399999999987</v>
      </c>
      <c r="AP119" s="327">
        <f t="shared" si="113"/>
        <v>-127.27700000000002</v>
      </c>
      <c r="AQ119" s="327">
        <f t="shared" si="113"/>
        <v>439.81299999999976</v>
      </c>
      <c r="AR119" s="327">
        <f t="shared" si="113"/>
        <v>371.11200000000036</v>
      </c>
      <c r="AS119" s="327">
        <f t="shared" si="113"/>
        <v>263.24000000000018</v>
      </c>
      <c r="AT119" s="518">
        <f t="shared" si="113"/>
        <v>946.88800000000015</v>
      </c>
      <c r="AU119" s="327">
        <f t="shared" si="113"/>
        <v>205.76699999999997</v>
      </c>
      <c r="AV119" s="327">
        <f t="shared" si="113"/>
        <v>310.84000000000049</v>
      </c>
      <c r="AW119" s="327">
        <f t="shared" si="113"/>
        <v>101.05100000000002</v>
      </c>
      <c r="AX119" s="327">
        <f t="shared" si="113"/>
        <v>-3.8530000000006623</v>
      </c>
      <c r="AY119" s="518">
        <f t="shared" si="113"/>
        <v>614</v>
      </c>
      <c r="AZ119" s="327">
        <f t="shared" si="113"/>
        <v>-113</v>
      </c>
      <c r="BA119" s="327">
        <f t="shared" si="113"/>
        <v>-108</v>
      </c>
      <c r="BB119" s="327">
        <f t="shared" si="113"/>
        <v>-124</v>
      </c>
      <c r="BC119" s="327">
        <f t="shared" si="113"/>
        <v>-71</v>
      </c>
      <c r="BD119" s="518">
        <f t="shared" si="113"/>
        <v>-416</v>
      </c>
      <c r="BE119" s="327">
        <f t="shared" si="113"/>
        <v>-14</v>
      </c>
      <c r="BF119" s="327">
        <f t="shared" si="113"/>
        <v>128</v>
      </c>
      <c r="BG119" s="327">
        <f t="shared" si="113"/>
        <v>100</v>
      </c>
      <c r="BH119" s="327">
        <f t="shared" si="113"/>
        <v>92</v>
      </c>
      <c r="BI119" s="518">
        <f t="shared" si="113"/>
        <v>306</v>
      </c>
      <c r="BJ119" s="1026">
        <f>BJ207</f>
        <v>75</v>
      </c>
      <c r="BK119" s="327">
        <f>BK109+BK114+BK116+BK115+BK118+BK117</f>
        <v>161.70120974757924</v>
      </c>
      <c r="BL119" s="327">
        <f>BL109+BL114+BL116+BL115+BL118+BL117</f>
        <v>57.812430744407934</v>
      </c>
      <c r="BM119" s="327">
        <f>BM109+BM114+BM116+BM115+BM118+BM117</f>
        <v>43.348221894673728</v>
      </c>
      <c r="BN119" s="518">
        <f t="shared" ref="BN119:BV119" si="114">BN109+BN114+BN116+BN115+BN118+BN117</f>
        <v>337.86186238665999</v>
      </c>
      <c r="BO119" s="327">
        <f t="shared" si="114"/>
        <v>98.585954935867306</v>
      </c>
      <c r="BP119" s="327">
        <f t="shared" si="114"/>
        <v>16.035974910701626</v>
      </c>
      <c r="BQ119" s="327">
        <f t="shared" si="114"/>
        <v>60.66344104787413</v>
      </c>
      <c r="BR119" s="327">
        <f t="shared" si="114"/>
        <v>45.793776267403857</v>
      </c>
      <c r="BS119" s="518">
        <f t="shared" si="114"/>
        <v>221.07914716184678</v>
      </c>
      <c r="BT119" s="518">
        <f t="shared" si="114"/>
        <v>446.68996354134731</v>
      </c>
      <c r="BU119" s="518">
        <f t="shared" si="114"/>
        <v>693.18593545402155</v>
      </c>
      <c r="BV119" s="518">
        <f t="shared" si="114"/>
        <v>979.07135059611392</v>
      </c>
      <c r="BW119" s="197"/>
    </row>
    <row r="120" spans="1:75" s="205" customFormat="1" ht="14.25" x14ac:dyDescent="0.45">
      <c r="A120" s="199" t="s">
        <v>2264</v>
      </c>
      <c r="B120" s="490"/>
      <c r="C120" s="414"/>
      <c r="D120" s="414"/>
      <c r="E120" s="414"/>
      <c r="F120" s="414"/>
      <c r="G120" s="413"/>
      <c r="H120" s="413"/>
      <c r="I120" s="413"/>
      <c r="J120" s="413"/>
      <c r="K120" s="414"/>
      <c r="L120" s="413"/>
      <c r="M120" s="413"/>
      <c r="N120" s="413"/>
      <c r="O120" s="413"/>
      <c r="P120" s="414"/>
      <c r="Q120" s="413"/>
      <c r="R120" s="413"/>
      <c r="S120" s="413"/>
      <c r="T120" s="413"/>
      <c r="U120" s="414"/>
      <c r="V120" s="413"/>
      <c r="W120" s="413"/>
      <c r="X120" s="413"/>
      <c r="Y120" s="413"/>
      <c r="Z120" s="414"/>
      <c r="AA120" s="413"/>
      <c r="AB120" s="413"/>
      <c r="AC120" s="413"/>
      <c r="AD120" s="413"/>
      <c r="AE120" s="414"/>
      <c r="AF120" s="413"/>
      <c r="AG120" s="413"/>
      <c r="AH120" s="413"/>
      <c r="AI120" s="413"/>
      <c r="AJ120" s="414"/>
      <c r="AK120" s="413"/>
      <c r="AL120" s="413"/>
      <c r="AM120" s="413"/>
      <c r="AN120" s="413"/>
      <c r="AO120" s="414"/>
      <c r="AP120" s="413"/>
      <c r="AQ120" s="413"/>
      <c r="AR120" s="413"/>
      <c r="AS120" s="413"/>
      <c r="AT120" s="414"/>
      <c r="AU120" s="413"/>
      <c r="AV120" s="413"/>
      <c r="AW120" s="413"/>
      <c r="AX120" s="413"/>
      <c r="AY120" s="414"/>
      <c r="AZ120" s="413"/>
      <c r="BA120" s="413"/>
      <c r="BB120" s="413"/>
      <c r="BC120" s="413"/>
      <c r="BD120" s="414"/>
      <c r="BE120" s="413"/>
      <c r="BF120" s="413"/>
      <c r="BG120" s="413"/>
      <c r="BH120" s="413"/>
      <c r="BI120" s="414"/>
      <c r="BJ120" s="1216"/>
      <c r="BK120" s="413" t="str">
        <f ca="1">BK246</f>
        <v>N/A</v>
      </c>
      <c r="BL120" s="413" t="str">
        <f ca="1">BL246</f>
        <v>N/A</v>
      </c>
      <c r="BM120" s="413" t="str">
        <f ca="1">BM246</f>
        <v>N/A</v>
      </c>
      <c r="BN120" s="414" t="str">
        <f t="shared" ref="BN120:BV120" ca="1" si="115">BN246</f>
        <v>N/A</v>
      </c>
      <c r="BO120" s="413" t="str">
        <f t="shared" ca="1" si="115"/>
        <v>N/A</v>
      </c>
      <c r="BP120" s="413" t="str">
        <f t="shared" ca="1" si="115"/>
        <v>N/A</v>
      </c>
      <c r="BQ120" s="413" t="str">
        <f t="shared" ca="1" si="115"/>
        <v>N/A</v>
      </c>
      <c r="BR120" s="413" t="str">
        <f t="shared" ca="1" si="115"/>
        <v>N/A</v>
      </c>
      <c r="BS120" s="414" t="str">
        <f t="shared" ca="1" si="115"/>
        <v>N/A</v>
      </c>
      <c r="BT120" s="414" t="str">
        <f t="shared" ca="1" si="115"/>
        <v>N/A</v>
      </c>
      <c r="BU120" s="414" t="str">
        <f t="shared" ca="1" si="115"/>
        <v>N/A</v>
      </c>
      <c r="BV120" s="414" t="str">
        <f t="shared" ca="1" si="115"/>
        <v>N/A</v>
      </c>
      <c r="BW120" s="204"/>
    </row>
    <row r="121" spans="1:75" s="205" customFormat="1" ht="14.25" x14ac:dyDescent="0.45">
      <c r="A121" s="199" t="s">
        <v>2265</v>
      </c>
      <c r="B121" s="490"/>
      <c r="C121" s="414"/>
      <c r="D121" s="414"/>
      <c r="E121" s="414"/>
      <c r="F121" s="414"/>
      <c r="G121" s="413" t="str">
        <f t="shared" ref="G121:BR121" si="116">G627</f>
        <v/>
      </c>
      <c r="H121" s="413" t="str">
        <f t="shared" si="116"/>
        <v/>
      </c>
      <c r="I121" s="413" t="str">
        <f t="shared" si="116"/>
        <v/>
      </c>
      <c r="J121" s="413" t="str">
        <f t="shared" si="116"/>
        <v/>
      </c>
      <c r="K121" s="414" t="str">
        <f t="shared" si="116"/>
        <v/>
      </c>
      <c r="L121" s="413" t="str">
        <f t="shared" si="116"/>
        <v/>
      </c>
      <c r="M121" s="413" t="str">
        <f t="shared" si="116"/>
        <v/>
      </c>
      <c r="N121" s="413" t="str">
        <f t="shared" si="116"/>
        <v/>
      </c>
      <c r="O121" s="413" t="str">
        <f t="shared" si="116"/>
        <v/>
      </c>
      <c r="P121" s="414" t="str">
        <f t="shared" si="116"/>
        <v/>
      </c>
      <c r="Q121" s="413" t="str">
        <f t="shared" si="116"/>
        <v/>
      </c>
      <c r="R121" s="413" t="str">
        <f t="shared" si="116"/>
        <v/>
      </c>
      <c r="S121" s="413" t="str">
        <f t="shared" si="116"/>
        <v/>
      </c>
      <c r="T121" s="413" t="str">
        <f t="shared" si="116"/>
        <v/>
      </c>
      <c r="U121" s="414" t="str">
        <f t="shared" si="116"/>
        <v/>
      </c>
      <c r="V121" s="413" t="str">
        <f t="shared" si="116"/>
        <v/>
      </c>
      <c r="W121" s="413" t="str">
        <f t="shared" si="116"/>
        <v/>
      </c>
      <c r="X121" s="413" t="str">
        <f t="shared" si="116"/>
        <v/>
      </c>
      <c r="Y121" s="413" t="str">
        <f t="shared" si="116"/>
        <v/>
      </c>
      <c r="Z121" s="414" t="str">
        <f t="shared" si="116"/>
        <v/>
      </c>
      <c r="AA121" s="413" t="str">
        <f t="shared" si="116"/>
        <v/>
      </c>
      <c r="AB121" s="413" t="str">
        <f t="shared" si="116"/>
        <v/>
      </c>
      <c r="AC121" s="413" t="str">
        <f t="shared" si="116"/>
        <v/>
      </c>
      <c r="AD121" s="413" t="str">
        <f t="shared" si="116"/>
        <v/>
      </c>
      <c r="AE121" s="414" t="str">
        <f t="shared" si="116"/>
        <v/>
      </c>
      <c r="AF121" s="413" t="str">
        <f t="shared" si="116"/>
        <v/>
      </c>
      <c r="AG121" s="413" t="str">
        <f t="shared" si="116"/>
        <v/>
      </c>
      <c r="AH121" s="413" t="str">
        <f t="shared" si="116"/>
        <v/>
      </c>
      <c r="AI121" s="413" t="str">
        <f t="shared" si="116"/>
        <v/>
      </c>
      <c r="AJ121" s="414" t="str">
        <f t="shared" si="116"/>
        <v/>
      </c>
      <c r="AK121" s="413" t="str">
        <f t="shared" si="116"/>
        <v/>
      </c>
      <c r="AL121" s="413" t="str">
        <f t="shared" si="116"/>
        <v/>
      </c>
      <c r="AM121" s="413" t="str">
        <f t="shared" si="116"/>
        <v/>
      </c>
      <c r="AN121" s="413" t="str">
        <f t="shared" si="116"/>
        <v/>
      </c>
      <c r="AO121" s="414" t="str">
        <f t="shared" si="116"/>
        <v/>
      </c>
      <c r="AP121" s="413" t="str">
        <f t="shared" si="116"/>
        <v/>
      </c>
      <c r="AQ121" s="413" t="str">
        <f t="shared" si="116"/>
        <v/>
      </c>
      <c r="AR121" s="413" t="str">
        <f t="shared" si="116"/>
        <v/>
      </c>
      <c r="AS121" s="413" t="str">
        <f t="shared" si="116"/>
        <v/>
      </c>
      <c r="AT121" s="414" t="str">
        <f t="shared" si="116"/>
        <v/>
      </c>
      <c r="AU121" s="413" t="str">
        <f t="shared" si="116"/>
        <v/>
      </c>
      <c r="AV121" s="413" t="str">
        <f t="shared" si="116"/>
        <v/>
      </c>
      <c r="AW121" s="413" t="str">
        <f t="shared" si="116"/>
        <v/>
      </c>
      <c r="AX121" s="413" t="str">
        <f t="shared" si="116"/>
        <v/>
      </c>
      <c r="AY121" s="414" t="str">
        <f t="shared" si="116"/>
        <v/>
      </c>
      <c r="AZ121" s="413" t="str">
        <f t="shared" si="116"/>
        <v/>
      </c>
      <c r="BA121" s="413" t="str">
        <f t="shared" si="116"/>
        <v/>
      </c>
      <c r="BB121" s="413">
        <f t="shared" si="116"/>
        <v>-84.269241000000022</v>
      </c>
      <c r="BC121" s="413">
        <f t="shared" si="116"/>
        <v>-59.832623199999979</v>
      </c>
      <c r="BD121" s="414" t="str">
        <f t="shared" si="116"/>
        <v/>
      </c>
      <c r="BE121" s="413">
        <f t="shared" si="116"/>
        <v>-55.071199999999997</v>
      </c>
      <c r="BF121" s="413">
        <f t="shared" si="116"/>
        <v>35.631400000000006</v>
      </c>
      <c r="BG121" s="413">
        <f t="shared" si="116"/>
        <v>89.460000000000008</v>
      </c>
      <c r="BH121" s="413">
        <f t="shared" si="116"/>
        <v>78.68787500000002</v>
      </c>
      <c r="BI121" s="414" t="str">
        <f t="shared" si="116"/>
        <v/>
      </c>
      <c r="BJ121" s="1216">
        <f>BJ627</f>
        <v>39.529499999999999</v>
      </c>
      <c r="BK121" s="413">
        <f t="shared" si="116"/>
        <v>160.92824999999999</v>
      </c>
      <c r="BL121" s="413" t="str">
        <f t="shared" si="116"/>
        <v/>
      </c>
      <c r="BM121" s="413" t="str">
        <f t="shared" si="116"/>
        <v/>
      </c>
      <c r="BN121" s="414" t="str">
        <f t="shared" si="116"/>
        <v/>
      </c>
      <c r="BO121" s="413" t="str">
        <f t="shared" si="116"/>
        <v/>
      </c>
      <c r="BP121" s="413" t="str">
        <f t="shared" si="116"/>
        <v/>
      </c>
      <c r="BQ121" s="413" t="str">
        <f t="shared" si="116"/>
        <v/>
      </c>
      <c r="BR121" s="413" t="str">
        <f t="shared" si="116"/>
        <v/>
      </c>
      <c r="BS121" s="414" t="str">
        <f t="shared" ref="BS121:BZ121" si="117">BS627</f>
        <v/>
      </c>
      <c r="BT121" s="414" t="str">
        <f t="shared" si="117"/>
        <v/>
      </c>
      <c r="BU121" s="414" t="str">
        <f t="shared" si="117"/>
        <v/>
      </c>
      <c r="BV121" s="414" t="str">
        <f t="shared" si="117"/>
        <v/>
      </c>
      <c r="BW121" s="204"/>
    </row>
    <row r="122" spans="1:75" s="177" customFormat="1" ht="14.25" x14ac:dyDescent="0.45">
      <c r="A122" s="189" t="s">
        <v>2266</v>
      </c>
      <c r="B122" s="491"/>
      <c r="C122" s="417"/>
      <c r="D122" s="417"/>
      <c r="E122" s="417"/>
      <c r="F122" s="417"/>
      <c r="G122" s="378"/>
      <c r="H122" s="378"/>
      <c r="I122" s="378"/>
      <c r="J122" s="378"/>
      <c r="K122" s="417" t="str">
        <f t="shared" ref="K122:BN122" si="118">IF(OR(F119&lt;0,K119&lt;0),"NMF",K119/F119-1)</f>
        <v>NMF</v>
      </c>
      <c r="L122" s="378" t="str">
        <f t="shared" si="118"/>
        <v>NMF</v>
      </c>
      <c r="M122" s="378" t="str">
        <f t="shared" si="118"/>
        <v>NMF</v>
      </c>
      <c r="N122" s="378" t="str">
        <f t="shared" si="118"/>
        <v>NMF</v>
      </c>
      <c r="O122" s="378" t="str">
        <f t="shared" si="118"/>
        <v>NMF</v>
      </c>
      <c r="P122" s="417" t="str">
        <f t="shared" si="118"/>
        <v>NMF</v>
      </c>
      <c r="Q122" s="378" t="str">
        <f t="shared" si="118"/>
        <v>NMF</v>
      </c>
      <c r="R122" s="378" t="str">
        <f t="shared" si="118"/>
        <v>NMF</v>
      </c>
      <c r="S122" s="378" t="str">
        <f t="shared" si="118"/>
        <v>NMF</v>
      </c>
      <c r="T122" s="378" t="str">
        <f t="shared" si="118"/>
        <v>NMF</v>
      </c>
      <c r="U122" s="417" t="str">
        <f t="shared" si="118"/>
        <v>NMF</v>
      </c>
      <c r="V122" s="378" t="str">
        <f t="shared" si="118"/>
        <v>NMF</v>
      </c>
      <c r="W122" s="378" t="str">
        <f t="shared" si="118"/>
        <v>NMF</v>
      </c>
      <c r="X122" s="378" t="str">
        <f t="shared" si="118"/>
        <v>NMF</v>
      </c>
      <c r="Y122" s="378" t="str">
        <f t="shared" si="118"/>
        <v>NMF</v>
      </c>
      <c r="Z122" s="417" t="str">
        <f t="shared" si="118"/>
        <v>NMF</v>
      </c>
      <c r="AA122" s="378" t="str">
        <f t="shared" si="118"/>
        <v>NMF</v>
      </c>
      <c r="AB122" s="378" t="str">
        <f t="shared" si="118"/>
        <v>NMF</v>
      </c>
      <c r="AC122" s="378" t="str">
        <f t="shared" si="118"/>
        <v>NMF</v>
      </c>
      <c r="AD122" s="378" t="str">
        <f t="shared" si="118"/>
        <v>NMF</v>
      </c>
      <c r="AE122" s="417" t="str">
        <f t="shared" si="118"/>
        <v>NMF</v>
      </c>
      <c r="AF122" s="378" t="str">
        <f t="shared" si="118"/>
        <v>NMF</v>
      </c>
      <c r="AG122" s="378" t="str">
        <f t="shared" si="118"/>
        <v>NMF</v>
      </c>
      <c r="AH122" s="378" t="str">
        <f t="shared" si="118"/>
        <v>NMF</v>
      </c>
      <c r="AI122" s="378" t="str">
        <f t="shared" si="118"/>
        <v>NMF</v>
      </c>
      <c r="AJ122" s="417" t="str">
        <f t="shared" si="118"/>
        <v>NMF</v>
      </c>
      <c r="AK122" s="378" t="str">
        <f t="shared" si="118"/>
        <v>NMF</v>
      </c>
      <c r="AL122" s="378" t="str">
        <f t="shared" si="118"/>
        <v>NMF</v>
      </c>
      <c r="AM122" s="378" t="str">
        <f t="shared" si="118"/>
        <v>NMF</v>
      </c>
      <c r="AN122" s="378" t="str">
        <f t="shared" si="118"/>
        <v>NMF</v>
      </c>
      <c r="AO122" s="417" t="str">
        <f t="shared" si="118"/>
        <v>NMF</v>
      </c>
      <c r="AP122" s="378" t="str">
        <f t="shared" si="118"/>
        <v>NMF</v>
      </c>
      <c r="AQ122" s="378" t="str">
        <f t="shared" si="118"/>
        <v>NMF</v>
      </c>
      <c r="AR122" s="378" t="str">
        <f t="shared" si="118"/>
        <v>NMF</v>
      </c>
      <c r="AS122" s="378" t="str">
        <f t="shared" si="118"/>
        <v>NMF</v>
      </c>
      <c r="AT122" s="417" t="str">
        <f t="shared" si="118"/>
        <v>NMF</v>
      </c>
      <c r="AU122" s="378" t="str">
        <f t="shared" si="118"/>
        <v>NMF</v>
      </c>
      <c r="AV122" s="378">
        <f t="shared" si="118"/>
        <v>-0.29324508370602809</v>
      </c>
      <c r="AW122" s="378">
        <f t="shared" si="118"/>
        <v>-0.72770753842505786</v>
      </c>
      <c r="AX122" s="378" t="str">
        <f t="shared" si="118"/>
        <v>NMF</v>
      </c>
      <c r="AY122" s="417">
        <f t="shared" si="118"/>
        <v>-0.35156005778930566</v>
      </c>
      <c r="AZ122" s="378" t="str">
        <f t="shared" si="118"/>
        <v>NMF</v>
      </c>
      <c r="BA122" s="378" t="str">
        <f t="shared" si="118"/>
        <v>NMF</v>
      </c>
      <c r="BB122" s="378" t="str">
        <f t="shared" si="118"/>
        <v>NMF</v>
      </c>
      <c r="BC122" s="378" t="str">
        <f t="shared" si="118"/>
        <v>NMF</v>
      </c>
      <c r="BD122" s="417" t="str">
        <f t="shared" si="118"/>
        <v>NMF</v>
      </c>
      <c r="BE122" s="378" t="str">
        <f t="shared" si="118"/>
        <v>NMF</v>
      </c>
      <c r="BF122" s="378" t="str">
        <f t="shared" si="118"/>
        <v>NMF</v>
      </c>
      <c r="BG122" s="378" t="str">
        <f t="shared" si="118"/>
        <v>NMF</v>
      </c>
      <c r="BH122" s="378" t="str">
        <f t="shared" si="118"/>
        <v>NMF</v>
      </c>
      <c r="BI122" s="417" t="str">
        <f t="shared" si="118"/>
        <v>NMF</v>
      </c>
      <c r="BJ122" s="1130" t="str">
        <f>IF(OR(BE119&lt;0,BJ119&lt;0),"NMF",BJ119/BE119-1)</f>
        <v>NMF</v>
      </c>
      <c r="BK122" s="378">
        <f t="shared" si="118"/>
        <v>0.26329070115296282</v>
      </c>
      <c r="BL122" s="378">
        <f t="shared" si="118"/>
        <v>-0.42187569255592061</v>
      </c>
      <c r="BM122" s="378">
        <f t="shared" si="118"/>
        <v>-0.52882367505789429</v>
      </c>
      <c r="BN122" s="417">
        <f t="shared" si="118"/>
        <v>0.10412373328973845</v>
      </c>
      <c r="BO122" s="378">
        <f>IF(OR(BJ119&lt;0,BO119&lt;0),"NMF",BO119/BJ119-1)</f>
        <v>0.31447939914489731</v>
      </c>
      <c r="BP122" s="378">
        <f>IF(OR(BK119&lt;0,BP119&lt;0),"NMF",BP119/BK119-1)</f>
        <v>-0.90082959221063164</v>
      </c>
      <c r="BQ122" s="378">
        <f>IF(OR(BL119&lt;0,BQ119&lt;0),"NMF",BQ119/BL119-1)</f>
        <v>4.9314831892654398E-2</v>
      </c>
      <c r="BR122" s="378">
        <f>IF(OR(BM119&lt;0,BR119&lt;0),"NMF",BR119/BM119-1)</f>
        <v>5.641648644025743E-2</v>
      </c>
      <c r="BS122" s="417">
        <f>IF(OR(BN119&lt;0,BS119&lt;0),"NMF",BS119/BN119-1)</f>
        <v>-0.34565225681247003</v>
      </c>
      <c r="BT122" s="417">
        <f>IF(OR(BS119&lt;0,BT119&lt;0),"NMF",BT119/BS119-1)</f>
        <v>1.020497949606872</v>
      </c>
      <c r="BU122" s="417">
        <f>IF(OR(BT119&lt;0,BU119&lt;0),"NMF",BU119/BT119-1)</f>
        <v>0.5518278717490317</v>
      </c>
      <c r="BV122" s="417">
        <f>IF(OR(BU119&lt;0,BV119&lt;0),"NMF",BV119/BU119-1)</f>
        <v>0.41242241153499992</v>
      </c>
      <c r="BW122" s="176"/>
    </row>
    <row r="123" spans="1:75" s="217" customFormat="1" x14ac:dyDescent="0.5">
      <c r="A123" s="211" t="s">
        <v>1044</v>
      </c>
      <c r="B123" s="493"/>
      <c r="C123" s="423"/>
      <c r="D123" s="423"/>
      <c r="E123" s="423"/>
      <c r="F123" s="423">
        <f t="shared" ref="F123:BQ123" si="119">F119/F91</f>
        <v>-2.0063957086857858E-2</v>
      </c>
      <c r="G123" s="422">
        <f t="shared" si="119"/>
        <v>-1.4135493880365509E-2</v>
      </c>
      <c r="H123" s="422">
        <f t="shared" si="119"/>
        <v>2.1733037659126772E-3</v>
      </c>
      <c r="I123" s="422">
        <f t="shared" si="119"/>
        <v>-7.6274114841011118E-4</v>
      </c>
      <c r="J123" s="422">
        <f t="shared" si="119"/>
        <v>-2.1907473936200717E-3</v>
      </c>
      <c r="K123" s="423">
        <f t="shared" si="119"/>
        <v>-3.1970545169859969E-3</v>
      </c>
      <c r="L123" s="422">
        <f t="shared" si="119"/>
        <v>-6.9617914153573476E-2</v>
      </c>
      <c r="M123" s="422">
        <f t="shared" si="119"/>
        <v>-5.9569383658783392E-2</v>
      </c>
      <c r="N123" s="422">
        <f t="shared" si="119"/>
        <v>-5.4484395635775222E-2</v>
      </c>
      <c r="O123" s="422">
        <f t="shared" si="119"/>
        <v>-1.7664376840039193E-2</v>
      </c>
      <c r="P123" s="423">
        <f t="shared" si="119"/>
        <v>-4.741419506865685E-2</v>
      </c>
      <c r="Q123" s="422">
        <f t="shared" si="119"/>
        <v>-2.9078330046115399E-2</v>
      </c>
      <c r="R123" s="422">
        <f t="shared" si="119"/>
        <v>-1.0110787551448666E-2</v>
      </c>
      <c r="S123" s="422">
        <f t="shared" si="119"/>
        <v>-2.4327746089041753E-3</v>
      </c>
      <c r="T123" s="422">
        <f t="shared" si="119"/>
        <v>3.8227064437205537E-3</v>
      </c>
      <c r="U123" s="423">
        <f t="shared" si="119"/>
        <v>-7.0799174180012758E-3</v>
      </c>
      <c r="V123" s="422">
        <f t="shared" si="119"/>
        <v>-2.8045836745398518E-2</v>
      </c>
      <c r="W123" s="422">
        <f t="shared" si="119"/>
        <v>-3.1587387918589727E-2</v>
      </c>
      <c r="X123" s="422">
        <f t="shared" si="119"/>
        <v>-3.5807434491163991E-2</v>
      </c>
      <c r="Y123" s="422">
        <f t="shared" si="119"/>
        <v>-1.2214605727031121E-2</v>
      </c>
      <c r="Z123" s="423">
        <f t="shared" si="119"/>
        <v>-2.6237442165923119E-2</v>
      </c>
      <c r="AA123" s="422">
        <f t="shared" si="119"/>
        <v>-2.1747976998933161E-2</v>
      </c>
      <c r="AB123" s="422">
        <f t="shared" si="119"/>
        <v>-2.0002564888106401E-3</v>
      </c>
      <c r="AC123" s="422">
        <f t="shared" si="119"/>
        <v>-1.8921747490815315E-2</v>
      </c>
      <c r="AD123" s="422">
        <f t="shared" si="119"/>
        <v>-1.4745492753381158E-2</v>
      </c>
      <c r="AE123" s="423">
        <f t="shared" si="119"/>
        <v>-1.4199214343890199E-2</v>
      </c>
      <c r="AF123" s="422">
        <f t="shared" si="119"/>
        <v>-3.5577229149115937E-2</v>
      </c>
      <c r="AG123" s="422">
        <f t="shared" si="119"/>
        <v>-2.1029375516536372E-2</v>
      </c>
      <c r="AH123" s="422">
        <f t="shared" si="119"/>
        <v>-4.4795370666228962E-2</v>
      </c>
      <c r="AI123" s="422">
        <f t="shared" si="119"/>
        <v>-2.6718914163030533E-2</v>
      </c>
      <c r="AJ123" s="423">
        <f t="shared" si="119"/>
        <v>-3.1712713082744301E-2</v>
      </c>
      <c r="AK123" s="422">
        <f t="shared" si="119"/>
        <v>-5.2558862501536192E-2</v>
      </c>
      <c r="AL123" s="422">
        <f t="shared" si="119"/>
        <v>-2.9865771955287723E-2</v>
      </c>
      <c r="AM123" s="422">
        <f t="shared" si="119"/>
        <v>-6.2539498162427279E-2</v>
      </c>
      <c r="AN123" s="422">
        <f t="shared" si="119"/>
        <v>-7.1110997083074806E-2</v>
      </c>
      <c r="AO123" s="423">
        <f t="shared" si="119"/>
        <v>-5.4403516927745692E-2</v>
      </c>
      <c r="AP123" s="422">
        <f t="shared" si="119"/>
        <v>-5.4623844934664864E-2</v>
      </c>
      <c r="AQ123" s="422">
        <f t="shared" si="119"/>
        <v>0.10217108295359084</v>
      </c>
      <c r="AR123" s="422">
        <f t="shared" si="119"/>
        <v>9.6654573298572591E-2</v>
      </c>
      <c r="AS123" s="422">
        <f t="shared" si="119"/>
        <v>7.1710892106489788E-2</v>
      </c>
      <c r="AT123" s="423">
        <f t="shared" si="119"/>
        <v>6.6940795845588416E-2</v>
      </c>
      <c r="AU123" s="422">
        <f t="shared" si="119"/>
        <v>5.9170649871546306E-2</v>
      </c>
      <c r="AV123" s="422">
        <f t="shared" si="119"/>
        <v>8.0578055000666338E-2</v>
      </c>
      <c r="AW123" s="422">
        <f t="shared" si="119"/>
        <v>3.2376902504675467E-2</v>
      </c>
      <c r="AX123" s="422">
        <f t="shared" si="119"/>
        <v>-1.1848920573486106E-3</v>
      </c>
      <c r="AY123" s="423">
        <f t="shared" si="119"/>
        <v>4.4791362707907789E-2</v>
      </c>
      <c r="AZ123" s="422">
        <f t="shared" si="119"/>
        <v>-3.7754761109254929E-2</v>
      </c>
      <c r="BA123" s="422">
        <f t="shared" si="119"/>
        <v>-3.2886723507917173E-2</v>
      </c>
      <c r="BB123" s="422">
        <f t="shared" si="119"/>
        <v>-4.3661971830985913E-2</v>
      </c>
      <c r="BC123" s="422">
        <f t="shared" si="119"/>
        <v>-2.2895840051596259E-2</v>
      </c>
      <c r="BD123" s="423">
        <f t="shared" si="119"/>
        <v>-3.4048125716156494E-2</v>
      </c>
      <c r="BE123" s="422">
        <f t="shared" si="119"/>
        <v>-5.0468637346791634E-3</v>
      </c>
      <c r="BF123" s="422">
        <f t="shared" si="119"/>
        <v>4.0365815200252286E-2</v>
      </c>
      <c r="BG123" s="422">
        <f t="shared" si="119"/>
        <v>3.3967391304347824E-2</v>
      </c>
      <c r="BH123" s="422">
        <f t="shared" si="119"/>
        <v>2.9543994861913937E-2</v>
      </c>
      <c r="BI123" s="423">
        <f t="shared" si="119"/>
        <v>2.5493626593351661E-2</v>
      </c>
      <c r="BJ123" s="1034">
        <f>BJ119/BJ91</f>
        <v>2.7482594356907291E-2</v>
      </c>
      <c r="BK123" s="422">
        <f t="shared" si="119"/>
        <v>5.0252682675521715E-2</v>
      </c>
      <c r="BL123" s="422">
        <f t="shared" si="119"/>
        <v>1.9351990765686545E-2</v>
      </c>
      <c r="BM123" s="422">
        <f t="shared" si="119"/>
        <v>1.3718129664975667E-2</v>
      </c>
      <c r="BN123" s="423">
        <f t="shared" si="119"/>
        <v>2.7936089550002593E-2</v>
      </c>
      <c r="BO123" s="422">
        <f t="shared" si="119"/>
        <v>3.4044953206569792E-2</v>
      </c>
      <c r="BP123" s="422">
        <f t="shared" si="119"/>
        <v>4.6965892506886358E-3</v>
      </c>
      <c r="BQ123" s="422">
        <f t="shared" si="119"/>
        <v>1.9136948558470666E-2</v>
      </c>
      <c r="BR123" s="422">
        <f t="shared" ref="BR123:BY123" si="120">BR119/BR91</f>
        <v>1.3657502965024661E-2</v>
      </c>
      <c r="BS123" s="423">
        <f t="shared" si="120"/>
        <v>1.7227230032182392E-2</v>
      </c>
      <c r="BT123" s="423">
        <f t="shared" si="120"/>
        <v>3.2484638913373991E-2</v>
      </c>
      <c r="BU123" s="423">
        <f t="shared" si="120"/>
        <v>4.704633192019566E-2</v>
      </c>
      <c r="BV123" s="423">
        <f t="shared" si="120"/>
        <v>6.2014685443238265E-2</v>
      </c>
      <c r="BW123" s="216"/>
    </row>
    <row r="124" spans="1:75" s="177" customFormat="1" ht="14.25" x14ac:dyDescent="0.45">
      <c r="A124" s="1451" t="str">
        <f>A169</f>
        <v>Consensus Estimates - Adjusted EBITDA Margin, %</v>
      </c>
      <c r="B124" s="1452"/>
      <c r="C124" s="1453"/>
      <c r="D124" s="1453"/>
      <c r="E124" s="1453"/>
      <c r="F124" s="1453"/>
      <c r="G124" s="1454"/>
      <c r="H124" s="1454"/>
      <c r="I124" s="1454"/>
      <c r="J124" s="1454"/>
      <c r="K124" s="1453"/>
      <c r="L124" s="1454"/>
      <c r="M124" s="1454"/>
      <c r="N124" s="1454"/>
      <c r="O124" s="1454"/>
      <c r="P124" s="1453"/>
      <c r="Q124" s="1454"/>
      <c r="R124" s="1454"/>
      <c r="S124" s="1454"/>
      <c r="T124" s="1454"/>
      <c r="U124" s="1453"/>
      <c r="V124" s="1454"/>
      <c r="W124" s="1454"/>
      <c r="X124" s="1454"/>
      <c r="Y124" s="1454"/>
      <c r="Z124" s="1453"/>
      <c r="AA124" s="1454"/>
      <c r="AB124" s="1454"/>
      <c r="AC124" s="1454"/>
      <c r="AD124" s="1454"/>
      <c r="AE124" s="1453"/>
      <c r="AF124" s="1454"/>
      <c r="AG124" s="1454"/>
      <c r="AH124" s="1454"/>
      <c r="AI124" s="1454"/>
      <c r="AJ124" s="1453"/>
      <c r="AK124" s="1454"/>
      <c r="AL124" s="1454"/>
      <c r="AM124" s="1454"/>
      <c r="AN124" s="1454"/>
      <c r="AO124" s="1453"/>
      <c r="AP124" s="1454"/>
      <c r="AQ124" s="1454"/>
      <c r="AR124" s="1454"/>
      <c r="AS124" s="1454"/>
      <c r="AT124" s="1453"/>
      <c r="AU124" s="1454"/>
      <c r="AV124" s="1454"/>
      <c r="AW124" s="1454"/>
      <c r="AX124" s="1454"/>
      <c r="AY124" s="1453"/>
      <c r="AZ124" s="1454"/>
      <c r="BA124" s="1454"/>
      <c r="BB124" s="1454"/>
      <c r="BC124" s="1454"/>
      <c r="BD124" s="1453"/>
      <c r="BE124" s="1454"/>
      <c r="BF124" s="1454"/>
      <c r="BG124" s="1454"/>
      <c r="BH124" s="1454"/>
      <c r="BI124" s="1453"/>
      <c r="BJ124" s="1455"/>
      <c r="BK124" s="1454">
        <f ca="1">BK169</f>
        <v>0</v>
      </c>
      <c r="BL124" s="1454">
        <f ca="1">BL169</f>
        <v>0</v>
      </c>
      <c r="BM124" s="1454">
        <f ca="1">BM169</f>
        <v>0</v>
      </c>
      <c r="BN124" s="1453">
        <f t="shared" ref="BN124:BV124" ca="1" si="121">BN169</f>
        <v>0</v>
      </c>
      <c r="BO124" s="1454">
        <f t="shared" ca="1" si="121"/>
        <v>0</v>
      </c>
      <c r="BP124" s="1454">
        <f t="shared" ca="1" si="121"/>
        <v>0</v>
      </c>
      <c r="BQ124" s="1454">
        <f t="shared" ca="1" si="121"/>
        <v>0</v>
      </c>
      <c r="BR124" s="1454">
        <f t="shared" ca="1" si="121"/>
        <v>0</v>
      </c>
      <c r="BS124" s="1453">
        <f t="shared" ca="1" si="121"/>
        <v>0</v>
      </c>
      <c r="BT124" s="1453">
        <f t="shared" ca="1" si="121"/>
        <v>0</v>
      </c>
      <c r="BU124" s="1453">
        <f t="shared" ca="1" si="121"/>
        <v>0</v>
      </c>
      <c r="BV124" s="1453">
        <f t="shared" ca="1" si="121"/>
        <v>0</v>
      </c>
      <c r="BW124" s="176"/>
    </row>
    <row r="125" spans="1:75" s="177" customFormat="1" ht="14.25" x14ac:dyDescent="0.45">
      <c r="A125" s="170" t="s">
        <v>2267</v>
      </c>
      <c r="B125" s="491"/>
      <c r="C125" s="417"/>
      <c r="D125" s="417"/>
      <c r="E125" s="417"/>
      <c r="F125" s="417"/>
      <c r="G125" s="378" t="str">
        <f t="shared" ref="G125:BR125" si="122">G643</f>
        <v/>
      </c>
      <c r="H125" s="378" t="str">
        <f t="shared" si="122"/>
        <v/>
      </c>
      <c r="I125" s="378" t="str">
        <f t="shared" si="122"/>
        <v/>
      </c>
      <c r="J125" s="378" t="str">
        <f t="shared" si="122"/>
        <v/>
      </c>
      <c r="K125" s="417" t="str">
        <f t="shared" si="122"/>
        <v/>
      </c>
      <c r="L125" s="378" t="str">
        <f t="shared" si="122"/>
        <v/>
      </c>
      <c r="M125" s="378" t="str">
        <f t="shared" si="122"/>
        <v/>
      </c>
      <c r="N125" s="378" t="str">
        <f t="shared" si="122"/>
        <v/>
      </c>
      <c r="O125" s="378" t="str">
        <f t="shared" si="122"/>
        <v/>
      </c>
      <c r="P125" s="417" t="str">
        <f t="shared" si="122"/>
        <v/>
      </c>
      <c r="Q125" s="378" t="str">
        <f t="shared" si="122"/>
        <v/>
      </c>
      <c r="R125" s="378" t="str">
        <f t="shared" si="122"/>
        <v/>
      </c>
      <c r="S125" s="378" t="str">
        <f t="shared" si="122"/>
        <v/>
      </c>
      <c r="T125" s="378" t="str">
        <f t="shared" si="122"/>
        <v/>
      </c>
      <c r="U125" s="417" t="str">
        <f t="shared" si="122"/>
        <v/>
      </c>
      <c r="V125" s="378" t="str">
        <f t="shared" si="122"/>
        <v/>
      </c>
      <c r="W125" s="378" t="str">
        <f t="shared" si="122"/>
        <v/>
      </c>
      <c r="X125" s="378" t="str">
        <f t="shared" si="122"/>
        <v/>
      </c>
      <c r="Y125" s="378" t="str">
        <f t="shared" si="122"/>
        <v/>
      </c>
      <c r="Z125" s="417" t="str">
        <f t="shared" si="122"/>
        <v/>
      </c>
      <c r="AA125" s="378" t="str">
        <f t="shared" si="122"/>
        <v/>
      </c>
      <c r="AB125" s="378" t="str">
        <f t="shared" si="122"/>
        <v/>
      </c>
      <c r="AC125" s="378" t="str">
        <f t="shared" si="122"/>
        <v/>
      </c>
      <c r="AD125" s="378" t="str">
        <f t="shared" si="122"/>
        <v/>
      </c>
      <c r="AE125" s="417" t="str">
        <f t="shared" si="122"/>
        <v/>
      </c>
      <c r="AF125" s="378" t="str">
        <f t="shared" si="122"/>
        <v/>
      </c>
      <c r="AG125" s="378" t="str">
        <f t="shared" si="122"/>
        <v/>
      </c>
      <c r="AH125" s="378" t="str">
        <f t="shared" si="122"/>
        <v/>
      </c>
      <c r="AI125" s="378" t="str">
        <f t="shared" si="122"/>
        <v/>
      </c>
      <c r="AJ125" s="417" t="str">
        <f t="shared" si="122"/>
        <v/>
      </c>
      <c r="AK125" s="378" t="str">
        <f t="shared" si="122"/>
        <v/>
      </c>
      <c r="AL125" s="378" t="str">
        <f t="shared" si="122"/>
        <v/>
      </c>
      <c r="AM125" s="378" t="str">
        <f t="shared" si="122"/>
        <v/>
      </c>
      <c r="AN125" s="378" t="str">
        <f t="shared" si="122"/>
        <v/>
      </c>
      <c r="AO125" s="417" t="str">
        <f t="shared" si="122"/>
        <v/>
      </c>
      <c r="AP125" s="378" t="str">
        <f t="shared" si="122"/>
        <v/>
      </c>
      <c r="AQ125" s="378" t="str">
        <f t="shared" si="122"/>
        <v/>
      </c>
      <c r="AR125" s="378" t="str">
        <f t="shared" si="122"/>
        <v/>
      </c>
      <c r="AS125" s="378" t="str">
        <f t="shared" si="122"/>
        <v/>
      </c>
      <c r="AT125" s="417" t="str">
        <f t="shared" si="122"/>
        <v/>
      </c>
      <c r="AU125" s="378" t="str">
        <f t="shared" si="122"/>
        <v/>
      </c>
      <c r="AV125" s="378" t="str">
        <f t="shared" si="122"/>
        <v/>
      </c>
      <c r="AW125" s="378" t="str">
        <f t="shared" si="122"/>
        <v/>
      </c>
      <c r="AX125" s="378" t="str">
        <f t="shared" si="122"/>
        <v/>
      </c>
      <c r="AY125" s="417" t="str">
        <f t="shared" si="122"/>
        <v/>
      </c>
      <c r="AZ125" s="378">
        <f t="shared" si="122"/>
        <v>-3.0000000000000002E-2</v>
      </c>
      <c r="BA125" s="378">
        <f t="shared" si="122"/>
        <v>-3.7999999999999999E-2</v>
      </c>
      <c r="BB125" s="378">
        <f t="shared" si="122"/>
        <v>-3.0000000000000002E-2</v>
      </c>
      <c r="BC125" s="378">
        <f t="shared" si="122"/>
        <v>-0.02</v>
      </c>
      <c r="BD125" s="417" t="str">
        <f t="shared" si="122"/>
        <v/>
      </c>
      <c r="BE125" s="378">
        <f t="shared" si="122"/>
        <v>-0.02</v>
      </c>
      <c r="BF125" s="378">
        <f t="shared" si="122"/>
        <v>0.01</v>
      </c>
      <c r="BG125" s="378">
        <f t="shared" si="122"/>
        <v>0.03</v>
      </c>
      <c r="BH125" s="378">
        <f t="shared" si="122"/>
        <v>2.5000000000000001E-2</v>
      </c>
      <c r="BI125" s="417" t="str">
        <f t="shared" si="122"/>
        <v/>
      </c>
      <c r="BJ125" s="1130">
        <f>BJ643</f>
        <v>1.4999999999999999E-2</v>
      </c>
      <c r="BK125" s="378">
        <f t="shared" si="122"/>
        <v>0.05</v>
      </c>
      <c r="BL125" s="378" t="str">
        <f t="shared" si="122"/>
        <v/>
      </c>
      <c r="BM125" s="378" t="str">
        <f t="shared" si="122"/>
        <v/>
      </c>
      <c r="BN125" s="417" t="str">
        <f t="shared" si="122"/>
        <v/>
      </c>
      <c r="BO125" s="378" t="str">
        <f t="shared" si="122"/>
        <v/>
      </c>
      <c r="BP125" s="378" t="str">
        <f t="shared" si="122"/>
        <v/>
      </c>
      <c r="BQ125" s="378" t="str">
        <f t="shared" si="122"/>
        <v/>
      </c>
      <c r="BR125" s="378" t="str">
        <f t="shared" si="122"/>
        <v/>
      </c>
      <c r="BS125" s="417" t="str">
        <f t="shared" ref="BS125:BZ125" si="123">BS643</f>
        <v/>
      </c>
      <c r="BT125" s="417">
        <f t="shared" si="123"/>
        <v>0</v>
      </c>
      <c r="BU125" s="417">
        <f t="shared" si="123"/>
        <v>0</v>
      </c>
      <c r="BV125" s="417">
        <f t="shared" si="123"/>
        <v>0</v>
      </c>
      <c r="BW125" s="176"/>
    </row>
    <row r="126" spans="1:75" s="224" customFormat="1" x14ac:dyDescent="0.5">
      <c r="A126" s="218" t="s">
        <v>2268</v>
      </c>
      <c r="B126" s="494"/>
      <c r="C126" s="425"/>
      <c r="D126" s="425"/>
      <c r="E126" s="425"/>
      <c r="F126" s="425"/>
      <c r="G126" s="487"/>
      <c r="H126" s="487"/>
      <c r="I126" s="487"/>
      <c r="J126" s="487"/>
      <c r="K126" s="425">
        <f t="shared" ref="K126:BN126" si="124">(K123-F123)*10000</f>
        <v>168.6690256987186</v>
      </c>
      <c r="L126" s="487">
        <f t="shared" si="124"/>
        <v>-554.8242027320797</v>
      </c>
      <c r="M126" s="487">
        <f t="shared" si="124"/>
        <v>-617.42687424696067</v>
      </c>
      <c r="N126" s="487">
        <f t="shared" si="124"/>
        <v>-537.21654487365117</v>
      </c>
      <c r="O126" s="487">
        <f t="shared" si="124"/>
        <v>-154.73629446419122</v>
      </c>
      <c r="P126" s="425">
        <f t="shared" si="124"/>
        <v>-442.17140551670849</v>
      </c>
      <c r="Q126" s="487">
        <f t="shared" si="124"/>
        <v>405.39584107458074</v>
      </c>
      <c r="R126" s="487">
        <f t="shared" si="124"/>
        <v>494.58596107334728</v>
      </c>
      <c r="S126" s="487">
        <f t="shared" si="124"/>
        <v>520.51621026871044</v>
      </c>
      <c r="T126" s="487">
        <f t="shared" si="124"/>
        <v>214.87083283759748</v>
      </c>
      <c r="U126" s="425">
        <f t="shared" si="124"/>
        <v>403.34277650655571</v>
      </c>
      <c r="V126" s="487">
        <f t="shared" si="124"/>
        <v>10.324933007168809</v>
      </c>
      <c r="W126" s="487">
        <f t="shared" si="124"/>
        <v>-214.7660036714106</v>
      </c>
      <c r="X126" s="487">
        <f t="shared" si="124"/>
        <v>-333.74659882259817</v>
      </c>
      <c r="Y126" s="487">
        <f t="shared" si="124"/>
        <v>-160.37312170751676</v>
      </c>
      <c r="Z126" s="425">
        <f t="shared" si="124"/>
        <v>-191.57524747921843</v>
      </c>
      <c r="AA126" s="487">
        <f t="shared" si="124"/>
        <v>62.978597464653575</v>
      </c>
      <c r="AB126" s="487">
        <f t="shared" si="124"/>
        <v>295.87131429779089</v>
      </c>
      <c r="AC126" s="487">
        <f t="shared" si="124"/>
        <v>168.85687000348676</v>
      </c>
      <c r="AD126" s="487">
        <f t="shared" si="124"/>
        <v>-25.308870263500374</v>
      </c>
      <c r="AE126" s="425">
        <f t="shared" si="124"/>
        <v>120.3822782203292</v>
      </c>
      <c r="AF126" s="487">
        <f t="shared" si="124"/>
        <v>-138.29252150182776</v>
      </c>
      <c r="AG126" s="487">
        <f t="shared" si="124"/>
        <v>-190.29119027725733</v>
      </c>
      <c r="AH126" s="487">
        <f t="shared" si="124"/>
        <v>-258.7362317541365</v>
      </c>
      <c r="AI126" s="487">
        <f t="shared" si="124"/>
        <v>-119.73421409649374</v>
      </c>
      <c r="AJ126" s="425">
        <f t="shared" si="124"/>
        <v>-175.13498738854102</v>
      </c>
      <c r="AK126" s="487">
        <f t="shared" si="124"/>
        <v>-169.81633352420255</v>
      </c>
      <c r="AL126" s="487">
        <f t="shared" si="124"/>
        <v>-88.363964387513505</v>
      </c>
      <c r="AM126" s="487">
        <f t="shared" si="124"/>
        <v>-177.44127496198317</v>
      </c>
      <c r="AN126" s="487">
        <f t="shared" si="124"/>
        <v>-443.92082920044277</v>
      </c>
      <c r="AO126" s="425">
        <f t="shared" si="124"/>
        <v>-226.90803845001392</v>
      </c>
      <c r="AP126" s="487">
        <f t="shared" si="124"/>
        <v>-20.649824331286716</v>
      </c>
      <c r="AQ126" s="487">
        <f t="shared" si="124"/>
        <v>1320.3685490887856</v>
      </c>
      <c r="AR126" s="487">
        <f t="shared" si="124"/>
        <v>1591.9407146099986</v>
      </c>
      <c r="AS126" s="487">
        <f t="shared" si="124"/>
        <v>1428.218891895646</v>
      </c>
      <c r="AT126" s="425">
        <f t="shared" si="124"/>
        <v>1213.443127733341</v>
      </c>
      <c r="AU126" s="487">
        <f t="shared" si="124"/>
        <v>1137.9449480621117</v>
      </c>
      <c r="AV126" s="487">
        <f t="shared" si="124"/>
        <v>-215.93027952924504</v>
      </c>
      <c r="AW126" s="487">
        <f t="shared" si="124"/>
        <v>-642.77670793897119</v>
      </c>
      <c r="AX126" s="487">
        <f t="shared" si="124"/>
        <v>-728.95784163838391</v>
      </c>
      <c r="AY126" s="425">
        <f t="shared" si="124"/>
        <v>-221.49433137680626</v>
      </c>
      <c r="AZ126" s="487">
        <f t="shared" si="124"/>
        <v>-969.25410980801234</v>
      </c>
      <c r="BA126" s="487">
        <f t="shared" si="124"/>
        <v>-1134.647785085835</v>
      </c>
      <c r="BB126" s="487">
        <f t="shared" si="124"/>
        <v>-760.38874335661376</v>
      </c>
      <c r="BC126" s="487">
        <f t="shared" si="124"/>
        <v>-217.10947994247647</v>
      </c>
      <c r="BD126" s="425">
        <f t="shared" si="124"/>
        <v>-788.3948842406428</v>
      </c>
      <c r="BE126" s="487">
        <f t="shared" si="124"/>
        <v>327.07897374575765</v>
      </c>
      <c r="BF126" s="487">
        <f t="shared" si="124"/>
        <v>732.52538708169459</v>
      </c>
      <c r="BG126" s="487">
        <f t="shared" si="124"/>
        <v>776.29363135333733</v>
      </c>
      <c r="BH126" s="487">
        <f t="shared" si="124"/>
        <v>524.39834913510197</v>
      </c>
      <c r="BI126" s="425">
        <f t="shared" si="124"/>
        <v>595.41752309508161</v>
      </c>
      <c r="BJ126" s="981">
        <f>(BJ123-BE123)*10000</f>
        <v>325.29458091586457</v>
      </c>
      <c r="BK126" s="487">
        <f t="shared" si="124"/>
        <v>98.86867475269429</v>
      </c>
      <c r="BL126" s="487">
        <f t="shared" si="124"/>
        <v>-146.15400538661279</v>
      </c>
      <c r="BM126" s="487">
        <f t="shared" si="124"/>
        <v>-158.2586519693827</v>
      </c>
      <c r="BN126" s="425">
        <f t="shared" si="124"/>
        <v>24.424629566509314</v>
      </c>
      <c r="BO126" s="487">
        <f>(BO123-BJ123)*10000</f>
        <v>65.623588496625004</v>
      </c>
      <c r="BP126" s="487">
        <f>(BP123-BK123)*10000</f>
        <v>-455.5609342483308</v>
      </c>
      <c r="BQ126" s="487">
        <f>(BQ123-BL123)*10000</f>
        <v>-2.150422072158785</v>
      </c>
      <c r="BR126" s="487">
        <f>(BR123-BM123)*10000</f>
        <v>-0.60626699951006269</v>
      </c>
      <c r="BS126" s="425">
        <f>(BS123-BN123)*10000</f>
        <v>-107.08859517820201</v>
      </c>
      <c r="BT126" s="425">
        <f>(BT123-BS123)*10000</f>
        <v>152.574088811916</v>
      </c>
      <c r="BU126" s="425">
        <f>(BU123-BT123)*10000</f>
        <v>145.61693006821667</v>
      </c>
      <c r="BV126" s="425">
        <f>(BV123-BU123)*10000</f>
        <v>149.68353523042606</v>
      </c>
      <c r="BW126" s="223"/>
    </row>
    <row r="127" spans="1:75" s="217" customFormat="1" x14ac:dyDescent="0.5">
      <c r="A127" s="211"/>
      <c r="B127" s="493"/>
      <c r="C127" s="423"/>
      <c r="D127" s="423"/>
      <c r="E127" s="423"/>
      <c r="F127" s="423"/>
      <c r="G127" s="422"/>
      <c r="H127" s="422"/>
      <c r="I127" s="422"/>
      <c r="J127" s="422"/>
      <c r="K127" s="423"/>
      <c r="L127" s="422"/>
      <c r="M127" s="422"/>
      <c r="N127" s="422"/>
      <c r="O127" s="422"/>
      <c r="P127" s="423"/>
      <c r="Q127" s="422"/>
      <c r="R127" s="422"/>
      <c r="S127" s="422"/>
      <c r="T127" s="422"/>
      <c r="U127" s="423"/>
      <c r="V127" s="422"/>
      <c r="W127" s="422"/>
      <c r="X127" s="422"/>
      <c r="Y127" s="422"/>
      <c r="Z127" s="423"/>
      <c r="AA127" s="422"/>
      <c r="AB127" s="422"/>
      <c r="AC127" s="422"/>
      <c r="AD127" s="422"/>
      <c r="AE127" s="423"/>
      <c r="AF127" s="422"/>
      <c r="AG127" s="422"/>
      <c r="AH127" s="422"/>
      <c r="AI127" s="422"/>
      <c r="AJ127" s="423"/>
      <c r="AK127" s="422"/>
      <c r="AL127" s="422"/>
      <c r="AM127" s="422"/>
      <c r="AN127" s="422"/>
      <c r="AO127" s="423"/>
      <c r="AP127" s="422"/>
      <c r="AQ127" s="422"/>
      <c r="AR127" s="422"/>
      <c r="AS127" s="422"/>
      <c r="AT127" s="423"/>
      <c r="AU127" s="422"/>
      <c r="AV127" s="422"/>
      <c r="AW127" s="422"/>
      <c r="AX127" s="422"/>
      <c r="AY127" s="423"/>
      <c r="AZ127" s="422"/>
      <c r="BA127" s="422"/>
      <c r="BB127" s="422"/>
      <c r="BC127" s="422"/>
      <c r="BD127" s="423"/>
      <c r="BE127" s="422"/>
      <c r="BF127" s="422"/>
      <c r="BG127" s="422"/>
      <c r="BH127" s="422"/>
      <c r="BI127" s="423"/>
      <c r="BJ127" s="1034"/>
      <c r="BK127" s="422"/>
      <c r="BL127" s="422"/>
      <c r="BM127" s="422"/>
      <c r="BN127" s="423"/>
      <c r="BO127" s="422"/>
      <c r="BP127" s="422"/>
      <c r="BQ127" s="422"/>
      <c r="BR127" s="422"/>
      <c r="BS127" s="423"/>
      <c r="BT127" s="423"/>
      <c r="BU127" s="423"/>
      <c r="BV127" s="423"/>
      <c r="BW127" s="216"/>
    </row>
    <row r="128" spans="1:75" x14ac:dyDescent="0.5">
      <c r="A128" s="159" t="s">
        <v>2269</v>
      </c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59"/>
      <c r="AU128" s="159"/>
      <c r="AV128" s="159"/>
      <c r="AW128" s="159"/>
      <c r="AX128" s="159"/>
      <c r="AY128" s="159"/>
      <c r="AZ128" s="159"/>
      <c r="BA128" s="159"/>
      <c r="BB128" s="159"/>
      <c r="BC128" s="159"/>
      <c r="BD128" s="159"/>
      <c r="BE128" s="159"/>
      <c r="BF128" s="159"/>
      <c r="BG128" s="159"/>
      <c r="BH128" s="159"/>
      <c r="BI128" s="159"/>
      <c r="BJ128" s="160"/>
      <c r="BK128" s="159"/>
      <c r="BL128" s="159"/>
      <c r="BM128" s="159"/>
      <c r="BN128" s="159"/>
      <c r="BO128" s="159"/>
      <c r="BP128" s="159"/>
      <c r="BQ128" s="159"/>
      <c r="BR128" s="159"/>
      <c r="BS128" s="159"/>
      <c r="BT128" s="159"/>
      <c r="BU128" s="159"/>
      <c r="BV128" s="159"/>
      <c r="BW128" s="122"/>
    </row>
    <row r="129" spans="1:75" hidden="1" outlineLevel="1" x14ac:dyDescent="0.5">
      <c r="A129" s="184" t="s">
        <v>2270</v>
      </c>
      <c r="B129" s="513"/>
      <c r="C129" s="401"/>
      <c r="D129" s="401"/>
      <c r="E129" s="401"/>
      <c r="F129" s="401">
        <f>F132-F130</f>
        <v>9.1230000000000011</v>
      </c>
      <c r="G129" s="118">
        <f>G132-G130</f>
        <v>2.831</v>
      </c>
      <c r="H129" s="118">
        <f>H132-H130</f>
        <v>2.9260000000000006</v>
      </c>
      <c r="I129" s="118">
        <f t="shared" ref="I129:U129" si="125">I132-I130</f>
        <v>3.3049999999999997</v>
      </c>
      <c r="J129" s="118">
        <f t="shared" si="125"/>
        <v>3.4899999999999989</v>
      </c>
      <c r="K129" s="401">
        <f t="shared" si="125"/>
        <v>12.552</v>
      </c>
      <c r="L129" s="118">
        <f t="shared" si="125"/>
        <v>3.9490000000000003</v>
      </c>
      <c r="M129" s="118">
        <f t="shared" si="125"/>
        <v>4.4429999999999996</v>
      </c>
      <c r="N129" s="118">
        <f t="shared" si="125"/>
        <v>5.2980000000000009</v>
      </c>
      <c r="O129" s="118">
        <f t="shared" si="125"/>
        <v>7.3329999999999993</v>
      </c>
      <c r="P129" s="401">
        <f t="shared" si="125"/>
        <v>21.023</v>
      </c>
      <c r="Q129" s="118">
        <f t="shared" si="125"/>
        <v>6.4939999999999998</v>
      </c>
      <c r="R129" s="118">
        <f t="shared" si="125"/>
        <v>7.1640000000000006</v>
      </c>
      <c r="S129" s="118">
        <f t="shared" si="125"/>
        <v>8.9989999999999988</v>
      </c>
      <c r="T129" s="118">
        <f t="shared" si="125"/>
        <v>8.8979999999999997</v>
      </c>
      <c r="U129" s="401">
        <f t="shared" si="125"/>
        <v>31.555</v>
      </c>
      <c r="V129" s="302">
        <v>10.3</v>
      </c>
      <c r="W129" s="302">
        <v>12.4</v>
      </c>
      <c r="X129" s="302">
        <v>15.2</v>
      </c>
      <c r="Y129" s="118">
        <f>Z129-X129-W129-V129</f>
        <v>16.700000000000006</v>
      </c>
      <c r="Z129" s="403">
        <v>54.6</v>
      </c>
      <c r="AA129" s="302">
        <v>20.100000000000001</v>
      </c>
      <c r="AB129" s="302">
        <v>19</v>
      </c>
      <c r="AC129" s="302">
        <v>22.6</v>
      </c>
      <c r="AD129" s="118">
        <f>AE129-AC129-AB129-AA129</f>
        <v>24.200000000000003</v>
      </c>
      <c r="AE129" s="403">
        <v>85.9</v>
      </c>
      <c r="AF129" s="302">
        <v>25.7</v>
      </c>
      <c r="AG129" s="302">
        <v>28.6</v>
      </c>
      <c r="AH129" s="302">
        <v>32.4</v>
      </c>
      <c r="AI129" s="118">
        <f>AJ129-AH129-AG129-AF129</f>
        <v>35.899999999999991</v>
      </c>
      <c r="AJ129" s="403">
        <v>122.6</v>
      </c>
      <c r="AK129" s="302">
        <v>39.4</v>
      </c>
      <c r="AL129" s="302">
        <v>44.2</v>
      </c>
      <c r="AM129" s="302">
        <v>50.1</v>
      </c>
      <c r="AN129" s="118">
        <f>AO129-AM129-AL129-AK129</f>
        <v>57.9</v>
      </c>
      <c r="AO129" s="403">
        <v>191.6</v>
      </c>
      <c r="AP129" s="302">
        <v>66.400000000000006</v>
      </c>
      <c r="AQ129" s="302">
        <v>68.7</v>
      </c>
      <c r="AR129" s="302">
        <v>72.2</v>
      </c>
      <c r="AS129" s="118">
        <f>AT129-AR129-AQ129-AP129</f>
        <v>76.900000000000006</v>
      </c>
      <c r="AT129" s="403">
        <v>284.2</v>
      </c>
      <c r="AU129" s="118">
        <f>-AU914</f>
        <v>80.062519999999992</v>
      </c>
      <c r="AV129" s="118">
        <f>-AV914</f>
        <v>77.672194520547947</v>
      </c>
      <c r="AW129" s="118">
        <f>-AW914</f>
        <v>81.66141643835617</v>
      </c>
      <c r="AX129" s="118">
        <f>AY129-AW129-AV129-AU129</f>
        <v>82.603869041095876</v>
      </c>
      <c r="AY129" s="403">
        <v>322</v>
      </c>
      <c r="AZ129" s="118">
        <f>-AZ914</f>
        <v>84.768658082191777</v>
      </c>
      <c r="BA129" s="118">
        <f>-BA914</f>
        <v>90.766087616438355</v>
      </c>
      <c r="BB129" s="118">
        <f>-BB914</f>
        <v>93.763517150684933</v>
      </c>
      <c r="BC129" s="118">
        <f>BD129-BB129-BA129-AZ129</f>
        <v>100.70173715068491</v>
      </c>
      <c r="BD129" s="403">
        <v>370</v>
      </c>
      <c r="BE129" s="118">
        <f>-BE914</f>
        <v>103.78345260273973</v>
      </c>
      <c r="BF129" s="118">
        <f>-BF914</f>
        <v>101.78104652054795</v>
      </c>
      <c r="BG129" s="118">
        <f>-BG914</f>
        <v>105.77864043835616</v>
      </c>
      <c r="BH129" s="118">
        <f>BI129-BG129-BF129-BE129</f>
        <v>104.65686043835619</v>
      </c>
      <c r="BI129" s="403">
        <v>416</v>
      </c>
      <c r="BJ129" s="971">
        <f>-BJ914</f>
        <v>103.76265658469946</v>
      </c>
      <c r="BK129" s="118"/>
      <c r="BL129" s="118"/>
      <c r="BM129" s="118"/>
      <c r="BN129" s="401"/>
      <c r="BO129" s="118"/>
      <c r="BP129" s="118"/>
      <c r="BQ129" s="118"/>
      <c r="BR129" s="118"/>
      <c r="BS129" s="401"/>
      <c r="BT129" s="401"/>
      <c r="BU129" s="401"/>
      <c r="BV129" s="401"/>
      <c r="BW129" s="122"/>
    </row>
    <row r="130" spans="1:75" hidden="1" outlineLevel="1" x14ac:dyDescent="0.5">
      <c r="A130" s="184" t="s">
        <v>2271</v>
      </c>
      <c r="B130" s="513"/>
      <c r="C130" s="401"/>
      <c r="D130" s="401"/>
      <c r="E130" s="401"/>
      <c r="F130" s="401">
        <f t="shared" ref="F130:U130" si="126">F180</f>
        <v>0.21199999999999999</v>
      </c>
      <c r="G130" s="118">
        <f t="shared" si="126"/>
        <v>5.2999999999999999E-2</v>
      </c>
      <c r="H130" s="118">
        <f t="shared" si="126"/>
        <v>5.2999999999999999E-2</v>
      </c>
      <c r="I130" s="118">
        <f t="shared" si="126"/>
        <v>0.184</v>
      </c>
      <c r="J130" s="118">
        <f t="shared" si="126"/>
        <v>0.24900000000000005</v>
      </c>
      <c r="K130" s="401">
        <f t="shared" si="126"/>
        <v>0.53900000000000003</v>
      </c>
      <c r="L130" s="118">
        <f t="shared" si="126"/>
        <v>0.249</v>
      </c>
      <c r="M130" s="118">
        <f t="shared" si="126"/>
        <v>0.25</v>
      </c>
      <c r="N130" s="118">
        <f t="shared" si="126"/>
        <v>0.249</v>
      </c>
      <c r="O130" s="118">
        <f t="shared" si="126"/>
        <v>0.23200000000000001</v>
      </c>
      <c r="P130" s="401">
        <f t="shared" si="126"/>
        <v>0.98</v>
      </c>
      <c r="Q130" s="118">
        <f t="shared" si="126"/>
        <v>0.25</v>
      </c>
      <c r="R130" s="118">
        <f t="shared" si="126"/>
        <v>0.23599999999999999</v>
      </c>
      <c r="S130" s="118">
        <f t="shared" si="126"/>
        <v>0.20799999999999999</v>
      </c>
      <c r="T130" s="118">
        <f t="shared" si="126"/>
        <v>0.19700000000000001</v>
      </c>
      <c r="U130" s="401">
        <f t="shared" si="126"/>
        <v>0.89100000000000001</v>
      </c>
      <c r="V130" s="302">
        <v>0.2</v>
      </c>
      <c r="W130" s="302">
        <v>0.2</v>
      </c>
      <c r="X130" s="302">
        <v>0.2</v>
      </c>
      <c r="Y130" s="118">
        <f>Z130-X130-W130-V130</f>
        <v>0.29999999999999993</v>
      </c>
      <c r="Z130" s="403">
        <v>0.9</v>
      </c>
      <c r="AA130" s="302">
        <v>0.3</v>
      </c>
      <c r="AB130" s="302">
        <v>0.3</v>
      </c>
      <c r="AC130" s="302">
        <v>0.3</v>
      </c>
      <c r="AD130" s="118">
        <f>AE130-AC130-AB130-AA130</f>
        <v>0.2</v>
      </c>
      <c r="AE130" s="403">
        <v>1.1000000000000001</v>
      </c>
      <c r="AF130" s="302">
        <v>0.3</v>
      </c>
      <c r="AG130" s="302">
        <v>0.3</v>
      </c>
      <c r="AH130" s="302">
        <v>0.2</v>
      </c>
      <c r="AI130" s="118">
        <f>AJ130-AH130-AG130-AF130</f>
        <v>9.9999999999999978E-2</v>
      </c>
      <c r="AJ130" s="403">
        <v>0.9</v>
      </c>
      <c r="AK130" s="302">
        <v>0.1</v>
      </c>
      <c r="AL130" s="302">
        <v>0.1</v>
      </c>
      <c r="AM130" s="302">
        <v>0.1</v>
      </c>
      <c r="AN130" s="118">
        <f>AO130-AM130-AL130-AK130</f>
        <v>0.50000000000000011</v>
      </c>
      <c r="AO130" s="403">
        <v>0.8</v>
      </c>
      <c r="AP130" s="302">
        <v>0.4</v>
      </c>
      <c r="AQ130" s="302">
        <v>0.4</v>
      </c>
      <c r="AR130" s="302">
        <v>0.4</v>
      </c>
      <c r="AS130" s="118">
        <f>AT130-AR130-AQ130-AP130</f>
        <v>0.30000000000000004</v>
      </c>
      <c r="AT130" s="403">
        <v>1.5</v>
      </c>
      <c r="AU130" s="118">
        <f>-AU920</f>
        <v>0.24948000000000004</v>
      </c>
      <c r="AV130" s="118">
        <f>-AV920</f>
        <v>0.25280547945205473</v>
      </c>
      <c r="AW130" s="118">
        <f>-AW920</f>
        <v>0.25558356164383556</v>
      </c>
      <c r="AX130" s="118">
        <f>AY130-AW130-AV130-AU130</f>
        <v>0.24213095890410968</v>
      </c>
      <c r="AY130" s="403">
        <v>1</v>
      </c>
      <c r="AZ130" s="118">
        <f>-AZ920</f>
        <v>0.23134191780821914</v>
      </c>
      <c r="BA130" s="118">
        <f>-BA920</f>
        <v>0.23391238356164379</v>
      </c>
      <c r="BB130" s="118">
        <f>-BB920</f>
        <v>0.23648284931506844</v>
      </c>
      <c r="BC130" s="118">
        <f>BD130-BB130-BA130-AZ130</f>
        <v>0.29826284931506863</v>
      </c>
      <c r="BD130" s="403">
        <v>1</v>
      </c>
      <c r="BE130" s="118">
        <f>-BE920</f>
        <v>0.21654739726027392</v>
      </c>
      <c r="BF130" s="118">
        <f>-BF920</f>
        <v>0.21895347945205473</v>
      </c>
      <c r="BG130" s="118">
        <f>-BG920</f>
        <v>0.22135956164383555</v>
      </c>
      <c r="BH130" s="118">
        <f>BI130-BG130-BF130-BE130</f>
        <v>0.34313956164383586</v>
      </c>
      <c r="BI130" s="403">
        <v>1</v>
      </c>
      <c r="BJ130" s="971">
        <f>-BJ920</f>
        <v>0.23734341530054642</v>
      </c>
      <c r="BK130" s="118"/>
      <c r="BL130" s="118"/>
      <c r="BM130" s="118"/>
      <c r="BN130" s="401"/>
      <c r="BO130" s="118"/>
      <c r="BP130" s="118"/>
      <c r="BQ130" s="118"/>
      <c r="BR130" s="118"/>
      <c r="BS130" s="401"/>
      <c r="BT130" s="401"/>
      <c r="BU130" s="401"/>
      <c r="BV130" s="401"/>
      <c r="BW130" s="122"/>
    </row>
    <row r="131" spans="1:75" hidden="1" outlineLevel="2" x14ac:dyDescent="0.5">
      <c r="A131" s="464" t="s">
        <v>2272</v>
      </c>
      <c r="B131" s="513"/>
      <c r="C131" s="401"/>
      <c r="D131" s="401"/>
      <c r="E131" s="401"/>
      <c r="F131" s="674">
        <f>F132-SUM(F129:F130)</f>
        <v>0</v>
      </c>
      <c r="G131" s="122">
        <f>G132-SUM(G129:G130)</f>
        <v>0</v>
      </c>
      <c r="H131" s="122">
        <f>H132-SUM(H129:H130)</f>
        <v>0</v>
      </c>
      <c r="I131" s="122">
        <f t="shared" ref="I131:BJ131" si="127">I132-SUM(I129:I130)</f>
        <v>0</v>
      </c>
      <c r="J131" s="122">
        <f t="shared" si="127"/>
        <v>0</v>
      </c>
      <c r="K131" s="674">
        <f t="shared" si="127"/>
        <v>0</v>
      </c>
      <c r="L131" s="122">
        <f t="shared" si="127"/>
        <v>0</v>
      </c>
      <c r="M131" s="122">
        <f t="shared" si="127"/>
        <v>0</v>
      </c>
      <c r="N131" s="122">
        <f t="shared" si="127"/>
        <v>0</v>
      </c>
      <c r="O131" s="122">
        <f t="shared" si="127"/>
        <v>0</v>
      </c>
      <c r="P131" s="674">
        <f t="shared" si="127"/>
        <v>0</v>
      </c>
      <c r="Q131" s="122">
        <f t="shared" si="127"/>
        <v>0</v>
      </c>
      <c r="R131" s="122">
        <f t="shared" si="127"/>
        <v>0</v>
      </c>
      <c r="S131" s="122">
        <f t="shared" si="127"/>
        <v>0</v>
      </c>
      <c r="T131" s="122">
        <f t="shared" si="127"/>
        <v>0</v>
      </c>
      <c r="U131" s="674">
        <f t="shared" si="127"/>
        <v>0</v>
      </c>
      <c r="V131" s="122">
        <f t="shared" si="127"/>
        <v>-1.2999999999999901E-2</v>
      </c>
      <c r="W131" s="122">
        <f t="shared" si="127"/>
        <v>-2.1999999999998465E-2</v>
      </c>
      <c r="X131" s="122">
        <f t="shared" si="127"/>
        <v>6.2999999999998835E-2</v>
      </c>
      <c r="Y131" s="122">
        <f t="shared" si="127"/>
        <v>4.399999999999693E-2</v>
      </c>
      <c r="Z131" s="674">
        <f t="shared" si="127"/>
        <v>7.2000000000002728E-2</v>
      </c>
      <c r="AA131" s="118">
        <f t="shared" si="127"/>
        <v>-4.8000000000001819E-2</v>
      </c>
      <c r="AB131" s="122">
        <f t="shared" si="127"/>
        <v>2.2999999999996135E-2</v>
      </c>
      <c r="AC131" s="122">
        <f t="shared" si="127"/>
        <v>1.3000000000001677E-2</v>
      </c>
      <c r="AD131" s="122">
        <f t="shared" si="127"/>
        <v>3.1999999999992923E-2</v>
      </c>
      <c r="AE131" s="674">
        <f t="shared" si="127"/>
        <v>1.9999999999996021E-2</v>
      </c>
      <c r="AF131" s="118">
        <f t="shared" si="127"/>
        <v>-3.8000000000000256E-2</v>
      </c>
      <c r="AG131" s="122">
        <f t="shared" si="127"/>
        <v>1.9999999999996021E-2</v>
      </c>
      <c r="AH131" s="464">
        <f t="shared" si="127"/>
        <v>-5.5999999999997385E-2</v>
      </c>
      <c r="AI131" s="122">
        <f t="shared" si="127"/>
        <v>0.11600000000000676</v>
      </c>
      <c r="AJ131" s="674">
        <f t="shared" si="127"/>
        <v>4.2000000000001592E-2</v>
      </c>
      <c r="AK131" s="118">
        <f t="shared" si="127"/>
        <v>8.2999999999998408E-2</v>
      </c>
      <c r="AL131" s="122">
        <f t="shared" si="127"/>
        <v>3.8999999999994373E-2</v>
      </c>
      <c r="AM131" s="122">
        <f t="shared" si="127"/>
        <v>4.9999999999997158E-2</v>
      </c>
      <c r="AN131" s="122">
        <f t="shared" si="127"/>
        <v>-0.15299999999998448</v>
      </c>
      <c r="AO131" s="674">
        <f t="shared" si="127"/>
        <v>1.9000000000005457E-2</v>
      </c>
      <c r="AP131" s="118">
        <f t="shared" si="127"/>
        <v>4.2999999999992156E-2</v>
      </c>
      <c r="AQ131" s="122">
        <f t="shared" si="127"/>
        <v>1.3999999999981583E-2</v>
      </c>
      <c r="AR131" s="122">
        <f t="shared" si="127"/>
        <v>-2.4999999999991473E-2</v>
      </c>
      <c r="AS131" s="122">
        <f t="shared" si="127"/>
        <v>-2.1000000000000796E-2</v>
      </c>
      <c r="AT131" s="674">
        <f t="shared" si="127"/>
        <v>1.1000000000024102E-2</v>
      </c>
      <c r="AU131" s="118">
        <f t="shared" si="127"/>
        <v>0</v>
      </c>
      <c r="AV131" s="122">
        <f t="shared" si="127"/>
        <v>0</v>
      </c>
      <c r="AW131" s="122">
        <f t="shared" si="127"/>
        <v>0</v>
      </c>
      <c r="AX131" s="122">
        <f t="shared" si="127"/>
        <v>-0.99999999999998579</v>
      </c>
      <c r="AY131" s="674">
        <f t="shared" si="127"/>
        <v>-1</v>
      </c>
      <c r="AZ131" s="118">
        <f t="shared" si="127"/>
        <v>0</v>
      </c>
      <c r="BA131" s="122">
        <f t="shared" si="127"/>
        <v>0</v>
      </c>
      <c r="BB131" s="122">
        <f t="shared" si="127"/>
        <v>0</v>
      </c>
      <c r="BC131" s="122">
        <f t="shared" si="127"/>
        <v>0</v>
      </c>
      <c r="BD131" s="674">
        <f t="shared" si="127"/>
        <v>0</v>
      </c>
      <c r="BE131" s="118">
        <f t="shared" si="127"/>
        <v>0</v>
      </c>
      <c r="BF131" s="122">
        <f t="shared" si="127"/>
        <v>0</v>
      </c>
      <c r="BG131" s="122">
        <f t="shared" si="127"/>
        <v>0</v>
      </c>
      <c r="BH131" s="122">
        <f t="shared" si="127"/>
        <v>0</v>
      </c>
      <c r="BI131" s="674">
        <f t="shared" si="127"/>
        <v>0</v>
      </c>
      <c r="BJ131" s="971">
        <f t="shared" si="127"/>
        <v>0</v>
      </c>
      <c r="BK131" s="118"/>
      <c r="BL131" s="118"/>
      <c r="BM131" s="118"/>
      <c r="BN131" s="401"/>
      <c r="BO131" s="118"/>
      <c r="BP131" s="118"/>
      <c r="BQ131" s="118"/>
      <c r="BR131" s="118"/>
      <c r="BS131" s="401"/>
      <c r="BT131" s="401"/>
      <c r="BU131" s="401"/>
      <c r="BV131" s="401"/>
      <c r="BW131" s="122"/>
    </row>
    <row r="132" spans="1:75" hidden="1" outlineLevel="1" x14ac:dyDescent="0.5">
      <c r="A132" s="516" t="s">
        <v>799</v>
      </c>
      <c r="B132" s="517"/>
      <c r="C132" s="518"/>
      <c r="D132" s="518"/>
      <c r="E132" s="518"/>
      <c r="F132" s="519">
        <f t="shared" ref="F132:BJ132" si="128">F837</f>
        <v>9.3350000000000009</v>
      </c>
      <c r="G132" s="520">
        <f t="shared" si="128"/>
        <v>2.8839999999999999</v>
      </c>
      <c r="H132" s="520">
        <f t="shared" si="128"/>
        <v>2.9790000000000005</v>
      </c>
      <c r="I132" s="520">
        <f t="shared" si="128"/>
        <v>3.4889999999999999</v>
      </c>
      <c r="J132" s="520">
        <f t="shared" si="128"/>
        <v>3.738999999999999</v>
      </c>
      <c r="K132" s="519">
        <f t="shared" si="128"/>
        <v>13.090999999999999</v>
      </c>
      <c r="L132" s="520">
        <f t="shared" si="128"/>
        <v>4.1980000000000004</v>
      </c>
      <c r="M132" s="520">
        <f t="shared" si="128"/>
        <v>4.6929999999999996</v>
      </c>
      <c r="N132" s="520">
        <f t="shared" si="128"/>
        <v>5.5470000000000006</v>
      </c>
      <c r="O132" s="520">
        <f t="shared" si="128"/>
        <v>7.5649999999999995</v>
      </c>
      <c r="P132" s="519">
        <f t="shared" si="128"/>
        <v>22.003</v>
      </c>
      <c r="Q132" s="520">
        <f t="shared" si="128"/>
        <v>6.7439999999999998</v>
      </c>
      <c r="R132" s="520">
        <f t="shared" si="128"/>
        <v>7.4</v>
      </c>
      <c r="S132" s="520">
        <f t="shared" si="128"/>
        <v>9.206999999999999</v>
      </c>
      <c r="T132" s="520">
        <f t="shared" si="128"/>
        <v>9.0949999999999989</v>
      </c>
      <c r="U132" s="519">
        <f t="shared" si="128"/>
        <v>32.445999999999998</v>
      </c>
      <c r="V132" s="520">
        <f t="shared" si="128"/>
        <v>10.487</v>
      </c>
      <c r="W132" s="520">
        <f t="shared" si="128"/>
        <v>12.578000000000001</v>
      </c>
      <c r="X132" s="520">
        <f t="shared" si="128"/>
        <v>15.462999999999997</v>
      </c>
      <c r="Y132" s="520">
        <f t="shared" si="128"/>
        <v>17.044000000000004</v>
      </c>
      <c r="Z132" s="519">
        <f t="shared" si="128"/>
        <v>55.572000000000003</v>
      </c>
      <c r="AA132" s="327">
        <f t="shared" si="128"/>
        <v>20.352</v>
      </c>
      <c r="AB132" s="520">
        <f t="shared" si="128"/>
        <v>19.322999999999997</v>
      </c>
      <c r="AC132" s="520">
        <f t="shared" si="128"/>
        <v>22.913000000000004</v>
      </c>
      <c r="AD132" s="520">
        <f t="shared" si="128"/>
        <v>24.431999999999995</v>
      </c>
      <c r="AE132" s="519">
        <f t="shared" si="128"/>
        <v>87.02</v>
      </c>
      <c r="AF132" s="327">
        <f t="shared" si="128"/>
        <v>25.962</v>
      </c>
      <c r="AG132" s="520">
        <f t="shared" si="128"/>
        <v>28.919999999999998</v>
      </c>
      <c r="AH132" s="520">
        <f t="shared" si="128"/>
        <v>32.544000000000004</v>
      </c>
      <c r="AI132" s="520">
        <f t="shared" si="128"/>
        <v>36.116</v>
      </c>
      <c r="AJ132" s="519">
        <f t="shared" si="128"/>
        <v>123.542</v>
      </c>
      <c r="AK132" s="327">
        <f t="shared" si="128"/>
        <v>39.582999999999998</v>
      </c>
      <c r="AL132" s="520">
        <f t="shared" si="128"/>
        <v>44.338999999999999</v>
      </c>
      <c r="AM132" s="520">
        <f t="shared" si="128"/>
        <v>50.25</v>
      </c>
      <c r="AN132" s="520">
        <f t="shared" si="128"/>
        <v>58.247000000000014</v>
      </c>
      <c r="AO132" s="519">
        <f t="shared" si="128"/>
        <v>192.41900000000001</v>
      </c>
      <c r="AP132" s="327">
        <f t="shared" si="128"/>
        <v>66.843000000000004</v>
      </c>
      <c r="AQ132" s="520">
        <f t="shared" si="128"/>
        <v>69.11399999999999</v>
      </c>
      <c r="AR132" s="520">
        <f t="shared" si="128"/>
        <v>72.575000000000017</v>
      </c>
      <c r="AS132" s="520">
        <f t="shared" si="128"/>
        <v>77.179000000000002</v>
      </c>
      <c r="AT132" s="519">
        <f t="shared" si="128"/>
        <v>285.71100000000001</v>
      </c>
      <c r="AU132" s="327">
        <f t="shared" si="128"/>
        <v>80.311999999999998</v>
      </c>
      <c r="AV132" s="520">
        <f t="shared" si="128"/>
        <v>77.924999999999997</v>
      </c>
      <c r="AW132" s="520">
        <f t="shared" si="128"/>
        <v>81.917000000000002</v>
      </c>
      <c r="AX132" s="520">
        <f t="shared" si="128"/>
        <v>81.846000000000004</v>
      </c>
      <c r="AY132" s="519">
        <f t="shared" si="128"/>
        <v>322</v>
      </c>
      <c r="AZ132" s="327">
        <f t="shared" si="128"/>
        <v>85</v>
      </c>
      <c r="BA132" s="520">
        <f t="shared" si="128"/>
        <v>91</v>
      </c>
      <c r="BB132" s="520">
        <f t="shared" si="128"/>
        <v>94</v>
      </c>
      <c r="BC132" s="520">
        <f t="shared" si="128"/>
        <v>101</v>
      </c>
      <c r="BD132" s="519">
        <f t="shared" si="128"/>
        <v>371</v>
      </c>
      <c r="BE132" s="327">
        <f t="shared" si="128"/>
        <v>104</v>
      </c>
      <c r="BF132" s="520">
        <f t="shared" si="128"/>
        <v>102</v>
      </c>
      <c r="BG132" s="520">
        <f t="shared" si="128"/>
        <v>106</v>
      </c>
      <c r="BH132" s="520">
        <f t="shared" si="128"/>
        <v>105</v>
      </c>
      <c r="BI132" s="519">
        <f t="shared" si="128"/>
        <v>417</v>
      </c>
      <c r="BJ132" s="1026">
        <f t="shared" si="128"/>
        <v>104</v>
      </c>
      <c r="BK132" s="327"/>
      <c r="BL132" s="327"/>
      <c r="BM132" s="327"/>
      <c r="BN132" s="518"/>
      <c r="BO132" s="327"/>
      <c r="BP132" s="327"/>
      <c r="BQ132" s="327"/>
      <c r="BR132" s="327"/>
      <c r="BS132" s="518"/>
      <c r="BT132" s="518"/>
      <c r="BU132" s="518"/>
      <c r="BV132" s="518"/>
      <c r="BW132" s="197"/>
    </row>
    <row r="133" spans="1:75" s="135" customFormat="1" ht="14.25" hidden="1" outlineLevel="1" x14ac:dyDescent="0.45">
      <c r="A133" s="206"/>
      <c r="B133" s="522"/>
      <c r="C133" s="397"/>
      <c r="D133" s="397"/>
      <c r="E133" s="397"/>
      <c r="F133" s="397"/>
      <c r="G133" s="295"/>
      <c r="H133" s="295"/>
      <c r="I133" s="295"/>
      <c r="J133" s="295"/>
      <c r="K133" s="397"/>
      <c r="L133" s="295"/>
      <c r="M133" s="295"/>
      <c r="N133" s="295"/>
      <c r="O133" s="295"/>
      <c r="P133" s="397"/>
      <c r="Q133" s="295"/>
      <c r="R133" s="295"/>
      <c r="S133" s="295"/>
      <c r="T133" s="295"/>
      <c r="U133" s="397"/>
      <c r="V133" s="295"/>
      <c r="W133" s="295"/>
      <c r="X133" s="295"/>
      <c r="Y133" s="295"/>
      <c r="Z133" s="397"/>
      <c r="AA133" s="295"/>
      <c r="AB133" s="295"/>
      <c r="AC133" s="295"/>
      <c r="AD133" s="295"/>
      <c r="AE133" s="397"/>
      <c r="AF133" s="295"/>
      <c r="AG133" s="295"/>
      <c r="AH133" s="295"/>
      <c r="AI133" s="295"/>
      <c r="AJ133" s="397"/>
      <c r="AK133" s="295"/>
      <c r="AL133" s="295"/>
      <c r="AM133" s="295"/>
      <c r="AN133" s="295"/>
      <c r="AO133" s="397"/>
      <c r="AP133" s="295"/>
      <c r="AQ133" s="295"/>
      <c r="AR133" s="295"/>
      <c r="AS133" s="295"/>
      <c r="AT133" s="397"/>
      <c r="AU133" s="295"/>
      <c r="AV133" s="295"/>
      <c r="AW133" s="295"/>
      <c r="AX133" s="295"/>
      <c r="AY133" s="397"/>
      <c r="AZ133" s="295"/>
      <c r="BA133" s="295"/>
      <c r="BB133" s="295"/>
      <c r="BC133" s="295"/>
      <c r="BD133" s="397"/>
      <c r="BE133" s="295"/>
      <c r="BF133" s="295"/>
      <c r="BG133" s="295"/>
      <c r="BH133" s="295"/>
      <c r="BI133" s="397"/>
      <c r="BJ133" s="1030"/>
      <c r="BK133" s="295"/>
      <c r="BL133" s="295"/>
      <c r="BM133" s="295"/>
      <c r="BN133" s="397"/>
      <c r="BO133" s="295"/>
      <c r="BP133" s="295"/>
      <c r="BQ133" s="295"/>
      <c r="BR133" s="295"/>
      <c r="BS133" s="397"/>
      <c r="BT133" s="397"/>
      <c r="BU133" s="397"/>
      <c r="BV133" s="397"/>
      <c r="BW133" s="197"/>
    </row>
    <row r="134" spans="1:75" hidden="1" outlineLevel="1" x14ac:dyDescent="0.5">
      <c r="A134" s="464" t="s">
        <v>2273</v>
      </c>
      <c r="B134" s="513"/>
      <c r="C134" s="401"/>
      <c r="D134" s="401"/>
      <c r="E134" s="401"/>
      <c r="F134" s="401"/>
      <c r="G134" s="118"/>
      <c r="H134" s="118"/>
      <c r="I134" s="118"/>
      <c r="J134" s="118"/>
      <c r="K134" s="401"/>
      <c r="L134" s="118"/>
      <c r="M134" s="118"/>
      <c r="N134" s="118"/>
      <c r="O134" s="302">
        <v>0.36899999999999999</v>
      </c>
      <c r="P134" s="403">
        <v>0.36899999999999999</v>
      </c>
      <c r="Q134" s="302">
        <v>7.0999999999999994E-2</v>
      </c>
      <c r="R134" s="302">
        <v>7.9000000000000001E-2</v>
      </c>
      <c r="S134" s="302">
        <v>9.6000000000000002E-2</v>
      </c>
      <c r="T134" s="302">
        <v>3.4000000000000002E-2</v>
      </c>
      <c r="U134" s="403">
        <v>0.28000000000000003</v>
      </c>
      <c r="V134" s="302">
        <v>5.8000000000000003E-2</v>
      </c>
      <c r="W134" s="302">
        <v>8.6999999999999994E-2</v>
      </c>
      <c r="X134" s="302">
        <v>0.21199999999999999</v>
      </c>
      <c r="Y134" s="302">
        <v>0.11700000000000001</v>
      </c>
      <c r="Z134" s="403">
        <v>0.47399999999999998</v>
      </c>
      <c r="AA134" s="302">
        <v>0.14499999999999999</v>
      </c>
      <c r="AB134" s="302">
        <v>0.20499999999999999</v>
      </c>
      <c r="AC134" s="302">
        <v>0.28199999999999997</v>
      </c>
      <c r="AD134" s="302">
        <v>0.45900000000000002</v>
      </c>
      <c r="AE134" s="403">
        <v>1.091</v>
      </c>
      <c r="AF134" s="302">
        <v>0.56499999999999995</v>
      </c>
      <c r="AG134" s="302">
        <v>0.63700000000000001</v>
      </c>
      <c r="AH134" s="302">
        <v>0.72699999999999998</v>
      </c>
      <c r="AI134" s="302">
        <v>0.79800000000000004</v>
      </c>
      <c r="AJ134" s="403">
        <v>2.7269999999999999</v>
      </c>
      <c r="AK134" s="302">
        <v>0.99199999999999999</v>
      </c>
      <c r="AL134" s="302">
        <v>1.3169999999999999</v>
      </c>
      <c r="AM134" s="302">
        <v>1.45</v>
      </c>
      <c r="AN134" s="302">
        <v>1.617</v>
      </c>
      <c r="AO134" s="403">
        <v>5.3760000000000003</v>
      </c>
      <c r="AP134" s="302">
        <v>1.728</v>
      </c>
      <c r="AQ134" s="302">
        <v>2.3530000000000002</v>
      </c>
      <c r="AR134" s="302">
        <v>2.8450000000000002</v>
      </c>
      <c r="AS134" s="122">
        <f>AT134-AR134-AQ134-AP134</f>
        <v>3.2739999999999991</v>
      </c>
      <c r="AT134" s="403">
        <v>10.199999999999999</v>
      </c>
      <c r="AU134" s="302">
        <v>3.0049999999999999</v>
      </c>
      <c r="AV134" s="302">
        <v>3.0859999999999999</v>
      </c>
      <c r="AW134" s="302">
        <v>2.8530000000000002</v>
      </c>
      <c r="AX134" s="122">
        <f>AY134-AW134-AV134-AU134</f>
        <v>3.056</v>
      </c>
      <c r="AY134" s="403">
        <v>12</v>
      </c>
      <c r="AZ134" s="302">
        <v>3</v>
      </c>
      <c r="BA134" s="302">
        <v>3</v>
      </c>
      <c r="BB134" s="302">
        <v>2</v>
      </c>
      <c r="BC134" s="302">
        <v>3</v>
      </c>
      <c r="BD134" s="403">
        <v>11</v>
      </c>
      <c r="BE134" s="302">
        <v>3</v>
      </c>
      <c r="BF134" s="302">
        <v>2</v>
      </c>
      <c r="BG134" s="302">
        <v>2</v>
      </c>
      <c r="BH134" s="302">
        <v>3</v>
      </c>
      <c r="BI134" s="403">
        <v>10</v>
      </c>
      <c r="BJ134" s="1207">
        <v>3</v>
      </c>
      <c r="BK134" s="118"/>
      <c r="BL134" s="118"/>
      <c r="BM134" s="118"/>
      <c r="BN134" s="401"/>
      <c r="BO134" s="118"/>
      <c r="BP134" s="118"/>
      <c r="BQ134" s="118"/>
      <c r="BR134" s="118"/>
      <c r="BS134" s="401"/>
      <c r="BT134" s="401"/>
      <c r="BU134" s="401"/>
      <c r="BV134" s="401"/>
      <c r="BW134" s="122"/>
    </row>
    <row r="135" spans="1:75" hidden="1" outlineLevel="1" x14ac:dyDescent="0.5">
      <c r="A135" s="464" t="s">
        <v>2274</v>
      </c>
      <c r="B135" s="513"/>
      <c r="C135" s="401"/>
      <c r="D135" s="401"/>
      <c r="E135" s="401"/>
      <c r="F135" s="401"/>
      <c r="G135" s="118"/>
      <c r="H135" s="118"/>
      <c r="I135" s="118"/>
      <c r="J135" s="118"/>
      <c r="K135" s="401"/>
      <c r="L135" s="302">
        <v>6.9000000000000006E-2</v>
      </c>
      <c r="M135" s="302">
        <v>0.184</v>
      </c>
      <c r="N135" s="118"/>
      <c r="O135" s="302">
        <v>2.012</v>
      </c>
      <c r="P135" s="403">
        <v>2.2650000000000001</v>
      </c>
      <c r="Q135" s="302">
        <v>0.219</v>
      </c>
      <c r="R135" s="302">
        <v>0.28799999999999998</v>
      </c>
      <c r="S135" s="302">
        <v>0.23599999999999999</v>
      </c>
      <c r="T135" s="302">
        <v>0.26400000000000001</v>
      </c>
      <c r="U135" s="403">
        <v>1.0069999999999999</v>
      </c>
      <c r="V135" s="302">
        <v>0.33300000000000002</v>
      </c>
      <c r="W135" s="302">
        <v>0.52800000000000002</v>
      </c>
      <c r="X135" s="302">
        <v>0.627</v>
      </c>
      <c r="Y135" s="302">
        <v>0.62</v>
      </c>
      <c r="Z135" s="403">
        <v>2.1080000000000001</v>
      </c>
      <c r="AA135" s="302">
        <v>0.64400000000000002</v>
      </c>
      <c r="AB135" s="302">
        <v>0.58599999999999997</v>
      </c>
      <c r="AC135" s="302">
        <v>0.63600000000000001</v>
      </c>
      <c r="AD135" s="302">
        <v>0.77</v>
      </c>
      <c r="AE135" s="403">
        <v>2.6360000000000001</v>
      </c>
      <c r="AF135" s="302">
        <v>0.97</v>
      </c>
      <c r="AG135" s="302">
        <v>1.133</v>
      </c>
      <c r="AH135" s="302">
        <v>1.5489999999999999</v>
      </c>
      <c r="AI135" s="302">
        <v>2.2069999999999999</v>
      </c>
      <c r="AJ135" s="403">
        <v>5.859</v>
      </c>
      <c r="AK135" s="302">
        <v>1.976</v>
      </c>
      <c r="AL135" s="302">
        <v>2.2690000000000001</v>
      </c>
      <c r="AM135" s="302">
        <v>2.3740000000000001</v>
      </c>
      <c r="AN135" s="302">
        <v>2.8540000000000001</v>
      </c>
      <c r="AO135" s="403">
        <v>9.4730000000000008</v>
      </c>
      <c r="AP135" s="302">
        <v>2.1179999999999999</v>
      </c>
      <c r="AQ135" s="302">
        <v>4.3129999999999997</v>
      </c>
      <c r="AR135" s="302">
        <v>4.4770000000000003</v>
      </c>
      <c r="AS135" s="122">
        <f>AT135-AR135-AQ135-AP135</f>
        <v>5.1639999999999997</v>
      </c>
      <c r="AT135" s="403">
        <v>16.071999999999999</v>
      </c>
      <c r="AU135" s="302">
        <v>5.8940000000000001</v>
      </c>
      <c r="AV135" s="302">
        <v>6.2009999999999996</v>
      </c>
      <c r="AW135" s="302">
        <v>6.8789999999999996</v>
      </c>
      <c r="AX135" s="122">
        <f>AY135-AW135-AV135-AU135</f>
        <v>8.0260000000000016</v>
      </c>
      <c r="AY135" s="403">
        <v>27</v>
      </c>
      <c r="AZ135" s="302">
        <v>8</v>
      </c>
      <c r="BA135" s="302">
        <v>9</v>
      </c>
      <c r="BB135" s="302">
        <v>8</v>
      </c>
      <c r="BC135" s="302">
        <v>9</v>
      </c>
      <c r="BD135" s="403">
        <v>34</v>
      </c>
      <c r="BE135" s="302">
        <v>8</v>
      </c>
      <c r="BF135" s="302">
        <v>8</v>
      </c>
      <c r="BG135" s="302">
        <v>7</v>
      </c>
      <c r="BH135" s="302">
        <v>6</v>
      </c>
      <c r="BI135" s="403">
        <v>29</v>
      </c>
      <c r="BJ135" s="1207">
        <v>6</v>
      </c>
      <c r="BK135" s="118"/>
      <c r="BL135" s="118"/>
      <c r="BM135" s="118"/>
      <c r="BN135" s="401"/>
      <c r="BO135" s="118"/>
      <c r="BP135" s="118"/>
      <c r="BQ135" s="118"/>
      <c r="BR135" s="118"/>
      <c r="BS135" s="401"/>
      <c r="BT135" s="401"/>
      <c r="BU135" s="401"/>
      <c r="BV135" s="401"/>
      <c r="BW135" s="122"/>
    </row>
    <row r="136" spans="1:75" hidden="1" outlineLevel="1" x14ac:dyDescent="0.5">
      <c r="A136" s="464" t="s">
        <v>2275</v>
      </c>
      <c r="B136" s="513"/>
      <c r="C136" s="401"/>
      <c r="D136" s="401"/>
      <c r="E136" s="401"/>
      <c r="F136" s="401"/>
      <c r="G136" s="118"/>
      <c r="H136" s="118"/>
      <c r="I136" s="118"/>
      <c r="J136" s="118"/>
      <c r="K136" s="401"/>
      <c r="L136" s="302">
        <v>0.627</v>
      </c>
      <c r="M136" s="302">
        <v>0.59399999999999997</v>
      </c>
      <c r="N136" s="118"/>
      <c r="O136" s="302">
        <v>30.875</v>
      </c>
      <c r="P136" s="403">
        <v>32.095999999999997</v>
      </c>
      <c r="Q136" s="302">
        <v>4.0060000000000002</v>
      </c>
      <c r="R136" s="302">
        <v>3.53</v>
      </c>
      <c r="S136" s="302">
        <v>4.2389999999999999</v>
      </c>
      <c r="T136" s="302">
        <v>4.4770000000000003</v>
      </c>
      <c r="U136" s="403">
        <v>16.251999999999999</v>
      </c>
      <c r="V136" s="302">
        <v>5.17</v>
      </c>
      <c r="W136" s="302">
        <v>5.4589999999999996</v>
      </c>
      <c r="X136" s="302">
        <v>7.8810000000000002</v>
      </c>
      <c r="Y136" s="302">
        <v>6.5529999999999999</v>
      </c>
      <c r="Z136" s="403">
        <v>25.062999999999999</v>
      </c>
      <c r="AA136" s="302">
        <f>7.16+7.009</f>
        <v>14.169</v>
      </c>
      <c r="AB136" s="302">
        <f>8.005+7.187</f>
        <v>15.192</v>
      </c>
      <c r="AC136" s="302">
        <f>8.849+9.831</f>
        <v>18.68</v>
      </c>
      <c r="AD136" s="302">
        <v>20.858000000000001</v>
      </c>
      <c r="AE136" s="403">
        <v>68.899000000000001</v>
      </c>
      <c r="AF136" s="302">
        <v>25.611999999999998</v>
      </c>
      <c r="AG136" s="302">
        <v>29.84</v>
      </c>
      <c r="AH136" s="302">
        <v>34.040999999999997</v>
      </c>
      <c r="AI136" s="302">
        <v>38.335999999999999</v>
      </c>
      <c r="AJ136" s="403">
        <v>127.82899999999999</v>
      </c>
      <c r="AK136" s="302">
        <v>48.865000000000002</v>
      </c>
      <c r="AL136" s="302">
        <v>53.268999999999998</v>
      </c>
      <c r="AM136" s="302">
        <v>61.451000000000001</v>
      </c>
      <c r="AN136" s="302">
        <v>62.543999999999997</v>
      </c>
      <c r="AO136" s="403">
        <v>226.12899999999999</v>
      </c>
      <c r="AP136" s="302">
        <v>60.146000000000001</v>
      </c>
      <c r="AQ136" s="302">
        <v>64.034999999999997</v>
      </c>
      <c r="AR136" s="302">
        <v>69.361000000000004</v>
      </c>
      <c r="AS136" s="122">
        <f>AT136-AR136-AQ136-AP136</f>
        <v>77.058000000000035</v>
      </c>
      <c r="AT136" s="403">
        <v>270.60000000000002</v>
      </c>
      <c r="AU136" s="302">
        <v>78.001999999999995</v>
      </c>
      <c r="AV136" s="302">
        <v>78.421000000000006</v>
      </c>
      <c r="AW136" s="302">
        <v>79.2</v>
      </c>
      <c r="AX136" s="122">
        <f>AY136-AW136-AV136-AU136</f>
        <v>99.377000000000024</v>
      </c>
      <c r="AY136" s="403">
        <v>335</v>
      </c>
      <c r="AZ136" s="302">
        <v>101</v>
      </c>
      <c r="BA136" s="302">
        <v>121</v>
      </c>
      <c r="BB136" s="302">
        <v>113</v>
      </c>
      <c r="BC136" s="302">
        <v>147</v>
      </c>
      <c r="BD136" s="403">
        <v>482</v>
      </c>
      <c r="BE136" s="302">
        <v>140</v>
      </c>
      <c r="BF136" s="302">
        <v>157</v>
      </c>
      <c r="BG136" s="302">
        <v>137</v>
      </c>
      <c r="BH136" s="302">
        <v>150</v>
      </c>
      <c r="BI136" s="403">
        <v>584</v>
      </c>
      <c r="BJ136" s="1207">
        <v>118</v>
      </c>
      <c r="BK136" s="118"/>
      <c r="BL136" s="118"/>
      <c r="BM136" s="118"/>
      <c r="BN136" s="401"/>
      <c r="BO136" s="118"/>
      <c r="BP136" s="118"/>
      <c r="BQ136" s="118"/>
      <c r="BR136" s="118"/>
      <c r="BS136" s="401"/>
      <c r="BT136" s="401"/>
      <c r="BU136" s="401"/>
      <c r="BV136" s="401"/>
      <c r="BW136" s="122"/>
    </row>
    <row r="137" spans="1:75" hidden="1" outlineLevel="1" x14ac:dyDescent="0.5">
      <c r="A137" s="464" t="s">
        <v>2276</v>
      </c>
      <c r="B137" s="513"/>
      <c r="C137" s="401"/>
      <c r="D137" s="401"/>
      <c r="E137" s="401"/>
      <c r="F137" s="401"/>
      <c r="G137" s="118"/>
      <c r="H137" s="118"/>
      <c r="I137" s="118"/>
      <c r="J137" s="118"/>
      <c r="K137" s="401"/>
      <c r="L137" s="302">
        <v>3.8580000000000001</v>
      </c>
      <c r="M137" s="302">
        <v>0.19600000000000001</v>
      </c>
      <c r="N137" s="118"/>
      <c r="O137" s="302">
        <v>24.46</v>
      </c>
      <c r="P137" s="403">
        <v>28.513999999999999</v>
      </c>
      <c r="Q137" s="302">
        <v>3.8660000000000001</v>
      </c>
      <c r="R137" s="302">
        <v>3.2040000000000002</v>
      </c>
      <c r="S137" s="302">
        <v>3.4140000000000001</v>
      </c>
      <c r="T137" s="302">
        <v>4.952</v>
      </c>
      <c r="U137" s="403">
        <v>15.436</v>
      </c>
      <c r="V137" s="302">
        <v>5.101</v>
      </c>
      <c r="W137" s="302">
        <v>5.2210000000000001</v>
      </c>
      <c r="X137" s="302">
        <v>6.5880000000000001</v>
      </c>
      <c r="Y137" s="302">
        <v>7.3979999999999997</v>
      </c>
      <c r="Z137" s="403">
        <v>24.308</v>
      </c>
      <c r="AA137" s="118"/>
      <c r="AB137" s="118"/>
      <c r="AC137" s="118"/>
      <c r="AD137" s="118"/>
      <c r="AE137" s="401"/>
      <c r="AF137" s="118"/>
      <c r="AG137" s="118"/>
      <c r="AH137" s="118"/>
      <c r="AI137" s="118"/>
      <c r="AJ137" s="401"/>
      <c r="AK137" s="118"/>
      <c r="AL137" s="118"/>
      <c r="AM137" s="118"/>
      <c r="AN137" s="118"/>
      <c r="AO137" s="401"/>
      <c r="AP137" s="118"/>
      <c r="AQ137" s="118"/>
      <c r="AR137" s="118"/>
      <c r="AS137" s="118"/>
      <c r="AT137" s="401"/>
      <c r="AU137" s="118"/>
      <c r="AV137" s="118"/>
      <c r="AW137" s="118"/>
      <c r="AX137" s="118"/>
      <c r="AY137" s="401"/>
      <c r="AZ137" s="118"/>
      <c r="BA137" s="118"/>
      <c r="BB137" s="118"/>
      <c r="BC137" s="118"/>
      <c r="BD137" s="401"/>
      <c r="BE137" s="118"/>
      <c r="BF137" s="118"/>
      <c r="BG137" s="118"/>
      <c r="BH137" s="118"/>
      <c r="BI137" s="401"/>
      <c r="BJ137" s="971"/>
      <c r="BK137" s="118"/>
      <c r="BL137" s="118"/>
      <c r="BM137" s="118"/>
      <c r="BN137" s="401"/>
      <c r="BO137" s="118"/>
      <c r="BP137" s="118"/>
      <c r="BQ137" s="118"/>
      <c r="BR137" s="118"/>
      <c r="BS137" s="401"/>
      <c r="BT137" s="401"/>
      <c r="BU137" s="401"/>
      <c r="BV137" s="401"/>
      <c r="BW137" s="122"/>
    </row>
    <row r="138" spans="1:75" s="135" customFormat="1" ht="14.25" hidden="1" outlineLevel="1" x14ac:dyDescent="0.45">
      <c r="A138" s="516" t="s">
        <v>2277</v>
      </c>
      <c r="B138" s="517"/>
      <c r="C138" s="518"/>
      <c r="D138" s="518"/>
      <c r="E138" s="518"/>
      <c r="F138" s="518"/>
      <c r="G138" s="520">
        <f t="shared" ref="G138:AQ138" si="129">SUM(G134:G137)</f>
        <v>0</v>
      </c>
      <c r="H138" s="520">
        <f t="shared" si="129"/>
        <v>0</v>
      </c>
      <c r="I138" s="520">
        <f t="shared" si="129"/>
        <v>0</v>
      </c>
      <c r="J138" s="520">
        <f t="shared" si="129"/>
        <v>0</v>
      </c>
      <c r="K138" s="518"/>
      <c r="L138" s="520">
        <f t="shared" ref="L138:P138" si="130">SUM(L134:L137)</f>
        <v>4.5540000000000003</v>
      </c>
      <c r="M138" s="520">
        <f t="shared" si="130"/>
        <v>0.97399999999999998</v>
      </c>
      <c r="N138" s="520">
        <f t="shared" si="130"/>
        <v>0</v>
      </c>
      <c r="O138" s="520">
        <f t="shared" si="130"/>
        <v>57.716000000000001</v>
      </c>
      <c r="P138" s="519">
        <f t="shared" si="130"/>
        <v>63.244</v>
      </c>
      <c r="Q138" s="520">
        <f t="shared" si="129"/>
        <v>8.1620000000000008</v>
      </c>
      <c r="R138" s="520">
        <f t="shared" si="129"/>
        <v>7.101</v>
      </c>
      <c r="S138" s="520">
        <f t="shared" si="129"/>
        <v>7.9849999999999994</v>
      </c>
      <c r="T138" s="520">
        <f t="shared" si="129"/>
        <v>9.7270000000000003</v>
      </c>
      <c r="U138" s="519">
        <f t="shared" si="129"/>
        <v>32.974999999999994</v>
      </c>
      <c r="V138" s="520">
        <f t="shared" si="129"/>
        <v>10.661999999999999</v>
      </c>
      <c r="W138" s="520">
        <f t="shared" si="129"/>
        <v>11.295</v>
      </c>
      <c r="X138" s="520">
        <f t="shared" si="129"/>
        <v>15.308</v>
      </c>
      <c r="Y138" s="520">
        <f t="shared" si="129"/>
        <v>14.687999999999999</v>
      </c>
      <c r="Z138" s="519">
        <f t="shared" si="129"/>
        <v>51.953000000000003</v>
      </c>
      <c r="AA138" s="327">
        <f t="shared" si="129"/>
        <v>14.958</v>
      </c>
      <c r="AB138" s="520">
        <f t="shared" si="129"/>
        <v>15.983000000000001</v>
      </c>
      <c r="AC138" s="520">
        <f t="shared" si="129"/>
        <v>19.597999999999999</v>
      </c>
      <c r="AD138" s="520">
        <f t="shared" si="129"/>
        <v>22.087</v>
      </c>
      <c r="AE138" s="519">
        <f t="shared" si="129"/>
        <v>72.626000000000005</v>
      </c>
      <c r="AF138" s="327">
        <f t="shared" si="129"/>
        <v>27.146999999999998</v>
      </c>
      <c r="AG138" s="520">
        <f t="shared" si="129"/>
        <v>31.61</v>
      </c>
      <c r="AH138" s="520">
        <f t="shared" si="129"/>
        <v>36.316999999999993</v>
      </c>
      <c r="AI138" s="520">
        <f t="shared" si="129"/>
        <v>41.341000000000001</v>
      </c>
      <c r="AJ138" s="519">
        <f t="shared" si="129"/>
        <v>136.41499999999999</v>
      </c>
      <c r="AK138" s="327">
        <f t="shared" si="129"/>
        <v>51.832999999999998</v>
      </c>
      <c r="AL138" s="520">
        <f t="shared" si="129"/>
        <v>56.854999999999997</v>
      </c>
      <c r="AM138" s="520">
        <f t="shared" si="129"/>
        <v>65.275000000000006</v>
      </c>
      <c r="AN138" s="520">
        <f t="shared" si="129"/>
        <v>67.015000000000001</v>
      </c>
      <c r="AO138" s="519">
        <f t="shared" si="129"/>
        <v>240.97799999999998</v>
      </c>
      <c r="AP138" s="327">
        <f t="shared" si="129"/>
        <v>63.992000000000004</v>
      </c>
      <c r="AQ138" s="520">
        <f t="shared" si="129"/>
        <v>70.700999999999993</v>
      </c>
      <c r="AR138" s="520">
        <f t="shared" ref="AR138:BJ138" si="131">SUM(AR134:AR137)</f>
        <v>76.683000000000007</v>
      </c>
      <c r="AS138" s="520">
        <f t="shared" si="131"/>
        <v>85.496000000000038</v>
      </c>
      <c r="AT138" s="519">
        <f t="shared" si="131"/>
        <v>296.87200000000001</v>
      </c>
      <c r="AU138" s="327">
        <f t="shared" si="131"/>
        <v>86.900999999999996</v>
      </c>
      <c r="AV138" s="520">
        <f t="shared" si="131"/>
        <v>87.707999999999998</v>
      </c>
      <c r="AW138" s="520">
        <f t="shared" si="131"/>
        <v>88.932000000000002</v>
      </c>
      <c r="AX138" s="520">
        <f t="shared" si="131"/>
        <v>110.45900000000003</v>
      </c>
      <c r="AY138" s="519">
        <f t="shared" si="131"/>
        <v>374</v>
      </c>
      <c r="AZ138" s="327">
        <f t="shared" si="131"/>
        <v>112</v>
      </c>
      <c r="BA138" s="520">
        <f t="shared" si="131"/>
        <v>133</v>
      </c>
      <c r="BB138" s="520">
        <f t="shared" si="131"/>
        <v>123</v>
      </c>
      <c r="BC138" s="520">
        <f t="shared" si="131"/>
        <v>159</v>
      </c>
      <c r="BD138" s="519">
        <f t="shared" si="131"/>
        <v>527</v>
      </c>
      <c r="BE138" s="327">
        <f t="shared" si="131"/>
        <v>151</v>
      </c>
      <c r="BF138" s="520">
        <f t="shared" si="131"/>
        <v>167</v>
      </c>
      <c r="BG138" s="520">
        <f t="shared" si="131"/>
        <v>146</v>
      </c>
      <c r="BH138" s="520">
        <f t="shared" si="131"/>
        <v>159</v>
      </c>
      <c r="BI138" s="519">
        <f t="shared" si="131"/>
        <v>623</v>
      </c>
      <c r="BJ138" s="1026">
        <f t="shared" si="131"/>
        <v>127</v>
      </c>
      <c r="BK138" s="327"/>
      <c r="BL138" s="327"/>
      <c r="BM138" s="327"/>
      <c r="BN138" s="518"/>
      <c r="BO138" s="327"/>
      <c r="BP138" s="327"/>
      <c r="BQ138" s="327"/>
      <c r="BR138" s="327"/>
      <c r="BS138" s="518"/>
      <c r="BT138" s="518"/>
      <c r="BU138" s="518"/>
      <c r="BV138" s="518"/>
      <c r="BW138" s="197"/>
    </row>
    <row r="139" spans="1:75" hidden="1" outlineLevel="1" x14ac:dyDescent="0.5">
      <c r="A139" s="206"/>
      <c r="B139" s="522"/>
      <c r="C139" s="397"/>
      <c r="D139" s="397"/>
      <c r="E139" s="397"/>
      <c r="F139" s="397"/>
      <c r="G139" s="295"/>
      <c r="H139" s="295"/>
      <c r="I139" s="295"/>
      <c r="J139" s="295"/>
      <c r="K139" s="397"/>
      <c r="L139" s="295"/>
      <c r="M139" s="295"/>
      <c r="N139" s="295"/>
      <c r="O139" s="295"/>
      <c r="P139" s="397"/>
      <c r="Q139" s="295"/>
      <c r="R139" s="295"/>
      <c r="S139" s="295"/>
      <c r="T139" s="295"/>
      <c r="U139" s="397"/>
      <c r="V139" s="295"/>
      <c r="W139" s="295"/>
      <c r="X139" s="295"/>
      <c r="Y139" s="295"/>
      <c r="Z139" s="397"/>
      <c r="AA139" s="295"/>
      <c r="AB139" s="295"/>
      <c r="AC139" s="295"/>
      <c r="AD139" s="295"/>
      <c r="AE139" s="397"/>
      <c r="AF139" s="295"/>
      <c r="AG139" s="295"/>
      <c r="AH139" s="295"/>
      <c r="AI139" s="295"/>
      <c r="AJ139" s="397"/>
      <c r="AK139" s="295"/>
      <c r="AL139" s="295"/>
      <c r="AM139" s="295"/>
      <c r="AN139" s="295"/>
      <c r="AO139" s="397"/>
      <c r="AP139" s="295"/>
      <c r="AQ139" s="295"/>
      <c r="AR139" s="295"/>
      <c r="AS139" s="295"/>
      <c r="AT139" s="397"/>
      <c r="AU139" s="295"/>
      <c r="AV139" s="295"/>
      <c r="AW139" s="295"/>
      <c r="AX139" s="295"/>
      <c r="AY139" s="397"/>
      <c r="AZ139" s="295"/>
      <c r="BA139" s="295"/>
      <c r="BB139" s="295"/>
      <c r="BC139" s="295"/>
      <c r="BD139" s="397"/>
      <c r="BE139" s="295"/>
      <c r="BF139" s="295"/>
      <c r="BG139" s="295"/>
      <c r="BH139" s="295"/>
      <c r="BI139" s="397"/>
      <c r="BJ139" s="1030"/>
      <c r="BK139" s="295"/>
      <c r="BL139" s="295"/>
      <c r="BM139" s="295"/>
      <c r="BN139" s="397"/>
      <c r="BO139" s="295"/>
      <c r="BP139" s="295"/>
      <c r="BQ139" s="295"/>
      <c r="BR139" s="295"/>
      <c r="BS139" s="397"/>
      <c r="BT139" s="397"/>
      <c r="BU139" s="397"/>
      <c r="BV139" s="397"/>
      <c r="BW139" s="197"/>
    </row>
    <row r="140" spans="1:75" hidden="1" outlineLevel="1" x14ac:dyDescent="0.5">
      <c r="A140" s="184" t="s">
        <v>2278</v>
      </c>
      <c r="B140" s="489"/>
      <c r="C140" s="401"/>
      <c r="D140" s="401"/>
      <c r="E140" s="401"/>
      <c r="F140" s="401"/>
      <c r="G140" s="118"/>
      <c r="H140" s="118"/>
      <c r="I140" s="118"/>
      <c r="J140" s="118"/>
      <c r="K140" s="401"/>
      <c r="L140" s="118"/>
      <c r="M140" s="118"/>
      <c r="N140" s="118"/>
      <c r="O140" s="118"/>
      <c r="P140" s="401"/>
      <c r="Q140" s="118"/>
      <c r="R140" s="118"/>
      <c r="S140" s="118"/>
      <c r="T140" s="118"/>
      <c r="U140" s="401"/>
      <c r="V140" s="118"/>
      <c r="W140" s="118"/>
      <c r="X140" s="118"/>
      <c r="Y140" s="118"/>
      <c r="Z140" s="401"/>
      <c r="AA140" s="118"/>
      <c r="AB140" s="118"/>
      <c r="AC140" s="118"/>
      <c r="AD140" s="118"/>
      <c r="AE140" s="401"/>
      <c r="AF140" s="118"/>
      <c r="AG140" s="118"/>
      <c r="AH140" s="118"/>
      <c r="AI140" s="118"/>
      <c r="AJ140" s="403">
        <v>2.5489999999999999</v>
      </c>
      <c r="AK140" s="118"/>
      <c r="AL140" s="118"/>
      <c r="AM140" s="118"/>
      <c r="AN140" s="118"/>
      <c r="AO140" s="403">
        <v>5.3760000000000003</v>
      </c>
      <c r="AP140" s="118"/>
      <c r="AQ140" s="118"/>
      <c r="AR140" s="118"/>
      <c r="AS140" s="118"/>
      <c r="AT140" s="403">
        <v>9.4939999999999998</v>
      </c>
      <c r="AU140" s="118"/>
      <c r="AV140" s="118"/>
      <c r="AW140" s="118"/>
      <c r="AX140" s="118"/>
      <c r="AY140" s="403">
        <v>12</v>
      </c>
      <c r="AZ140" s="118"/>
      <c r="BA140" s="118"/>
      <c r="BB140" s="118"/>
      <c r="BC140" s="118"/>
      <c r="BD140" s="403">
        <v>11</v>
      </c>
      <c r="BE140" s="118"/>
      <c r="BF140" s="118"/>
      <c r="BG140" s="118"/>
      <c r="BH140" s="118"/>
      <c r="BI140" s="403">
        <v>10</v>
      </c>
      <c r="BJ140" s="971"/>
      <c r="BK140" s="118"/>
      <c r="BL140" s="118"/>
      <c r="BM140" s="118"/>
      <c r="BN140" s="401"/>
      <c r="BO140" s="118"/>
      <c r="BP140" s="118"/>
      <c r="BQ140" s="118"/>
      <c r="BR140" s="118"/>
      <c r="BS140" s="401"/>
      <c r="BT140" s="401"/>
      <c r="BU140" s="401"/>
      <c r="BV140" s="401"/>
      <c r="BW140" s="122"/>
    </row>
    <row r="141" spans="1:75" hidden="1" outlineLevel="1" x14ac:dyDescent="0.5">
      <c r="A141" s="184" t="s">
        <v>2279</v>
      </c>
      <c r="B141" s="489"/>
      <c r="C141" s="401"/>
      <c r="D141" s="401"/>
      <c r="E141" s="401"/>
      <c r="F141" s="401"/>
      <c r="G141" s="118"/>
      <c r="H141" s="118"/>
      <c r="I141" s="118"/>
      <c r="J141" s="118"/>
      <c r="K141" s="401"/>
      <c r="L141" s="118"/>
      <c r="M141" s="118"/>
      <c r="N141" s="118"/>
      <c r="O141" s="118"/>
      <c r="P141" s="401"/>
      <c r="Q141" s="118"/>
      <c r="R141" s="118"/>
      <c r="S141" s="118"/>
      <c r="T141" s="118"/>
      <c r="U141" s="401"/>
      <c r="V141" s="118"/>
      <c r="W141" s="118"/>
      <c r="X141" s="118"/>
      <c r="Y141" s="118"/>
      <c r="Z141" s="401"/>
      <c r="AA141" s="118"/>
      <c r="AB141" s="118"/>
      <c r="AC141" s="118"/>
      <c r="AD141" s="118"/>
      <c r="AE141" s="401"/>
      <c r="AF141" s="118"/>
      <c r="AG141" s="118"/>
      <c r="AH141" s="118"/>
      <c r="AI141" s="118"/>
      <c r="AJ141" s="403">
        <v>5.524</v>
      </c>
      <c r="AK141" s="118"/>
      <c r="AL141" s="118"/>
      <c r="AM141" s="118"/>
      <c r="AN141" s="118"/>
      <c r="AO141" s="403">
        <v>9.2859999999999996</v>
      </c>
      <c r="AP141" s="118"/>
      <c r="AQ141" s="118"/>
      <c r="AR141" s="118"/>
      <c r="AS141" s="118"/>
      <c r="AT141" s="403">
        <v>14.835000000000001</v>
      </c>
      <c r="AU141" s="118"/>
      <c r="AV141" s="118"/>
      <c r="AW141" s="118"/>
      <c r="AX141" s="118"/>
      <c r="AY141" s="403">
        <v>25</v>
      </c>
      <c r="AZ141" s="118"/>
      <c r="BA141" s="118"/>
      <c r="BB141" s="118"/>
      <c r="BC141" s="118"/>
      <c r="BD141" s="403">
        <v>33</v>
      </c>
      <c r="BE141" s="118"/>
      <c r="BF141" s="118"/>
      <c r="BG141" s="118"/>
      <c r="BH141" s="118"/>
      <c r="BI141" s="403">
        <v>29</v>
      </c>
      <c r="BJ141" s="971"/>
      <c r="BK141" s="118"/>
      <c r="BL141" s="118"/>
      <c r="BM141" s="118"/>
      <c r="BN141" s="401"/>
      <c r="BO141" s="118"/>
      <c r="BP141" s="118"/>
      <c r="BQ141" s="118"/>
      <c r="BR141" s="118"/>
      <c r="BS141" s="401"/>
      <c r="BT141" s="401"/>
      <c r="BU141" s="401"/>
      <c r="BV141" s="401"/>
      <c r="BW141" s="122"/>
    </row>
    <row r="142" spans="1:75" hidden="1" outlineLevel="1" x14ac:dyDescent="0.5">
      <c r="A142" s="184" t="s">
        <v>2280</v>
      </c>
      <c r="B142" s="489"/>
      <c r="C142" s="401"/>
      <c r="D142" s="401"/>
      <c r="E142" s="401"/>
      <c r="F142" s="401"/>
      <c r="G142" s="118"/>
      <c r="H142" s="118"/>
      <c r="I142" s="118"/>
      <c r="J142" s="118"/>
      <c r="K142" s="401"/>
      <c r="L142" s="118"/>
      <c r="M142" s="118"/>
      <c r="N142" s="118"/>
      <c r="O142" s="118"/>
      <c r="P142" s="401"/>
      <c r="Q142" s="118"/>
      <c r="R142" s="118"/>
      <c r="S142" s="118"/>
      <c r="T142" s="118"/>
      <c r="U142" s="401"/>
      <c r="V142" s="118"/>
      <c r="W142" s="118"/>
      <c r="X142" s="118"/>
      <c r="Y142" s="118"/>
      <c r="Z142" s="401"/>
      <c r="AA142" s="118"/>
      <c r="AB142" s="118"/>
      <c r="AC142" s="118"/>
      <c r="AD142" s="118"/>
      <c r="AE142" s="401"/>
      <c r="AF142" s="118"/>
      <c r="AG142" s="118"/>
      <c r="AH142" s="118"/>
      <c r="AI142" s="118"/>
      <c r="AJ142" s="403">
        <v>119.491</v>
      </c>
      <c r="AK142" s="118"/>
      <c r="AL142" s="118"/>
      <c r="AM142" s="118"/>
      <c r="AN142" s="118"/>
      <c r="AO142" s="403">
        <v>212.78899999999999</v>
      </c>
      <c r="AP142" s="118"/>
      <c r="AQ142" s="118"/>
      <c r="AR142" s="118"/>
      <c r="AS142" s="118"/>
      <c r="AT142" s="403">
        <v>251.87899999999999</v>
      </c>
      <c r="AU142" s="118"/>
      <c r="AV142" s="118"/>
      <c r="AW142" s="118"/>
      <c r="AX142" s="118"/>
      <c r="AY142" s="403">
        <v>307</v>
      </c>
      <c r="AZ142" s="118"/>
      <c r="BA142" s="118"/>
      <c r="BB142" s="118"/>
      <c r="BC142" s="118"/>
      <c r="BD142" s="403">
        <v>469</v>
      </c>
      <c r="BE142" s="118"/>
      <c r="BF142" s="118"/>
      <c r="BG142" s="118"/>
      <c r="BH142" s="118"/>
      <c r="BI142" s="403">
        <v>566</v>
      </c>
      <c r="BJ142" s="971"/>
      <c r="BK142" s="118"/>
      <c r="BL142" s="118"/>
      <c r="BM142" s="118"/>
      <c r="BN142" s="401"/>
      <c r="BO142" s="118"/>
      <c r="BP142" s="118"/>
      <c r="BQ142" s="118"/>
      <c r="BR142" s="118"/>
      <c r="BS142" s="401"/>
      <c r="BT142" s="401"/>
      <c r="BU142" s="401"/>
      <c r="BV142" s="401"/>
      <c r="BW142" s="122"/>
    </row>
    <row r="143" spans="1:75" s="135" customFormat="1" ht="14.25" hidden="1" outlineLevel="1" x14ac:dyDescent="0.45">
      <c r="A143" s="192" t="s">
        <v>2281</v>
      </c>
      <c r="B143" s="495"/>
      <c r="C143" s="518"/>
      <c r="D143" s="518"/>
      <c r="E143" s="518"/>
      <c r="F143" s="518"/>
      <c r="G143" s="327"/>
      <c r="H143" s="327"/>
      <c r="I143" s="327"/>
      <c r="J143" s="327"/>
      <c r="K143" s="518"/>
      <c r="L143" s="327">
        <f t="shared" ref="L143:AI143" si="132">L243</f>
        <v>4.5540000000000003</v>
      </c>
      <c r="M143" s="327">
        <f t="shared" si="132"/>
        <v>0.97399999999999931</v>
      </c>
      <c r="N143" s="327">
        <f t="shared" si="132"/>
        <v>0</v>
      </c>
      <c r="O143" s="327">
        <f t="shared" si="132"/>
        <v>55.280999999999999</v>
      </c>
      <c r="P143" s="518">
        <f t="shared" si="132"/>
        <v>60.808999999999997</v>
      </c>
      <c r="Q143" s="327">
        <f t="shared" si="132"/>
        <v>7.6420000000000003</v>
      </c>
      <c r="R143" s="327">
        <f t="shared" si="132"/>
        <v>6.5919999999999996</v>
      </c>
      <c r="S143" s="327">
        <f t="shared" si="132"/>
        <v>7.5069999999999997</v>
      </c>
      <c r="T143" s="327">
        <f t="shared" si="132"/>
        <v>9.2740000000000009</v>
      </c>
      <c r="U143" s="518">
        <f t="shared" si="132"/>
        <v>31.015000000000001</v>
      </c>
      <c r="V143" s="327">
        <f t="shared" si="132"/>
        <v>9.7149999999999999</v>
      </c>
      <c r="W143" s="327">
        <f t="shared" si="132"/>
        <v>10.747</v>
      </c>
      <c r="X143" s="327">
        <f t="shared" si="132"/>
        <v>14.726000000000003</v>
      </c>
      <c r="Y143" s="327">
        <f t="shared" si="132"/>
        <v>14.213999999999999</v>
      </c>
      <c r="Z143" s="518">
        <f t="shared" si="132"/>
        <v>49.402000000000001</v>
      </c>
      <c r="AA143" s="327">
        <f t="shared" si="132"/>
        <v>13.629</v>
      </c>
      <c r="AB143" s="327">
        <f t="shared" si="132"/>
        <v>14.833</v>
      </c>
      <c r="AC143" s="327">
        <f t="shared" si="132"/>
        <v>18.278000000000002</v>
      </c>
      <c r="AD143" s="327">
        <f t="shared" si="132"/>
        <v>21.1</v>
      </c>
      <c r="AE143" s="518">
        <f t="shared" si="132"/>
        <v>67.84</v>
      </c>
      <c r="AF143" s="327">
        <f t="shared" si="132"/>
        <v>24.4</v>
      </c>
      <c r="AG143" s="327">
        <f t="shared" si="132"/>
        <v>29.813000000000002</v>
      </c>
      <c r="AH143" s="327">
        <f t="shared" si="132"/>
        <v>33.934999999999995</v>
      </c>
      <c r="AI143" s="327">
        <f t="shared" si="132"/>
        <v>39.415999999999997</v>
      </c>
      <c r="AJ143" s="518">
        <f>SUM(AJ140:AJ142)</f>
        <v>127.56399999999999</v>
      </c>
      <c r="AK143" s="327">
        <f>AK243</f>
        <v>47.06</v>
      </c>
      <c r="AL143" s="327">
        <f>AL243</f>
        <v>53.186999999999998</v>
      </c>
      <c r="AM143" s="327">
        <f>AM243</f>
        <v>61.76700000000001</v>
      </c>
      <c r="AN143" s="327">
        <f>AN243</f>
        <v>65.436999999999983</v>
      </c>
      <c r="AO143" s="518">
        <f>SUM(AO140:AO142)</f>
        <v>227.45099999999999</v>
      </c>
      <c r="AP143" s="327">
        <f>AP243</f>
        <v>59.448999999999998</v>
      </c>
      <c r="AQ143" s="327">
        <f>AQ243</f>
        <v>67.632000000000005</v>
      </c>
      <c r="AR143" s="327">
        <f>AR243</f>
        <v>70.118000000000009</v>
      </c>
      <c r="AS143" s="327">
        <f>AS243</f>
        <v>79.009000000000015</v>
      </c>
      <c r="AT143" s="518">
        <f>SUM(AT140:AT142)</f>
        <v>276.20799999999997</v>
      </c>
      <c r="AU143" s="327">
        <f>AU243</f>
        <v>74.524000000000001</v>
      </c>
      <c r="AV143" s="327">
        <f>AV243</f>
        <v>79.359000000000009</v>
      </c>
      <c r="AW143" s="327">
        <f>AW243</f>
        <v>83.19</v>
      </c>
      <c r="AX143" s="327">
        <f>AX243</f>
        <v>106.92699999999999</v>
      </c>
      <c r="AY143" s="518">
        <f>SUM(AY140:AY142)</f>
        <v>344</v>
      </c>
      <c r="AZ143" s="327">
        <f>AZ243</f>
        <v>104</v>
      </c>
      <c r="BA143" s="327">
        <f>BA243</f>
        <v>129</v>
      </c>
      <c r="BB143" s="327">
        <f>BB243</f>
        <v>122</v>
      </c>
      <c r="BC143" s="327">
        <f>BC243</f>
        <v>158</v>
      </c>
      <c r="BD143" s="518">
        <f>SUM(BD140:BD142)</f>
        <v>513</v>
      </c>
      <c r="BE143" s="327">
        <f t="shared" ref="BE143:BJ143" si="133">BE243</f>
        <v>144</v>
      </c>
      <c r="BF143" s="327">
        <f t="shared" si="133"/>
        <v>164</v>
      </c>
      <c r="BG143" s="327">
        <f t="shared" si="133"/>
        <v>139</v>
      </c>
      <c r="BH143" s="327">
        <f t="shared" si="133"/>
        <v>158</v>
      </c>
      <c r="BI143" s="518">
        <f t="shared" si="133"/>
        <v>605</v>
      </c>
      <c r="BJ143" s="1026">
        <f t="shared" si="133"/>
        <v>119</v>
      </c>
      <c r="BK143" s="327"/>
      <c r="BL143" s="327"/>
      <c r="BM143" s="327"/>
      <c r="BN143" s="518"/>
      <c r="BO143" s="327"/>
      <c r="BP143" s="327"/>
      <c r="BQ143" s="327"/>
      <c r="BR143" s="327"/>
      <c r="BS143" s="518"/>
      <c r="BT143" s="518"/>
      <c r="BU143" s="518"/>
      <c r="BV143" s="518"/>
      <c r="BW143" s="197"/>
    </row>
    <row r="144" spans="1:75" hidden="1" outlineLevel="1" x14ac:dyDescent="0.5">
      <c r="A144" s="206"/>
      <c r="B144" s="522"/>
      <c r="C144" s="397"/>
      <c r="D144" s="397"/>
      <c r="E144" s="397"/>
      <c r="F144" s="397"/>
      <c r="G144" s="295"/>
      <c r="H144" s="295"/>
      <c r="I144" s="295"/>
      <c r="J144" s="295"/>
      <c r="K144" s="397"/>
      <c r="L144" s="295"/>
      <c r="M144" s="295"/>
      <c r="N144" s="295"/>
      <c r="O144" s="295"/>
      <c r="P144" s="397"/>
      <c r="Q144" s="295"/>
      <c r="R144" s="295"/>
      <c r="S144" s="295"/>
      <c r="T144" s="295"/>
      <c r="U144" s="397"/>
      <c r="V144" s="295"/>
      <c r="W144" s="295"/>
      <c r="X144" s="295"/>
      <c r="Y144" s="295"/>
      <c r="Z144" s="397"/>
      <c r="AA144" s="295"/>
      <c r="AB144" s="295"/>
      <c r="AC144" s="295"/>
      <c r="AD144" s="295"/>
      <c r="AE144" s="397"/>
      <c r="AF144" s="295"/>
      <c r="AG144" s="295"/>
      <c r="AH144" s="295"/>
      <c r="AI144" s="295"/>
      <c r="AJ144" s="397"/>
      <c r="AK144" s="295"/>
      <c r="AL144" s="295"/>
      <c r="AM144" s="295"/>
      <c r="AN144" s="295"/>
      <c r="AO144" s="397"/>
      <c r="AP144" s="295"/>
      <c r="AQ144" s="295"/>
      <c r="AR144" s="295"/>
      <c r="AS144" s="295"/>
      <c r="AT144" s="397"/>
      <c r="AU144" s="295"/>
      <c r="AV144" s="295"/>
      <c r="AW144" s="295"/>
      <c r="AX144" s="295"/>
      <c r="AY144" s="397"/>
      <c r="AZ144" s="295"/>
      <c r="BA144" s="295"/>
      <c r="BB144" s="295"/>
      <c r="BC144" s="295"/>
      <c r="BD144" s="397"/>
      <c r="BE144" s="295"/>
      <c r="BF144" s="295"/>
      <c r="BG144" s="295"/>
      <c r="BH144" s="295"/>
      <c r="BI144" s="397"/>
      <c r="BJ144" s="1030"/>
      <c r="BK144" s="295"/>
      <c r="BL144" s="295"/>
      <c r="BM144" s="295"/>
      <c r="BN144" s="397"/>
      <c r="BO144" s="295"/>
      <c r="BP144" s="295"/>
      <c r="BQ144" s="295"/>
      <c r="BR144" s="295"/>
      <c r="BS144" s="397"/>
      <c r="BT144" s="397"/>
      <c r="BU144" s="397"/>
      <c r="BV144" s="397"/>
      <c r="BW144" s="197"/>
    </row>
    <row r="145" spans="1:75" s="135" customFormat="1" ht="14.25" hidden="1" outlineLevel="1" x14ac:dyDescent="0.45">
      <c r="A145" s="463" t="s">
        <v>2282</v>
      </c>
      <c r="B145" s="522"/>
      <c r="C145" s="397"/>
      <c r="D145" s="397"/>
      <c r="E145" s="397"/>
      <c r="F145" s="671">
        <v>3</v>
      </c>
      <c r="G145" s="295"/>
      <c r="H145" s="295"/>
      <c r="I145" s="295"/>
      <c r="J145" s="295"/>
      <c r="K145" s="671">
        <v>4.5999999999999996</v>
      </c>
      <c r="L145" s="638">
        <v>3.5</v>
      </c>
      <c r="M145" s="638">
        <v>2.6</v>
      </c>
      <c r="N145" s="638">
        <v>2.6</v>
      </c>
      <c r="O145" s="197">
        <f>P145-N145-M145-L145</f>
        <v>2.7000000000000011</v>
      </c>
      <c r="P145" s="671">
        <v>11.4</v>
      </c>
      <c r="Q145" s="638">
        <v>4.0999999999999996</v>
      </c>
      <c r="R145" s="638">
        <v>4.5999999999999996</v>
      </c>
      <c r="S145" s="638">
        <v>3.8</v>
      </c>
      <c r="T145" s="197">
        <f>U145-S145-R145-Q145</f>
        <v>3.8000000000000007</v>
      </c>
      <c r="U145" s="671">
        <v>16.3</v>
      </c>
      <c r="V145" s="638">
        <v>7.1</v>
      </c>
      <c r="W145" s="638">
        <v>7.9</v>
      </c>
      <c r="X145" s="638">
        <v>9.1</v>
      </c>
      <c r="Y145" s="197">
        <f>Z145-X145-W145-V145</f>
        <v>9.5000000000000018</v>
      </c>
      <c r="Z145" s="671">
        <v>33.6</v>
      </c>
      <c r="AA145" s="638">
        <v>11.6</v>
      </c>
      <c r="AB145" s="638">
        <v>11.1</v>
      </c>
      <c r="AC145" s="638">
        <v>10.6</v>
      </c>
      <c r="AD145" s="197">
        <f>AE145-AC145-AB145-AA145</f>
        <v>11.9</v>
      </c>
      <c r="AE145" s="671">
        <v>45.2</v>
      </c>
      <c r="AF145" s="638">
        <v>14.5</v>
      </c>
      <c r="AG145" s="638">
        <v>16.100000000000001</v>
      </c>
      <c r="AH145" s="638">
        <v>17.5</v>
      </c>
      <c r="AI145" s="197">
        <f>AJ145-AH145-AG145-AF145</f>
        <v>18.600000000000001</v>
      </c>
      <c r="AJ145" s="671">
        <v>66.7</v>
      </c>
      <c r="AK145" s="638">
        <v>25.6</v>
      </c>
      <c r="AL145" s="638">
        <v>29.4</v>
      </c>
      <c r="AM145" s="638">
        <v>31.8</v>
      </c>
      <c r="AN145" s="197">
        <f>AO145-AM145-AL145-AK145</f>
        <v>35.200000000000003</v>
      </c>
      <c r="AO145" s="671">
        <v>122</v>
      </c>
      <c r="AP145" s="638">
        <v>36.1</v>
      </c>
      <c r="AQ145" s="638">
        <v>44.2</v>
      </c>
      <c r="AR145" s="638">
        <v>38.6</v>
      </c>
      <c r="AS145" s="197">
        <f>AT145-AR145-AQ145-AP145</f>
        <v>39.699999999999996</v>
      </c>
      <c r="AT145" s="671">
        <v>158.6</v>
      </c>
      <c r="AU145" s="295"/>
      <c r="AV145" s="295"/>
      <c r="AW145" s="295"/>
      <c r="AX145" s="295"/>
      <c r="AY145" s="671">
        <v>160</v>
      </c>
      <c r="AZ145" s="295"/>
      <c r="BA145" s="295"/>
      <c r="BB145" s="295"/>
      <c r="BC145" s="295"/>
      <c r="BD145" s="671">
        <v>180</v>
      </c>
      <c r="BE145" s="295"/>
      <c r="BF145" s="295"/>
      <c r="BG145" s="295"/>
      <c r="BH145" s="295"/>
      <c r="BI145" s="671">
        <v>190</v>
      </c>
      <c r="BJ145" s="1030"/>
      <c r="BK145" s="295"/>
      <c r="BL145" s="295"/>
      <c r="BM145" s="295"/>
      <c r="BN145" s="397"/>
      <c r="BO145" s="295"/>
      <c r="BP145" s="295"/>
      <c r="BQ145" s="295"/>
      <c r="BR145" s="295"/>
      <c r="BS145" s="397"/>
      <c r="BT145" s="397"/>
      <c r="BU145" s="397"/>
      <c r="BV145" s="397"/>
      <c r="BW145" s="197"/>
    </row>
    <row r="146" spans="1:75" collapsed="1" x14ac:dyDescent="0.5">
      <c r="A146" s="752"/>
      <c r="B146" s="489"/>
      <c r="C146" s="401"/>
      <c r="D146" s="401"/>
      <c r="E146" s="401"/>
      <c r="F146" s="401"/>
      <c r="G146" s="118"/>
      <c r="H146" s="118"/>
      <c r="I146" s="118"/>
      <c r="J146" s="118"/>
      <c r="K146" s="401"/>
      <c r="L146" s="118"/>
      <c r="M146" s="118"/>
      <c r="N146" s="118"/>
      <c r="O146" s="118"/>
      <c r="P146" s="401"/>
      <c r="Q146" s="118"/>
      <c r="R146" s="118"/>
      <c r="S146" s="118"/>
      <c r="T146" s="118"/>
      <c r="U146" s="401"/>
      <c r="V146" s="118"/>
      <c r="W146" s="118"/>
      <c r="X146" s="118"/>
      <c r="Y146" s="118"/>
      <c r="Z146" s="401"/>
      <c r="AA146" s="118"/>
      <c r="AB146" s="118"/>
      <c r="AC146" s="118"/>
      <c r="AD146" s="118"/>
      <c r="AE146" s="401"/>
      <c r="AF146" s="118"/>
      <c r="AG146" s="118"/>
      <c r="AH146" s="118"/>
      <c r="AI146" s="118"/>
      <c r="AJ146" s="401"/>
      <c r="AK146" s="118"/>
      <c r="AL146" s="118"/>
      <c r="AM146" s="118"/>
      <c r="AN146" s="118"/>
      <c r="AO146" s="401"/>
      <c r="AP146" s="118"/>
      <c r="AQ146" s="118"/>
      <c r="AR146" s="118"/>
      <c r="AS146" s="118"/>
      <c r="AT146" s="401"/>
      <c r="AU146" s="118"/>
      <c r="AV146" s="118"/>
      <c r="AW146" s="118"/>
      <c r="AX146" s="118"/>
      <c r="AY146" s="401"/>
      <c r="AZ146" s="118"/>
      <c r="BA146" s="118"/>
      <c r="BB146" s="118"/>
      <c r="BC146" s="118"/>
      <c r="BD146" s="401"/>
      <c r="BE146" s="118"/>
      <c r="BF146" s="118"/>
      <c r="BG146" s="118"/>
      <c r="BH146" s="118"/>
      <c r="BI146" s="401"/>
      <c r="BJ146" s="971"/>
      <c r="BK146" s="118"/>
      <c r="BL146" s="118"/>
      <c r="BM146" s="118"/>
      <c r="BN146" s="401"/>
      <c r="BO146" s="118"/>
      <c r="BP146" s="118"/>
      <c r="BQ146" s="118"/>
      <c r="BR146" s="118"/>
      <c r="BS146" s="401"/>
      <c r="BT146" s="401"/>
      <c r="BU146" s="401"/>
      <c r="BV146" s="401"/>
      <c r="BW146" s="122"/>
    </row>
    <row r="147" spans="1:75" x14ac:dyDescent="0.5">
      <c r="A147" s="159" t="s">
        <v>2283</v>
      </c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159"/>
      <c r="BF147" s="159"/>
      <c r="BG147" s="159"/>
      <c r="BH147" s="159"/>
      <c r="BI147" s="159"/>
      <c r="BJ147" s="160"/>
      <c r="BK147" s="159"/>
      <c r="BL147" s="159"/>
      <c r="BM147" s="159"/>
      <c r="BN147" s="159"/>
      <c r="BO147" s="159"/>
      <c r="BP147" s="159"/>
      <c r="BQ147" s="159"/>
      <c r="BR147" s="159"/>
      <c r="BS147" s="159"/>
      <c r="BT147" s="159"/>
      <c r="BU147" s="159"/>
      <c r="BV147" s="159"/>
      <c r="BW147" s="122"/>
    </row>
    <row r="148" spans="1:75" s="224" customFormat="1" hidden="1" outlineLevel="1" x14ac:dyDescent="0.5">
      <c r="A148" s="588" t="s">
        <v>2284</v>
      </c>
      <c r="B148" s="494"/>
      <c r="C148" s="425"/>
      <c r="D148" s="425"/>
      <c r="E148" s="425"/>
      <c r="F148" s="425"/>
      <c r="G148" s="487"/>
      <c r="H148" s="487"/>
      <c r="I148" s="487"/>
      <c r="J148" s="487"/>
      <c r="K148" s="425"/>
      <c r="L148" s="487"/>
      <c r="M148" s="487"/>
      <c r="N148" s="487"/>
      <c r="O148" s="487"/>
      <c r="P148" s="425"/>
      <c r="Q148" s="487"/>
      <c r="R148" s="487"/>
      <c r="S148" s="487"/>
      <c r="T148" s="487"/>
      <c r="U148" s="425"/>
      <c r="V148" s="487"/>
      <c r="W148" s="487"/>
      <c r="X148" s="487"/>
      <c r="Y148" s="487"/>
      <c r="Z148" s="427">
        <v>1400</v>
      </c>
      <c r="AA148" s="487"/>
      <c r="AB148" s="487"/>
      <c r="AC148" s="487"/>
      <c r="AD148" s="487"/>
      <c r="AE148" s="427">
        <v>2000</v>
      </c>
      <c r="AF148" s="487"/>
      <c r="AG148" s="487"/>
      <c r="AH148" s="487"/>
      <c r="AI148" s="487"/>
      <c r="AJ148" s="427">
        <v>2800</v>
      </c>
      <c r="AK148" s="487"/>
      <c r="AL148" s="487"/>
      <c r="AM148" s="487"/>
      <c r="AN148" s="487"/>
      <c r="AO148" s="427">
        <v>3600</v>
      </c>
      <c r="AP148" s="487"/>
      <c r="AQ148" s="487"/>
      <c r="AR148" s="487"/>
      <c r="AS148" s="487"/>
      <c r="AT148" s="427">
        <v>4100</v>
      </c>
      <c r="AU148" s="487"/>
      <c r="AV148" s="487"/>
      <c r="AW148" s="487"/>
      <c r="AX148" s="487"/>
      <c r="AY148" s="427">
        <v>4900</v>
      </c>
      <c r="AZ148" s="487"/>
      <c r="BA148" s="487"/>
      <c r="BB148" s="487"/>
      <c r="BC148" s="487"/>
      <c r="BD148" s="427">
        <v>4200</v>
      </c>
      <c r="BE148" s="487"/>
      <c r="BF148" s="487"/>
      <c r="BG148" s="487"/>
      <c r="BH148" s="487"/>
      <c r="BI148" s="427">
        <v>3100</v>
      </c>
      <c r="BJ148" s="981"/>
      <c r="BK148" s="487"/>
      <c r="BL148" s="487"/>
      <c r="BM148" s="487"/>
      <c r="BN148" s="425"/>
      <c r="BO148" s="487"/>
      <c r="BP148" s="487"/>
      <c r="BQ148" s="487"/>
      <c r="BR148" s="487"/>
      <c r="BS148" s="425"/>
      <c r="BT148" s="425"/>
      <c r="BU148" s="425"/>
      <c r="BV148" s="425"/>
      <c r="BW148" s="223"/>
    </row>
    <row r="149" spans="1:75" s="224" customFormat="1" hidden="1" outlineLevel="1" x14ac:dyDescent="0.5">
      <c r="A149" s="588" t="s">
        <v>2285</v>
      </c>
      <c r="B149" s="494"/>
      <c r="C149" s="425"/>
      <c r="D149" s="425"/>
      <c r="E149" s="425"/>
      <c r="F149" s="425"/>
      <c r="G149" s="487"/>
      <c r="H149" s="487"/>
      <c r="I149" s="487"/>
      <c r="J149" s="487"/>
      <c r="K149" s="425"/>
      <c r="L149" s="487"/>
      <c r="M149" s="487"/>
      <c r="N149" s="487"/>
      <c r="O149" s="487"/>
      <c r="P149" s="427">
        <v>2353</v>
      </c>
      <c r="Q149" s="487"/>
      <c r="R149" s="487"/>
      <c r="S149" s="487"/>
      <c r="T149" s="487"/>
      <c r="U149" s="427">
        <v>3809</v>
      </c>
      <c r="V149" s="487"/>
      <c r="W149" s="487"/>
      <c r="X149" s="487"/>
      <c r="Y149" s="487"/>
      <c r="Z149" s="427">
        <v>5637</v>
      </c>
      <c r="AA149" s="487"/>
      <c r="AB149" s="487"/>
      <c r="AC149" s="487"/>
      <c r="AD149" s="487"/>
      <c r="AE149" s="427">
        <v>7751</v>
      </c>
      <c r="AF149" s="487"/>
      <c r="AG149" s="487"/>
      <c r="AH149" s="487"/>
      <c r="AI149" s="487"/>
      <c r="AJ149" s="427">
        <v>12124</v>
      </c>
      <c r="AK149" s="487"/>
      <c r="AL149" s="487"/>
      <c r="AM149" s="487"/>
      <c r="AN149" s="487"/>
      <c r="AO149" s="427">
        <v>16985</v>
      </c>
      <c r="AP149" s="487"/>
      <c r="AQ149" s="487"/>
      <c r="AR149" s="487"/>
      <c r="AS149" s="487"/>
      <c r="AT149" s="427">
        <v>16122</v>
      </c>
      <c r="AU149" s="487"/>
      <c r="AV149" s="487"/>
      <c r="AW149" s="487"/>
      <c r="AX149" s="487"/>
      <c r="AY149" s="427">
        <v>16681</v>
      </c>
      <c r="AZ149" s="487"/>
      <c r="BA149" s="487"/>
      <c r="BB149" s="487"/>
      <c r="BC149" s="487"/>
      <c r="BD149" s="427">
        <v>15745</v>
      </c>
      <c r="BE149" s="487"/>
      <c r="BF149" s="487"/>
      <c r="BG149" s="487"/>
      <c r="BH149" s="487"/>
      <c r="BI149" s="427">
        <v>12800</v>
      </c>
      <c r="BJ149" s="981"/>
      <c r="BK149" s="487"/>
      <c r="BL149" s="487"/>
      <c r="BM149" s="487"/>
      <c r="BN149" s="425"/>
      <c r="BO149" s="487"/>
      <c r="BP149" s="487"/>
      <c r="BQ149" s="487"/>
      <c r="BR149" s="487"/>
      <c r="BS149" s="425"/>
      <c r="BT149" s="425"/>
      <c r="BU149" s="425"/>
      <c r="BV149" s="425"/>
      <c r="BW149" s="223"/>
    </row>
    <row r="150" spans="1:75" collapsed="1" x14ac:dyDescent="0.5">
      <c r="A150" s="752"/>
      <c r="B150" s="489"/>
      <c r="C150" s="401"/>
      <c r="D150" s="401"/>
      <c r="E150" s="401"/>
      <c r="F150" s="401"/>
      <c r="G150" s="118"/>
      <c r="H150" s="118"/>
      <c r="I150" s="118"/>
      <c r="J150" s="118"/>
      <c r="K150" s="401"/>
      <c r="L150" s="118"/>
      <c r="M150" s="118"/>
      <c r="N150" s="118"/>
      <c r="O150" s="118"/>
      <c r="P150" s="401"/>
      <c r="Q150" s="118"/>
      <c r="R150" s="118"/>
      <c r="S150" s="118"/>
      <c r="T150" s="118"/>
      <c r="U150" s="401"/>
      <c r="V150" s="118"/>
      <c r="W150" s="118"/>
      <c r="X150" s="118"/>
      <c r="Y150" s="118"/>
      <c r="Z150" s="401"/>
      <c r="AA150" s="118"/>
      <c r="AB150" s="118"/>
      <c r="AC150" s="118"/>
      <c r="AD150" s="118"/>
      <c r="AE150" s="401"/>
      <c r="AF150" s="118"/>
      <c r="AG150" s="118"/>
      <c r="AH150" s="118"/>
      <c r="AI150" s="118"/>
      <c r="AJ150" s="401"/>
      <c r="AK150" s="118"/>
      <c r="AL150" s="118"/>
      <c r="AM150" s="118"/>
      <c r="AN150" s="118"/>
      <c r="AO150" s="401"/>
      <c r="AP150" s="118"/>
      <c r="AQ150" s="118"/>
      <c r="AR150" s="118"/>
      <c r="AS150" s="118"/>
      <c r="AT150" s="401"/>
      <c r="AU150" s="118"/>
      <c r="AV150" s="118"/>
      <c r="AW150" s="118"/>
      <c r="AX150" s="118"/>
      <c r="AY150" s="401"/>
      <c r="AZ150" s="118"/>
      <c r="BA150" s="118"/>
      <c r="BB150" s="118"/>
      <c r="BC150" s="118"/>
      <c r="BD150" s="401"/>
      <c r="BE150" s="118"/>
      <c r="BF150" s="118"/>
      <c r="BG150" s="118"/>
      <c r="BH150" s="118"/>
      <c r="BI150" s="401"/>
      <c r="BJ150" s="971"/>
      <c r="BK150" s="118"/>
      <c r="BL150" s="118"/>
      <c r="BM150" s="118"/>
      <c r="BN150" s="401"/>
      <c r="BO150" s="118"/>
      <c r="BP150" s="118"/>
      <c r="BQ150" s="118"/>
      <c r="BR150" s="118"/>
      <c r="BS150" s="401"/>
      <c r="BT150" s="401"/>
      <c r="BU150" s="401"/>
      <c r="BV150" s="401"/>
      <c r="BW150" s="122"/>
    </row>
    <row r="151" spans="1:75" x14ac:dyDescent="0.5">
      <c r="A151" s="159" t="s">
        <v>1028</v>
      </c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159"/>
      <c r="BG151" s="159"/>
      <c r="BH151" s="159"/>
      <c r="BI151" s="159"/>
      <c r="BJ151" s="160"/>
      <c r="BK151" s="159"/>
      <c r="BL151" s="159"/>
      <c r="BM151" s="159"/>
      <c r="BN151" s="159"/>
      <c r="BO151" s="159"/>
      <c r="BP151" s="159"/>
      <c r="BQ151" s="159"/>
      <c r="BR151" s="159"/>
      <c r="BS151" s="159"/>
      <c r="BT151" s="159"/>
      <c r="BU151" s="159"/>
      <c r="BV151" s="159"/>
      <c r="BW151" s="161"/>
    </row>
    <row r="152" spans="1:75" hidden="1" outlineLevel="1" x14ac:dyDescent="0.5">
      <c r="A152" s="640" t="s">
        <v>1029</v>
      </c>
      <c r="B152" s="1414"/>
      <c r="C152" s="213"/>
      <c r="D152" s="213"/>
      <c r="E152" s="213">
        <f t="shared" ref="E152:BP152" si="134">(E231-E242)/E227</f>
        <v>0.74578997015479298</v>
      </c>
      <c r="F152" s="213">
        <f t="shared" si="134"/>
        <v>0.74296704978802985</v>
      </c>
      <c r="G152" s="214">
        <f t="shared" si="134"/>
        <v>0.73910504862899074</v>
      </c>
      <c r="H152" s="214">
        <f t="shared" si="134"/>
        <v>0.73538305708118401</v>
      </c>
      <c r="I152" s="214">
        <f t="shared" si="134"/>
        <v>0.73816065604166847</v>
      </c>
      <c r="J152" s="214">
        <f t="shared" si="134"/>
        <v>0.747867661250182</v>
      </c>
      <c r="K152" s="213">
        <f t="shared" si="134"/>
        <v>0.74085951413069706</v>
      </c>
      <c r="L152" s="214">
        <f t="shared" si="134"/>
        <v>0.75097503830187251</v>
      </c>
      <c r="M152" s="214">
        <f t="shared" si="134"/>
        <v>0.7524108354742296</v>
      </c>
      <c r="N152" s="214">
        <f t="shared" si="134"/>
        <v>0.74843242471474303</v>
      </c>
      <c r="O152" s="214">
        <f t="shared" si="134"/>
        <v>0.74065082631987256</v>
      </c>
      <c r="P152" s="213">
        <f t="shared" si="134"/>
        <v>0.74745005690127975</v>
      </c>
      <c r="Q152" s="214">
        <f t="shared" si="134"/>
        <v>0.74178490047623435</v>
      </c>
      <c r="R152" s="214">
        <f t="shared" si="134"/>
        <v>0.73929745074753139</v>
      </c>
      <c r="S152" s="214">
        <f t="shared" si="134"/>
        <v>0.74646447980712904</v>
      </c>
      <c r="T152" s="214">
        <f t="shared" si="134"/>
        <v>0.75020343611024742</v>
      </c>
      <c r="U152" s="213">
        <f t="shared" si="134"/>
        <v>0.7452447569542443</v>
      </c>
      <c r="V152" s="214">
        <f t="shared" si="134"/>
        <v>0.74637919684002652</v>
      </c>
      <c r="W152" s="214">
        <f t="shared" si="134"/>
        <v>0.74445946770225491</v>
      </c>
      <c r="X152" s="214">
        <f t="shared" si="134"/>
        <v>0.74797713357128359</v>
      </c>
      <c r="Y152" s="214">
        <f t="shared" si="134"/>
        <v>0.74036700695438273</v>
      </c>
      <c r="Z152" s="213">
        <f t="shared" si="134"/>
        <v>0.74458844620099629</v>
      </c>
      <c r="AA152" s="214">
        <f t="shared" si="134"/>
        <v>0.73227694949652644</v>
      </c>
      <c r="AB152" s="214">
        <f t="shared" si="134"/>
        <v>0.74280851685345228</v>
      </c>
      <c r="AC152" s="214">
        <f t="shared" si="134"/>
        <v>0.74693498069601183</v>
      </c>
      <c r="AD152" s="214">
        <f t="shared" si="134"/>
        <v>0.75219386024894763</v>
      </c>
      <c r="AE152" s="213">
        <f t="shared" si="134"/>
        <v>0.74457322181493124</v>
      </c>
      <c r="AF152" s="214">
        <f t="shared" si="134"/>
        <v>0.75091239641407737</v>
      </c>
      <c r="AG152" s="214">
        <f t="shared" si="134"/>
        <v>0.74993173261416957</v>
      </c>
      <c r="AH152" s="214">
        <f t="shared" si="134"/>
        <v>0.75064330502537158</v>
      </c>
      <c r="AI152" s="214">
        <f t="shared" si="134"/>
        <v>0.74119316545548075</v>
      </c>
      <c r="AJ152" s="213">
        <f t="shared" si="134"/>
        <v>0.74771778980743075</v>
      </c>
      <c r="AK152" s="214">
        <f t="shared" si="134"/>
        <v>0.73774609490088849</v>
      </c>
      <c r="AL152" s="214">
        <f t="shared" si="134"/>
        <v>0.74226448639091591</v>
      </c>
      <c r="AM152" s="214">
        <f t="shared" si="134"/>
        <v>0.74401460515717499</v>
      </c>
      <c r="AN152" s="214">
        <f t="shared" si="134"/>
        <v>0.7491199886322818</v>
      </c>
      <c r="AO152" s="213">
        <f t="shared" si="134"/>
        <v>0.7436467198572333</v>
      </c>
      <c r="AP152" s="214">
        <f t="shared" si="134"/>
        <v>0.72276886933958429</v>
      </c>
      <c r="AQ152" s="214">
        <f t="shared" si="134"/>
        <v>0.67706157402933376</v>
      </c>
      <c r="AR152" s="214">
        <f t="shared" si="134"/>
        <v>0.68225530463046635</v>
      </c>
      <c r="AS152" s="214">
        <f t="shared" si="134"/>
        <v>0.68896340385376575</v>
      </c>
      <c r="AT152" s="213">
        <f t="shared" si="134"/>
        <v>0.68908918360462057</v>
      </c>
      <c r="AU152" s="214">
        <f t="shared" si="134"/>
        <v>0.68847350322845202</v>
      </c>
      <c r="AV152" s="214">
        <f t="shared" si="134"/>
        <v>0.68737638122513678</v>
      </c>
      <c r="AW152" s="214">
        <f t="shared" si="134"/>
        <v>0.69092619452927073</v>
      </c>
      <c r="AX152" s="214">
        <f t="shared" si="134"/>
        <v>0.70384433353742726</v>
      </c>
      <c r="AY152" s="213">
        <f t="shared" si="134"/>
        <v>0.6923694193171871</v>
      </c>
      <c r="AZ152" s="214">
        <f t="shared" si="134"/>
        <v>0.70330771800868697</v>
      </c>
      <c r="BA152" s="214">
        <f t="shared" si="134"/>
        <v>0.69945188794153468</v>
      </c>
      <c r="BB152" s="214">
        <f t="shared" si="134"/>
        <v>0.67676056338028168</v>
      </c>
      <c r="BC152" s="214">
        <f t="shared" si="134"/>
        <v>0.67945823927765236</v>
      </c>
      <c r="BD152" s="213">
        <f t="shared" si="134"/>
        <v>0.69004747094450813</v>
      </c>
      <c r="BE152" s="214">
        <f t="shared" si="134"/>
        <v>0.66654650324441245</v>
      </c>
      <c r="BF152" s="214">
        <f t="shared" si="134"/>
        <v>0.65720592872910755</v>
      </c>
      <c r="BG152" s="214">
        <f t="shared" si="134"/>
        <v>0.65251358695652173</v>
      </c>
      <c r="BH152" s="214">
        <f t="shared" si="134"/>
        <v>0.66313423249839432</v>
      </c>
      <c r="BI152" s="213">
        <f t="shared" si="134"/>
        <v>0.65975172873448307</v>
      </c>
      <c r="BJ152" s="1117">
        <f>(BJ231-BJ242)/BJ227</f>
        <v>0.66178087211432757</v>
      </c>
      <c r="BK152" s="214">
        <f t="shared" si="134"/>
        <v>0.66171665206477293</v>
      </c>
      <c r="BL152" s="214">
        <f t="shared" si="134"/>
        <v>0.65387975896077133</v>
      </c>
      <c r="BM152" s="214">
        <f t="shared" si="134"/>
        <v>0.66411561188759072</v>
      </c>
      <c r="BN152" s="213">
        <f t="shared" si="134"/>
        <v>0.66042211419657071</v>
      </c>
      <c r="BO152" s="214">
        <f t="shared" si="134"/>
        <v>0.66509864899729287</v>
      </c>
      <c r="BP152" s="214">
        <f t="shared" si="134"/>
        <v>0.66426052833816529</v>
      </c>
      <c r="BQ152" s="214">
        <f t="shared" ref="BQ152:BX152" si="135">(BQ231-BQ242)/BQ227</f>
        <v>0.65395986525751293</v>
      </c>
      <c r="BR152" s="214">
        <f t="shared" si="135"/>
        <v>0.66404866912047811</v>
      </c>
      <c r="BS152" s="213">
        <f t="shared" si="135"/>
        <v>0.66184988311997495</v>
      </c>
      <c r="BT152" s="213">
        <f t="shared" si="135"/>
        <v>0.66144686444554346</v>
      </c>
      <c r="BU152" s="213">
        <f t="shared" si="135"/>
        <v>0.66174927916601134</v>
      </c>
      <c r="BV152" s="213">
        <f t="shared" si="135"/>
        <v>0.66165410237530531</v>
      </c>
      <c r="BW152" s="161"/>
    </row>
    <row r="153" spans="1:75" hidden="1" outlineLevel="1" x14ac:dyDescent="0.5">
      <c r="A153" s="641" t="s">
        <v>1030</v>
      </c>
      <c r="B153" s="1456"/>
      <c r="C153" s="648"/>
      <c r="D153" s="648"/>
      <c r="E153" s="648">
        <f t="shared" ref="E153:BP153" si="136">1-E152</f>
        <v>0.25421002984520702</v>
      </c>
      <c r="F153" s="648">
        <f t="shared" si="136"/>
        <v>0.25703295021197015</v>
      </c>
      <c r="G153" s="649">
        <f t="shared" si="136"/>
        <v>0.26089495137100926</v>
      </c>
      <c r="H153" s="649">
        <f t="shared" si="136"/>
        <v>0.26461694291881599</v>
      </c>
      <c r="I153" s="649">
        <f t="shared" si="136"/>
        <v>0.26183934395833153</v>
      </c>
      <c r="J153" s="649">
        <f t="shared" si="136"/>
        <v>0.252132338749818</v>
      </c>
      <c r="K153" s="648">
        <f t="shared" si="136"/>
        <v>0.25914048586930294</v>
      </c>
      <c r="L153" s="649">
        <f t="shared" si="136"/>
        <v>0.24902496169812749</v>
      </c>
      <c r="M153" s="649">
        <f t="shared" si="136"/>
        <v>0.2475891645257704</v>
      </c>
      <c r="N153" s="649">
        <f t="shared" si="136"/>
        <v>0.25156757528525697</v>
      </c>
      <c r="O153" s="649">
        <f t="shared" si="136"/>
        <v>0.25934917368012744</v>
      </c>
      <c r="P153" s="648">
        <f t="shared" si="136"/>
        <v>0.25254994309872025</v>
      </c>
      <c r="Q153" s="649">
        <f t="shared" si="136"/>
        <v>0.25821509952376565</v>
      </c>
      <c r="R153" s="649">
        <f t="shared" si="136"/>
        <v>0.26070254925246861</v>
      </c>
      <c r="S153" s="649">
        <f t="shared" si="136"/>
        <v>0.25353552019287096</v>
      </c>
      <c r="T153" s="649">
        <f t="shared" si="136"/>
        <v>0.24979656388975258</v>
      </c>
      <c r="U153" s="648">
        <f t="shared" si="136"/>
        <v>0.2547552430457557</v>
      </c>
      <c r="V153" s="649">
        <f t="shared" si="136"/>
        <v>0.25362080315997348</v>
      </c>
      <c r="W153" s="649">
        <f t="shared" si="136"/>
        <v>0.25554053229774509</v>
      </c>
      <c r="X153" s="649">
        <f t="shared" si="136"/>
        <v>0.25202286642871641</v>
      </c>
      <c r="Y153" s="649">
        <f t="shared" si="136"/>
        <v>0.25963299304561727</v>
      </c>
      <c r="Z153" s="648">
        <f t="shared" si="136"/>
        <v>0.25541155379900371</v>
      </c>
      <c r="AA153" s="649">
        <f t="shared" si="136"/>
        <v>0.26772305050347356</v>
      </c>
      <c r="AB153" s="649">
        <f t="shared" si="136"/>
        <v>0.25719148314654772</v>
      </c>
      <c r="AC153" s="649">
        <f t="shared" si="136"/>
        <v>0.25306501930398817</v>
      </c>
      <c r="AD153" s="649">
        <f t="shared" si="136"/>
        <v>0.24780613975105237</v>
      </c>
      <c r="AE153" s="648">
        <f t="shared" si="136"/>
        <v>0.25542677818506876</v>
      </c>
      <c r="AF153" s="649">
        <f t="shared" si="136"/>
        <v>0.24908760358592263</v>
      </c>
      <c r="AG153" s="649">
        <f t="shared" si="136"/>
        <v>0.25006826738583043</v>
      </c>
      <c r="AH153" s="649">
        <f t="shared" si="136"/>
        <v>0.24935669497462842</v>
      </c>
      <c r="AI153" s="649">
        <f t="shared" si="136"/>
        <v>0.25880683454451925</v>
      </c>
      <c r="AJ153" s="648">
        <f t="shared" si="136"/>
        <v>0.25228221019256925</v>
      </c>
      <c r="AK153" s="649">
        <f t="shared" si="136"/>
        <v>0.26225390509911151</v>
      </c>
      <c r="AL153" s="649">
        <f t="shared" si="136"/>
        <v>0.25773551360908409</v>
      </c>
      <c r="AM153" s="649">
        <f t="shared" si="136"/>
        <v>0.25598539484282501</v>
      </c>
      <c r="AN153" s="649">
        <f t="shared" si="136"/>
        <v>0.2508800113677182</v>
      </c>
      <c r="AO153" s="648">
        <f t="shared" si="136"/>
        <v>0.2563532801427667</v>
      </c>
      <c r="AP153" s="649">
        <f t="shared" si="136"/>
        <v>0.27723113066041571</v>
      </c>
      <c r="AQ153" s="649">
        <f t="shared" si="136"/>
        <v>0.32293842597066624</v>
      </c>
      <c r="AR153" s="649">
        <f t="shared" si="136"/>
        <v>0.31774469536953365</v>
      </c>
      <c r="AS153" s="649">
        <f t="shared" si="136"/>
        <v>0.31103659614623425</v>
      </c>
      <c r="AT153" s="648">
        <f t="shared" si="136"/>
        <v>0.31091081639537943</v>
      </c>
      <c r="AU153" s="649">
        <f t="shared" si="136"/>
        <v>0.31152649677154798</v>
      </c>
      <c r="AV153" s="649">
        <f t="shared" si="136"/>
        <v>0.31262361877486322</v>
      </c>
      <c r="AW153" s="649">
        <f t="shared" si="136"/>
        <v>0.30907380547072927</v>
      </c>
      <c r="AX153" s="649">
        <f t="shared" si="136"/>
        <v>0.29615566646257274</v>
      </c>
      <c r="AY153" s="648">
        <f t="shared" si="136"/>
        <v>0.3076305806828129</v>
      </c>
      <c r="AZ153" s="649">
        <f t="shared" si="136"/>
        <v>0.29669228199131303</v>
      </c>
      <c r="BA153" s="649">
        <f t="shared" si="136"/>
        <v>0.30054811205846532</v>
      </c>
      <c r="BB153" s="649">
        <f t="shared" si="136"/>
        <v>0.32323943661971832</v>
      </c>
      <c r="BC153" s="649">
        <f t="shared" si="136"/>
        <v>0.32054176072234764</v>
      </c>
      <c r="BD153" s="648">
        <f t="shared" si="136"/>
        <v>0.30995252905549187</v>
      </c>
      <c r="BE153" s="649">
        <f t="shared" si="136"/>
        <v>0.33345349675558755</v>
      </c>
      <c r="BF153" s="649">
        <f t="shared" si="136"/>
        <v>0.34279407127089245</v>
      </c>
      <c r="BG153" s="649">
        <f t="shared" si="136"/>
        <v>0.34748641304347827</v>
      </c>
      <c r="BH153" s="649">
        <f t="shared" si="136"/>
        <v>0.33686576750160568</v>
      </c>
      <c r="BI153" s="648">
        <f t="shared" si="136"/>
        <v>0.34024827126551693</v>
      </c>
      <c r="BJ153" s="1457">
        <f>1-BJ152</f>
        <v>0.33821912788567243</v>
      </c>
      <c r="BK153" s="649">
        <f t="shared" si="136"/>
        <v>0.33828334793522707</v>
      </c>
      <c r="BL153" s="649">
        <f t="shared" si="136"/>
        <v>0.34612024103922867</v>
      </c>
      <c r="BM153" s="649">
        <f t="shared" si="136"/>
        <v>0.33588438811240928</v>
      </c>
      <c r="BN153" s="648">
        <f t="shared" si="136"/>
        <v>0.33957788580342929</v>
      </c>
      <c r="BO153" s="649">
        <f t="shared" si="136"/>
        <v>0.33490135100270713</v>
      </c>
      <c r="BP153" s="649">
        <f t="shared" si="136"/>
        <v>0.33573947166183471</v>
      </c>
      <c r="BQ153" s="649">
        <f t="shared" ref="BQ153:BX153" si="137">1-BQ152</f>
        <v>0.34604013474248707</v>
      </c>
      <c r="BR153" s="649">
        <f t="shared" si="137"/>
        <v>0.33595133087952189</v>
      </c>
      <c r="BS153" s="648">
        <f t="shared" si="137"/>
        <v>0.33815011688002505</v>
      </c>
      <c r="BT153" s="648">
        <f t="shared" si="137"/>
        <v>0.33855313555445654</v>
      </c>
      <c r="BU153" s="648">
        <f t="shared" si="137"/>
        <v>0.33825072083398866</v>
      </c>
      <c r="BV153" s="648">
        <f t="shared" si="137"/>
        <v>0.33834589762469469</v>
      </c>
      <c r="BW153" s="473"/>
    </row>
    <row r="154" spans="1:75" hidden="1" outlineLevel="1" x14ac:dyDescent="0.5">
      <c r="A154" s="526"/>
      <c r="B154" s="1414"/>
      <c r="C154" s="213"/>
      <c r="D154" s="213"/>
      <c r="E154" s="213"/>
      <c r="F154" s="213"/>
      <c r="G154" s="214"/>
      <c r="H154" s="214"/>
      <c r="I154" s="214"/>
      <c r="J154" s="214"/>
      <c r="K154" s="213"/>
      <c r="L154" s="214"/>
      <c r="M154" s="214"/>
      <c r="N154" s="214"/>
      <c r="O154" s="214"/>
      <c r="P154" s="213"/>
      <c r="Q154" s="214"/>
      <c r="R154" s="214"/>
      <c r="S154" s="214"/>
      <c r="T154" s="214"/>
      <c r="U154" s="213"/>
      <c r="V154" s="214"/>
      <c r="W154" s="214"/>
      <c r="X154" s="214"/>
      <c r="Y154" s="214"/>
      <c r="Z154" s="213"/>
      <c r="AA154" s="214"/>
      <c r="AB154" s="214"/>
      <c r="AC154" s="214"/>
      <c r="AD154" s="214"/>
      <c r="AE154" s="213"/>
      <c r="AF154" s="214"/>
      <c r="AG154" s="214"/>
      <c r="AH154" s="214"/>
      <c r="AI154" s="214"/>
      <c r="AJ154" s="213"/>
      <c r="AK154" s="214"/>
      <c r="AL154" s="214"/>
      <c r="AM154" s="214"/>
      <c r="AN154" s="214"/>
      <c r="AO154" s="213"/>
      <c r="AP154" s="214"/>
      <c r="AQ154" s="214"/>
      <c r="AR154" s="214"/>
      <c r="AS154" s="214"/>
      <c r="AT154" s="213"/>
      <c r="AU154" s="214"/>
      <c r="AV154" s="214"/>
      <c r="AW154" s="214"/>
      <c r="AX154" s="214"/>
      <c r="AY154" s="213"/>
      <c r="AZ154" s="214"/>
      <c r="BA154" s="214"/>
      <c r="BB154" s="214"/>
      <c r="BC154" s="214"/>
      <c r="BD154" s="213"/>
      <c r="BE154" s="214"/>
      <c r="BF154" s="214"/>
      <c r="BG154" s="214"/>
      <c r="BH154" s="214"/>
      <c r="BI154" s="213"/>
      <c r="BJ154" s="1117"/>
      <c r="BK154" s="214"/>
      <c r="BL154" s="214"/>
      <c r="BM154" s="214"/>
      <c r="BN154" s="213"/>
      <c r="BO154" s="214"/>
      <c r="BP154" s="214"/>
      <c r="BQ154" s="214"/>
      <c r="BR154" s="214"/>
      <c r="BS154" s="213"/>
      <c r="BT154" s="213"/>
      <c r="BU154" s="213"/>
      <c r="BV154" s="213"/>
      <c r="BW154" s="473"/>
    </row>
    <row r="155" spans="1:75" hidden="1" outlineLevel="1" x14ac:dyDescent="0.5">
      <c r="A155" s="1458" t="s">
        <v>1031</v>
      </c>
      <c r="B155" s="1459"/>
      <c r="C155" s="1460"/>
      <c r="D155" s="1460"/>
      <c r="E155" s="1460">
        <f t="shared" ref="E155:BP155" si="138">E231/E227</f>
        <v>0.74578997015479298</v>
      </c>
      <c r="F155" s="1460">
        <f t="shared" si="138"/>
        <v>0.75849877210379546</v>
      </c>
      <c r="G155" s="1461">
        <f t="shared" si="138"/>
        <v>0.75514232807469239</v>
      </c>
      <c r="H155" s="1461">
        <f t="shared" si="138"/>
        <v>0.75003073110528717</v>
      </c>
      <c r="I155" s="1461">
        <f t="shared" si="138"/>
        <v>0.75286343983615822</v>
      </c>
      <c r="J155" s="1461">
        <f t="shared" si="138"/>
        <v>0.76052794641980415</v>
      </c>
      <c r="K155" s="1460">
        <f t="shared" si="138"/>
        <v>0.75515344878980351</v>
      </c>
      <c r="L155" s="1461">
        <f t="shared" si="138"/>
        <v>0.76603745151718472</v>
      </c>
      <c r="M155" s="1461">
        <f t="shared" si="138"/>
        <v>0.76829577879547917</v>
      </c>
      <c r="N155" s="1461">
        <f t="shared" si="138"/>
        <v>0.76493212131307486</v>
      </c>
      <c r="O155" s="1461">
        <f t="shared" si="138"/>
        <v>0.75916440498361548</v>
      </c>
      <c r="P155" s="1460">
        <f t="shared" si="138"/>
        <v>0.76413225358637271</v>
      </c>
      <c r="Q155" s="1461">
        <f t="shared" si="138"/>
        <v>0.75767665556788755</v>
      </c>
      <c r="R155" s="1461">
        <f t="shared" si="138"/>
        <v>0.75434568644357325</v>
      </c>
      <c r="S155" s="1461">
        <f t="shared" si="138"/>
        <v>0.76196521048130217</v>
      </c>
      <c r="T155" s="1461">
        <f t="shared" si="138"/>
        <v>0.7624974654969654</v>
      </c>
      <c r="U155" s="1460">
        <f t="shared" si="138"/>
        <v>0.75966593848130015</v>
      </c>
      <c r="V155" s="1461">
        <f t="shared" si="138"/>
        <v>0.76041148166583716</v>
      </c>
      <c r="W155" s="1461">
        <f t="shared" si="138"/>
        <v>0.76044314092267651</v>
      </c>
      <c r="X155" s="1461">
        <f t="shared" si="138"/>
        <v>0.76592553901511862</v>
      </c>
      <c r="Y155" s="1461">
        <f t="shared" si="138"/>
        <v>0.75767831079701675</v>
      </c>
      <c r="Z155" s="1460">
        <f t="shared" si="138"/>
        <v>0.7610281153486611</v>
      </c>
      <c r="AA155" s="1461">
        <f t="shared" si="138"/>
        <v>0.75345874638982124</v>
      </c>
      <c r="AB155" s="1461">
        <f t="shared" si="138"/>
        <v>0.76001731299472064</v>
      </c>
      <c r="AC155" s="1461">
        <f t="shared" si="138"/>
        <v>0.76605786355844352</v>
      </c>
      <c r="AD155" s="1461">
        <f t="shared" si="138"/>
        <v>0.76917212873241136</v>
      </c>
      <c r="AE155" s="1460">
        <f t="shared" si="138"/>
        <v>0.76300616726277537</v>
      </c>
      <c r="AF155" s="1461">
        <f t="shared" si="138"/>
        <v>0.76940030720609798</v>
      </c>
      <c r="AG155" s="1461">
        <f t="shared" si="138"/>
        <v>0.76740335029747664</v>
      </c>
      <c r="AH155" s="1461">
        <f t="shared" si="138"/>
        <v>0.76972347704240918</v>
      </c>
      <c r="AI155" s="1461">
        <f t="shared" si="138"/>
        <v>0.75912560253107741</v>
      </c>
      <c r="AJ155" s="1460">
        <f t="shared" si="138"/>
        <v>0.76594154391080682</v>
      </c>
      <c r="AK155" s="1461">
        <f t="shared" si="138"/>
        <v>0.7580990410982148</v>
      </c>
      <c r="AL155" s="1461">
        <f t="shared" si="138"/>
        <v>0.76118648834461178</v>
      </c>
      <c r="AM155" s="1461">
        <f t="shared" si="138"/>
        <v>0.76581043397772353</v>
      </c>
      <c r="AN155" s="1461">
        <f t="shared" si="138"/>
        <v>0.77211080367398321</v>
      </c>
      <c r="AO155" s="1460">
        <f t="shared" si="138"/>
        <v>0.76472898109434395</v>
      </c>
      <c r="AP155" s="1461">
        <f t="shared" si="138"/>
        <v>0.75145607650951929</v>
      </c>
      <c r="AQ155" s="1461">
        <f t="shared" si="138"/>
        <v>0.69311715271221597</v>
      </c>
      <c r="AR155" s="1461">
        <f t="shared" si="138"/>
        <v>0.70115716082790513</v>
      </c>
      <c r="AS155" s="1461">
        <f t="shared" si="138"/>
        <v>0.709988228887525</v>
      </c>
      <c r="AT155" s="1460">
        <f t="shared" si="138"/>
        <v>0.70928768830828026</v>
      </c>
      <c r="AU155" s="1461">
        <f t="shared" si="138"/>
        <v>0.71156813566457455</v>
      </c>
      <c r="AV155" s="1461">
        <f t="shared" si="138"/>
        <v>0.7075766287348747</v>
      </c>
      <c r="AW155" s="1461">
        <f t="shared" si="138"/>
        <v>0.71717253273943693</v>
      </c>
      <c r="AX155" s="1461">
        <f t="shared" si="138"/>
        <v>0.72901398713870869</v>
      </c>
      <c r="AY155" s="1460">
        <f t="shared" si="138"/>
        <v>0.71585935220309305</v>
      </c>
      <c r="AZ155" s="1461">
        <f t="shared" si="138"/>
        <v>0.73170731707317072</v>
      </c>
      <c r="BA155" s="1461">
        <f t="shared" si="138"/>
        <v>0.72716199756394639</v>
      </c>
      <c r="BB155" s="1461">
        <f t="shared" si="138"/>
        <v>0.70985915492957752</v>
      </c>
      <c r="BC155" s="1461">
        <f t="shared" si="138"/>
        <v>0.71202837794259921</v>
      </c>
      <c r="BD155" s="1460">
        <f t="shared" si="138"/>
        <v>0.72041250613848418</v>
      </c>
      <c r="BE155" s="1461">
        <f t="shared" si="138"/>
        <v>0.70403749098774338</v>
      </c>
      <c r="BF155" s="1461">
        <f t="shared" si="138"/>
        <v>0.68937243771680856</v>
      </c>
      <c r="BG155" s="1461">
        <f t="shared" si="138"/>
        <v>0.68851902173913049</v>
      </c>
      <c r="BH155" s="1461">
        <f t="shared" si="138"/>
        <v>0.69685292228644835</v>
      </c>
      <c r="BI155" s="1460">
        <f t="shared" si="138"/>
        <v>0.69449304340581519</v>
      </c>
      <c r="BJ155" s="1462">
        <f>BJ231/BJ227</f>
        <v>0.69989006962257239</v>
      </c>
      <c r="BK155" s="1461">
        <f>BK231/BK227</f>
        <v>0.69437243771680857</v>
      </c>
      <c r="BL155" s="1461">
        <f t="shared" si="138"/>
        <v>0.68651902173913038</v>
      </c>
      <c r="BM155" s="1461">
        <f t="shared" si="138"/>
        <v>0.69485292228644824</v>
      </c>
      <c r="BN155" s="1460">
        <f t="shared" si="138"/>
        <v>0.6938031103036526</v>
      </c>
      <c r="BO155" s="1461">
        <f t="shared" si="138"/>
        <v>0.69789006962257238</v>
      </c>
      <c r="BP155" s="1461">
        <f t="shared" si="138"/>
        <v>0.69237243771680856</v>
      </c>
      <c r="BQ155" s="1461">
        <f t="shared" ref="BQ155:BX155" si="139">BQ231/BQ227</f>
        <v>0.68451902173913037</v>
      </c>
      <c r="BR155" s="1461">
        <f t="shared" si="139"/>
        <v>0.69285292228644824</v>
      </c>
      <c r="BS155" s="1460">
        <f t="shared" si="139"/>
        <v>0.69180311030365249</v>
      </c>
      <c r="BT155" s="1460">
        <f t="shared" si="139"/>
        <v>0.6898031103036526</v>
      </c>
      <c r="BU155" s="1460">
        <f t="shared" si="139"/>
        <v>0.6878031103036526</v>
      </c>
      <c r="BV155" s="1460">
        <f t="shared" si="139"/>
        <v>0.68580311030365249</v>
      </c>
      <c r="BW155" s="473"/>
    </row>
    <row r="156" spans="1:75" hidden="1" outlineLevel="1" x14ac:dyDescent="0.5">
      <c r="A156" s="657" t="s">
        <v>1032</v>
      </c>
      <c r="B156" s="1463"/>
      <c r="C156" s="180"/>
      <c r="D156" s="180"/>
      <c r="E156" s="180">
        <f t="shared" ref="E156:BP156" si="140">1-E155</f>
        <v>0.25421002984520702</v>
      </c>
      <c r="F156" s="180">
        <f t="shared" si="140"/>
        <v>0.24150122789620454</v>
      </c>
      <c r="G156" s="183">
        <f t="shared" si="140"/>
        <v>0.24485767192530761</v>
      </c>
      <c r="H156" s="183">
        <f t="shared" si="140"/>
        <v>0.24996926889471283</v>
      </c>
      <c r="I156" s="183">
        <f t="shared" si="140"/>
        <v>0.24713656016384178</v>
      </c>
      <c r="J156" s="183">
        <f t="shared" si="140"/>
        <v>0.23947205358019585</v>
      </c>
      <c r="K156" s="180">
        <f t="shared" si="140"/>
        <v>0.24484655121019649</v>
      </c>
      <c r="L156" s="183">
        <f t="shared" si="140"/>
        <v>0.23396254848281528</v>
      </c>
      <c r="M156" s="183">
        <f t="shared" si="140"/>
        <v>0.23170422120452083</v>
      </c>
      <c r="N156" s="183">
        <f t="shared" si="140"/>
        <v>0.23506787868692514</v>
      </c>
      <c r="O156" s="183">
        <f t="shared" si="140"/>
        <v>0.24083559501638452</v>
      </c>
      <c r="P156" s="180">
        <f t="shared" si="140"/>
        <v>0.23586774641362729</v>
      </c>
      <c r="Q156" s="183">
        <f t="shared" si="140"/>
        <v>0.24232334443211245</v>
      </c>
      <c r="R156" s="183">
        <f t="shared" si="140"/>
        <v>0.24565431355642675</v>
      </c>
      <c r="S156" s="183">
        <f t="shared" si="140"/>
        <v>0.23803478951869783</v>
      </c>
      <c r="T156" s="183">
        <f t="shared" si="140"/>
        <v>0.2375025345030346</v>
      </c>
      <c r="U156" s="180">
        <f t="shared" si="140"/>
        <v>0.24033406151869985</v>
      </c>
      <c r="V156" s="183">
        <f t="shared" si="140"/>
        <v>0.23958851833416284</v>
      </c>
      <c r="W156" s="183">
        <f t="shared" si="140"/>
        <v>0.23955685907732349</v>
      </c>
      <c r="X156" s="183">
        <f t="shared" si="140"/>
        <v>0.23407446098488138</v>
      </c>
      <c r="Y156" s="183">
        <f t="shared" si="140"/>
        <v>0.24232168920298325</v>
      </c>
      <c r="Z156" s="180">
        <f t="shared" si="140"/>
        <v>0.2389718846513389</v>
      </c>
      <c r="AA156" s="183">
        <f t="shared" si="140"/>
        <v>0.24654125361017876</v>
      </c>
      <c r="AB156" s="183">
        <f t="shared" si="140"/>
        <v>0.23998268700527936</v>
      </c>
      <c r="AC156" s="183">
        <f t="shared" si="140"/>
        <v>0.23394213644155648</v>
      </c>
      <c r="AD156" s="183">
        <f t="shared" si="140"/>
        <v>0.23082787126758864</v>
      </c>
      <c r="AE156" s="180">
        <f t="shared" si="140"/>
        <v>0.23699383273722463</v>
      </c>
      <c r="AF156" s="183">
        <f t="shared" si="140"/>
        <v>0.23059969279390202</v>
      </c>
      <c r="AG156" s="183">
        <f t="shared" si="140"/>
        <v>0.23259664970252336</v>
      </c>
      <c r="AH156" s="183">
        <f t="shared" si="140"/>
        <v>0.23027652295759082</v>
      </c>
      <c r="AI156" s="183">
        <f t="shared" si="140"/>
        <v>0.24087439746892259</v>
      </c>
      <c r="AJ156" s="180">
        <f t="shared" si="140"/>
        <v>0.23405845608919318</v>
      </c>
      <c r="AK156" s="183">
        <f t="shared" si="140"/>
        <v>0.2419009589017852</v>
      </c>
      <c r="AL156" s="183">
        <f t="shared" si="140"/>
        <v>0.23881351165538822</v>
      </c>
      <c r="AM156" s="183">
        <f t="shared" si="140"/>
        <v>0.23418956602227647</v>
      </c>
      <c r="AN156" s="183">
        <f t="shared" si="140"/>
        <v>0.22788919632601679</v>
      </c>
      <c r="AO156" s="180">
        <f t="shared" si="140"/>
        <v>0.23527101890565605</v>
      </c>
      <c r="AP156" s="183">
        <f t="shared" si="140"/>
        <v>0.24854392349048071</v>
      </c>
      <c r="AQ156" s="183">
        <f t="shared" si="140"/>
        <v>0.30688284728778403</v>
      </c>
      <c r="AR156" s="183">
        <f t="shared" si="140"/>
        <v>0.29884283917209487</v>
      </c>
      <c r="AS156" s="183">
        <f t="shared" si="140"/>
        <v>0.290011771112475</v>
      </c>
      <c r="AT156" s="180">
        <f t="shared" si="140"/>
        <v>0.29071231169171974</v>
      </c>
      <c r="AU156" s="183">
        <f t="shared" si="140"/>
        <v>0.28843186433542545</v>
      </c>
      <c r="AV156" s="183">
        <f t="shared" si="140"/>
        <v>0.2924233712651253</v>
      </c>
      <c r="AW156" s="183">
        <f t="shared" si="140"/>
        <v>0.28282746726056307</v>
      </c>
      <c r="AX156" s="183">
        <f t="shared" si="140"/>
        <v>0.27098601286129131</v>
      </c>
      <c r="AY156" s="180">
        <f t="shared" si="140"/>
        <v>0.28414064779690695</v>
      </c>
      <c r="AZ156" s="183">
        <f t="shared" si="140"/>
        <v>0.26829268292682928</v>
      </c>
      <c r="BA156" s="183">
        <f t="shared" si="140"/>
        <v>0.27283800243605361</v>
      </c>
      <c r="BB156" s="183">
        <f t="shared" si="140"/>
        <v>0.29014084507042248</v>
      </c>
      <c r="BC156" s="183">
        <f t="shared" si="140"/>
        <v>0.28797162205740079</v>
      </c>
      <c r="BD156" s="180">
        <f t="shared" si="140"/>
        <v>0.27958749386151582</v>
      </c>
      <c r="BE156" s="183">
        <f t="shared" si="140"/>
        <v>0.29596250901225662</v>
      </c>
      <c r="BF156" s="183">
        <f t="shared" si="140"/>
        <v>0.31062756228319144</v>
      </c>
      <c r="BG156" s="183">
        <f t="shared" si="140"/>
        <v>0.31148097826086951</v>
      </c>
      <c r="BH156" s="183">
        <f t="shared" si="140"/>
        <v>0.30314707771355165</v>
      </c>
      <c r="BI156" s="180">
        <f t="shared" si="140"/>
        <v>0.30550695659418481</v>
      </c>
      <c r="BJ156" s="1112">
        <f>1-BJ155</f>
        <v>0.30010993037742761</v>
      </c>
      <c r="BK156" s="183">
        <f t="shared" si="140"/>
        <v>0.30562756228319143</v>
      </c>
      <c r="BL156" s="183">
        <f t="shared" si="140"/>
        <v>0.31348097826086962</v>
      </c>
      <c r="BM156" s="183">
        <f t="shared" si="140"/>
        <v>0.30514707771355176</v>
      </c>
      <c r="BN156" s="180">
        <f t="shared" si="140"/>
        <v>0.3061968896963474</v>
      </c>
      <c r="BO156" s="183">
        <f t="shared" si="140"/>
        <v>0.30210993037742762</v>
      </c>
      <c r="BP156" s="183">
        <f t="shared" si="140"/>
        <v>0.30762756228319144</v>
      </c>
      <c r="BQ156" s="183">
        <f t="shared" ref="BQ156:BX156" si="141">1-BQ155</f>
        <v>0.31548097826086963</v>
      </c>
      <c r="BR156" s="183">
        <f t="shared" si="141"/>
        <v>0.30714707771355176</v>
      </c>
      <c r="BS156" s="180">
        <f t="shared" si="141"/>
        <v>0.30819688969634751</v>
      </c>
      <c r="BT156" s="180">
        <f t="shared" si="141"/>
        <v>0.3101968896963474</v>
      </c>
      <c r="BU156" s="180">
        <f t="shared" si="141"/>
        <v>0.3121968896963474</v>
      </c>
      <c r="BV156" s="180">
        <f t="shared" si="141"/>
        <v>0.31419688969634751</v>
      </c>
      <c r="BW156" s="473"/>
    </row>
    <row r="157" spans="1:75" hidden="1" outlineLevel="1" x14ac:dyDescent="0.5">
      <c r="A157" s="438" t="s">
        <v>2250</v>
      </c>
      <c r="B157" s="660"/>
      <c r="C157" s="417"/>
      <c r="D157" s="417"/>
      <c r="E157" s="417"/>
      <c r="F157" s="417"/>
      <c r="G157" s="378"/>
      <c r="H157" s="378"/>
      <c r="I157" s="378"/>
      <c r="J157" s="378"/>
      <c r="K157" s="417"/>
      <c r="L157" s="378"/>
      <c r="M157" s="378"/>
      <c r="N157" s="378"/>
      <c r="O157" s="378"/>
      <c r="P157" s="417"/>
      <c r="Q157" s="378"/>
      <c r="R157" s="378"/>
      <c r="S157" s="378"/>
      <c r="T157" s="378"/>
      <c r="U157" s="417"/>
      <c r="V157" s="378"/>
      <c r="W157" s="378"/>
      <c r="X157" s="378"/>
      <c r="Y157" s="374"/>
      <c r="Z157" s="172"/>
      <c r="AA157" s="378"/>
      <c r="AB157" s="378"/>
      <c r="AC157" s="378"/>
      <c r="AD157" s="374"/>
      <c r="AE157" s="172"/>
      <c r="AF157" s="378"/>
      <c r="AG157" s="378"/>
      <c r="AH157" s="378"/>
      <c r="AI157" s="374"/>
      <c r="AJ157" s="172"/>
      <c r="AK157" s="378"/>
      <c r="AL157" s="378"/>
      <c r="AM157" s="378"/>
      <c r="AN157" s="374"/>
      <c r="AO157" s="172"/>
      <c r="AP157" s="378"/>
      <c r="AQ157" s="378"/>
      <c r="AR157" s="378"/>
      <c r="AS157" s="374"/>
      <c r="AT157" s="172"/>
      <c r="AU157" s="378"/>
      <c r="AV157" s="378"/>
      <c r="AW157" s="378"/>
      <c r="AX157" s="374"/>
      <c r="AY157" s="172"/>
      <c r="AZ157" s="378"/>
      <c r="BA157" s="378"/>
      <c r="BB157" s="378"/>
      <c r="BC157" s="374"/>
      <c r="BD157" s="172"/>
      <c r="BE157" s="378"/>
      <c r="BF157" s="378"/>
      <c r="BG157" s="378"/>
      <c r="BH157" s="374"/>
      <c r="BI157" s="172"/>
      <c r="BJ157" s="1130"/>
      <c r="BK157" s="378" t="str">
        <f t="shared" ref="BK157:BS157" ca="1" si="142">IFERROR(VLOOKUP($A157,tb_ConsensusEstimate,MATCH(BK$5,OFFSET(tb_ConsensusEstimate,0,0,1,COLUMNS(tb_ConsensusEstimate)),0),FALSE),"-")</f>
        <v>-</v>
      </c>
      <c r="BL157" s="378" t="str">
        <f t="shared" ca="1" si="142"/>
        <v>-</v>
      </c>
      <c r="BM157" s="378" t="str">
        <f t="shared" ca="1" si="142"/>
        <v>-</v>
      </c>
      <c r="BN157" s="172" t="str">
        <f t="shared" ca="1" si="142"/>
        <v>-</v>
      </c>
      <c r="BO157" s="378" t="str">
        <f t="shared" ca="1" si="142"/>
        <v>-</v>
      </c>
      <c r="BP157" s="378" t="str">
        <f t="shared" ca="1" si="142"/>
        <v>-</v>
      </c>
      <c r="BQ157" s="378" t="str">
        <f t="shared" ca="1" si="142"/>
        <v>-</v>
      </c>
      <c r="BR157" s="378" t="str">
        <f t="shared" ca="1" si="142"/>
        <v>-</v>
      </c>
      <c r="BS157" s="172" t="str">
        <f t="shared" ca="1" si="142"/>
        <v>-</v>
      </c>
      <c r="BT157" s="172" t="str">
        <f ca="1">IFERROR(VLOOKUP(A157,tb_ConsensusEstimate,MATCH(BT5,OFFSET(tb_ConsensusEstimate,0,0,1,COLUMNS(tb_ConsensusEstimate)),0),FALSE),"-")</f>
        <v>-</v>
      </c>
      <c r="BU157" s="172" t="str">
        <f ca="1">IFERROR(VLOOKUP(A157,tb_ConsensusEstimate,MATCH(BU5,OFFSET(tb_ConsensusEstimate,0,0,1,COLUMNS(tb_ConsensusEstimate)),0),FALSE),"-")</f>
        <v>-</v>
      </c>
      <c r="BV157" s="172" t="str">
        <f ca="1">IFERROR(VLOOKUP(A157,tb_ConsensusEstimate,MATCH(BV5,OFFSET(tb_ConsensusEstimate,0,0,1,COLUMNS(tb_ConsensusEstimate)),0),FALSE),"-")</f>
        <v>-</v>
      </c>
      <c r="BW157" s="378"/>
    </row>
    <row r="158" spans="1:75" hidden="1" outlineLevel="1" x14ac:dyDescent="0.5">
      <c r="A158" s="438" t="s">
        <v>2251</v>
      </c>
      <c r="B158" s="660"/>
      <c r="C158" s="417"/>
      <c r="D158" s="417"/>
      <c r="E158" s="417"/>
      <c r="F158" s="417"/>
      <c r="G158" s="378" t="str">
        <f t="shared" ref="G158:BR158" si="143">G571</f>
        <v/>
      </c>
      <c r="H158" s="378" t="str">
        <f t="shared" si="143"/>
        <v/>
      </c>
      <c r="I158" s="378" t="str">
        <f t="shared" si="143"/>
        <v/>
      </c>
      <c r="J158" s="378" t="str">
        <f t="shared" si="143"/>
        <v/>
      </c>
      <c r="K158" s="417" t="str">
        <f t="shared" si="143"/>
        <v/>
      </c>
      <c r="L158" s="378" t="str">
        <f t="shared" si="143"/>
        <v/>
      </c>
      <c r="M158" s="378" t="str">
        <f t="shared" si="143"/>
        <v/>
      </c>
      <c r="N158" s="378" t="str">
        <f t="shared" si="143"/>
        <v/>
      </c>
      <c r="O158" s="378" t="str">
        <f t="shared" si="143"/>
        <v/>
      </c>
      <c r="P158" s="417" t="str">
        <f t="shared" si="143"/>
        <v/>
      </c>
      <c r="Q158" s="378" t="str">
        <f t="shared" si="143"/>
        <v/>
      </c>
      <c r="R158" s="378" t="str">
        <f t="shared" si="143"/>
        <v/>
      </c>
      <c r="S158" s="378" t="str">
        <f t="shared" si="143"/>
        <v/>
      </c>
      <c r="T158" s="378" t="str">
        <f t="shared" si="143"/>
        <v/>
      </c>
      <c r="U158" s="417" t="str">
        <f t="shared" si="143"/>
        <v/>
      </c>
      <c r="V158" s="378" t="str">
        <f t="shared" si="143"/>
        <v/>
      </c>
      <c r="W158" s="378" t="str">
        <f t="shared" si="143"/>
        <v/>
      </c>
      <c r="X158" s="378" t="str">
        <f t="shared" si="143"/>
        <v/>
      </c>
      <c r="Y158" s="374" t="str">
        <f t="shared" si="143"/>
        <v/>
      </c>
      <c r="Z158" s="172" t="str">
        <f t="shared" si="143"/>
        <v/>
      </c>
      <c r="AA158" s="378" t="str">
        <f t="shared" si="143"/>
        <v/>
      </c>
      <c r="AB158" s="378" t="str">
        <f t="shared" si="143"/>
        <v/>
      </c>
      <c r="AC158" s="378" t="str">
        <f t="shared" si="143"/>
        <v/>
      </c>
      <c r="AD158" s="374" t="str">
        <f t="shared" si="143"/>
        <v/>
      </c>
      <c r="AE158" s="172" t="str">
        <f t="shared" si="143"/>
        <v/>
      </c>
      <c r="AF158" s="378" t="str">
        <f t="shared" si="143"/>
        <v/>
      </c>
      <c r="AG158" s="378" t="str">
        <f t="shared" si="143"/>
        <v/>
      </c>
      <c r="AH158" s="378" t="str">
        <f t="shared" si="143"/>
        <v/>
      </c>
      <c r="AI158" s="374" t="str">
        <f t="shared" si="143"/>
        <v/>
      </c>
      <c r="AJ158" s="172" t="str">
        <f t="shared" si="143"/>
        <v/>
      </c>
      <c r="AK158" s="378">
        <f t="shared" si="143"/>
        <v>0.23499999999999999</v>
      </c>
      <c r="AL158" s="378" t="str">
        <f t="shared" si="143"/>
        <v/>
      </c>
      <c r="AM158" s="378" t="str">
        <f t="shared" si="143"/>
        <v/>
      </c>
      <c r="AN158" s="374" t="str">
        <f t="shared" si="143"/>
        <v/>
      </c>
      <c r="AO158" s="172" t="str">
        <f t="shared" si="143"/>
        <v/>
      </c>
      <c r="AP158" s="378">
        <f t="shared" si="143"/>
        <v>0.23499999999999999</v>
      </c>
      <c r="AQ158" s="378">
        <f t="shared" si="143"/>
        <v>0.26</v>
      </c>
      <c r="AR158" s="378">
        <f t="shared" si="143"/>
        <v>0.26500000000000001</v>
      </c>
      <c r="AS158" s="374">
        <f t="shared" si="143"/>
        <v>0.27</v>
      </c>
      <c r="AT158" s="172" t="str">
        <f t="shared" si="143"/>
        <v/>
      </c>
      <c r="AU158" s="378">
        <f t="shared" si="143"/>
        <v>0.27</v>
      </c>
      <c r="AV158" s="378">
        <f t="shared" si="143"/>
        <v>0.27500000000000002</v>
      </c>
      <c r="AW158" s="378">
        <f t="shared" si="143"/>
        <v>0.27500000000000002</v>
      </c>
      <c r="AX158" s="374">
        <f t="shared" si="143"/>
        <v>0.27500000000000002</v>
      </c>
      <c r="AY158" s="172" t="str">
        <f t="shared" si="143"/>
        <v/>
      </c>
      <c r="AZ158" s="378">
        <f t="shared" si="143"/>
        <v>0.27500000000000002</v>
      </c>
      <c r="BA158" s="378">
        <f t="shared" si="143"/>
        <v>0.27500000000000002</v>
      </c>
      <c r="BB158" s="378">
        <f t="shared" si="143"/>
        <v>0.27500000000000002</v>
      </c>
      <c r="BC158" s="374">
        <f t="shared" si="143"/>
        <v>0.28500000000000003</v>
      </c>
      <c r="BD158" s="172" t="str">
        <f t="shared" si="143"/>
        <v/>
      </c>
      <c r="BE158" s="378">
        <f t="shared" si="143"/>
        <v>0.28500000000000003</v>
      </c>
      <c r="BF158" s="378">
        <f t="shared" si="143"/>
        <v>0.29499999999999998</v>
      </c>
      <c r="BG158" s="378">
        <f t="shared" si="143"/>
        <v>0.3</v>
      </c>
      <c r="BH158" s="374">
        <f t="shared" si="143"/>
        <v>0.30499999999999999</v>
      </c>
      <c r="BI158" s="172" t="str">
        <f t="shared" si="143"/>
        <v/>
      </c>
      <c r="BJ158" s="1130">
        <f>BJ571</f>
        <v>0.30499999999999999</v>
      </c>
      <c r="BK158" s="378">
        <f t="shared" si="143"/>
        <v>0.30499999999999999</v>
      </c>
      <c r="BL158" s="378" t="str">
        <f t="shared" si="143"/>
        <v/>
      </c>
      <c r="BM158" s="378" t="str">
        <f t="shared" si="143"/>
        <v/>
      </c>
      <c r="BN158" s="172" t="str">
        <f t="shared" si="143"/>
        <v/>
      </c>
      <c r="BO158" s="378" t="str">
        <f t="shared" si="143"/>
        <v/>
      </c>
      <c r="BP158" s="378" t="str">
        <f t="shared" si="143"/>
        <v/>
      </c>
      <c r="BQ158" s="378" t="str">
        <f t="shared" si="143"/>
        <v/>
      </c>
      <c r="BR158" s="378" t="str">
        <f t="shared" si="143"/>
        <v/>
      </c>
      <c r="BS158" s="172" t="str">
        <f t="shared" ref="BS158:BZ158" si="144">BS571</f>
        <v/>
      </c>
      <c r="BT158" s="172">
        <f t="shared" si="144"/>
        <v>0</v>
      </c>
      <c r="BU158" s="172">
        <f t="shared" si="144"/>
        <v>0</v>
      </c>
      <c r="BV158" s="172">
        <f t="shared" si="144"/>
        <v>0</v>
      </c>
      <c r="BW158" s="378"/>
    </row>
    <row r="159" spans="1:75" hidden="1" outlineLevel="1" x14ac:dyDescent="0.5">
      <c r="A159" s="657"/>
      <c r="B159" s="1463"/>
      <c r="C159" s="180"/>
      <c r="D159" s="180"/>
      <c r="E159" s="180"/>
      <c r="F159" s="180"/>
      <c r="G159" s="183"/>
      <c r="H159" s="183"/>
      <c r="I159" s="183"/>
      <c r="J159" s="183"/>
      <c r="K159" s="180"/>
      <c r="L159" s="183"/>
      <c r="M159" s="183"/>
      <c r="N159" s="183"/>
      <c r="O159" s="183"/>
      <c r="P159" s="180"/>
      <c r="Q159" s="183"/>
      <c r="R159" s="183"/>
      <c r="S159" s="183"/>
      <c r="T159" s="183"/>
      <c r="U159" s="180"/>
      <c r="V159" s="183"/>
      <c r="W159" s="183"/>
      <c r="X159" s="183"/>
      <c r="Y159" s="183"/>
      <c r="Z159" s="180"/>
      <c r="AA159" s="183"/>
      <c r="AB159" s="183"/>
      <c r="AC159" s="183"/>
      <c r="AD159" s="183"/>
      <c r="AE159" s="180"/>
      <c r="AF159" s="183"/>
      <c r="AG159" s="183"/>
      <c r="AH159" s="183"/>
      <c r="AI159" s="183"/>
      <c r="AJ159" s="180"/>
      <c r="AK159" s="183"/>
      <c r="AL159" s="183"/>
      <c r="AM159" s="183"/>
      <c r="AN159" s="183"/>
      <c r="AO159" s="180"/>
      <c r="AP159" s="183"/>
      <c r="AQ159" s="183"/>
      <c r="AR159" s="183"/>
      <c r="AS159" s="183"/>
      <c r="AT159" s="180"/>
      <c r="AU159" s="183"/>
      <c r="AV159" s="183"/>
      <c r="AW159" s="183"/>
      <c r="AX159" s="183"/>
      <c r="AY159" s="180"/>
      <c r="AZ159" s="183"/>
      <c r="BA159" s="183"/>
      <c r="BB159" s="183"/>
      <c r="BC159" s="183"/>
      <c r="BD159" s="180"/>
      <c r="BE159" s="183"/>
      <c r="BF159" s="183"/>
      <c r="BG159" s="183"/>
      <c r="BH159" s="183"/>
      <c r="BI159" s="180"/>
      <c r="BJ159" s="1112"/>
      <c r="BK159" s="183"/>
      <c r="BL159" s="183"/>
      <c r="BM159" s="183"/>
      <c r="BN159" s="180"/>
      <c r="BO159" s="183"/>
      <c r="BP159" s="183"/>
      <c r="BQ159" s="183"/>
      <c r="BR159" s="183"/>
      <c r="BS159" s="180"/>
      <c r="BT159" s="180"/>
      <c r="BU159" s="180"/>
      <c r="BV159" s="180"/>
      <c r="BW159" s="161"/>
    </row>
    <row r="160" spans="1:75" hidden="1" outlineLevel="1" x14ac:dyDescent="0.5">
      <c r="A160" s="657" t="s">
        <v>1033</v>
      </c>
      <c r="B160" s="1463"/>
      <c r="C160" s="180"/>
      <c r="D160" s="180"/>
      <c r="E160" s="180">
        <f t="shared" ref="E160:BP160" si="145">E235/E227</f>
        <v>0.27751016747336354</v>
      </c>
      <c r="F160" s="180">
        <f t="shared" si="145"/>
        <v>0.2767441783078326</v>
      </c>
      <c r="G160" s="183">
        <f t="shared" si="145"/>
        <v>0.27473572409651287</v>
      </c>
      <c r="H160" s="183">
        <f t="shared" si="145"/>
        <v>0.26218303938006754</v>
      </c>
      <c r="I160" s="183">
        <f t="shared" si="145"/>
        <v>0.26182670183984968</v>
      </c>
      <c r="J160" s="183">
        <f t="shared" si="145"/>
        <v>0.2534799700676863</v>
      </c>
      <c r="K160" s="180">
        <f t="shared" si="145"/>
        <v>0.26174901156639296</v>
      </c>
      <c r="L160" s="183">
        <f t="shared" si="145"/>
        <v>0.33408920479212939</v>
      </c>
      <c r="M160" s="183">
        <f t="shared" si="145"/>
        <v>0.30960915525137339</v>
      </c>
      <c r="N160" s="183">
        <f t="shared" si="145"/>
        <v>0.3053113139076945</v>
      </c>
      <c r="O160" s="183">
        <f t="shared" si="145"/>
        <v>0.41769227568957873</v>
      </c>
      <c r="P160" s="180">
        <f t="shared" si="145"/>
        <v>0.34717135056571474</v>
      </c>
      <c r="Q160" s="183">
        <f t="shared" si="145"/>
        <v>0.30593749337254433</v>
      </c>
      <c r="R160" s="183">
        <f t="shared" si="145"/>
        <v>0.28477362573004272</v>
      </c>
      <c r="S160" s="183">
        <f t="shared" si="145"/>
        <v>0.26906150458270761</v>
      </c>
      <c r="T160" s="183">
        <f t="shared" si="145"/>
        <v>0.25885589153678745</v>
      </c>
      <c r="U160" s="180">
        <f t="shared" si="145"/>
        <v>0.27609544487829374</v>
      </c>
      <c r="V160" s="183">
        <f t="shared" si="145"/>
        <v>0.29593308605897123</v>
      </c>
      <c r="W160" s="183">
        <f t="shared" si="145"/>
        <v>0.30148120285464491</v>
      </c>
      <c r="X160" s="183">
        <f t="shared" si="145"/>
        <v>0.30559879283828095</v>
      </c>
      <c r="Y160" s="183">
        <f t="shared" si="145"/>
        <v>0.28676595308153191</v>
      </c>
      <c r="Z160" s="180">
        <f t="shared" si="145"/>
        <v>0.2970180690813996</v>
      </c>
      <c r="AA160" s="183">
        <f t="shared" si="145"/>
        <v>0.30503889886295632</v>
      </c>
      <c r="AB160" s="183">
        <f t="shared" si="145"/>
        <v>0.27342597804170793</v>
      </c>
      <c r="AC160" s="183">
        <f t="shared" si="145"/>
        <v>0.29566565792965771</v>
      </c>
      <c r="AD160" s="183">
        <f t="shared" si="145"/>
        <v>0.27790031521539704</v>
      </c>
      <c r="AE160" s="180">
        <f t="shared" si="145"/>
        <v>0.28686848574263984</v>
      </c>
      <c r="AF160" s="183">
        <f t="shared" si="145"/>
        <v>0.30399659894222542</v>
      </c>
      <c r="AG160" s="183">
        <f t="shared" si="145"/>
        <v>0.29019438685013071</v>
      </c>
      <c r="AH160" s="183">
        <f t="shared" si="145"/>
        <v>0.31544430406092716</v>
      </c>
      <c r="AI160" s="183">
        <f t="shared" si="145"/>
        <v>0.3052263054095225</v>
      </c>
      <c r="AJ160" s="180">
        <f t="shared" si="145"/>
        <v>0.30387212365400268</v>
      </c>
      <c r="AK160" s="183">
        <f t="shared" si="145"/>
        <v>0.34146446808434061</v>
      </c>
      <c r="AL160" s="183">
        <f t="shared" si="145"/>
        <v>0.31186458471584988</v>
      </c>
      <c r="AM160" s="183">
        <f t="shared" si="145"/>
        <v>0.3468377830801041</v>
      </c>
      <c r="AN160" s="183">
        <f t="shared" si="145"/>
        <v>0.34844266209852792</v>
      </c>
      <c r="AO160" s="180">
        <f t="shared" si="145"/>
        <v>0.33715939321952298</v>
      </c>
      <c r="AP160" s="183">
        <f t="shared" si="145"/>
        <v>0.36101641886936103</v>
      </c>
      <c r="AQ160" s="183">
        <f t="shared" si="145"/>
        <v>0.23719159090402242</v>
      </c>
      <c r="AR160" s="183">
        <f t="shared" si="145"/>
        <v>0.2410618897428618</v>
      </c>
      <c r="AS160" s="183">
        <f t="shared" si="145"/>
        <v>0.26261621623977649</v>
      </c>
      <c r="AT160" s="180">
        <f t="shared" si="145"/>
        <v>0.26523723032817736</v>
      </c>
      <c r="AU160" s="183">
        <f t="shared" si="145"/>
        <v>0.27734522150568308</v>
      </c>
      <c r="AV160" s="183">
        <f t="shared" si="145"/>
        <v>0.25478182695782325</v>
      </c>
      <c r="AW160" s="183">
        <f t="shared" si="145"/>
        <v>0.30519085842958998</v>
      </c>
      <c r="AX160" s="183">
        <f t="shared" si="145"/>
        <v>0.33124944453379751</v>
      </c>
      <c r="AY160" s="180">
        <f t="shared" si="145"/>
        <v>0.29012255617157862</v>
      </c>
      <c r="AZ160" s="183">
        <f t="shared" si="145"/>
        <v>0.37186769127965252</v>
      </c>
      <c r="BA160" s="183">
        <f t="shared" si="145"/>
        <v>0.37393422655298414</v>
      </c>
      <c r="BB160" s="183">
        <f t="shared" si="145"/>
        <v>0.41021126760563381</v>
      </c>
      <c r="BC160" s="183">
        <f t="shared" si="145"/>
        <v>0.39471138342470169</v>
      </c>
      <c r="BD160" s="180">
        <f t="shared" si="145"/>
        <v>0.3871337371091832</v>
      </c>
      <c r="BE160" s="183">
        <f t="shared" si="145"/>
        <v>0.39293439077144915</v>
      </c>
      <c r="BF160" s="183">
        <f t="shared" si="145"/>
        <v>0.35509303058971931</v>
      </c>
      <c r="BG160" s="183">
        <f t="shared" si="145"/>
        <v>0.36311141304347827</v>
      </c>
      <c r="BH160" s="183">
        <f t="shared" si="145"/>
        <v>0.3583815028901734</v>
      </c>
      <c r="BI160" s="180">
        <f t="shared" si="145"/>
        <v>0.36665833541614595</v>
      </c>
      <c r="BJ160" s="1112">
        <f>BJ235/BJ227</f>
        <v>0.35727372663979479</v>
      </c>
      <c r="BK160" s="183">
        <f t="shared" si="145"/>
        <v>0.36709303058971932</v>
      </c>
      <c r="BL160" s="183">
        <f t="shared" si="145"/>
        <v>0.36311141304347822</v>
      </c>
      <c r="BM160" s="183">
        <f t="shared" si="145"/>
        <v>0.35838150289017345</v>
      </c>
      <c r="BN160" s="180">
        <f t="shared" si="145"/>
        <v>0.36161768524008286</v>
      </c>
      <c r="BO160" s="183">
        <f t="shared" si="145"/>
        <v>0.33727372663979482</v>
      </c>
      <c r="BP160" s="183">
        <f t="shared" si="145"/>
        <v>0.36709303058971937</v>
      </c>
      <c r="BQ160" s="183">
        <f t="shared" ref="BQ160:BX160" si="146">BQ235/BQ227</f>
        <v>0.36311141304347827</v>
      </c>
      <c r="BR160" s="183">
        <f t="shared" si="146"/>
        <v>0.3583815028901734</v>
      </c>
      <c r="BS160" s="180">
        <f t="shared" si="146"/>
        <v>0.35710474093536532</v>
      </c>
      <c r="BT160" s="180">
        <f t="shared" si="146"/>
        <v>0.34210474093536536</v>
      </c>
      <c r="BU160" s="180">
        <f t="shared" si="146"/>
        <v>0.32710474093536529</v>
      </c>
      <c r="BV160" s="180">
        <f t="shared" si="146"/>
        <v>0.31210474093536528</v>
      </c>
      <c r="BW160" s="161"/>
    </row>
    <row r="161" spans="1:75" hidden="1" outlineLevel="1" x14ac:dyDescent="0.5">
      <c r="A161" s="527" t="s">
        <v>1034</v>
      </c>
      <c r="B161" s="1464"/>
      <c r="C161" s="529"/>
      <c r="D161" s="529"/>
      <c r="E161" s="529">
        <f t="shared" ref="E161:BP161" si="147">E238/E227</f>
        <v>-2.330013762815656E-2</v>
      </c>
      <c r="F161" s="529">
        <f t="shared" si="147"/>
        <v>-3.5595679402623516E-2</v>
      </c>
      <c r="G161" s="530">
        <f t="shared" si="147"/>
        <v>-3.0172773326067305E-2</v>
      </c>
      <c r="H161" s="530">
        <f t="shared" si="147"/>
        <v>-1.2474370258190344E-2</v>
      </c>
      <c r="I161" s="530">
        <f t="shared" si="147"/>
        <v>-1.5465524942899832E-2</v>
      </c>
      <c r="J161" s="530">
        <f t="shared" si="147"/>
        <v>-1.4851032563242158E-2</v>
      </c>
      <c r="K161" s="529">
        <f t="shared" si="147"/>
        <v>-1.7490989176092417E-2</v>
      </c>
      <c r="L161" s="530">
        <f t="shared" si="147"/>
        <v>-0.10102006766963155</v>
      </c>
      <c r="M161" s="530">
        <f t="shared" si="147"/>
        <v>-7.8751138144511318E-2</v>
      </c>
      <c r="N161" s="530">
        <f t="shared" si="147"/>
        <v>-7.0984092234107121E-2</v>
      </c>
      <c r="O161" s="530">
        <f t="shared" si="147"/>
        <v>-0.17742444673399907</v>
      </c>
      <c r="P161" s="529">
        <f t="shared" si="147"/>
        <v>-0.1120466188660534</v>
      </c>
      <c r="Q161" s="530">
        <f t="shared" si="147"/>
        <v>-6.4203256113165227E-2</v>
      </c>
      <c r="R161" s="530">
        <f t="shared" si="147"/>
        <v>-3.9599228879597811E-2</v>
      </c>
      <c r="S161" s="530">
        <f t="shared" si="147"/>
        <v>-3.1376899921208457E-2</v>
      </c>
      <c r="T161" s="530">
        <f t="shared" si="147"/>
        <v>-2.1619648819259481E-2</v>
      </c>
      <c r="U161" s="529">
        <f t="shared" si="147"/>
        <v>-3.6157403600628385E-2</v>
      </c>
      <c r="V161" s="530">
        <f t="shared" si="147"/>
        <v>-5.6344567724808385E-2</v>
      </c>
      <c r="W161" s="530">
        <f t="shared" si="147"/>
        <v>-6.1924343777321422E-2</v>
      </c>
      <c r="X161" s="530">
        <f t="shared" si="147"/>
        <v>-7.152433185339957E-2</v>
      </c>
      <c r="Y161" s="530">
        <f t="shared" si="147"/>
        <v>-4.4444263878548711E-2</v>
      </c>
      <c r="Z161" s="529">
        <f t="shared" si="147"/>
        <v>-5.8046184430060661E-2</v>
      </c>
      <c r="AA161" s="530">
        <f t="shared" si="147"/>
        <v>-5.8497645252777515E-2</v>
      </c>
      <c r="AB161" s="530">
        <f t="shared" si="147"/>
        <v>-3.3443291036428506E-2</v>
      </c>
      <c r="AC161" s="530">
        <f t="shared" si="147"/>
        <v>-6.1723521488101243E-2</v>
      </c>
      <c r="AD161" s="530">
        <f t="shared" si="147"/>
        <v>-4.7072443947808448E-2</v>
      </c>
      <c r="AE161" s="529">
        <f t="shared" si="147"/>
        <v>-4.987465300541518E-2</v>
      </c>
      <c r="AF161" s="530">
        <f t="shared" si="147"/>
        <v>-7.3396906148323365E-2</v>
      </c>
      <c r="AG161" s="530">
        <f t="shared" si="147"/>
        <v>-5.7597737147607339E-2</v>
      </c>
      <c r="AH161" s="530">
        <f t="shared" si="147"/>
        <v>-8.5167781103336324E-2</v>
      </c>
      <c r="AI161" s="530">
        <f t="shared" si="147"/>
        <v>-6.4351907940599987E-2</v>
      </c>
      <c r="AJ161" s="529">
        <f t="shared" si="147"/>
        <v>-6.9813667564809515E-2</v>
      </c>
      <c r="AK161" s="530">
        <f t="shared" si="147"/>
        <v>-9.9563509182555451E-2</v>
      </c>
      <c r="AL161" s="530">
        <f t="shared" si="147"/>
        <v>-7.3051073060461685E-2</v>
      </c>
      <c r="AM161" s="530">
        <f t="shared" si="147"/>
        <v>-0.11264821705782767</v>
      </c>
      <c r="AN161" s="530">
        <f t="shared" si="147"/>
        <v>-0.12055346577251111</v>
      </c>
      <c r="AO161" s="529">
        <f t="shared" si="147"/>
        <v>-0.10188837431386696</v>
      </c>
      <c r="AP161" s="530">
        <f t="shared" si="147"/>
        <v>-0.11247249537888031</v>
      </c>
      <c r="AQ161" s="530">
        <f t="shared" si="147"/>
        <v>6.9691256383761613E-2</v>
      </c>
      <c r="AR161" s="530">
        <f t="shared" si="147"/>
        <v>5.7780949429233057E-2</v>
      </c>
      <c r="AS161" s="530">
        <f t="shared" si="147"/>
        <v>2.7395554872698499E-2</v>
      </c>
      <c r="AT161" s="529">
        <f t="shared" si="147"/>
        <v>2.5475081363542412E-2</v>
      </c>
      <c r="AU161" s="530">
        <f t="shared" si="147"/>
        <v>7.574942818412438E-3</v>
      </c>
      <c r="AV161" s="530">
        <f t="shared" si="147"/>
        <v>3.7641544307302065E-2</v>
      </c>
      <c r="AW161" s="530">
        <f t="shared" si="147"/>
        <v>-2.2363391169026903E-2</v>
      </c>
      <c r="AX161" s="530">
        <f t="shared" si="147"/>
        <v>-6.0263431672506258E-2</v>
      </c>
      <c r="AY161" s="529">
        <f t="shared" si="147"/>
        <v>-6.85730960023344E-3</v>
      </c>
      <c r="AZ161" s="530">
        <f t="shared" si="147"/>
        <v>-0.10357500835282325</v>
      </c>
      <c r="BA161" s="530">
        <f t="shared" si="147"/>
        <v>-0.11327649208282582</v>
      </c>
      <c r="BB161" s="530">
        <f t="shared" si="147"/>
        <v>-0.13098591549295774</v>
      </c>
      <c r="BC161" s="530">
        <f t="shared" si="147"/>
        <v>-0.10641728474685586</v>
      </c>
      <c r="BD161" s="529">
        <f t="shared" si="147"/>
        <v>-0.11327549517105909</v>
      </c>
      <c r="BE161" s="530">
        <f t="shared" si="147"/>
        <v>-0.12509012256669069</v>
      </c>
      <c r="BF161" s="530">
        <f t="shared" si="147"/>
        <v>-4.4780826237779882E-2</v>
      </c>
      <c r="BG161" s="530">
        <f t="shared" si="147"/>
        <v>-5.1630434782608696E-2</v>
      </c>
      <c r="BH161" s="530">
        <f t="shared" si="147"/>
        <v>-5.5234425176621707E-2</v>
      </c>
      <c r="BI161" s="529">
        <f t="shared" si="147"/>
        <v>-6.7733066733316666E-2</v>
      </c>
      <c r="BJ161" s="1260">
        <f>BJ238/BJ227</f>
        <v>-8.611212898497618E-2</v>
      </c>
      <c r="BK161" s="530">
        <f t="shared" si="147"/>
        <v>-6.1465468306527903E-2</v>
      </c>
      <c r="BL161" s="530">
        <f t="shared" si="147"/>
        <v>-4.9630434782608646E-2</v>
      </c>
      <c r="BM161" s="530">
        <f t="shared" si="147"/>
        <v>-5.3234425176621719E-2</v>
      </c>
      <c r="BN161" s="529">
        <f t="shared" si="147"/>
        <v>-6.1952906208313785E-2</v>
      </c>
      <c r="BO161" s="530">
        <f t="shared" si="147"/>
        <v>-3.5163796262367208E-2</v>
      </c>
      <c r="BP161" s="530">
        <f t="shared" si="147"/>
        <v>-5.9465468306527901E-2</v>
      </c>
      <c r="BQ161" s="530">
        <f t="shared" ref="BQ161:BX161" si="148">BQ238/BQ227</f>
        <v>-4.7630434782608699E-2</v>
      </c>
      <c r="BR161" s="530">
        <f t="shared" si="148"/>
        <v>-5.1234425176621655E-2</v>
      </c>
      <c r="BS161" s="529">
        <f t="shared" si="148"/>
        <v>-4.8907851239017822E-2</v>
      </c>
      <c r="BT161" s="529">
        <f t="shared" si="148"/>
        <v>-3.1907851239017931E-2</v>
      </c>
      <c r="BU161" s="529">
        <f t="shared" si="148"/>
        <v>-1.4907851239017814E-2</v>
      </c>
      <c r="BV161" s="529">
        <f t="shared" si="148"/>
        <v>2.092148760982192E-3</v>
      </c>
      <c r="BW161" s="161"/>
    </row>
    <row r="162" spans="1:75" hidden="1" outlineLevel="1" x14ac:dyDescent="0.5">
      <c r="A162" s="1441" t="s">
        <v>2286</v>
      </c>
      <c r="B162" s="1463"/>
      <c r="C162" s="180"/>
      <c r="D162" s="180"/>
      <c r="E162" s="1465">
        <f t="shared" ref="E162:BP162" si="149">E239/E227</f>
        <v>-2.330013762815656E-2</v>
      </c>
      <c r="F162" s="1465">
        <f t="shared" si="149"/>
        <v>-3.5595679402623516E-2</v>
      </c>
      <c r="G162" s="1466">
        <f t="shared" si="149"/>
        <v>-3.0172773326067305E-2</v>
      </c>
      <c r="H162" s="1466">
        <f t="shared" si="149"/>
        <v>-1.2474370258190344E-2</v>
      </c>
      <c r="I162" s="1466">
        <f t="shared" si="149"/>
        <v>-1.5465524942899832E-2</v>
      </c>
      <c r="J162" s="1466">
        <f t="shared" si="149"/>
        <v>-1.4851032563242158E-2</v>
      </c>
      <c r="K162" s="1465">
        <f t="shared" si="149"/>
        <v>-1.7490989176092417E-2</v>
      </c>
      <c r="L162" s="1466">
        <f t="shared" si="149"/>
        <v>-0.10102006766963155</v>
      </c>
      <c r="M162" s="1466">
        <f t="shared" si="149"/>
        <v>-7.8751138144511318E-2</v>
      </c>
      <c r="N162" s="1466">
        <f t="shared" si="149"/>
        <v>-7.0984092234107121E-2</v>
      </c>
      <c r="O162" s="1466">
        <f t="shared" si="149"/>
        <v>-0.17742444673399907</v>
      </c>
      <c r="P162" s="1465">
        <f t="shared" si="149"/>
        <v>-0.1120466188660534</v>
      </c>
      <c r="Q162" s="1466">
        <f t="shared" si="149"/>
        <v>-6.4203256113165227E-2</v>
      </c>
      <c r="R162" s="1466">
        <f t="shared" si="149"/>
        <v>-3.9599228879597811E-2</v>
      </c>
      <c r="S162" s="1466">
        <f t="shared" si="149"/>
        <v>-3.1376899921208457E-2</v>
      </c>
      <c r="T162" s="1466">
        <f t="shared" si="149"/>
        <v>-2.1619648819259481E-2</v>
      </c>
      <c r="U162" s="1465">
        <f t="shared" si="149"/>
        <v>-3.6157403600628385E-2</v>
      </c>
      <c r="V162" s="1466">
        <f t="shared" si="149"/>
        <v>-5.6344567724808385E-2</v>
      </c>
      <c r="W162" s="1466">
        <f t="shared" si="149"/>
        <v>-6.1924343777321422E-2</v>
      </c>
      <c r="X162" s="1466">
        <f t="shared" si="149"/>
        <v>-7.152433185339957E-2</v>
      </c>
      <c r="Y162" s="1466">
        <f t="shared" si="149"/>
        <v>-4.4444263878548711E-2</v>
      </c>
      <c r="Z162" s="1465">
        <f t="shared" si="149"/>
        <v>-5.8046184430060661E-2</v>
      </c>
      <c r="AA162" s="1466">
        <f t="shared" si="149"/>
        <v>-5.8497645252777515E-2</v>
      </c>
      <c r="AB162" s="1466">
        <f t="shared" si="149"/>
        <v>-3.3443291036428506E-2</v>
      </c>
      <c r="AC162" s="1466">
        <f t="shared" si="149"/>
        <v>-6.1723521488101243E-2</v>
      </c>
      <c r="AD162" s="1466">
        <f t="shared" si="149"/>
        <v>-4.7072443947808448E-2</v>
      </c>
      <c r="AE162" s="1465">
        <f t="shared" si="149"/>
        <v>-4.987465300541518E-2</v>
      </c>
      <c r="AF162" s="1466">
        <f t="shared" si="149"/>
        <v>-7.3396906148323365E-2</v>
      </c>
      <c r="AG162" s="1466">
        <f t="shared" si="149"/>
        <v>-5.7597737147607339E-2</v>
      </c>
      <c r="AH162" s="1466">
        <f t="shared" si="149"/>
        <v>-8.5167781103336324E-2</v>
      </c>
      <c r="AI162" s="1466">
        <f t="shared" si="149"/>
        <v>-6.4351907940599987E-2</v>
      </c>
      <c r="AJ162" s="1465">
        <f t="shared" si="149"/>
        <v>-6.9813667564809515E-2</v>
      </c>
      <c r="AK162" s="1466">
        <f t="shared" si="149"/>
        <v>-9.9563509182555451E-2</v>
      </c>
      <c r="AL162" s="1466">
        <f t="shared" si="149"/>
        <v>-7.3051073060461685E-2</v>
      </c>
      <c r="AM162" s="1466">
        <f t="shared" si="149"/>
        <v>-0.11264821705782767</v>
      </c>
      <c r="AN162" s="1466">
        <f t="shared" si="149"/>
        <v>-0.12055346577251111</v>
      </c>
      <c r="AO162" s="1465">
        <f t="shared" si="149"/>
        <v>-0.10188837431386696</v>
      </c>
      <c r="AP162" s="1466">
        <f t="shared" si="149"/>
        <v>-0.11247249537888031</v>
      </c>
      <c r="AQ162" s="1466">
        <f t="shared" si="149"/>
        <v>6.9691256383761613E-2</v>
      </c>
      <c r="AR162" s="1466">
        <f t="shared" si="149"/>
        <v>5.7780949429233057E-2</v>
      </c>
      <c r="AS162" s="1466">
        <f t="shared" si="149"/>
        <v>2.7395554872698499E-2</v>
      </c>
      <c r="AT162" s="1465">
        <f t="shared" si="149"/>
        <v>2.5475081363542412E-2</v>
      </c>
      <c r="AU162" s="1466">
        <f t="shared" si="149"/>
        <v>7.574942818412438E-3</v>
      </c>
      <c r="AV162" s="1466">
        <f t="shared" si="149"/>
        <v>3.7641544307302065E-2</v>
      </c>
      <c r="AW162" s="1466">
        <f t="shared" si="149"/>
        <v>-2.2363391169026903E-2</v>
      </c>
      <c r="AX162" s="1466">
        <f t="shared" si="149"/>
        <v>-6.0263431672506258E-2</v>
      </c>
      <c r="AY162" s="1465">
        <f t="shared" si="149"/>
        <v>-6.85730960023344E-3</v>
      </c>
      <c r="AZ162" s="1466">
        <f t="shared" si="149"/>
        <v>-0.10357500835282325</v>
      </c>
      <c r="BA162" s="1466">
        <f t="shared" si="149"/>
        <v>-0.11327649208282582</v>
      </c>
      <c r="BB162" s="1466">
        <f t="shared" si="149"/>
        <v>-0.13098591549295774</v>
      </c>
      <c r="BC162" s="1466">
        <f t="shared" si="149"/>
        <v>-0.10641728474685586</v>
      </c>
      <c r="BD162" s="1465">
        <f t="shared" si="149"/>
        <v>-0.11327549517105909</v>
      </c>
      <c r="BE162" s="1466">
        <f t="shared" si="149"/>
        <v>-0.12509012256669069</v>
      </c>
      <c r="BF162" s="1466">
        <f t="shared" si="149"/>
        <v>-4.4780826237779882E-2</v>
      </c>
      <c r="BG162" s="1466">
        <f t="shared" si="149"/>
        <v>-5.1630434782608696E-2</v>
      </c>
      <c r="BH162" s="1466">
        <f t="shared" si="149"/>
        <v>-5.5234425176621707E-2</v>
      </c>
      <c r="BI162" s="1465">
        <f t="shared" si="149"/>
        <v>-6.7733066733316666E-2</v>
      </c>
      <c r="BJ162" s="1467">
        <f>BJ239/BJ227</f>
        <v>-8.611212898497618E-2</v>
      </c>
      <c r="BK162" s="183">
        <f t="shared" si="149"/>
        <v>-6.1465468306527903E-2</v>
      </c>
      <c r="BL162" s="183">
        <f t="shared" si="149"/>
        <v>-4.9630434782608646E-2</v>
      </c>
      <c r="BM162" s="183">
        <f t="shared" si="149"/>
        <v>-5.3234425176621719E-2</v>
      </c>
      <c r="BN162" s="180">
        <f t="shared" si="149"/>
        <v>-6.1952906208313709E-2</v>
      </c>
      <c r="BO162" s="183">
        <f t="shared" si="149"/>
        <v>-3.5163796262367208E-2</v>
      </c>
      <c r="BP162" s="183">
        <f t="shared" si="149"/>
        <v>-5.9465468306527901E-2</v>
      </c>
      <c r="BQ162" s="183">
        <f t="shared" ref="BQ162:BX162" si="150">BQ239/BQ227</f>
        <v>-4.7630434782608699E-2</v>
      </c>
      <c r="BR162" s="183">
        <f t="shared" si="150"/>
        <v>-5.1234425176621655E-2</v>
      </c>
      <c r="BS162" s="180">
        <f t="shared" si="150"/>
        <v>-4.8907851239017808E-2</v>
      </c>
      <c r="BT162" s="180">
        <f t="shared" si="150"/>
        <v>-3.1907851239017931E-2</v>
      </c>
      <c r="BU162" s="180">
        <f t="shared" si="150"/>
        <v>-1.4907851239017814E-2</v>
      </c>
      <c r="BV162" s="180">
        <f t="shared" si="150"/>
        <v>2.092148760982192E-3</v>
      </c>
      <c r="BW162" s="161"/>
    </row>
    <row r="163" spans="1:75" hidden="1" outlineLevel="1" x14ac:dyDescent="0.5">
      <c r="A163" s="564" t="s">
        <v>200</v>
      </c>
      <c r="B163" s="1412"/>
      <c r="C163" s="172"/>
      <c r="D163" s="172"/>
      <c r="E163" s="172"/>
      <c r="F163" s="172"/>
      <c r="G163" s="175"/>
      <c r="H163" s="175"/>
      <c r="I163" s="175"/>
      <c r="J163" s="175"/>
      <c r="K163" s="172"/>
      <c r="L163" s="175"/>
      <c r="M163" s="175"/>
      <c r="N163" s="175"/>
      <c r="O163" s="175"/>
      <c r="P163" s="172"/>
      <c r="Q163" s="175"/>
      <c r="R163" s="175"/>
      <c r="S163" s="175"/>
      <c r="T163" s="175"/>
      <c r="U163" s="172"/>
      <c r="V163" s="175"/>
      <c r="W163" s="175"/>
      <c r="X163" s="175"/>
      <c r="Y163" s="175"/>
      <c r="Z163" s="172"/>
      <c r="AA163" s="175"/>
      <c r="AB163" s="175"/>
      <c r="AC163" s="175"/>
      <c r="AD163" s="175"/>
      <c r="AE163" s="172"/>
      <c r="AF163" s="175"/>
      <c r="AG163" s="175"/>
      <c r="AH163" s="175"/>
      <c r="AI163" s="175"/>
      <c r="AJ163" s="172"/>
      <c r="AK163" s="175"/>
      <c r="AL163" s="175"/>
      <c r="AM163" s="175"/>
      <c r="AN163" s="175"/>
      <c r="AO163" s="172"/>
      <c r="AP163" s="175"/>
      <c r="AQ163" s="175"/>
      <c r="AR163" s="175"/>
      <c r="AS163" s="175"/>
      <c r="AT163" s="172"/>
      <c r="AU163" s="175"/>
      <c r="AV163" s="175"/>
      <c r="AW163" s="175"/>
      <c r="AX163" s="175"/>
      <c r="AY163" s="172"/>
      <c r="AZ163" s="175"/>
      <c r="BA163" s="175"/>
      <c r="BB163" s="175"/>
      <c r="BC163" s="175"/>
      <c r="BD163" s="172"/>
      <c r="BE163" s="175"/>
      <c r="BF163" s="175"/>
      <c r="BG163" s="175"/>
      <c r="BH163" s="175"/>
      <c r="BI163" s="172"/>
      <c r="BJ163" s="1111"/>
      <c r="BK163" s="175">
        <f ca="1">IFERROR(BK240/BK228,0)</f>
        <v>0</v>
      </c>
      <c r="BL163" s="175">
        <f ca="1">IFERROR(BL240/BL228,0)</f>
        <v>0</v>
      </c>
      <c r="BM163" s="175">
        <f ca="1">IFERROR(BM240/BM228,0)</f>
        <v>0</v>
      </c>
      <c r="BN163" s="172">
        <f t="shared" ref="BN163:BV163" ca="1" si="151">IFERROR(BN240/BN228,0)</f>
        <v>0</v>
      </c>
      <c r="BO163" s="175">
        <f t="shared" ca="1" si="151"/>
        <v>0</v>
      </c>
      <c r="BP163" s="175">
        <f t="shared" ca="1" si="151"/>
        <v>0</v>
      </c>
      <c r="BQ163" s="175">
        <f t="shared" ca="1" si="151"/>
        <v>0</v>
      </c>
      <c r="BR163" s="175">
        <f t="shared" ca="1" si="151"/>
        <v>0</v>
      </c>
      <c r="BS163" s="172">
        <f t="shared" ca="1" si="151"/>
        <v>0</v>
      </c>
      <c r="BT163" s="172">
        <f t="shared" ca="1" si="151"/>
        <v>0</v>
      </c>
      <c r="BU163" s="172">
        <f t="shared" ca="1" si="151"/>
        <v>0</v>
      </c>
      <c r="BV163" s="172">
        <f t="shared" ca="1" si="151"/>
        <v>0</v>
      </c>
      <c r="BW163" s="161"/>
    </row>
    <row r="164" spans="1:75" hidden="1" outlineLevel="1" x14ac:dyDescent="0.5">
      <c r="A164" s="178"/>
      <c r="B164" s="1463"/>
      <c r="C164" s="180"/>
      <c r="D164" s="180"/>
      <c r="E164" s="180"/>
      <c r="F164" s="180"/>
      <c r="G164" s="183"/>
      <c r="H164" s="183"/>
      <c r="I164" s="183"/>
      <c r="J164" s="183"/>
      <c r="K164" s="180"/>
      <c r="L164" s="183"/>
      <c r="M164" s="183"/>
      <c r="N164" s="183"/>
      <c r="O164" s="183"/>
      <c r="P164" s="180"/>
      <c r="Q164" s="183"/>
      <c r="R164" s="183"/>
      <c r="S164" s="183"/>
      <c r="T164" s="183"/>
      <c r="U164" s="180"/>
      <c r="V164" s="183"/>
      <c r="W164" s="183"/>
      <c r="X164" s="183"/>
      <c r="Y164" s="183"/>
      <c r="Z164" s="180"/>
      <c r="AA164" s="183"/>
      <c r="AB164" s="183"/>
      <c r="AC164" s="183"/>
      <c r="AD164" s="183"/>
      <c r="AE164" s="180"/>
      <c r="AF164" s="183"/>
      <c r="AG164" s="183"/>
      <c r="AH164" s="183"/>
      <c r="AI164" s="183"/>
      <c r="AJ164" s="180"/>
      <c r="AK164" s="183"/>
      <c r="AL164" s="183"/>
      <c r="AM164" s="183"/>
      <c r="AN164" s="183"/>
      <c r="AO164" s="180"/>
      <c r="AP164" s="183"/>
      <c r="AQ164" s="183"/>
      <c r="AR164" s="183"/>
      <c r="AS164" s="183"/>
      <c r="AT164" s="180"/>
      <c r="AU164" s="183"/>
      <c r="AV164" s="183"/>
      <c r="AW164" s="183"/>
      <c r="AX164" s="183"/>
      <c r="AY164" s="180"/>
      <c r="AZ164" s="183"/>
      <c r="BA164" s="183"/>
      <c r="BB164" s="183"/>
      <c r="BC164" s="183"/>
      <c r="BD164" s="180"/>
      <c r="BE164" s="183"/>
      <c r="BF164" s="183"/>
      <c r="BG164" s="183"/>
      <c r="BH164" s="183"/>
      <c r="BI164" s="180"/>
      <c r="BJ164" s="1112"/>
      <c r="BK164" s="183"/>
      <c r="BL164" s="183"/>
      <c r="BM164" s="183"/>
      <c r="BN164" s="180"/>
      <c r="BO164" s="183"/>
      <c r="BP164" s="183"/>
      <c r="BQ164" s="183"/>
      <c r="BR164" s="183"/>
      <c r="BS164" s="180"/>
      <c r="BT164" s="180"/>
      <c r="BU164" s="180"/>
      <c r="BV164" s="180"/>
      <c r="BW164" s="161"/>
    </row>
    <row r="165" spans="1:75" hidden="1" outlineLevel="1" x14ac:dyDescent="0.5">
      <c r="A165" s="599" t="s">
        <v>1040</v>
      </c>
      <c r="B165" s="1414"/>
      <c r="C165" s="213"/>
      <c r="D165" s="213"/>
      <c r="E165" s="213"/>
      <c r="F165" s="914">
        <f t="shared" ref="F165:BQ165" si="152">F242/F227</f>
        <v>1.5531722315765656E-2</v>
      </c>
      <c r="G165" s="1241">
        <f t="shared" si="152"/>
        <v>1.60372794457018E-2</v>
      </c>
      <c r="H165" s="1241">
        <f t="shared" si="152"/>
        <v>1.4647674024103023E-2</v>
      </c>
      <c r="I165" s="1241">
        <f t="shared" si="152"/>
        <v>1.4702783794489721E-2</v>
      </c>
      <c r="J165" s="1241">
        <f t="shared" si="152"/>
        <v>1.2660285169622086E-2</v>
      </c>
      <c r="K165" s="914">
        <f t="shared" si="152"/>
        <v>1.4293934659106418E-2</v>
      </c>
      <c r="L165" s="1241">
        <f t="shared" si="152"/>
        <v>1.506241321531214E-2</v>
      </c>
      <c r="M165" s="1241">
        <f t="shared" si="152"/>
        <v>1.5884943321249536E-2</v>
      </c>
      <c r="N165" s="1241">
        <f t="shared" si="152"/>
        <v>1.6499696598331889E-2</v>
      </c>
      <c r="O165" s="1241">
        <f t="shared" si="152"/>
        <v>1.8513578663742994E-2</v>
      </c>
      <c r="P165" s="914">
        <f t="shared" si="152"/>
        <v>1.6682196685092927E-2</v>
      </c>
      <c r="Q165" s="1241">
        <f t="shared" si="152"/>
        <v>1.5891755091653293E-2</v>
      </c>
      <c r="R165" s="1241">
        <f t="shared" si="152"/>
        <v>1.5048235696041908E-2</v>
      </c>
      <c r="S165" s="1241">
        <f t="shared" si="152"/>
        <v>1.5500730674173192E-2</v>
      </c>
      <c r="T165" s="1241">
        <f t="shared" si="152"/>
        <v>1.2294029386717852E-2</v>
      </c>
      <c r="U165" s="914">
        <f t="shared" si="152"/>
        <v>1.4421181527055824E-2</v>
      </c>
      <c r="V165" s="1241">
        <f t="shared" si="152"/>
        <v>1.4032284825810735E-2</v>
      </c>
      <c r="W165" s="1241">
        <f t="shared" si="152"/>
        <v>1.5983673220421692E-2</v>
      </c>
      <c r="X165" s="1241">
        <f t="shared" si="152"/>
        <v>1.7948405443835056E-2</v>
      </c>
      <c r="Y165" s="1241">
        <f t="shared" si="152"/>
        <v>1.7311303842634119E-2</v>
      </c>
      <c r="Z165" s="914">
        <f t="shared" si="152"/>
        <v>1.6439669147664746E-2</v>
      </c>
      <c r="AA165" s="1241">
        <f t="shared" si="152"/>
        <v>2.1181796893294823E-2</v>
      </c>
      <c r="AB165" s="1241">
        <f t="shared" si="152"/>
        <v>1.7208796141268336E-2</v>
      </c>
      <c r="AC165" s="1241">
        <f t="shared" si="152"/>
        <v>1.9122882862431752E-2</v>
      </c>
      <c r="AD165" s="1241">
        <f t="shared" si="152"/>
        <v>1.697826848346369E-2</v>
      </c>
      <c r="AE165" s="914">
        <f t="shared" si="152"/>
        <v>1.8432945447844105E-2</v>
      </c>
      <c r="AF165" s="1241">
        <f t="shared" si="152"/>
        <v>1.8487910792020616E-2</v>
      </c>
      <c r="AG165" s="1241">
        <f t="shared" si="152"/>
        <v>1.7471617683306993E-2</v>
      </c>
      <c r="AH165" s="1241">
        <f t="shared" si="152"/>
        <v>1.9080172017037544E-2</v>
      </c>
      <c r="AI165" s="1241">
        <f t="shared" si="152"/>
        <v>1.7932437075596674E-2</v>
      </c>
      <c r="AJ165" s="914">
        <f t="shared" si="152"/>
        <v>1.8223754103376018E-2</v>
      </c>
      <c r="AK165" s="1241">
        <f t="shared" si="152"/>
        <v>2.0352946197326346E-2</v>
      </c>
      <c r="AL165" s="1241">
        <f t="shared" si="152"/>
        <v>1.8922001953695953E-2</v>
      </c>
      <c r="AM165" s="1241">
        <f t="shared" si="152"/>
        <v>2.1795828820548542E-2</v>
      </c>
      <c r="AN165" s="1241">
        <f t="shared" si="152"/>
        <v>2.2990815041701369E-2</v>
      </c>
      <c r="AO165" s="914">
        <f t="shared" si="152"/>
        <v>2.1082261237110714E-2</v>
      </c>
      <c r="AP165" s="1241">
        <f t="shared" si="152"/>
        <v>2.8687207169934892E-2</v>
      </c>
      <c r="AQ165" s="1241">
        <f t="shared" si="152"/>
        <v>1.6055578682882227E-2</v>
      </c>
      <c r="AR165" s="1241">
        <f t="shared" si="152"/>
        <v>1.8901856197438779E-2</v>
      </c>
      <c r="AS165" s="1241">
        <f t="shared" si="152"/>
        <v>2.1024825033759201E-2</v>
      </c>
      <c r="AT165" s="914">
        <f t="shared" si="152"/>
        <v>2.0198504703659685E-2</v>
      </c>
      <c r="AU165" s="1241">
        <f t="shared" si="152"/>
        <v>2.3094632436122545E-2</v>
      </c>
      <c r="AV165" s="1241">
        <f t="shared" si="152"/>
        <v>2.0200247509737854E-2</v>
      </c>
      <c r="AW165" s="1241">
        <f t="shared" si="152"/>
        <v>2.6246338210166149E-2</v>
      </c>
      <c r="AX165" s="1241">
        <f t="shared" si="152"/>
        <v>2.5169653601281525E-2</v>
      </c>
      <c r="AY165" s="914">
        <f t="shared" si="152"/>
        <v>2.3489932885906041E-2</v>
      </c>
      <c r="AZ165" s="1241">
        <f t="shared" si="152"/>
        <v>2.8399599064483794E-2</v>
      </c>
      <c r="BA165" s="1241">
        <f t="shared" si="152"/>
        <v>2.7710109622411692E-2</v>
      </c>
      <c r="BB165" s="1241">
        <f t="shared" si="152"/>
        <v>3.3098591549295772E-2</v>
      </c>
      <c r="BC165" s="1241">
        <f t="shared" si="152"/>
        <v>3.2570138664946791E-2</v>
      </c>
      <c r="BD165" s="914">
        <f t="shared" si="152"/>
        <v>3.0365035193976101E-2</v>
      </c>
      <c r="BE165" s="1241">
        <f t="shared" si="152"/>
        <v>3.7490987743330928E-2</v>
      </c>
      <c r="BF165" s="1241">
        <f t="shared" si="152"/>
        <v>3.2166508987701042E-2</v>
      </c>
      <c r="BG165" s="1241">
        <f t="shared" si="152"/>
        <v>3.6005434782608696E-2</v>
      </c>
      <c r="BH165" s="1241">
        <f t="shared" si="152"/>
        <v>3.3718689788053952E-2</v>
      </c>
      <c r="BI165" s="914">
        <f t="shared" si="152"/>
        <v>3.4741314671332166E-2</v>
      </c>
      <c r="BJ165" s="1468">
        <f>BJ242/BJ227</f>
        <v>3.8109197508244777E-2</v>
      </c>
      <c r="BK165" s="214">
        <f t="shared" si="152"/>
        <v>3.2655785652035543E-2</v>
      </c>
      <c r="BL165" s="214">
        <f t="shared" si="152"/>
        <v>3.2639262778359088E-2</v>
      </c>
      <c r="BM165" s="214">
        <f t="shared" si="152"/>
        <v>3.0737310398857541E-2</v>
      </c>
      <c r="BN165" s="213">
        <f t="shared" si="152"/>
        <v>3.3380996107081798E-2</v>
      </c>
      <c r="BO165" s="214">
        <f t="shared" si="152"/>
        <v>3.279142062527951E-2</v>
      </c>
      <c r="BP165" s="214">
        <f t="shared" si="152"/>
        <v>2.8111909378643333E-2</v>
      </c>
      <c r="BQ165" s="214">
        <f t="shared" si="152"/>
        <v>3.0559156481617538E-2</v>
      </c>
      <c r="BR165" s="214">
        <f t="shared" ref="BR165:BY165" si="153">BR242/BR227</f>
        <v>2.8804253165970132E-2</v>
      </c>
      <c r="BS165" s="213">
        <f t="shared" si="153"/>
        <v>2.9953227183677517E-2</v>
      </c>
      <c r="BT165" s="213">
        <f t="shared" si="153"/>
        <v>2.8356245858109086E-2</v>
      </c>
      <c r="BU165" s="213">
        <f t="shared" si="153"/>
        <v>2.6053831137641252E-2</v>
      </c>
      <c r="BV165" s="213">
        <f t="shared" si="153"/>
        <v>2.4149007928347135E-2</v>
      </c>
      <c r="BW165" s="161"/>
    </row>
    <row r="166" spans="1:75" hidden="1" outlineLevel="1" x14ac:dyDescent="0.5">
      <c r="A166" s="599" t="s">
        <v>1042</v>
      </c>
      <c r="B166" s="1414"/>
      <c r="C166" s="213"/>
      <c r="D166" s="213"/>
      <c r="E166" s="213"/>
      <c r="F166" s="914">
        <f t="shared" ref="F166:BQ166" si="154">F243/F227</f>
        <v>0</v>
      </c>
      <c r="G166" s="1241">
        <f t="shared" si="154"/>
        <v>0</v>
      </c>
      <c r="H166" s="1241">
        <f t="shared" si="154"/>
        <v>0</v>
      </c>
      <c r="I166" s="1241">
        <f t="shared" si="154"/>
        <v>0</v>
      </c>
      <c r="J166" s="1241">
        <f t="shared" si="154"/>
        <v>0</v>
      </c>
      <c r="K166" s="914">
        <f t="shared" si="154"/>
        <v>0</v>
      </c>
      <c r="L166" s="1241">
        <f t="shared" si="154"/>
        <v>1.6339740300745947E-2</v>
      </c>
      <c r="M166" s="1241">
        <f t="shared" si="154"/>
        <v>3.2968111644783803E-3</v>
      </c>
      <c r="N166" s="1241">
        <f t="shared" si="154"/>
        <v>0</v>
      </c>
      <c r="O166" s="1241">
        <f t="shared" si="154"/>
        <v>0.13528739485926988</v>
      </c>
      <c r="P166" s="914">
        <f t="shared" si="154"/>
        <v>4.6104063001582318E-2</v>
      </c>
      <c r="Q166" s="1241">
        <f t="shared" si="154"/>
        <v>1.8007828056111282E-2</v>
      </c>
      <c r="R166" s="1241">
        <f t="shared" si="154"/>
        <v>1.3405131041663276E-2</v>
      </c>
      <c r="S166" s="1241">
        <f t="shared" si="154"/>
        <v>1.2638642898991871E-2</v>
      </c>
      <c r="T166" s="1241">
        <f t="shared" si="154"/>
        <v>1.253598994309196E-2</v>
      </c>
      <c r="U166" s="914">
        <f t="shared" si="154"/>
        <v>1.3785149018727624E-2</v>
      </c>
      <c r="V166" s="1241">
        <f t="shared" si="154"/>
        <v>1.2999298854081366E-2</v>
      </c>
      <c r="W166" s="1241">
        <f t="shared" si="154"/>
        <v>1.365690380822642E-2</v>
      </c>
      <c r="X166" s="1241">
        <f t="shared" si="154"/>
        <v>1.7092945648704335E-2</v>
      </c>
      <c r="Y166" s="1241">
        <f t="shared" si="154"/>
        <v>1.4436920489274892E-2</v>
      </c>
      <c r="Z166" s="914">
        <f t="shared" si="154"/>
        <v>1.4614419765942089E-2</v>
      </c>
      <c r="AA166" s="1241">
        <f t="shared" si="154"/>
        <v>1.4184685036296931E-2</v>
      </c>
      <c r="AB166" s="1241">
        <f t="shared" si="154"/>
        <v>1.3210064335943345E-2</v>
      </c>
      <c r="AC166" s="1241">
        <f t="shared" si="154"/>
        <v>1.5254573951884414E-2</v>
      </c>
      <c r="AD166" s="1241">
        <f t="shared" si="154"/>
        <v>1.466279735597102E-2</v>
      </c>
      <c r="AE166" s="914">
        <f t="shared" si="154"/>
        <v>1.4370156506340428E-2</v>
      </c>
      <c r="AF166" s="1241">
        <f t="shared" si="154"/>
        <v>1.7375588295404937E-2</v>
      </c>
      <c r="AG166" s="1241">
        <f t="shared" si="154"/>
        <v>1.8011111272214088E-2</v>
      </c>
      <c r="AH166" s="1241">
        <f t="shared" si="154"/>
        <v>1.9895699280917188E-2</v>
      </c>
      <c r="AI166" s="1241">
        <f t="shared" si="154"/>
        <v>1.9570964109306633E-2</v>
      </c>
      <c r="AJ166" s="914">
        <f t="shared" si="154"/>
        <v>1.8817041722192111E-2</v>
      </c>
      <c r="AK166" s="1241">
        <f t="shared" si="154"/>
        <v>2.4197500140115149E-2</v>
      </c>
      <c r="AL166" s="1241">
        <f t="shared" si="154"/>
        <v>2.2697952545416601E-2</v>
      </c>
      <c r="AM166" s="1241">
        <f t="shared" si="154"/>
        <v>2.6791302661867106E-2</v>
      </c>
      <c r="AN166" s="1241">
        <f t="shared" si="154"/>
        <v>2.5828797429632629E-2</v>
      </c>
      <c r="AO166" s="914">
        <f t="shared" si="154"/>
        <v>2.4920519286775571E-2</v>
      </c>
      <c r="AP166" s="1241">
        <f t="shared" si="154"/>
        <v>2.5513902413797394E-2</v>
      </c>
      <c r="AQ166" s="1241">
        <f t="shared" si="154"/>
        <v>1.5711301581165769E-2</v>
      </c>
      <c r="AR166" s="1241">
        <f t="shared" si="154"/>
        <v>1.8261940790244742E-2</v>
      </c>
      <c r="AS166" s="1241">
        <f t="shared" si="154"/>
        <v>2.152334703860222E-2</v>
      </c>
      <c r="AT166" s="914">
        <f t="shared" si="154"/>
        <v>1.9526684612032559E-2</v>
      </c>
      <c r="AU166" s="1241">
        <f t="shared" si="154"/>
        <v>2.1430226960723137E-2</v>
      </c>
      <c r="AV166" s="1241">
        <f t="shared" si="154"/>
        <v>2.0571978724738999E-2</v>
      </c>
      <c r="AW166" s="1241">
        <f t="shared" si="154"/>
        <v>2.6654209452295883E-2</v>
      </c>
      <c r="AX166" s="1241">
        <f t="shared" si="154"/>
        <v>3.288267661980096E-2</v>
      </c>
      <c r="AY166" s="914">
        <f t="shared" si="154"/>
        <v>2.5094835132769187E-2</v>
      </c>
      <c r="AZ166" s="1241">
        <f t="shared" si="154"/>
        <v>3.4747744737721346E-2</v>
      </c>
      <c r="BA166" s="1241">
        <f t="shared" si="154"/>
        <v>3.9281364190012179E-2</v>
      </c>
      <c r="BB166" s="1241">
        <f t="shared" si="154"/>
        <v>4.2957746478873238E-2</v>
      </c>
      <c r="BC166" s="1241">
        <f t="shared" si="154"/>
        <v>5.0951306030312803E-2</v>
      </c>
      <c r="BD166" s="914">
        <f t="shared" si="154"/>
        <v>4.1987231952856439E-2</v>
      </c>
      <c r="BE166" s="1241">
        <f t="shared" si="154"/>
        <v>5.1910598413842823E-2</v>
      </c>
      <c r="BF166" s="1241">
        <f t="shared" si="154"/>
        <v>5.1718700725323245E-2</v>
      </c>
      <c r="BG166" s="1241">
        <f t="shared" si="154"/>
        <v>4.721467391304348E-2</v>
      </c>
      <c r="BH166" s="1241">
        <f t="shared" si="154"/>
        <v>5.073859987154785E-2</v>
      </c>
      <c r="BI166" s="914">
        <f t="shared" si="154"/>
        <v>5.0404065650254105E-2</v>
      </c>
      <c r="BJ166" s="1468">
        <f>BJ243/BJ227</f>
        <v>4.3605716379626236E-2</v>
      </c>
      <c r="BK166" s="214">
        <f t="shared" si="154"/>
        <v>3.4000000000000002E-2</v>
      </c>
      <c r="BL166" s="214">
        <f t="shared" si="154"/>
        <v>3.4000000000000002E-2</v>
      </c>
      <c r="BM166" s="214">
        <f t="shared" si="154"/>
        <v>3.4000000000000002E-2</v>
      </c>
      <c r="BN166" s="213">
        <f t="shared" si="154"/>
        <v>3.616750315140832E-2</v>
      </c>
      <c r="BO166" s="214">
        <f t="shared" si="154"/>
        <v>3.4000000000000002E-2</v>
      </c>
      <c r="BP166" s="214">
        <f t="shared" si="154"/>
        <v>3.4000000000000002E-2</v>
      </c>
      <c r="BQ166" s="214">
        <f t="shared" si="154"/>
        <v>3.4000000000000002E-2</v>
      </c>
      <c r="BR166" s="214">
        <f t="shared" ref="BR166:BY166" si="155">BR243/BR227</f>
        <v>3.4000000000000002E-2</v>
      </c>
      <c r="BS166" s="213">
        <f t="shared" si="155"/>
        <v>3.4000000000000002E-2</v>
      </c>
      <c r="BT166" s="213">
        <f t="shared" si="155"/>
        <v>3.4000000000000002E-2</v>
      </c>
      <c r="BU166" s="213">
        <f t="shared" si="155"/>
        <v>3.4000000000000002E-2</v>
      </c>
      <c r="BV166" s="213">
        <f t="shared" si="155"/>
        <v>3.4000000000000002E-2</v>
      </c>
      <c r="BW166" s="161"/>
    </row>
    <row r="167" spans="1:75" hidden="1" outlineLevel="1" x14ac:dyDescent="0.5">
      <c r="A167" s="606" t="s">
        <v>1043</v>
      </c>
      <c r="B167" s="1464"/>
      <c r="C167" s="529"/>
      <c r="D167" s="529"/>
      <c r="E167" s="529"/>
      <c r="F167" s="1469">
        <f t="shared" ref="F167:BQ167" si="156">F244/F227</f>
        <v>-2.0063957086857858E-2</v>
      </c>
      <c r="G167" s="1470">
        <f t="shared" si="156"/>
        <v>-1.4135493880365505E-2</v>
      </c>
      <c r="H167" s="1470">
        <f t="shared" si="156"/>
        <v>2.1733037659126785E-3</v>
      </c>
      <c r="I167" s="1470">
        <f t="shared" si="156"/>
        <v>-7.6274114841011053E-4</v>
      </c>
      <c r="J167" s="1470">
        <f t="shared" si="156"/>
        <v>-2.1907473936200721E-3</v>
      </c>
      <c r="K167" s="1469">
        <f t="shared" si="156"/>
        <v>-3.1970545169859969E-3</v>
      </c>
      <c r="L167" s="1470">
        <f t="shared" si="156"/>
        <v>-6.9617914153573462E-2</v>
      </c>
      <c r="M167" s="1470">
        <f t="shared" si="156"/>
        <v>-5.9569383658783406E-2</v>
      </c>
      <c r="N167" s="1470">
        <f t="shared" si="156"/>
        <v>-5.4484395635775236E-2</v>
      </c>
      <c r="O167" s="1470">
        <f t="shared" si="156"/>
        <v>-2.36234732109862E-2</v>
      </c>
      <c r="P167" s="1469">
        <f t="shared" si="156"/>
        <v>-4.9260359179378155E-2</v>
      </c>
      <c r="Q167" s="1470">
        <f t="shared" si="156"/>
        <v>-3.0303672965400649E-2</v>
      </c>
      <c r="R167" s="1470">
        <f t="shared" si="156"/>
        <v>-1.1145862141892629E-2</v>
      </c>
      <c r="S167" s="1470">
        <f t="shared" si="156"/>
        <v>-3.2375263480433933E-3</v>
      </c>
      <c r="T167" s="1470">
        <f t="shared" si="156"/>
        <v>3.21037051055033E-3</v>
      </c>
      <c r="U167" s="1469">
        <f t="shared" si="156"/>
        <v>-7.9510730548449336E-3</v>
      </c>
      <c r="V167" s="1470">
        <f t="shared" si="156"/>
        <v>-2.9312984044916286E-2</v>
      </c>
      <c r="W167" s="1470">
        <f t="shared" si="156"/>
        <v>-3.2283766748673302E-2</v>
      </c>
      <c r="X167" s="1470">
        <f t="shared" si="156"/>
        <v>-3.6482980760860172E-2</v>
      </c>
      <c r="Y167" s="1470">
        <f t="shared" si="156"/>
        <v>-1.26960395466397E-2</v>
      </c>
      <c r="Z167" s="1469">
        <f t="shared" si="156"/>
        <v>-2.6992095516453828E-2</v>
      </c>
      <c r="AA167" s="1470">
        <f t="shared" si="156"/>
        <v>-2.3131163323185759E-2</v>
      </c>
      <c r="AB167" s="1470">
        <f t="shared" si="156"/>
        <v>-3.0244305592168233E-3</v>
      </c>
      <c r="AC167" s="1470">
        <f t="shared" si="156"/>
        <v>-2.7346064673785076E-2</v>
      </c>
      <c r="AD167" s="1470">
        <f t="shared" si="156"/>
        <v>-1.5431378108373736E-2</v>
      </c>
      <c r="AE167" s="1469">
        <f t="shared" si="156"/>
        <v>-1.7071551051230646E-2</v>
      </c>
      <c r="AF167" s="1470">
        <f t="shared" si="156"/>
        <v>-3.7533407060897812E-2</v>
      </c>
      <c r="AG167" s="1470">
        <f t="shared" si="156"/>
        <v>-2.2115008192086262E-2</v>
      </c>
      <c r="AH167" s="1470">
        <f t="shared" si="156"/>
        <v>-4.6191909805381591E-2</v>
      </c>
      <c r="AI167" s="1470">
        <f t="shared" si="156"/>
        <v>-2.684850675569668E-2</v>
      </c>
      <c r="AJ167" s="1469">
        <f t="shared" si="156"/>
        <v>-3.2772871739241385E-2</v>
      </c>
      <c r="AK167" s="1470">
        <f t="shared" si="156"/>
        <v>-5.5013062845113959E-2</v>
      </c>
      <c r="AL167" s="1470">
        <f t="shared" si="156"/>
        <v>-3.1431118561349128E-2</v>
      </c>
      <c r="AM167" s="1470">
        <f t="shared" si="156"/>
        <v>-6.4061085575412027E-2</v>
      </c>
      <c r="AN167" s="1470">
        <f t="shared" si="156"/>
        <v>-7.1733853301177111E-2</v>
      </c>
      <c r="AO167" s="1469">
        <f t="shared" si="156"/>
        <v>-5.5885593789980689E-2</v>
      </c>
      <c r="AP167" s="1470">
        <f t="shared" si="156"/>
        <v>-5.8271385795148019E-2</v>
      </c>
      <c r="AQ167" s="1470">
        <f t="shared" si="156"/>
        <v>0.1014581366478096</v>
      </c>
      <c r="AR167" s="1470">
        <f t="shared" si="156"/>
        <v>9.4944746416916581E-2</v>
      </c>
      <c r="AS167" s="1470">
        <f t="shared" si="156"/>
        <v>6.9943726945059917E-2</v>
      </c>
      <c r="AT167" s="1469">
        <f t="shared" si="156"/>
        <v>6.5200270679234659E-2</v>
      </c>
      <c r="AU167" s="1470">
        <f t="shared" si="156"/>
        <v>5.2099802215258124E-2</v>
      </c>
      <c r="AV167" s="1470">
        <f t="shared" si="156"/>
        <v>7.8413770541778907E-2</v>
      </c>
      <c r="AW167" s="1470">
        <f t="shared" si="156"/>
        <v>3.0537156493435129E-2</v>
      </c>
      <c r="AX167" s="1470">
        <f t="shared" si="156"/>
        <v>-2.2111014514237782E-3</v>
      </c>
      <c r="AY167" s="1469">
        <f t="shared" si="156"/>
        <v>4.1727458418441783E-2</v>
      </c>
      <c r="AZ167" s="1470">
        <f t="shared" si="156"/>
        <v>-4.0427664550618109E-2</v>
      </c>
      <c r="BA167" s="1470">
        <f t="shared" si="156"/>
        <v>-4.6285018270401948E-2</v>
      </c>
      <c r="BB167" s="1470">
        <f t="shared" si="156"/>
        <v>-5.4929577464788736E-2</v>
      </c>
      <c r="BC167" s="1470">
        <f t="shared" si="156"/>
        <v>-2.2895840051596259E-2</v>
      </c>
      <c r="BD167" s="1469">
        <f t="shared" si="156"/>
        <v>-4.092322802422655E-2</v>
      </c>
      <c r="BE167" s="1470">
        <f t="shared" si="156"/>
        <v>-3.5688536409516941E-2</v>
      </c>
      <c r="BF167" s="1470">
        <f t="shared" si="156"/>
        <v>3.9104383475244406E-2</v>
      </c>
      <c r="BG167" s="1470">
        <f t="shared" si="156"/>
        <v>3.158967391304348E-2</v>
      </c>
      <c r="BH167" s="1470">
        <f t="shared" si="156"/>
        <v>2.9222864482980091E-2</v>
      </c>
      <c r="BI167" s="1469">
        <f t="shared" si="156"/>
        <v>1.7412313588269598E-2</v>
      </c>
      <c r="BJ167" s="1471">
        <f>BJ244/BJ227</f>
        <v>-4.3972150971051671E-3</v>
      </c>
      <c r="BK167" s="530">
        <f t="shared" si="156"/>
        <v>5.1903173455076406E-3</v>
      </c>
      <c r="BL167" s="530">
        <f t="shared" si="156"/>
        <v>1.7008827995750448E-2</v>
      </c>
      <c r="BM167" s="530">
        <f t="shared" si="156"/>
        <v>1.1502885222235817E-2</v>
      </c>
      <c r="BN167" s="529">
        <f t="shared" si="156"/>
        <v>7.5955930501763417E-3</v>
      </c>
      <c r="BO167" s="530">
        <f t="shared" si="156"/>
        <v>3.1627624362912311E-2</v>
      </c>
      <c r="BP167" s="530">
        <f t="shared" si="156"/>
        <v>2.6464410721154328E-3</v>
      </c>
      <c r="BQ167" s="530">
        <f t="shared" si="156"/>
        <v>1.6928721699008841E-2</v>
      </c>
      <c r="BR167" s="530">
        <f t="shared" ref="BR167:BY167" si="157">BR244/BR227</f>
        <v>1.1569827989348488E-2</v>
      </c>
      <c r="BS167" s="529">
        <f t="shared" si="157"/>
        <v>1.5045375944659697E-2</v>
      </c>
      <c r="BT167" s="529">
        <f t="shared" si="157"/>
        <v>3.0448394619091164E-2</v>
      </c>
      <c r="BU167" s="529">
        <f t="shared" si="157"/>
        <v>4.5145979898623442E-2</v>
      </c>
      <c r="BV167" s="529">
        <f t="shared" si="157"/>
        <v>6.024115668932932E-2</v>
      </c>
      <c r="BW167" s="161"/>
    </row>
    <row r="168" spans="1:75" hidden="1" outlineLevel="1" x14ac:dyDescent="0.5">
      <c r="A168" s="1472" t="s">
        <v>1044</v>
      </c>
      <c r="B168" s="1463"/>
      <c r="C168" s="180"/>
      <c r="D168" s="180"/>
      <c r="E168" s="180"/>
      <c r="F168" s="1465">
        <f t="shared" ref="F168:BQ168" si="158">F245/F227</f>
        <v>-2.0063957086857858E-2</v>
      </c>
      <c r="G168" s="1466">
        <f t="shared" si="158"/>
        <v>-1.4135493880365509E-2</v>
      </c>
      <c r="H168" s="1466">
        <f t="shared" si="158"/>
        <v>2.1733037659126772E-3</v>
      </c>
      <c r="I168" s="1466">
        <f t="shared" si="158"/>
        <v>-7.6274114841011118E-4</v>
      </c>
      <c r="J168" s="1466">
        <f t="shared" si="158"/>
        <v>-2.1907473936200717E-3</v>
      </c>
      <c r="K168" s="1465">
        <f t="shared" si="158"/>
        <v>-3.1970545169859969E-3</v>
      </c>
      <c r="L168" s="1466">
        <f t="shared" si="158"/>
        <v>-6.9617914153573476E-2</v>
      </c>
      <c r="M168" s="1466">
        <f t="shared" si="158"/>
        <v>-5.9569383658783392E-2</v>
      </c>
      <c r="N168" s="1466">
        <f t="shared" si="158"/>
        <v>-5.4484395635775222E-2</v>
      </c>
      <c r="O168" s="1466">
        <f t="shared" si="158"/>
        <v>-1.7664376840039193E-2</v>
      </c>
      <c r="P168" s="1465">
        <f t="shared" si="158"/>
        <v>-4.741419506865685E-2</v>
      </c>
      <c r="Q168" s="1466">
        <f t="shared" si="158"/>
        <v>-2.9078330046115399E-2</v>
      </c>
      <c r="R168" s="1466">
        <f t="shared" si="158"/>
        <v>-1.0110787551448666E-2</v>
      </c>
      <c r="S168" s="1466">
        <f t="shared" si="158"/>
        <v>-2.4327746089041753E-3</v>
      </c>
      <c r="T168" s="1466">
        <f t="shared" si="158"/>
        <v>3.8227064437205537E-3</v>
      </c>
      <c r="U168" s="1465">
        <f t="shared" si="158"/>
        <v>-7.0799174180012758E-3</v>
      </c>
      <c r="V168" s="1466">
        <f t="shared" si="158"/>
        <v>-2.8045836745398518E-2</v>
      </c>
      <c r="W168" s="1466">
        <f t="shared" si="158"/>
        <v>-3.1587387918589727E-2</v>
      </c>
      <c r="X168" s="1466">
        <f t="shared" si="158"/>
        <v>-3.5807434491163991E-2</v>
      </c>
      <c r="Y168" s="1466">
        <f t="shared" si="158"/>
        <v>-1.2214605727031121E-2</v>
      </c>
      <c r="Z168" s="1465">
        <f t="shared" si="158"/>
        <v>-2.6237442165923119E-2</v>
      </c>
      <c r="AA168" s="1466">
        <f t="shared" si="158"/>
        <v>-2.1747976998933161E-2</v>
      </c>
      <c r="AB168" s="1466">
        <f t="shared" si="158"/>
        <v>-2.0002564888106401E-3</v>
      </c>
      <c r="AC168" s="1466">
        <f t="shared" si="158"/>
        <v>-1.8921747490815315E-2</v>
      </c>
      <c r="AD168" s="1466">
        <f t="shared" si="158"/>
        <v>-1.4745492753381158E-2</v>
      </c>
      <c r="AE168" s="1465">
        <f t="shared" si="158"/>
        <v>-1.4199214343890199E-2</v>
      </c>
      <c r="AF168" s="1466">
        <f t="shared" si="158"/>
        <v>-3.5577229149115937E-2</v>
      </c>
      <c r="AG168" s="1466">
        <f t="shared" si="158"/>
        <v>-2.1029375516536372E-2</v>
      </c>
      <c r="AH168" s="1466">
        <f t="shared" si="158"/>
        <v>-4.4795370666228962E-2</v>
      </c>
      <c r="AI168" s="1466">
        <f t="shared" si="158"/>
        <v>-2.6718914163030533E-2</v>
      </c>
      <c r="AJ168" s="1465">
        <f t="shared" si="158"/>
        <v>-3.1712713082744301E-2</v>
      </c>
      <c r="AK168" s="1466">
        <f t="shared" si="158"/>
        <v>-5.2558862501536192E-2</v>
      </c>
      <c r="AL168" s="1466">
        <f t="shared" si="158"/>
        <v>-2.9865771955287723E-2</v>
      </c>
      <c r="AM168" s="1466">
        <f t="shared" si="158"/>
        <v>-6.2539498162427279E-2</v>
      </c>
      <c r="AN168" s="1466">
        <f t="shared" si="158"/>
        <v>-7.1110997083074806E-2</v>
      </c>
      <c r="AO168" s="1465">
        <f t="shared" si="158"/>
        <v>-5.4403516927745692E-2</v>
      </c>
      <c r="AP168" s="1466">
        <f t="shared" si="158"/>
        <v>-5.4623844934664864E-2</v>
      </c>
      <c r="AQ168" s="1466">
        <f t="shared" si="158"/>
        <v>0.10217108295359084</v>
      </c>
      <c r="AR168" s="1466">
        <f t="shared" si="158"/>
        <v>9.6654573298572591E-2</v>
      </c>
      <c r="AS168" s="1466">
        <f t="shared" si="158"/>
        <v>7.1710892106489788E-2</v>
      </c>
      <c r="AT168" s="1465">
        <f t="shared" si="158"/>
        <v>6.6940795845588416E-2</v>
      </c>
      <c r="AU168" s="1466">
        <f t="shared" si="158"/>
        <v>5.9170649871546306E-2</v>
      </c>
      <c r="AV168" s="1466">
        <f t="shared" si="158"/>
        <v>8.0578055000666338E-2</v>
      </c>
      <c r="AW168" s="1466">
        <f t="shared" si="158"/>
        <v>3.2376902504675467E-2</v>
      </c>
      <c r="AX168" s="1466">
        <f t="shared" si="158"/>
        <v>-1.1848920573486106E-3</v>
      </c>
      <c r="AY168" s="1465">
        <f t="shared" si="158"/>
        <v>4.4791362707907789E-2</v>
      </c>
      <c r="AZ168" s="1466">
        <f t="shared" si="158"/>
        <v>-3.7754761109254929E-2</v>
      </c>
      <c r="BA168" s="1466">
        <f t="shared" si="158"/>
        <v>-3.2886723507917173E-2</v>
      </c>
      <c r="BB168" s="1466">
        <f t="shared" si="158"/>
        <v>-4.3661971830985913E-2</v>
      </c>
      <c r="BC168" s="1466">
        <f t="shared" si="158"/>
        <v>-2.2895840051596259E-2</v>
      </c>
      <c r="BD168" s="1465">
        <f t="shared" si="158"/>
        <v>-3.4048125716156494E-2</v>
      </c>
      <c r="BE168" s="1466">
        <f t="shared" si="158"/>
        <v>-5.0468637346791634E-3</v>
      </c>
      <c r="BF168" s="1466">
        <f t="shared" si="158"/>
        <v>4.0365815200252286E-2</v>
      </c>
      <c r="BG168" s="1466">
        <f t="shared" si="158"/>
        <v>3.3967391304347824E-2</v>
      </c>
      <c r="BH168" s="1466">
        <f t="shared" si="158"/>
        <v>2.9543994861913937E-2</v>
      </c>
      <c r="BI168" s="1465">
        <f t="shared" si="158"/>
        <v>2.5493626593351661E-2</v>
      </c>
      <c r="BJ168" s="1467">
        <f>BJ245/BJ227</f>
        <v>2.7482594356907291E-2</v>
      </c>
      <c r="BK168" s="183">
        <f>BK245/BK227</f>
        <v>5.0252682675521715E-2</v>
      </c>
      <c r="BL168" s="183">
        <f t="shared" si="158"/>
        <v>1.9351990765686545E-2</v>
      </c>
      <c r="BM168" s="183">
        <f t="shared" si="158"/>
        <v>1.3718129664975667E-2</v>
      </c>
      <c r="BN168" s="180">
        <f t="shared" si="158"/>
        <v>2.7936089550002669E-2</v>
      </c>
      <c r="BO168" s="183">
        <f t="shared" si="158"/>
        <v>3.4044953206569792E-2</v>
      </c>
      <c r="BP168" s="183">
        <f t="shared" si="158"/>
        <v>4.6965892506886358E-3</v>
      </c>
      <c r="BQ168" s="183">
        <f t="shared" si="158"/>
        <v>1.9136948558470666E-2</v>
      </c>
      <c r="BR168" s="183">
        <f t="shared" ref="BR168:BY168" si="159">BR245/BR227</f>
        <v>1.3657502965024661E-2</v>
      </c>
      <c r="BS168" s="180">
        <f t="shared" si="159"/>
        <v>1.7227230032182406E-2</v>
      </c>
      <c r="BT168" s="180">
        <f t="shared" si="159"/>
        <v>3.2484638913373991E-2</v>
      </c>
      <c r="BU168" s="180">
        <f t="shared" si="159"/>
        <v>4.704633192019566E-2</v>
      </c>
      <c r="BV168" s="180">
        <f t="shared" si="159"/>
        <v>6.2014685443238265E-2</v>
      </c>
      <c r="BW168" s="161"/>
    </row>
    <row r="169" spans="1:75" s="217" customFormat="1" hidden="1" outlineLevel="1" x14ac:dyDescent="0.5">
      <c r="A169" s="1473" t="s">
        <v>1045</v>
      </c>
      <c r="B169" s="1474"/>
      <c r="C169" s="1475"/>
      <c r="D169" s="1475"/>
      <c r="E169" s="1475"/>
      <c r="F169" s="1475"/>
      <c r="G169" s="1451"/>
      <c r="H169" s="1451"/>
      <c r="I169" s="1451"/>
      <c r="J169" s="1451"/>
      <c r="K169" s="1475"/>
      <c r="L169" s="1451"/>
      <c r="M169" s="1451"/>
      <c r="N169" s="1451"/>
      <c r="O169" s="1451"/>
      <c r="P169" s="1475"/>
      <c r="Q169" s="1451"/>
      <c r="R169" s="1451"/>
      <c r="S169" s="1451"/>
      <c r="T169" s="1451"/>
      <c r="U169" s="1475"/>
      <c r="V169" s="1451"/>
      <c r="W169" s="1451"/>
      <c r="X169" s="1451"/>
      <c r="Y169" s="1451"/>
      <c r="Z169" s="1475"/>
      <c r="AA169" s="1451"/>
      <c r="AB169" s="1451"/>
      <c r="AC169" s="1451"/>
      <c r="AD169" s="1451"/>
      <c r="AE169" s="1475"/>
      <c r="AF169" s="1451"/>
      <c r="AG169" s="1451"/>
      <c r="AH169" s="1451"/>
      <c r="AI169" s="1451"/>
      <c r="AJ169" s="1475"/>
      <c r="AK169" s="1451"/>
      <c r="AL169" s="1451"/>
      <c r="AM169" s="1451"/>
      <c r="AN169" s="1451"/>
      <c r="AO169" s="1475"/>
      <c r="AP169" s="1451"/>
      <c r="AQ169" s="1451"/>
      <c r="AR169" s="1451"/>
      <c r="AS169" s="1451"/>
      <c r="AT169" s="1475"/>
      <c r="AU169" s="1451"/>
      <c r="AV169" s="1451"/>
      <c r="AW169" s="1451"/>
      <c r="AX169" s="1451"/>
      <c r="AY169" s="1475"/>
      <c r="AZ169" s="1451"/>
      <c r="BA169" s="1451"/>
      <c r="BB169" s="1451"/>
      <c r="BC169" s="1451"/>
      <c r="BD169" s="1475"/>
      <c r="BE169" s="1451"/>
      <c r="BF169" s="1451"/>
      <c r="BG169" s="1451"/>
      <c r="BH169" s="1451"/>
      <c r="BI169" s="1475"/>
      <c r="BJ169" s="1476"/>
      <c r="BK169" s="1451">
        <f ca="1">IFERROR(BK246/BK228,0)</f>
        <v>0</v>
      </c>
      <c r="BL169" s="1451">
        <f ca="1">IFERROR(BL246/BL228,0)</f>
        <v>0</v>
      </c>
      <c r="BM169" s="1451">
        <f ca="1">IFERROR(BM246/BM228,0)</f>
        <v>0</v>
      </c>
      <c r="BN169" s="1475">
        <f t="shared" ref="BN169:BV169" ca="1" si="160">IFERROR(BN246/BN228,0)</f>
        <v>0</v>
      </c>
      <c r="BO169" s="1451">
        <f t="shared" ca="1" si="160"/>
        <v>0</v>
      </c>
      <c r="BP169" s="1451">
        <f t="shared" ca="1" si="160"/>
        <v>0</v>
      </c>
      <c r="BQ169" s="1451">
        <f t="shared" ca="1" si="160"/>
        <v>0</v>
      </c>
      <c r="BR169" s="1451">
        <f t="shared" ca="1" si="160"/>
        <v>0</v>
      </c>
      <c r="BS169" s="1475">
        <f t="shared" ca="1" si="160"/>
        <v>0</v>
      </c>
      <c r="BT169" s="1475">
        <f t="shared" ca="1" si="160"/>
        <v>0</v>
      </c>
      <c r="BU169" s="1475">
        <f t="shared" ca="1" si="160"/>
        <v>0</v>
      </c>
      <c r="BV169" s="1475">
        <f t="shared" ca="1" si="160"/>
        <v>0</v>
      </c>
      <c r="BW169" s="564"/>
    </row>
    <row r="170" spans="1:75" s="217" customFormat="1" hidden="1" outlineLevel="1" x14ac:dyDescent="0.5">
      <c r="A170" s="564" t="s">
        <v>2267</v>
      </c>
      <c r="B170" s="1477"/>
      <c r="C170" s="667"/>
      <c r="D170" s="667"/>
      <c r="E170" s="667"/>
      <c r="F170" s="667"/>
      <c r="G170" s="170" t="str">
        <f t="shared" ref="G170:BR170" si="161">G643</f>
        <v/>
      </c>
      <c r="H170" s="170" t="str">
        <f t="shared" si="161"/>
        <v/>
      </c>
      <c r="I170" s="170" t="str">
        <f t="shared" si="161"/>
        <v/>
      </c>
      <c r="J170" s="170" t="str">
        <f t="shared" si="161"/>
        <v/>
      </c>
      <c r="K170" s="667" t="str">
        <f t="shared" si="161"/>
        <v/>
      </c>
      <c r="L170" s="170" t="str">
        <f t="shared" si="161"/>
        <v/>
      </c>
      <c r="M170" s="170" t="str">
        <f t="shared" si="161"/>
        <v/>
      </c>
      <c r="N170" s="170" t="str">
        <f t="shared" si="161"/>
        <v/>
      </c>
      <c r="O170" s="170" t="str">
        <f t="shared" si="161"/>
        <v/>
      </c>
      <c r="P170" s="667" t="str">
        <f t="shared" si="161"/>
        <v/>
      </c>
      <c r="Q170" s="170" t="str">
        <f t="shared" si="161"/>
        <v/>
      </c>
      <c r="R170" s="170" t="str">
        <f t="shared" si="161"/>
        <v/>
      </c>
      <c r="S170" s="170" t="str">
        <f t="shared" si="161"/>
        <v/>
      </c>
      <c r="T170" s="170" t="str">
        <f t="shared" si="161"/>
        <v/>
      </c>
      <c r="U170" s="667" t="str">
        <f t="shared" si="161"/>
        <v/>
      </c>
      <c r="V170" s="170" t="str">
        <f t="shared" si="161"/>
        <v/>
      </c>
      <c r="W170" s="170" t="str">
        <f t="shared" si="161"/>
        <v/>
      </c>
      <c r="X170" s="170" t="str">
        <f t="shared" si="161"/>
        <v/>
      </c>
      <c r="Y170" s="170" t="str">
        <f t="shared" si="161"/>
        <v/>
      </c>
      <c r="Z170" s="667" t="str">
        <f t="shared" si="161"/>
        <v/>
      </c>
      <c r="AA170" s="170" t="str">
        <f t="shared" si="161"/>
        <v/>
      </c>
      <c r="AB170" s="170" t="str">
        <f t="shared" si="161"/>
        <v/>
      </c>
      <c r="AC170" s="170" t="str">
        <f t="shared" si="161"/>
        <v/>
      </c>
      <c r="AD170" s="170" t="str">
        <f t="shared" si="161"/>
        <v/>
      </c>
      <c r="AE170" s="667" t="str">
        <f t="shared" si="161"/>
        <v/>
      </c>
      <c r="AF170" s="170" t="str">
        <f t="shared" si="161"/>
        <v/>
      </c>
      <c r="AG170" s="170" t="str">
        <f t="shared" si="161"/>
        <v/>
      </c>
      <c r="AH170" s="170" t="str">
        <f t="shared" si="161"/>
        <v/>
      </c>
      <c r="AI170" s="170" t="str">
        <f t="shared" si="161"/>
        <v/>
      </c>
      <c r="AJ170" s="667" t="str">
        <f t="shared" si="161"/>
        <v/>
      </c>
      <c r="AK170" s="170" t="str">
        <f t="shared" si="161"/>
        <v/>
      </c>
      <c r="AL170" s="170" t="str">
        <f t="shared" si="161"/>
        <v/>
      </c>
      <c r="AM170" s="170" t="str">
        <f t="shared" si="161"/>
        <v/>
      </c>
      <c r="AN170" s="170" t="str">
        <f t="shared" si="161"/>
        <v/>
      </c>
      <c r="AO170" s="667" t="str">
        <f t="shared" si="161"/>
        <v/>
      </c>
      <c r="AP170" s="170" t="str">
        <f t="shared" si="161"/>
        <v/>
      </c>
      <c r="AQ170" s="170" t="str">
        <f t="shared" si="161"/>
        <v/>
      </c>
      <c r="AR170" s="170" t="str">
        <f t="shared" si="161"/>
        <v/>
      </c>
      <c r="AS170" s="170" t="str">
        <f t="shared" si="161"/>
        <v/>
      </c>
      <c r="AT170" s="667" t="str">
        <f t="shared" si="161"/>
        <v/>
      </c>
      <c r="AU170" s="170" t="str">
        <f t="shared" si="161"/>
        <v/>
      </c>
      <c r="AV170" s="170" t="str">
        <f t="shared" si="161"/>
        <v/>
      </c>
      <c r="AW170" s="170" t="str">
        <f t="shared" si="161"/>
        <v/>
      </c>
      <c r="AX170" s="170" t="str">
        <f t="shared" si="161"/>
        <v/>
      </c>
      <c r="AY170" s="667" t="str">
        <f t="shared" si="161"/>
        <v/>
      </c>
      <c r="AZ170" s="170">
        <f t="shared" si="161"/>
        <v>-3.0000000000000002E-2</v>
      </c>
      <c r="BA170" s="170">
        <f t="shared" si="161"/>
        <v>-3.7999999999999999E-2</v>
      </c>
      <c r="BB170" s="170">
        <f t="shared" si="161"/>
        <v>-3.0000000000000002E-2</v>
      </c>
      <c r="BC170" s="170">
        <f t="shared" si="161"/>
        <v>-0.02</v>
      </c>
      <c r="BD170" s="667" t="str">
        <f t="shared" si="161"/>
        <v/>
      </c>
      <c r="BE170" s="170">
        <f t="shared" si="161"/>
        <v>-0.02</v>
      </c>
      <c r="BF170" s="170">
        <f t="shared" si="161"/>
        <v>0.01</v>
      </c>
      <c r="BG170" s="170">
        <f t="shared" si="161"/>
        <v>0.03</v>
      </c>
      <c r="BH170" s="170">
        <f t="shared" si="161"/>
        <v>2.5000000000000001E-2</v>
      </c>
      <c r="BI170" s="667" t="str">
        <f t="shared" si="161"/>
        <v/>
      </c>
      <c r="BJ170" s="1478">
        <f>BJ643</f>
        <v>1.4999999999999999E-2</v>
      </c>
      <c r="BK170" s="170">
        <f t="shared" si="161"/>
        <v>0.05</v>
      </c>
      <c r="BL170" s="170" t="str">
        <f t="shared" si="161"/>
        <v/>
      </c>
      <c r="BM170" s="170" t="str">
        <f t="shared" si="161"/>
        <v/>
      </c>
      <c r="BN170" s="667" t="str">
        <f t="shared" si="161"/>
        <v/>
      </c>
      <c r="BO170" s="170" t="str">
        <f t="shared" si="161"/>
        <v/>
      </c>
      <c r="BP170" s="170" t="str">
        <f t="shared" si="161"/>
        <v/>
      </c>
      <c r="BQ170" s="170" t="str">
        <f t="shared" si="161"/>
        <v/>
      </c>
      <c r="BR170" s="170" t="str">
        <f t="shared" si="161"/>
        <v/>
      </c>
      <c r="BS170" s="667" t="str">
        <f t="shared" ref="BS170:BZ170" si="162">BS643</f>
        <v/>
      </c>
      <c r="BT170" s="667">
        <f t="shared" si="162"/>
        <v>0</v>
      </c>
      <c r="BU170" s="667">
        <f t="shared" si="162"/>
        <v>0</v>
      </c>
      <c r="BV170" s="667">
        <f t="shared" si="162"/>
        <v>0</v>
      </c>
      <c r="BW170" s="564"/>
    </row>
    <row r="171" spans="1:75" collapsed="1" x14ac:dyDescent="0.5">
      <c r="A171" s="170"/>
      <c r="B171" s="1477"/>
      <c r="C171" s="667"/>
      <c r="D171" s="667"/>
      <c r="E171" s="667"/>
      <c r="F171" s="667"/>
      <c r="G171" s="170"/>
      <c r="H171" s="170"/>
      <c r="I171" s="170"/>
      <c r="J171" s="170"/>
      <c r="K171" s="667"/>
      <c r="L171" s="170"/>
      <c r="M171" s="170"/>
      <c r="N171" s="170"/>
      <c r="O171" s="170"/>
      <c r="P171" s="667"/>
      <c r="Q171" s="170"/>
      <c r="R171" s="170"/>
      <c r="S171" s="170"/>
      <c r="T171" s="170"/>
      <c r="U171" s="667"/>
      <c r="V171" s="170"/>
      <c r="W171" s="170"/>
      <c r="X171" s="170"/>
      <c r="Y171" s="170"/>
      <c r="Z171" s="667"/>
      <c r="AA171" s="170"/>
      <c r="AB171" s="170"/>
      <c r="AC171" s="170"/>
      <c r="AD171" s="170"/>
      <c r="AE171" s="667"/>
      <c r="AF171" s="170"/>
      <c r="AG171" s="170"/>
      <c r="AH171" s="170"/>
      <c r="AI171" s="170"/>
      <c r="AJ171" s="667"/>
      <c r="AK171" s="170"/>
      <c r="AL171" s="170"/>
      <c r="AM171" s="170"/>
      <c r="AN171" s="170"/>
      <c r="AO171" s="667"/>
      <c r="AP171" s="170"/>
      <c r="AQ171" s="170"/>
      <c r="AR171" s="170"/>
      <c r="AS171" s="170"/>
      <c r="AT171" s="667"/>
      <c r="AU171" s="170"/>
      <c r="AV171" s="170"/>
      <c r="AW171" s="170"/>
      <c r="AX171" s="170"/>
      <c r="AY171" s="667"/>
      <c r="AZ171" s="170"/>
      <c r="BA171" s="170"/>
      <c r="BB171" s="170"/>
      <c r="BC171" s="170"/>
      <c r="BD171" s="667"/>
      <c r="BE171" s="170"/>
      <c r="BF171" s="170"/>
      <c r="BG171" s="170"/>
      <c r="BH171" s="170"/>
      <c r="BI171" s="667"/>
      <c r="BJ171" s="1478"/>
      <c r="BK171" s="170"/>
      <c r="BL171" s="170"/>
      <c r="BM171" s="170"/>
      <c r="BN171" s="667"/>
      <c r="BO171" s="170"/>
      <c r="BP171" s="170"/>
      <c r="BQ171" s="170"/>
      <c r="BR171" s="170"/>
      <c r="BS171" s="667"/>
      <c r="BT171" s="667"/>
      <c r="BU171" s="667"/>
      <c r="BV171" s="667"/>
      <c r="BW171" s="564"/>
    </row>
    <row r="172" spans="1:75" x14ac:dyDescent="0.5">
      <c r="A172" s="239" t="s">
        <v>1046</v>
      </c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  <c r="AA172" s="240" t="s">
        <v>101</v>
      </c>
      <c r="AB172" s="240" t="s">
        <v>101</v>
      </c>
      <c r="AC172" s="240" t="s">
        <v>101</v>
      </c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39"/>
      <c r="AN172" s="239"/>
      <c r="AO172" s="239"/>
      <c r="AP172" s="239"/>
      <c r="AQ172" s="239"/>
      <c r="AR172" s="239"/>
      <c r="AS172" s="239"/>
      <c r="AT172" s="239"/>
      <c r="AU172" s="239"/>
      <c r="AV172" s="239"/>
      <c r="AW172" s="239"/>
      <c r="AX172" s="239"/>
      <c r="AY172" s="239"/>
      <c r="AZ172" s="239"/>
      <c r="BA172" s="239"/>
      <c r="BB172" s="239"/>
      <c r="BC172" s="239"/>
      <c r="BD172" s="239"/>
      <c r="BE172" s="239"/>
      <c r="BF172" s="239"/>
      <c r="BG172" s="239"/>
      <c r="BH172" s="239"/>
      <c r="BI172" s="239"/>
      <c r="BJ172" s="241"/>
      <c r="BK172" s="239"/>
      <c r="BL172" s="239"/>
      <c r="BM172" s="239"/>
      <c r="BN172" s="239"/>
      <c r="BO172" s="239"/>
      <c r="BP172" s="239"/>
      <c r="BQ172" s="239"/>
      <c r="BR172" s="239"/>
      <c r="BS172" s="239"/>
      <c r="BT172" s="239"/>
      <c r="BU172" s="239"/>
      <c r="BV172" s="239"/>
      <c r="BW172" s="197"/>
    </row>
    <row r="173" spans="1:75" hidden="1" outlineLevel="1" x14ac:dyDescent="0.5">
      <c r="A173" s="463" t="s">
        <v>1047</v>
      </c>
      <c r="B173" s="522"/>
      <c r="C173" s="397"/>
      <c r="D173" s="397"/>
      <c r="E173" s="671">
        <v>517.33600000000001</v>
      </c>
      <c r="F173" s="671">
        <v>601.02800000000002</v>
      </c>
      <c r="G173" s="638">
        <v>179.83099999999999</v>
      </c>
      <c r="H173" s="638">
        <v>203.37700000000001</v>
      </c>
      <c r="I173" s="638">
        <v>237.30199999999999</v>
      </c>
      <c r="J173" s="197">
        <f>K173-SUM(G173,H173,I173)</f>
        <v>295.33299999999997</v>
      </c>
      <c r="K173" s="671">
        <v>915.84299999999996</v>
      </c>
      <c r="L173" s="638">
        <v>278.70699999999999</v>
      </c>
      <c r="M173" s="638">
        <v>295.43700000000001</v>
      </c>
      <c r="N173" s="638">
        <v>336.18799999999999</v>
      </c>
      <c r="O173" s="638">
        <v>408.61900000000003</v>
      </c>
      <c r="P173" s="671">
        <v>1318.951</v>
      </c>
      <c r="Q173" s="638">
        <v>424.37099999999998</v>
      </c>
      <c r="R173" s="638">
        <v>491.75200000000001</v>
      </c>
      <c r="S173" s="638">
        <v>593.97199999999998</v>
      </c>
      <c r="T173" s="638">
        <v>739.79</v>
      </c>
      <c r="U173" s="671">
        <v>2249.8850000000002</v>
      </c>
      <c r="V173" s="638">
        <v>747.34799999999996</v>
      </c>
      <c r="W173" s="638">
        <v>786.928</v>
      </c>
      <c r="X173" s="638">
        <v>861.52499999999998</v>
      </c>
      <c r="Y173" s="638">
        <v>984.55899999999997</v>
      </c>
      <c r="Z173" s="671">
        <v>3380.36</v>
      </c>
      <c r="AA173" s="638">
        <v>960.82500000000005</v>
      </c>
      <c r="AB173" s="638">
        <v>1122.856</v>
      </c>
      <c r="AC173" s="638">
        <v>1198.1980000000001</v>
      </c>
      <c r="AD173" s="197">
        <f>AE173-SUM(AA173,AB173,AC173)</f>
        <v>1439.0160000000005</v>
      </c>
      <c r="AE173" s="671">
        <v>4720.8950000000004</v>
      </c>
      <c r="AF173" s="638">
        <v>1404.269</v>
      </c>
      <c r="AG173" s="638">
        <v>1655.2560000000001</v>
      </c>
      <c r="AH173" s="638">
        <v>1705.645</v>
      </c>
      <c r="AI173" s="197">
        <f>AJ173-SUM(AF173,AG173,AH173)</f>
        <v>2014.0039999999999</v>
      </c>
      <c r="AJ173" s="671">
        <v>6779.174</v>
      </c>
      <c r="AK173" s="638">
        <v>1944.829</v>
      </c>
      <c r="AL173" s="638">
        <v>2343.2510000000002</v>
      </c>
      <c r="AM173" s="638">
        <v>2305.4870000000001</v>
      </c>
      <c r="AN173" s="197">
        <f>AO173-SUM(AK173,AL173,AM173)</f>
        <v>2533.4900000000007</v>
      </c>
      <c r="AO173" s="671">
        <v>9127.0570000000007</v>
      </c>
      <c r="AP173" s="638">
        <v>2330.0630000000001</v>
      </c>
      <c r="AQ173" s="638">
        <v>4304.6719999999996</v>
      </c>
      <c r="AR173" s="638">
        <v>3839.57</v>
      </c>
      <c r="AS173" s="197">
        <f>AT173-SUM(AP173,AQ173,AR173)</f>
        <v>3670.8510000000006</v>
      </c>
      <c r="AT173" s="671">
        <v>14145.156000000001</v>
      </c>
      <c r="AU173" s="638">
        <v>3477.518</v>
      </c>
      <c r="AV173" s="638">
        <v>3857.6260000000002</v>
      </c>
      <c r="AW173" s="638">
        <v>3121.0830000000001</v>
      </c>
      <c r="AX173" s="197">
        <f>AY173-SUM(AU173,AV173,AW173)</f>
        <v>3251.7729999999992</v>
      </c>
      <c r="AY173" s="671">
        <v>13708</v>
      </c>
      <c r="AZ173" s="638">
        <v>2993</v>
      </c>
      <c r="BA173" s="638">
        <v>3284</v>
      </c>
      <c r="BB173" s="638">
        <v>2840</v>
      </c>
      <c r="BC173" s="197">
        <f>BD173-SUM(AZ173,BA173,BB173)</f>
        <v>3101</v>
      </c>
      <c r="BD173" s="671">
        <v>12218</v>
      </c>
      <c r="BE173" s="638">
        <v>2774</v>
      </c>
      <c r="BF173" s="638">
        <v>3171</v>
      </c>
      <c r="BG173" s="638">
        <v>2944</v>
      </c>
      <c r="BH173" s="197">
        <f>BI173-SUM(BE173,BF173,BG173)</f>
        <v>3114</v>
      </c>
      <c r="BI173" s="671">
        <v>12003</v>
      </c>
      <c r="BJ173" s="1269">
        <v>2729</v>
      </c>
      <c r="BK173" s="295"/>
      <c r="BL173" s="295"/>
      <c r="BM173" s="295"/>
      <c r="BN173" s="397"/>
      <c r="BO173" s="295"/>
      <c r="BP173" s="295"/>
      <c r="BQ173" s="295"/>
      <c r="BR173" s="295"/>
      <c r="BS173" s="397"/>
      <c r="BT173" s="397"/>
      <c r="BU173" s="397"/>
      <c r="BV173" s="397"/>
      <c r="BW173" s="197"/>
    </row>
    <row r="174" spans="1:75" hidden="1" outlineLevel="1" x14ac:dyDescent="0.5">
      <c r="A174" s="464" t="s">
        <v>1048</v>
      </c>
      <c r="B174" s="513"/>
      <c r="C174" s="401"/>
      <c r="D174" s="401"/>
      <c r="E174" s="403">
        <v>385.82400000000001</v>
      </c>
      <c r="F174" s="403">
        <v>455.87900000000002</v>
      </c>
      <c r="G174" s="302">
        <v>135.798</v>
      </c>
      <c r="H174" s="302">
        <v>152.53899999999999</v>
      </c>
      <c r="I174" s="302">
        <v>178.65600000000001</v>
      </c>
      <c r="J174" s="122">
        <f>K174-SUM(G174,H174,I174)</f>
        <v>224.60899999999998</v>
      </c>
      <c r="K174" s="403">
        <v>691.60199999999998</v>
      </c>
      <c r="L174" s="302">
        <v>213.5</v>
      </c>
      <c r="M174" s="302">
        <v>226.983</v>
      </c>
      <c r="N174" s="302">
        <v>257.161</v>
      </c>
      <c r="O174" s="302">
        <v>310.209</v>
      </c>
      <c r="P174" s="403">
        <v>1007.853</v>
      </c>
      <c r="Q174" s="302">
        <v>321.536</v>
      </c>
      <c r="R174" s="302">
        <v>370.95100000000002</v>
      </c>
      <c r="S174" s="302">
        <v>452.58600000000001</v>
      </c>
      <c r="T174" s="302">
        <v>564.08799999999997</v>
      </c>
      <c r="U174" s="403">
        <v>1709.1610000000001</v>
      </c>
      <c r="V174" s="302">
        <v>568.29200000000003</v>
      </c>
      <c r="W174" s="302">
        <v>598.41399999999999</v>
      </c>
      <c r="X174" s="302">
        <v>659.86400000000003</v>
      </c>
      <c r="Y174" s="302">
        <v>745.97900000000004</v>
      </c>
      <c r="Z174" s="403">
        <v>2572.549</v>
      </c>
      <c r="AA174" s="302">
        <v>723.94200000000001</v>
      </c>
      <c r="AB174" s="302">
        <v>853.39</v>
      </c>
      <c r="AC174" s="302">
        <v>917.88900000000001</v>
      </c>
      <c r="AD174" s="122">
        <f>AE174-SUM(AA174,AB174,AC174)</f>
        <v>1106.8510000000001</v>
      </c>
      <c r="AE174" s="403">
        <v>3602.0720000000001</v>
      </c>
      <c r="AF174" s="302">
        <v>1080.4449999999999</v>
      </c>
      <c r="AG174" s="302">
        <v>1270.249</v>
      </c>
      <c r="AH174" s="302">
        <v>1312.875</v>
      </c>
      <c r="AI174" s="122">
        <f>AJ174-SUM(AF174,AG174,AH174)</f>
        <v>1528.8820000000001</v>
      </c>
      <c r="AJ174" s="403">
        <v>5192.451</v>
      </c>
      <c r="AK174" s="357">
        <v>1474.373</v>
      </c>
      <c r="AL174" s="357">
        <v>1783.6510000000001</v>
      </c>
      <c r="AM174" s="357">
        <v>1765.566</v>
      </c>
      <c r="AN174" s="122">
        <f>AO174-SUM(AK174,AL174,AM174)</f>
        <v>1956.1350000000002</v>
      </c>
      <c r="AO174" s="403">
        <v>6979.7250000000004</v>
      </c>
      <c r="AP174" s="357">
        <v>1750.94</v>
      </c>
      <c r="AQ174" s="357">
        <v>2983.6419999999998</v>
      </c>
      <c r="AR174" s="357">
        <v>2692.1419999999998</v>
      </c>
      <c r="AS174" s="122">
        <f>AT174-SUM(AP174,AQ174,AR174)</f>
        <v>2606.2610000000004</v>
      </c>
      <c r="AT174" s="403">
        <v>10032.985000000001</v>
      </c>
      <c r="AU174" s="357">
        <v>2474.491</v>
      </c>
      <c r="AV174" s="357">
        <v>2729.5659999999998</v>
      </c>
      <c r="AW174" s="357">
        <v>2238.355</v>
      </c>
      <c r="AX174" s="122">
        <f>AY174-SUM(AU174,AV174,AW174)</f>
        <v>2370.5879999999997</v>
      </c>
      <c r="AY174" s="403">
        <v>9813</v>
      </c>
      <c r="AZ174" s="357">
        <v>2190</v>
      </c>
      <c r="BA174" s="357">
        <v>2388</v>
      </c>
      <c r="BB174" s="357">
        <v>2016</v>
      </c>
      <c r="BC174" s="122">
        <f>BD174-SUM(AZ174,BA174,BB174)</f>
        <v>2208</v>
      </c>
      <c r="BD174" s="403">
        <v>8802</v>
      </c>
      <c r="BE174" s="357">
        <v>1953</v>
      </c>
      <c r="BF174" s="357">
        <v>2186</v>
      </c>
      <c r="BG174" s="357">
        <v>2027</v>
      </c>
      <c r="BH174" s="122">
        <f>BI174-SUM(BE174,BF174,BG174)</f>
        <v>2170</v>
      </c>
      <c r="BI174" s="403">
        <v>8336</v>
      </c>
      <c r="BJ174" s="1208">
        <v>1910</v>
      </c>
      <c r="BK174" s="118"/>
      <c r="BL174" s="118"/>
      <c r="BM174" s="118"/>
      <c r="BN174" s="401"/>
      <c r="BO174" s="118"/>
      <c r="BP174" s="118"/>
      <c r="BQ174" s="118"/>
      <c r="BR174" s="118"/>
      <c r="BS174" s="401"/>
      <c r="BT174" s="401"/>
      <c r="BU174" s="401"/>
      <c r="BV174" s="401"/>
      <c r="BW174" s="122"/>
    </row>
    <row r="175" spans="1:75" hidden="1" outlineLevel="1" x14ac:dyDescent="0.5">
      <c r="A175" s="516" t="s">
        <v>1049</v>
      </c>
      <c r="B175" s="517"/>
      <c r="C175" s="518"/>
      <c r="D175" s="518"/>
      <c r="E175" s="519">
        <f t="shared" ref="E175:BI175" si="163">E173-E174</f>
        <v>131.512</v>
      </c>
      <c r="F175" s="519">
        <f t="shared" si="163"/>
        <v>145.149</v>
      </c>
      <c r="G175" s="520">
        <f t="shared" si="163"/>
        <v>44.032999999999987</v>
      </c>
      <c r="H175" s="520">
        <f t="shared" si="163"/>
        <v>50.838000000000022</v>
      </c>
      <c r="I175" s="520">
        <f t="shared" si="163"/>
        <v>58.645999999999987</v>
      </c>
      <c r="J175" s="520">
        <f t="shared" si="163"/>
        <v>70.72399999999999</v>
      </c>
      <c r="K175" s="519">
        <f t="shared" si="163"/>
        <v>224.24099999999999</v>
      </c>
      <c r="L175" s="520">
        <f t="shared" si="163"/>
        <v>65.206999999999994</v>
      </c>
      <c r="M175" s="520">
        <f t="shared" si="163"/>
        <v>68.454000000000008</v>
      </c>
      <c r="N175" s="520">
        <f t="shared" si="163"/>
        <v>79.026999999999987</v>
      </c>
      <c r="O175" s="520">
        <f t="shared" si="163"/>
        <v>98.410000000000025</v>
      </c>
      <c r="P175" s="519">
        <f t="shared" si="163"/>
        <v>311.09800000000007</v>
      </c>
      <c r="Q175" s="520">
        <f t="shared" si="163"/>
        <v>102.83499999999998</v>
      </c>
      <c r="R175" s="520">
        <f t="shared" si="163"/>
        <v>120.80099999999999</v>
      </c>
      <c r="S175" s="520">
        <f t="shared" si="163"/>
        <v>141.38599999999997</v>
      </c>
      <c r="T175" s="520">
        <f t="shared" si="163"/>
        <v>175.702</v>
      </c>
      <c r="U175" s="519">
        <f t="shared" si="163"/>
        <v>540.72400000000016</v>
      </c>
      <c r="V175" s="520">
        <f t="shared" si="163"/>
        <v>179.05599999999993</v>
      </c>
      <c r="W175" s="520">
        <f t="shared" si="163"/>
        <v>188.51400000000001</v>
      </c>
      <c r="X175" s="520">
        <f t="shared" si="163"/>
        <v>201.66099999999994</v>
      </c>
      <c r="Y175" s="520">
        <f t="shared" si="163"/>
        <v>238.57999999999993</v>
      </c>
      <c r="Z175" s="519">
        <f t="shared" si="163"/>
        <v>807.81100000000015</v>
      </c>
      <c r="AA175" s="327">
        <f t="shared" si="163"/>
        <v>236.88300000000004</v>
      </c>
      <c r="AB175" s="520">
        <f t="shared" si="163"/>
        <v>269.46600000000001</v>
      </c>
      <c r="AC175" s="520">
        <f t="shared" si="163"/>
        <v>280.30900000000008</v>
      </c>
      <c r="AD175" s="520">
        <f t="shared" si="163"/>
        <v>332.16500000000042</v>
      </c>
      <c r="AE175" s="519">
        <f t="shared" si="163"/>
        <v>1118.8230000000003</v>
      </c>
      <c r="AF175" s="327">
        <f t="shared" si="163"/>
        <v>323.82400000000007</v>
      </c>
      <c r="AG175" s="520">
        <f t="shared" si="163"/>
        <v>385.00700000000006</v>
      </c>
      <c r="AH175" s="520">
        <f t="shared" si="163"/>
        <v>392.77</v>
      </c>
      <c r="AI175" s="520">
        <f t="shared" si="163"/>
        <v>485.12199999999984</v>
      </c>
      <c r="AJ175" s="519">
        <f t="shared" si="163"/>
        <v>1586.723</v>
      </c>
      <c r="AK175" s="327">
        <f t="shared" si="163"/>
        <v>470.4559999999999</v>
      </c>
      <c r="AL175" s="520">
        <f t="shared" si="163"/>
        <v>559.60000000000014</v>
      </c>
      <c r="AM175" s="520">
        <f t="shared" si="163"/>
        <v>539.92100000000005</v>
      </c>
      <c r="AN175" s="520">
        <f t="shared" si="163"/>
        <v>577.35500000000047</v>
      </c>
      <c r="AO175" s="519">
        <f t="shared" si="163"/>
        <v>2147.3320000000003</v>
      </c>
      <c r="AP175" s="327">
        <f t="shared" si="163"/>
        <v>579.12300000000005</v>
      </c>
      <c r="AQ175" s="520">
        <f t="shared" si="163"/>
        <v>1321.0299999999997</v>
      </c>
      <c r="AR175" s="520">
        <f t="shared" si="163"/>
        <v>1147.4280000000003</v>
      </c>
      <c r="AS175" s="520">
        <f t="shared" si="163"/>
        <v>1064.5900000000001</v>
      </c>
      <c r="AT175" s="519">
        <f t="shared" si="163"/>
        <v>4112.1710000000003</v>
      </c>
      <c r="AU175" s="327">
        <f t="shared" si="163"/>
        <v>1003.027</v>
      </c>
      <c r="AV175" s="520">
        <f t="shared" si="163"/>
        <v>1128.0600000000004</v>
      </c>
      <c r="AW175" s="520">
        <f t="shared" si="163"/>
        <v>882.72800000000007</v>
      </c>
      <c r="AX175" s="520">
        <f t="shared" si="163"/>
        <v>881.18499999999949</v>
      </c>
      <c r="AY175" s="519">
        <f t="shared" si="163"/>
        <v>3895</v>
      </c>
      <c r="AZ175" s="327">
        <f t="shared" si="163"/>
        <v>803</v>
      </c>
      <c r="BA175" s="520">
        <f t="shared" si="163"/>
        <v>896</v>
      </c>
      <c r="BB175" s="520">
        <f t="shared" si="163"/>
        <v>824</v>
      </c>
      <c r="BC175" s="520">
        <f t="shared" si="163"/>
        <v>893</v>
      </c>
      <c r="BD175" s="519">
        <f t="shared" si="163"/>
        <v>3416</v>
      </c>
      <c r="BE175" s="327">
        <f t="shared" si="163"/>
        <v>821</v>
      </c>
      <c r="BF175" s="520">
        <f t="shared" si="163"/>
        <v>985</v>
      </c>
      <c r="BG175" s="520">
        <f t="shared" si="163"/>
        <v>917</v>
      </c>
      <c r="BH175" s="520">
        <f t="shared" si="163"/>
        <v>944</v>
      </c>
      <c r="BI175" s="519">
        <f t="shared" si="163"/>
        <v>3667</v>
      </c>
      <c r="BJ175" s="1026">
        <f>BJ173-BJ174</f>
        <v>819</v>
      </c>
      <c r="BK175" s="327"/>
      <c r="BL175" s="327"/>
      <c r="BM175" s="327"/>
      <c r="BN175" s="518"/>
      <c r="BO175" s="327"/>
      <c r="BP175" s="327"/>
      <c r="BQ175" s="327"/>
      <c r="BR175" s="327"/>
      <c r="BS175" s="518"/>
      <c r="BT175" s="518"/>
      <c r="BU175" s="518"/>
      <c r="BV175" s="518"/>
      <c r="BW175" s="197"/>
    </row>
    <row r="176" spans="1:75" hidden="1" outlineLevel="1" x14ac:dyDescent="0.5">
      <c r="A176" s="464" t="s">
        <v>2287</v>
      </c>
      <c r="B176" s="513"/>
      <c r="C176" s="401"/>
      <c r="D176" s="401"/>
      <c r="E176" s="401"/>
      <c r="F176" s="403">
        <v>25.73</v>
      </c>
      <c r="G176" s="302">
        <v>7.2</v>
      </c>
      <c r="H176" s="302">
        <v>7.782</v>
      </c>
      <c r="I176" s="302">
        <v>9.6950000000000003</v>
      </c>
      <c r="J176" s="122">
        <f>K176-SUM(G176,H176,I176)</f>
        <v>10.823</v>
      </c>
      <c r="K176" s="403">
        <v>35.5</v>
      </c>
      <c r="L176" s="302">
        <v>10.968999999999999</v>
      </c>
      <c r="M176" s="302">
        <v>12.113</v>
      </c>
      <c r="N176" s="302">
        <v>14.239000000000001</v>
      </c>
      <c r="O176" s="302">
        <v>18.483000000000001</v>
      </c>
      <c r="P176" s="403">
        <v>55.804000000000002</v>
      </c>
      <c r="Q176" s="302">
        <v>15.978</v>
      </c>
      <c r="R176" s="302">
        <v>18.329999999999998</v>
      </c>
      <c r="S176" s="302">
        <v>21.109000000000002</v>
      </c>
      <c r="T176" s="302">
        <v>25.812999999999999</v>
      </c>
      <c r="U176" s="403">
        <v>81.23</v>
      </c>
      <c r="V176" s="302">
        <v>27.35</v>
      </c>
      <c r="W176" s="302">
        <v>30.064</v>
      </c>
      <c r="X176" s="302">
        <v>33.872</v>
      </c>
      <c r="Y176" s="302">
        <v>36.597000000000001</v>
      </c>
      <c r="Z176" s="403">
        <v>127.883</v>
      </c>
      <c r="AA176" s="302">
        <v>35.058</v>
      </c>
      <c r="AB176" s="302">
        <v>39.125</v>
      </c>
      <c r="AC176" s="302">
        <v>42.948999999999998</v>
      </c>
      <c r="AD176" s="122">
        <f>AE176-SUM(AA176,AB176,AC176)</f>
        <v>52.384</v>
      </c>
      <c r="AE176" s="403">
        <v>169.51599999999999</v>
      </c>
      <c r="AF176" s="302">
        <v>53.884</v>
      </c>
      <c r="AG176" s="302">
        <v>61.792000000000002</v>
      </c>
      <c r="AH176" s="302">
        <v>66.664000000000001</v>
      </c>
      <c r="AI176" s="122">
        <f>AJ176-SUM(AF176,AG176,AH176)</f>
        <v>77.705999999999989</v>
      </c>
      <c r="AJ176" s="403">
        <v>260.04599999999999</v>
      </c>
      <c r="AK176" s="302">
        <v>76.472999999999999</v>
      </c>
      <c r="AL176" s="302">
        <v>88.501999999999995</v>
      </c>
      <c r="AM176" s="302">
        <v>91.254999999999995</v>
      </c>
      <c r="AN176" s="122">
        <f>AO176-SUM(AK176,AL176,AM176)</f>
        <v>100.49699999999996</v>
      </c>
      <c r="AO176" s="403">
        <v>356.72699999999998</v>
      </c>
      <c r="AP176" s="302">
        <v>89.462999999999994</v>
      </c>
      <c r="AQ176" s="302">
        <v>143.773</v>
      </c>
      <c r="AR176" s="302">
        <v>139.589</v>
      </c>
      <c r="AS176" s="122">
        <f>AT176-SUM(AP176,AQ176,AR176)</f>
        <v>136.73400000000004</v>
      </c>
      <c r="AT176" s="403">
        <v>509.55900000000003</v>
      </c>
      <c r="AU176" s="302">
        <v>147.24100000000001</v>
      </c>
      <c r="AV176" s="302">
        <v>144.63</v>
      </c>
      <c r="AW176" s="302">
        <v>139.93100000000001</v>
      </c>
      <c r="AX176" s="122">
        <f>AY176-SUM(AU176,AV176,AW176)</f>
        <v>152.19799999999998</v>
      </c>
      <c r="AY176" s="403">
        <v>584</v>
      </c>
      <c r="AZ176" s="302">
        <v>151</v>
      </c>
      <c r="BA176" s="302">
        <v>162</v>
      </c>
      <c r="BB176" s="302">
        <v>156</v>
      </c>
      <c r="BC176" s="122">
        <f>BD176-SUM(AZ176,BA176,BB176)</f>
        <v>163</v>
      </c>
      <c r="BD176" s="403">
        <v>632</v>
      </c>
      <c r="BE176" s="302">
        <v>139</v>
      </c>
      <c r="BF176" s="302">
        <v>144</v>
      </c>
      <c r="BG176" s="302">
        <v>136</v>
      </c>
      <c r="BH176" s="122">
        <f>BI176-SUM(BE176,BF176,BG176)</f>
        <v>138</v>
      </c>
      <c r="BI176" s="403">
        <v>557</v>
      </c>
      <c r="BJ176" s="1207">
        <v>117</v>
      </c>
      <c r="BK176" s="118"/>
      <c r="BL176" s="118"/>
      <c r="BM176" s="118"/>
      <c r="BN176" s="401"/>
      <c r="BO176" s="118"/>
      <c r="BP176" s="118"/>
      <c r="BQ176" s="118"/>
      <c r="BR176" s="118"/>
      <c r="BS176" s="401"/>
      <c r="BT176" s="401"/>
      <c r="BU176" s="401"/>
      <c r="BV176" s="401"/>
      <c r="BW176" s="122"/>
    </row>
    <row r="177" spans="1:75" hidden="1" outlineLevel="1" x14ac:dyDescent="0.5">
      <c r="A177" s="464" t="s">
        <v>2288</v>
      </c>
      <c r="B177" s="513"/>
      <c r="C177" s="401"/>
      <c r="D177" s="401"/>
      <c r="E177" s="401"/>
      <c r="F177" s="403">
        <v>65.504000000000005</v>
      </c>
      <c r="G177" s="302">
        <v>20.039000000000001</v>
      </c>
      <c r="H177" s="302">
        <v>23.138000000000002</v>
      </c>
      <c r="I177" s="302">
        <v>28.384</v>
      </c>
      <c r="J177" s="122">
        <f>K177-SUM(G177,H177,I177)</f>
        <v>36.907999999999987</v>
      </c>
      <c r="K177" s="403">
        <v>108.46899999999999</v>
      </c>
      <c r="L177" s="302">
        <v>44.204000000000001</v>
      </c>
      <c r="M177" s="302">
        <v>42.511000000000003</v>
      </c>
      <c r="N177" s="302">
        <v>49.762999999999998</v>
      </c>
      <c r="O177" s="302">
        <v>54.805999999999997</v>
      </c>
      <c r="P177" s="403">
        <v>191.28399999999999</v>
      </c>
      <c r="Q177" s="302">
        <v>57.999000000000002</v>
      </c>
      <c r="R177" s="302">
        <v>61.539000000000001</v>
      </c>
      <c r="S177" s="302">
        <v>70.710999999999999</v>
      </c>
      <c r="T177" s="302">
        <v>87.974999999999994</v>
      </c>
      <c r="U177" s="403">
        <v>278.22399999999999</v>
      </c>
      <c r="V177" s="302">
        <v>97.677000000000007</v>
      </c>
      <c r="W177" s="302">
        <v>94.426000000000002</v>
      </c>
      <c r="X177" s="302">
        <v>101.333</v>
      </c>
      <c r="Y177" s="302">
        <v>115.68899999999999</v>
      </c>
      <c r="Z177" s="403">
        <v>409.125</v>
      </c>
      <c r="AA177" s="302">
        <v>118.265</v>
      </c>
      <c r="AB177" s="302">
        <v>124.241</v>
      </c>
      <c r="AC177" s="302">
        <v>141.714</v>
      </c>
      <c r="AD177" s="122">
        <f>AE177-SUM(AA177,AB177,AC177)</f>
        <v>165.73899999999992</v>
      </c>
      <c r="AE177" s="403">
        <v>549.95899999999995</v>
      </c>
      <c r="AF177" s="302">
        <v>161.64599999999999</v>
      </c>
      <c r="AG177" s="302">
        <v>177.58199999999999</v>
      </c>
      <c r="AH177" s="302">
        <v>202.58699999999999</v>
      </c>
      <c r="AI177" s="122">
        <f>AJ177-SUM(AF177,AG177,AH177)</f>
        <v>232.37400000000002</v>
      </c>
      <c r="AJ177" s="403">
        <v>774.18899999999996</v>
      </c>
      <c r="AK177" s="302">
        <v>243.96899999999999</v>
      </c>
      <c r="AL177" s="302">
        <v>259.166</v>
      </c>
      <c r="AM177" s="302">
        <v>281.846</v>
      </c>
      <c r="AN177" s="122">
        <f>AO177-SUM(AK177,AL177,AM177)</f>
        <v>310.85899999999992</v>
      </c>
      <c r="AO177" s="403">
        <v>1095.8399999999999</v>
      </c>
      <c r="AP177" s="302">
        <v>275.76</v>
      </c>
      <c r="AQ177" s="302">
        <v>417.77699999999999</v>
      </c>
      <c r="AR177" s="302">
        <v>344.02499999999998</v>
      </c>
      <c r="AS177" s="122">
        <f>AT177-SUM(AP177,AQ177,AR177)</f>
        <v>374.6110000000001</v>
      </c>
      <c r="AT177" s="403">
        <v>1412.173</v>
      </c>
      <c r="AU177" s="302">
        <v>365.863</v>
      </c>
      <c r="AV177" s="302">
        <v>351.77499999999998</v>
      </c>
      <c r="AW177" s="302">
        <v>315.024</v>
      </c>
      <c r="AX177" s="122">
        <f>AY177-SUM(AU177,AV177,AW177)</f>
        <v>345.33800000000019</v>
      </c>
      <c r="AY177" s="403">
        <v>1378</v>
      </c>
      <c r="AZ177" s="302">
        <v>336</v>
      </c>
      <c r="BA177" s="302">
        <v>378</v>
      </c>
      <c r="BB177" s="302">
        <v>353</v>
      </c>
      <c r="BC177" s="122">
        <f>BD177-SUM(AZ177,BA177,BB177)</f>
        <v>406</v>
      </c>
      <c r="BD177" s="403">
        <v>1473</v>
      </c>
      <c r="BE177" s="302">
        <v>327</v>
      </c>
      <c r="BF177" s="302">
        <v>352</v>
      </c>
      <c r="BG177" s="302">
        <v>337</v>
      </c>
      <c r="BH177" s="122">
        <f>BI177-SUM(BE177,BF177,BG177)</f>
        <v>381</v>
      </c>
      <c r="BI177" s="403">
        <v>1397</v>
      </c>
      <c r="BJ177" s="1207">
        <v>324</v>
      </c>
      <c r="BK177" s="118"/>
      <c r="BL177" s="118"/>
      <c r="BM177" s="118"/>
      <c r="BN177" s="401"/>
      <c r="BO177" s="118"/>
      <c r="BP177" s="118"/>
      <c r="BQ177" s="118"/>
      <c r="BR177" s="118"/>
      <c r="BS177" s="401"/>
      <c r="BT177" s="401"/>
      <c r="BU177" s="401"/>
      <c r="BV177" s="401"/>
      <c r="BW177" s="122"/>
    </row>
    <row r="178" spans="1:75" hidden="1" outlineLevel="1" x14ac:dyDescent="0.5">
      <c r="A178" s="464" t="s">
        <v>2289</v>
      </c>
      <c r="B178" s="513"/>
      <c r="C178" s="401"/>
      <c r="D178" s="401"/>
      <c r="E178" s="403">
        <v>106.794</v>
      </c>
      <c r="F178" s="403">
        <v>22.135999999999999</v>
      </c>
      <c r="G178" s="302">
        <v>6.84</v>
      </c>
      <c r="H178" s="302">
        <v>7.7149999999999999</v>
      </c>
      <c r="I178" s="302">
        <v>8.5229999999999997</v>
      </c>
      <c r="J178" s="122">
        <f>K178-SUM(G178,H178,I178)</f>
        <v>10.428000000000001</v>
      </c>
      <c r="K178" s="403">
        <v>33.506</v>
      </c>
      <c r="L178" s="302">
        <v>15.170999999999999</v>
      </c>
      <c r="M178" s="302">
        <v>13.26</v>
      </c>
      <c r="N178" s="302">
        <v>13.436999999999999</v>
      </c>
      <c r="O178" s="302">
        <v>38.244999999999997</v>
      </c>
      <c r="P178" s="403">
        <v>80.113</v>
      </c>
      <c r="Q178" s="302">
        <v>23.234000000000002</v>
      </c>
      <c r="R178" s="302">
        <v>23.814</v>
      </c>
      <c r="S178" s="302">
        <v>27.082999999999998</v>
      </c>
      <c r="T178" s="302">
        <v>32.018000000000001</v>
      </c>
      <c r="U178" s="403">
        <v>106.149</v>
      </c>
      <c r="V178" s="302">
        <v>37.856000000000002</v>
      </c>
      <c r="W178" s="302">
        <v>43.273000000000003</v>
      </c>
      <c r="X178" s="302">
        <v>48.55</v>
      </c>
      <c r="Y178" s="302">
        <v>47.856000000000002</v>
      </c>
      <c r="Z178" s="403">
        <v>177.535</v>
      </c>
      <c r="AA178" s="118"/>
      <c r="AB178" s="118"/>
      <c r="AC178" s="118"/>
      <c r="AD178" s="118"/>
      <c r="AE178" s="401"/>
      <c r="AF178" s="118"/>
      <c r="AG178" s="118"/>
      <c r="AH178" s="118"/>
      <c r="AI178" s="118"/>
      <c r="AJ178" s="401"/>
      <c r="AK178" s="118"/>
      <c r="AL178" s="118"/>
      <c r="AM178" s="118"/>
      <c r="AN178" s="118"/>
      <c r="AO178" s="401"/>
      <c r="AP178" s="118"/>
      <c r="AQ178" s="118"/>
      <c r="AR178" s="118"/>
      <c r="AS178" s="118"/>
      <c r="AT178" s="401"/>
      <c r="AU178" s="118"/>
      <c r="AV178" s="118"/>
      <c r="AW178" s="118"/>
      <c r="AX178" s="118"/>
      <c r="AY178" s="401"/>
      <c r="AZ178" s="118"/>
      <c r="BA178" s="118"/>
      <c r="BB178" s="118"/>
      <c r="BC178" s="118"/>
      <c r="BD178" s="401"/>
      <c r="BE178" s="118"/>
      <c r="BF178" s="118"/>
      <c r="BG178" s="118"/>
      <c r="BH178" s="118"/>
      <c r="BI178" s="401"/>
      <c r="BJ178" s="971"/>
      <c r="BK178" s="118"/>
      <c r="BL178" s="118"/>
      <c r="BM178" s="118"/>
      <c r="BN178" s="401"/>
      <c r="BO178" s="118"/>
      <c r="BP178" s="118"/>
      <c r="BQ178" s="118"/>
      <c r="BR178" s="118"/>
      <c r="BS178" s="401"/>
      <c r="BT178" s="401"/>
      <c r="BU178" s="401"/>
      <c r="BV178" s="401"/>
      <c r="BW178" s="122"/>
    </row>
    <row r="179" spans="1:75" hidden="1" outlineLevel="1" x14ac:dyDescent="0.5">
      <c r="A179" s="464" t="s">
        <v>2290</v>
      </c>
      <c r="B179" s="513"/>
      <c r="C179" s="401"/>
      <c r="D179" s="401"/>
      <c r="E179" s="403">
        <v>36.771999999999998</v>
      </c>
      <c r="F179" s="403">
        <v>52.960999999999999</v>
      </c>
      <c r="G179" s="302">
        <v>15.327</v>
      </c>
      <c r="H179" s="302">
        <v>14.686999999999999</v>
      </c>
      <c r="I179" s="302">
        <v>15.53</v>
      </c>
      <c r="J179" s="122">
        <f>K179-SUM(G179,H179,I179)</f>
        <v>16.702000000000005</v>
      </c>
      <c r="K179" s="403">
        <v>62.246000000000002</v>
      </c>
      <c r="L179" s="302">
        <v>22.768999999999998</v>
      </c>
      <c r="M179" s="302">
        <v>23.585999999999999</v>
      </c>
      <c r="N179" s="302">
        <v>25.202999999999999</v>
      </c>
      <c r="O179" s="302">
        <v>59.143000000000001</v>
      </c>
      <c r="P179" s="403">
        <v>130.70099999999999</v>
      </c>
      <c r="Q179" s="302">
        <v>32.619999999999997</v>
      </c>
      <c r="R179" s="302">
        <v>36.354999999999997</v>
      </c>
      <c r="S179" s="302">
        <v>40.911999999999999</v>
      </c>
      <c r="T179" s="302">
        <v>45.692999999999998</v>
      </c>
      <c r="U179" s="403">
        <v>155.58000000000001</v>
      </c>
      <c r="V179" s="302">
        <v>58.281999999999996</v>
      </c>
      <c r="W179" s="302">
        <v>69.480999999999995</v>
      </c>
      <c r="X179" s="302">
        <v>79.525999999999996</v>
      </c>
      <c r="Y179" s="302">
        <v>82.195999999999998</v>
      </c>
      <c r="Z179" s="403">
        <v>289.48500000000001</v>
      </c>
      <c r="AA179" s="302">
        <v>139.76599999999999</v>
      </c>
      <c r="AB179" s="302">
        <v>143.65199999999999</v>
      </c>
      <c r="AC179" s="302">
        <v>169.60300000000001</v>
      </c>
      <c r="AD179" s="122">
        <f>AE179-SUM(AA179,AB179,AC179)</f>
        <v>181.78000000000003</v>
      </c>
      <c r="AE179" s="403">
        <v>634.80100000000004</v>
      </c>
      <c r="AF179" s="302">
        <v>211.363</v>
      </c>
      <c r="AG179" s="302">
        <v>240.97200000000001</v>
      </c>
      <c r="AH179" s="302">
        <v>268.78500000000003</v>
      </c>
      <c r="AI179" s="122">
        <f>AJ179-SUM(AF179,AG179,AH179)</f>
        <v>304.64699999999993</v>
      </c>
      <c r="AJ179" s="403">
        <v>1025.7670000000001</v>
      </c>
      <c r="AK179" s="302">
        <v>343.64800000000002</v>
      </c>
      <c r="AL179" s="302">
        <v>383.10899999999998</v>
      </c>
      <c r="AM179" s="302">
        <v>426.529</v>
      </c>
      <c r="AN179" s="122">
        <f>AO179-SUM(AK179,AL179,AM179)</f>
        <v>471.41999999999985</v>
      </c>
      <c r="AO179" s="403">
        <v>1624.7059999999999</v>
      </c>
      <c r="AP179" s="302">
        <v>475.96800000000002</v>
      </c>
      <c r="AQ179" s="302">
        <v>459.48200000000003</v>
      </c>
      <c r="AR179" s="302">
        <v>441.96</v>
      </c>
      <c r="AS179" s="122">
        <f>AT179-SUM(AP179,AQ179,AR179)</f>
        <v>452.67999999999984</v>
      </c>
      <c r="AT179" s="403">
        <v>1830.09</v>
      </c>
      <c r="AU179" s="302">
        <v>451.36900000000003</v>
      </c>
      <c r="AV179" s="302">
        <v>486.44799999999998</v>
      </c>
      <c r="AW179" s="302">
        <v>497.57100000000003</v>
      </c>
      <c r="AX179" s="122">
        <f>AY179-SUM(AU179,AV179,AW179)</f>
        <v>579.61200000000008</v>
      </c>
      <c r="AY179" s="403">
        <v>2015</v>
      </c>
      <c r="AZ179" s="302">
        <v>626</v>
      </c>
      <c r="BA179" s="302">
        <v>688</v>
      </c>
      <c r="BB179" s="302">
        <v>656</v>
      </c>
      <c r="BC179" s="122">
        <f>BD179-SUM(AZ179,BA179,BB179)</f>
        <v>655</v>
      </c>
      <c r="BD179" s="403">
        <v>2625</v>
      </c>
      <c r="BE179" s="302">
        <v>624</v>
      </c>
      <c r="BF179" s="302">
        <v>630</v>
      </c>
      <c r="BG179" s="302">
        <v>596</v>
      </c>
      <c r="BH179" s="122">
        <f>BI179-SUM(BE179,BF179,BG179)</f>
        <v>597</v>
      </c>
      <c r="BI179" s="403">
        <v>2447</v>
      </c>
      <c r="BJ179" s="1207">
        <v>534</v>
      </c>
      <c r="BK179" s="118"/>
      <c r="BL179" s="118"/>
      <c r="BM179" s="118"/>
      <c r="BN179" s="401"/>
      <c r="BO179" s="118"/>
      <c r="BP179" s="118"/>
      <c r="BQ179" s="118"/>
      <c r="BR179" s="118"/>
      <c r="BS179" s="401"/>
      <c r="BT179" s="401"/>
      <c r="BU179" s="401"/>
      <c r="BV179" s="401"/>
      <c r="BW179" s="122"/>
    </row>
    <row r="180" spans="1:75" hidden="1" outlineLevel="1" x14ac:dyDescent="0.5">
      <c r="A180" s="464" t="s">
        <v>2291</v>
      </c>
      <c r="B180" s="513"/>
      <c r="C180" s="401"/>
      <c r="D180" s="401"/>
      <c r="E180" s="403">
        <v>0</v>
      </c>
      <c r="F180" s="403">
        <v>0.21199999999999999</v>
      </c>
      <c r="G180" s="302">
        <v>5.2999999999999999E-2</v>
      </c>
      <c r="H180" s="302">
        <v>5.2999999999999999E-2</v>
      </c>
      <c r="I180" s="302">
        <v>0.184</v>
      </c>
      <c r="J180" s="122">
        <f>K180-SUM(G180,H180,I180)</f>
        <v>0.24900000000000005</v>
      </c>
      <c r="K180" s="403">
        <v>0.53900000000000003</v>
      </c>
      <c r="L180" s="302">
        <v>0.249</v>
      </c>
      <c r="M180" s="302">
        <v>0.25</v>
      </c>
      <c r="N180" s="302">
        <v>0.249</v>
      </c>
      <c r="O180" s="302">
        <v>0.23200000000000001</v>
      </c>
      <c r="P180" s="403">
        <v>0.98</v>
      </c>
      <c r="Q180" s="302">
        <v>0.25</v>
      </c>
      <c r="R180" s="302">
        <v>0.23599999999999999</v>
      </c>
      <c r="S180" s="302">
        <v>0.20799999999999999</v>
      </c>
      <c r="T180" s="302">
        <v>0.19700000000000001</v>
      </c>
      <c r="U180" s="403">
        <v>0.89100000000000001</v>
      </c>
      <c r="V180" s="118"/>
      <c r="W180" s="118"/>
      <c r="X180" s="118"/>
      <c r="Y180" s="118"/>
      <c r="Z180" s="401"/>
      <c r="AA180" s="118"/>
      <c r="AB180" s="118"/>
      <c r="AC180" s="118"/>
      <c r="AD180" s="118"/>
      <c r="AE180" s="401"/>
      <c r="AF180" s="118"/>
      <c r="AG180" s="118"/>
      <c r="AH180" s="118"/>
      <c r="AI180" s="118"/>
      <c r="AJ180" s="401"/>
      <c r="AK180" s="118"/>
      <c r="AL180" s="118"/>
      <c r="AM180" s="118"/>
      <c r="AN180" s="118"/>
      <c r="AO180" s="401"/>
      <c r="AP180" s="118"/>
      <c r="AQ180" s="118"/>
      <c r="AR180" s="118"/>
      <c r="AS180" s="118"/>
      <c r="AT180" s="401"/>
      <c r="AU180" s="118"/>
      <c r="AV180" s="118"/>
      <c r="AW180" s="118"/>
      <c r="AX180" s="118"/>
      <c r="AY180" s="401"/>
      <c r="AZ180" s="118"/>
      <c r="BA180" s="118"/>
      <c r="BB180" s="118"/>
      <c r="BC180" s="118"/>
      <c r="BD180" s="401"/>
      <c r="BE180" s="118"/>
      <c r="BF180" s="118"/>
      <c r="BG180" s="118"/>
      <c r="BH180" s="118"/>
      <c r="BI180" s="401"/>
      <c r="BJ180" s="971"/>
      <c r="BK180" s="118"/>
      <c r="BL180" s="118"/>
      <c r="BM180" s="118"/>
      <c r="BN180" s="401"/>
      <c r="BO180" s="118"/>
      <c r="BP180" s="118"/>
      <c r="BQ180" s="118"/>
      <c r="BR180" s="118"/>
      <c r="BS180" s="401"/>
      <c r="BT180" s="401"/>
      <c r="BU180" s="401"/>
      <c r="BV180" s="401"/>
      <c r="BW180" s="122"/>
    </row>
    <row r="181" spans="1:75" hidden="1" outlineLevel="1" x14ac:dyDescent="0.5">
      <c r="A181" s="464" t="s">
        <v>2292</v>
      </c>
      <c r="B181" s="513"/>
      <c r="C181" s="401"/>
      <c r="D181" s="401"/>
      <c r="E181" s="401"/>
      <c r="F181" s="401"/>
      <c r="G181" s="118"/>
      <c r="H181" s="118"/>
      <c r="I181" s="118"/>
      <c r="J181" s="118"/>
      <c r="K181" s="401"/>
      <c r="L181" s="118"/>
      <c r="M181" s="118"/>
      <c r="N181" s="118"/>
      <c r="O181" s="118"/>
      <c r="P181" s="401"/>
      <c r="Q181" s="118"/>
      <c r="R181" s="118"/>
      <c r="S181" s="118"/>
      <c r="T181" s="118"/>
      <c r="U181" s="401"/>
      <c r="V181" s="118"/>
      <c r="W181" s="118"/>
      <c r="X181" s="118"/>
      <c r="Y181" s="118"/>
      <c r="Z181" s="401"/>
      <c r="AA181" s="118"/>
      <c r="AB181" s="118"/>
      <c r="AC181" s="118"/>
      <c r="AD181" s="118"/>
      <c r="AE181" s="401"/>
      <c r="AF181" s="118"/>
      <c r="AG181" s="118"/>
      <c r="AH181" s="118"/>
      <c r="AI181" s="118"/>
      <c r="AJ181" s="401"/>
      <c r="AK181" s="118"/>
      <c r="AL181" s="118"/>
      <c r="AM181" s="118"/>
      <c r="AN181" s="118"/>
      <c r="AO181" s="401"/>
      <c r="AP181" s="118"/>
      <c r="AQ181" s="118"/>
      <c r="AR181" s="118"/>
      <c r="AS181" s="118"/>
      <c r="AT181" s="401"/>
      <c r="AU181" s="118"/>
      <c r="AV181" s="118"/>
      <c r="AW181" s="118"/>
      <c r="AX181" s="118"/>
      <c r="AY181" s="401"/>
      <c r="AZ181" s="118"/>
      <c r="BA181" s="118"/>
      <c r="BB181" s="302">
        <v>31</v>
      </c>
      <c r="BC181" s="118">
        <f>BD181-SUM(AZ181,BA181,BB181)</f>
        <v>0</v>
      </c>
      <c r="BD181" s="403">
        <v>31</v>
      </c>
      <c r="BE181" s="302">
        <v>65</v>
      </c>
      <c r="BF181" s="118"/>
      <c r="BG181" s="118"/>
      <c r="BH181" s="118">
        <f>BI181-SUM(BE181,BF181,BG181)</f>
        <v>0</v>
      </c>
      <c r="BI181" s="403">
        <v>65</v>
      </c>
      <c r="BJ181" s="1207">
        <v>79</v>
      </c>
      <c r="BK181" s="118"/>
      <c r="BL181" s="118"/>
      <c r="BM181" s="118"/>
      <c r="BN181" s="401"/>
      <c r="BO181" s="118"/>
      <c r="BP181" s="118"/>
      <c r="BQ181" s="118"/>
      <c r="BR181" s="118"/>
      <c r="BS181" s="401"/>
      <c r="BT181" s="401"/>
      <c r="BU181" s="401"/>
      <c r="BV181" s="401"/>
      <c r="BW181" s="122"/>
    </row>
    <row r="182" spans="1:75" hidden="1" outlineLevel="1" x14ac:dyDescent="0.5">
      <c r="A182" s="464" t="s">
        <v>2293</v>
      </c>
      <c r="B182" s="513"/>
      <c r="C182" s="401"/>
      <c r="D182" s="401"/>
      <c r="E182" s="401"/>
      <c r="F182" s="401"/>
      <c r="G182" s="118"/>
      <c r="H182" s="118"/>
      <c r="I182" s="118"/>
      <c r="J182" s="118"/>
      <c r="K182" s="401"/>
      <c r="L182" s="118"/>
      <c r="M182" s="118"/>
      <c r="N182" s="118"/>
      <c r="O182" s="118"/>
      <c r="P182" s="401"/>
      <c r="Q182" s="118"/>
      <c r="R182" s="118"/>
      <c r="S182" s="118"/>
      <c r="T182" s="118"/>
      <c r="U182" s="401"/>
      <c r="V182" s="118"/>
      <c r="W182" s="118"/>
      <c r="X182" s="118"/>
      <c r="Y182" s="118"/>
      <c r="Z182" s="401"/>
      <c r="AA182" s="118"/>
      <c r="AB182" s="118"/>
      <c r="AC182" s="118"/>
      <c r="AD182" s="118"/>
      <c r="AE182" s="401"/>
      <c r="AF182" s="118"/>
      <c r="AG182" s="118"/>
      <c r="AH182" s="118"/>
      <c r="AI182" s="118"/>
      <c r="AJ182" s="401"/>
      <c r="AK182" s="118"/>
      <c r="AL182" s="723"/>
      <c r="AM182" s="723"/>
      <c r="AN182" s="118"/>
      <c r="AO182" s="401"/>
      <c r="AP182" s="118"/>
      <c r="AQ182" s="723"/>
      <c r="AR182" s="723"/>
      <c r="AS182" s="118"/>
      <c r="AT182" s="401"/>
      <c r="AU182" s="302">
        <v>12.212</v>
      </c>
      <c r="AV182" s="723"/>
      <c r="AW182" s="723"/>
      <c r="AX182" s="118"/>
      <c r="AY182" s="403">
        <v>12</v>
      </c>
      <c r="AZ182" s="118"/>
      <c r="BA182" s="357">
        <v>40</v>
      </c>
      <c r="BB182" s="723"/>
      <c r="BC182" s="118">
        <f>BD182-SUM(AZ182,BA182,BB182)</f>
        <v>-1</v>
      </c>
      <c r="BD182" s="403">
        <v>39</v>
      </c>
      <c r="BE182" s="302">
        <v>13</v>
      </c>
      <c r="BF182" s="357">
        <v>1</v>
      </c>
      <c r="BG182" s="723"/>
      <c r="BH182" s="118">
        <f>BI182-SUM(BE182,BF182,BG182)</f>
        <v>0</v>
      </c>
      <c r="BI182" s="403">
        <v>14</v>
      </c>
      <c r="BJ182" s="971"/>
      <c r="BK182" s="118"/>
      <c r="BL182" s="118"/>
      <c r="BM182" s="118"/>
      <c r="BN182" s="401"/>
      <c r="BO182" s="118"/>
      <c r="BP182" s="118"/>
      <c r="BQ182" s="118"/>
      <c r="BR182" s="118"/>
      <c r="BS182" s="401"/>
      <c r="BT182" s="401"/>
      <c r="BU182" s="401"/>
      <c r="BV182" s="401"/>
      <c r="BW182" s="122"/>
    </row>
    <row r="183" spans="1:75" hidden="1" outlineLevel="1" x14ac:dyDescent="0.5">
      <c r="A183" s="516" t="s">
        <v>2294</v>
      </c>
      <c r="B183" s="517"/>
      <c r="C183" s="518"/>
      <c r="D183" s="518"/>
      <c r="E183" s="519">
        <f t="shared" ref="E183:BG183" si="164">SUM(E176:E182)</f>
        <v>143.566</v>
      </c>
      <c r="F183" s="519">
        <f t="shared" si="164"/>
        <v>166.54300000000001</v>
      </c>
      <c r="G183" s="520">
        <f t="shared" si="164"/>
        <v>49.458999999999996</v>
      </c>
      <c r="H183" s="520">
        <f t="shared" si="164"/>
        <v>53.375</v>
      </c>
      <c r="I183" s="520">
        <f t="shared" si="164"/>
        <v>62.316000000000003</v>
      </c>
      <c r="J183" s="520">
        <f t="shared" si="164"/>
        <v>75.109999999999985</v>
      </c>
      <c r="K183" s="519">
        <f t="shared" si="164"/>
        <v>240.26</v>
      </c>
      <c r="L183" s="520">
        <f t="shared" si="164"/>
        <v>93.361999999999995</v>
      </c>
      <c r="M183" s="520">
        <f t="shared" si="164"/>
        <v>91.72</v>
      </c>
      <c r="N183" s="520">
        <f t="shared" si="164"/>
        <v>102.89099999999999</v>
      </c>
      <c r="O183" s="520">
        <f t="shared" si="164"/>
        <v>170.90899999999999</v>
      </c>
      <c r="P183" s="519">
        <f t="shared" si="164"/>
        <v>458.88200000000006</v>
      </c>
      <c r="Q183" s="520">
        <f t="shared" si="164"/>
        <v>130.08100000000002</v>
      </c>
      <c r="R183" s="520">
        <f t="shared" si="164"/>
        <v>140.27399999999997</v>
      </c>
      <c r="S183" s="520">
        <f t="shared" si="164"/>
        <v>160.023</v>
      </c>
      <c r="T183" s="520">
        <f t="shared" si="164"/>
        <v>191.69599999999997</v>
      </c>
      <c r="U183" s="519">
        <f t="shared" si="164"/>
        <v>622.07399999999996</v>
      </c>
      <c r="V183" s="520">
        <f t="shared" si="164"/>
        <v>221.16500000000002</v>
      </c>
      <c r="W183" s="520">
        <f t="shared" si="164"/>
        <v>237.244</v>
      </c>
      <c r="X183" s="520">
        <f t="shared" si="164"/>
        <v>263.28100000000001</v>
      </c>
      <c r="Y183" s="520">
        <f t="shared" si="164"/>
        <v>282.33799999999997</v>
      </c>
      <c r="Z183" s="519">
        <f t="shared" si="164"/>
        <v>1004.028</v>
      </c>
      <c r="AA183" s="327">
        <f t="shared" si="164"/>
        <v>293.089</v>
      </c>
      <c r="AB183" s="520">
        <f t="shared" si="164"/>
        <v>307.01799999999997</v>
      </c>
      <c r="AC183" s="520">
        <f t="shared" si="164"/>
        <v>354.26600000000002</v>
      </c>
      <c r="AD183" s="520">
        <f t="shared" si="164"/>
        <v>399.90299999999996</v>
      </c>
      <c r="AE183" s="519">
        <f t="shared" si="164"/>
        <v>1354.2759999999998</v>
      </c>
      <c r="AF183" s="327">
        <f t="shared" si="164"/>
        <v>426.89299999999997</v>
      </c>
      <c r="AG183" s="520">
        <f t="shared" si="164"/>
        <v>480.346</v>
      </c>
      <c r="AH183" s="520">
        <f t="shared" si="164"/>
        <v>538.03600000000006</v>
      </c>
      <c r="AI183" s="520">
        <f t="shared" si="164"/>
        <v>614.72699999999998</v>
      </c>
      <c r="AJ183" s="519">
        <f t="shared" si="164"/>
        <v>2060.002</v>
      </c>
      <c r="AK183" s="327">
        <f t="shared" si="164"/>
        <v>664.09</v>
      </c>
      <c r="AL183" s="520">
        <f t="shared" si="164"/>
        <v>730.77700000000004</v>
      </c>
      <c r="AM183" s="520">
        <f t="shared" si="164"/>
        <v>799.63</v>
      </c>
      <c r="AN183" s="520">
        <f t="shared" si="164"/>
        <v>882.77599999999973</v>
      </c>
      <c r="AO183" s="519">
        <f t="shared" si="164"/>
        <v>3077.2730000000001</v>
      </c>
      <c r="AP183" s="327">
        <f t="shared" si="164"/>
        <v>841.19100000000003</v>
      </c>
      <c r="AQ183" s="520">
        <f t="shared" si="164"/>
        <v>1021.0319999999999</v>
      </c>
      <c r="AR183" s="520">
        <f t="shared" si="164"/>
        <v>925.57399999999996</v>
      </c>
      <c r="AS183" s="520">
        <f t="shared" si="164"/>
        <v>964.02499999999998</v>
      </c>
      <c r="AT183" s="519">
        <f t="shared" si="164"/>
        <v>3751.8220000000001</v>
      </c>
      <c r="AU183" s="327">
        <f t="shared" si="164"/>
        <v>976.68500000000006</v>
      </c>
      <c r="AV183" s="520">
        <f t="shared" si="164"/>
        <v>982.85299999999995</v>
      </c>
      <c r="AW183" s="520">
        <f t="shared" si="164"/>
        <v>952.52600000000007</v>
      </c>
      <c r="AX183" s="520">
        <f t="shared" si="164"/>
        <v>1077.1480000000001</v>
      </c>
      <c r="AY183" s="519">
        <f t="shared" si="164"/>
        <v>3989</v>
      </c>
      <c r="AZ183" s="327">
        <f t="shared" si="164"/>
        <v>1113</v>
      </c>
      <c r="BA183" s="520">
        <f t="shared" si="164"/>
        <v>1268</v>
      </c>
      <c r="BB183" s="520">
        <f t="shared" si="164"/>
        <v>1196</v>
      </c>
      <c r="BC183" s="520">
        <f t="shared" si="164"/>
        <v>1223</v>
      </c>
      <c r="BD183" s="519">
        <f t="shared" si="164"/>
        <v>4800</v>
      </c>
      <c r="BE183" s="327">
        <f t="shared" si="164"/>
        <v>1168</v>
      </c>
      <c r="BF183" s="520">
        <f t="shared" si="164"/>
        <v>1127</v>
      </c>
      <c r="BG183" s="520">
        <f t="shared" si="164"/>
        <v>1069</v>
      </c>
      <c r="BH183" s="520">
        <f>SUM(BH176:BH182)</f>
        <v>1116</v>
      </c>
      <c r="BI183" s="519">
        <f>SUM(BI176:BI182)</f>
        <v>4480</v>
      </c>
      <c r="BJ183" s="1026">
        <f>SUM(BJ176:BJ182)</f>
        <v>1054</v>
      </c>
      <c r="BK183" s="327"/>
      <c r="BL183" s="327"/>
      <c r="BM183" s="327"/>
      <c r="BN183" s="518"/>
      <c r="BO183" s="327"/>
      <c r="BP183" s="327"/>
      <c r="BQ183" s="327"/>
      <c r="BR183" s="327"/>
      <c r="BS183" s="518"/>
      <c r="BT183" s="518"/>
      <c r="BU183" s="518"/>
      <c r="BV183" s="518"/>
      <c r="BW183" s="197"/>
    </row>
    <row r="184" spans="1:75" hidden="1" outlineLevel="1" x14ac:dyDescent="0.5">
      <c r="A184" s="463" t="s">
        <v>2295</v>
      </c>
      <c r="B184" s="522"/>
      <c r="C184" s="397"/>
      <c r="D184" s="397"/>
      <c r="E184" s="672">
        <f t="shared" ref="E184:BI184" si="165">E175-E183</f>
        <v>-12.054000000000002</v>
      </c>
      <c r="F184" s="672">
        <f t="shared" si="165"/>
        <v>-21.394000000000005</v>
      </c>
      <c r="G184" s="197">
        <f t="shared" si="165"/>
        <v>-5.426000000000009</v>
      </c>
      <c r="H184" s="197">
        <f t="shared" si="165"/>
        <v>-2.5369999999999777</v>
      </c>
      <c r="I184" s="197">
        <f t="shared" si="165"/>
        <v>-3.6700000000000159</v>
      </c>
      <c r="J184" s="197">
        <f t="shared" si="165"/>
        <v>-4.3859999999999957</v>
      </c>
      <c r="K184" s="672">
        <f t="shared" si="165"/>
        <v>-16.019000000000005</v>
      </c>
      <c r="L184" s="197">
        <f t="shared" si="165"/>
        <v>-28.155000000000001</v>
      </c>
      <c r="M184" s="197">
        <f t="shared" si="165"/>
        <v>-23.265999999999991</v>
      </c>
      <c r="N184" s="197">
        <f t="shared" si="165"/>
        <v>-23.864000000000004</v>
      </c>
      <c r="O184" s="197">
        <f t="shared" si="165"/>
        <v>-72.498999999999967</v>
      </c>
      <c r="P184" s="672">
        <f t="shared" si="165"/>
        <v>-147.78399999999999</v>
      </c>
      <c r="Q184" s="197">
        <f t="shared" si="165"/>
        <v>-27.246000000000038</v>
      </c>
      <c r="R184" s="197">
        <f t="shared" si="165"/>
        <v>-19.472999999999985</v>
      </c>
      <c r="S184" s="197">
        <f t="shared" si="165"/>
        <v>-18.637000000000029</v>
      </c>
      <c r="T184" s="197">
        <f t="shared" si="165"/>
        <v>-15.993999999999971</v>
      </c>
      <c r="U184" s="672">
        <f t="shared" si="165"/>
        <v>-81.349999999999795</v>
      </c>
      <c r="V184" s="197">
        <f t="shared" si="165"/>
        <v>-42.109000000000094</v>
      </c>
      <c r="W184" s="197">
        <f t="shared" si="165"/>
        <v>-48.72999999999999</v>
      </c>
      <c r="X184" s="197">
        <f t="shared" si="165"/>
        <v>-61.620000000000061</v>
      </c>
      <c r="Y184" s="197">
        <f t="shared" si="165"/>
        <v>-43.758000000000038</v>
      </c>
      <c r="Z184" s="672">
        <f t="shared" si="165"/>
        <v>-196.21699999999987</v>
      </c>
      <c r="AA184" s="295">
        <f t="shared" si="165"/>
        <v>-56.20599999999996</v>
      </c>
      <c r="AB184" s="197">
        <f t="shared" si="165"/>
        <v>-37.551999999999964</v>
      </c>
      <c r="AC184" s="197">
        <f t="shared" si="165"/>
        <v>-73.956999999999937</v>
      </c>
      <c r="AD184" s="197">
        <f t="shared" si="165"/>
        <v>-67.737999999999545</v>
      </c>
      <c r="AE184" s="672">
        <f t="shared" si="165"/>
        <v>-235.45299999999952</v>
      </c>
      <c r="AF184" s="295">
        <f t="shared" si="165"/>
        <v>-103.0689999999999</v>
      </c>
      <c r="AG184" s="197">
        <f t="shared" si="165"/>
        <v>-95.338999999999942</v>
      </c>
      <c r="AH184" s="197">
        <f t="shared" si="165"/>
        <v>-145.26600000000008</v>
      </c>
      <c r="AI184" s="197">
        <f t="shared" si="165"/>
        <v>-129.60500000000013</v>
      </c>
      <c r="AJ184" s="672">
        <f t="shared" si="165"/>
        <v>-473.279</v>
      </c>
      <c r="AK184" s="295">
        <f t="shared" si="165"/>
        <v>-193.63400000000013</v>
      </c>
      <c r="AL184" s="197">
        <f t="shared" si="165"/>
        <v>-171.17699999999991</v>
      </c>
      <c r="AM184" s="197">
        <f t="shared" si="165"/>
        <v>-259.70899999999995</v>
      </c>
      <c r="AN184" s="197">
        <f t="shared" si="165"/>
        <v>-305.42099999999925</v>
      </c>
      <c r="AO184" s="672">
        <f t="shared" si="165"/>
        <v>-929.9409999999998</v>
      </c>
      <c r="AP184" s="295">
        <f t="shared" si="165"/>
        <v>-262.06799999999998</v>
      </c>
      <c r="AQ184" s="197">
        <f t="shared" si="165"/>
        <v>299.99799999999982</v>
      </c>
      <c r="AR184" s="197">
        <f t="shared" si="165"/>
        <v>221.85400000000038</v>
      </c>
      <c r="AS184" s="197">
        <f t="shared" si="165"/>
        <v>100.56500000000017</v>
      </c>
      <c r="AT184" s="672">
        <f t="shared" si="165"/>
        <v>360.34900000000016</v>
      </c>
      <c r="AU184" s="295">
        <f t="shared" si="165"/>
        <v>26.341999999999985</v>
      </c>
      <c r="AV184" s="197">
        <f t="shared" si="165"/>
        <v>145.20700000000045</v>
      </c>
      <c r="AW184" s="197">
        <f t="shared" si="165"/>
        <v>-69.798000000000002</v>
      </c>
      <c r="AX184" s="197">
        <f t="shared" si="165"/>
        <v>-195.96300000000065</v>
      </c>
      <c r="AY184" s="672">
        <f t="shared" si="165"/>
        <v>-94</v>
      </c>
      <c r="AZ184" s="295">
        <f t="shared" si="165"/>
        <v>-310</v>
      </c>
      <c r="BA184" s="197">
        <f t="shared" si="165"/>
        <v>-372</v>
      </c>
      <c r="BB184" s="197">
        <f t="shared" si="165"/>
        <v>-372</v>
      </c>
      <c r="BC184" s="197">
        <f t="shared" si="165"/>
        <v>-330</v>
      </c>
      <c r="BD184" s="672">
        <f t="shared" si="165"/>
        <v>-1384</v>
      </c>
      <c r="BE184" s="295">
        <f t="shared" si="165"/>
        <v>-347</v>
      </c>
      <c r="BF184" s="197">
        <f t="shared" si="165"/>
        <v>-142</v>
      </c>
      <c r="BG184" s="197">
        <f t="shared" si="165"/>
        <v>-152</v>
      </c>
      <c r="BH184" s="197">
        <f t="shared" si="165"/>
        <v>-172</v>
      </c>
      <c r="BI184" s="672">
        <f t="shared" si="165"/>
        <v>-813</v>
      </c>
      <c r="BJ184" s="1030">
        <f>BJ175-BJ183</f>
        <v>-235</v>
      </c>
      <c r="BK184" s="295"/>
      <c r="BL184" s="295"/>
      <c r="BM184" s="295"/>
      <c r="BN184" s="397"/>
      <c r="BO184" s="295"/>
      <c r="BP184" s="295"/>
      <c r="BQ184" s="295"/>
      <c r="BR184" s="295"/>
      <c r="BS184" s="397"/>
      <c r="BT184" s="397"/>
      <c r="BU184" s="397"/>
      <c r="BV184" s="397"/>
      <c r="BW184" s="197"/>
    </row>
    <row r="185" spans="1:75" hidden="1" outlineLevel="1" x14ac:dyDescent="0.5">
      <c r="A185" s="464" t="s">
        <v>2296</v>
      </c>
      <c r="B185" s="513"/>
      <c r="C185" s="401"/>
      <c r="D185" s="401"/>
      <c r="E185" s="403">
        <v>0.157</v>
      </c>
      <c r="F185" s="403">
        <v>0.23400000000000001</v>
      </c>
      <c r="G185" s="302">
        <v>6.7000000000000004E-2</v>
      </c>
      <c r="H185" s="302">
        <v>5.7000000000000002E-2</v>
      </c>
      <c r="I185" s="302">
        <v>6.0999999999999999E-2</v>
      </c>
      <c r="J185" s="122">
        <f>K185-SUM(G185,H185,I185)</f>
        <v>0.06</v>
      </c>
      <c r="K185" s="403">
        <v>0.245</v>
      </c>
      <c r="L185" s="302">
        <v>5.6000000000000001E-2</v>
      </c>
      <c r="M185" s="302">
        <v>7.6999999999999999E-2</v>
      </c>
      <c r="N185" s="302">
        <v>8.8999999999999996E-2</v>
      </c>
      <c r="O185" s="302">
        <v>0.128</v>
      </c>
      <c r="P185" s="403">
        <v>0.35</v>
      </c>
      <c r="Q185" s="302">
        <v>0.26400000000000001</v>
      </c>
      <c r="R185" s="302">
        <v>0.308</v>
      </c>
      <c r="S185" s="302">
        <v>0.32500000000000001</v>
      </c>
      <c r="T185" s="302">
        <v>0.38700000000000001</v>
      </c>
      <c r="U185" s="403">
        <v>1.284</v>
      </c>
      <c r="V185" s="302">
        <v>0.55200000000000005</v>
      </c>
      <c r="W185" s="302">
        <v>0.53100000000000003</v>
      </c>
      <c r="X185" s="302">
        <v>-0.29199999999999998</v>
      </c>
      <c r="Y185" s="302">
        <v>-9.7000000000000003E-2</v>
      </c>
      <c r="Z185" s="403">
        <v>0.69399999999999995</v>
      </c>
      <c r="AA185" s="302">
        <v>-0.29899999999999999</v>
      </c>
      <c r="AB185" s="302">
        <v>-1.55</v>
      </c>
      <c r="AC185" s="302">
        <v>-2.008</v>
      </c>
      <c r="AD185" s="122">
        <f>AE185-SUM(AA185,AB185,AC185)</f>
        <v>-5.5759999999999996</v>
      </c>
      <c r="AE185" s="403">
        <v>-9.4329999999999998</v>
      </c>
      <c r="AF185" s="302">
        <v>-5.407</v>
      </c>
      <c r="AG185" s="302">
        <v>-5.7960000000000003</v>
      </c>
      <c r="AH185" s="302">
        <v>-7.0659999999999998</v>
      </c>
      <c r="AI185" s="122">
        <f>AJ185-SUM(AF185,AG185,AH185)</f>
        <v>-10.291</v>
      </c>
      <c r="AJ185" s="403">
        <v>-28.56</v>
      </c>
      <c r="AK185" s="302">
        <v>-9.2379999999999995</v>
      </c>
      <c r="AL185" s="302">
        <v>-10.252000000000001</v>
      </c>
      <c r="AM185" s="302">
        <v>-14.432</v>
      </c>
      <c r="AN185" s="122">
        <f>AO185-SUM(AK185,AL185,AM185)</f>
        <v>-20.591999999999999</v>
      </c>
      <c r="AO185" s="403">
        <v>-54.514000000000003</v>
      </c>
      <c r="AP185" s="302">
        <v>-22.218</v>
      </c>
      <c r="AQ185" s="302">
        <v>-28.939</v>
      </c>
      <c r="AR185" s="302">
        <v>-36.314999999999998</v>
      </c>
      <c r="AS185" s="122">
        <f>AT185-SUM(AP185,AQ185,AR185)</f>
        <v>-58.924999999999997</v>
      </c>
      <c r="AT185" s="403">
        <v>-146.39699999999999</v>
      </c>
      <c r="AU185" s="302">
        <v>-6.8120000000000003</v>
      </c>
      <c r="AV185" s="302">
        <v>-8.4019999999999992</v>
      </c>
      <c r="AW185" s="302">
        <v>-8.4060000000000006</v>
      </c>
      <c r="AX185" s="122">
        <f>AY185-SUM(AU185,AV185,AW185)</f>
        <v>-8.3800000000000026</v>
      </c>
      <c r="AY185" s="403">
        <v>-32</v>
      </c>
      <c r="AZ185" s="302">
        <v>-8</v>
      </c>
      <c r="BA185" s="302">
        <v>-6</v>
      </c>
      <c r="BB185" s="302">
        <v>-5</v>
      </c>
      <c r="BC185" s="122">
        <f>BD185-SUM(AZ185,BA185,BB185)</f>
        <v>-8</v>
      </c>
      <c r="BD185" s="403">
        <v>-27</v>
      </c>
      <c r="BE185" s="302">
        <v>-5</v>
      </c>
      <c r="BF185" s="302">
        <v>-5</v>
      </c>
      <c r="BG185" s="302">
        <v>-5</v>
      </c>
      <c r="BH185" s="122">
        <f>BI185-SUM(BE185,BF185,BG185)</f>
        <v>-2</v>
      </c>
      <c r="BI185" s="403">
        <v>-17</v>
      </c>
      <c r="BJ185" s="1207">
        <v>-6</v>
      </c>
      <c r="BK185" s="118"/>
      <c r="BL185" s="118"/>
      <c r="BM185" s="118"/>
      <c r="BN185" s="401"/>
      <c r="BO185" s="118"/>
      <c r="BP185" s="118"/>
      <c r="BQ185" s="118"/>
      <c r="BR185" s="118"/>
      <c r="BS185" s="401"/>
      <c r="BT185" s="401"/>
      <c r="BU185" s="401"/>
      <c r="BV185" s="401"/>
      <c r="BW185" s="122"/>
    </row>
    <row r="186" spans="1:75" hidden="1" outlineLevel="1" x14ac:dyDescent="0.5">
      <c r="A186" s="464" t="s">
        <v>2297</v>
      </c>
      <c r="B186" s="513"/>
      <c r="C186" s="401"/>
      <c r="D186" s="401"/>
      <c r="E186" s="403">
        <f>1.425-0.675</f>
        <v>0.75</v>
      </c>
      <c r="F186" s="403">
        <v>0.155</v>
      </c>
      <c r="G186" s="302">
        <v>-0.38400000000000001</v>
      </c>
      <c r="H186" s="302">
        <v>-0.12</v>
      </c>
      <c r="I186" s="302">
        <v>0.57899999999999996</v>
      </c>
      <c r="J186" s="122">
        <f>K186-SUM(G186,H186,I186)</f>
        <v>0.21900000000000003</v>
      </c>
      <c r="K186" s="403">
        <v>0.29399999999999998</v>
      </c>
      <c r="L186" s="302">
        <v>8.7999999999999995E-2</v>
      </c>
      <c r="M186" s="302">
        <v>-0.184</v>
      </c>
      <c r="N186" s="302">
        <v>-0.309</v>
      </c>
      <c r="O186" s="302">
        <v>-8.4000000000000005E-2</v>
      </c>
      <c r="P186" s="403">
        <v>-0.48899999999999999</v>
      </c>
      <c r="Q186" s="302">
        <v>-0.108</v>
      </c>
      <c r="R186" s="302">
        <v>-9.6000000000000002E-2</v>
      </c>
      <c r="S186" s="302">
        <v>2.746</v>
      </c>
      <c r="T186" s="302">
        <v>0.17599999999999999</v>
      </c>
      <c r="U186" s="403">
        <v>2.718</v>
      </c>
      <c r="V186" s="302">
        <v>0.66900000000000004</v>
      </c>
      <c r="W186" s="302">
        <v>0.246</v>
      </c>
      <c r="X186" s="302">
        <v>0.88900000000000001</v>
      </c>
      <c r="Y186" s="302">
        <v>-4.8000000000000001E-2</v>
      </c>
      <c r="Z186" s="403">
        <v>1.756</v>
      </c>
      <c r="AA186" s="302">
        <v>0.17599999999999999</v>
      </c>
      <c r="AB186" s="302">
        <v>0.45100000000000001</v>
      </c>
      <c r="AC186" s="302">
        <v>-0.22700000000000001</v>
      </c>
      <c r="AD186" s="122">
        <f>AE186-SUM(AA186,AB186,AC186)</f>
        <v>0.35799999999999998</v>
      </c>
      <c r="AE186" s="403">
        <v>0.75800000000000001</v>
      </c>
      <c r="AF186" s="302">
        <v>0.94099999999999995</v>
      </c>
      <c r="AG186" s="302">
        <v>0.66600000000000004</v>
      </c>
      <c r="AH186" s="302">
        <v>1.054</v>
      </c>
      <c r="AI186" s="122">
        <f>AJ186-SUM(AF186,AG186,AH186)</f>
        <v>-2.8650000000000002</v>
      </c>
      <c r="AJ186" s="403">
        <v>-0.20399999999999999</v>
      </c>
      <c r="AK186" s="302">
        <v>3.0779999999999998</v>
      </c>
      <c r="AL186" s="302">
        <v>0.32200000000000001</v>
      </c>
      <c r="AM186" s="302">
        <v>2.1819999999999999</v>
      </c>
      <c r="AN186" s="122">
        <f>AO186-SUM(AK186,AL186,AM186)</f>
        <v>-2.7010000000000001</v>
      </c>
      <c r="AO186" s="403">
        <v>2.8809999999999998</v>
      </c>
      <c r="AP186" s="302">
        <v>-0.246</v>
      </c>
      <c r="AQ186" s="302">
        <v>3.11</v>
      </c>
      <c r="AR186" s="302">
        <v>-13.584</v>
      </c>
      <c r="AS186" s="122">
        <f>AT186-SUM(AP186,AQ186,AR186)</f>
        <v>2.0869999999999997</v>
      </c>
      <c r="AT186" s="403">
        <v>-8.6329999999999991</v>
      </c>
      <c r="AU186" s="302">
        <v>-3.298</v>
      </c>
      <c r="AV186" s="302">
        <v>-2.2480000000000002</v>
      </c>
      <c r="AW186" s="302">
        <v>3.8889999999999998</v>
      </c>
      <c r="AX186" s="122">
        <f>AY186-SUM(AU186,AV186,AW186)</f>
        <v>-2.3429999999999995</v>
      </c>
      <c r="AY186" s="403">
        <v>-4</v>
      </c>
      <c r="AZ186" s="118"/>
      <c r="BA186" s="302">
        <v>1</v>
      </c>
      <c r="BB186" s="302">
        <v>-1</v>
      </c>
      <c r="BC186" s="122">
        <f>BD186-SUM(AZ186,BA186,BB186)</f>
        <v>-4</v>
      </c>
      <c r="BD186" s="403">
        <v>-4</v>
      </c>
      <c r="BE186" s="302">
        <v>-1</v>
      </c>
      <c r="BF186" s="302">
        <v>3</v>
      </c>
      <c r="BG186" s="302">
        <v>-4</v>
      </c>
      <c r="BH186" s="122">
        <f>BI186-SUM(BE186,BF186,BG186)</f>
        <v>3</v>
      </c>
      <c r="BI186" s="403">
        <v>1</v>
      </c>
      <c r="BJ186" s="1207">
        <v>-4</v>
      </c>
      <c r="BK186" s="118"/>
      <c r="BL186" s="118"/>
      <c r="BM186" s="118"/>
      <c r="BN186" s="401"/>
      <c r="BO186" s="118"/>
      <c r="BP186" s="118"/>
      <c r="BQ186" s="118"/>
      <c r="BR186" s="118"/>
      <c r="BS186" s="401"/>
      <c r="BT186" s="401"/>
      <c r="BU186" s="401"/>
      <c r="BV186" s="401"/>
      <c r="BW186" s="122"/>
    </row>
    <row r="187" spans="1:75" hidden="1" outlineLevel="1" x14ac:dyDescent="0.5">
      <c r="A187" s="1292" t="s">
        <v>2298</v>
      </c>
      <c r="B187" s="677"/>
      <c r="C187" s="406"/>
      <c r="D187" s="406"/>
      <c r="E187" s="406"/>
      <c r="F187" s="406"/>
      <c r="G187" s="723"/>
      <c r="H187" s="723"/>
      <c r="I187" s="723"/>
      <c r="J187" s="723"/>
      <c r="K187" s="406"/>
      <c r="L187" s="723"/>
      <c r="M187" s="723"/>
      <c r="N187" s="723"/>
      <c r="O187" s="723"/>
      <c r="P187" s="406"/>
      <c r="Q187" s="723"/>
      <c r="R187" s="723"/>
      <c r="S187" s="723"/>
      <c r="T187" s="723"/>
      <c r="U187" s="406"/>
      <c r="V187" s="723"/>
      <c r="W187" s="723"/>
      <c r="X187" s="723"/>
      <c r="Y187" s="723"/>
      <c r="Z187" s="406"/>
      <c r="AA187" s="723"/>
      <c r="AB187" s="723"/>
      <c r="AC187" s="723"/>
      <c r="AD187" s="723"/>
      <c r="AE187" s="406"/>
      <c r="AF187" s="723"/>
      <c r="AG187" s="723"/>
      <c r="AH187" s="723"/>
      <c r="AI187" s="723"/>
      <c r="AJ187" s="406"/>
      <c r="AK187" s="723"/>
      <c r="AL187" s="723"/>
      <c r="AM187" s="723"/>
      <c r="AN187" s="723"/>
      <c r="AO187" s="406"/>
      <c r="AP187" s="723"/>
      <c r="AQ187" s="723"/>
      <c r="AR187" s="723"/>
      <c r="AS187" s="723"/>
      <c r="AT187" s="406"/>
      <c r="AU187" s="723"/>
      <c r="AV187" s="723"/>
      <c r="AW187" s="723"/>
      <c r="AX187" s="723"/>
      <c r="AY187" s="406"/>
      <c r="AZ187" s="723"/>
      <c r="BA187" s="723"/>
      <c r="BB187" s="357">
        <v>96</v>
      </c>
      <c r="BC187" s="723">
        <f>BD187-SUM(AZ187,BA187,BB187)</f>
        <v>0</v>
      </c>
      <c r="BD187" s="408">
        <v>96</v>
      </c>
      <c r="BE187" s="723"/>
      <c r="BF187" s="357">
        <v>100</v>
      </c>
      <c r="BG187" s="723"/>
      <c r="BH187" s="118">
        <f>BI187-SUM(BE187,BF187,BG187)</f>
        <v>0</v>
      </c>
      <c r="BI187" s="408">
        <v>100</v>
      </c>
      <c r="BJ187" s="1049"/>
      <c r="BK187" s="118"/>
      <c r="BL187" s="118"/>
      <c r="BM187" s="118"/>
      <c r="BN187" s="401"/>
      <c r="BO187" s="118"/>
      <c r="BP187" s="118"/>
      <c r="BQ187" s="118"/>
      <c r="BR187" s="118"/>
      <c r="BS187" s="401"/>
      <c r="BT187" s="401"/>
      <c r="BU187" s="401"/>
      <c r="BV187" s="401"/>
      <c r="BW187" s="122"/>
    </row>
    <row r="188" spans="1:75" hidden="1" outlineLevel="1" x14ac:dyDescent="0.5">
      <c r="A188" s="516" t="s">
        <v>2299</v>
      </c>
      <c r="B188" s="517"/>
      <c r="C188" s="518"/>
      <c r="D188" s="518"/>
      <c r="E188" s="519">
        <f t="shared" ref="E188:BA188" si="166">E184+SUM(E185:E187)</f>
        <v>-11.147000000000002</v>
      </c>
      <c r="F188" s="519">
        <f t="shared" si="166"/>
        <v>-21.005000000000006</v>
      </c>
      <c r="G188" s="520">
        <f t="shared" si="166"/>
        <v>-5.7430000000000092</v>
      </c>
      <c r="H188" s="520">
        <f t="shared" si="166"/>
        <v>-2.5999999999999779</v>
      </c>
      <c r="I188" s="520">
        <f t="shared" si="166"/>
        <v>-3.0300000000000162</v>
      </c>
      <c r="J188" s="520">
        <f t="shared" si="166"/>
        <v>-4.1069999999999958</v>
      </c>
      <c r="K188" s="519">
        <f t="shared" si="166"/>
        <v>-15.480000000000006</v>
      </c>
      <c r="L188" s="520">
        <f t="shared" si="166"/>
        <v>-28.011000000000003</v>
      </c>
      <c r="M188" s="520">
        <f t="shared" si="166"/>
        <v>-23.37299999999999</v>
      </c>
      <c r="N188" s="520">
        <f t="shared" si="166"/>
        <v>-24.084000000000003</v>
      </c>
      <c r="O188" s="520">
        <f t="shared" si="166"/>
        <v>-72.45499999999997</v>
      </c>
      <c r="P188" s="519">
        <f t="shared" si="166"/>
        <v>-147.923</v>
      </c>
      <c r="Q188" s="520">
        <f t="shared" si="166"/>
        <v>-27.090000000000039</v>
      </c>
      <c r="R188" s="520">
        <f t="shared" si="166"/>
        <v>-19.260999999999985</v>
      </c>
      <c r="S188" s="520">
        <f t="shared" si="166"/>
        <v>-15.566000000000029</v>
      </c>
      <c r="T188" s="520">
        <f t="shared" si="166"/>
        <v>-15.430999999999971</v>
      </c>
      <c r="U188" s="519">
        <f t="shared" si="166"/>
        <v>-77.3479999999998</v>
      </c>
      <c r="V188" s="520">
        <f t="shared" si="166"/>
        <v>-40.88800000000009</v>
      </c>
      <c r="W188" s="520">
        <f t="shared" si="166"/>
        <v>-47.952999999999989</v>
      </c>
      <c r="X188" s="520">
        <f t="shared" si="166"/>
        <v>-61.02300000000006</v>
      </c>
      <c r="Y188" s="520">
        <f t="shared" si="166"/>
        <v>-43.903000000000041</v>
      </c>
      <c r="Z188" s="519">
        <f t="shared" si="166"/>
        <v>-193.76699999999988</v>
      </c>
      <c r="AA188" s="327">
        <f t="shared" si="166"/>
        <v>-56.328999999999958</v>
      </c>
      <c r="AB188" s="520">
        <f t="shared" si="166"/>
        <v>-38.650999999999961</v>
      </c>
      <c r="AC188" s="520">
        <f t="shared" si="166"/>
        <v>-76.191999999999936</v>
      </c>
      <c r="AD188" s="520">
        <f t="shared" si="166"/>
        <v>-72.955999999999548</v>
      </c>
      <c r="AE188" s="519">
        <f t="shared" si="166"/>
        <v>-244.12799999999953</v>
      </c>
      <c r="AF188" s="327">
        <f t="shared" si="166"/>
        <v>-107.5349999999999</v>
      </c>
      <c r="AG188" s="520">
        <f t="shared" si="166"/>
        <v>-100.46899999999994</v>
      </c>
      <c r="AH188" s="520">
        <f t="shared" si="166"/>
        <v>-151.27800000000008</v>
      </c>
      <c r="AI188" s="520">
        <f t="shared" si="166"/>
        <v>-142.76100000000014</v>
      </c>
      <c r="AJ188" s="519">
        <f t="shared" si="166"/>
        <v>-502.04300000000001</v>
      </c>
      <c r="AK188" s="327">
        <f t="shared" si="166"/>
        <v>-199.79400000000012</v>
      </c>
      <c r="AL188" s="520">
        <f t="shared" si="166"/>
        <v>-181.10699999999991</v>
      </c>
      <c r="AM188" s="520">
        <f t="shared" si="166"/>
        <v>-271.95899999999995</v>
      </c>
      <c r="AN188" s="520">
        <f t="shared" si="166"/>
        <v>-328.71399999999926</v>
      </c>
      <c r="AO188" s="519">
        <f t="shared" si="166"/>
        <v>-981.57399999999984</v>
      </c>
      <c r="AP188" s="327">
        <f t="shared" si="166"/>
        <v>-284.53199999999998</v>
      </c>
      <c r="AQ188" s="520">
        <f t="shared" si="166"/>
        <v>274.16899999999981</v>
      </c>
      <c r="AR188" s="520">
        <f t="shared" si="166"/>
        <v>171.95500000000038</v>
      </c>
      <c r="AS188" s="520">
        <f t="shared" si="166"/>
        <v>43.727000000000174</v>
      </c>
      <c r="AT188" s="519">
        <f t="shared" si="166"/>
        <v>205.31900000000016</v>
      </c>
      <c r="AU188" s="327">
        <f t="shared" si="166"/>
        <v>16.231999999999985</v>
      </c>
      <c r="AV188" s="520">
        <f t="shared" si="166"/>
        <v>134.55700000000044</v>
      </c>
      <c r="AW188" s="520">
        <f t="shared" si="166"/>
        <v>-74.314999999999998</v>
      </c>
      <c r="AX188" s="520">
        <f t="shared" si="166"/>
        <v>-206.68600000000066</v>
      </c>
      <c r="AY188" s="519">
        <f t="shared" si="166"/>
        <v>-130</v>
      </c>
      <c r="AZ188" s="327">
        <f t="shared" si="166"/>
        <v>-318</v>
      </c>
      <c r="BA188" s="520">
        <f t="shared" si="166"/>
        <v>-377</v>
      </c>
      <c r="BB188" s="520">
        <f t="shared" ref="BB188:BG188" si="167">BB184+SUM(BB185:BB187)</f>
        <v>-282</v>
      </c>
      <c r="BC188" s="520">
        <f t="shared" si="167"/>
        <v>-342</v>
      </c>
      <c r="BD188" s="519">
        <f t="shared" si="167"/>
        <v>-1319</v>
      </c>
      <c r="BE188" s="327">
        <f t="shared" si="167"/>
        <v>-353</v>
      </c>
      <c r="BF188" s="520">
        <f t="shared" si="167"/>
        <v>-44</v>
      </c>
      <c r="BG188" s="520">
        <f t="shared" si="167"/>
        <v>-161</v>
      </c>
      <c r="BH188" s="520">
        <f>BH184+SUM(BH185:BH187)</f>
        <v>-171</v>
      </c>
      <c r="BI188" s="672">
        <f>BI184+SUM(BI185:BI187)</f>
        <v>-729</v>
      </c>
      <c r="BJ188" s="1026">
        <f>BJ184+SUM(BJ185:BJ187)</f>
        <v>-245</v>
      </c>
      <c r="BK188" s="327"/>
      <c r="BL188" s="327"/>
      <c r="BM188" s="327"/>
      <c r="BN188" s="518"/>
      <c r="BO188" s="327"/>
      <c r="BP188" s="327"/>
      <c r="BQ188" s="327"/>
      <c r="BR188" s="327"/>
      <c r="BS188" s="518"/>
      <c r="BT188" s="518"/>
      <c r="BU188" s="518"/>
      <c r="BV188" s="518"/>
      <c r="BW188" s="197"/>
    </row>
    <row r="189" spans="1:75" hidden="1" outlineLevel="1" x14ac:dyDescent="0.5">
      <c r="A189" s="464" t="s">
        <v>2300</v>
      </c>
      <c r="B189" s="513"/>
      <c r="C189" s="401"/>
      <c r="D189" s="401"/>
      <c r="E189" s="403">
        <v>2.1999999999999999E-2</v>
      </c>
      <c r="F189" s="403">
        <v>0.05</v>
      </c>
      <c r="G189" s="302">
        <v>0</v>
      </c>
      <c r="H189" s="302">
        <v>-5.0000000000000001E-3</v>
      </c>
      <c r="I189" s="302">
        <v>1E-3</v>
      </c>
      <c r="J189" s="122">
        <f>K189-SUM(G189,H189,I189)</f>
        <v>0.05</v>
      </c>
      <c r="K189" s="403">
        <v>4.5999999999999999E-2</v>
      </c>
      <c r="L189" s="302">
        <v>1.4999999999999999E-2</v>
      </c>
      <c r="M189" s="302">
        <v>2E-3</v>
      </c>
      <c r="N189" s="302">
        <v>5.8999999999999997E-2</v>
      </c>
      <c r="O189" s="302">
        <v>9.9000000000000005E-2</v>
      </c>
      <c r="P189" s="403">
        <v>0.17499999999999999</v>
      </c>
      <c r="Q189" s="302">
        <v>4.5999999999999999E-2</v>
      </c>
      <c r="R189" s="302">
        <v>7.2999999999999995E-2</v>
      </c>
      <c r="S189" s="302">
        <v>-8.7999999999999995E-2</v>
      </c>
      <c r="T189" s="302">
        <v>6.4000000000000001E-2</v>
      </c>
      <c r="U189" s="403">
        <v>9.5000000000000001E-2</v>
      </c>
      <c r="V189" s="302">
        <v>0.317</v>
      </c>
      <c r="W189" s="302">
        <v>0.32100000000000001</v>
      </c>
      <c r="X189" s="302">
        <v>-8.3000000000000004E-2</v>
      </c>
      <c r="Y189" s="302">
        <v>5.2999999999999999E-2</v>
      </c>
      <c r="Z189" s="403">
        <v>0.60799999999999998</v>
      </c>
      <c r="AA189" s="302">
        <v>0.21</v>
      </c>
      <c r="AB189" s="302">
        <v>0.224</v>
      </c>
      <c r="AC189" s="302">
        <v>0.23699999999999999</v>
      </c>
      <c r="AD189" s="122">
        <f>AE189-SUM(AA189,AB189,AC189)</f>
        <v>-0.18500000000000005</v>
      </c>
      <c r="AE189" s="403">
        <v>0.48599999999999999</v>
      </c>
      <c r="AF189" s="302">
        <v>0.24</v>
      </c>
      <c r="AG189" s="302">
        <v>0.26500000000000001</v>
      </c>
      <c r="AH189" s="302">
        <v>0.44800000000000001</v>
      </c>
      <c r="AI189" s="122">
        <f>AJ189-SUM(AF189,AG189,AH189)</f>
        <v>1.0839999999999999</v>
      </c>
      <c r="AJ189" s="403">
        <v>2.0369999999999999</v>
      </c>
      <c r="AK189" s="357">
        <v>0.59499999999999997</v>
      </c>
      <c r="AL189" s="357">
        <v>0.83099999999999996</v>
      </c>
      <c r="AM189" s="357">
        <v>7.5999999999999998E-2</v>
      </c>
      <c r="AN189" s="122">
        <f>AO189-SUM(AK189,AL189,AM189)</f>
        <v>1.5079999999999998</v>
      </c>
      <c r="AO189" s="403">
        <v>3.01</v>
      </c>
      <c r="AP189" s="357">
        <v>1.333</v>
      </c>
      <c r="AQ189" s="357">
        <v>0.29199999999999998</v>
      </c>
      <c r="AR189" s="357">
        <v>-1.2110000000000001</v>
      </c>
      <c r="AS189" s="122">
        <f>AT189-SUM(AP189,AQ189,AR189)</f>
        <v>19.908999999999999</v>
      </c>
      <c r="AT189" s="403">
        <v>20.323</v>
      </c>
      <c r="AU189" s="357">
        <v>-2.0019999999999998</v>
      </c>
      <c r="AV189" s="357">
        <v>4.1289999999999996</v>
      </c>
      <c r="AW189" s="357">
        <v>3.706</v>
      </c>
      <c r="AX189" s="122">
        <f>AY189-SUM(AU189,AV189,AW189)</f>
        <v>-4.8330000000000002</v>
      </c>
      <c r="AY189" s="403">
        <v>1</v>
      </c>
      <c r="AZ189" s="357">
        <v>1</v>
      </c>
      <c r="BA189" s="357">
        <v>1</v>
      </c>
      <c r="BB189" s="357">
        <v>1</v>
      </c>
      <c r="BC189" s="122">
        <f>BD189-SUM(AZ189,BA189,BB189)</f>
        <v>9</v>
      </c>
      <c r="BD189" s="403">
        <v>12</v>
      </c>
      <c r="BE189" s="357">
        <v>2</v>
      </c>
      <c r="BF189" s="357">
        <v>2</v>
      </c>
      <c r="BG189" s="357">
        <v>2</v>
      </c>
      <c r="BH189" s="122">
        <f>BI189-SUM(BE189,BF189,BG189)</f>
        <v>3</v>
      </c>
      <c r="BI189" s="403">
        <v>9</v>
      </c>
      <c r="BJ189" s="1208">
        <v>3</v>
      </c>
      <c r="BK189" s="118"/>
      <c r="BL189" s="118"/>
      <c r="BM189" s="118"/>
      <c r="BN189" s="401"/>
      <c r="BO189" s="118"/>
      <c r="BP189" s="118"/>
      <c r="BQ189" s="118"/>
      <c r="BR189" s="118"/>
      <c r="BS189" s="401"/>
      <c r="BT189" s="401"/>
      <c r="BU189" s="401"/>
      <c r="BV189" s="401"/>
      <c r="BW189" s="122"/>
    </row>
    <row r="190" spans="1:75" hidden="1" outlineLevel="1" x14ac:dyDescent="0.5">
      <c r="A190" s="516" t="s">
        <v>2301</v>
      </c>
      <c r="B190" s="517"/>
      <c r="C190" s="518"/>
      <c r="D190" s="518"/>
      <c r="E190" s="519">
        <f t="shared" ref="E190:BI190" si="168">E188-E189</f>
        <v>-11.169000000000002</v>
      </c>
      <c r="F190" s="519">
        <f t="shared" si="168"/>
        <v>-21.055000000000007</v>
      </c>
      <c r="G190" s="520">
        <f t="shared" si="168"/>
        <v>-5.7430000000000092</v>
      </c>
      <c r="H190" s="520">
        <f t="shared" si="168"/>
        <v>-2.594999999999978</v>
      </c>
      <c r="I190" s="520">
        <f t="shared" si="168"/>
        <v>-3.0310000000000161</v>
      </c>
      <c r="J190" s="520">
        <f t="shared" si="168"/>
        <v>-4.1569999999999956</v>
      </c>
      <c r="K190" s="519">
        <f t="shared" si="168"/>
        <v>-15.526000000000005</v>
      </c>
      <c r="L190" s="520">
        <f t="shared" si="168"/>
        <v>-28.026000000000003</v>
      </c>
      <c r="M190" s="520">
        <f t="shared" si="168"/>
        <v>-23.374999999999989</v>
      </c>
      <c r="N190" s="520">
        <f t="shared" si="168"/>
        <v>-24.143000000000004</v>
      </c>
      <c r="O190" s="520">
        <f t="shared" si="168"/>
        <v>-72.553999999999974</v>
      </c>
      <c r="P190" s="519">
        <f t="shared" si="168"/>
        <v>-148.09800000000001</v>
      </c>
      <c r="Q190" s="520">
        <f t="shared" si="168"/>
        <v>-27.136000000000038</v>
      </c>
      <c r="R190" s="520">
        <f t="shared" si="168"/>
        <v>-19.333999999999985</v>
      </c>
      <c r="S190" s="520">
        <f t="shared" si="168"/>
        <v>-15.47800000000003</v>
      </c>
      <c r="T190" s="520">
        <f t="shared" si="168"/>
        <v>-15.494999999999971</v>
      </c>
      <c r="U190" s="519">
        <f t="shared" si="168"/>
        <v>-77.442999999999799</v>
      </c>
      <c r="V190" s="520">
        <f t="shared" si="168"/>
        <v>-41.205000000000091</v>
      </c>
      <c r="W190" s="520">
        <f t="shared" si="168"/>
        <v>-48.273999999999987</v>
      </c>
      <c r="X190" s="520">
        <f t="shared" si="168"/>
        <v>-60.940000000000062</v>
      </c>
      <c r="Y190" s="520">
        <f t="shared" si="168"/>
        <v>-43.956000000000039</v>
      </c>
      <c r="Z190" s="519">
        <f t="shared" si="168"/>
        <v>-194.37499999999989</v>
      </c>
      <c r="AA190" s="327">
        <f t="shared" si="168"/>
        <v>-56.538999999999959</v>
      </c>
      <c r="AB190" s="520">
        <f t="shared" si="168"/>
        <v>-38.874999999999957</v>
      </c>
      <c r="AC190" s="520">
        <f t="shared" si="168"/>
        <v>-76.428999999999931</v>
      </c>
      <c r="AD190" s="520">
        <f t="shared" si="168"/>
        <v>-72.770999999999546</v>
      </c>
      <c r="AE190" s="519">
        <f t="shared" si="168"/>
        <v>-244.61399999999952</v>
      </c>
      <c r="AF190" s="327">
        <f t="shared" si="168"/>
        <v>-107.77499999999989</v>
      </c>
      <c r="AG190" s="520">
        <f t="shared" si="168"/>
        <v>-100.73399999999994</v>
      </c>
      <c r="AH190" s="520">
        <f t="shared" si="168"/>
        <v>-151.72600000000008</v>
      </c>
      <c r="AI190" s="520">
        <f t="shared" si="168"/>
        <v>-143.84500000000014</v>
      </c>
      <c r="AJ190" s="519">
        <f t="shared" si="168"/>
        <v>-504.08</v>
      </c>
      <c r="AK190" s="327">
        <f t="shared" si="168"/>
        <v>-200.38900000000012</v>
      </c>
      <c r="AL190" s="520">
        <f t="shared" si="168"/>
        <v>-181.9379999999999</v>
      </c>
      <c r="AM190" s="520">
        <f t="shared" si="168"/>
        <v>-272.03499999999997</v>
      </c>
      <c r="AN190" s="520">
        <f t="shared" si="168"/>
        <v>-330.22199999999924</v>
      </c>
      <c r="AO190" s="519">
        <f t="shared" si="168"/>
        <v>-984.58399999999983</v>
      </c>
      <c r="AP190" s="327">
        <f t="shared" si="168"/>
        <v>-285.86500000000001</v>
      </c>
      <c r="AQ190" s="520">
        <f t="shared" si="168"/>
        <v>273.87699999999984</v>
      </c>
      <c r="AR190" s="520">
        <f t="shared" si="168"/>
        <v>173.16600000000039</v>
      </c>
      <c r="AS190" s="520">
        <f t="shared" si="168"/>
        <v>23.818000000000175</v>
      </c>
      <c r="AT190" s="519">
        <f t="shared" si="168"/>
        <v>184.99600000000015</v>
      </c>
      <c r="AU190" s="327">
        <f t="shared" si="168"/>
        <v>18.233999999999984</v>
      </c>
      <c r="AV190" s="520">
        <f t="shared" si="168"/>
        <v>130.42800000000045</v>
      </c>
      <c r="AW190" s="520">
        <f t="shared" si="168"/>
        <v>-78.021000000000001</v>
      </c>
      <c r="AX190" s="520">
        <f t="shared" si="168"/>
        <v>-201.85300000000066</v>
      </c>
      <c r="AY190" s="519">
        <f t="shared" si="168"/>
        <v>-131</v>
      </c>
      <c r="AZ190" s="327">
        <f t="shared" si="168"/>
        <v>-319</v>
      </c>
      <c r="BA190" s="520">
        <f t="shared" si="168"/>
        <v>-378</v>
      </c>
      <c r="BB190" s="520">
        <f t="shared" si="168"/>
        <v>-283</v>
      </c>
      <c r="BC190" s="520">
        <f t="shared" si="168"/>
        <v>-351</v>
      </c>
      <c r="BD190" s="519">
        <f t="shared" si="168"/>
        <v>-1331</v>
      </c>
      <c r="BE190" s="327">
        <f t="shared" si="168"/>
        <v>-355</v>
      </c>
      <c r="BF190" s="520">
        <f t="shared" si="168"/>
        <v>-46</v>
      </c>
      <c r="BG190" s="520">
        <f t="shared" si="168"/>
        <v>-163</v>
      </c>
      <c r="BH190" s="520">
        <f t="shared" si="168"/>
        <v>-174</v>
      </c>
      <c r="BI190" s="519">
        <f t="shared" si="168"/>
        <v>-738</v>
      </c>
      <c r="BJ190" s="1026">
        <f>BJ188-BJ189</f>
        <v>-248</v>
      </c>
      <c r="BK190" s="327"/>
      <c r="BL190" s="327"/>
      <c r="BM190" s="327"/>
      <c r="BN190" s="518"/>
      <c r="BO190" s="327"/>
      <c r="BP190" s="327"/>
      <c r="BQ190" s="327"/>
      <c r="BR190" s="327"/>
      <c r="BS190" s="518"/>
      <c r="BT190" s="518"/>
      <c r="BU190" s="518"/>
      <c r="BV190" s="518"/>
      <c r="BW190" s="197"/>
    </row>
    <row r="191" spans="1:75" hidden="1" outlineLevel="1" x14ac:dyDescent="0.5">
      <c r="A191" s="464" t="s">
        <v>2302</v>
      </c>
      <c r="B191" s="513"/>
      <c r="C191" s="401"/>
      <c r="D191" s="401"/>
      <c r="E191" s="403">
        <v>-9.3369999999999997</v>
      </c>
      <c r="F191" s="403">
        <v>-12.154</v>
      </c>
      <c r="G191" s="302">
        <v>-11.416</v>
      </c>
      <c r="H191" s="302">
        <v>-4.532</v>
      </c>
      <c r="I191" s="302">
        <v>-4.673</v>
      </c>
      <c r="J191" s="122">
        <f>K191-SUM(G191,H191,I191)</f>
        <v>-4.7669999999999995</v>
      </c>
      <c r="K191" s="403">
        <v>-25.388000000000002</v>
      </c>
      <c r="L191" s="302">
        <v>-7.15</v>
      </c>
      <c r="M191" s="302">
        <v>-4.6050000000000004</v>
      </c>
      <c r="N191" s="302">
        <v>-4.7480000000000002</v>
      </c>
      <c r="O191" s="302">
        <v>14.432</v>
      </c>
      <c r="P191" s="403">
        <v>-2.0710000000000002</v>
      </c>
      <c r="Q191" s="118"/>
      <c r="R191" s="118"/>
      <c r="S191" s="118"/>
      <c r="T191" s="118"/>
      <c r="U191" s="401"/>
      <c r="V191" s="118"/>
      <c r="W191" s="118"/>
      <c r="X191" s="118"/>
      <c r="Y191" s="118"/>
      <c r="Z191" s="401"/>
      <c r="AA191" s="118"/>
      <c r="AB191" s="118"/>
      <c r="AC191" s="118"/>
      <c r="AD191" s="118"/>
      <c r="AE191" s="401"/>
      <c r="AF191" s="118"/>
      <c r="AG191" s="118"/>
      <c r="AH191" s="118"/>
      <c r="AI191" s="118"/>
      <c r="AJ191" s="401"/>
      <c r="AK191" s="118"/>
      <c r="AL191" s="118"/>
      <c r="AM191" s="118"/>
      <c r="AN191" s="118"/>
      <c r="AO191" s="401"/>
      <c r="AP191" s="118"/>
      <c r="AQ191" s="118"/>
      <c r="AR191" s="118"/>
      <c r="AS191" s="118"/>
      <c r="AT191" s="401"/>
      <c r="AU191" s="118"/>
      <c r="AV191" s="118"/>
      <c r="AW191" s="118"/>
      <c r="AX191" s="118"/>
      <c r="AY191" s="401"/>
      <c r="AZ191" s="118"/>
      <c r="BA191" s="118"/>
      <c r="BB191" s="118"/>
      <c r="BC191" s="118"/>
      <c r="BD191" s="401"/>
      <c r="BE191" s="118"/>
      <c r="BF191" s="118"/>
      <c r="BG191" s="118"/>
      <c r="BH191" s="118"/>
      <c r="BI191" s="401"/>
      <c r="BJ191" s="971"/>
      <c r="BK191" s="118"/>
      <c r="BL191" s="118"/>
      <c r="BM191" s="118"/>
      <c r="BN191" s="401"/>
      <c r="BO191" s="118"/>
      <c r="BP191" s="118"/>
      <c r="BQ191" s="118"/>
      <c r="BR191" s="118"/>
      <c r="BS191" s="401"/>
      <c r="BT191" s="401"/>
      <c r="BU191" s="401"/>
      <c r="BV191" s="401"/>
      <c r="BW191" s="122"/>
    </row>
    <row r="192" spans="1:75" hidden="1" outlineLevel="1" x14ac:dyDescent="0.5">
      <c r="A192" s="464" t="s">
        <v>2303</v>
      </c>
      <c r="B192" s="513"/>
      <c r="C192" s="401"/>
      <c r="D192" s="401"/>
      <c r="E192" s="401"/>
      <c r="F192" s="401"/>
      <c r="G192" s="118"/>
      <c r="H192" s="118"/>
      <c r="I192" s="118"/>
      <c r="J192" s="118"/>
      <c r="K192" s="401"/>
      <c r="L192" s="118"/>
      <c r="M192" s="118"/>
      <c r="N192" s="118"/>
      <c r="O192" s="118"/>
      <c r="P192" s="401"/>
      <c r="Q192" s="118"/>
      <c r="R192" s="118"/>
      <c r="S192" s="118"/>
      <c r="T192" s="118"/>
      <c r="U192" s="401"/>
      <c r="V192" s="118"/>
      <c r="W192" s="118"/>
      <c r="X192" s="118"/>
      <c r="Y192" s="118"/>
      <c r="Z192" s="401"/>
      <c r="AA192" s="118"/>
      <c r="AB192" s="118"/>
      <c r="AC192" s="118"/>
      <c r="AD192" s="118"/>
      <c r="AE192" s="401"/>
      <c r="AF192" s="118"/>
      <c r="AG192" s="118"/>
      <c r="AH192" s="118"/>
      <c r="AI192" s="118"/>
      <c r="AJ192" s="401"/>
      <c r="AK192" s="118"/>
      <c r="AL192" s="723"/>
      <c r="AM192" s="723"/>
      <c r="AN192" s="118"/>
      <c r="AO192" s="401"/>
      <c r="AP192" s="118"/>
      <c r="AQ192" s="357">
        <v>30.195</v>
      </c>
      <c r="AR192" s="357">
        <v>9.1359999999999992</v>
      </c>
      <c r="AS192" s="302">
        <v>0</v>
      </c>
      <c r="AT192" s="403">
        <v>0</v>
      </c>
      <c r="AU192" s="302">
        <v>-1.5669999999999999</v>
      </c>
      <c r="AV192" s="357">
        <v>8.4849999999999994</v>
      </c>
      <c r="AW192" s="723"/>
      <c r="AX192" s="118"/>
      <c r="AY192" s="401"/>
      <c r="AZ192" s="118"/>
      <c r="BA192" s="723"/>
      <c r="BB192" s="723"/>
      <c r="BC192" s="118"/>
      <c r="BD192" s="401"/>
      <c r="BE192" s="118"/>
      <c r="BF192" s="723"/>
      <c r="BG192" s="723"/>
      <c r="BH192" s="118"/>
      <c r="BI192" s="401"/>
      <c r="BJ192" s="971"/>
      <c r="BK192" s="118"/>
      <c r="BL192" s="118"/>
      <c r="BM192" s="118"/>
      <c r="BN192" s="401"/>
      <c r="BO192" s="118"/>
      <c r="BP192" s="118"/>
      <c r="BQ192" s="118"/>
      <c r="BR192" s="118"/>
      <c r="BS192" s="401"/>
      <c r="BT192" s="401"/>
      <c r="BU192" s="401"/>
      <c r="BV192" s="401"/>
      <c r="BW192" s="122"/>
    </row>
    <row r="193" spans="1:75" hidden="1" outlineLevel="1" x14ac:dyDescent="0.5">
      <c r="A193" s="1271" t="s">
        <v>2304</v>
      </c>
      <c r="B193" s="679"/>
      <c r="C193" s="680"/>
      <c r="D193" s="680"/>
      <c r="E193" s="681">
        <f t="shared" ref="E193:BI193" si="169">E190+E191+E192</f>
        <v>-20.506</v>
      </c>
      <c r="F193" s="681">
        <f t="shared" si="169"/>
        <v>-33.209000000000003</v>
      </c>
      <c r="G193" s="682">
        <f t="shared" si="169"/>
        <v>-17.15900000000001</v>
      </c>
      <c r="H193" s="682">
        <f t="shared" si="169"/>
        <v>-7.1269999999999776</v>
      </c>
      <c r="I193" s="682">
        <f t="shared" si="169"/>
        <v>-7.7040000000000166</v>
      </c>
      <c r="J193" s="682">
        <f t="shared" si="169"/>
        <v>-8.9239999999999959</v>
      </c>
      <c r="K193" s="681">
        <f t="shared" si="169"/>
        <v>-40.914000000000009</v>
      </c>
      <c r="L193" s="682">
        <f t="shared" si="169"/>
        <v>-35.176000000000002</v>
      </c>
      <c r="M193" s="682">
        <f t="shared" si="169"/>
        <v>-27.97999999999999</v>
      </c>
      <c r="N193" s="682">
        <f t="shared" si="169"/>
        <v>-28.891000000000005</v>
      </c>
      <c r="O193" s="682">
        <f t="shared" si="169"/>
        <v>-58.121999999999971</v>
      </c>
      <c r="P193" s="681">
        <f t="shared" si="169"/>
        <v>-150.16900000000001</v>
      </c>
      <c r="Q193" s="682">
        <f t="shared" si="169"/>
        <v>-27.136000000000038</v>
      </c>
      <c r="R193" s="682">
        <f t="shared" si="169"/>
        <v>-19.333999999999985</v>
      </c>
      <c r="S193" s="682">
        <f t="shared" si="169"/>
        <v>-15.47800000000003</v>
      </c>
      <c r="T193" s="682">
        <f t="shared" si="169"/>
        <v>-15.494999999999971</v>
      </c>
      <c r="U193" s="681">
        <f t="shared" si="169"/>
        <v>-77.442999999999799</v>
      </c>
      <c r="V193" s="682">
        <f t="shared" si="169"/>
        <v>-41.205000000000091</v>
      </c>
      <c r="W193" s="682">
        <f t="shared" si="169"/>
        <v>-48.273999999999987</v>
      </c>
      <c r="X193" s="682">
        <f t="shared" si="169"/>
        <v>-60.940000000000062</v>
      </c>
      <c r="Y193" s="682">
        <f t="shared" si="169"/>
        <v>-43.956000000000039</v>
      </c>
      <c r="Z193" s="681">
        <f t="shared" si="169"/>
        <v>-194.37499999999989</v>
      </c>
      <c r="AA193" s="683">
        <f t="shared" si="169"/>
        <v>-56.538999999999959</v>
      </c>
      <c r="AB193" s="682">
        <f t="shared" si="169"/>
        <v>-38.874999999999957</v>
      </c>
      <c r="AC193" s="682">
        <f t="shared" si="169"/>
        <v>-76.428999999999931</v>
      </c>
      <c r="AD193" s="682">
        <f t="shared" si="169"/>
        <v>-72.770999999999546</v>
      </c>
      <c r="AE193" s="681">
        <f t="shared" si="169"/>
        <v>-244.61399999999952</v>
      </c>
      <c r="AF193" s="683">
        <f t="shared" si="169"/>
        <v>-107.77499999999989</v>
      </c>
      <c r="AG193" s="682">
        <f t="shared" si="169"/>
        <v>-100.73399999999994</v>
      </c>
      <c r="AH193" s="682">
        <f t="shared" si="169"/>
        <v>-151.72600000000008</v>
      </c>
      <c r="AI193" s="682">
        <f t="shared" si="169"/>
        <v>-143.84500000000014</v>
      </c>
      <c r="AJ193" s="681">
        <f t="shared" si="169"/>
        <v>-504.08</v>
      </c>
      <c r="AK193" s="683">
        <f t="shared" si="169"/>
        <v>-200.38900000000012</v>
      </c>
      <c r="AL193" s="682">
        <f t="shared" si="169"/>
        <v>-181.9379999999999</v>
      </c>
      <c r="AM193" s="682">
        <f t="shared" si="169"/>
        <v>-272.03499999999997</v>
      </c>
      <c r="AN193" s="682">
        <f t="shared" si="169"/>
        <v>-330.22199999999924</v>
      </c>
      <c r="AO193" s="681">
        <f t="shared" si="169"/>
        <v>-984.58399999999983</v>
      </c>
      <c r="AP193" s="683">
        <f t="shared" si="169"/>
        <v>-285.86500000000001</v>
      </c>
      <c r="AQ193" s="682">
        <f t="shared" si="169"/>
        <v>304.07199999999983</v>
      </c>
      <c r="AR193" s="682">
        <f t="shared" si="169"/>
        <v>182.30200000000039</v>
      </c>
      <c r="AS193" s="682">
        <f t="shared" si="169"/>
        <v>23.818000000000175</v>
      </c>
      <c r="AT193" s="681">
        <f t="shared" si="169"/>
        <v>184.99600000000015</v>
      </c>
      <c r="AU193" s="683">
        <f t="shared" si="169"/>
        <v>16.666999999999984</v>
      </c>
      <c r="AV193" s="682">
        <f t="shared" si="169"/>
        <v>138.91300000000047</v>
      </c>
      <c r="AW193" s="682">
        <f t="shared" si="169"/>
        <v>-78.021000000000001</v>
      </c>
      <c r="AX193" s="682">
        <f t="shared" si="169"/>
        <v>-201.85300000000066</v>
      </c>
      <c r="AY193" s="681">
        <f t="shared" si="169"/>
        <v>-131</v>
      </c>
      <c r="AZ193" s="683">
        <f t="shared" si="169"/>
        <v>-319</v>
      </c>
      <c r="BA193" s="682">
        <f t="shared" si="169"/>
        <v>-378</v>
      </c>
      <c r="BB193" s="682">
        <f t="shared" si="169"/>
        <v>-283</v>
      </c>
      <c r="BC193" s="682">
        <f t="shared" si="169"/>
        <v>-351</v>
      </c>
      <c r="BD193" s="681">
        <f t="shared" si="169"/>
        <v>-1331</v>
      </c>
      <c r="BE193" s="683">
        <f t="shared" si="169"/>
        <v>-355</v>
      </c>
      <c r="BF193" s="682">
        <f t="shared" si="169"/>
        <v>-46</v>
      </c>
      <c r="BG193" s="682">
        <f t="shared" si="169"/>
        <v>-163</v>
      </c>
      <c r="BH193" s="682">
        <f t="shared" si="169"/>
        <v>-174</v>
      </c>
      <c r="BI193" s="681">
        <f t="shared" si="169"/>
        <v>-738</v>
      </c>
      <c r="BJ193" s="1219">
        <f>BJ190+BJ191+BJ192</f>
        <v>-248</v>
      </c>
      <c r="BK193" s="683"/>
      <c r="BL193" s="683"/>
      <c r="BM193" s="683"/>
      <c r="BN193" s="680"/>
      <c r="BO193" s="683"/>
      <c r="BP193" s="683"/>
      <c r="BQ193" s="683"/>
      <c r="BR193" s="683"/>
      <c r="BS193" s="680"/>
      <c r="BT193" s="680"/>
      <c r="BU193" s="680"/>
      <c r="BV193" s="680"/>
      <c r="BW193" s="197"/>
    </row>
    <row r="194" spans="1:75" hidden="1" outlineLevel="1" x14ac:dyDescent="0.5">
      <c r="A194" s="184"/>
      <c r="B194" s="513"/>
      <c r="C194" s="401"/>
      <c r="D194" s="401"/>
      <c r="E194" s="401"/>
      <c r="F194" s="401"/>
      <c r="G194" s="118"/>
      <c r="H194" s="118"/>
      <c r="I194" s="118"/>
      <c r="J194" s="118"/>
      <c r="K194" s="401"/>
      <c r="L194" s="118"/>
      <c r="M194" s="118"/>
      <c r="N194" s="118"/>
      <c r="O194" s="118"/>
      <c r="P194" s="401"/>
      <c r="Q194" s="118"/>
      <c r="R194" s="118"/>
      <c r="S194" s="118"/>
      <c r="T194" s="118"/>
      <c r="U194" s="401"/>
      <c r="V194" s="118"/>
      <c r="W194" s="118"/>
      <c r="X194" s="118"/>
      <c r="Y194" s="118"/>
      <c r="Z194" s="401"/>
      <c r="AA194" s="118"/>
      <c r="AB194" s="118"/>
      <c r="AC194" s="118"/>
      <c r="AD194" s="118"/>
      <c r="AE194" s="401"/>
      <c r="AF194" s="118"/>
      <c r="AG194" s="118"/>
      <c r="AH194" s="118"/>
      <c r="AI194" s="118"/>
      <c r="AJ194" s="401"/>
      <c r="AK194" s="118"/>
      <c r="AL194" s="321"/>
      <c r="AM194" s="321"/>
      <c r="AN194" s="118"/>
      <c r="AO194" s="401"/>
      <c r="AP194" s="118"/>
      <c r="AQ194" s="321"/>
      <c r="AR194" s="321"/>
      <c r="AS194" s="118"/>
      <c r="AT194" s="401"/>
      <c r="AU194" s="118"/>
      <c r="AV194" s="321"/>
      <c r="AW194" s="321"/>
      <c r="AX194" s="118"/>
      <c r="AY194" s="401"/>
      <c r="AZ194" s="118"/>
      <c r="BA194" s="321"/>
      <c r="BB194" s="321"/>
      <c r="BC194" s="118"/>
      <c r="BD194" s="401"/>
      <c r="BE194" s="118"/>
      <c r="BF194" s="321"/>
      <c r="BG194" s="321"/>
      <c r="BH194" s="118"/>
      <c r="BI194" s="401"/>
      <c r="BJ194" s="971"/>
      <c r="BK194" s="118"/>
      <c r="BL194" s="118"/>
      <c r="BM194" s="118"/>
      <c r="BN194" s="401"/>
      <c r="BO194" s="118"/>
      <c r="BP194" s="118"/>
      <c r="BQ194" s="118"/>
      <c r="BR194" s="118"/>
      <c r="BS194" s="401"/>
      <c r="BT194" s="401"/>
      <c r="BU194" s="401"/>
      <c r="BV194" s="401"/>
      <c r="BW194" s="122"/>
    </row>
    <row r="195" spans="1:75" hidden="1" outlineLevel="1" x14ac:dyDescent="0.5">
      <c r="A195" s="685" t="s">
        <v>1071</v>
      </c>
      <c r="B195" s="685"/>
      <c r="C195" s="686"/>
      <c r="D195" s="686"/>
      <c r="E195" s="686"/>
      <c r="F195" s="686">
        <f t="shared" ref="F195:AK195" si="170">IF(ISBLANK(INDEX(MO_IS_FirstRow,0,COLUMN())),0,ROUND(F190-F836,6))</f>
        <v>0</v>
      </c>
      <c r="G195" s="686">
        <f t="shared" si="170"/>
        <v>0</v>
      </c>
      <c r="H195" s="686">
        <f t="shared" si="170"/>
        <v>0</v>
      </c>
      <c r="I195" s="686">
        <f t="shared" si="170"/>
        <v>0</v>
      </c>
      <c r="J195" s="686">
        <f t="shared" si="170"/>
        <v>0</v>
      </c>
      <c r="K195" s="686">
        <f t="shared" si="170"/>
        <v>0</v>
      </c>
      <c r="L195" s="686">
        <f t="shared" si="170"/>
        <v>0</v>
      </c>
      <c r="M195" s="686">
        <f t="shared" si="170"/>
        <v>0</v>
      </c>
      <c r="N195" s="686">
        <f t="shared" si="170"/>
        <v>0</v>
      </c>
      <c r="O195" s="686">
        <f t="shared" si="170"/>
        <v>0</v>
      </c>
      <c r="P195" s="686">
        <f t="shared" si="170"/>
        <v>0</v>
      </c>
      <c r="Q195" s="686">
        <f t="shared" si="170"/>
        <v>0</v>
      </c>
      <c r="R195" s="686">
        <f t="shared" si="170"/>
        <v>0</v>
      </c>
      <c r="S195" s="686">
        <f t="shared" si="170"/>
        <v>0</v>
      </c>
      <c r="T195" s="686">
        <f t="shared" si="170"/>
        <v>0</v>
      </c>
      <c r="U195" s="686">
        <f t="shared" si="170"/>
        <v>0</v>
      </c>
      <c r="V195" s="686">
        <f t="shared" si="170"/>
        <v>0</v>
      </c>
      <c r="W195" s="686">
        <f t="shared" si="170"/>
        <v>0</v>
      </c>
      <c r="X195" s="686">
        <f t="shared" si="170"/>
        <v>0</v>
      </c>
      <c r="Y195" s="686">
        <f t="shared" si="170"/>
        <v>0</v>
      </c>
      <c r="Z195" s="686">
        <f t="shared" si="170"/>
        <v>0</v>
      </c>
      <c r="AA195" s="686">
        <f t="shared" si="170"/>
        <v>0</v>
      </c>
      <c r="AB195" s="686">
        <f t="shared" si="170"/>
        <v>0</v>
      </c>
      <c r="AC195" s="686">
        <f t="shared" si="170"/>
        <v>0</v>
      </c>
      <c r="AD195" s="686">
        <f t="shared" si="170"/>
        <v>0</v>
      </c>
      <c r="AE195" s="686">
        <f t="shared" si="170"/>
        <v>0</v>
      </c>
      <c r="AF195" s="686">
        <f t="shared" si="170"/>
        <v>0</v>
      </c>
      <c r="AG195" s="686">
        <f t="shared" si="170"/>
        <v>0</v>
      </c>
      <c r="AH195" s="686">
        <f t="shared" si="170"/>
        <v>0</v>
      </c>
      <c r="AI195" s="686">
        <f t="shared" si="170"/>
        <v>0</v>
      </c>
      <c r="AJ195" s="686">
        <f t="shared" si="170"/>
        <v>0</v>
      </c>
      <c r="AK195" s="686">
        <f t="shared" si="170"/>
        <v>0</v>
      </c>
      <c r="AL195" s="686">
        <f t="shared" ref="AL195:BJ195" si="171">IF(ISBLANK(INDEX(MO_IS_FirstRow,0,COLUMN())),0,ROUND(AL190-AL836,6))</f>
        <v>0</v>
      </c>
      <c r="AM195" s="686">
        <f t="shared" si="171"/>
        <v>0</v>
      </c>
      <c r="AN195" s="686">
        <f t="shared" si="171"/>
        <v>0</v>
      </c>
      <c r="AO195" s="686">
        <f t="shared" si="171"/>
        <v>0</v>
      </c>
      <c r="AP195" s="686">
        <f t="shared" si="171"/>
        <v>0</v>
      </c>
      <c r="AQ195" s="686">
        <f t="shared" si="171"/>
        <v>0</v>
      </c>
      <c r="AR195" s="686">
        <f t="shared" si="171"/>
        <v>0</v>
      </c>
      <c r="AS195" s="686">
        <f t="shared" si="171"/>
        <v>0</v>
      </c>
      <c r="AT195" s="686">
        <f t="shared" si="171"/>
        <v>0</v>
      </c>
      <c r="AU195" s="686">
        <f t="shared" si="171"/>
        <v>0</v>
      </c>
      <c r="AV195" s="686">
        <f t="shared" si="171"/>
        <v>0</v>
      </c>
      <c r="AW195" s="686">
        <f t="shared" si="171"/>
        <v>0</v>
      </c>
      <c r="AX195" s="686">
        <f t="shared" si="171"/>
        <v>-0.21199999999999999</v>
      </c>
      <c r="AY195" s="686">
        <f t="shared" si="171"/>
        <v>0</v>
      </c>
      <c r="AZ195" s="686">
        <f t="shared" si="171"/>
        <v>0</v>
      </c>
      <c r="BA195" s="686">
        <f t="shared" si="171"/>
        <v>0</v>
      </c>
      <c r="BB195" s="686">
        <f t="shared" si="171"/>
        <v>0</v>
      </c>
      <c r="BC195" s="686">
        <f t="shared" si="171"/>
        <v>0</v>
      </c>
      <c r="BD195" s="686">
        <f t="shared" si="171"/>
        <v>0</v>
      </c>
      <c r="BE195" s="686">
        <f t="shared" si="171"/>
        <v>0</v>
      </c>
      <c r="BF195" s="686">
        <f t="shared" si="171"/>
        <v>0</v>
      </c>
      <c r="BG195" s="686">
        <f t="shared" si="171"/>
        <v>0</v>
      </c>
      <c r="BH195" s="686">
        <f t="shared" si="171"/>
        <v>0</v>
      </c>
      <c r="BI195" s="686">
        <f t="shared" si="171"/>
        <v>0</v>
      </c>
      <c r="BJ195" s="687">
        <f t="shared" si="171"/>
        <v>0</v>
      </c>
      <c r="BK195" s="686"/>
      <c r="BL195" s="686"/>
      <c r="BM195" s="686"/>
      <c r="BN195" s="686"/>
      <c r="BO195" s="686"/>
      <c r="BP195" s="686"/>
      <c r="BQ195" s="686"/>
      <c r="BR195" s="686"/>
      <c r="BS195" s="686"/>
      <c r="BT195" s="686"/>
      <c r="BU195" s="686"/>
      <c r="BV195" s="686"/>
      <c r="BW195" s="122"/>
    </row>
    <row r="196" spans="1:75" collapsed="1" x14ac:dyDescent="0.5">
      <c r="A196" s="184"/>
      <c r="B196" s="513"/>
      <c r="C196" s="401"/>
      <c r="D196" s="401"/>
      <c r="E196" s="401"/>
      <c r="F196" s="401"/>
      <c r="G196" s="118"/>
      <c r="H196" s="118"/>
      <c r="I196" s="118"/>
      <c r="J196" s="118"/>
      <c r="K196" s="401"/>
      <c r="L196" s="118"/>
      <c r="M196" s="118"/>
      <c r="N196" s="118"/>
      <c r="O196" s="118"/>
      <c r="P196" s="401"/>
      <c r="Q196" s="118"/>
      <c r="R196" s="118"/>
      <c r="S196" s="118"/>
      <c r="T196" s="118"/>
      <c r="U196" s="401"/>
      <c r="V196" s="118"/>
      <c r="W196" s="118"/>
      <c r="X196" s="118"/>
      <c r="Y196" s="118"/>
      <c r="Z196" s="401"/>
      <c r="AA196" s="118"/>
      <c r="AB196" s="118"/>
      <c r="AC196" s="118"/>
      <c r="AD196" s="118"/>
      <c r="AE196" s="401"/>
      <c r="AF196" s="118"/>
      <c r="AG196" s="118"/>
      <c r="AH196" s="118"/>
      <c r="AI196" s="118"/>
      <c r="AJ196" s="401"/>
      <c r="AK196" s="118"/>
      <c r="AL196" s="118"/>
      <c r="AM196" s="118"/>
      <c r="AN196" s="118"/>
      <c r="AO196" s="401"/>
      <c r="AP196" s="118"/>
      <c r="AQ196" s="118"/>
      <c r="AR196" s="118"/>
      <c r="AS196" s="118"/>
      <c r="AT196" s="401"/>
      <c r="AU196" s="118"/>
      <c r="AV196" s="118"/>
      <c r="AW196" s="118"/>
      <c r="AX196" s="118"/>
      <c r="AY196" s="401"/>
      <c r="AZ196" s="118"/>
      <c r="BA196" s="118"/>
      <c r="BB196" s="118"/>
      <c r="BC196" s="118"/>
      <c r="BD196" s="401"/>
      <c r="BE196" s="118"/>
      <c r="BF196" s="118"/>
      <c r="BG196" s="118"/>
      <c r="BH196" s="118"/>
      <c r="BI196" s="401"/>
      <c r="BJ196" s="971"/>
      <c r="BK196" s="118"/>
      <c r="BL196" s="118"/>
      <c r="BM196" s="118"/>
      <c r="BN196" s="401"/>
      <c r="BO196" s="118"/>
      <c r="BP196" s="118"/>
      <c r="BQ196" s="118"/>
      <c r="BR196" s="118"/>
      <c r="BS196" s="401"/>
      <c r="BT196" s="401"/>
      <c r="BU196" s="401"/>
      <c r="BV196" s="401"/>
      <c r="BW196" s="122"/>
    </row>
    <row r="197" spans="1:75" x14ac:dyDescent="0.5">
      <c r="A197" s="239" t="s">
        <v>1072</v>
      </c>
      <c r="B197" s="239"/>
      <c r="C197" s="239"/>
      <c r="D197" s="239"/>
      <c r="E197" s="239"/>
      <c r="F197" s="239"/>
      <c r="G197" s="239"/>
      <c r="H197" s="239"/>
      <c r="I197" s="239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  <c r="AA197" s="239"/>
      <c r="AB197" s="239"/>
      <c r="AC197" s="239"/>
      <c r="AD197" s="239"/>
      <c r="AE197" s="239"/>
      <c r="AF197" s="239"/>
      <c r="AG197" s="239"/>
      <c r="AH197" s="239"/>
      <c r="AI197" s="239"/>
      <c r="AJ197" s="239"/>
      <c r="AK197" s="239"/>
      <c r="AL197" s="239"/>
      <c r="AM197" s="239"/>
      <c r="AN197" s="239"/>
      <c r="AO197" s="239"/>
      <c r="AP197" s="239"/>
      <c r="AQ197" s="239"/>
      <c r="AR197" s="239"/>
      <c r="AS197" s="239"/>
      <c r="AT197" s="239"/>
      <c r="AU197" s="239"/>
      <c r="AV197" s="239"/>
      <c r="AW197" s="239"/>
      <c r="AX197" s="239"/>
      <c r="AY197" s="239"/>
      <c r="AZ197" s="239"/>
      <c r="BA197" s="239"/>
      <c r="BB197" s="239"/>
      <c r="BC197" s="239"/>
      <c r="BD197" s="239"/>
      <c r="BE197" s="239"/>
      <c r="BF197" s="239"/>
      <c r="BG197" s="239"/>
      <c r="BH197" s="239"/>
      <c r="BI197" s="239"/>
      <c r="BJ197" s="241"/>
      <c r="BK197" s="239"/>
      <c r="BL197" s="239"/>
      <c r="BM197" s="239"/>
      <c r="BN197" s="239"/>
      <c r="BO197" s="239"/>
      <c r="BP197" s="239"/>
      <c r="BQ197" s="239"/>
      <c r="BR197" s="239"/>
      <c r="BS197" s="239"/>
      <c r="BT197" s="239"/>
      <c r="BU197" s="239"/>
      <c r="BV197" s="239"/>
      <c r="BW197" s="197"/>
    </row>
    <row r="198" spans="1:75" hidden="1" outlineLevel="1" x14ac:dyDescent="0.5">
      <c r="A198" s="463" t="s">
        <v>2305</v>
      </c>
      <c r="B198" s="522"/>
      <c r="C198" s="397"/>
      <c r="D198" s="397"/>
      <c r="E198" s="397"/>
      <c r="F198" s="672">
        <f t="shared" ref="F198:BJ198" si="172">F190</f>
        <v>-21.055000000000007</v>
      </c>
      <c r="G198" s="197">
        <f t="shared" si="172"/>
        <v>-5.7430000000000092</v>
      </c>
      <c r="H198" s="197">
        <f t="shared" si="172"/>
        <v>-2.594999999999978</v>
      </c>
      <c r="I198" s="197">
        <f t="shared" si="172"/>
        <v>-3.0310000000000161</v>
      </c>
      <c r="J198" s="197">
        <f t="shared" si="172"/>
        <v>-4.1569999999999956</v>
      </c>
      <c r="K198" s="672">
        <f t="shared" si="172"/>
        <v>-15.526000000000005</v>
      </c>
      <c r="L198" s="197">
        <f t="shared" si="172"/>
        <v>-28.026000000000003</v>
      </c>
      <c r="M198" s="197">
        <f t="shared" si="172"/>
        <v>-23.374999999999989</v>
      </c>
      <c r="N198" s="197">
        <f t="shared" si="172"/>
        <v>-24.143000000000004</v>
      </c>
      <c r="O198" s="197">
        <f t="shared" si="172"/>
        <v>-72.553999999999974</v>
      </c>
      <c r="P198" s="672">
        <f t="shared" si="172"/>
        <v>-148.09800000000001</v>
      </c>
      <c r="Q198" s="197">
        <f t="shared" si="172"/>
        <v>-27.136000000000038</v>
      </c>
      <c r="R198" s="197">
        <f t="shared" si="172"/>
        <v>-19.333999999999985</v>
      </c>
      <c r="S198" s="197">
        <f t="shared" si="172"/>
        <v>-15.47800000000003</v>
      </c>
      <c r="T198" s="197">
        <f t="shared" si="172"/>
        <v>-15.494999999999971</v>
      </c>
      <c r="U198" s="672">
        <f t="shared" si="172"/>
        <v>-77.442999999999799</v>
      </c>
      <c r="V198" s="197">
        <f t="shared" si="172"/>
        <v>-41.205000000000091</v>
      </c>
      <c r="W198" s="197">
        <f t="shared" si="172"/>
        <v>-48.273999999999987</v>
      </c>
      <c r="X198" s="197">
        <f t="shared" si="172"/>
        <v>-60.940000000000062</v>
      </c>
      <c r="Y198" s="197">
        <f t="shared" si="172"/>
        <v>-43.956000000000039</v>
      </c>
      <c r="Z198" s="672">
        <f t="shared" si="172"/>
        <v>-194.37499999999989</v>
      </c>
      <c r="AA198" s="197">
        <f t="shared" si="172"/>
        <v>-56.538999999999959</v>
      </c>
      <c r="AB198" s="197">
        <f t="shared" si="172"/>
        <v>-38.874999999999957</v>
      </c>
      <c r="AC198" s="197">
        <f t="shared" si="172"/>
        <v>-76.428999999999931</v>
      </c>
      <c r="AD198" s="197">
        <f t="shared" si="172"/>
        <v>-72.770999999999546</v>
      </c>
      <c r="AE198" s="672">
        <f t="shared" si="172"/>
        <v>-244.61399999999952</v>
      </c>
      <c r="AF198" s="197">
        <f t="shared" si="172"/>
        <v>-107.77499999999989</v>
      </c>
      <c r="AG198" s="197">
        <f t="shared" si="172"/>
        <v>-100.73399999999994</v>
      </c>
      <c r="AH198" s="197">
        <f t="shared" si="172"/>
        <v>-151.72600000000008</v>
      </c>
      <c r="AI198" s="197">
        <f t="shared" si="172"/>
        <v>-143.84500000000014</v>
      </c>
      <c r="AJ198" s="672">
        <f t="shared" si="172"/>
        <v>-504.08</v>
      </c>
      <c r="AK198" s="197">
        <f t="shared" si="172"/>
        <v>-200.38900000000012</v>
      </c>
      <c r="AL198" s="197">
        <f t="shared" si="172"/>
        <v>-181.9379999999999</v>
      </c>
      <c r="AM198" s="197">
        <f t="shared" si="172"/>
        <v>-272.03499999999997</v>
      </c>
      <c r="AN198" s="197">
        <f t="shared" si="172"/>
        <v>-330.22199999999924</v>
      </c>
      <c r="AO198" s="672">
        <f t="shared" si="172"/>
        <v>-984.58399999999983</v>
      </c>
      <c r="AP198" s="197">
        <f t="shared" si="172"/>
        <v>-285.86500000000001</v>
      </c>
      <c r="AQ198" s="197">
        <f t="shared" si="172"/>
        <v>273.87699999999984</v>
      </c>
      <c r="AR198" s="197">
        <f t="shared" si="172"/>
        <v>173.16600000000039</v>
      </c>
      <c r="AS198" s="197">
        <f t="shared" si="172"/>
        <v>23.818000000000175</v>
      </c>
      <c r="AT198" s="672">
        <f t="shared" si="172"/>
        <v>184.99600000000015</v>
      </c>
      <c r="AU198" s="197">
        <f t="shared" si="172"/>
        <v>18.233999999999984</v>
      </c>
      <c r="AV198" s="197">
        <f t="shared" si="172"/>
        <v>130.42800000000045</v>
      </c>
      <c r="AW198" s="197">
        <f t="shared" si="172"/>
        <v>-78.021000000000001</v>
      </c>
      <c r="AX198" s="197">
        <f t="shared" si="172"/>
        <v>-201.85300000000066</v>
      </c>
      <c r="AY198" s="672">
        <f t="shared" si="172"/>
        <v>-131</v>
      </c>
      <c r="AZ198" s="197">
        <f t="shared" si="172"/>
        <v>-319</v>
      </c>
      <c r="BA198" s="197">
        <f t="shared" si="172"/>
        <v>-378</v>
      </c>
      <c r="BB198" s="197">
        <f t="shared" si="172"/>
        <v>-283</v>
      </c>
      <c r="BC198" s="197">
        <f t="shared" si="172"/>
        <v>-351</v>
      </c>
      <c r="BD198" s="672">
        <f t="shared" si="172"/>
        <v>-1331</v>
      </c>
      <c r="BE198" s="197">
        <f t="shared" si="172"/>
        <v>-355</v>
      </c>
      <c r="BF198" s="197">
        <f t="shared" si="172"/>
        <v>-46</v>
      </c>
      <c r="BG198" s="197">
        <f t="shared" si="172"/>
        <v>-163</v>
      </c>
      <c r="BH198" s="197">
        <f t="shared" si="172"/>
        <v>-174</v>
      </c>
      <c r="BI198" s="672">
        <f t="shared" si="172"/>
        <v>-738</v>
      </c>
      <c r="BJ198" s="1273">
        <f t="shared" si="172"/>
        <v>-248</v>
      </c>
      <c r="BK198" s="295"/>
      <c r="BL198" s="295"/>
      <c r="BM198" s="295"/>
      <c r="BN198" s="397"/>
      <c r="BO198" s="295"/>
      <c r="BP198" s="295"/>
      <c r="BQ198" s="295"/>
      <c r="BR198" s="295"/>
      <c r="BS198" s="397"/>
      <c r="BT198" s="397"/>
      <c r="BU198" s="397"/>
      <c r="BV198" s="397"/>
      <c r="BW198" s="197"/>
    </row>
    <row r="199" spans="1:75" hidden="1" outlineLevel="1" x14ac:dyDescent="0.5">
      <c r="A199" s="464" t="s">
        <v>1128</v>
      </c>
      <c r="B199" s="513"/>
      <c r="C199" s="401"/>
      <c r="D199" s="401"/>
      <c r="E199" s="401"/>
      <c r="F199" s="674">
        <f t="shared" ref="F199:AG199" si="173">F837</f>
        <v>9.3350000000000009</v>
      </c>
      <c r="G199" s="122">
        <f t="shared" si="173"/>
        <v>2.8839999999999999</v>
      </c>
      <c r="H199" s="122">
        <f t="shared" si="173"/>
        <v>2.9790000000000005</v>
      </c>
      <c r="I199" s="122">
        <f t="shared" si="173"/>
        <v>3.4889999999999999</v>
      </c>
      <c r="J199" s="122">
        <f t="shared" si="173"/>
        <v>3.738999999999999</v>
      </c>
      <c r="K199" s="674">
        <f t="shared" si="173"/>
        <v>13.090999999999999</v>
      </c>
      <c r="L199" s="122">
        <f t="shared" si="173"/>
        <v>4.1980000000000004</v>
      </c>
      <c r="M199" s="122">
        <f t="shared" si="173"/>
        <v>4.6929999999999996</v>
      </c>
      <c r="N199" s="122">
        <f t="shared" si="173"/>
        <v>5.5470000000000006</v>
      </c>
      <c r="O199" s="122">
        <f t="shared" si="173"/>
        <v>7.5649999999999995</v>
      </c>
      <c r="P199" s="674">
        <f t="shared" si="173"/>
        <v>22.003</v>
      </c>
      <c r="Q199" s="122">
        <f t="shared" si="173"/>
        <v>6.7439999999999998</v>
      </c>
      <c r="R199" s="122">
        <f t="shared" si="173"/>
        <v>7.4</v>
      </c>
      <c r="S199" s="122">
        <f t="shared" si="173"/>
        <v>9.206999999999999</v>
      </c>
      <c r="T199" s="122">
        <f t="shared" si="173"/>
        <v>9.0949999999999989</v>
      </c>
      <c r="U199" s="674">
        <f t="shared" si="173"/>
        <v>32.445999999999998</v>
      </c>
      <c r="V199" s="122">
        <f t="shared" si="173"/>
        <v>10.487</v>
      </c>
      <c r="W199" s="122">
        <f t="shared" si="173"/>
        <v>12.578000000000001</v>
      </c>
      <c r="X199" s="122">
        <f t="shared" si="173"/>
        <v>15.462999999999997</v>
      </c>
      <c r="Y199" s="122">
        <f t="shared" si="173"/>
        <v>17.044000000000004</v>
      </c>
      <c r="Z199" s="674">
        <f t="shared" si="173"/>
        <v>55.572000000000003</v>
      </c>
      <c r="AA199" s="122">
        <f t="shared" si="173"/>
        <v>20.352</v>
      </c>
      <c r="AB199" s="122">
        <f t="shared" si="173"/>
        <v>19.322999999999997</v>
      </c>
      <c r="AC199" s="122">
        <f t="shared" si="173"/>
        <v>22.913000000000004</v>
      </c>
      <c r="AD199" s="122">
        <f t="shared" si="173"/>
        <v>24.431999999999995</v>
      </c>
      <c r="AE199" s="674">
        <f t="shared" si="173"/>
        <v>87.02</v>
      </c>
      <c r="AF199" s="122">
        <f t="shared" si="173"/>
        <v>25.962</v>
      </c>
      <c r="AG199" s="122">
        <f t="shared" si="173"/>
        <v>28.919999999999998</v>
      </c>
      <c r="AH199" s="302">
        <v>32.543999999999997</v>
      </c>
      <c r="AI199" s="122">
        <f>AI837</f>
        <v>36.116</v>
      </c>
      <c r="AJ199" s="674">
        <f>AJ837</f>
        <v>123.542</v>
      </c>
      <c r="AK199" s="122">
        <f>AK837</f>
        <v>39.582999999999998</v>
      </c>
      <c r="AL199" s="122">
        <f>AL837</f>
        <v>44.338999999999999</v>
      </c>
      <c r="AM199" s="302">
        <v>50.25</v>
      </c>
      <c r="AN199" s="122">
        <f>AN837</f>
        <v>58.247000000000014</v>
      </c>
      <c r="AO199" s="674">
        <f>AO837</f>
        <v>192.41900000000001</v>
      </c>
      <c r="AP199" s="122">
        <f>AP837</f>
        <v>66.843000000000004</v>
      </c>
      <c r="AQ199" s="122">
        <f>AQ837</f>
        <v>69.11399999999999</v>
      </c>
      <c r="AR199" s="302">
        <v>72.575000000000003</v>
      </c>
      <c r="AS199" s="122">
        <f>AS837</f>
        <v>77.179000000000002</v>
      </c>
      <c r="AT199" s="674">
        <f>AT837</f>
        <v>285.71100000000001</v>
      </c>
      <c r="AU199" s="122">
        <f>AU837</f>
        <v>80.311999999999998</v>
      </c>
      <c r="AV199" s="122">
        <f>AV837</f>
        <v>77.924999999999997</v>
      </c>
      <c r="AW199" s="302">
        <v>81.917000000000002</v>
      </c>
      <c r="AX199" s="302">
        <v>82</v>
      </c>
      <c r="AY199" s="403">
        <v>322</v>
      </c>
      <c r="AZ199" s="122">
        <f>AZ837</f>
        <v>85</v>
      </c>
      <c r="BA199" s="122">
        <f>BA837</f>
        <v>91</v>
      </c>
      <c r="BB199" s="302">
        <v>94</v>
      </c>
      <c r="BC199" s="302">
        <v>101</v>
      </c>
      <c r="BD199" s="403">
        <v>371</v>
      </c>
      <c r="BE199" s="122">
        <f>BE837</f>
        <v>104</v>
      </c>
      <c r="BF199" s="122">
        <f>BF837</f>
        <v>102</v>
      </c>
      <c r="BG199" s="302">
        <v>106</v>
      </c>
      <c r="BH199" s="302">
        <v>105</v>
      </c>
      <c r="BI199" s="403">
        <v>417</v>
      </c>
      <c r="BJ199" s="1207">
        <v>104</v>
      </c>
      <c r="BK199" s="118"/>
      <c r="BL199" s="118"/>
      <c r="BM199" s="118"/>
      <c r="BN199" s="401"/>
      <c r="BO199" s="118"/>
      <c r="BP199" s="118"/>
      <c r="BQ199" s="118"/>
      <c r="BR199" s="118"/>
      <c r="BS199" s="401"/>
      <c r="BT199" s="401"/>
      <c r="BU199" s="401"/>
      <c r="BV199" s="401"/>
      <c r="BW199" s="122"/>
    </row>
    <row r="200" spans="1:75" hidden="1" outlineLevel="1" x14ac:dyDescent="0.5">
      <c r="A200" s="464" t="s">
        <v>2306</v>
      </c>
      <c r="B200" s="513"/>
      <c r="C200" s="401"/>
      <c r="D200" s="401"/>
      <c r="E200" s="401"/>
      <c r="F200" s="401"/>
      <c r="G200" s="118"/>
      <c r="H200" s="118"/>
      <c r="I200" s="118"/>
      <c r="J200" s="118"/>
      <c r="K200" s="401"/>
      <c r="L200" s="302">
        <v>4.5540000000000003</v>
      </c>
      <c r="M200" s="302">
        <v>0.97399999999999998</v>
      </c>
      <c r="N200" s="302">
        <v>0</v>
      </c>
      <c r="O200" s="302">
        <v>57.716000000000001</v>
      </c>
      <c r="P200" s="403">
        <v>63.244</v>
      </c>
      <c r="Q200" s="302">
        <v>8.1620000000000008</v>
      </c>
      <c r="R200" s="302">
        <v>7.101</v>
      </c>
      <c r="S200" s="302">
        <v>7.9850000000000003</v>
      </c>
      <c r="T200" s="302">
        <v>9.7270000000000003</v>
      </c>
      <c r="U200" s="403">
        <v>32.975000000000001</v>
      </c>
      <c r="V200" s="302">
        <v>10.662000000000001</v>
      </c>
      <c r="W200" s="302">
        <v>11.295</v>
      </c>
      <c r="X200" s="302">
        <v>15.308</v>
      </c>
      <c r="Y200" s="302">
        <v>14.688000000000001</v>
      </c>
      <c r="Z200" s="403">
        <v>51.953000000000003</v>
      </c>
      <c r="AA200" s="302">
        <v>14.958</v>
      </c>
      <c r="AB200" s="302">
        <v>15.983000000000001</v>
      </c>
      <c r="AC200" s="302">
        <v>19.597999999999999</v>
      </c>
      <c r="AD200" s="302">
        <v>22.087</v>
      </c>
      <c r="AE200" s="403">
        <v>72.626000000000005</v>
      </c>
      <c r="AF200" s="302">
        <v>27.146999999999998</v>
      </c>
      <c r="AG200" s="302">
        <v>31.61</v>
      </c>
      <c r="AH200" s="302">
        <v>36.317</v>
      </c>
      <c r="AI200" s="302">
        <v>41.341000000000001</v>
      </c>
      <c r="AJ200" s="403">
        <v>136.41499999999999</v>
      </c>
      <c r="AK200" s="302">
        <v>51.832999999999998</v>
      </c>
      <c r="AL200" s="302">
        <v>56.854999999999997</v>
      </c>
      <c r="AM200" s="302">
        <v>65.275000000000006</v>
      </c>
      <c r="AN200" s="302">
        <v>67.015000000000001</v>
      </c>
      <c r="AO200" s="403">
        <v>240.97800000000001</v>
      </c>
      <c r="AP200" s="302">
        <v>63.991999999999997</v>
      </c>
      <c r="AQ200" s="302">
        <v>70.700999999999993</v>
      </c>
      <c r="AR200" s="302">
        <v>76.683000000000007</v>
      </c>
      <c r="AS200" s="302">
        <v>85.495999999999995</v>
      </c>
      <c r="AT200" s="403">
        <v>296.87200000000001</v>
      </c>
      <c r="AU200" s="302">
        <v>86.900999999999996</v>
      </c>
      <c r="AV200" s="302">
        <v>87.707999999999998</v>
      </c>
      <c r="AW200" s="302">
        <v>88.932000000000002</v>
      </c>
      <c r="AX200" s="302">
        <v>110</v>
      </c>
      <c r="AY200" s="403">
        <v>374</v>
      </c>
      <c r="AZ200" s="302">
        <v>112</v>
      </c>
      <c r="BA200" s="302">
        <v>133</v>
      </c>
      <c r="BB200" s="302">
        <v>123</v>
      </c>
      <c r="BC200" s="302">
        <v>159</v>
      </c>
      <c r="BD200" s="403">
        <v>527</v>
      </c>
      <c r="BE200" s="302">
        <v>151</v>
      </c>
      <c r="BF200" s="302">
        <v>167</v>
      </c>
      <c r="BG200" s="302">
        <v>146</v>
      </c>
      <c r="BH200" s="302">
        <v>159</v>
      </c>
      <c r="BI200" s="403">
        <v>623</v>
      </c>
      <c r="BJ200" s="1207">
        <v>127</v>
      </c>
      <c r="BK200" s="118"/>
      <c r="BL200" s="118"/>
      <c r="BM200" s="118"/>
      <c r="BN200" s="401"/>
      <c r="BO200" s="118"/>
      <c r="BP200" s="118"/>
      <c r="BQ200" s="118"/>
      <c r="BR200" s="118"/>
      <c r="BS200" s="401"/>
      <c r="BT200" s="401"/>
      <c r="BU200" s="401"/>
      <c r="BV200" s="401"/>
      <c r="BW200" s="122"/>
    </row>
    <row r="201" spans="1:75" hidden="1" outlineLevel="1" x14ac:dyDescent="0.5">
      <c r="A201" s="464" t="s">
        <v>2307</v>
      </c>
      <c r="B201" s="513"/>
      <c r="C201" s="401"/>
      <c r="D201" s="401"/>
      <c r="E201" s="401"/>
      <c r="F201" s="674">
        <f t="shared" ref="F201:AG202" si="174">-F185</f>
        <v>-0.23400000000000001</v>
      </c>
      <c r="G201" s="122">
        <f t="shared" si="174"/>
        <v>-6.7000000000000004E-2</v>
      </c>
      <c r="H201" s="122">
        <f t="shared" si="174"/>
        <v>-5.7000000000000002E-2</v>
      </c>
      <c r="I201" s="122">
        <f t="shared" si="174"/>
        <v>-6.0999999999999999E-2</v>
      </c>
      <c r="J201" s="122">
        <f t="shared" si="174"/>
        <v>-0.06</v>
      </c>
      <c r="K201" s="674">
        <f t="shared" si="174"/>
        <v>-0.245</v>
      </c>
      <c r="L201" s="122">
        <f t="shared" si="174"/>
        <v>-5.6000000000000001E-2</v>
      </c>
      <c r="M201" s="122">
        <f t="shared" si="174"/>
        <v>-7.6999999999999999E-2</v>
      </c>
      <c r="N201" s="122">
        <f t="shared" si="174"/>
        <v>-8.8999999999999996E-2</v>
      </c>
      <c r="O201" s="122">
        <f t="shared" si="174"/>
        <v>-0.128</v>
      </c>
      <c r="P201" s="674">
        <f t="shared" si="174"/>
        <v>-0.35</v>
      </c>
      <c r="Q201" s="122">
        <f t="shared" si="174"/>
        <v>-0.26400000000000001</v>
      </c>
      <c r="R201" s="122">
        <f t="shared" si="174"/>
        <v>-0.308</v>
      </c>
      <c r="S201" s="122">
        <f t="shared" si="174"/>
        <v>-0.32500000000000001</v>
      </c>
      <c r="T201" s="122">
        <f t="shared" si="174"/>
        <v>-0.38700000000000001</v>
      </c>
      <c r="U201" s="674">
        <f t="shared" si="174"/>
        <v>-1.284</v>
      </c>
      <c r="V201" s="122">
        <f t="shared" si="174"/>
        <v>-0.55200000000000005</v>
      </c>
      <c r="W201" s="122">
        <f t="shared" si="174"/>
        <v>-0.53100000000000003</v>
      </c>
      <c r="X201" s="122">
        <f t="shared" si="174"/>
        <v>0.29199999999999998</v>
      </c>
      <c r="Y201" s="122">
        <f t="shared" si="174"/>
        <v>9.7000000000000003E-2</v>
      </c>
      <c r="Z201" s="674">
        <f t="shared" si="174"/>
        <v>-0.69399999999999995</v>
      </c>
      <c r="AA201" s="122">
        <f t="shared" si="174"/>
        <v>0.29899999999999999</v>
      </c>
      <c r="AB201" s="122">
        <f t="shared" si="174"/>
        <v>1.55</v>
      </c>
      <c r="AC201" s="122">
        <f t="shared" si="174"/>
        <v>2.008</v>
      </c>
      <c r="AD201" s="122">
        <f t="shared" si="174"/>
        <v>5.5759999999999996</v>
      </c>
      <c r="AE201" s="674">
        <f t="shared" si="174"/>
        <v>9.4329999999999998</v>
      </c>
      <c r="AF201" s="122">
        <f t="shared" si="174"/>
        <v>5.407</v>
      </c>
      <c r="AG201" s="122">
        <f t="shared" si="174"/>
        <v>5.7960000000000003</v>
      </c>
      <c r="AH201" s="302">
        <v>7.0659999999999998</v>
      </c>
      <c r="AI201" s="122">
        <f t="shared" ref="AI201:AL202" si="175">-AI185</f>
        <v>10.291</v>
      </c>
      <c r="AJ201" s="674">
        <f t="shared" si="175"/>
        <v>28.56</v>
      </c>
      <c r="AK201" s="122">
        <f t="shared" si="175"/>
        <v>9.2379999999999995</v>
      </c>
      <c r="AL201" s="122">
        <f t="shared" si="175"/>
        <v>10.252000000000001</v>
      </c>
      <c r="AM201" s="302">
        <v>14.432</v>
      </c>
      <c r="AN201" s="122">
        <f t="shared" ref="AN201:AQ202" si="176">-AN185</f>
        <v>20.591999999999999</v>
      </c>
      <c r="AO201" s="674">
        <f t="shared" si="176"/>
        <v>54.514000000000003</v>
      </c>
      <c r="AP201" s="122">
        <f t="shared" si="176"/>
        <v>22.218</v>
      </c>
      <c r="AQ201" s="122">
        <f t="shared" si="176"/>
        <v>28.939</v>
      </c>
      <c r="AR201" s="302">
        <v>36.314999999999998</v>
      </c>
      <c r="AS201" s="122">
        <f t="shared" ref="AS201:AV202" si="177">-AS185</f>
        <v>58.924999999999997</v>
      </c>
      <c r="AT201" s="674">
        <f t="shared" si="177"/>
        <v>146.39699999999999</v>
      </c>
      <c r="AU201" s="122">
        <f t="shared" si="177"/>
        <v>6.8120000000000003</v>
      </c>
      <c r="AV201" s="122">
        <f t="shared" si="177"/>
        <v>8.4019999999999992</v>
      </c>
      <c r="AW201" s="302">
        <v>8.4060000000000006</v>
      </c>
      <c r="AX201" s="302">
        <v>8</v>
      </c>
      <c r="AY201" s="674">
        <f t="shared" ref="AY201:BI202" si="178">-AY185</f>
        <v>32</v>
      </c>
      <c r="AZ201" s="122">
        <f t="shared" si="178"/>
        <v>8</v>
      </c>
      <c r="BA201" s="122">
        <f t="shared" si="178"/>
        <v>6</v>
      </c>
      <c r="BB201" s="122">
        <f t="shared" si="178"/>
        <v>5</v>
      </c>
      <c r="BC201" s="122">
        <f t="shared" si="178"/>
        <v>8</v>
      </c>
      <c r="BD201" s="674">
        <f t="shared" si="178"/>
        <v>27</v>
      </c>
      <c r="BE201" s="122">
        <f t="shared" si="178"/>
        <v>5</v>
      </c>
      <c r="BF201" s="122">
        <f t="shared" si="178"/>
        <v>5</v>
      </c>
      <c r="BG201" s="122">
        <f t="shared" si="178"/>
        <v>5</v>
      </c>
      <c r="BH201" s="122">
        <f t="shared" si="178"/>
        <v>2</v>
      </c>
      <c r="BI201" s="674">
        <f t="shared" si="178"/>
        <v>17</v>
      </c>
      <c r="BJ201" s="1274">
        <f>-BJ185</f>
        <v>6</v>
      </c>
      <c r="BK201" s="118"/>
      <c r="BL201" s="118"/>
      <c r="BM201" s="118"/>
      <c r="BN201" s="401"/>
      <c r="BO201" s="118"/>
      <c r="BP201" s="118"/>
      <c r="BQ201" s="118"/>
      <c r="BR201" s="118"/>
      <c r="BS201" s="401"/>
      <c r="BT201" s="401"/>
      <c r="BU201" s="401"/>
      <c r="BV201" s="401"/>
      <c r="BW201" s="122"/>
    </row>
    <row r="202" spans="1:75" hidden="1" outlineLevel="1" x14ac:dyDescent="0.5">
      <c r="A202" s="464" t="s">
        <v>2308</v>
      </c>
      <c r="B202" s="513"/>
      <c r="C202" s="401"/>
      <c r="D202" s="401"/>
      <c r="E202" s="401"/>
      <c r="F202" s="674">
        <f t="shared" si="174"/>
        <v>-0.155</v>
      </c>
      <c r="G202" s="122">
        <f t="shared" si="174"/>
        <v>0.38400000000000001</v>
      </c>
      <c r="H202" s="122">
        <f t="shared" si="174"/>
        <v>0.12</v>
      </c>
      <c r="I202" s="122">
        <f t="shared" si="174"/>
        <v>-0.57899999999999996</v>
      </c>
      <c r="J202" s="122">
        <f t="shared" si="174"/>
        <v>-0.21900000000000003</v>
      </c>
      <c r="K202" s="674">
        <f t="shared" si="174"/>
        <v>-0.29399999999999998</v>
      </c>
      <c r="L202" s="122">
        <f t="shared" si="174"/>
        <v>-8.7999999999999995E-2</v>
      </c>
      <c r="M202" s="122">
        <f t="shared" si="174"/>
        <v>0.184</v>
      </c>
      <c r="N202" s="122">
        <f t="shared" si="174"/>
        <v>0.309</v>
      </c>
      <c r="O202" s="122">
        <f t="shared" si="174"/>
        <v>8.4000000000000005E-2</v>
      </c>
      <c r="P202" s="674">
        <f t="shared" si="174"/>
        <v>0.48899999999999999</v>
      </c>
      <c r="Q202" s="122">
        <f t="shared" si="174"/>
        <v>0.108</v>
      </c>
      <c r="R202" s="122">
        <f t="shared" si="174"/>
        <v>9.6000000000000002E-2</v>
      </c>
      <c r="S202" s="122">
        <f t="shared" si="174"/>
        <v>-2.746</v>
      </c>
      <c r="T202" s="122">
        <f t="shared" si="174"/>
        <v>-0.17599999999999999</v>
      </c>
      <c r="U202" s="674">
        <f t="shared" si="174"/>
        <v>-2.718</v>
      </c>
      <c r="V202" s="122">
        <f t="shared" si="174"/>
        <v>-0.66900000000000004</v>
      </c>
      <c r="W202" s="122">
        <f t="shared" si="174"/>
        <v>-0.246</v>
      </c>
      <c r="X202" s="122">
        <f t="shared" si="174"/>
        <v>-0.88900000000000001</v>
      </c>
      <c r="Y202" s="122">
        <f t="shared" si="174"/>
        <v>4.8000000000000001E-2</v>
      </c>
      <c r="Z202" s="674">
        <f t="shared" si="174"/>
        <v>-1.756</v>
      </c>
      <c r="AA202" s="122">
        <f t="shared" si="174"/>
        <v>-0.17599999999999999</v>
      </c>
      <c r="AB202" s="122">
        <f t="shared" si="174"/>
        <v>-0.45100000000000001</v>
      </c>
      <c r="AC202" s="122">
        <f t="shared" si="174"/>
        <v>0.22700000000000001</v>
      </c>
      <c r="AD202" s="122">
        <f t="shared" si="174"/>
        <v>-0.35799999999999998</v>
      </c>
      <c r="AE202" s="674">
        <f t="shared" si="174"/>
        <v>-0.75800000000000001</v>
      </c>
      <c r="AF202" s="122">
        <f t="shared" si="174"/>
        <v>-0.94099999999999995</v>
      </c>
      <c r="AG202" s="122">
        <f t="shared" si="174"/>
        <v>-0.66600000000000004</v>
      </c>
      <c r="AH202" s="302">
        <v>-1.054</v>
      </c>
      <c r="AI202" s="122">
        <f t="shared" si="175"/>
        <v>2.8650000000000002</v>
      </c>
      <c r="AJ202" s="674">
        <f t="shared" si="175"/>
        <v>0.20399999999999999</v>
      </c>
      <c r="AK202" s="122">
        <f t="shared" si="175"/>
        <v>-3.0779999999999998</v>
      </c>
      <c r="AL202" s="122">
        <f t="shared" si="175"/>
        <v>-0.32200000000000001</v>
      </c>
      <c r="AM202" s="302">
        <v>-2.1819999999999999</v>
      </c>
      <c r="AN202" s="122">
        <f t="shared" si="176"/>
        <v>2.7010000000000001</v>
      </c>
      <c r="AO202" s="674">
        <f t="shared" si="176"/>
        <v>-2.8809999999999998</v>
      </c>
      <c r="AP202" s="122">
        <f t="shared" si="176"/>
        <v>0.246</v>
      </c>
      <c r="AQ202" s="122">
        <f t="shared" si="176"/>
        <v>-3.11</v>
      </c>
      <c r="AR202" s="302">
        <v>13.584</v>
      </c>
      <c r="AS202" s="122">
        <f t="shared" si="177"/>
        <v>-2.0869999999999997</v>
      </c>
      <c r="AT202" s="674">
        <f t="shared" si="177"/>
        <v>8.6329999999999991</v>
      </c>
      <c r="AU202" s="122">
        <f t="shared" si="177"/>
        <v>3.298</v>
      </c>
      <c r="AV202" s="122">
        <f t="shared" si="177"/>
        <v>2.2480000000000002</v>
      </c>
      <c r="AW202" s="302">
        <v>-3.8889999999999998</v>
      </c>
      <c r="AX202" s="302">
        <v>3</v>
      </c>
      <c r="AY202" s="674">
        <f t="shared" si="178"/>
        <v>4</v>
      </c>
      <c r="AZ202" s="122">
        <f t="shared" si="178"/>
        <v>0</v>
      </c>
      <c r="BA202" s="122">
        <f t="shared" si="178"/>
        <v>-1</v>
      </c>
      <c r="BB202" s="122">
        <f t="shared" si="178"/>
        <v>1</v>
      </c>
      <c r="BC202" s="122">
        <f t="shared" si="178"/>
        <v>4</v>
      </c>
      <c r="BD202" s="674">
        <f t="shared" si="178"/>
        <v>4</v>
      </c>
      <c r="BE202" s="122">
        <f t="shared" si="178"/>
        <v>1</v>
      </c>
      <c r="BF202" s="122">
        <f t="shared" si="178"/>
        <v>-3</v>
      </c>
      <c r="BG202" s="122">
        <f t="shared" si="178"/>
        <v>4</v>
      </c>
      <c r="BH202" s="122">
        <f t="shared" si="178"/>
        <v>-3</v>
      </c>
      <c r="BI202" s="674">
        <f t="shared" si="178"/>
        <v>-1</v>
      </c>
      <c r="BJ202" s="1274">
        <f>-BJ186</f>
        <v>4</v>
      </c>
      <c r="BK202" s="118"/>
      <c r="BL202" s="118"/>
      <c r="BM202" s="118"/>
      <c r="BN202" s="401"/>
      <c r="BO202" s="118"/>
      <c r="BP202" s="118"/>
      <c r="BQ202" s="118"/>
      <c r="BR202" s="118"/>
      <c r="BS202" s="401"/>
      <c r="BT202" s="401"/>
      <c r="BU202" s="401"/>
      <c r="BV202" s="401"/>
      <c r="BW202" s="122"/>
    </row>
    <row r="203" spans="1:75" hidden="1" outlineLevel="1" x14ac:dyDescent="0.5">
      <c r="A203" s="464" t="s">
        <v>2292</v>
      </c>
      <c r="B203" s="513"/>
      <c r="C203" s="401"/>
      <c r="D203" s="401"/>
      <c r="E203" s="401"/>
      <c r="F203" s="401"/>
      <c r="G203" s="118"/>
      <c r="H203" s="118"/>
      <c r="I203" s="118"/>
      <c r="J203" s="118"/>
      <c r="K203" s="401"/>
      <c r="L203" s="118"/>
      <c r="M203" s="118"/>
      <c r="N203" s="118"/>
      <c r="O203" s="118"/>
      <c r="P203" s="401"/>
      <c r="Q203" s="118"/>
      <c r="R203" s="118"/>
      <c r="S203" s="118"/>
      <c r="T203" s="118"/>
      <c r="U203" s="401"/>
      <c r="V203" s="118"/>
      <c r="W203" s="118"/>
      <c r="X203" s="118"/>
      <c r="Y203" s="118"/>
      <c r="Z203" s="401"/>
      <c r="AA203" s="118"/>
      <c r="AB203" s="118"/>
      <c r="AC203" s="118"/>
      <c r="AD203" s="118"/>
      <c r="AE203" s="401"/>
      <c r="AF203" s="118"/>
      <c r="AG203" s="118"/>
      <c r="AH203" s="118"/>
      <c r="AI203" s="118"/>
      <c r="AJ203" s="401"/>
      <c r="AK203" s="118"/>
      <c r="AL203" s="118"/>
      <c r="AM203" s="118"/>
      <c r="AN203" s="118"/>
      <c r="AO203" s="401"/>
      <c r="AP203" s="118"/>
      <c r="AQ203" s="118"/>
      <c r="AR203" s="118"/>
      <c r="AS203" s="118"/>
      <c r="AT203" s="401"/>
      <c r="AU203" s="118"/>
      <c r="AV203" s="118"/>
      <c r="AW203" s="118"/>
      <c r="AX203" s="118"/>
      <c r="AY203" s="401"/>
      <c r="AZ203" s="118"/>
      <c r="BA203" s="118"/>
      <c r="BB203" s="302">
        <v>31</v>
      </c>
      <c r="BC203" s="118"/>
      <c r="BD203" s="403">
        <v>31</v>
      </c>
      <c r="BE203" s="302">
        <v>65</v>
      </c>
      <c r="BF203" s="118"/>
      <c r="BG203" s="118"/>
      <c r="BH203" s="118"/>
      <c r="BI203" s="403">
        <v>65</v>
      </c>
      <c r="BJ203" s="1207">
        <v>79</v>
      </c>
      <c r="BK203" s="118"/>
      <c r="BL203" s="118"/>
      <c r="BM203" s="118"/>
      <c r="BN203" s="401"/>
      <c r="BO203" s="118"/>
      <c r="BP203" s="118"/>
      <c r="BQ203" s="118"/>
      <c r="BR203" s="118"/>
      <c r="BS203" s="401"/>
      <c r="BT203" s="401"/>
      <c r="BU203" s="401"/>
      <c r="BV203" s="401"/>
      <c r="BW203" s="122"/>
    </row>
    <row r="204" spans="1:75" hidden="1" outlineLevel="1" x14ac:dyDescent="0.5">
      <c r="A204" s="464" t="s">
        <v>2298</v>
      </c>
      <c r="B204" s="513"/>
      <c r="C204" s="401"/>
      <c r="D204" s="401"/>
      <c r="E204" s="401"/>
      <c r="F204" s="401"/>
      <c r="G204" s="118"/>
      <c r="H204" s="118"/>
      <c r="I204" s="118"/>
      <c r="J204" s="118"/>
      <c r="K204" s="401"/>
      <c r="L204" s="118"/>
      <c r="M204" s="118"/>
      <c r="N204" s="118"/>
      <c r="O204" s="118"/>
      <c r="P204" s="401"/>
      <c r="Q204" s="118"/>
      <c r="R204" s="118"/>
      <c r="S204" s="118"/>
      <c r="T204" s="118"/>
      <c r="U204" s="401"/>
      <c r="V204" s="118"/>
      <c r="W204" s="118"/>
      <c r="X204" s="118"/>
      <c r="Y204" s="118"/>
      <c r="Z204" s="401"/>
      <c r="AA204" s="118"/>
      <c r="AB204" s="118"/>
      <c r="AC204" s="118"/>
      <c r="AD204" s="118"/>
      <c r="AE204" s="401"/>
      <c r="AF204" s="118"/>
      <c r="AG204" s="118"/>
      <c r="AH204" s="118"/>
      <c r="AI204" s="118"/>
      <c r="AJ204" s="401"/>
      <c r="AK204" s="118"/>
      <c r="AL204" s="118"/>
      <c r="AM204" s="118"/>
      <c r="AN204" s="118"/>
      <c r="AO204" s="401"/>
      <c r="AP204" s="118"/>
      <c r="AQ204" s="118"/>
      <c r="AR204" s="118"/>
      <c r="AS204" s="118"/>
      <c r="AT204" s="401"/>
      <c r="AU204" s="118"/>
      <c r="AV204" s="118"/>
      <c r="AW204" s="118"/>
      <c r="AX204" s="118"/>
      <c r="AY204" s="401"/>
      <c r="AZ204" s="118"/>
      <c r="BA204" s="118"/>
      <c r="BB204" s="302">
        <v>-96</v>
      </c>
      <c r="BC204" s="118"/>
      <c r="BD204" s="403">
        <v>-96</v>
      </c>
      <c r="BE204" s="118"/>
      <c r="BF204" s="302">
        <v>-100</v>
      </c>
      <c r="BG204" s="118"/>
      <c r="BH204" s="118"/>
      <c r="BI204" s="403">
        <v>-100</v>
      </c>
      <c r="BJ204" s="971"/>
      <c r="BK204" s="118"/>
      <c r="BL204" s="118"/>
      <c r="BM204" s="118"/>
      <c r="BN204" s="401"/>
      <c r="BO204" s="118"/>
      <c r="BP204" s="118"/>
      <c r="BQ204" s="118"/>
      <c r="BR204" s="118"/>
      <c r="BS204" s="401"/>
      <c r="BT204" s="401"/>
      <c r="BU204" s="401"/>
      <c r="BV204" s="401"/>
      <c r="BW204" s="122"/>
    </row>
    <row r="205" spans="1:75" hidden="1" outlineLevel="1" x14ac:dyDescent="0.5">
      <c r="A205" s="464" t="s">
        <v>2116</v>
      </c>
      <c r="B205" s="513"/>
      <c r="C205" s="401"/>
      <c r="D205" s="401"/>
      <c r="E205" s="401"/>
      <c r="F205" s="401"/>
      <c r="G205" s="118"/>
      <c r="H205" s="118"/>
      <c r="I205" s="118"/>
      <c r="J205" s="118"/>
      <c r="K205" s="401"/>
      <c r="L205" s="118"/>
      <c r="M205" s="118"/>
      <c r="N205" s="118"/>
      <c r="O205" s="118"/>
      <c r="P205" s="401"/>
      <c r="Q205" s="118"/>
      <c r="R205" s="118"/>
      <c r="S205" s="118"/>
      <c r="T205" s="118"/>
      <c r="U205" s="401"/>
      <c r="V205" s="118"/>
      <c r="W205" s="118"/>
      <c r="X205" s="118"/>
      <c r="Y205" s="118"/>
      <c r="Z205" s="401"/>
      <c r="AA205" s="118"/>
      <c r="AB205" s="118"/>
      <c r="AC205" s="302">
        <v>8.7739999999999991</v>
      </c>
      <c r="AD205" s="118"/>
      <c r="AE205" s="403">
        <v>8.7739999999999991</v>
      </c>
      <c r="AF205" s="118"/>
      <c r="AG205" s="118"/>
      <c r="AH205" s="118"/>
      <c r="AI205" s="302">
        <v>-1.6639999999999999</v>
      </c>
      <c r="AJ205" s="403">
        <v>-1.6639999999999999</v>
      </c>
      <c r="AK205" s="118"/>
      <c r="AL205" s="118"/>
      <c r="AM205" s="118"/>
      <c r="AN205" s="118"/>
      <c r="AO205" s="401"/>
      <c r="AP205" s="302">
        <v>3.956</v>
      </c>
      <c r="AQ205" s="118"/>
      <c r="AR205" s="118"/>
      <c r="AS205" s="118"/>
      <c r="AT205" s="403">
        <v>3.956</v>
      </c>
      <c r="AU205" s="302">
        <v>12.212</v>
      </c>
      <c r="AV205" s="118"/>
      <c r="AW205" s="118"/>
      <c r="AX205" s="118"/>
      <c r="AY205" s="403">
        <v>12</v>
      </c>
      <c r="AZ205" s="118"/>
      <c r="BA205" s="302">
        <v>40</v>
      </c>
      <c r="BB205" s="118"/>
      <c r="BC205" s="302">
        <v>-1</v>
      </c>
      <c r="BD205" s="403">
        <v>39</v>
      </c>
      <c r="BE205" s="302">
        <v>13</v>
      </c>
      <c r="BF205" s="302">
        <v>1</v>
      </c>
      <c r="BG205" s="118"/>
      <c r="BH205" s="118"/>
      <c r="BI205" s="403">
        <v>14</v>
      </c>
      <c r="BJ205" s="971"/>
      <c r="BK205" s="118"/>
      <c r="BL205" s="118"/>
      <c r="BM205" s="118"/>
      <c r="BN205" s="401"/>
      <c r="BO205" s="118"/>
      <c r="BP205" s="118"/>
      <c r="BQ205" s="118"/>
      <c r="BR205" s="118"/>
      <c r="BS205" s="401"/>
      <c r="BT205" s="401"/>
      <c r="BU205" s="401"/>
      <c r="BV205" s="401"/>
      <c r="BW205" s="122"/>
    </row>
    <row r="206" spans="1:75" hidden="1" outlineLevel="1" x14ac:dyDescent="0.5">
      <c r="A206" s="464" t="s">
        <v>2300</v>
      </c>
      <c r="B206" s="513"/>
      <c r="C206" s="401"/>
      <c r="D206" s="401"/>
      <c r="E206" s="401"/>
      <c r="F206" s="674">
        <f t="shared" ref="F206:AG206" si="179">F189</f>
        <v>0.05</v>
      </c>
      <c r="G206" s="122">
        <f t="shared" si="179"/>
        <v>0</v>
      </c>
      <c r="H206" s="122">
        <f t="shared" si="179"/>
        <v>-5.0000000000000001E-3</v>
      </c>
      <c r="I206" s="122">
        <f t="shared" si="179"/>
        <v>1E-3</v>
      </c>
      <c r="J206" s="122">
        <f t="shared" si="179"/>
        <v>0.05</v>
      </c>
      <c r="K206" s="674">
        <f t="shared" si="179"/>
        <v>4.5999999999999999E-2</v>
      </c>
      <c r="L206" s="122">
        <f t="shared" si="179"/>
        <v>1.4999999999999999E-2</v>
      </c>
      <c r="M206" s="122">
        <f t="shared" si="179"/>
        <v>2E-3</v>
      </c>
      <c r="N206" s="122">
        <f t="shared" si="179"/>
        <v>5.8999999999999997E-2</v>
      </c>
      <c r="O206" s="122">
        <f t="shared" si="179"/>
        <v>9.9000000000000005E-2</v>
      </c>
      <c r="P206" s="674">
        <f t="shared" si="179"/>
        <v>0.17499999999999999</v>
      </c>
      <c r="Q206" s="122">
        <f t="shared" si="179"/>
        <v>4.5999999999999999E-2</v>
      </c>
      <c r="R206" s="122">
        <f t="shared" si="179"/>
        <v>7.2999999999999995E-2</v>
      </c>
      <c r="S206" s="122">
        <f t="shared" si="179"/>
        <v>-8.7999999999999995E-2</v>
      </c>
      <c r="T206" s="122">
        <f t="shared" si="179"/>
        <v>6.4000000000000001E-2</v>
      </c>
      <c r="U206" s="674">
        <f t="shared" si="179"/>
        <v>9.5000000000000001E-2</v>
      </c>
      <c r="V206" s="122">
        <f t="shared" si="179"/>
        <v>0.317</v>
      </c>
      <c r="W206" s="122">
        <f t="shared" si="179"/>
        <v>0.32100000000000001</v>
      </c>
      <c r="X206" s="122">
        <f t="shared" si="179"/>
        <v>-8.3000000000000004E-2</v>
      </c>
      <c r="Y206" s="122">
        <f t="shared" si="179"/>
        <v>5.2999999999999999E-2</v>
      </c>
      <c r="Z206" s="674">
        <f t="shared" si="179"/>
        <v>0.60799999999999998</v>
      </c>
      <c r="AA206" s="122">
        <f t="shared" si="179"/>
        <v>0.21</v>
      </c>
      <c r="AB206" s="122">
        <f t="shared" si="179"/>
        <v>0.224</v>
      </c>
      <c r="AC206" s="122">
        <f t="shared" si="179"/>
        <v>0.23699999999999999</v>
      </c>
      <c r="AD206" s="122">
        <f t="shared" si="179"/>
        <v>-0.18500000000000005</v>
      </c>
      <c r="AE206" s="674">
        <f t="shared" si="179"/>
        <v>0.48599999999999999</v>
      </c>
      <c r="AF206" s="122">
        <f t="shared" si="179"/>
        <v>0.24</v>
      </c>
      <c r="AG206" s="122">
        <f t="shared" si="179"/>
        <v>0.26500000000000001</v>
      </c>
      <c r="AH206" s="302">
        <v>0.44800000000000001</v>
      </c>
      <c r="AI206" s="122">
        <f>AI189</f>
        <v>1.0839999999999999</v>
      </c>
      <c r="AJ206" s="674">
        <f>AJ189</f>
        <v>2.0369999999999999</v>
      </c>
      <c r="AK206" s="122">
        <f>AK189</f>
        <v>0.59499999999999997</v>
      </c>
      <c r="AL206" s="431">
        <f>AL189</f>
        <v>0.83099999999999996</v>
      </c>
      <c r="AM206" s="357">
        <v>7.5999999999999998E-2</v>
      </c>
      <c r="AN206" s="122">
        <f>AN189</f>
        <v>1.5079999999999998</v>
      </c>
      <c r="AO206" s="674">
        <f>AO189</f>
        <v>3.01</v>
      </c>
      <c r="AP206" s="122">
        <f>AP189</f>
        <v>1.333</v>
      </c>
      <c r="AQ206" s="431">
        <f>AQ189</f>
        <v>0.29199999999999998</v>
      </c>
      <c r="AR206" s="357">
        <v>-1.2110000000000001</v>
      </c>
      <c r="AS206" s="122">
        <f>AS189</f>
        <v>19.908999999999999</v>
      </c>
      <c r="AT206" s="674">
        <f>AT189</f>
        <v>20.323</v>
      </c>
      <c r="AU206" s="122">
        <f>AU189</f>
        <v>-2.0019999999999998</v>
      </c>
      <c r="AV206" s="431">
        <f>AV189</f>
        <v>4.1289999999999996</v>
      </c>
      <c r="AW206" s="357">
        <v>3.706</v>
      </c>
      <c r="AX206" s="302">
        <v>-5</v>
      </c>
      <c r="AY206" s="403">
        <v>1</v>
      </c>
      <c r="AZ206" s="122">
        <f>AZ189</f>
        <v>1</v>
      </c>
      <c r="BA206" s="431">
        <f>BA189</f>
        <v>1</v>
      </c>
      <c r="BB206" s="357">
        <v>1</v>
      </c>
      <c r="BC206" s="302">
        <v>9</v>
      </c>
      <c r="BD206" s="403">
        <v>12</v>
      </c>
      <c r="BE206" s="122">
        <f>BE189</f>
        <v>2</v>
      </c>
      <c r="BF206" s="431">
        <f>BF189</f>
        <v>2</v>
      </c>
      <c r="BG206" s="357">
        <v>2</v>
      </c>
      <c r="BH206" s="302">
        <v>3</v>
      </c>
      <c r="BI206" s="403">
        <v>9</v>
      </c>
      <c r="BJ206" s="1207">
        <v>3</v>
      </c>
      <c r="BK206" s="118"/>
      <c r="BL206" s="118"/>
      <c r="BM206" s="118"/>
      <c r="BN206" s="401"/>
      <c r="BO206" s="118"/>
      <c r="BP206" s="118"/>
      <c r="BQ206" s="118"/>
      <c r="BR206" s="118"/>
      <c r="BS206" s="401"/>
      <c r="BT206" s="401"/>
      <c r="BU206" s="401"/>
      <c r="BV206" s="401"/>
      <c r="BW206" s="122"/>
    </row>
    <row r="207" spans="1:75" hidden="1" outlineLevel="1" x14ac:dyDescent="0.5">
      <c r="A207" s="516" t="s">
        <v>1145</v>
      </c>
      <c r="B207" s="517"/>
      <c r="C207" s="518"/>
      <c r="D207" s="518"/>
      <c r="E207" s="518"/>
      <c r="F207" s="519">
        <f t="shared" ref="F207:L207" si="180">SUM(F198:F206)</f>
        <v>-12.059000000000005</v>
      </c>
      <c r="G207" s="520">
        <f t="shared" si="180"/>
        <v>-2.5420000000000096</v>
      </c>
      <c r="H207" s="520">
        <f t="shared" si="180"/>
        <v>0.44200000000002254</v>
      </c>
      <c r="I207" s="520">
        <f t="shared" si="180"/>
        <v>-0.1810000000000162</v>
      </c>
      <c r="J207" s="520">
        <f t="shared" si="180"/>
        <v>-0.64699999999999658</v>
      </c>
      <c r="K207" s="519">
        <f t="shared" si="180"/>
        <v>-2.9280000000000062</v>
      </c>
      <c r="L207" s="520">
        <f t="shared" si="180"/>
        <v>-19.403000000000002</v>
      </c>
      <c r="M207" s="520">
        <f t="shared" ref="M207:BI207" si="181">SUM(M198:M206)</f>
        <v>-17.59899999999999</v>
      </c>
      <c r="N207" s="520">
        <f t="shared" si="181"/>
        <v>-18.317</v>
      </c>
      <c r="O207" s="520">
        <f t="shared" si="181"/>
        <v>-7.2179999999999751</v>
      </c>
      <c r="P207" s="519">
        <f t="shared" si="181"/>
        <v>-62.53700000000002</v>
      </c>
      <c r="Q207" s="520">
        <f t="shared" si="181"/>
        <v>-12.340000000000037</v>
      </c>
      <c r="R207" s="520">
        <f t="shared" si="181"/>
        <v>-4.9719999999999844</v>
      </c>
      <c r="S207" s="520">
        <f t="shared" si="181"/>
        <v>-1.4450000000000307</v>
      </c>
      <c r="T207" s="520">
        <f t="shared" si="181"/>
        <v>2.8280000000000283</v>
      </c>
      <c r="U207" s="519">
        <f t="shared" si="181"/>
        <v>-15.928999999999801</v>
      </c>
      <c r="V207" s="520">
        <f t="shared" si="181"/>
        <v>-20.96000000000009</v>
      </c>
      <c r="W207" s="520">
        <f t="shared" si="181"/>
        <v>-24.856999999999978</v>
      </c>
      <c r="X207" s="520">
        <f t="shared" si="181"/>
        <v>-30.849000000000057</v>
      </c>
      <c r="Y207" s="520">
        <f t="shared" si="181"/>
        <v>-12.026000000000034</v>
      </c>
      <c r="Z207" s="519">
        <f t="shared" si="181"/>
        <v>-88.691999999999879</v>
      </c>
      <c r="AA207" s="520">
        <f t="shared" si="181"/>
        <v>-20.895999999999955</v>
      </c>
      <c r="AB207" s="520">
        <f t="shared" si="181"/>
        <v>-2.24599999999996</v>
      </c>
      <c r="AC207" s="520">
        <f t="shared" si="181"/>
        <v>-22.67199999999993</v>
      </c>
      <c r="AD207" s="520">
        <f t="shared" si="181"/>
        <v>-21.21899999999955</v>
      </c>
      <c r="AE207" s="519">
        <f t="shared" si="181"/>
        <v>-67.032999999999532</v>
      </c>
      <c r="AF207" s="520">
        <f t="shared" si="181"/>
        <v>-49.959999999999887</v>
      </c>
      <c r="AG207" s="520">
        <f t="shared" si="181"/>
        <v>-34.808999999999934</v>
      </c>
      <c r="AH207" s="520">
        <f t="shared" si="181"/>
        <v>-76.405000000000101</v>
      </c>
      <c r="AI207" s="520">
        <f t="shared" si="181"/>
        <v>-53.812000000000147</v>
      </c>
      <c r="AJ207" s="519">
        <f t="shared" si="181"/>
        <v>-214.98599999999999</v>
      </c>
      <c r="AK207" s="520">
        <f t="shared" si="181"/>
        <v>-102.21800000000013</v>
      </c>
      <c r="AL207" s="520">
        <f t="shared" si="181"/>
        <v>-69.982999999999919</v>
      </c>
      <c r="AM207" s="520">
        <f t="shared" si="181"/>
        <v>-144.18399999999997</v>
      </c>
      <c r="AN207" s="520">
        <f t="shared" si="181"/>
        <v>-180.15899999999925</v>
      </c>
      <c r="AO207" s="519">
        <f t="shared" si="181"/>
        <v>-496.54399999999987</v>
      </c>
      <c r="AP207" s="520">
        <f t="shared" si="181"/>
        <v>-127.27700000000002</v>
      </c>
      <c r="AQ207" s="520">
        <f t="shared" si="181"/>
        <v>439.81299999999976</v>
      </c>
      <c r="AR207" s="520">
        <f t="shared" si="181"/>
        <v>371.11200000000036</v>
      </c>
      <c r="AS207" s="520">
        <f t="shared" si="181"/>
        <v>263.24000000000018</v>
      </c>
      <c r="AT207" s="519">
        <f t="shared" si="181"/>
        <v>946.88800000000015</v>
      </c>
      <c r="AU207" s="520">
        <f t="shared" si="181"/>
        <v>205.76699999999997</v>
      </c>
      <c r="AV207" s="520">
        <f t="shared" si="181"/>
        <v>310.84000000000049</v>
      </c>
      <c r="AW207" s="520">
        <f t="shared" si="181"/>
        <v>101.05100000000002</v>
      </c>
      <c r="AX207" s="520">
        <f t="shared" si="181"/>
        <v>-3.8530000000006623</v>
      </c>
      <c r="AY207" s="519">
        <f t="shared" si="181"/>
        <v>614</v>
      </c>
      <c r="AZ207" s="520">
        <f t="shared" si="181"/>
        <v>-113</v>
      </c>
      <c r="BA207" s="520">
        <f t="shared" si="181"/>
        <v>-108</v>
      </c>
      <c r="BB207" s="520">
        <f t="shared" si="181"/>
        <v>-124</v>
      </c>
      <c r="BC207" s="520">
        <f t="shared" si="181"/>
        <v>-71</v>
      </c>
      <c r="BD207" s="519">
        <f t="shared" si="181"/>
        <v>-416</v>
      </c>
      <c r="BE207" s="520">
        <f t="shared" si="181"/>
        <v>-14</v>
      </c>
      <c r="BF207" s="520">
        <f t="shared" si="181"/>
        <v>128</v>
      </c>
      <c r="BG207" s="520">
        <f t="shared" si="181"/>
        <v>100</v>
      </c>
      <c r="BH207" s="520">
        <f t="shared" si="181"/>
        <v>92</v>
      </c>
      <c r="BI207" s="519">
        <f t="shared" si="181"/>
        <v>306</v>
      </c>
      <c r="BJ207" s="1270">
        <f>SUM(BJ198:BJ206)</f>
        <v>75</v>
      </c>
      <c r="BK207" s="327"/>
      <c r="BL207" s="327"/>
      <c r="BM207" s="327"/>
      <c r="BN207" s="518"/>
      <c r="BO207" s="327"/>
      <c r="BP207" s="327"/>
      <c r="BQ207" s="327"/>
      <c r="BR207" s="327"/>
      <c r="BS207" s="518"/>
      <c r="BT207" s="518"/>
      <c r="BU207" s="518"/>
      <c r="BV207" s="518"/>
      <c r="BW207" s="197"/>
    </row>
    <row r="208" spans="1:75" hidden="1" outlineLevel="1" x14ac:dyDescent="0.5">
      <c r="A208" s="184"/>
      <c r="B208" s="513"/>
      <c r="C208" s="401"/>
      <c r="D208" s="401"/>
      <c r="E208" s="401"/>
      <c r="F208" s="401"/>
      <c r="G208" s="118"/>
      <c r="H208" s="118"/>
      <c r="I208" s="118"/>
      <c r="J208" s="118"/>
      <c r="K208" s="401"/>
      <c r="L208" s="118"/>
      <c r="M208" s="118"/>
      <c r="N208" s="118"/>
      <c r="O208" s="118"/>
      <c r="P208" s="401"/>
      <c r="Q208" s="118"/>
      <c r="R208" s="118"/>
      <c r="S208" s="118"/>
      <c r="T208" s="118"/>
      <c r="U208" s="401"/>
      <c r="V208" s="118"/>
      <c r="W208" s="118"/>
      <c r="X208" s="118"/>
      <c r="Y208" s="118"/>
      <c r="Z208" s="401"/>
      <c r="AA208" s="118"/>
      <c r="AB208" s="118"/>
      <c r="AC208" s="118"/>
      <c r="AD208" s="118"/>
      <c r="AE208" s="401"/>
      <c r="AF208" s="118"/>
      <c r="AG208" s="118"/>
      <c r="AH208" s="118"/>
      <c r="AI208" s="118"/>
      <c r="AJ208" s="401"/>
      <c r="AK208" s="118"/>
      <c r="AL208" s="118"/>
      <c r="AM208" s="118"/>
      <c r="AN208" s="118"/>
      <c r="AO208" s="401"/>
      <c r="AP208" s="118"/>
      <c r="AQ208" s="118"/>
      <c r="AR208" s="118"/>
      <c r="AS208" s="118"/>
      <c r="AT208" s="401"/>
      <c r="AU208" s="118"/>
      <c r="AV208" s="118"/>
      <c r="AW208" s="118"/>
      <c r="AX208" s="118"/>
      <c r="AY208" s="401"/>
      <c r="AZ208" s="118"/>
      <c r="BA208" s="118"/>
      <c r="BB208" s="118"/>
      <c r="BC208" s="118"/>
      <c r="BD208" s="401"/>
      <c r="BE208" s="118"/>
      <c r="BF208" s="118"/>
      <c r="BG208" s="118"/>
      <c r="BH208" s="118"/>
      <c r="BI208" s="401"/>
      <c r="BJ208" s="971"/>
      <c r="BK208" s="118"/>
      <c r="BL208" s="118"/>
      <c r="BM208" s="118"/>
      <c r="BN208" s="401"/>
      <c r="BO208" s="118"/>
      <c r="BP208" s="118"/>
      <c r="BQ208" s="118"/>
      <c r="BR208" s="118"/>
      <c r="BS208" s="401"/>
      <c r="BT208" s="401"/>
      <c r="BU208" s="401"/>
      <c r="BV208" s="401"/>
      <c r="BW208" s="122"/>
    </row>
    <row r="209" spans="1:75" hidden="1" outlineLevel="1" x14ac:dyDescent="0.5">
      <c r="A209" s="463" t="s">
        <v>2301</v>
      </c>
      <c r="B209" s="522"/>
      <c r="C209" s="397"/>
      <c r="D209" s="397"/>
      <c r="E209" s="397"/>
      <c r="F209" s="397"/>
      <c r="G209" s="295"/>
      <c r="H209" s="295"/>
      <c r="I209" s="295"/>
      <c r="J209" s="295"/>
      <c r="K209" s="397"/>
      <c r="L209" s="197">
        <f t="shared" ref="L209:BJ209" si="182">L193</f>
        <v>-35.176000000000002</v>
      </c>
      <c r="M209" s="197">
        <f t="shared" si="182"/>
        <v>-27.97999999999999</v>
      </c>
      <c r="N209" s="197">
        <f t="shared" si="182"/>
        <v>-28.891000000000005</v>
      </c>
      <c r="O209" s="197">
        <f t="shared" si="182"/>
        <v>-58.121999999999971</v>
      </c>
      <c r="P209" s="672">
        <f t="shared" si="182"/>
        <v>-150.16900000000001</v>
      </c>
      <c r="Q209" s="197">
        <f t="shared" si="182"/>
        <v>-27.136000000000038</v>
      </c>
      <c r="R209" s="197">
        <f t="shared" si="182"/>
        <v>-19.333999999999985</v>
      </c>
      <c r="S209" s="197">
        <f t="shared" si="182"/>
        <v>-15.47800000000003</v>
      </c>
      <c r="T209" s="197">
        <f t="shared" si="182"/>
        <v>-15.494999999999971</v>
      </c>
      <c r="U209" s="672">
        <f t="shared" si="182"/>
        <v>-77.442999999999799</v>
      </c>
      <c r="V209" s="197">
        <f t="shared" si="182"/>
        <v>-41.205000000000091</v>
      </c>
      <c r="W209" s="197">
        <f t="shared" si="182"/>
        <v>-48.273999999999987</v>
      </c>
      <c r="X209" s="197">
        <f t="shared" si="182"/>
        <v>-60.940000000000062</v>
      </c>
      <c r="Y209" s="197">
        <f t="shared" si="182"/>
        <v>-43.956000000000039</v>
      </c>
      <c r="Z209" s="672">
        <f t="shared" si="182"/>
        <v>-194.37499999999989</v>
      </c>
      <c r="AA209" s="197">
        <f t="shared" si="182"/>
        <v>-56.538999999999959</v>
      </c>
      <c r="AB209" s="197">
        <f t="shared" si="182"/>
        <v>-38.874999999999957</v>
      </c>
      <c r="AC209" s="197">
        <f t="shared" si="182"/>
        <v>-76.428999999999931</v>
      </c>
      <c r="AD209" s="197">
        <f t="shared" si="182"/>
        <v>-72.770999999999546</v>
      </c>
      <c r="AE209" s="672">
        <f t="shared" si="182"/>
        <v>-244.61399999999952</v>
      </c>
      <c r="AF209" s="197">
        <f t="shared" si="182"/>
        <v>-107.77499999999989</v>
      </c>
      <c r="AG209" s="197">
        <f t="shared" si="182"/>
        <v>-100.73399999999994</v>
      </c>
      <c r="AH209" s="197">
        <f t="shared" si="182"/>
        <v>-151.72600000000008</v>
      </c>
      <c r="AI209" s="197">
        <f t="shared" si="182"/>
        <v>-143.84500000000014</v>
      </c>
      <c r="AJ209" s="672">
        <f t="shared" si="182"/>
        <v>-504.08</v>
      </c>
      <c r="AK209" s="197">
        <f t="shared" si="182"/>
        <v>-200.38900000000012</v>
      </c>
      <c r="AL209" s="197">
        <f t="shared" si="182"/>
        <v>-181.9379999999999</v>
      </c>
      <c r="AM209" s="197">
        <f t="shared" si="182"/>
        <v>-272.03499999999997</v>
      </c>
      <c r="AN209" s="197">
        <f t="shared" si="182"/>
        <v>-330.22199999999924</v>
      </c>
      <c r="AO209" s="672">
        <f t="shared" si="182"/>
        <v>-984.58399999999983</v>
      </c>
      <c r="AP209" s="197">
        <f t="shared" si="182"/>
        <v>-285.86500000000001</v>
      </c>
      <c r="AQ209" s="197">
        <f t="shared" si="182"/>
        <v>304.07199999999983</v>
      </c>
      <c r="AR209" s="197">
        <f t="shared" si="182"/>
        <v>182.30200000000039</v>
      </c>
      <c r="AS209" s="197">
        <f t="shared" si="182"/>
        <v>23.818000000000175</v>
      </c>
      <c r="AT209" s="672">
        <f t="shared" si="182"/>
        <v>184.99600000000015</v>
      </c>
      <c r="AU209" s="197">
        <f t="shared" si="182"/>
        <v>16.666999999999984</v>
      </c>
      <c r="AV209" s="197">
        <f t="shared" si="182"/>
        <v>138.91300000000047</v>
      </c>
      <c r="AW209" s="197">
        <f t="shared" si="182"/>
        <v>-78.021000000000001</v>
      </c>
      <c r="AX209" s="197">
        <f t="shared" si="182"/>
        <v>-201.85300000000066</v>
      </c>
      <c r="AY209" s="672">
        <f t="shared" si="182"/>
        <v>-131</v>
      </c>
      <c r="AZ209" s="197">
        <f t="shared" si="182"/>
        <v>-319</v>
      </c>
      <c r="BA209" s="197">
        <f t="shared" si="182"/>
        <v>-378</v>
      </c>
      <c r="BB209" s="197">
        <f t="shared" si="182"/>
        <v>-283</v>
      </c>
      <c r="BC209" s="197">
        <f t="shared" si="182"/>
        <v>-351</v>
      </c>
      <c r="BD209" s="672">
        <f t="shared" si="182"/>
        <v>-1331</v>
      </c>
      <c r="BE209" s="197">
        <f t="shared" si="182"/>
        <v>-355</v>
      </c>
      <c r="BF209" s="197">
        <f t="shared" si="182"/>
        <v>-46</v>
      </c>
      <c r="BG209" s="197">
        <f t="shared" si="182"/>
        <v>-163</v>
      </c>
      <c r="BH209" s="197">
        <f t="shared" si="182"/>
        <v>-174</v>
      </c>
      <c r="BI209" s="672">
        <f t="shared" si="182"/>
        <v>-738</v>
      </c>
      <c r="BJ209" s="1273">
        <f t="shared" si="182"/>
        <v>-248</v>
      </c>
      <c r="BK209" s="295"/>
      <c r="BL209" s="295"/>
      <c r="BM209" s="295"/>
      <c r="BN209" s="397"/>
      <c r="BO209" s="295"/>
      <c r="BP209" s="295"/>
      <c r="BQ209" s="295"/>
      <c r="BR209" s="295"/>
      <c r="BS209" s="397"/>
      <c r="BT209" s="397"/>
      <c r="BU209" s="397"/>
      <c r="BV209" s="397"/>
      <c r="BW209" s="197"/>
    </row>
    <row r="210" spans="1:75" hidden="1" outlineLevel="1" x14ac:dyDescent="0.5">
      <c r="A210" s="464" t="s">
        <v>2309</v>
      </c>
      <c r="B210" s="522"/>
      <c r="C210" s="397"/>
      <c r="D210" s="397"/>
      <c r="E210" s="397"/>
      <c r="F210" s="397"/>
      <c r="G210" s="295"/>
      <c r="H210" s="295"/>
      <c r="I210" s="295"/>
      <c r="J210" s="295"/>
      <c r="K210" s="397"/>
      <c r="L210" s="295"/>
      <c r="M210" s="295"/>
      <c r="N210" s="295"/>
      <c r="O210" s="295"/>
      <c r="P210" s="397"/>
      <c r="Q210" s="295"/>
      <c r="R210" s="295"/>
      <c r="S210" s="295"/>
      <c r="T210" s="295"/>
      <c r="U210" s="397"/>
      <c r="V210" s="295"/>
      <c r="W210" s="295"/>
      <c r="X210" s="295"/>
      <c r="Y210" s="295"/>
      <c r="Z210" s="397"/>
      <c r="AA210" s="295"/>
      <c r="AB210" s="295"/>
      <c r="AC210" s="295"/>
      <c r="AD210" s="295"/>
      <c r="AE210" s="397"/>
      <c r="AF210" s="295"/>
      <c r="AG210" s="295"/>
      <c r="AH210" s="295"/>
      <c r="AI210" s="295"/>
      <c r="AJ210" s="397"/>
      <c r="AK210" s="295"/>
      <c r="AL210" s="295"/>
      <c r="AM210" s="295"/>
      <c r="AN210" s="295"/>
      <c r="AO210" s="397"/>
      <c r="AP210" s="295"/>
      <c r="AQ210" s="295"/>
      <c r="AR210" s="302">
        <v>19.919</v>
      </c>
      <c r="AS210" s="302">
        <v>3.0270000000000001</v>
      </c>
      <c r="AT210" s="403">
        <v>8.7899999999999991</v>
      </c>
      <c r="AU210" s="302">
        <v>8.5079999999999991</v>
      </c>
      <c r="AV210" s="118"/>
      <c r="AW210" s="118"/>
      <c r="AX210" s="118"/>
      <c r="AY210" s="403">
        <v>20</v>
      </c>
      <c r="AZ210" s="302">
        <v>0</v>
      </c>
      <c r="BA210" s="118"/>
      <c r="BB210" s="118"/>
      <c r="BC210" s="118"/>
      <c r="BD210" s="401"/>
      <c r="BE210" s="118"/>
      <c r="BF210" s="118"/>
      <c r="BG210" s="118"/>
      <c r="BH210" s="118"/>
      <c r="BI210" s="401"/>
      <c r="BJ210" s="971"/>
      <c r="BK210" s="295"/>
      <c r="BL210" s="295"/>
      <c r="BM210" s="295"/>
      <c r="BN210" s="397"/>
      <c r="BO210" s="295"/>
      <c r="BP210" s="295"/>
      <c r="BQ210" s="295"/>
      <c r="BR210" s="295"/>
      <c r="BS210" s="397"/>
      <c r="BT210" s="397"/>
      <c r="BU210" s="397"/>
      <c r="BV210" s="397"/>
      <c r="BW210" s="197"/>
    </row>
    <row r="211" spans="1:75" hidden="1" outlineLevel="1" x14ac:dyDescent="0.5">
      <c r="A211" s="464" t="s">
        <v>2302</v>
      </c>
      <c r="B211" s="513"/>
      <c r="C211" s="401"/>
      <c r="D211" s="401"/>
      <c r="E211" s="401"/>
      <c r="F211" s="401"/>
      <c r="G211" s="118"/>
      <c r="H211" s="118"/>
      <c r="I211" s="118"/>
      <c r="J211" s="118"/>
      <c r="K211" s="401"/>
      <c r="L211" s="302">
        <v>7.15</v>
      </c>
      <c r="M211" s="302">
        <v>4.6050000000000004</v>
      </c>
      <c r="N211" s="302">
        <v>4.7480000000000002</v>
      </c>
      <c r="O211" s="302">
        <v>-14.432</v>
      </c>
      <c r="P211" s="403">
        <v>2.0710000000000002</v>
      </c>
      <c r="Q211" s="118"/>
      <c r="R211" s="302">
        <v>0</v>
      </c>
      <c r="S211" s="302">
        <v>0</v>
      </c>
      <c r="T211" s="302">
        <v>0</v>
      </c>
      <c r="U211" s="403">
        <v>0</v>
      </c>
      <c r="V211" s="118"/>
      <c r="W211" s="118"/>
      <c r="X211" s="118"/>
      <c r="Y211" s="118"/>
      <c r="Z211" s="401"/>
      <c r="AA211" s="118"/>
      <c r="AB211" s="118"/>
      <c r="AC211" s="118"/>
      <c r="AD211" s="118"/>
      <c r="AE211" s="401"/>
      <c r="AF211" s="118"/>
      <c r="AG211" s="118"/>
      <c r="AH211" s="118"/>
      <c r="AI211" s="118"/>
      <c r="AJ211" s="401"/>
      <c r="AK211" s="118"/>
      <c r="AL211" s="118"/>
      <c r="AM211" s="118"/>
      <c r="AN211" s="118"/>
      <c r="AO211" s="401"/>
      <c r="AP211" s="118"/>
      <c r="AQ211" s="118"/>
      <c r="AR211" s="118"/>
      <c r="AS211" s="118"/>
      <c r="AT211" s="401"/>
      <c r="AU211" s="118"/>
      <c r="AV211" s="118"/>
      <c r="AW211" s="118"/>
      <c r="AX211" s="118"/>
      <c r="AY211" s="401"/>
      <c r="AZ211" s="118"/>
      <c r="BA211" s="118"/>
      <c r="BB211" s="118"/>
      <c r="BC211" s="118"/>
      <c r="BD211" s="401"/>
      <c r="BE211" s="118"/>
      <c r="BF211" s="118"/>
      <c r="BG211" s="118"/>
      <c r="BH211" s="118"/>
      <c r="BI211" s="401"/>
      <c r="BJ211" s="971"/>
      <c r="BK211" s="118"/>
      <c r="BL211" s="118"/>
      <c r="BM211" s="118"/>
      <c r="BN211" s="401"/>
      <c r="BO211" s="118"/>
      <c r="BP211" s="118"/>
      <c r="BQ211" s="118"/>
      <c r="BR211" s="118"/>
      <c r="BS211" s="401"/>
      <c r="BT211" s="401"/>
      <c r="BU211" s="401"/>
      <c r="BV211" s="401"/>
      <c r="BW211" s="122"/>
    </row>
    <row r="212" spans="1:75" hidden="1" outlineLevel="1" x14ac:dyDescent="0.5">
      <c r="A212" s="464" t="s">
        <v>2310</v>
      </c>
      <c r="B212" s="513"/>
      <c r="C212" s="401"/>
      <c r="D212" s="401"/>
      <c r="E212" s="401"/>
      <c r="F212" s="401"/>
      <c r="G212" s="118"/>
      <c r="H212" s="118"/>
      <c r="I212" s="118"/>
      <c r="J212" s="118"/>
      <c r="K212" s="401"/>
      <c r="L212" s="302">
        <v>4.5540000000000003</v>
      </c>
      <c r="M212" s="302">
        <v>0.97399999999999998</v>
      </c>
      <c r="N212" s="302">
        <v>0</v>
      </c>
      <c r="O212" s="302">
        <v>57.716000000000001</v>
      </c>
      <c r="P212" s="403">
        <v>63.244</v>
      </c>
      <c r="Q212" s="302">
        <v>8.1620000000000008</v>
      </c>
      <c r="R212" s="302">
        <v>7.101</v>
      </c>
      <c r="S212" s="302">
        <v>7.9850000000000003</v>
      </c>
      <c r="T212" s="302">
        <v>9.7270000000000003</v>
      </c>
      <c r="U212" s="403">
        <v>32.975000000000001</v>
      </c>
      <c r="V212" s="302">
        <v>10.662000000000001</v>
      </c>
      <c r="W212" s="302">
        <v>11.295</v>
      </c>
      <c r="X212" s="302">
        <v>15.308</v>
      </c>
      <c r="Y212" s="302">
        <v>14.688000000000001</v>
      </c>
      <c r="Z212" s="403">
        <v>51.953000000000003</v>
      </c>
      <c r="AA212" s="302">
        <v>14.958</v>
      </c>
      <c r="AB212" s="302">
        <v>15.983000000000001</v>
      </c>
      <c r="AC212" s="302">
        <v>19.597999999999999</v>
      </c>
      <c r="AD212" s="302">
        <v>22.087</v>
      </c>
      <c r="AE212" s="403">
        <v>72.626000000000005</v>
      </c>
      <c r="AF212" s="302">
        <v>27.146999999999998</v>
      </c>
      <c r="AG212" s="302">
        <v>31.61</v>
      </c>
      <c r="AH212" s="302">
        <v>36.317</v>
      </c>
      <c r="AI212" s="302">
        <v>41.341000000000001</v>
      </c>
      <c r="AJ212" s="403">
        <v>136.41499999999999</v>
      </c>
      <c r="AK212" s="302">
        <v>51.832999999999998</v>
      </c>
      <c r="AL212" s="302">
        <v>56.854999999999997</v>
      </c>
      <c r="AM212" s="302">
        <v>65.275000000000006</v>
      </c>
      <c r="AN212" s="302">
        <v>67.015000000000001</v>
      </c>
      <c r="AO212" s="403">
        <v>240.97800000000001</v>
      </c>
      <c r="AP212" s="302">
        <v>63.991999999999997</v>
      </c>
      <c r="AQ212" s="302">
        <v>70.700999999999993</v>
      </c>
      <c r="AR212" s="302">
        <v>76.683000000000007</v>
      </c>
      <c r="AS212" s="302">
        <v>85.495999999999995</v>
      </c>
      <c r="AT212" s="403">
        <v>296.87200000000001</v>
      </c>
      <c r="AU212" s="302">
        <v>86.900999999999996</v>
      </c>
      <c r="AV212" s="302">
        <v>87.707999999999998</v>
      </c>
      <c r="AW212" s="302">
        <v>88.932000000000002</v>
      </c>
      <c r="AX212" s="302">
        <v>110</v>
      </c>
      <c r="AY212" s="403">
        <v>374</v>
      </c>
      <c r="AZ212" s="302">
        <v>112</v>
      </c>
      <c r="BA212" s="302">
        <v>133</v>
      </c>
      <c r="BB212" s="302">
        <v>123</v>
      </c>
      <c r="BC212" s="302">
        <v>159</v>
      </c>
      <c r="BD212" s="403">
        <v>527</v>
      </c>
      <c r="BE212" s="302">
        <v>151</v>
      </c>
      <c r="BF212" s="302">
        <v>167</v>
      </c>
      <c r="BG212" s="302">
        <v>146</v>
      </c>
      <c r="BH212" s="302">
        <v>159</v>
      </c>
      <c r="BI212" s="403">
        <v>623</v>
      </c>
      <c r="BJ212" s="1207">
        <v>127</v>
      </c>
      <c r="BK212" s="118"/>
      <c r="BL212" s="118"/>
      <c r="BM212" s="118"/>
      <c r="BN212" s="401"/>
      <c r="BO212" s="118"/>
      <c r="BP212" s="118"/>
      <c r="BQ212" s="118"/>
      <c r="BR212" s="118"/>
      <c r="BS212" s="401"/>
      <c r="BT212" s="401"/>
      <c r="BU212" s="401"/>
      <c r="BV212" s="401"/>
      <c r="BW212" s="122"/>
    </row>
    <row r="213" spans="1:75" s="123" customFormat="1" hidden="1" outlineLevel="1" x14ac:dyDescent="0.5">
      <c r="A213" s="464" t="s">
        <v>2300</v>
      </c>
      <c r="B213" s="513"/>
      <c r="C213" s="401"/>
      <c r="D213" s="401"/>
      <c r="E213" s="401"/>
      <c r="F213" s="401"/>
      <c r="G213" s="118"/>
      <c r="H213" s="118"/>
      <c r="I213" s="118"/>
      <c r="J213" s="118"/>
      <c r="K213" s="401"/>
      <c r="L213" s="302">
        <v>1.4E-2</v>
      </c>
      <c r="M213" s="302">
        <v>2E-3</v>
      </c>
      <c r="N213" s="302">
        <v>5.8999999999999997E-2</v>
      </c>
      <c r="O213" s="302">
        <v>9.9000000000000005E-2</v>
      </c>
      <c r="P213" s="403">
        <v>0.17499999999999999</v>
      </c>
      <c r="Q213" s="302">
        <v>4.5999999999999999E-2</v>
      </c>
      <c r="R213" s="302">
        <v>7.2999999999999995E-2</v>
      </c>
      <c r="S213" s="302">
        <v>-8.7999999999999995E-2</v>
      </c>
      <c r="T213" s="302">
        <v>6.4000000000000001E-2</v>
      </c>
      <c r="U213" s="403">
        <v>9.5000000000000001E-2</v>
      </c>
      <c r="V213" s="302">
        <v>0.317</v>
      </c>
      <c r="W213" s="302">
        <v>0.32100000000000001</v>
      </c>
      <c r="X213" s="302">
        <v>-8.3000000000000004E-2</v>
      </c>
      <c r="Y213" s="302">
        <v>5.2999999999999999E-2</v>
      </c>
      <c r="Z213" s="403">
        <v>0.60799999999999998</v>
      </c>
      <c r="AA213" s="302">
        <v>0.21</v>
      </c>
      <c r="AB213" s="302">
        <v>0.224</v>
      </c>
      <c r="AC213" s="302">
        <v>0.23699999999999999</v>
      </c>
      <c r="AD213" s="302">
        <v>-0.185</v>
      </c>
      <c r="AE213" s="403">
        <v>0.48599999999999999</v>
      </c>
      <c r="AF213" s="302">
        <v>0.24</v>
      </c>
      <c r="AG213" s="302">
        <v>0.26500000000000001</v>
      </c>
      <c r="AH213" s="302">
        <v>0.44800000000000001</v>
      </c>
      <c r="AI213" s="302">
        <v>1.0840000000000001</v>
      </c>
      <c r="AJ213" s="403">
        <v>2.0369999999999999</v>
      </c>
      <c r="AK213" s="302">
        <v>0.59499999999999997</v>
      </c>
      <c r="AL213" s="302">
        <v>0.83099999999999996</v>
      </c>
      <c r="AM213" s="302">
        <v>7.5999999999999998E-2</v>
      </c>
      <c r="AN213" s="302">
        <v>1.508</v>
      </c>
      <c r="AO213" s="403">
        <v>3.01</v>
      </c>
      <c r="AP213" s="302">
        <v>1.333</v>
      </c>
      <c r="AQ213" s="302">
        <v>0.29199999999999998</v>
      </c>
      <c r="AR213" s="302">
        <v>-1.2110000000000001</v>
      </c>
      <c r="AS213" s="302">
        <v>19.908999999999999</v>
      </c>
      <c r="AT213" s="403">
        <v>20.323</v>
      </c>
      <c r="AU213" s="302">
        <v>-2.0019999999999998</v>
      </c>
      <c r="AV213" s="302">
        <v>4.1289999999999996</v>
      </c>
      <c r="AW213" s="302">
        <v>3.706</v>
      </c>
      <c r="AX213" s="302">
        <v>-5</v>
      </c>
      <c r="AY213" s="403">
        <v>1</v>
      </c>
      <c r="AZ213" s="302">
        <v>1</v>
      </c>
      <c r="BA213" s="302">
        <v>1</v>
      </c>
      <c r="BB213" s="302">
        <v>1</v>
      </c>
      <c r="BC213" s="302">
        <v>9</v>
      </c>
      <c r="BD213" s="403">
        <v>12</v>
      </c>
      <c r="BE213" s="302">
        <v>2</v>
      </c>
      <c r="BF213" s="302">
        <v>2</v>
      </c>
      <c r="BG213" s="302">
        <v>2</v>
      </c>
      <c r="BH213" s="302">
        <v>3</v>
      </c>
      <c r="BI213" s="403">
        <v>9</v>
      </c>
      <c r="BJ213" s="1207">
        <v>3</v>
      </c>
      <c r="BK213" s="118"/>
      <c r="BL213" s="118"/>
      <c r="BM213" s="118"/>
      <c r="BN213" s="401"/>
      <c r="BO213" s="118"/>
      <c r="BP213" s="118"/>
      <c r="BQ213" s="118"/>
      <c r="BR213" s="118"/>
      <c r="BS213" s="401"/>
      <c r="BT213" s="401"/>
      <c r="BU213" s="401"/>
      <c r="BV213" s="401"/>
      <c r="BW213" s="122"/>
    </row>
    <row r="214" spans="1:75" s="123" customFormat="1" hidden="1" outlineLevel="1" x14ac:dyDescent="0.5">
      <c r="A214" s="464" t="s">
        <v>2292</v>
      </c>
      <c r="B214" s="513"/>
      <c r="C214" s="401"/>
      <c r="D214" s="401"/>
      <c r="E214" s="401"/>
      <c r="F214" s="401"/>
      <c r="G214" s="118"/>
      <c r="H214" s="118"/>
      <c r="I214" s="118"/>
      <c r="J214" s="118"/>
      <c r="K214" s="401"/>
      <c r="L214" s="118"/>
      <c r="M214" s="118"/>
      <c r="N214" s="118"/>
      <c r="O214" s="118"/>
      <c r="P214" s="401"/>
      <c r="Q214" s="118"/>
      <c r="R214" s="118"/>
      <c r="S214" s="118"/>
      <c r="T214" s="118"/>
      <c r="U214" s="401"/>
      <c r="V214" s="118"/>
      <c r="W214" s="118"/>
      <c r="X214" s="118"/>
      <c r="Y214" s="118"/>
      <c r="Z214" s="401"/>
      <c r="AA214" s="118"/>
      <c r="AB214" s="118"/>
      <c r="AC214" s="118"/>
      <c r="AD214" s="118"/>
      <c r="AE214" s="401"/>
      <c r="AF214" s="118"/>
      <c r="AG214" s="118"/>
      <c r="AH214" s="118"/>
      <c r="AI214" s="118"/>
      <c r="AJ214" s="401"/>
      <c r="AK214" s="118"/>
      <c r="AL214" s="118"/>
      <c r="AM214" s="118"/>
      <c r="AN214" s="118"/>
      <c r="AO214" s="401"/>
      <c r="AP214" s="118"/>
      <c r="AQ214" s="118"/>
      <c r="AR214" s="118"/>
      <c r="AS214" s="118"/>
      <c r="AT214" s="401"/>
      <c r="AU214" s="118"/>
      <c r="AV214" s="118"/>
      <c r="AW214" s="118"/>
      <c r="AX214" s="118"/>
      <c r="AY214" s="401"/>
      <c r="AZ214" s="118"/>
      <c r="BA214" s="118"/>
      <c r="BB214" s="302">
        <v>31</v>
      </c>
      <c r="BC214" s="118"/>
      <c r="BD214" s="403">
        <v>31</v>
      </c>
      <c r="BE214" s="302">
        <v>65</v>
      </c>
      <c r="BF214" s="118"/>
      <c r="BG214" s="118"/>
      <c r="BH214" s="118"/>
      <c r="BI214" s="403">
        <v>65</v>
      </c>
      <c r="BJ214" s="1207">
        <v>79</v>
      </c>
      <c r="BK214" s="118"/>
      <c r="BL214" s="118"/>
      <c r="BM214" s="118"/>
      <c r="BN214" s="401"/>
      <c r="BO214" s="118"/>
      <c r="BP214" s="118"/>
      <c r="BQ214" s="118"/>
      <c r="BR214" s="118"/>
      <c r="BS214" s="401"/>
      <c r="BT214" s="401"/>
      <c r="BU214" s="401"/>
      <c r="BV214" s="401"/>
      <c r="BW214" s="122"/>
    </row>
    <row r="215" spans="1:75" s="123" customFormat="1" hidden="1" outlineLevel="1" x14ac:dyDescent="0.5">
      <c r="A215" s="464" t="s">
        <v>2298</v>
      </c>
      <c r="B215" s="513"/>
      <c r="C215" s="401"/>
      <c r="D215" s="401"/>
      <c r="E215" s="401"/>
      <c r="F215" s="401"/>
      <c r="G215" s="118"/>
      <c r="H215" s="118"/>
      <c r="I215" s="118"/>
      <c r="J215" s="118"/>
      <c r="K215" s="401"/>
      <c r="L215" s="118"/>
      <c r="M215" s="118"/>
      <c r="N215" s="118"/>
      <c r="O215" s="118"/>
      <c r="P215" s="401"/>
      <c r="Q215" s="118"/>
      <c r="R215" s="118"/>
      <c r="S215" s="118"/>
      <c r="T215" s="118"/>
      <c r="U215" s="401"/>
      <c r="V215" s="118"/>
      <c r="W215" s="118"/>
      <c r="X215" s="118"/>
      <c r="Y215" s="118"/>
      <c r="Z215" s="401"/>
      <c r="AA215" s="118"/>
      <c r="AB215" s="118"/>
      <c r="AC215" s="118"/>
      <c r="AD215" s="118"/>
      <c r="AE215" s="401"/>
      <c r="AF215" s="118"/>
      <c r="AG215" s="118"/>
      <c r="AH215" s="118"/>
      <c r="AI215" s="118"/>
      <c r="AJ215" s="401"/>
      <c r="AK215" s="118"/>
      <c r="AL215" s="118"/>
      <c r="AM215" s="118"/>
      <c r="AN215" s="118"/>
      <c r="AO215" s="401"/>
      <c r="AP215" s="118"/>
      <c r="AQ215" s="118"/>
      <c r="AR215" s="118"/>
      <c r="AS215" s="118"/>
      <c r="AT215" s="401"/>
      <c r="AU215" s="118"/>
      <c r="AV215" s="118"/>
      <c r="AW215" s="118"/>
      <c r="AX215" s="118"/>
      <c r="AY215" s="401"/>
      <c r="AZ215" s="118"/>
      <c r="BA215" s="118"/>
      <c r="BB215" s="302">
        <v>-96</v>
      </c>
      <c r="BC215" s="118"/>
      <c r="BD215" s="403">
        <v>-96</v>
      </c>
      <c r="BE215" s="118"/>
      <c r="BF215" s="302">
        <v>-100</v>
      </c>
      <c r="BG215" s="118"/>
      <c r="BH215" s="118"/>
      <c r="BI215" s="403">
        <v>-100</v>
      </c>
      <c r="BJ215" s="971"/>
      <c r="BK215" s="118"/>
      <c r="BL215" s="118"/>
      <c r="BM215" s="118"/>
      <c r="BN215" s="401"/>
      <c r="BO215" s="118"/>
      <c r="BP215" s="118"/>
      <c r="BQ215" s="118"/>
      <c r="BR215" s="118"/>
      <c r="BS215" s="401"/>
      <c r="BT215" s="401"/>
      <c r="BU215" s="401"/>
      <c r="BV215" s="401"/>
      <c r="BW215" s="122"/>
    </row>
    <row r="216" spans="1:75" hidden="1" outlineLevel="1" x14ac:dyDescent="0.5">
      <c r="A216" s="464" t="s">
        <v>2116</v>
      </c>
      <c r="B216" s="513"/>
      <c r="C216" s="401"/>
      <c r="D216" s="401"/>
      <c r="E216" s="401"/>
      <c r="F216" s="401"/>
      <c r="G216" s="118"/>
      <c r="H216" s="118"/>
      <c r="I216" s="118"/>
      <c r="J216" s="118"/>
      <c r="K216" s="401"/>
      <c r="L216" s="302">
        <v>0</v>
      </c>
      <c r="M216" s="118"/>
      <c r="N216" s="302">
        <v>0</v>
      </c>
      <c r="O216" s="118"/>
      <c r="P216" s="403">
        <v>0</v>
      </c>
      <c r="Q216" s="118"/>
      <c r="R216" s="118"/>
      <c r="S216" s="302">
        <v>-2.9969999999999999</v>
      </c>
      <c r="T216" s="118"/>
      <c r="U216" s="403">
        <v>-2.9969999999999999</v>
      </c>
      <c r="V216" s="118"/>
      <c r="W216" s="118"/>
      <c r="X216" s="118"/>
      <c r="Y216" s="118"/>
      <c r="Z216" s="401"/>
      <c r="AA216" s="118"/>
      <c r="AB216" s="118"/>
      <c r="AC216" s="118"/>
      <c r="AD216" s="118"/>
      <c r="AE216" s="401"/>
      <c r="AF216" s="118"/>
      <c r="AG216" s="118"/>
      <c r="AH216" s="118"/>
      <c r="AI216" s="118"/>
      <c r="AJ216" s="401"/>
      <c r="AK216" s="118"/>
      <c r="AL216" s="723"/>
      <c r="AM216" s="723"/>
      <c r="AN216" s="118"/>
      <c r="AO216" s="401"/>
      <c r="AP216" s="302">
        <v>3.956</v>
      </c>
      <c r="AQ216" s="723"/>
      <c r="AR216" s="723"/>
      <c r="AS216" s="118"/>
      <c r="AT216" s="403">
        <v>3.956</v>
      </c>
      <c r="AU216" s="302">
        <v>12.212</v>
      </c>
      <c r="AV216" s="723"/>
      <c r="AW216" s="723"/>
      <c r="AX216" s="118"/>
      <c r="AY216" s="403">
        <v>12</v>
      </c>
      <c r="AZ216" s="118"/>
      <c r="BA216" s="357">
        <v>40</v>
      </c>
      <c r="BB216" s="723"/>
      <c r="BC216" s="302">
        <v>-1</v>
      </c>
      <c r="BD216" s="403">
        <v>39</v>
      </c>
      <c r="BE216" s="302">
        <v>13</v>
      </c>
      <c r="BF216" s="357">
        <v>1</v>
      </c>
      <c r="BG216" s="723"/>
      <c r="BH216" s="118"/>
      <c r="BI216" s="408">
        <v>14</v>
      </c>
      <c r="BJ216" s="971"/>
      <c r="BK216" s="118"/>
      <c r="BL216" s="118"/>
      <c r="BM216" s="118"/>
      <c r="BN216" s="401"/>
      <c r="BO216" s="118"/>
      <c r="BP216" s="118"/>
      <c r="BQ216" s="118"/>
      <c r="BR216" s="118"/>
      <c r="BS216" s="401"/>
      <c r="BT216" s="401"/>
      <c r="BU216" s="401"/>
      <c r="BV216" s="401"/>
      <c r="BW216" s="122"/>
    </row>
    <row r="217" spans="1:75" hidden="1" outlineLevel="1" x14ac:dyDescent="0.5">
      <c r="A217" s="516" t="s">
        <v>2311</v>
      </c>
      <c r="B217" s="517"/>
      <c r="C217" s="518"/>
      <c r="D217" s="518"/>
      <c r="E217" s="518"/>
      <c r="F217" s="518"/>
      <c r="G217" s="327"/>
      <c r="H217" s="327"/>
      <c r="I217" s="327"/>
      <c r="J217" s="327"/>
      <c r="K217" s="518"/>
      <c r="L217" s="520">
        <f t="shared" ref="L217:BI217" si="183">SUM(L209:L216)</f>
        <v>-23.458000000000002</v>
      </c>
      <c r="M217" s="520">
        <f t="shared" si="183"/>
        <v>-22.39899999999999</v>
      </c>
      <c r="N217" s="520">
        <f t="shared" si="183"/>
        <v>-24.084000000000003</v>
      </c>
      <c r="O217" s="520">
        <f t="shared" si="183"/>
        <v>-14.738999999999972</v>
      </c>
      <c r="P217" s="519">
        <f t="shared" si="183"/>
        <v>-84.679000000000016</v>
      </c>
      <c r="Q217" s="520">
        <f t="shared" si="183"/>
        <v>-18.92800000000004</v>
      </c>
      <c r="R217" s="520">
        <f t="shared" si="183"/>
        <v>-12.159999999999986</v>
      </c>
      <c r="S217" s="520">
        <f t="shared" si="183"/>
        <v>-10.57800000000003</v>
      </c>
      <c r="T217" s="520">
        <f t="shared" si="183"/>
        <v>-5.7039999999999704</v>
      </c>
      <c r="U217" s="519">
        <f t="shared" si="183"/>
        <v>-47.369999999999798</v>
      </c>
      <c r="V217" s="520">
        <f t="shared" si="183"/>
        <v>-30.226000000000091</v>
      </c>
      <c r="W217" s="520">
        <f t="shared" si="183"/>
        <v>-36.657999999999987</v>
      </c>
      <c r="X217" s="520">
        <f t="shared" si="183"/>
        <v>-45.71500000000006</v>
      </c>
      <c r="Y217" s="520">
        <f t="shared" si="183"/>
        <v>-29.215000000000035</v>
      </c>
      <c r="Z217" s="519">
        <f t="shared" si="183"/>
        <v>-141.81399999999988</v>
      </c>
      <c r="AA217" s="327">
        <f t="shared" si="183"/>
        <v>-41.37099999999996</v>
      </c>
      <c r="AB217" s="520">
        <f t="shared" si="183"/>
        <v>-22.667999999999957</v>
      </c>
      <c r="AC217" s="520">
        <f t="shared" si="183"/>
        <v>-56.59399999999993</v>
      </c>
      <c r="AD217" s="520">
        <f t="shared" si="183"/>
        <v>-50.868999999999545</v>
      </c>
      <c r="AE217" s="519">
        <f t="shared" si="183"/>
        <v>-171.50199999999953</v>
      </c>
      <c r="AF217" s="327">
        <f t="shared" si="183"/>
        <v>-80.387999999999906</v>
      </c>
      <c r="AG217" s="520">
        <f t="shared" si="183"/>
        <v>-68.858999999999938</v>
      </c>
      <c r="AH217" s="520">
        <f t="shared" si="183"/>
        <v>-114.96100000000008</v>
      </c>
      <c r="AI217" s="520">
        <f t="shared" si="183"/>
        <v>-101.42000000000013</v>
      </c>
      <c r="AJ217" s="519">
        <f t="shared" si="183"/>
        <v>-365.62799999999999</v>
      </c>
      <c r="AK217" s="327">
        <f t="shared" si="183"/>
        <v>-147.96100000000013</v>
      </c>
      <c r="AL217" s="520">
        <f t="shared" si="183"/>
        <v>-124.25199999999991</v>
      </c>
      <c r="AM217" s="520">
        <f t="shared" si="183"/>
        <v>-206.68399999999997</v>
      </c>
      <c r="AN217" s="520">
        <f t="shared" si="183"/>
        <v>-261.69899999999927</v>
      </c>
      <c r="AO217" s="519">
        <f t="shared" si="183"/>
        <v>-740.59599999999978</v>
      </c>
      <c r="AP217" s="327">
        <f t="shared" si="183"/>
        <v>-216.58400000000003</v>
      </c>
      <c r="AQ217" s="520">
        <f t="shared" si="183"/>
        <v>375.06499999999977</v>
      </c>
      <c r="AR217" s="520">
        <f t="shared" si="183"/>
        <v>277.69300000000038</v>
      </c>
      <c r="AS217" s="520">
        <f t="shared" si="183"/>
        <v>132.25000000000017</v>
      </c>
      <c r="AT217" s="519">
        <f t="shared" si="183"/>
        <v>514.93700000000013</v>
      </c>
      <c r="AU217" s="327">
        <f t="shared" si="183"/>
        <v>122.28599999999999</v>
      </c>
      <c r="AV217" s="520">
        <f t="shared" si="183"/>
        <v>230.75000000000045</v>
      </c>
      <c r="AW217" s="520">
        <f t="shared" si="183"/>
        <v>14.617000000000001</v>
      </c>
      <c r="AX217" s="520">
        <f t="shared" si="183"/>
        <v>-96.853000000000662</v>
      </c>
      <c r="AY217" s="519">
        <f t="shared" si="183"/>
        <v>276</v>
      </c>
      <c r="AZ217" s="327">
        <f t="shared" si="183"/>
        <v>-206</v>
      </c>
      <c r="BA217" s="520">
        <f t="shared" si="183"/>
        <v>-204</v>
      </c>
      <c r="BB217" s="520">
        <f t="shared" si="183"/>
        <v>-224</v>
      </c>
      <c r="BC217" s="520">
        <f t="shared" si="183"/>
        <v>-184</v>
      </c>
      <c r="BD217" s="519">
        <f t="shared" si="183"/>
        <v>-818</v>
      </c>
      <c r="BE217" s="327">
        <f t="shared" si="183"/>
        <v>-124</v>
      </c>
      <c r="BF217" s="520">
        <f t="shared" si="183"/>
        <v>24</v>
      </c>
      <c r="BG217" s="520">
        <f t="shared" si="183"/>
        <v>-15</v>
      </c>
      <c r="BH217" s="520">
        <f t="shared" si="183"/>
        <v>-12</v>
      </c>
      <c r="BI217" s="672">
        <f t="shared" si="183"/>
        <v>-127</v>
      </c>
      <c r="BJ217" s="1026">
        <f>SUM(BJ209:BJ216)</f>
        <v>-39</v>
      </c>
      <c r="BK217" s="327"/>
      <c r="BL217" s="327"/>
      <c r="BM217" s="327"/>
      <c r="BN217" s="518"/>
      <c r="BO217" s="327"/>
      <c r="BP217" s="327"/>
      <c r="BQ217" s="327"/>
      <c r="BR217" s="327"/>
      <c r="BS217" s="518"/>
      <c r="BT217" s="518"/>
      <c r="BU217" s="518"/>
      <c r="BV217" s="518"/>
      <c r="BW217" s="197"/>
    </row>
    <row r="218" spans="1:75" s="123" customFormat="1" hidden="1" outlineLevel="1" x14ac:dyDescent="0.5">
      <c r="A218" s="206"/>
      <c r="B218" s="522"/>
      <c r="C218" s="397"/>
      <c r="D218" s="397"/>
      <c r="E218" s="397"/>
      <c r="F218" s="397"/>
      <c r="G218" s="295"/>
      <c r="H218" s="295"/>
      <c r="I218" s="295"/>
      <c r="J218" s="295"/>
      <c r="K218" s="397"/>
      <c r="L218" s="295"/>
      <c r="M218" s="295"/>
      <c r="N218" s="295"/>
      <c r="O218" s="295"/>
      <c r="P218" s="397"/>
      <c r="Q218" s="295"/>
      <c r="R218" s="295"/>
      <c r="S218" s="295"/>
      <c r="T218" s="295"/>
      <c r="U218" s="397"/>
      <c r="V218" s="295"/>
      <c r="W218" s="295"/>
      <c r="X218" s="295"/>
      <c r="Y218" s="295"/>
      <c r="Z218" s="397"/>
      <c r="AA218" s="295"/>
      <c r="AB218" s="295"/>
      <c r="AC218" s="295"/>
      <c r="AD218" s="295"/>
      <c r="AE218" s="397"/>
      <c r="AF218" s="295"/>
      <c r="AG218" s="295"/>
      <c r="AH218" s="295"/>
      <c r="AI218" s="295"/>
      <c r="AJ218" s="397"/>
      <c r="AK218" s="295"/>
      <c r="AL218" s="295"/>
      <c r="AM218" s="295"/>
      <c r="AN218" s="295"/>
      <c r="AO218" s="397"/>
      <c r="AP218" s="295"/>
      <c r="AQ218" s="295"/>
      <c r="AR218" s="295"/>
      <c r="AS218" s="295"/>
      <c r="AT218" s="397"/>
      <c r="AU218" s="295"/>
      <c r="AV218" s="295"/>
      <c r="AW218" s="295"/>
      <c r="AX218" s="295"/>
      <c r="AY218" s="397"/>
      <c r="AZ218" s="295"/>
      <c r="BA218" s="295"/>
      <c r="BB218" s="295"/>
      <c r="BC218" s="295"/>
      <c r="BD218" s="397"/>
      <c r="BE218" s="295"/>
      <c r="BF218" s="295"/>
      <c r="BG218" s="295"/>
      <c r="BH218" s="295"/>
      <c r="BI218" s="397"/>
      <c r="BJ218" s="1030"/>
      <c r="BK218" s="295"/>
      <c r="BL218" s="295"/>
      <c r="BM218" s="295"/>
      <c r="BN218" s="397"/>
      <c r="BO218" s="295"/>
      <c r="BP218" s="295"/>
      <c r="BQ218" s="295"/>
      <c r="BR218" s="295"/>
      <c r="BS218" s="397"/>
      <c r="BT218" s="397"/>
      <c r="BU218" s="397"/>
      <c r="BV218" s="397"/>
      <c r="BW218" s="197"/>
    </row>
    <row r="219" spans="1:75" s="123" customFormat="1" hidden="1" outlineLevel="1" x14ac:dyDescent="0.5">
      <c r="A219" s="464" t="s">
        <v>2312</v>
      </c>
      <c r="B219" s="513"/>
      <c r="C219" s="401"/>
      <c r="D219" s="401"/>
      <c r="E219" s="401"/>
      <c r="F219" s="401">
        <f t="shared" ref="F219:BQ219" si="184">F853</f>
        <v>3.9450000000000021</v>
      </c>
      <c r="G219" s="118">
        <f t="shared" si="184"/>
        <v>-20.451000000000001</v>
      </c>
      <c r="H219" s="118">
        <f t="shared" si="184"/>
        <v>14.544000000000002</v>
      </c>
      <c r="I219" s="118">
        <f t="shared" si="184"/>
        <v>-0.51799999999999957</v>
      </c>
      <c r="J219" s="118">
        <f t="shared" si="184"/>
        <v>40.838000000000008</v>
      </c>
      <c r="K219" s="401">
        <f t="shared" si="184"/>
        <v>34.413000000000004</v>
      </c>
      <c r="L219" s="122">
        <f t="shared" si="184"/>
        <v>-24.432000000000002</v>
      </c>
      <c r="M219" s="122">
        <f t="shared" si="184"/>
        <v>-15.339000000000006</v>
      </c>
      <c r="N219" s="122">
        <f t="shared" si="184"/>
        <v>-11.065999999999997</v>
      </c>
      <c r="O219" s="122">
        <f t="shared" si="184"/>
        <v>54.961999999999982</v>
      </c>
      <c r="P219" s="674">
        <f t="shared" si="184"/>
        <v>4.1249999999999831</v>
      </c>
      <c r="Q219" s="122">
        <f t="shared" si="184"/>
        <v>-35.201999999999998</v>
      </c>
      <c r="R219" s="122">
        <f t="shared" si="184"/>
        <v>28.452999999999996</v>
      </c>
      <c r="S219" s="122">
        <f t="shared" si="184"/>
        <v>51.503999999999998</v>
      </c>
      <c r="T219" s="122">
        <f t="shared" si="184"/>
        <v>90.365999999999985</v>
      </c>
      <c r="U219" s="674">
        <f t="shared" si="184"/>
        <v>135.12099999999998</v>
      </c>
      <c r="V219" s="122">
        <f t="shared" si="184"/>
        <v>-51.203999999999994</v>
      </c>
      <c r="W219" s="122">
        <f t="shared" si="184"/>
        <v>24.903000000000002</v>
      </c>
      <c r="X219" s="122">
        <f t="shared" si="184"/>
        <v>15.620999999999981</v>
      </c>
      <c r="Y219" s="122">
        <f t="shared" si="184"/>
        <v>73.494000000000014</v>
      </c>
      <c r="Z219" s="674">
        <f t="shared" si="184"/>
        <v>62.814000000000014</v>
      </c>
      <c r="AA219" s="118">
        <f t="shared" si="184"/>
        <v>-46.097999999999985</v>
      </c>
      <c r="AB219" s="122">
        <f t="shared" si="184"/>
        <v>18.100999999999996</v>
      </c>
      <c r="AC219" s="122">
        <f t="shared" si="184"/>
        <v>24.75200000000002</v>
      </c>
      <c r="AD219" s="122">
        <f t="shared" si="184"/>
        <v>36.878999999999969</v>
      </c>
      <c r="AE219" s="674">
        <f t="shared" si="184"/>
        <v>33.634</v>
      </c>
      <c r="AF219" s="118">
        <f t="shared" si="184"/>
        <v>-13.077000000000012</v>
      </c>
      <c r="AG219" s="122">
        <f t="shared" si="184"/>
        <v>47.604000000000013</v>
      </c>
      <c r="AH219" s="122">
        <f t="shared" si="184"/>
        <v>7.8039999999999967</v>
      </c>
      <c r="AI219" s="122">
        <f t="shared" si="184"/>
        <v>42.530000000000072</v>
      </c>
      <c r="AJ219" s="674">
        <f t="shared" si="184"/>
        <v>84.861000000000004</v>
      </c>
      <c r="AK219" s="118">
        <f t="shared" si="184"/>
        <v>-81.347999999999999</v>
      </c>
      <c r="AL219" s="122">
        <f t="shared" si="184"/>
        <v>-2.7340000000000115</v>
      </c>
      <c r="AM219" s="122">
        <f t="shared" si="184"/>
        <v>-76.44099999999996</v>
      </c>
      <c r="AN219" s="122">
        <f t="shared" si="184"/>
        <v>-36.294999999999995</v>
      </c>
      <c r="AO219" s="674">
        <f t="shared" si="184"/>
        <v>-196.8179999999999</v>
      </c>
      <c r="AP219" s="118">
        <f t="shared" si="184"/>
        <v>-256.29000000000002</v>
      </c>
      <c r="AQ219" s="122">
        <f t="shared" si="184"/>
        <v>1135.251</v>
      </c>
      <c r="AR219" s="122">
        <f t="shared" si="184"/>
        <v>331.02699999999993</v>
      </c>
      <c r="AS219" s="122">
        <f t="shared" si="184"/>
        <v>206.74300000000002</v>
      </c>
      <c r="AT219" s="674">
        <f t="shared" si="184"/>
        <v>1416.731</v>
      </c>
      <c r="AU219" s="118">
        <f t="shared" si="184"/>
        <v>176.59599999999998</v>
      </c>
      <c r="AV219" s="122">
        <f t="shared" si="184"/>
        <v>275.43899999999996</v>
      </c>
      <c r="AW219" s="122">
        <f t="shared" si="184"/>
        <v>-130.84800000000001</v>
      </c>
      <c r="AX219" s="122">
        <f t="shared" si="184"/>
        <v>88.812999999999988</v>
      </c>
      <c r="AY219" s="674">
        <f t="shared" si="184"/>
        <v>410</v>
      </c>
      <c r="AZ219" s="118">
        <f t="shared" si="184"/>
        <v>-226</v>
      </c>
      <c r="BA219" s="122">
        <f t="shared" si="184"/>
        <v>-115</v>
      </c>
      <c r="BB219" s="122">
        <f t="shared" si="184"/>
        <v>-431</v>
      </c>
      <c r="BC219" s="122">
        <f t="shared" si="184"/>
        <v>98</v>
      </c>
      <c r="BD219" s="674">
        <f t="shared" si="184"/>
        <v>-674</v>
      </c>
      <c r="BE219" s="118">
        <f t="shared" si="184"/>
        <v>-147</v>
      </c>
      <c r="BF219" s="122">
        <f t="shared" si="184"/>
        <v>217</v>
      </c>
      <c r="BG219" s="122">
        <f t="shared" si="184"/>
        <v>121</v>
      </c>
      <c r="BH219" s="122">
        <f t="shared" si="184"/>
        <v>158</v>
      </c>
      <c r="BI219" s="674">
        <f t="shared" si="184"/>
        <v>349</v>
      </c>
      <c r="BJ219" s="971">
        <f>BJ853</f>
        <v>-139</v>
      </c>
      <c r="BK219" s="118">
        <f t="shared" si="184"/>
        <v>10.643105816061563</v>
      </c>
      <c r="BL219" s="118">
        <f t="shared" ca="1" si="184"/>
        <v>155.04791682253716</v>
      </c>
      <c r="BM219" s="118">
        <f t="shared" ca="1" si="184"/>
        <v>85.489682822079885</v>
      </c>
      <c r="BN219" s="401">
        <f t="shared" ca="1" si="184"/>
        <v>112.18070546067861</v>
      </c>
      <c r="BO219" s="118">
        <f t="shared" ca="1" si="184"/>
        <v>9.4467128428803733</v>
      </c>
      <c r="BP219" s="118">
        <f t="shared" ca="1" si="184"/>
        <v>12.507802200450385</v>
      </c>
      <c r="BQ219" s="118">
        <f t="shared" ca="1" si="184"/>
        <v>171.62492760557512</v>
      </c>
      <c r="BR219" s="118">
        <f t="shared" ref="BR219:CI219" ca="1" si="185">BR853</f>
        <v>101.03244412463974</v>
      </c>
      <c r="BS219" s="401">
        <f t="shared" ca="1" si="185"/>
        <v>294.61188677354551</v>
      </c>
      <c r="BT219" s="401">
        <f t="shared" ca="1" si="185"/>
        <v>528.47008537537386</v>
      </c>
      <c r="BU219" s="401">
        <f t="shared" ca="1" si="185"/>
        <v>773.41876467145971</v>
      </c>
      <c r="BV219" s="401">
        <f t="shared" ca="1" si="185"/>
        <v>1059.1541920152013</v>
      </c>
      <c r="BW219" s="122"/>
    </row>
    <row r="220" spans="1:75" s="123" customFormat="1" hidden="1" outlineLevel="1" x14ac:dyDescent="0.5">
      <c r="A220" s="184" t="s">
        <v>2313</v>
      </c>
      <c r="B220" s="513"/>
      <c r="C220" s="401"/>
      <c r="D220" s="401"/>
      <c r="E220" s="401"/>
      <c r="F220" s="401">
        <f t="shared" ref="F220:BI221" si="186">F858</f>
        <v>-8.0310000000000006</v>
      </c>
      <c r="G220" s="118">
        <f t="shared" si="186"/>
        <v>-2.2360000000000002</v>
      </c>
      <c r="H220" s="118">
        <f t="shared" si="186"/>
        <v>-1.0649999999999999</v>
      </c>
      <c r="I220" s="118">
        <f t="shared" si="186"/>
        <v>-1.1200000000000001</v>
      </c>
      <c r="J220" s="118">
        <f t="shared" si="186"/>
        <v>-2.3179999999999996</v>
      </c>
      <c r="K220" s="401">
        <f t="shared" si="186"/>
        <v>-6.7389999999999999</v>
      </c>
      <c r="L220" s="118">
        <f t="shared" si="186"/>
        <v>-11.356999999999999</v>
      </c>
      <c r="M220" s="118">
        <f t="shared" si="186"/>
        <v>-12.974</v>
      </c>
      <c r="N220" s="118">
        <f t="shared" si="186"/>
        <v>-6.8369999999999997</v>
      </c>
      <c r="O220" s="118">
        <f t="shared" si="186"/>
        <v>-0.68700000000000117</v>
      </c>
      <c r="P220" s="401">
        <f t="shared" si="186"/>
        <v>-31.855</v>
      </c>
      <c r="Q220" s="118">
        <f t="shared" si="186"/>
        <v>-12.051</v>
      </c>
      <c r="R220" s="118">
        <f t="shared" si="186"/>
        <v>-13.153</v>
      </c>
      <c r="S220" s="118">
        <f t="shared" si="186"/>
        <v>-11.491</v>
      </c>
      <c r="T220" s="118">
        <f t="shared" si="186"/>
        <v>-7.953000000000003</v>
      </c>
      <c r="U220" s="401">
        <f t="shared" si="186"/>
        <v>-44.648000000000003</v>
      </c>
      <c r="V220" s="118">
        <f t="shared" si="186"/>
        <v>-23.927</v>
      </c>
      <c r="W220" s="118">
        <f t="shared" si="186"/>
        <v>-37.509</v>
      </c>
      <c r="X220" s="118">
        <f t="shared" si="186"/>
        <v>-20.407999999999994</v>
      </c>
      <c r="Y220" s="118">
        <f t="shared" si="186"/>
        <v>-14.863</v>
      </c>
      <c r="Z220" s="401">
        <f t="shared" si="186"/>
        <v>-96.706999999999994</v>
      </c>
      <c r="AA220" s="118">
        <f t="shared" si="186"/>
        <v>-11.952</v>
      </c>
      <c r="AB220" s="118">
        <f t="shared" si="186"/>
        <v>-33.596000000000004</v>
      </c>
      <c r="AC220" s="118">
        <f t="shared" si="186"/>
        <v>-30.980000000000004</v>
      </c>
      <c r="AD220" s="118">
        <f t="shared" si="186"/>
        <v>-23.922999999999988</v>
      </c>
      <c r="AE220" s="401">
        <f t="shared" si="186"/>
        <v>-100.45099999999999</v>
      </c>
      <c r="AF220" s="118">
        <f t="shared" si="186"/>
        <v>-21.363</v>
      </c>
      <c r="AG220" s="118">
        <f t="shared" si="186"/>
        <v>-39.730000000000004</v>
      </c>
      <c r="AH220" s="118">
        <f t="shared" si="186"/>
        <v>-49.411000000000001</v>
      </c>
      <c r="AI220" s="118">
        <f t="shared" si="186"/>
        <v>-48.701000000000008</v>
      </c>
      <c r="AJ220" s="401">
        <f t="shared" si="186"/>
        <v>-159.20500000000001</v>
      </c>
      <c r="AK220" s="118">
        <f t="shared" si="186"/>
        <v>-60.625999999999998</v>
      </c>
      <c r="AL220" s="118">
        <f t="shared" si="186"/>
        <v>-54.714000000000006</v>
      </c>
      <c r="AM220" s="118">
        <f t="shared" si="186"/>
        <v>-68.627999999999986</v>
      </c>
      <c r="AN220" s="118">
        <f t="shared" si="186"/>
        <v>-87.774000000000029</v>
      </c>
      <c r="AO220" s="401">
        <f t="shared" si="186"/>
        <v>-271.74200000000002</v>
      </c>
      <c r="AP220" s="118">
        <f t="shared" si="186"/>
        <v>-59.963999999999999</v>
      </c>
      <c r="AQ220" s="118">
        <f t="shared" si="186"/>
        <v>-44.846000000000004</v>
      </c>
      <c r="AR220" s="118">
        <f t="shared" si="186"/>
        <v>-41.492999999999995</v>
      </c>
      <c r="AS220" s="118">
        <f t="shared" si="186"/>
        <v>-39.736999999999995</v>
      </c>
      <c r="AT220" s="401">
        <f t="shared" si="186"/>
        <v>-186.04</v>
      </c>
      <c r="AU220" s="118">
        <f t="shared" si="186"/>
        <v>-24.448</v>
      </c>
      <c r="AV220" s="118">
        <f t="shared" si="186"/>
        <v>-24.624000000000002</v>
      </c>
      <c r="AW220" s="118">
        <f t="shared" si="186"/>
        <v>-28.521000000000001</v>
      </c>
      <c r="AX220" s="118">
        <f t="shared" si="186"/>
        <v>-23.406999999999996</v>
      </c>
      <c r="AY220" s="401">
        <f t="shared" si="186"/>
        <v>-101</v>
      </c>
      <c r="AZ220" s="118">
        <f t="shared" si="186"/>
        <v>-40</v>
      </c>
      <c r="BA220" s="118">
        <f t="shared" si="186"/>
        <v>-53</v>
      </c>
      <c r="BB220" s="118">
        <f t="shared" si="186"/>
        <v>-43</v>
      </c>
      <c r="BC220" s="118">
        <f t="shared" si="186"/>
        <v>-50</v>
      </c>
      <c r="BD220" s="401">
        <f t="shared" si="186"/>
        <v>-186</v>
      </c>
      <c r="BE220" s="118">
        <f t="shared" si="186"/>
        <v>-34</v>
      </c>
      <c r="BF220" s="118">
        <f t="shared" si="186"/>
        <v>-37</v>
      </c>
      <c r="BG220" s="118">
        <f t="shared" si="186"/>
        <v>-30</v>
      </c>
      <c r="BH220" s="118">
        <f t="shared" si="186"/>
        <v>-47</v>
      </c>
      <c r="BI220" s="401">
        <f t="shared" si="186"/>
        <v>-148</v>
      </c>
      <c r="BJ220" s="971">
        <f>BJ858</f>
        <v>-13</v>
      </c>
      <c r="BK220" s="302">
        <v>-40</v>
      </c>
      <c r="BL220" s="302">
        <v>-40</v>
      </c>
      <c r="BM220" s="302">
        <v>-40</v>
      </c>
      <c r="BN220" s="401">
        <f>SUM(BJ220,BK220,BL220,BM220)</f>
        <v>-133</v>
      </c>
      <c r="BO220" s="302">
        <v>-40</v>
      </c>
      <c r="BP220" s="302">
        <v>-40</v>
      </c>
      <c r="BQ220" s="302">
        <v>-40</v>
      </c>
      <c r="BR220" s="302">
        <v>-40</v>
      </c>
      <c r="BS220" s="401">
        <f>SUM(BO220,BP220,BQ220,BR220)</f>
        <v>-160</v>
      </c>
      <c r="BT220" s="403">
        <v>-160</v>
      </c>
      <c r="BU220" s="403">
        <v>-160</v>
      </c>
      <c r="BV220" s="403">
        <v>-160</v>
      </c>
      <c r="BW220" s="122"/>
    </row>
    <row r="221" spans="1:75" s="123" customFormat="1" hidden="1" outlineLevel="1" x14ac:dyDescent="0.5">
      <c r="A221" s="184" t="s">
        <v>2314</v>
      </c>
      <c r="B221" s="513"/>
      <c r="C221" s="401"/>
      <c r="D221" s="401"/>
      <c r="E221" s="401"/>
      <c r="F221" s="401">
        <f t="shared" si="186"/>
        <v>-6.9489999999999998</v>
      </c>
      <c r="G221" s="118">
        <f t="shared" si="186"/>
        <v>-1.996</v>
      </c>
      <c r="H221" s="118">
        <f t="shared" si="186"/>
        <v>-2.0710000000000002</v>
      </c>
      <c r="I221" s="118">
        <f t="shared" si="186"/>
        <v>-2.3449999999999998</v>
      </c>
      <c r="J221" s="118">
        <f t="shared" si="186"/>
        <v>-2.6279999999999992</v>
      </c>
      <c r="K221" s="401">
        <f t="shared" si="186"/>
        <v>-9.0399999999999991</v>
      </c>
      <c r="L221" s="118">
        <f t="shared" si="186"/>
        <v>-2.7170000000000001</v>
      </c>
      <c r="M221" s="118">
        <f t="shared" si="186"/>
        <v>-3.4309999999999996</v>
      </c>
      <c r="N221" s="118">
        <f t="shared" si="186"/>
        <v>-4.495000000000001</v>
      </c>
      <c r="O221" s="118">
        <f t="shared" si="186"/>
        <v>-3.4870000000000001</v>
      </c>
      <c r="P221" s="401">
        <f t="shared" si="186"/>
        <v>-14.13</v>
      </c>
      <c r="Q221" s="118">
        <f t="shared" si="186"/>
        <v>-4.1150000000000002</v>
      </c>
      <c r="R221" s="118">
        <f t="shared" si="186"/>
        <v>-4.3109999999999999</v>
      </c>
      <c r="S221" s="118">
        <f t="shared" si="186"/>
        <v>-4.6809999999999992</v>
      </c>
      <c r="T221" s="118">
        <f t="shared" si="186"/>
        <v>-4.429000000000002</v>
      </c>
      <c r="U221" s="401">
        <f t="shared" si="186"/>
        <v>-17.536000000000001</v>
      </c>
      <c r="V221" s="118">
        <f t="shared" si="186"/>
        <v>-5.4509999999999996</v>
      </c>
      <c r="W221" s="118">
        <f t="shared" si="186"/>
        <v>-6.8120000000000003</v>
      </c>
      <c r="X221" s="118">
        <f t="shared" si="186"/>
        <v>-9.1809999999999992</v>
      </c>
      <c r="Y221" s="118">
        <f t="shared" si="186"/>
        <v>-9.9350000000000023</v>
      </c>
      <c r="Z221" s="401">
        <f t="shared" si="186"/>
        <v>-31.379000000000001</v>
      </c>
      <c r="AA221" s="118">
        <f t="shared" si="186"/>
        <v>-10.92</v>
      </c>
      <c r="AB221" s="118">
        <f t="shared" si="186"/>
        <v>-11.729999999999999</v>
      </c>
      <c r="AC221" s="118">
        <f t="shared" si="186"/>
        <v>-12.234999999999999</v>
      </c>
      <c r="AD221" s="118">
        <f t="shared" si="186"/>
        <v>-11.542999999999999</v>
      </c>
      <c r="AE221" s="401">
        <f t="shared" si="186"/>
        <v>-46.427999999999997</v>
      </c>
      <c r="AF221" s="118">
        <f t="shared" si="186"/>
        <v>-13.154</v>
      </c>
      <c r="AG221" s="118">
        <f t="shared" si="186"/>
        <v>-15.419</v>
      </c>
      <c r="AH221" s="118">
        <f t="shared" si="186"/>
        <v>-17.195999999999998</v>
      </c>
      <c r="AI221" s="118">
        <f t="shared" si="186"/>
        <v>-16.981000000000002</v>
      </c>
      <c r="AJ221" s="401">
        <f t="shared" si="186"/>
        <v>-62.75</v>
      </c>
      <c r="AK221" s="118">
        <f t="shared" si="186"/>
        <v>-24.843</v>
      </c>
      <c r="AL221" s="118">
        <f t="shared" si="186"/>
        <v>-34.022999999999996</v>
      </c>
      <c r="AM221" s="118">
        <f t="shared" si="186"/>
        <v>-35.831000000000003</v>
      </c>
      <c r="AN221" s="118">
        <f t="shared" si="186"/>
        <v>-34.441000000000003</v>
      </c>
      <c r="AO221" s="401">
        <f t="shared" si="186"/>
        <v>-129.13800000000001</v>
      </c>
      <c r="AP221" s="118">
        <f t="shared" si="186"/>
        <v>-38.369</v>
      </c>
      <c r="AQ221" s="118">
        <f t="shared" si="186"/>
        <v>-36.802999999999997</v>
      </c>
      <c r="AR221" s="118">
        <f t="shared" si="186"/>
        <v>-34.506</v>
      </c>
      <c r="AS221" s="118">
        <f t="shared" si="186"/>
        <v>-38.716000000000008</v>
      </c>
      <c r="AT221" s="401">
        <f t="shared" si="186"/>
        <v>-148.39400000000001</v>
      </c>
      <c r="AU221" s="118">
        <f t="shared" si="186"/>
        <v>-40.957999999999998</v>
      </c>
      <c r="AV221" s="118">
        <f t="shared" si="186"/>
        <v>-43.878</v>
      </c>
      <c r="AW221" s="118">
        <f t="shared" si="186"/>
        <v>-43.797999999999988</v>
      </c>
      <c r="AX221" s="118">
        <f t="shared" si="186"/>
        <v>-50.366000000000014</v>
      </c>
      <c r="AY221" s="401">
        <f t="shared" si="186"/>
        <v>-179</v>
      </c>
      <c r="AZ221" s="118">
        <f t="shared" si="186"/>
        <v>-65</v>
      </c>
      <c r="BA221" s="118">
        <f t="shared" si="186"/>
        <v>-76</v>
      </c>
      <c r="BB221" s="118">
        <f t="shared" si="186"/>
        <v>-64</v>
      </c>
      <c r="BC221" s="118">
        <f t="shared" si="186"/>
        <v>-67</v>
      </c>
      <c r="BD221" s="401">
        <f t="shared" si="186"/>
        <v>-272</v>
      </c>
      <c r="BE221" s="118">
        <f t="shared" si="186"/>
        <v>-53</v>
      </c>
      <c r="BF221" s="118">
        <f t="shared" si="186"/>
        <v>-52</v>
      </c>
      <c r="BG221" s="118">
        <f t="shared" si="186"/>
        <v>-49</v>
      </c>
      <c r="BH221" s="118">
        <f t="shared" si="186"/>
        <v>-49</v>
      </c>
      <c r="BI221" s="401">
        <f t="shared" si="186"/>
        <v>-203</v>
      </c>
      <c r="BJ221" s="971">
        <f>BJ859</f>
        <v>-41</v>
      </c>
      <c r="BK221" s="302">
        <v>-55</v>
      </c>
      <c r="BL221" s="302">
        <v>-55</v>
      </c>
      <c r="BM221" s="302">
        <v>-55</v>
      </c>
      <c r="BN221" s="401">
        <f>SUM(BJ221,BK221,BL221,BM221)</f>
        <v>-206</v>
      </c>
      <c r="BO221" s="302">
        <v>-55</v>
      </c>
      <c r="BP221" s="302">
        <v>-55</v>
      </c>
      <c r="BQ221" s="302">
        <v>-55</v>
      </c>
      <c r="BR221" s="302">
        <v>-55</v>
      </c>
      <c r="BS221" s="401">
        <f>SUM(BO221,BP221,BQ221,BR221)</f>
        <v>-220</v>
      </c>
      <c r="BT221" s="403">
        <v>-220</v>
      </c>
      <c r="BU221" s="403">
        <v>-220</v>
      </c>
      <c r="BV221" s="403">
        <v>-220</v>
      </c>
      <c r="BW221" s="122"/>
    </row>
    <row r="222" spans="1:75" s="198" customFormat="1" ht="14.25" hidden="1" outlineLevel="1" x14ac:dyDescent="0.45">
      <c r="A222" s="516" t="s">
        <v>2315</v>
      </c>
      <c r="B222" s="517"/>
      <c r="C222" s="518"/>
      <c r="D222" s="518"/>
      <c r="E222" s="518"/>
      <c r="F222" s="518">
        <f t="shared" ref="F222:BQ222" si="187">SUM(F219:F221)</f>
        <v>-11.034999999999998</v>
      </c>
      <c r="G222" s="327">
        <f t="shared" si="187"/>
        <v>-24.683</v>
      </c>
      <c r="H222" s="327">
        <f t="shared" si="187"/>
        <v>11.408000000000003</v>
      </c>
      <c r="I222" s="327">
        <f t="shared" si="187"/>
        <v>-3.9829999999999997</v>
      </c>
      <c r="J222" s="327">
        <f t="shared" si="187"/>
        <v>35.89200000000001</v>
      </c>
      <c r="K222" s="518">
        <f t="shared" si="187"/>
        <v>18.634000000000004</v>
      </c>
      <c r="L222" s="520">
        <f t="shared" si="187"/>
        <v>-38.506</v>
      </c>
      <c r="M222" s="520">
        <f t="shared" si="187"/>
        <v>-31.744000000000007</v>
      </c>
      <c r="N222" s="520">
        <f t="shared" si="187"/>
        <v>-22.398</v>
      </c>
      <c r="O222" s="520">
        <f t="shared" si="187"/>
        <v>50.787999999999975</v>
      </c>
      <c r="P222" s="519">
        <f t="shared" si="187"/>
        <v>-41.860000000000021</v>
      </c>
      <c r="Q222" s="520">
        <f t="shared" si="187"/>
        <v>-51.368000000000002</v>
      </c>
      <c r="R222" s="520">
        <f t="shared" si="187"/>
        <v>10.988999999999995</v>
      </c>
      <c r="S222" s="520">
        <f t="shared" si="187"/>
        <v>35.332000000000001</v>
      </c>
      <c r="T222" s="520">
        <f t="shared" si="187"/>
        <v>77.98399999999998</v>
      </c>
      <c r="U222" s="519">
        <f t="shared" si="187"/>
        <v>72.936999999999983</v>
      </c>
      <c r="V222" s="520">
        <f t="shared" si="187"/>
        <v>-80.581999999999994</v>
      </c>
      <c r="W222" s="520">
        <f t="shared" si="187"/>
        <v>-19.417999999999999</v>
      </c>
      <c r="X222" s="520">
        <f t="shared" si="187"/>
        <v>-13.968000000000012</v>
      </c>
      <c r="Y222" s="520">
        <f t="shared" si="187"/>
        <v>48.696000000000012</v>
      </c>
      <c r="Z222" s="519">
        <f t="shared" si="187"/>
        <v>-65.271999999999977</v>
      </c>
      <c r="AA222" s="327">
        <f t="shared" si="187"/>
        <v>-68.969999999999985</v>
      </c>
      <c r="AB222" s="520">
        <f t="shared" si="187"/>
        <v>-27.225000000000009</v>
      </c>
      <c r="AC222" s="520">
        <f t="shared" si="187"/>
        <v>-18.462999999999983</v>
      </c>
      <c r="AD222" s="520">
        <f t="shared" si="187"/>
        <v>1.4129999999999825</v>
      </c>
      <c r="AE222" s="519">
        <f t="shared" si="187"/>
        <v>-113.24499999999999</v>
      </c>
      <c r="AF222" s="327">
        <f t="shared" si="187"/>
        <v>-47.594000000000008</v>
      </c>
      <c r="AG222" s="520">
        <f t="shared" si="187"/>
        <v>-7.544999999999991</v>
      </c>
      <c r="AH222" s="520">
        <f t="shared" si="187"/>
        <v>-58.803000000000004</v>
      </c>
      <c r="AI222" s="520">
        <f t="shared" si="187"/>
        <v>-23.151999999999937</v>
      </c>
      <c r="AJ222" s="519">
        <f t="shared" si="187"/>
        <v>-137.09399999999999</v>
      </c>
      <c r="AK222" s="327">
        <f t="shared" si="187"/>
        <v>-166.81699999999998</v>
      </c>
      <c r="AL222" s="520">
        <f t="shared" si="187"/>
        <v>-91.471000000000004</v>
      </c>
      <c r="AM222" s="520">
        <f t="shared" si="187"/>
        <v>-180.89999999999998</v>
      </c>
      <c r="AN222" s="520">
        <f t="shared" si="187"/>
        <v>-158.51000000000002</v>
      </c>
      <c r="AO222" s="519">
        <f t="shared" si="187"/>
        <v>-597.69799999999998</v>
      </c>
      <c r="AP222" s="327">
        <f t="shared" si="187"/>
        <v>-354.62300000000005</v>
      </c>
      <c r="AQ222" s="520">
        <f t="shared" si="187"/>
        <v>1053.6019999999999</v>
      </c>
      <c r="AR222" s="520">
        <f t="shared" si="187"/>
        <v>255.02799999999993</v>
      </c>
      <c r="AS222" s="520">
        <f t="shared" si="187"/>
        <v>128.29000000000002</v>
      </c>
      <c r="AT222" s="519">
        <f t="shared" si="187"/>
        <v>1082.297</v>
      </c>
      <c r="AU222" s="327">
        <f t="shared" si="187"/>
        <v>111.18999999999997</v>
      </c>
      <c r="AV222" s="520">
        <f t="shared" si="187"/>
        <v>206.93699999999995</v>
      </c>
      <c r="AW222" s="520">
        <f t="shared" si="187"/>
        <v>-203.16700000000003</v>
      </c>
      <c r="AX222" s="520">
        <f t="shared" si="187"/>
        <v>15.039999999999978</v>
      </c>
      <c r="AY222" s="519">
        <f t="shared" si="187"/>
        <v>130</v>
      </c>
      <c r="AZ222" s="327">
        <f t="shared" si="187"/>
        <v>-331</v>
      </c>
      <c r="BA222" s="520">
        <f t="shared" si="187"/>
        <v>-244</v>
      </c>
      <c r="BB222" s="520">
        <f t="shared" si="187"/>
        <v>-538</v>
      </c>
      <c r="BC222" s="520">
        <f t="shared" si="187"/>
        <v>-19</v>
      </c>
      <c r="BD222" s="519">
        <f t="shared" si="187"/>
        <v>-1132</v>
      </c>
      <c r="BE222" s="327">
        <f t="shared" si="187"/>
        <v>-234</v>
      </c>
      <c r="BF222" s="520">
        <f t="shared" si="187"/>
        <v>128</v>
      </c>
      <c r="BG222" s="520">
        <f t="shared" si="187"/>
        <v>42</v>
      </c>
      <c r="BH222" s="520">
        <f t="shared" si="187"/>
        <v>62</v>
      </c>
      <c r="BI222" s="519">
        <f t="shared" si="187"/>
        <v>-2</v>
      </c>
      <c r="BJ222" s="1026">
        <f>SUM(BJ219:BJ221)</f>
        <v>-193</v>
      </c>
      <c r="BK222" s="327">
        <f t="shared" si="187"/>
        <v>-84.356894183938437</v>
      </c>
      <c r="BL222" s="327">
        <f t="shared" ca="1" si="187"/>
        <v>60.047916822537161</v>
      </c>
      <c r="BM222" s="327">
        <f t="shared" ca="1" si="187"/>
        <v>-9.5103171779201148</v>
      </c>
      <c r="BN222" s="518">
        <f t="shared" ca="1" si="187"/>
        <v>-226.81929453932139</v>
      </c>
      <c r="BO222" s="327">
        <f t="shared" ca="1" si="187"/>
        <v>-85.553287157119627</v>
      </c>
      <c r="BP222" s="327">
        <f t="shared" ca="1" si="187"/>
        <v>-82.492197799549615</v>
      </c>
      <c r="BQ222" s="327">
        <f t="shared" ca="1" si="187"/>
        <v>76.624927605575124</v>
      </c>
      <c r="BR222" s="327">
        <f t="shared" ref="BR222:CI222" ca="1" si="188">SUM(BR219:BR221)</f>
        <v>6.0324441246397384</v>
      </c>
      <c r="BS222" s="518">
        <f t="shared" ca="1" si="188"/>
        <v>-85.388113226454493</v>
      </c>
      <c r="BT222" s="518">
        <f t="shared" ca="1" si="188"/>
        <v>148.47008537537386</v>
      </c>
      <c r="BU222" s="518">
        <f t="shared" ca="1" si="188"/>
        <v>393.41876467145971</v>
      </c>
      <c r="BV222" s="518">
        <f t="shared" ca="1" si="188"/>
        <v>679.15419201520126</v>
      </c>
      <c r="BW222" s="197"/>
    </row>
    <row r="223" spans="1:75" s="198" customFormat="1" ht="14.25" hidden="1" outlineLevel="1" x14ac:dyDescent="0.45">
      <c r="A223" s="206"/>
      <c r="B223" s="522"/>
      <c r="C223" s="397"/>
      <c r="D223" s="397"/>
      <c r="E223" s="397"/>
      <c r="F223" s="397"/>
      <c r="G223" s="295"/>
      <c r="H223" s="295"/>
      <c r="I223" s="295"/>
      <c r="J223" s="295"/>
      <c r="K223" s="397"/>
      <c r="L223" s="295"/>
      <c r="M223" s="295"/>
      <c r="N223" s="295"/>
      <c r="O223" s="295"/>
      <c r="P223" s="397"/>
      <c r="Q223" s="295"/>
      <c r="R223" s="295"/>
      <c r="S223" s="295"/>
      <c r="T223" s="295"/>
      <c r="U223" s="397"/>
      <c r="V223" s="295"/>
      <c r="W223" s="295"/>
      <c r="X223" s="295"/>
      <c r="Y223" s="295"/>
      <c r="Z223" s="397"/>
      <c r="AA223" s="295"/>
      <c r="AB223" s="295"/>
      <c r="AC223" s="295"/>
      <c r="AD223" s="295"/>
      <c r="AE223" s="397"/>
      <c r="AF223" s="295"/>
      <c r="AG223" s="295"/>
      <c r="AH223" s="295"/>
      <c r="AI223" s="295"/>
      <c r="AJ223" s="397"/>
      <c r="AK223" s="295"/>
      <c r="AL223" s="295"/>
      <c r="AM223" s="295"/>
      <c r="AN223" s="295"/>
      <c r="AO223" s="397"/>
      <c r="AP223" s="295"/>
      <c r="AQ223" s="295"/>
      <c r="AR223" s="295"/>
      <c r="AS223" s="295"/>
      <c r="AT223" s="397"/>
      <c r="AU223" s="295"/>
      <c r="AV223" s="295"/>
      <c r="AW223" s="295"/>
      <c r="AX223" s="295"/>
      <c r="AY223" s="397"/>
      <c r="AZ223" s="295"/>
      <c r="BA223" s="295"/>
      <c r="BB223" s="295"/>
      <c r="BC223" s="295"/>
      <c r="BD223" s="397"/>
      <c r="BE223" s="295"/>
      <c r="BF223" s="295"/>
      <c r="BG223" s="295"/>
      <c r="BH223" s="295"/>
      <c r="BI223" s="397"/>
      <c r="BJ223" s="1030"/>
      <c r="BK223" s="295"/>
      <c r="BL223" s="295"/>
      <c r="BM223" s="295"/>
      <c r="BN223" s="397"/>
      <c r="BO223" s="295"/>
      <c r="BP223" s="295"/>
      <c r="BQ223" s="295"/>
      <c r="BR223" s="295"/>
      <c r="BS223" s="397"/>
      <c r="BT223" s="397"/>
      <c r="BU223" s="397"/>
      <c r="BV223" s="397"/>
      <c r="BW223" s="197"/>
    </row>
    <row r="224" spans="1:75" s="198" customFormat="1" ht="14.25" hidden="1" outlineLevel="1" x14ac:dyDescent="0.45">
      <c r="A224" s="463" t="s">
        <v>2316</v>
      </c>
      <c r="B224" s="522"/>
      <c r="C224" s="397"/>
      <c r="D224" s="397"/>
      <c r="E224" s="397">
        <f t="shared" ref="E224:BG224" si="189">E842</f>
        <v>0</v>
      </c>
      <c r="F224" s="397">
        <f t="shared" si="189"/>
        <v>0</v>
      </c>
      <c r="G224" s="295">
        <f t="shared" si="189"/>
        <v>0</v>
      </c>
      <c r="H224" s="295">
        <f t="shared" si="189"/>
        <v>0</v>
      </c>
      <c r="I224" s="295">
        <f t="shared" si="189"/>
        <v>0</v>
      </c>
      <c r="J224" s="295">
        <f t="shared" si="189"/>
        <v>0</v>
      </c>
      <c r="K224" s="397">
        <f t="shared" si="189"/>
        <v>0</v>
      </c>
      <c r="L224" s="197">
        <f t="shared" si="189"/>
        <v>0</v>
      </c>
      <c r="M224" s="197">
        <f t="shared" si="189"/>
        <v>0</v>
      </c>
      <c r="N224" s="197">
        <f t="shared" si="189"/>
        <v>0</v>
      </c>
      <c r="O224" s="197">
        <f t="shared" si="189"/>
        <v>0</v>
      </c>
      <c r="P224" s="672">
        <f t="shared" si="189"/>
        <v>0</v>
      </c>
      <c r="Q224" s="197">
        <f t="shared" si="189"/>
        <v>0</v>
      </c>
      <c r="R224" s="197">
        <f t="shared" si="189"/>
        <v>0</v>
      </c>
      <c r="S224" s="197">
        <f t="shared" si="189"/>
        <v>0</v>
      </c>
      <c r="T224" s="197">
        <f t="shared" si="189"/>
        <v>0</v>
      </c>
      <c r="U224" s="672">
        <f t="shared" si="189"/>
        <v>0</v>
      </c>
      <c r="V224" s="197">
        <f t="shared" si="189"/>
        <v>0</v>
      </c>
      <c r="W224" s="197">
        <f t="shared" si="189"/>
        <v>0</v>
      </c>
      <c r="X224" s="197">
        <f t="shared" si="189"/>
        <v>0</v>
      </c>
      <c r="Y224" s="197">
        <f t="shared" si="189"/>
        <v>0</v>
      </c>
      <c r="Z224" s="672">
        <f t="shared" si="189"/>
        <v>0</v>
      </c>
      <c r="AA224" s="295">
        <f t="shared" si="189"/>
        <v>0</v>
      </c>
      <c r="AB224" s="197">
        <f t="shared" si="189"/>
        <v>0</v>
      </c>
      <c r="AC224" s="197">
        <f t="shared" si="189"/>
        <v>0.874</v>
      </c>
      <c r="AD224" s="197">
        <f t="shared" si="189"/>
        <v>4.9560000000000004</v>
      </c>
      <c r="AE224" s="672">
        <f t="shared" si="189"/>
        <v>5.83</v>
      </c>
      <c r="AF224" s="295">
        <f t="shared" si="189"/>
        <v>4.2809999999999997</v>
      </c>
      <c r="AG224" s="197">
        <f t="shared" si="189"/>
        <v>5.0720000000000001</v>
      </c>
      <c r="AH224" s="197">
        <f t="shared" si="189"/>
        <v>4.3460000000000001</v>
      </c>
      <c r="AI224" s="197">
        <f t="shared" si="189"/>
        <v>8.886000000000001</v>
      </c>
      <c r="AJ224" s="672">
        <f t="shared" si="189"/>
        <v>22.585000000000001</v>
      </c>
      <c r="AK224" s="295">
        <f t="shared" si="189"/>
        <v>12.456</v>
      </c>
      <c r="AL224" s="197">
        <f t="shared" si="189"/>
        <v>10.559000000000001</v>
      </c>
      <c r="AM224" s="197">
        <f t="shared" si="189"/>
        <v>17.722000000000001</v>
      </c>
      <c r="AN224" s="197">
        <f t="shared" si="189"/>
        <v>21.373999999999995</v>
      </c>
      <c r="AO224" s="672">
        <f t="shared" si="189"/>
        <v>62.110999999999997</v>
      </c>
      <c r="AP224" s="295">
        <f t="shared" si="189"/>
        <v>19.527000000000001</v>
      </c>
      <c r="AQ224" s="197">
        <f t="shared" si="189"/>
        <v>26.960999999999999</v>
      </c>
      <c r="AR224" s="197">
        <f t="shared" si="189"/>
        <v>31.736999999999995</v>
      </c>
      <c r="AS224" s="197">
        <f t="shared" si="189"/>
        <v>56.063000000000017</v>
      </c>
      <c r="AT224" s="672">
        <f t="shared" si="189"/>
        <v>134.28800000000001</v>
      </c>
      <c r="AU224" s="295">
        <f t="shared" si="189"/>
        <v>2.0720000000000001</v>
      </c>
      <c r="AV224" s="197">
        <f t="shared" si="189"/>
        <v>1.8969999999999998</v>
      </c>
      <c r="AW224" s="197">
        <f t="shared" si="189"/>
        <v>1.9040000000000004</v>
      </c>
      <c r="AX224" s="197">
        <f t="shared" si="189"/>
        <v>1.1269999999999998</v>
      </c>
      <c r="AY224" s="672">
        <f t="shared" si="189"/>
        <v>7</v>
      </c>
      <c r="AZ224" s="295">
        <f t="shared" si="189"/>
        <v>2</v>
      </c>
      <c r="BA224" s="197">
        <f t="shared" si="189"/>
        <v>2</v>
      </c>
      <c r="BB224" s="197">
        <f t="shared" si="189"/>
        <v>3</v>
      </c>
      <c r="BC224" s="197">
        <f t="shared" si="189"/>
        <v>1</v>
      </c>
      <c r="BD224" s="672">
        <f t="shared" si="189"/>
        <v>8</v>
      </c>
      <c r="BE224" s="295">
        <f t="shared" si="189"/>
        <v>1</v>
      </c>
      <c r="BF224" s="197">
        <f t="shared" si="189"/>
        <v>2</v>
      </c>
      <c r="BG224" s="197">
        <f t="shared" si="189"/>
        <v>3</v>
      </c>
      <c r="BH224" s="197">
        <f>BH842</f>
        <v>2</v>
      </c>
      <c r="BI224" s="672">
        <f>BI842</f>
        <v>8</v>
      </c>
      <c r="BJ224" s="1030">
        <f>BJ842</f>
        <v>3</v>
      </c>
      <c r="BK224" s="295">
        <f>BK479</f>
        <v>2.1369328365866536</v>
      </c>
      <c r="BL224" s="295">
        <f>BL479</f>
        <v>2.1604156150106832</v>
      </c>
      <c r="BM224" s="295">
        <f>BM479</f>
        <v>2.1604156150106832</v>
      </c>
      <c r="BN224" s="397">
        <f>SUM(BJ224,BK224,BL224,BM224)</f>
        <v>9.4577640666080196</v>
      </c>
      <c r="BO224" s="295">
        <f>BO479</f>
        <v>2.1134500581626248</v>
      </c>
      <c r="BP224" s="295">
        <f>BP479</f>
        <v>2.1369328365866544</v>
      </c>
      <c r="BQ224" s="295">
        <f>BQ479</f>
        <v>2.1604156150106832</v>
      </c>
      <c r="BR224" s="295">
        <f>BR479</f>
        <v>1.6631478554478418</v>
      </c>
      <c r="BS224" s="397">
        <f>SUM(BO224,BP224,BQ224,BR224)</f>
        <v>8.073946365207803</v>
      </c>
      <c r="BT224" s="397">
        <f>BT479</f>
        <v>5.7808308547799108</v>
      </c>
      <c r="BU224" s="397">
        <f>BU479</f>
        <v>3.7939675891439095</v>
      </c>
      <c r="BV224" s="397">
        <f>BV479</f>
        <v>1.8934911242603554</v>
      </c>
      <c r="BW224" s="197"/>
    </row>
    <row r="225" spans="1:75" s="123" customFormat="1" collapsed="1" x14ac:dyDescent="0.5">
      <c r="A225" s="206"/>
      <c r="B225" s="522"/>
      <c r="C225" s="397"/>
      <c r="D225" s="397"/>
      <c r="E225" s="397"/>
      <c r="F225" s="397"/>
      <c r="G225" s="295"/>
      <c r="H225" s="295"/>
      <c r="I225" s="295"/>
      <c r="J225" s="295"/>
      <c r="K225" s="397"/>
      <c r="L225" s="295"/>
      <c r="M225" s="295"/>
      <c r="N225" s="295"/>
      <c r="O225" s="295"/>
      <c r="P225" s="397"/>
      <c r="Q225" s="295"/>
      <c r="R225" s="295"/>
      <c r="S225" s="295"/>
      <c r="T225" s="295"/>
      <c r="U225" s="397"/>
      <c r="V225" s="295"/>
      <c r="W225" s="295"/>
      <c r="X225" s="295"/>
      <c r="Y225" s="295"/>
      <c r="Z225" s="397"/>
      <c r="AA225" s="295"/>
      <c r="AB225" s="295"/>
      <c r="AC225" s="295"/>
      <c r="AD225" s="295"/>
      <c r="AE225" s="397"/>
      <c r="AF225" s="295"/>
      <c r="AG225" s="295"/>
      <c r="AH225" s="295"/>
      <c r="AI225" s="295"/>
      <c r="AJ225" s="397"/>
      <c r="AK225" s="295"/>
      <c r="AL225" s="295"/>
      <c r="AM225" s="295"/>
      <c r="AN225" s="295"/>
      <c r="AO225" s="397"/>
      <c r="AP225" s="295"/>
      <c r="AQ225" s="295"/>
      <c r="AR225" s="295"/>
      <c r="AS225" s="295"/>
      <c r="AT225" s="397"/>
      <c r="AU225" s="295"/>
      <c r="AV225" s="295"/>
      <c r="AW225" s="295"/>
      <c r="AX225" s="295"/>
      <c r="AY225" s="397"/>
      <c r="AZ225" s="295"/>
      <c r="BA225" s="295"/>
      <c r="BB225" s="295"/>
      <c r="BC225" s="295"/>
      <c r="BD225" s="397"/>
      <c r="BE225" s="295"/>
      <c r="BF225" s="295"/>
      <c r="BG225" s="295"/>
      <c r="BH225" s="295"/>
      <c r="BI225" s="397"/>
      <c r="BJ225" s="1030"/>
      <c r="BK225" s="295"/>
      <c r="BL225" s="295"/>
      <c r="BM225" s="295"/>
      <c r="BN225" s="397"/>
      <c r="BO225" s="295"/>
      <c r="BP225" s="295"/>
      <c r="BQ225" s="295"/>
      <c r="BR225" s="295"/>
      <c r="BS225" s="397"/>
      <c r="BT225" s="397"/>
      <c r="BU225" s="397"/>
      <c r="BV225" s="397"/>
      <c r="BW225" s="197"/>
    </row>
    <row r="226" spans="1:75" x14ac:dyDescent="0.5">
      <c r="A226" s="239" t="s">
        <v>1149</v>
      </c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239"/>
      <c r="AN226" s="239"/>
      <c r="AO226" s="239"/>
      <c r="AP226" s="239"/>
      <c r="AQ226" s="239"/>
      <c r="AR226" s="239"/>
      <c r="AS226" s="239"/>
      <c r="AT226" s="239"/>
      <c r="AU226" s="239"/>
      <c r="AV226" s="239"/>
      <c r="AW226" s="239"/>
      <c r="AX226" s="239"/>
      <c r="AY226" s="239"/>
      <c r="AZ226" s="239"/>
      <c r="BA226" s="239"/>
      <c r="BB226" s="239"/>
      <c r="BC226" s="239"/>
      <c r="BD226" s="239"/>
      <c r="BE226" s="239"/>
      <c r="BF226" s="239"/>
      <c r="BG226" s="239"/>
      <c r="BH226" s="239"/>
      <c r="BI226" s="239"/>
      <c r="BJ226" s="241"/>
      <c r="BK226" s="239"/>
      <c r="BL226" s="239"/>
      <c r="BM226" s="239"/>
      <c r="BN226" s="239"/>
      <c r="BO226" s="239"/>
      <c r="BP226" s="239"/>
      <c r="BQ226" s="239"/>
      <c r="BR226" s="239"/>
      <c r="BS226" s="239"/>
      <c r="BT226" s="239"/>
      <c r="BU226" s="239"/>
      <c r="BV226" s="239"/>
      <c r="BW226" s="197"/>
    </row>
    <row r="227" spans="1:75" x14ac:dyDescent="0.5">
      <c r="A227" s="463" t="s">
        <v>1047</v>
      </c>
      <c r="B227" s="522"/>
      <c r="C227" s="397"/>
      <c r="D227" s="397"/>
      <c r="E227" s="672">
        <f t="shared" ref="E227:BI227" si="190">E173</f>
        <v>517.33600000000001</v>
      </c>
      <c r="F227" s="672">
        <f t="shared" si="190"/>
        <v>601.02800000000002</v>
      </c>
      <c r="G227" s="197">
        <f t="shared" si="190"/>
        <v>179.83099999999999</v>
      </c>
      <c r="H227" s="197">
        <f t="shared" si="190"/>
        <v>203.37700000000001</v>
      </c>
      <c r="I227" s="197">
        <f t="shared" si="190"/>
        <v>237.30199999999999</v>
      </c>
      <c r="J227" s="197">
        <f t="shared" si="190"/>
        <v>295.33299999999997</v>
      </c>
      <c r="K227" s="672">
        <f t="shared" si="190"/>
        <v>915.84299999999996</v>
      </c>
      <c r="L227" s="197">
        <f t="shared" si="190"/>
        <v>278.70699999999999</v>
      </c>
      <c r="M227" s="197">
        <f t="shared" si="190"/>
        <v>295.43700000000001</v>
      </c>
      <c r="N227" s="197">
        <f t="shared" si="190"/>
        <v>336.18799999999999</v>
      </c>
      <c r="O227" s="197">
        <f t="shared" si="190"/>
        <v>408.61900000000003</v>
      </c>
      <c r="P227" s="672">
        <f t="shared" si="190"/>
        <v>1318.951</v>
      </c>
      <c r="Q227" s="197">
        <f t="shared" si="190"/>
        <v>424.37099999999998</v>
      </c>
      <c r="R227" s="197">
        <f t="shared" si="190"/>
        <v>491.75200000000001</v>
      </c>
      <c r="S227" s="197">
        <f t="shared" si="190"/>
        <v>593.97199999999998</v>
      </c>
      <c r="T227" s="197">
        <f t="shared" si="190"/>
        <v>739.79</v>
      </c>
      <c r="U227" s="672">
        <f t="shared" si="190"/>
        <v>2249.8850000000002</v>
      </c>
      <c r="V227" s="197">
        <f t="shared" si="190"/>
        <v>747.34799999999996</v>
      </c>
      <c r="W227" s="197">
        <f t="shared" si="190"/>
        <v>786.928</v>
      </c>
      <c r="X227" s="197">
        <f t="shared" si="190"/>
        <v>861.52499999999998</v>
      </c>
      <c r="Y227" s="197">
        <f t="shared" si="190"/>
        <v>984.55899999999997</v>
      </c>
      <c r="Z227" s="672">
        <f t="shared" si="190"/>
        <v>3380.36</v>
      </c>
      <c r="AA227" s="197">
        <f t="shared" si="190"/>
        <v>960.82500000000005</v>
      </c>
      <c r="AB227" s="197">
        <f t="shared" si="190"/>
        <v>1122.856</v>
      </c>
      <c r="AC227" s="197">
        <f t="shared" si="190"/>
        <v>1198.1980000000001</v>
      </c>
      <c r="AD227" s="197">
        <f t="shared" si="190"/>
        <v>1439.0160000000005</v>
      </c>
      <c r="AE227" s="672">
        <f t="shared" si="190"/>
        <v>4720.8950000000004</v>
      </c>
      <c r="AF227" s="197">
        <f t="shared" si="190"/>
        <v>1404.269</v>
      </c>
      <c r="AG227" s="197">
        <f t="shared" si="190"/>
        <v>1655.2560000000001</v>
      </c>
      <c r="AH227" s="197">
        <f t="shared" si="190"/>
        <v>1705.645</v>
      </c>
      <c r="AI227" s="197">
        <f t="shared" si="190"/>
        <v>2014.0039999999999</v>
      </c>
      <c r="AJ227" s="672">
        <f t="shared" si="190"/>
        <v>6779.174</v>
      </c>
      <c r="AK227" s="197">
        <f t="shared" si="190"/>
        <v>1944.829</v>
      </c>
      <c r="AL227" s="197">
        <f t="shared" si="190"/>
        <v>2343.2510000000002</v>
      </c>
      <c r="AM227" s="197">
        <f t="shared" si="190"/>
        <v>2305.4870000000001</v>
      </c>
      <c r="AN227" s="197">
        <f t="shared" si="190"/>
        <v>2533.4900000000007</v>
      </c>
      <c r="AO227" s="672">
        <f t="shared" si="190"/>
        <v>9127.0570000000007</v>
      </c>
      <c r="AP227" s="197">
        <f t="shared" si="190"/>
        <v>2330.0630000000001</v>
      </c>
      <c r="AQ227" s="197">
        <f t="shared" si="190"/>
        <v>4304.6719999999996</v>
      </c>
      <c r="AR227" s="197">
        <f t="shared" si="190"/>
        <v>3839.57</v>
      </c>
      <c r="AS227" s="197">
        <f t="shared" si="190"/>
        <v>3670.8510000000006</v>
      </c>
      <c r="AT227" s="672">
        <f t="shared" si="190"/>
        <v>14145.156000000001</v>
      </c>
      <c r="AU227" s="197">
        <f t="shared" si="190"/>
        <v>3477.518</v>
      </c>
      <c r="AV227" s="197">
        <f t="shared" si="190"/>
        <v>3857.6260000000002</v>
      </c>
      <c r="AW227" s="197">
        <f t="shared" si="190"/>
        <v>3121.0830000000001</v>
      </c>
      <c r="AX227" s="197">
        <f t="shared" si="190"/>
        <v>3251.7729999999992</v>
      </c>
      <c r="AY227" s="672">
        <f t="shared" si="190"/>
        <v>13708</v>
      </c>
      <c r="AZ227" s="197">
        <f t="shared" si="190"/>
        <v>2993</v>
      </c>
      <c r="BA227" s="197">
        <f t="shared" si="190"/>
        <v>3284</v>
      </c>
      <c r="BB227" s="197">
        <f t="shared" si="190"/>
        <v>2840</v>
      </c>
      <c r="BC227" s="197">
        <f t="shared" si="190"/>
        <v>3101</v>
      </c>
      <c r="BD227" s="672">
        <f t="shared" si="190"/>
        <v>12218</v>
      </c>
      <c r="BE227" s="197">
        <f t="shared" si="190"/>
        <v>2774</v>
      </c>
      <c r="BF227" s="197">
        <f t="shared" si="190"/>
        <v>3171</v>
      </c>
      <c r="BG227" s="197">
        <f t="shared" si="190"/>
        <v>2944</v>
      </c>
      <c r="BH227" s="197">
        <f t="shared" si="190"/>
        <v>3114</v>
      </c>
      <c r="BI227" s="672">
        <f t="shared" si="190"/>
        <v>12003</v>
      </c>
      <c r="BJ227" s="1273">
        <f>BJ173</f>
        <v>2729</v>
      </c>
      <c r="BK227" s="295">
        <f>BK91</f>
        <v>3217.762737</v>
      </c>
      <c r="BL227" s="295">
        <f>BL91</f>
        <v>2987.4151680000009</v>
      </c>
      <c r="BM227" s="295">
        <f>BM91</f>
        <v>3159.9221579999999</v>
      </c>
      <c r="BN227" s="397">
        <f>SUM(BJ227,BK227,BL227,BM227)</f>
        <v>12094.100063</v>
      </c>
      <c r="BO227" s="295">
        <f>BO91</f>
        <v>2895.7582740000003</v>
      </c>
      <c r="BP227" s="295">
        <f>BP91</f>
        <v>3414.3873468071233</v>
      </c>
      <c r="BQ227" s="295">
        <f>BQ91</f>
        <v>3169.9641592558091</v>
      </c>
      <c r="BR227" s="295">
        <f>BR91</f>
        <v>3353.0123613867486</v>
      </c>
      <c r="BS227" s="397">
        <f>SUM(BO227,BP227,BQ227,BR227)</f>
        <v>12833.122141449681</v>
      </c>
      <c r="BT227" s="397">
        <f>BT91</f>
        <v>13750.805872662608</v>
      </c>
      <c r="BU227" s="397">
        <f>BU91</f>
        <v>14734.11224981084</v>
      </c>
      <c r="BV227" s="397">
        <f>BV91</f>
        <v>15787.733882682563</v>
      </c>
      <c r="BW227" s="197"/>
    </row>
    <row r="228" spans="1:75" x14ac:dyDescent="0.5">
      <c r="A228" s="719" t="str">
        <f>CONCATENATE("Consensus Estimates - ",IFERROR(LEFT(A227,FIND("(",A227)-1),A227))</f>
        <v>Consensus Estimates - Net Revenue</v>
      </c>
      <c r="B228" s="720"/>
      <c r="C228" s="414"/>
      <c r="D228" s="414"/>
      <c r="E228" s="414"/>
      <c r="F228" s="414"/>
      <c r="G228" s="413"/>
      <c r="H228" s="413"/>
      <c r="I228" s="413"/>
      <c r="J228" s="413"/>
      <c r="K228" s="414"/>
      <c r="L228" s="413"/>
      <c r="M228" s="413"/>
      <c r="N228" s="413"/>
      <c r="O228" s="413"/>
      <c r="P228" s="414"/>
      <c r="Q228" s="413"/>
      <c r="R228" s="413"/>
      <c r="S228" s="413"/>
      <c r="T228" s="413"/>
      <c r="U228" s="414"/>
      <c r="V228" s="413"/>
      <c r="W228" s="413"/>
      <c r="X228" s="413"/>
      <c r="Y228" s="410"/>
      <c r="Z228" s="201"/>
      <c r="AA228" s="413"/>
      <c r="AB228" s="413"/>
      <c r="AC228" s="413"/>
      <c r="AD228" s="410"/>
      <c r="AE228" s="201"/>
      <c r="AF228" s="413"/>
      <c r="AG228" s="413"/>
      <c r="AH228" s="413"/>
      <c r="AI228" s="410"/>
      <c r="AJ228" s="201"/>
      <c r="AK228" s="413"/>
      <c r="AL228" s="413"/>
      <c r="AM228" s="413"/>
      <c r="AN228" s="410"/>
      <c r="AO228" s="201"/>
      <c r="AP228" s="413"/>
      <c r="AQ228" s="413"/>
      <c r="AR228" s="413"/>
      <c r="AS228" s="410"/>
      <c r="AT228" s="201"/>
      <c r="AU228" s="413"/>
      <c r="AV228" s="413"/>
      <c r="AW228" s="413"/>
      <c r="AX228" s="410"/>
      <c r="AY228" s="201"/>
      <c r="AZ228" s="413"/>
      <c r="BA228" s="413"/>
      <c r="BB228" s="413"/>
      <c r="BC228" s="410"/>
      <c r="BD228" s="201"/>
      <c r="BE228" s="413"/>
      <c r="BF228" s="413"/>
      <c r="BG228" s="413"/>
      <c r="BH228" s="410"/>
      <c r="BI228" s="201"/>
      <c r="BJ228" s="1216"/>
      <c r="BK228" s="413" t="str">
        <f t="shared" ref="BK228:BS228" ca="1" si="191">IFERROR(VLOOKUP($A228,tb_ConsensusEstimate,MATCH(BK$5,OFFSET(tb_ConsensusEstimate,0,0,1,COLUMNS(tb_ConsensusEstimate)),0),FALSE),"-")</f>
        <v>N/A</v>
      </c>
      <c r="BL228" s="413" t="str">
        <f t="shared" ca="1" si="191"/>
        <v>N/A</v>
      </c>
      <c r="BM228" s="413" t="str">
        <f t="shared" ca="1" si="191"/>
        <v>N/A</v>
      </c>
      <c r="BN228" s="201" t="str">
        <f t="shared" ca="1" si="191"/>
        <v>N/A</v>
      </c>
      <c r="BO228" s="413" t="str">
        <f t="shared" ca="1" si="191"/>
        <v>N/A</v>
      </c>
      <c r="BP228" s="413" t="str">
        <f t="shared" ca="1" si="191"/>
        <v>N/A</v>
      </c>
      <c r="BQ228" s="413" t="str">
        <f t="shared" ca="1" si="191"/>
        <v>N/A</v>
      </c>
      <c r="BR228" s="413" t="str">
        <f t="shared" ca="1" si="191"/>
        <v>N/A</v>
      </c>
      <c r="BS228" s="201" t="str">
        <f t="shared" ca="1" si="191"/>
        <v>N/A</v>
      </c>
      <c r="BT228" s="201" t="str">
        <f ca="1">IFERROR(VLOOKUP(A228,tb_ConsensusEstimate,MATCH(BT5,OFFSET(tb_ConsensusEstimate,0,0,1,COLUMNS(tb_ConsensusEstimate)),0),FALSE),"-")</f>
        <v>N/A</v>
      </c>
      <c r="BU228" s="201" t="str">
        <f ca="1">IFERROR(VLOOKUP(A228,tb_ConsensusEstimate,MATCH(BU5,OFFSET(tb_ConsensusEstimate,0,0,1,COLUMNS(tb_ConsensusEstimate)),0),FALSE),"-")</f>
        <v>N/A</v>
      </c>
      <c r="BV228" s="201" t="str">
        <f ca="1">IFERROR(VLOOKUP(A228,tb_ConsensusEstimate,MATCH(BV5,OFFSET(tb_ConsensusEstimate,0,0,1,COLUMNS(tb_ConsensusEstimate)),0),FALSE),"-")</f>
        <v>N/A</v>
      </c>
      <c r="BW228" s="413"/>
    </row>
    <row r="229" spans="1:75" x14ac:dyDescent="0.5">
      <c r="A229" s="719" t="s">
        <v>2317</v>
      </c>
      <c r="B229" s="720"/>
      <c r="C229" s="414"/>
      <c r="D229" s="414"/>
      <c r="E229" s="414"/>
      <c r="F229" s="414"/>
      <c r="G229" s="413" t="str">
        <f t="shared" ref="G229:BR229" si="192">G510</f>
        <v/>
      </c>
      <c r="H229" s="413" t="str">
        <f t="shared" si="192"/>
        <v/>
      </c>
      <c r="I229" s="413" t="str">
        <f t="shared" si="192"/>
        <v/>
      </c>
      <c r="J229" s="413" t="str">
        <f t="shared" si="192"/>
        <v/>
      </c>
      <c r="K229" s="414" t="str">
        <f t="shared" si="192"/>
        <v/>
      </c>
      <c r="L229" s="413" t="str">
        <f t="shared" si="192"/>
        <v/>
      </c>
      <c r="M229" s="413" t="str">
        <f t="shared" si="192"/>
        <v/>
      </c>
      <c r="N229" s="413" t="str">
        <f t="shared" si="192"/>
        <v/>
      </c>
      <c r="O229" s="413" t="str">
        <f t="shared" si="192"/>
        <v/>
      </c>
      <c r="P229" s="414" t="str">
        <f t="shared" si="192"/>
        <v/>
      </c>
      <c r="Q229" s="413" t="str">
        <f t="shared" si="192"/>
        <v/>
      </c>
      <c r="R229" s="413" t="str">
        <f t="shared" si="192"/>
        <v/>
      </c>
      <c r="S229" s="413" t="str">
        <f t="shared" si="192"/>
        <v/>
      </c>
      <c r="T229" s="413" t="str">
        <f t="shared" si="192"/>
        <v/>
      </c>
      <c r="U229" s="414" t="str">
        <f t="shared" si="192"/>
        <v/>
      </c>
      <c r="V229" s="413" t="str">
        <f t="shared" si="192"/>
        <v/>
      </c>
      <c r="W229" s="413" t="str">
        <f t="shared" si="192"/>
        <v/>
      </c>
      <c r="X229" s="413" t="str">
        <f t="shared" si="192"/>
        <v/>
      </c>
      <c r="Y229" s="410" t="str">
        <f t="shared" si="192"/>
        <v/>
      </c>
      <c r="Z229" s="201" t="str">
        <f t="shared" si="192"/>
        <v/>
      </c>
      <c r="AA229" s="413" t="str">
        <f t="shared" si="192"/>
        <v/>
      </c>
      <c r="AB229" s="413" t="str">
        <f t="shared" si="192"/>
        <v/>
      </c>
      <c r="AC229" s="413" t="str">
        <f t="shared" si="192"/>
        <v/>
      </c>
      <c r="AD229" s="410" t="str">
        <f t="shared" si="192"/>
        <v/>
      </c>
      <c r="AE229" s="201" t="str">
        <f t="shared" si="192"/>
        <v/>
      </c>
      <c r="AF229" s="413" t="str">
        <f t="shared" si="192"/>
        <v/>
      </c>
      <c r="AG229" s="413" t="str">
        <f t="shared" si="192"/>
        <v/>
      </c>
      <c r="AH229" s="413" t="str">
        <f t="shared" si="192"/>
        <v/>
      </c>
      <c r="AI229" s="410" t="str">
        <f t="shared" si="192"/>
        <v/>
      </c>
      <c r="AJ229" s="201" t="str">
        <f t="shared" si="192"/>
        <v/>
      </c>
      <c r="AK229" s="413" t="str">
        <f t="shared" si="192"/>
        <v/>
      </c>
      <c r="AL229" s="413" t="str">
        <f t="shared" si="192"/>
        <v/>
      </c>
      <c r="AM229" s="413" t="str">
        <f t="shared" si="192"/>
        <v/>
      </c>
      <c r="AN229" s="410" t="str">
        <f t="shared" si="192"/>
        <v/>
      </c>
      <c r="AO229" s="201" t="str">
        <f t="shared" si="192"/>
        <v/>
      </c>
      <c r="AP229" s="413">
        <f t="shared" si="192"/>
        <v>2256.0016399999995</v>
      </c>
      <c r="AQ229" s="413">
        <f t="shared" si="192"/>
        <v>3632.0390500000003</v>
      </c>
      <c r="AR229" s="413">
        <f t="shared" si="192"/>
        <v>3342.95615</v>
      </c>
      <c r="AS229" s="410" t="str">
        <f t="shared" si="192"/>
        <v/>
      </c>
      <c r="AT229" s="201" t="str">
        <f t="shared" si="192"/>
        <v/>
      </c>
      <c r="AU229" s="413" t="str">
        <f t="shared" si="192"/>
        <v/>
      </c>
      <c r="AV229" s="413" t="str">
        <f t="shared" si="192"/>
        <v/>
      </c>
      <c r="AW229" s="413" t="str">
        <f t="shared" si="192"/>
        <v/>
      </c>
      <c r="AX229" s="410">
        <f t="shared" si="192"/>
        <v>3303.7659000000008</v>
      </c>
      <c r="AY229" s="201" t="str">
        <f t="shared" si="192"/>
        <v/>
      </c>
      <c r="AZ229" s="413" t="str">
        <f t="shared" si="192"/>
        <v/>
      </c>
      <c r="BA229" s="413" t="str">
        <f t="shared" si="192"/>
        <v/>
      </c>
      <c r="BB229" s="413">
        <f t="shared" si="192"/>
        <v>2808.9747000000002</v>
      </c>
      <c r="BC229" s="410">
        <f t="shared" si="192"/>
        <v>2991.631159999999</v>
      </c>
      <c r="BD229" s="201" t="str">
        <f t="shared" si="192"/>
        <v/>
      </c>
      <c r="BE229" s="413">
        <f t="shared" si="192"/>
        <v>2753.56</v>
      </c>
      <c r="BF229" s="413">
        <f t="shared" si="192"/>
        <v>3563.1400000000003</v>
      </c>
      <c r="BG229" s="413">
        <f t="shared" si="192"/>
        <v>2982</v>
      </c>
      <c r="BH229" s="410">
        <f t="shared" si="192"/>
        <v>3147.5150000000003</v>
      </c>
      <c r="BI229" s="201" t="str">
        <f t="shared" si="192"/>
        <v/>
      </c>
      <c r="BJ229" s="1216">
        <f>BJ510</f>
        <v>2635.3</v>
      </c>
      <c r="BK229" s="413">
        <f t="shared" si="192"/>
        <v>3218.5650000000001</v>
      </c>
      <c r="BL229" s="413" t="str">
        <f t="shared" si="192"/>
        <v/>
      </c>
      <c r="BM229" s="413" t="str">
        <f t="shared" si="192"/>
        <v/>
      </c>
      <c r="BN229" s="201" t="str">
        <f t="shared" si="192"/>
        <v/>
      </c>
      <c r="BO229" s="413" t="str">
        <f t="shared" si="192"/>
        <v/>
      </c>
      <c r="BP229" s="413" t="str">
        <f t="shared" si="192"/>
        <v/>
      </c>
      <c r="BQ229" s="413" t="str">
        <f t="shared" si="192"/>
        <v/>
      </c>
      <c r="BR229" s="413" t="str">
        <f t="shared" si="192"/>
        <v/>
      </c>
      <c r="BS229" s="201" t="str">
        <f t="shared" ref="BS229:BZ229" si="193">BS510</f>
        <v/>
      </c>
      <c r="BT229" s="201" t="str">
        <f t="shared" si="193"/>
        <v/>
      </c>
      <c r="BU229" s="201" t="str">
        <f t="shared" si="193"/>
        <v/>
      </c>
      <c r="BV229" s="201" t="str">
        <f t="shared" si="193"/>
        <v/>
      </c>
      <c r="BW229" s="413"/>
    </row>
    <row r="230" spans="1:75" x14ac:dyDescent="0.5">
      <c r="A230" s="206"/>
      <c r="B230" s="522"/>
      <c r="C230" s="397"/>
      <c r="D230" s="397"/>
      <c r="E230" s="397"/>
      <c r="F230" s="397"/>
      <c r="G230" s="295"/>
      <c r="H230" s="295"/>
      <c r="I230" s="295"/>
      <c r="J230" s="295"/>
      <c r="K230" s="397"/>
      <c r="L230" s="295"/>
      <c r="M230" s="295"/>
      <c r="N230" s="295"/>
      <c r="O230" s="295"/>
      <c r="P230" s="397"/>
      <c r="Q230" s="295"/>
      <c r="R230" s="295"/>
      <c r="S230" s="295"/>
      <c r="T230" s="295"/>
      <c r="U230" s="397"/>
      <c r="V230" s="295"/>
      <c r="W230" s="295"/>
      <c r="X230" s="295"/>
      <c r="Y230" s="295"/>
      <c r="Z230" s="397"/>
      <c r="AA230" s="295"/>
      <c r="AB230" s="295"/>
      <c r="AC230" s="295"/>
      <c r="AD230" s="295"/>
      <c r="AE230" s="397"/>
      <c r="AF230" s="295"/>
      <c r="AG230" s="295"/>
      <c r="AH230" s="295"/>
      <c r="AI230" s="295"/>
      <c r="AJ230" s="397"/>
      <c r="AK230" s="295"/>
      <c r="AL230" s="295"/>
      <c r="AM230" s="295"/>
      <c r="AN230" s="295"/>
      <c r="AO230" s="397"/>
      <c r="AP230" s="295"/>
      <c r="AQ230" s="295"/>
      <c r="AR230" s="295"/>
      <c r="AS230" s="295"/>
      <c r="AT230" s="397"/>
      <c r="AU230" s="295"/>
      <c r="AV230" s="295"/>
      <c r="AW230" s="295"/>
      <c r="AX230" s="295"/>
      <c r="AY230" s="397"/>
      <c r="AZ230" s="295"/>
      <c r="BA230" s="295"/>
      <c r="BB230" s="295"/>
      <c r="BC230" s="295"/>
      <c r="BD230" s="397"/>
      <c r="BE230" s="295"/>
      <c r="BF230" s="295"/>
      <c r="BG230" s="295"/>
      <c r="BH230" s="295"/>
      <c r="BI230" s="397"/>
      <c r="BJ230" s="1030"/>
      <c r="BK230" s="295"/>
      <c r="BL230" s="295"/>
      <c r="BM230" s="295"/>
      <c r="BN230" s="397"/>
      <c r="BO230" s="295"/>
      <c r="BP230" s="295"/>
      <c r="BQ230" s="295"/>
      <c r="BR230" s="295"/>
      <c r="BS230" s="397"/>
      <c r="BT230" s="397"/>
      <c r="BU230" s="397"/>
      <c r="BV230" s="397"/>
      <c r="BW230" s="197"/>
    </row>
    <row r="231" spans="1:75" x14ac:dyDescent="0.5">
      <c r="A231" s="1292" t="s">
        <v>1151</v>
      </c>
      <c r="B231" s="677"/>
      <c r="C231" s="406"/>
      <c r="D231" s="406"/>
      <c r="E231" s="1293">
        <f t="shared" ref="E231:BI231" si="194">E174</f>
        <v>385.82400000000001</v>
      </c>
      <c r="F231" s="1293">
        <f t="shared" si="194"/>
        <v>455.87900000000002</v>
      </c>
      <c r="G231" s="431">
        <f t="shared" si="194"/>
        <v>135.798</v>
      </c>
      <c r="H231" s="431">
        <f t="shared" si="194"/>
        <v>152.53899999999999</v>
      </c>
      <c r="I231" s="431">
        <f t="shared" si="194"/>
        <v>178.65600000000001</v>
      </c>
      <c r="J231" s="431">
        <f t="shared" si="194"/>
        <v>224.60899999999998</v>
      </c>
      <c r="K231" s="1293">
        <f t="shared" si="194"/>
        <v>691.60199999999998</v>
      </c>
      <c r="L231" s="431">
        <f t="shared" si="194"/>
        <v>213.5</v>
      </c>
      <c r="M231" s="431">
        <f t="shared" si="194"/>
        <v>226.983</v>
      </c>
      <c r="N231" s="431">
        <f t="shared" si="194"/>
        <v>257.161</v>
      </c>
      <c r="O231" s="431">
        <f t="shared" si="194"/>
        <v>310.209</v>
      </c>
      <c r="P231" s="1293">
        <f t="shared" si="194"/>
        <v>1007.853</v>
      </c>
      <c r="Q231" s="431">
        <f t="shared" si="194"/>
        <v>321.536</v>
      </c>
      <c r="R231" s="431">
        <f t="shared" si="194"/>
        <v>370.95100000000002</v>
      </c>
      <c r="S231" s="431">
        <f t="shared" si="194"/>
        <v>452.58600000000001</v>
      </c>
      <c r="T231" s="431">
        <f t="shared" si="194"/>
        <v>564.08799999999997</v>
      </c>
      <c r="U231" s="1293">
        <f t="shared" si="194"/>
        <v>1709.1610000000001</v>
      </c>
      <c r="V231" s="431">
        <f t="shared" si="194"/>
        <v>568.29200000000003</v>
      </c>
      <c r="W231" s="431">
        <f t="shared" si="194"/>
        <v>598.41399999999999</v>
      </c>
      <c r="X231" s="431">
        <f t="shared" si="194"/>
        <v>659.86400000000003</v>
      </c>
      <c r="Y231" s="431">
        <f t="shared" si="194"/>
        <v>745.97900000000004</v>
      </c>
      <c r="Z231" s="1293">
        <f t="shared" si="194"/>
        <v>2572.549</v>
      </c>
      <c r="AA231" s="431">
        <f t="shared" si="194"/>
        <v>723.94200000000001</v>
      </c>
      <c r="AB231" s="431">
        <f t="shared" si="194"/>
        <v>853.39</v>
      </c>
      <c r="AC231" s="431">
        <f t="shared" si="194"/>
        <v>917.88900000000001</v>
      </c>
      <c r="AD231" s="431">
        <f t="shared" si="194"/>
        <v>1106.8510000000001</v>
      </c>
      <c r="AE231" s="1293">
        <f t="shared" si="194"/>
        <v>3602.0720000000001</v>
      </c>
      <c r="AF231" s="431">
        <f t="shared" si="194"/>
        <v>1080.4449999999999</v>
      </c>
      <c r="AG231" s="431">
        <f t="shared" si="194"/>
        <v>1270.249</v>
      </c>
      <c r="AH231" s="431">
        <f t="shared" si="194"/>
        <v>1312.875</v>
      </c>
      <c r="AI231" s="431">
        <f t="shared" si="194"/>
        <v>1528.8820000000001</v>
      </c>
      <c r="AJ231" s="1293">
        <f t="shared" si="194"/>
        <v>5192.451</v>
      </c>
      <c r="AK231" s="431">
        <f t="shared" si="194"/>
        <v>1474.373</v>
      </c>
      <c r="AL231" s="431">
        <f t="shared" si="194"/>
        <v>1783.6510000000001</v>
      </c>
      <c r="AM231" s="431">
        <f t="shared" si="194"/>
        <v>1765.566</v>
      </c>
      <c r="AN231" s="431">
        <f t="shared" si="194"/>
        <v>1956.1350000000002</v>
      </c>
      <c r="AO231" s="1293">
        <f t="shared" si="194"/>
        <v>6979.7250000000004</v>
      </c>
      <c r="AP231" s="431">
        <f t="shared" si="194"/>
        <v>1750.94</v>
      </c>
      <c r="AQ231" s="431">
        <f t="shared" si="194"/>
        <v>2983.6419999999998</v>
      </c>
      <c r="AR231" s="431">
        <f t="shared" si="194"/>
        <v>2692.1419999999998</v>
      </c>
      <c r="AS231" s="431">
        <f t="shared" si="194"/>
        <v>2606.2610000000004</v>
      </c>
      <c r="AT231" s="1293">
        <f t="shared" si="194"/>
        <v>10032.985000000001</v>
      </c>
      <c r="AU231" s="431">
        <f t="shared" si="194"/>
        <v>2474.491</v>
      </c>
      <c r="AV231" s="431">
        <f t="shared" si="194"/>
        <v>2729.5659999999998</v>
      </c>
      <c r="AW231" s="431">
        <f t="shared" si="194"/>
        <v>2238.355</v>
      </c>
      <c r="AX231" s="431">
        <f t="shared" si="194"/>
        <v>2370.5879999999997</v>
      </c>
      <c r="AY231" s="1293">
        <f t="shared" si="194"/>
        <v>9813</v>
      </c>
      <c r="AZ231" s="431">
        <f t="shared" si="194"/>
        <v>2190</v>
      </c>
      <c r="BA231" s="431">
        <f t="shared" si="194"/>
        <v>2388</v>
      </c>
      <c r="BB231" s="431">
        <f t="shared" si="194"/>
        <v>2016</v>
      </c>
      <c r="BC231" s="431">
        <f t="shared" si="194"/>
        <v>2208</v>
      </c>
      <c r="BD231" s="1293">
        <f t="shared" si="194"/>
        <v>8802</v>
      </c>
      <c r="BE231" s="431">
        <f t="shared" si="194"/>
        <v>1953</v>
      </c>
      <c r="BF231" s="431">
        <f t="shared" si="194"/>
        <v>2186</v>
      </c>
      <c r="BG231" s="431">
        <f t="shared" si="194"/>
        <v>2027</v>
      </c>
      <c r="BH231" s="431">
        <f t="shared" si="194"/>
        <v>2170</v>
      </c>
      <c r="BI231" s="1293">
        <f t="shared" si="194"/>
        <v>8336</v>
      </c>
      <c r="BJ231" s="1294">
        <f>BJ174</f>
        <v>1910</v>
      </c>
      <c r="BK231" s="723">
        <f>BK227-BK232</f>
        <v>2234.3257556849999</v>
      </c>
      <c r="BL231" s="723">
        <f>BL227-BL232</f>
        <v>2050.9173386640005</v>
      </c>
      <c r="BM231" s="723">
        <f>BM227-BM232</f>
        <v>2195.6811456839996</v>
      </c>
      <c r="BN231" s="406">
        <f>SUM(BJ231,BK231,BL231,BM231)</f>
        <v>8390.9242400330004</v>
      </c>
      <c r="BO231" s="723">
        <f>BO227-BO232</f>
        <v>2020.9209434520003</v>
      </c>
      <c r="BP231" s="723">
        <f>BP227-BP232</f>
        <v>2364.0276906182744</v>
      </c>
      <c r="BQ231" s="723">
        <f>BQ227-BQ232</f>
        <v>2169.9007652418913</v>
      </c>
      <c r="BR231" s="723">
        <f>BR227-BR232</f>
        <v>2323.1444130493933</v>
      </c>
      <c r="BS231" s="406">
        <f>SUM(BO231,BP231,BQ231,BR231)</f>
        <v>8877.9938123615593</v>
      </c>
      <c r="BT231" s="406">
        <f>BT227-BT232</f>
        <v>9485.3486601443983</v>
      </c>
      <c r="BU231" s="406">
        <f>BU227-BU232</f>
        <v>10134.168232983044</v>
      </c>
      <c r="BV231" s="406">
        <f>BV227-BV232</f>
        <v>10827.277001390063</v>
      </c>
      <c r="BW231" s="122"/>
    </row>
    <row r="232" spans="1:75" x14ac:dyDescent="0.5">
      <c r="A232" s="516" t="s">
        <v>1049</v>
      </c>
      <c r="B232" s="517"/>
      <c r="C232" s="518"/>
      <c r="D232" s="518"/>
      <c r="E232" s="519">
        <f t="shared" ref="E232:BI232" si="195">E227-E231</f>
        <v>131.512</v>
      </c>
      <c r="F232" s="519">
        <f t="shared" si="195"/>
        <v>145.149</v>
      </c>
      <c r="G232" s="520">
        <f t="shared" si="195"/>
        <v>44.032999999999987</v>
      </c>
      <c r="H232" s="520">
        <f t="shared" si="195"/>
        <v>50.838000000000022</v>
      </c>
      <c r="I232" s="520">
        <f t="shared" si="195"/>
        <v>58.645999999999987</v>
      </c>
      <c r="J232" s="520">
        <f t="shared" si="195"/>
        <v>70.72399999999999</v>
      </c>
      <c r="K232" s="519">
        <f t="shared" si="195"/>
        <v>224.24099999999999</v>
      </c>
      <c r="L232" s="520">
        <f t="shared" si="195"/>
        <v>65.206999999999994</v>
      </c>
      <c r="M232" s="520">
        <f t="shared" si="195"/>
        <v>68.454000000000008</v>
      </c>
      <c r="N232" s="520">
        <f t="shared" si="195"/>
        <v>79.026999999999987</v>
      </c>
      <c r="O232" s="520">
        <f t="shared" si="195"/>
        <v>98.410000000000025</v>
      </c>
      <c r="P232" s="519">
        <f t="shared" si="195"/>
        <v>311.09800000000007</v>
      </c>
      <c r="Q232" s="520">
        <f t="shared" si="195"/>
        <v>102.83499999999998</v>
      </c>
      <c r="R232" s="520">
        <f t="shared" si="195"/>
        <v>120.80099999999999</v>
      </c>
      <c r="S232" s="520">
        <f t="shared" si="195"/>
        <v>141.38599999999997</v>
      </c>
      <c r="T232" s="520">
        <f t="shared" si="195"/>
        <v>175.702</v>
      </c>
      <c r="U232" s="519">
        <f t="shared" si="195"/>
        <v>540.72400000000016</v>
      </c>
      <c r="V232" s="520">
        <f t="shared" si="195"/>
        <v>179.05599999999993</v>
      </c>
      <c r="W232" s="520">
        <f t="shared" si="195"/>
        <v>188.51400000000001</v>
      </c>
      <c r="X232" s="520">
        <f t="shared" si="195"/>
        <v>201.66099999999994</v>
      </c>
      <c r="Y232" s="520">
        <f t="shared" si="195"/>
        <v>238.57999999999993</v>
      </c>
      <c r="Z232" s="519">
        <f t="shared" si="195"/>
        <v>807.81100000000015</v>
      </c>
      <c r="AA232" s="520">
        <f t="shared" si="195"/>
        <v>236.88300000000004</v>
      </c>
      <c r="AB232" s="520">
        <f t="shared" si="195"/>
        <v>269.46600000000001</v>
      </c>
      <c r="AC232" s="520">
        <f t="shared" si="195"/>
        <v>280.30900000000008</v>
      </c>
      <c r="AD232" s="520">
        <f t="shared" si="195"/>
        <v>332.16500000000042</v>
      </c>
      <c r="AE232" s="519">
        <f t="shared" si="195"/>
        <v>1118.8230000000003</v>
      </c>
      <c r="AF232" s="520">
        <f t="shared" si="195"/>
        <v>323.82400000000007</v>
      </c>
      <c r="AG232" s="520">
        <f t="shared" si="195"/>
        <v>385.00700000000006</v>
      </c>
      <c r="AH232" s="520">
        <f t="shared" si="195"/>
        <v>392.77</v>
      </c>
      <c r="AI232" s="520">
        <f t="shared" si="195"/>
        <v>485.12199999999984</v>
      </c>
      <c r="AJ232" s="519">
        <f t="shared" si="195"/>
        <v>1586.723</v>
      </c>
      <c r="AK232" s="520">
        <f t="shared" si="195"/>
        <v>470.4559999999999</v>
      </c>
      <c r="AL232" s="520">
        <f t="shared" si="195"/>
        <v>559.60000000000014</v>
      </c>
      <c r="AM232" s="520">
        <f t="shared" si="195"/>
        <v>539.92100000000005</v>
      </c>
      <c r="AN232" s="520">
        <f t="shared" si="195"/>
        <v>577.35500000000047</v>
      </c>
      <c r="AO232" s="519">
        <f t="shared" si="195"/>
        <v>2147.3320000000003</v>
      </c>
      <c r="AP232" s="520">
        <f t="shared" si="195"/>
        <v>579.12300000000005</v>
      </c>
      <c r="AQ232" s="520">
        <f t="shared" si="195"/>
        <v>1321.0299999999997</v>
      </c>
      <c r="AR232" s="520">
        <f t="shared" si="195"/>
        <v>1147.4280000000003</v>
      </c>
      <c r="AS232" s="520">
        <f t="shared" si="195"/>
        <v>1064.5900000000001</v>
      </c>
      <c r="AT232" s="519">
        <f t="shared" si="195"/>
        <v>4112.1710000000003</v>
      </c>
      <c r="AU232" s="520">
        <f t="shared" si="195"/>
        <v>1003.027</v>
      </c>
      <c r="AV232" s="520">
        <f t="shared" si="195"/>
        <v>1128.0600000000004</v>
      </c>
      <c r="AW232" s="520">
        <f t="shared" si="195"/>
        <v>882.72800000000007</v>
      </c>
      <c r="AX232" s="520">
        <f t="shared" si="195"/>
        <v>881.18499999999949</v>
      </c>
      <c r="AY232" s="519">
        <f t="shared" si="195"/>
        <v>3895</v>
      </c>
      <c r="AZ232" s="520">
        <f t="shared" si="195"/>
        <v>803</v>
      </c>
      <c r="BA232" s="520">
        <f t="shared" si="195"/>
        <v>896</v>
      </c>
      <c r="BB232" s="520">
        <f t="shared" si="195"/>
        <v>824</v>
      </c>
      <c r="BC232" s="520">
        <f t="shared" si="195"/>
        <v>893</v>
      </c>
      <c r="BD232" s="519">
        <f t="shared" si="195"/>
        <v>3416</v>
      </c>
      <c r="BE232" s="520">
        <f t="shared" si="195"/>
        <v>821</v>
      </c>
      <c r="BF232" s="520">
        <f t="shared" si="195"/>
        <v>985</v>
      </c>
      <c r="BG232" s="520">
        <f t="shared" si="195"/>
        <v>917</v>
      </c>
      <c r="BH232" s="520">
        <f t="shared" si="195"/>
        <v>944</v>
      </c>
      <c r="BI232" s="519">
        <f t="shared" si="195"/>
        <v>3667</v>
      </c>
      <c r="BJ232" s="1270">
        <f>BJ227-BJ231</f>
        <v>819</v>
      </c>
      <c r="BK232" s="327">
        <f>BK95</f>
        <v>983.43698131500003</v>
      </c>
      <c r="BL232" s="327">
        <f>BL95</f>
        <v>936.49782933600034</v>
      </c>
      <c r="BM232" s="327">
        <f>BM95</f>
        <v>964.24101231600002</v>
      </c>
      <c r="BN232" s="518">
        <f>BN227-BN231</f>
        <v>3703.1758229669995</v>
      </c>
      <c r="BO232" s="327">
        <f>BO95</f>
        <v>874.83733054800007</v>
      </c>
      <c r="BP232" s="327">
        <f>BP95</f>
        <v>1050.3596561888492</v>
      </c>
      <c r="BQ232" s="327">
        <f>BQ95</f>
        <v>1000.0633940139176</v>
      </c>
      <c r="BR232" s="327">
        <f>BR95</f>
        <v>1029.8679483373553</v>
      </c>
      <c r="BS232" s="518">
        <f>BS227-BS231</f>
        <v>3955.128329088122</v>
      </c>
      <c r="BT232" s="518">
        <f>BT95</f>
        <v>4265.4572125182094</v>
      </c>
      <c r="BU232" s="518">
        <f>BU95</f>
        <v>4599.944016827797</v>
      </c>
      <c r="BV232" s="518">
        <f>BV95</f>
        <v>4960.4568812925008</v>
      </c>
      <c r="BW232" s="197"/>
    </row>
    <row r="233" spans="1:75" x14ac:dyDescent="0.5">
      <c r="A233" s="719" t="s">
        <v>2318</v>
      </c>
      <c r="B233" s="720"/>
      <c r="C233" s="414"/>
      <c r="D233" s="414"/>
      <c r="E233" s="414"/>
      <c r="F233" s="414"/>
      <c r="G233" s="413" t="str">
        <f t="shared" ref="G233:BR233" si="196">G555</f>
        <v/>
      </c>
      <c r="H233" s="413" t="str">
        <f t="shared" si="196"/>
        <v/>
      </c>
      <c r="I233" s="413" t="str">
        <f t="shared" si="196"/>
        <v/>
      </c>
      <c r="J233" s="413" t="str">
        <f t="shared" si="196"/>
        <v/>
      </c>
      <c r="K233" s="414" t="str">
        <f t="shared" si="196"/>
        <v/>
      </c>
      <c r="L233" s="413" t="str">
        <f t="shared" si="196"/>
        <v/>
      </c>
      <c r="M233" s="413" t="str">
        <f t="shared" si="196"/>
        <v/>
      </c>
      <c r="N233" s="413" t="str">
        <f t="shared" si="196"/>
        <v/>
      </c>
      <c r="O233" s="413" t="str">
        <f t="shared" si="196"/>
        <v/>
      </c>
      <c r="P233" s="414" t="str">
        <f t="shared" si="196"/>
        <v/>
      </c>
      <c r="Q233" s="413" t="str">
        <f t="shared" si="196"/>
        <v/>
      </c>
      <c r="R233" s="413" t="str">
        <f t="shared" si="196"/>
        <v/>
      </c>
      <c r="S233" s="413" t="str">
        <f t="shared" si="196"/>
        <v/>
      </c>
      <c r="T233" s="413" t="str">
        <f t="shared" si="196"/>
        <v/>
      </c>
      <c r="U233" s="414" t="str">
        <f t="shared" si="196"/>
        <v/>
      </c>
      <c r="V233" s="413" t="str">
        <f t="shared" si="196"/>
        <v/>
      </c>
      <c r="W233" s="413" t="str">
        <f t="shared" si="196"/>
        <v/>
      </c>
      <c r="X233" s="413" t="str">
        <f t="shared" si="196"/>
        <v/>
      </c>
      <c r="Y233" s="410" t="str">
        <f t="shared" si="196"/>
        <v/>
      </c>
      <c r="Z233" s="201" t="str">
        <f t="shared" si="196"/>
        <v/>
      </c>
      <c r="AA233" s="413" t="str">
        <f t="shared" si="196"/>
        <v/>
      </c>
      <c r="AB233" s="413" t="str">
        <f t="shared" si="196"/>
        <v/>
      </c>
      <c r="AC233" s="413" t="str">
        <f t="shared" si="196"/>
        <v/>
      </c>
      <c r="AD233" s="410" t="str">
        <f t="shared" si="196"/>
        <v/>
      </c>
      <c r="AE233" s="201" t="str">
        <f t="shared" si="196"/>
        <v/>
      </c>
      <c r="AF233" s="413" t="str">
        <f t="shared" si="196"/>
        <v/>
      </c>
      <c r="AG233" s="413" t="str">
        <f t="shared" si="196"/>
        <v/>
      </c>
      <c r="AH233" s="413" t="str">
        <f t="shared" si="196"/>
        <v/>
      </c>
      <c r="AI233" s="410" t="str">
        <f t="shared" si="196"/>
        <v/>
      </c>
      <c r="AJ233" s="201" t="str">
        <f t="shared" si="196"/>
        <v/>
      </c>
      <c r="AK233" s="413" t="str">
        <f t="shared" si="196"/>
        <v/>
      </c>
      <c r="AL233" s="413" t="str">
        <f t="shared" si="196"/>
        <v/>
      </c>
      <c r="AM233" s="413" t="str">
        <f t="shared" si="196"/>
        <v/>
      </c>
      <c r="AN233" s="410" t="str">
        <f t="shared" si="196"/>
        <v/>
      </c>
      <c r="AO233" s="201" t="str">
        <f t="shared" si="196"/>
        <v/>
      </c>
      <c r="AP233" s="413">
        <f t="shared" si="196"/>
        <v>530.16038539999988</v>
      </c>
      <c r="AQ233" s="413">
        <f t="shared" si="196"/>
        <v>944.33015300000011</v>
      </c>
      <c r="AR233" s="413">
        <f t="shared" si="196"/>
        <v>885.88337975000002</v>
      </c>
      <c r="AS233" s="410" t="str">
        <f t="shared" si="196"/>
        <v/>
      </c>
      <c r="AT233" s="201" t="str">
        <f t="shared" si="196"/>
        <v/>
      </c>
      <c r="AU233" s="413" t="str">
        <f t="shared" si="196"/>
        <v/>
      </c>
      <c r="AV233" s="413" t="str">
        <f t="shared" si="196"/>
        <v/>
      </c>
      <c r="AW233" s="413" t="str">
        <f t="shared" si="196"/>
        <v/>
      </c>
      <c r="AX233" s="410">
        <f t="shared" si="196"/>
        <v>908.53562250000027</v>
      </c>
      <c r="AY233" s="201" t="str">
        <f t="shared" si="196"/>
        <v/>
      </c>
      <c r="AZ233" s="413" t="str">
        <f t="shared" si="196"/>
        <v/>
      </c>
      <c r="BA233" s="413" t="str">
        <f t="shared" si="196"/>
        <v/>
      </c>
      <c r="BB233" s="413">
        <f t="shared" si="196"/>
        <v>772.46804250000014</v>
      </c>
      <c r="BC233" s="410">
        <f t="shared" si="196"/>
        <v>852.61488059999965</v>
      </c>
      <c r="BD233" s="201" t="str">
        <f t="shared" si="196"/>
        <v/>
      </c>
      <c r="BE233" s="413">
        <f t="shared" si="196"/>
        <v>784.76459999999997</v>
      </c>
      <c r="BF233" s="413">
        <f t="shared" si="196"/>
        <v>1051.1262999999999</v>
      </c>
      <c r="BG233" s="413">
        <f t="shared" si="196"/>
        <v>894.59999999999991</v>
      </c>
      <c r="BH233" s="410">
        <f t="shared" si="196"/>
        <v>959.99207500000011</v>
      </c>
      <c r="BI233" s="201" t="str">
        <f t="shared" si="196"/>
        <v/>
      </c>
      <c r="BJ233" s="1216">
        <f>BJ555</f>
        <v>803.76650000000006</v>
      </c>
      <c r="BK233" s="413">
        <f t="shared" si="196"/>
        <v>981.66232500000001</v>
      </c>
      <c r="BL233" s="413" t="str">
        <f t="shared" si="196"/>
        <v/>
      </c>
      <c r="BM233" s="413" t="str">
        <f t="shared" si="196"/>
        <v/>
      </c>
      <c r="BN233" s="201" t="str">
        <f t="shared" si="196"/>
        <v/>
      </c>
      <c r="BO233" s="413" t="str">
        <f t="shared" si="196"/>
        <v/>
      </c>
      <c r="BP233" s="413" t="str">
        <f t="shared" si="196"/>
        <v/>
      </c>
      <c r="BQ233" s="413" t="str">
        <f t="shared" si="196"/>
        <v/>
      </c>
      <c r="BR233" s="413" t="str">
        <f t="shared" si="196"/>
        <v/>
      </c>
      <c r="BS233" s="201" t="str">
        <f t="shared" ref="BS233:BZ233" si="197">BS555</f>
        <v/>
      </c>
      <c r="BT233" s="201" t="str">
        <f t="shared" si="197"/>
        <v/>
      </c>
      <c r="BU233" s="201" t="str">
        <f t="shared" si="197"/>
        <v/>
      </c>
      <c r="BV233" s="201" t="str">
        <f t="shared" si="197"/>
        <v/>
      </c>
      <c r="BW233" s="413"/>
    </row>
    <row r="234" spans="1:75" x14ac:dyDescent="0.5">
      <c r="A234" s="206"/>
      <c r="B234" s="522"/>
      <c r="C234" s="397"/>
      <c r="D234" s="397"/>
      <c r="E234" s="397"/>
      <c r="F234" s="397"/>
      <c r="G234" s="295"/>
      <c r="H234" s="295"/>
      <c r="I234" s="295"/>
      <c r="J234" s="295"/>
      <c r="K234" s="397"/>
      <c r="L234" s="295"/>
      <c r="M234" s="295"/>
      <c r="N234" s="295"/>
      <c r="O234" s="295"/>
      <c r="P234" s="397"/>
      <c r="Q234" s="295"/>
      <c r="R234" s="295"/>
      <c r="S234" s="295"/>
      <c r="T234" s="295"/>
      <c r="U234" s="397"/>
      <c r="V234" s="295"/>
      <c r="W234" s="295"/>
      <c r="X234" s="295"/>
      <c r="Y234" s="295"/>
      <c r="Z234" s="397"/>
      <c r="AA234" s="295"/>
      <c r="AB234" s="295"/>
      <c r="AC234" s="295"/>
      <c r="AD234" s="295"/>
      <c r="AE234" s="397"/>
      <c r="AF234" s="295"/>
      <c r="AG234" s="295"/>
      <c r="AH234" s="295"/>
      <c r="AI234" s="295"/>
      <c r="AJ234" s="397"/>
      <c r="AK234" s="295"/>
      <c r="AL234" s="295"/>
      <c r="AM234" s="295"/>
      <c r="AN234" s="295"/>
      <c r="AO234" s="397"/>
      <c r="AP234" s="295"/>
      <c r="AQ234" s="295"/>
      <c r="AR234" s="295"/>
      <c r="AS234" s="295"/>
      <c r="AT234" s="397"/>
      <c r="AU234" s="295"/>
      <c r="AV234" s="295"/>
      <c r="AW234" s="295"/>
      <c r="AX234" s="295"/>
      <c r="AY234" s="397"/>
      <c r="AZ234" s="295"/>
      <c r="BA234" s="295"/>
      <c r="BB234" s="295"/>
      <c r="BC234" s="295"/>
      <c r="BD234" s="397"/>
      <c r="BE234" s="295"/>
      <c r="BF234" s="295"/>
      <c r="BG234" s="295"/>
      <c r="BH234" s="295"/>
      <c r="BI234" s="397"/>
      <c r="BJ234" s="1030"/>
      <c r="BK234" s="295"/>
      <c r="BL234" s="295"/>
      <c r="BM234" s="295"/>
      <c r="BN234" s="397"/>
      <c r="BO234" s="295"/>
      <c r="BP234" s="295"/>
      <c r="BQ234" s="295"/>
      <c r="BR234" s="295"/>
      <c r="BS234" s="397"/>
      <c r="BT234" s="397"/>
      <c r="BU234" s="397"/>
      <c r="BV234" s="397"/>
      <c r="BW234" s="197"/>
    </row>
    <row r="235" spans="1:75" x14ac:dyDescent="0.5">
      <c r="A235" s="184" t="s">
        <v>0</v>
      </c>
      <c r="B235" s="513"/>
      <c r="C235" s="401"/>
      <c r="D235" s="401"/>
      <c r="E235" s="401">
        <f t="shared" ref="E235:BI235" si="198">E176+E177+E178+E179</f>
        <v>143.566</v>
      </c>
      <c r="F235" s="401">
        <f t="shared" si="198"/>
        <v>166.33100000000002</v>
      </c>
      <c r="G235" s="118">
        <f t="shared" si="198"/>
        <v>49.405999999999999</v>
      </c>
      <c r="H235" s="118">
        <f t="shared" si="198"/>
        <v>53.322000000000003</v>
      </c>
      <c r="I235" s="118">
        <f t="shared" si="198"/>
        <v>62.132000000000005</v>
      </c>
      <c r="J235" s="118">
        <f t="shared" si="198"/>
        <v>74.86099999999999</v>
      </c>
      <c r="K235" s="401">
        <f t="shared" si="198"/>
        <v>239.721</v>
      </c>
      <c r="L235" s="118">
        <f t="shared" si="198"/>
        <v>93.113</v>
      </c>
      <c r="M235" s="118">
        <f t="shared" si="198"/>
        <v>91.47</v>
      </c>
      <c r="N235" s="118">
        <f t="shared" si="198"/>
        <v>102.642</v>
      </c>
      <c r="O235" s="118">
        <f t="shared" si="198"/>
        <v>170.67699999999999</v>
      </c>
      <c r="P235" s="401">
        <f t="shared" si="198"/>
        <v>457.90200000000004</v>
      </c>
      <c r="Q235" s="118">
        <f t="shared" si="198"/>
        <v>129.83100000000002</v>
      </c>
      <c r="R235" s="118">
        <f t="shared" si="198"/>
        <v>140.03799999999998</v>
      </c>
      <c r="S235" s="118">
        <f t="shared" si="198"/>
        <v>159.815</v>
      </c>
      <c r="T235" s="118">
        <f t="shared" si="198"/>
        <v>191.49899999999997</v>
      </c>
      <c r="U235" s="401">
        <f t="shared" si="198"/>
        <v>621.18299999999999</v>
      </c>
      <c r="V235" s="118">
        <f t="shared" si="198"/>
        <v>221.16500000000002</v>
      </c>
      <c r="W235" s="118">
        <f t="shared" si="198"/>
        <v>237.244</v>
      </c>
      <c r="X235" s="118">
        <f t="shared" si="198"/>
        <v>263.28100000000001</v>
      </c>
      <c r="Y235" s="118">
        <f t="shared" si="198"/>
        <v>282.33799999999997</v>
      </c>
      <c r="Z235" s="401">
        <f t="shared" si="198"/>
        <v>1004.028</v>
      </c>
      <c r="AA235" s="118">
        <f t="shared" si="198"/>
        <v>293.089</v>
      </c>
      <c r="AB235" s="118">
        <f t="shared" si="198"/>
        <v>307.01799999999997</v>
      </c>
      <c r="AC235" s="118">
        <f t="shared" si="198"/>
        <v>354.26600000000002</v>
      </c>
      <c r="AD235" s="118">
        <f t="shared" si="198"/>
        <v>399.90299999999996</v>
      </c>
      <c r="AE235" s="401">
        <f t="shared" si="198"/>
        <v>1354.2759999999998</v>
      </c>
      <c r="AF235" s="118">
        <f t="shared" si="198"/>
        <v>426.89299999999997</v>
      </c>
      <c r="AG235" s="118">
        <f t="shared" si="198"/>
        <v>480.346</v>
      </c>
      <c r="AH235" s="118">
        <f t="shared" si="198"/>
        <v>538.03600000000006</v>
      </c>
      <c r="AI235" s="118">
        <f t="shared" si="198"/>
        <v>614.72699999999998</v>
      </c>
      <c r="AJ235" s="401">
        <f t="shared" si="198"/>
        <v>2060.002</v>
      </c>
      <c r="AK235" s="118">
        <f t="shared" si="198"/>
        <v>664.09</v>
      </c>
      <c r="AL235" s="118">
        <f t="shared" si="198"/>
        <v>730.77700000000004</v>
      </c>
      <c r="AM235" s="118">
        <f t="shared" si="198"/>
        <v>799.63</v>
      </c>
      <c r="AN235" s="118">
        <f t="shared" si="198"/>
        <v>882.77599999999973</v>
      </c>
      <c r="AO235" s="401">
        <f t="shared" si="198"/>
        <v>3077.2730000000001</v>
      </c>
      <c r="AP235" s="118">
        <f t="shared" si="198"/>
        <v>841.19100000000003</v>
      </c>
      <c r="AQ235" s="118">
        <f t="shared" si="198"/>
        <v>1021.0319999999999</v>
      </c>
      <c r="AR235" s="118">
        <f t="shared" si="198"/>
        <v>925.57399999999996</v>
      </c>
      <c r="AS235" s="118">
        <f t="shared" si="198"/>
        <v>964.02499999999998</v>
      </c>
      <c r="AT235" s="401">
        <f t="shared" si="198"/>
        <v>3751.8220000000001</v>
      </c>
      <c r="AU235" s="118">
        <f t="shared" si="198"/>
        <v>964.47300000000007</v>
      </c>
      <c r="AV235" s="118">
        <f t="shared" si="198"/>
        <v>982.85299999999995</v>
      </c>
      <c r="AW235" s="118">
        <f t="shared" si="198"/>
        <v>952.52600000000007</v>
      </c>
      <c r="AX235" s="118">
        <f t="shared" si="198"/>
        <v>1077.1480000000001</v>
      </c>
      <c r="AY235" s="401">
        <f t="shared" si="198"/>
        <v>3977</v>
      </c>
      <c r="AZ235" s="118">
        <f t="shared" si="198"/>
        <v>1113</v>
      </c>
      <c r="BA235" s="118">
        <f t="shared" si="198"/>
        <v>1228</v>
      </c>
      <c r="BB235" s="118">
        <f t="shared" si="198"/>
        <v>1165</v>
      </c>
      <c r="BC235" s="118">
        <f t="shared" si="198"/>
        <v>1224</v>
      </c>
      <c r="BD235" s="401">
        <f t="shared" si="198"/>
        <v>4730</v>
      </c>
      <c r="BE235" s="118">
        <f t="shared" si="198"/>
        <v>1090</v>
      </c>
      <c r="BF235" s="118">
        <f t="shared" si="198"/>
        <v>1126</v>
      </c>
      <c r="BG235" s="118">
        <f t="shared" si="198"/>
        <v>1069</v>
      </c>
      <c r="BH235" s="118">
        <f t="shared" si="198"/>
        <v>1116</v>
      </c>
      <c r="BI235" s="401">
        <f t="shared" si="198"/>
        <v>4401</v>
      </c>
      <c r="BJ235" s="971">
        <f>BJ176+BJ177+BJ178+BJ179</f>
        <v>975</v>
      </c>
      <c r="BK235" s="118">
        <f>BK102</f>
        <v>1181.218274844</v>
      </c>
      <c r="BL235" s="118">
        <f>BL102</f>
        <v>1084.7645430000002</v>
      </c>
      <c r="BM235" s="118">
        <f>BM102</f>
        <v>1132.4576520000001</v>
      </c>
      <c r="BN235" s="401">
        <f>SUM(BJ235,BK235,BL235,BM235)</f>
        <v>4373.4404698440003</v>
      </c>
      <c r="BO235" s="118">
        <f>BO102</f>
        <v>976.66318452000019</v>
      </c>
      <c r="BP235" s="118">
        <f>BP102</f>
        <v>1253.397798746618</v>
      </c>
      <c r="BQ235" s="118">
        <f>BQ102</f>
        <v>1151.0501651645584</v>
      </c>
      <c r="BR235" s="118">
        <f>BR102</f>
        <v>1201.6576092831122</v>
      </c>
      <c r="BS235" s="401">
        <f>SUM(BO235,BP235,BQ235,BR235)</f>
        <v>4582.7687577142888</v>
      </c>
      <c r="BT235" s="401">
        <f>BT102</f>
        <v>4704.215880719742</v>
      </c>
      <c r="BU235" s="401">
        <f>BU102</f>
        <v>4819.5979703869671</v>
      </c>
      <c r="BV235" s="401">
        <f>BV102</f>
        <v>4927.4265934111299</v>
      </c>
      <c r="BW235" s="122"/>
    </row>
    <row r="236" spans="1:75" x14ac:dyDescent="0.5">
      <c r="A236" s="184" t="s">
        <v>2291</v>
      </c>
      <c r="B236" s="513"/>
      <c r="C236" s="401"/>
      <c r="D236" s="401"/>
      <c r="E236" s="401">
        <f t="shared" ref="E236:BI236" si="199">E180</f>
        <v>0</v>
      </c>
      <c r="F236" s="401">
        <f t="shared" si="199"/>
        <v>0.21199999999999999</v>
      </c>
      <c r="G236" s="118">
        <f t="shared" si="199"/>
        <v>5.2999999999999999E-2</v>
      </c>
      <c r="H236" s="118">
        <f t="shared" si="199"/>
        <v>5.2999999999999999E-2</v>
      </c>
      <c r="I236" s="118">
        <f t="shared" si="199"/>
        <v>0.184</v>
      </c>
      <c r="J236" s="118">
        <f t="shared" si="199"/>
        <v>0.24900000000000005</v>
      </c>
      <c r="K236" s="401">
        <f t="shared" si="199"/>
        <v>0.53900000000000003</v>
      </c>
      <c r="L236" s="118">
        <f t="shared" si="199"/>
        <v>0.249</v>
      </c>
      <c r="M236" s="118">
        <f t="shared" si="199"/>
        <v>0.25</v>
      </c>
      <c r="N236" s="118">
        <f t="shared" si="199"/>
        <v>0.249</v>
      </c>
      <c r="O236" s="118">
        <f t="shared" si="199"/>
        <v>0.23200000000000001</v>
      </c>
      <c r="P236" s="401">
        <f t="shared" si="199"/>
        <v>0.98</v>
      </c>
      <c r="Q236" s="118">
        <f t="shared" si="199"/>
        <v>0.25</v>
      </c>
      <c r="R236" s="118">
        <f t="shared" si="199"/>
        <v>0.23599999999999999</v>
      </c>
      <c r="S236" s="118">
        <f t="shared" si="199"/>
        <v>0.20799999999999999</v>
      </c>
      <c r="T236" s="118">
        <f t="shared" si="199"/>
        <v>0.19700000000000001</v>
      </c>
      <c r="U236" s="401">
        <f t="shared" si="199"/>
        <v>0.89100000000000001</v>
      </c>
      <c r="V236" s="118">
        <f t="shared" si="199"/>
        <v>0</v>
      </c>
      <c r="W236" s="118">
        <f t="shared" si="199"/>
        <v>0</v>
      </c>
      <c r="X236" s="118">
        <f t="shared" si="199"/>
        <v>0</v>
      </c>
      <c r="Y236" s="118">
        <f t="shared" si="199"/>
        <v>0</v>
      </c>
      <c r="Z236" s="401">
        <f t="shared" si="199"/>
        <v>0</v>
      </c>
      <c r="AA236" s="118">
        <f t="shared" si="199"/>
        <v>0</v>
      </c>
      <c r="AB236" s="118">
        <f t="shared" si="199"/>
        <v>0</v>
      </c>
      <c r="AC236" s="118">
        <f t="shared" si="199"/>
        <v>0</v>
      </c>
      <c r="AD236" s="118">
        <f t="shared" si="199"/>
        <v>0</v>
      </c>
      <c r="AE236" s="401">
        <f t="shared" si="199"/>
        <v>0</v>
      </c>
      <c r="AF236" s="118">
        <f t="shared" si="199"/>
        <v>0</v>
      </c>
      <c r="AG236" s="118">
        <f t="shared" si="199"/>
        <v>0</v>
      </c>
      <c r="AH236" s="118">
        <f t="shared" si="199"/>
        <v>0</v>
      </c>
      <c r="AI236" s="118">
        <f t="shared" si="199"/>
        <v>0</v>
      </c>
      <c r="AJ236" s="401">
        <f t="shared" si="199"/>
        <v>0</v>
      </c>
      <c r="AK236" s="118">
        <f t="shared" si="199"/>
        <v>0</v>
      </c>
      <c r="AL236" s="118">
        <f t="shared" si="199"/>
        <v>0</v>
      </c>
      <c r="AM236" s="118">
        <f t="shared" si="199"/>
        <v>0</v>
      </c>
      <c r="AN236" s="118">
        <f t="shared" si="199"/>
        <v>0</v>
      </c>
      <c r="AO236" s="401">
        <f t="shared" si="199"/>
        <v>0</v>
      </c>
      <c r="AP236" s="118">
        <f t="shared" si="199"/>
        <v>0</v>
      </c>
      <c r="AQ236" s="118">
        <f t="shared" si="199"/>
        <v>0</v>
      </c>
      <c r="AR236" s="118">
        <f t="shared" si="199"/>
        <v>0</v>
      </c>
      <c r="AS236" s="118">
        <f t="shared" si="199"/>
        <v>0</v>
      </c>
      <c r="AT236" s="401">
        <f t="shared" si="199"/>
        <v>0</v>
      </c>
      <c r="AU236" s="118">
        <f t="shared" si="199"/>
        <v>0</v>
      </c>
      <c r="AV236" s="118">
        <f t="shared" si="199"/>
        <v>0</v>
      </c>
      <c r="AW236" s="118">
        <f t="shared" si="199"/>
        <v>0</v>
      </c>
      <c r="AX236" s="118">
        <f t="shared" si="199"/>
        <v>0</v>
      </c>
      <c r="AY236" s="401">
        <f t="shared" si="199"/>
        <v>0</v>
      </c>
      <c r="AZ236" s="118">
        <f t="shared" si="199"/>
        <v>0</v>
      </c>
      <c r="BA236" s="118">
        <f t="shared" si="199"/>
        <v>0</v>
      </c>
      <c r="BB236" s="118">
        <f t="shared" si="199"/>
        <v>0</v>
      </c>
      <c r="BC236" s="118">
        <f t="shared" si="199"/>
        <v>0</v>
      </c>
      <c r="BD236" s="401">
        <f t="shared" si="199"/>
        <v>0</v>
      </c>
      <c r="BE236" s="118">
        <f t="shared" si="199"/>
        <v>0</v>
      </c>
      <c r="BF236" s="118">
        <f t="shared" si="199"/>
        <v>0</v>
      </c>
      <c r="BG236" s="118">
        <f t="shared" si="199"/>
        <v>0</v>
      </c>
      <c r="BH236" s="118">
        <f t="shared" si="199"/>
        <v>0</v>
      </c>
      <c r="BI236" s="401">
        <f t="shared" si="199"/>
        <v>0</v>
      </c>
      <c r="BJ236" s="971">
        <f>BJ180</f>
        <v>0</v>
      </c>
      <c r="BK236" s="118">
        <f t="shared" ref="BK236:BM237" si="200">BK107</f>
        <v>0</v>
      </c>
      <c r="BL236" s="118">
        <f t="shared" si="200"/>
        <v>0</v>
      </c>
      <c r="BM236" s="118">
        <f t="shared" si="200"/>
        <v>0</v>
      </c>
      <c r="BN236" s="401">
        <f>SUM(BJ236,BK236,BL236,BM236)</f>
        <v>0</v>
      </c>
      <c r="BO236" s="118">
        <f t="shared" ref="BO236:BR237" si="201">BO107</f>
        <v>0</v>
      </c>
      <c r="BP236" s="118">
        <f t="shared" si="201"/>
        <v>0</v>
      </c>
      <c r="BQ236" s="118">
        <f t="shared" si="201"/>
        <v>0</v>
      </c>
      <c r="BR236" s="118">
        <f t="shared" si="201"/>
        <v>0</v>
      </c>
      <c r="BS236" s="401">
        <f>SUM(BO236,BP236,BQ236,BR236)</f>
        <v>0</v>
      </c>
      <c r="BT236" s="401">
        <f t="shared" ref="BT236:BV237" si="202">BT107</f>
        <v>0</v>
      </c>
      <c r="BU236" s="401">
        <f t="shared" si="202"/>
        <v>0</v>
      </c>
      <c r="BV236" s="401">
        <f t="shared" si="202"/>
        <v>0</v>
      </c>
      <c r="BW236" s="122"/>
    </row>
    <row r="237" spans="1:75" x14ac:dyDescent="0.5">
      <c r="A237" s="445" t="s">
        <v>2319</v>
      </c>
      <c r="B237" s="677"/>
      <c r="C237" s="406"/>
      <c r="D237" s="406"/>
      <c r="E237" s="406">
        <f t="shared" ref="E237:BI237" si="203">E182+E181</f>
        <v>0</v>
      </c>
      <c r="F237" s="406">
        <f t="shared" si="203"/>
        <v>0</v>
      </c>
      <c r="G237" s="723">
        <f t="shared" si="203"/>
        <v>0</v>
      </c>
      <c r="H237" s="723">
        <f t="shared" si="203"/>
        <v>0</v>
      </c>
      <c r="I237" s="723">
        <f t="shared" si="203"/>
        <v>0</v>
      </c>
      <c r="J237" s="723">
        <f t="shared" si="203"/>
        <v>0</v>
      </c>
      <c r="K237" s="406">
        <f t="shared" si="203"/>
        <v>0</v>
      </c>
      <c r="L237" s="723">
        <f t="shared" si="203"/>
        <v>0</v>
      </c>
      <c r="M237" s="723">
        <f t="shared" si="203"/>
        <v>0</v>
      </c>
      <c r="N237" s="723">
        <f t="shared" si="203"/>
        <v>0</v>
      </c>
      <c r="O237" s="723">
        <f t="shared" si="203"/>
        <v>0</v>
      </c>
      <c r="P237" s="406">
        <f t="shared" si="203"/>
        <v>0</v>
      </c>
      <c r="Q237" s="723">
        <f t="shared" si="203"/>
        <v>0</v>
      </c>
      <c r="R237" s="723">
        <f t="shared" si="203"/>
        <v>0</v>
      </c>
      <c r="S237" s="723">
        <f t="shared" si="203"/>
        <v>0</v>
      </c>
      <c r="T237" s="723">
        <f t="shared" si="203"/>
        <v>0</v>
      </c>
      <c r="U237" s="406">
        <f t="shared" si="203"/>
        <v>0</v>
      </c>
      <c r="V237" s="723">
        <f t="shared" si="203"/>
        <v>0</v>
      </c>
      <c r="W237" s="723">
        <f t="shared" si="203"/>
        <v>0</v>
      </c>
      <c r="X237" s="723">
        <f t="shared" si="203"/>
        <v>0</v>
      </c>
      <c r="Y237" s="723">
        <f t="shared" si="203"/>
        <v>0</v>
      </c>
      <c r="Z237" s="406">
        <f t="shared" si="203"/>
        <v>0</v>
      </c>
      <c r="AA237" s="723">
        <f t="shared" si="203"/>
        <v>0</v>
      </c>
      <c r="AB237" s="723">
        <f t="shared" si="203"/>
        <v>0</v>
      </c>
      <c r="AC237" s="723">
        <f t="shared" si="203"/>
        <v>0</v>
      </c>
      <c r="AD237" s="723">
        <f t="shared" si="203"/>
        <v>0</v>
      </c>
      <c r="AE237" s="406">
        <f t="shared" si="203"/>
        <v>0</v>
      </c>
      <c r="AF237" s="723">
        <f t="shared" si="203"/>
        <v>0</v>
      </c>
      <c r="AG237" s="723">
        <f t="shared" si="203"/>
        <v>0</v>
      </c>
      <c r="AH237" s="723">
        <f t="shared" si="203"/>
        <v>0</v>
      </c>
      <c r="AI237" s="723">
        <f t="shared" si="203"/>
        <v>0</v>
      </c>
      <c r="AJ237" s="406">
        <f t="shared" si="203"/>
        <v>0</v>
      </c>
      <c r="AK237" s="723">
        <f t="shared" si="203"/>
        <v>0</v>
      </c>
      <c r="AL237" s="723">
        <f t="shared" si="203"/>
        <v>0</v>
      </c>
      <c r="AM237" s="723">
        <f t="shared" si="203"/>
        <v>0</v>
      </c>
      <c r="AN237" s="723">
        <f t="shared" si="203"/>
        <v>0</v>
      </c>
      <c r="AO237" s="406">
        <f t="shared" si="203"/>
        <v>0</v>
      </c>
      <c r="AP237" s="723">
        <f t="shared" si="203"/>
        <v>0</v>
      </c>
      <c r="AQ237" s="723">
        <f t="shared" si="203"/>
        <v>0</v>
      </c>
      <c r="AR237" s="723">
        <f t="shared" si="203"/>
        <v>0</v>
      </c>
      <c r="AS237" s="723">
        <f t="shared" si="203"/>
        <v>0</v>
      </c>
      <c r="AT237" s="406">
        <f t="shared" si="203"/>
        <v>0</v>
      </c>
      <c r="AU237" s="723">
        <f t="shared" si="203"/>
        <v>12.212</v>
      </c>
      <c r="AV237" s="723">
        <f t="shared" si="203"/>
        <v>0</v>
      </c>
      <c r="AW237" s="723">
        <f t="shared" si="203"/>
        <v>0</v>
      </c>
      <c r="AX237" s="723">
        <f t="shared" si="203"/>
        <v>0</v>
      </c>
      <c r="AY237" s="406">
        <f t="shared" si="203"/>
        <v>12</v>
      </c>
      <c r="AZ237" s="723">
        <f t="shared" si="203"/>
        <v>0</v>
      </c>
      <c r="BA237" s="723">
        <f t="shared" si="203"/>
        <v>40</v>
      </c>
      <c r="BB237" s="723">
        <f t="shared" si="203"/>
        <v>31</v>
      </c>
      <c r="BC237" s="723">
        <f t="shared" si="203"/>
        <v>-1</v>
      </c>
      <c r="BD237" s="406">
        <f t="shared" si="203"/>
        <v>70</v>
      </c>
      <c r="BE237" s="723">
        <f t="shared" si="203"/>
        <v>78</v>
      </c>
      <c r="BF237" s="723">
        <f t="shared" si="203"/>
        <v>1</v>
      </c>
      <c r="BG237" s="723">
        <f t="shared" si="203"/>
        <v>0</v>
      </c>
      <c r="BH237" s="723">
        <f t="shared" si="203"/>
        <v>0</v>
      </c>
      <c r="BI237" s="406">
        <f t="shared" si="203"/>
        <v>79</v>
      </c>
      <c r="BJ237" s="1049">
        <f>BJ182+BJ181</f>
        <v>79</v>
      </c>
      <c r="BK237" s="723">
        <f t="shared" si="200"/>
        <v>0</v>
      </c>
      <c r="BL237" s="723">
        <f t="shared" si="200"/>
        <v>0</v>
      </c>
      <c r="BM237" s="723">
        <f t="shared" si="200"/>
        <v>0</v>
      </c>
      <c r="BN237" s="406">
        <f>SUM(BJ237,BK237,BL237,BM237)</f>
        <v>79</v>
      </c>
      <c r="BO237" s="723">
        <f t="shared" si="201"/>
        <v>0</v>
      </c>
      <c r="BP237" s="723">
        <f t="shared" si="201"/>
        <v>0</v>
      </c>
      <c r="BQ237" s="723">
        <f t="shared" si="201"/>
        <v>0</v>
      </c>
      <c r="BR237" s="723">
        <f t="shared" si="201"/>
        <v>0</v>
      </c>
      <c r="BS237" s="406">
        <f>SUM(BO237,BP237,BQ237,BR237)</f>
        <v>0</v>
      </c>
      <c r="BT237" s="406">
        <f t="shared" si="202"/>
        <v>0</v>
      </c>
      <c r="BU237" s="406">
        <f t="shared" si="202"/>
        <v>0</v>
      </c>
      <c r="BV237" s="406">
        <f t="shared" si="202"/>
        <v>0</v>
      </c>
      <c r="BW237" s="122"/>
    </row>
    <row r="238" spans="1:75" x14ac:dyDescent="0.5">
      <c r="A238" s="192" t="s">
        <v>1156</v>
      </c>
      <c r="B238" s="517"/>
      <c r="C238" s="518"/>
      <c r="D238" s="518"/>
      <c r="E238" s="518">
        <f t="shared" ref="E238:AV238" si="204">E232-SUM(E235:E237)</f>
        <v>-12.054000000000002</v>
      </c>
      <c r="F238" s="518">
        <f t="shared" si="204"/>
        <v>-21.394000000000005</v>
      </c>
      <c r="G238" s="327">
        <f t="shared" si="204"/>
        <v>-5.426000000000009</v>
      </c>
      <c r="H238" s="327">
        <f t="shared" si="204"/>
        <v>-2.5369999999999777</v>
      </c>
      <c r="I238" s="327">
        <f t="shared" si="204"/>
        <v>-3.6700000000000159</v>
      </c>
      <c r="J238" s="327">
        <f t="shared" si="204"/>
        <v>-4.3859999999999957</v>
      </c>
      <c r="K238" s="518">
        <f t="shared" si="204"/>
        <v>-16.019000000000005</v>
      </c>
      <c r="L238" s="327">
        <f t="shared" si="204"/>
        <v>-28.155000000000001</v>
      </c>
      <c r="M238" s="327">
        <f t="shared" si="204"/>
        <v>-23.265999999999991</v>
      </c>
      <c r="N238" s="327">
        <f t="shared" si="204"/>
        <v>-23.864000000000004</v>
      </c>
      <c r="O238" s="327">
        <f t="shared" si="204"/>
        <v>-72.498999999999967</v>
      </c>
      <c r="P238" s="518">
        <f t="shared" si="204"/>
        <v>-147.78399999999999</v>
      </c>
      <c r="Q238" s="327">
        <f t="shared" si="204"/>
        <v>-27.246000000000038</v>
      </c>
      <c r="R238" s="327">
        <f t="shared" si="204"/>
        <v>-19.472999999999985</v>
      </c>
      <c r="S238" s="327">
        <f t="shared" si="204"/>
        <v>-18.637000000000029</v>
      </c>
      <c r="T238" s="327">
        <f t="shared" si="204"/>
        <v>-15.993999999999971</v>
      </c>
      <c r="U238" s="518">
        <f t="shared" si="204"/>
        <v>-81.349999999999795</v>
      </c>
      <c r="V238" s="327">
        <f t="shared" si="204"/>
        <v>-42.109000000000094</v>
      </c>
      <c r="W238" s="327">
        <f t="shared" si="204"/>
        <v>-48.72999999999999</v>
      </c>
      <c r="X238" s="327">
        <f t="shared" si="204"/>
        <v>-61.620000000000061</v>
      </c>
      <c r="Y238" s="327">
        <f t="shared" si="204"/>
        <v>-43.758000000000038</v>
      </c>
      <c r="Z238" s="518">
        <f t="shared" si="204"/>
        <v>-196.21699999999987</v>
      </c>
      <c r="AA238" s="327">
        <f t="shared" si="204"/>
        <v>-56.20599999999996</v>
      </c>
      <c r="AB238" s="327">
        <f t="shared" si="204"/>
        <v>-37.551999999999964</v>
      </c>
      <c r="AC238" s="327">
        <f t="shared" si="204"/>
        <v>-73.956999999999937</v>
      </c>
      <c r="AD238" s="327">
        <f t="shared" si="204"/>
        <v>-67.737999999999545</v>
      </c>
      <c r="AE238" s="518">
        <f t="shared" si="204"/>
        <v>-235.45299999999952</v>
      </c>
      <c r="AF238" s="327">
        <f t="shared" si="204"/>
        <v>-103.0689999999999</v>
      </c>
      <c r="AG238" s="327">
        <f t="shared" si="204"/>
        <v>-95.338999999999942</v>
      </c>
      <c r="AH238" s="327">
        <f t="shared" si="204"/>
        <v>-145.26600000000008</v>
      </c>
      <c r="AI238" s="327">
        <f t="shared" si="204"/>
        <v>-129.60500000000013</v>
      </c>
      <c r="AJ238" s="518">
        <f t="shared" si="204"/>
        <v>-473.279</v>
      </c>
      <c r="AK238" s="327">
        <f t="shared" si="204"/>
        <v>-193.63400000000013</v>
      </c>
      <c r="AL238" s="327">
        <f t="shared" si="204"/>
        <v>-171.17699999999991</v>
      </c>
      <c r="AM238" s="327">
        <f t="shared" si="204"/>
        <v>-259.70899999999995</v>
      </c>
      <c r="AN238" s="327">
        <f t="shared" si="204"/>
        <v>-305.42099999999925</v>
      </c>
      <c r="AO238" s="518">
        <f t="shared" si="204"/>
        <v>-929.9409999999998</v>
      </c>
      <c r="AP238" s="327">
        <f t="shared" si="204"/>
        <v>-262.06799999999998</v>
      </c>
      <c r="AQ238" s="327">
        <f t="shared" si="204"/>
        <v>299.99799999999982</v>
      </c>
      <c r="AR238" s="327">
        <f t="shared" si="204"/>
        <v>221.85400000000038</v>
      </c>
      <c r="AS238" s="327">
        <f t="shared" si="204"/>
        <v>100.56500000000017</v>
      </c>
      <c r="AT238" s="518">
        <f t="shared" si="204"/>
        <v>360.34900000000016</v>
      </c>
      <c r="AU238" s="327">
        <f t="shared" si="204"/>
        <v>26.341999999999985</v>
      </c>
      <c r="AV238" s="327">
        <f t="shared" si="204"/>
        <v>145.20700000000045</v>
      </c>
      <c r="AW238" s="327">
        <f t="shared" ref="AW238:BA238" si="205">AW232-SUM(AW235:AW237)</f>
        <v>-69.798000000000002</v>
      </c>
      <c r="AX238" s="327">
        <f t="shared" si="205"/>
        <v>-195.96300000000065</v>
      </c>
      <c r="AY238" s="518">
        <f t="shared" si="205"/>
        <v>-94</v>
      </c>
      <c r="AZ238" s="327">
        <f t="shared" si="205"/>
        <v>-310</v>
      </c>
      <c r="BA238" s="327">
        <f t="shared" si="205"/>
        <v>-372</v>
      </c>
      <c r="BB238" s="327">
        <f t="shared" ref="BB238:BV238" si="206">BB232-SUM(BB235:BB237)</f>
        <v>-372</v>
      </c>
      <c r="BC238" s="327">
        <f t="shared" si="206"/>
        <v>-330</v>
      </c>
      <c r="BD238" s="518">
        <f t="shared" si="206"/>
        <v>-1384</v>
      </c>
      <c r="BE238" s="327">
        <f t="shared" si="206"/>
        <v>-347</v>
      </c>
      <c r="BF238" s="327">
        <f t="shared" si="206"/>
        <v>-142</v>
      </c>
      <c r="BG238" s="327">
        <f t="shared" si="206"/>
        <v>-152</v>
      </c>
      <c r="BH238" s="327">
        <f t="shared" si="206"/>
        <v>-172</v>
      </c>
      <c r="BI238" s="518">
        <f t="shared" si="206"/>
        <v>-813</v>
      </c>
      <c r="BJ238" s="1026">
        <f>BJ232-SUM(BJ235:BJ237)</f>
        <v>-235</v>
      </c>
      <c r="BK238" s="327">
        <f t="shared" si="206"/>
        <v>-197.78129352899998</v>
      </c>
      <c r="BL238" s="327">
        <f t="shared" si="206"/>
        <v>-148.26671366399989</v>
      </c>
      <c r="BM238" s="327">
        <f t="shared" si="206"/>
        <v>-168.21663968400003</v>
      </c>
      <c r="BN238" s="518">
        <f t="shared" si="206"/>
        <v>-749.26464687700081</v>
      </c>
      <c r="BO238" s="327">
        <f t="shared" si="206"/>
        <v>-101.82585397200012</v>
      </c>
      <c r="BP238" s="327">
        <f t="shared" si="206"/>
        <v>-203.03814255776888</v>
      </c>
      <c r="BQ238" s="327">
        <f t="shared" si="206"/>
        <v>-150.98677115064083</v>
      </c>
      <c r="BR238" s="327">
        <f t="shared" si="206"/>
        <v>-171.78966094575685</v>
      </c>
      <c r="BS238" s="518">
        <f t="shared" si="206"/>
        <v>-627.64042862616679</v>
      </c>
      <c r="BT238" s="518">
        <f t="shared" si="206"/>
        <v>-438.7586682015326</v>
      </c>
      <c r="BU238" s="518">
        <f t="shared" si="206"/>
        <v>-219.65395355917008</v>
      </c>
      <c r="BV238" s="518">
        <f t="shared" si="206"/>
        <v>33.030287881370896</v>
      </c>
      <c r="BW238" s="197"/>
    </row>
    <row r="239" spans="1:75" x14ac:dyDescent="0.5">
      <c r="A239" s="463" t="str">
        <f>CONCATENATE("Adjusted ",A238,IF(AND(ROUND(SUM(C238:BW238)-SUM(C239:BW239),6)=0)," (No Adjustments)",""))</f>
        <v>Adjusted EBIT (No Adjustments)</v>
      </c>
      <c r="B239" s="522"/>
      <c r="C239" s="397"/>
      <c r="D239" s="397"/>
      <c r="E239" s="672">
        <f t="shared" ref="E239:BM239" si="207">E238</f>
        <v>-12.054000000000002</v>
      </c>
      <c r="F239" s="672">
        <f t="shared" si="207"/>
        <v>-21.394000000000005</v>
      </c>
      <c r="G239" s="197">
        <f t="shared" si="207"/>
        <v>-5.426000000000009</v>
      </c>
      <c r="H239" s="197">
        <f t="shared" si="207"/>
        <v>-2.5369999999999777</v>
      </c>
      <c r="I239" s="197">
        <f t="shared" si="207"/>
        <v>-3.6700000000000159</v>
      </c>
      <c r="J239" s="197">
        <f t="shared" si="207"/>
        <v>-4.3859999999999957</v>
      </c>
      <c r="K239" s="672">
        <f t="shared" si="207"/>
        <v>-16.019000000000005</v>
      </c>
      <c r="L239" s="197">
        <f t="shared" si="207"/>
        <v>-28.155000000000001</v>
      </c>
      <c r="M239" s="197">
        <f t="shared" si="207"/>
        <v>-23.265999999999991</v>
      </c>
      <c r="N239" s="197">
        <f t="shared" si="207"/>
        <v>-23.864000000000004</v>
      </c>
      <c r="O239" s="197">
        <f t="shared" si="207"/>
        <v>-72.498999999999967</v>
      </c>
      <c r="P239" s="672">
        <f t="shared" si="207"/>
        <v>-147.78399999999999</v>
      </c>
      <c r="Q239" s="197">
        <f t="shared" si="207"/>
        <v>-27.246000000000038</v>
      </c>
      <c r="R239" s="197">
        <f t="shared" si="207"/>
        <v>-19.472999999999985</v>
      </c>
      <c r="S239" s="197">
        <f t="shared" si="207"/>
        <v>-18.637000000000029</v>
      </c>
      <c r="T239" s="197">
        <f t="shared" si="207"/>
        <v>-15.993999999999971</v>
      </c>
      <c r="U239" s="672">
        <f t="shared" si="207"/>
        <v>-81.349999999999795</v>
      </c>
      <c r="V239" s="197">
        <f t="shared" si="207"/>
        <v>-42.109000000000094</v>
      </c>
      <c r="W239" s="197">
        <f t="shared" si="207"/>
        <v>-48.72999999999999</v>
      </c>
      <c r="X239" s="197">
        <f t="shared" si="207"/>
        <v>-61.620000000000061</v>
      </c>
      <c r="Y239" s="197">
        <f t="shared" si="207"/>
        <v>-43.758000000000038</v>
      </c>
      <c r="Z239" s="672">
        <f t="shared" si="207"/>
        <v>-196.21699999999987</v>
      </c>
      <c r="AA239" s="197">
        <f t="shared" si="207"/>
        <v>-56.20599999999996</v>
      </c>
      <c r="AB239" s="197">
        <f t="shared" si="207"/>
        <v>-37.551999999999964</v>
      </c>
      <c r="AC239" s="197">
        <f t="shared" si="207"/>
        <v>-73.956999999999937</v>
      </c>
      <c r="AD239" s="197">
        <f t="shared" si="207"/>
        <v>-67.737999999999545</v>
      </c>
      <c r="AE239" s="672">
        <f t="shared" si="207"/>
        <v>-235.45299999999952</v>
      </c>
      <c r="AF239" s="197">
        <f t="shared" si="207"/>
        <v>-103.0689999999999</v>
      </c>
      <c r="AG239" s="197">
        <f t="shared" si="207"/>
        <v>-95.338999999999942</v>
      </c>
      <c r="AH239" s="197">
        <f t="shared" si="207"/>
        <v>-145.26600000000008</v>
      </c>
      <c r="AI239" s="197">
        <f t="shared" si="207"/>
        <v>-129.60500000000013</v>
      </c>
      <c r="AJ239" s="672">
        <f t="shared" si="207"/>
        <v>-473.279</v>
      </c>
      <c r="AK239" s="197">
        <f t="shared" si="207"/>
        <v>-193.63400000000013</v>
      </c>
      <c r="AL239" s="197">
        <f t="shared" si="207"/>
        <v>-171.17699999999991</v>
      </c>
      <c r="AM239" s="197">
        <f t="shared" si="207"/>
        <v>-259.70899999999995</v>
      </c>
      <c r="AN239" s="197">
        <f t="shared" si="207"/>
        <v>-305.42099999999925</v>
      </c>
      <c r="AO239" s="672">
        <f t="shared" si="207"/>
        <v>-929.9409999999998</v>
      </c>
      <c r="AP239" s="197">
        <f t="shared" si="207"/>
        <v>-262.06799999999998</v>
      </c>
      <c r="AQ239" s="197">
        <f t="shared" si="207"/>
        <v>299.99799999999982</v>
      </c>
      <c r="AR239" s="197">
        <f t="shared" si="207"/>
        <v>221.85400000000038</v>
      </c>
      <c r="AS239" s="197">
        <f t="shared" si="207"/>
        <v>100.56500000000017</v>
      </c>
      <c r="AT239" s="672">
        <f t="shared" si="207"/>
        <v>360.34900000000016</v>
      </c>
      <c r="AU239" s="197">
        <f t="shared" si="207"/>
        <v>26.341999999999985</v>
      </c>
      <c r="AV239" s="197">
        <f t="shared" si="207"/>
        <v>145.20700000000045</v>
      </c>
      <c r="AW239" s="197">
        <f t="shared" si="207"/>
        <v>-69.798000000000002</v>
      </c>
      <c r="AX239" s="197">
        <f t="shared" si="207"/>
        <v>-195.96300000000065</v>
      </c>
      <c r="AY239" s="672">
        <f t="shared" si="207"/>
        <v>-94</v>
      </c>
      <c r="AZ239" s="197">
        <f t="shared" si="207"/>
        <v>-310</v>
      </c>
      <c r="BA239" s="197">
        <f t="shared" si="207"/>
        <v>-372</v>
      </c>
      <c r="BB239" s="197">
        <f t="shared" si="207"/>
        <v>-372</v>
      </c>
      <c r="BC239" s="197">
        <f t="shared" si="207"/>
        <v>-330</v>
      </c>
      <c r="BD239" s="672">
        <f t="shared" si="207"/>
        <v>-1384</v>
      </c>
      <c r="BE239" s="197">
        <f t="shared" si="207"/>
        <v>-347</v>
      </c>
      <c r="BF239" s="197">
        <f t="shared" si="207"/>
        <v>-142</v>
      </c>
      <c r="BG239" s="197">
        <f t="shared" si="207"/>
        <v>-152</v>
      </c>
      <c r="BH239" s="197">
        <f t="shared" si="207"/>
        <v>-172</v>
      </c>
      <c r="BI239" s="672">
        <f t="shared" si="207"/>
        <v>-813</v>
      </c>
      <c r="BJ239" s="1273">
        <f>BJ238</f>
        <v>-235</v>
      </c>
      <c r="BK239" s="295">
        <f t="shared" si="207"/>
        <v>-197.78129352899998</v>
      </c>
      <c r="BL239" s="295">
        <f t="shared" si="207"/>
        <v>-148.26671366399989</v>
      </c>
      <c r="BM239" s="295">
        <f t="shared" si="207"/>
        <v>-168.21663968400003</v>
      </c>
      <c r="BN239" s="397">
        <f>SUM(BJ239,BK239,BL239,BM239)</f>
        <v>-749.2646468769999</v>
      </c>
      <c r="BO239" s="295">
        <f>BO238</f>
        <v>-101.82585397200012</v>
      </c>
      <c r="BP239" s="295">
        <f>BP238</f>
        <v>-203.03814255776888</v>
      </c>
      <c r="BQ239" s="295">
        <f>BQ238</f>
        <v>-150.98677115064083</v>
      </c>
      <c r="BR239" s="295">
        <f>BR238</f>
        <v>-171.78966094575685</v>
      </c>
      <c r="BS239" s="397">
        <f>SUM(BO239,BP239,BQ239,BR239)</f>
        <v>-627.64042862616668</v>
      </c>
      <c r="BT239" s="397">
        <f>BT238</f>
        <v>-438.7586682015326</v>
      </c>
      <c r="BU239" s="397">
        <f>BU238</f>
        <v>-219.65395355917008</v>
      </c>
      <c r="BV239" s="397">
        <f>BV238</f>
        <v>33.030287881370896</v>
      </c>
      <c r="BW239" s="197"/>
    </row>
    <row r="240" spans="1:75" x14ac:dyDescent="0.5">
      <c r="A240" s="1295" t="s">
        <v>198</v>
      </c>
      <c r="B240" s="720"/>
      <c r="C240" s="414"/>
      <c r="D240" s="414"/>
      <c r="E240" s="414"/>
      <c r="F240" s="414"/>
      <c r="G240" s="413"/>
      <c r="H240" s="413"/>
      <c r="I240" s="413"/>
      <c r="J240" s="413"/>
      <c r="K240" s="414"/>
      <c r="L240" s="413"/>
      <c r="M240" s="413"/>
      <c r="N240" s="413"/>
      <c r="O240" s="413"/>
      <c r="P240" s="414"/>
      <c r="Q240" s="413"/>
      <c r="R240" s="413"/>
      <c r="S240" s="413"/>
      <c r="T240" s="413"/>
      <c r="U240" s="414"/>
      <c r="V240" s="413"/>
      <c r="W240" s="413"/>
      <c r="X240" s="413"/>
      <c r="Y240" s="413"/>
      <c r="Z240" s="414"/>
      <c r="AA240" s="413"/>
      <c r="AB240" s="413"/>
      <c r="AC240" s="413"/>
      <c r="AD240" s="413"/>
      <c r="AE240" s="414"/>
      <c r="AF240" s="413"/>
      <c r="AG240" s="413"/>
      <c r="AH240" s="413"/>
      <c r="AI240" s="413"/>
      <c r="AJ240" s="414"/>
      <c r="AK240" s="413"/>
      <c r="AL240" s="413"/>
      <c r="AM240" s="413"/>
      <c r="AN240" s="413"/>
      <c r="AO240" s="414"/>
      <c r="AP240" s="413"/>
      <c r="AQ240" s="413"/>
      <c r="AR240" s="413"/>
      <c r="AS240" s="413"/>
      <c r="AT240" s="414"/>
      <c r="AU240" s="413"/>
      <c r="AV240" s="413"/>
      <c r="AW240" s="413"/>
      <c r="AX240" s="413"/>
      <c r="AY240" s="414"/>
      <c r="AZ240" s="413"/>
      <c r="BA240" s="413"/>
      <c r="BB240" s="413"/>
      <c r="BC240" s="413"/>
      <c r="BD240" s="414"/>
      <c r="BE240" s="413"/>
      <c r="BF240" s="413"/>
      <c r="BG240" s="413"/>
      <c r="BH240" s="413"/>
      <c r="BI240" s="414"/>
      <c r="BJ240" s="1216"/>
      <c r="BK240" s="413" t="str">
        <f ca="1">IFERROR(VLOOKUP($A240,tb_ConsensusEstimate,MATCH(BK$5,OFFSET(tb_ConsensusEstimate,0,0,1,COLUMNS(tb_ConsensusEstimate)),0),FALSE),"-")</f>
        <v>N/A</v>
      </c>
      <c r="BL240" s="413" t="str">
        <f ca="1">IFERROR(VLOOKUP($A240,tb_ConsensusEstimate,MATCH(BL$5,OFFSET(tb_ConsensusEstimate,0,0,1,COLUMNS(tb_ConsensusEstimate)),0),FALSE),"-")</f>
        <v>N/A</v>
      </c>
      <c r="BM240" s="413" t="str">
        <f ca="1">IFERROR(VLOOKUP($A240,tb_ConsensusEstimate,MATCH(BM$5,OFFSET(tb_ConsensusEstimate,0,0,1,COLUMNS(tb_ConsensusEstimate)),0),FALSE),"-")</f>
        <v>N/A</v>
      </c>
      <c r="BN240" s="414" t="str">
        <f t="shared" ref="BN240" ca="1" si="208">IFERROR(VLOOKUP($A240,tb_ConsensusEstimate,MATCH(BN$5,OFFSET(tb_ConsensusEstimate,0,0,1,COLUMNS(tb_ConsensusEstimate)),0),FALSE),"-")</f>
        <v>N/A</v>
      </c>
      <c r="BO240" s="413" t="str">
        <f t="shared" ref="BO240:BV240" ca="1" si="209">IFERROR(VLOOKUP($A240,tb_ConsensusEstimate,MATCH(BO$5,OFFSET(tb_ConsensusEstimate,0,0,1,COLUMNS(tb_ConsensusEstimate)),0),FALSE),"-")</f>
        <v>N/A</v>
      </c>
      <c r="BP240" s="413" t="str">
        <f t="shared" ca="1" si="209"/>
        <v>N/A</v>
      </c>
      <c r="BQ240" s="413" t="str">
        <f t="shared" ca="1" si="209"/>
        <v>N/A</v>
      </c>
      <c r="BR240" s="413" t="str">
        <f t="shared" ca="1" si="209"/>
        <v>N/A</v>
      </c>
      <c r="BS240" s="414" t="str">
        <f t="shared" ca="1" si="209"/>
        <v>N/A</v>
      </c>
      <c r="BT240" s="414" t="str">
        <f t="shared" ca="1" si="209"/>
        <v>N/A</v>
      </c>
      <c r="BU240" s="414" t="str">
        <f t="shared" ca="1" si="209"/>
        <v>N/A</v>
      </c>
      <c r="BV240" s="414" t="str">
        <f t="shared" ca="1" si="209"/>
        <v>N/A</v>
      </c>
      <c r="BW240" s="197"/>
    </row>
    <row r="241" spans="1:75" x14ac:dyDescent="0.5">
      <c r="A241" s="184"/>
      <c r="B241" s="513"/>
      <c r="C241" s="401"/>
      <c r="D241" s="401"/>
      <c r="E241" s="401"/>
      <c r="F241" s="401"/>
      <c r="G241" s="118"/>
      <c r="H241" s="118"/>
      <c r="I241" s="118"/>
      <c r="J241" s="118"/>
      <c r="K241" s="401"/>
      <c r="L241" s="118"/>
      <c r="M241" s="118"/>
      <c r="N241" s="118"/>
      <c r="O241" s="118"/>
      <c r="P241" s="401"/>
      <c r="Q241" s="118"/>
      <c r="R241" s="118"/>
      <c r="S241" s="118"/>
      <c r="T241" s="118"/>
      <c r="U241" s="401"/>
      <c r="V241" s="118"/>
      <c r="W241" s="118"/>
      <c r="X241" s="118"/>
      <c r="Y241" s="118"/>
      <c r="Z241" s="401"/>
      <c r="AA241" s="118"/>
      <c r="AB241" s="118"/>
      <c r="AC241" s="118"/>
      <c r="AD241" s="118"/>
      <c r="AE241" s="401"/>
      <c r="AF241" s="118"/>
      <c r="AG241" s="118"/>
      <c r="AH241" s="118"/>
      <c r="AI241" s="118"/>
      <c r="AJ241" s="401"/>
      <c r="AK241" s="118"/>
      <c r="AL241" s="118"/>
      <c r="AM241" s="118"/>
      <c r="AN241" s="118"/>
      <c r="AO241" s="401"/>
      <c r="AP241" s="118"/>
      <c r="AQ241" s="118"/>
      <c r="AR241" s="118"/>
      <c r="AS241" s="118"/>
      <c r="AT241" s="401"/>
      <c r="AU241" s="118"/>
      <c r="AV241" s="118"/>
      <c r="AW241" s="118"/>
      <c r="AX241" s="118"/>
      <c r="AY241" s="401"/>
      <c r="AZ241" s="118"/>
      <c r="BA241" s="118"/>
      <c r="BB241" s="118"/>
      <c r="BC241" s="118"/>
      <c r="BD241" s="401"/>
      <c r="BE241" s="118"/>
      <c r="BF241" s="118"/>
      <c r="BG241" s="118"/>
      <c r="BH241" s="118"/>
      <c r="BI241" s="401"/>
      <c r="BJ241" s="971"/>
      <c r="BK241" s="118"/>
      <c r="BL241" s="118"/>
      <c r="BM241" s="118"/>
      <c r="BN241" s="401"/>
      <c r="BO241" s="118"/>
      <c r="BP241" s="118"/>
      <c r="BQ241" s="118"/>
      <c r="BR241" s="118"/>
      <c r="BS241" s="401"/>
      <c r="BT241" s="401"/>
      <c r="BU241" s="401"/>
      <c r="BV241" s="401"/>
      <c r="BW241" s="122"/>
    </row>
    <row r="242" spans="1:75" x14ac:dyDescent="0.5">
      <c r="A242" s="184" t="s">
        <v>1158</v>
      </c>
      <c r="B242" s="513"/>
      <c r="C242" s="401"/>
      <c r="D242" s="401"/>
      <c r="E242" s="401"/>
      <c r="F242" s="401">
        <f t="shared" ref="F242:BI243" si="210">F837</f>
        <v>9.3350000000000009</v>
      </c>
      <c r="G242" s="118">
        <f t="shared" si="210"/>
        <v>2.8839999999999999</v>
      </c>
      <c r="H242" s="118">
        <f t="shared" si="210"/>
        <v>2.9790000000000005</v>
      </c>
      <c r="I242" s="118">
        <f t="shared" si="210"/>
        <v>3.4889999999999999</v>
      </c>
      <c r="J242" s="118">
        <f t="shared" si="210"/>
        <v>3.738999999999999</v>
      </c>
      <c r="K242" s="401">
        <f t="shared" si="210"/>
        <v>13.090999999999999</v>
      </c>
      <c r="L242" s="118">
        <f t="shared" si="210"/>
        <v>4.1980000000000004</v>
      </c>
      <c r="M242" s="118">
        <f t="shared" si="210"/>
        <v>4.6929999999999996</v>
      </c>
      <c r="N242" s="118">
        <f t="shared" si="210"/>
        <v>5.5470000000000006</v>
      </c>
      <c r="O242" s="118">
        <f t="shared" si="210"/>
        <v>7.5649999999999995</v>
      </c>
      <c r="P242" s="401">
        <f t="shared" si="210"/>
        <v>22.003</v>
      </c>
      <c r="Q242" s="118">
        <f t="shared" si="210"/>
        <v>6.7439999999999998</v>
      </c>
      <c r="R242" s="118">
        <f t="shared" si="210"/>
        <v>7.4</v>
      </c>
      <c r="S242" s="118">
        <f t="shared" si="210"/>
        <v>9.206999999999999</v>
      </c>
      <c r="T242" s="118">
        <f t="shared" si="210"/>
        <v>9.0949999999999989</v>
      </c>
      <c r="U242" s="401">
        <f t="shared" si="210"/>
        <v>32.445999999999998</v>
      </c>
      <c r="V242" s="118">
        <f t="shared" si="210"/>
        <v>10.487</v>
      </c>
      <c r="W242" s="118">
        <f t="shared" si="210"/>
        <v>12.578000000000001</v>
      </c>
      <c r="X242" s="118">
        <f t="shared" si="210"/>
        <v>15.462999999999997</v>
      </c>
      <c r="Y242" s="118">
        <f t="shared" si="210"/>
        <v>17.044000000000004</v>
      </c>
      <c r="Z242" s="401">
        <f t="shared" si="210"/>
        <v>55.572000000000003</v>
      </c>
      <c r="AA242" s="118">
        <f t="shared" si="210"/>
        <v>20.352</v>
      </c>
      <c r="AB242" s="118">
        <f t="shared" si="210"/>
        <v>19.322999999999997</v>
      </c>
      <c r="AC242" s="118">
        <f t="shared" si="210"/>
        <v>22.913000000000004</v>
      </c>
      <c r="AD242" s="118">
        <f t="shared" si="210"/>
        <v>24.431999999999995</v>
      </c>
      <c r="AE242" s="401">
        <f t="shared" si="210"/>
        <v>87.02</v>
      </c>
      <c r="AF242" s="118">
        <f t="shared" si="210"/>
        <v>25.962</v>
      </c>
      <c r="AG242" s="118">
        <f t="shared" si="210"/>
        <v>28.919999999999998</v>
      </c>
      <c r="AH242" s="118">
        <f t="shared" si="210"/>
        <v>32.544000000000004</v>
      </c>
      <c r="AI242" s="118">
        <f t="shared" si="210"/>
        <v>36.116</v>
      </c>
      <c r="AJ242" s="401">
        <f t="shared" si="210"/>
        <v>123.542</v>
      </c>
      <c r="AK242" s="118">
        <f t="shared" si="210"/>
        <v>39.582999999999998</v>
      </c>
      <c r="AL242" s="118">
        <f t="shared" si="210"/>
        <v>44.338999999999999</v>
      </c>
      <c r="AM242" s="118">
        <f t="shared" si="210"/>
        <v>50.25</v>
      </c>
      <c r="AN242" s="118">
        <f t="shared" si="210"/>
        <v>58.247000000000014</v>
      </c>
      <c r="AO242" s="401">
        <f t="shared" si="210"/>
        <v>192.41900000000001</v>
      </c>
      <c r="AP242" s="118">
        <f t="shared" si="210"/>
        <v>66.843000000000004</v>
      </c>
      <c r="AQ242" s="118">
        <f t="shared" si="210"/>
        <v>69.11399999999999</v>
      </c>
      <c r="AR242" s="118">
        <f t="shared" si="210"/>
        <v>72.575000000000017</v>
      </c>
      <c r="AS242" s="118">
        <f t="shared" si="210"/>
        <v>77.179000000000002</v>
      </c>
      <c r="AT242" s="401">
        <f t="shared" si="210"/>
        <v>285.71100000000001</v>
      </c>
      <c r="AU242" s="118">
        <f t="shared" si="210"/>
        <v>80.311999999999998</v>
      </c>
      <c r="AV242" s="118">
        <f t="shared" si="210"/>
        <v>77.924999999999997</v>
      </c>
      <c r="AW242" s="118">
        <f t="shared" si="210"/>
        <v>81.917000000000002</v>
      </c>
      <c r="AX242" s="118">
        <f t="shared" si="210"/>
        <v>81.846000000000004</v>
      </c>
      <c r="AY242" s="401">
        <f t="shared" si="210"/>
        <v>322</v>
      </c>
      <c r="AZ242" s="118">
        <f t="shared" si="210"/>
        <v>85</v>
      </c>
      <c r="BA242" s="118">
        <f t="shared" si="210"/>
        <v>91</v>
      </c>
      <c r="BB242" s="118">
        <f t="shared" si="210"/>
        <v>94</v>
      </c>
      <c r="BC242" s="118">
        <f t="shared" si="210"/>
        <v>101</v>
      </c>
      <c r="BD242" s="401">
        <f t="shared" si="210"/>
        <v>371</v>
      </c>
      <c r="BE242" s="118">
        <f t="shared" si="210"/>
        <v>104</v>
      </c>
      <c r="BF242" s="118">
        <f t="shared" si="210"/>
        <v>102</v>
      </c>
      <c r="BG242" s="118">
        <f t="shared" si="210"/>
        <v>106</v>
      </c>
      <c r="BH242" s="118">
        <f t="shared" si="210"/>
        <v>105</v>
      </c>
      <c r="BI242" s="401">
        <f t="shared" si="210"/>
        <v>417</v>
      </c>
      <c r="BJ242" s="971">
        <f>BJ837</f>
        <v>104</v>
      </c>
      <c r="BK242" s="118">
        <f>BK930</f>
        <v>105.07857021857923</v>
      </c>
      <c r="BL242" s="118">
        <f>BL930</f>
        <v>97.507028696407787</v>
      </c>
      <c r="BM242" s="118">
        <f>BM930</f>
        <v>97.127508206673753</v>
      </c>
      <c r="BN242" s="401">
        <f>SUM(BJ242,BK242,BL242,BM242)</f>
        <v>403.71310712166076</v>
      </c>
      <c r="BO242" s="118">
        <f>BO930</f>
        <v>94.956027591867411</v>
      </c>
      <c r="BP242" s="118">
        <f>BP930</f>
        <v>95.984947677028302</v>
      </c>
      <c r="BQ242" s="118">
        <f>BQ930</f>
        <v>96.871430783817445</v>
      </c>
      <c r="BR242" s="118">
        <f>BR930</f>
        <v>96.581016926011245</v>
      </c>
      <c r="BS242" s="401">
        <f>SUM(BO242,BP242,BQ242,BR242)</f>
        <v>384.3934229787244</v>
      </c>
      <c r="BT242" s="401">
        <f>BT930</f>
        <v>389.92123207235119</v>
      </c>
      <c r="BU242" s="401">
        <f>BU930</f>
        <v>383.88007251962307</v>
      </c>
      <c r="BV242" s="401">
        <f>BV930</f>
        <v>381.25811070353592</v>
      </c>
      <c r="BW242" s="122"/>
    </row>
    <row r="243" spans="1:75" x14ac:dyDescent="0.5">
      <c r="A243" s="445" t="s">
        <v>1160</v>
      </c>
      <c r="B243" s="677"/>
      <c r="C243" s="406"/>
      <c r="D243" s="406"/>
      <c r="E243" s="406"/>
      <c r="F243" s="406">
        <f t="shared" si="210"/>
        <v>0</v>
      </c>
      <c r="G243" s="723">
        <f t="shared" si="210"/>
        <v>0</v>
      </c>
      <c r="H243" s="723">
        <f t="shared" si="210"/>
        <v>0</v>
      </c>
      <c r="I243" s="723">
        <f t="shared" si="210"/>
        <v>0</v>
      </c>
      <c r="J243" s="723">
        <f t="shared" si="210"/>
        <v>0</v>
      </c>
      <c r="K243" s="406">
        <f t="shared" si="210"/>
        <v>0</v>
      </c>
      <c r="L243" s="723">
        <f t="shared" si="210"/>
        <v>4.5540000000000003</v>
      </c>
      <c r="M243" s="723">
        <f t="shared" si="210"/>
        <v>0.97399999999999931</v>
      </c>
      <c r="N243" s="723">
        <f t="shared" si="210"/>
        <v>0</v>
      </c>
      <c r="O243" s="723">
        <f t="shared" si="210"/>
        <v>55.280999999999999</v>
      </c>
      <c r="P243" s="406">
        <f t="shared" si="210"/>
        <v>60.808999999999997</v>
      </c>
      <c r="Q243" s="723">
        <f t="shared" si="210"/>
        <v>7.6420000000000003</v>
      </c>
      <c r="R243" s="723">
        <f t="shared" si="210"/>
        <v>6.5919999999999996</v>
      </c>
      <c r="S243" s="723">
        <f t="shared" si="210"/>
        <v>7.5069999999999997</v>
      </c>
      <c r="T243" s="723">
        <f t="shared" si="210"/>
        <v>9.2740000000000009</v>
      </c>
      <c r="U243" s="406">
        <f t="shared" si="210"/>
        <v>31.015000000000001</v>
      </c>
      <c r="V243" s="723">
        <f t="shared" si="210"/>
        <v>9.7149999999999999</v>
      </c>
      <c r="W243" s="723">
        <f t="shared" si="210"/>
        <v>10.747</v>
      </c>
      <c r="X243" s="723">
        <f t="shared" si="210"/>
        <v>14.726000000000003</v>
      </c>
      <c r="Y243" s="723">
        <f t="shared" si="210"/>
        <v>14.213999999999999</v>
      </c>
      <c r="Z243" s="406">
        <f t="shared" si="210"/>
        <v>49.402000000000001</v>
      </c>
      <c r="AA243" s="723">
        <f t="shared" si="210"/>
        <v>13.629</v>
      </c>
      <c r="AB243" s="723">
        <f t="shared" si="210"/>
        <v>14.833</v>
      </c>
      <c r="AC243" s="723">
        <f t="shared" si="210"/>
        <v>18.278000000000002</v>
      </c>
      <c r="AD243" s="723">
        <f t="shared" si="210"/>
        <v>21.1</v>
      </c>
      <c r="AE243" s="406">
        <f t="shared" si="210"/>
        <v>67.84</v>
      </c>
      <c r="AF243" s="723">
        <f t="shared" si="210"/>
        <v>24.4</v>
      </c>
      <c r="AG243" s="723">
        <f t="shared" si="210"/>
        <v>29.813000000000002</v>
      </c>
      <c r="AH243" s="723">
        <f t="shared" si="210"/>
        <v>33.934999999999995</v>
      </c>
      <c r="AI243" s="723">
        <f t="shared" si="210"/>
        <v>39.415999999999997</v>
      </c>
      <c r="AJ243" s="406">
        <f t="shared" si="210"/>
        <v>127.56399999999999</v>
      </c>
      <c r="AK243" s="723">
        <f t="shared" si="210"/>
        <v>47.06</v>
      </c>
      <c r="AL243" s="723">
        <f t="shared" si="210"/>
        <v>53.186999999999998</v>
      </c>
      <c r="AM243" s="723">
        <f t="shared" si="210"/>
        <v>61.76700000000001</v>
      </c>
      <c r="AN243" s="723">
        <f t="shared" si="210"/>
        <v>65.436999999999983</v>
      </c>
      <c r="AO243" s="406">
        <f t="shared" si="210"/>
        <v>227.45099999999999</v>
      </c>
      <c r="AP243" s="723">
        <f t="shared" si="210"/>
        <v>59.448999999999998</v>
      </c>
      <c r="AQ243" s="723">
        <f t="shared" si="210"/>
        <v>67.632000000000005</v>
      </c>
      <c r="AR243" s="723">
        <f t="shared" si="210"/>
        <v>70.118000000000009</v>
      </c>
      <c r="AS243" s="723">
        <f t="shared" si="210"/>
        <v>79.009000000000015</v>
      </c>
      <c r="AT243" s="406">
        <f t="shared" si="210"/>
        <v>276.20800000000003</v>
      </c>
      <c r="AU243" s="723">
        <f t="shared" si="210"/>
        <v>74.524000000000001</v>
      </c>
      <c r="AV243" s="723">
        <f t="shared" si="210"/>
        <v>79.359000000000009</v>
      </c>
      <c r="AW243" s="723">
        <f t="shared" si="210"/>
        <v>83.19</v>
      </c>
      <c r="AX243" s="723">
        <f t="shared" si="210"/>
        <v>106.92699999999999</v>
      </c>
      <c r="AY243" s="406">
        <f t="shared" si="210"/>
        <v>344</v>
      </c>
      <c r="AZ243" s="723">
        <f t="shared" si="210"/>
        <v>104</v>
      </c>
      <c r="BA243" s="723">
        <f t="shared" si="210"/>
        <v>129</v>
      </c>
      <c r="BB243" s="723">
        <f t="shared" si="210"/>
        <v>122</v>
      </c>
      <c r="BC243" s="723">
        <f t="shared" si="210"/>
        <v>158</v>
      </c>
      <c r="BD243" s="406">
        <f t="shared" si="210"/>
        <v>513</v>
      </c>
      <c r="BE243" s="723">
        <f t="shared" si="210"/>
        <v>144</v>
      </c>
      <c r="BF243" s="723">
        <f t="shared" si="210"/>
        <v>164</v>
      </c>
      <c r="BG243" s="723">
        <f t="shared" si="210"/>
        <v>139</v>
      </c>
      <c r="BH243" s="723">
        <f t="shared" si="210"/>
        <v>158</v>
      </c>
      <c r="BI243" s="406">
        <f t="shared" si="210"/>
        <v>605</v>
      </c>
      <c r="BJ243" s="1049">
        <f>BJ838</f>
        <v>119</v>
      </c>
      <c r="BK243" s="118">
        <f>BK715</f>
        <v>109.40393305800001</v>
      </c>
      <c r="BL243" s="118">
        <f>BL715</f>
        <v>101.57211571200004</v>
      </c>
      <c r="BM243" s="118">
        <f>BM715</f>
        <v>107.437353372</v>
      </c>
      <c r="BN243" s="406">
        <f>SUM(BJ243,BK243,BL243,BM243)</f>
        <v>437.41340214200005</v>
      </c>
      <c r="BO243" s="118">
        <f>BO715</f>
        <v>98.455781316000014</v>
      </c>
      <c r="BP243" s="118">
        <f>BP715</f>
        <v>116.0891697914422</v>
      </c>
      <c r="BQ243" s="118">
        <f>BQ715</f>
        <v>107.77878141469752</v>
      </c>
      <c r="BR243" s="118">
        <f>BR715</f>
        <v>114.00242028714946</v>
      </c>
      <c r="BS243" s="406">
        <f>SUM(BO243,BP243,BQ243,BR243)</f>
        <v>436.32615280928917</v>
      </c>
      <c r="BT243" s="406">
        <f>BT715</f>
        <v>467.52739967052872</v>
      </c>
      <c r="BU243" s="406">
        <f>BU715</f>
        <v>500.95981649356861</v>
      </c>
      <c r="BV243" s="406">
        <f>BV715</f>
        <v>536.78295201120716</v>
      </c>
      <c r="BW243" s="122"/>
    </row>
    <row r="244" spans="1:75" x14ac:dyDescent="0.5">
      <c r="A244" s="516" t="s">
        <v>1130</v>
      </c>
      <c r="B244" s="517"/>
      <c r="C244" s="518"/>
      <c r="D244" s="518"/>
      <c r="E244" s="518"/>
      <c r="F244" s="519">
        <f t="shared" ref="F244:AH244" si="211">F238+SUM(F242:F243)</f>
        <v>-12.059000000000005</v>
      </c>
      <c r="G244" s="520">
        <f t="shared" si="211"/>
        <v>-2.5420000000000091</v>
      </c>
      <c r="H244" s="520">
        <f t="shared" si="211"/>
        <v>0.44200000000002282</v>
      </c>
      <c r="I244" s="520">
        <f t="shared" si="211"/>
        <v>-0.18100000000001604</v>
      </c>
      <c r="J244" s="520">
        <f t="shared" si="211"/>
        <v>-0.64699999999999669</v>
      </c>
      <c r="K244" s="519">
        <f t="shared" si="211"/>
        <v>-2.9280000000000062</v>
      </c>
      <c r="L244" s="520">
        <f t="shared" si="211"/>
        <v>-19.402999999999999</v>
      </c>
      <c r="M244" s="520">
        <f t="shared" si="211"/>
        <v>-17.598999999999993</v>
      </c>
      <c r="N244" s="520">
        <f t="shared" si="211"/>
        <v>-18.317000000000004</v>
      </c>
      <c r="O244" s="520">
        <f t="shared" si="211"/>
        <v>-9.6529999999999703</v>
      </c>
      <c r="P244" s="519">
        <f t="shared" si="211"/>
        <v>-64.971999999999994</v>
      </c>
      <c r="Q244" s="520">
        <f t="shared" si="211"/>
        <v>-12.860000000000039</v>
      </c>
      <c r="R244" s="520">
        <f t="shared" si="211"/>
        <v>-5.4809999999999839</v>
      </c>
      <c r="S244" s="520">
        <f t="shared" si="211"/>
        <v>-1.9230000000000302</v>
      </c>
      <c r="T244" s="520">
        <f t="shared" si="211"/>
        <v>2.3750000000000284</v>
      </c>
      <c r="U244" s="519">
        <f t="shared" si="211"/>
        <v>-17.888999999999797</v>
      </c>
      <c r="V244" s="520">
        <f t="shared" si="211"/>
        <v>-21.907000000000096</v>
      </c>
      <c r="W244" s="520">
        <f t="shared" si="211"/>
        <v>-25.404999999999987</v>
      </c>
      <c r="X244" s="520">
        <f t="shared" si="211"/>
        <v>-31.431000000000061</v>
      </c>
      <c r="Y244" s="520">
        <f t="shared" si="211"/>
        <v>-12.500000000000036</v>
      </c>
      <c r="Z244" s="519">
        <f t="shared" si="211"/>
        <v>-91.242999999999867</v>
      </c>
      <c r="AA244" s="520">
        <f t="shared" si="211"/>
        <v>-22.224999999999959</v>
      </c>
      <c r="AB244" s="520">
        <f t="shared" si="211"/>
        <v>-3.3959999999999653</v>
      </c>
      <c r="AC244" s="520">
        <f t="shared" si="211"/>
        <v>-32.765999999999934</v>
      </c>
      <c r="AD244" s="520">
        <f t="shared" si="211"/>
        <v>-22.205999999999548</v>
      </c>
      <c r="AE244" s="519">
        <f t="shared" si="211"/>
        <v>-80.592999999999506</v>
      </c>
      <c r="AF244" s="520">
        <f t="shared" si="211"/>
        <v>-52.706999999999908</v>
      </c>
      <c r="AG244" s="520">
        <f t="shared" si="211"/>
        <v>-36.605999999999938</v>
      </c>
      <c r="AH244" s="520">
        <f t="shared" si="211"/>
        <v>-78.787000000000077</v>
      </c>
      <c r="AI244" s="520">
        <f t="shared" ref="AI244:AW244" si="212">AI238+SUM(AI242:AI243)</f>
        <v>-54.073000000000135</v>
      </c>
      <c r="AJ244" s="519">
        <f t="shared" si="212"/>
        <v>-222.173</v>
      </c>
      <c r="AK244" s="520">
        <f t="shared" si="212"/>
        <v>-106.99100000000013</v>
      </c>
      <c r="AL244" s="520">
        <f t="shared" si="212"/>
        <v>-73.650999999999911</v>
      </c>
      <c r="AM244" s="520">
        <f t="shared" si="212"/>
        <v>-147.69199999999995</v>
      </c>
      <c r="AN244" s="520">
        <f t="shared" si="212"/>
        <v>-181.73699999999926</v>
      </c>
      <c r="AO244" s="519">
        <f t="shared" si="212"/>
        <v>-510.0709999999998</v>
      </c>
      <c r="AP244" s="520">
        <f t="shared" si="212"/>
        <v>-135.77599999999998</v>
      </c>
      <c r="AQ244" s="520">
        <f t="shared" si="212"/>
        <v>436.7439999999998</v>
      </c>
      <c r="AR244" s="520">
        <f t="shared" si="212"/>
        <v>364.54700000000042</v>
      </c>
      <c r="AS244" s="520">
        <f t="shared" si="212"/>
        <v>256.75300000000016</v>
      </c>
      <c r="AT244" s="519">
        <f t="shared" si="212"/>
        <v>922.26800000000026</v>
      </c>
      <c r="AU244" s="520">
        <f t="shared" si="212"/>
        <v>181.178</v>
      </c>
      <c r="AV244" s="520">
        <f t="shared" si="212"/>
        <v>302.49100000000044</v>
      </c>
      <c r="AW244" s="520">
        <f t="shared" si="212"/>
        <v>95.308999999999997</v>
      </c>
      <c r="AX244" s="520">
        <f t="shared" ref="AX244:BV244" si="213">AX238+SUM(AX242:AX243)</f>
        <v>-7.1900000000006514</v>
      </c>
      <c r="AY244" s="519">
        <f t="shared" si="213"/>
        <v>572</v>
      </c>
      <c r="AZ244" s="520">
        <f t="shared" si="213"/>
        <v>-121</v>
      </c>
      <c r="BA244" s="520">
        <f t="shared" si="213"/>
        <v>-152</v>
      </c>
      <c r="BB244" s="520">
        <f t="shared" si="213"/>
        <v>-156</v>
      </c>
      <c r="BC244" s="520">
        <f t="shared" si="213"/>
        <v>-71</v>
      </c>
      <c r="BD244" s="519">
        <f t="shared" si="213"/>
        <v>-500</v>
      </c>
      <c r="BE244" s="520">
        <f t="shared" si="213"/>
        <v>-99</v>
      </c>
      <c r="BF244" s="520">
        <f t="shared" si="213"/>
        <v>124</v>
      </c>
      <c r="BG244" s="520">
        <f t="shared" si="213"/>
        <v>93</v>
      </c>
      <c r="BH244" s="520">
        <f t="shared" si="213"/>
        <v>91</v>
      </c>
      <c r="BI244" s="519">
        <f t="shared" si="213"/>
        <v>209</v>
      </c>
      <c r="BJ244" s="1270">
        <f>BJ238+SUM(BJ242:BJ243)</f>
        <v>-12</v>
      </c>
      <c r="BK244" s="327">
        <f t="shared" si="213"/>
        <v>16.701209747579242</v>
      </c>
      <c r="BL244" s="327">
        <f t="shared" si="213"/>
        <v>50.812430744407948</v>
      </c>
      <c r="BM244" s="327">
        <f t="shared" si="213"/>
        <v>36.348221894673713</v>
      </c>
      <c r="BN244" s="518">
        <f t="shared" si="213"/>
        <v>91.86186238666005</v>
      </c>
      <c r="BO244" s="327">
        <f t="shared" si="213"/>
        <v>91.585954935867306</v>
      </c>
      <c r="BP244" s="327">
        <f t="shared" si="213"/>
        <v>9.0359749107016114</v>
      </c>
      <c r="BQ244" s="327">
        <f t="shared" si="213"/>
        <v>53.66344104787413</v>
      </c>
      <c r="BR244" s="327">
        <f t="shared" si="213"/>
        <v>38.793776267403871</v>
      </c>
      <c r="BS244" s="518">
        <f t="shared" si="213"/>
        <v>193.07914716184678</v>
      </c>
      <c r="BT244" s="518">
        <f t="shared" si="213"/>
        <v>418.68996354134731</v>
      </c>
      <c r="BU244" s="518">
        <f t="shared" si="213"/>
        <v>665.18593545402155</v>
      </c>
      <c r="BV244" s="518">
        <f t="shared" si="213"/>
        <v>951.07135059611392</v>
      </c>
      <c r="BW244" s="197"/>
    </row>
    <row r="245" spans="1:75" x14ac:dyDescent="0.5">
      <c r="A245" s="463" t="str">
        <f>CONCATENATE("Adjusted ",A244,IF(AND(ROUND(SUM(C244:BW244)-SUM(C245:BW245),6)=0)," (No Adjustments)",""))</f>
        <v>Adjusted EBITDA</v>
      </c>
      <c r="B245" s="522"/>
      <c r="C245" s="397"/>
      <c r="D245" s="397"/>
      <c r="E245" s="397"/>
      <c r="F245" s="672">
        <f t="shared" ref="F245:BI245" si="214">F207</f>
        <v>-12.059000000000005</v>
      </c>
      <c r="G245" s="197">
        <f t="shared" si="214"/>
        <v>-2.5420000000000096</v>
      </c>
      <c r="H245" s="197">
        <f t="shared" si="214"/>
        <v>0.44200000000002254</v>
      </c>
      <c r="I245" s="197">
        <f t="shared" si="214"/>
        <v>-0.1810000000000162</v>
      </c>
      <c r="J245" s="197">
        <f t="shared" si="214"/>
        <v>-0.64699999999999658</v>
      </c>
      <c r="K245" s="672">
        <f t="shared" si="214"/>
        <v>-2.9280000000000062</v>
      </c>
      <c r="L245" s="197">
        <f t="shared" si="214"/>
        <v>-19.403000000000002</v>
      </c>
      <c r="M245" s="197">
        <f t="shared" si="214"/>
        <v>-17.59899999999999</v>
      </c>
      <c r="N245" s="197">
        <f t="shared" si="214"/>
        <v>-18.317</v>
      </c>
      <c r="O245" s="197">
        <f t="shared" si="214"/>
        <v>-7.2179999999999751</v>
      </c>
      <c r="P245" s="672">
        <f t="shared" si="214"/>
        <v>-62.53700000000002</v>
      </c>
      <c r="Q245" s="197">
        <f t="shared" si="214"/>
        <v>-12.340000000000037</v>
      </c>
      <c r="R245" s="197">
        <f t="shared" si="214"/>
        <v>-4.9719999999999844</v>
      </c>
      <c r="S245" s="197">
        <f t="shared" si="214"/>
        <v>-1.4450000000000307</v>
      </c>
      <c r="T245" s="197">
        <f t="shared" si="214"/>
        <v>2.8280000000000283</v>
      </c>
      <c r="U245" s="672">
        <f t="shared" si="214"/>
        <v>-15.928999999999801</v>
      </c>
      <c r="V245" s="197">
        <f t="shared" si="214"/>
        <v>-20.96000000000009</v>
      </c>
      <c r="W245" s="197">
        <f t="shared" si="214"/>
        <v>-24.856999999999978</v>
      </c>
      <c r="X245" s="197">
        <f t="shared" si="214"/>
        <v>-30.849000000000057</v>
      </c>
      <c r="Y245" s="197">
        <f t="shared" si="214"/>
        <v>-12.026000000000034</v>
      </c>
      <c r="Z245" s="672">
        <f t="shared" si="214"/>
        <v>-88.691999999999879</v>
      </c>
      <c r="AA245" s="197">
        <f t="shared" si="214"/>
        <v>-20.895999999999955</v>
      </c>
      <c r="AB245" s="197">
        <f t="shared" si="214"/>
        <v>-2.24599999999996</v>
      </c>
      <c r="AC245" s="197">
        <f t="shared" si="214"/>
        <v>-22.67199999999993</v>
      </c>
      <c r="AD245" s="197">
        <f t="shared" si="214"/>
        <v>-21.21899999999955</v>
      </c>
      <c r="AE245" s="672">
        <f t="shared" si="214"/>
        <v>-67.032999999999532</v>
      </c>
      <c r="AF245" s="197">
        <f t="shared" si="214"/>
        <v>-49.959999999999887</v>
      </c>
      <c r="AG245" s="197">
        <f t="shared" si="214"/>
        <v>-34.808999999999934</v>
      </c>
      <c r="AH245" s="197">
        <f t="shared" si="214"/>
        <v>-76.405000000000101</v>
      </c>
      <c r="AI245" s="197">
        <f t="shared" si="214"/>
        <v>-53.812000000000147</v>
      </c>
      <c r="AJ245" s="672">
        <f t="shared" si="214"/>
        <v>-214.98599999999999</v>
      </c>
      <c r="AK245" s="197">
        <f t="shared" si="214"/>
        <v>-102.21800000000013</v>
      </c>
      <c r="AL245" s="197">
        <f t="shared" si="214"/>
        <v>-69.982999999999919</v>
      </c>
      <c r="AM245" s="197">
        <f t="shared" si="214"/>
        <v>-144.18399999999997</v>
      </c>
      <c r="AN245" s="197">
        <f t="shared" si="214"/>
        <v>-180.15899999999925</v>
      </c>
      <c r="AO245" s="672">
        <f t="shared" si="214"/>
        <v>-496.54399999999987</v>
      </c>
      <c r="AP245" s="197">
        <f t="shared" si="214"/>
        <v>-127.27700000000002</v>
      </c>
      <c r="AQ245" s="197">
        <f t="shared" si="214"/>
        <v>439.81299999999976</v>
      </c>
      <c r="AR245" s="197">
        <f t="shared" si="214"/>
        <v>371.11200000000036</v>
      </c>
      <c r="AS245" s="197">
        <f t="shared" si="214"/>
        <v>263.24000000000018</v>
      </c>
      <c r="AT245" s="672">
        <f t="shared" si="214"/>
        <v>946.88800000000015</v>
      </c>
      <c r="AU245" s="197">
        <f t="shared" si="214"/>
        <v>205.76699999999997</v>
      </c>
      <c r="AV245" s="197">
        <f t="shared" si="214"/>
        <v>310.84000000000049</v>
      </c>
      <c r="AW245" s="197">
        <f t="shared" si="214"/>
        <v>101.05100000000002</v>
      </c>
      <c r="AX245" s="197">
        <f t="shared" si="214"/>
        <v>-3.8530000000006623</v>
      </c>
      <c r="AY245" s="672">
        <f t="shared" si="214"/>
        <v>614</v>
      </c>
      <c r="AZ245" s="197">
        <f t="shared" si="214"/>
        <v>-113</v>
      </c>
      <c r="BA245" s="197">
        <f t="shared" si="214"/>
        <v>-108</v>
      </c>
      <c r="BB245" s="197">
        <f t="shared" si="214"/>
        <v>-124</v>
      </c>
      <c r="BC245" s="197">
        <f t="shared" si="214"/>
        <v>-71</v>
      </c>
      <c r="BD245" s="672">
        <f t="shared" si="214"/>
        <v>-416</v>
      </c>
      <c r="BE245" s="197">
        <f t="shared" si="214"/>
        <v>-14</v>
      </c>
      <c r="BF245" s="197">
        <f t="shared" si="214"/>
        <v>128</v>
      </c>
      <c r="BG245" s="197">
        <f t="shared" si="214"/>
        <v>100</v>
      </c>
      <c r="BH245" s="197">
        <f t="shared" si="214"/>
        <v>92</v>
      </c>
      <c r="BI245" s="672">
        <f t="shared" si="214"/>
        <v>306</v>
      </c>
      <c r="BJ245" s="1273">
        <f>BJ207</f>
        <v>75</v>
      </c>
      <c r="BK245" s="295">
        <f>BK119</f>
        <v>161.70120974757924</v>
      </c>
      <c r="BL245" s="295">
        <f>BL119</f>
        <v>57.812430744407934</v>
      </c>
      <c r="BM245" s="295">
        <f>BM119</f>
        <v>43.348221894673728</v>
      </c>
      <c r="BN245" s="397">
        <f>SUM(BJ245,BK245,BL245,BM245)</f>
        <v>337.8618623866609</v>
      </c>
      <c r="BO245" s="295">
        <f>BO119</f>
        <v>98.585954935867306</v>
      </c>
      <c r="BP245" s="295">
        <f>BP119</f>
        <v>16.035974910701626</v>
      </c>
      <c r="BQ245" s="295">
        <f>BQ119</f>
        <v>60.66344104787413</v>
      </c>
      <c r="BR245" s="295">
        <f>BR119</f>
        <v>45.793776267403857</v>
      </c>
      <c r="BS245" s="397">
        <f>SUM(BO245,BP245,BQ245,BR245)</f>
        <v>221.07914716184695</v>
      </c>
      <c r="BT245" s="397">
        <f>BT119</f>
        <v>446.68996354134731</v>
      </c>
      <c r="BU245" s="397">
        <f>BU119</f>
        <v>693.18593545402155</v>
      </c>
      <c r="BV245" s="397">
        <f>BV119</f>
        <v>979.07135059611392</v>
      </c>
      <c r="BW245" s="197"/>
    </row>
    <row r="246" spans="1:75" x14ac:dyDescent="0.5">
      <c r="A246" s="719" t="str">
        <f>CONCATENATE("Consensus Estimates - ",IFERROR(LEFT(A245,FIND("(",A245)-1),A245))</f>
        <v>Consensus Estimates - Adjusted EBITDA</v>
      </c>
      <c r="B246" s="720"/>
      <c r="C246" s="414"/>
      <c r="D246" s="414"/>
      <c r="E246" s="414"/>
      <c r="F246" s="414"/>
      <c r="G246" s="413"/>
      <c r="H246" s="413"/>
      <c r="I246" s="413"/>
      <c r="J246" s="413"/>
      <c r="K246" s="414"/>
      <c r="L246" s="413"/>
      <c r="M246" s="413"/>
      <c r="N246" s="413"/>
      <c r="O246" s="413"/>
      <c r="P246" s="414"/>
      <c r="Q246" s="413"/>
      <c r="R246" s="413"/>
      <c r="S246" s="413"/>
      <c r="T246" s="413"/>
      <c r="U246" s="414"/>
      <c r="V246" s="413"/>
      <c r="W246" s="413"/>
      <c r="X246" s="413"/>
      <c r="Y246" s="410"/>
      <c r="Z246" s="201"/>
      <c r="AA246" s="413"/>
      <c r="AB246" s="413"/>
      <c r="AC246" s="413"/>
      <c r="AD246" s="410"/>
      <c r="AE246" s="201"/>
      <c r="AF246" s="413"/>
      <c r="AG246" s="413"/>
      <c r="AH246" s="413"/>
      <c r="AI246" s="410"/>
      <c r="AJ246" s="201"/>
      <c r="AK246" s="413"/>
      <c r="AL246" s="413"/>
      <c r="AM246" s="413"/>
      <c r="AN246" s="410"/>
      <c r="AO246" s="201"/>
      <c r="AP246" s="413"/>
      <c r="AQ246" s="413"/>
      <c r="AR246" s="413"/>
      <c r="AS246" s="410"/>
      <c r="AT246" s="201"/>
      <c r="AU246" s="413"/>
      <c r="AV246" s="413"/>
      <c r="AW246" s="413"/>
      <c r="AX246" s="410"/>
      <c r="AY246" s="201"/>
      <c r="AZ246" s="413"/>
      <c r="BA246" s="413"/>
      <c r="BB246" s="413"/>
      <c r="BC246" s="410"/>
      <c r="BD246" s="201"/>
      <c r="BE246" s="413"/>
      <c r="BF246" s="413"/>
      <c r="BG246" s="413"/>
      <c r="BH246" s="410"/>
      <c r="BI246" s="201"/>
      <c r="BJ246" s="1216"/>
      <c r="BK246" s="413" t="str">
        <f t="shared" ref="BK246:BS246" ca="1" si="215">IFERROR(VLOOKUP($A246,tb_ConsensusEstimate,MATCH(BK$5,OFFSET(tb_ConsensusEstimate,0,0,1,COLUMNS(tb_ConsensusEstimate)),0),FALSE),"-")</f>
        <v>N/A</v>
      </c>
      <c r="BL246" s="413" t="str">
        <f t="shared" ca="1" si="215"/>
        <v>N/A</v>
      </c>
      <c r="BM246" s="413" t="str">
        <f t="shared" ca="1" si="215"/>
        <v>N/A</v>
      </c>
      <c r="BN246" s="201" t="str">
        <f t="shared" ca="1" si="215"/>
        <v>N/A</v>
      </c>
      <c r="BO246" s="413" t="str">
        <f t="shared" ca="1" si="215"/>
        <v>N/A</v>
      </c>
      <c r="BP246" s="413" t="str">
        <f t="shared" ca="1" si="215"/>
        <v>N/A</v>
      </c>
      <c r="BQ246" s="413" t="str">
        <f t="shared" ca="1" si="215"/>
        <v>N/A</v>
      </c>
      <c r="BR246" s="413" t="str">
        <f t="shared" ca="1" si="215"/>
        <v>N/A</v>
      </c>
      <c r="BS246" s="201" t="str">
        <f t="shared" ca="1" si="215"/>
        <v>N/A</v>
      </c>
      <c r="BT246" s="201" t="str">
        <f ca="1">IFERROR(VLOOKUP(A246,tb_ConsensusEstimate,MATCH(BT5,OFFSET(tb_ConsensusEstimate,0,0,1,COLUMNS(tb_ConsensusEstimate)),0),FALSE),"-")</f>
        <v>N/A</v>
      </c>
      <c r="BU246" s="201" t="str">
        <f ca="1">IFERROR(VLOOKUP(A246,tb_ConsensusEstimate,MATCH(BU5,OFFSET(tb_ConsensusEstimate,0,0,1,COLUMNS(tb_ConsensusEstimate)),0),FALSE),"-")</f>
        <v>N/A</v>
      </c>
      <c r="BV246" s="201" t="str">
        <f ca="1">IFERROR(VLOOKUP(A246,tb_ConsensusEstimate,MATCH(BV5,OFFSET(tb_ConsensusEstimate,0,0,1,COLUMNS(tb_ConsensusEstimate)),0),FALSE),"-")</f>
        <v>N/A</v>
      </c>
      <c r="BW246" s="413"/>
    </row>
    <row r="247" spans="1:75" x14ac:dyDescent="0.5">
      <c r="A247" s="719" t="s">
        <v>2320</v>
      </c>
      <c r="B247" s="720"/>
      <c r="C247" s="414"/>
      <c r="D247" s="414"/>
      <c r="E247" s="414"/>
      <c r="F247" s="414"/>
      <c r="G247" s="413" t="str">
        <f t="shared" ref="G247:BR247" si="216">G627</f>
        <v/>
      </c>
      <c r="H247" s="413" t="str">
        <f t="shared" si="216"/>
        <v/>
      </c>
      <c r="I247" s="413" t="str">
        <f t="shared" si="216"/>
        <v/>
      </c>
      <c r="J247" s="413" t="str">
        <f t="shared" si="216"/>
        <v/>
      </c>
      <c r="K247" s="414" t="str">
        <f t="shared" si="216"/>
        <v/>
      </c>
      <c r="L247" s="413" t="str">
        <f t="shared" si="216"/>
        <v/>
      </c>
      <c r="M247" s="413" t="str">
        <f t="shared" si="216"/>
        <v/>
      </c>
      <c r="N247" s="413" t="str">
        <f t="shared" si="216"/>
        <v/>
      </c>
      <c r="O247" s="413" t="str">
        <f t="shared" si="216"/>
        <v/>
      </c>
      <c r="P247" s="414" t="str">
        <f t="shared" si="216"/>
        <v/>
      </c>
      <c r="Q247" s="413" t="str">
        <f t="shared" si="216"/>
        <v/>
      </c>
      <c r="R247" s="413" t="str">
        <f t="shared" si="216"/>
        <v/>
      </c>
      <c r="S247" s="413" t="str">
        <f t="shared" si="216"/>
        <v/>
      </c>
      <c r="T247" s="413" t="str">
        <f t="shared" si="216"/>
        <v/>
      </c>
      <c r="U247" s="414" t="str">
        <f t="shared" si="216"/>
        <v/>
      </c>
      <c r="V247" s="413" t="str">
        <f t="shared" si="216"/>
        <v/>
      </c>
      <c r="W247" s="413" t="str">
        <f t="shared" si="216"/>
        <v/>
      </c>
      <c r="X247" s="413" t="str">
        <f t="shared" si="216"/>
        <v/>
      </c>
      <c r="Y247" s="410" t="str">
        <f t="shared" si="216"/>
        <v/>
      </c>
      <c r="Z247" s="201" t="str">
        <f t="shared" si="216"/>
        <v/>
      </c>
      <c r="AA247" s="413" t="str">
        <f t="shared" si="216"/>
        <v/>
      </c>
      <c r="AB247" s="413" t="str">
        <f t="shared" si="216"/>
        <v/>
      </c>
      <c r="AC247" s="413" t="str">
        <f t="shared" si="216"/>
        <v/>
      </c>
      <c r="AD247" s="410" t="str">
        <f t="shared" si="216"/>
        <v/>
      </c>
      <c r="AE247" s="201" t="str">
        <f t="shared" si="216"/>
        <v/>
      </c>
      <c r="AF247" s="413" t="str">
        <f t="shared" si="216"/>
        <v/>
      </c>
      <c r="AG247" s="413" t="str">
        <f t="shared" si="216"/>
        <v/>
      </c>
      <c r="AH247" s="413" t="str">
        <f t="shared" si="216"/>
        <v/>
      </c>
      <c r="AI247" s="410" t="str">
        <f t="shared" si="216"/>
        <v/>
      </c>
      <c r="AJ247" s="201" t="str">
        <f t="shared" si="216"/>
        <v/>
      </c>
      <c r="AK247" s="413" t="str">
        <f t="shared" si="216"/>
        <v/>
      </c>
      <c r="AL247" s="413" t="str">
        <f t="shared" si="216"/>
        <v/>
      </c>
      <c r="AM247" s="413" t="str">
        <f t="shared" si="216"/>
        <v/>
      </c>
      <c r="AN247" s="410" t="str">
        <f t="shared" si="216"/>
        <v/>
      </c>
      <c r="AO247" s="201" t="str">
        <f t="shared" si="216"/>
        <v/>
      </c>
      <c r="AP247" s="413" t="str">
        <f t="shared" si="216"/>
        <v/>
      </c>
      <c r="AQ247" s="413" t="str">
        <f t="shared" si="216"/>
        <v/>
      </c>
      <c r="AR247" s="413" t="str">
        <f t="shared" si="216"/>
        <v/>
      </c>
      <c r="AS247" s="410" t="str">
        <f t="shared" si="216"/>
        <v/>
      </c>
      <c r="AT247" s="201" t="str">
        <f t="shared" si="216"/>
        <v/>
      </c>
      <c r="AU247" s="413" t="str">
        <f t="shared" si="216"/>
        <v/>
      </c>
      <c r="AV247" s="413" t="str">
        <f t="shared" si="216"/>
        <v/>
      </c>
      <c r="AW247" s="413" t="str">
        <f t="shared" si="216"/>
        <v/>
      </c>
      <c r="AX247" s="410" t="str">
        <f t="shared" si="216"/>
        <v/>
      </c>
      <c r="AY247" s="201" t="str">
        <f t="shared" si="216"/>
        <v/>
      </c>
      <c r="AZ247" s="413" t="str">
        <f t="shared" si="216"/>
        <v/>
      </c>
      <c r="BA247" s="413" t="str">
        <f t="shared" si="216"/>
        <v/>
      </c>
      <c r="BB247" s="413">
        <f t="shared" si="216"/>
        <v>-84.269241000000022</v>
      </c>
      <c r="BC247" s="410">
        <f t="shared" si="216"/>
        <v>-59.832623199999979</v>
      </c>
      <c r="BD247" s="201" t="str">
        <f t="shared" si="216"/>
        <v/>
      </c>
      <c r="BE247" s="413">
        <f t="shared" si="216"/>
        <v>-55.071199999999997</v>
      </c>
      <c r="BF247" s="413">
        <f t="shared" si="216"/>
        <v>35.631400000000006</v>
      </c>
      <c r="BG247" s="413">
        <f t="shared" si="216"/>
        <v>89.460000000000008</v>
      </c>
      <c r="BH247" s="410">
        <f t="shared" si="216"/>
        <v>78.68787500000002</v>
      </c>
      <c r="BI247" s="201" t="str">
        <f t="shared" si="216"/>
        <v/>
      </c>
      <c r="BJ247" s="1216">
        <f>BJ627</f>
        <v>39.529499999999999</v>
      </c>
      <c r="BK247" s="413">
        <f t="shared" si="216"/>
        <v>160.92824999999999</v>
      </c>
      <c r="BL247" s="413" t="str">
        <f t="shared" si="216"/>
        <v/>
      </c>
      <c r="BM247" s="413" t="str">
        <f t="shared" si="216"/>
        <v/>
      </c>
      <c r="BN247" s="201" t="str">
        <f t="shared" si="216"/>
        <v/>
      </c>
      <c r="BO247" s="413" t="str">
        <f t="shared" si="216"/>
        <v/>
      </c>
      <c r="BP247" s="413" t="str">
        <f t="shared" si="216"/>
        <v/>
      </c>
      <c r="BQ247" s="413" t="str">
        <f t="shared" si="216"/>
        <v/>
      </c>
      <c r="BR247" s="413" t="str">
        <f t="shared" si="216"/>
        <v/>
      </c>
      <c r="BS247" s="201" t="str">
        <f t="shared" ref="BS247:BZ247" si="217">BS627</f>
        <v/>
      </c>
      <c r="BT247" s="201" t="str">
        <f t="shared" si="217"/>
        <v/>
      </c>
      <c r="BU247" s="201" t="str">
        <f t="shared" si="217"/>
        <v/>
      </c>
      <c r="BV247" s="201" t="str">
        <f t="shared" si="217"/>
        <v/>
      </c>
      <c r="BW247" s="413"/>
    </row>
    <row r="248" spans="1:75" x14ac:dyDescent="0.5">
      <c r="A248" s="743"/>
      <c r="B248" s="744"/>
      <c r="C248" s="745"/>
      <c r="D248" s="745"/>
      <c r="E248" s="745"/>
      <c r="F248" s="745"/>
      <c r="G248" s="746"/>
      <c r="H248" s="746"/>
      <c r="I248" s="746"/>
      <c r="J248" s="746"/>
      <c r="K248" s="745"/>
      <c r="L248" s="746"/>
      <c r="M248" s="746"/>
      <c r="N248" s="746"/>
      <c r="O248" s="746"/>
      <c r="P248" s="745"/>
      <c r="Q248" s="746"/>
      <c r="R248" s="746"/>
      <c r="S248" s="746"/>
      <c r="T248" s="746"/>
      <c r="U248" s="745"/>
      <c r="V248" s="746"/>
      <c r="W248" s="746"/>
      <c r="X248" s="746"/>
      <c r="Y248" s="747"/>
      <c r="Z248" s="745"/>
      <c r="AA248" s="746"/>
      <c r="AB248" s="746"/>
      <c r="AC248" s="746"/>
      <c r="AD248" s="747"/>
      <c r="AE248" s="745"/>
      <c r="AF248" s="746"/>
      <c r="AG248" s="746"/>
      <c r="AH248" s="746"/>
      <c r="AI248" s="747"/>
      <c r="AJ248" s="745"/>
      <c r="AK248" s="746"/>
      <c r="AL248" s="746"/>
      <c r="AM248" s="746"/>
      <c r="AN248" s="747"/>
      <c r="AO248" s="745"/>
      <c r="AP248" s="746"/>
      <c r="AQ248" s="746"/>
      <c r="AR248" s="746"/>
      <c r="AS248" s="747"/>
      <c r="AT248" s="745"/>
      <c r="AU248" s="746"/>
      <c r="AV248" s="746"/>
      <c r="AW248" s="746"/>
      <c r="AX248" s="747"/>
      <c r="AY248" s="745"/>
      <c r="AZ248" s="746"/>
      <c r="BA248" s="746"/>
      <c r="BB248" s="746"/>
      <c r="BC248" s="747"/>
      <c r="BD248" s="745"/>
      <c r="BE248" s="746"/>
      <c r="BF248" s="746"/>
      <c r="BG248" s="746"/>
      <c r="BH248" s="747"/>
      <c r="BI248" s="745"/>
      <c r="BJ248" s="1296"/>
      <c r="BK248" s="746"/>
      <c r="BL248" s="746"/>
      <c r="BM248" s="746"/>
      <c r="BN248" s="1297"/>
      <c r="BO248" s="746"/>
      <c r="BP248" s="746"/>
      <c r="BQ248" s="746"/>
      <c r="BR248" s="746"/>
      <c r="BS248" s="1297"/>
      <c r="BT248" s="1297"/>
      <c r="BU248" s="1297"/>
      <c r="BV248" s="1297"/>
      <c r="BW248" s="1298"/>
    </row>
    <row r="249" spans="1:75" x14ac:dyDescent="0.5">
      <c r="A249" s="184" t="s">
        <v>1062</v>
      </c>
      <c r="B249" s="513"/>
      <c r="C249" s="401"/>
      <c r="D249" s="401"/>
      <c r="E249" s="401">
        <f t="shared" ref="E249:BI249" si="218">-E185</f>
        <v>-0.157</v>
      </c>
      <c r="F249" s="401">
        <f t="shared" si="218"/>
        <v>-0.23400000000000001</v>
      </c>
      <c r="G249" s="118">
        <f t="shared" si="218"/>
        <v>-6.7000000000000004E-2</v>
      </c>
      <c r="H249" s="118">
        <f t="shared" si="218"/>
        <v>-5.7000000000000002E-2</v>
      </c>
      <c r="I249" s="118">
        <f t="shared" si="218"/>
        <v>-6.0999999999999999E-2</v>
      </c>
      <c r="J249" s="118">
        <f t="shared" si="218"/>
        <v>-0.06</v>
      </c>
      <c r="K249" s="401">
        <f t="shared" si="218"/>
        <v>-0.245</v>
      </c>
      <c r="L249" s="118">
        <f t="shared" si="218"/>
        <v>-5.6000000000000001E-2</v>
      </c>
      <c r="M249" s="118">
        <f t="shared" si="218"/>
        <v>-7.6999999999999999E-2</v>
      </c>
      <c r="N249" s="118">
        <f t="shared" si="218"/>
        <v>-8.8999999999999996E-2</v>
      </c>
      <c r="O249" s="118">
        <f t="shared" si="218"/>
        <v>-0.128</v>
      </c>
      <c r="P249" s="401">
        <f t="shared" si="218"/>
        <v>-0.35</v>
      </c>
      <c r="Q249" s="118">
        <f t="shared" si="218"/>
        <v>-0.26400000000000001</v>
      </c>
      <c r="R249" s="118">
        <f t="shared" si="218"/>
        <v>-0.308</v>
      </c>
      <c r="S249" s="118">
        <f t="shared" si="218"/>
        <v>-0.32500000000000001</v>
      </c>
      <c r="T249" s="118">
        <f t="shared" si="218"/>
        <v>-0.38700000000000001</v>
      </c>
      <c r="U249" s="401">
        <f t="shared" si="218"/>
        <v>-1.284</v>
      </c>
      <c r="V249" s="118">
        <f t="shared" si="218"/>
        <v>-0.55200000000000005</v>
      </c>
      <c r="W249" s="118">
        <f t="shared" si="218"/>
        <v>-0.53100000000000003</v>
      </c>
      <c r="X249" s="118">
        <f t="shared" si="218"/>
        <v>0.29199999999999998</v>
      </c>
      <c r="Y249" s="118">
        <f t="shared" si="218"/>
        <v>9.7000000000000003E-2</v>
      </c>
      <c r="Z249" s="401">
        <f t="shared" si="218"/>
        <v>-0.69399999999999995</v>
      </c>
      <c r="AA249" s="118">
        <f t="shared" si="218"/>
        <v>0.29899999999999999</v>
      </c>
      <c r="AB249" s="118">
        <f t="shared" si="218"/>
        <v>1.55</v>
      </c>
      <c r="AC249" s="118">
        <f t="shared" si="218"/>
        <v>2.008</v>
      </c>
      <c r="AD249" s="118">
        <f t="shared" si="218"/>
        <v>5.5759999999999996</v>
      </c>
      <c r="AE249" s="401">
        <f t="shared" si="218"/>
        <v>9.4329999999999998</v>
      </c>
      <c r="AF249" s="118">
        <f t="shared" si="218"/>
        <v>5.407</v>
      </c>
      <c r="AG249" s="118">
        <f t="shared" si="218"/>
        <v>5.7960000000000003</v>
      </c>
      <c r="AH249" s="118">
        <f t="shared" si="218"/>
        <v>7.0659999999999998</v>
      </c>
      <c r="AI249" s="118">
        <f t="shared" si="218"/>
        <v>10.291</v>
      </c>
      <c r="AJ249" s="401">
        <f t="shared" si="218"/>
        <v>28.56</v>
      </c>
      <c r="AK249" s="118">
        <f t="shared" si="218"/>
        <v>9.2379999999999995</v>
      </c>
      <c r="AL249" s="118">
        <f t="shared" si="218"/>
        <v>10.252000000000001</v>
      </c>
      <c r="AM249" s="118">
        <f t="shared" si="218"/>
        <v>14.432</v>
      </c>
      <c r="AN249" s="118">
        <f t="shared" si="218"/>
        <v>20.591999999999999</v>
      </c>
      <c r="AO249" s="401">
        <f t="shared" si="218"/>
        <v>54.514000000000003</v>
      </c>
      <c r="AP249" s="118">
        <f t="shared" si="218"/>
        <v>22.218</v>
      </c>
      <c r="AQ249" s="118">
        <f t="shared" si="218"/>
        <v>28.939</v>
      </c>
      <c r="AR249" s="118">
        <f t="shared" si="218"/>
        <v>36.314999999999998</v>
      </c>
      <c r="AS249" s="118">
        <f t="shared" si="218"/>
        <v>58.924999999999997</v>
      </c>
      <c r="AT249" s="401">
        <f t="shared" si="218"/>
        <v>146.39699999999999</v>
      </c>
      <c r="AU249" s="118">
        <f t="shared" si="218"/>
        <v>6.8120000000000003</v>
      </c>
      <c r="AV249" s="118">
        <f t="shared" si="218"/>
        <v>8.4019999999999992</v>
      </c>
      <c r="AW249" s="118">
        <f t="shared" si="218"/>
        <v>8.4060000000000006</v>
      </c>
      <c r="AX249" s="118">
        <f t="shared" si="218"/>
        <v>8.3800000000000026</v>
      </c>
      <c r="AY249" s="401">
        <f t="shared" si="218"/>
        <v>32</v>
      </c>
      <c r="AZ249" s="118">
        <f t="shared" si="218"/>
        <v>8</v>
      </c>
      <c r="BA249" s="118">
        <f t="shared" si="218"/>
        <v>6</v>
      </c>
      <c r="BB249" s="118">
        <f t="shared" si="218"/>
        <v>5</v>
      </c>
      <c r="BC249" s="118">
        <f t="shared" si="218"/>
        <v>8</v>
      </c>
      <c r="BD249" s="401">
        <f t="shared" si="218"/>
        <v>27</v>
      </c>
      <c r="BE249" s="118">
        <f t="shared" si="218"/>
        <v>5</v>
      </c>
      <c r="BF249" s="118">
        <f t="shared" si="218"/>
        <v>5</v>
      </c>
      <c r="BG249" s="118">
        <f t="shared" si="218"/>
        <v>5</v>
      </c>
      <c r="BH249" s="118">
        <f t="shared" si="218"/>
        <v>2</v>
      </c>
      <c r="BI249" s="401">
        <f t="shared" si="218"/>
        <v>17</v>
      </c>
      <c r="BJ249" s="971">
        <f>-BJ185</f>
        <v>6</v>
      </c>
      <c r="BK249" s="118">
        <f>BK739</f>
        <v>3.9940212213651365</v>
      </c>
      <c r="BL249" s="118">
        <f ca="1">BL739</f>
        <v>4.1476065970261082</v>
      </c>
      <c r="BM249" s="118">
        <f ca="1">BM739</f>
        <v>3.9758358709889037</v>
      </c>
      <c r="BN249" s="401">
        <f ca="1">SUM(BJ249,BK249,BL249,BM249)</f>
        <v>18.117463689380148</v>
      </c>
      <c r="BO249" s="118">
        <f ca="1">BO739</f>
        <v>3.9615275338883715</v>
      </c>
      <c r="BP249" s="118">
        <f ca="1">BP739</f>
        <v>4.0835845451833643</v>
      </c>
      <c r="BQ249" s="118">
        <f ca="1">BQ739</f>
        <v>4.2514295707165894</v>
      </c>
      <c r="BR249" s="118">
        <f ca="1">BR739</f>
        <v>3.5119702390864385</v>
      </c>
      <c r="BS249" s="401">
        <f ca="1">SUM(BO249,BP249,BQ249,BR249)</f>
        <v>15.808511888874762</v>
      </c>
      <c r="BT249" s="401">
        <f ca="1">BT739</f>
        <v>15.308307494671467</v>
      </c>
      <c r="BU249" s="401">
        <f ca="1">BU739</f>
        <v>15.570911382503937</v>
      </c>
      <c r="BV249" s="401">
        <f ca="1">BV739</f>
        <v>14.18115491877222</v>
      </c>
      <c r="BW249" s="122"/>
    </row>
    <row r="250" spans="1:75" x14ac:dyDescent="0.5">
      <c r="A250" s="464" t="s">
        <v>1166</v>
      </c>
      <c r="B250" s="513"/>
      <c r="C250" s="401"/>
      <c r="D250" s="401"/>
      <c r="E250" s="674">
        <f t="shared" ref="E250:BI250" si="219">-E186-E187</f>
        <v>-0.75</v>
      </c>
      <c r="F250" s="674">
        <f t="shared" si="219"/>
        <v>-0.155</v>
      </c>
      <c r="G250" s="122">
        <f t="shared" si="219"/>
        <v>0.38400000000000001</v>
      </c>
      <c r="H250" s="122">
        <f t="shared" si="219"/>
        <v>0.12</v>
      </c>
      <c r="I250" s="122">
        <f t="shared" si="219"/>
        <v>-0.57899999999999996</v>
      </c>
      <c r="J250" s="122">
        <f t="shared" si="219"/>
        <v>-0.21900000000000003</v>
      </c>
      <c r="K250" s="674">
        <f t="shared" si="219"/>
        <v>-0.29399999999999998</v>
      </c>
      <c r="L250" s="122">
        <f t="shared" si="219"/>
        <v>-8.7999999999999995E-2</v>
      </c>
      <c r="M250" s="122">
        <f t="shared" si="219"/>
        <v>0.184</v>
      </c>
      <c r="N250" s="122">
        <f t="shared" si="219"/>
        <v>0.309</v>
      </c>
      <c r="O250" s="122">
        <f t="shared" si="219"/>
        <v>8.4000000000000005E-2</v>
      </c>
      <c r="P250" s="674">
        <f t="shared" si="219"/>
        <v>0.48899999999999999</v>
      </c>
      <c r="Q250" s="122">
        <f t="shared" si="219"/>
        <v>0.108</v>
      </c>
      <c r="R250" s="122">
        <f t="shared" si="219"/>
        <v>9.6000000000000002E-2</v>
      </c>
      <c r="S250" s="122">
        <f t="shared" si="219"/>
        <v>-2.746</v>
      </c>
      <c r="T250" s="122">
        <f t="shared" si="219"/>
        <v>-0.17599999999999999</v>
      </c>
      <c r="U250" s="674">
        <f t="shared" si="219"/>
        <v>-2.718</v>
      </c>
      <c r="V250" s="122">
        <f t="shared" si="219"/>
        <v>-0.66900000000000004</v>
      </c>
      <c r="W250" s="122">
        <f t="shared" si="219"/>
        <v>-0.246</v>
      </c>
      <c r="X250" s="122">
        <f t="shared" si="219"/>
        <v>-0.88900000000000001</v>
      </c>
      <c r="Y250" s="122">
        <f t="shared" si="219"/>
        <v>4.8000000000000001E-2</v>
      </c>
      <c r="Z250" s="674">
        <f t="shared" si="219"/>
        <v>-1.756</v>
      </c>
      <c r="AA250" s="122">
        <f t="shared" si="219"/>
        <v>-0.17599999999999999</v>
      </c>
      <c r="AB250" s="122">
        <f t="shared" si="219"/>
        <v>-0.45100000000000001</v>
      </c>
      <c r="AC250" s="122">
        <f t="shared" si="219"/>
        <v>0.22700000000000001</v>
      </c>
      <c r="AD250" s="122">
        <f t="shared" si="219"/>
        <v>-0.35799999999999998</v>
      </c>
      <c r="AE250" s="674">
        <f t="shared" si="219"/>
        <v>-0.75800000000000001</v>
      </c>
      <c r="AF250" s="122">
        <f t="shared" si="219"/>
        <v>-0.94099999999999995</v>
      </c>
      <c r="AG250" s="122">
        <f t="shared" si="219"/>
        <v>-0.66600000000000004</v>
      </c>
      <c r="AH250" s="122">
        <f t="shared" si="219"/>
        <v>-1.054</v>
      </c>
      <c r="AI250" s="122">
        <f t="shared" si="219"/>
        <v>2.8650000000000002</v>
      </c>
      <c r="AJ250" s="674">
        <f t="shared" si="219"/>
        <v>0.20399999999999999</v>
      </c>
      <c r="AK250" s="122">
        <f t="shared" si="219"/>
        <v>-3.0779999999999998</v>
      </c>
      <c r="AL250" s="122">
        <f t="shared" si="219"/>
        <v>-0.32200000000000001</v>
      </c>
      <c r="AM250" s="122">
        <f t="shared" si="219"/>
        <v>-2.1819999999999999</v>
      </c>
      <c r="AN250" s="122">
        <f t="shared" si="219"/>
        <v>2.7010000000000001</v>
      </c>
      <c r="AO250" s="674">
        <f t="shared" si="219"/>
        <v>-2.8809999999999998</v>
      </c>
      <c r="AP250" s="122">
        <f t="shared" si="219"/>
        <v>0.246</v>
      </c>
      <c r="AQ250" s="122">
        <f t="shared" si="219"/>
        <v>-3.11</v>
      </c>
      <c r="AR250" s="122">
        <f t="shared" si="219"/>
        <v>13.584</v>
      </c>
      <c r="AS250" s="122">
        <f t="shared" si="219"/>
        <v>-2.0869999999999997</v>
      </c>
      <c r="AT250" s="674">
        <f t="shared" si="219"/>
        <v>8.6329999999999991</v>
      </c>
      <c r="AU250" s="122">
        <f t="shared" si="219"/>
        <v>3.298</v>
      </c>
      <c r="AV250" s="122">
        <f t="shared" si="219"/>
        <v>2.2480000000000002</v>
      </c>
      <c r="AW250" s="122">
        <f t="shared" si="219"/>
        <v>-3.8889999999999998</v>
      </c>
      <c r="AX250" s="122">
        <f t="shared" si="219"/>
        <v>2.3429999999999995</v>
      </c>
      <c r="AY250" s="674">
        <f t="shared" si="219"/>
        <v>4</v>
      </c>
      <c r="AZ250" s="122">
        <f t="shared" si="219"/>
        <v>0</v>
      </c>
      <c r="BA250" s="122">
        <f t="shared" si="219"/>
        <v>-1</v>
      </c>
      <c r="BB250" s="122">
        <f t="shared" si="219"/>
        <v>-95</v>
      </c>
      <c r="BC250" s="122">
        <f t="shared" si="219"/>
        <v>4</v>
      </c>
      <c r="BD250" s="674">
        <f t="shared" si="219"/>
        <v>-92</v>
      </c>
      <c r="BE250" s="122">
        <f t="shared" si="219"/>
        <v>1</v>
      </c>
      <c r="BF250" s="122">
        <f t="shared" si="219"/>
        <v>-103</v>
      </c>
      <c r="BG250" s="122">
        <f t="shared" si="219"/>
        <v>4</v>
      </c>
      <c r="BH250" s="122">
        <f t="shared" si="219"/>
        <v>-3</v>
      </c>
      <c r="BI250" s="674">
        <f t="shared" si="219"/>
        <v>-101</v>
      </c>
      <c r="BJ250" s="1274">
        <f>-BJ186-BJ187</f>
        <v>4</v>
      </c>
      <c r="BK250" s="302">
        <v>-10</v>
      </c>
      <c r="BL250" s="302">
        <v>-10</v>
      </c>
      <c r="BM250" s="302">
        <v>-10</v>
      </c>
      <c r="BN250" s="401">
        <f>SUM(BJ250,BK250,BL250,BM250)</f>
        <v>-26</v>
      </c>
      <c r="BO250" s="302">
        <v>-10</v>
      </c>
      <c r="BP250" s="302">
        <v>-10</v>
      </c>
      <c r="BQ250" s="302">
        <v>-10</v>
      </c>
      <c r="BR250" s="302">
        <v>-10</v>
      </c>
      <c r="BS250" s="401">
        <f>SUM(BO250,BP250,BQ250,BR250)</f>
        <v>-40</v>
      </c>
      <c r="BT250" s="403">
        <v>-40</v>
      </c>
      <c r="BU250" s="403">
        <v>-40</v>
      </c>
      <c r="BV250" s="403">
        <v>-40</v>
      </c>
      <c r="BW250" s="122"/>
    </row>
    <row r="251" spans="1:75" x14ac:dyDescent="0.5">
      <c r="A251" s="516" t="s">
        <v>1171</v>
      </c>
      <c r="B251" s="517"/>
      <c r="C251" s="518"/>
      <c r="D251" s="518"/>
      <c r="E251" s="519">
        <f t="shared" ref="E251:AJ251" si="220">E238-SUM(E249:E250)</f>
        <v>-11.147000000000002</v>
      </c>
      <c r="F251" s="519">
        <f t="shared" si="220"/>
        <v>-21.005000000000006</v>
      </c>
      <c r="G251" s="520">
        <f t="shared" si="220"/>
        <v>-5.7430000000000092</v>
      </c>
      <c r="H251" s="520">
        <f t="shared" si="220"/>
        <v>-2.5999999999999779</v>
      </c>
      <c r="I251" s="520">
        <f t="shared" si="220"/>
        <v>-3.0300000000000162</v>
      </c>
      <c r="J251" s="520">
        <f t="shared" si="220"/>
        <v>-4.1069999999999958</v>
      </c>
      <c r="K251" s="519">
        <f t="shared" si="220"/>
        <v>-15.480000000000006</v>
      </c>
      <c r="L251" s="520">
        <f t="shared" si="220"/>
        <v>-28.011000000000003</v>
      </c>
      <c r="M251" s="520">
        <f t="shared" si="220"/>
        <v>-23.37299999999999</v>
      </c>
      <c r="N251" s="520">
        <f t="shared" si="220"/>
        <v>-24.084000000000003</v>
      </c>
      <c r="O251" s="520">
        <f t="shared" si="220"/>
        <v>-72.45499999999997</v>
      </c>
      <c r="P251" s="519">
        <f t="shared" si="220"/>
        <v>-147.923</v>
      </c>
      <c r="Q251" s="520">
        <f t="shared" si="220"/>
        <v>-27.090000000000039</v>
      </c>
      <c r="R251" s="520">
        <f t="shared" si="220"/>
        <v>-19.260999999999985</v>
      </c>
      <c r="S251" s="520">
        <f t="shared" si="220"/>
        <v>-15.566000000000029</v>
      </c>
      <c r="T251" s="520">
        <f t="shared" si="220"/>
        <v>-15.430999999999971</v>
      </c>
      <c r="U251" s="519">
        <f t="shared" si="220"/>
        <v>-77.3479999999998</v>
      </c>
      <c r="V251" s="520">
        <f t="shared" si="220"/>
        <v>-40.88800000000009</v>
      </c>
      <c r="W251" s="520">
        <f t="shared" si="220"/>
        <v>-47.952999999999989</v>
      </c>
      <c r="X251" s="520">
        <f t="shared" si="220"/>
        <v>-61.02300000000006</v>
      </c>
      <c r="Y251" s="520">
        <f t="shared" si="220"/>
        <v>-43.903000000000041</v>
      </c>
      <c r="Z251" s="519">
        <f t="shared" si="220"/>
        <v>-193.76699999999988</v>
      </c>
      <c r="AA251" s="520">
        <f t="shared" si="220"/>
        <v>-56.328999999999958</v>
      </c>
      <c r="AB251" s="520">
        <f t="shared" si="220"/>
        <v>-38.650999999999961</v>
      </c>
      <c r="AC251" s="520">
        <f t="shared" si="220"/>
        <v>-76.191999999999936</v>
      </c>
      <c r="AD251" s="520">
        <f t="shared" si="220"/>
        <v>-72.955999999999548</v>
      </c>
      <c r="AE251" s="519">
        <f t="shared" si="220"/>
        <v>-244.12799999999953</v>
      </c>
      <c r="AF251" s="520">
        <f t="shared" si="220"/>
        <v>-107.5349999999999</v>
      </c>
      <c r="AG251" s="520">
        <f t="shared" si="220"/>
        <v>-100.46899999999994</v>
      </c>
      <c r="AH251" s="520">
        <f t="shared" si="220"/>
        <v>-151.27800000000008</v>
      </c>
      <c r="AI251" s="520">
        <f t="shared" si="220"/>
        <v>-142.76100000000014</v>
      </c>
      <c r="AJ251" s="519">
        <f t="shared" si="220"/>
        <v>-502.04300000000001</v>
      </c>
      <c r="AK251" s="520">
        <f t="shared" ref="AK251:AW251" si="221">AK238-SUM(AK249:AK250)</f>
        <v>-199.79400000000012</v>
      </c>
      <c r="AL251" s="520">
        <f t="shared" si="221"/>
        <v>-181.10699999999991</v>
      </c>
      <c r="AM251" s="520">
        <f t="shared" si="221"/>
        <v>-271.95899999999995</v>
      </c>
      <c r="AN251" s="520">
        <f t="shared" si="221"/>
        <v>-328.71399999999926</v>
      </c>
      <c r="AO251" s="519">
        <f t="shared" si="221"/>
        <v>-981.57399999999984</v>
      </c>
      <c r="AP251" s="520">
        <f t="shared" si="221"/>
        <v>-284.53199999999998</v>
      </c>
      <c r="AQ251" s="520">
        <f t="shared" si="221"/>
        <v>274.16899999999981</v>
      </c>
      <c r="AR251" s="520">
        <f t="shared" si="221"/>
        <v>171.95500000000038</v>
      </c>
      <c r="AS251" s="520">
        <f t="shared" si="221"/>
        <v>43.727000000000174</v>
      </c>
      <c r="AT251" s="519">
        <f t="shared" si="221"/>
        <v>205.31900000000016</v>
      </c>
      <c r="AU251" s="520">
        <f t="shared" si="221"/>
        <v>16.231999999999985</v>
      </c>
      <c r="AV251" s="520">
        <f t="shared" si="221"/>
        <v>134.55700000000044</v>
      </c>
      <c r="AW251" s="520">
        <f t="shared" si="221"/>
        <v>-74.314999999999998</v>
      </c>
      <c r="AX251" s="520">
        <f t="shared" ref="AX251:BV251" si="222">AX238-SUM(AX249:AX250)</f>
        <v>-206.68600000000066</v>
      </c>
      <c r="AY251" s="519">
        <f t="shared" si="222"/>
        <v>-130</v>
      </c>
      <c r="AZ251" s="520">
        <f t="shared" si="222"/>
        <v>-318</v>
      </c>
      <c r="BA251" s="520">
        <f t="shared" si="222"/>
        <v>-377</v>
      </c>
      <c r="BB251" s="520">
        <f t="shared" si="222"/>
        <v>-282</v>
      </c>
      <c r="BC251" s="520">
        <f t="shared" si="222"/>
        <v>-342</v>
      </c>
      <c r="BD251" s="519">
        <f t="shared" si="222"/>
        <v>-1319</v>
      </c>
      <c r="BE251" s="520">
        <f t="shared" si="222"/>
        <v>-353</v>
      </c>
      <c r="BF251" s="520">
        <f t="shared" si="222"/>
        <v>-44</v>
      </c>
      <c r="BG251" s="520">
        <f t="shared" si="222"/>
        <v>-161</v>
      </c>
      <c r="BH251" s="520">
        <f t="shared" si="222"/>
        <v>-171</v>
      </c>
      <c r="BI251" s="519">
        <f t="shared" si="222"/>
        <v>-729</v>
      </c>
      <c r="BJ251" s="1270">
        <f>BJ238-SUM(BJ249:BJ250)</f>
        <v>-245</v>
      </c>
      <c r="BK251" s="327">
        <f t="shared" si="222"/>
        <v>-191.77531475036511</v>
      </c>
      <c r="BL251" s="327">
        <f t="shared" ca="1" si="222"/>
        <v>-142.41432026102601</v>
      </c>
      <c r="BM251" s="327">
        <f t="shared" ca="1" si="222"/>
        <v>-162.19247555498893</v>
      </c>
      <c r="BN251" s="518">
        <f t="shared" ca="1" si="222"/>
        <v>-741.38211056638102</v>
      </c>
      <c r="BO251" s="327">
        <f t="shared" ca="1" si="222"/>
        <v>-95.78738150588849</v>
      </c>
      <c r="BP251" s="327">
        <f t="shared" ca="1" si="222"/>
        <v>-197.12172710295224</v>
      </c>
      <c r="BQ251" s="327">
        <f t="shared" ca="1" si="222"/>
        <v>-145.23820072135743</v>
      </c>
      <c r="BR251" s="327">
        <f t="shared" ca="1" si="222"/>
        <v>-165.3016311848433</v>
      </c>
      <c r="BS251" s="518">
        <f t="shared" ca="1" si="222"/>
        <v>-603.44894051504161</v>
      </c>
      <c r="BT251" s="518">
        <f t="shared" ca="1" si="222"/>
        <v>-414.06697569620405</v>
      </c>
      <c r="BU251" s="518">
        <f t="shared" ca="1" si="222"/>
        <v>-195.22486494167401</v>
      </c>
      <c r="BV251" s="518">
        <f t="shared" ca="1" si="222"/>
        <v>58.849132962598674</v>
      </c>
      <c r="BW251" s="197"/>
    </row>
    <row r="252" spans="1:75" x14ac:dyDescent="0.5">
      <c r="A252" s="719"/>
      <c r="B252" s="720"/>
      <c r="C252" s="414"/>
      <c r="D252" s="414"/>
      <c r="E252" s="414"/>
      <c r="F252" s="414"/>
      <c r="G252" s="413"/>
      <c r="H252" s="413"/>
      <c r="I252" s="413"/>
      <c r="J252" s="413"/>
      <c r="K252" s="414"/>
      <c r="L252" s="413"/>
      <c r="M252" s="413"/>
      <c r="N252" s="413"/>
      <c r="O252" s="413"/>
      <c r="P252" s="414"/>
      <c r="Q252" s="413"/>
      <c r="R252" s="413"/>
      <c r="S252" s="413"/>
      <c r="T252" s="413"/>
      <c r="U252" s="414"/>
      <c r="V252" s="413"/>
      <c r="W252" s="413"/>
      <c r="X252" s="413"/>
      <c r="Y252" s="413"/>
      <c r="Z252" s="414"/>
      <c r="AA252" s="413"/>
      <c r="AB252" s="413"/>
      <c r="AC252" s="413"/>
      <c r="AD252" s="413"/>
      <c r="AE252" s="414"/>
      <c r="AF252" s="413"/>
      <c r="AG252" s="413"/>
      <c r="AH252" s="413"/>
      <c r="AI252" s="413"/>
      <c r="AJ252" s="414"/>
      <c r="AK252" s="413"/>
      <c r="AL252" s="413"/>
      <c r="AM252" s="413"/>
      <c r="AN252" s="413"/>
      <c r="AO252" s="414"/>
      <c r="AP252" s="413"/>
      <c r="AQ252" s="413"/>
      <c r="AR252" s="413"/>
      <c r="AS252" s="413"/>
      <c r="AT252" s="414"/>
      <c r="AU252" s="413"/>
      <c r="AV252" s="413"/>
      <c r="AW252" s="413"/>
      <c r="AX252" s="413"/>
      <c r="AY252" s="414"/>
      <c r="AZ252" s="413"/>
      <c r="BA252" s="413"/>
      <c r="BB252" s="413"/>
      <c r="BC252" s="413"/>
      <c r="BD252" s="414"/>
      <c r="BE252" s="413"/>
      <c r="BF252" s="413"/>
      <c r="BG252" s="413"/>
      <c r="BH252" s="413"/>
      <c r="BI252" s="414"/>
      <c r="BJ252" s="1216"/>
      <c r="BK252" s="413"/>
      <c r="BL252" s="413"/>
      <c r="BM252" s="413"/>
      <c r="BN252" s="414"/>
      <c r="BO252" s="413"/>
      <c r="BP252" s="413"/>
      <c r="BQ252" s="413"/>
      <c r="BR252" s="413"/>
      <c r="BS252" s="414"/>
      <c r="BT252" s="414"/>
      <c r="BU252" s="414"/>
      <c r="BV252" s="414"/>
      <c r="BW252" s="204"/>
    </row>
    <row r="253" spans="1:75" x14ac:dyDescent="0.5">
      <c r="A253" s="464" t="s">
        <v>1173</v>
      </c>
      <c r="B253" s="513"/>
      <c r="C253" s="401"/>
      <c r="D253" s="401"/>
      <c r="E253" s="674">
        <f t="shared" ref="E253:BI253" si="223">E189-E254</f>
        <v>2.1999999999999999E-2</v>
      </c>
      <c r="F253" s="674">
        <f t="shared" si="223"/>
        <v>0.05</v>
      </c>
      <c r="G253" s="122">
        <f t="shared" si="223"/>
        <v>0</v>
      </c>
      <c r="H253" s="122">
        <f t="shared" si="223"/>
        <v>-5.0000000000000001E-3</v>
      </c>
      <c r="I253" s="122">
        <f t="shared" si="223"/>
        <v>1E-3</v>
      </c>
      <c r="J253" s="122">
        <f t="shared" si="223"/>
        <v>0.05</v>
      </c>
      <c r="K253" s="674">
        <f t="shared" si="223"/>
        <v>4.5999999999999999E-2</v>
      </c>
      <c r="L253" s="122">
        <f t="shared" si="223"/>
        <v>1.4999999999999999E-2</v>
      </c>
      <c r="M253" s="122">
        <f t="shared" si="223"/>
        <v>2E-3</v>
      </c>
      <c r="N253" s="122">
        <f t="shared" si="223"/>
        <v>5.8999999999999997E-2</v>
      </c>
      <c r="O253" s="122">
        <f t="shared" si="223"/>
        <v>9.9000000000000005E-2</v>
      </c>
      <c r="P253" s="674">
        <f t="shared" si="223"/>
        <v>0.17499999999999999</v>
      </c>
      <c r="Q253" s="122">
        <f t="shared" si="223"/>
        <v>4.5999999999999999E-2</v>
      </c>
      <c r="R253" s="122">
        <f t="shared" si="223"/>
        <v>7.2999999999999995E-2</v>
      </c>
      <c r="S253" s="122">
        <f t="shared" si="223"/>
        <v>-8.7999999999999995E-2</v>
      </c>
      <c r="T253" s="122">
        <f t="shared" si="223"/>
        <v>6.4000000000000001E-2</v>
      </c>
      <c r="U253" s="674">
        <f t="shared" si="223"/>
        <v>9.5000000000000001E-2</v>
      </c>
      <c r="V253" s="122">
        <f t="shared" si="223"/>
        <v>0.317</v>
      </c>
      <c r="W253" s="122">
        <f t="shared" si="223"/>
        <v>0.32100000000000001</v>
      </c>
      <c r="X253" s="122">
        <f t="shared" si="223"/>
        <v>-8.3000000000000004E-2</v>
      </c>
      <c r="Y253" s="122">
        <f t="shared" si="223"/>
        <v>5.2999999999999999E-2</v>
      </c>
      <c r="Z253" s="674">
        <f t="shared" si="223"/>
        <v>0.60799999999999998</v>
      </c>
      <c r="AA253" s="122">
        <f t="shared" si="223"/>
        <v>0.21</v>
      </c>
      <c r="AB253" s="122">
        <f t="shared" si="223"/>
        <v>0.224</v>
      </c>
      <c r="AC253" s="122">
        <f t="shared" si="223"/>
        <v>0.23699999999999999</v>
      </c>
      <c r="AD253" s="122">
        <f t="shared" si="223"/>
        <v>-0.18500000000000005</v>
      </c>
      <c r="AE253" s="674">
        <f t="shared" si="223"/>
        <v>0.48599999999999999</v>
      </c>
      <c r="AF253" s="122">
        <f t="shared" si="223"/>
        <v>0.24</v>
      </c>
      <c r="AG253" s="122">
        <f t="shared" si="223"/>
        <v>0.26500000000000001</v>
      </c>
      <c r="AH253" s="122">
        <f t="shared" si="223"/>
        <v>0.44800000000000001</v>
      </c>
      <c r="AI253" s="122">
        <f t="shared" si="223"/>
        <v>1.0839999999999999</v>
      </c>
      <c r="AJ253" s="674">
        <f t="shared" si="223"/>
        <v>2.0369999999999999</v>
      </c>
      <c r="AK253" s="122">
        <f t="shared" si="223"/>
        <v>0.59499999999999997</v>
      </c>
      <c r="AL253" s="122">
        <f t="shared" si="223"/>
        <v>0.83099999999999996</v>
      </c>
      <c r="AM253" s="122">
        <f t="shared" si="223"/>
        <v>7.5999999999999998E-2</v>
      </c>
      <c r="AN253" s="122">
        <f t="shared" si="223"/>
        <v>1.5079999999999998</v>
      </c>
      <c r="AO253" s="674">
        <f t="shared" si="223"/>
        <v>3.01</v>
      </c>
      <c r="AP253" s="122">
        <f t="shared" si="223"/>
        <v>1.333</v>
      </c>
      <c r="AQ253" s="122">
        <f t="shared" si="223"/>
        <v>0.29199999999999998</v>
      </c>
      <c r="AR253" s="122">
        <f t="shared" si="223"/>
        <v>-1.2110000000000001</v>
      </c>
      <c r="AS253" s="122">
        <f t="shared" si="223"/>
        <v>19.908999999999999</v>
      </c>
      <c r="AT253" s="674">
        <f t="shared" si="223"/>
        <v>20.323</v>
      </c>
      <c r="AU253" s="122">
        <f t="shared" si="223"/>
        <v>-2.0019999999999998</v>
      </c>
      <c r="AV253" s="122">
        <f t="shared" si="223"/>
        <v>4.1289999999999996</v>
      </c>
      <c r="AW253" s="122">
        <f t="shared" si="223"/>
        <v>3.706</v>
      </c>
      <c r="AX253" s="122">
        <f t="shared" si="223"/>
        <v>-4.8330000000000002</v>
      </c>
      <c r="AY253" s="674">
        <f t="shared" si="223"/>
        <v>1</v>
      </c>
      <c r="AZ253" s="122">
        <f t="shared" si="223"/>
        <v>1</v>
      </c>
      <c r="BA253" s="122">
        <f t="shared" si="223"/>
        <v>1</v>
      </c>
      <c r="BB253" s="122">
        <f t="shared" si="223"/>
        <v>1</v>
      </c>
      <c r="BC253" s="122">
        <f t="shared" si="223"/>
        <v>9</v>
      </c>
      <c r="BD253" s="674">
        <f t="shared" si="223"/>
        <v>12</v>
      </c>
      <c r="BE253" s="122">
        <f t="shared" si="223"/>
        <v>2</v>
      </c>
      <c r="BF253" s="122">
        <f t="shared" si="223"/>
        <v>2</v>
      </c>
      <c r="BG253" s="122">
        <f t="shared" si="223"/>
        <v>2</v>
      </c>
      <c r="BH253" s="122">
        <f t="shared" si="223"/>
        <v>3</v>
      </c>
      <c r="BI253" s="674">
        <f t="shared" si="223"/>
        <v>9</v>
      </c>
      <c r="BJ253" s="1274">
        <f>BJ189-BJ254</f>
        <v>3</v>
      </c>
      <c r="BK253" s="118">
        <f t="shared" ref="BK253:BM254" si="224">BK266*BK$251</f>
        <v>-3.8355062950073022</v>
      </c>
      <c r="BL253" s="118">
        <f t="shared" ca="1" si="224"/>
        <v>-2.8482864052205201</v>
      </c>
      <c r="BM253" s="118">
        <f t="shared" ca="1" si="224"/>
        <v>-3.2438495110997785</v>
      </c>
      <c r="BN253" s="401">
        <f ca="1">SUM(BJ253,BK253,BL253,BM253)</f>
        <v>-6.9276422113276013</v>
      </c>
      <c r="BO253" s="118">
        <f t="shared" ref="BO253:BR254" ca="1" si="225">BO266*BO$251</f>
        <v>-1.9157476301177698</v>
      </c>
      <c r="BP253" s="118">
        <f t="shared" ca="1" si="225"/>
        <v>-3.9424345420590448</v>
      </c>
      <c r="BQ253" s="118">
        <f t="shared" ca="1" si="225"/>
        <v>-2.9047640144271485</v>
      </c>
      <c r="BR253" s="118">
        <f t="shared" ca="1" si="225"/>
        <v>-3.3060326236968662</v>
      </c>
      <c r="BS253" s="401">
        <f ca="1">SUM(BO253,BP253,BQ253,BR253)</f>
        <v>-12.068978810300829</v>
      </c>
      <c r="BT253" s="401">
        <f ca="1">BT266*BT251</f>
        <v>-8.2813395139240811</v>
      </c>
      <c r="BU253" s="401">
        <f ca="1">BU266*BU251</f>
        <v>-3.9044972988334803</v>
      </c>
      <c r="BV253" s="401">
        <f ca="1">BV266*BV251</f>
        <v>1.1769826592519734</v>
      </c>
      <c r="BW253" s="122"/>
    </row>
    <row r="254" spans="1:75" x14ac:dyDescent="0.5">
      <c r="A254" s="1292" t="s">
        <v>1174</v>
      </c>
      <c r="B254" s="677"/>
      <c r="C254" s="406"/>
      <c r="D254" s="406"/>
      <c r="E254" s="1293">
        <f t="shared" ref="E254:BJ254" si="226">E840</f>
        <v>0</v>
      </c>
      <c r="F254" s="1293">
        <f t="shared" si="226"/>
        <v>0</v>
      </c>
      <c r="G254" s="431">
        <f t="shared" si="226"/>
        <v>0</v>
      </c>
      <c r="H254" s="431">
        <f t="shared" si="226"/>
        <v>0</v>
      </c>
      <c r="I254" s="431">
        <f t="shared" si="226"/>
        <v>0</v>
      </c>
      <c r="J254" s="431">
        <f t="shared" si="226"/>
        <v>0</v>
      </c>
      <c r="K254" s="1293">
        <f t="shared" si="226"/>
        <v>0</v>
      </c>
      <c r="L254" s="431">
        <f t="shared" si="226"/>
        <v>0</v>
      </c>
      <c r="M254" s="431">
        <f t="shared" si="226"/>
        <v>0</v>
      </c>
      <c r="N254" s="431">
        <f t="shared" si="226"/>
        <v>0</v>
      </c>
      <c r="O254" s="431">
        <f t="shared" si="226"/>
        <v>0</v>
      </c>
      <c r="P254" s="1293">
        <f t="shared" si="226"/>
        <v>0</v>
      </c>
      <c r="Q254" s="431">
        <f t="shared" si="226"/>
        <v>0</v>
      </c>
      <c r="R254" s="431">
        <f t="shared" si="226"/>
        <v>0</v>
      </c>
      <c r="S254" s="431">
        <f t="shared" si="226"/>
        <v>0</v>
      </c>
      <c r="T254" s="431">
        <f t="shared" si="226"/>
        <v>0</v>
      </c>
      <c r="U254" s="1293">
        <f t="shared" si="226"/>
        <v>0</v>
      </c>
      <c r="V254" s="431">
        <f t="shared" si="226"/>
        <v>0</v>
      </c>
      <c r="W254" s="431">
        <f t="shared" si="226"/>
        <v>0</v>
      </c>
      <c r="X254" s="431">
        <f t="shared" si="226"/>
        <v>0</v>
      </c>
      <c r="Y254" s="431">
        <f t="shared" si="226"/>
        <v>0</v>
      </c>
      <c r="Z254" s="1293">
        <f t="shared" si="226"/>
        <v>0</v>
      </c>
      <c r="AA254" s="431">
        <f t="shared" si="226"/>
        <v>0</v>
      </c>
      <c r="AB254" s="431">
        <f t="shared" si="226"/>
        <v>0</v>
      </c>
      <c r="AC254" s="431">
        <f t="shared" si="226"/>
        <v>0</v>
      </c>
      <c r="AD254" s="431">
        <f t="shared" si="226"/>
        <v>0</v>
      </c>
      <c r="AE254" s="1293">
        <f t="shared" si="226"/>
        <v>0</v>
      </c>
      <c r="AF254" s="431">
        <f t="shared" si="226"/>
        <v>0</v>
      </c>
      <c r="AG254" s="431">
        <f t="shared" si="226"/>
        <v>0</v>
      </c>
      <c r="AH254" s="431">
        <f t="shared" si="226"/>
        <v>0</v>
      </c>
      <c r="AI254" s="431">
        <f t="shared" si="226"/>
        <v>0</v>
      </c>
      <c r="AJ254" s="1293">
        <f t="shared" si="226"/>
        <v>0</v>
      </c>
      <c r="AK254" s="431">
        <f t="shared" si="226"/>
        <v>0</v>
      </c>
      <c r="AL254" s="431">
        <f t="shared" si="226"/>
        <v>0</v>
      </c>
      <c r="AM254" s="431">
        <f t="shared" si="226"/>
        <v>0</v>
      </c>
      <c r="AN254" s="431">
        <f t="shared" si="226"/>
        <v>0</v>
      </c>
      <c r="AO254" s="1293">
        <f t="shared" si="226"/>
        <v>0</v>
      </c>
      <c r="AP254" s="431">
        <f t="shared" si="226"/>
        <v>0</v>
      </c>
      <c r="AQ254" s="431">
        <f t="shared" si="226"/>
        <v>0</v>
      </c>
      <c r="AR254" s="431">
        <f t="shared" si="226"/>
        <v>0</v>
      </c>
      <c r="AS254" s="431">
        <f t="shared" si="226"/>
        <v>0</v>
      </c>
      <c r="AT254" s="1293">
        <f t="shared" si="226"/>
        <v>0</v>
      </c>
      <c r="AU254" s="431">
        <f t="shared" si="226"/>
        <v>0</v>
      </c>
      <c r="AV254" s="431">
        <f t="shared" si="226"/>
        <v>0</v>
      </c>
      <c r="AW254" s="431">
        <f t="shared" si="226"/>
        <v>0</v>
      </c>
      <c r="AX254" s="431">
        <f t="shared" si="226"/>
        <v>0</v>
      </c>
      <c r="AY254" s="1293">
        <f t="shared" si="226"/>
        <v>0</v>
      </c>
      <c r="AZ254" s="431">
        <f t="shared" si="226"/>
        <v>0</v>
      </c>
      <c r="BA254" s="431">
        <f t="shared" si="226"/>
        <v>0</v>
      </c>
      <c r="BB254" s="431">
        <f t="shared" si="226"/>
        <v>0</v>
      </c>
      <c r="BC254" s="431">
        <f t="shared" si="226"/>
        <v>0</v>
      </c>
      <c r="BD254" s="1293">
        <f t="shared" si="226"/>
        <v>0</v>
      </c>
      <c r="BE254" s="431">
        <f t="shared" si="226"/>
        <v>0</v>
      </c>
      <c r="BF254" s="431">
        <f t="shared" si="226"/>
        <v>0</v>
      </c>
      <c r="BG254" s="431">
        <f t="shared" si="226"/>
        <v>0</v>
      </c>
      <c r="BH254" s="431">
        <f t="shared" si="226"/>
        <v>0</v>
      </c>
      <c r="BI254" s="1293">
        <f t="shared" si="226"/>
        <v>0</v>
      </c>
      <c r="BJ254" s="1294">
        <f t="shared" si="226"/>
        <v>0</v>
      </c>
      <c r="BK254" s="723">
        <f t="shared" si="224"/>
        <v>0</v>
      </c>
      <c r="BL254" s="723">
        <f t="shared" ca="1" si="224"/>
        <v>0</v>
      </c>
      <c r="BM254" s="723">
        <f t="shared" ca="1" si="224"/>
        <v>0</v>
      </c>
      <c r="BN254" s="406">
        <f ca="1">SUM(BJ254,BK254,BL254,BM254)</f>
        <v>0</v>
      </c>
      <c r="BO254" s="723">
        <f t="shared" ca="1" si="225"/>
        <v>0</v>
      </c>
      <c r="BP254" s="723">
        <f t="shared" ca="1" si="225"/>
        <v>0</v>
      </c>
      <c r="BQ254" s="723">
        <f t="shared" ca="1" si="225"/>
        <v>0</v>
      </c>
      <c r="BR254" s="723">
        <f t="shared" ca="1" si="225"/>
        <v>0</v>
      </c>
      <c r="BS254" s="406">
        <f ca="1">SUM(BO254,BP254,BQ254,BR254)</f>
        <v>0</v>
      </c>
      <c r="BT254" s="406">
        <f ca="1">BT267*BT251</f>
        <v>0</v>
      </c>
      <c r="BU254" s="406">
        <f ca="1">BU267*BU251</f>
        <v>0</v>
      </c>
      <c r="BV254" s="406">
        <f ca="1">BV267*BV251</f>
        <v>0</v>
      </c>
      <c r="BW254" s="122"/>
    </row>
    <row r="255" spans="1:75" x14ac:dyDescent="0.5">
      <c r="A255" s="516" t="s">
        <v>1178</v>
      </c>
      <c r="B255" s="517"/>
      <c r="C255" s="518"/>
      <c r="D255" s="518"/>
      <c r="E255" s="519">
        <f t="shared" ref="E255:AJ255" si="227">E251-SUM(E253:E254)</f>
        <v>-11.169000000000002</v>
      </c>
      <c r="F255" s="519">
        <f t="shared" si="227"/>
        <v>-21.055000000000007</v>
      </c>
      <c r="G255" s="520">
        <f t="shared" si="227"/>
        <v>-5.7430000000000092</v>
      </c>
      <c r="H255" s="520">
        <f t="shared" si="227"/>
        <v>-2.594999999999978</v>
      </c>
      <c r="I255" s="520">
        <f t="shared" si="227"/>
        <v>-3.0310000000000161</v>
      </c>
      <c r="J255" s="520">
        <f t="shared" si="227"/>
        <v>-4.1569999999999956</v>
      </c>
      <c r="K255" s="519">
        <f t="shared" si="227"/>
        <v>-15.526000000000005</v>
      </c>
      <c r="L255" s="520">
        <f t="shared" si="227"/>
        <v>-28.026000000000003</v>
      </c>
      <c r="M255" s="520">
        <f t="shared" si="227"/>
        <v>-23.374999999999989</v>
      </c>
      <c r="N255" s="520">
        <f t="shared" si="227"/>
        <v>-24.143000000000004</v>
      </c>
      <c r="O255" s="520">
        <f t="shared" si="227"/>
        <v>-72.553999999999974</v>
      </c>
      <c r="P255" s="519">
        <f t="shared" si="227"/>
        <v>-148.09800000000001</v>
      </c>
      <c r="Q255" s="520">
        <f t="shared" si="227"/>
        <v>-27.136000000000038</v>
      </c>
      <c r="R255" s="520">
        <f t="shared" si="227"/>
        <v>-19.333999999999985</v>
      </c>
      <c r="S255" s="520">
        <f t="shared" si="227"/>
        <v>-15.47800000000003</v>
      </c>
      <c r="T255" s="520">
        <f t="shared" si="227"/>
        <v>-15.494999999999971</v>
      </c>
      <c r="U255" s="519">
        <f t="shared" si="227"/>
        <v>-77.442999999999799</v>
      </c>
      <c r="V255" s="520">
        <f t="shared" si="227"/>
        <v>-41.205000000000091</v>
      </c>
      <c r="W255" s="520">
        <f t="shared" si="227"/>
        <v>-48.273999999999987</v>
      </c>
      <c r="X255" s="520">
        <f t="shared" si="227"/>
        <v>-60.940000000000062</v>
      </c>
      <c r="Y255" s="520">
        <f t="shared" si="227"/>
        <v>-43.956000000000039</v>
      </c>
      <c r="Z255" s="519">
        <f t="shared" si="227"/>
        <v>-194.37499999999989</v>
      </c>
      <c r="AA255" s="520">
        <f t="shared" si="227"/>
        <v>-56.538999999999959</v>
      </c>
      <c r="AB255" s="520">
        <f t="shared" si="227"/>
        <v>-38.874999999999957</v>
      </c>
      <c r="AC255" s="520">
        <f t="shared" si="227"/>
        <v>-76.428999999999931</v>
      </c>
      <c r="AD255" s="520">
        <f t="shared" si="227"/>
        <v>-72.770999999999546</v>
      </c>
      <c r="AE255" s="519">
        <f t="shared" si="227"/>
        <v>-244.61399999999952</v>
      </c>
      <c r="AF255" s="520">
        <f t="shared" si="227"/>
        <v>-107.77499999999989</v>
      </c>
      <c r="AG255" s="520">
        <f t="shared" si="227"/>
        <v>-100.73399999999994</v>
      </c>
      <c r="AH255" s="520">
        <f t="shared" si="227"/>
        <v>-151.72600000000008</v>
      </c>
      <c r="AI255" s="520">
        <f t="shared" si="227"/>
        <v>-143.84500000000014</v>
      </c>
      <c r="AJ255" s="519">
        <f t="shared" si="227"/>
        <v>-504.08</v>
      </c>
      <c r="AK255" s="520">
        <f t="shared" ref="AK255:AQ255" si="228">AK251-SUM(AK253:AK254)</f>
        <v>-200.38900000000012</v>
      </c>
      <c r="AL255" s="520">
        <f t="shared" si="228"/>
        <v>-181.9379999999999</v>
      </c>
      <c r="AM255" s="520">
        <f t="shared" si="228"/>
        <v>-272.03499999999997</v>
      </c>
      <c r="AN255" s="520">
        <f t="shared" si="228"/>
        <v>-330.22199999999924</v>
      </c>
      <c r="AO255" s="519">
        <f t="shared" si="228"/>
        <v>-984.58399999999983</v>
      </c>
      <c r="AP255" s="520">
        <f t="shared" si="228"/>
        <v>-285.86500000000001</v>
      </c>
      <c r="AQ255" s="520">
        <f t="shared" si="228"/>
        <v>273.87699999999984</v>
      </c>
      <c r="AR255" s="520">
        <f t="shared" ref="AR255:BV255" si="229">AR251-SUM(AR253:AR254)</f>
        <v>173.16600000000039</v>
      </c>
      <c r="AS255" s="520">
        <f t="shared" si="229"/>
        <v>23.818000000000175</v>
      </c>
      <c r="AT255" s="519">
        <f t="shared" si="229"/>
        <v>184.99600000000015</v>
      </c>
      <c r="AU255" s="520">
        <f t="shared" si="229"/>
        <v>18.233999999999984</v>
      </c>
      <c r="AV255" s="520">
        <f t="shared" si="229"/>
        <v>130.42800000000045</v>
      </c>
      <c r="AW255" s="520">
        <f t="shared" si="229"/>
        <v>-78.021000000000001</v>
      </c>
      <c r="AX255" s="520">
        <f t="shared" si="229"/>
        <v>-201.85300000000066</v>
      </c>
      <c r="AY255" s="519">
        <f t="shared" si="229"/>
        <v>-131</v>
      </c>
      <c r="AZ255" s="520">
        <f t="shared" si="229"/>
        <v>-319</v>
      </c>
      <c r="BA255" s="520">
        <f t="shared" si="229"/>
        <v>-378</v>
      </c>
      <c r="BB255" s="520">
        <f t="shared" si="229"/>
        <v>-283</v>
      </c>
      <c r="BC255" s="520">
        <f t="shared" si="229"/>
        <v>-351</v>
      </c>
      <c r="BD255" s="519">
        <f t="shared" si="229"/>
        <v>-1331</v>
      </c>
      <c r="BE255" s="520">
        <f t="shared" si="229"/>
        <v>-355</v>
      </c>
      <c r="BF255" s="520">
        <f t="shared" si="229"/>
        <v>-46</v>
      </c>
      <c r="BG255" s="520">
        <f t="shared" si="229"/>
        <v>-163</v>
      </c>
      <c r="BH255" s="520">
        <f t="shared" si="229"/>
        <v>-174</v>
      </c>
      <c r="BI255" s="519">
        <f t="shared" si="229"/>
        <v>-738</v>
      </c>
      <c r="BJ255" s="1270">
        <f>BJ251-SUM(BJ253:BJ254)</f>
        <v>-248</v>
      </c>
      <c r="BK255" s="327">
        <f t="shared" si="229"/>
        <v>-187.93980845535782</v>
      </c>
      <c r="BL255" s="327">
        <f t="shared" ca="1" si="229"/>
        <v>-139.56603385580547</v>
      </c>
      <c r="BM255" s="327">
        <f t="shared" ca="1" si="229"/>
        <v>-158.94862604388916</v>
      </c>
      <c r="BN255" s="518">
        <f t="shared" ca="1" si="229"/>
        <v>-734.45446835505345</v>
      </c>
      <c r="BO255" s="327">
        <f t="shared" ca="1" si="229"/>
        <v>-93.871633875770726</v>
      </c>
      <c r="BP255" s="327">
        <f t="shared" ca="1" si="229"/>
        <v>-193.1792925608932</v>
      </c>
      <c r="BQ255" s="327">
        <f t="shared" ca="1" si="229"/>
        <v>-142.33343670693029</v>
      </c>
      <c r="BR255" s="327">
        <f t="shared" ca="1" si="229"/>
        <v>-161.99559856114644</v>
      </c>
      <c r="BS255" s="518">
        <f t="shared" ca="1" si="229"/>
        <v>-591.37996170474082</v>
      </c>
      <c r="BT255" s="518">
        <f t="shared" ca="1" si="229"/>
        <v>-405.78563618227997</v>
      </c>
      <c r="BU255" s="518">
        <f t="shared" ca="1" si="229"/>
        <v>-191.32036764284052</v>
      </c>
      <c r="BV255" s="518">
        <f t="shared" ca="1" si="229"/>
        <v>57.672150303346697</v>
      </c>
      <c r="BW255" s="197"/>
    </row>
    <row r="256" spans="1:75" x14ac:dyDescent="0.5">
      <c r="A256" s="464" t="s">
        <v>1180</v>
      </c>
      <c r="B256" s="513"/>
      <c r="C256" s="401"/>
      <c r="D256" s="401"/>
      <c r="E256" s="401"/>
      <c r="F256" s="401"/>
      <c r="G256" s="118"/>
      <c r="H256" s="118"/>
      <c r="I256" s="118"/>
      <c r="J256" s="118"/>
      <c r="K256" s="401"/>
      <c r="L256" s="118"/>
      <c r="M256" s="118"/>
      <c r="N256" s="118"/>
      <c r="O256" s="118"/>
      <c r="P256" s="401"/>
      <c r="Q256" s="118"/>
      <c r="R256" s="118"/>
      <c r="S256" s="118"/>
      <c r="T256" s="118"/>
      <c r="U256" s="401"/>
      <c r="V256" s="118"/>
      <c r="W256" s="118"/>
      <c r="X256" s="118"/>
      <c r="Y256" s="118"/>
      <c r="Z256" s="401"/>
      <c r="AA256" s="118"/>
      <c r="AB256" s="118"/>
      <c r="AC256" s="118"/>
      <c r="AD256" s="118"/>
      <c r="AE256" s="401"/>
      <c r="AF256" s="118"/>
      <c r="AG256" s="118"/>
      <c r="AH256" s="118"/>
      <c r="AI256" s="118"/>
      <c r="AJ256" s="401"/>
      <c r="AK256" s="118"/>
      <c r="AL256" s="118"/>
      <c r="AM256" s="118"/>
      <c r="AN256" s="118"/>
      <c r="AO256" s="401"/>
      <c r="AP256" s="118"/>
      <c r="AQ256" s="118"/>
      <c r="AR256" s="118"/>
      <c r="AS256" s="118"/>
      <c r="AT256" s="401"/>
      <c r="AU256" s="118"/>
      <c r="AV256" s="118"/>
      <c r="AW256" s="118"/>
      <c r="AX256" s="118"/>
      <c r="AY256" s="401"/>
      <c r="AZ256" s="118"/>
      <c r="BA256" s="118"/>
      <c r="BB256" s="118"/>
      <c r="BC256" s="118"/>
      <c r="BD256" s="401"/>
      <c r="BE256" s="118"/>
      <c r="BF256" s="118"/>
      <c r="BG256" s="118"/>
      <c r="BH256" s="118"/>
      <c r="BI256" s="401"/>
      <c r="BJ256" s="971"/>
      <c r="BK256" s="118"/>
      <c r="BL256" s="118"/>
      <c r="BM256" s="118"/>
      <c r="BN256" s="401">
        <f>SUM(BJ256,BK256,BL256,BM256)</f>
        <v>0</v>
      </c>
      <c r="BO256" s="118"/>
      <c r="BP256" s="118"/>
      <c r="BQ256" s="118"/>
      <c r="BR256" s="118"/>
      <c r="BS256" s="401">
        <f>SUM(BO256,BP256,BQ256,BR256)</f>
        <v>0</v>
      </c>
      <c r="BT256" s="401"/>
      <c r="BU256" s="401"/>
      <c r="BV256" s="401"/>
      <c r="BW256" s="122"/>
    </row>
    <row r="257" spans="1:75" x14ac:dyDescent="0.5">
      <c r="A257" s="464" t="s">
        <v>1183</v>
      </c>
      <c r="B257" s="513"/>
      <c r="C257" s="401"/>
      <c r="D257" s="401"/>
      <c r="E257" s="401"/>
      <c r="F257" s="401"/>
      <c r="G257" s="118"/>
      <c r="H257" s="118"/>
      <c r="I257" s="118"/>
      <c r="J257" s="118"/>
      <c r="K257" s="401"/>
      <c r="L257" s="118"/>
      <c r="M257" s="118"/>
      <c r="N257" s="118"/>
      <c r="O257" s="118"/>
      <c r="P257" s="401"/>
      <c r="Q257" s="118"/>
      <c r="R257" s="118"/>
      <c r="S257" s="118"/>
      <c r="T257" s="118"/>
      <c r="U257" s="401"/>
      <c r="V257" s="118"/>
      <c r="W257" s="118"/>
      <c r="X257" s="118"/>
      <c r="Y257" s="118"/>
      <c r="Z257" s="401"/>
      <c r="AA257" s="118"/>
      <c r="AB257" s="118"/>
      <c r="AC257" s="118"/>
      <c r="AD257" s="118"/>
      <c r="AE257" s="401"/>
      <c r="AF257" s="118"/>
      <c r="AG257" s="118"/>
      <c r="AH257" s="118"/>
      <c r="AI257" s="118"/>
      <c r="AJ257" s="401"/>
      <c r="AK257" s="118"/>
      <c r="AL257" s="118"/>
      <c r="AM257" s="118"/>
      <c r="AN257" s="118"/>
      <c r="AO257" s="401"/>
      <c r="AP257" s="118"/>
      <c r="AQ257" s="118"/>
      <c r="AR257" s="118"/>
      <c r="AS257" s="118"/>
      <c r="AT257" s="401"/>
      <c r="AU257" s="118"/>
      <c r="AV257" s="118"/>
      <c r="AW257" s="118"/>
      <c r="AX257" s="118"/>
      <c r="AY257" s="401"/>
      <c r="AZ257" s="118"/>
      <c r="BA257" s="118"/>
      <c r="BB257" s="118"/>
      <c r="BC257" s="118"/>
      <c r="BD257" s="401"/>
      <c r="BE257" s="118"/>
      <c r="BF257" s="118"/>
      <c r="BG257" s="118"/>
      <c r="BH257" s="118"/>
      <c r="BI257" s="401"/>
      <c r="BJ257" s="971"/>
      <c r="BK257" s="118"/>
      <c r="BL257" s="118"/>
      <c r="BM257" s="118"/>
      <c r="BN257" s="401">
        <f>SUM(BJ257,BK257,BL257,BM257)</f>
        <v>0</v>
      </c>
      <c r="BO257" s="118"/>
      <c r="BP257" s="118"/>
      <c r="BQ257" s="118"/>
      <c r="BR257" s="118"/>
      <c r="BS257" s="401">
        <f>SUM(BO257,BP257,BQ257,BR257)</f>
        <v>0</v>
      </c>
      <c r="BT257" s="401"/>
      <c r="BU257" s="401"/>
      <c r="BV257" s="401"/>
      <c r="BW257" s="122"/>
    </row>
    <row r="258" spans="1:75" x14ac:dyDescent="0.5">
      <c r="A258" s="445" t="s">
        <v>1186</v>
      </c>
      <c r="B258" s="677"/>
      <c r="C258" s="406"/>
      <c r="D258" s="406"/>
      <c r="E258" s="406">
        <f t="shared" ref="E258:BI258" si="230">-E191</f>
        <v>9.3369999999999997</v>
      </c>
      <c r="F258" s="406">
        <f t="shared" si="230"/>
        <v>12.154</v>
      </c>
      <c r="G258" s="723">
        <f t="shared" si="230"/>
        <v>11.416</v>
      </c>
      <c r="H258" s="723">
        <f t="shared" si="230"/>
        <v>4.532</v>
      </c>
      <c r="I258" s="723">
        <f t="shared" si="230"/>
        <v>4.673</v>
      </c>
      <c r="J258" s="723">
        <f t="shared" si="230"/>
        <v>4.7669999999999995</v>
      </c>
      <c r="K258" s="406">
        <f t="shared" si="230"/>
        <v>25.388000000000002</v>
      </c>
      <c r="L258" s="723">
        <f t="shared" si="230"/>
        <v>7.15</v>
      </c>
      <c r="M258" s="723">
        <f t="shared" si="230"/>
        <v>4.6050000000000004</v>
      </c>
      <c r="N258" s="723">
        <f t="shared" si="230"/>
        <v>4.7480000000000002</v>
      </c>
      <c r="O258" s="723">
        <f t="shared" si="230"/>
        <v>-14.432</v>
      </c>
      <c r="P258" s="406">
        <f t="shared" si="230"/>
        <v>2.0710000000000002</v>
      </c>
      <c r="Q258" s="723">
        <f t="shared" si="230"/>
        <v>0</v>
      </c>
      <c r="R258" s="723">
        <f t="shared" si="230"/>
        <v>0</v>
      </c>
      <c r="S258" s="723">
        <f t="shared" si="230"/>
        <v>0</v>
      </c>
      <c r="T258" s="723">
        <f t="shared" si="230"/>
        <v>0</v>
      </c>
      <c r="U258" s="406">
        <f t="shared" si="230"/>
        <v>0</v>
      </c>
      <c r="V258" s="723">
        <f t="shared" si="230"/>
        <v>0</v>
      </c>
      <c r="W258" s="723">
        <f t="shared" si="230"/>
        <v>0</v>
      </c>
      <c r="X258" s="723">
        <f t="shared" si="230"/>
        <v>0</v>
      </c>
      <c r="Y258" s="723">
        <f t="shared" si="230"/>
        <v>0</v>
      </c>
      <c r="Z258" s="406">
        <f t="shared" si="230"/>
        <v>0</v>
      </c>
      <c r="AA258" s="723">
        <f t="shared" si="230"/>
        <v>0</v>
      </c>
      <c r="AB258" s="723">
        <f t="shared" si="230"/>
        <v>0</v>
      </c>
      <c r="AC258" s="723">
        <f t="shared" si="230"/>
        <v>0</v>
      </c>
      <c r="AD258" s="723">
        <f t="shared" si="230"/>
        <v>0</v>
      </c>
      <c r="AE258" s="406">
        <f t="shared" si="230"/>
        <v>0</v>
      </c>
      <c r="AF258" s="723">
        <f t="shared" si="230"/>
        <v>0</v>
      </c>
      <c r="AG258" s="723">
        <f t="shared" si="230"/>
        <v>0</v>
      </c>
      <c r="AH258" s="723">
        <f t="shared" si="230"/>
        <v>0</v>
      </c>
      <c r="AI258" s="723">
        <f t="shared" si="230"/>
        <v>0</v>
      </c>
      <c r="AJ258" s="406">
        <f t="shared" si="230"/>
        <v>0</v>
      </c>
      <c r="AK258" s="723">
        <f t="shared" si="230"/>
        <v>0</v>
      </c>
      <c r="AL258" s="723">
        <f t="shared" si="230"/>
        <v>0</v>
      </c>
      <c r="AM258" s="723">
        <f t="shared" si="230"/>
        <v>0</v>
      </c>
      <c r="AN258" s="723">
        <f t="shared" si="230"/>
        <v>0</v>
      </c>
      <c r="AO258" s="406">
        <f t="shared" si="230"/>
        <v>0</v>
      </c>
      <c r="AP258" s="723">
        <f t="shared" si="230"/>
        <v>0</v>
      </c>
      <c r="AQ258" s="723">
        <f t="shared" si="230"/>
        <v>0</v>
      </c>
      <c r="AR258" s="723">
        <f t="shared" si="230"/>
        <v>0</v>
      </c>
      <c r="AS258" s="723">
        <f t="shared" si="230"/>
        <v>0</v>
      </c>
      <c r="AT258" s="406">
        <f t="shared" si="230"/>
        <v>0</v>
      </c>
      <c r="AU258" s="723">
        <f t="shared" si="230"/>
        <v>0</v>
      </c>
      <c r="AV258" s="723">
        <f t="shared" si="230"/>
        <v>0</v>
      </c>
      <c r="AW258" s="723">
        <f t="shared" si="230"/>
        <v>0</v>
      </c>
      <c r="AX258" s="723">
        <f t="shared" si="230"/>
        <v>0</v>
      </c>
      <c r="AY258" s="406">
        <f t="shared" si="230"/>
        <v>0</v>
      </c>
      <c r="AZ258" s="723">
        <f t="shared" si="230"/>
        <v>0</v>
      </c>
      <c r="BA258" s="723">
        <f t="shared" si="230"/>
        <v>0</v>
      </c>
      <c r="BB258" s="723">
        <f t="shared" si="230"/>
        <v>0</v>
      </c>
      <c r="BC258" s="723">
        <f t="shared" si="230"/>
        <v>0</v>
      </c>
      <c r="BD258" s="406">
        <f t="shared" si="230"/>
        <v>0</v>
      </c>
      <c r="BE258" s="723">
        <f t="shared" si="230"/>
        <v>0</v>
      </c>
      <c r="BF258" s="723">
        <f t="shared" si="230"/>
        <v>0</v>
      </c>
      <c r="BG258" s="723">
        <f t="shared" si="230"/>
        <v>0</v>
      </c>
      <c r="BH258" s="723">
        <f t="shared" si="230"/>
        <v>0</v>
      </c>
      <c r="BI258" s="406">
        <f t="shared" si="230"/>
        <v>0</v>
      </c>
      <c r="BJ258" s="1049">
        <f>-BJ191</f>
        <v>0</v>
      </c>
      <c r="BK258" s="357">
        <v>0</v>
      </c>
      <c r="BL258" s="357">
        <v>0</v>
      </c>
      <c r="BM258" s="357">
        <v>0</v>
      </c>
      <c r="BN258" s="406">
        <f>SUM(BJ258,BK258,BL258,BM258)</f>
        <v>0</v>
      </c>
      <c r="BO258" s="357">
        <v>0</v>
      </c>
      <c r="BP258" s="357">
        <v>0</v>
      </c>
      <c r="BQ258" s="357">
        <v>0</v>
      </c>
      <c r="BR258" s="357">
        <v>0</v>
      </c>
      <c r="BS258" s="406">
        <f>SUM(BO258,BP258,BQ258,BR258)</f>
        <v>0</v>
      </c>
      <c r="BT258" s="408">
        <v>0</v>
      </c>
      <c r="BU258" s="408">
        <v>0</v>
      </c>
      <c r="BV258" s="408">
        <v>0</v>
      </c>
      <c r="BW258" s="122"/>
    </row>
    <row r="259" spans="1:75" x14ac:dyDescent="0.5">
      <c r="A259" s="516" t="s">
        <v>2321</v>
      </c>
      <c r="B259" s="517"/>
      <c r="C259" s="518"/>
      <c r="D259" s="518"/>
      <c r="E259" s="519">
        <f t="shared" ref="E259:AJ259" si="231">E255-SUM(E256:E258)</f>
        <v>-20.506</v>
      </c>
      <c r="F259" s="519">
        <f t="shared" si="231"/>
        <v>-33.209000000000003</v>
      </c>
      <c r="G259" s="520">
        <f t="shared" si="231"/>
        <v>-17.15900000000001</v>
      </c>
      <c r="H259" s="520">
        <f t="shared" si="231"/>
        <v>-7.1269999999999776</v>
      </c>
      <c r="I259" s="520">
        <f t="shared" si="231"/>
        <v>-7.7040000000000166</v>
      </c>
      <c r="J259" s="520">
        <f t="shared" si="231"/>
        <v>-8.9239999999999959</v>
      </c>
      <c r="K259" s="519">
        <f t="shared" si="231"/>
        <v>-40.914000000000009</v>
      </c>
      <c r="L259" s="520">
        <f t="shared" si="231"/>
        <v>-35.176000000000002</v>
      </c>
      <c r="M259" s="520">
        <f t="shared" si="231"/>
        <v>-27.97999999999999</v>
      </c>
      <c r="N259" s="520">
        <f t="shared" si="231"/>
        <v>-28.891000000000005</v>
      </c>
      <c r="O259" s="520">
        <f t="shared" si="231"/>
        <v>-58.121999999999971</v>
      </c>
      <c r="P259" s="519">
        <f t="shared" si="231"/>
        <v>-150.16900000000001</v>
      </c>
      <c r="Q259" s="520">
        <f t="shared" si="231"/>
        <v>-27.136000000000038</v>
      </c>
      <c r="R259" s="520">
        <f t="shared" si="231"/>
        <v>-19.333999999999985</v>
      </c>
      <c r="S259" s="520">
        <f t="shared" si="231"/>
        <v>-15.47800000000003</v>
      </c>
      <c r="T259" s="520">
        <f t="shared" si="231"/>
        <v>-15.494999999999971</v>
      </c>
      <c r="U259" s="519">
        <f t="shared" si="231"/>
        <v>-77.442999999999799</v>
      </c>
      <c r="V259" s="520">
        <f t="shared" si="231"/>
        <v>-41.205000000000091</v>
      </c>
      <c r="W259" s="520">
        <f t="shared" si="231"/>
        <v>-48.273999999999987</v>
      </c>
      <c r="X259" s="520">
        <f t="shared" si="231"/>
        <v>-60.940000000000062</v>
      </c>
      <c r="Y259" s="520">
        <f t="shared" si="231"/>
        <v>-43.956000000000039</v>
      </c>
      <c r="Z259" s="519">
        <f t="shared" si="231"/>
        <v>-194.37499999999989</v>
      </c>
      <c r="AA259" s="520">
        <f t="shared" si="231"/>
        <v>-56.538999999999959</v>
      </c>
      <c r="AB259" s="520">
        <f t="shared" si="231"/>
        <v>-38.874999999999957</v>
      </c>
      <c r="AC259" s="520">
        <f t="shared" si="231"/>
        <v>-76.428999999999931</v>
      </c>
      <c r="AD259" s="520">
        <f t="shared" si="231"/>
        <v>-72.770999999999546</v>
      </c>
      <c r="AE259" s="519">
        <f t="shared" si="231"/>
        <v>-244.61399999999952</v>
      </c>
      <c r="AF259" s="520">
        <f t="shared" si="231"/>
        <v>-107.77499999999989</v>
      </c>
      <c r="AG259" s="520">
        <f t="shared" si="231"/>
        <v>-100.73399999999994</v>
      </c>
      <c r="AH259" s="520">
        <f t="shared" si="231"/>
        <v>-151.72600000000008</v>
      </c>
      <c r="AI259" s="520">
        <f t="shared" si="231"/>
        <v>-143.84500000000014</v>
      </c>
      <c r="AJ259" s="519">
        <f t="shared" si="231"/>
        <v>-504.08</v>
      </c>
      <c r="AK259" s="520">
        <f t="shared" ref="AK259:AQ259" si="232">AK255-SUM(AK256:AK258)</f>
        <v>-200.38900000000012</v>
      </c>
      <c r="AL259" s="520">
        <f t="shared" si="232"/>
        <v>-181.9379999999999</v>
      </c>
      <c r="AM259" s="520">
        <f t="shared" si="232"/>
        <v>-272.03499999999997</v>
      </c>
      <c r="AN259" s="520">
        <f t="shared" si="232"/>
        <v>-330.22199999999924</v>
      </c>
      <c r="AO259" s="519">
        <f t="shared" si="232"/>
        <v>-984.58399999999983</v>
      </c>
      <c r="AP259" s="520">
        <f t="shared" si="232"/>
        <v>-285.86500000000001</v>
      </c>
      <c r="AQ259" s="520">
        <f t="shared" si="232"/>
        <v>273.87699999999984</v>
      </c>
      <c r="AR259" s="520">
        <f t="shared" ref="AR259:BV259" si="233">AR255-SUM(AR256:AR258)</f>
        <v>173.16600000000039</v>
      </c>
      <c r="AS259" s="520">
        <f t="shared" si="233"/>
        <v>23.818000000000175</v>
      </c>
      <c r="AT259" s="519">
        <f t="shared" si="233"/>
        <v>184.99600000000015</v>
      </c>
      <c r="AU259" s="520">
        <f t="shared" si="233"/>
        <v>18.233999999999984</v>
      </c>
      <c r="AV259" s="520">
        <f t="shared" si="233"/>
        <v>130.42800000000045</v>
      </c>
      <c r="AW259" s="520">
        <f t="shared" si="233"/>
        <v>-78.021000000000001</v>
      </c>
      <c r="AX259" s="520">
        <f t="shared" si="233"/>
        <v>-201.85300000000066</v>
      </c>
      <c r="AY259" s="519">
        <f t="shared" si="233"/>
        <v>-131</v>
      </c>
      <c r="AZ259" s="520">
        <f t="shared" si="233"/>
        <v>-319</v>
      </c>
      <c r="BA259" s="520">
        <f t="shared" si="233"/>
        <v>-378</v>
      </c>
      <c r="BB259" s="520">
        <f t="shared" si="233"/>
        <v>-283</v>
      </c>
      <c r="BC259" s="520">
        <f t="shared" si="233"/>
        <v>-351</v>
      </c>
      <c r="BD259" s="519">
        <f t="shared" si="233"/>
        <v>-1331</v>
      </c>
      <c r="BE259" s="520">
        <f t="shared" si="233"/>
        <v>-355</v>
      </c>
      <c r="BF259" s="520">
        <f t="shared" si="233"/>
        <v>-46</v>
      </c>
      <c r="BG259" s="520">
        <f t="shared" si="233"/>
        <v>-163</v>
      </c>
      <c r="BH259" s="520">
        <f t="shared" si="233"/>
        <v>-174</v>
      </c>
      <c r="BI259" s="519">
        <f t="shared" si="233"/>
        <v>-738</v>
      </c>
      <c r="BJ259" s="1270">
        <f>BJ255-SUM(BJ256:BJ258)</f>
        <v>-248</v>
      </c>
      <c r="BK259" s="327">
        <f t="shared" si="233"/>
        <v>-187.93980845535782</v>
      </c>
      <c r="BL259" s="327">
        <f t="shared" ca="1" si="233"/>
        <v>-139.56603385580547</v>
      </c>
      <c r="BM259" s="327">
        <f t="shared" ca="1" si="233"/>
        <v>-158.94862604388916</v>
      </c>
      <c r="BN259" s="518">
        <f t="shared" ca="1" si="233"/>
        <v>-734.45446835505345</v>
      </c>
      <c r="BO259" s="327">
        <f t="shared" ca="1" si="233"/>
        <v>-93.871633875770726</v>
      </c>
      <c r="BP259" s="327">
        <f t="shared" ca="1" si="233"/>
        <v>-193.1792925608932</v>
      </c>
      <c r="BQ259" s="327">
        <f t="shared" ca="1" si="233"/>
        <v>-142.33343670693029</v>
      </c>
      <c r="BR259" s="327">
        <f t="shared" ca="1" si="233"/>
        <v>-161.99559856114644</v>
      </c>
      <c r="BS259" s="518">
        <f t="shared" ca="1" si="233"/>
        <v>-591.37996170474082</v>
      </c>
      <c r="BT259" s="518">
        <f t="shared" ca="1" si="233"/>
        <v>-405.78563618227997</v>
      </c>
      <c r="BU259" s="518">
        <f t="shared" ca="1" si="233"/>
        <v>-191.32036764284052</v>
      </c>
      <c r="BV259" s="518">
        <f t="shared" ca="1" si="233"/>
        <v>57.672150303346697</v>
      </c>
      <c r="BW259" s="197"/>
    </row>
    <row r="260" spans="1:75" x14ac:dyDescent="0.5">
      <c r="A260" s="544" t="s">
        <v>2322</v>
      </c>
      <c r="B260" s="725"/>
      <c r="C260" s="726"/>
      <c r="D260" s="726"/>
      <c r="E260" s="1479">
        <f t="shared" ref="E260:BI260" si="234">-E192</f>
        <v>0</v>
      </c>
      <c r="F260" s="1479">
        <f t="shared" si="234"/>
        <v>0</v>
      </c>
      <c r="G260" s="1480">
        <f t="shared" si="234"/>
        <v>0</v>
      </c>
      <c r="H260" s="1480">
        <f t="shared" si="234"/>
        <v>0</v>
      </c>
      <c r="I260" s="1480">
        <f t="shared" si="234"/>
        <v>0</v>
      </c>
      <c r="J260" s="1480">
        <f t="shared" si="234"/>
        <v>0</v>
      </c>
      <c r="K260" s="1479">
        <f t="shared" si="234"/>
        <v>0</v>
      </c>
      <c r="L260" s="1480">
        <f t="shared" si="234"/>
        <v>0</v>
      </c>
      <c r="M260" s="1480">
        <f t="shared" si="234"/>
        <v>0</v>
      </c>
      <c r="N260" s="1480">
        <f t="shared" si="234"/>
        <v>0</v>
      </c>
      <c r="O260" s="1480">
        <f t="shared" si="234"/>
        <v>0</v>
      </c>
      <c r="P260" s="1479">
        <f t="shared" si="234"/>
        <v>0</v>
      </c>
      <c r="Q260" s="1480">
        <f t="shared" si="234"/>
        <v>0</v>
      </c>
      <c r="R260" s="1480">
        <f t="shared" si="234"/>
        <v>0</v>
      </c>
      <c r="S260" s="1480">
        <f t="shared" si="234"/>
        <v>0</v>
      </c>
      <c r="T260" s="1480">
        <f t="shared" si="234"/>
        <v>0</v>
      </c>
      <c r="U260" s="1479">
        <f t="shared" si="234"/>
        <v>0</v>
      </c>
      <c r="V260" s="1480">
        <f t="shared" si="234"/>
        <v>0</v>
      </c>
      <c r="W260" s="1480">
        <f t="shared" si="234"/>
        <v>0</v>
      </c>
      <c r="X260" s="1480">
        <f t="shared" si="234"/>
        <v>0</v>
      </c>
      <c r="Y260" s="1480">
        <f t="shared" si="234"/>
        <v>0</v>
      </c>
      <c r="Z260" s="1479">
        <f t="shared" si="234"/>
        <v>0</v>
      </c>
      <c r="AA260" s="1480">
        <f t="shared" si="234"/>
        <v>0</v>
      </c>
      <c r="AB260" s="1480">
        <f t="shared" si="234"/>
        <v>0</v>
      </c>
      <c r="AC260" s="1480">
        <f t="shared" si="234"/>
        <v>0</v>
      </c>
      <c r="AD260" s="1480">
        <f t="shared" si="234"/>
        <v>0</v>
      </c>
      <c r="AE260" s="1479">
        <f t="shared" si="234"/>
        <v>0</v>
      </c>
      <c r="AF260" s="1480">
        <f t="shared" si="234"/>
        <v>0</v>
      </c>
      <c r="AG260" s="1480">
        <f t="shared" si="234"/>
        <v>0</v>
      </c>
      <c r="AH260" s="1480">
        <f t="shared" si="234"/>
        <v>0</v>
      </c>
      <c r="AI260" s="1480">
        <f t="shared" si="234"/>
        <v>0</v>
      </c>
      <c r="AJ260" s="1479">
        <f t="shared" si="234"/>
        <v>0</v>
      </c>
      <c r="AK260" s="1480">
        <f t="shared" si="234"/>
        <v>0</v>
      </c>
      <c r="AL260" s="1480">
        <f t="shared" si="234"/>
        <v>0</v>
      </c>
      <c r="AM260" s="1480">
        <f t="shared" si="234"/>
        <v>0</v>
      </c>
      <c r="AN260" s="1480">
        <f t="shared" si="234"/>
        <v>0</v>
      </c>
      <c r="AO260" s="1479">
        <f t="shared" si="234"/>
        <v>0</v>
      </c>
      <c r="AP260" s="1480">
        <f t="shared" si="234"/>
        <v>0</v>
      </c>
      <c r="AQ260" s="1480">
        <f t="shared" si="234"/>
        <v>-30.195</v>
      </c>
      <c r="AR260" s="1480">
        <f t="shared" si="234"/>
        <v>-9.1359999999999992</v>
      </c>
      <c r="AS260" s="1480">
        <f t="shared" si="234"/>
        <v>0</v>
      </c>
      <c r="AT260" s="1479">
        <f t="shared" si="234"/>
        <v>0</v>
      </c>
      <c r="AU260" s="1480">
        <f t="shared" si="234"/>
        <v>1.5669999999999999</v>
      </c>
      <c r="AV260" s="1480">
        <f t="shared" si="234"/>
        <v>-8.4849999999999994</v>
      </c>
      <c r="AW260" s="1480">
        <f t="shared" si="234"/>
        <v>0</v>
      </c>
      <c r="AX260" s="1480">
        <f t="shared" si="234"/>
        <v>0</v>
      </c>
      <c r="AY260" s="1479">
        <f t="shared" si="234"/>
        <v>0</v>
      </c>
      <c r="AZ260" s="1480">
        <f t="shared" si="234"/>
        <v>0</v>
      </c>
      <c r="BA260" s="1480">
        <f t="shared" si="234"/>
        <v>0</v>
      </c>
      <c r="BB260" s="1480">
        <f t="shared" si="234"/>
        <v>0</v>
      </c>
      <c r="BC260" s="1480">
        <f t="shared" si="234"/>
        <v>0</v>
      </c>
      <c r="BD260" s="1479">
        <f t="shared" si="234"/>
        <v>0</v>
      </c>
      <c r="BE260" s="1480">
        <f t="shared" si="234"/>
        <v>0</v>
      </c>
      <c r="BF260" s="1480">
        <f t="shared" si="234"/>
        <v>0</v>
      </c>
      <c r="BG260" s="1480">
        <f t="shared" si="234"/>
        <v>0</v>
      </c>
      <c r="BH260" s="1480">
        <f t="shared" si="234"/>
        <v>0</v>
      </c>
      <c r="BI260" s="1479">
        <f t="shared" si="234"/>
        <v>0</v>
      </c>
      <c r="BJ260" s="1481">
        <f>-BJ192</f>
        <v>0</v>
      </c>
      <c r="BK260" s="1482">
        <v>0</v>
      </c>
      <c r="BL260" s="1482">
        <v>0</v>
      </c>
      <c r="BM260" s="1482">
        <v>0</v>
      </c>
      <c r="BN260" s="726">
        <f>SUM(BJ260,BK260,BL260,BM260)</f>
        <v>0</v>
      </c>
      <c r="BO260" s="1482">
        <v>0</v>
      </c>
      <c r="BP260" s="1482">
        <v>0</v>
      </c>
      <c r="BQ260" s="1482">
        <v>0</v>
      </c>
      <c r="BR260" s="1482">
        <v>0</v>
      </c>
      <c r="BS260" s="726">
        <f>SUM(BO260,BP260,BQ260,BR260)</f>
        <v>0</v>
      </c>
      <c r="BT260" s="1483">
        <v>0</v>
      </c>
      <c r="BU260" s="1483">
        <v>0</v>
      </c>
      <c r="BV260" s="1483">
        <v>0</v>
      </c>
      <c r="BW260" s="122"/>
    </row>
    <row r="261" spans="1:75" x14ac:dyDescent="0.5">
      <c r="A261" s="516" t="s">
        <v>2323</v>
      </c>
      <c r="B261" s="517"/>
      <c r="C261" s="518"/>
      <c r="D261" s="518"/>
      <c r="E261" s="519">
        <f t="shared" ref="E261:BP261" si="235">E259-E260</f>
        <v>-20.506</v>
      </c>
      <c r="F261" s="519">
        <f t="shared" si="235"/>
        <v>-33.209000000000003</v>
      </c>
      <c r="G261" s="520">
        <f t="shared" si="235"/>
        <v>-17.15900000000001</v>
      </c>
      <c r="H261" s="520">
        <f t="shared" si="235"/>
        <v>-7.1269999999999776</v>
      </c>
      <c r="I261" s="520">
        <f t="shared" si="235"/>
        <v>-7.7040000000000166</v>
      </c>
      <c r="J261" s="520">
        <f t="shared" si="235"/>
        <v>-8.9239999999999959</v>
      </c>
      <c r="K261" s="519">
        <f t="shared" si="235"/>
        <v>-40.914000000000009</v>
      </c>
      <c r="L261" s="520">
        <f t="shared" si="235"/>
        <v>-35.176000000000002</v>
      </c>
      <c r="M261" s="520">
        <f t="shared" si="235"/>
        <v>-27.97999999999999</v>
      </c>
      <c r="N261" s="520">
        <f t="shared" si="235"/>
        <v>-28.891000000000005</v>
      </c>
      <c r="O261" s="520">
        <f t="shared" si="235"/>
        <v>-58.121999999999971</v>
      </c>
      <c r="P261" s="519">
        <f t="shared" si="235"/>
        <v>-150.16900000000001</v>
      </c>
      <c r="Q261" s="520">
        <f t="shared" si="235"/>
        <v>-27.136000000000038</v>
      </c>
      <c r="R261" s="520">
        <f t="shared" si="235"/>
        <v>-19.333999999999985</v>
      </c>
      <c r="S261" s="520">
        <f t="shared" si="235"/>
        <v>-15.47800000000003</v>
      </c>
      <c r="T261" s="520">
        <f t="shared" si="235"/>
        <v>-15.494999999999971</v>
      </c>
      <c r="U261" s="519">
        <f t="shared" si="235"/>
        <v>-77.442999999999799</v>
      </c>
      <c r="V261" s="520">
        <f t="shared" si="235"/>
        <v>-41.205000000000091</v>
      </c>
      <c r="W261" s="520">
        <f t="shared" si="235"/>
        <v>-48.273999999999987</v>
      </c>
      <c r="X261" s="520">
        <f t="shared" si="235"/>
        <v>-60.940000000000062</v>
      </c>
      <c r="Y261" s="520">
        <f t="shared" si="235"/>
        <v>-43.956000000000039</v>
      </c>
      <c r="Z261" s="519">
        <f t="shared" si="235"/>
        <v>-194.37499999999989</v>
      </c>
      <c r="AA261" s="520">
        <f t="shared" si="235"/>
        <v>-56.538999999999959</v>
      </c>
      <c r="AB261" s="520">
        <f t="shared" si="235"/>
        <v>-38.874999999999957</v>
      </c>
      <c r="AC261" s="520">
        <f t="shared" si="235"/>
        <v>-76.428999999999931</v>
      </c>
      <c r="AD261" s="520">
        <f t="shared" si="235"/>
        <v>-72.770999999999546</v>
      </c>
      <c r="AE261" s="519">
        <f t="shared" si="235"/>
        <v>-244.61399999999952</v>
      </c>
      <c r="AF261" s="520">
        <f t="shared" si="235"/>
        <v>-107.77499999999989</v>
      </c>
      <c r="AG261" s="520">
        <f t="shared" si="235"/>
        <v>-100.73399999999994</v>
      </c>
      <c r="AH261" s="520">
        <f t="shared" si="235"/>
        <v>-151.72600000000008</v>
      </c>
      <c r="AI261" s="520">
        <f t="shared" si="235"/>
        <v>-143.84500000000014</v>
      </c>
      <c r="AJ261" s="519">
        <f t="shared" si="235"/>
        <v>-504.08</v>
      </c>
      <c r="AK261" s="520">
        <f t="shared" si="235"/>
        <v>-200.38900000000012</v>
      </c>
      <c r="AL261" s="520">
        <f t="shared" si="235"/>
        <v>-181.9379999999999</v>
      </c>
      <c r="AM261" s="520">
        <f t="shared" si="235"/>
        <v>-272.03499999999997</v>
      </c>
      <c r="AN261" s="520">
        <f t="shared" si="235"/>
        <v>-330.22199999999924</v>
      </c>
      <c r="AO261" s="519">
        <f t="shared" si="235"/>
        <v>-984.58399999999983</v>
      </c>
      <c r="AP261" s="520">
        <f t="shared" si="235"/>
        <v>-285.86500000000001</v>
      </c>
      <c r="AQ261" s="520">
        <f t="shared" si="235"/>
        <v>304.07199999999983</v>
      </c>
      <c r="AR261" s="520">
        <f t="shared" si="235"/>
        <v>182.30200000000039</v>
      </c>
      <c r="AS261" s="520">
        <f t="shared" si="235"/>
        <v>23.818000000000175</v>
      </c>
      <c r="AT261" s="519">
        <f t="shared" si="235"/>
        <v>184.99600000000015</v>
      </c>
      <c r="AU261" s="520">
        <f t="shared" si="235"/>
        <v>16.666999999999984</v>
      </c>
      <c r="AV261" s="520">
        <f t="shared" si="235"/>
        <v>138.91300000000047</v>
      </c>
      <c r="AW261" s="520">
        <f t="shared" si="235"/>
        <v>-78.021000000000001</v>
      </c>
      <c r="AX261" s="520">
        <f t="shared" si="235"/>
        <v>-201.85300000000066</v>
      </c>
      <c r="AY261" s="519">
        <f t="shared" si="235"/>
        <v>-131</v>
      </c>
      <c r="AZ261" s="520">
        <f t="shared" si="235"/>
        <v>-319</v>
      </c>
      <c r="BA261" s="520">
        <f t="shared" si="235"/>
        <v>-378</v>
      </c>
      <c r="BB261" s="520">
        <f t="shared" si="235"/>
        <v>-283</v>
      </c>
      <c r="BC261" s="520">
        <f t="shared" si="235"/>
        <v>-351</v>
      </c>
      <c r="BD261" s="519">
        <f t="shared" si="235"/>
        <v>-1331</v>
      </c>
      <c r="BE261" s="520">
        <f t="shared" si="235"/>
        <v>-355</v>
      </c>
      <c r="BF261" s="520">
        <f t="shared" si="235"/>
        <v>-46</v>
      </c>
      <c r="BG261" s="520">
        <f t="shared" si="235"/>
        <v>-163</v>
      </c>
      <c r="BH261" s="520">
        <f t="shared" si="235"/>
        <v>-174</v>
      </c>
      <c r="BI261" s="519">
        <f t="shared" si="235"/>
        <v>-738</v>
      </c>
      <c r="BJ261" s="1270">
        <f>BJ259-BJ260</f>
        <v>-248</v>
      </c>
      <c r="BK261" s="327">
        <f t="shared" si="235"/>
        <v>-187.93980845535782</v>
      </c>
      <c r="BL261" s="327">
        <f t="shared" ca="1" si="235"/>
        <v>-139.56603385580547</v>
      </c>
      <c r="BM261" s="327">
        <f t="shared" ca="1" si="235"/>
        <v>-158.94862604388916</v>
      </c>
      <c r="BN261" s="518">
        <f t="shared" ca="1" si="235"/>
        <v>-734.45446835505345</v>
      </c>
      <c r="BO261" s="327">
        <f t="shared" ca="1" si="235"/>
        <v>-93.871633875770726</v>
      </c>
      <c r="BP261" s="327">
        <f t="shared" ca="1" si="235"/>
        <v>-193.1792925608932</v>
      </c>
      <c r="BQ261" s="327">
        <f t="shared" ref="BQ261:BX261" ca="1" si="236">BQ259-BQ260</f>
        <v>-142.33343670693029</v>
      </c>
      <c r="BR261" s="327">
        <f t="shared" ca="1" si="236"/>
        <v>-161.99559856114644</v>
      </c>
      <c r="BS261" s="518">
        <f t="shared" ca="1" si="236"/>
        <v>-591.37996170474082</v>
      </c>
      <c r="BT261" s="518">
        <f t="shared" ca="1" si="236"/>
        <v>-405.78563618227997</v>
      </c>
      <c r="BU261" s="518">
        <f t="shared" ca="1" si="236"/>
        <v>-191.32036764284052</v>
      </c>
      <c r="BV261" s="518">
        <f t="shared" ca="1" si="236"/>
        <v>57.672150303346697</v>
      </c>
      <c r="BW261" s="197"/>
    </row>
    <row r="262" spans="1:75" x14ac:dyDescent="0.5">
      <c r="A262" s="504" t="s">
        <v>1188</v>
      </c>
      <c r="B262" s="880"/>
      <c r="C262" s="1250"/>
      <c r="D262" s="1250"/>
      <c r="E262" s="1250"/>
      <c r="F262" s="1250"/>
      <c r="G262" s="321"/>
      <c r="H262" s="321"/>
      <c r="I262" s="321"/>
      <c r="J262" s="321"/>
      <c r="K262" s="1250"/>
      <c r="L262" s="321">
        <f t="shared" ref="L262:AQ262" si="237">-SUM(L211:L216)</f>
        <v>-11.718</v>
      </c>
      <c r="M262" s="321">
        <f t="shared" si="237"/>
        <v>-5.5810000000000004</v>
      </c>
      <c r="N262" s="321">
        <f t="shared" si="237"/>
        <v>-4.8070000000000004</v>
      </c>
      <c r="O262" s="321">
        <f t="shared" si="237"/>
        <v>-43.382999999999996</v>
      </c>
      <c r="P262" s="1250">
        <f t="shared" si="237"/>
        <v>-65.489999999999995</v>
      </c>
      <c r="Q262" s="321">
        <f t="shared" si="237"/>
        <v>-8.2080000000000002</v>
      </c>
      <c r="R262" s="321">
        <f t="shared" si="237"/>
        <v>-7.1740000000000004</v>
      </c>
      <c r="S262" s="321">
        <f t="shared" si="237"/>
        <v>-4.9000000000000004</v>
      </c>
      <c r="T262" s="321">
        <f t="shared" si="237"/>
        <v>-9.7910000000000004</v>
      </c>
      <c r="U262" s="1250">
        <f t="shared" si="237"/>
        <v>-30.073</v>
      </c>
      <c r="V262" s="321">
        <f t="shared" si="237"/>
        <v>-10.979000000000001</v>
      </c>
      <c r="W262" s="321">
        <f t="shared" si="237"/>
        <v>-11.616</v>
      </c>
      <c r="X262" s="321">
        <f t="shared" si="237"/>
        <v>-15.225</v>
      </c>
      <c r="Y262" s="1484">
        <f t="shared" si="237"/>
        <v>-14.741000000000001</v>
      </c>
      <c r="Z262" s="1485">
        <f t="shared" si="237"/>
        <v>-52.561</v>
      </c>
      <c r="AA262" s="321">
        <f t="shared" si="237"/>
        <v>-15.168000000000001</v>
      </c>
      <c r="AB262" s="321">
        <f t="shared" si="237"/>
        <v>-16.207000000000001</v>
      </c>
      <c r="AC262" s="321">
        <f t="shared" si="237"/>
        <v>-19.834999999999997</v>
      </c>
      <c r="AD262" s="1484">
        <f t="shared" si="237"/>
        <v>-21.902000000000001</v>
      </c>
      <c r="AE262" s="1485">
        <f t="shared" si="237"/>
        <v>-73.112000000000009</v>
      </c>
      <c r="AF262" s="321">
        <f t="shared" si="237"/>
        <v>-27.386999999999997</v>
      </c>
      <c r="AG262" s="321">
        <f t="shared" si="237"/>
        <v>-31.875</v>
      </c>
      <c r="AH262" s="321">
        <f t="shared" si="237"/>
        <v>-36.765000000000001</v>
      </c>
      <c r="AI262" s="1484">
        <f t="shared" si="237"/>
        <v>-42.425000000000004</v>
      </c>
      <c r="AJ262" s="1485">
        <f t="shared" si="237"/>
        <v>-138.452</v>
      </c>
      <c r="AK262" s="321">
        <f t="shared" si="237"/>
        <v>-52.427999999999997</v>
      </c>
      <c r="AL262" s="321">
        <f t="shared" si="237"/>
        <v>-57.686</v>
      </c>
      <c r="AM262" s="321">
        <f t="shared" si="237"/>
        <v>-65.350999999999999</v>
      </c>
      <c r="AN262" s="1484">
        <f t="shared" si="237"/>
        <v>-68.522999999999996</v>
      </c>
      <c r="AO262" s="1485">
        <f t="shared" si="237"/>
        <v>-243.988</v>
      </c>
      <c r="AP262" s="321">
        <f t="shared" si="237"/>
        <v>-69.281000000000006</v>
      </c>
      <c r="AQ262" s="321">
        <f t="shared" si="237"/>
        <v>-70.992999999999995</v>
      </c>
      <c r="AR262" s="321">
        <f t="shared" ref="AR262:BB262" si="238">-SUM(AR210:AR216)</f>
        <v>-95.391000000000005</v>
      </c>
      <c r="AS262" s="1484">
        <f t="shared" si="238"/>
        <v>-108.43199999999999</v>
      </c>
      <c r="AT262" s="1485">
        <f t="shared" si="238"/>
        <v>-329.94100000000003</v>
      </c>
      <c r="AU262" s="321">
        <f t="shared" si="238"/>
        <v>-105.619</v>
      </c>
      <c r="AV262" s="321">
        <f t="shared" si="238"/>
        <v>-91.837000000000003</v>
      </c>
      <c r="AW262" s="321">
        <f t="shared" si="238"/>
        <v>-92.638000000000005</v>
      </c>
      <c r="AX262" s="1484">
        <f t="shared" si="238"/>
        <v>-105</v>
      </c>
      <c r="AY262" s="1485">
        <f t="shared" si="238"/>
        <v>-407</v>
      </c>
      <c r="AZ262" s="321">
        <f t="shared" si="238"/>
        <v>-113</v>
      </c>
      <c r="BA262" s="321">
        <f t="shared" si="238"/>
        <v>-174</v>
      </c>
      <c r="BB262" s="321">
        <f t="shared" si="238"/>
        <v>-59</v>
      </c>
      <c r="BC262" s="1484">
        <f t="shared" ref="BC262:BI262" si="239">-SUM(BC210:BC216)</f>
        <v>-167</v>
      </c>
      <c r="BD262" s="1485">
        <f t="shared" si="239"/>
        <v>-513</v>
      </c>
      <c r="BE262" s="321">
        <f t="shared" si="239"/>
        <v>-231</v>
      </c>
      <c r="BF262" s="321">
        <f t="shared" si="239"/>
        <v>-70</v>
      </c>
      <c r="BG262" s="321">
        <f t="shared" si="239"/>
        <v>-148</v>
      </c>
      <c r="BH262" s="1484">
        <f t="shared" si="239"/>
        <v>-162</v>
      </c>
      <c r="BI262" s="1485">
        <f t="shared" si="239"/>
        <v>-611</v>
      </c>
      <c r="BJ262" s="1251">
        <f>-SUM(BJ210:BJ216)</f>
        <v>-209</v>
      </c>
      <c r="BK262" s="321">
        <f>-SUM(BK253,BK254,BK243,BK116,BK118,BK117)</f>
        <v>-250.56842676299271</v>
      </c>
      <c r="BL262" s="321">
        <f ca="1">-SUM(BL253,BL254,BL243,BL116,BL118,BL117)</f>
        <v>-105.72382930677952</v>
      </c>
      <c r="BM262" s="321">
        <f ca="1">-SUM(BM253,BM254,BM243,BM116,BM118,BM117)</f>
        <v>-111.19350386090022</v>
      </c>
      <c r="BN262" s="1250">
        <f ca="1">SUM(BJ262,BK262,BL262,BM262)</f>
        <v>-676.48575993067254</v>
      </c>
      <c r="BO262" s="321">
        <f ca="1">-SUM(BO253,BO254,BO243,BO116,BO118,BO117)</f>
        <v>-103.54003368588225</v>
      </c>
      <c r="BP262" s="321">
        <f ca="1">-SUM(BP253,BP254,BP243,BP116,BP118,BP117)</f>
        <v>-119.14673524938316</v>
      </c>
      <c r="BQ262" s="321">
        <f ca="1">-SUM(BQ253,BQ254,BQ243,BQ116,BQ118,BQ117)</f>
        <v>-111.87401740027038</v>
      </c>
      <c r="BR262" s="321">
        <f ca="1">-SUM(BR253,BR254,BR243,BR116,BR118,BR117)</f>
        <v>-117.6963876634526</v>
      </c>
      <c r="BS262" s="1250">
        <f ca="1">SUM(BO262,BP262,BQ262,BR262)</f>
        <v>-452.25717399898838</v>
      </c>
      <c r="BT262" s="1250">
        <f ca="1">-SUM(BT253,BT254,BT243,BT116,BT118,BT117)</f>
        <v>-487.24606015660464</v>
      </c>
      <c r="BU262" s="1250">
        <f ca="1">-SUM(BU253,BU254,BU243,BU116,BU118,BU117)</f>
        <v>-525.05531919473515</v>
      </c>
      <c r="BV262" s="1250">
        <f ca="1">-SUM(BV253,BV254,BV243,BV116,BV118,BV117)</f>
        <v>-565.95993467045912</v>
      </c>
      <c r="BW262" s="122"/>
    </row>
    <row r="263" spans="1:75" x14ac:dyDescent="0.5">
      <c r="A263" s="1292" t="s">
        <v>2324</v>
      </c>
      <c r="B263" s="677"/>
      <c r="C263" s="406"/>
      <c r="D263" s="406"/>
      <c r="E263" s="406"/>
      <c r="F263" s="406"/>
      <c r="G263" s="723"/>
      <c r="H263" s="723"/>
      <c r="I263" s="723"/>
      <c r="J263" s="723"/>
      <c r="K263" s="406"/>
      <c r="L263" s="723"/>
      <c r="M263" s="723"/>
      <c r="N263" s="723"/>
      <c r="O263" s="723"/>
      <c r="P263" s="406"/>
      <c r="Q263" s="723"/>
      <c r="R263" s="723"/>
      <c r="S263" s="723"/>
      <c r="T263" s="723"/>
      <c r="U263" s="406"/>
      <c r="V263" s="723"/>
      <c r="W263" s="723"/>
      <c r="X263" s="723"/>
      <c r="Y263" s="723"/>
      <c r="Z263" s="406"/>
      <c r="AA263" s="723"/>
      <c r="AB263" s="723"/>
      <c r="AC263" s="723"/>
      <c r="AD263" s="723"/>
      <c r="AE263" s="406"/>
      <c r="AF263" s="723"/>
      <c r="AG263" s="723"/>
      <c r="AH263" s="723"/>
      <c r="AI263" s="723"/>
      <c r="AJ263" s="406"/>
      <c r="AK263" s="723"/>
      <c r="AL263" s="723"/>
      <c r="AM263" s="723"/>
      <c r="AN263" s="723"/>
      <c r="AO263" s="406"/>
      <c r="AP263" s="723"/>
      <c r="AQ263" s="723"/>
      <c r="AR263" s="723"/>
      <c r="AS263" s="723"/>
      <c r="AT263" s="406"/>
      <c r="AU263" s="723"/>
      <c r="AV263" s="723"/>
      <c r="AW263" s="723"/>
      <c r="AX263" s="723"/>
      <c r="AY263" s="406"/>
      <c r="AZ263" s="723"/>
      <c r="BA263" s="723"/>
      <c r="BB263" s="723"/>
      <c r="BC263" s="723"/>
      <c r="BD263" s="406"/>
      <c r="BE263" s="723"/>
      <c r="BF263" s="723"/>
      <c r="BG263" s="723"/>
      <c r="BH263" s="723"/>
      <c r="BI263" s="406"/>
      <c r="BJ263" s="1049"/>
      <c r="BK263" s="357">
        <v>0</v>
      </c>
      <c r="BL263" s="357">
        <v>0</v>
      </c>
      <c r="BM263" s="357">
        <v>0</v>
      </c>
      <c r="BN263" s="406">
        <f>SUM(BJ263,BK263,BL263,BM263)</f>
        <v>0</v>
      </c>
      <c r="BO263" s="357">
        <v>0</v>
      </c>
      <c r="BP263" s="357">
        <v>0</v>
      </c>
      <c r="BQ263" s="357">
        <v>0</v>
      </c>
      <c r="BR263" s="357">
        <v>0</v>
      </c>
      <c r="BS263" s="406">
        <f>SUM(BO263,BP263,BQ263,BR263)</f>
        <v>0</v>
      </c>
      <c r="BT263" s="408">
        <v>0</v>
      </c>
      <c r="BU263" s="408">
        <v>0</v>
      </c>
      <c r="BV263" s="408">
        <v>0</v>
      </c>
      <c r="BW263" s="122"/>
    </row>
    <row r="264" spans="1:75" x14ac:dyDescent="0.5">
      <c r="A264" s="516" t="s">
        <v>1118</v>
      </c>
      <c r="B264" s="517"/>
      <c r="C264" s="518"/>
      <c r="D264" s="518"/>
      <c r="E264" s="519">
        <f t="shared" ref="E264:AP264" si="240">E261-SUM(E262:E263)</f>
        <v>-20.506</v>
      </c>
      <c r="F264" s="519">
        <f t="shared" si="240"/>
        <v>-33.209000000000003</v>
      </c>
      <c r="G264" s="520">
        <f t="shared" si="240"/>
        <v>-17.15900000000001</v>
      </c>
      <c r="H264" s="520">
        <f t="shared" si="240"/>
        <v>-7.1269999999999776</v>
      </c>
      <c r="I264" s="520">
        <f t="shared" si="240"/>
        <v>-7.7040000000000166</v>
      </c>
      <c r="J264" s="520">
        <f t="shared" si="240"/>
        <v>-8.9239999999999959</v>
      </c>
      <c r="K264" s="519">
        <f t="shared" si="240"/>
        <v>-40.914000000000009</v>
      </c>
      <c r="L264" s="520">
        <f t="shared" si="240"/>
        <v>-23.458000000000002</v>
      </c>
      <c r="M264" s="520">
        <f t="shared" si="240"/>
        <v>-22.39899999999999</v>
      </c>
      <c r="N264" s="520">
        <f t="shared" si="240"/>
        <v>-24.084000000000003</v>
      </c>
      <c r="O264" s="520">
        <f t="shared" si="240"/>
        <v>-14.738999999999976</v>
      </c>
      <c r="P264" s="519">
        <f t="shared" si="240"/>
        <v>-84.679000000000016</v>
      </c>
      <c r="Q264" s="520">
        <f t="shared" si="240"/>
        <v>-18.92800000000004</v>
      </c>
      <c r="R264" s="520">
        <f t="shared" si="240"/>
        <v>-12.159999999999986</v>
      </c>
      <c r="S264" s="520">
        <f t="shared" si="240"/>
        <v>-10.57800000000003</v>
      </c>
      <c r="T264" s="520">
        <f t="shared" si="240"/>
        <v>-5.7039999999999704</v>
      </c>
      <c r="U264" s="519">
        <f t="shared" si="240"/>
        <v>-47.369999999999798</v>
      </c>
      <c r="V264" s="520">
        <f t="shared" si="240"/>
        <v>-30.226000000000091</v>
      </c>
      <c r="W264" s="520">
        <f t="shared" si="240"/>
        <v>-36.657999999999987</v>
      </c>
      <c r="X264" s="520">
        <f t="shared" si="240"/>
        <v>-45.71500000000006</v>
      </c>
      <c r="Y264" s="520">
        <f t="shared" si="240"/>
        <v>-29.215000000000039</v>
      </c>
      <c r="Z264" s="519">
        <f t="shared" si="240"/>
        <v>-141.81399999999988</v>
      </c>
      <c r="AA264" s="520">
        <f t="shared" si="240"/>
        <v>-41.37099999999996</v>
      </c>
      <c r="AB264" s="520">
        <f t="shared" si="240"/>
        <v>-22.667999999999957</v>
      </c>
      <c r="AC264" s="520">
        <f t="shared" si="240"/>
        <v>-56.593999999999937</v>
      </c>
      <c r="AD264" s="520">
        <f t="shared" si="240"/>
        <v>-50.868999999999545</v>
      </c>
      <c r="AE264" s="519">
        <f t="shared" si="240"/>
        <v>-171.5019999999995</v>
      </c>
      <c r="AF264" s="520">
        <f t="shared" si="240"/>
        <v>-80.387999999999892</v>
      </c>
      <c r="AG264" s="520">
        <f t="shared" si="240"/>
        <v>-68.858999999999938</v>
      </c>
      <c r="AH264" s="520">
        <f t="shared" si="240"/>
        <v>-114.96100000000008</v>
      </c>
      <c r="AI264" s="520">
        <f t="shared" si="240"/>
        <v>-101.42000000000013</v>
      </c>
      <c r="AJ264" s="519">
        <f t="shared" si="240"/>
        <v>-365.62799999999999</v>
      </c>
      <c r="AK264" s="520">
        <f t="shared" si="240"/>
        <v>-147.96100000000013</v>
      </c>
      <c r="AL264" s="520">
        <f t="shared" si="240"/>
        <v>-124.2519999999999</v>
      </c>
      <c r="AM264" s="520">
        <f t="shared" si="240"/>
        <v>-206.68399999999997</v>
      </c>
      <c r="AN264" s="520">
        <f t="shared" si="240"/>
        <v>-261.69899999999927</v>
      </c>
      <c r="AO264" s="519">
        <f t="shared" si="240"/>
        <v>-740.59599999999978</v>
      </c>
      <c r="AP264" s="520">
        <f t="shared" si="240"/>
        <v>-216.584</v>
      </c>
      <c r="AQ264" s="520">
        <f t="shared" ref="AQ264:AT264" si="241">AQ261-SUM(AQ262:AQ263)</f>
        <v>375.06499999999983</v>
      </c>
      <c r="AR264" s="520">
        <f t="shared" si="241"/>
        <v>277.69300000000038</v>
      </c>
      <c r="AS264" s="520">
        <f t="shared" si="241"/>
        <v>132.25000000000017</v>
      </c>
      <c r="AT264" s="519">
        <f t="shared" si="241"/>
        <v>514.93700000000013</v>
      </c>
      <c r="AU264" s="520">
        <f t="shared" ref="AU264:BV264" si="242">AU261-SUM(AU262:AU263)</f>
        <v>122.28599999999999</v>
      </c>
      <c r="AV264" s="520">
        <f t="shared" si="242"/>
        <v>230.75000000000045</v>
      </c>
      <c r="AW264" s="520">
        <f t="shared" si="242"/>
        <v>14.617000000000004</v>
      </c>
      <c r="AX264" s="520">
        <f t="shared" si="242"/>
        <v>-96.853000000000662</v>
      </c>
      <c r="AY264" s="519">
        <f t="shared" si="242"/>
        <v>276</v>
      </c>
      <c r="AZ264" s="520">
        <f t="shared" si="242"/>
        <v>-206</v>
      </c>
      <c r="BA264" s="520">
        <f t="shared" si="242"/>
        <v>-204</v>
      </c>
      <c r="BB264" s="520">
        <f t="shared" si="242"/>
        <v>-224</v>
      </c>
      <c r="BC264" s="520">
        <f t="shared" si="242"/>
        <v>-184</v>
      </c>
      <c r="BD264" s="519">
        <f t="shared" si="242"/>
        <v>-818</v>
      </c>
      <c r="BE264" s="520">
        <f t="shared" si="242"/>
        <v>-124</v>
      </c>
      <c r="BF264" s="520">
        <f t="shared" si="242"/>
        <v>24</v>
      </c>
      <c r="BG264" s="520">
        <f t="shared" si="242"/>
        <v>-15</v>
      </c>
      <c r="BH264" s="520">
        <f t="shared" si="242"/>
        <v>-12</v>
      </c>
      <c r="BI264" s="519">
        <f t="shared" si="242"/>
        <v>-127</v>
      </c>
      <c r="BJ264" s="1270">
        <f>BJ261-SUM(BJ262:BJ263)</f>
        <v>-39</v>
      </c>
      <c r="BK264" s="327">
        <f t="shared" si="242"/>
        <v>62.628618307634895</v>
      </c>
      <c r="BL264" s="327">
        <f t="shared" ca="1" si="242"/>
        <v>-33.842204549025951</v>
      </c>
      <c r="BM264" s="327">
        <f t="shared" ca="1" si="242"/>
        <v>-47.755122182988941</v>
      </c>
      <c r="BN264" s="518">
        <f t="shared" ca="1" si="242"/>
        <v>-57.968708424380907</v>
      </c>
      <c r="BO264" s="327">
        <f t="shared" ca="1" si="242"/>
        <v>9.6683998101115236</v>
      </c>
      <c r="BP264" s="327">
        <f t="shared" ca="1" si="242"/>
        <v>-74.032557311510047</v>
      </c>
      <c r="BQ264" s="327">
        <f t="shared" ca="1" si="242"/>
        <v>-30.45941930665991</v>
      </c>
      <c r="BR264" s="327">
        <f t="shared" ca="1" si="242"/>
        <v>-44.29921089769384</v>
      </c>
      <c r="BS264" s="518">
        <f t="shared" ca="1" si="242"/>
        <v>-139.12278770575244</v>
      </c>
      <c r="BT264" s="518">
        <f t="shared" ca="1" si="242"/>
        <v>81.460423974324669</v>
      </c>
      <c r="BU264" s="518">
        <f t="shared" ca="1" si="242"/>
        <v>333.7349515518946</v>
      </c>
      <c r="BV264" s="518">
        <f t="shared" ca="1" si="242"/>
        <v>623.63208497380583</v>
      </c>
      <c r="BW264" s="197"/>
    </row>
    <row r="265" spans="1:75" x14ac:dyDescent="0.5">
      <c r="A265" s="1486"/>
      <c r="B265" s="1487"/>
      <c r="C265" s="1488"/>
      <c r="D265" s="1488"/>
      <c r="E265" s="1488"/>
      <c r="F265" s="1488"/>
      <c r="G265" s="1489"/>
      <c r="H265" s="1489"/>
      <c r="I265" s="1489"/>
      <c r="J265" s="1489"/>
      <c r="K265" s="1488"/>
      <c r="L265" s="1489"/>
      <c r="M265" s="1489"/>
      <c r="N265" s="1489"/>
      <c r="O265" s="1489"/>
      <c r="P265" s="1488"/>
      <c r="Q265" s="1489"/>
      <c r="R265" s="1489"/>
      <c r="S265" s="1489"/>
      <c r="T265" s="1489"/>
      <c r="U265" s="1488"/>
      <c r="V265" s="1489"/>
      <c r="W265" s="1489"/>
      <c r="X265" s="1489"/>
      <c r="Y265" s="1489"/>
      <c r="Z265" s="1488"/>
      <c r="AA265" s="1489"/>
      <c r="AB265" s="1489"/>
      <c r="AC265" s="1489"/>
      <c r="AD265" s="1489"/>
      <c r="AE265" s="1488"/>
      <c r="AF265" s="1489"/>
      <c r="AG265" s="1489"/>
      <c r="AH265" s="1489"/>
      <c r="AI265" s="1489"/>
      <c r="AJ265" s="1488"/>
      <c r="AK265" s="1489"/>
      <c r="AL265" s="1489"/>
      <c r="AM265" s="1489"/>
      <c r="AN265" s="1489"/>
      <c r="AO265" s="1488"/>
      <c r="AP265" s="1489"/>
      <c r="AQ265" s="1489"/>
      <c r="AR265" s="1489"/>
      <c r="AS265" s="1489"/>
      <c r="AT265" s="1488"/>
      <c r="AU265" s="1489"/>
      <c r="AV265" s="1489"/>
      <c r="AW265" s="1489"/>
      <c r="AX265" s="1489"/>
      <c r="AY265" s="1488"/>
      <c r="AZ265" s="1489"/>
      <c r="BA265" s="1489"/>
      <c r="BB265" s="1489"/>
      <c r="BC265" s="1489"/>
      <c r="BD265" s="1488"/>
      <c r="BE265" s="1489"/>
      <c r="BF265" s="1489"/>
      <c r="BG265" s="1489"/>
      <c r="BH265" s="1489"/>
      <c r="BI265" s="1488"/>
      <c r="BJ265" s="1490"/>
      <c r="BK265" s="1489"/>
      <c r="BL265" s="1489"/>
      <c r="BM265" s="1489"/>
      <c r="BN265" s="1488"/>
      <c r="BO265" s="1489"/>
      <c r="BP265" s="1489"/>
      <c r="BQ265" s="1489"/>
      <c r="BR265" s="1489"/>
      <c r="BS265" s="1488"/>
      <c r="BT265" s="1488"/>
      <c r="BU265" s="1488"/>
      <c r="BV265" s="1488"/>
      <c r="BW265" s="204"/>
    </row>
    <row r="266" spans="1:75" x14ac:dyDescent="0.5">
      <c r="A266" s="161" t="s">
        <v>1197</v>
      </c>
      <c r="B266" s="729"/>
      <c r="C266" s="730"/>
      <c r="D266" s="730"/>
      <c r="E266" s="1349">
        <f t="shared" ref="E266:BJ266" si="243">E253/E251</f>
        <v>-1.9736251906342507E-3</v>
      </c>
      <c r="F266" s="1349">
        <f t="shared" si="243"/>
        <v>-2.3803856224708397E-3</v>
      </c>
      <c r="G266" s="161">
        <f t="shared" si="243"/>
        <v>0</v>
      </c>
      <c r="H266" s="161">
        <f t="shared" si="243"/>
        <v>1.9230769230769394E-3</v>
      </c>
      <c r="I266" s="161">
        <f t="shared" si="243"/>
        <v>-3.3003300330032825E-4</v>
      </c>
      <c r="J266" s="161">
        <f t="shared" si="243"/>
        <v>-1.2174336498660836E-2</v>
      </c>
      <c r="K266" s="1349">
        <f t="shared" si="243"/>
        <v>-2.9715762273901797E-3</v>
      </c>
      <c r="L266" s="161">
        <f t="shared" si="243"/>
        <v>-5.3550390917853693E-4</v>
      </c>
      <c r="M266" s="161">
        <f t="shared" si="243"/>
        <v>-8.5568818722457578E-5</v>
      </c>
      <c r="N266" s="161">
        <f t="shared" si="243"/>
        <v>-2.4497591762165749E-3</v>
      </c>
      <c r="O266" s="161">
        <f t="shared" si="243"/>
        <v>-1.3663653302049554E-3</v>
      </c>
      <c r="P266" s="1349">
        <f t="shared" si="243"/>
        <v>-1.1830479371024113E-3</v>
      </c>
      <c r="Q266" s="161">
        <f t="shared" si="243"/>
        <v>-1.6980435585086722E-3</v>
      </c>
      <c r="R266" s="161">
        <f t="shared" si="243"/>
        <v>-3.7900420538912855E-3</v>
      </c>
      <c r="S266" s="161">
        <f t="shared" si="243"/>
        <v>5.6533470384170521E-3</v>
      </c>
      <c r="T266" s="161">
        <f t="shared" si="243"/>
        <v>-4.1474953016654862E-3</v>
      </c>
      <c r="U266" s="1349">
        <f t="shared" si="243"/>
        <v>-1.2282153384702934E-3</v>
      </c>
      <c r="V266" s="161">
        <f t="shared" si="243"/>
        <v>-7.7528859323028592E-3</v>
      </c>
      <c r="W266" s="161">
        <f t="shared" si="243"/>
        <v>-6.6940545951243947E-3</v>
      </c>
      <c r="X266" s="161">
        <f t="shared" si="243"/>
        <v>1.3601428969404966E-3</v>
      </c>
      <c r="Y266" s="161">
        <f t="shared" si="243"/>
        <v>-1.2072067968020397E-3</v>
      </c>
      <c r="Z266" s="1349">
        <f t="shared" si="243"/>
        <v>-3.1377892004314477E-3</v>
      </c>
      <c r="AA266" s="161">
        <f t="shared" si="243"/>
        <v>-3.7280974276127777E-3</v>
      </c>
      <c r="AB266" s="161">
        <f t="shared" si="243"/>
        <v>-5.7954516053918461E-3</v>
      </c>
      <c r="AC266" s="161">
        <f t="shared" si="243"/>
        <v>-3.1105627887442274E-3</v>
      </c>
      <c r="AD266" s="161">
        <f t="shared" si="243"/>
        <v>2.5357749876638138E-3</v>
      </c>
      <c r="AE266" s="1349">
        <f t="shared" si="243"/>
        <v>-1.9907589461266259E-3</v>
      </c>
      <c r="AF266" s="161">
        <f t="shared" si="243"/>
        <v>-2.2318314967219996E-3</v>
      </c>
      <c r="AG266" s="161">
        <f t="shared" si="243"/>
        <v>-2.6376295175626332E-3</v>
      </c>
      <c r="AH266" s="161">
        <f t="shared" si="243"/>
        <v>-2.9614352384351975E-3</v>
      </c>
      <c r="AI266" s="161">
        <f t="shared" si="243"/>
        <v>-7.5931101631397848E-3</v>
      </c>
      <c r="AJ266" s="1349">
        <f t="shared" si="243"/>
        <v>-4.0574213762566156E-3</v>
      </c>
      <c r="AK266" s="161">
        <f t="shared" si="243"/>
        <v>-2.9780674094317125E-3</v>
      </c>
      <c r="AL266" s="161">
        <f t="shared" si="243"/>
        <v>-4.5884477132303019E-3</v>
      </c>
      <c r="AM266" s="161">
        <f t="shared" si="243"/>
        <v>-2.7945388826992309E-4</v>
      </c>
      <c r="AN266" s="161">
        <f t="shared" si="243"/>
        <v>-4.5875746089305697E-3</v>
      </c>
      <c r="AO266" s="1349">
        <f t="shared" si="243"/>
        <v>-3.0665033914916251E-3</v>
      </c>
      <c r="AP266" s="161">
        <f t="shared" si="243"/>
        <v>-4.6848860585101152E-3</v>
      </c>
      <c r="AQ266" s="161">
        <f t="shared" si="243"/>
        <v>1.0650365285644991E-3</v>
      </c>
      <c r="AR266" s="161">
        <f t="shared" si="243"/>
        <v>-7.0425401994707766E-3</v>
      </c>
      <c r="AS266" s="161">
        <f t="shared" si="243"/>
        <v>0.4553022160221355</v>
      </c>
      <c r="AT266" s="1349">
        <f t="shared" si="243"/>
        <v>9.898255884745194E-2</v>
      </c>
      <c r="AU266" s="161">
        <f t="shared" si="243"/>
        <v>-0.12333661902414993</v>
      </c>
      <c r="AV266" s="161">
        <f t="shared" si="243"/>
        <v>3.0685880333241572E-2</v>
      </c>
      <c r="AW266" s="161">
        <f t="shared" si="243"/>
        <v>-4.9868801722397903E-2</v>
      </c>
      <c r="AX266" s="161">
        <f t="shared" si="243"/>
        <v>2.3383296401304321E-2</v>
      </c>
      <c r="AY266" s="1349">
        <f t="shared" si="243"/>
        <v>-7.6923076923076927E-3</v>
      </c>
      <c r="AZ266" s="161">
        <f t="shared" si="243"/>
        <v>-3.1446540880503146E-3</v>
      </c>
      <c r="BA266" s="161">
        <f t="shared" si="243"/>
        <v>-2.6525198938992041E-3</v>
      </c>
      <c r="BB266" s="161">
        <f t="shared" si="243"/>
        <v>-3.5460992907801418E-3</v>
      </c>
      <c r="BC266" s="161">
        <f t="shared" si="243"/>
        <v>-2.6315789473684209E-2</v>
      </c>
      <c r="BD266" s="1349">
        <f t="shared" si="243"/>
        <v>-9.0978013646702046E-3</v>
      </c>
      <c r="BE266" s="161">
        <f t="shared" si="243"/>
        <v>-5.6657223796033997E-3</v>
      </c>
      <c r="BF266" s="161">
        <f t="shared" si="243"/>
        <v>-4.5454545454545456E-2</v>
      </c>
      <c r="BG266" s="161">
        <f t="shared" si="243"/>
        <v>-1.2422360248447204E-2</v>
      </c>
      <c r="BH266" s="161">
        <f t="shared" si="243"/>
        <v>-1.7543859649122806E-2</v>
      </c>
      <c r="BI266" s="1349">
        <f t="shared" si="243"/>
        <v>-1.2345679012345678E-2</v>
      </c>
      <c r="BJ266" s="1350">
        <f t="shared" si="243"/>
        <v>-1.2244897959183673E-2</v>
      </c>
      <c r="BK266" s="732">
        <v>0.02</v>
      </c>
      <c r="BL266" s="732">
        <v>0.02</v>
      </c>
      <c r="BM266" s="732">
        <v>0.02</v>
      </c>
      <c r="BN266" s="730">
        <f ca="1">BN253/BN251</f>
        <v>9.3442262938273606E-3</v>
      </c>
      <c r="BO266" s="732">
        <v>0.02</v>
      </c>
      <c r="BP266" s="732">
        <v>0.02</v>
      </c>
      <c r="BQ266" s="732">
        <v>0.02</v>
      </c>
      <c r="BR266" s="732">
        <v>0.02</v>
      </c>
      <c r="BS266" s="730">
        <f ca="1">BS253/BS251</f>
        <v>1.9999999999999993E-2</v>
      </c>
      <c r="BT266" s="733">
        <v>0.02</v>
      </c>
      <c r="BU266" s="733">
        <v>0.02</v>
      </c>
      <c r="BV266" s="733">
        <v>0.02</v>
      </c>
      <c r="BW266" s="161"/>
    </row>
    <row r="267" spans="1:75" x14ac:dyDescent="0.5">
      <c r="A267" s="161" t="s">
        <v>1198</v>
      </c>
      <c r="B267" s="729"/>
      <c r="C267" s="730"/>
      <c r="D267" s="730"/>
      <c r="E267" s="1349">
        <f t="shared" ref="E267:BJ267" si="244">E254/E251</f>
        <v>0</v>
      </c>
      <c r="F267" s="1349">
        <f t="shared" si="244"/>
        <v>0</v>
      </c>
      <c r="G267" s="161">
        <f t="shared" si="244"/>
        <v>0</v>
      </c>
      <c r="H267" s="161">
        <f t="shared" si="244"/>
        <v>0</v>
      </c>
      <c r="I267" s="161">
        <f t="shared" si="244"/>
        <v>0</v>
      </c>
      <c r="J267" s="161">
        <f t="shared" si="244"/>
        <v>0</v>
      </c>
      <c r="K267" s="1349">
        <f t="shared" si="244"/>
        <v>0</v>
      </c>
      <c r="L267" s="161">
        <f t="shared" si="244"/>
        <v>0</v>
      </c>
      <c r="M267" s="161">
        <f t="shared" si="244"/>
        <v>0</v>
      </c>
      <c r="N267" s="161">
        <f t="shared" si="244"/>
        <v>0</v>
      </c>
      <c r="O267" s="161">
        <f t="shared" si="244"/>
        <v>0</v>
      </c>
      <c r="P267" s="1349">
        <f t="shared" si="244"/>
        <v>0</v>
      </c>
      <c r="Q267" s="161">
        <f t="shared" si="244"/>
        <v>0</v>
      </c>
      <c r="R267" s="161">
        <f t="shared" si="244"/>
        <v>0</v>
      </c>
      <c r="S267" s="161">
        <f t="shared" si="244"/>
        <v>0</v>
      </c>
      <c r="T267" s="161">
        <f t="shared" si="244"/>
        <v>0</v>
      </c>
      <c r="U267" s="1349">
        <f t="shared" si="244"/>
        <v>0</v>
      </c>
      <c r="V267" s="161">
        <f t="shared" si="244"/>
        <v>0</v>
      </c>
      <c r="W267" s="161">
        <f t="shared" si="244"/>
        <v>0</v>
      </c>
      <c r="X267" s="161">
        <f t="shared" si="244"/>
        <v>0</v>
      </c>
      <c r="Y267" s="161">
        <f t="shared" si="244"/>
        <v>0</v>
      </c>
      <c r="Z267" s="1349">
        <f t="shared" si="244"/>
        <v>0</v>
      </c>
      <c r="AA267" s="161">
        <f t="shared" si="244"/>
        <v>0</v>
      </c>
      <c r="AB267" s="161">
        <f t="shared" si="244"/>
        <v>0</v>
      </c>
      <c r="AC267" s="161">
        <f t="shared" si="244"/>
        <v>0</v>
      </c>
      <c r="AD267" s="161">
        <f t="shared" si="244"/>
        <v>0</v>
      </c>
      <c r="AE267" s="1349">
        <f t="shared" si="244"/>
        <v>0</v>
      </c>
      <c r="AF267" s="161">
        <f t="shared" si="244"/>
        <v>0</v>
      </c>
      <c r="AG267" s="161">
        <f t="shared" si="244"/>
        <v>0</v>
      </c>
      <c r="AH267" s="161">
        <f t="shared" si="244"/>
        <v>0</v>
      </c>
      <c r="AI267" s="161">
        <f t="shared" si="244"/>
        <v>0</v>
      </c>
      <c r="AJ267" s="1349">
        <f t="shared" si="244"/>
        <v>0</v>
      </c>
      <c r="AK267" s="161">
        <f t="shared" si="244"/>
        <v>0</v>
      </c>
      <c r="AL267" s="161">
        <f t="shared" si="244"/>
        <v>0</v>
      </c>
      <c r="AM267" s="161">
        <f t="shared" si="244"/>
        <v>0</v>
      </c>
      <c r="AN267" s="161">
        <f t="shared" si="244"/>
        <v>0</v>
      </c>
      <c r="AO267" s="1349">
        <f t="shared" si="244"/>
        <v>0</v>
      </c>
      <c r="AP267" s="161">
        <f t="shared" si="244"/>
        <v>0</v>
      </c>
      <c r="AQ267" s="161">
        <f t="shared" si="244"/>
        <v>0</v>
      </c>
      <c r="AR267" s="161">
        <f t="shared" si="244"/>
        <v>0</v>
      </c>
      <c r="AS267" s="161">
        <f t="shared" si="244"/>
        <v>0</v>
      </c>
      <c r="AT267" s="1349">
        <f t="shared" si="244"/>
        <v>0</v>
      </c>
      <c r="AU267" s="161">
        <f t="shared" si="244"/>
        <v>0</v>
      </c>
      <c r="AV267" s="161">
        <f t="shared" si="244"/>
        <v>0</v>
      </c>
      <c r="AW267" s="161">
        <f t="shared" si="244"/>
        <v>0</v>
      </c>
      <c r="AX267" s="161">
        <f t="shared" si="244"/>
        <v>0</v>
      </c>
      <c r="AY267" s="1349">
        <f t="shared" si="244"/>
        <v>0</v>
      </c>
      <c r="AZ267" s="161">
        <f t="shared" si="244"/>
        <v>0</v>
      </c>
      <c r="BA267" s="161">
        <f t="shared" si="244"/>
        <v>0</v>
      </c>
      <c r="BB267" s="161">
        <f t="shared" si="244"/>
        <v>0</v>
      </c>
      <c r="BC267" s="161">
        <f t="shared" si="244"/>
        <v>0</v>
      </c>
      <c r="BD267" s="1349">
        <f t="shared" si="244"/>
        <v>0</v>
      </c>
      <c r="BE267" s="161">
        <f t="shared" si="244"/>
        <v>0</v>
      </c>
      <c r="BF267" s="161">
        <f t="shared" si="244"/>
        <v>0</v>
      </c>
      <c r="BG267" s="161">
        <f t="shared" si="244"/>
        <v>0</v>
      </c>
      <c r="BH267" s="161">
        <f t="shared" si="244"/>
        <v>0</v>
      </c>
      <c r="BI267" s="1349">
        <f t="shared" si="244"/>
        <v>0</v>
      </c>
      <c r="BJ267" s="1350">
        <f t="shared" si="244"/>
        <v>0</v>
      </c>
      <c r="BK267" s="732">
        <v>0</v>
      </c>
      <c r="BL267" s="732">
        <v>0</v>
      </c>
      <c r="BM267" s="732">
        <v>0</v>
      </c>
      <c r="BN267" s="730">
        <f ca="1">BN254/BN251</f>
        <v>0</v>
      </c>
      <c r="BO267" s="732">
        <v>0</v>
      </c>
      <c r="BP267" s="732">
        <v>0</v>
      </c>
      <c r="BQ267" s="732">
        <v>0</v>
      </c>
      <c r="BR267" s="732">
        <v>0</v>
      </c>
      <c r="BS267" s="730">
        <f ca="1">BS254/BS251</f>
        <v>0</v>
      </c>
      <c r="BT267" s="733">
        <v>0</v>
      </c>
      <c r="BU267" s="733">
        <v>0</v>
      </c>
      <c r="BV267" s="733">
        <v>0</v>
      </c>
      <c r="BW267" s="161"/>
    </row>
    <row r="268" spans="1:75" x14ac:dyDescent="0.5">
      <c r="A268" s="118"/>
      <c r="B268" s="513"/>
      <c r="C268" s="401"/>
      <c r="D268" s="401"/>
      <c r="E268" s="401"/>
      <c r="F268" s="401"/>
      <c r="G268" s="118"/>
      <c r="H268" s="118"/>
      <c r="I268" s="118"/>
      <c r="J268" s="118"/>
      <c r="K268" s="401"/>
      <c r="L268" s="118"/>
      <c r="M268" s="118"/>
      <c r="N268" s="118"/>
      <c r="O268" s="118"/>
      <c r="P268" s="401"/>
      <c r="Q268" s="118"/>
      <c r="R268" s="118"/>
      <c r="S268" s="118"/>
      <c r="T268" s="118"/>
      <c r="U268" s="401"/>
      <c r="V268" s="118"/>
      <c r="W268" s="118"/>
      <c r="X268" s="118"/>
      <c r="Y268" s="118"/>
      <c r="Z268" s="401"/>
      <c r="AA268" s="118"/>
      <c r="AB268" s="118"/>
      <c r="AC268" s="118"/>
      <c r="AD268" s="118"/>
      <c r="AE268" s="401"/>
      <c r="AF268" s="118"/>
      <c r="AG268" s="118"/>
      <c r="AH268" s="118"/>
      <c r="AI268" s="118"/>
      <c r="AJ268" s="401"/>
      <c r="AK268" s="118"/>
      <c r="AL268" s="118"/>
      <c r="AM268" s="118"/>
      <c r="AN268" s="118"/>
      <c r="AO268" s="401"/>
      <c r="AP268" s="118"/>
      <c r="AQ268" s="118"/>
      <c r="AR268" s="118"/>
      <c r="AS268" s="118"/>
      <c r="AT268" s="401"/>
      <c r="AU268" s="118"/>
      <c r="AV268" s="118"/>
      <c r="AW268" s="118"/>
      <c r="AX268" s="118"/>
      <c r="AY268" s="401"/>
      <c r="AZ268" s="118"/>
      <c r="BA268" s="118"/>
      <c r="BB268" s="118"/>
      <c r="BC268" s="118"/>
      <c r="BD268" s="401"/>
      <c r="BE268" s="118"/>
      <c r="BF268" s="118"/>
      <c r="BG268" s="118"/>
      <c r="BH268" s="118"/>
      <c r="BI268" s="401"/>
      <c r="BJ268" s="971"/>
      <c r="BK268" s="118"/>
      <c r="BL268" s="118"/>
      <c r="BM268" s="118"/>
      <c r="BN268" s="401"/>
      <c r="BO268" s="118"/>
      <c r="BP268" s="118"/>
      <c r="BQ268" s="118"/>
      <c r="BR268" s="118"/>
      <c r="BS268" s="401"/>
      <c r="BT268" s="401"/>
      <c r="BU268" s="401"/>
      <c r="BV268" s="401"/>
      <c r="BW268" s="122"/>
    </row>
    <row r="269" spans="1:75" x14ac:dyDescent="0.5">
      <c r="A269" s="1491" t="s">
        <v>1199</v>
      </c>
      <c r="B269" s="737"/>
      <c r="C269" s="738"/>
      <c r="D269" s="738"/>
      <c r="E269" s="1243">
        <f t="shared" ref="E269:BP269" si="245">E259/E274</f>
        <v>-0.49685026106808711</v>
      </c>
      <c r="F269" s="1243">
        <f t="shared" si="245"/>
        <v>-0.80463768262021385</v>
      </c>
      <c r="G269" s="742">
        <f t="shared" si="245"/>
        <v>-0.41575410268542429</v>
      </c>
      <c r="H269" s="742">
        <f t="shared" si="245"/>
        <v>-0.17268369309627649</v>
      </c>
      <c r="I269" s="742">
        <f t="shared" si="245"/>
        <v>-0.18623488730118154</v>
      </c>
      <c r="J269" s="742">
        <f t="shared" si="245"/>
        <v>-0.21548715139749589</v>
      </c>
      <c r="K269" s="1243">
        <f t="shared" si="245"/>
        <v>-0.98989764379972633</v>
      </c>
      <c r="L269" s="742">
        <f t="shared" si="245"/>
        <v>-0.85494169961612698</v>
      </c>
      <c r="M269" s="742">
        <f t="shared" si="245"/>
        <v>-0.69061322356976518</v>
      </c>
      <c r="N269" s="742">
        <f t="shared" si="245"/>
        <v>-0.71313714586770971</v>
      </c>
      <c r="O269" s="742">
        <f t="shared" si="245"/>
        <v>-0.7258145726962445</v>
      </c>
      <c r="P269" s="1243">
        <f t="shared" si="245"/>
        <v>-2.9653288410056389</v>
      </c>
      <c r="Q269" s="742">
        <f t="shared" si="245"/>
        <v>-0.32611464968152915</v>
      </c>
      <c r="R269" s="742">
        <f t="shared" si="245"/>
        <v>-0.23125964379268671</v>
      </c>
      <c r="S269" s="742">
        <f t="shared" si="245"/>
        <v>-0.18451231433135482</v>
      </c>
      <c r="T269" s="742">
        <f t="shared" si="245"/>
        <v>-0.18404580062001841</v>
      </c>
      <c r="U269" s="1243">
        <f t="shared" si="245"/>
        <v>-0.92495759978978809</v>
      </c>
      <c r="V269" s="742">
        <f t="shared" si="245"/>
        <v>-0.48795073716620396</v>
      </c>
      <c r="W269" s="742">
        <f t="shared" si="245"/>
        <v>-0.56936286651098045</v>
      </c>
      <c r="X269" s="742">
        <f t="shared" si="245"/>
        <v>-0.71605663592033442</v>
      </c>
      <c r="Y269" s="742">
        <f t="shared" si="245"/>
        <v>-0.51370271249430322</v>
      </c>
      <c r="Z269" s="1243">
        <f t="shared" si="245"/>
        <v>-2.287383644986289</v>
      </c>
      <c r="AA269" s="742">
        <f t="shared" si="245"/>
        <v>-0.65715514435817513</v>
      </c>
      <c r="AB269" s="742">
        <f t="shared" si="245"/>
        <v>-0.44831284452337522</v>
      </c>
      <c r="AC269" s="742">
        <f t="shared" si="245"/>
        <v>-0.87564588751532291</v>
      </c>
      <c r="AD269" s="742">
        <f t="shared" si="245"/>
        <v>-0.82794989362064719</v>
      </c>
      <c r="AE269" s="1243">
        <f t="shared" si="245"/>
        <v>-2.8122046836738157</v>
      </c>
      <c r="AF269" s="742">
        <f t="shared" si="245"/>
        <v>-1.2182508732069572</v>
      </c>
      <c r="AG269" s="742">
        <f t="shared" si="245"/>
        <v>-1.1298369187285486</v>
      </c>
      <c r="AH269" s="742">
        <f t="shared" si="245"/>
        <v>-1.6897496436208135</v>
      </c>
      <c r="AI269" s="742">
        <f t="shared" si="245"/>
        <v>-1.5904140637956785</v>
      </c>
      <c r="AJ269" s="1243">
        <f t="shared" si="245"/>
        <v>-5.6339413447782549</v>
      </c>
      <c r="AK269" s="742">
        <f t="shared" si="245"/>
        <v>-2.1995631366350556</v>
      </c>
      <c r="AL269" s="742">
        <f t="shared" si="245"/>
        <v>-1.981852247227728</v>
      </c>
      <c r="AM269" s="742">
        <f t="shared" si="245"/>
        <v>-2.9396477199049054</v>
      </c>
      <c r="AN269" s="742">
        <f t="shared" si="245"/>
        <v>-3.5385604526312324</v>
      </c>
      <c r="AO269" s="1243">
        <f t="shared" si="245"/>
        <v>-10.678785249457698</v>
      </c>
      <c r="AP269" s="742">
        <f t="shared" si="245"/>
        <v>-3.0382403894185295</v>
      </c>
      <c r="AQ269" s="742">
        <f t="shared" si="245"/>
        <v>2.8879621232891139</v>
      </c>
      <c r="AR269" s="742">
        <f t="shared" si="245"/>
        <v>1.8156711018841851</v>
      </c>
      <c r="AS269" s="742">
        <f t="shared" si="245"/>
        <v>0.24065635388144177</v>
      </c>
      <c r="AT269" s="1243">
        <f t="shared" si="245"/>
        <v>1.9305609183407269</v>
      </c>
      <c r="AU269" s="742">
        <f t="shared" si="245"/>
        <v>0.17730455075845958</v>
      </c>
      <c r="AV269" s="742">
        <f t="shared" si="245"/>
        <v>1.256180835797325</v>
      </c>
      <c r="AW269" s="742">
        <f t="shared" si="245"/>
        <v>-0.7498125973052453</v>
      </c>
      <c r="AX269" s="742">
        <f t="shared" si="245"/>
        <v>-1.92240952380953</v>
      </c>
      <c r="AY269" s="1243">
        <f t="shared" si="245"/>
        <v>-1.2596153846153846</v>
      </c>
      <c r="AZ269" s="742">
        <f t="shared" si="245"/>
        <v>-3.038095238095238</v>
      </c>
      <c r="BA269" s="742">
        <f t="shared" si="245"/>
        <v>-3.6</v>
      </c>
      <c r="BB269" s="742">
        <f t="shared" si="245"/>
        <v>-2.6698113207547172</v>
      </c>
      <c r="BC269" s="742">
        <f t="shared" si="245"/>
        <v>-3.25</v>
      </c>
      <c r="BD269" s="1243">
        <f t="shared" si="245"/>
        <v>-12.556603773584905</v>
      </c>
      <c r="BE269" s="742">
        <f t="shared" si="245"/>
        <v>-3.2272727272727271</v>
      </c>
      <c r="BF269" s="742">
        <f t="shared" si="245"/>
        <v>-0.4107142857142857</v>
      </c>
      <c r="BG269" s="742">
        <f t="shared" si="245"/>
        <v>-1.4051724137931034</v>
      </c>
      <c r="BH269" s="742">
        <f t="shared" si="245"/>
        <v>-1.4745762711864407</v>
      </c>
      <c r="BI269" s="1243">
        <f t="shared" si="245"/>
        <v>-6.4736842105263159</v>
      </c>
      <c r="BJ269" s="1276">
        <f>BJ259/BJ274</f>
        <v>-2.0666666666666669</v>
      </c>
      <c r="BK269" s="739">
        <f t="shared" ca="1" si="245"/>
        <v>-1.5536038939116155</v>
      </c>
      <c r="BL269" s="739">
        <f t="shared" ca="1" si="245"/>
        <v>-1.1434313412209671</v>
      </c>
      <c r="BM269" s="739">
        <f t="shared" ca="1" si="245"/>
        <v>-1.2906127967008201</v>
      </c>
      <c r="BN269" s="738">
        <f t="shared" ca="1" si="245"/>
        <v>-6.0425719288824737</v>
      </c>
      <c r="BO269" s="739">
        <f t="shared" ca="1" si="245"/>
        <v>-0.75540942569267333</v>
      </c>
      <c r="BP269" s="739">
        <f t="shared" ca="1" si="245"/>
        <v>-1.5406976762219884</v>
      </c>
      <c r="BQ269" s="739">
        <f t="shared" ref="BQ269:BX269" ca="1" si="246">BQ259/BQ274</f>
        <v>-1.1250520768721113</v>
      </c>
      <c r="BR269" s="739">
        <f t="shared" ca="1" si="246"/>
        <v>-1.2690470930621287</v>
      </c>
      <c r="BS269" s="738">
        <f t="shared" ca="1" si="246"/>
        <v>-4.6952215332808365</v>
      </c>
      <c r="BT269" s="738">
        <f t="shared" ca="1" si="246"/>
        <v>-3.1087241758233444</v>
      </c>
      <c r="BU269" s="738">
        <f t="shared" ca="1" si="246"/>
        <v>-1.4147736806313707</v>
      </c>
      <c r="BV269" s="738">
        <f t="shared" ca="1" si="246"/>
        <v>0.41165382405628875</v>
      </c>
      <c r="BW269" s="742"/>
    </row>
    <row r="270" spans="1:75" x14ac:dyDescent="0.5">
      <c r="A270" s="1491" t="s">
        <v>1200</v>
      </c>
      <c r="B270" s="737"/>
      <c r="C270" s="738"/>
      <c r="D270" s="738"/>
      <c r="E270" s="1243">
        <f t="shared" ref="E270:BP270" si="247">E261/E275</f>
        <v>-0.49685026106808711</v>
      </c>
      <c r="F270" s="1243">
        <f t="shared" si="247"/>
        <v>-0.80463768262021385</v>
      </c>
      <c r="G270" s="742">
        <f t="shared" si="247"/>
        <v>-0.41575410268542429</v>
      </c>
      <c r="H270" s="742">
        <f t="shared" si="247"/>
        <v>-0.17268369309627649</v>
      </c>
      <c r="I270" s="742">
        <f t="shared" si="247"/>
        <v>-0.18623488730118154</v>
      </c>
      <c r="J270" s="742">
        <f t="shared" si="247"/>
        <v>-0.21548715139749589</v>
      </c>
      <c r="K270" s="1243">
        <f t="shared" si="247"/>
        <v>-0.98989764379972633</v>
      </c>
      <c r="L270" s="742">
        <f t="shared" si="247"/>
        <v>-0.85494169961612698</v>
      </c>
      <c r="M270" s="742">
        <f t="shared" si="247"/>
        <v>-0.69061322356976518</v>
      </c>
      <c r="N270" s="742">
        <f t="shared" si="247"/>
        <v>-0.71313714586770971</v>
      </c>
      <c r="O270" s="742">
        <f t="shared" si="247"/>
        <v>-0.7258145726962445</v>
      </c>
      <c r="P270" s="1243">
        <f t="shared" si="247"/>
        <v>-2.9653288410056389</v>
      </c>
      <c r="Q270" s="742">
        <f t="shared" si="247"/>
        <v>-0.32611464968152915</v>
      </c>
      <c r="R270" s="742">
        <f t="shared" si="247"/>
        <v>-0.23125964379268671</v>
      </c>
      <c r="S270" s="742">
        <f t="shared" si="247"/>
        <v>-0.18451231433135482</v>
      </c>
      <c r="T270" s="742">
        <f t="shared" si="247"/>
        <v>-0.18404580062001841</v>
      </c>
      <c r="U270" s="1243">
        <f t="shared" si="247"/>
        <v>-0.92495759978978809</v>
      </c>
      <c r="V270" s="742">
        <f t="shared" si="247"/>
        <v>-0.48795073716620396</v>
      </c>
      <c r="W270" s="742">
        <f t="shared" si="247"/>
        <v>-0.56936286651098045</v>
      </c>
      <c r="X270" s="742">
        <f t="shared" si="247"/>
        <v>-0.71605663592033442</v>
      </c>
      <c r="Y270" s="742">
        <f t="shared" si="247"/>
        <v>-0.51370271249430322</v>
      </c>
      <c r="Z270" s="1243">
        <f t="shared" si="247"/>
        <v>-2.287383644986289</v>
      </c>
      <c r="AA270" s="742">
        <f t="shared" si="247"/>
        <v>-0.65715514435817513</v>
      </c>
      <c r="AB270" s="742">
        <f t="shared" si="247"/>
        <v>-0.44831284452337522</v>
      </c>
      <c r="AC270" s="742">
        <f t="shared" si="247"/>
        <v>-0.87564588751532291</v>
      </c>
      <c r="AD270" s="742">
        <f t="shared" si="247"/>
        <v>-0.82794989362064719</v>
      </c>
      <c r="AE270" s="1243">
        <f t="shared" si="247"/>
        <v>-2.8122046836738157</v>
      </c>
      <c r="AF270" s="742">
        <f t="shared" si="247"/>
        <v>-1.2182508732069572</v>
      </c>
      <c r="AG270" s="742">
        <f t="shared" si="247"/>
        <v>-1.1298369187285486</v>
      </c>
      <c r="AH270" s="742">
        <f t="shared" si="247"/>
        <v>-1.6897496436208135</v>
      </c>
      <c r="AI270" s="742">
        <f t="shared" si="247"/>
        <v>-1.5904140637956785</v>
      </c>
      <c r="AJ270" s="1243">
        <f t="shared" si="247"/>
        <v>-5.6339413447782549</v>
      </c>
      <c r="AK270" s="742">
        <f t="shared" si="247"/>
        <v>-2.1995631366350556</v>
      </c>
      <c r="AL270" s="742">
        <f t="shared" si="247"/>
        <v>-1.981852247227728</v>
      </c>
      <c r="AM270" s="742">
        <f t="shared" si="247"/>
        <v>-2.9396477199049054</v>
      </c>
      <c r="AN270" s="742">
        <f t="shared" si="247"/>
        <v>-3.5385604526312324</v>
      </c>
      <c r="AO270" s="1243">
        <f t="shared" si="247"/>
        <v>-10.678785249457698</v>
      </c>
      <c r="AP270" s="742">
        <f t="shared" si="247"/>
        <v>-3.0382403894185295</v>
      </c>
      <c r="AQ270" s="742">
        <f t="shared" si="247"/>
        <v>2.5353700430243791</v>
      </c>
      <c r="AR270" s="742">
        <f t="shared" si="247"/>
        <v>1.6694322344322379</v>
      </c>
      <c r="AS270" s="742">
        <f t="shared" si="247"/>
        <v>0.23263400531333192</v>
      </c>
      <c r="AT270" s="1243">
        <f t="shared" si="247"/>
        <v>1.8623070960467918</v>
      </c>
      <c r="AU270" s="742">
        <f t="shared" si="247"/>
        <v>0.15623066684164136</v>
      </c>
      <c r="AV270" s="742">
        <f t="shared" si="247"/>
        <v>1.1377731546702525</v>
      </c>
      <c r="AW270" s="742">
        <f t="shared" si="247"/>
        <v>-0.7498125973052453</v>
      </c>
      <c r="AX270" s="742">
        <f t="shared" si="247"/>
        <v>-1.92240952380953</v>
      </c>
      <c r="AY270" s="1243">
        <f t="shared" si="247"/>
        <v>-1.2596153846153846</v>
      </c>
      <c r="AZ270" s="742">
        <f t="shared" si="247"/>
        <v>-3.038095238095238</v>
      </c>
      <c r="BA270" s="742">
        <f t="shared" si="247"/>
        <v>-3.6</v>
      </c>
      <c r="BB270" s="742">
        <f t="shared" si="247"/>
        <v>-2.6698113207547172</v>
      </c>
      <c r="BC270" s="742">
        <f t="shared" si="247"/>
        <v>-3.25</v>
      </c>
      <c r="BD270" s="1243">
        <f t="shared" si="247"/>
        <v>-12.556603773584905</v>
      </c>
      <c r="BE270" s="742">
        <f t="shared" si="247"/>
        <v>-3.2272727272727271</v>
      </c>
      <c r="BF270" s="742">
        <f t="shared" si="247"/>
        <v>-0.4107142857142857</v>
      </c>
      <c r="BG270" s="742">
        <f t="shared" si="247"/>
        <v>-1.4051724137931034</v>
      </c>
      <c r="BH270" s="742">
        <f t="shared" si="247"/>
        <v>-1.4745762711864407</v>
      </c>
      <c r="BI270" s="1243">
        <f t="shared" si="247"/>
        <v>-6.4736842105263159</v>
      </c>
      <c r="BJ270" s="1276">
        <f>BJ261/BJ275</f>
        <v>-2.0666666666666669</v>
      </c>
      <c r="BK270" s="739">
        <f t="shared" ca="1" si="247"/>
        <v>-1.4730541255163845</v>
      </c>
      <c r="BL270" s="739">
        <f t="shared" ca="1" si="247"/>
        <v>-1.1434313412209671</v>
      </c>
      <c r="BM270" s="739">
        <f t="shared" ca="1" si="247"/>
        <v>-1.2906127967008201</v>
      </c>
      <c r="BN270" s="738">
        <f t="shared" ca="1" si="247"/>
        <v>-5.9614620387676229</v>
      </c>
      <c r="BO270" s="739">
        <f t="shared" ca="1" si="247"/>
        <v>-0.69945317193766043</v>
      </c>
      <c r="BP270" s="739">
        <f t="shared" ca="1" si="247"/>
        <v>-1.5406976762219884</v>
      </c>
      <c r="BQ270" s="739">
        <f t="shared" ref="BQ270:BX270" ca="1" si="248">BQ261/BQ275</f>
        <v>-1.1250520768721113</v>
      </c>
      <c r="BR270" s="739">
        <f t="shared" ca="1" si="248"/>
        <v>-1.2690470930621287</v>
      </c>
      <c r="BS270" s="738">
        <f t="shared" ca="1" si="248"/>
        <v>-4.6043680693456706</v>
      </c>
      <c r="BT270" s="738">
        <f t="shared" ca="1" si="248"/>
        <v>-2.8784483109475407</v>
      </c>
      <c r="BU270" s="738">
        <f t="shared" ca="1" si="248"/>
        <v>-1.309975630214232</v>
      </c>
      <c r="BV270" s="738">
        <f t="shared" ca="1" si="248"/>
        <v>0.38116094820026736</v>
      </c>
      <c r="BW270" s="742"/>
    </row>
    <row r="271" spans="1:75" x14ac:dyDescent="0.5">
      <c r="A271" s="1491" t="s">
        <v>1201</v>
      </c>
      <c r="B271" s="737"/>
      <c r="C271" s="738"/>
      <c r="D271" s="738"/>
      <c r="E271" s="1243">
        <f t="shared" ref="E271:BP271" si="249">E264/E276</f>
        <v>-0.49685026106808711</v>
      </c>
      <c r="F271" s="1243">
        <f t="shared" si="249"/>
        <v>-0.80463768262021385</v>
      </c>
      <c r="G271" s="742">
        <f t="shared" si="249"/>
        <v>-0.41575410268542429</v>
      </c>
      <c r="H271" s="742">
        <f t="shared" si="249"/>
        <v>-0.17268369309627649</v>
      </c>
      <c r="I271" s="742">
        <f t="shared" si="249"/>
        <v>-0.18623488730118154</v>
      </c>
      <c r="J271" s="742">
        <f t="shared" si="249"/>
        <v>-0.21548715139749589</v>
      </c>
      <c r="K271" s="1243">
        <f t="shared" si="249"/>
        <v>-0.98989764379972633</v>
      </c>
      <c r="L271" s="742">
        <f t="shared" si="249"/>
        <v>-0.57013936745494387</v>
      </c>
      <c r="M271" s="742">
        <f t="shared" si="249"/>
        <v>-0.55286081467974157</v>
      </c>
      <c r="N271" s="742">
        <f t="shared" si="249"/>
        <v>-0.59448253854411126</v>
      </c>
      <c r="O271" s="742">
        <f t="shared" si="249"/>
        <v>-0.17753426978133627</v>
      </c>
      <c r="P271" s="1243">
        <f t="shared" si="249"/>
        <v>-1.0199758756234345</v>
      </c>
      <c r="Q271" s="742">
        <f t="shared" si="249"/>
        <v>-0.22747265953611395</v>
      </c>
      <c r="R271" s="742">
        <f t="shared" si="249"/>
        <v>-0.14544932598112492</v>
      </c>
      <c r="S271" s="742">
        <f t="shared" si="249"/>
        <v>-0.1260997067448684</v>
      </c>
      <c r="T271" s="742">
        <f t="shared" si="249"/>
        <v>-6.775070969581036E-2</v>
      </c>
      <c r="U271" s="1243">
        <f t="shared" si="249"/>
        <v>-0.56577407257004753</v>
      </c>
      <c r="V271" s="742">
        <f t="shared" si="249"/>
        <v>-0.3579371188347456</v>
      </c>
      <c r="W271" s="742">
        <f t="shared" si="249"/>
        <v>-0.43235911589177445</v>
      </c>
      <c r="X271" s="742">
        <f t="shared" si="249"/>
        <v>-0.53715997884965694</v>
      </c>
      <c r="Y271" s="742">
        <f t="shared" si="249"/>
        <v>-0.34142835438895885</v>
      </c>
      <c r="Z271" s="1243">
        <f t="shared" si="249"/>
        <v>-1.668851571601726</v>
      </c>
      <c r="AA271" s="742">
        <f t="shared" si="249"/>
        <v>-0.48085685062066996</v>
      </c>
      <c r="AB271" s="742">
        <f t="shared" si="249"/>
        <v>-0.26141107548953985</v>
      </c>
      <c r="AC271" s="742">
        <f t="shared" si="249"/>
        <v>-0.64839659498413138</v>
      </c>
      <c r="AD271" s="742">
        <f t="shared" si="249"/>
        <v>-0.57876053838189101</v>
      </c>
      <c r="AE271" s="1243">
        <f t="shared" si="249"/>
        <v>-1.9716726256854729</v>
      </c>
      <c r="AF271" s="742">
        <f t="shared" si="249"/>
        <v>-0.90867781206551479</v>
      </c>
      <c r="AG271" s="742">
        <f t="shared" si="249"/>
        <v>-0.77232553444446861</v>
      </c>
      <c r="AH271" s="742">
        <f t="shared" si="249"/>
        <v>-1.2803033677833224</v>
      </c>
      <c r="AI271" s="742">
        <f t="shared" si="249"/>
        <v>-1.1213444634860981</v>
      </c>
      <c r="AJ271" s="1243">
        <f t="shared" si="249"/>
        <v>-4.0865075107296143</v>
      </c>
      <c r="AK271" s="742">
        <f t="shared" si="249"/>
        <v>-1.6240889532841603</v>
      </c>
      <c r="AL271" s="742">
        <f t="shared" si="249"/>
        <v>-1.3534781377312028</v>
      </c>
      <c r="AM271" s="742">
        <f t="shared" si="249"/>
        <v>-2.2334558028960445</v>
      </c>
      <c r="AN271" s="742">
        <f t="shared" si="249"/>
        <v>-2.8042884238274266</v>
      </c>
      <c r="AO271" s="1243">
        <f t="shared" si="249"/>
        <v>-8.0324945770065046</v>
      </c>
      <c r="AP271" s="742">
        <f t="shared" si="249"/>
        <v>-2.3019056425299453</v>
      </c>
      <c r="AQ271" s="742">
        <f t="shared" si="249"/>
        <v>3.1273138111596555</v>
      </c>
      <c r="AR271" s="742">
        <f t="shared" si="249"/>
        <v>2.3039326308802819</v>
      </c>
      <c r="AS271" s="742">
        <f t="shared" si="249"/>
        <v>1.2433835074226955</v>
      </c>
      <c r="AT271" s="1243">
        <f t="shared" si="249"/>
        <v>5.0360586797066027</v>
      </c>
      <c r="AU271" s="742">
        <f t="shared" si="249"/>
        <v>0.9997874288704296</v>
      </c>
      <c r="AV271" s="742">
        <f t="shared" si="249"/>
        <v>1.8899682206860438</v>
      </c>
      <c r="AW271" s="742">
        <f t="shared" si="249"/>
        <v>0.13781171922877486</v>
      </c>
      <c r="AX271" s="742">
        <f t="shared" si="249"/>
        <v>-0.92240952380953012</v>
      </c>
      <c r="AY271" s="1243">
        <f t="shared" si="249"/>
        <v>2.3193277310924372</v>
      </c>
      <c r="AZ271" s="742">
        <f t="shared" si="249"/>
        <v>-1.9619047619047618</v>
      </c>
      <c r="BA271" s="742">
        <f t="shared" si="249"/>
        <v>-1.9428571428571428</v>
      </c>
      <c r="BB271" s="742">
        <f t="shared" si="249"/>
        <v>-2.1132075471698113</v>
      </c>
      <c r="BC271" s="742">
        <f t="shared" si="249"/>
        <v>-1.7037037037037037</v>
      </c>
      <c r="BD271" s="1243">
        <f t="shared" si="249"/>
        <v>-7.716981132075472</v>
      </c>
      <c r="BE271" s="742">
        <f t="shared" si="249"/>
        <v>-1.1272727272727272</v>
      </c>
      <c r="BF271" s="742">
        <f t="shared" si="249"/>
        <v>0.21428571428571427</v>
      </c>
      <c r="BG271" s="742">
        <f t="shared" si="249"/>
        <v>-0.12931034482758622</v>
      </c>
      <c r="BH271" s="742">
        <f t="shared" si="249"/>
        <v>-0.10169491525423729</v>
      </c>
      <c r="BI271" s="1243">
        <f t="shared" si="249"/>
        <v>-1.1140350877192982</v>
      </c>
      <c r="BJ271" s="1276">
        <f>BJ264/BJ276</f>
        <v>-0.32500000000000001</v>
      </c>
      <c r="BK271" s="739">
        <f t="shared" ca="1" si="249"/>
        <v>0.49087708097439281</v>
      </c>
      <c r="BL271" s="739">
        <f t="shared" ca="1" si="249"/>
        <v>-0.27726113774463634</v>
      </c>
      <c r="BM271" s="739">
        <f t="shared" ca="1" si="249"/>
        <v>-0.3877565558846568</v>
      </c>
      <c r="BN271" s="738">
        <f t="shared" ca="1" si="249"/>
        <v>-0.47052372828818384</v>
      </c>
      <c r="BO271" s="739">
        <f t="shared" ca="1" si="249"/>
        <v>7.2040856598848194E-2</v>
      </c>
      <c r="BP271" s="739">
        <f t="shared" ca="1" si="249"/>
        <v>-0.59044521543974804</v>
      </c>
      <c r="BQ271" s="739">
        <f t="shared" ref="BQ271:BX271" ca="1" si="250">BQ264/BQ276</f>
        <v>-0.24076164915371334</v>
      </c>
      <c r="BR271" s="739">
        <f t="shared" ca="1" si="250"/>
        <v>-0.34703279171776213</v>
      </c>
      <c r="BS271" s="738">
        <f t="shared" ca="1" si="250"/>
        <v>-1.0831826624361387</v>
      </c>
      <c r="BT271" s="738">
        <f t="shared" ca="1" si="250"/>
        <v>0.57784110350479867</v>
      </c>
      <c r="BU271" s="738">
        <f t="shared" ca="1" si="250"/>
        <v>2.2850920624397482</v>
      </c>
      <c r="BV271" s="738">
        <f t="shared" ca="1" si="250"/>
        <v>4.1216461599998926</v>
      </c>
      <c r="BW271" s="742"/>
    </row>
    <row r="272" spans="1:75" x14ac:dyDescent="0.5">
      <c r="A272" s="743" t="str">
        <f>CONCATENATE("Consensus Estimates - ",IFERROR(LEFT(A271,FIND("(",A271)-1),A271))</f>
        <v>Consensus Estimates - Adjusted Earnings Per Share - WAD</v>
      </c>
      <c r="B272" s="744"/>
      <c r="C272" s="745"/>
      <c r="D272" s="745"/>
      <c r="E272" s="745"/>
      <c r="F272" s="745"/>
      <c r="G272" s="746"/>
      <c r="H272" s="746"/>
      <c r="I272" s="746"/>
      <c r="J272" s="746"/>
      <c r="K272" s="745"/>
      <c r="L272" s="746"/>
      <c r="M272" s="746"/>
      <c r="N272" s="746"/>
      <c r="O272" s="746"/>
      <c r="P272" s="745"/>
      <c r="Q272" s="746"/>
      <c r="R272" s="746"/>
      <c r="S272" s="746"/>
      <c r="T272" s="746"/>
      <c r="U272" s="745"/>
      <c r="V272" s="746"/>
      <c r="W272" s="746"/>
      <c r="X272" s="746"/>
      <c r="Y272" s="747"/>
      <c r="Z272" s="748"/>
      <c r="AA272" s="746"/>
      <c r="AB272" s="746"/>
      <c r="AC272" s="746"/>
      <c r="AD272" s="747"/>
      <c r="AE272" s="748"/>
      <c r="AF272" s="746"/>
      <c r="AG272" s="746"/>
      <c r="AH272" s="746"/>
      <c r="AI272" s="747"/>
      <c r="AJ272" s="748"/>
      <c r="AK272" s="746"/>
      <c r="AL272" s="746"/>
      <c r="AM272" s="746"/>
      <c r="AN272" s="747"/>
      <c r="AO272" s="748"/>
      <c r="AP272" s="746"/>
      <c r="AQ272" s="746"/>
      <c r="AR272" s="746"/>
      <c r="AS272" s="747"/>
      <c r="AT272" s="748"/>
      <c r="AU272" s="746"/>
      <c r="AV272" s="746"/>
      <c r="AW272" s="746"/>
      <c r="AX272" s="747"/>
      <c r="AY272" s="748"/>
      <c r="AZ272" s="746"/>
      <c r="BA272" s="746"/>
      <c r="BB272" s="746"/>
      <c r="BC272" s="747"/>
      <c r="BD272" s="748"/>
      <c r="BE272" s="746"/>
      <c r="BF272" s="746"/>
      <c r="BG272" s="746"/>
      <c r="BH272" s="747"/>
      <c r="BI272" s="748"/>
      <c r="BJ272" s="1296"/>
      <c r="BK272" s="746" t="str">
        <f t="shared" ref="BK272:BS272" ca="1" si="251">IFERROR(VLOOKUP($A272,tb_ConsensusEstimate,MATCH(BK$5,OFFSET(tb_ConsensusEstimate,0,0,1,COLUMNS(tb_ConsensusEstimate)),0),FALSE),"-")</f>
        <v>N/A</v>
      </c>
      <c r="BL272" s="746" t="str">
        <f t="shared" ca="1" si="251"/>
        <v>N/A</v>
      </c>
      <c r="BM272" s="746" t="str">
        <f t="shared" ca="1" si="251"/>
        <v>N/A</v>
      </c>
      <c r="BN272" s="748" t="str">
        <f t="shared" ca="1" si="251"/>
        <v>N/A</v>
      </c>
      <c r="BO272" s="746" t="str">
        <f t="shared" ca="1" si="251"/>
        <v>N/A</v>
      </c>
      <c r="BP272" s="746" t="str">
        <f t="shared" ca="1" si="251"/>
        <v>N/A</v>
      </c>
      <c r="BQ272" s="746" t="str">
        <f t="shared" ca="1" si="251"/>
        <v>N/A</v>
      </c>
      <c r="BR272" s="746" t="str">
        <f t="shared" ca="1" si="251"/>
        <v>N/A</v>
      </c>
      <c r="BS272" s="748" t="str">
        <f t="shared" ca="1" si="251"/>
        <v>N/A</v>
      </c>
      <c r="BT272" s="748" t="str">
        <f ca="1">IFERROR(VLOOKUP(A272,tb_ConsensusEstimate,MATCH(BT5,OFFSET(tb_ConsensusEstimate,0,0,1,COLUMNS(tb_ConsensusEstimate)),0),FALSE),"-")</f>
        <v>N/A</v>
      </c>
      <c r="BU272" s="748" t="str">
        <f ca="1">IFERROR(VLOOKUP(A272,tb_ConsensusEstimate,MATCH(BU5,OFFSET(tb_ConsensusEstimate,0,0,1,COLUMNS(tb_ConsensusEstimate)),0),FALSE),"-")</f>
        <v>N/A</v>
      </c>
      <c r="BV272" s="748" t="str">
        <f ca="1">IFERROR(VLOOKUP(A272,tb_ConsensusEstimate,MATCH(BV5,OFFSET(tb_ConsensusEstimate,0,0,1,COLUMNS(tb_ConsensusEstimate)),0),FALSE),"-")</f>
        <v>N/A</v>
      </c>
      <c r="BW272" s="746"/>
    </row>
    <row r="273" spans="1:75" x14ac:dyDescent="0.5">
      <c r="A273" s="118"/>
      <c r="B273" s="513"/>
      <c r="C273" s="401"/>
      <c r="D273" s="401"/>
      <c r="E273" s="401"/>
      <c r="F273" s="401"/>
      <c r="G273" s="118"/>
      <c r="H273" s="118"/>
      <c r="I273" s="118"/>
      <c r="J273" s="118"/>
      <c r="K273" s="401"/>
      <c r="L273" s="118"/>
      <c r="M273" s="118"/>
      <c r="N273" s="118"/>
      <c r="O273" s="118"/>
      <c r="P273" s="401"/>
      <c r="Q273" s="118"/>
      <c r="R273" s="118"/>
      <c r="S273" s="118"/>
      <c r="T273" s="118"/>
      <c r="U273" s="401"/>
      <c r="V273" s="118"/>
      <c r="W273" s="118"/>
      <c r="X273" s="118"/>
      <c r="Y273" s="118"/>
      <c r="Z273" s="401"/>
      <c r="AA273" s="118"/>
      <c r="AB273" s="118"/>
      <c r="AC273" s="118"/>
      <c r="AD273" s="118"/>
      <c r="AE273" s="401"/>
      <c r="AF273" s="118"/>
      <c r="AG273" s="118"/>
      <c r="AH273" s="118"/>
      <c r="AI273" s="118"/>
      <c r="AJ273" s="401"/>
      <c r="AK273" s="118"/>
      <c r="AL273" s="118"/>
      <c r="AM273" s="118"/>
      <c r="AN273" s="118"/>
      <c r="AO273" s="401"/>
      <c r="AP273" s="118"/>
      <c r="AQ273" s="118"/>
      <c r="AR273" s="118"/>
      <c r="AS273" s="118"/>
      <c r="AT273" s="401"/>
      <c r="AU273" s="118"/>
      <c r="AV273" s="118"/>
      <c r="AW273" s="118"/>
      <c r="AX273" s="118"/>
      <c r="AY273" s="401"/>
      <c r="AZ273" s="118"/>
      <c r="BA273" s="118"/>
      <c r="BB273" s="118"/>
      <c r="BC273" s="118"/>
      <c r="BD273" s="401"/>
      <c r="BE273" s="118"/>
      <c r="BF273" s="118"/>
      <c r="BG273" s="118"/>
      <c r="BH273" s="118"/>
      <c r="BI273" s="401"/>
      <c r="BJ273" s="971"/>
      <c r="BK273" s="118"/>
      <c r="BL273" s="118"/>
      <c r="BM273" s="118"/>
      <c r="BN273" s="401"/>
      <c r="BO273" s="118"/>
      <c r="BP273" s="118"/>
      <c r="BQ273" s="118"/>
      <c r="BR273" s="118"/>
      <c r="BS273" s="401"/>
      <c r="BT273" s="401"/>
      <c r="BU273" s="401"/>
      <c r="BV273" s="401"/>
      <c r="BW273" s="122"/>
    </row>
    <row r="274" spans="1:75" x14ac:dyDescent="0.5">
      <c r="A274" s="118" t="s">
        <v>1202</v>
      </c>
      <c r="B274" s="513"/>
      <c r="C274" s="401"/>
      <c r="D274" s="401"/>
      <c r="E274" s="403">
        <v>41.271991999999997</v>
      </c>
      <c r="F274" s="403">
        <v>41.271991999999997</v>
      </c>
      <c r="G274" s="302">
        <v>41.271991999999997</v>
      </c>
      <c r="H274" s="302">
        <v>41.271991999999997</v>
      </c>
      <c r="I274" s="302">
        <v>41.367114999999998</v>
      </c>
      <c r="J274" s="302">
        <v>41.413142000000001</v>
      </c>
      <c r="K274" s="403">
        <v>41.331546000000003</v>
      </c>
      <c r="L274" s="302">
        <v>41.144326</v>
      </c>
      <c r="M274" s="302">
        <v>40.514718000000002</v>
      </c>
      <c r="N274" s="302">
        <v>40.512543999999998</v>
      </c>
      <c r="O274" s="302">
        <v>80.078304000000003</v>
      </c>
      <c r="P274" s="403">
        <v>50.641601000000001</v>
      </c>
      <c r="Q274" s="302">
        <v>83.21</v>
      </c>
      <c r="R274" s="302">
        <v>83.602999999999994</v>
      </c>
      <c r="S274" s="302">
        <v>83.885999999999996</v>
      </c>
      <c r="T274" s="302">
        <v>84.191000000000003</v>
      </c>
      <c r="U274" s="403">
        <v>83.725999999999999</v>
      </c>
      <c r="V274" s="302">
        <v>84.444999999999993</v>
      </c>
      <c r="W274" s="302">
        <v>84.786000000000001</v>
      </c>
      <c r="X274" s="302">
        <v>85.105000000000004</v>
      </c>
      <c r="Y274" s="302">
        <v>85.566999999999993</v>
      </c>
      <c r="Z274" s="403">
        <v>84.977000000000004</v>
      </c>
      <c r="AA274" s="302">
        <v>86.036000000000001</v>
      </c>
      <c r="AB274" s="302">
        <v>86.713999999999999</v>
      </c>
      <c r="AC274" s="302">
        <v>87.283000000000001</v>
      </c>
      <c r="AD274" s="302">
        <v>87.893000000000001</v>
      </c>
      <c r="AE274" s="403">
        <v>86.983000000000004</v>
      </c>
      <c r="AF274" s="302">
        <v>88.466999999999999</v>
      </c>
      <c r="AG274" s="302">
        <v>89.158000000000001</v>
      </c>
      <c r="AH274" s="302">
        <v>89.792000000000002</v>
      </c>
      <c r="AI274" s="302">
        <v>90.444999999999993</v>
      </c>
      <c r="AJ274" s="403">
        <v>89.471999999999994</v>
      </c>
      <c r="AK274" s="302">
        <v>91.103999999999999</v>
      </c>
      <c r="AL274" s="302">
        <v>91.802000000000007</v>
      </c>
      <c r="AM274" s="302">
        <v>92.54</v>
      </c>
      <c r="AN274" s="302">
        <v>93.320999999999998</v>
      </c>
      <c r="AO274" s="403">
        <v>92.2</v>
      </c>
      <c r="AP274" s="302">
        <v>94.088999999999999</v>
      </c>
      <c r="AQ274" s="302">
        <v>94.834000000000003</v>
      </c>
      <c r="AR274" s="302">
        <v>95.373000000000005</v>
      </c>
      <c r="AS274" s="302">
        <v>98.971000000000004</v>
      </c>
      <c r="AT274" s="403">
        <v>95.825000000000003</v>
      </c>
      <c r="AU274" s="302">
        <v>102.84</v>
      </c>
      <c r="AV274" s="302">
        <v>103.82899999999999</v>
      </c>
      <c r="AW274" s="302">
        <v>104.054</v>
      </c>
      <c r="AX274" s="302">
        <v>105</v>
      </c>
      <c r="AY274" s="403">
        <v>104</v>
      </c>
      <c r="AZ274" s="302">
        <v>105</v>
      </c>
      <c r="BA274" s="302">
        <v>105</v>
      </c>
      <c r="BB274" s="302">
        <v>106</v>
      </c>
      <c r="BC274" s="302">
        <v>108</v>
      </c>
      <c r="BD274" s="403">
        <v>106</v>
      </c>
      <c r="BE274" s="302">
        <v>110</v>
      </c>
      <c r="BF274" s="302">
        <v>112</v>
      </c>
      <c r="BG274" s="302">
        <v>116</v>
      </c>
      <c r="BH274" s="302">
        <v>118</v>
      </c>
      <c r="BI274" s="403">
        <v>114</v>
      </c>
      <c r="BJ274" s="1207">
        <v>120</v>
      </c>
      <c r="BK274" s="118">
        <f ca="1">AVERAGE(BJ287,BK287)</f>
        <v>120.97022232749998</v>
      </c>
      <c r="BL274" s="118">
        <f ca="1">AVERAGE(BK287,BL287)</f>
        <v>122.05895432844747</v>
      </c>
      <c r="BM274" s="118">
        <f ca="1">AVERAGE(BL287,BM287)</f>
        <v>123.15748491740348</v>
      </c>
      <c r="BN274" s="401">
        <f ca="1">AVERAGE(BJ274,BK274,BL274,BM274)</f>
        <v>121.54666539333775</v>
      </c>
      <c r="BO274" s="118">
        <f ca="1">AVERAGE(BN287,BO287)</f>
        <v>124.2659022816601</v>
      </c>
      <c r="BP274" s="118">
        <f ca="1">AVERAGE(BO287,BP287)</f>
        <v>125.38429540219502</v>
      </c>
      <c r="BQ274" s="118">
        <f ca="1">AVERAGE(BP287,BQ287)</f>
        <v>126.51275406081477</v>
      </c>
      <c r="BR274" s="118">
        <f ca="1">AVERAGE(BQ287,BR287)</f>
        <v>127.65136884736209</v>
      </c>
      <c r="BS274" s="401">
        <f ca="1">AVERAGE(BO274,BP274,BQ274,BR274)</f>
        <v>125.953580148008</v>
      </c>
      <c r="BT274" s="401">
        <f ca="1">AVERAGE(BS287,BT287)</f>
        <v>130.53124472672388</v>
      </c>
      <c r="BU274" s="401">
        <f ca="1">AVERAGE(BT287,BU287)</f>
        <v>135.23036953688595</v>
      </c>
      <c r="BV274" s="401">
        <f ca="1">AVERAGE(BU287,BV287)</f>
        <v>140.09866284021382</v>
      </c>
      <c r="BW274" s="118"/>
    </row>
    <row r="275" spans="1:75" x14ac:dyDescent="0.5">
      <c r="A275" s="118" t="s">
        <v>1203</v>
      </c>
      <c r="B275" s="513"/>
      <c r="C275" s="401"/>
      <c r="D275" s="401"/>
      <c r="E275" s="401">
        <f t="shared" ref="E275:Z276" si="252">E274</f>
        <v>41.271991999999997</v>
      </c>
      <c r="F275" s="401">
        <f t="shared" si="252"/>
        <v>41.271991999999997</v>
      </c>
      <c r="G275" s="118">
        <f t="shared" si="252"/>
        <v>41.271991999999997</v>
      </c>
      <c r="H275" s="118">
        <f t="shared" si="252"/>
        <v>41.271991999999997</v>
      </c>
      <c r="I275" s="118">
        <f t="shared" si="252"/>
        <v>41.367114999999998</v>
      </c>
      <c r="J275" s="118">
        <f t="shared" si="252"/>
        <v>41.413142000000001</v>
      </c>
      <c r="K275" s="401">
        <f t="shared" si="252"/>
        <v>41.331546000000003</v>
      </c>
      <c r="L275" s="118">
        <f t="shared" si="252"/>
        <v>41.144326</v>
      </c>
      <c r="M275" s="118">
        <f t="shared" si="252"/>
        <v>40.514718000000002</v>
      </c>
      <c r="N275" s="118">
        <f t="shared" si="252"/>
        <v>40.512543999999998</v>
      </c>
      <c r="O275" s="118">
        <f t="shared" si="252"/>
        <v>80.078304000000003</v>
      </c>
      <c r="P275" s="401">
        <f t="shared" si="252"/>
        <v>50.641601000000001</v>
      </c>
      <c r="Q275" s="118">
        <f t="shared" si="252"/>
        <v>83.21</v>
      </c>
      <c r="R275" s="118">
        <f t="shared" si="252"/>
        <v>83.602999999999994</v>
      </c>
      <c r="S275" s="118">
        <f t="shared" si="252"/>
        <v>83.885999999999996</v>
      </c>
      <c r="T275" s="118">
        <f t="shared" si="252"/>
        <v>84.191000000000003</v>
      </c>
      <c r="U275" s="401">
        <f t="shared" si="252"/>
        <v>83.725999999999999</v>
      </c>
      <c r="V275" s="118">
        <f t="shared" si="252"/>
        <v>84.444999999999993</v>
      </c>
      <c r="W275" s="118">
        <f t="shared" si="252"/>
        <v>84.786000000000001</v>
      </c>
      <c r="X275" s="118">
        <f t="shared" si="252"/>
        <v>85.105000000000004</v>
      </c>
      <c r="Y275" s="118">
        <f t="shared" si="252"/>
        <v>85.566999999999993</v>
      </c>
      <c r="Z275" s="401">
        <f t="shared" si="252"/>
        <v>84.977000000000004</v>
      </c>
      <c r="AA275" s="302">
        <v>86.036000000000001</v>
      </c>
      <c r="AB275" s="118">
        <f t="shared" ref="AB275:AE276" si="253">AB274</f>
        <v>86.713999999999999</v>
      </c>
      <c r="AC275" s="118">
        <f t="shared" si="253"/>
        <v>87.283000000000001</v>
      </c>
      <c r="AD275" s="118">
        <f t="shared" si="253"/>
        <v>87.893000000000001</v>
      </c>
      <c r="AE275" s="401">
        <f t="shared" si="253"/>
        <v>86.983000000000004</v>
      </c>
      <c r="AF275" s="302">
        <v>88.466999999999999</v>
      </c>
      <c r="AG275" s="118">
        <f t="shared" ref="AG275:AJ276" si="254">AG274</f>
        <v>89.158000000000001</v>
      </c>
      <c r="AH275" s="118">
        <f t="shared" si="254"/>
        <v>89.792000000000002</v>
      </c>
      <c r="AI275" s="118">
        <f t="shared" si="254"/>
        <v>90.444999999999993</v>
      </c>
      <c r="AJ275" s="401">
        <f t="shared" si="254"/>
        <v>89.471999999999994</v>
      </c>
      <c r="AK275" s="302">
        <v>91.103999999999999</v>
      </c>
      <c r="AL275" s="118">
        <f t="shared" ref="AL275:AO276" si="255">AL274</f>
        <v>91.802000000000007</v>
      </c>
      <c r="AM275" s="118">
        <f t="shared" si="255"/>
        <v>92.54</v>
      </c>
      <c r="AN275" s="118">
        <f t="shared" si="255"/>
        <v>93.320999999999998</v>
      </c>
      <c r="AO275" s="401">
        <f t="shared" si="255"/>
        <v>92.2</v>
      </c>
      <c r="AP275" s="302">
        <v>94.088999999999999</v>
      </c>
      <c r="AQ275" s="302">
        <v>119.932</v>
      </c>
      <c r="AR275" s="302">
        <v>109.2</v>
      </c>
      <c r="AS275" s="302">
        <v>102.384</v>
      </c>
      <c r="AT275" s="403">
        <v>99.337000000000003</v>
      </c>
      <c r="AU275" s="302">
        <v>106.682</v>
      </c>
      <c r="AV275" s="302">
        <v>122.092</v>
      </c>
      <c r="AW275" s="302">
        <v>104.054</v>
      </c>
      <c r="AX275" s="302">
        <v>105</v>
      </c>
      <c r="AY275" s="403">
        <v>104</v>
      </c>
      <c r="AZ275" s="302">
        <v>105</v>
      </c>
      <c r="BA275" s="302">
        <v>105</v>
      </c>
      <c r="BB275" s="302">
        <v>106</v>
      </c>
      <c r="BC275" s="302">
        <v>108</v>
      </c>
      <c r="BD275" s="403">
        <v>106</v>
      </c>
      <c r="BE275" s="302">
        <v>110</v>
      </c>
      <c r="BF275" s="302">
        <v>112</v>
      </c>
      <c r="BG275" s="302">
        <v>116</v>
      </c>
      <c r="BH275" s="302">
        <v>118</v>
      </c>
      <c r="BI275" s="403">
        <v>114</v>
      </c>
      <c r="BJ275" s="1207">
        <v>120</v>
      </c>
      <c r="BK275" s="118">
        <f ca="1">IF(BK264&lt;0,BK274,AVERAGE(BJ285,BK285)+AVERAGE(BJ360,BK360))</f>
        <v>127.5851343137</v>
      </c>
      <c r="BL275" s="118">
        <f ca="1">IF(BL264&lt;0,BL274,AVERAGE(BK285,BL285)+AVERAGE(BK360,BL360))</f>
        <v>122.05895432844747</v>
      </c>
      <c r="BM275" s="118">
        <f ca="1">IF(BM264&lt;0,BM274,AVERAGE(BL285,BM285)+AVERAGE(BL360,BM360))</f>
        <v>123.15748491740348</v>
      </c>
      <c r="BN275" s="401">
        <f ca="1">AVERAGE(BJ275,BK275,BL275,BM275)</f>
        <v>123.20039338988775</v>
      </c>
      <c r="BO275" s="118">
        <f ca="1">IF(BO264&lt;0,BO274,AVERAGE(BN285,BO285)+AVERAGE(BN360,BO360))</f>
        <v>134.20717446419292</v>
      </c>
      <c r="BP275" s="118">
        <f ca="1">IF(BP264&lt;0,BP274,AVERAGE(BO285,BP285)+AVERAGE(BO360,BP360))</f>
        <v>125.38429540219502</v>
      </c>
      <c r="BQ275" s="118">
        <f ca="1">IF(BQ264&lt;0,BQ274,AVERAGE(BP285,BQ285)+AVERAGE(BP360,BQ360))</f>
        <v>126.51275406081477</v>
      </c>
      <c r="BR275" s="118">
        <f ca="1">IF(BR264&lt;0,BR274,AVERAGE(BQ285,BR285)+AVERAGE(BQ360,BR360))</f>
        <v>127.65136884736209</v>
      </c>
      <c r="BS275" s="401">
        <f ca="1">AVERAGE(BO275,BP275,BQ275,BR275)</f>
        <v>128.43889819364119</v>
      </c>
      <c r="BT275" s="401">
        <f ca="1">IF(BT264&lt;0,BT274,AVERAGE(BS285,BT285)+AVERAGE(BS360,BT360))</f>
        <v>140.97374430486181</v>
      </c>
      <c r="BU275" s="401">
        <f ca="1">IF(BU264&lt;0,BU274,AVERAGE(BT285,BU285)+AVERAGE(BT360,BU360))</f>
        <v>146.04879909983683</v>
      </c>
      <c r="BV275" s="401">
        <f ca="1">IF(BV264&lt;0,BV274,AVERAGE(BU285,BV285)+AVERAGE(BU360,BV360))</f>
        <v>151.30655586743092</v>
      </c>
      <c r="BW275" s="118"/>
    </row>
    <row r="276" spans="1:75" x14ac:dyDescent="0.5">
      <c r="A276" s="118" t="s">
        <v>1204</v>
      </c>
      <c r="B276" s="513"/>
      <c r="C276" s="401"/>
      <c r="D276" s="401"/>
      <c r="E276" s="401">
        <f>E275</f>
        <v>41.271991999999997</v>
      </c>
      <c r="F276" s="401">
        <f>F275</f>
        <v>41.271991999999997</v>
      </c>
      <c r="G276" s="118">
        <f>G275</f>
        <v>41.271991999999997</v>
      </c>
      <c r="H276" s="118">
        <f>H275</f>
        <v>41.271991999999997</v>
      </c>
      <c r="I276" s="118">
        <f t="shared" si="252"/>
        <v>41.367114999999998</v>
      </c>
      <c r="J276" s="118">
        <f t="shared" si="252"/>
        <v>41.413142000000001</v>
      </c>
      <c r="K276" s="401">
        <f t="shared" si="252"/>
        <v>41.331546000000003</v>
      </c>
      <c r="L276" s="118">
        <f t="shared" si="252"/>
        <v>41.144326</v>
      </c>
      <c r="M276" s="118">
        <f t="shared" si="252"/>
        <v>40.514718000000002</v>
      </c>
      <c r="N276" s="118">
        <f t="shared" si="252"/>
        <v>40.512543999999998</v>
      </c>
      <c r="O276" s="302">
        <v>83.020590999999996</v>
      </c>
      <c r="P276" s="403">
        <v>83.020590999999996</v>
      </c>
      <c r="Q276" s="118">
        <f t="shared" si="252"/>
        <v>83.21</v>
      </c>
      <c r="R276" s="118">
        <f t="shared" si="252"/>
        <v>83.602999999999994</v>
      </c>
      <c r="S276" s="118">
        <f t="shared" si="252"/>
        <v>83.885999999999996</v>
      </c>
      <c r="T276" s="118">
        <f t="shared" si="252"/>
        <v>84.191000000000003</v>
      </c>
      <c r="U276" s="401">
        <f t="shared" si="252"/>
        <v>83.725999999999999</v>
      </c>
      <c r="V276" s="118">
        <f t="shared" si="252"/>
        <v>84.444999999999993</v>
      </c>
      <c r="W276" s="118">
        <f t="shared" si="252"/>
        <v>84.786000000000001</v>
      </c>
      <c r="X276" s="118">
        <f t="shared" si="252"/>
        <v>85.105000000000004</v>
      </c>
      <c r="Y276" s="118">
        <f t="shared" si="252"/>
        <v>85.566999999999993</v>
      </c>
      <c r="Z276" s="401">
        <f t="shared" si="252"/>
        <v>84.977000000000004</v>
      </c>
      <c r="AA276" s="118">
        <f t="shared" ref="AA276:AK276" si="256">AA275</f>
        <v>86.036000000000001</v>
      </c>
      <c r="AB276" s="118">
        <f t="shared" si="253"/>
        <v>86.713999999999999</v>
      </c>
      <c r="AC276" s="118">
        <f t="shared" si="253"/>
        <v>87.283000000000001</v>
      </c>
      <c r="AD276" s="118">
        <f t="shared" si="253"/>
        <v>87.893000000000001</v>
      </c>
      <c r="AE276" s="401">
        <f t="shared" si="253"/>
        <v>86.983000000000004</v>
      </c>
      <c r="AF276" s="118">
        <f>AF275</f>
        <v>88.466999999999999</v>
      </c>
      <c r="AG276" s="118">
        <f t="shared" si="254"/>
        <v>89.158000000000001</v>
      </c>
      <c r="AH276" s="118">
        <f t="shared" si="254"/>
        <v>89.792000000000002</v>
      </c>
      <c r="AI276" s="118">
        <f t="shared" si="254"/>
        <v>90.444999999999993</v>
      </c>
      <c r="AJ276" s="401">
        <f t="shared" si="254"/>
        <v>89.471999999999994</v>
      </c>
      <c r="AK276" s="118">
        <f>AK275</f>
        <v>91.103999999999999</v>
      </c>
      <c r="AL276" s="118">
        <f t="shared" si="255"/>
        <v>91.802000000000007</v>
      </c>
      <c r="AM276" s="118">
        <f t="shared" si="255"/>
        <v>92.54</v>
      </c>
      <c r="AN276" s="118">
        <f t="shared" si="255"/>
        <v>93.320999999999998</v>
      </c>
      <c r="AO276" s="401">
        <f t="shared" si="255"/>
        <v>92.2</v>
      </c>
      <c r="AP276" s="118">
        <f>AP275</f>
        <v>94.088999999999999</v>
      </c>
      <c r="AQ276" s="118">
        <f>AQ275</f>
        <v>119.932</v>
      </c>
      <c r="AR276" s="302">
        <v>120.53</v>
      </c>
      <c r="AS276" s="302">
        <v>106.363</v>
      </c>
      <c r="AT276" s="403">
        <v>102.25</v>
      </c>
      <c r="AU276" s="302">
        <v>122.312</v>
      </c>
      <c r="AV276" s="118">
        <f>AV275</f>
        <v>122.092</v>
      </c>
      <c r="AW276" s="302">
        <v>106.065</v>
      </c>
      <c r="AX276" s="302">
        <v>105</v>
      </c>
      <c r="AY276" s="403">
        <v>119</v>
      </c>
      <c r="AZ276" s="302">
        <v>105</v>
      </c>
      <c r="BA276" s="118">
        <f>BA275</f>
        <v>105</v>
      </c>
      <c r="BB276" s="118">
        <f>BB275</f>
        <v>106</v>
      </c>
      <c r="BC276" s="118">
        <f t="shared" ref="BC276:BJ276" si="257">BC275</f>
        <v>108</v>
      </c>
      <c r="BD276" s="401">
        <f t="shared" si="257"/>
        <v>106</v>
      </c>
      <c r="BE276" s="118">
        <f t="shared" si="257"/>
        <v>110</v>
      </c>
      <c r="BF276" s="118">
        <f t="shared" si="257"/>
        <v>112</v>
      </c>
      <c r="BG276" s="118">
        <f t="shared" si="257"/>
        <v>116</v>
      </c>
      <c r="BH276" s="118">
        <f t="shared" si="257"/>
        <v>118</v>
      </c>
      <c r="BI276" s="401">
        <f t="shared" si="257"/>
        <v>114</v>
      </c>
      <c r="BJ276" s="971">
        <f t="shared" si="257"/>
        <v>120</v>
      </c>
      <c r="BK276" s="118">
        <f ca="1">IF(BK264&lt;0,BK274,AVERAGE(BJ285,BK285)+AVERAGE(BJ360,BK360))</f>
        <v>127.5851343137</v>
      </c>
      <c r="BL276" s="118">
        <f ca="1">IF(BL264&lt;0,BL274,AVERAGE(BK285,BL285)+AVERAGE(BK360,BL360))</f>
        <v>122.05895432844747</v>
      </c>
      <c r="BM276" s="118">
        <f ca="1">IF(BM264&lt;0,BM274,AVERAGE(BL285,BM285)+AVERAGE(BL360,BM360))</f>
        <v>123.15748491740348</v>
      </c>
      <c r="BN276" s="401">
        <f ca="1">AVERAGE(BJ276,BK276,BL276,BM276)</f>
        <v>123.20039338988775</v>
      </c>
      <c r="BO276" s="118">
        <f ca="1">IF(BO264&lt;0,BO274,AVERAGE(BN285,BO285)+AVERAGE(BN360,BO360))</f>
        <v>134.20717446419292</v>
      </c>
      <c r="BP276" s="118">
        <f ca="1">IF(BP264&lt;0,BP274,AVERAGE(BO285,BP285)+AVERAGE(BO360,BP360))</f>
        <v>125.38429540219502</v>
      </c>
      <c r="BQ276" s="118">
        <f ca="1">IF(BQ264&lt;0,BQ274,AVERAGE(BP285,BQ285)+AVERAGE(BP360,BQ360))</f>
        <v>126.51275406081477</v>
      </c>
      <c r="BR276" s="118">
        <f ca="1">IF(BR264&lt;0,BR274,AVERAGE(BQ285,BR285)+AVERAGE(BQ360,BR360))</f>
        <v>127.65136884736209</v>
      </c>
      <c r="BS276" s="401">
        <f ca="1">AVERAGE(BO276,BP276,BQ276,BR276)</f>
        <v>128.43889819364119</v>
      </c>
      <c r="BT276" s="401">
        <f ca="1">IF(BT264&lt;0,BT274,AVERAGE(BS285,BT285)+AVERAGE(BS360,BT360))</f>
        <v>140.97374430486181</v>
      </c>
      <c r="BU276" s="401">
        <f ca="1">IF(BU264&lt;0,BU274,AVERAGE(BT285,BU285)+AVERAGE(BT360,BU360))</f>
        <v>146.04879909983683</v>
      </c>
      <c r="BV276" s="401">
        <f ca="1">IF(BV264&lt;0,BV274,AVERAGE(BU285,BV285)+AVERAGE(BU360,BV360))</f>
        <v>151.30655586743092</v>
      </c>
      <c r="BW276" s="118"/>
    </row>
    <row r="277" spans="1:75" x14ac:dyDescent="0.5">
      <c r="A277" s="752"/>
      <c r="B277" s="513"/>
      <c r="C277" s="401"/>
      <c r="D277" s="401"/>
      <c r="E277" s="401"/>
      <c r="F277" s="401"/>
      <c r="G277" s="118"/>
      <c r="H277" s="118"/>
      <c r="I277" s="118"/>
      <c r="J277" s="118"/>
      <c r="K277" s="401"/>
      <c r="L277" s="118"/>
      <c r="M277" s="118"/>
      <c r="N277" s="118"/>
      <c r="O277" s="118"/>
      <c r="P277" s="401"/>
      <c r="Q277" s="118"/>
      <c r="R277" s="118"/>
      <c r="S277" s="118"/>
      <c r="T277" s="118"/>
      <c r="U277" s="401"/>
      <c r="V277" s="118"/>
      <c r="W277" s="118"/>
      <c r="X277" s="118"/>
      <c r="Y277" s="118"/>
      <c r="Z277" s="401"/>
      <c r="AA277" s="118"/>
      <c r="AB277" s="118"/>
      <c r="AC277" s="118"/>
      <c r="AD277" s="118"/>
      <c r="AE277" s="401"/>
      <c r="AF277" s="118"/>
      <c r="AG277" s="118"/>
      <c r="AH277" s="118"/>
      <c r="AI277" s="118"/>
      <c r="AJ277" s="401"/>
      <c r="AK277" s="118"/>
      <c r="AL277" s="118"/>
      <c r="AM277" s="118"/>
      <c r="AN277" s="118"/>
      <c r="AO277" s="401"/>
      <c r="AP277" s="118"/>
      <c r="AQ277" s="118"/>
      <c r="AR277" s="118"/>
      <c r="AS277" s="118"/>
      <c r="AT277" s="401"/>
      <c r="AU277" s="118"/>
      <c r="AV277" s="118"/>
      <c r="AW277" s="118"/>
      <c r="AX277" s="118"/>
      <c r="AY277" s="401"/>
      <c r="AZ277" s="118"/>
      <c r="BA277" s="118"/>
      <c r="BB277" s="118"/>
      <c r="BC277" s="118"/>
      <c r="BD277" s="401"/>
      <c r="BE277" s="118"/>
      <c r="BF277" s="118"/>
      <c r="BG277" s="118"/>
      <c r="BH277" s="118"/>
      <c r="BI277" s="401"/>
      <c r="BJ277" s="971"/>
      <c r="BK277" s="118"/>
      <c r="BL277" s="118"/>
      <c r="BM277" s="118"/>
      <c r="BN277" s="401"/>
      <c r="BO277" s="118"/>
      <c r="BP277" s="118"/>
      <c r="BQ277" s="118"/>
      <c r="BR277" s="118"/>
      <c r="BS277" s="401"/>
      <c r="BT277" s="401"/>
      <c r="BU277" s="401"/>
      <c r="BV277" s="401"/>
      <c r="BW277" s="122"/>
    </row>
    <row r="278" spans="1:75" x14ac:dyDescent="0.5">
      <c r="A278" s="482" t="s">
        <v>2325</v>
      </c>
      <c r="B278" s="946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239"/>
      <c r="AP278" s="239"/>
      <c r="AQ278" s="239"/>
      <c r="AR278" s="239"/>
      <c r="AS278" s="239"/>
      <c r="AT278" s="239"/>
      <c r="AU278" s="239"/>
      <c r="AV278" s="239"/>
      <c r="AW278" s="239"/>
      <c r="AX278" s="239"/>
      <c r="AY278" s="239"/>
      <c r="AZ278" s="239"/>
      <c r="BA278" s="239"/>
      <c r="BB278" s="239"/>
      <c r="BC278" s="239"/>
      <c r="BD278" s="239"/>
      <c r="BE278" s="239"/>
      <c r="BF278" s="239"/>
      <c r="BG278" s="239"/>
      <c r="BH278" s="239"/>
      <c r="BI278" s="239"/>
      <c r="BJ278" s="241"/>
      <c r="BK278" s="239"/>
      <c r="BL278" s="239"/>
      <c r="BM278" s="239"/>
      <c r="BN278" s="239"/>
      <c r="BO278" s="239"/>
      <c r="BP278" s="239"/>
      <c r="BQ278" s="239"/>
      <c r="BR278" s="239"/>
      <c r="BS278" s="239"/>
      <c r="BT278" s="239"/>
      <c r="BU278" s="239"/>
      <c r="BV278" s="239"/>
      <c r="BW278" s="122"/>
    </row>
    <row r="279" spans="1:75" hidden="1" outlineLevel="2" x14ac:dyDescent="0.5">
      <c r="A279" s="752" t="s">
        <v>1206</v>
      </c>
      <c r="B279" s="513"/>
      <c r="C279" s="779">
        <f t="shared" ref="C279:BG279" si="258">WORKDAY(C4+1,-1)</f>
        <v>40178</v>
      </c>
      <c r="D279" s="779">
        <f t="shared" si="258"/>
        <v>40543</v>
      </c>
      <c r="E279" s="779">
        <f t="shared" si="258"/>
        <v>40907</v>
      </c>
      <c r="F279" s="779">
        <f t="shared" si="258"/>
        <v>41274</v>
      </c>
      <c r="G279" s="780">
        <f t="shared" si="258"/>
        <v>41362</v>
      </c>
      <c r="H279" s="780">
        <f t="shared" si="258"/>
        <v>41453</v>
      </c>
      <c r="I279" s="780">
        <f t="shared" si="258"/>
        <v>41547</v>
      </c>
      <c r="J279" s="780">
        <f t="shared" si="258"/>
        <v>41639</v>
      </c>
      <c r="K279" s="779">
        <f t="shared" si="258"/>
        <v>41639</v>
      </c>
      <c r="L279" s="780">
        <f t="shared" si="258"/>
        <v>41729</v>
      </c>
      <c r="M279" s="780">
        <f t="shared" si="258"/>
        <v>41820</v>
      </c>
      <c r="N279" s="780">
        <f t="shared" si="258"/>
        <v>41912</v>
      </c>
      <c r="O279" s="780">
        <f t="shared" si="258"/>
        <v>42004</v>
      </c>
      <c r="P279" s="779">
        <f t="shared" si="258"/>
        <v>42004</v>
      </c>
      <c r="Q279" s="780">
        <f t="shared" si="258"/>
        <v>42094</v>
      </c>
      <c r="R279" s="780">
        <f t="shared" si="258"/>
        <v>42185</v>
      </c>
      <c r="S279" s="780">
        <f t="shared" si="258"/>
        <v>42277</v>
      </c>
      <c r="T279" s="780">
        <f t="shared" si="258"/>
        <v>42369</v>
      </c>
      <c r="U279" s="779">
        <f t="shared" si="258"/>
        <v>42369</v>
      </c>
      <c r="V279" s="780">
        <f t="shared" si="258"/>
        <v>42460</v>
      </c>
      <c r="W279" s="780">
        <f t="shared" si="258"/>
        <v>42551</v>
      </c>
      <c r="X279" s="780">
        <f t="shared" si="258"/>
        <v>42643</v>
      </c>
      <c r="Y279" s="780">
        <f t="shared" si="258"/>
        <v>42734</v>
      </c>
      <c r="Z279" s="779">
        <f t="shared" si="258"/>
        <v>42734</v>
      </c>
      <c r="AA279" s="780">
        <f t="shared" si="258"/>
        <v>42825</v>
      </c>
      <c r="AB279" s="780">
        <f t="shared" si="258"/>
        <v>42916</v>
      </c>
      <c r="AC279" s="780">
        <f t="shared" si="258"/>
        <v>43007</v>
      </c>
      <c r="AD279" s="780">
        <f t="shared" si="258"/>
        <v>43098</v>
      </c>
      <c r="AE279" s="779">
        <f t="shared" si="258"/>
        <v>43098</v>
      </c>
      <c r="AF279" s="780">
        <f t="shared" si="258"/>
        <v>43189</v>
      </c>
      <c r="AG279" s="780">
        <f t="shared" si="258"/>
        <v>43280</v>
      </c>
      <c r="AH279" s="780">
        <f t="shared" si="258"/>
        <v>43371</v>
      </c>
      <c r="AI279" s="780">
        <f t="shared" si="258"/>
        <v>43465</v>
      </c>
      <c r="AJ279" s="779">
        <f t="shared" si="258"/>
        <v>43465</v>
      </c>
      <c r="AK279" s="780">
        <f t="shared" si="258"/>
        <v>43553</v>
      </c>
      <c r="AL279" s="780">
        <f t="shared" si="258"/>
        <v>43644</v>
      </c>
      <c r="AM279" s="780">
        <f t="shared" si="258"/>
        <v>43738</v>
      </c>
      <c r="AN279" s="780">
        <f t="shared" si="258"/>
        <v>43830</v>
      </c>
      <c r="AO279" s="779">
        <f t="shared" si="258"/>
        <v>43830</v>
      </c>
      <c r="AP279" s="780">
        <f t="shared" si="258"/>
        <v>43921</v>
      </c>
      <c r="AQ279" s="780">
        <f t="shared" si="258"/>
        <v>44012</v>
      </c>
      <c r="AR279" s="780">
        <f t="shared" si="258"/>
        <v>44104</v>
      </c>
      <c r="AS279" s="780">
        <f t="shared" si="258"/>
        <v>44196</v>
      </c>
      <c r="AT279" s="779">
        <f t="shared" si="258"/>
        <v>44196</v>
      </c>
      <c r="AU279" s="780">
        <f t="shared" si="258"/>
        <v>44286</v>
      </c>
      <c r="AV279" s="780">
        <f t="shared" si="258"/>
        <v>44377</v>
      </c>
      <c r="AW279" s="780">
        <f t="shared" si="258"/>
        <v>44469</v>
      </c>
      <c r="AX279" s="780">
        <f t="shared" si="258"/>
        <v>44561</v>
      </c>
      <c r="AY279" s="779">
        <f t="shared" si="258"/>
        <v>44561</v>
      </c>
      <c r="AZ279" s="780">
        <f t="shared" si="258"/>
        <v>44651</v>
      </c>
      <c r="BA279" s="780">
        <f t="shared" si="258"/>
        <v>44742</v>
      </c>
      <c r="BB279" s="780">
        <f t="shared" si="258"/>
        <v>44834</v>
      </c>
      <c r="BC279" s="780">
        <f t="shared" si="258"/>
        <v>44925</v>
      </c>
      <c r="BD279" s="779">
        <f t="shared" si="258"/>
        <v>44925</v>
      </c>
      <c r="BE279" s="780">
        <f t="shared" si="258"/>
        <v>45016</v>
      </c>
      <c r="BF279" s="780">
        <f t="shared" si="258"/>
        <v>45107</v>
      </c>
      <c r="BG279" s="780">
        <f t="shared" si="258"/>
        <v>45198</v>
      </c>
      <c r="BH279" s="780">
        <f>WORKDAY(BH4+1,-1)</f>
        <v>45289</v>
      </c>
      <c r="BI279" s="779">
        <f>WORKDAY(BI4+1,-1)</f>
        <v>45289</v>
      </c>
      <c r="BJ279" s="1316">
        <f>WORKDAY(BJ4+1,-1)</f>
        <v>45380</v>
      </c>
      <c r="BK279" s="780"/>
      <c r="BL279" s="780"/>
      <c r="BM279" s="780"/>
      <c r="BN279" s="779"/>
      <c r="BO279" s="780"/>
      <c r="BP279" s="780"/>
      <c r="BQ279" s="780"/>
      <c r="BR279" s="780"/>
      <c r="BS279" s="779"/>
      <c r="BT279" s="779"/>
      <c r="BU279" s="779"/>
      <c r="BV279" s="779"/>
      <c r="BW279" s="122"/>
    </row>
    <row r="280" spans="1:75" hidden="1" outlineLevel="1" x14ac:dyDescent="0.5">
      <c r="A280" s="206" t="s">
        <v>1207</v>
      </c>
      <c r="B280" s="522"/>
      <c r="C280" s="897">
        <f ca="1">IFERROR(IF(MO.DataSourceName="Bloomberg",BDH(MO.Ticker.Bloomberg&amp;" Equity","px_last",C279,C279),IF(MO.DataSourceName="Capital IQ",CIQ(MO.Ticker.CapIQ,"IQ_LASTSALEPRICE",C279),IF(MO.DataSourceName="FactSet",FDS(MO.Ticker.FactSet,"P_PRICE("&amp;C279&amp;","&amp;C279&amp;",,,,""PRICE"",""CLOSE"")"),IF(MO.DataSourceName="Refinitiv",_xll.TR(MO.Ticker.Thomson,"TR.PriceClose","sdate:#1 edate:#2",,C279,C279),"N/A")))),C747)</f>
        <v>0</v>
      </c>
      <c r="D280" s="897">
        <f ca="1">IFERROR(IF(MO.DataSourceName="Bloomberg",BDH(MO.Ticker.Bloomberg&amp;" Equity","px_last",D279,D279),IF(MO.DataSourceName="Capital IQ",CIQ(MO.Ticker.CapIQ,"IQ_LASTSALEPRICE",D279),IF(MO.DataSourceName="FactSet",FDS(MO.Ticker.FactSet,"P_PRICE("&amp;D279&amp;","&amp;D279&amp;",,,,""PRICE"",""CLOSE"")"),IF(MO.DataSourceName="Refinitiv",_xll.TR(MO.Ticker.Thomson,"TR.PriceClose","sdate:#1 edate:#2",,D279,D279),"N/A")))),D747)</f>
        <v>0</v>
      </c>
      <c r="E280" s="897">
        <f ca="1">IFERROR(IF(MO.DataSourceName="Bloomberg",BDH(MO.Ticker.Bloomberg&amp;" Equity","px_last",E279,E279),IF(MO.DataSourceName="Capital IQ",CIQ(MO.Ticker.CapIQ,"IQ_LASTSALEPRICE",E279),IF(MO.DataSourceName="FactSet",FDS(MO.Ticker.FactSet,"P_PRICE("&amp;E279&amp;","&amp;E279&amp;",,,,""PRICE"",""CLOSE"")"),IF(MO.DataSourceName="Refinitiv",_xll.TR(MO.Ticker.Thomson,"TR.PriceClose","sdate:#1 edate:#2",,E279,E279),"N/A")))),E747)</f>
        <v>0</v>
      </c>
      <c r="F280" s="897">
        <f ca="1">IFERROR(IF(MO.DataSourceName="Bloomberg",BDH(MO.Ticker.Bloomberg&amp;" Equity","px_last",F279,F279),IF(MO.DataSourceName="Capital IQ",CIQ(MO.Ticker.CapIQ,"IQ_LASTSALEPRICE",F279),IF(MO.DataSourceName="FactSet",FDS(MO.Ticker.FactSet,"P_PRICE("&amp;F279&amp;","&amp;F279&amp;",,,,""PRICE"",""CLOSE"")"),IF(MO.DataSourceName="Refinitiv",_xll.TR(MO.Ticker.Thomson,"TR.PriceClose","sdate:#1 edate:#2",,F279,F279),"N/A")))),F747)</f>
        <v>0</v>
      </c>
      <c r="G280" s="900">
        <f ca="1">IFERROR(IF(MO.DataSourceName="Bloomberg",BDH(MO.Ticker.Bloomberg&amp;" Equity","px_last",G279,G279),IF(MO.DataSourceName="Capital IQ",CIQ(MO.Ticker.CapIQ,"IQ_LASTSALEPRICE",G279),IF(MO.DataSourceName="FactSet",FDS(MO.Ticker.FactSet,"P_PRICE("&amp;G279&amp;","&amp;G279&amp;",,,,""PRICE"",""CLOSE"")"),IF(MO.DataSourceName="Refinitiv",_xll.TR(MO.Ticker.Thomson,"TR.PriceClose","sdate:#1 edate:#2",,G279,G279),"N/A")))),G747)</f>
        <v>0</v>
      </c>
      <c r="H280" s="900">
        <f ca="1">IFERROR(IF(MO.DataSourceName="Bloomberg",BDH(MO.Ticker.Bloomberg&amp;" Equity","px_last",H279,H279),IF(MO.DataSourceName="Capital IQ",CIQ(MO.Ticker.CapIQ,"IQ_LASTSALEPRICE",H279),IF(MO.DataSourceName="FactSet",FDS(MO.Ticker.FactSet,"P_PRICE("&amp;H279&amp;","&amp;H279&amp;",,,,""PRICE"",""CLOSE"")"),IF(MO.DataSourceName="Refinitiv",_xll.TR(MO.Ticker.Thomson,"TR.PriceClose","sdate:#1 edate:#2",,H279,H279),"N/A")))),H747)</f>
        <v>0</v>
      </c>
      <c r="I280" s="900">
        <f ca="1">IFERROR(IF(MO.DataSourceName="Bloomberg",BDH(MO.Ticker.Bloomberg&amp;" Equity","px_last",I279,I279),IF(MO.DataSourceName="Capital IQ",CIQ(MO.Ticker.CapIQ,"IQ_LASTSALEPRICE",I279),IF(MO.DataSourceName="FactSet",FDS(MO.Ticker.FactSet,"P_PRICE("&amp;I279&amp;","&amp;I279&amp;",,,,""PRICE"",""CLOSE"")"),IF(MO.DataSourceName="Refinitiv",_xll.TR(MO.Ticker.Thomson,"TR.PriceClose","sdate:#1 edate:#2",,I279,I279),"N/A")))),I747)</f>
        <v>0</v>
      </c>
      <c r="J280" s="900">
        <f ca="1">IFERROR(IF(MO.DataSourceName="Bloomberg",BDH(MO.Ticker.Bloomberg&amp;" Equity","px_last",J279,J279),IF(MO.DataSourceName="Capital IQ",CIQ(MO.Ticker.CapIQ,"IQ_LASTSALEPRICE",J279),IF(MO.DataSourceName="FactSet",FDS(MO.Ticker.FactSet,"P_PRICE("&amp;J279&amp;","&amp;J279&amp;",,,,""PRICE"",""CLOSE"")"),IF(MO.DataSourceName="Refinitiv",_xll.TR(MO.Ticker.Thomson,"TR.PriceClose","sdate:#1 edate:#2",,J279,J279),"N/A")))),J747)</f>
        <v>0</v>
      </c>
      <c r="K280" s="897">
        <f ca="1">IFERROR(IF(MO.DataSourceName="Bloomberg",BDH(MO.Ticker.Bloomberg&amp;" Equity","px_last",K279,K279),IF(MO.DataSourceName="Capital IQ",CIQ(MO.Ticker.CapIQ,"IQ_LASTSALEPRICE",K279),IF(MO.DataSourceName="FactSet",FDS(MO.Ticker.FactSet,"P_PRICE("&amp;K279&amp;","&amp;K279&amp;",,,,""PRICE"",""CLOSE"")"),IF(MO.DataSourceName="Refinitiv",_xll.TR(MO.Ticker.Thomson,"TR.PriceClose","sdate:#1 edate:#2",,K279,K279),"N/A")))),K747)</f>
        <v>0</v>
      </c>
      <c r="L280" s="900">
        <f ca="1">IFERROR(IF(MO.DataSourceName="Bloomberg",BDH(MO.Ticker.Bloomberg&amp;" Equity","px_last",L279,L279),IF(MO.DataSourceName="Capital IQ",CIQ(MO.Ticker.CapIQ,"IQ_LASTSALEPRICE",L279),IF(MO.DataSourceName="FactSet",FDS(MO.Ticker.FactSet,"P_PRICE("&amp;L279&amp;","&amp;L279&amp;",,,,""PRICE"",""CLOSE"")"),IF(MO.DataSourceName="Refinitiv",_xll.TR(MO.Ticker.Thomson,"TR.PriceClose","sdate:#1 edate:#2",,L279,L279),"N/A")))),L747)</f>
        <v>0</v>
      </c>
      <c r="M280" s="900">
        <f ca="1">IFERROR(IF(MO.DataSourceName="Bloomberg",BDH(MO.Ticker.Bloomberg&amp;" Equity","px_last",M279,M279),IF(MO.DataSourceName="Capital IQ",CIQ(MO.Ticker.CapIQ,"IQ_LASTSALEPRICE",M279),IF(MO.DataSourceName="FactSet",FDS(MO.Ticker.FactSet,"P_PRICE("&amp;M279&amp;","&amp;M279&amp;",,,,""PRICE"",""CLOSE"")"),IF(MO.DataSourceName="Refinitiv",_xll.TR(MO.Ticker.Thomson,"TR.PriceClose","sdate:#1 edate:#2",,M279,M279),"N/A")))),M747)</f>
        <v>0</v>
      </c>
      <c r="N280" s="900">
        <f ca="1">IFERROR(IF(MO.DataSourceName="Bloomberg",BDH(MO.Ticker.Bloomberg&amp;" Equity","px_last",N279,N279),IF(MO.DataSourceName="Capital IQ",CIQ(MO.Ticker.CapIQ,"IQ_LASTSALEPRICE",N279),IF(MO.DataSourceName="FactSet",FDS(MO.Ticker.FactSet,"P_PRICE("&amp;N279&amp;","&amp;N279&amp;",,,,""PRICE"",""CLOSE"")"),IF(MO.DataSourceName="Refinitiv",_xll.TR(MO.Ticker.Thomson,"TR.PriceClose","sdate:#1 edate:#2",,N279,N279),"N/A")))),N747)</f>
        <v>0</v>
      </c>
      <c r="O280" s="900">
        <f ca="1">IFERROR(IF(MO.DataSourceName="Bloomberg",BDH(MO.Ticker.Bloomberg&amp;" Equity","px_last",O279,O279),IF(MO.DataSourceName="Capital IQ",CIQ(MO.Ticker.CapIQ,"IQ_LASTSALEPRICE",O279),IF(MO.DataSourceName="FactSet",FDS(MO.Ticker.FactSet,"P_PRICE("&amp;O279&amp;","&amp;O279&amp;",,,,""PRICE"",""CLOSE"")"),IF(MO.DataSourceName="Refinitiv",_xll.TR(MO.Ticker.Thomson,"TR.PriceClose","sdate:#1 edate:#2",,O279,O279),"N/A")))),O747)</f>
        <v>78.25</v>
      </c>
      <c r="P280" s="897">
        <f ca="1">IFERROR(IF(MO.DataSourceName="Bloomberg",BDH(MO.Ticker.Bloomberg&amp;" Equity","px_last",P279,P279),IF(MO.DataSourceName="Capital IQ",CIQ(MO.Ticker.CapIQ,"IQ_LASTSALEPRICE",P279),IF(MO.DataSourceName="FactSet",FDS(MO.Ticker.FactSet,"P_PRICE("&amp;P279&amp;","&amp;P279&amp;",,,,""PRICE"",""CLOSE"")"),IF(MO.DataSourceName="Refinitiv",_xll.TR(MO.Ticker.Thomson,"TR.PriceClose","sdate:#1 edate:#2",,P279,P279),"N/A")))),P747)</f>
        <v>78.25</v>
      </c>
      <c r="Q280" s="900">
        <f ca="1">IFERROR(IF(MO.DataSourceName="Bloomberg",BDH(MO.Ticker.Bloomberg&amp;" Equity","px_last",Q279,Q279),IF(MO.DataSourceName="Capital IQ",CIQ(MO.Ticker.CapIQ,"IQ_LASTSALEPRICE",Q279),IF(MO.DataSourceName="FactSet",FDS(MO.Ticker.FactSet,"P_PRICE("&amp;Q279&amp;","&amp;Q279&amp;",,,,""PRICE"",""CLOSE"")"),IF(MO.DataSourceName="Refinitiv",_xll.TR(MO.Ticker.Thomson,"TR.PriceClose","sdate:#1 edate:#2",,Q279,Q279),"N/A")))),Q747)</f>
        <v>75.010000000000005</v>
      </c>
      <c r="R280" s="900">
        <f ca="1">IFERROR(IF(MO.DataSourceName="Bloomberg",BDH(MO.Ticker.Bloomberg&amp;" Equity","px_last",R279,R279),IF(MO.DataSourceName="Capital IQ",CIQ(MO.Ticker.CapIQ,"IQ_LASTSALEPRICE",R279),IF(MO.DataSourceName="FactSet",FDS(MO.Ticker.FactSet,"P_PRICE("&amp;R279&amp;","&amp;R279&amp;",,,,""PRICE"",""CLOSE"")"),IF(MO.DataSourceName="Refinitiv",_xll.TR(MO.Ticker.Thomson,"TR.PriceClose","sdate:#1 edate:#2",,R279,R279),"N/A")))),R747)</f>
        <v>84.66</v>
      </c>
      <c r="S280" s="900">
        <f ca="1">IFERROR(IF(MO.DataSourceName="Bloomberg",BDH(MO.Ticker.Bloomberg&amp;" Equity","px_last",S279,S279),IF(MO.DataSourceName="Capital IQ",CIQ(MO.Ticker.CapIQ,"IQ_LASTSALEPRICE",S279),IF(MO.DataSourceName="FactSet",FDS(MO.Ticker.FactSet,"P_PRICE("&amp;S279&amp;","&amp;S279&amp;",,,,""PRICE"",""CLOSE"")"),IF(MO.DataSourceName="Refinitiv",_xll.TR(MO.Ticker.Thomson,"TR.PriceClose","sdate:#1 edate:#2",,S279,S279),"N/A")))),S747)</f>
        <v>73.75</v>
      </c>
      <c r="T280" s="900">
        <f ca="1">IFERROR(IF(MO.DataSourceName="Bloomberg",BDH(MO.Ticker.Bloomberg&amp;" Equity","px_last",T279,T279),IF(MO.DataSourceName="Capital IQ",CIQ(MO.Ticker.CapIQ,"IQ_LASTSALEPRICE",T279),IF(MO.DataSourceName="FactSet",FDS(MO.Ticker.FactSet,"P_PRICE("&amp;T279&amp;","&amp;T279&amp;",,,,""PRICE"",""CLOSE"")"),IF(MO.DataSourceName="Refinitiv",_xll.TR(MO.Ticker.Thomson,"TR.PriceClose","sdate:#1 edate:#2",,T279,T279),"N/A")))),T747)</f>
        <v>51.66</v>
      </c>
      <c r="U280" s="897">
        <f ca="1">IFERROR(IF(MO.DataSourceName="Bloomberg",BDH(MO.Ticker.Bloomberg&amp;" Equity","px_last",U279,U279),IF(MO.DataSourceName="Capital IQ",CIQ(MO.Ticker.CapIQ,"IQ_LASTSALEPRICE",U279),IF(MO.DataSourceName="FactSet",FDS(MO.Ticker.FactSet,"P_PRICE("&amp;U279&amp;","&amp;U279&amp;",,,,""PRICE"",""CLOSE"")"),IF(MO.DataSourceName="Refinitiv",_xll.TR(MO.Ticker.Thomson,"TR.PriceClose","sdate:#1 edate:#2",,U279,U279),"N/A")))),U747)</f>
        <v>51.66</v>
      </c>
      <c r="V280" s="900">
        <f ca="1">IFERROR(IF(MO.DataSourceName="Bloomberg",BDH(MO.Ticker.Bloomberg&amp;" Equity","px_last",V279,V279),IF(MO.DataSourceName="Capital IQ",CIQ(MO.Ticker.CapIQ,"IQ_LASTSALEPRICE",V279),IF(MO.DataSourceName="FactSet",FDS(MO.Ticker.FactSet,"P_PRICE("&amp;V279&amp;","&amp;V279&amp;",,,,""PRICE"",""CLOSE"")"),IF(MO.DataSourceName="Refinitiv",_xll.TR(MO.Ticker.Thomson,"TR.PriceClose","sdate:#1 edate:#2",,V279,V279),"N/A")))),V747)</f>
        <v>58.78</v>
      </c>
      <c r="W280" s="900">
        <f ca="1">IFERROR(IF(MO.DataSourceName="Bloomberg",BDH(MO.Ticker.Bloomberg&amp;" Equity","px_last",W279,W279),IF(MO.DataSourceName="Capital IQ",CIQ(MO.Ticker.CapIQ,"IQ_LASTSALEPRICE",W279),IF(MO.DataSourceName="FactSet",FDS(MO.Ticker.FactSet,"P_PRICE("&amp;W279&amp;","&amp;W279&amp;",,,,""PRICE"",""CLOSE"")"),IF(MO.DataSourceName="Refinitiv",_xll.TR(MO.Ticker.Thomson,"TR.PriceClose","sdate:#1 edate:#2",,W279,W279),"N/A")))),W747)</f>
        <v>54.08</v>
      </c>
      <c r="X280" s="900">
        <f ca="1">IFERROR(IF(MO.DataSourceName="Bloomberg",BDH(MO.Ticker.Bloomberg&amp;" Equity","px_last",X279,X279),IF(MO.DataSourceName="Capital IQ",CIQ(MO.Ticker.CapIQ,"IQ_LASTSALEPRICE",X279),IF(MO.DataSourceName="FactSet",FDS(MO.Ticker.FactSet,"P_PRICE("&amp;X279&amp;","&amp;X279&amp;",,,,""PRICE"",""CLOSE"")"),IF(MO.DataSourceName="Refinitiv",_xll.TR(MO.Ticker.Thomson,"TR.PriceClose","sdate:#1 edate:#2",,X279,X279),"N/A")))),X747)</f>
        <v>46.52</v>
      </c>
      <c r="Y280" s="900">
        <f ca="1">IFERROR(IF(MO.DataSourceName="Bloomberg",BDH(MO.Ticker.Bloomberg&amp;" Equity","px_last",Y279,Y279),IF(MO.DataSourceName="Capital IQ",CIQ(MO.Ticker.CapIQ,"IQ_LASTSALEPRICE",Y279),IF(MO.DataSourceName="FactSet",FDS(MO.Ticker.FactSet,"P_PRICE("&amp;Y279&amp;","&amp;Y279&amp;",,,,""PRICE"",""CLOSE"")"),IF(MO.DataSourceName="Refinitiv",_xll.TR(MO.Ticker.Thomson,"TR.PriceClose","sdate:#1 edate:#2",,Y279,Y279),"N/A")))),Y747)</f>
        <v>47.5</v>
      </c>
      <c r="Z280" s="897">
        <f ca="1">IFERROR(IF(MO.DataSourceName="Bloomberg",BDH(MO.Ticker.Bloomberg&amp;" Equity","px_last",Z279,Z279),IF(MO.DataSourceName="Capital IQ",CIQ(MO.Ticker.CapIQ,"IQ_LASTSALEPRICE",Z279),IF(MO.DataSourceName="FactSet",FDS(MO.Ticker.FactSet,"P_PRICE("&amp;Z279&amp;","&amp;Z279&amp;",,,,""PRICE"",""CLOSE"")"),IF(MO.DataSourceName="Refinitiv",_xll.TR(MO.Ticker.Thomson,"TR.PriceClose","sdate:#1 edate:#2",,Z279,Z279),"N/A")))),Z747)</f>
        <v>47.5</v>
      </c>
      <c r="AA280" s="900">
        <f ca="1">IFERROR(IF(MO.DataSourceName="Bloomberg",BDH(MO.Ticker.Bloomberg&amp;" Equity","px_last",AA279,AA279),IF(MO.DataSourceName="Capital IQ",CIQ(MO.Ticker.CapIQ,"IQ_LASTSALEPRICE",AA279),IF(MO.DataSourceName="FactSet",FDS(MO.Ticker.FactSet,"P_PRICE("&amp;AA279&amp;","&amp;AA279&amp;",,,,""PRICE"",""CLOSE"")"),IF(MO.DataSourceName="Refinitiv",_xll.TR(MO.Ticker.Thomson,"TR.PriceClose","sdate:#1 edate:#2",,AA279,AA279),"N/A")))),AA747)</f>
        <v>54.05</v>
      </c>
      <c r="AB280" s="900">
        <f ca="1">IFERROR(IF(MO.DataSourceName="Bloomberg",BDH(MO.Ticker.Bloomberg&amp;" Equity","px_last",AB279,AB279),IF(MO.DataSourceName="Capital IQ",CIQ(MO.Ticker.CapIQ,"IQ_LASTSALEPRICE",AB279),IF(MO.DataSourceName="FactSet",FDS(MO.Ticker.FactSet,"P_PRICE("&amp;AB279&amp;","&amp;AB279&amp;",,,,""PRICE"",""CLOSE"")"),IF(MO.DataSourceName="Refinitiv",_xll.TR(MO.Ticker.Thomson,"TR.PriceClose","sdate:#1 edate:#2",,AB279,AB279),"N/A")))),AB747)</f>
        <v>46.32</v>
      </c>
      <c r="AC280" s="900">
        <f ca="1">IFERROR(IF(MO.DataSourceName="Bloomberg",BDH(MO.Ticker.Bloomberg&amp;" Equity","px_last",AC279,AC279),IF(MO.DataSourceName="Capital IQ",CIQ(MO.Ticker.CapIQ,"IQ_LASTSALEPRICE",AC279),IF(MO.DataSourceName="FactSet",FDS(MO.Ticker.FactSet,"P_PRICE("&amp;AC279&amp;","&amp;AC279&amp;",,,,""PRICE"",""CLOSE"")"),IF(MO.DataSourceName="Refinitiv",_xll.TR(MO.Ticker.Thomson,"TR.PriceClose","sdate:#1 edate:#2",,AC279,AC279),"N/A")))),AC747)</f>
        <v>52.42</v>
      </c>
      <c r="AD280" s="900">
        <f ca="1">IFERROR(IF(MO.DataSourceName="Bloomberg",BDH(MO.Ticker.Bloomberg&amp;" Equity","px_last",AD279,AD279),IF(MO.DataSourceName="Capital IQ",CIQ(MO.Ticker.CapIQ,"IQ_LASTSALEPRICE",AD279),IF(MO.DataSourceName="FactSet",FDS(MO.Ticker.FactSet,"P_PRICE("&amp;AD279&amp;","&amp;AD279&amp;",,,,""PRICE"",""CLOSE"")"),IF(MO.DataSourceName="Refinitiv",_xll.TR(MO.Ticker.Thomson,"TR.PriceClose","sdate:#1 edate:#2",,AD279,AD279),"N/A")))),AD747)</f>
        <v>53.41</v>
      </c>
      <c r="AE280" s="897">
        <f ca="1">IFERROR(IF(MO.DataSourceName="Bloomberg",BDH(MO.Ticker.Bloomberg&amp;" Equity","px_last",AE279,AE279),IF(MO.DataSourceName="Capital IQ",CIQ(MO.Ticker.CapIQ,"IQ_LASTSALEPRICE",AE279),IF(MO.DataSourceName="FactSet",FDS(MO.Ticker.FactSet,"P_PRICE("&amp;AE279&amp;","&amp;AE279&amp;",,,,""PRICE"",""CLOSE"")"),IF(MO.DataSourceName="Refinitiv",_xll.TR(MO.Ticker.Thomson,"TR.PriceClose","sdate:#1 edate:#2",,AE279,AE279),"N/A")))),AE747)</f>
        <v>53.41</v>
      </c>
      <c r="AF280" s="900">
        <f ca="1">IFERROR(IF(MO.DataSourceName="Bloomberg",BDH(MO.Ticker.Bloomberg&amp;" Equity","px_last",AF279,AF279),IF(MO.DataSourceName="Capital IQ",CIQ(MO.Ticker.CapIQ,"IQ_LASTSALEPRICE",AF279),IF(MO.DataSourceName="FactSet",FDS(MO.Ticker.FactSet,"P_PRICE("&amp;AF279&amp;","&amp;AF279&amp;",,,,""PRICE"",""CLOSE"")"),IF(MO.DataSourceName="Refinitiv",_xll.TR(MO.Ticker.Thomson,"TR.PriceClose","sdate:#1 edate:#2",,AF279,AF279),"N/A")))),AF747)</f>
        <v>49.18</v>
      </c>
      <c r="AG280" s="900">
        <f ca="1">IFERROR(IF(MO.DataSourceName="Bloomberg",BDH(MO.Ticker.Bloomberg&amp;" Equity","px_last",AG279,AG279),IF(MO.DataSourceName="Capital IQ",CIQ(MO.Ticker.CapIQ,"IQ_LASTSALEPRICE",AG279),IF(MO.DataSourceName="FactSet",FDS(MO.Ticker.FactSet,"P_PRICE("&amp;AG279&amp;","&amp;AG279&amp;",,,,""PRICE"",""CLOSE"")"),IF(MO.DataSourceName="Refinitiv",_xll.TR(MO.Ticker.Thomson,"TR.PriceClose","sdate:#1 edate:#2",,AG279,AG279),"N/A")))),AG747)</f>
        <v>58.16</v>
      </c>
      <c r="AH280" s="900">
        <f ca="1">IFERROR(IF(MO.DataSourceName="Bloomberg",BDH(MO.Ticker.Bloomberg&amp;" Equity","px_last",AH279,AH279),IF(MO.DataSourceName="Capital IQ",CIQ(MO.Ticker.CapIQ,"IQ_LASTSALEPRICE",AH279),IF(MO.DataSourceName="FactSet",FDS(MO.Ticker.FactSet,"P_PRICE("&amp;AH279&amp;","&amp;AH279&amp;",,,,""PRICE"",""CLOSE"")"),IF(MO.DataSourceName="Refinitiv",_xll.TR(MO.Ticker.Thomson,"TR.PriceClose","sdate:#1 edate:#2",,AH279,AH279),"N/A")))),AH747)</f>
        <v>56.9</v>
      </c>
      <c r="AI280" s="900">
        <f ca="1">IFERROR(IF(MO.DataSourceName="Bloomberg",BDH(MO.Ticker.Bloomberg&amp;" Equity","px_last",AI279,AI279),IF(MO.DataSourceName="Capital IQ",CIQ(MO.Ticker.CapIQ,"IQ_LASTSALEPRICE",AI279),IF(MO.DataSourceName="FactSet",FDS(MO.Ticker.FactSet,"P_PRICE("&amp;AI279&amp;","&amp;AI279&amp;",,,,""PRICE"",""CLOSE"")"),IF(MO.DataSourceName="Refinitiv",_xll.TR(MO.Ticker.Thomson,"TR.PriceClose","sdate:#1 edate:#2",,AI279,AI279),"N/A")))),AI747)</f>
        <v>54</v>
      </c>
      <c r="AJ280" s="897">
        <f ca="1">IFERROR(IF(MO.DataSourceName="Bloomberg",BDH(MO.Ticker.Bloomberg&amp;" Equity","px_last",AJ279,AJ279),IF(MO.DataSourceName="Capital IQ",CIQ(MO.Ticker.CapIQ,"IQ_LASTSALEPRICE",AJ279),IF(MO.DataSourceName="FactSet",FDS(MO.Ticker.FactSet,"P_PRICE("&amp;AJ279&amp;","&amp;AJ279&amp;",,,,""PRICE"",""CLOSE"")"),IF(MO.DataSourceName="Refinitiv",_xll.TR(MO.Ticker.Thomson,"TR.PriceClose","sdate:#1 edate:#2",,AJ279,AJ279),"N/A")))),AJ747)</f>
        <v>54</v>
      </c>
      <c r="AK280" s="900">
        <f ca="1">IFERROR(IF(MO.DataSourceName="Bloomberg",BDH(MO.Ticker.Bloomberg&amp;" Equity","px_last",AK279,AK279),IF(MO.DataSourceName="Capital IQ",CIQ(MO.Ticker.CapIQ,"IQ_LASTSALEPRICE",AK279),IF(MO.DataSourceName="FactSet",FDS(MO.Ticker.FactSet,"P_PRICE("&amp;AK279&amp;","&amp;AK279&amp;",,,,""PRICE"",""CLOSE"")"),IF(MO.DataSourceName="Refinitiv",_xll.TR(MO.Ticker.Thomson,"TR.PriceClose","sdate:#1 edate:#2",,AK279,AK279),"N/A")))),AK747)</f>
        <v>56.64</v>
      </c>
      <c r="AL280" s="900">
        <f ca="1">IFERROR(IF(MO.DataSourceName="Bloomberg",BDH(MO.Ticker.Bloomberg&amp;" Equity","px_last",AL279,AL279),IF(MO.DataSourceName="Capital IQ",CIQ(MO.Ticker.CapIQ,"IQ_LASTSALEPRICE",AL279),IF(MO.DataSourceName="FactSet",FDS(MO.Ticker.FactSet,"P_PRICE("&amp;AL279&amp;","&amp;AL279&amp;",,,,""PRICE"",""CLOSE"")"),IF(MO.DataSourceName="Refinitiv",_xll.TR(MO.Ticker.Thomson,"TR.PriceClose","sdate:#1 edate:#2",,AL279,AL279),"N/A")))),AL747)</f>
        <v>64.040000000000006</v>
      </c>
      <c r="AM280" s="900">
        <f ca="1">IFERROR(IF(MO.DataSourceName="Bloomberg",BDH(MO.Ticker.Bloomberg&amp;" Equity","px_last",AM279,AM279),IF(MO.DataSourceName="Capital IQ",CIQ(MO.Ticker.CapIQ,"IQ_LASTSALEPRICE",AM279),IF(MO.DataSourceName="FactSet",FDS(MO.Ticker.FactSet,"P_PRICE("&amp;AM279&amp;","&amp;AM279&amp;",,,,""PRICE"",""CLOSE"")"),IF(MO.DataSourceName="Refinitiv",_xll.TR(MO.Ticker.Thomson,"TR.PriceClose","sdate:#1 edate:#2",,AM279,AM279),"N/A")))),AM747)</f>
        <v>66.790000000000006</v>
      </c>
      <c r="AN280" s="900">
        <f ca="1">IFERROR(IF(MO.DataSourceName="Bloomberg",BDH(MO.Ticker.Bloomberg&amp;" Equity","px_last",AN279,AN279),IF(MO.DataSourceName="Capital IQ",CIQ(MO.Ticker.CapIQ,"IQ_LASTSALEPRICE",AN279),IF(MO.DataSourceName="FactSet",FDS(MO.Ticker.FactSet,"P_PRICE("&amp;AN279&amp;","&amp;AN279&amp;",,,,""PRICE"",""CLOSE"")"),IF(MO.DataSourceName="Refinitiv",_xll.TR(MO.Ticker.Thomson,"TR.PriceClose","sdate:#1 edate:#2",,AN279,AN279),"N/A")))),AN747)</f>
        <v>70.08</v>
      </c>
      <c r="AO280" s="897">
        <f ca="1">IFERROR(IF(MO.DataSourceName="Bloomberg",BDH(MO.Ticker.Bloomberg&amp;" Equity","px_last",AO279,AO279),IF(MO.DataSourceName="Capital IQ",CIQ(MO.Ticker.CapIQ,"IQ_LASTSALEPRICE",AO279),IF(MO.DataSourceName="FactSet",FDS(MO.Ticker.FactSet,"P_PRICE("&amp;AO279&amp;","&amp;AO279&amp;",,,,""PRICE"",""CLOSE"")"),IF(MO.DataSourceName="Refinitiv",_xll.TR(MO.Ticker.Thomson,"TR.PriceClose","sdate:#1 edate:#2",,AO279,AO279),"N/A")))),AO747)</f>
        <v>70.08</v>
      </c>
      <c r="AP280" s="900">
        <f ca="1">IFERROR(IF(MO.DataSourceName="Bloomberg",BDH(MO.Ticker.Bloomberg&amp;" Equity","px_last",AP279,AP279),IF(MO.DataSourceName="Capital IQ",CIQ(MO.Ticker.CapIQ,"IQ_LASTSALEPRICE",AP279),IF(MO.DataSourceName="FactSet",FDS(MO.Ticker.FactSet,"P_PRICE("&amp;AP279&amp;","&amp;AP279&amp;",,,,""PRICE"",""CLOSE"")"),IF(MO.DataSourceName="Refinitiv",_xll.TR(MO.Ticker.Thomson,"TR.PriceClose","sdate:#1 edate:#2",,AP279,AP279),"N/A")))),AP747)</f>
        <v>60.25</v>
      </c>
      <c r="AQ280" s="900">
        <f ca="1">IFERROR(IF(MO.DataSourceName="Bloomberg",BDH(MO.Ticker.Bloomberg&amp;" Equity","px_last",AQ279,AQ279),IF(MO.DataSourceName="Capital IQ",CIQ(MO.Ticker.CapIQ,"IQ_LASTSALEPRICE",AQ279),IF(MO.DataSourceName="FactSet",FDS(MO.Ticker.FactSet,"P_PRICE("&amp;AQ279&amp;","&amp;AQ279&amp;",,,,""PRICE"",""CLOSE"")"),IF(MO.DataSourceName="Refinitiv",_xll.TR(MO.Ticker.Thomson,"TR.PriceClose","sdate:#1 edate:#2",,AQ279,AQ279),"N/A")))),AQ747)</f>
        <v>87.12</v>
      </c>
      <c r="AR280" s="900">
        <f ca="1">IFERROR(IF(MO.DataSourceName="Bloomberg",BDH(MO.Ticker.Bloomberg&amp;" Equity","px_last",AR279,AR279),IF(MO.DataSourceName="Capital IQ",CIQ(MO.Ticker.CapIQ,"IQ_LASTSALEPRICE",AR279),IF(MO.DataSourceName="FactSet",FDS(MO.Ticker.FactSet,"P_PRICE("&amp;AR279&amp;","&amp;AR279&amp;",,,,""PRICE"",""CLOSE"")"),IF(MO.DataSourceName="Refinitiv",_xll.TR(MO.Ticker.Thomson,"TR.PriceClose","sdate:#1 edate:#2",,AR279,AR279),"N/A")))),AR747)</f>
        <v>91.21</v>
      </c>
      <c r="AS280" s="900">
        <f ca="1">IFERROR(IF(MO.DataSourceName="Bloomberg",BDH(MO.Ticker.Bloomberg&amp;" Equity","px_last",AS279,AS279),IF(MO.DataSourceName="Capital IQ",CIQ(MO.Ticker.CapIQ,"IQ_LASTSALEPRICE",AS279),IF(MO.DataSourceName="FactSet",FDS(MO.Ticker.FactSet,"P_PRICE("&amp;AS279&amp;","&amp;AS279&amp;",,,,""PRICE"",""CLOSE"")"),IF(MO.DataSourceName="Refinitiv",_xll.TR(MO.Ticker.Thomson,"TR.PriceClose","sdate:#1 edate:#2",,AS279,AS279),"N/A")))),AS747)</f>
        <v>128.91999999999999</v>
      </c>
      <c r="AT280" s="897">
        <f ca="1">IFERROR(IF(MO.DataSourceName="Bloomberg",BDH(MO.Ticker.Bloomberg&amp;" Equity","px_last",AT279,AT279),IF(MO.DataSourceName="Capital IQ",CIQ(MO.Ticker.CapIQ,"IQ_LASTSALEPRICE",AT279),IF(MO.DataSourceName="FactSet",FDS(MO.Ticker.FactSet,"P_PRICE("&amp;AT279&amp;","&amp;AT279&amp;",,,,""PRICE"",""CLOSE"")"),IF(MO.DataSourceName="Refinitiv",_xll.TR(MO.Ticker.Thomson,"TR.PriceClose","sdate:#1 edate:#2",,AT279,AT279),"N/A")))),AT747)</f>
        <v>128.91999999999999</v>
      </c>
      <c r="AU280" s="900">
        <f ca="1">IFERROR(IF(MO.DataSourceName="Bloomberg",BDH(MO.Ticker.Bloomberg&amp;" Equity","px_last",AU279,AU279),IF(MO.DataSourceName="Capital IQ",CIQ(MO.Ticker.CapIQ,"IQ_LASTSALEPRICE",AU279),IF(MO.DataSourceName="FactSet",FDS(MO.Ticker.FactSet,"P_PRICE("&amp;AU279&amp;","&amp;AU279&amp;",,,,""PRICE"",""CLOSE"")"),IF(MO.DataSourceName="Refinitiv",_xll.TR(MO.Ticker.Thomson,"TR.PriceClose","sdate:#1 edate:#2",,AU279,AU279),"N/A")))),AU747)</f>
        <v>170.75</v>
      </c>
      <c r="AV280" s="900">
        <f ca="1">IFERROR(IF(MO.DataSourceName="Bloomberg",BDH(MO.Ticker.Bloomberg&amp;" Equity","px_last",AV279,AV279),IF(MO.DataSourceName="Capital IQ",CIQ(MO.Ticker.CapIQ,"IQ_LASTSALEPRICE",AV279),IF(MO.DataSourceName="FactSet",FDS(MO.Ticker.FactSet,"P_PRICE("&amp;AV279&amp;","&amp;AV279&amp;",,,,""PRICE"",""CLOSE"")"),IF(MO.DataSourceName="Refinitiv",_xll.TR(MO.Ticker.Thomson,"TR.PriceClose","sdate:#1 edate:#2",,AV279,AV279),"N/A")))),AV747)</f>
        <v>151.69999999999999</v>
      </c>
      <c r="AW280" s="900">
        <f ca="1">IFERROR(IF(MO.DataSourceName="Bloomberg",BDH(MO.Ticker.Bloomberg&amp;" Equity","px_last",AW279,AW279),IF(MO.DataSourceName="Capital IQ",CIQ(MO.Ticker.CapIQ,"IQ_LASTSALEPRICE",AW279),IF(MO.DataSourceName="FactSet",FDS(MO.Ticker.FactSet,"P_PRICE("&amp;AW279&amp;","&amp;AW279&amp;",,,,""PRICE"",""CLOSE"")"),IF(MO.DataSourceName="Refinitiv",_xll.TR(MO.Ticker.Thomson,"TR.PriceClose","sdate:#1 edate:#2",,AW279,AW279),"N/A")))),AW747)</f>
        <v>185.73</v>
      </c>
      <c r="AX280" s="900">
        <f ca="1">IFERROR(IF(MO.DataSourceName="Bloomberg",BDH(MO.Ticker.Bloomberg&amp;" Equity","px_last",AX279,AX279),IF(MO.DataSourceName="Capital IQ",CIQ(MO.Ticker.CapIQ,"IQ_LASTSALEPRICE",AX279),IF(MO.DataSourceName="FactSet",FDS(MO.Ticker.FactSet,"P_PRICE("&amp;AX279&amp;","&amp;AX279&amp;",,,,""PRICE"",""CLOSE"")"),IF(MO.DataSourceName="Refinitiv",_xll.TR(MO.Ticker.Thomson,"TR.PriceClose","sdate:#1 edate:#2",,AX279,AX279),"N/A")))),AX747)</f>
        <v>154.81</v>
      </c>
      <c r="AY280" s="897">
        <f ca="1">IFERROR(IF(MO.DataSourceName="Bloomberg",BDH(MO.Ticker.Bloomberg&amp;" Equity","px_last",AY279,AY279),IF(MO.DataSourceName="Capital IQ",CIQ(MO.Ticker.CapIQ,"IQ_LASTSALEPRICE",AY279),IF(MO.DataSourceName="FactSet",FDS(MO.Ticker.FactSet,"P_PRICE("&amp;AY279&amp;","&amp;AY279&amp;",,,,""PRICE"",""CLOSE"")"),IF(MO.DataSourceName="Refinitiv",_xll.TR(MO.Ticker.Thomson,"TR.PriceClose","sdate:#1 edate:#2",,AY279,AY279),"N/A")))),AY747)</f>
        <v>154.81</v>
      </c>
      <c r="AZ280" s="900">
        <f ca="1">IFERROR(IF(MO.DataSourceName="Bloomberg",BDH(MO.Ticker.Bloomberg&amp;" Equity","px_last",AZ279,AZ279),IF(MO.DataSourceName="Capital IQ",CIQ(MO.Ticker.CapIQ,"IQ_LASTSALEPRICE",AZ279),IF(MO.DataSourceName="FactSet",FDS(MO.Ticker.FactSet,"P_PRICE("&amp;AZ279&amp;","&amp;AZ279&amp;",,,,""PRICE"",""CLOSE"")"),IF(MO.DataSourceName="Refinitiv",_xll.TR(MO.Ticker.Thomson,"TR.PriceClose","sdate:#1 edate:#2",,AZ279,AZ279),"N/A")))),AZ747)</f>
        <v>130.47999999999999</v>
      </c>
      <c r="BA280" s="900">
        <f ca="1">IFERROR(IF(MO.DataSourceName="Bloomberg",BDH(MO.Ticker.Bloomberg&amp;" Equity","px_last",BA279,BA279),IF(MO.DataSourceName="Capital IQ",CIQ(MO.Ticker.CapIQ,"IQ_LASTSALEPRICE",BA279),IF(MO.DataSourceName="FactSet",FDS(MO.Ticker.FactSet,"P_PRICE("&amp;BA279&amp;","&amp;BA279&amp;",,,,""PRICE"",""CLOSE"")"),IF(MO.DataSourceName="Refinitiv",_xll.TR(MO.Ticker.Thomson,"TR.PriceClose","sdate:#1 edate:#2",,BA279,BA279),"N/A")))),BA747)</f>
        <v>144.41999999999999</v>
      </c>
      <c r="BB280" s="900">
        <f ca="1">IFERROR(IF(MO.DataSourceName="Bloomberg",BDH(MO.Ticker.Bloomberg&amp;" Equity","px_last",BB279,BB279),IF(MO.DataSourceName="Capital IQ",CIQ(MO.Ticker.CapIQ,"IQ_LASTSALEPRICE",BB279),IF(MO.DataSourceName="FactSet",FDS(MO.Ticker.FactSet,"P_PRICE("&amp;BB279&amp;","&amp;BB279&amp;",,,,""PRICE"",""CLOSE"")"),IF(MO.DataSourceName="Refinitiv",_xll.TR(MO.Ticker.Thomson,"TR.PriceClose","sdate:#1 edate:#2",,BB279,BB279),"N/A")))),BB747)</f>
        <v>122.75</v>
      </c>
      <c r="BC280" s="900">
        <f ca="1">IFERROR(IF(MO.DataSourceName="Bloomberg",BDH(MO.Ticker.Bloomberg&amp;" Equity","px_last",BC279,BC279),IF(MO.DataSourceName="Capital IQ",CIQ(MO.Ticker.CapIQ,"IQ_LASTSALEPRICE",BC279),IF(MO.DataSourceName="FactSet",FDS(MO.Ticker.FactSet,"P_PRICE("&amp;BC279&amp;","&amp;BC279&amp;",,,,""PRICE"",""CLOSE"")"),IF(MO.DataSourceName="Refinitiv",_xll.TR(MO.Ticker.Thomson,"TR.PriceClose","sdate:#1 edate:#2",,BC279,BC279),"N/A")))),BC747)</f>
        <v>126.67</v>
      </c>
      <c r="BD280" s="897">
        <f ca="1">IFERROR(IF(MO.DataSourceName="Bloomberg",BDH(MO.Ticker.Bloomberg&amp;" Equity","px_last",BD279,BD279),IF(MO.DataSourceName="Capital IQ",CIQ(MO.Ticker.CapIQ,"IQ_LASTSALEPRICE",BD279),IF(MO.DataSourceName="FactSet",FDS(MO.Ticker.FactSet,"P_PRICE("&amp;BD279&amp;","&amp;BD279&amp;",,,,""PRICE"",""CLOSE"")"),IF(MO.DataSourceName="Refinitiv",_xll.TR(MO.Ticker.Thomson,"TR.PriceClose","sdate:#1 edate:#2",,BD279,BD279),"N/A")))),BD747)</f>
        <v>126.67</v>
      </c>
      <c r="BE280" s="900">
        <f ca="1">IFERROR(IF(MO.DataSourceName="Bloomberg",BDH(MO.Ticker.Bloomberg&amp;" Equity","px_last",BE279,BE279),IF(MO.DataSourceName="Capital IQ",CIQ(MO.Ticker.CapIQ,"IQ_LASTSALEPRICE",BE279),IF(MO.DataSourceName="FactSet",FDS(MO.Ticker.FactSet,"P_PRICE("&amp;BE279&amp;","&amp;BE279&amp;",,,,""PRICE"",""CLOSE"")"),IF(MO.DataSourceName="Refinitiv",_xll.TR(MO.Ticker.Thomson,"TR.PriceClose","sdate:#1 edate:#2",,BE279,BE279),"N/A")))),BE747)</f>
        <v>121.04</v>
      </c>
      <c r="BF280" s="900">
        <f ca="1">IFERROR(IF(MO.DataSourceName="Bloomberg",BDH(MO.Ticker.Bloomberg&amp;" Equity","px_last",BF279,BF279),IF(MO.DataSourceName="Capital IQ",CIQ(MO.Ticker.CapIQ,"IQ_LASTSALEPRICE",BF279),IF(MO.DataSourceName="FactSet",FDS(MO.Ticker.FactSet,"P_PRICE("&amp;BF279&amp;","&amp;BF279&amp;",,,,""PRICE"",""CLOSE"")"),IF(MO.DataSourceName="Refinitiv",_xll.TR(MO.Ticker.Thomson,"TR.PriceClose","sdate:#1 edate:#2",,BF279,BF279),"N/A")))),BF747)</f>
        <v>140.66</v>
      </c>
      <c r="BG280" s="900">
        <f ca="1">IFERROR(IF(MO.DataSourceName="Bloomberg",BDH(MO.Ticker.Bloomberg&amp;" Equity","px_last",BG279,BG279),IF(MO.DataSourceName="Capital IQ",CIQ(MO.Ticker.CapIQ,"IQ_LASTSALEPRICE",BG279),IF(MO.DataSourceName="FactSet",FDS(MO.Ticker.FactSet,"P_PRICE("&amp;BG279&amp;","&amp;BG279&amp;",,,,""PRICE"",""CLOSE"")"),IF(MO.DataSourceName="Refinitiv",_xll.TR(MO.Ticker.Thomson,"TR.PriceClose","sdate:#1 edate:#2",,BG279,BG279),"N/A")))),BG747)</f>
        <v>145.82</v>
      </c>
      <c r="BH280" s="900">
        <f ca="1">IFERROR(IF(MO.DataSourceName="Bloomberg",BDH(MO.Ticker.Bloomberg&amp;" Equity","px_last",BH279,BH279),IF(MO.DataSourceName="Capital IQ",CIQ(MO.Ticker.CapIQ,"IQ_LASTSALEPRICE",BH279),IF(MO.DataSourceName="FactSet",FDS(MO.Ticker.FactSet,"P_PRICE("&amp;BH279&amp;","&amp;BH279&amp;",,,,""PRICE"",""CLOSE"")"),IF(MO.DataSourceName="Refinitiv",_xll.TR(MO.Ticker.Thomson,"TR.PriceClose","sdate:#1 edate:#2",,BH279,BH279),"N/A")))),BH747)</f>
        <v>208.55</v>
      </c>
      <c r="BI280" s="897">
        <f ca="1">IFERROR(IF(MO.DataSourceName="Bloomberg",BDH(MO.Ticker.Bloomberg&amp;" Equity","px_last",BI279,BI279),IF(MO.DataSourceName="Capital IQ",CIQ(MO.Ticker.CapIQ,"IQ_LASTSALEPRICE",BI279),IF(MO.DataSourceName="FactSet",FDS(MO.Ticker.FactSet,"P_PRICE("&amp;BI279&amp;","&amp;BI279&amp;",,,,""PRICE"",""CLOSE"")"),IF(MO.DataSourceName="Refinitiv",_xll.TR(MO.Ticker.Thomson,"TR.PriceClose","sdate:#1 edate:#2",,BI279,BI279),"N/A")))),BI747)</f>
        <v>208.55</v>
      </c>
      <c r="BJ280" s="1492">
        <f ca="1">IFERROR(IF(MO.DataSourceName="Bloomberg",BDH(MO.Ticker.Bloomberg&amp;" Equity","px_last",BJ279,BJ279),IF(MO.DataSourceName="Capital IQ",CIQ(MO.Ticker.CapIQ,"IQ_LASTSALEPRICE",BJ279),IF(MO.DataSourceName="FactSet",FDS(MO.Ticker.FactSet,"P_PRICE("&amp;BJ279&amp;","&amp;BJ279&amp;",,,,""PRICE"",""CLOSE"")"),IF(MO.DataSourceName="Refinitiv",_xll.TR(MO.Ticker.Thomson,"TR.PriceClose","sdate:#1 edate:#2",,BJ279,BJ279),"N/A")))),BJ747)</f>
        <v>282.16000000000003</v>
      </c>
      <c r="BK280" s="900">
        <f>BK713</f>
        <v>59</v>
      </c>
      <c r="BL280" s="900">
        <f>BL713</f>
        <v>59</v>
      </c>
      <c r="BM280" s="900">
        <f>BM713</f>
        <v>59</v>
      </c>
      <c r="BN280" s="897">
        <f>BM280</f>
        <v>59</v>
      </c>
      <c r="BO280" s="900">
        <f>BO713</f>
        <v>65</v>
      </c>
      <c r="BP280" s="900">
        <f>BP713</f>
        <v>65</v>
      </c>
      <c r="BQ280" s="900">
        <f>BQ713</f>
        <v>65</v>
      </c>
      <c r="BR280" s="900">
        <f>BR713</f>
        <v>65</v>
      </c>
      <c r="BS280" s="897">
        <f>BR280</f>
        <v>65</v>
      </c>
      <c r="BT280" s="897">
        <f>BT713</f>
        <v>72</v>
      </c>
      <c r="BU280" s="897">
        <f>BU713</f>
        <v>79</v>
      </c>
      <c r="BV280" s="897">
        <f>BV713</f>
        <v>87</v>
      </c>
      <c r="BW280" s="122"/>
    </row>
    <row r="281" spans="1:75" hidden="1" outlineLevel="1" x14ac:dyDescent="0.5">
      <c r="A281" s="752"/>
      <c r="B281" s="513"/>
      <c r="C281" s="401"/>
      <c r="D281" s="401"/>
      <c r="E281" s="401"/>
      <c r="F281" s="401"/>
      <c r="G281" s="118"/>
      <c r="H281" s="118"/>
      <c r="I281" s="118"/>
      <c r="J281" s="118"/>
      <c r="K281" s="401"/>
      <c r="L281" s="118"/>
      <c r="M281" s="118"/>
      <c r="N281" s="118"/>
      <c r="O281" s="118"/>
      <c r="P281" s="401"/>
      <c r="Q281" s="118"/>
      <c r="R281" s="118"/>
      <c r="S281" s="118"/>
      <c r="T281" s="118"/>
      <c r="U281" s="401"/>
      <c r="V281" s="118"/>
      <c r="W281" s="118"/>
      <c r="X281" s="118"/>
      <c r="Y281" s="118"/>
      <c r="Z281" s="401"/>
      <c r="AA281" s="118"/>
      <c r="AB281" s="118"/>
      <c r="AC281" s="118"/>
      <c r="AD281" s="118"/>
      <c r="AE281" s="401"/>
      <c r="AF281" s="118"/>
      <c r="AG281" s="118"/>
      <c r="AH281" s="118"/>
      <c r="AI281" s="118"/>
      <c r="AJ281" s="401"/>
      <c r="AK281" s="118"/>
      <c r="AL281" s="118"/>
      <c r="AM281" s="118"/>
      <c r="AN281" s="118"/>
      <c r="AO281" s="401"/>
      <c r="AP281" s="118"/>
      <c r="AQ281" s="118"/>
      <c r="AR281" s="118"/>
      <c r="AS281" s="118"/>
      <c r="AT281" s="401"/>
      <c r="AU281" s="118"/>
      <c r="AV281" s="118"/>
      <c r="AW281" s="118"/>
      <c r="AX281" s="118"/>
      <c r="AY281" s="401"/>
      <c r="AZ281" s="118"/>
      <c r="BA281" s="118"/>
      <c r="BB281" s="118"/>
      <c r="BC281" s="118"/>
      <c r="BD281" s="401"/>
      <c r="BE281" s="118"/>
      <c r="BF281" s="118"/>
      <c r="BG281" s="118"/>
      <c r="BH281" s="118"/>
      <c r="BI281" s="401"/>
      <c r="BJ281" s="971"/>
      <c r="BK281" s="118"/>
      <c r="BL281" s="118"/>
      <c r="BM281" s="118"/>
      <c r="BN281" s="401"/>
      <c r="BO281" s="118"/>
      <c r="BP281" s="118"/>
      <c r="BQ281" s="118"/>
      <c r="BR281" s="118"/>
      <c r="BS281" s="401"/>
      <c r="BT281" s="401"/>
      <c r="BU281" s="401"/>
      <c r="BV281" s="401"/>
      <c r="BW281" s="122"/>
    </row>
    <row r="282" spans="1:75" hidden="1" outlineLevel="2" x14ac:dyDescent="0.5">
      <c r="A282" s="765" t="s">
        <v>2326</v>
      </c>
      <c r="B282" s="720"/>
      <c r="C282" s="1493"/>
      <c r="D282" s="1493"/>
      <c r="E282" s="1493"/>
      <c r="F282" s="1493"/>
      <c r="G282" s="1494"/>
      <c r="H282" s="1494"/>
      <c r="I282" s="1494"/>
      <c r="J282" s="1494"/>
      <c r="K282" s="1493"/>
      <c r="L282" s="1494"/>
      <c r="M282" s="1494"/>
      <c r="N282" s="1495">
        <v>1</v>
      </c>
      <c r="O282" s="1494">
        <f>P282</f>
        <v>1</v>
      </c>
      <c r="P282" s="1496">
        <v>1</v>
      </c>
      <c r="Q282" s="1495">
        <v>1</v>
      </c>
      <c r="R282" s="1495">
        <v>1</v>
      </c>
      <c r="S282" s="1495">
        <v>1</v>
      </c>
      <c r="T282" s="1494">
        <f>U282</f>
        <v>1</v>
      </c>
      <c r="U282" s="1496">
        <v>1</v>
      </c>
      <c r="V282" s="1495">
        <v>1</v>
      </c>
      <c r="W282" s="1495">
        <v>1</v>
      </c>
      <c r="X282" s="1495">
        <v>1</v>
      </c>
      <c r="Y282" s="1494">
        <f>Z282</f>
        <v>1</v>
      </c>
      <c r="Z282" s="1496">
        <v>1</v>
      </c>
      <c r="AA282" s="1495">
        <v>1</v>
      </c>
      <c r="AB282" s="1495">
        <v>1</v>
      </c>
      <c r="AC282" s="1495">
        <v>1</v>
      </c>
      <c r="AD282" s="1494">
        <f>AE282</f>
        <v>1</v>
      </c>
      <c r="AE282" s="1496">
        <v>1</v>
      </c>
      <c r="AF282" s="1495">
        <v>1</v>
      </c>
      <c r="AG282" s="1495">
        <v>1</v>
      </c>
      <c r="AH282" s="1495">
        <v>1</v>
      </c>
      <c r="AI282" s="1494">
        <f>AJ282</f>
        <v>1</v>
      </c>
      <c r="AJ282" s="1496">
        <v>1</v>
      </c>
      <c r="AK282" s="1495">
        <v>1</v>
      </c>
      <c r="AL282" s="1495">
        <v>1</v>
      </c>
      <c r="AM282" s="1495">
        <v>1</v>
      </c>
      <c r="AN282" s="1494">
        <f>AO282</f>
        <v>1</v>
      </c>
      <c r="AO282" s="1496">
        <v>1</v>
      </c>
      <c r="AP282" s="1495">
        <v>1</v>
      </c>
      <c r="AQ282" s="1495">
        <v>1</v>
      </c>
      <c r="AR282" s="1495">
        <v>1</v>
      </c>
      <c r="AS282" s="1494">
        <f>AT282</f>
        <v>1</v>
      </c>
      <c r="AT282" s="1496">
        <v>1</v>
      </c>
      <c r="AU282" s="1495">
        <v>1</v>
      </c>
      <c r="AV282" s="1495">
        <v>1</v>
      </c>
      <c r="AW282" s="1495">
        <v>1</v>
      </c>
      <c r="AX282" s="1494">
        <f>AY282</f>
        <v>1</v>
      </c>
      <c r="AY282" s="1496">
        <v>1</v>
      </c>
      <c r="AZ282" s="1495">
        <v>1</v>
      </c>
      <c r="BA282" s="1495">
        <v>1</v>
      </c>
      <c r="BB282" s="1495">
        <v>1</v>
      </c>
      <c r="BC282" s="1494">
        <f>BD282</f>
        <v>1</v>
      </c>
      <c r="BD282" s="1496">
        <v>1</v>
      </c>
      <c r="BE282" s="1495">
        <v>1</v>
      </c>
      <c r="BF282" s="1495">
        <v>1</v>
      </c>
      <c r="BG282" s="1495">
        <v>1</v>
      </c>
      <c r="BH282" s="1494">
        <f>BI282</f>
        <v>1</v>
      </c>
      <c r="BI282" s="1496">
        <v>1</v>
      </c>
      <c r="BJ282" s="1497">
        <v>1</v>
      </c>
      <c r="BK282" s="1494"/>
      <c r="BL282" s="1494"/>
      <c r="BM282" s="1494"/>
      <c r="BN282" s="1493"/>
      <c r="BO282" s="1494"/>
      <c r="BP282" s="1494"/>
      <c r="BQ282" s="1494"/>
      <c r="BR282" s="1494"/>
      <c r="BS282" s="1493"/>
      <c r="BT282" s="1493"/>
      <c r="BU282" s="1493"/>
      <c r="BV282" s="1493"/>
      <c r="BW282" s="122"/>
    </row>
    <row r="283" spans="1:75" hidden="1" outlineLevel="2" x14ac:dyDescent="0.5">
      <c r="A283" s="184" t="s">
        <v>2327</v>
      </c>
      <c r="B283" s="513"/>
      <c r="C283" s="401"/>
      <c r="D283" s="401"/>
      <c r="E283" s="401"/>
      <c r="F283" s="401"/>
      <c r="G283" s="118"/>
      <c r="H283" s="118"/>
      <c r="I283" s="118"/>
      <c r="J283" s="118"/>
      <c r="K283" s="401"/>
      <c r="L283" s="118"/>
      <c r="M283" s="118"/>
      <c r="N283" s="118"/>
      <c r="O283" s="118">
        <f>P283</f>
        <v>37.002873999999998</v>
      </c>
      <c r="P283" s="403">
        <v>37.002873999999998</v>
      </c>
      <c r="Q283" s="302">
        <v>40.736828000000003</v>
      </c>
      <c r="R283" s="302">
        <v>42.973798000000002</v>
      </c>
      <c r="S283" s="302">
        <v>44.145083</v>
      </c>
      <c r="T283" s="118">
        <f>U283</f>
        <v>45.814236999999999</v>
      </c>
      <c r="U283" s="403">
        <v>45.814236999999999</v>
      </c>
      <c r="V283" s="302">
        <v>46.966563999999998</v>
      </c>
      <c r="W283" s="302">
        <v>48.105570999999998</v>
      </c>
      <c r="X283" s="302">
        <v>49.303860999999998</v>
      </c>
      <c r="Y283" s="118">
        <f>Z283</f>
        <v>49.945202000000002</v>
      </c>
      <c r="Z283" s="403">
        <v>49.945202000000002</v>
      </c>
      <c r="AA283" s="302">
        <v>50.971401</v>
      </c>
      <c r="AB283" s="302">
        <v>54.306006000000004</v>
      </c>
      <c r="AC283" s="302">
        <v>56.355606000000002</v>
      </c>
      <c r="AD283" s="118">
        <f>AE283</f>
        <v>57.398983000000001</v>
      </c>
      <c r="AE283" s="403">
        <v>57.398983000000001</v>
      </c>
      <c r="AF283" s="302">
        <v>58.274357000000002</v>
      </c>
      <c r="AG283" s="302">
        <v>59.315145000000001</v>
      </c>
      <c r="AH283" s="302">
        <v>61.400416</v>
      </c>
      <c r="AI283" s="118">
        <f>AJ283</f>
        <v>62.329701</v>
      </c>
      <c r="AJ283" s="403">
        <v>62.329701</v>
      </c>
      <c r="AK283" s="302">
        <v>63.653911000000001</v>
      </c>
      <c r="AL283" s="302">
        <v>64.591842999999997</v>
      </c>
      <c r="AM283" s="302">
        <v>65.502165000000005</v>
      </c>
      <c r="AN283" s="118">
        <f>AO283</f>
        <v>66.642611000000002</v>
      </c>
      <c r="AO283" s="403">
        <v>66.642611000000002</v>
      </c>
      <c r="AP283" s="302">
        <v>67.405520999999993</v>
      </c>
      <c r="AQ283" s="302">
        <v>68.108215999999999</v>
      </c>
      <c r="AR283" s="302">
        <v>68.959957000000003</v>
      </c>
      <c r="AS283" s="118">
        <f>AT283</f>
        <v>72.980490000000003</v>
      </c>
      <c r="AT283" s="403">
        <v>72.980490000000003</v>
      </c>
      <c r="AU283" s="302">
        <v>77.196363000000005</v>
      </c>
      <c r="AV283" s="302">
        <v>77.013108000000003</v>
      </c>
      <c r="AW283" s="302">
        <v>77.666737999999995</v>
      </c>
      <c r="AX283" s="118">
        <f>AY283</f>
        <v>79.150936999999999</v>
      </c>
      <c r="AY283" s="403">
        <v>79.150936999999999</v>
      </c>
      <c r="AZ283" s="302">
        <v>79.214400999999995</v>
      </c>
      <c r="BA283" s="302">
        <v>79.850877999999994</v>
      </c>
      <c r="BB283" s="302">
        <v>80.772543999999996</v>
      </c>
      <c r="BC283" s="118">
        <f>BD283</f>
        <v>82.903862000000004</v>
      </c>
      <c r="BD283" s="403">
        <v>82.903862000000004</v>
      </c>
      <c r="BE283" s="302">
        <v>85.546392999999995</v>
      </c>
      <c r="BF283" s="302">
        <v>86.919329000000005</v>
      </c>
      <c r="BG283" s="302">
        <v>90.489547999999999</v>
      </c>
      <c r="BH283" s="118">
        <f>BI283</f>
        <v>92.457561999999996</v>
      </c>
      <c r="BI283" s="403">
        <v>92.457561999999996</v>
      </c>
      <c r="BJ283" s="1207">
        <v>94.736999999999995</v>
      </c>
      <c r="BK283" s="118"/>
      <c r="BL283" s="118"/>
      <c r="BM283" s="118"/>
      <c r="BN283" s="401"/>
      <c r="BO283" s="118"/>
      <c r="BP283" s="118"/>
      <c r="BQ283" s="118"/>
      <c r="BR283" s="118"/>
      <c r="BS283" s="401"/>
      <c r="BT283" s="401"/>
      <c r="BU283" s="401"/>
      <c r="BV283" s="401"/>
      <c r="BW283" s="122"/>
    </row>
    <row r="284" spans="1:75" hidden="1" outlineLevel="2" x14ac:dyDescent="0.5">
      <c r="A284" s="184" t="s">
        <v>2328</v>
      </c>
      <c r="B284" s="513"/>
      <c r="C284" s="401"/>
      <c r="D284" s="401"/>
      <c r="E284" s="401"/>
      <c r="F284" s="401"/>
      <c r="G284" s="118"/>
      <c r="H284" s="118"/>
      <c r="I284" s="118"/>
      <c r="J284" s="118"/>
      <c r="K284" s="401"/>
      <c r="L284" s="118"/>
      <c r="M284" s="118"/>
      <c r="N284" s="118"/>
      <c r="O284" s="118">
        <f>P284</f>
        <v>46.179192</v>
      </c>
      <c r="P284" s="403">
        <v>46.179192</v>
      </c>
      <c r="Q284" s="302">
        <v>42.73115</v>
      </c>
      <c r="R284" s="302">
        <v>40.773291</v>
      </c>
      <c r="S284" s="302">
        <v>39.894390999999999</v>
      </c>
      <c r="T284" s="118">
        <f>U284</f>
        <v>38.496561999999997</v>
      </c>
      <c r="U284" s="403">
        <v>38.496561999999997</v>
      </c>
      <c r="V284" s="302">
        <v>37.664048999999999</v>
      </c>
      <c r="W284" s="302">
        <v>36.800012000000002</v>
      </c>
      <c r="X284" s="302">
        <v>36.100763999999998</v>
      </c>
      <c r="Y284" s="118">
        <f>Z284</f>
        <v>35.885691999999999</v>
      </c>
      <c r="Z284" s="403">
        <v>35.885691999999999</v>
      </c>
      <c r="AA284" s="302">
        <v>35.475887999999998</v>
      </c>
      <c r="AB284" s="302">
        <v>32.724614000000003</v>
      </c>
      <c r="AC284" s="302">
        <v>31.290482999999998</v>
      </c>
      <c r="AD284" s="118">
        <f>AE284</f>
        <v>30.809626999999999</v>
      </c>
      <c r="AE284" s="403">
        <v>30.809626999999999</v>
      </c>
      <c r="AF284" s="302">
        <v>30.579183</v>
      </c>
      <c r="AG284" s="302">
        <v>30.161725000000001</v>
      </c>
      <c r="AH284" s="302">
        <v>28.726123999999999</v>
      </c>
      <c r="AI284" s="118">
        <f>AJ284</f>
        <v>28.417881999999999</v>
      </c>
      <c r="AJ284" s="403">
        <v>28.417881999999999</v>
      </c>
      <c r="AK284" s="302">
        <v>27.747581</v>
      </c>
      <c r="AL284" s="302">
        <v>27.506309000000002</v>
      </c>
      <c r="AM284" s="302">
        <v>27.372273</v>
      </c>
      <c r="AN284" s="118">
        <f>AO284</f>
        <v>26.957815</v>
      </c>
      <c r="AO284" s="403">
        <v>26.957815</v>
      </c>
      <c r="AP284" s="302">
        <v>26.957041</v>
      </c>
      <c r="AQ284" s="302">
        <v>26.956796000000001</v>
      </c>
      <c r="AR284" s="302">
        <v>26.636721000000001</v>
      </c>
      <c r="AS284" s="118">
        <f>AT284</f>
        <v>26.564233999999999</v>
      </c>
      <c r="AT284" s="403">
        <v>26.564233999999999</v>
      </c>
      <c r="AU284" s="302">
        <v>26.563908999999999</v>
      </c>
      <c r="AV284" s="302">
        <v>26.563836999999999</v>
      </c>
      <c r="AW284" s="302">
        <v>26.563761</v>
      </c>
      <c r="AX284" s="118">
        <f>AY284</f>
        <v>25.691761</v>
      </c>
      <c r="AY284" s="403">
        <v>25.691761</v>
      </c>
      <c r="AZ284" s="302">
        <v>25.691669999999998</v>
      </c>
      <c r="BA284" s="302">
        <v>25.691396999999998</v>
      </c>
      <c r="BB284" s="302">
        <v>25.691396999999998</v>
      </c>
      <c r="BC284" s="118">
        <f>BD284</f>
        <v>25.691396999999998</v>
      </c>
      <c r="BD284" s="403">
        <v>25.691396999999998</v>
      </c>
      <c r="BE284" s="302">
        <v>25.691351999999998</v>
      </c>
      <c r="BF284" s="302">
        <v>25.691323000000001</v>
      </c>
      <c r="BG284" s="302">
        <v>25.691295</v>
      </c>
      <c r="BH284" s="118">
        <f>BI284</f>
        <v>25.691295</v>
      </c>
      <c r="BI284" s="403">
        <v>25.691295</v>
      </c>
      <c r="BJ284" s="1207">
        <v>25.691295</v>
      </c>
      <c r="BK284" s="118"/>
      <c r="BL284" s="118"/>
      <c r="BM284" s="118"/>
      <c r="BN284" s="401"/>
      <c r="BO284" s="118"/>
      <c r="BP284" s="118"/>
      <c r="BQ284" s="118"/>
      <c r="BR284" s="118"/>
      <c r="BS284" s="401"/>
      <c r="BT284" s="401"/>
      <c r="BU284" s="401"/>
      <c r="BV284" s="401"/>
      <c r="BW284" s="122"/>
    </row>
    <row r="285" spans="1:75" hidden="1" outlineLevel="2" x14ac:dyDescent="0.5">
      <c r="A285" s="1498" t="s">
        <v>2329</v>
      </c>
      <c r="B285" s="1499"/>
      <c r="C285" s="1500"/>
      <c r="D285" s="1500"/>
      <c r="E285" s="1500"/>
      <c r="F285" s="1500"/>
      <c r="G285" s="1056"/>
      <c r="H285" s="1056"/>
      <c r="I285" s="1056"/>
      <c r="J285" s="1056"/>
      <c r="K285" s="1500"/>
      <c r="L285" s="1056"/>
      <c r="M285" s="1056"/>
      <c r="N285" s="1056"/>
      <c r="O285" s="1056">
        <f t="shared" ref="O285:BA285" si="259">SUM(O283:O284)</f>
        <v>83.182065999999992</v>
      </c>
      <c r="P285" s="1500">
        <f t="shared" si="259"/>
        <v>83.182065999999992</v>
      </c>
      <c r="Q285" s="1056">
        <f t="shared" si="259"/>
        <v>83.467978000000002</v>
      </c>
      <c r="R285" s="1056">
        <f t="shared" si="259"/>
        <v>83.747089000000003</v>
      </c>
      <c r="S285" s="1056">
        <f t="shared" si="259"/>
        <v>84.039473999999998</v>
      </c>
      <c r="T285" s="1056">
        <f t="shared" si="259"/>
        <v>84.310799000000003</v>
      </c>
      <c r="U285" s="1500">
        <f t="shared" si="259"/>
        <v>84.310799000000003</v>
      </c>
      <c r="V285" s="1056">
        <f t="shared" si="259"/>
        <v>84.630612999999997</v>
      </c>
      <c r="W285" s="1056">
        <f t="shared" si="259"/>
        <v>84.905583000000007</v>
      </c>
      <c r="X285" s="1056">
        <f t="shared" si="259"/>
        <v>85.404624999999996</v>
      </c>
      <c r="Y285" s="1056">
        <f t="shared" si="259"/>
        <v>85.830894000000001</v>
      </c>
      <c r="Z285" s="1500">
        <f t="shared" si="259"/>
        <v>85.830894000000001</v>
      </c>
      <c r="AA285" s="1056">
        <f t="shared" si="259"/>
        <v>86.447288999999998</v>
      </c>
      <c r="AB285" s="1056">
        <f t="shared" si="259"/>
        <v>87.030619999999999</v>
      </c>
      <c r="AC285" s="1056">
        <f t="shared" si="259"/>
        <v>87.646089000000003</v>
      </c>
      <c r="AD285" s="1056">
        <f t="shared" si="259"/>
        <v>88.208609999999993</v>
      </c>
      <c r="AE285" s="1500">
        <f t="shared" si="259"/>
        <v>88.208609999999993</v>
      </c>
      <c r="AF285" s="1056">
        <f t="shared" si="259"/>
        <v>88.85354000000001</v>
      </c>
      <c r="AG285" s="1056">
        <f t="shared" si="259"/>
        <v>89.476870000000005</v>
      </c>
      <c r="AH285" s="1056">
        <f t="shared" si="259"/>
        <v>90.126540000000006</v>
      </c>
      <c r="AI285" s="1056">
        <f t="shared" si="259"/>
        <v>90.747582999999992</v>
      </c>
      <c r="AJ285" s="1500">
        <f t="shared" si="259"/>
        <v>90.747582999999992</v>
      </c>
      <c r="AK285" s="1056">
        <f t="shared" si="259"/>
        <v>91.401492000000005</v>
      </c>
      <c r="AL285" s="1056">
        <f t="shared" si="259"/>
        <v>92.098151999999999</v>
      </c>
      <c r="AM285" s="1056">
        <f t="shared" si="259"/>
        <v>92.874437999999998</v>
      </c>
      <c r="AN285" s="1056">
        <f t="shared" si="259"/>
        <v>93.600425999999999</v>
      </c>
      <c r="AO285" s="1500">
        <f t="shared" si="259"/>
        <v>93.600425999999999</v>
      </c>
      <c r="AP285" s="1056">
        <f t="shared" si="259"/>
        <v>94.362561999999997</v>
      </c>
      <c r="AQ285" s="1056">
        <f t="shared" si="259"/>
        <v>95.065011999999996</v>
      </c>
      <c r="AR285" s="1056">
        <f t="shared" si="259"/>
        <v>95.596677999999997</v>
      </c>
      <c r="AS285" s="1056">
        <f t="shared" si="259"/>
        <v>99.544724000000002</v>
      </c>
      <c r="AT285" s="1500">
        <f t="shared" si="259"/>
        <v>99.544724000000002</v>
      </c>
      <c r="AU285" s="1056">
        <f t="shared" si="259"/>
        <v>103.760272</v>
      </c>
      <c r="AV285" s="1056">
        <f t="shared" si="259"/>
        <v>103.57694499999999</v>
      </c>
      <c r="AW285" s="1056">
        <f t="shared" si="259"/>
        <v>104.23049899999999</v>
      </c>
      <c r="AX285" s="1056">
        <f t="shared" si="259"/>
        <v>104.842698</v>
      </c>
      <c r="AY285" s="1500">
        <f t="shared" si="259"/>
        <v>104.842698</v>
      </c>
      <c r="AZ285" s="1056">
        <f t="shared" si="259"/>
        <v>104.906071</v>
      </c>
      <c r="BA285" s="1056">
        <f t="shared" si="259"/>
        <v>105.54227499999999</v>
      </c>
      <c r="BB285" s="1056">
        <f t="shared" ref="BB285:BG285" si="260">SUM(BB283:BB284)</f>
        <v>106.46394099999999</v>
      </c>
      <c r="BC285" s="1056">
        <f t="shared" si="260"/>
        <v>108.595259</v>
      </c>
      <c r="BD285" s="1500">
        <f t="shared" si="260"/>
        <v>108.595259</v>
      </c>
      <c r="BE285" s="1056">
        <f t="shared" si="260"/>
        <v>111.23774499999999</v>
      </c>
      <c r="BF285" s="1056">
        <f t="shared" si="260"/>
        <v>112.610652</v>
      </c>
      <c r="BG285" s="1056">
        <f t="shared" si="260"/>
        <v>116.180843</v>
      </c>
      <c r="BH285" s="1056">
        <f>SUM(BH283:BH284)</f>
        <v>118.14885699999999</v>
      </c>
      <c r="BI285" s="1500">
        <f>SUM(BI283:BI284)</f>
        <v>118.14885699999999</v>
      </c>
      <c r="BJ285" s="1058">
        <f>SUM(BJ283:BJ284)</f>
        <v>120.42829499999999</v>
      </c>
      <c r="BK285" s="1056">
        <f ca="1">BK286+BK287</f>
        <v>121.51214965499997</v>
      </c>
      <c r="BL285" s="1056">
        <f ca="1">BL286+BL287</f>
        <v>122.60575900189497</v>
      </c>
      <c r="BM285" s="1056">
        <f ca="1">BM286+BM287</f>
        <v>123.70921083291201</v>
      </c>
      <c r="BN285" s="1500">
        <f ca="1">BM285</f>
        <v>123.70921083291201</v>
      </c>
      <c r="BO285" s="1056">
        <f ca="1">BO286+BO287</f>
        <v>124.8225937304082</v>
      </c>
      <c r="BP285" s="1056">
        <f ca="1">BP286+BP287</f>
        <v>125.94599707398186</v>
      </c>
      <c r="BQ285" s="1056">
        <f ca="1">BQ286+BQ287</f>
        <v>127.07951104764769</v>
      </c>
      <c r="BR285" s="1056">
        <f ca="1">BR286+BR287</f>
        <v>128.2232266470765</v>
      </c>
      <c r="BS285" s="1500">
        <f ca="1">BR285</f>
        <v>128.2232266470765</v>
      </c>
      <c r="BT285" s="1500">
        <f ca="1">BT286+BT287</f>
        <v>132.83926280637127</v>
      </c>
      <c r="BU285" s="1500">
        <f ca="1">BU286+BU287</f>
        <v>137.62147626740062</v>
      </c>
      <c r="BV285" s="1500">
        <f ca="1">BV286+BV287</f>
        <v>142.57584941302704</v>
      </c>
      <c r="BW285" s="122"/>
    </row>
    <row r="286" spans="1:75" hidden="1" outlineLevel="2" x14ac:dyDescent="0.5">
      <c r="A286" s="445" t="s">
        <v>2330</v>
      </c>
      <c r="B286" s="677"/>
      <c r="C286" s="406"/>
      <c r="D286" s="406"/>
      <c r="E286" s="406"/>
      <c r="F286" s="406"/>
      <c r="G286" s="723"/>
      <c r="H286" s="723"/>
      <c r="I286" s="723"/>
      <c r="J286" s="723"/>
      <c r="K286" s="406"/>
      <c r="L286" s="723"/>
      <c r="M286" s="723"/>
      <c r="N286" s="723"/>
      <c r="O286" s="723"/>
      <c r="P286" s="406"/>
      <c r="Q286" s="723"/>
      <c r="R286" s="723"/>
      <c r="S286" s="723"/>
      <c r="T286" s="723"/>
      <c r="U286" s="406"/>
      <c r="V286" s="723"/>
      <c r="W286" s="723"/>
      <c r="X286" s="723"/>
      <c r="Y286" s="723"/>
      <c r="Z286" s="406"/>
      <c r="AA286" s="723"/>
      <c r="AB286" s="723"/>
      <c r="AC286" s="723"/>
      <c r="AD286" s="723"/>
      <c r="AE286" s="406"/>
      <c r="AF286" s="723"/>
      <c r="AG286" s="723"/>
      <c r="AH286" s="723"/>
      <c r="AI286" s="723"/>
      <c r="AJ286" s="406"/>
      <c r="AK286" s="723"/>
      <c r="AL286" s="723"/>
      <c r="AM286" s="723"/>
      <c r="AN286" s="723"/>
      <c r="AO286" s="406"/>
      <c r="AP286" s="723"/>
      <c r="AQ286" s="723"/>
      <c r="AR286" s="723"/>
      <c r="AS286" s="723"/>
      <c r="AT286" s="406"/>
      <c r="AU286" s="723"/>
      <c r="AV286" s="723"/>
      <c r="AW286" s="723"/>
      <c r="AX286" s="723"/>
      <c r="AY286" s="406"/>
      <c r="AZ286" s="723"/>
      <c r="BA286" s="723"/>
      <c r="BB286" s="723"/>
      <c r="BC286" s="723"/>
      <c r="BD286" s="406"/>
      <c r="BE286" s="723"/>
      <c r="BF286" s="723"/>
      <c r="BG286" s="723"/>
      <c r="BH286" s="723"/>
      <c r="BI286" s="406"/>
      <c r="BJ286" s="1049"/>
      <c r="BK286" s="723">
        <f>BJ286</f>
        <v>0</v>
      </c>
      <c r="BL286" s="723">
        <f>BK286</f>
        <v>0</v>
      </c>
      <c r="BM286" s="723">
        <f>BL286</f>
        <v>0</v>
      </c>
      <c r="BN286" s="406">
        <f>BM286</f>
        <v>0</v>
      </c>
      <c r="BO286" s="723">
        <f>BN286</f>
        <v>0</v>
      </c>
      <c r="BP286" s="723">
        <f>BO286</f>
        <v>0</v>
      </c>
      <c r="BQ286" s="723">
        <f>BP286</f>
        <v>0</v>
      </c>
      <c r="BR286" s="723">
        <f>BQ286</f>
        <v>0</v>
      </c>
      <c r="BS286" s="406">
        <f>BR286</f>
        <v>0</v>
      </c>
      <c r="BT286" s="406">
        <f>BS286</f>
        <v>0</v>
      </c>
      <c r="BU286" s="406">
        <f>BT286</f>
        <v>0</v>
      </c>
      <c r="BV286" s="406">
        <f>BU286</f>
        <v>0</v>
      </c>
      <c r="BW286" s="122"/>
    </row>
    <row r="287" spans="1:75" hidden="1" outlineLevel="1" x14ac:dyDescent="0.5">
      <c r="A287" s="752" t="s">
        <v>2331</v>
      </c>
      <c r="B287" s="513"/>
      <c r="C287" s="401"/>
      <c r="D287" s="401"/>
      <c r="E287" s="401"/>
      <c r="F287" s="401"/>
      <c r="G287" s="118"/>
      <c r="H287" s="118"/>
      <c r="I287" s="118"/>
      <c r="J287" s="118"/>
      <c r="K287" s="401"/>
      <c r="L287" s="118"/>
      <c r="M287" s="118"/>
      <c r="N287" s="118"/>
      <c r="O287" s="118">
        <f>O285-O286</f>
        <v>83.182065999999992</v>
      </c>
      <c r="P287" s="401">
        <f t="shared" ref="P287:BI287" si="261">P285-P286</f>
        <v>83.182065999999992</v>
      </c>
      <c r="Q287" s="118">
        <f t="shared" si="261"/>
        <v>83.467978000000002</v>
      </c>
      <c r="R287" s="118">
        <f t="shared" si="261"/>
        <v>83.747089000000003</v>
      </c>
      <c r="S287" s="118">
        <f t="shared" si="261"/>
        <v>84.039473999999998</v>
      </c>
      <c r="T287" s="118">
        <f t="shared" si="261"/>
        <v>84.310799000000003</v>
      </c>
      <c r="U287" s="401">
        <f t="shared" si="261"/>
        <v>84.310799000000003</v>
      </c>
      <c r="V287" s="118">
        <f t="shared" si="261"/>
        <v>84.630612999999997</v>
      </c>
      <c r="W287" s="118">
        <f t="shared" si="261"/>
        <v>84.905583000000007</v>
      </c>
      <c r="X287" s="118">
        <f t="shared" si="261"/>
        <v>85.404624999999996</v>
      </c>
      <c r="Y287" s="118">
        <f t="shared" si="261"/>
        <v>85.830894000000001</v>
      </c>
      <c r="Z287" s="401">
        <f t="shared" si="261"/>
        <v>85.830894000000001</v>
      </c>
      <c r="AA287" s="118">
        <f t="shared" si="261"/>
        <v>86.447288999999998</v>
      </c>
      <c r="AB287" s="118">
        <f t="shared" si="261"/>
        <v>87.030619999999999</v>
      </c>
      <c r="AC287" s="118">
        <f t="shared" si="261"/>
        <v>87.646089000000003</v>
      </c>
      <c r="AD287" s="118">
        <f t="shared" si="261"/>
        <v>88.208609999999993</v>
      </c>
      <c r="AE287" s="401">
        <f t="shared" si="261"/>
        <v>88.208609999999993</v>
      </c>
      <c r="AF287" s="118">
        <f t="shared" si="261"/>
        <v>88.85354000000001</v>
      </c>
      <c r="AG287" s="118">
        <f t="shared" si="261"/>
        <v>89.476870000000005</v>
      </c>
      <c r="AH287" s="118">
        <f t="shared" si="261"/>
        <v>90.126540000000006</v>
      </c>
      <c r="AI287" s="118">
        <f t="shared" si="261"/>
        <v>90.747582999999992</v>
      </c>
      <c r="AJ287" s="401">
        <f t="shared" si="261"/>
        <v>90.747582999999992</v>
      </c>
      <c r="AK287" s="118">
        <f t="shared" si="261"/>
        <v>91.401492000000005</v>
      </c>
      <c r="AL287" s="118">
        <f t="shared" si="261"/>
        <v>92.098151999999999</v>
      </c>
      <c r="AM287" s="118">
        <f t="shared" si="261"/>
        <v>92.874437999999998</v>
      </c>
      <c r="AN287" s="118">
        <f t="shared" si="261"/>
        <v>93.600425999999999</v>
      </c>
      <c r="AO287" s="401">
        <f t="shared" si="261"/>
        <v>93.600425999999999</v>
      </c>
      <c r="AP287" s="118">
        <f t="shared" si="261"/>
        <v>94.362561999999997</v>
      </c>
      <c r="AQ287" s="118">
        <f t="shared" si="261"/>
        <v>95.065011999999996</v>
      </c>
      <c r="AR287" s="118">
        <f t="shared" si="261"/>
        <v>95.596677999999997</v>
      </c>
      <c r="AS287" s="118">
        <f t="shared" si="261"/>
        <v>99.544724000000002</v>
      </c>
      <c r="AT287" s="401">
        <f t="shared" si="261"/>
        <v>99.544724000000002</v>
      </c>
      <c r="AU287" s="118">
        <f t="shared" si="261"/>
        <v>103.760272</v>
      </c>
      <c r="AV287" s="118">
        <f t="shared" si="261"/>
        <v>103.57694499999999</v>
      </c>
      <c r="AW287" s="118">
        <f t="shared" si="261"/>
        <v>104.23049899999999</v>
      </c>
      <c r="AX287" s="118">
        <f t="shared" si="261"/>
        <v>104.842698</v>
      </c>
      <c r="AY287" s="401">
        <f t="shared" si="261"/>
        <v>104.842698</v>
      </c>
      <c r="AZ287" s="118">
        <f t="shared" si="261"/>
        <v>104.906071</v>
      </c>
      <c r="BA287" s="118">
        <f t="shared" si="261"/>
        <v>105.54227499999999</v>
      </c>
      <c r="BB287" s="118">
        <f t="shared" si="261"/>
        <v>106.46394099999999</v>
      </c>
      <c r="BC287" s="118">
        <f t="shared" si="261"/>
        <v>108.595259</v>
      </c>
      <c r="BD287" s="401">
        <f t="shared" si="261"/>
        <v>108.595259</v>
      </c>
      <c r="BE287" s="118">
        <f t="shared" si="261"/>
        <v>111.23774499999999</v>
      </c>
      <c r="BF287" s="118">
        <f t="shared" si="261"/>
        <v>112.610652</v>
      </c>
      <c r="BG287" s="118">
        <f t="shared" si="261"/>
        <v>116.180843</v>
      </c>
      <c r="BH287" s="118">
        <f t="shared" si="261"/>
        <v>118.14885699999999</v>
      </c>
      <c r="BI287" s="401">
        <f t="shared" si="261"/>
        <v>118.14885699999999</v>
      </c>
      <c r="BJ287" s="971">
        <f>BJ285-BJ286</f>
        <v>120.42829499999999</v>
      </c>
      <c r="BK287" s="118">
        <f ca="1">BJ287*(1+BK288)+BK712/(BK713/BK762)+BK390+BK407+BK424+BK441</f>
        <v>121.51214965499997</v>
      </c>
      <c r="BL287" s="118">
        <f ca="1">BK287*(1+BL288)+BL712/(BL713/BL762)+BL390+BL407+BL424+BL441</f>
        <v>122.60575900189497</v>
      </c>
      <c r="BM287" s="118">
        <f ca="1">BL287*(1+BM288)+BM712/(BM713/BM762)+BM390+BM407+BM424+BM441</f>
        <v>123.70921083291201</v>
      </c>
      <c r="BN287" s="401">
        <f ca="1">BM287</f>
        <v>123.70921083291201</v>
      </c>
      <c r="BO287" s="118">
        <f ca="1">BN287*(1+BO288)+BO712/(BO713/BO762)+BO390+BO407+BO424+BO441</f>
        <v>124.8225937304082</v>
      </c>
      <c r="BP287" s="118">
        <f ca="1">BO287*(1+BP288)+BP712/(BP713/BP762)+BP390+BP407+BP424+BP441</f>
        <v>125.94599707398186</v>
      </c>
      <c r="BQ287" s="118">
        <f ca="1">BP287*(1+BQ288)+BQ712/(BQ713/BQ762)+BQ390+BQ407+BQ424+BQ441</f>
        <v>127.07951104764769</v>
      </c>
      <c r="BR287" s="118">
        <f ca="1">BQ287*(1+BR288)+BR712/(BR713/BR762)+BR390+BR407+BR424+BR441</f>
        <v>128.2232266470765</v>
      </c>
      <c r="BS287" s="401">
        <f ca="1">BR287</f>
        <v>128.2232266470765</v>
      </c>
      <c r="BT287" s="401">
        <f ca="1">BS287*(1+BT289)+BT712/(BT713/BT762)+BT390+BT407+BT424+BT441</f>
        <v>132.83926280637127</v>
      </c>
      <c r="BU287" s="401">
        <f ca="1">BT287*(1+BU289)+BU712/(BU713/BU762)+BU390+BU407+BU424+BU441</f>
        <v>137.62147626740062</v>
      </c>
      <c r="BV287" s="401">
        <f ca="1">BU287*(1+BV289)+BV712/(BV713/BV762)+BV390+BV407+BV424+BV441</f>
        <v>142.57584941302704</v>
      </c>
      <c r="BW287" s="122"/>
    </row>
    <row r="288" spans="1:75" s="177" customFormat="1" ht="14.25" hidden="1" outlineLevel="1" x14ac:dyDescent="0.45">
      <c r="A288" s="170" t="s">
        <v>2332</v>
      </c>
      <c r="B288" s="660"/>
      <c r="C288" s="417"/>
      <c r="D288" s="417"/>
      <c r="E288" s="417"/>
      <c r="F288" s="417"/>
      <c r="G288" s="378"/>
      <c r="H288" s="378"/>
      <c r="I288" s="378"/>
      <c r="J288" s="378"/>
      <c r="K288" s="417"/>
      <c r="L288" s="378"/>
      <c r="M288" s="378"/>
      <c r="N288" s="378"/>
      <c r="O288" s="378"/>
      <c r="P288" s="417"/>
      <c r="Q288" s="378"/>
      <c r="R288" s="378"/>
      <c r="S288" s="378"/>
      <c r="T288" s="378"/>
      <c r="U288" s="417"/>
      <c r="V288" s="378"/>
      <c r="W288" s="378"/>
      <c r="X288" s="378"/>
      <c r="Y288" s="378"/>
      <c r="Z288" s="417"/>
      <c r="AA288" s="378"/>
      <c r="AB288" s="378"/>
      <c r="AC288" s="378"/>
      <c r="AD288" s="378"/>
      <c r="AE288" s="417"/>
      <c r="AF288" s="378"/>
      <c r="AG288" s="378"/>
      <c r="AH288" s="378"/>
      <c r="AI288" s="378"/>
      <c r="AJ288" s="417"/>
      <c r="AK288" s="378"/>
      <c r="AL288" s="378"/>
      <c r="AM288" s="378"/>
      <c r="AN288" s="378"/>
      <c r="AO288" s="417"/>
      <c r="AP288" s="378"/>
      <c r="AQ288" s="378"/>
      <c r="AR288" s="378"/>
      <c r="AS288" s="378"/>
      <c r="AT288" s="417"/>
      <c r="AU288" s="378"/>
      <c r="AV288" s="378"/>
      <c r="AW288" s="378"/>
      <c r="AX288" s="378"/>
      <c r="AY288" s="417"/>
      <c r="AZ288" s="378"/>
      <c r="BA288" s="378"/>
      <c r="BB288" s="378"/>
      <c r="BC288" s="378"/>
      <c r="BD288" s="417"/>
      <c r="BE288" s="378"/>
      <c r="BF288" s="378"/>
      <c r="BG288" s="378"/>
      <c r="BH288" s="378"/>
      <c r="BI288" s="417"/>
      <c r="BJ288" s="1130"/>
      <c r="BK288" s="766">
        <v>8.9999999999999993E-3</v>
      </c>
      <c r="BL288" s="766">
        <v>8.9999999999999993E-3</v>
      </c>
      <c r="BM288" s="766">
        <v>8.9999999999999993E-3</v>
      </c>
      <c r="BN288" s="417"/>
      <c r="BO288" s="766">
        <v>8.9999999999999993E-3</v>
      </c>
      <c r="BP288" s="766">
        <v>8.9999999999999993E-3</v>
      </c>
      <c r="BQ288" s="766">
        <v>8.9999999999999993E-3</v>
      </c>
      <c r="BR288" s="766">
        <v>8.9999999999999993E-3</v>
      </c>
      <c r="BS288" s="417"/>
      <c r="BT288" s="417"/>
      <c r="BU288" s="417"/>
      <c r="BV288" s="417"/>
      <c r="BW288" s="176"/>
    </row>
    <row r="289" spans="1:75" s="177" customFormat="1" ht="14.25" hidden="1" outlineLevel="1" x14ac:dyDescent="0.45">
      <c r="A289" s="170" t="s">
        <v>2333</v>
      </c>
      <c r="B289" s="660"/>
      <c r="C289" s="417"/>
      <c r="D289" s="417"/>
      <c r="E289" s="417"/>
      <c r="F289" s="417"/>
      <c r="G289" s="378"/>
      <c r="H289" s="378"/>
      <c r="I289" s="378"/>
      <c r="J289" s="378"/>
      <c r="K289" s="417"/>
      <c r="L289" s="378"/>
      <c r="M289" s="378"/>
      <c r="N289" s="378"/>
      <c r="O289" s="378"/>
      <c r="P289" s="417"/>
      <c r="Q289" s="378"/>
      <c r="R289" s="378"/>
      <c r="S289" s="378"/>
      <c r="T289" s="378"/>
      <c r="U289" s="417"/>
      <c r="V289" s="378"/>
      <c r="W289" s="378"/>
      <c r="X289" s="378"/>
      <c r="Y289" s="378"/>
      <c r="Z289" s="417"/>
      <c r="AA289" s="378"/>
      <c r="AB289" s="378"/>
      <c r="AC289" s="378"/>
      <c r="AD289" s="378"/>
      <c r="AE289" s="417"/>
      <c r="AF289" s="378"/>
      <c r="AG289" s="378"/>
      <c r="AH289" s="378"/>
      <c r="AI289" s="378"/>
      <c r="AJ289" s="417"/>
      <c r="AK289" s="378"/>
      <c r="AL289" s="378"/>
      <c r="AM289" s="378"/>
      <c r="AN289" s="378"/>
      <c r="AO289" s="417"/>
      <c r="AP289" s="378"/>
      <c r="AQ289" s="378"/>
      <c r="AR289" s="378"/>
      <c r="AS289" s="378"/>
      <c r="AT289" s="417"/>
      <c r="AU289" s="378"/>
      <c r="AV289" s="378"/>
      <c r="AW289" s="378"/>
      <c r="AX289" s="378"/>
      <c r="AY289" s="417"/>
      <c r="AZ289" s="378"/>
      <c r="BA289" s="378"/>
      <c r="BB289" s="378"/>
      <c r="BC289" s="378"/>
      <c r="BD289" s="417"/>
      <c r="BE289" s="378"/>
      <c r="BF289" s="378"/>
      <c r="BG289" s="378"/>
      <c r="BH289" s="378"/>
      <c r="BI289" s="417"/>
      <c r="BJ289" s="1130"/>
      <c r="BK289" s="378"/>
      <c r="BL289" s="378"/>
      <c r="BM289" s="378"/>
      <c r="BN289" s="417"/>
      <c r="BO289" s="378"/>
      <c r="BP289" s="378"/>
      <c r="BQ289" s="378"/>
      <c r="BR289" s="378"/>
      <c r="BS289" s="417"/>
      <c r="BT289" s="767">
        <v>3.5999999999999997E-2</v>
      </c>
      <c r="BU289" s="767">
        <v>3.5999999999999997E-2</v>
      </c>
      <c r="BV289" s="767">
        <v>3.5999999999999997E-2</v>
      </c>
      <c r="BW289" s="176"/>
    </row>
    <row r="290" spans="1:75" s="177" customFormat="1" ht="14.25" hidden="1" outlineLevel="2" x14ac:dyDescent="0.45">
      <c r="A290" s="170" t="s">
        <v>2334</v>
      </c>
      <c r="B290" s="660"/>
      <c r="C290" s="417"/>
      <c r="D290" s="417"/>
      <c r="E290" s="417"/>
      <c r="F290" s="417"/>
      <c r="G290" s="378"/>
      <c r="H290" s="378"/>
      <c r="I290" s="378"/>
      <c r="J290" s="378"/>
      <c r="K290" s="417"/>
      <c r="L290" s="378"/>
      <c r="M290" s="378"/>
      <c r="N290" s="378"/>
      <c r="O290" s="378"/>
      <c r="P290" s="417"/>
      <c r="Q290" s="378"/>
      <c r="R290" s="378"/>
      <c r="S290" s="378"/>
      <c r="T290" s="378"/>
      <c r="U290" s="417"/>
      <c r="V290" s="378"/>
      <c r="W290" s="378"/>
      <c r="X290" s="378"/>
      <c r="Y290" s="378"/>
      <c r="Z290" s="417"/>
      <c r="AA290" s="378"/>
      <c r="AB290" s="378"/>
      <c r="AC290" s="378"/>
      <c r="AD290" s="378"/>
      <c r="AE290" s="417"/>
      <c r="AF290" s="378"/>
      <c r="AG290" s="378"/>
      <c r="AH290" s="378"/>
      <c r="AI290" s="378"/>
      <c r="AJ290" s="417"/>
      <c r="AK290" s="378"/>
      <c r="AL290" s="378"/>
      <c r="AM290" s="378"/>
      <c r="AN290" s="378"/>
      <c r="AO290" s="417"/>
      <c r="AP290" s="378"/>
      <c r="AQ290" s="378"/>
      <c r="AR290" s="378"/>
      <c r="AS290" s="378"/>
      <c r="AT290" s="417"/>
      <c r="AU290" s="378"/>
      <c r="AV290" s="378"/>
      <c r="AW290" s="378"/>
      <c r="AX290" s="378"/>
      <c r="AY290" s="417"/>
      <c r="AZ290" s="378"/>
      <c r="BA290" s="378"/>
      <c r="BB290" s="378"/>
      <c r="BC290" s="378"/>
      <c r="BD290" s="417"/>
      <c r="BE290" s="378"/>
      <c r="BF290" s="378"/>
      <c r="BG290" s="378"/>
      <c r="BH290" s="378"/>
      <c r="BI290" s="417"/>
      <c r="BJ290" s="1130"/>
      <c r="BK290" s="378">
        <f ca="1">(BK712/(BK713/BK762)+BK390+BK407+BK424+BK441)/BJ287</f>
        <v>0</v>
      </c>
      <c r="BL290" s="378">
        <f ca="1">(BL712/(BL713/BL762)+BL390+BL407+BL424+BL441)/BK287</f>
        <v>0</v>
      </c>
      <c r="BM290" s="378">
        <f ca="1">(BM712/(BM713/BM762)+BM390+BM407+BM424+BM441)/BL287</f>
        <v>0</v>
      </c>
      <c r="BN290" s="417"/>
      <c r="BO290" s="378">
        <f ca="1">(BO712/(BO713/BO762)+BO390+BO407+BO424+BO441)/BN287</f>
        <v>0</v>
      </c>
      <c r="BP290" s="378">
        <f ca="1">(BP712/(BP713/BP762)+BP390+BP407+BP424+BP441)/BO287</f>
        <v>0</v>
      </c>
      <c r="BQ290" s="378">
        <f ca="1">(BQ712/(BQ713/BQ762)+BQ390+BQ407+BQ424+BQ441)/BP287</f>
        <v>0</v>
      </c>
      <c r="BR290" s="378">
        <f ca="1">(BR712/(BR713/BR762)+BR390+BR407+BR424+BR441)/BQ287</f>
        <v>0</v>
      </c>
      <c r="BS290" s="417"/>
      <c r="BT290" s="417"/>
      <c r="BU290" s="417"/>
      <c r="BV290" s="417"/>
      <c r="BW290" s="176"/>
    </row>
    <row r="291" spans="1:75" s="177" customFormat="1" ht="14.25" hidden="1" outlineLevel="2" x14ac:dyDescent="0.45">
      <c r="A291" s="170" t="s">
        <v>2335</v>
      </c>
      <c r="B291" s="660"/>
      <c r="C291" s="417"/>
      <c r="D291" s="417"/>
      <c r="E291" s="417"/>
      <c r="F291" s="417"/>
      <c r="G291" s="378"/>
      <c r="H291" s="378"/>
      <c r="I291" s="378"/>
      <c r="J291" s="378"/>
      <c r="K291" s="417"/>
      <c r="L291" s="378"/>
      <c r="M291" s="378"/>
      <c r="N291" s="378"/>
      <c r="O291" s="378"/>
      <c r="P291" s="417"/>
      <c r="Q291" s="378"/>
      <c r="R291" s="378"/>
      <c r="S291" s="378"/>
      <c r="T291" s="378"/>
      <c r="U291" s="417"/>
      <c r="V291" s="378"/>
      <c r="W291" s="378"/>
      <c r="X291" s="378"/>
      <c r="Y291" s="378"/>
      <c r="Z291" s="417"/>
      <c r="AA291" s="378"/>
      <c r="AB291" s="378"/>
      <c r="AC291" s="378"/>
      <c r="AD291" s="378"/>
      <c r="AE291" s="417"/>
      <c r="AF291" s="378"/>
      <c r="AG291" s="378"/>
      <c r="AH291" s="378"/>
      <c r="AI291" s="378"/>
      <c r="AJ291" s="417"/>
      <c r="AK291" s="378"/>
      <c r="AL291" s="378"/>
      <c r="AM291" s="378"/>
      <c r="AN291" s="378"/>
      <c r="AO291" s="417"/>
      <c r="AP291" s="378"/>
      <c r="AQ291" s="378"/>
      <c r="AR291" s="378"/>
      <c r="AS291" s="378"/>
      <c r="AT291" s="417"/>
      <c r="AU291" s="378"/>
      <c r="AV291" s="378"/>
      <c r="AW291" s="378"/>
      <c r="AX291" s="378"/>
      <c r="AY291" s="417"/>
      <c r="AZ291" s="378"/>
      <c r="BA291" s="378"/>
      <c r="BB291" s="378"/>
      <c r="BC291" s="378"/>
      <c r="BD291" s="417"/>
      <c r="BE291" s="378"/>
      <c r="BF291" s="378"/>
      <c r="BG291" s="378"/>
      <c r="BH291" s="378"/>
      <c r="BI291" s="417"/>
      <c r="BJ291" s="1130"/>
      <c r="BK291" s="378"/>
      <c r="BL291" s="378"/>
      <c r="BM291" s="378"/>
      <c r="BN291" s="417">
        <f ca="1">(BN712/(BN713/BN762)+BN390+BN407+BN424+BN441)/BI287</f>
        <v>0</v>
      </c>
      <c r="BO291" s="378"/>
      <c r="BP291" s="378"/>
      <c r="BQ291" s="378"/>
      <c r="BR291" s="378"/>
      <c r="BS291" s="417">
        <f ca="1">(BS712/(BS713/BS762)+BS390+BS407+BS424+BS441)/BN287</f>
        <v>0</v>
      </c>
      <c r="BT291" s="417">
        <f ca="1">(BT712/(BT713/BT762)+BT390+BT407+BT424+BT441)/BS287</f>
        <v>0</v>
      </c>
      <c r="BU291" s="417">
        <f ca="1">(BU712/(BU713/BU762)+BU390+BU407+BU424+BU441)/BT287</f>
        <v>0</v>
      </c>
      <c r="BV291" s="417">
        <f ca="1">(BV712/(BV713/BV762)+BV390+BV407+BV424+BV441)/BU287</f>
        <v>0</v>
      </c>
      <c r="BW291" s="176"/>
    </row>
    <row r="292" spans="1:75" hidden="1" outlineLevel="1" x14ac:dyDescent="0.5">
      <c r="A292" s="1501" t="s">
        <v>2336</v>
      </c>
      <c r="B292" s="1487"/>
      <c r="C292" s="1183"/>
      <c r="D292" s="1183"/>
      <c r="E292" s="1183"/>
      <c r="F292" s="1183"/>
      <c r="G292" s="1184"/>
      <c r="H292" s="1184"/>
      <c r="I292" s="1184"/>
      <c r="J292" s="1184"/>
      <c r="K292" s="1183"/>
      <c r="L292" s="1184"/>
      <c r="M292" s="1184"/>
      <c r="N292" s="1184"/>
      <c r="O292" s="1184"/>
      <c r="P292" s="1183"/>
      <c r="Q292" s="1184">
        <f>Q287/O287-1</f>
        <v>3.4371832024466809E-3</v>
      </c>
      <c r="R292" s="1184">
        <f>R287/Q287-1</f>
        <v>3.3439290933823251E-3</v>
      </c>
      <c r="S292" s="1184">
        <f>S287/R287-1</f>
        <v>3.4912855299364942E-3</v>
      </c>
      <c r="T292" s="1184">
        <f>T287/S287-1</f>
        <v>3.2285423395201907E-3</v>
      </c>
      <c r="U292" s="1183"/>
      <c r="V292" s="1184">
        <f>V287/T287-1</f>
        <v>3.7932744534896479E-3</v>
      </c>
      <c r="W292" s="1184">
        <f>W287/V287-1</f>
        <v>3.2490607151813844E-3</v>
      </c>
      <c r="X292" s="1184">
        <f>X287/W287-1</f>
        <v>5.8776111342406789E-3</v>
      </c>
      <c r="Y292" s="1184">
        <f>Y287/X287-1</f>
        <v>4.9911699746940652E-3</v>
      </c>
      <c r="Z292" s="1183"/>
      <c r="AA292" s="1184">
        <f>AA287/Y287-1</f>
        <v>7.1815050650643197E-3</v>
      </c>
      <c r="AB292" s="1184">
        <f>AB287/AA287-1</f>
        <v>6.747822942139825E-3</v>
      </c>
      <c r="AC292" s="1184">
        <f>AC287/AB287-1</f>
        <v>7.0718673496754647E-3</v>
      </c>
      <c r="AD292" s="1184">
        <f>AD287/AC287-1</f>
        <v>6.4180958490913653E-3</v>
      </c>
      <c r="AE292" s="1183"/>
      <c r="AF292" s="1184">
        <f>AF287/AD287-1</f>
        <v>7.3114177856334894E-3</v>
      </c>
      <c r="AG292" s="1184">
        <f>AG287/AF287-1</f>
        <v>7.0152522904545211E-3</v>
      </c>
      <c r="AH292" s="1184">
        <f>AH287/AG287-1</f>
        <v>7.2607591213238454E-3</v>
      </c>
      <c r="AI292" s="1184">
        <f>AI287/AH287-1</f>
        <v>6.8907893279823718E-3</v>
      </c>
      <c r="AJ292" s="1183"/>
      <c r="AK292" s="1184">
        <f>AK287/AI287-1</f>
        <v>7.205800731905132E-3</v>
      </c>
      <c r="AL292" s="1184">
        <f>AL287/AK287-1</f>
        <v>7.6219762364491128E-3</v>
      </c>
      <c r="AM292" s="1184">
        <f>AM287/AL287-1</f>
        <v>8.4288987687830552E-3</v>
      </c>
      <c r="AN292" s="1184">
        <f>AN287/AM287-1</f>
        <v>7.8168763723771573E-3</v>
      </c>
      <c r="AO292" s="1183"/>
      <c r="AP292" s="1184">
        <f>AP287/AN287-1</f>
        <v>8.1424415739304035E-3</v>
      </c>
      <c r="AQ292" s="1184">
        <f>AQ287/AP287-1</f>
        <v>7.4441598989225533E-3</v>
      </c>
      <c r="AR292" s="1184">
        <f>AR287/AQ287-1</f>
        <v>5.5926569493307543E-3</v>
      </c>
      <c r="AS292" s="1184">
        <f>AS287/AR287-1</f>
        <v>4.1298987397867526E-2</v>
      </c>
      <c r="AT292" s="1183"/>
      <c r="AU292" s="1184">
        <f>AU287/AS287-1</f>
        <v>4.2348281562365919E-2</v>
      </c>
      <c r="AV292" s="1184">
        <f>AV287/AU287-1</f>
        <v>-1.7668322997457242E-3</v>
      </c>
      <c r="AW292" s="1184">
        <f>AW287/AV287-1</f>
        <v>6.3098404765655758E-3</v>
      </c>
      <c r="AX292" s="1184">
        <f>AX287/AW287-1</f>
        <v>5.8735111687415742E-3</v>
      </c>
      <c r="AY292" s="1183"/>
      <c r="AZ292" s="1184">
        <f>AZ287/AX287-1</f>
        <v>6.0445792800933873E-4</v>
      </c>
      <c r="BA292" s="1184">
        <f>BA287/AZ287-1</f>
        <v>6.0645107946135646E-3</v>
      </c>
      <c r="BB292" s="1184">
        <f>BB287/BA287-1</f>
        <v>8.7326713395177169E-3</v>
      </c>
      <c r="BC292" s="1184">
        <f>BC287/BB287-1</f>
        <v>2.0019153715153282E-2</v>
      </c>
      <c r="BD292" s="1183"/>
      <c r="BE292" s="1184">
        <f>BE287/BC287-1</f>
        <v>2.4333345896803804E-2</v>
      </c>
      <c r="BF292" s="1184">
        <f>BF287/BE287-1</f>
        <v>1.2342096650736822E-2</v>
      </c>
      <c r="BG292" s="1184">
        <f>BG287/BF287-1</f>
        <v>3.1703848051603423E-2</v>
      </c>
      <c r="BH292" s="1184">
        <f>BH287/BG287-1</f>
        <v>1.6939229817776402E-2</v>
      </c>
      <c r="BI292" s="1183"/>
      <c r="BJ292" s="1187">
        <f>BJ287/BH287-1</f>
        <v>1.9292933151270342E-2</v>
      </c>
      <c r="BK292" s="1184">
        <f ca="1">BK287/BJ287-1</f>
        <v>8.999999999999897E-3</v>
      </c>
      <c r="BL292" s="1184">
        <f ca="1">BL287/BK287-1</f>
        <v>8.999999999999897E-3</v>
      </c>
      <c r="BM292" s="1184">
        <f ca="1">BM287/BL287-1</f>
        <v>8.999999999999897E-3</v>
      </c>
      <c r="BN292" s="1183"/>
      <c r="BO292" s="1184">
        <f ca="1">BO287/BM287-1</f>
        <v>8.999999999999897E-3</v>
      </c>
      <c r="BP292" s="1184">
        <f ca="1">BP287/BO287-1</f>
        <v>8.999999999999897E-3</v>
      </c>
      <c r="BQ292" s="1184">
        <f ca="1">BQ287/BP287-1</f>
        <v>8.999999999999897E-3</v>
      </c>
      <c r="BR292" s="1184">
        <f ca="1">BR287/BQ287-1</f>
        <v>8.999999999999897E-3</v>
      </c>
      <c r="BS292" s="1183"/>
      <c r="BT292" s="1183"/>
      <c r="BU292" s="1183"/>
      <c r="BV292" s="1183"/>
      <c r="BW292" s="122"/>
    </row>
    <row r="293" spans="1:75" hidden="1" outlineLevel="1" x14ac:dyDescent="0.5">
      <c r="A293" s="1502" t="s">
        <v>2337</v>
      </c>
      <c r="B293" s="720"/>
      <c r="C293" s="417"/>
      <c r="D293" s="417"/>
      <c r="E293" s="417"/>
      <c r="F293" s="417"/>
      <c r="G293" s="378"/>
      <c r="H293" s="378"/>
      <c r="I293" s="378"/>
      <c r="J293" s="378"/>
      <c r="K293" s="417"/>
      <c r="L293" s="378"/>
      <c r="M293" s="378"/>
      <c r="N293" s="378"/>
      <c r="O293" s="378"/>
      <c r="P293" s="417"/>
      <c r="Q293" s="378"/>
      <c r="R293" s="378"/>
      <c r="S293" s="378"/>
      <c r="T293" s="378">
        <f t="shared" ref="T293:BS293" si="262">T287/O287-1</f>
        <v>1.3569427333050443E-2</v>
      </c>
      <c r="U293" s="417">
        <f t="shared" si="262"/>
        <v>1.3569427333050443E-2</v>
      </c>
      <c r="V293" s="378">
        <f t="shared" si="262"/>
        <v>1.3929114228692585E-2</v>
      </c>
      <c r="W293" s="378">
        <f t="shared" si="262"/>
        <v>1.3833244997924599E-2</v>
      </c>
      <c r="X293" s="378">
        <f t="shared" si="262"/>
        <v>1.6244164022254592E-2</v>
      </c>
      <c r="Y293" s="378">
        <f t="shared" si="262"/>
        <v>1.8029659522026398E-2</v>
      </c>
      <c r="Z293" s="417">
        <f t="shared" si="262"/>
        <v>1.8029659522026398E-2</v>
      </c>
      <c r="AA293" s="378">
        <f t="shared" si="262"/>
        <v>2.1465944007755144E-2</v>
      </c>
      <c r="AB293" s="378">
        <f t="shared" si="262"/>
        <v>2.5028236364621481E-2</v>
      </c>
      <c r="AC293" s="378">
        <f t="shared" si="262"/>
        <v>2.6245229693356853E-2</v>
      </c>
      <c r="AD293" s="378">
        <f t="shared" si="262"/>
        <v>2.7702332915231942E-2</v>
      </c>
      <c r="AE293" s="417">
        <f t="shared" si="262"/>
        <v>2.7702332915231942E-2</v>
      </c>
      <c r="AF293" s="378">
        <f t="shared" si="262"/>
        <v>2.7834892543594059E-2</v>
      </c>
      <c r="AG293" s="378">
        <f t="shared" si="262"/>
        <v>2.8107923395237266E-2</v>
      </c>
      <c r="AH293" s="378">
        <f t="shared" si="262"/>
        <v>2.8300760801774016E-2</v>
      </c>
      <c r="AI293" s="378">
        <f t="shared" si="262"/>
        <v>2.8783732109597837E-2</v>
      </c>
      <c r="AJ293" s="417">
        <f t="shared" si="262"/>
        <v>2.8783732109597837E-2</v>
      </c>
      <c r="AK293" s="378">
        <f t="shared" si="262"/>
        <v>2.8675863674086477E-2</v>
      </c>
      <c r="AL293" s="378">
        <f t="shared" si="262"/>
        <v>2.9295638079427588E-2</v>
      </c>
      <c r="AM293" s="378">
        <f t="shared" si="262"/>
        <v>3.0489331999209002E-2</v>
      </c>
      <c r="AN293" s="378">
        <f t="shared" si="262"/>
        <v>3.1437123785434729E-2</v>
      </c>
      <c r="AO293" s="417">
        <f t="shared" si="262"/>
        <v>3.1437123785434729E-2</v>
      </c>
      <c r="AP293" s="378">
        <f t="shared" si="262"/>
        <v>3.2396298301126114E-2</v>
      </c>
      <c r="AQ293" s="378">
        <f t="shared" si="262"/>
        <v>3.2214110007332097E-2</v>
      </c>
      <c r="AR293" s="378">
        <f t="shared" si="262"/>
        <v>2.9310971442971123E-2</v>
      </c>
      <c r="AS293" s="378">
        <f t="shared" si="262"/>
        <v>6.3507168225922506E-2</v>
      </c>
      <c r="AT293" s="417">
        <f t="shared" si="262"/>
        <v>6.3507168225922506E-2</v>
      </c>
      <c r="AU293" s="378">
        <f t="shared" si="262"/>
        <v>9.9591509607380058E-2</v>
      </c>
      <c r="AV293" s="378">
        <f t="shared" si="262"/>
        <v>8.9538020570596455E-2</v>
      </c>
      <c r="AW293" s="378">
        <f t="shared" si="262"/>
        <v>9.0315073500775833E-2</v>
      </c>
      <c r="AX293" s="378">
        <f t="shared" si="262"/>
        <v>5.3222047207645007E-2</v>
      </c>
      <c r="AY293" s="417">
        <f t="shared" si="262"/>
        <v>5.3222047207645007E-2</v>
      </c>
      <c r="AZ293" s="378">
        <f t="shared" si="262"/>
        <v>1.1042752470810768E-2</v>
      </c>
      <c r="BA293" s="378">
        <f t="shared" si="262"/>
        <v>1.8974589374112005E-2</v>
      </c>
      <c r="BB293" s="378">
        <f t="shared" si="262"/>
        <v>2.1427912381000835E-2</v>
      </c>
      <c r="BC293" s="378">
        <f t="shared" si="262"/>
        <v>3.5792297142143381E-2</v>
      </c>
      <c r="BD293" s="417">
        <f t="shared" si="262"/>
        <v>3.5792297142143381E-2</v>
      </c>
      <c r="BE293" s="378">
        <f t="shared" si="262"/>
        <v>6.0355649007196144E-2</v>
      </c>
      <c r="BF293" s="378">
        <f t="shared" si="262"/>
        <v>6.6971997713712428E-2</v>
      </c>
      <c r="BG293" s="378">
        <f t="shared" si="262"/>
        <v>9.1269418628791898E-2</v>
      </c>
      <c r="BH293" s="378">
        <f t="shared" si="262"/>
        <v>8.7974356228571526E-2</v>
      </c>
      <c r="BI293" s="417">
        <f t="shared" si="262"/>
        <v>8.7974356228571526E-2</v>
      </c>
      <c r="BJ293" s="1130">
        <f>BJ287/BE287-1</f>
        <v>8.2620786676321112E-2</v>
      </c>
      <c r="BK293" s="378">
        <f t="shared" ca="1" si="262"/>
        <v>7.9046675397989707E-2</v>
      </c>
      <c r="BL293" s="378">
        <f t="shared" ca="1" si="262"/>
        <v>5.5300993141313093E-2</v>
      </c>
      <c r="BM293" s="378">
        <f t="shared" ca="1" si="262"/>
        <v>4.7062273593658333E-2</v>
      </c>
      <c r="BN293" s="417">
        <f t="shared" ca="1" si="262"/>
        <v>4.7062273593658333E-2</v>
      </c>
      <c r="BO293" s="378">
        <f t="shared" ca="1" si="262"/>
        <v>3.6488922560999448E-2</v>
      </c>
      <c r="BP293" s="378">
        <f t="shared" ca="1" si="262"/>
        <v>3.648892256099967E-2</v>
      </c>
      <c r="BQ293" s="378">
        <f t="shared" ca="1" si="262"/>
        <v>3.6488922560999448E-2</v>
      </c>
      <c r="BR293" s="378">
        <f t="shared" ca="1" si="262"/>
        <v>3.648892256099967E-2</v>
      </c>
      <c r="BS293" s="417">
        <f t="shared" ca="1" si="262"/>
        <v>3.648892256099967E-2</v>
      </c>
      <c r="BT293" s="417">
        <f ca="1">BT287/BS287-1</f>
        <v>3.6000000000000032E-2</v>
      </c>
      <c r="BU293" s="417">
        <f ca="1">BU287/BT287-1</f>
        <v>3.6000000000000032E-2</v>
      </c>
      <c r="BV293" s="417">
        <f ca="1">BV287/BU287-1</f>
        <v>3.6000000000000032E-2</v>
      </c>
      <c r="BW293" s="122"/>
    </row>
    <row r="294" spans="1:75" hidden="1" outlineLevel="2" x14ac:dyDescent="0.5">
      <c r="A294" s="1502"/>
      <c r="B294" s="720"/>
      <c r="C294" s="417"/>
      <c r="D294" s="417"/>
      <c r="E294" s="417"/>
      <c r="F294" s="417"/>
      <c r="G294" s="378"/>
      <c r="H294" s="378"/>
      <c r="I294" s="378"/>
      <c r="J294" s="378"/>
      <c r="K294" s="417"/>
      <c r="L294" s="378"/>
      <c r="M294" s="378"/>
      <c r="N294" s="378"/>
      <c r="O294" s="378"/>
      <c r="P294" s="417"/>
      <c r="Q294" s="378"/>
      <c r="R294" s="378"/>
      <c r="S294" s="378"/>
      <c r="T294" s="378"/>
      <c r="U294" s="417"/>
      <c r="V294" s="378"/>
      <c r="W294" s="378"/>
      <c r="X294" s="378"/>
      <c r="Y294" s="378"/>
      <c r="Z294" s="417"/>
      <c r="AA294" s="378"/>
      <c r="AB294" s="378"/>
      <c r="AC294" s="378"/>
      <c r="AD294" s="378"/>
      <c r="AE294" s="417"/>
      <c r="AF294" s="378"/>
      <c r="AG294" s="378"/>
      <c r="AH294" s="378"/>
      <c r="AI294" s="378"/>
      <c r="AJ294" s="417"/>
      <c r="AK294" s="378"/>
      <c r="AL294" s="378"/>
      <c r="AM294" s="378"/>
      <c r="AN294" s="378"/>
      <c r="AO294" s="417"/>
      <c r="AP294" s="378"/>
      <c r="AQ294" s="378"/>
      <c r="AR294" s="378"/>
      <c r="AS294" s="378"/>
      <c r="AT294" s="417"/>
      <c r="AU294" s="378"/>
      <c r="AV294" s="378"/>
      <c r="AW294" s="378"/>
      <c r="AX294" s="378"/>
      <c r="AY294" s="417"/>
      <c r="AZ294" s="378"/>
      <c r="BA294" s="378"/>
      <c r="BB294" s="378"/>
      <c r="BC294" s="378"/>
      <c r="BD294" s="417"/>
      <c r="BE294" s="378"/>
      <c r="BF294" s="378"/>
      <c r="BG294" s="378"/>
      <c r="BH294" s="378"/>
      <c r="BI294" s="417"/>
      <c r="BJ294" s="1130"/>
      <c r="BK294" s="378"/>
      <c r="BL294" s="378"/>
      <c r="BM294" s="378"/>
      <c r="BN294" s="417"/>
      <c r="BO294" s="378"/>
      <c r="BP294" s="378"/>
      <c r="BQ294" s="378"/>
      <c r="BR294" s="378"/>
      <c r="BS294" s="417"/>
      <c r="BT294" s="417"/>
      <c r="BU294" s="417"/>
      <c r="BV294" s="417"/>
      <c r="BW294" s="122"/>
    </row>
    <row r="295" spans="1:75" hidden="1" outlineLevel="2" x14ac:dyDescent="0.5">
      <c r="A295" s="184" t="s">
        <v>2338</v>
      </c>
      <c r="B295" s="513"/>
      <c r="C295" s="401"/>
      <c r="D295" s="401"/>
      <c r="E295" s="401"/>
      <c r="F295" s="401"/>
      <c r="G295" s="118"/>
      <c r="H295" s="118"/>
      <c r="I295" s="118"/>
      <c r="J295" s="118"/>
      <c r="K295" s="401"/>
      <c r="L295" s="118"/>
      <c r="M295" s="118"/>
      <c r="N295" s="302">
        <v>12.65</v>
      </c>
      <c r="O295" s="118">
        <f>P295</f>
        <v>37.199840999999999</v>
      </c>
      <c r="P295" s="403">
        <v>37.199840999999999</v>
      </c>
      <c r="Q295" s="302">
        <v>42.403967000000002</v>
      </c>
      <c r="R295" s="302">
        <v>43.277467999999999</v>
      </c>
      <c r="S295" s="302">
        <v>44.505054000000001</v>
      </c>
      <c r="T295" s="118">
        <f>U295</f>
        <v>46.159314000000002</v>
      </c>
      <c r="U295" s="403">
        <v>46.159314000000002</v>
      </c>
      <c r="V295" s="302">
        <v>47.291156000000001</v>
      </c>
      <c r="W295" s="302">
        <v>48.191578</v>
      </c>
      <c r="X295" s="302">
        <v>49.450946000000002</v>
      </c>
      <c r="Y295" s="118">
        <f>Z295</f>
        <v>50.338973000000003</v>
      </c>
      <c r="Z295" s="403">
        <v>50.338973000000003</v>
      </c>
      <c r="AA295" s="302">
        <v>51.717925000000001</v>
      </c>
      <c r="AB295" s="302">
        <v>54.778243000000003</v>
      </c>
      <c r="AC295" s="302">
        <v>56.541837999999998</v>
      </c>
      <c r="AD295" s="118">
        <f>AE295</f>
        <v>57.762425</v>
      </c>
      <c r="AE295" s="403">
        <v>57.762425</v>
      </c>
      <c r="AF295" s="302">
        <v>58.485849000000002</v>
      </c>
      <c r="AG295" s="302">
        <v>59.660800000000002</v>
      </c>
      <c r="AH295" s="302">
        <v>61.804107999999999</v>
      </c>
      <c r="AI295" s="118">
        <f>AJ295</f>
        <v>63.032846999999997</v>
      </c>
      <c r="AJ295" s="403">
        <v>63.032846999999997</v>
      </c>
      <c r="AK295" s="302">
        <v>64.071179000000001</v>
      </c>
      <c r="AL295" s="302">
        <v>64.830063999999993</v>
      </c>
      <c r="AM295" s="302">
        <v>65.758215000000007</v>
      </c>
      <c r="AN295" s="118">
        <f>AO295</f>
        <v>67.164349999999999</v>
      </c>
      <c r="AO295" s="403">
        <v>67.164349999999999</v>
      </c>
      <c r="AP295" s="302">
        <v>67.677564000000004</v>
      </c>
      <c r="AQ295" s="302">
        <v>68.434295000000006</v>
      </c>
      <c r="AR295" s="302">
        <v>72.811806000000004</v>
      </c>
      <c r="AS295" s="118">
        <f>AT295</f>
        <v>77.016878000000005</v>
      </c>
      <c r="AT295" s="403">
        <v>77.016878000000005</v>
      </c>
      <c r="AU295" s="302">
        <v>77.635388000000006</v>
      </c>
      <c r="AV295" s="302">
        <v>77.336571000000006</v>
      </c>
      <c r="AW295" s="302">
        <v>77.980692000000005</v>
      </c>
      <c r="AX295" s="118">
        <f>AY295</f>
        <v>79.395944</v>
      </c>
      <c r="AY295" s="403">
        <v>79.395944</v>
      </c>
      <c r="AZ295" s="302">
        <v>79.555513000000005</v>
      </c>
      <c r="BA295" s="302">
        <v>80.508439999999993</v>
      </c>
      <c r="BB295" s="302">
        <v>81.430576000000002</v>
      </c>
      <c r="BC295" s="118">
        <f>+BD295</f>
        <v>84.84469</v>
      </c>
      <c r="BD295" s="403">
        <v>84.84469</v>
      </c>
      <c r="BE295" s="302">
        <v>86.600065000000001</v>
      </c>
      <c r="BF295" s="302">
        <v>90.261279999999999</v>
      </c>
      <c r="BG295" s="302">
        <v>92.255916999999997</v>
      </c>
      <c r="BH295" s="118">
        <f>+BI295</f>
        <v>94.668636000000006</v>
      </c>
      <c r="BI295" s="403">
        <v>94.668636000000006</v>
      </c>
      <c r="BJ295" s="1207">
        <v>96.239069999999998</v>
      </c>
      <c r="BK295" s="118"/>
      <c r="BL295" s="118"/>
      <c r="BM295" s="118"/>
      <c r="BN295" s="401"/>
      <c r="BO295" s="118"/>
      <c r="BP295" s="118"/>
      <c r="BQ295" s="118"/>
      <c r="BR295" s="118"/>
      <c r="BS295" s="401"/>
      <c r="BT295" s="401"/>
      <c r="BU295" s="401"/>
      <c r="BV295" s="401"/>
      <c r="BW295" s="122"/>
    </row>
    <row r="296" spans="1:75" hidden="1" outlineLevel="2" x14ac:dyDescent="0.5">
      <c r="A296" s="445" t="s">
        <v>2339</v>
      </c>
      <c r="B296" s="677"/>
      <c r="C296" s="406"/>
      <c r="D296" s="406"/>
      <c r="E296" s="406"/>
      <c r="F296" s="406"/>
      <c r="G296" s="723"/>
      <c r="H296" s="723"/>
      <c r="I296" s="723"/>
      <c r="J296" s="723"/>
      <c r="K296" s="406"/>
      <c r="L296" s="723"/>
      <c r="M296" s="723"/>
      <c r="N296" s="357">
        <v>70.265213000000003</v>
      </c>
      <c r="O296" s="723">
        <f>P296</f>
        <v>46.192680000000003</v>
      </c>
      <c r="P296" s="408">
        <v>46.192680000000003</v>
      </c>
      <c r="Q296" s="357">
        <v>41.126255</v>
      </c>
      <c r="R296" s="357">
        <v>40.531920999999997</v>
      </c>
      <c r="S296" s="357">
        <v>39.621692000000003</v>
      </c>
      <c r="T296" s="723">
        <f>U296</f>
        <v>38.221409999999999</v>
      </c>
      <c r="U296" s="408">
        <v>38.221409999999999</v>
      </c>
      <c r="V296" s="357">
        <v>37.423591000000002</v>
      </c>
      <c r="W296" s="357">
        <v>36.803485999999999</v>
      </c>
      <c r="X296" s="357">
        <v>36.091180999999999</v>
      </c>
      <c r="Y296" s="723">
        <f>Z296</f>
        <v>35.617581000000001</v>
      </c>
      <c r="Z296" s="408">
        <v>35.617581000000001</v>
      </c>
      <c r="AA296" s="357">
        <v>34.909162999999999</v>
      </c>
      <c r="AB296" s="357">
        <v>32.396375999999997</v>
      </c>
      <c r="AC296" s="357">
        <v>31.289628</v>
      </c>
      <c r="AD296" s="723">
        <f>AE296</f>
        <v>30.741306000000002</v>
      </c>
      <c r="AE296" s="408">
        <v>30.741306000000002</v>
      </c>
      <c r="AF296" s="357">
        <v>30.579626000000001</v>
      </c>
      <c r="AG296" s="357">
        <v>30.015792000000001</v>
      </c>
      <c r="AH296" s="357">
        <v>28.539197999999999</v>
      </c>
      <c r="AI296" s="723">
        <f>AJ296</f>
        <v>28.070781</v>
      </c>
      <c r="AJ296" s="408">
        <v>28.070781</v>
      </c>
      <c r="AK296" s="357">
        <v>27.568791000000001</v>
      </c>
      <c r="AL296" s="357">
        <v>27.507532000000001</v>
      </c>
      <c r="AM296" s="357">
        <v>27.372385000000001</v>
      </c>
      <c r="AN296" s="723">
        <f>AO296</f>
        <v>26.958041000000001</v>
      </c>
      <c r="AO296" s="408">
        <v>26.958041000000001</v>
      </c>
      <c r="AP296" s="357">
        <v>26.957041</v>
      </c>
      <c r="AQ296" s="357">
        <v>26.956734000000001</v>
      </c>
      <c r="AR296" s="357">
        <v>26.636234000000002</v>
      </c>
      <c r="AS296" s="723">
        <f>AT296</f>
        <v>26.564197</v>
      </c>
      <c r="AT296" s="408">
        <v>26.564197</v>
      </c>
      <c r="AU296" s="357">
        <v>26.563908999999999</v>
      </c>
      <c r="AV296" s="357">
        <v>26.563761</v>
      </c>
      <c r="AW296" s="357">
        <v>26.563761</v>
      </c>
      <c r="AX296" s="723">
        <f>AY296</f>
        <v>25.691728999999999</v>
      </c>
      <c r="AY296" s="408">
        <v>25.691728999999999</v>
      </c>
      <c r="AZ296" s="357">
        <v>25.691396999999998</v>
      </c>
      <c r="BA296" s="357">
        <v>25.691396999999998</v>
      </c>
      <c r="BB296" s="357">
        <v>25.691396999999998</v>
      </c>
      <c r="BC296" s="723">
        <f>+BD296</f>
        <v>25.691351999999998</v>
      </c>
      <c r="BD296" s="408">
        <v>25.691351999999998</v>
      </c>
      <c r="BE296" s="357">
        <v>25.691351999999998</v>
      </c>
      <c r="BF296" s="357">
        <v>25.691323000000001</v>
      </c>
      <c r="BG296" s="357">
        <v>25.691295</v>
      </c>
      <c r="BH296" s="723">
        <f>+BI296</f>
        <v>25.691295</v>
      </c>
      <c r="BI296" s="408">
        <v>25.691295</v>
      </c>
      <c r="BJ296" s="1208">
        <v>25.691295</v>
      </c>
      <c r="BK296" s="723"/>
      <c r="BL296" s="723"/>
      <c r="BM296" s="723"/>
      <c r="BN296" s="406"/>
      <c r="BO296" s="723"/>
      <c r="BP296" s="723"/>
      <c r="BQ296" s="723"/>
      <c r="BR296" s="723"/>
      <c r="BS296" s="406"/>
      <c r="BT296" s="406"/>
      <c r="BU296" s="406"/>
      <c r="BV296" s="406"/>
      <c r="BW296" s="122"/>
    </row>
    <row r="297" spans="1:75" hidden="1" outlineLevel="1" x14ac:dyDescent="0.5">
      <c r="A297" s="752" t="s">
        <v>2340</v>
      </c>
      <c r="B297" s="513"/>
      <c r="C297" s="401"/>
      <c r="D297" s="401"/>
      <c r="E297" s="401"/>
      <c r="F297" s="401"/>
      <c r="G297" s="118"/>
      <c r="H297" s="118"/>
      <c r="I297" s="118"/>
      <c r="J297" s="118"/>
      <c r="K297" s="401"/>
      <c r="L297" s="118"/>
      <c r="M297" s="118"/>
      <c r="N297" s="118">
        <f t="shared" ref="N297:BI297" si="263">SUM(N295:N296)</f>
        <v>82.915213000000008</v>
      </c>
      <c r="O297" s="118">
        <f t="shared" si="263"/>
        <v>83.392521000000002</v>
      </c>
      <c r="P297" s="401">
        <f t="shared" si="263"/>
        <v>83.392521000000002</v>
      </c>
      <c r="Q297" s="118">
        <f t="shared" si="263"/>
        <v>83.530222000000009</v>
      </c>
      <c r="R297" s="118">
        <f t="shared" si="263"/>
        <v>83.809388999999996</v>
      </c>
      <c r="S297" s="118">
        <f t="shared" si="263"/>
        <v>84.126745999999997</v>
      </c>
      <c r="T297" s="118">
        <f t="shared" si="263"/>
        <v>84.380724000000001</v>
      </c>
      <c r="U297" s="401">
        <f t="shared" si="263"/>
        <v>84.380724000000001</v>
      </c>
      <c r="V297" s="118">
        <f t="shared" si="263"/>
        <v>84.714747000000003</v>
      </c>
      <c r="W297" s="118">
        <f t="shared" si="263"/>
        <v>84.995063999999999</v>
      </c>
      <c r="X297" s="118">
        <f t="shared" si="263"/>
        <v>85.542126999999994</v>
      </c>
      <c r="Y297" s="118">
        <f t="shared" si="263"/>
        <v>85.956554000000011</v>
      </c>
      <c r="Z297" s="401">
        <f t="shared" si="263"/>
        <v>85.956554000000011</v>
      </c>
      <c r="AA297" s="118">
        <f t="shared" si="263"/>
        <v>86.627088000000001</v>
      </c>
      <c r="AB297" s="118">
        <f t="shared" si="263"/>
        <v>87.174619000000007</v>
      </c>
      <c r="AC297" s="118">
        <f t="shared" si="263"/>
        <v>87.831466000000006</v>
      </c>
      <c r="AD297" s="118">
        <f t="shared" si="263"/>
        <v>88.503731000000002</v>
      </c>
      <c r="AE297" s="401">
        <f t="shared" si="263"/>
        <v>88.503731000000002</v>
      </c>
      <c r="AF297" s="118">
        <f t="shared" si="263"/>
        <v>89.065475000000006</v>
      </c>
      <c r="AG297" s="118">
        <f t="shared" si="263"/>
        <v>89.676591999999999</v>
      </c>
      <c r="AH297" s="118">
        <f t="shared" si="263"/>
        <v>90.343305999999998</v>
      </c>
      <c r="AI297" s="118">
        <f t="shared" si="263"/>
        <v>91.103628</v>
      </c>
      <c r="AJ297" s="401">
        <f t="shared" si="263"/>
        <v>91.103628</v>
      </c>
      <c r="AK297" s="118">
        <f t="shared" si="263"/>
        <v>91.639970000000005</v>
      </c>
      <c r="AL297" s="118">
        <f t="shared" si="263"/>
        <v>92.337595999999991</v>
      </c>
      <c r="AM297" s="118">
        <f t="shared" si="263"/>
        <v>93.130600000000015</v>
      </c>
      <c r="AN297" s="118">
        <f t="shared" si="263"/>
        <v>94.122390999999993</v>
      </c>
      <c r="AO297" s="401">
        <f t="shared" si="263"/>
        <v>94.122390999999993</v>
      </c>
      <c r="AP297" s="118">
        <f t="shared" si="263"/>
        <v>94.634605000000008</v>
      </c>
      <c r="AQ297" s="118">
        <f t="shared" si="263"/>
        <v>95.391029000000003</v>
      </c>
      <c r="AR297" s="118">
        <f t="shared" si="263"/>
        <v>99.448040000000006</v>
      </c>
      <c r="AS297" s="118">
        <f t="shared" si="263"/>
        <v>103.581075</v>
      </c>
      <c r="AT297" s="401">
        <f t="shared" si="263"/>
        <v>103.581075</v>
      </c>
      <c r="AU297" s="118">
        <f t="shared" si="263"/>
        <v>104.199297</v>
      </c>
      <c r="AV297" s="118">
        <f t="shared" si="263"/>
        <v>103.90033200000001</v>
      </c>
      <c r="AW297" s="118">
        <f t="shared" si="263"/>
        <v>104.544453</v>
      </c>
      <c r="AX297" s="118">
        <f t="shared" si="263"/>
        <v>105.087673</v>
      </c>
      <c r="AY297" s="401">
        <f t="shared" si="263"/>
        <v>105.087673</v>
      </c>
      <c r="AZ297" s="118">
        <f t="shared" si="263"/>
        <v>105.24691</v>
      </c>
      <c r="BA297" s="118">
        <f t="shared" si="263"/>
        <v>106.19983699999999</v>
      </c>
      <c r="BB297" s="118">
        <f t="shared" si="263"/>
        <v>107.121973</v>
      </c>
      <c r="BC297" s="118">
        <f t="shared" si="263"/>
        <v>110.53604199999999</v>
      </c>
      <c r="BD297" s="401">
        <f t="shared" si="263"/>
        <v>110.53604199999999</v>
      </c>
      <c r="BE297" s="118">
        <f t="shared" si="263"/>
        <v>112.291417</v>
      </c>
      <c r="BF297" s="118">
        <f t="shared" si="263"/>
        <v>115.952603</v>
      </c>
      <c r="BG297" s="118">
        <f t="shared" si="263"/>
        <v>117.94721199999999</v>
      </c>
      <c r="BH297" s="118">
        <f t="shared" si="263"/>
        <v>120.359931</v>
      </c>
      <c r="BI297" s="401">
        <f t="shared" si="263"/>
        <v>120.359931</v>
      </c>
      <c r="BJ297" s="971">
        <f t="shared" ref="BJ297" si="264">SUM(BJ295:BJ296)</f>
        <v>121.93036499999999</v>
      </c>
      <c r="BK297" s="118"/>
      <c r="BL297" s="118"/>
      <c r="BM297" s="118"/>
      <c r="BN297" s="401"/>
      <c r="BO297" s="118"/>
      <c r="BP297" s="118"/>
      <c r="BQ297" s="118"/>
      <c r="BR297" s="118"/>
      <c r="BS297" s="401"/>
      <c r="BT297" s="401"/>
      <c r="BU297" s="401"/>
      <c r="BV297" s="401"/>
      <c r="BW297" s="122"/>
    </row>
    <row r="298" spans="1:75" hidden="1" outlineLevel="1" x14ac:dyDescent="0.5">
      <c r="A298" s="588" t="s">
        <v>1244</v>
      </c>
      <c r="B298" s="513"/>
      <c r="C298" s="779"/>
      <c r="D298" s="779"/>
      <c r="E298" s="779"/>
      <c r="F298" s="779"/>
      <c r="G298" s="780"/>
      <c r="H298" s="780"/>
      <c r="I298" s="780"/>
      <c r="J298" s="780"/>
      <c r="K298" s="779"/>
      <c r="L298" s="780"/>
      <c r="M298" s="780"/>
      <c r="N298" s="819">
        <v>41919</v>
      </c>
      <c r="O298" s="780">
        <f>P298</f>
        <v>42063</v>
      </c>
      <c r="P298" s="818">
        <v>42063</v>
      </c>
      <c r="Q298" s="819">
        <v>42124</v>
      </c>
      <c r="R298" s="819">
        <v>42216</v>
      </c>
      <c r="S298" s="819">
        <v>42308</v>
      </c>
      <c r="T298" s="780">
        <f>U298</f>
        <v>42400</v>
      </c>
      <c r="U298" s="818">
        <v>42400</v>
      </c>
      <c r="V298" s="819">
        <v>42490</v>
      </c>
      <c r="W298" s="819">
        <v>42582</v>
      </c>
      <c r="X298" s="819">
        <v>42674</v>
      </c>
      <c r="Y298" s="780">
        <f>Z298</f>
        <v>42766</v>
      </c>
      <c r="Z298" s="818">
        <v>42766</v>
      </c>
      <c r="AA298" s="819">
        <v>42855</v>
      </c>
      <c r="AB298" s="819">
        <v>42947</v>
      </c>
      <c r="AC298" s="819">
        <v>43034</v>
      </c>
      <c r="AD298" s="780">
        <f>AE298</f>
        <v>43147</v>
      </c>
      <c r="AE298" s="818">
        <v>43147</v>
      </c>
      <c r="AF298" s="819">
        <v>43215</v>
      </c>
      <c r="AG298" s="819">
        <v>43306</v>
      </c>
      <c r="AH298" s="819">
        <v>43397</v>
      </c>
      <c r="AI298" s="780">
        <f>AJ298</f>
        <v>43514</v>
      </c>
      <c r="AJ298" s="818">
        <v>43514</v>
      </c>
      <c r="AK298" s="819">
        <v>43580</v>
      </c>
      <c r="AL298" s="819">
        <v>43670</v>
      </c>
      <c r="AM298" s="819">
        <v>43761</v>
      </c>
      <c r="AN298" s="780">
        <f>AO298</f>
        <v>43879</v>
      </c>
      <c r="AO298" s="818">
        <v>43879</v>
      </c>
      <c r="AP298" s="819">
        <v>43949</v>
      </c>
      <c r="AQ298" s="819">
        <v>44041</v>
      </c>
      <c r="AR298" s="819">
        <v>44131</v>
      </c>
      <c r="AS298" s="780">
        <f>AT298</f>
        <v>44242</v>
      </c>
      <c r="AT298" s="818">
        <v>44242</v>
      </c>
      <c r="AU298" s="819">
        <v>44315</v>
      </c>
      <c r="AV298" s="819">
        <v>44406</v>
      </c>
      <c r="AW298" s="819">
        <v>44498</v>
      </c>
      <c r="AX298" s="780">
        <f>AY298</f>
        <v>44606</v>
      </c>
      <c r="AY298" s="818">
        <v>44606</v>
      </c>
      <c r="AZ298" s="819">
        <v>44679</v>
      </c>
      <c r="BA298" s="819">
        <v>44770</v>
      </c>
      <c r="BB298" s="819">
        <v>44861</v>
      </c>
      <c r="BC298" s="780">
        <f>+BD298</f>
        <v>44970</v>
      </c>
      <c r="BD298" s="818">
        <v>44970</v>
      </c>
      <c r="BE298" s="819">
        <v>45043</v>
      </c>
      <c r="BF298" s="819">
        <v>45134</v>
      </c>
      <c r="BG298" s="819">
        <v>45224</v>
      </c>
      <c r="BH298" s="780">
        <f>+BI298</f>
        <v>45337</v>
      </c>
      <c r="BI298" s="818">
        <v>45337</v>
      </c>
      <c r="BJ298" s="1315">
        <v>45407</v>
      </c>
      <c r="BK298" s="780"/>
      <c r="BL298" s="780"/>
      <c r="BM298" s="780"/>
      <c r="BN298" s="779"/>
      <c r="BO298" s="780"/>
      <c r="BP298" s="780"/>
      <c r="BQ298" s="780"/>
      <c r="BR298" s="780"/>
      <c r="BS298" s="779"/>
      <c r="BT298" s="779"/>
      <c r="BU298" s="779"/>
      <c r="BV298" s="779"/>
      <c r="BW298" s="122"/>
    </row>
    <row r="299" spans="1:75" hidden="1" outlineLevel="1" x14ac:dyDescent="0.5">
      <c r="A299" s="184"/>
      <c r="B299" s="513"/>
      <c r="C299" s="401"/>
      <c r="D299" s="401"/>
      <c r="E299" s="401"/>
      <c r="F299" s="401"/>
      <c r="G299" s="118"/>
      <c r="H299" s="118"/>
      <c r="I299" s="118"/>
      <c r="J299" s="118"/>
      <c r="K299" s="401"/>
      <c r="L299" s="118"/>
      <c r="M299" s="118"/>
      <c r="N299" s="118"/>
      <c r="O299" s="118"/>
      <c r="P299" s="401"/>
      <c r="Q299" s="118"/>
      <c r="R299" s="118"/>
      <c r="S299" s="118"/>
      <c r="T299" s="118"/>
      <c r="U299" s="401"/>
      <c r="V299" s="118"/>
      <c r="W299" s="118"/>
      <c r="X299" s="118"/>
      <c r="Y299" s="118"/>
      <c r="Z299" s="401"/>
      <c r="AA299" s="118"/>
      <c r="AB299" s="118"/>
      <c r="AC299" s="118"/>
      <c r="AD299" s="118"/>
      <c r="AE299" s="401"/>
      <c r="AF299" s="118"/>
      <c r="AG299" s="118"/>
      <c r="AH299" s="118"/>
      <c r="AI299" s="118"/>
      <c r="AJ299" s="401"/>
      <c r="AK299" s="118"/>
      <c r="AL299" s="118"/>
      <c r="AM299" s="118"/>
      <c r="AN299" s="118"/>
      <c r="AO299" s="401"/>
      <c r="AP299" s="118"/>
      <c r="AQ299" s="118"/>
      <c r="AR299" s="118"/>
      <c r="AS299" s="118"/>
      <c r="AT299" s="401"/>
      <c r="AU299" s="118"/>
      <c r="AV299" s="118"/>
      <c r="AW299" s="118"/>
      <c r="AX299" s="118"/>
      <c r="AY299" s="401"/>
      <c r="AZ299" s="118"/>
      <c r="BA299" s="118"/>
      <c r="BB299" s="118"/>
      <c r="BC299" s="118"/>
      <c r="BD299" s="401"/>
      <c r="BE299" s="118"/>
      <c r="BF299" s="118"/>
      <c r="BG299" s="118"/>
      <c r="BH299" s="118"/>
      <c r="BI299" s="401"/>
      <c r="BJ299" s="971"/>
      <c r="BK299" s="118"/>
      <c r="BL299" s="118"/>
      <c r="BM299" s="118"/>
      <c r="BN299" s="401"/>
      <c r="BO299" s="118"/>
      <c r="BP299" s="118"/>
      <c r="BQ299" s="118"/>
      <c r="BR299" s="118"/>
      <c r="BS299" s="401"/>
      <c r="BT299" s="401"/>
      <c r="BU299" s="401"/>
      <c r="BV299" s="401"/>
      <c r="BW299" s="122"/>
    </row>
    <row r="300" spans="1:75" hidden="1" outlineLevel="3" x14ac:dyDescent="0.5">
      <c r="A300" s="184" t="s">
        <v>2341</v>
      </c>
      <c r="B300" s="513"/>
      <c r="C300" s="401"/>
      <c r="D300" s="401"/>
      <c r="E300" s="401"/>
      <c r="F300" s="401"/>
      <c r="G300" s="118"/>
      <c r="H300" s="118"/>
      <c r="I300" s="118"/>
      <c r="J300" s="118"/>
      <c r="K300" s="401"/>
      <c r="L300" s="118"/>
      <c r="M300" s="118"/>
      <c r="N300" s="118"/>
      <c r="O300" s="118"/>
      <c r="P300" s="401"/>
      <c r="Q300" s="118"/>
      <c r="R300" s="118"/>
      <c r="S300" s="118"/>
      <c r="T300" s="118"/>
      <c r="U300" s="401"/>
      <c r="V300" s="118"/>
      <c r="W300" s="118"/>
      <c r="X300" s="118"/>
      <c r="Y300" s="118"/>
      <c r="Z300" s="401"/>
      <c r="AA300" s="118"/>
      <c r="AB300" s="118"/>
      <c r="AC300" s="118"/>
      <c r="AD300" s="118"/>
      <c r="AE300" s="401"/>
      <c r="AF300" s="118"/>
      <c r="AG300" s="118"/>
      <c r="AH300" s="118"/>
      <c r="AI300" s="118"/>
      <c r="AJ300" s="401"/>
      <c r="AK300" s="118"/>
      <c r="AL300" s="118"/>
      <c r="AM300" s="118"/>
      <c r="AN300" s="118"/>
      <c r="AO300" s="401"/>
      <c r="AP300" s="118"/>
      <c r="AQ300" s="118"/>
      <c r="AR300" s="118"/>
      <c r="AS300" s="118"/>
      <c r="AT300" s="401"/>
      <c r="AU300" s="118"/>
      <c r="AV300" s="118"/>
      <c r="AW300" s="118"/>
      <c r="AX300" s="118"/>
      <c r="AY300" s="401"/>
      <c r="AZ300" s="118"/>
      <c r="BA300" s="118"/>
      <c r="BB300" s="118"/>
      <c r="BC300" s="118"/>
      <c r="BD300" s="401"/>
      <c r="BE300" s="118"/>
      <c r="BF300" s="118"/>
      <c r="BG300" s="118"/>
      <c r="BH300" s="118"/>
      <c r="BI300" s="401"/>
      <c r="BJ300" s="971"/>
      <c r="BK300" s="118"/>
      <c r="BL300" s="118"/>
      <c r="BM300" s="118"/>
      <c r="BN300" s="401"/>
      <c r="BO300" s="118"/>
      <c r="BP300" s="118"/>
      <c r="BQ300" s="118"/>
      <c r="BR300" s="118"/>
      <c r="BS300" s="401"/>
      <c r="BT300" s="401"/>
      <c r="BU300" s="401"/>
      <c r="BV300" s="401"/>
      <c r="BW300" s="122"/>
    </row>
    <row r="301" spans="1:75" hidden="1" outlineLevel="3" x14ac:dyDescent="0.5">
      <c r="A301" s="496" t="s">
        <v>2342</v>
      </c>
      <c r="B301" s="513"/>
      <c r="C301" s="401"/>
      <c r="D301" s="401"/>
      <c r="E301" s="401"/>
      <c r="F301" s="401"/>
      <c r="G301" s="118"/>
      <c r="H301" s="118"/>
      <c r="I301" s="118"/>
      <c r="J301" s="118"/>
      <c r="K301" s="401"/>
      <c r="L301" s="118"/>
      <c r="M301" s="118"/>
      <c r="N301" s="118"/>
      <c r="O301" s="118"/>
      <c r="P301" s="401"/>
      <c r="Q301" s="118"/>
      <c r="R301" s="118"/>
      <c r="S301" s="118"/>
      <c r="T301" s="118"/>
      <c r="U301" s="401"/>
      <c r="V301" s="118"/>
      <c r="W301" s="118"/>
      <c r="X301" s="118"/>
      <c r="Y301" s="118"/>
      <c r="Z301" s="401"/>
      <c r="AA301" s="118"/>
      <c r="AB301" s="118"/>
      <c r="AC301" s="118"/>
      <c r="AD301" s="118"/>
      <c r="AE301" s="401"/>
      <c r="AF301" s="118"/>
      <c r="AG301" s="118"/>
      <c r="AH301" s="118"/>
      <c r="AI301" s="118"/>
      <c r="AJ301" s="401"/>
      <c r="AK301" s="118"/>
      <c r="AL301" s="118"/>
      <c r="AM301" s="118"/>
      <c r="AN301" s="118"/>
      <c r="AO301" s="401"/>
      <c r="AP301" s="118"/>
      <c r="AQ301" s="118"/>
      <c r="AR301" s="118"/>
      <c r="AS301" s="118"/>
      <c r="AT301" s="401"/>
      <c r="AU301" s="118"/>
      <c r="AV301" s="118"/>
      <c r="AW301" s="118"/>
      <c r="AX301" s="118"/>
      <c r="AY301" s="401"/>
      <c r="AZ301" s="118"/>
      <c r="BA301" s="118"/>
      <c r="BB301" s="118"/>
      <c r="BC301" s="118"/>
      <c r="BD301" s="401"/>
      <c r="BE301" s="118"/>
      <c r="BF301" s="118"/>
      <c r="BG301" s="118"/>
      <c r="BH301" s="118"/>
      <c r="BI301" s="401"/>
      <c r="BJ301" s="971"/>
      <c r="BK301" s="118"/>
      <c r="BL301" s="118"/>
      <c r="BM301" s="118"/>
      <c r="BN301" s="401"/>
      <c r="BO301" s="118"/>
      <c r="BP301" s="118"/>
      <c r="BQ301" s="118"/>
      <c r="BR301" s="118"/>
      <c r="BS301" s="401"/>
      <c r="BT301" s="401"/>
      <c r="BU301" s="401"/>
      <c r="BV301" s="401"/>
      <c r="BW301" s="122"/>
    </row>
    <row r="302" spans="1:75" hidden="1" outlineLevel="3" x14ac:dyDescent="0.5">
      <c r="A302" s="496" t="s">
        <v>2343</v>
      </c>
      <c r="B302" s="513"/>
      <c r="C302" s="401"/>
      <c r="D302" s="401"/>
      <c r="E302" s="401"/>
      <c r="F302" s="401"/>
      <c r="G302" s="118"/>
      <c r="H302" s="118"/>
      <c r="I302" s="118"/>
      <c r="J302" s="118"/>
      <c r="K302" s="401"/>
      <c r="L302" s="118"/>
      <c r="M302" s="118"/>
      <c r="N302" s="118"/>
      <c r="O302" s="118"/>
      <c r="P302" s="401"/>
      <c r="Q302" s="118"/>
      <c r="R302" s="118"/>
      <c r="S302" s="118"/>
      <c r="T302" s="118"/>
      <c r="U302" s="401"/>
      <c r="V302" s="118"/>
      <c r="W302" s="118"/>
      <c r="X302" s="118"/>
      <c r="Y302" s="118"/>
      <c r="Z302" s="401"/>
      <c r="AA302" s="118"/>
      <c r="AB302" s="118"/>
      <c r="AC302" s="118"/>
      <c r="AD302" s="118"/>
      <c r="AE302" s="401"/>
      <c r="AF302" s="118"/>
      <c r="AG302" s="118"/>
      <c r="AH302" s="118"/>
      <c r="AI302" s="118"/>
      <c r="AJ302" s="401"/>
      <c r="AK302" s="118"/>
      <c r="AL302" s="118"/>
      <c r="AM302" s="118"/>
      <c r="AN302" s="118"/>
      <c r="AO302" s="401"/>
      <c r="AP302" s="118"/>
      <c r="AQ302" s="118"/>
      <c r="AR302" s="118"/>
      <c r="AS302" s="118"/>
      <c r="AT302" s="401"/>
      <c r="AU302" s="118"/>
      <c r="AV302" s="118"/>
      <c r="AW302" s="118"/>
      <c r="AX302" s="118"/>
      <c r="AY302" s="401"/>
      <c r="AZ302" s="118"/>
      <c r="BA302" s="118"/>
      <c r="BB302" s="118"/>
      <c r="BC302" s="118"/>
      <c r="BD302" s="401"/>
      <c r="BE302" s="118"/>
      <c r="BF302" s="118"/>
      <c r="BG302" s="118"/>
      <c r="BH302" s="118"/>
      <c r="BI302" s="401"/>
      <c r="BJ302" s="971"/>
      <c r="BK302" s="118"/>
      <c r="BL302" s="118"/>
      <c r="BM302" s="118"/>
      <c r="BN302" s="401"/>
      <c r="BO302" s="118"/>
      <c r="BP302" s="118"/>
      <c r="BQ302" s="118"/>
      <c r="BR302" s="118"/>
      <c r="BS302" s="401"/>
      <c r="BT302" s="401"/>
      <c r="BU302" s="401"/>
      <c r="BV302" s="401"/>
      <c r="BW302" s="122"/>
    </row>
    <row r="303" spans="1:75" hidden="1" outlineLevel="3" x14ac:dyDescent="0.5">
      <c r="A303" s="1503" t="s">
        <v>2344</v>
      </c>
      <c r="B303" s="870"/>
      <c r="C303" s="871"/>
      <c r="D303" s="871"/>
      <c r="E303" s="871"/>
      <c r="F303" s="871"/>
      <c r="G303" s="872"/>
      <c r="H303" s="872"/>
      <c r="I303" s="872"/>
      <c r="J303" s="872"/>
      <c r="K303" s="871"/>
      <c r="L303" s="872"/>
      <c r="M303" s="872"/>
      <c r="N303" s="872"/>
      <c r="O303" s="872"/>
      <c r="P303" s="871"/>
      <c r="Q303" s="872"/>
      <c r="R303" s="872"/>
      <c r="S303" s="872"/>
      <c r="T303" s="872"/>
      <c r="U303" s="871"/>
      <c r="V303" s="872"/>
      <c r="W303" s="872"/>
      <c r="X303" s="872"/>
      <c r="Y303" s="872"/>
      <c r="Z303" s="871"/>
      <c r="AA303" s="872"/>
      <c r="AB303" s="872"/>
      <c r="AC303" s="872"/>
      <c r="AD303" s="872"/>
      <c r="AE303" s="871"/>
      <c r="AF303" s="872"/>
      <c r="AG303" s="872"/>
      <c r="AH303" s="872"/>
      <c r="AI303" s="872"/>
      <c r="AJ303" s="871"/>
      <c r="AK303" s="872"/>
      <c r="AL303" s="872"/>
      <c r="AM303" s="872"/>
      <c r="AN303" s="872"/>
      <c r="AO303" s="871"/>
      <c r="AP303" s="872"/>
      <c r="AQ303" s="872"/>
      <c r="AR303" s="872"/>
      <c r="AS303" s="872"/>
      <c r="AT303" s="871"/>
      <c r="AU303" s="872"/>
      <c r="AV303" s="872"/>
      <c r="AW303" s="872"/>
      <c r="AX303" s="872"/>
      <c r="AY303" s="871"/>
      <c r="AZ303" s="872"/>
      <c r="BA303" s="872"/>
      <c r="BB303" s="872"/>
      <c r="BC303" s="872"/>
      <c r="BD303" s="871"/>
      <c r="BE303" s="872"/>
      <c r="BF303" s="872"/>
      <c r="BG303" s="872"/>
      <c r="BH303" s="872"/>
      <c r="BI303" s="871"/>
      <c r="BJ303" s="1504"/>
      <c r="BK303" s="872"/>
      <c r="BL303" s="872"/>
      <c r="BM303" s="872"/>
      <c r="BN303" s="871"/>
      <c r="BO303" s="872"/>
      <c r="BP303" s="872"/>
      <c r="BQ303" s="872"/>
      <c r="BR303" s="872"/>
      <c r="BS303" s="871"/>
      <c r="BT303" s="871"/>
      <c r="BU303" s="871"/>
      <c r="BV303" s="871"/>
      <c r="BW303" s="122"/>
    </row>
    <row r="304" spans="1:75" hidden="1" outlineLevel="3" x14ac:dyDescent="0.5">
      <c r="A304" s="1505" t="s">
        <v>2345</v>
      </c>
      <c r="B304" s="1499"/>
      <c r="C304" s="1500"/>
      <c r="D304" s="1500"/>
      <c r="E304" s="1500"/>
      <c r="F304" s="1500"/>
      <c r="G304" s="1056"/>
      <c r="H304" s="1056"/>
      <c r="I304" s="1056"/>
      <c r="J304" s="1056"/>
      <c r="K304" s="1500"/>
      <c r="L304" s="1056"/>
      <c r="M304" s="1056"/>
      <c r="N304" s="1056"/>
      <c r="O304" s="1056"/>
      <c r="P304" s="1500"/>
      <c r="Q304" s="1056"/>
      <c r="R304" s="1056"/>
      <c r="S304" s="1056"/>
      <c r="T304" s="1056"/>
      <c r="U304" s="1500"/>
      <c r="V304" s="1056"/>
      <c r="W304" s="1056"/>
      <c r="X304" s="1056"/>
      <c r="Y304" s="1056"/>
      <c r="Z304" s="1500"/>
      <c r="AA304" s="1056"/>
      <c r="AB304" s="1056"/>
      <c r="AC304" s="1056"/>
      <c r="AD304" s="1056"/>
      <c r="AE304" s="1500"/>
      <c r="AF304" s="1056"/>
      <c r="AG304" s="1056"/>
      <c r="AH304" s="1056"/>
      <c r="AI304" s="1056"/>
      <c r="AJ304" s="1500"/>
      <c r="AK304" s="1056"/>
      <c r="AL304" s="1056"/>
      <c r="AM304" s="1056"/>
      <c r="AN304" s="1056"/>
      <c r="AO304" s="1500"/>
      <c r="AP304" s="1056"/>
      <c r="AQ304" s="1056"/>
      <c r="AR304" s="1056"/>
      <c r="AS304" s="1056"/>
      <c r="AT304" s="1500"/>
      <c r="AU304" s="1056"/>
      <c r="AV304" s="1056"/>
      <c r="AW304" s="1056"/>
      <c r="AX304" s="1056"/>
      <c r="AY304" s="1500"/>
      <c r="AZ304" s="1056"/>
      <c r="BA304" s="1056"/>
      <c r="BB304" s="1056"/>
      <c r="BC304" s="1056"/>
      <c r="BD304" s="1500"/>
      <c r="BE304" s="1056"/>
      <c r="BF304" s="1056"/>
      <c r="BG304" s="1056"/>
      <c r="BH304" s="1056"/>
      <c r="BI304" s="1500"/>
      <c r="BJ304" s="1058"/>
      <c r="BK304" s="1056"/>
      <c r="BL304" s="1056"/>
      <c r="BM304" s="1056"/>
      <c r="BN304" s="1500"/>
      <c r="BO304" s="1056"/>
      <c r="BP304" s="1056"/>
      <c r="BQ304" s="1056"/>
      <c r="BR304" s="1056"/>
      <c r="BS304" s="1500"/>
      <c r="BT304" s="1500"/>
      <c r="BU304" s="1500"/>
      <c r="BV304" s="1500"/>
      <c r="BW304" s="122"/>
    </row>
    <row r="305" spans="1:75" hidden="1" outlineLevel="3" x14ac:dyDescent="0.5">
      <c r="A305" s="184"/>
      <c r="B305" s="513"/>
      <c r="C305" s="401"/>
      <c r="D305" s="401"/>
      <c r="E305" s="401"/>
      <c r="F305" s="401"/>
      <c r="G305" s="118"/>
      <c r="H305" s="118"/>
      <c r="I305" s="118"/>
      <c r="J305" s="118"/>
      <c r="K305" s="401"/>
      <c r="L305" s="118"/>
      <c r="M305" s="118"/>
      <c r="N305" s="118"/>
      <c r="O305" s="118"/>
      <c r="P305" s="401"/>
      <c r="Q305" s="118"/>
      <c r="R305" s="118"/>
      <c r="S305" s="118"/>
      <c r="T305" s="118"/>
      <c r="U305" s="401"/>
      <c r="V305" s="118"/>
      <c r="W305" s="118"/>
      <c r="X305" s="118"/>
      <c r="Y305" s="118"/>
      <c r="Z305" s="401"/>
      <c r="AA305" s="118"/>
      <c r="AB305" s="118"/>
      <c r="AC305" s="118"/>
      <c r="AD305" s="118"/>
      <c r="AE305" s="401"/>
      <c r="AF305" s="118"/>
      <c r="AG305" s="118"/>
      <c r="AH305" s="118"/>
      <c r="AI305" s="118"/>
      <c r="AJ305" s="401"/>
      <c r="AK305" s="118"/>
      <c r="AL305" s="118"/>
      <c r="AM305" s="118"/>
      <c r="AN305" s="118"/>
      <c r="AO305" s="401"/>
      <c r="AP305" s="118"/>
      <c r="AQ305" s="118"/>
      <c r="AR305" s="118"/>
      <c r="AS305" s="118"/>
      <c r="AT305" s="401"/>
      <c r="AU305" s="118"/>
      <c r="AV305" s="118"/>
      <c r="AW305" s="118"/>
      <c r="AX305" s="118"/>
      <c r="AY305" s="401"/>
      <c r="AZ305" s="118"/>
      <c r="BA305" s="118"/>
      <c r="BB305" s="118"/>
      <c r="BC305" s="118"/>
      <c r="BD305" s="401"/>
      <c r="BE305" s="118"/>
      <c r="BF305" s="118"/>
      <c r="BG305" s="118"/>
      <c r="BH305" s="118"/>
      <c r="BI305" s="401"/>
      <c r="BJ305" s="971"/>
      <c r="BK305" s="118"/>
      <c r="BL305" s="118"/>
      <c r="BM305" s="118"/>
      <c r="BN305" s="401"/>
      <c r="BO305" s="118"/>
      <c r="BP305" s="118"/>
      <c r="BQ305" s="118"/>
      <c r="BR305" s="118"/>
      <c r="BS305" s="401"/>
      <c r="BT305" s="401"/>
      <c r="BU305" s="401"/>
      <c r="BV305" s="401"/>
      <c r="BW305" s="122"/>
    </row>
    <row r="306" spans="1:75" hidden="1" outlineLevel="3" x14ac:dyDescent="0.5">
      <c r="A306" s="184" t="s">
        <v>2346</v>
      </c>
      <c r="B306" s="513"/>
      <c r="C306" s="784"/>
      <c r="D306" s="784"/>
      <c r="E306" s="784"/>
      <c r="F306" s="784"/>
      <c r="G306" s="785"/>
      <c r="H306" s="785"/>
      <c r="I306" s="785"/>
      <c r="J306" s="785"/>
      <c r="K306" s="784"/>
      <c r="L306" s="785"/>
      <c r="M306" s="785"/>
      <c r="N306" s="785"/>
      <c r="O306" s="785"/>
      <c r="P306" s="784"/>
      <c r="Q306" s="785"/>
      <c r="R306" s="785"/>
      <c r="S306" s="785"/>
      <c r="T306" s="785"/>
      <c r="U306" s="784"/>
      <c r="V306" s="785"/>
      <c r="W306" s="785"/>
      <c r="X306" s="785"/>
      <c r="Y306" s="785"/>
      <c r="Z306" s="784"/>
      <c r="AA306" s="785"/>
      <c r="AB306" s="785"/>
      <c r="AC306" s="785"/>
      <c r="AD306" s="785"/>
      <c r="AE306" s="784"/>
      <c r="AF306" s="785"/>
      <c r="AG306" s="785"/>
      <c r="AH306" s="785"/>
      <c r="AI306" s="785"/>
      <c r="AJ306" s="784"/>
      <c r="AK306" s="785"/>
      <c r="AL306" s="785"/>
      <c r="AM306" s="785"/>
      <c r="AN306" s="785"/>
      <c r="AO306" s="784"/>
      <c r="AP306" s="785"/>
      <c r="AQ306" s="785"/>
      <c r="AR306" s="785"/>
      <c r="AS306" s="785"/>
      <c r="AT306" s="784"/>
      <c r="AU306" s="785"/>
      <c r="AV306" s="785"/>
      <c r="AW306" s="785"/>
      <c r="AX306" s="785"/>
      <c r="AY306" s="784"/>
      <c r="AZ306" s="785"/>
      <c r="BA306" s="785"/>
      <c r="BB306" s="785"/>
      <c r="BC306" s="785"/>
      <c r="BD306" s="784"/>
      <c r="BE306" s="785"/>
      <c r="BF306" s="785"/>
      <c r="BG306" s="785"/>
      <c r="BH306" s="785"/>
      <c r="BI306" s="784"/>
      <c r="BJ306" s="1067"/>
      <c r="BK306" s="785"/>
      <c r="BL306" s="785"/>
      <c r="BM306" s="785"/>
      <c r="BN306" s="784"/>
      <c r="BO306" s="785"/>
      <c r="BP306" s="785"/>
      <c r="BQ306" s="785"/>
      <c r="BR306" s="785"/>
      <c r="BS306" s="784"/>
      <c r="BT306" s="784"/>
      <c r="BU306" s="784"/>
      <c r="BV306" s="784"/>
      <c r="BW306" s="122"/>
    </row>
    <row r="307" spans="1:75" hidden="1" outlineLevel="3" x14ac:dyDescent="0.5">
      <c r="A307" s="496" t="s">
        <v>2347</v>
      </c>
      <c r="B307" s="513"/>
      <c r="C307" s="784"/>
      <c r="D307" s="784"/>
      <c r="E307" s="784"/>
      <c r="F307" s="784"/>
      <c r="G307" s="785"/>
      <c r="H307" s="785"/>
      <c r="I307" s="785"/>
      <c r="J307" s="785"/>
      <c r="K307" s="784"/>
      <c r="L307" s="785"/>
      <c r="M307" s="785"/>
      <c r="N307" s="785"/>
      <c r="O307" s="785"/>
      <c r="P307" s="784"/>
      <c r="Q307" s="785"/>
      <c r="R307" s="785"/>
      <c r="S307" s="785"/>
      <c r="T307" s="785"/>
      <c r="U307" s="784"/>
      <c r="V307" s="785"/>
      <c r="W307" s="785"/>
      <c r="X307" s="785"/>
      <c r="Y307" s="785"/>
      <c r="Z307" s="784"/>
      <c r="AA307" s="785"/>
      <c r="AB307" s="785"/>
      <c r="AC307" s="785"/>
      <c r="AD307" s="785"/>
      <c r="AE307" s="784"/>
      <c r="AF307" s="785"/>
      <c r="AG307" s="785"/>
      <c r="AH307" s="785"/>
      <c r="AI307" s="785"/>
      <c r="AJ307" s="784"/>
      <c r="AK307" s="785"/>
      <c r="AL307" s="785"/>
      <c r="AM307" s="785"/>
      <c r="AN307" s="785"/>
      <c r="AO307" s="784"/>
      <c r="AP307" s="785"/>
      <c r="AQ307" s="785"/>
      <c r="AR307" s="785"/>
      <c r="AS307" s="785"/>
      <c r="AT307" s="784"/>
      <c r="AU307" s="785"/>
      <c r="AV307" s="785"/>
      <c r="AW307" s="785"/>
      <c r="AX307" s="785"/>
      <c r="AY307" s="784"/>
      <c r="AZ307" s="785"/>
      <c r="BA307" s="785"/>
      <c r="BB307" s="785"/>
      <c r="BC307" s="785"/>
      <c r="BD307" s="784"/>
      <c r="BE307" s="785"/>
      <c r="BF307" s="785"/>
      <c r="BG307" s="785"/>
      <c r="BH307" s="785"/>
      <c r="BI307" s="784"/>
      <c r="BJ307" s="1067"/>
      <c r="BK307" s="785"/>
      <c r="BL307" s="785"/>
      <c r="BM307" s="785"/>
      <c r="BN307" s="784"/>
      <c r="BO307" s="785"/>
      <c r="BP307" s="785"/>
      <c r="BQ307" s="785"/>
      <c r="BR307" s="785"/>
      <c r="BS307" s="784"/>
      <c r="BT307" s="784"/>
      <c r="BU307" s="784"/>
      <c r="BV307" s="784"/>
      <c r="BW307" s="122"/>
    </row>
    <row r="308" spans="1:75" hidden="1" outlineLevel="3" x14ac:dyDescent="0.5">
      <c r="A308" s="496" t="s">
        <v>2348</v>
      </c>
      <c r="B308" s="513"/>
      <c r="C308" s="784"/>
      <c r="D308" s="784"/>
      <c r="E308" s="784"/>
      <c r="F308" s="784"/>
      <c r="G308" s="785"/>
      <c r="H308" s="785"/>
      <c r="I308" s="785"/>
      <c r="J308" s="785"/>
      <c r="K308" s="784"/>
      <c r="L308" s="785"/>
      <c r="M308" s="785"/>
      <c r="N308" s="785"/>
      <c r="O308" s="785"/>
      <c r="P308" s="784"/>
      <c r="Q308" s="785"/>
      <c r="R308" s="785"/>
      <c r="S308" s="785"/>
      <c r="T308" s="785"/>
      <c r="U308" s="784"/>
      <c r="V308" s="785"/>
      <c r="W308" s="785"/>
      <c r="X308" s="785"/>
      <c r="Y308" s="785"/>
      <c r="Z308" s="784"/>
      <c r="AA308" s="785"/>
      <c r="AB308" s="785"/>
      <c r="AC308" s="785"/>
      <c r="AD308" s="785"/>
      <c r="AE308" s="784"/>
      <c r="AF308" s="785"/>
      <c r="AG308" s="785"/>
      <c r="AH308" s="785"/>
      <c r="AI308" s="785"/>
      <c r="AJ308" s="784"/>
      <c r="AK308" s="785"/>
      <c r="AL308" s="785"/>
      <c r="AM308" s="785"/>
      <c r="AN308" s="785"/>
      <c r="AO308" s="784"/>
      <c r="AP308" s="785"/>
      <c r="AQ308" s="785"/>
      <c r="AR308" s="785"/>
      <c r="AS308" s="785"/>
      <c r="AT308" s="784"/>
      <c r="AU308" s="785"/>
      <c r="AV308" s="785"/>
      <c r="AW308" s="785"/>
      <c r="AX308" s="785"/>
      <c r="AY308" s="784"/>
      <c r="AZ308" s="785"/>
      <c r="BA308" s="785"/>
      <c r="BB308" s="785"/>
      <c r="BC308" s="785"/>
      <c r="BD308" s="784"/>
      <c r="BE308" s="785"/>
      <c r="BF308" s="785"/>
      <c r="BG308" s="785"/>
      <c r="BH308" s="785"/>
      <c r="BI308" s="784"/>
      <c r="BJ308" s="1067"/>
      <c r="BK308" s="785"/>
      <c r="BL308" s="785"/>
      <c r="BM308" s="785"/>
      <c r="BN308" s="784"/>
      <c r="BO308" s="785"/>
      <c r="BP308" s="785"/>
      <c r="BQ308" s="785"/>
      <c r="BR308" s="785"/>
      <c r="BS308" s="784"/>
      <c r="BT308" s="784"/>
      <c r="BU308" s="784"/>
      <c r="BV308" s="784"/>
      <c r="BW308" s="122"/>
    </row>
    <row r="309" spans="1:75" hidden="1" outlineLevel="3" x14ac:dyDescent="0.5">
      <c r="A309" s="1503" t="s">
        <v>2349</v>
      </c>
      <c r="B309" s="870"/>
      <c r="C309" s="1506"/>
      <c r="D309" s="1506"/>
      <c r="E309" s="1506"/>
      <c r="F309" s="1506"/>
      <c r="G309" s="1507"/>
      <c r="H309" s="1507"/>
      <c r="I309" s="1507"/>
      <c r="J309" s="1507"/>
      <c r="K309" s="1506"/>
      <c r="L309" s="1507"/>
      <c r="M309" s="1507"/>
      <c r="N309" s="1507"/>
      <c r="O309" s="1507"/>
      <c r="P309" s="1506"/>
      <c r="Q309" s="1507"/>
      <c r="R309" s="1507"/>
      <c r="S309" s="1507"/>
      <c r="T309" s="1507"/>
      <c r="U309" s="1506"/>
      <c r="V309" s="1507"/>
      <c r="W309" s="1507"/>
      <c r="X309" s="1507"/>
      <c r="Y309" s="1507"/>
      <c r="Z309" s="1506"/>
      <c r="AA309" s="1507"/>
      <c r="AB309" s="1507"/>
      <c r="AC309" s="1507"/>
      <c r="AD309" s="1507"/>
      <c r="AE309" s="1506"/>
      <c r="AF309" s="1507"/>
      <c r="AG309" s="1507"/>
      <c r="AH309" s="1507"/>
      <c r="AI309" s="1507"/>
      <c r="AJ309" s="1506"/>
      <c r="AK309" s="1507"/>
      <c r="AL309" s="1507"/>
      <c r="AM309" s="1507"/>
      <c r="AN309" s="1507"/>
      <c r="AO309" s="1506"/>
      <c r="AP309" s="1507"/>
      <c r="AQ309" s="1507"/>
      <c r="AR309" s="1507"/>
      <c r="AS309" s="1507"/>
      <c r="AT309" s="1506"/>
      <c r="AU309" s="1507"/>
      <c r="AV309" s="1507"/>
      <c r="AW309" s="1507"/>
      <c r="AX309" s="1507"/>
      <c r="AY309" s="1506"/>
      <c r="AZ309" s="1507"/>
      <c r="BA309" s="1507"/>
      <c r="BB309" s="1507"/>
      <c r="BC309" s="1507"/>
      <c r="BD309" s="1506"/>
      <c r="BE309" s="1507"/>
      <c r="BF309" s="1507"/>
      <c r="BG309" s="1507"/>
      <c r="BH309" s="1507"/>
      <c r="BI309" s="1506"/>
      <c r="BJ309" s="1508"/>
      <c r="BK309" s="1507"/>
      <c r="BL309" s="1507"/>
      <c r="BM309" s="1507"/>
      <c r="BN309" s="1506"/>
      <c r="BO309" s="1507"/>
      <c r="BP309" s="1507"/>
      <c r="BQ309" s="1507"/>
      <c r="BR309" s="1507"/>
      <c r="BS309" s="1506"/>
      <c r="BT309" s="1506"/>
      <c r="BU309" s="1506"/>
      <c r="BV309" s="1506"/>
      <c r="BW309" s="122"/>
    </row>
    <row r="310" spans="1:75" hidden="1" outlineLevel="3" x14ac:dyDescent="0.5">
      <c r="A310" s="1505" t="s">
        <v>2350</v>
      </c>
      <c r="B310" s="1499"/>
      <c r="C310" s="1509"/>
      <c r="D310" s="1509"/>
      <c r="E310" s="1509"/>
      <c r="F310" s="1509"/>
      <c r="G310" s="1510"/>
      <c r="H310" s="1510"/>
      <c r="I310" s="1510"/>
      <c r="J310" s="1510"/>
      <c r="K310" s="1509"/>
      <c r="L310" s="1510"/>
      <c r="M310" s="1510"/>
      <c r="N310" s="1510"/>
      <c r="O310" s="1510"/>
      <c r="P310" s="1509"/>
      <c r="Q310" s="1510"/>
      <c r="R310" s="1510"/>
      <c r="S310" s="1510"/>
      <c r="T310" s="1510"/>
      <c r="U310" s="1509"/>
      <c r="V310" s="1510"/>
      <c r="W310" s="1510"/>
      <c r="X310" s="1510"/>
      <c r="Y310" s="1510"/>
      <c r="Z310" s="1509"/>
      <c r="AA310" s="1510"/>
      <c r="AB310" s="1510"/>
      <c r="AC310" s="1510"/>
      <c r="AD310" s="1510"/>
      <c r="AE310" s="1509"/>
      <c r="AF310" s="1510"/>
      <c r="AG310" s="1510"/>
      <c r="AH310" s="1510"/>
      <c r="AI310" s="1510"/>
      <c r="AJ310" s="1509"/>
      <c r="AK310" s="1510"/>
      <c r="AL310" s="1510"/>
      <c r="AM310" s="1510"/>
      <c r="AN310" s="1510"/>
      <c r="AO310" s="1509"/>
      <c r="AP310" s="1510"/>
      <c r="AQ310" s="1510"/>
      <c r="AR310" s="1510"/>
      <c r="AS310" s="1510"/>
      <c r="AT310" s="1509"/>
      <c r="AU310" s="1510"/>
      <c r="AV310" s="1510"/>
      <c r="AW310" s="1510"/>
      <c r="AX310" s="1510"/>
      <c r="AY310" s="1509"/>
      <c r="AZ310" s="1510"/>
      <c r="BA310" s="1510"/>
      <c r="BB310" s="1510"/>
      <c r="BC310" s="1510"/>
      <c r="BD310" s="1509"/>
      <c r="BE310" s="1510"/>
      <c r="BF310" s="1510"/>
      <c r="BG310" s="1510"/>
      <c r="BH310" s="1510"/>
      <c r="BI310" s="1509"/>
      <c r="BJ310" s="1511"/>
      <c r="BK310" s="1510"/>
      <c r="BL310" s="1510"/>
      <c r="BM310" s="1510"/>
      <c r="BN310" s="1509"/>
      <c r="BO310" s="1510"/>
      <c r="BP310" s="1510"/>
      <c r="BQ310" s="1510"/>
      <c r="BR310" s="1510"/>
      <c r="BS310" s="1509"/>
      <c r="BT310" s="1509"/>
      <c r="BU310" s="1509"/>
      <c r="BV310" s="1509"/>
      <c r="BW310" s="122"/>
    </row>
    <row r="311" spans="1:75" hidden="1" outlineLevel="3" x14ac:dyDescent="0.5">
      <c r="A311" s="184"/>
      <c r="B311" s="513"/>
      <c r="C311" s="401"/>
      <c r="D311" s="401"/>
      <c r="E311" s="401"/>
      <c r="F311" s="401"/>
      <c r="G311" s="118"/>
      <c r="H311" s="118"/>
      <c r="I311" s="118"/>
      <c r="J311" s="118"/>
      <c r="K311" s="401"/>
      <c r="L311" s="118"/>
      <c r="M311" s="118"/>
      <c r="N311" s="118"/>
      <c r="O311" s="118"/>
      <c r="P311" s="401"/>
      <c r="Q311" s="118"/>
      <c r="R311" s="118"/>
      <c r="S311" s="118"/>
      <c r="T311" s="118"/>
      <c r="U311" s="401"/>
      <c r="V311" s="118"/>
      <c r="W311" s="118"/>
      <c r="X311" s="118"/>
      <c r="Y311" s="118"/>
      <c r="Z311" s="401"/>
      <c r="AA311" s="118"/>
      <c r="AB311" s="118"/>
      <c r="AC311" s="118"/>
      <c r="AD311" s="118"/>
      <c r="AE311" s="401"/>
      <c r="AF311" s="118"/>
      <c r="AG311" s="118"/>
      <c r="AH311" s="118"/>
      <c r="AI311" s="118"/>
      <c r="AJ311" s="401"/>
      <c r="AK311" s="118"/>
      <c r="AL311" s="118"/>
      <c r="AM311" s="118"/>
      <c r="AN311" s="118"/>
      <c r="AO311" s="401"/>
      <c r="AP311" s="118"/>
      <c r="AQ311" s="118"/>
      <c r="AR311" s="118"/>
      <c r="AS311" s="118"/>
      <c r="AT311" s="401"/>
      <c r="AU311" s="118"/>
      <c r="AV311" s="118"/>
      <c r="AW311" s="118"/>
      <c r="AX311" s="118"/>
      <c r="AY311" s="401"/>
      <c r="AZ311" s="118"/>
      <c r="BA311" s="118"/>
      <c r="BB311" s="118"/>
      <c r="BC311" s="118"/>
      <c r="BD311" s="401"/>
      <c r="BE311" s="118"/>
      <c r="BF311" s="118"/>
      <c r="BG311" s="118"/>
      <c r="BH311" s="118"/>
      <c r="BI311" s="401"/>
      <c r="BJ311" s="971"/>
      <c r="BK311" s="118"/>
      <c r="BL311" s="118"/>
      <c r="BM311" s="118"/>
      <c r="BN311" s="401"/>
      <c r="BO311" s="118"/>
      <c r="BP311" s="118"/>
      <c r="BQ311" s="118"/>
      <c r="BR311" s="118"/>
      <c r="BS311" s="401"/>
      <c r="BT311" s="401"/>
      <c r="BU311" s="401"/>
      <c r="BV311" s="401"/>
      <c r="BW311" s="122"/>
    </row>
    <row r="312" spans="1:75" hidden="1" outlineLevel="3" x14ac:dyDescent="0.5">
      <c r="A312" s="184" t="s">
        <v>1218</v>
      </c>
      <c r="B312" s="513"/>
      <c r="C312" s="401"/>
      <c r="D312" s="401"/>
      <c r="E312" s="401"/>
      <c r="F312" s="401"/>
      <c r="G312" s="118"/>
      <c r="H312" s="118"/>
      <c r="I312" s="118"/>
      <c r="J312" s="118"/>
      <c r="K312" s="401"/>
      <c r="L312" s="118"/>
      <c r="M312" s="118"/>
      <c r="N312" s="118"/>
      <c r="O312" s="118"/>
      <c r="P312" s="401"/>
      <c r="Q312" s="118"/>
      <c r="R312" s="118"/>
      <c r="S312" s="118"/>
      <c r="T312" s="118"/>
      <c r="U312" s="401"/>
      <c r="V312" s="118"/>
      <c r="W312" s="118"/>
      <c r="X312" s="118"/>
      <c r="Y312" s="118"/>
      <c r="Z312" s="401"/>
      <c r="AA312" s="118"/>
      <c r="AB312" s="118"/>
      <c r="AC312" s="118"/>
      <c r="AD312" s="118"/>
      <c r="AE312" s="401"/>
      <c r="AF312" s="118"/>
      <c r="AG312" s="118"/>
      <c r="AH312" s="118"/>
      <c r="AI312" s="118"/>
      <c r="AJ312" s="401"/>
      <c r="AK312" s="118"/>
      <c r="AL312" s="118"/>
      <c r="AM312" s="118"/>
      <c r="AN312" s="118"/>
      <c r="AO312" s="401"/>
      <c r="AP312" s="118"/>
      <c r="AQ312" s="118"/>
      <c r="AR312" s="118"/>
      <c r="AS312" s="118"/>
      <c r="AT312" s="401"/>
      <c r="AU312" s="118"/>
      <c r="AV312" s="118"/>
      <c r="AW312" s="118"/>
      <c r="AX312" s="118"/>
      <c r="AY312" s="401"/>
      <c r="AZ312" s="118"/>
      <c r="BA312" s="118"/>
      <c r="BB312" s="118"/>
      <c r="BC312" s="118"/>
      <c r="BD312" s="401"/>
      <c r="BE312" s="118"/>
      <c r="BF312" s="118"/>
      <c r="BG312" s="118"/>
      <c r="BH312" s="118"/>
      <c r="BI312" s="401"/>
      <c r="BJ312" s="971"/>
      <c r="BK312" s="118"/>
      <c r="BL312" s="118"/>
      <c r="BM312" s="118"/>
      <c r="BN312" s="401"/>
      <c r="BO312" s="118"/>
      <c r="BP312" s="118"/>
      <c r="BQ312" s="118"/>
      <c r="BR312" s="118"/>
      <c r="BS312" s="401"/>
      <c r="BT312" s="401"/>
      <c r="BU312" s="401"/>
      <c r="BV312" s="401"/>
      <c r="BW312" s="122"/>
    </row>
    <row r="313" spans="1:75" hidden="1" outlineLevel="3" x14ac:dyDescent="0.5">
      <c r="A313" s="496" t="s">
        <v>1219</v>
      </c>
      <c r="B313" s="513"/>
      <c r="C313" s="401"/>
      <c r="D313" s="401"/>
      <c r="E313" s="401"/>
      <c r="F313" s="401"/>
      <c r="G313" s="118"/>
      <c r="H313" s="118"/>
      <c r="I313" s="118"/>
      <c r="J313" s="118"/>
      <c r="K313" s="401"/>
      <c r="L313" s="118"/>
      <c r="M313" s="118"/>
      <c r="N313" s="118"/>
      <c r="O313" s="118"/>
      <c r="P313" s="401"/>
      <c r="Q313" s="118"/>
      <c r="R313" s="118"/>
      <c r="S313" s="118"/>
      <c r="T313" s="118"/>
      <c r="U313" s="401"/>
      <c r="V313" s="118"/>
      <c r="W313" s="118"/>
      <c r="X313" s="118"/>
      <c r="Y313" s="118"/>
      <c r="Z313" s="401"/>
      <c r="AA313" s="118"/>
      <c r="AB313" s="118"/>
      <c r="AC313" s="118"/>
      <c r="AD313" s="118"/>
      <c r="AE313" s="401"/>
      <c r="AF313" s="118"/>
      <c r="AG313" s="118"/>
      <c r="AH313" s="118"/>
      <c r="AI313" s="118"/>
      <c r="AJ313" s="401"/>
      <c r="AK313" s="118"/>
      <c r="AL313" s="118"/>
      <c r="AM313" s="118"/>
      <c r="AN313" s="118"/>
      <c r="AO313" s="401"/>
      <c r="AP313" s="118"/>
      <c r="AQ313" s="118"/>
      <c r="AR313" s="118"/>
      <c r="AS313" s="118"/>
      <c r="AT313" s="401"/>
      <c r="AU313" s="118"/>
      <c r="AV313" s="118"/>
      <c r="AW313" s="118"/>
      <c r="AX313" s="118"/>
      <c r="AY313" s="401"/>
      <c r="AZ313" s="118"/>
      <c r="BA313" s="118"/>
      <c r="BB313" s="118"/>
      <c r="BC313" s="118"/>
      <c r="BD313" s="401"/>
      <c r="BE313" s="118"/>
      <c r="BF313" s="118"/>
      <c r="BG313" s="118"/>
      <c r="BH313" s="118"/>
      <c r="BI313" s="401"/>
      <c r="BJ313" s="971"/>
      <c r="BK313" s="118"/>
      <c r="BL313" s="118"/>
      <c r="BM313" s="118"/>
      <c r="BN313" s="401"/>
      <c r="BO313" s="118"/>
      <c r="BP313" s="118"/>
      <c r="BQ313" s="118"/>
      <c r="BR313" s="118"/>
      <c r="BS313" s="401"/>
      <c r="BT313" s="401"/>
      <c r="BU313" s="401"/>
      <c r="BV313" s="401"/>
      <c r="BW313" s="122"/>
    </row>
    <row r="314" spans="1:75" hidden="1" outlineLevel="3" x14ac:dyDescent="0.5">
      <c r="A314" s="496" t="s">
        <v>1220</v>
      </c>
      <c r="B314" s="513"/>
      <c r="C314" s="401"/>
      <c r="D314" s="401"/>
      <c r="E314" s="401"/>
      <c r="F314" s="401"/>
      <c r="G314" s="118"/>
      <c r="H314" s="118"/>
      <c r="I314" s="118"/>
      <c r="J314" s="118"/>
      <c r="K314" s="401"/>
      <c r="L314" s="118"/>
      <c r="M314" s="118"/>
      <c r="N314" s="118"/>
      <c r="O314" s="118"/>
      <c r="P314" s="401"/>
      <c r="Q314" s="118"/>
      <c r="R314" s="118"/>
      <c r="S314" s="118"/>
      <c r="T314" s="118"/>
      <c r="U314" s="401"/>
      <c r="V314" s="118"/>
      <c r="W314" s="118"/>
      <c r="X314" s="118"/>
      <c r="Y314" s="118"/>
      <c r="Z314" s="401"/>
      <c r="AA314" s="118"/>
      <c r="AB314" s="118"/>
      <c r="AC314" s="118"/>
      <c r="AD314" s="118"/>
      <c r="AE314" s="401"/>
      <c r="AF314" s="118"/>
      <c r="AG314" s="118"/>
      <c r="AH314" s="118"/>
      <c r="AI314" s="118"/>
      <c r="AJ314" s="401"/>
      <c r="AK314" s="118"/>
      <c r="AL314" s="118"/>
      <c r="AM314" s="118"/>
      <c r="AN314" s="118"/>
      <c r="AO314" s="401"/>
      <c r="AP314" s="118"/>
      <c r="AQ314" s="118"/>
      <c r="AR314" s="118"/>
      <c r="AS314" s="118"/>
      <c r="AT314" s="401"/>
      <c r="AU314" s="118"/>
      <c r="AV314" s="118"/>
      <c r="AW314" s="118"/>
      <c r="AX314" s="118"/>
      <c r="AY314" s="401"/>
      <c r="AZ314" s="118"/>
      <c r="BA314" s="118"/>
      <c r="BB314" s="118"/>
      <c r="BC314" s="118"/>
      <c r="BD314" s="401"/>
      <c r="BE314" s="118"/>
      <c r="BF314" s="118"/>
      <c r="BG314" s="118"/>
      <c r="BH314" s="118"/>
      <c r="BI314" s="401"/>
      <c r="BJ314" s="971"/>
      <c r="BK314" s="118"/>
      <c r="BL314" s="118"/>
      <c r="BM314" s="118"/>
      <c r="BN314" s="401"/>
      <c r="BO314" s="118"/>
      <c r="BP314" s="118"/>
      <c r="BQ314" s="118"/>
      <c r="BR314" s="118"/>
      <c r="BS314" s="401"/>
      <c r="BT314" s="401"/>
      <c r="BU314" s="401"/>
      <c r="BV314" s="401"/>
      <c r="BW314" s="122"/>
    </row>
    <row r="315" spans="1:75" hidden="1" outlineLevel="3" x14ac:dyDescent="0.5">
      <c r="A315" s="1503" t="s">
        <v>1223</v>
      </c>
      <c r="B315" s="870"/>
      <c r="C315" s="871"/>
      <c r="D315" s="871"/>
      <c r="E315" s="871"/>
      <c r="F315" s="871"/>
      <c r="G315" s="872"/>
      <c r="H315" s="872"/>
      <c r="I315" s="872"/>
      <c r="J315" s="872"/>
      <c r="K315" s="871"/>
      <c r="L315" s="872"/>
      <c r="M315" s="872"/>
      <c r="N315" s="872"/>
      <c r="O315" s="872"/>
      <c r="P315" s="871"/>
      <c r="Q315" s="872"/>
      <c r="R315" s="872"/>
      <c r="S315" s="872"/>
      <c r="T315" s="872"/>
      <c r="U315" s="871"/>
      <c r="V315" s="872"/>
      <c r="W315" s="872"/>
      <c r="X315" s="872"/>
      <c r="Y315" s="872"/>
      <c r="Z315" s="871"/>
      <c r="AA315" s="872"/>
      <c r="AB315" s="872"/>
      <c r="AC315" s="872"/>
      <c r="AD315" s="872"/>
      <c r="AE315" s="871"/>
      <c r="AF315" s="872"/>
      <c r="AG315" s="872"/>
      <c r="AH315" s="872"/>
      <c r="AI315" s="872"/>
      <c r="AJ315" s="871"/>
      <c r="AK315" s="872"/>
      <c r="AL315" s="872"/>
      <c r="AM315" s="872"/>
      <c r="AN315" s="872"/>
      <c r="AO315" s="871"/>
      <c r="AP315" s="872"/>
      <c r="AQ315" s="872"/>
      <c r="AR315" s="872"/>
      <c r="AS315" s="872"/>
      <c r="AT315" s="871"/>
      <c r="AU315" s="872"/>
      <c r="AV315" s="872"/>
      <c r="AW315" s="872"/>
      <c r="AX315" s="872"/>
      <c r="AY315" s="871"/>
      <c r="AZ315" s="872"/>
      <c r="BA315" s="872"/>
      <c r="BB315" s="872"/>
      <c r="BC315" s="872"/>
      <c r="BD315" s="871"/>
      <c r="BE315" s="872"/>
      <c r="BF315" s="872"/>
      <c r="BG315" s="872"/>
      <c r="BH315" s="872"/>
      <c r="BI315" s="871"/>
      <c r="BJ315" s="1504"/>
      <c r="BK315" s="872"/>
      <c r="BL315" s="872"/>
      <c r="BM315" s="872"/>
      <c r="BN315" s="871"/>
      <c r="BO315" s="872"/>
      <c r="BP315" s="872"/>
      <c r="BQ315" s="872"/>
      <c r="BR315" s="872"/>
      <c r="BS315" s="871"/>
      <c r="BT315" s="871"/>
      <c r="BU315" s="871"/>
      <c r="BV315" s="871"/>
      <c r="BW315" s="122"/>
    </row>
    <row r="316" spans="1:75" hidden="1" outlineLevel="3" x14ac:dyDescent="0.5">
      <c r="A316" s="1505" t="s">
        <v>1225</v>
      </c>
      <c r="B316" s="1499"/>
      <c r="C316" s="1500"/>
      <c r="D316" s="1500"/>
      <c r="E316" s="1500"/>
      <c r="F316" s="1500"/>
      <c r="G316" s="1056"/>
      <c r="H316" s="1056"/>
      <c r="I316" s="1056"/>
      <c r="J316" s="1056"/>
      <c r="K316" s="1500"/>
      <c r="L316" s="1056"/>
      <c r="M316" s="1056"/>
      <c r="N316" s="1056"/>
      <c r="O316" s="1056"/>
      <c r="P316" s="1500"/>
      <c r="Q316" s="1056"/>
      <c r="R316" s="1056"/>
      <c r="S316" s="1056"/>
      <c r="T316" s="1056"/>
      <c r="U316" s="1500"/>
      <c r="V316" s="1056"/>
      <c r="W316" s="1056"/>
      <c r="X316" s="1056"/>
      <c r="Y316" s="1056"/>
      <c r="Z316" s="1500"/>
      <c r="AA316" s="1056"/>
      <c r="AB316" s="1056"/>
      <c r="AC316" s="1056"/>
      <c r="AD316" s="1056"/>
      <c r="AE316" s="1500"/>
      <c r="AF316" s="1056"/>
      <c r="AG316" s="1056"/>
      <c r="AH316" s="1056"/>
      <c r="AI316" s="1056"/>
      <c r="AJ316" s="1500"/>
      <c r="AK316" s="1056"/>
      <c r="AL316" s="1056"/>
      <c r="AM316" s="1056"/>
      <c r="AN316" s="1056"/>
      <c r="AO316" s="1500"/>
      <c r="AP316" s="1056"/>
      <c r="AQ316" s="1056"/>
      <c r="AR316" s="1056"/>
      <c r="AS316" s="1056"/>
      <c r="AT316" s="1500"/>
      <c r="AU316" s="1056"/>
      <c r="AV316" s="1056"/>
      <c r="AW316" s="1056"/>
      <c r="AX316" s="1056"/>
      <c r="AY316" s="1500"/>
      <c r="AZ316" s="1056"/>
      <c r="BA316" s="1056"/>
      <c r="BB316" s="1056"/>
      <c r="BC316" s="1056"/>
      <c r="BD316" s="1500"/>
      <c r="BE316" s="1056"/>
      <c r="BF316" s="1056"/>
      <c r="BG316" s="1056"/>
      <c r="BH316" s="1056"/>
      <c r="BI316" s="1500"/>
      <c r="BJ316" s="1058"/>
      <c r="BK316" s="1056"/>
      <c r="BL316" s="1056"/>
      <c r="BM316" s="1056"/>
      <c r="BN316" s="1500"/>
      <c r="BO316" s="1056"/>
      <c r="BP316" s="1056"/>
      <c r="BQ316" s="1056"/>
      <c r="BR316" s="1056"/>
      <c r="BS316" s="1500"/>
      <c r="BT316" s="1500"/>
      <c r="BU316" s="1500"/>
      <c r="BV316" s="1500"/>
      <c r="BW316" s="122"/>
    </row>
    <row r="317" spans="1:75" hidden="1" outlineLevel="3" x14ac:dyDescent="0.5">
      <c r="A317" s="184"/>
      <c r="B317" s="513"/>
      <c r="C317" s="401"/>
      <c r="D317" s="401"/>
      <c r="E317" s="401"/>
      <c r="F317" s="401"/>
      <c r="G317" s="118"/>
      <c r="H317" s="118"/>
      <c r="I317" s="118"/>
      <c r="J317" s="118"/>
      <c r="K317" s="401"/>
      <c r="L317" s="118"/>
      <c r="M317" s="118"/>
      <c r="N317" s="118"/>
      <c r="O317" s="118"/>
      <c r="P317" s="401"/>
      <c r="Q317" s="118"/>
      <c r="R317" s="118"/>
      <c r="S317" s="118"/>
      <c r="T317" s="118"/>
      <c r="U317" s="401"/>
      <c r="V317" s="118"/>
      <c r="W317" s="118"/>
      <c r="X317" s="118"/>
      <c r="Y317" s="118"/>
      <c r="Z317" s="401"/>
      <c r="AA317" s="118"/>
      <c r="AB317" s="118"/>
      <c r="AC317" s="118"/>
      <c r="AD317" s="118"/>
      <c r="AE317" s="401"/>
      <c r="AF317" s="118"/>
      <c r="AG317" s="118"/>
      <c r="AH317" s="118"/>
      <c r="AI317" s="118"/>
      <c r="AJ317" s="401"/>
      <c r="AK317" s="118"/>
      <c r="AL317" s="118"/>
      <c r="AM317" s="118"/>
      <c r="AN317" s="118"/>
      <c r="AO317" s="401"/>
      <c r="AP317" s="118"/>
      <c r="AQ317" s="118"/>
      <c r="AR317" s="118"/>
      <c r="AS317" s="118"/>
      <c r="AT317" s="401"/>
      <c r="AU317" s="118"/>
      <c r="AV317" s="118"/>
      <c r="AW317" s="118"/>
      <c r="AX317" s="118"/>
      <c r="AY317" s="401"/>
      <c r="AZ317" s="118"/>
      <c r="BA317" s="118"/>
      <c r="BB317" s="118"/>
      <c r="BC317" s="118"/>
      <c r="BD317" s="401"/>
      <c r="BE317" s="118"/>
      <c r="BF317" s="118"/>
      <c r="BG317" s="118"/>
      <c r="BH317" s="118"/>
      <c r="BI317" s="401"/>
      <c r="BJ317" s="971"/>
      <c r="BK317" s="118"/>
      <c r="BL317" s="118"/>
      <c r="BM317" s="118"/>
      <c r="BN317" s="401"/>
      <c r="BO317" s="118"/>
      <c r="BP317" s="118"/>
      <c r="BQ317" s="118"/>
      <c r="BR317" s="118"/>
      <c r="BS317" s="401"/>
      <c r="BT317" s="401"/>
      <c r="BU317" s="401"/>
      <c r="BV317" s="401"/>
      <c r="BW317" s="122"/>
    </row>
    <row r="318" spans="1:75" hidden="1" outlineLevel="3" x14ac:dyDescent="0.5">
      <c r="A318" s="184" t="s">
        <v>1226</v>
      </c>
      <c r="B318" s="513"/>
      <c r="C318" s="784"/>
      <c r="D318" s="784"/>
      <c r="E318" s="784"/>
      <c r="F318" s="784"/>
      <c r="G318" s="785"/>
      <c r="H318" s="785"/>
      <c r="I318" s="785"/>
      <c r="J318" s="785"/>
      <c r="K318" s="784"/>
      <c r="L318" s="785"/>
      <c r="M318" s="785"/>
      <c r="N318" s="785"/>
      <c r="O318" s="785"/>
      <c r="P318" s="784"/>
      <c r="Q318" s="785"/>
      <c r="R318" s="785"/>
      <c r="S318" s="785"/>
      <c r="T318" s="785"/>
      <c r="U318" s="784"/>
      <c r="V318" s="785"/>
      <c r="W318" s="785"/>
      <c r="X318" s="785"/>
      <c r="Y318" s="785"/>
      <c r="Z318" s="784"/>
      <c r="AA318" s="785"/>
      <c r="AB318" s="785"/>
      <c r="AC318" s="785"/>
      <c r="AD318" s="785"/>
      <c r="AE318" s="784"/>
      <c r="AF318" s="785"/>
      <c r="AG318" s="785"/>
      <c r="AH318" s="785"/>
      <c r="AI318" s="785"/>
      <c r="AJ318" s="784"/>
      <c r="AK318" s="785"/>
      <c r="AL318" s="785"/>
      <c r="AM318" s="785"/>
      <c r="AN318" s="785"/>
      <c r="AO318" s="784"/>
      <c r="AP318" s="785"/>
      <c r="AQ318" s="785"/>
      <c r="AR318" s="785"/>
      <c r="AS318" s="785"/>
      <c r="AT318" s="784"/>
      <c r="AU318" s="785"/>
      <c r="AV318" s="785"/>
      <c r="AW318" s="785"/>
      <c r="AX318" s="785"/>
      <c r="AY318" s="784"/>
      <c r="AZ318" s="785"/>
      <c r="BA318" s="785"/>
      <c r="BB318" s="785"/>
      <c r="BC318" s="785"/>
      <c r="BD318" s="784"/>
      <c r="BE318" s="785"/>
      <c r="BF318" s="785"/>
      <c r="BG318" s="785"/>
      <c r="BH318" s="785"/>
      <c r="BI318" s="784"/>
      <c r="BJ318" s="1067"/>
      <c r="BK318" s="785"/>
      <c r="BL318" s="785"/>
      <c r="BM318" s="785"/>
      <c r="BN318" s="784"/>
      <c r="BO318" s="785"/>
      <c r="BP318" s="785"/>
      <c r="BQ318" s="785"/>
      <c r="BR318" s="785"/>
      <c r="BS318" s="784"/>
      <c r="BT318" s="784"/>
      <c r="BU318" s="784"/>
      <c r="BV318" s="784"/>
      <c r="BW318" s="122"/>
    </row>
    <row r="319" spans="1:75" hidden="1" outlineLevel="3" x14ac:dyDescent="0.5">
      <c r="A319" s="496" t="s">
        <v>1227</v>
      </c>
      <c r="B319" s="513"/>
      <c r="C319" s="784"/>
      <c r="D319" s="784"/>
      <c r="E319" s="784"/>
      <c r="F319" s="784"/>
      <c r="G319" s="785"/>
      <c r="H319" s="785"/>
      <c r="I319" s="785"/>
      <c r="J319" s="785"/>
      <c r="K319" s="784"/>
      <c r="L319" s="785"/>
      <c r="M319" s="785"/>
      <c r="N319" s="785"/>
      <c r="O319" s="785"/>
      <c r="P319" s="784"/>
      <c r="Q319" s="785"/>
      <c r="R319" s="785"/>
      <c r="S319" s="785"/>
      <c r="T319" s="785"/>
      <c r="U319" s="784"/>
      <c r="V319" s="785"/>
      <c r="W319" s="785"/>
      <c r="X319" s="785"/>
      <c r="Y319" s="785"/>
      <c r="Z319" s="784"/>
      <c r="AA319" s="785"/>
      <c r="AB319" s="785"/>
      <c r="AC319" s="785"/>
      <c r="AD319" s="785"/>
      <c r="AE319" s="784"/>
      <c r="AF319" s="785"/>
      <c r="AG319" s="785"/>
      <c r="AH319" s="785"/>
      <c r="AI319" s="785"/>
      <c r="AJ319" s="784"/>
      <c r="AK319" s="785"/>
      <c r="AL319" s="785"/>
      <c r="AM319" s="785"/>
      <c r="AN319" s="785"/>
      <c r="AO319" s="784"/>
      <c r="AP319" s="785"/>
      <c r="AQ319" s="785"/>
      <c r="AR319" s="785"/>
      <c r="AS319" s="785"/>
      <c r="AT319" s="784"/>
      <c r="AU319" s="785"/>
      <c r="AV319" s="785"/>
      <c r="AW319" s="785"/>
      <c r="AX319" s="785"/>
      <c r="AY319" s="784"/>
      <c r="AZ319" s="785"/>
      <c r="BA319" s="785"/>
      <c r="BB319" s="785"/>
      <c r="BC319" s="785"/>
      <c r="BD319" s="784"/>
      <c r="BE319" s="785"/>
      <c r="BF319" s="785"/>
      <c r="BG319" s="785"/>
      <c r="BH319" s="785"/>
      <c r="BI319" s="784"/>
      <c r="BJ319" s="1067"/>
      <c r="BK319" s="785"/>
      <c r="BL319" s="785"/>
      <c r="BM319" s="785"/>
      <c r="BN319" s="784"/>
      <c r="BO319" s="785"/>
      <c r="BP319" s="785"/>
      <c r="BQ319" s="785"/>
      <c r="BR319" s="785"/>
      <c r="BS319" s="784"/>
      <c r="BT319" s="784"/>
      <c r="BU319" s="784"/>
      <c r="BV319" s="784"/>
      <c r="BW319" s="122"/>
    </row>
    <row r="320" spans="1:75" hidden="1" outlineLevel="3" x14ac:dyDescent="0.5">
      <c r="A320" s="496" t="s">
        <v>1228</v>
      </c>
      <c r="B320" s="513"/>
      <c r="C320" s="784"/>
      <c r="D320" s="784"/>
      <c r="E320" s="784"/>
      <c r="F320" s="784"/>
      <c r="G320" s="785"/>
      <c r="H320" s="785"/>
      <c r="I320" s="785"/>
      <c r="J320" s="785"/>
      <c r="K320" s="784"/>
      <c r="L320" s="785"/>
      <c r="M320" s="785"/>
      <c r="N320" s="785"/>
      <c r="O320" s="785"/>
      <c r="P320" s="784"/>
      <c r="Q320" s="785"/>
      <c r="R320" s="785"/>
      <c r="S320" s="785"/>
      <c r="T320" s="785"/>
      <c r="U320" s="784"/>
      <c r="V320" s="785"/>
      <c r="W320" s="785"/>
      <c r="X320" s="785"/>
      <c r="Y320" s="785"/>
      <c r="Z320" s="784"/>
      <c r="AA320" s="785"/>
      <c r="AB320" s="785"/>
      <c r="AC320" s="785"/>
      <c r="AD320" s="785"/>
      <c r="AE320" s="784"/>
      <c r="AF320" s="785"/>
      <c r="AG320" s="785"/>
      <c r="AH320" s="785"/>
      <c r="AI320" s="785"/>
      <c r="AJ320" s="784"/>
      <c r="AK320" s="785"/>
      <c r="AL320" s="785"/>
      <c r="AM320" s="785"/>
      <c r="AN320" s="785"/>
      <c r="AO320" s="784"/>
      <c r="AP320" s="785"/>
      <c r="AQ320" s="785"/>
      <c r="AR320" s="785"/>
      <c r="AS320" s="785"/>
      <c r="AT320" s="784"/>
      <c r="AU320" s="785"/>
      <c r="AV320" s="785"/>
      <c r="AW320" s="785"/>
      <c r="AX320" s="785"/>
      <c r="AY320" s="784"/>
      <c r="AZ320" s="785"/>
      <c r="BA320" s="785"/>
      <c r="BB320" s="785"/>
      <c r="BC320" s="785"/>
      <c r="BD320" s="784"/>
      <c r="BE320" s="785"/>
      <c r="BF320" s="785"/>
      <c r="BG320" s="785"/>
      <c r="BH320" s="785"/>
      <c r="BI320" s="784"/>
      <c r="BJ320" s="1067"/>
      <c r="BK320" s="785"/>
      <c r="BL320" s="785"/>
      <c r="BM320" s="785"/>
      <c r="BN320" s="784"/>
      <c r="BO320" s="785"/>
      <c r="BP320" s="785"/>
      <c r="BQ320" s="785"/>
      <c r="BR320" s="785"/>
      <c r="BS320" s="784"/>
      <c r="BT320" s="784"/>
      <c r="BU320" s="784"/>
      <c r="BV320" s="784"/>
      <c r="BW320" s="122"/>
    </row>
    <row r="321" spans="1:75" hidden="1" outlineLevel="3" x14ac:dyDescent="0.5">
      <c r="A321" s="1503" t="s">
        <v>1231</v>
      </c>
      <c r="B321" s="870"/>
      <c r="C321" s="1506"/>
      <c r="D321" s="1506"/>
      <c r="E321" s="1506"/>
      <c r="F321" s="1506"/>
      <c r="G321" s="1507"/>
      <c r="H321" s="1507"/>
      <c r="I321" s="1507"/>
      <c r="J321" s="1507"/>
      <c r="K321" s="1506"/>
      <c r="L321" s="1507"/>
      <c r="M321" s="1507"/>
      <c r="N321" s="1507"/>
      <c r="O321" s="1507"/>
      <c r="P321" s="1506"/>
      <c r="Q321" s="1507"/>
      <c r="R321" s="1507"/>
      <c r="S321" s="1507"/>
      <c r="T321" s="1507"/>
      <c r="U321" s="1506"/>
      <c r="V321" s="1507"/>
      <c r="W321" s="1507"/>
      <c r="X321" s="1507"/>
      <c r="Y321" s="1507"/>
      <c r="Z321" s="1506"/>
      <c r="AA321" s="1507"/>
      <c r="AB321" s="1507"/>
      <c r="AC321" s="1507"/>
      <c r="AD321" s="1507"/>
      <c r="AE321" s="1506"/>
      <c r="AF321" s="1507"/>
      <c r="AG321" s="1507"/>
      <c r="AH321" s="1507"/>
      <c r="AI321" s="1507"/>
      <c r="AJ321" s="1506"/>
      <c r="AK321" s="1507"/>
      <c r="AL321" s="1507"/>
      <c r="AM321" s="1507"/>
      <c r="AN321" s="1507"/>
      <c r="AO321" s="1506"/>
      <c r="AP321" s="1507"/>
      <c r="AQ321" s="1507"/>
      <c r="AR321" s="1507"/>
      <c r="AS321" s="1507"/>
      <c r="AT321" s="1506"/>
      <c r="AU321" s="1507"/>
      <c r="AV321" s="1507"/>
      <c r="AW321" s="1507"/>
      <c r="AX321" s="1507"/>
      <c r="AY321" s="1506"/>
      <c r="AZ321" s="1507"/>
      <c r="BA321" s="1507"/>
      <c r="BB321" s="1507"/>
      <c r="BC321" s="1507"/>
      <c r="BD321" s="1506"/>
      <c r="BE321" s="1507"/>
      <c r="BF321" s="1507"/>
      <c r="BG321" s="1507"/>
      <c r="BH321" s="1507"/>
      <c r="BI321" s="1506"/>
      <c r="BJ321" s="1508"/>
      <c r="BK321" s="1507"/>
      <c r="BL321" s="1507"/>
      <c r="BM321" s="1507"/>
      <c r="BN321" s="1506"/>
      <c r="BO321" s="1507"/>
      <c r="BP321" s="1507"/>
      <c r="BQ321" s="1507"/>
      <c r="BR321" s="1507"/>
      <c r="BS321" s="1506"/>
      <c r="BT321" s="1506"/>
      <c r="BU321" s="1506"/>
      <c r="BV321" s="1506"/>
      <c r="BW321" s="122"/>
    </row>
    <row r="322" spans="1:75" hidden="1" outlineLevel="3" x14ac:dyDescent="0.5">
      <c r="A322" s="1505" t="s">
        <v>1233</v>
      </c>
      <c r="B322" s="1499"/>
      <c r="C322" s="1509"/>
      <c r="D322" s="1509"/>
      <c r="E322" s="1509"/>
      <c r="F322" s="1509"/>
      <c r="G322" s="1510"/>
      <c r="H322" s="1510"/>
      <c r="I322" s="1510"/>
      <c r="J322" s="1510"/>
      <c r="K322" s="1509"/>
      <c r="L322" s="1510"/>
      <c r="M322" s="1510"/>
      <c r="N322" s="1510"/>
      <c r="O322" s="1510"/>
      <c r="P322" s="1509"/>
      <c r="Q322" s="1510"/>
      <c r="R322" s="1510"/>
      <c r="S322" s="1510"/>
      <c r="T322" s="1510"/>
      <c r="U322" s="1509"/>
      <c r="V322" s="1510"/>
      <c r="W322" s="1510"/>
      <c r="X322" s="1510"/>
      <c r="Y322" s="1510"/>
      <c r="Z322" s="1509"/>
      <c r="AA322" s="1510"/>
      <c r="AB322" s="1510"/>
      <c r="AC322" s="1510"/>
      <c r="AD322" s="1510"/>
      <c r="AE322" s="1509"/>
      <c r="AF322" s="1510"/>
      <c r="AG322" s="1510"/>
      <c r="AH322" s="1510"/>
      <c r="AI322" s="1510"/>
      <c r="AJ322" s="1509"/>
      <c r="AK322" s="1510"/>
      <c r="AL322" s="1510"/>
      <c r="AM322" s="1510"/>
      <c r="AN322" s="1510"/>
      <c r="AO322" s="1509"/>
      <c r="AP322" s="1510"/>
      <c r="AQ322" s="1510"/>
      <c r="AR322" s="1510"/>
      <c r="AS322" s="1510"/>
      <c r="AT322" s="1509"/>
      <c r="AU322" s="1510"/>
      <c r="AV322" s="1510"/>
      <c r="AW322" s="1510"/>
      <c r="AX322" s="1510"/>
      <c r="AY322" s="1509"/>
      <c r="AZ322" s="1510"/>
      <c r="BA322" s="1510"/>
      <c r="BB322" s="1510"/>
      <c r="BC322" s="1510"/>
      <c r="BD322" s="1509"/>
      <c r="BE322" s="1510"/>
      <c r="BF322" s="1510"/>
      <c r="BG322" s="1510"/>
      <c r="BH322" s="1510"/>
      <c r="BI322" s="1509"/>
      <c r="BJ322" s="1511"/>
      <c r="BK322" s="1510"/>
      <c r="BL322" s="1510"/>
      <c r="BM322" s="1510"/>
      <c r="BN322" s="1509"/>
      <c r="BO322" s="1510"/>
      <c r="BP322" s="1510"/>
      <c r="BQ322" s="1510"/>
      <c r="BR322" s="1510"/>
      <c r="BS322" s="1509"/>
      <c r="BT322" s="1509"/>
      <c r="BU322" s="1509"/>
      <c r="BV322" s="1509"/>
      <c r="BW322" s="122"/>
    </row>
    <row r="323" spans="1:75" hidden="1" outlineLevel="3" x14ac:dyDescent="0.5">
      <c r="A323" s="184"/>
      <c r="B323" s="513"/>
      <c r="C323" s="401"/>
      <c r="D323" s="401"/>
      <c r="E323" s="401"/>
      <c r="F323" s="401"/>
      <c r="G323" s="118"/>
      <c r="H323" s="118"/>
      <c r="I323" s="118"/>
      <c r="J323" s="118"/>
      <c r="K323" s="401"/>
      <c r="L323" s="118"/>
      <c r="M323" s="118"/>
      <c r="N323" s="118"/>
      <c r="O323" s="118"/>
      <c r="P323" s="401"/>
      <c r="Q323" s="118"/>
      <c r="R323" s="118"/>
      <c r="S323" s="118"/>
      <c r="T323" s="118"/>
      <c r="U323" s="401"/>
      <c r="V323" s="118"/>
      <c r="W323" s="118"/>
      <c r="X323" s="118"/>
      <c r="Y323" s="118"/>
      <c r="Z323" s="401"/>
      <c r="AA323" s="118"/>
      <c r="AB323" s="118"/>
      <c r="AC323" s="118"/>
      <c r="AD323" s="118"/>
      <c r="AE323" s="401"/>
      <c r="AF323" s="118"/>
      <c r="AG323" s="118"/>
      <c r="AH323" s="118"/>
      <c r="AI323" s="118"/>
      <c r="AJ323" s="401"/>
      <c r="AK323" s="118"/>
      <c r="AL323" s="118"/>
      <c r="AM323" s="118"/>
      <c r="AN323" s="118"/>
      <c r="AO323" s="401"/>
      <c r="AP323" s="118"/>
      <c r="AQ323" s="118"/>
      <c r="AR323" s="118"/>
      <c r="AS323" s="118"/>
      <c r="AT323" s="401"/>
      <c r="AU323" s="118"/>
      <c r="AV323" s="118"/>
      <c r="AW323" s="118"/>
      <c r="AX323" s="118"/>
      <c r="AY323" s="401"/>
      <c r="AZ323" s="118"/>
      <c r="BA323" s="118"/>
      <c r="BB323" s="118"/>
      <c r="BC323" s="118"/>
      <c r="BD323" s="401"/>
      <c r="BE323" s="118"/>
      <c r="BF323" s="118"/>
      <c r="BG323" s="118"/>
      <c r="BH323" s="118"/>
      <c r="BI323" s="401"/>
      <c r="BJ323" s="971"/>
      <c r="BK323" s="118"/>
      <c r="BL323" s="118"/>
      <c r="BM323" s="118"/>
      <c r="BN323" s="401"/>
      <c r="BO323" s="118"/>
      <c r="BP323" s="118"/>
      <c r="BQ323" s="118"/>
      <c r="BR323" s="118"/>
      <c r="BS323" s="401"/>
      <c r="BT323" s="401"/>
      <c r="BU323" s="401"/>
      <c r="BV323" s="401"/>
      <c r="BW323" s="122"/>
    </row>
    <row r="324" spans="1:75" hidden="1" outlineLevel="3" x14ac:dyDescent="0.5">
      <c r="A324" s="184" t="s">
        <v>2351</v>
      </c>
      <c r="B324" s="513"/>
      <c r="C324" s="401"/>
      <c r="D324" s="401"/>
      <c r="E324" s="401"/>
      <c r="F324" s="401"/>
      <c r="G324" s="118"/>
      <c r="H324" s="118"/>
      <c r="I324" s="118"/>
      <c r="J324" s="118"/>
      <c r="K324" s="401"/>
      <c r="L324" s="118"/>
      <c r="M324" s="118"/>
      <c r="N324" s="118"/>
      <c r="O324" s="118"/>
      <c r="P324" s="401"/>
      <c r="Q324" s="118"/>
      <c r="R324" s="118"/>
      <c r="S324" s="118"/>
      <c r="T324" s="118"/>
      <c r="U324" s="401"/>
      <c r="V324" s="118"/>
      <c r="W324" s="118"/>
      <c r="X324" s="118"/>
      <c r="Y324" s="118"/>
      <c r="Z324" s="401"/>
      <c r="AA324" s="118"/>
      <c r="AB324" s="118"/>
      <c r="AC324" s="118"/>
      <c r="AD324" s="118"/>
      <c r="AE324" s="401"/>
      <c r="AF324" s="118"/>
      <c r="AG324" s="118"/>
      <c r="AH324" s="118"/>
      <c r="AI324" s="118"/>
      <c r="AJ324" s="401"/>
      <c r="AK324" s="118"/>
      <c r="AL324" s="118"/>
      <c r="AM324" s="118"/>
      <c r="AN324" s="118"/>
      <c r="AO324" s="401"/>
      <c r="AP324" s="118"/>
      <c r="AQ324" s="118"/>
      <c r="AR324" s="118"/>
      <c r="AS324" s="118"/>
      <c r="AT324" s="401"/>
      <c r="AU324" s="118"/>
      <c r="AV324" s="118"/>
      <c r="AW324" s="118"/>
      <c r="AX324" s="118"/>
      <c r="AY324" s="401"/>
      <c r="AZ324" s="118"/>
      <c r="BA324" s="118"/>
      <c r="BB324" s="118"/>
      <c r="BC324" s="118"/>
      <c r="BD324" s="401"/>
      <c r="BE324" s="118"/>
      <c r="BF324" s="118"/>
      <c r="BG324" s="118"/>
      <c r="BH324" s="118"/>
      <c r="BI324" s="401"/>
      <c r="BJ324" s="971"/>
      <c r="BK324" s="118"/>
      <c r="BL324" s="118"/>
      <c r="BM324" s="118"/>
      <c r="BN324" s="401"/>
      <c r="BO324" s="118"/>
      <c r="BP324" s="118"/>
      <c r="BQ324" s="118"/>
      <c r="BR324" s="118"/>
      <c r="BS324" s="401"/>
      <c r="BT324" s="401"/>
      <c r="BU324" s="401"/>
      <c r="BV324" s="401"/>
      <c r="BW324" s="122"/>
    </row>
    <row r="325" spans="1:75" hidden="1" outlineLevel="3" x14ac:dyDescent="0.5">
      <c r="A325" s="496" t="s">
        <v>1220</v>
      </c>
      <c r="B325" s="513"/>
      <c r="C325" s="401"/>
      <c r="D325" s="401"/>
      <c r="E325" s="401"/>
      <c r="F325" s="401"/>
      <c r="G325" s="118"/>
      <c r="H325" s="118"/>
      <c r="I325" s="118"/>
      <c r="J325" s="118"/>
      <c r="K325" s="401"/>
      <c r="L325" s="118"/>
      <c r="M325" s="118"/>
      <c r="N325" s="118"/>
      <c r="O325" s="118"/>
      <c r="P325" s="401"/>
      <c r="Q325" s="118"/>
      <c r="R325" s="118"/>
      <c r="S325" s="118"/>
      <c r="T325" s="118"/>
      <c r="U325" s="401"/>
      <c r="V325" s="118"/>
      <c r="W325" s="118"/>
      <c r="X325" s="118"/>
      <c r="Y325" s="118"/>
      <c r="Z325" s="401"/>
      <c r="AA325" s="118"/>
      <c r="AB325" s="118"/>
      <c r="AC325" s="118"/>
      <c r="AD325" s="118"/>
      <c r="AE325" s="401"/>
      <c r="AF325" s="118"/>
      <c r="AG325" s="118"/>
      <c r="AH325" s="118"/>
      <c r="AI325" s="118"/>
      <c r="AJ325" s="401"/>
      <c r="AK325" s="118"/>
      <c r="AL325" s="118"/>
      <c r="AM325" s="118"/>
      <c r="AN325" s="118"/>
      <c r="AO325" s="401"/>
      <c r="AP325" s="118"/>
      <c r="AQ325" s="118"/>
      <c r="AR325" s="118"/>
      <c r="AS325" s="118"/>
      <c r="AT325" s="401"/>
      <c r="AU325" s="118"/>
      <c r="AV325" s="118"/>
      <c r="AW325" s="118"/>
      <c r="AX325" s="118"/>
      <c r="AY325" s="401"/>
      <c r="AZ325" s="118"/>
      <c r="BA325" s="118"/>
      <c r="BB325" s="118"/>
      <c r="BC325" s="118"/>
      <c r="BD325" s="401"/>
      <c r="BE325" s="118"/>
      <c r="BF325" s="118"/>
      <c r="BG325" s="118"/>
      <c r="BH325" s="118"/>
      <c r="BI325" s="401"/>
      <c r="BJ325" s="971"/>
      <c r="BK325" s="118"/>
      <c r="BL325" s="118"/>
      <c r="BM325" s="118"/>
      <c r="BN325" s="401"/>
      <c r="BO325" s="118"/>
      <c r="BP325" s="118"/>
      <c r="BQ325" s="118"/>
      <c r="BR325" s="118"/>
      <c r="BS325" s="401"/>
      <c r="BT325" s="401"/>
      <c r="BU325" s="401"/>
      <c r="BV325" s="401"/>
      <c r="BW325" s="122"/>
    </row>
    <row r="326" spans="1:75" hidden="1" outlineLevel="3" x14ac:dyDescent="0.5">
      <c r="A326" s="1503" t="s">
        <v>1223</v>
      </c>
      <c r="B326" s="870"/>
      <c r="C326" s="871"/>
      <c r="D326" s="871"/>
      <c r="E326" s="871"/>
      <c r="F326" s="871"/>
      <c r="G326" s="872"/>
      <c r="H326" s="872"/>
      <c r="I326" s="872"/>
      <c r="J326" s="872"/>
      <c r="K326" s="871"/>
      <c r="L326" s="872"/>
      <c r="M326" s="872"/>
      <c r="N326" s="872"/>
      <c r="O326" s="872"/>
      <c r="P326" s="871"/>
      <c r="Q326" s="872"/>
      <c r="R326" s="872"/>
      <c r="S326" s="872"/>
      <c r="T326" s="872"/>
      <c r="U326" s="871"/>
      <c r="V326" s="872"/>
      <c r="W326" s="872"/>
      <c r="X326" s="872"/>
      <c r="Y326" s="872"/>
      <c r="Z326" s="871"/>
      <c r="AA326" s="872"/>
      <c r="AB326" s="872"/>
      <c r="AC326" s="872"/>
      <c r="AD326" s="872"/>
      <c r="AE326" s="871"/>
      <c r="AF326" s="872"/>
      <c r="AG326" s="872"/>
      <c r="AH326" s="872"/>
      <c r="AI326" s="872"/>
      <c r="AJ326" s="871"/>
      <c r="AK326" s="872"/>
      <c r="AL326" s="872"/>
      <c r="AM326" s="872"/>
      <c r="AN326" s="872"/>
      <c r="AO326" s="871"/>
      <c r="AP326" s="872"/>
      <c r="AQ326" s="872"/>
      <c r="AR326" s="872"/>
      <c r="AS326" s="872"/>
      <c r="AT326" s="871"/>
      <c r="AU326" s="872"/>
      <c r="AV326" s="872"/>
      <c r="AW326" s="872"/>
      <c r="AX326" s="872"/>
      <c r="AY326" s="871"/>
      <c r="AZ326" s="872"/>
      <c r="BA326" s="872"/>
      <c r="BB326" s="872"/>
      <c r="BC326" s="872"/>
      <c r="BD326" s="871"/>
      <c r="BE326" s="872"/>
      <c r="BF326" s="872"/>
      <c r="BG326" s="872"/>
      <c r="BH326" s="872"/>
      <c r="BI326" s="871"/>
      <c r="BJ326" s="1504"/>
      <c r="BK326" s="872"/>
      <c r="BL326" s="872"/>
      <c r="BM326" s="872"/>
      <c r="BN326" s="871"/>
      <c r="BO326" s="872"/>
      <c r="BP326" s="872"/>
      <c r="BQ326" s="872"/>
      <c r="BR326" s="872"/>
      <c r="BS326" s="871"/>
      <c r="BT326" s="871"/>
      <c r="BU326" s="871"/>
      <c r="BV326" s="871"/>
      <c r="BW326" s="122"/>
    </row>
    <row r="327" spans="1:75" hidden="1" outlineLevel="3" x14ac:dyDescent="0.5">
      <c r="A327" s="1505" t="s">
        <v>2352</v>
      </c>
      <c r="B327" s="1499"/>
      <c r="C327" s="1500"/>
      <c r="D327" s="1500"/>
      <c r="E327" s="1500"/>
      <c r="F327" s="1500"/>
      <c r="G327" s="1056"/>
      <c r="H327" s="1056"/>
      <c r="I327" s="1056"/>
      <c r="J327" s="1056"/>
      <c r="K327" s="1500"/>
      <c r="L327" s="1056"/>
      <c r="M327" s="1056"/>
      <c r="N327" s="1056"/>
      <c r="O327" s="1056"/>
      <c r="P327" s="1500"/>
      <c r="Q327" s="1056"/>
      <c r="R327" s="1056"/>
      <c r="S327" s="1056"/>
      <c r="T327" s="1056"/>
      <c r="U327" s="1500"/>
      <c r="V327" s="1056"/>
      <c r="W327" s="1056"/>
      <c r="X327" s="1056"/>
      <c r="Y327" s="1056"/>
      <c r="Z327" s="1500"/>
      <c r="AA327" s="1056"/>
      <c r="AB327" s="1056"/>
      <c r="AC327" s="1056"/>
      <c r="AD327" s="1056"/>
      <c r="AE327" s="1500"/>
      <c r="AF327" s="1056"/>
      <c r="AG327" s="1056"/>
      <c r="AH327" s="1056"/>
      <c r="AI327" s="1056"/>
      <c r="AJ327" s="1500"/>
      <c r="AK327" s="1056"/>
      <c r="AL327" s="1056"/>
      <c r="AM327" s="1056"/>
      <c r="AN327" s="1056"/>
      <c r="AO327" s="1500"/>
      <c r="AP327" s="1056"/>
      <c r="AQ327" s="1056"/>
      <c r="AR327" s="1056"/>
      <c r="AS327" s="1056"/>
      <c r="AT327" s="1500"/>
      <c r="AU327" s="1056"/>
      <c r="AV327" s="1056"/>
      <c r="AW327" s="1056"/>
      <c r="AX327" s="1056"/>
      <c r="AY327" s="1500"/>
      <c r="AZ327" s="1056"/>
      <c r="BA327" s="1056"/>
      <c r="BB327" s="1056"/>
      <c r="BC327" s="1056"/>
      <c r="BD327" s="1500"/>
      <c r="BE327" s="1056"/>
      <c r="BF327" s="1056"/>
      <c r="BG327" s="1056"/>
      <c r="BH327" s="1056"/>
      <c r="BI327" s="1500"/>
      <c r="BJ327" s="1058"/>
      <c r="BK327" s="1056"/>
      <c r="BL327" s="1056"/>
      <c r="BM327" s="1056"/>
      <c r="BN327" s="1500"/>
      <c r="BO327" s="1056"/>
      <c r="BP327" s="1056"/>
      <c r="BQ327" s="1056"/>
      <c r="BR327" s="1056"/>
      <c r="BS327" s="1500"/>
      <c r="BT327" s="1500"/>
      <c r="BU327" s="1500"/>
      <c r="BV327" s="1500"/>
      <c r="BW327" s="122"/>
    </row>
    <row r="328" spans="1:75" hidden="1" outlineLevel="3" x14ac:dyDescent="0.5">
      <c r="A328" s="184"/>
      <c r="B328" s="513"/>
      <c r="C328" s="401"/>
      <c r="D328" s="401"/>
      <c r="E328" s="401"/>
      <c r="F328" s="401"/>
      <c r="G328" s="118"/>
      <c r="H328" s="118"/>
      <c r="I328" s="118"/>
      <c r="J328" s="118"/>
      <c r="K328" s="401"/>
      <c r="L328" s="118"/>
      <c r="M328" s="118"/>
      <c r="N328" s="118"/>
      <c r="O328" s="118"/>
      <c r="P328" s="401"/>
      <c r="Q328" s="118"/>
      <c r="R328" s="118"/>
      <c r="S328" s="118"/>
      <c r="T328" s="118"/>
      <c r="U328" s="401"/>
      <c r="V328" s="118"/>
      <c r="W328" s="118"/>
      <c r="X328" s="118"/>
      <c r="Y328" s="118"/>
      <c r="Z328" s="401"/>
      <c r="AA328" s="118"/>
      <c r="AB328" s="118"/>
      <c r="AC328" s="118"/>
      <c r="AD328" s="118"/>
      <c r="AE328" s="401"/>
      <c r="AF328" s="118"/>
      <c r="AG328" s="118"/>
      <c r="AH328" s="118"/>
      <c r="AI328" s="118"/>
      <c r="AJ328" s="401"/>
      <c r="AK328" s="118"/>
      <c r="AL328" s="118"/>
      <c r="AM328" s="118"/>
      <c r="AN328" s="118"/>
      <c r="AO328" s="401"/>
      <c r="AP328" s="118"/>
      <c r="AQ328" s="118"/>
      <c r="AR328" s="118"/>
      <c r="AS328" s="118"/>
      <c r="AT328" s="401"/>
      <c r="AU328" s="118"/>
      <c r="AV328" s="118"/>
      <c r="AW328" s="118"/>
      <c r="AX328" s="118"/>
      <c r="AY328" s="401"/>
      <c r="AZ328" s="118"/>
      <c r="BA328" s="118"/>
      <c r="BB328" s="118"/>
      <c r="BC328" s="118"/>
      <c r="BD328" s="401"/>
      <c r="BE328" s="118"/>
      <c r="BF328" s="118"/>
      <c r="BG328" s="118"/>
      <c r="BH328" s="118"/>
      <c r="BI328" s="401"/>
      <c r="BJ328" s="971"/>
      <c r="BK328" s="118"/>
      <c r="BL328" s="118"/>
      <c r="BM328" s="118"/>
      <c r="BN328" s="401"/>
      <c r="BO328" s="118"/>
      <c r="BP328" s="118"/>
      <c r="BQ328" s="118"/>
      <c r="BR328" s="118"/>
      <c r="BS328" s="401"/>
      <c r="BT328" s="401"/>
      <c r="BU328" s="401"/>
      <c r="BV328" s="401"/>
      <c r="BW328" s="122"/>
    </row>
    <row r="329" spans="1:75" hidden="1" outlineLevel="3" x14ac:dyDescent="0.5">
      <c r="A329" s="184" t="s">
        <v>2353</v>
      </c>
      <c r="B329" s="513"/>
      <c r="C329" s="784"/>
      <c r="D329" s="784"/>
      <c r="E329" s="784"/>
      <c r="F329" s="784"/>
      <c r="G329" s="785"/>
      <c r="H329" s="785"/>
      <c r="I329" s="785"/>
      <c r="J329" s="785"/>
      <c r="K329" s="784"/>
      <c r="L329" s="785"/>
      <c r="M329" s="785"/>
      <c r="N329" s="785"/>
      <c r="O329" s="785"/>
      <c r="P329" s="784"/>
      <c r="Q329" s="785"/>
      <c r="R329" s="785"/>
      <c r="S329" s="785"/>
      <c r="T329" s="785"/>
      <c r="U329" s="784"/>
      <c r="V329" s="785"/>
      <c r="W329" s="785"/>
      <c r="X329" s="785"/>
      <c r="Y329" s="785"/>
      <c r="Z329" s="784"/>
      <c r="AA329" s="785"/>
      <c r="AB329" s="785"/>
      <c r="AC329" s="785"/>
      <c r="AD329" s="785"/>
      <c r="AE329" s="784"/>
      <c r="AF329" s="785"/>
      <c r="AG329" s="785"/>
      <c r="AH329" s="785"/>
      <c r="AI329" s="785"/>
      <c r="AJ329" s="784"/>
      <c r="AK329" s="785"/>
      <c r="AL329" s="785"/>
      <c r="AM329" s="785"/>
      <c r="AN329" s="785"/>
      <c r="AO329" s="784"/>
      <c r="AP329" s="785"/>
      <c r="AQ329" s="785"/>
      <c r="AR329" s="785"/>
      <c r="AS329" s="785"/>
      <c r="AT329" s="784"/>
      <c r="AU329" s="785"/>
      <c r="AV329" s="785"/>
      <c r="AW329" s="785"/>
      <c r="AX329" s="785"/>
      <c r="AY329" s="784"/>
      <c r="AZ329" s="785"/>
      <c r="BA329" s="785"/>
      <c r="BB329" s="785"/>
      <c r="BC329" s="785"/>
      <c r="BD329" s="784"/>
      <c r="BE329" s="785"/>
      <c r="BF329" s="785"/>
      <c r="BG329" s="785"/>
      <c r="BH329" s="785"/>
      <c r="BI329" s="784"/>
      <c r="BJ329" s="1067"/>
      <c r="BK329" s="785"/>
      <c r="BL329" s="785"/>
      <c r="BM329" s="785"/>
      <c r="BN329" s="784"/>
      <c r="BO329" s="785"/>
      <c r="BP329" s="785"/>
      <c r="BQ329" s="785"/>
      <c r="BR329" s="785"/>
      <c r="BS329" s="784"/>
      <c r="BT329" s="784"/>
      <c r="BU329" s="784"/>
      <c r="BV329" s="784"/>
      <c r="BW329" s="122"/>
    </row>
    <row r="330" spans="1:75" hidden="1" outlineLevel="3" x14ac:dyDescent="0.5">
      <c r="A330" s="496" t="s">
        <v>1228</v>
      </c>
      <c r="B330" s="513"/>
      <c r="C330" s="784"/>
      <c r="D330" s="784"/>
      <c r="E330" s="784"/>
      <c r="F330" s="784"/>
      <c r="G330" s="785"/>
      <c r="H330" s="785"/>
      <c r="I330" s="785"/>
      <c r="J330" s="785"/>
      <c r="K330" s="784"/>
      <c r="L330" s="785"/>
      <c r="M330" s="785"/>
      <c r="N330" s="785"/>
      <c r="O330" s="785"/>
      <c r="P330" s="784"/>
      <c r="Q330" s="785"/>
      <c r="R330" s="785"/>
      <c r="S330" s="785"/>
      <c r="T330" s="785"/>
      <c r="U330" s="784"/>
      <c r="V330" s="785"/>
      <c r="W330" s="785"/>
      <c r="X330" s="785"/>
      <c r="Y330" s="785"/>
      <c r="Z330" s="784"/>
      <c r="AA330" s="785"/>
      <c r="AB330" s="785"/>
      <c r="AC330" s="785"/>
      <c r="AD330" s="785"/>
      <c r="AE330" s="784"/>
      <c r="AF330" s="785"/>
      <c r="AG330" s="785"/>
      <c r="AH330" s="785"/>
      <c r="AI330" s="785"/>
      <c r="AJ330" s="784"/>
      <c r="AK330" s="785"/>
      <c r="AL330" s="785"/>
      <c r="AM330" s="785"/>
      <c r="AN330" s="785"/>
      <c r="AO330" s="784"/>
      <c r="AP330" s="785"/>
      <c r="AQ330" s="785"/>
      <c r="AR330" s="785"/>
      <c r="AS330" s="785"/>
      <c r="AT330" s="784"/>
      <c r="AU330" s="785"/>
      <c r="AV330" s="785"/>
      <c r="AW330" s="785"/>
      <c r="AX330" s="785"/>
      <c r="AY330" s="784"/>
      <c r="AZ330" s="785"/>
      <c r="BA330" s="785"/>
      <c r="BB330" s="785"/>
      <c r="BC330" s="785"/>
      <c r="BD330" s="784"/>
      <c r="BE330" s="785"/>
      <c r="BF330" s="785"/>
      <c r="BG330" s="785"/>
      <c r="BH330" s="785"/>
      <c r="BI330" s="784"/>
      <c r="BJ330" s="1067"/>
      <c r="BK330" s="785"/>
      <c r="BL330" s="785"/>
      <c r="BM330" s="785"/>
      <c r="BN330" s="784"/>
      <c r="BO330" s="785"/>
      <c r="BP330" s="785"/>
      <c r="BQ330" s="785"/>
      <c r="BR330" s="785"/>
      <c r="BS330" s="784"/>
      <c r="BT330" s="784"/>
      <c r="BU330" s="784"/>
      <c r="BV330" s="784"/>
      <c r="BW330" s="122"/>
    </row>
    <row r="331" spans="1:75" hidden="1" outlineLevel="3" x14ac:dyDescent="0.5">
      <c r="A331" s="1503" t="s">
        <v>1231</v>
      </c>
      <c r="B331" s="870"/>
      <c r="C331" s="1506"/>
      <c r="D331" s="1506"/>
      <c r="E331" s="1506"/>
      <c r="F331" s="1506"/>
      <c r="G331" s="1507"/>
      <c r="H331" s="1507"/>
      <c r="I331" s="1507"/>
      <c r="J331" s="1507"/>
      <c r="K331" s="1506"/>
      <c r="L331" s="1507"/>
      <c r="M331" s="1507"/>
      <c r="N331" s="1507"/>
      <c r="O331" s="1507"/>
      <c r="P331" s="1506"/>
      <c r="Q331" s="1507"/>
      <c r="R331" s="1507"/>
      <c r="S331" s="1507"/>
      <c r="T331" s="1507"/>
      <c r="U331" s="1506"/>
      <c r="V331" s="1507"/>
      <c r="W331" s="1507"/>
      <c r="X331" s="1507"/>
      <c r="Y331" s="1507"/>
      <c r="Z331" s="1506"/>
      <c r="AA331" s="1507"/>
      <c r="AB331" s="1507"/>
      <c r="AC331" s="1507"/>
      <c r="AD331" s="1507"/>
      <c r="AE331" s="1506"/>
      <c r="AF331" s="1507"/>
      <c r="AG331" s="1507"/>
      <c r="AH331" s="1507"/>
      <c r="AI331" s="1507"/>
      <c r="AJ331" s="1506"/>
      <c r="AK331" s="1507"/>
      <c r="AL331" s="1507"/>
      <c r="AM331" s="1507"/>
      <c r="AN331" s="1507"/>
      <c r="AO331" s="1506"/>
      <c r="AP331" s="1507"/>
      <c r="AQ331" s="1507"/>
      <c r="AR331" s="1507"/>
      <c r="AS331" s="1507"/>
      <c r="AT331" s="1506"/>
      <c r="AU331" s="1507"/>
      <c r="AV331" s="1507"/>
      <c r="AW331" s="1507"/>
      <c r="AX331" s="1507"/>
      <c r="AY331" s="1506"/>
      <c r="AZ331" s="1507"/>
      <c r="BA331" s="1507"/>
      <c r="BB331" s="1507"/>
      <c r="BC331" s="1507"/>
      <c r="BD331" s="1506"/>
      <c r="BE331" s="1507"/>
      <c r="BF331" s="1507"/>
      <c r="BG331" s="1507"/>
      <c r="BH331" s="1507"/>
      <c r="BI331" s="1506"/>
      <c r="BJ331" s="1508"/>
      <c r="BK331" s="1507"/>
      <c r="BL331" s="1507"/>
      <c r="BM331" s="1507"/>
      <c r="BN331" s="1506"/>
      <c r="BO331" s="1507"/>
      <c r="BP331" s="1507"/>
      <c r="BQ331" s="1507"/>
      <c r="BR331" s="1507"/>
      <c r="BS331" s="1506"/>
      <c r="BT331" s="1506"/>
      <c r="BU331" s="1506"/>
      <c r="BV331" s="1506"/>
      <c r="BW331" s="122"/>
    </row>
    <row r="332" spans="1:75" hidden="1" outlineLevel="3" x14ac:dyDescent="0.5">
      <c r="A332" s="1505" t="s">
        <v>2354</v>
      </c>
      <c r="B332" s="1499"/>
      <c r="C332" s="1509"/>
      <c r="D332" s="1509"/>
      <c r="E332" s="1509"/>
      <c r="F332" s="1509"/>
      <c r="G332" s="1510"/>
      <c r="H332" s="1510"/>
      <c r="I332" s="1510"/>
      <c r="J332" s="1510"/>
      <c r="K332" s="1509"/>
      <c r="L332" s="1510"/>
      <c r="M332" s="1510"/>
      <c r="N332" s="1510"/>
      <c r="O332" s="1510"/>
      <c r="P332" s="1509"/>
      <c r="Q332" s="1510"/>
      <c r="R332" s="1510"/>
      <c r="S332" s="1510"/>
      <c r="T332" s="1510"/>
      <c r="U332" s="1509"/>
      <c r="V332" s="1510"/>
      <c r="W332" s="1510"/>
      <c r="X332" s="1510"/>
      <c r="Y332" s="1510"/>
      <c r="Z332" s="1509"/>
      <c r="AA332" s="1510"/>
      <c r="AB332" s="1510"/>
      <c r="AC332" s="1510"/>
      <c r="AD332" s="1510"/>
      <c r="AE332" s="1509"/>
      <c r="AF332" s="1510"/>
      <c r="AG332" s="1510"/>
      <c r="AH332" s="1510"/>
      <c r="AI332" s="1510"/>
      <c r="AJ332" s="1509"/>
      <c r="AK332" s="1510"/>
      <c r="AL332" s="1510"/>
      <c r="AM332" s="1510"/>
      <c r="AN332" s="1510"/>
      <c r="AO332" s="1509"/>
      <c r="AP332" s="1510"/>
      <c r="AQ332" s="1510"/>
      <c r="AR332" s="1510"/>
      <c r="AS332" s="1510"/>
      <c r="AT332" s="1509"/>
      <c r="AU332" s="1510"/>
      <c r="AV332" s="1510"/>
      <c r="AW332" s="1510"/>
      <c r="AX332" s="1510"/>
      <c r="AY332" s="1509"/>
      <c r="AZ332" s="1510"/>
      <c r="BA332" s="1510"/>
      <c r="BB332" s="1510"/>
      <c r="BC332" s="1510"/>
      <c r="BD332" s="1509"/>
      <c r="BE332" s="1510"/>
      <c r="BF332" s="1510"/>
      <c r="BG332" s="1510"/>
      <c r="BH332" s="1510"/>
      <c r="BI332" s="1509"/>
      <c r="BJ332" s="1511"/>
      <c r="BK332" s="1510"/>
      <c r="BL332" s="1510"/>
      <c r="BM332" s="1510"/>
      <c r="BN332" s="1509"/>
      <c r="BO332" s="1510"/>
      <c r="BP332" s="1510"/>
      <c r="BQ332" s="1510"/>
      <c r="BR332" s="1510"/>
      <c r="BS332" s="1509"/>
      <c r="BT332" s="1509"/>
      <c r="BU332" s="1509"/>
      <c r="BV332" s="1509"/>
      <c r="BW332" s="122"/>
    </row>
    <row r="333" spans="1:75" hidden="1" outlineLevel="3" x14ac:dyDescent="0.5">
      <c r="A333" s="184"/>
      <c r="B333" s="513"/>
      <c r="C333" s="401"/>
      <c r="D333" s="401"/>
      <c r="E333" s="401"/>
      <c r="F333" s="401"/>
      <c r="G333" s="118"/>
      <c r="H333" s="118"/>
      <c r="I333" s="118"/>
      <c r="J333" s="118"/>
      <c r="K333" s="401"/>
      <c r="L333" s="118"/>
      <c r="M333" s="118"/>
      <c r="N333" s="118"/>
      <c r="O333" s="118"/>
      <c r="P333" s="401"/>
      <c r="Q333" s="118"/>
      <c r="R333" s="118"/>
      <c r="S333" s="118"/>
      <c r="T333" s="118"/>
      <c r="U333" s="401"/>
      <c r="V333" s="118"/>
      <c r="W333" s="118"/>
      <c r="X333" s="118"/>
      <c r="Y333" s="118"/>
      <c r="Z333" s="401"/>
      <c r="AA333" s="118"/>
      <c r="AB333" s="118"/>
      <c r="AC333" s="118"/>
      <c r="AD333" s="118"/>
      <c r="AE333" s="401"/>
      <c r="AF333" s="118"/>
      <c r="AG333" s="118"/>
      <c r="AH333" s="118"/>
      <c r="AI333" s="118"/>
      <c r="AJ333" s="401"/>
      <c r="AK333" s="118"/>
      <c r="AL333" s="118"/>
      <c r="AM333" s="118"/>
      <c r="AN333" s="118"/>
      <c r="AO333" s="401"/>
      <c r="AP333" s="118"/>
      <c r="AQ333" s="118"/>
      <c r="AR333" s="118"/>
      <c r="AS333" s="118"/>
      <c r="AT333" s="401"/>
      <c r="AU333" s="118"/>
      <c r="AV333" s="118"/>
      <c r="AW333" s="118"/>
      <c r="AX333" s="118"/>
      <c r="AY333" s="401"/>
      <c r="AZ333" s="118"/>
      <c r="BA333" s="118"/>
      <c r="BB333" s="118"/>
      <c r="BC333" s="118"/>
      <c r="BD333" s="401"/>
      <c r="BE333" s="118"/>
      <c r="BF333" s="118"/>
      <c r="BG333" s="118"/>
      <c r="BH333" s="118"/>
      <c r="BI333" s="401"/>
      <c r="BJ333" s="971"/>
      <c r="BK333" s="118"/>
      <c r="BL333" s="118"/>
      <c r="BM333" s="118"/>
      <c r="BN333" s="401"/>
      <c r="BO333" s="118"/>
      <c r="BP333" s="118"/>
      <c r="BQ333" s="118"/>
      <c r="BR333" s="118"/>
      <c r="BS333" s="401"/>
      <c r="BT333" s="401"/>
      <c r="BU333" s="401"/>
      <c r="BV333" s="401"/>
      <c r="BW333" s="122"/>
    </row>
    <row r="334" spans="1:75" hidden="1" outlineLevel="3" x14ac:dyDescent="0.5">
      <c r="A334" s="184" t="s">
        <v>1225</v>
      </c>
      <c r="B334" s="513"/>
      <c r="C334" s="401"/>
      <c r="D334" s="401"/>
      <c r="E334" s="401"/>
      <c r="F334" s="401"/>
      <c r="G334" s="118"/>
      <c r="H334" s="118"/>
      <c r="I334" s="118"/>
      <c r="J334" s="118"/>
      <c r="K334" s="401"/>
      <c r="L334" s="118"/>
      <c r="M334" s="118"/>
      <c r="N334" s="118"/>
      <c r="O334" s="118"/>
      <c r="P334" s="401"/>
      <c r="Q334" s="118"/>
      <c r="R334" s="118"/>
      <c r="S334" s="118"/>
      <c r="T334" s="118"/>
      <c r="U334" s="401"/>
      <c r="V334" s="118"/>
      <c r="W334" s="118"/>
      <c r="X334" s="118"/>
      <c r="Y334" s="118"/>
      <c r="Z334" s="401"/>
      <c r="AA334" s="118"/>
      <c r="AB334" s="118"/>
      <c r="AC334" s="118"/>
      <c r="AD334" s="118"/>
      <c r="AE334" s="401"/>
      <c r="AF334" s="118"/>
      <c r="AG334" s="118"/>
      <c r="AH334" s="118"/>
      <c r="AI334" s="118"/>
      <c r="AJ334" s="401"/>
      <c r="AK334" s="118"/>
      <c r="AL334" s="118"/>
      <c r="AM334" s="118"/>
      <c r="AN334" s="118"/>
      <c r="AO334" s="401"/>
      <c r="AP334" s="118"/>
      <c r="AQ334" s="118"/>
      <c r="AR334" s="118"/>
      <c r="AS334" s="118"/>
      <c r="AT334" s="401"/>
      <c r="AU334" s="118"/>
      <c r="AV334" s="118"/>
      <c r="AW334" s="118"/>
      <c r="AX334" s="118"/>
      <c r="AY334" s="401"/>
      <c r="AZ334" s="118"/>
      <c r="BA334" s="118"/>
      <c r="BB334" s="118"/>
      <c r="BC334" s="118"/>
      <c r="BD334" s="401"/>
      <c r="BE334" s="118"/>
      <c r="BF334" s="118"/>
      <c r="BG334" s="118"/>
      <c r="BH334" s="118"/>
      <c r="BI334" s="401"/>
      <c r="BJ334" s="971"/>
      <c r="BK334" s="118"/>
      <c r="BL334" s="118"/>
      <c r="BM334" s="118"/>
      <c r="BN334" s="401"/>
      <c r="BO334" s="118"/>
      <c r="BP334" s="118"/>
      <c r="BQ334" s="118"/>
      <c r="BR334" s="118"/>
      <c r="BS334" s="401"/>
      <c r="BT334" s="401"/>
      <c r="BU334" s="401"/>
      <c r="BV334" s="401"/>
      <c r="BW334" s="122"/>
    </row>
    <row r="335" spans="1:75" hidden="1" outlineLevel="3" x14ac:dyDescent="0.5">
      <c r="A335" s="869" t="s">
        <v>2355</v>
      </c>
      <c r="B335" s="870"/>
      <c r="C335" s="1506"/>
      <c r="D335" s="1506"/>
      <c r="E335" s="1506"/>
      <c r="F335" s="1506"/>
      <c r="G335" s="1507"/>
      <c r="H335" s="1507"/>
      <c r="I335" s="1507"/>
      <c r="J335" s="1507"/>
      <c r="K335" s="1506"/>
      <c r="L335" s="1507"/>
      <c r="M335" s="1507"/>
      <c r="N335" s="1507"/>
      <c r="O335" s="1507"/>
      <c r="P335" s="1506"/>
      <c r="Q335" s="1507"/>
      <c r="R335" s="1507"/>
      <c r="S335" s="1507"/>
      <c r="T335" s="1507"/>
      <c r="U335" s="1506"/>
      <c r="V335" s="1507"/>
      <c r="W335" s="1507"/>
      <c r="X335" s="1507"/>
      <c r="Y335" s="1507"/>
      <c r="Z335" s="1506"/>
      <c r="AA335" s="1507"/>
      <c r="AB335" s="1507"/>
      <c r="AC335" s="1507"/>
      <c r="AD335" s="1507"/>
      <c r="AE335" s="1506"/>
      <c r="AF335" s="1507"/>
      <c r="AG335" s="1507"/>
      <c r="AH335" s="1507"/>
      <c r="AI335" s="1507"/>
      <c r="AJ335" s="1506"/>
      <c r="AK335" s="1507"/>
      <c r="AL335" s="1507"/>
      <c r="AM335" s="1507"/>
      <c r="AN335" s="1507"/>
      <c r="AO335" s="1506"/>
      <c r="AP335" s="1507"/>
      <c r="AQ335" s="1507"/>
      <c r="AR335" s="1507"/>
      <c r="AS335" s="1507"/>
      <c r="AT335" s="1506"/>
      <c r="AU335" s="1507"/>
      <c r="AV335" s="1507"/>
      <c r="AW335" s="1507"/>
      <c r="AX335" s="1507"/>
      <c r="AY335" s="1506"/>
      <c r="AZ335" s="1507"/>
      <c r="BA335" s="1507"/>
      <c r="BB335" s="1507"/>
      <c r="BC335" s="1507"/>
      <c r="BD335" s="1506"/>
      <c r="BE335" s="1507"/>
      <c r="BF335" s="1507"/>
      <c r="BG335" s="1507"/>
      <c r="BH335" s="1507"/>
      <c r="BI335" s="1506"/>
      <c r="BJ335" s="1508"/>
      <c r="BK335" s="1507"/>
      <c r="BL335" s="1507"/>
      <c r="BM335" s="1507"/>
      <c r="BN335" s="1506"/>
      <c r="BO335" s="1507"/>
      <c r="BP335" s="1507"/>
      <c r="BQ335" s="1507"/>
      <c r="BR335" s="1507"/>
      <c r="BS335" s="1506"/>
      <c r="BT335" s="1506"/>
      <c r="BU335" s="1506"/>
      <c r="BV335" s="1506"/>
      <c r="BW335" s="122"/>
    </row>
    <row r="336" spans="1:75" hidden="1" outlineLevel="3" x14ac:dyDescent="0.5">
      <c r="A336" s="1498" t="s">
        <v>1234</v>
      </c>
      <c r="B336" s="1499"/>
      <c r="C336" s="1500"/>
      <c r="D336" s="1500"/>
      <c r="E336" s="1500"/>
      <c r="F336" s="1500"/>
      <c r="G336" s="1056"/>
      <c r="H336" s="1056"/>
      <c r="I336" s="1056"/>
      <c r="J336" s="1056"/>
      <c r="K336" s="1500"/>
      <c r="L336" s="1056"/>
      <c r="M336" s="1056"/>
      <c r="N336" s="1056"/>
      <c r="O336" s="1056"/>
      <c r="P336" s="1500"/>
      <c r="Q336" s="1056"/>
      <c r="R336" s="1056"/>
      <c r="S336" s="1056"/>
      <c r="T336" s="1056"/>
      <c r="U336" s="1500"/>
      <c r="V336" s="1056"/>
      <c r="W336" s="1056"/>
      <c r="X336" s="1056"/>
      <c r="Y336" s="1056"/>
      <c r="Z336" s="1500"/>
      <c r="AA336" s="1056"/>
      <c r="AB336" s="1056"/>
      <c r="AC336" s="1056"/>
      <c r="AD336" s="1056"/>
      <c r="AE336" s="1500"/>
      <c r="AF336" s="1056"/>
      <c r="AG336" s="1056"/>
      <c r="AH336" s="1056"/>
      <c r="AI336" s="1056"/>
      <c r="AJ336" s="1500"/>
      <c r="AK336" s="1056"/>
      <c r="AL336" s="1056"/>
      <c r="AM336" s="1056"/>
      <c r="AN336" s="1056"/>
      <c r="AO336" s="1500"/>
      <c r="AP336" s="1056"/>
      <c r="AQ336" s="1056"/>
      <c r="AR336" s="1056"/>
      <c r="AS336" s="1056"/>
      <c r="AT336" s="1500"/>
      <c r="AU336" s="1056"/>
      <c r="AV336" s="1056"/>
      <c r="AW336" s="1056"/>
      <c r="AX336" s="1056"/>
      <c r="AY336" s="1500"/>
      <c r="AZ336" s="1056"/>
      <c r="BA336" s="1056"/>
      <c r="BB336" s="1056"/>
      <c r="BC336" s="1056"/>
      <c r="BD336" s="1500"/>
      <c r="BE336" s="1056"/>
      <c r="BF336" s="1056"/>
      <c r="BG336" s="1056"/>
      <c r="BH336" s="1056"/>
      <c r="BI336" s="1500"/>
      <c r="BJ336" s="1058"/>
      <c r="BK336" s="1056"/>
      <c r="BL336" s="1056"/>
      <c r="BM336" s="1056"/>
      <c r="BN336" s="1500"/>
      <c r="BO336" s="1056"/>
      <c r="BP336" s="1056"/>
      <c r="BQ336" s="1056"/>
      <c r="BR336" s="1056"/>
      <c r="BS336" s="1500"/>
      <c r="BT336" s="1500"/>
      <c r="BU336" s="1500"/>
      <c r="BV336" s="1500"/>
      <c r="BW336" s="122"/>
    </row>
    <row r="337" spans="1:75" hidden="1" outlineLevel="3" x14ac:dyDescent="0.5">
      <c r="A337" s="752"/>
      <c r="B337" s="513"/>
      <c r="C337" s="401"/>
      <c r="D337" s="401"/>
      <c r="E337" s="401"/>
      <c r="F337" s="401"/>
      <c r="G337" s="118"/>
      <c r="H337" s="118"/>
      <c r="I337" s="118"/>
      <c r="J337" s="118"/>
      <c r="K337" s="401"/>
      <c r="L337" s="118"/>
      <c r="M337" s="118"/>
      <c r="N337" s="118"/>
      <c r="O337" s="118"/>
      <c r="P337" s="401"/>
      <c r="Q337" s="118"/>
      <c r="R337" s="118"/>
      <c r="S337" s="118"/>
      <c r="T337" s="118"/>
      <c r="U337" s="401"/>
      <c r="V337" s="118"/>
      <c r="W337" s="118"/>
      <c r="X337" s="118"/>
      <c r="Y337" s="118"/>
      <c r="Z337" s="401"/>
      <c r="AA337" s="118"/>
      <c r="AB337" s="118"/>
      <c r="AC337" s="118"/>
      <c r="AD337" s="118"/>
      <c r="AE337" s="401"/>
      <c r="AF337" s="118"/>
      <c r="AG337" s="118"/>
      <c r="AH337" s="118"/>
      <c r="AI337" s="118"/>
      <c r="AJ337" s="401"/>
      <c r="AK337" s="118"/>
      <c r="AL337" s="118"/>
      <c r="AM337" s="118"/>
      <c r="AN337" s="118"/>
      <c r="AO337" s="401"/>
      <c r="AP337" s="118"/>
      <c r="AQ337" s="118"/>
      <c r="AR337" s="118"/>
      <c r="AS337" s="118"/>
      <c r="AT337" s="401"/>
      <c r="AU337" s="118"/>
      <c r="AV337" s="118"/>
      <c r="AW337" s="118"/>
      <c r="AX337" s="118"/>
      <c r="AY337" s="401"/>
      <c r="AZ337" s="118"/>
      <c r="BA337" s="118"/>
      <c r="BB337" s="118"/>
      <c r="BC337" s="118"/>
      <c r="BD337" s="401"/>
      <c r="BE337" s="118"/>
      <c r="BF337" s="118"/>
      <c r="BG337" s="118"/>
      <c r="BH337" s="118"/>
      <c r="BI337" s="401"/>
      <c r="BJ337" s="971"/>
      <c r="BK337" s="118"/>
      <c r="BL337" s="118"/>
      <c r="BM337" s="118"/>
      <c r="BN337" s="401"/>
      <c r="BO337" s="118"/>
      <c r="BP337" s="118"/>
      <c r="BQ337" s="118"/>
      <c r="BR337" s="118"/>
      <c r="BS337" s="401"/>
      <c r="BT337" s="401"/>
      <c r="BU337" s="401"/>
      <c r="BV337" s="401"/>
      <c r="BW337" s="122"/>
    </row>
    <row r="338" spans="1:75" hidden="1" outlineLevel="3" x14ac:dyDescent="0.5">
      <c r="A338" s="184" t="s">
        <v>2356</v>
      </c>
      <c r="B338" s="513"/>
      <c r="C338" s="401"/>
      <c r="D338" s="401"/>
      <c r="E338" s="401"/>
      <c r="F338" s="401"/>
      <c r="G338" s="118"/>
      <c r="H338" s="118"/>
      <c r="I338" s="118"/>
      <c r="J338" s="118"/>
      <c r="K338" s="401"/>
      <c r="L338" s="118"/>
      <c r="M338" s="118"/>
      <c r="N338" s="118"/>
      <c r="O338" s="118"/>
      <c r="P338" s="401"/>
      <c r="Q338" s="118"/>
      <c r="R338" s="118"/>
      <c r="S338" s="118"/>
      <c r="T338" s="118"/>
      <c r="U338" s="401"/>
      <c r="V338" s="118"/>
      <c r="W338" s="118"/>
      <c r="X338" s="118"/>
      <c r="Y338" s="118"/>
      <c r="Z338" s="401"/>
      <c r="AA338" s="118"/>
      <c r="AB338" s="118"/>
      <c r="AC338" s="118"/>
      <c r="AD338" s="118"/>
      <c r="AE338" s="401"/>
      <c r="AF338" s="118"/>
      <c r="AG338" s="118"/>
      <c r="AH338" s="118"/>
      <c r="AI338" s="118"/>
      <c r="AJ338" s="401"/>
      <c r="AK338" s="118"/>
      <c r="AL338" s="118"/>
      <c r="AM338" s="118"/>
      <c r="AN338" s="118"/>
      <c r="AO338" s="401"/>
      <c r="AP338" s="118"/>
      <c r="AQ338" s="118"/>
      <c r="AR338" s="118"/>
      <c r="AS338" s="118"/>
      <c r="AT338" s="401"/>
      <c r="AU338" s="118"/>
      <c r="AV338" s="118"/>
      <c r="AW338" s="118"/>
      <c r="AX338" s="118"/>
      <c r="AY338" s="401"/>
      <c r="AZ338" s="118"/>
      <c r="BA338" s="118"/>
      <c r="BB338" s="118"/>
      <c r="BC338" s="118"/>
      <c r="BD338" s="401"/>
      <c r="BE338" s="118"/>
      <c r="BF338" s="118"/>
      <c r="BG338" s="118"/>
      <c r="BH338" s="118"/>
      <c r="BI338" s="401"/>
      <c r="BJ338" s="971"/>
      <c r="BK338" s="118"/>
      <c r="BL338" s="118"/>
      <c r="BM338" s="118"/>
      <c r="BN338" s="401"/>
      <c r="BO338" s="118"/>
      <c r="BP338" s="118"/>
      <c r="BQ338" s="118"/>
      <c r="BR338" s="118"/>
      <c r="BS338" s="401"/>
      <c r="BT338" s="401"/>
      <c r="BU338" s="401"/>
      <c r="BV338" s="401"/>
      <c r="BW338" s="122"/>
    </row>
    <row r="339" spans="1:75" hidden="1" outlineLevel="3" x14ac:dyDescent="0.5">
      <c r="A339" s="869" t="s">
        <v>2355</v>
      </c>
      <c r="B339" s="870"/>
      <c r="C339" s="871"/>
      <c r="D339" s="871"/>
      <c r="E339" s="871"/>
      <c r="F339" s="871"/>
      <c r="G339" s="872"/>
      <c r="H339" s="872"/>
      <c r="I339" s="872"/>
      <c r="J339" s="872"/>
      <c r="K339" s="871"/>
      <c r="L339" s="872"/>
      <c r="M339" s="872"/>
      <c r="N339" s="872"/>
      <c r="O339" s="872"/>
      <c r="P339" s="871"/>
      <c r="Q339" s="872"/>
      <c r="R339" s="872"/>
      <c r="S339" s="872"/>
      <c r="T339" s="872"/>
      <c r="U339" s="871"/>
      <c r="V339" s="872"/>
      <c r="W339" s="872"/>
      <c r="X339" s="872"/>
      <c r="Y339" s="872"/>
      <c r="Z339" s="871"/>
      <c r="AA339" s="872"/>
      <c r="AB339" s="872"/>
      <c r="AC339" s="872"/>
      <c r="AD339" s="872"/>
      <c r="AE339" s="871"/>
      <c r="AF339" s="872"/>
      <c r="AG339" s="872"/>
      <c r="AH339" s="872"/>
      <c r="AI339" s="872"/>
      <c r="AJ339" s="871"/>
      <c r="AK339" s="872"/>
      <c r="AL339" s="872"/>
      <c r="AM339" s="872"/>
      <c r="AN339" s="872"/>
      <c r="AO339" s="871"/>
      <c r="AP339" s="872"/>
      <c r="AQ339" s="872"/>
      <c r="AR339" s="872"/>
      <c r="AS339" s="872"/>
      <c r="AT339" s="871"/>
      <c r="AU339" s="872"/>
      <c r="AV339" s="872"/>
      <c r="AW339" s="872"/>
      <c r="AX339" s="872"/>
      <c r="AY339" s="871"/>
      <c r="AZ339" s="872"/>
      <c r="BA339" s="872"/>
      <c r="BB339" s="872"/>
      <c r="BC339" s="872"/>
      <c r="BD339" s="871"/>
      <c r="BE339" s="872"/>
      <c r="BF339" s="872"/>
      <c r="BG339" s="872"/>
      <c r="BH339" s="872"/>
      <c r="BI339" s="871"/>
      <c r="BJ339" s="1504"/>
      <c r="BK339" s="872"/>
      <c r="BL339" s="872"/>
      <c r="BM339" s="872"/>
      <c r="BN339" s="871"/>
      <c r="BO339" s="872"/>
      <c r="BP339" s="872"/>
      <c r="BQ339" s="872"/>
      <c r="BR339" s="872"/>
      <c r="BS339" s="871"/>
      <c r="BT339" s="871"/>
      <c r="BU339" s="871"/>
      <c r="BV339" s="871"/>
      <c r="BW339" s="122"/>
    </row>
    <row r="340" spans="1:75" hidden="1" outlineLevel="3" x14ac:dyDescent="0.5">
      <c r="A340" s="1498" t="s">
        <v>2357</v>
      </c>
      <c r="B340" s="1499"/>
      <c r="C340" s="1500"/>
      <c r="D340" s="1500"/>
      <c r="E340" s="1500"/>
      <c r="F340" s="1500"/>
      <c r="G340" s="1056"/>
      <c r="H340" s="1056"/>
      <c r="I340" s="1056"/>
      <c r="J340" s="1056"/>
      <c r="K340" s="1500"/>
      <c r="L340" s="1056"/>
      <c r="M340" s="1056"/>
      <c r="N340" s="1056"/>
      <c r="O340" s="1056"/>
      <c r="P340" s="1500"/>
      <c r="Q340" s="1056"/>
      <c r="R340" s="1056"/>
      <c r="S340" s="1056"/>
      <c r="T340" s="1056"/>
      <c r="U340" s="1500"/>
      <c r="V340" s="1056"/>
      <c r="W340" s="1056"/>
      <c r="X340" s="1056"/>
      <c r="Y340" s="1056"/>
      <c r="Z340" s="1500"/>
      <c r="AA340" s="1056"/>
      <c r="AB340" s="1056"/>
      <c r="AC340" s="1056"/>
      <c r="AD340" s="1056"/>
      <c r="AE340" s="1500"/>
      <c r="AF340" s="1056"/>
      <c r="AG340" s="1056"/>
      <c r="AH340" s="1056"/>
      <c r="AI340" s="1056"/>
      <c r="AJ340" s="1500"/>
      <c r="AK340" s="1056"/>
      <c r="AL340" s="1056"/>
      <c r="AM340" s="1056"/>
      <c r="AN340" s="1056"/>
      <c r="AO340" s="1500"/>
      <c r="AP340" s="1056"/>
      <c r="AQ340" s="1056"/>
      <c r="AR340" s="1056"/>
      <c r="AS340" s="1056"/>
      <c r="AT340" s="1500"/>
      <c r="AU340" s="1056"/>
      <c r="AV340" s="1056"/>
      <c r="AW340" s="1056"/>
      <c r="AX340" s="1056"/>
      <c r="AY340" s="1500"/>
      <c r="AZ340" s="1056"/>
      <c r="BA340" s="1056"/>
      <c r="BB340" s="1056"/>
      <c r="BC340" s="1056"/>
      <c r="BD340" s="1500"/>
      <c r="BE340" s="1056"/>
      <c r="BF340" s="1056"/>
      <c r="BG340" s="1056"/>
      <c r="BH340" s="1056"/>
      <c r="BI340" s="1500"/>
      <c r="BJ340" s="1058"/>
      <c r="BK340" s="1056"/>
      <c r="BL340" s="1056"/>
      <c r="BM340" s="1056"/>
      <c r="BN340" s="1500"/>
      <c r="BO340" s="1056"/>
      <c r="BP340" s="1056"/>
      <c r="BQ340" s="1056"/>
      <c r="BR340" s="1056"/>
      <c r="BS340" s="1500"/>
      <c r="BT340" s="1500"/>
      <c r="BU340" s="1500"/>
      <c r="BV340" s="1500"/>
      <c r="BW340" s="122"/>
    </row>
    <row r="341" spans="1:75" hidden="1" outlineLevel="3" x14ac:dyDescent="0.5">
      <c r="A341" s="752"/>
      <c r="B341" s="513"/>
      <c r="C341" s="401"/>
      <c r="D341" s="401"/>
      <c r="E341" s="401"/>
      <c r="F341" s="401"/>
      <c r="G341" s="118"/>
      <c r="H341" s="118"/>
      <c r="I341" s="118"/>
      <c r="J341" s="118"/>
      <c r="K341" s="401"/>
      <c r="L341" s="118"/>
      <c r="M341" s="118"/>
      <c r="N341" s="118"/>
      <c r="O341" s="118"/>
      <c r="P341" s="401"/>
      <c r="Q341" s="118"/>
      <c r="R341" s="118"/>
      <c r="S341" s="118"/>
      <c r="T341" s="118"/>
      <c r="U341" s="401"/>
      <c r="V341" s="118"/>
      <c r="W341" s="118"/>
      <c r="X341" s="118"/>
      <c r="Y341" s="118"/>
      <c r="Z341" s="401"/>
      <c r="AA341" s="118"/>
      <c r="AB341" s="118"/>
      <c r="AC341" s="118"/>
      <c r="AD341" s="118"/>
      <c r="AE341" s="401"/>
      <c r="AF341" s="118"/>
      <c r="AG341" s="118"/>
      <c r="AH341" s="118"/>
      <c r="AI341" s="118"/>
      <c r="AJ341" s="401"/>
      <c r="AK341" s="118"/>
      <c r="AL341" s="118"/>
      <c r="AM341" s="118"/>
      <c r="AN341" s="118"/>
      <c r="AO341" s="401"/>
      <c r="AP341" s="118"/>
      <c r="AQ341" s="118"/>
      <c r="AR341" s="118"/>
      <c r="AS341" s="118"/>
      <c r="AT341" s="401"/>
      <c r="AU341" s="118"/>
      <c r="AV341" s="118"/>
      <c r="AW341" s="118"/>
      <c r="AX341" s="118"/>
      <c r="AY341" s="401"/>
      <c r="AZ341" s="118"/>
      <c r="BA341" s="118"/>
      <c r="BB341" s="118"/>
      <c r="BC341" s="118"/>
      <c r="BD341" s="401"/>
      <c r="BE341" s="118"/>
      <c r="BF341" s="118"/>
      <c r="BG341" s="118"/>
      <c r="BH341" s="118"/>
      <c r="BI341" s="401"/>
      <c r="BJ341" s="971"/>
      <c r="BK341" s="118"/>
      <c r="BL341" s="118"/>
      <c r="BM341" s="118"/>
      <c r="BN341" s="401"/>
      <c r="BO341" s="118"/>
      <c r="BP341" s="118"/>
      <c r="BQ341" s="118"/>
      <c r="BR341" s="118"/>
      <c r="BS341" s="401"/>
      <c r="BT341" s="401"/>
      <c r="BU341" s="401"/>
      <c r="BV341" s="401"/>
      <c r="BW341" s="122"/>
    </row>
    <row r="342" spans="1:75" hidden="1" outlineLevel="3" x14ac:dyDescent="0.5">
      <c r="A342" s="752" t="s">
        <v>2358</v>
      </c>
      <c r="B342" s="513"/>
      <c r="C342" s="401"/>
      <c r="D342" s="401"/>
      <c r="E342" s="401"/>
      <c r="F342" s="401"/>
      <c r="G342" s="118"/>
      <c r="H342" s="118"/>
      <c r="I342" s="118"/>
      <c r="J342" s="118"/>
      <c r="K342" s="401"/>
      <c r="L342" s="118"/>
      <c r="M342" s="118"/>
      <c r="N342" s="118"/>
      <c r="O342" s="118"/>
      <c r="P342" s="401"/>
      <c r="Q342" s="118"/>
      <c r="R342" s="118"/>
      <c r="S342" s="118"/>
      <c r="T342" s="118"/>
      <c r="U342" s="401"/>
      <c r="V342" s="118"/>
      <c r="W342" s="118"/>
      <c r="X342" s="118"/>
      <c r="Y342" s="118"/>
      <c r="Z342" s="401"/>
      <c r="AA342" s="118"/>
      <c r="AB342" s="118"/>
      <c r="AC342" s="118"/>
      <c r="AD342" s="118"/>
      <c r="AE342" s="401"/>
      <c r="AF342" s="118"/>
      <c r="AG342" s="118"/>
      <c r="AH342" s="118"/>
      <c r="AI342" s="118"/>
      <c r="AJ342" s="401"/>
      <c r="AK342" s="118"/>
      <c r="AL342" s="118"/>
      <c r="AM342" s="118"/>
      <c r="AN342" s="118"/>
      <c r="AO342" s="401"/>
      <c r="AP342" s="118">
        <f>AO346</f>
        <v>8.1127359999999999</v>
      </c>
      <c r="AQ342" s="118">
        <f>AP342</f>
        <v>8.1127359999999999</v>
      </c>
      <c r="AR342" s="118">
        <f t="shared" ref="AR342:AS342" si="265">AQ342</f>
        <v>8.1127359999999999</v>
      </c>
      <c r="AS342" s="118">
        <f t="shared" si="265"/>
        <v>8.1127359999999999</v>
      </c>
      <c r="AT342" s="401">
        <f>AS342</f>
        <v>8.1127359999999999</v>
      </c>
      <c r="AU342" s="118">
        <f>AT346</f>
        <v>5.9752990000000006</v>
      </c>
      <c r="AV342" s="118">
        <f>AU342</f>
        <v>5.9752990000000006</v>
      </c>
      <c r="AW342" s="118">
        <f t="shared" ref="AW342:AX342" si="266">AV342</f>
        <v>5.9752990000000006</v>
      </c>
      <c r="AX342" s="118">
        <f t="shared" si="266"/>
        <v>5.9752990000000006</v>
      </c>
      <c r="AY342" s="401">
        <f>AX342</f>
        <v>5.9752990000000006</v>
      </c>
      <c r="AZ342" s="118">
        <f>AY346</f>
        <v>5.2297080000000022</v>
      </c>
      <c r="BA342" s="118">
        <f>AZ342</f>
        <v>5.2297080000000022</v>
      </c>
      <c r="BB342" s="118">
        <f t="shared" ref="BB342:BC342" si="267">BA342</f>
        <v>5.2297080000000022</v>
      </c>
      <c r="BC342" s="118">
        <f t="shared" si="267"/>
        <v>5.2297080000000022</v>
      </c>
      <c r="BD342" s="401">
        <f>BC342</f>
        <v>5.2297080000000022</v>
      </c>
      <c r="BE342" s="118">
        <f>BD346</f>
        <v>10.170203000000003</v>
      </c>
      <c r="BF342" s="118">
        <f>BE342</f>
        <v>10.170203000000003</v>
      </c>
      <c r="BG342" s="118">
        <f t="shared" ref="BG342:BH342" si="268">BF342</f>
        <v>10.170203000000003</v>
      </c>
      <c r="BH342" s="118">
        <f t="shared" si="268"/>
        <v>10.170203000000003</v>
      </c>
      <c r="BI342" s="401">
        <f>BH342</f>
        <v>10.170203000000003</v>
      </c>
      <c r="BJ342" s="971">
        <f>BI346</f>
        <v>5.1868860000000039</v>
      </c>
      <c r="BK342" s="118"/>
      <c r="BL342" s="118"/>
      <c r="BM342" s="118"/>
      <c r="BN342" s="401"/>
      <c r="BO342" s="118"/>
      <c r="BP342" s="118"/>
      <c r="BQ342" s="118"/>
      <c r="BR342" s="118"/>
      <c r="BS342" s="401"/>
      <c r="BT342" s="401"/>
      <c r="BU342" s="401"/>
      <c r="BV342" s="401"/>
      <c r="BW342" s="122"/>
    </row>
    <row r="343" spans="1:75" hidden="1" outlineLevel="3" x14ac:dyDescent="0.5">
      <c r="A343" s="184" t="s">
        <v>2359</v>
      </c>
      <c r="B343" s="513"/>
      <c r="C343" s="401"/>
      <c r="D343" s="401"/>
      <c r="E343" s="401"/>
      <c r="F343" s="401"/>
      <c r="G343" s="118"/>
      <c r="H343" s="118"/>
      <c r="I343" s="118"/>
      <c r="J343" s="118"/>
      <c r="K343" s="401"/>
      <c r="L343" s="118"/>
      <c r="M343" s="118"/>
      <c r="N343" s="118"/>
      <c r="O343" s="118"/>
      <c r="P343" s="401"/>
      <c r="Q343" s="118"/>
      <c r="R343" s="118"/>
      <c r="S343" s="118"/>
      <c r="T343" s="118"/>
      <c r="U343" s="401"/>
      <c r="V343" s="118"/>
      <c r="W343" s="118"/>
      <c r="X343" s="118"/>
      <c r="Y343" s="118"/>
      <c r="Z343" s="401"/>
      <c r="AA343" s="118"/>
      <c r="AB343" s="118"/>
      <c r="AC343" s="118"/>
      <c r="AD343" s="118"/>
      <c r="AE343" s="401"/>
      <c r="AF343" s="118"/>
      <c r="AG343" s="118"/>
      <c r="AH343" s="118"/>
      <c r="AI343" s="118"/>
      <c r="AJ343" s="401"/>
      <c r="AK343" s="118"/>
      <c r="AL343" s="118"/>
      <c r="AM343" s="118"/>
      <c r="AN343" s="118"/>
      <c r="AO343" s="401"/>
      <c r="AP343" s="302">
        <v>0.47244199999999997</v>
      </c>
      <c r="AQ343" s="302">
        <v>1.467735</v>
      </c>
      <c r="AR343" s="302">
        <v>1.688442</v>
      </c>
      <c r="AS343" s="118">
        <f>AT343</f>
        <v>2.4418980000000001</v>
      </c>
      <c r="AT343" s="403">
        <v>2.4418980000000001</v>
      </c>
      <c r="AU343" s="302">
        <v>0.33116499999999999</v>
      </c>
      <c r="AV343" s="302">
        <v>0.91262799999999999</v>
      </c>
      <c r="AW343" s="302">
        <v>1.3293219999999999</v>
      </c>
      <c r="AX343" s="118">
        <f>AY343</f>
        <v>3.0940560000000001</v>
      </c>
      <c r="AY343" s="403">
        <v>3.0940560000000001</v>
      </c>
      <c r="AZ343" s="302">
        <v>0.80523800000000001</v>
      </c>
      <c r="BA343" s="302">
        <v>5.6984859999999999</v>
      </c>
      <c r="BB343" s="302">
        <v>6.6581619999999999</v>
      </c>
      <c r="BC343" s="118">
        <f>BD343</f>
        <v>11.435959</v>
      </c>
      <c r="BD343" s="403">
        <v>11.435959</v>
      </c>
      <c r="BE343" s="302">
        <v>0.245425</v>
      </c>
      <c r="BF343" s="302">
        <v>3.3793030000000002</v>
      </c>
      <c r="BG343" s="302">
        <v>4.8150219999999999</v>
      </c>
      <c r="BH343" s="118">
        <f>BI343</f>
        <v>6.7665430000000004</v>
      </c>
      <c r="BI343" s="403">
        <v>6.7665430000000004</v>
      </c>
      <c r="BJ343" s="1207">
        <v>1.321993</v>
      </c>
      <c r="BK343" s="118"/>
      <c r="BL343" s="118"/>
      <c r="BM343" s="118"/>
      <c r="BN343" s="401"/>
      <c r="BO343" s="118"/>
      <c r="BP343" s="118"/>
      <c r="BQ343" s="118"/>
      <c r="BR343" s="118"/>
      <c r="BS343" s="401"/>
      <c r="BT343" s="401"/>
      <c r="BU343" s="401"/>
      <c r="BV343" s="401"/>
      <c r="BW343" s="122"/>
    </row>
    <row r="344" spans="1:75" hidden="1" outlineLevel="3" x14ac:dyDescent="0.5">
      <c r="A344" s="184" t="s">
        <v>2360</v>
      </c>
      <c r="B344" s="513"/>
      <c r="C344" s="401"/>
      <c r="D344" s="401"/>
      <c r="E344" s="401"/>
      <c r="F344" s="401"/>
      <c r="G344" s="118"/>
      <c r="H344" s="118"/>
      <c r="I344" s="118"/>
      <c r="J344" s="118"/>
      <c r="K344" s="401"/>
      <c r="L344" s="118"/>
      <c r="M344" s="118"/>
      <c r="N344" s="118"/>
      <c r="O344" s="118"/>
      <c r="P344" s="401"/>
      <c r="Q344" s="118"/>
      <c r="R344" s="118"/>
      <c r="S344" s="118"/>
      <c r="T344" s="118"/>
      <c r="U344" s="401"/>
      <c r="V344" s="118"/>
      <c r="W344" s="118"/>
      <c r="X344" s="118"/>
      <c r="Y344" s="118"/>
      <c r="Z344" s="401"/>
      <c r="AA344" s="118"/>
      <c r="AB344" s="118"/>
      <c r="AC344" s="118"/>
      <c r="AD344" s="118"/>
      <c r="AE344" s="401"/>
      <c r="AF344" s="118"/>
      <c r="AG344" s="118"/>
      <c r="AH344" s="118"/>
      <c r="AI344" s="118"/>
      <c r="AJ344" s="401"/>
      <c r="AK344" s="118"/>
      <c r="AL344" s="118"/>
      <c r="AM344" s="118"/>
      <c r="AN344" s="118"/>
      <c r="AO344" s="401"/>
      <c r="AP344" s="302">
        <v>-0.75589899999999999</v>
      </c>
      <c r="AQ344" s="302">
        <v>-1.447101</v>
      </c>
      <c r="AR344" s="302">
        <v>-2.233708</v>
      </c>
      <c r="AS344" s="118">
        <f t="shared" ref="AS344:AS345" si="269">AT344</f>
        <v>-3.0154619999999999</v>
      </c>
      <c r="AT344" s="403">
        <v>-3.0154619999999999</v>
      </c>
      <c r="AU344" s="302">
        <v>-0.71022399999999997</v>
      </c>
      <c r="AV344" s="302">
        <v>-1.3622909999999999</v>
      </c>
      <c r="AW344" s="302">
        <v>-2.011898</v>
      </c>
      <c r="AX344" s="118">
        <f t="shared" ref="AX344:AX345" si="270">AY344</f>
        <v>-2.6240869999999998</v>
      </c>
      <c r="AY344" s="403">
        <v>-2.6240869999999998</v>
      </c>
      <c r="AZ344" s="302">
        <v>-0.61151599999999995</v>
      </c>
      <c r="BA344" s="302">
        <v>-1.2475510000000001</v>
      </c>
      <c r="BB344" s="302">
        <v>-2.1692170000000002</v>
      </c>
      <c r="BC344" s="118">
        <f t="shared" ref="BC344:BC345" si="271">BD344</f>
        <v>-4.300535</v>
      </c>
      <c r="BD344" s="403">
        <v>-4.300535</v>
      </c>
      <c r="BE344" s="302">
        <v>-2.6508150000000001</v>
      </c>
      <c r="BF344" s="302">
        <v>-4.0153930000000004</v>
      </c>
      <c r="BG344" s="302">
        <v>-7.5854200000000001</v>
      </c>
      <c r="BH344" s="118">
        <f t="shared" ref="BH344:BH345" si="272">BI344</f>
        <v>-9.5535979999999991</v>
      </c>
      <c r="BI344" s="403">
        <v>-9.5535979999999991</v>
      </c>
      <c r="BJ344" s="1207">
        <v>-2.2794379999999999</v>
      </c>
      <c r="BK344" s="118"/>
      <c r="BL344" s="118"/>
      <c r="BM344" s="118"/>
      <c r="BN344" s="401"/>
      <c r="BO344" s="118"/>
      <c r="BP344" s="118"/>
      <c r="BQ344" s="118"/>
      <c r="BR344" s="118"/>
      <c r="BS344" s="401"/>
      <c r="BT344" s="401"/>
      <c r="BU344" s="401"/>
      <c r="BV344" s="401"/>
      <c r="BW344" s="122"/>
    </row>
    <row r="345" spans="1:75" hidden="1" outlineLevel="3" x14ac:dyDescent="0.5">
      <c r="A345" s="869" t="s">
        <v>2361</v>
      </c>
      <c r="B345" s="870"/>
      <c r="C345" s="871"/>
      <c r="D345" s="871"/>
      <c r="E345" s="871"/>
      <c r="F345" s="871"/>
      <c r="G345" s="872"/>
      <c r="H345" s="872"/>
      <c r="I345" s="872"/>
      <c r="J345" s="872"/>
      <c r="K345" s="871"/>
      <c r="L345" s="872"/>
      <c r="M345" s="872"/>
      <c r="N345" s="872"/>
      <c r="O345" s="872"/>
      <c r="P345" s="871"/>
      <c r="Q345" s="872"/>
      <c r="R345" s="872"/>
      <c r="S345" s="872"/>
      <c r="T345" s="872"/>
      <c r="U345" s="871"/>
      <c r="V345" s="872"/>
      <c r="W345" s="872"/>
      <c r="X345" s="872"/>
      <c r="Y345" s="872"/>
      <c r="Z345" s="871"/>
      <c r="AA345" s="872"/>
      <c r="AB345" s="872"/>
      <c r="AC345" s="872"/>
      <c r="AD345" s="872"/>
      <c r="AE345" s="871"/>
      <c r="AF345" s="872"/>
      <c r="AG345" s="872"/>
      <c r="AH345" s="872"/>
      <c r="AI345" s="872"/>
      <c r="AJ345" s="871"/>
      <c r="AK345" s="872"/>
      <c r="AL345" s="872"/>
      <c r="AM345" s="872"/>
      <c r="AN345" s="872"/>
      <c r="AO345" s="871"/>
      <c r="AP345" s="1512">
        <v>-0.67488400000000004</v>
      </c>
      <c r="AQ345" s="1512">
        <v>-0.95331900000000003</v>
      </c>
      <c r="AR345" s="1512">
        <v>-1.343119</v>
      </c>
      <c r="AS345" s="872">
        <f t="shared" si="269"/>
        <v>-1.5638730000000001</v>
      </c>
      <c r="AT345" s="1513">
        <v>-1.5638730000000001</v>
      </c>
      <c r="AU345" s="1512">
        <v>-0.18523300000000001</v>
      </c>
      <c r="AV345" s="1512">
        <v>-0.46784100000000001</v>
      </c>
      <c r="AW345" s="1512">
        <v>-0.80085099999999998</v>
      </c>
      <c r="AX345" s="872">
        <f t="shared" si="270"/>
        <v>-1.21556</v>
      </c>
      <c r="AY345" s="1513">
        <v>-1.21556</v>
      </c>
      <c r="AZ345" s="1512">
        <v>-0.241254</v>
      </c>
      <c r="BA345" s="1512">
        <v>-0.80035400000000001</v>
      </c>
      <c r="BB345" s="1512">
        <v>-1.303409</v>
      </c>
      <c r="BC345" s="872">
        <f t="shared" si="271"/>
        <v>-2.1949290000000001</v>
      </c>
      <c r="BD345" s="1513">
        <v>-2.1949290000000001</v>
      </c>
      <c r="BE345" s="1512">
        <v>-1.2443820000000001</v>
      </c>
      <c r="BF345" s="1512">
        <v>-1.6362840000000001</v>
      </c>
      <c r="BG345" s="1512">
        <v>-1.888574</v>
      </c>
      <c r="BH345" s="872">
        <f t="shared" si="272"/>
        <v>-2.1962619999999999</v>
      </c>
      <c r="BI345" s="1513">
        <v>-2.1962619999999999</v>
      </c>
      <c r="BJ345" s="1514">
        <v>-0.72058900000000004</v>
      </c>
      <c r="BK345" s="872"/>
      <c r="BL345" s="872"/>
      <c r="BM345" s="872"/>
      <c r="BN345" s="871"/>
      <c r="BO345" s="872"/>
      <c r="BP345" s="872"/>
      <c r="BQ345" s="872"/>
      <c r="BR345" s="872"/>
      <c r="BS345" s="871"/>
      <c r="BT345" s="871"/>
      <c r="BU345" s="871"/>
      <c r="BV345" s="871"/>
      <c r="BW345" s="122"/>
    </row>
    <row r="346" spans="1:75" hidden="1" outlineLevel="3" x14ac:dyDescent="0.5">
      <c r="A346" s="1498" t="s">
        <v>2362</v>
      </c>
      <c r="B346" s="1499"/>
      <c r="C346" s="1500"/>
      <c r="D346" s="1500"/>
      <c r="E346" s="1500"/>
      <c r="F346" s="1500"/>
      <c r="G346" s="1056"/>
      <c r="H346" s="1056"/>
      <c r="I346" s="1056"/>
      <c r="J346" s="1056"/>
      <c r="K346" s="1500"/>
      <c r="L346" s="1056"/>
      <c r="M346" s="1056"/>
      <c r="N346" s="1056"/>
      <c r="O346" s="1056"/>
      <c r="P346" s="1500"/>
      <c r="Q346" s="1056"/>
      <c r="R346" s="1056"/>
      <c r="S346" s="1056"/>
      <c r="T346" s="1056"/>
      <c r="U346" s="1500"/>
      <c r="V346" s="1056"/>
      <c r="W346" s="1056"/>
      <c r="X346" s="1056"/>
      <c r="Y346" s="1056"/>
      <c r="Z346" s="1500"/>
      <c r="AA346" s="1056"/>
      <c r="AB346" s="1056"/>
      <c r="AC346" s="1056"/>
      <c r="AD346" s="1056"/>
      <c r="AE346" s="1500"/>
      <c r="AF346" s="1056"/>
      <c r="AG346" s="1056"/>
      <c r="AH346" s="1056"/>
      <c r="AI346" s="1056"/>
      <c r="AJ346" s="1500"/>
      <c r="AK346" s="1056"/>
      <c r="AL346" s="1056"/>
      <c r="AM346" s="1056"/>
      <c r="AN346" s="1056"/>
      <c r="AO346" s="1515">
        <v>8.1127359999999999</v>
      </c>
      <c r="AP346" s="1056">
        <f>SUM(AP342:AP345)</f>
        <v>7.1543949999999992</v>
      </c>
      <c r="AQ346" s="1056">
        <f t="shared" ref="AQ346:BJ346" si="273">SUM(AQ342:AQ345)</f>
        <v>7.1800509999999989</v>
      </c>
      <c r="AR346" s="1056">
        <f t="shared" si="273"/>
        <v>6.2243510000000004</v>
      </c>
      <c r="AS346" s="1056">
        <f t="shared" si="273"/>
        <v>5.9752990000000006</v>
      </c>
      <c r="AT346" s="1500">
        <f t="shared" si="273"/>
        <v>5.9752990000000006</v>
      </c>
      <c r="AU346" s="1056">
        <f t="shared" si="273"/>
        <v>5.4110070000000006</v>
      </c>
      <c r="AV346" s="1056">
        <f t="shared" si="273"/>
        <v>5.0577950000000005</v>
      </c>
      <c r="AW346" s="1056">
        <f t="shared" si="273"/>
        <v>4.4918720000000008</v>
      </c>
      <c r="AX346" s="1056">
        <f t="shared" si="273"/>
        <v>5.2297080000000022</v>
      </c>
      <c r="AY346" s="1500">
        <f t="shared" si="273"/>
        <v>5.2297080000000022</v>
      </c>
      <c r="AZ346" s="1056">
        <f t="shared" si="273"/>
        <v>5.1821760000000028</v>
      </c>
      <c r="BA346" s="1056">
        <f t="shared" si="273"/>
        <v>8.8802890000000012</v>
      </c>
      <c r="BB346" s="1056">
        <f t="shared" si="273"/>
        <v>8.4152440000000031</v>
      </c>
      <c r="BC346" s="1056">
        <f t="shared" si="273"/>
        <v>10.170203000000003</v>
      </c>
      <c r="BD346" s="1500">
        <f t="shared" si="273"/>
        <v>10.170203000000003</v>
      </c>
      <c r="BE346" s="1056">
        <f t="shared" si="273"/>
        <v>6.5204310000000021</v>
      </c>
      <c r="BF346" s="1056">
        <f t="shared" si="273"/>
        <v>7.8978290000000015</v>
      </c>
      <c r="BG346" s="1056">
        <f t="shared" si="273"/>
        <v>5.5112310000000031</v>
      </c>
      <c r="BH346" s="1056">
        <f t="shared" si="273"/>
        <v>5.1868860000000039</v>
      </c>
      <c r="BI346" s="1500">
        <f t="shared" si="273"/>
        <v>5.1868860000000039</v>
      </c>
      <c r="BJ346" s="1058">
        <f t="shared" si="273"/>
        <v>3.5088520000000041</v>
      </c>
      <c r="BK346" s="1056"/>
      <c r="BL346" s="1056"/>
      <c r="BM346" s="1056"/>
      <c r="BN346" s="1500"/>
      <c r="BO346" s="1056"/>
      <c r="BP346" s="1056"/>
      <c r="BQ346" s="1056"/>
      <c r="BR346" s="1056"/>
      <c r="BS346" s="1500"/>
      <c r="BT346" s="1500"/>
      <c r="BU346" s="1500"/>
      <c r="BV346" s="1500"/>
      <c r="BW346" s="122"/>
    </row>
    <row r="347" spans="1:75" hidden="1" outlineLevel="3" x14ac:dyDescent="0.5">
      <c r="A347" s="752"/>
      <c r="B347" s="513"/>
      <c r="C347" s="401"/>
      <c r="D347" s="401"/>
      <c r="E347" s="401"/>
      <c r="F347" s="401"/>
      <c r="G347" s="118"/>
      <c r="H347" s="118"/>
      <c r="I347" s="118"/>
      <c r="J347" s="118"/>
      <c r="K347" s="401"/>
      <c r="L347" s="118"/>
      <c r="M347" s="118"/>
      <c r="N347" s="118"/>
      <c r="O347" s="118"/>
      <c r="P347" s="401"/>
      <c r="Q347" s="118"/>
      <c r="R347" s="118"/>
      <c r="S347" s="118"/>
      <c r="T347" s="118"/>
      <c r="U347" s="401"/>
      <c r="V347" s="118"/>
      <c r="W347" s="118"/>
      <c r="X347" s="118"/>
      <c r="Y347" s="118"/>
      <c r="Z347" s="401"/>
      <c r="AA347" s="118"/>
      <c r="AB347" s="118"/>
      <c r="AC347" s="118"/>
      <c r="AD347" s="118"/>
      <c r="AE347" s="401"/>
      <c r="AF347" s="118"/>
      <c r="AG347" s="118"/>
      <c r="AH347" s="118"/>
      <c r="AI347" s="118"/>
      <c r="AJ347" s="401"/>
      <c r="AK347" s="118"/>
      <c r="AL347" s="118"/>
      <c r="AM347" s="118"/>
      <c r="AN347" s="118"/>
      <c r="AO347" s="401"/>
      <c r="AP347" s="118"/>
      <c r="AQ347" s="118"/>
      <c r="AR347" s="118"/>
      <c r="AS347" s="118"/>
      <c r="AT347" s="401"/>
      <c r="AU347" s="118"/>
      <c r="AV347" s="118"/>
      <c r="AW347" s="118"/>
      <c r="AX347" s="118"/>
      <c r="AY347" s="401"/>
      <c r="AZ347" s="118"/>
      <c r="BA347" s="118"/>
      <c r="BB347" s="118"/>
      <c r="BC347" s="118"/>
      <c r="BD347" s="401"/>
      <c r="BE347" s="118"/>
      <c r="BF347" s="118"/>
      <c r="BG347" s="118"/>
      <c r="BH347" s="118"/>
      <c r="BI347" s="401"/>
      <c r="BJ347" s="971"/>
      <c r="BK347" s="118"/>
      <c r="BL347" s="118"/>
      <c r="BM347" s="118"/>
      <c r="BN347" s="401"/>
      <c r="BO347" s="118"/>
      <c r="BP347" s="118"/>
      <c r="BQ347" s="118"/>
      <c r="BR347" s="118"/>
      <c r="BS347" s="401"/>
      <c r="BT347" s="401"/>
      <c r="BU347" s="401"/>
      <c r="BV347" s="401"/>
      <c r="BW347" s="122"/>
    </row>
    <row r="348" spans="1:75" hidden="1" outlineLevel="3" x14ac:dyDescent="0.5">
      <c r="A348" s="752" t="s">
        <v>2363</v>
      </c>
      <c r="B348" s="513"/>
      <c r="C348" s="401"/>
      <c r="D348" s="401"/>
      <c r="E348" s="401"/>
      <c r="F348" s="401"/>
      <c r="G348" s="118"/>
      <c r="H348" s="118"/>
      <c r="I348" s="118"/>
      <c r="J348" s="118"/>
      <c r="K348" s="401"/>
      <c r="L348" s="118"/>
      <c r="M348" s="118"/>
      <c r="N348" s="118"/>
      <c r="O348" s="118"/>
      <c r="P348" s="401"/>
      <c r="Q348" s="118"/>
      <c r="R348" s="118"/>
      <c r="S348" s="118"/>
      <c r="T348" s="118"/>
      <c r="U348" s="401"/>
      <c r="V348" s="118"/>
      <c r="W348" s="118"/>
      <c r="X348" s="118"/>
      <c r="Y348" s="118"/>
      <c r="Z348" s="401"/>
      <c r="AA348" s="118"/>
      <c r="AB348" s="118"/>
      <c r="AC348" s="118"/>
      <c r="AD348" s="118"/>
      <c r="AE348" s="401"/>
      <c r="AF348" s="118"/>
      <c r="AG348" s="118"/>
      <c r="AH348" s="118"/>
      <c r="AI348" s="118"/>
      <c r="AJ348" s="401"/>
      <c r="AK348" s="118"/>
      <c r="AL348" s="118"/>
      <c r="AM348" s="118"/>
      <c r="AN348" s="118"/>
      <c r="AO348" s="401"/>
      <c r="AP348" s="118">
        <f>AO352</f>
        <v>8.1127359999999999</v>
      </c>
      <c r="AQ348" s="118">
        <f>AP352</f>
        <v>7.1543949999999992</v>
      </c>
      <c r="AR348" s="118">
        <f t="shared" ref="AR348:AS348" si="274">AQ352</f>
        <v>7.1800509999999997</v>
      </c>
      <c r="AS348" s="118">
        <f t="shared" si="274"/>
        <v>6.2243509999999995</v>
      </c>
      <c r="AT348" s="401">
        <f>AO352</f>
        <v>8.1127359999999999</v>
      </c>
      <c r="AU348" s="118">
        <f>AT352</f>
        <v>5.9752990000000006</v>
      </c>
      <c r="AV348" s="118">
        <f>AU352</f>
        <v>5.4110070000000006</v>
      </c>
      <c r="AW348" s="118">
        <f t="shared" ref="AW348:AX348" si="275">AV352</f>
        <v>5.0577950000000014</v>
      </c>
      <c r="AX348" s="118">
        <f t="shared" si="275"/>
        <v>4.4918720000000008</v>
      </c>
      <c r="AY348" s="401">
        <f>AT352</f>
        <v>5.9752990000000006</v>
      </c>
      <c r="AZ348" s="118">
        <f>AY352</f>
        <v>5.2297080000000022</v>
      </c>
      <c r="BA348" s="118">
        <f>AZ352</f>
        <v>5.1821760000000028</v>
      </c>
      <c r="BB348" s="118">
        <f t="shared" ref="BB348:BC348" si="276">BA352</f>
        <v>8.8802890000000012</v>
      </c>
      <c r="BC348" s="118">
        <f t="shared" si="276"/>
        <v>8.4152440000000013</v>
      </c>
      <c r="BD348" s="401">
        <f>AY352</f>
        <v>5.2297080000000022</v>
      </c>
      <c r="BE348" s="118">
        <f>BD352</f>
        <v>10.170203000000003</v>
      </c>
      <c r="BF348" s="118">
        <f>BE352</f>
        <v>6.5204310000000021</v>
      </c>
      <c r="BG348" s="118">
        <f t="shared" ref="BG348:BH348" si="277">BF352</f>
        <v>7.8978290000000015</v>
      </c>
      <c r="BH348" s="118">
        <f t="shared" si="277"/>
        <v>5.5112310000000004</v>
      </c>
      <c r="BI348" s="401">
        <f>BD352</f>
        <v>10.170203000000003</v>
      </c>
      <c r="BJ348" s="971">
        <f>BI352</f>
        <v>5.1868860000000039</v>
      </c>
      <c r="BK348" s="118"/>
      <c r="BL348" s="118"/>
      <c r="BM348" s="118"/>
      <c r="BN348" s="401"/>
      <c r="BO348" s="118"/>
      <c r="BP348" s="118"/>
      <c r="BQ348" s="118"/>
      <c r="BR348" s="118"/>
      <c r="BS348" s="401"/>
      <c r="BT348" s="401"/>
      <c r="BU348" s="401"/>
      <c r="BV348" s="401"/>
      <c r="BW348" s="122"/>
    </row>
    <row r="349" spans="1:75" hidden="1" outlineLevel="3" x14ac:dyDescent="0.5">
      <c r="A349" s="184" t="s">
        <v>2364</v>
      </c>
      <c r="B349" s="513"/>
      <c r="C349" s="401"/>
      <c r="D349" s="401"/>
      <c r="E349" s="401"/>
      <c r="F349" s="401"/>
      <c r="G349" s="118"/>
      <c r="H349" s="118"/>
      <c r="I349" s="118"/>
      <c r="J349" s="118"/>
      <c r="K349" s="401"/>
      <c r="L349" s="118"/>
      <c r="M349" s="118"/>
      <c r="N349" s="118"/>
      <c r="O349" s="118"/>
      <c r="P349" s="401"/>
      <c r="Q349" s="118"/>
      <c r="R349" s="118"/>
      <c r="S349" s="118"/>
      <c r="T349" s="118"/>
      <c r="U349" s="401"/>
      <c r="V349" s="118"/>
      <c r="W349" s="118"/>
      <c r="X349" s="118"/>
      <c r="Y349" s="118"/>
      <c r="Z349" s="401"/>
      <c r="AA349" s="118"/>
      <c r="AB349" s="118"/>
      <c r="AC349" s="118"/>
      <c r="AD349" s="118"/>
      <c r="AE349" s="401"/>
      <c r="AF349" s="118"/>
      <c r="AG349" s="118"/>
      <c r="AH349" s="118"/>
      <c r="AI349" s="118"/>
      <c r="AJ349" s="401"/>
      <c r="AK349" s="118"/>
      <c r="AL349" s="118"/>
      <c r="AM349" s="118"/>
      <c r="AN349" s="118"/>
      <c r="AO349" s="401"/>
      <c r="AP349" s="118">
        <f>AP343</f>
        <v>0.47244199999999997</v>
      </c>
      <c r="AQ349" s="118">
        <f t="shared" ref="AQ349:AS351" si="278">AQ343-AP343</f>
        <v>0.99529299999999998</v>
      </c>
      <c r="AR349" s="118">
        <f t="shared" si="278"/>
        <v>0.22070699999999999</v>
      </c>
      <c r="AS349" s="118">
        <f t="shared" si="278"/>
        <v>0.75345600000000013</v>
      </c>
      <c r="AT349" s="401">
        <f>SUM(AP349,AQ349,AR349,AS349)</f>
        <v>2.4418980000000001</v>
      </c>
      <c r="AU349" s="118">
        <f>AU343</f>
        <v>0.33116499999999999</v>
      </c>
      <c r="AV349" s="118">
        <f t="shared" ref="AV349:AX351" si="279">AV343-AU343</f>
        <v>0.58146300000000006</v>
      </c>
      <c r="AW349" s="118">
        <f t="shared" si="279"/>
        <v>0.4166939999999999</v>
      </c>
      <c r="AX349" s="118">
        <f t="shared" si="279"/>
        <v>1.7647340000000002</v>
      </c>
      <c r="AY349" s="401">
        <f>SUM(AU349,AV349,AW349,AX349)</f>
        <v>3.0940560000000001</v>
      </c>
      <c r="AZ349" s="118">
        <f>AZ343</f>
        <v>0.80523800000000001</v>
      </c>
      <c r="BA349" s="118">
        <f t="shared" ref="BA349:BC351" si="280">BA343-AZ343</f>
        <v>4.8932479999999998</v>
      </c>
      <c r="BB349" s="118">
        <f t="shared" si="280"/>
        <v>0.95967599999999997</v>
      </c>
      <c r="BC349" s="118">
        <f t="shared" si="280"/>
        <v>4.7777970000000005</v>
      </c>
      <c r="BD349" s="401">
        <f>SUM(AZ349,BA349,BB349,BC349)</f>
        <v>11.435959</v>
      </c>
      <c r="BE349" s="118">
        <f>BE343</f>
        <v>0.245425</v>
      </c>
      <c r="BF349" s="118">
        <f t="shared" ref="BF349:BH351" si="281">BF343-BE343</f>
        <v>3.1338780000000002</v>
      </c>
      <c r="BG349" s="118">
        <f t="shared" si="281"/>
        <v>1.4357189999999997</v>
      </c>
      <c r="BH349" s="118">
        <f t="shared" si="281"/>
        <v>1.9515210000000005</v>
      </c>
      <c r="BI349" s="401">
        <f>SUM(BE349,BF349,BG349,BH349)</f>
        <v>6.7665430000000004</v>
      </c>
      <c r="BJ349" s="971">
        <f>BJ343</f>
        <v>1.321993</v>
      </c>
      <c r="BK349" s="118"/>
      <c r="BL349" s="118"/>
      <c r="BM349" s="118"/>
      <c r="BN349" s="401"/>
      <c r="BO349" s="118"/>
      <c r="BP349" s="118"/>
      <c r="BQ349" s="118"/>
      <c r="BR349" s="118"/>
      <c r="BS349" s="401"/>
      <c r="BT349" s="401"/>
      <c r="BU349" s="401"/>
      <c r="BV349" s="401"/>
      <c r="BW349" s="122"/>
    </row>
    <row r="350" spans="1:75" hidden="1" outlineLevel="3" x14ac:dyDescent="0.5">
      <c r="A350" s="184" t="s">
        <v>2365</v>
      </c>
      <c r="B350" s="513"/>
      <c r="C350" s="401"/>
      <c r="D350" s="401"/>
      <c r="E350" s="401"/>
      <c r="F350" s="401"/>
      <c r="G350" s="118"/>
      <c r="H350" s="118"/>
      <c r="I350" s="118"/>
      <c r="J350" s="118"/>
      <c r="K350" s="401"/>
      <c r="L350" s="118"/>
      <c r="M350" s="118"/>
      <c r="N350" s="118"/>
      <c r="O350" s="118"/>
      <c r="P350" s="401"/>
      <c r="Q350" s="118"/>
      <c r="R350" s="118"/>
      <c r="S350" s="118"/>
      <c r="T350" s="118"/>
      <c r="U350" s="401"/>
      <c r="V350" s="118"/>
      <c r="W350" s="118"/>
      <c r="X350" s="118"/>
      <c r="Y350" s="118"/>
      <c r="Z350" s="401"/>
      <c r="AA350" s="118"/>
      <c r="AB350" s="118"/>
      <c r="AC350" s="118"/>
      <c r="AD350" s="118"/>
      <c r="AE350" s="401"/>
      <c r="AF350" s="118"/>
      <c r="AG350" s="118"/>
      <c r="AH350" s="118"/>
      <c r="AI350" s="118"/>
      <c r="AJ350" s="401"/>
      <c r="AK350" s="118"/>
      <c r="AL350" s="118"/>
      <c r="AM350" s="118"/>
      <c r="AN350" s="118"/>
      <c r="AO350" s="401"/>
      <c r="AP350" s="118">
        <f t="shared" ref="AP350:AP351" si="282">AP344</f>
        <v>-0.75589899999999999</v>
      </c>
      <c r="AQ350" s="118">
        <f t="shared" si="278"/>
        <v>-0.69120199999999998</v>
      </c>
      <c r="AR350" s="118">
        <f t="shared" si="278"/>
        <v>-0.78660700000000006</v>
      </c>
      <c r="AS350" s="118">
        <f t="shared" si="278"/>
        <v>-0.78175399999999984</v>
      </c>
      <c r="AT350" s="401">
        <f t="shared" ref="AT350:AT351" si="283">SUM(AP350,AQ350,AR350,AS350)</f>
        <v>-3.0154619999999999</v>
      </c>
      <c r="AU350" s="118">
        <f t="shared" ref="AU350:AU351" si="284">AU344</f>
        <v>-0.71022399999999997</v>
      </c>
      <c r="AV350" s="118">
        <f t="shared" si="279"/>
        <v>-0.65206699999999995</v>
      </c>
      <c r="AW350" s="118">
        <f t="shared" si="279"/>
        <v>-0.64960700000000005</v>
      </c>
      <c r="AX350" s="118">
        <f t="shared" si="279"/>
        <v>-0.61218899999999987</v>
      </c>
      <c r="AY350" s="401">
        <f t="shared" ref="AY350:AY351" si="285">SUM(AU350,AV350,AW350,AX350)</f>
        <v>-2.6240869999999998</v>
      </c>
      <c r="AZ350" s="118">
        <f t="shared" ref="AZ350:AZ351" si="286">AZ344</f>
        <v>-0.61151599999999995</v>
      </c>
      <c r="BA350" s="118">
        <f t="shared" si="280"/>
        <v>-0.63603500000000013</v>
      </c>
      <c r="BB350" s="118">
        <f t="shared" si="280"/>
        <v>-0.9216660000000001</v>
      </c>
      <c r="BC350" s="118">
        <f t="shared" si="280"/>
        <v>-2.1313179999999998</v>
      </c>
      <c r="BD350" s="401">
        <f t="shared" ref="BD350:BD351" si="287">SUM(AZ350,BA350,BB350,BC350)</f>
        <v>-4.300535</v>
      </c>
      <c r="BE350" s="118">
        <f t="shared" ref="BE350:BE351" si="288">BE344</f>
        <v>-2.6508150000000001</v>
      </c>
      <c r="BF350" s="118">
        <f t="shared" si="281"/>
        <v>-1.3645780000000003</v>
      </c>
      <c r="BG350" s="118">
        <f t="shared" si="281"/>
        <v>-3.5700269999999996</v>
      </c>
      <c r="BH350" s="118">
        <f t="shared" si="281"/>
        <v>-1.9681779999999991</v>
      </c>
      <c r="BI350" s="401">
        <f t="shared" ref="BI350:BI351" si="289">SUM(BE350,BF350,BG350,BH350)</f>
        <v>-9.5535979999999991</v>
      </c>
      <c r="BJ350" s="971">
        <f t="shared" ref="BJ350:BJ351" si="290">BJ344</f>
        <v>-2.2794379999999999</v>
      </c>
      <c r="BK350" s="118"/>
      <c r="BL350" s="118"/>
      <c r="BM350" s="118"/>
      <c r="BN350" s="401"/>
      <c r="BO350" s="118"/>
      <c r="BP350" s="118"/>
      <c r="BQ350" s="118"/>
      <c r="BR350" s="118"/>
      <c r="BS350" s="401"/>
      <c r="BT350" s="401"/>
      <c r="BU350" s="401"/>
      <c r="BV350" s="401"/>
      <c r="BW350" s="122"/>
    </row>
    <row r="351" spans="1:75" hidden="1" outlineLevel="3" x14ac:dyDescent="0.5">
      <c r="A351" s="869" t="s">
        <v>2366</v>
      </c>
      <c r="B351" s="870"/>
      <c r="C351" s="871"/>
      <c r="D351" s="871"/>
      <c r="E351" s="871"/>
      <c r="F351" s="871"/>
      <c r="G351" s="872"/>
      <c r="H351" s="872"/>
      <c r="I351" s="872"/>
      <c r="J351" s="872"/>
      <c r="K351" s="871"/>
      <c r="L351" s="872"/>
      <c r="M351" s="872"/>
      <c r="N351" s="872"/>
      <c r="O351" s="872"/>
      <c r="P351" s="871"/>
      <c r="Q351" s="872"/>
      <c r="R351" s="872"/>
      <c r="S351" s="872"/>
      <c r="T351" s="872"/>
      <c r="U351" s="871"/>
      <c r="V351" s="872"/>
      <c r="W351" s="872"/>
      <c r="X351" s="872"/>
      <c r="Y351" s="872"/>
      <c r="Z351" s="871"/>
      <c r="AA351" s="872"/>
      <c r="AB351" s="872"/>
      <c r="AC351" s="872"/>
      <c r="AD351" s="872"/>
      <c r="AE351" s="871"/>
      <c r="AF351" s="872"/>
      <c r="AG351" s="872"/>
      <c r="AH351" s="872"/>
      <c r="AI351" s="872"/>
      <c r="AJ351" s="871"/>
      <c r="AK351" s="872"/>
      <c r="AL351" s="872"/>
      <c r="AM351" s="872"/>
      <c r="AN351" s="872"/>
      <c r="AO351" s="871"/>
      <c r="AP351" s="872">
        <f t="shared" si="282"/>
        <v>-0.67488400000000004</v>
      </c>
      <c r="AQ351" s="872">
        <f t="shared" si="278"/>
        <v>-0.27843499999999999</v>
      </c>
      <c r="AR351" s="872">
        <f t="shared" si="278"/>
        <v>-0.38979999999999992</v>
      </c>
      <c r="AS351" s="872">
        <f t="shared" si="278"/>
        <v>-0.22075400000000012</v>
      </c>
      <c r="AT351" s="871">
        <f t="shared" si="283"/>
        <v>-1.5638730000000001</v>
      </c>
      <c r="AU351" s="872">
        <f t="shared" si="284"/>
        <v>-0.18523300000000001</v>
      </c>
      <c r="AV351" s="872">
        <f t="shared" si="279"/>
        <v>-0.28260799999999997</v>
      </c>
      <c r="AW351" s="872">
        <f t="shared" si="279"/>
        <v>-0.33300999999999997</v>
      </c>
      <c r="AX351" s="872">
        <f t="shared" si="279"/>
        <v>-0.41470899999999999</v>
      </c>
      <c r="AY351" s="871">
        <f t="shared" si="285"/>
        <v>-1.21556</v>
      </c>
      <c r="AZ351" s="872">
        <f t="shared" si="286"/>
        <v>-0.241254</v>
      </c>
      <c r="BA351" s="872">
        <f t="shared" si="280"/>
        <v>-0.55910000000000004</v>
      </c>
      <c r="BB351" s="872">
        <f t="shared" si="280"/>
        <v>-0.50305500000000003</v>
      </c>
      <c r="BC351" s="872">
        <f t="shared" si="280"/>
        <v>-0.89152000000000009</v>
      </c>
      <c r="BD351" s="871">
        <f t="shared" si="287"/>
        <v>-2.1949290000000001</v>
      </c>
      <c r="BE351" s="872">
        <f t="shared" si="288"/>
        <v>-1.2443820000000001</v>
      </c>
      <c r="BF351" s="872">
        <f t="shared" si="281"/>
        <v>-0.39190199999999997</v>
      </c>
      <c r="BG351" s="872">
        <f t="shared" si="281"/>
        <v>-0.2522899999999999</v>
      </c>
      <c r="BH351" s="872">
        <f t="shared" si="281"/>
        <v>-0.30768799999999996</v>
      </c>
      <c r="BI351" s="871">
        <f t="shared" si="289"/>
        <v>-2.1962619999999999</v>
      </c>
      <c r="BJ351" s="1504">
        <f t="shared" si="290"/>
        <v>-0.72058900000000004</v>
      </c>
      <c r="BK351" s="872"/>
      <c r="BL351" s="872"/>
      <c r="BM351" s="872"/>
      <c r="BN351" s="871"/>
      <c r="BO351" s="872"/>
      <c r="BP351" s="872"/>
      <c r="BQ351" s="872"/>
      <c r="BR351" s="872"/>
      <c r="BS351" s="871"/>
      <c r="BT351" s="871"/>
      <c r="BU351" s="871"/>
      <c r="BV351" s="871"/>
      <c r="BW351" s="122"/>
    </row>
    <row r="352" spans="1:75" hidden="1" outlineLevel="3" x14ac:dyDescent="0.5">
      <c r="A352" s="1498" t="s">
        <v>1237</v>
      </c>
      <c r="B352" s="1499"/>
      <c r="C352" s="1500"/>
      <c r="D352" s="1500"/>
      <c r="E352" s="1500"/>
      <c r="F352" s="1500"/>
      <c r="G352" s="1056"/>
      <c r="H352" s="1056"/>
      <c r="I352" s="1056"/>
      <c r="J352" s="1056"/>
      <c r="K352" s="1500"/>
      <c r="L352" s="1056"/>
      <c r="M352" s="1056"/>
      <c r="N352" s="1056"/>
      <c r="O352" s="1056"/>
      <c r="P352" s="1500"/>
      <c r="Q352" s="1056"/>
      <c r="R352" s="1056"/>
      <c r="S352" s="1056"/>
      <c r="T352" s="1056"/>
      <c r="U352" s="1500"/>
      <c r="V352" s="1056"/>
      <c r="W352" s="1056"/>
      <c r="X352" s="1056"/>
      <c r="Y352" s="1056"/>
      <c r="Z352" s="1500"/>
      <c r="AA352" s="1056"/>
      <c r="AB352" s="1056"/>
      <c r="AC352" s="1056"/>
      <c r="AD352" s="1056"/>
      <c r="AE352" s="1500"/>
      <c r="AF352" s="1056"/>
      <c r="AG352" s="1056"/>
      <c r="AH352" s="1056"/>
      <c r="AI352" s="1056"/>
      <c r="AJ352" s="1500"/>
      <c r="AK352" s="1056"/>
      <c r="AL352" s="1056"/>
      <c r="AM352" s="1056"/>
      <c r="AN352" s="1056"/>
      <c r="AO352" s="1500">
        <f>AO346</f>
        <v>8.1127359999999999</v>
      </c>
      <c r="AP352" s="1056">
        <f>SUM(AP348:AP351)</f>
        <v>7.1543949999999992</v>
      </c>
      <c r="AQ352" s="1056">
        <f t="shared" ref="AQ352:AT352" si="291">SUM(AQ348:AQ351)</f>
        <v>7.1800509999999997</v>
      </c>
      <c r="AR352" s="1056">
        <f t="shared" si="291"/>
        <v>6.2243509999999995</v>
      </c>
      <c r="AS352" s="1056">
        <f t="shared" si="291"/>
        <v>5.9752989999999988</v>
      </c>
      <c r="AT352" s="1500">
        <f t="shared" si="291"/>
        <v>5.9752990000000006</v>
      </c>
      <c r="AU352" s="1056">
        <f>SUM(AU348:AU351)</f>
        <v>5.4110070000000006</v>
      </c>
      <c r="AV352" s="1056">
        <f t="shared" ref="AV352:AY352" si="292">SUM(AV348:AV351)</f>
        <v>5.0577950000000014</v>
      </c>
      <c r="AW352" s="1056">
        <f t="shared" si="292"/>
        <v>4.4918720000000008</v>
      </c>
      <c r="AX352" s="1056">
        <f t="shared" si="292"/>
        <v>5.2297080000000014</v>
      </c>
      <c r="AY352" s="1500">
        <f t="shared" si="292"/>
        <v>5.2297080000000022</v>
      </c>
      <c r="AZ352" s="1056">
        <f>SUM(AZ348:AZ351)</f>
        <v>5.1821760000000028</v>
      </c>
      <c r="BA352" s="1056">
        <f t="shared" ref="BA352:BD352" si="293">SUM(BA348:BA351)</f>
        <v>8.8802890000000012</v>
      </c>
      <c r="BB352" s="1056">
        <f t="shared" si="293"/>
        <v>8.4152440000000013</v>
      </c>
      <c r="BC352" s="1056">
        <f t="shared" si="293"/>
        <v>10.170203000000001</v>
      </c>
      <c r="BD352" s="1500">
        <f t="shared" si="293"/>
        <v>10.170203000000003</v>
      </c>
      <c r="BE352" s="1056">
        <f>SUM(BE348:BE351)</f>
        <v>6.5204310000000021</v>
      </c>
      <c r="BF352" s="1056">
        <f t="shared" ref="BF352:BI352" si="294">SUM(BF348:BF351)</f>
        <v>7.8978290000000015</v>
      </c>
      <c r="BG352" s="1056">
        <f t="shared" si="294"/>
        <v>5.5112310000000004</v>
      </c>
      <c r="BH352" s="1056">
        <f t="shared" si="294"/>
        <v>5.1868860000000021</v>
      </c>
      <c r="BI352" s="1500">
        <f t="shared" si="294"/>
        <v>5.1868860000000039</v>
      </c>
      <c r="BJ352" s="1058">
        <f>SUM(BJ348:BJ351)</f>
        <v>3.5088520000000041</v>
      </c>
      <c r="BK352" s="1056"/>
      <c r="BL352" s="1056"/>
      <c r="BM352" s="1056"/>
      <c r="BN352" s="1500"/>
      <c r="BO352" s="1056"/>
      <c r="BP352" s="1056"/>
      <c r="BQ352" s="1056"/>
      <c r="BR352" s="1056"/>
      <c r="BS352" s="1500"/>
      <c r="BT352" s="1500"/>
      <c r="BU352" s="1500"/>
      <c r="BV352" s="1500"/>
      <c r="BW352" s="122"/>
    </row>
    <row r="353" spans="1:75" hidden="1" outlineLevel="3" x14ac:dyDescent="0.5">
      <c r="A353" s="752"/>
      <c r="B353" s="513"/>
      <c r="C353" s="401"/>
      <c r="D353" s="401"/>
      <c r="E353" s="401"/>
      <c r="F353" s="401"/>
      <c r="G353" s="118"/>
      <c r="H353" s="118"/>
      <c r="I353" s="118"/>
      <c r="J353" s="118"/>
      <c r="K353" s="401"/>
      <c r="L353" s="118"/>
      <c r="M353" s="118"/>
      <c r="N353" s="118"/>
      <c r="O353" s="118"/>
      <c r="P353" s="401"/>
      <c r="Q353" s="118"/>
      <c r="R353" s="118"/>
      <c r="S353" s="118"/>
      <c r="T353" s="118"/>
      <c r="U353" s="401"/>
      <c r="V353" s="118"/>
      <c r="W353" s="118"/>
      <c r="X353" s="118"/>
      <c r="Y353" s="118"/>
      <c r="Z353" s="401"/>
      <c r="AA353" s="118"/>
      <c r="AB353" s="118"/>
      <c r="AC353" s="118"/>
      <c r="AD353" s="118"/>
      <c r="AE353" s="401"/>
      <c r="AF353" s="118"/>
      <c r="AG353" s="118"/>
      <c r="AH353" s="118"/>
      <c r="AI353" s="118"/>
      <c r="AJ353" s="401"/>
      <c r="AK353" s="118"/>
      <c r="AL353" s="118"/>
      <c r="AM353" s="118"/>
      <c r="AN353" s="118"/>
      <c r="AO353" s="401"/>
      <c r="AP353" s="118"/>
      <c r="AQ353" s="118"/>
      <c r="AR353" s="118"/>
      <c r="AS353" s="118"/>
      <c r="AT353" s="401"/>
      <c r="AU353" s="118"/>
      <c r="AV353" s="118"/>
      <c r="AW353" s="118"/>
      <c r="AX353" s="118"/>
      <c r="AY353" s="401"/>
      <c r="AZ353" s="118"/>
      <c r="BA353" s="118"/>
      <c r="BB353" s="118"/>
      <c r="BC353" s="118"/>
      <c r="BD353" s="401"/>
      <c r="BE353" s="118"/>
      <c r="BF353" s="118"/>
      <c r="BG353" s="118"/>
      <c r="BH353" s="118"/>
      <c r="BI353" s="401"/>
      <c r="BJ353" s="971"/>
      <c r="BK353" s="118"/>
      <c r="BL353" s="118"/>
      <c r="BM353" s="118"/>
      <c r="BN353" s="401"/>
      <c r="BO353" s="118"/>
      <c r="BP353" s="118"/>
      <c r="BQ353" s="118"/>
      <c r="BR353" s="118"/>
      <c r="BS353" s="401"/>
      <c r="BT353" s="401"/>
      <c r="BU353" s="401"/>
      <c r="BV353" s="401"/>
      <c r="BW353" s="122"/>
    </row>
    <row r="354" spans="1:75" hidden="1" outlineLevel="2" x14ac:dyDescent="0.5">
      <c r="A354" s="752" t="s">
        <v>1237</v>
      </c>
      <c r="B354" s="513"/>
      <c r="C354" s="401"/>
      <c r="D354" s="401"/>
      <c r="E354" s="401"/>
      <c r="F354" s="401"/>
      <c r="G354" s="118"/>
      <c r="H354" s="118"/>
      <c r="I354" s="118"/>
      <c r="J354" s="118"/>
      <c r="K354" s="401"/>
      <c r="L354" s="118"/>
      <c r="M354" s="118"/>
      <c r="N354" s="118"/>
      <c r="O354" s="118"/>
      <c r="P354" s="401"/>
      <c r="Q354" s="118"/>
      <c r="R354" s="118"/>
      <c r="S354" s="118"/>
      <c r="T354" s="118"/>
      <c r="U354" s="401"/>
      <c r="V354" s="118"/>
      <c r="W354" s="118"/>
      <c r="X354" s="118"/>
      <c r="Y354" s="118"/>
      <c r="Z354" s="401"/>
      <c r="AA354" s="118"/>
      <c r="AB354" s="118"/>
      <c r="AC354" s="118"/>
      <c r="AD354" s="118"/>
      <c r="AE354" s="401"/>
      <c r="AF354" s="118"/>
      <c r="AG354" s="118"/>
      <c r="AH354" s="118"/>
      <c r="AI354" s="118"/>
      <c r="AJ354" s="401"/>
      <c r="AK354" s="118"/>
      <c r="AL354" s="118"/>
      <c r="AM354" s="118"/>
      <c r="AN354" s="118"/>
      <c r="AO354" s="401">
        <f>AO352</f>
        <v>8.1127359999999999</v>
      </c>
      <c r="AP354" s="118">
        <f t="shared" ref="AP354:BJ354" si="295">AP352</f>
        <v>7.1543949999999992</v>
      </c>
      <c r="AQ354" s="118">
        <f t="shared" si="295"/>
        <v>7.1800509999999997</v>
      </c>
      <c r="AR354" s="118">
        <f t="shared" si="295"/>
        <v>6.2243509999999995</v>
      </c>
      <c r="AS354" s="118">
        <f t="shared" si="295"/>
        <v>5.9752989999999988</v>
      </c>
      <c r="AT354" s="401">
        <f t="shared" si="295"/>
        <v>5.9752990000000006</v>
      </c>
      <c r="AU354" s="118">
        <f t="shared" si="295"/>
        <v>5.4110070000000006</v>
      </c>
      <c r="AV354" s="118">
        <f t="shared" si="295"/>
        <v>5.0577950000000014</v>
      </c>
      <c r="AW354" s="118">
        <f t="shared" si="295"/>
        <v>4.4918720000000008</v>
      </c>
      <c r="AX354" s="118">
        <f t="shared" si="295"/>
        <v>5.2297080000000014</v>
      </c>
      <c r="AY354" s="401">
        <f t="shared" si="295"/>
        <v>5.2297080000000022</v>
      </c>
      <c r="AZ354" s="118">
        <f t="shared" si="295"/>
        <v>5.1821760000000028</v>
      </c>
      <c r="BA354" s="118">
        <f t="shared" si="295"/>
        <v>8.8802890000000012</v>
      </c>
      <c r="BB354" s="118">
        <f t="shared" si="295"/>
        <v>8.4152440000000013</v>
      </c>
      <c r="BC354" s="118">
        <f t="shared" si="295"/>
        <v>10.170203000000001</v>
      </c>
      <c r="BD354" s="401">
        <f t="shared" si="295"/>
        <v>10.170203000000003</v>
      </c>
      <c r="BE354" s="122">
        <f t="shared" si="295"/>
        <v>6.5204310000000021</v>
      </c>
      <c r="BF354" s="118">
        <f t="shared" si="295"/>
        <v>7.8978290000000015</v>
      </c>
      <c r="BG354" s="118">
        <f t="shared" si="295"/>
        <v>5.5112310000000004</v>
      </c>
      <c r="BH354" s="118">
        <f t="shared" si="295"/>
        <v>5.1868860000000021</v>
      </c>
      <c r="BI354" s="401">
        <f t="shared" si="295"/>
        <v>5.1868860000000039</v>
      </c>
      <c r="BJ354" s="1274">
        <f t="shared" si="295"/>
        <v>3.5088520000000041</v>
      </c>
      <c r="BK354" s="118"/>
      <c r="BL354" s="118"/>
      <c r="BM354" s="118"/>
      <c r="BN354" s="401"/>
      <c r="BO354" s="118"/>
      <c r="BP354" s="118"/>
      <c r="BQ354" s="118"/>
      <c r="BR354" s="118"/>
      <c r="BS354" s="401"/>
      <c r="BT354" s="401"/>
      <c r="BU354" s="401"/>
      <c r="BV354" s="401"/>
      <c r="BW354" s="122"/>
    </row>
    <row r="355" spans="1:75" hidden="1" outlineLevel="2" x14ac:dyDescent="0.5">
      <c r="A355" s="752" t="s">
        <v>2367</v>
      </c>
      <c r="B355" s="513"/>
      <c r="C355" s="401"/>
      <c r="D355" s="401"/>
      <c r="E355" s="401"/>
      <c r="F355" s="401"/>
      <c r="G355" s="118"/>
      <c r="H355" s="118"/>
      <c r="I355" s="118"/>
      <c r="J355" s="118"/>
      <c r="K355" s="401"/>
      <c r="L355" s="118"/>
      <c r="M355" s="118"/>
      <c r="N355" s="118"/>
      <c r="O355" s="118"/>
      <c r="P355" s="401"/>
      <c r="Q355" s="118"/>
      <c r="R355" s="118"/>
      <c r="S355" s="118"/>
      <c r="T355" s="118"/>
      <c r="U355" s="401"/>
      <c r="V355" s="118"/>
      <c r="W355" s="118"/>
      <c r="X355" s="118"/>
      <c r="Y355" s="118"/>
      <c r="Z355" s="401"/>
      <c r="AA355" s="118"/>
      <c r="AB355" s="118"/>
      <c r="AC355" s="118"/>
      <c r="AD355" s="118"/>
      <c r="AE355" s="401"/>
      <c r="AF355" s="118"/>
      <c r="AG355" s="118"/>
      <c r="AH355" s="118"/>
      <c r="AI355" s="118"/>
      <c r="AJ355" s="401"/>
      <c r="AK355" s="118"/>
      <c r="AL355" s="118"/>
      <c r="AM355" s="118"/>
      <c r="AN355" s="118"/>
      <c r="AO355" s="401"/>
      <c r="AP355" s="118"/>
      <c r="AQ355" s="118"/>
      <c r="AR355" s="118"/>
      <c r="AS355" s="118"/>
      <c r="AT355" s="401"/>
      <c r="AU355" s="118"/>
      <c r="AV355" s="118"/>
      <c r="AW355" s="118"/>
      <c r="AX355" s="118"/>
      <c r="AY355" s="401"/>
      <c r="AZ355" s="118"/>
      <c r="BA355" s="118"/>
      <c r="BB355" s="118"/>
      <c r="BC355" s="118"/>
      <c r="BD355" s="401"/>
      <c r="BE355" s="118"/>
      <c r="BF355" s="118"/>
      <c r="BG355" s="118"/>
      <c r="BH355" s="118"/>
      <c r="BI355" s="401"/>
      <c r="BJ355" s="971"/>
      <c r="BK355" s="118"/>
      <c r="BL355" s="118"/>
      <c r="BM355" s="118"/>
      <c r="BN355" s="401"/>
      <c r="BO355" s="118"/>
      <c r="BP355" s="118"/>
      <c r="BQ355" s="118"/>
      <c r="BR355" s="118"/>
      <c r="BS355" s="401"/>
      <c r="BT355" s="401"/>
      <c r="BU355" s="401"/>
      <c r="BV355" s="401"/>
      <c r="BW355" s="122"/>
    </row>
    <row r="356" spans="1:75" hidden="1" outlineLevel="2" x14ac:dyDescent="0.5">
      <c r="A356" s="752" t="s">
        <v>2368</v>
      </c>
      <c r="B356" s="513"/>
      <c r="C356" s="401"/>
      <c r="D356" s="401"/>
      <c r="E356" s="401"/>
      <c r="F356" s="401"/>
      <c r="G356" s="118"/>
      <c r="H356" s="118"/>
      <c r="I356" s="118"/>
      <c r="J356" s="118"/>
      <c r="K356" s="401"/>
      <c r="L356" s="118"/>
      <c r="M356" s="118"/>
      <c r="N356" s="118"/>
      <c r="O356" s="118"/>
      <c r="P356" s="401"/>
      <c r="Q356" s="118"/>
      <c r="R356" s="118"/>
      <c r="S356" s="118"/>
      <c r="T356" s="118"/>
      <c r="U356" s="401"/>
      <c r="V356" s="118"/>
      <c r="W356" s="118"/>
      <c r="X356" s="118"/>
      <c r="Y356" s="118"/>
      <c r="Z356" s="401"/>
      <c r="AA356" s="118"/>
      <c r="AB356" s="118"/>
      <c r="AC356" s="118"/>
      <c r="AD356" s="118"/>
      <c r="AE356" s="401"/>
      <c r="AF356" s="118"/>
      <c r="AG356" s="118"/>
      <c r="AH356" s="118"/>
      <c r="AI356" s="118"/>
      <c r="AJ356" s="401"/>
      <c r="AK356" s="118"/>
      <c r="AL356" s="118"/>
      <c r="AM356" s="118"/>
      <c r="AN356" s="118"/>
      <c r="AO356" s="401"/>
      <c r="AP356" s="118"/>
      <c r="AQ356" s="118"/>
      <c r="AR356" s="118"/>
      <c r="AS356" s="118"/>
      <c r="AT356" s="401"/>
      <c r="AU356" s="118"/>
      <c r="AV356" s="118"/>
      <c r="AW356" s="118"/>
      <c r="AX356" s="118"/>
      <c r="AY356" s="401"/>
      <c r="AZ356" s="118"/>
      <c r="BA356" s="118"/>
      <c r="BB356" s="118"/>
      <c r="BC356" s="118"/>
      <c r="BD356" s="401"/>
      <c r="BE356" s="118"/>
      <c r="BF356" s="118"/>
      <c r="BG356" s="118"/>
      <c r="BH356" s="118"/>
      <c r="BI356" s="401"/>
      <c r="BJ356" s="971"/>
      <c r="BK356" s="118"/>
      <c r="BL356" s="118"/>
      <c r="BM356" s="118"/>
      <c r="BN356" s="401"/>
      <c r="BO356" s="118"/>
      <c r="BP356" s="118"/>
      <c r="BQ356" s="118"/>
      <c r="BR356" s="118"/>
      <c r="BS356" s="401"/>
      <c r="BT356" s="401"/>
      <c r="BU356" s="401"/>
      <c r="BV356" s="401"/>
      <c r="BW356" s="122"/>
    </row>
    <row r="357" spans="1:75" hidden="1" outlineLevel="2" x14ac:dyDescent="0.5">
      <c r="A357" s="752" t="s">
        <v>2369</v>
      </c>
      <c r="B357" s="513"/>
      <c r="C357" s="401"/>
      <c r="D357" s="401"/>
      <c r="E357" s="401"/>
      <c r="F357" s="401"/>
      <c r="G357" s="118"/>
      <c r="H357" s="118"/>
      <c r="I357" s="118"/>
      <c r="J357" s="118"/>
      <c r="K357" s="401"/>
      <c r="L357" s="118"/>
      <c r="M357" s="118"/>
      <c r="N357" s="118"/>
      <c r="O357" s="118"/>
      <c r="P357" s="401"/>
      <c r="Q357" s="118"/>
      <c r="R357" s="118"/>
      <c r="S357" s="118"/>
      <c r="T357" s="118"/>
      <c r="U357" s="401"/>
      <c r="V357" s="118"/>
      <c r="W357" s="118"/>
      <c r="X357" s="118"/>
      <c r="Y357" s="118"/>
      <c r="Z357" s="401"/>
      <c r="AA357" s="118"/>
      <c r="AB357" s="118"/>
      <c r="AC357" s="118"/>
      <c r="AD357" s="118"/>
      <c r="AE357" s="401"/>
      <c r="AF357" s="118"/>
      <c r="AG357" s="118"/>
      <c r="AH357" s="118"/>
      <c r="AI357" s="118"/>
      <c r="AJ357" s="401"/>
      <c r="AK357" s="118"/>
      <c r="AL357" s="118"/>
      <c r="AM357" s="118"/>
      <c r="AN357" s="118"/>
      <c r="AO357" s="401"/>
      <c r="AP357" s="118"/>
      <c r="AQ357" s="118"/>
      <c r="AR357" s="118"/>
      <c r="AS357" s="118"/>
      <c r="AT357" s="401"/>
      <c r="AU357" s="118"/>
      <c r="AV357" s="118"/>
      <c r="AW357" s="118"/>
      <c r="AX357" s="118"/>
      <c r="AY357" s="401"/>
      <c r="AZ357" s="118"/>
      <c r="BA357" s="118"/>
      <c r="BB357" s="118"/>
      <c r="BC357" s="118"/>
      <c r="BD357" s="401"/>
      <c r="BE357" s="118"/>
      <c r="BF357" s="118"/>
      <c r="BG357" s="118"/>
      <c r="BH357" s="118"/>
      <c r="BI357" s="401"/>
      <c r="BJ357" s="971"/>
      <c r="BK357" s="118"/>
      <c r="BL357" s="118"/>
      <c r="BM357" s="118"/>
      <c r="BN357" s="401"/>
      <c r="BO357" s="118"/>
      <c r="BP357" s="118"/>
      <c r="BQ357" s="118"/>
      <c r="BR357" s="118"/>
      <c r="BS357" s="401"/>
      <c r="BT357" s="401"/>
      <c r="BU357" s="401"/>
      <c r="BV357" s="401"/>
      <c r="BW357" s="122"/>
    </row>
    <row r="358" spans="1:75" hidden="1" outlineLevel="2" x14ac:dyDescent="0.5">
      <c r="A358" s="752"/>
      <c r="B358" s="513"/>
      <c r="C358" s="401"/>
      <c r="D358" s="401"/>
      <c r="E358" s="401"/>
      <c r="F358" s="401"/>
      <c r="G358" s="118"/>
      <c r="H358" s="118"/>
      <c r="I358" s="118"/>
      <c r="J358" s="118"/>
      <c r="K358" s="401"/>
      <c r="L358" s="118"/>
      <c r="M358" s="118"/>
      <c r="N358" s="118"/>
      <c r="O358" s="118"/>
      <c r="P358" s="401"/>
      <c r="Q358" s="118"/>
      <c r="R358" s="118"/>
      <c r="S358" s="118"/>
      <c r="T358" s="118"/>
      <c r="U358" s="401"/>
      <c r="V358" s="118"/>
      <c r="W358" s="118"/>
      <c r="X358" s="118"/>
      <c r="Y358" s="118"/>
      <c r="Z358" s="401"/>
      <c r="AA358" s="118"/>
      <c r="AB358" s="118"/>
      <c r="AC358" s="118"/>
      <c r="AD358" s="118"/>
      <c r="AE358" s="401"/>
      <c r="AF358" s="118"/>
      <c r="AG358" s="118"/>
      <c r="AH358" s="118"/>
      <c r="AI358" s="118"/>
      <c r="AJ358" s="401"/>
      <c r="AK358" s="118"/>
      <c r="AL358" s="118"/>
      <c r="AM358" s="118"/>
      <c r="AN358" s="118"/>
      <c r="AO358" s="401"/>
      <c r="AP358" s="118"/>
      <c r="AQ358" s="118"/>
      <c r="AR358" s="118"/>
      <c r="AS358" s="118"/>
      <c r="AT358" s="401"/>
      <c r="AU358" s="118"/>
      <c r="AV358" s="118"/>
      <c r="AW358" s="118"/>
      <c r="AX358" s="118"/>
      <c r="AY358" s="401"/>
      <c r="AZ358" s="118"/>
      <c r="BA358" s="118"/>
      <c r="BB358" s="118"/>
      <c r="BC358" s="118"/>
      <c r="BD358" s="401"/>
      <c r="BE358" s="118"/>
      <c r="BF358" s="118"/>
      <c r="BG358" s="118"/>
      <c r="BH358" s="118"/>
      <c r="BI358" s="401"/>
      <c r="BJ358" s="971"/>
      <c r="BK358" s="118"/>
      <c r="BL358" s="118"/>
      <c r="BM358" s="118"/>
      <c r="BN358" s="401"/>
      <c r="BO358" s="118"/>
      <c r="BP358" s="118"/>
      <c r="BQ358" s="118"/>
      <c r="BR358" s="118"/>
      <c r="BS358" s="401"/>
      <c r="BT358" s="401"/>
      <c r="BU358" s="401"/>
      <c r="BV358" s="401"/>
      <c r="BW358" s="122"/>
    </row>
    <row r="359" spans="1:75" hidden="1" outlineLevel="2" x14ac:dyDescent="0.5">
      <c r="A359" s="752" t="s">
        <v>2370</v>
      </c>
      <c r="B359" s="513"/>
      <c r="C359" s="401"/>
      <c r="D359" s="401"/>
      <c r="E359" s="401"/>
      <c r="F359" s="401"/>
      <c r="G359" s="118"/>
      <c r="H359" s="118"/>
      <c r="I359" s="118"/>
      <c r="J359" s="118"/>
      <c r="K359" s="401"/>
      <c r="L359" s="118"/>
      <c r="M359" s="118"/>
      <c r="N359" s="118"/>
      <c r="O359" s="118"/>
      <c r="P359" s="401"/>
      <c r="Q359" s="118"/>
      <c r="R359" s="118"/>
      <c r="S359" s="118"/>
      <c r="T359" s="118"/>
      <c r="U359" s="401"/>
      <c r="V359" s="118"/>
      <c r="W359" s="118"/>
      <c r="X359" s="118"/>
      <c r="Y359" s="118"/>
      <c r="Z359" s="401"/>
      <c r="AA359" s="118"/>
      <c r="AB359" s="118"/>
      <c r="AC359" s="118"/>
      <c r="AD359" s="118"/>
      <c r="AE359" s="401"/>
      <c r="AF359" s="118"/>
      <c r="AG359" s="118"/>
      <c r="AH359" s="118"/>
      <c r="AI359" s="118"/>
      <c r="AJ359" s="401"/>
      <c r="AK359" s="118"/>
      <c r="AL359" s="118"/>
      <c r="AM359" s="118"/>
      <c r="AN359" s="118"/>
      <c r="AO359" s="401"/>
      <c r="AP359" s="118"/>
      <c r="AQ359" s="118"/>
      <c r="AR359" s="118"/>
      <c r="AS359" s="118"/>
      <c r="AT359" s="401"/>
      <c r="AU359" s="118"/>
      <c r="AV359" s="118"/>
      <c r="AW359" s="118"/>
      <c r="AX359" s="118"/>
      <c r="AY359" s="401"/>
      <c r="AZ359" s="118"/>
      <c r="BA359" s="118"/>
      <c r="BB359" s="118"/>
      <c r="BC359" s="118"/>
      <c r="BD359" s="401"/>
      <c r="BE359" s="118"/>
      <c r="BF359" s="118"/>
      <c r="BG359" s="118"/>
      <c r="BH359" s="118"/>
      <c r="BI359" s="401"/>
      <c r="BJ359" s="971"/>
      <c r="BK359" s="118"/>
      <c r="BL359" s="118"/>
      <c r="BM359" s="118"/>
      <c r="BN359" s="401"/>
      <c r="BO359" s="118"/>
      <c r="BP359" s="118"/>
      <c r="BQ359" s="118"/>
      <c r="BR359" s="118"/>
      <c r="BS359" s="401"/>
      <c r="BT359" s="401"/>
      <c r="BU359" s="401"/>
      <c r="BV359" s="401"/>
      <c r="BW359" s="122"/>
    </row>
    <row r="360" spans="1:75" hidden="1" outlineLevel="1" x14ac:dyDescent="0.5">
      <c r="A360" s="752" t="s">
        <v>2371</v>
      </c>
      <c r="B360" s="513"/>
      <c r="C360" s="401"/>
      <c r="D360" s="401"/>
      <c r="E360" s="401"/>
      <c r="F360" s="401"/>
      <c r="G360" s="118"/>
      <c r="H360" s="118"/>
      <c r="I360" s="118"/>
      <c r="J360" s="118"/>
      <c r="K360" s="401"/>
      <c r="L360" s="118"/>
      <c r="M360" s="118"/>
      <c r="N360" s="118"/>
      <c r="O360" s="118"/>
      <c r="P360" s="401"/>
      <c r="Q360" s="118"/>
      <c r="R360" s="118"/>
      <c r="S360" s="118"/>
      <c r="T360" s="118"/>
      <c r="U360" s="401"/>
      <c r="V360" s="118"/>
      <c r="W360" s="118"/>
      <c r="X360" s="118"/>
      <c r="Y360" s="118"/>
      <c r="Z360" s="401"/>
      <c r="AA360" s="118"/>
      <c r="AB360" s="118"/>
      <c r="AC360" s="118"/>
      <c r="AD360" s="118"/>
      <c r="AE360" s="401"/>
      <c r="AF360" s="118"/>
      <c r="AG360" s="118"/>
      <c r="AH360" s="118"/>
      <c r="AI360" s="118"/>
      <c r="AJ360" s="401"/>
      <c r="AK360" s="118"/>
      <c r="AL360" s="118"/>
      <c r="AM360" s="118"/>
      <c r="AN360" s="118"/>
      <c r="AO360" s="401">
        <f t="shared" ref="AO360:BJ360" si="296">AO336+AO340+AO354+AO355+AO356+AO357+AO359</f>
        <v>8.1127359999999999</v>
      </c>
      <c r="AP360" s="118">
        <f t="shared" si="296"/>
        <v>7.1543949999999992</v>
      </c>
      <c r="AQ360" s="118">
        <f t="shared" si="296"/>
        <v>7.1800509999999997</v>
      </c>
      <c r="AR360" s="118">
        <f t="shared" si="296"/>
        <v>6.2243509999999995</v>
      </c>
      <c r="AS360" s="118">
        <f t="shared" si="296"/>
        <v>5.9752989999999988</v>
      </c>
      <c r="AT360" s="401">
        <f t="shared" si="296"/>
        <v>5.9752990000000006</v>
      </c>
      <c r="AU360" s="118">
        <f t="shared" si="296"/>
        <v>5.4110070000000006</v>
      </c>
      <c r="AV360" s="118">
        <f t="shared" si="296"/>
        <v>5.0577950000000014</v>
      </c>
      <c r="AW360" s="118">
        <f t="shared" si="296"/>
        <v>4.4918720000000008</v>
      </c>
      <c r="AX360" s="118">
        <f t="shared" si="296"/>
        <v>5.2297080000000014</v>
      </c>
      <c r="AY360" s="401">
        <f t="shared" si="296"/>
        <v>5.2297080000000022</v>
      </c>
      <c r="AZ360" s="118">
        <f t="shared" si="296"/>
        <v>5.1821760000000028</v>
      </c>
      <c r="BA360" s="118">
        <f t="shared" si="296"/>
        <v>8.8802890000000012</v>
      </c>
      <c r="BB360" s="118">
        <f t="shared" si="296"/>
        <v>8.4152440000000013</v>
      </c>
      <c r="BC360" s="118">
        <f t="shared" si="296"/>
        <v>10.170203000000001</v>
      </c>
      <c r="BD360" s="401">
        <f t="shared" si="296"/>
        <v>10.170203000000003</v>
      </c>
      <c r="BE360" s="118">
        <f t="shared" si="296"/>
        <v>6.5204310000000021</v>
      </c>
      <c r="BF360" s="118">
        <f t="shared" si="296"/>
        <v>7.8978290000000015</v>
      </c>
      <c r="BG360" s="118">
        <f t="shared" si="296"/>
        <v>5.5112310000000004</v>
      </c>
      <c r="BH360" s="118">
        <f t="shared" si="296"/>
        <v>5.1868860000000021</v>
      </c>
      <c r="BI360" s="401">
        <f t="shared" si="296"/>
        <v>5.1868860000000039</v>
      </c>
      <c r="BJ360" s="971">
        <f t="shared" si="296"/>
        <v>3.5088520000000041</v>
      </c>
      <c r="BK360" s="118">
        <f ca="1">BK287*BK361-BK287</f>
        <v>9.7209719724000081</v>
      </c>
      <c r="BL360" s="118">
        <f ca="1">BL287*BL361-BL287</f>
        <v>9.8084607201516008</v>
      </c>
      <c r="BM360" s="118">
        <f ca="1">BM287*BM361-BM287</f>
        <v>9.8967368666329634</v>
      </c>
      <c r="BN360" s="401">
        <f ca="1">BM360</f>
        <v>9.8967368666329634</v>
      </c>
      <c r="BO360" s="118">
        <f ca="1">BO287*BO361-BO287</f>
        <v>9.9858074984326635</v>
      </c>
      <c r="BP360" s="118">
        <f ca="1">BP287*BP361-BP287</f>
        <v>10.075679765918551</v>
      </c>
      <c r="BQ360" s="118">
        <f ca="1">BQ287*BQ361-BQ287</f>
        <v>10.166360883811819</v>
      </c>
      <c r="BR360" s="118">
        <f ca="1">BR287*BR361-BR287</f>
        <v>10.257858131766142</v>
      </c>
      <c r="BS360" s="401">
        <f ca="1">BR360</f>
        <v>10.257858131766142</v>
      </c>
      <c r="BT360" s="401">
        <f ca="1">BT287*BT361-BT287</f>
        <v>10.627141024509712</v>
      </c>
      <c r="BU360" s="401">
        <f ca="1">BU287*BU361-BU287</f>
        <v>11.009718101392053</v>
      </c>
      <c r="BV360" s="401">
        <f ca="1">BV287*BV361-BV287</f>
        <v>11.406067953042168</v>
      </c>
      <c r="BW360" s="122"/>
    </row>
    <row r="361" spans="1:75" hidden="1" outlineLevel="1" x14ac:dyDescent="0.5">
      <c r="A361" s="199" t="s">
        <v>2372</v>
      </c>
      <c r="B361" s="720"/>
      <c r="C361" s="1317"/>
      <c r="D361" s="1317"/>
      <c r="E361" s="1317"/>
      <c r="F361" s="1317"/>
      <c r="G361" s="1318"/>
      <c r="H361" s="1318"/>
      <c r="I361" s="1318"/>
      <c r="J361" s="1318"/>
      <c r="K361" s="1317"/>
      <c r="L361" s="1318"/>
      <c r="M361" s="1318"/>
      <c r="N361" s="1318"/>
      <c r="O361" s="1318"/>
      <c r="P361" s="1317"/>
      <c r="Q361" s="1318"/>
      <c r="R361" s="1318"/>
      <c r="S361" s="1318"/>
      <c r="T361" s="1318"/>
      <c r="U361" s="1317"/>
      <c r="V361" s="1318"/>
      <c r="W361" s="1318"/>
      <c r="X361" s="1318"/>
      <c r="Y361" s="1318"/>
      <c r="Z361" s="1317"/>
      <c r="AA361" s="1318"/>
      <c r="AB361" s="1318"/>
      <c r="AC361" s="1318"/>
      <c r="AD361" s="1318"/>
      <c r="AE361" s="1317"/>
      <c r="AF361" s="1318"/>
      <c r="AG361" s="1318"/>
      <c r="AH361" s="1318"/>
      <c r="AI361" s="1318"/>
      <c r="AJ361" s="1317"/>
      <c r="AK361" s="1318"/>
      <c r="AL361" s="1318"/>
      <c r="AM361" s="1318"/>
      <c r="AN361" s="1318"/>
      <c r="AO361" s="1317">
        <f t="shared" ref="AO361:BJ361" si="297">(AO360+AO287)/AO287</f>
        <v>1.0866741354360929</v>
      </c>
      <c r="AP361" s="1318">
        <f t="shared" si="297"/>
        <v>1.0758181512706277</v>
      </c>
      <c r="AQ361" s="1318">
        <f t="shared" si="297"/>
        <v>1.075527797755919</v>
      </c>
      <c r="AR361" s="1318">
        <f t="shared" si="297"/>
        <v>1.0651105365816163</v>
      </c>
      <c r="AS361" s="1318">
        <f t="shared" si="297"/>
        <v>1.0600262752247924</v>
      </c>
      <c r="AT361" s="1317">
        <f t="shared" si="297"/>
        <v>1.0600262752247924</v>
      </c>
      <c r="AU361" s="1318">
        <f t="shared" si="297"/>
        <v>1.0521491211973693</v>
      </c>
      <c r="AV361" s="1318">
        <f t="shared" si="297"/>
        <v>1.0488312819035162</v>
      </c>
      <c r="AW361" s="1318">
        <f t="shared" si="297"/>
        <v>1.0430955626529237</v>
      </c>
      <c r="AX361" s="1318">
        <f t="shared" si="297"/>
        <v>1.0498814710014426</v>
      </c>
      <c r="AY361" s="1317">
        <f t="shared" si="297"/>
        <v>1.0498814710014426</v>
      </c>
      <c r="AZ361" s="1318">
        <f t="shared" si="297"/>
        <v>1.0493982469327252</v>
      </c>
      <c r="BA361" s="1318">
        <f t="shared" si="297"/>
        <v>1.0841396397794154</v>
      </c>
      <c r="BB361" s="1318">
        <f t="shared" si="297"/>
        <v>1.0790431381832841</v>
      </c>
      <c r="BC361" s="1318">
        <f t="shared" si="297"/>
        <v>1.0936523665365538</v>
      </c>
      <c r="BD361" s="1317">
        <f t="shared" si="297"/>
        <v>1.0936523665365538</v>
      </c>
      <c r="BE361" s="1318">
        <f t="shared" si="297"/>
        <v>1.0586170728290114</v>
      </c>
      <c r="BF361" s="1318">
        <f t="shared" si="297"/>
        <v>1.0701339425687724</v>
      </c>
      <c r="BG361" s="1318">
        <f t="shared" si="297"/>
        <v>1.0474366587269468</v>
      </c>
      <c r="BH361" s="1318">
        <f t="shared" si="297"/>
        <v>1.0439012795527933</v>
      </c>
      <c r="BI361" s="1317">
        <f t="shared" si="297"/>
        <v>1.0439012795527933</v>
      </c>
      <c r="BJ361" s="1319">
        <f t="shared" si="297"/>
        <v>1.0291364417307411</v>
      </c>
      <c r="BK361" s="1320">
        <v>1.08</v>
      </c>
      <c r="BL361" s="1320">
        <v>1.08</v>
      </c>
      <c r="BM361" s="1320">
        <v>1.08</v>
      </c>
      <c r="BN361" s="1317">
        <f ca="1">(BN360+BN287)/BN287</f>
        <v>1.08</v>
      </c>
      <c r="BO361" s="1320">
        <v>1.08</v>
      </c>
      <c r="BP361" s="1320">
        <v>1.08</v>
      </c>
      <c r="BQ361" s="1320">
        <v>1.08</v>
      </c>
      <c r="BR361" s="1320">
        <v>1.08</v>
      </c>
      <c r="BS361" s="1317">
        <f ca="1">(BS360+BS287)/BS287</f>
        <v>1.08</v>
      </c>
      <c r="BT361" s="1321">
        <v>1.08</v>
      </c>
      <c r="BU361" s="1321">
        <v>1.08</v>
      </c>
      <c r="BV361" s="1321">
        <v>1.08</v>
      </c>
      <c r="BW361" s="122"/>
    </row>
    <row r="362" spans="1:75" hidden="1" outlineLevel="1" x14ac:dyDescent="0.5">
      <c r="A362" s="199"/>
      <c r="B362" s="720"/>
      <c r="C362" s="414"/>
      <c r="D362" s="414"/>
      <c r="E362" s="414"/>
      <c r="F362" s="414"/>
      <c r="G362" s="413"/>
      <c r="H362" s="413"/>
      <c r="I362" s="413"/>
      <c r="J362" s="413"/>
      <c r="K362" s="414"/>
      <c r="L362" s="413"/>
      <c r="M362" s="413"/>
      <c r="N362" s="413"/>
      <c r="O362" s="413"/>
      <c r="P362" s="414"/>
      <c r="Q362" s="413"/>
      <c r="R362" s="413"/>
      <c r="S362" s="413"/>
      <c r="T362" s="413"/>
      <c r="U362" s="414"/>
      <c r="V362" s="413"/>
      <c r="W362" s="413"/>
      <c r="X362" s="413"/>
      <c r="Y362" s="413"/>
      <c r="Z362" s="414"/>
      <c r="AA362" s="413"/>
      <c r="AB362" s="413"/>
      <c r="AC362" s="413"/>
      <c r="AD362" s="413"/>
      <c r="AE362" s="414"/>
      <c r="AF362" s="413"/>
      <c r="AG362" s="413"/>
      <c r="AH362" s="413"/>
      <c r="AI362" s="413"/>
      <c r="AJ362" s="414"/>
      <c r="AK362" s="413"/>
      <c r="AL362" s="413"/>
      <c r="AM362" s="413"/>
      <c r="AN362" s="413"/>
      <c r="AO362" s="414"/>
      <c r="AP362" s="413"/>
      <c r="AQ362" s="413"/>
      <c r="AR362" s="413"/>
      <c r="AS362" s="413"/>
      <c r="AT362" s="414"/>
      <c r="AU362" s="413"/>
      <c r="AV362" s="413"/>
      <c r="AW362" s="413"/>
      <c r="AX362" s="413"/>
      <c r="AY362" s="414"/>
      <c r="AZ362" s="413"/>
      <c r="BA362" s="413"/>
      <c r="BB362" s="413"/>
      <c r="BC362" s="413"/>
      <c r="BD362" s="414"/>
      <c r="BE362" s="413"/>
      <c r="BF362" s="413"/>
      <c r="BG362" s="413"/>
      <c r="BH362" s="413"/>
      <c r="BI362" s="414"/>
      <c r="BJ362" s="1216"/>
      <c r="BK362" s="413"/>
      <c r="BL362" s="413"/>
      <c r="BM362" s="413"/>
      <c r="BN362" s="414"/>
      <c r="BO362" s="413"/>
      <c r="BP362" s="413"/>
      <c r="BQ362" s="413"/>
      <c r="BR362" s="413"/>
      <c r="BS362" s="414"/>
      <c r="BT362" s="414"/>
      <c r="BU362" s="414"/>
      <c r="BV362" s="414"/>
      <c r="BW362" s="122"/>
    </row>
    <row r="363" spans="1:75" s="123" customFormat="1" hidden="1" outlineLevel="2" x14ac:dyDescent="0.5">
      <c r="A363" s="184" t="s">
        <v>2373</v>
      </c>
      <c r="B363" s="513"/>
      <c r="C363" s="779"/>
      <c r="D363" s="779"/>
      <c r="E363" s="779"/>
      <c r="F363" s="779"/>
      <c r="G363" s="780"/>
      <c r="H363" s="780"/>
      <c r="I363" s="780"/>
      <c r="J363" s="780"/>
      <c r="K363" s="779"/>
      <c r="L363" s="780"/>
      <c r="M363" s="780"/>
      <c r="N363" s="780"/>
      <c r="O363" s="780"/>
      <c r="P363" s="779"/>
      <c r="Q363" s="780"/>
      <c r="R363" s="780"/>
      <c r="S363" s="780"/>
      <c r="T363" s="780"/>
      <c r="U363" s="779"/>
      <c r="V363" s="780"/>
      <c r="W363" s="780"/>
      <c r="X363" s="780"/>
      <c r="Y363" s="780"/>
      <c r="Z363" s="779"/>
      <c r="AA363" s="780"/>
      <c r="AB363" s="780"/>
      <c r="AC363" s="780"/>
      <c r="AD363" s="780"/>
      <c r="AE363" s="779"/>
      <c r="AF363" s="780"/>
      <c r="AG363" s="780"/>
      <c r="AH363" s="780"/>
      <c r="AI363" s="780"/>
      <c r="AJ363" s="779"/>
      <c r="AK363" s="780"/>
      <c r="AL363" s="780"/>
      <c r="AM363" s="780"/>
      <c r="AN363" s="780"/>
      <c r="AO363" s="818">
        <v>44805</v>
      </c>
      <c r="AP363" s="780"/>
      <c r="AQ363" s="780"/>
      <c r="AR363" s="780"/>
      <c r="AS363" s="780"/>
      <c r="AT363" s="779">
        <f>AO363</f>
        <v>44805</v>
      </c>
      <c r="AU363" s="780">
        <f t="shared" ref="AU363:BA363" si="298">AT363</f>
        <v>44805</v>
      </c>
      <c r="AV363" s="780">
        <f t="shared" si="298"/>
        <v>44805</v>
      </c>
      <c r="AW363" s="780">
        <f t="shared" si="298"/>
        <v>44805</v>
      </c>
      <c r="AX363" s="780">
        <f t="shared" si="298"/>
        <v>44805</v>
      </c>
      <c r="AY363" s="779">
        <f t="shared" si="298"/>
        <v>44805</v>
      </c>
      <c r="AZ363" s="780">
        <f t="shared" si="298"/>
        <v>44805</v>
      </c>
      <c r="BA363" s="780">
        <f t="shared" si="298"/>
        <v>44805</v>
      </c>
      <c r="BB363" s="780"/>
      <c r="BC363" s="780"/>
      <c r="BD363" s="779"/>
      <c r="BE363" s="780"/>
      <c r="BF363" s="780"/>
      <c r="BG363" s="780"/>
      <c r="BH363" s="780"/>
      <c r="BI363" s="779"/>
      <c r="BJ363" s="1316"/>
      <c r="BK363" s="780"/>
      <c r="BL363" s="780"/>
      <c r="BM363" s="780"/>
      <c r="BN363" s="779"/>
      <c r="BO363" s="780"/>
      <c r="BP363" s="780"/>
      <c r="BQ363" s="780"/>
      <c r="BR363" s="780"/>
      <c r="BS363" s="779"/>
      <c r="BT363" s="779"/>
      <c r="BU363" s="779"/>
      <c r="BV363" s="779"/>
      <c r="BW363" s="122"/>
    </row>
    <row r="364" spans="1:75" hidden="1" outlineLevel="2" x14ac:dyDescent="0.5">
      <c r="A364" s="496" t="s">
        <v>2374</v>
      </c>
      <c r="B364" s="513"/>
      <c r="C364" s="401"/>
      <c r="D364" s="401"/>
      <c r="E364" s="401"/>
      <c r="F364" s="401"/>
      <c r="G364" s="118"/>
      <c r="H364" s="118"/>
      <c r="I364" s="118"/>
      <c r="J364" s="118"/>
      <c r="K364" s="401"/>
      <c r="L364" s="118"/>
      <c r="M364" s="118"/>
      <c r="N364" s="118"/>
      <c r="O364" s="118"/>
      <c r="P364" s="401"/>
      <c r="Q364" s="118"/>
      <c r="R364" s="118"/>
      <c r="S364" s="118"/>
      <c r="T364" s="118"/>
      <c r="U364" s="401"/>
      <c r="V364" s="118"/>
      <c r="W364" s="118"/>
      <c r="X364" s="118"/>
      <c r="Y364" s="118"/>
      <c r="Z364" s="401"/>
      <c r="AA364" s="118"/>
      <c r="AB364" s="118"/>
      <c r="AC364" s="118"/>
      <c r="AD364" s="118"/>
      <c r="AE364" s="401"/>
      <c r="AF364" s="118"/>
      <c r="AG364" s="118"/>
      <c r="AH364" s="118"/>
      <c r="AI364" s="118"/>
      <c r="AJ364" s="401"/>
      <c r="AK364" s="118"/>
      <c r="AL364" s="118"/>
      <c r="AM364" s="118"/>
      <c r="AN364" s="118"/>
      <c r="AO364" s="403">
        <v>431.25</v>
      </c>
      <c r="AP364" s="118"/>
      <c r="AQ364" s="118"/>
      <c r="AR364" s="118"/>
      <c r="AS364" s="118"/>
      <c r="AT364" s="403">
        <v>18.036000000000001</v>
      </c>
      <c r="AU364" s="302">
        <v>17.597000000000001</v>
      </c>
      <c r="AV364" s="302">
        <v>3.113</v>
      </c>
      <c r="AW364" s="302">
        <v>2.7040000000000002</v>
      </c>
      <c r="AX364" s="118">
        <f>AY364</f>
        <v>3</v>
      </c>
      <c r="AY364" s="403">
        <v>3</v>
      </c>
      <c r="AZ364" s="302">
        <v>3</v>
      </c>
      <c r="BA364" s="302">
        <v>3</v>
      </c>
      <c r="BB364" s="118"/>
      <c r="BC364" s="118"/>
      <c r="BD364" s="401"/>
      <c r="BE364" s="118"/>
      <c r="BF364" s="118"/>
      <c r="BG364" s="118"/>
      <c r="BH364" s="118"/>
      <c r="BI364" s="401"/>
      <c r="BJ364" s="971"/>
      <c r="BK364" s="118"/>
      <c r="BL364" s="118"/>
      <c r="BM364" s="118"/>
      <c r="BN364" s="401"/>
      <c r="BO364" s="118"/>
      <c r="BP364" s="118"/>
      <c r="BQ364" s="118"/>
      <c r="BR364" s="118"/>
      <c r="BS364" s="401"/>
      <c r="BT364" s="401"/>
      <c r="BU364" s="401"/>
      <c r="BV364" s="401"/>
      <c r="BW364" s="122"/>
    </row>
    <row r="365" spans="1:75" hidden="1" outlineLevel="2" x14ac:dyDescent="0.5">
      <c r="A365" s="513" t="s">
        <v>2375</v>
      </c>
      <c r="B365" s="513"/>
      <c r="C365" s="401"/>
      <c r="D365" s="401"/>
      <c r="E365" s="401"/>
      <c r="F365" s="401"/>
      <c r="G365" s="118"/>
      <c r="H365" s="118"/>
      <c r="I365" s="118"/>
      <c r="J365" s="118"/>
      <c r="K365" s="401"/>
      <c r="L365" s="118"/>
      <c r="M365" s="118"/>
      <c r="N365" s="118"/>
      <c r="O365" s="118"/>
      <c r="P365" s="401"/>
      <c r="Q365" s="118"/>
      <c r="R365" s="118"/>
      <c r="S365" s="118"/>
      <c r="T365" s="118"/>
      <c r="U365" s="401"/>
      <c r="V365" s="118"/>
      <c r="W365" s="118"/>
      <c r="X365" s="118"/>
      <c r="Y365" s="118"/>
      <c r="Z365" s="401"/>
      <c r="AA365" s="118"/>
      <c r="AB365" s="118"/>
      <c r="AC365" s="118"/>
      <c r="AD365" s="118"/>
      <c r="AE365" s="401"/>
      <c r="AF365" s="118"/>
      <c r="AG365" s="118"/>
      <c r="AH365" s="118"/>
      <c r="AI365" s="118"/>
      <c r="AJ365" s="401"/>
      <c r="AK365" s="118"/>
      <c r="AL365" s="118"/>
      <c r="AM365" s="118"/>
      <c r="AN365" s="118"/>
      <c r="AO365" s="403">
        <v>-59.83</v>
      </c>
      <c r="AP365" s="118"/>
      <c r="AQ365" s="118"/>
      <c r="AR365" s="118"/>
      <c r="AS365" s="118"/>
      <c r="AT365" s="403">
        <v>-1.5960000000000001</v>
      </c>
      <c r="AU365" s="302">
        <v>-0.115</v>
      </c>
      <c r="AV365" s="302">
        <v>-1.4E-2</v>
      </c>
      <c r="AW365" s="302">
        <v>-0.01</v>
      </c>
      <c r="AX365" s="118">
        <f>AY365</f>
        <v>0</v>
      </c>
      <c r="AY365" s="401"/>
      <c r="AZ365" s="118"/>
      <c r="BA365" s="118"/>
      <c r="BB365" s="118"/>
      <c r="BC365" s="118"/>
      <c r="BD365" s="401"/>
      <c r="BE365" s="118"/>
      <c r="BF365" s="118"/>
      <c r="BG365" s="118"/>
      <c r="BH365" s="118"/>
      <c r="BI365" s="401"/>
      <c r="BJ365" s="971"/>
      <c r="BK365" s="118"/>
      <c r="BL365" s="118"/>
      <c r="BM365" s="118"/>
      <c r="BN365" s="401"/>
      <c r="BO365" s="118"/>
      <c r="BP365" s="118"/>
      <c r="BQ365" s="118"/>
      <c r="BR365" s="118"/>
      <c r="BS365" s="401"/>
      <c r="BT365" s="401"/>
      <c r="BU365" s="401"/>
      <c r="BV365" s="401"/>
      <c r="BW365" s="122"/>
    </row>
    <row r="366" spans="1:75" hidden="1" outlineLevel="2" x14ac:dyDescent="0.5">
      <c r="A366" s="870" t="s">
        <v>2376</v>
      </c>
      <c r="B366" s="870"/>
      <c r="C366" s="871"/>
      <c r="D366" s="871"/>
      <c r="E366" s="871"/>
      <c r="F366" s="871"/>
      <c r="G366" s="872"/>
      <c r="H366" s="872"/>
      <c r="I366" s="872"/>
      <c r="J366" s="872"/>
      <c r="K366" s="871"/>
      <c r="L366" s="872"/>
      <c r="M366" s="872"/>
      <c r="N366" s="872"/>
      <c r="O366" s="872"/>
      <c r="P366" s="871"/>
      <c r="Q366" s="872"/>
      <c r="R366" s="872"/>
      <c r="S366" s="872"/>
      <c r="T366" s="872"/>
      <c r="U366" s="871"/>
      <c r="V366" s="872"/>
      <c r="W366" s="872"/>
      <c r="X366" s="872"/>
      <c r="Y366" s="872"/>
      <c r="Z366" s="871"/>
      <c r="AA366" s="872"/>
      <c r="AB366" s="872"/>
      <c r="AC366" s="872"/>
      <c r="AD366" s="872"/>
      <c r="AE366" s="871"/>
      <c r="AF366" s="872"/>
      <c r="AG366" s="872"/>
      <c r="AH366" s="872"/>
      <c r="AI366" s="872"/>
      <c r="AJ366" s="871"/>
      <c r="AK366" s="872"/>
      <c r="AL366" s="872"/>
      <c r="AM366" s="872"/>
      <c r="AN366" s="872"/>
      <c r="AO366" s="871"/>
      <c r="AP366" s="872"/>
      <c r="AQ366" s="872"/>
      <c r="AR366" s="872"/>
      <c r="AS366" s="872"/>
      <c r="AT366" s="871"/>
      <c r="AU366" s="872"/>
      <c r="AV366" s="872"/>
      <c r="AW366" s="872"/>
      <c r="AX366" s="872"/>
      <c r="AY366" s="871"/>
      <c r="AZ366" s="872"/>
      <c r="BA366" s="872"/>
      <c r="BB366" s="872"/>
      <c r="BC366" s="872"/>
      <c r="BD366" s="871"/>
      <c r="BE366" s="872"/>
      <c r="BF366" s="872"/>
      <c r="BG366" s="872"/>
      <c r="BH366" s="872"/>
      <c r="BI366" s="871"/>
      <c r="BJ366" s="1504"/>
      <c r="BK366" s="872"/>
      <c r="BL366" s="872"/>
      <c r="BM366" s="872"/>
      <c r="BN366" s="871"/>
      <c r="BO366" s="872"/>
      <c r="BP366" s="872"/>
      <c r="BQ366" s="872"/>
      <c r="BR366" s="872"/>
      <c r="BS366" s="871"/>
      <c r="BT366" s="871"/>
      <c r="BU366" s="871"/>
      <c r="BV366" s="871"/>
      <c r="BW366" s="122"/>
    </row>
    <row r="367" spans="1:75" hidden="1" outlineLevel="2" x14ac:dyDescent="0.5">
      <c r="A367" s="1516" t="s">
        <v>2377</v>
      </c>
      <c r="B367" s="1499"/>
      <c r="C367" s="1500"/>
      <c r="D367" s="1500"/>
      <c r="E367" s="1500"/>
      <c r="F367" s="1500"/>
      <c r="G367" s="1056"/>
      <c r="H367" s="1056"/>
      <c r="I367" s="1056"/>
      <c r="J367" s="1056"/>
      <c r="K367" s="1500"/>
      <c r="L367" s="1056"/>
      <c r="M367" s="1056"/>
      <c r="N367" s="1056"/>
      <c r="O367" s="1056"/>
      <c r="P367" s="1500"/>
      <c r="Q367" s="1056"/>
      <c r="R367" s="1056"/>
      <c r="S367" s="1056"/>
      <c r="T367" s="1056"/>
      <c r="U367" s="1500"/>
      <c r="V367" s="1056"/>
      <c r="W367" s="1056"/>
      <c r="X367" s="1056"/>
      <c r="Y367" s="1056"/>
      <c r="Z367" s="1500"/>
      <c r="AA367" s="1056"/>
      <c r="AB367" s="1056"/>
      <c r="AC367" s="1056"/>
      <c r="AD367" s="1056"/>
      <c r="AE367" s="1500"/>
      <c r="AF367" s="1056"/>
      <c r="AG367" s="1056"/>
      <c r="AH367" s="1056"/>
      <c r="AI367" s="1056"/>
      <c r="AJ367" s="1500"/>
      <c r="AK367" s="1056"/>
      <c r="AL367" s="1056"/>
      <c r="AM367" s="1056"/>
      <c r="AN367" s="1056"/>
      <c r="AO367" s="1500">
        <f>SUM(AO364:AO366)</f>
        <v>371.42</v>
      </c>
      <c r="AP367" s="1056"/>
      <c r="AQ367" s="1056"/>
      <c r="AR367" s="1056"/>
      <c r="AS367" s="1056"/>
      <c r="AT367" s="1500">
        <f t="shared" ref="AT367:BA367" si="299">SUM(AT364:AT366)</f>
        <v>16.440000000000001</v>
      </c>
      <c r="AU367" s="1056">
        <f t="shared" si="299"/>
        <v>17.482000000000003</v>
      </c>
      <c r="AV367" s="1056">
        <f t="shared" si="299"/>
        <v>3.0990000000000002</v>
      </c>
      <c r="AW367" s="1056">
        <f t="shared" si="299"/>
        <v>2.6940000000000004</v>
      </c>
      <c r="AX367" s="1056">
        <f t="shared" si="299"/>
        <v>3</v>
      </c>
      <c r="AY367" s="1500">
        <f t="shared" si="299"/>
        <v>3</v>
      </c>
      <c r="AZ367" s="1056">
        <f t="shared" si="299"/>
        <v>3</v>
      </c>
      <c r="BA367" s="1056">
        <f t="shared" si="299"/>
        <v>3</v>
      </c>
      <c r="BB367" s="1056"/>
      <c r="BC367" s="1056"/>
      <c r="BD367" s="1500"/>
      <c r="BE367" s="1056"/>
      <c r="BF367" s="1056"/>
      <c r="BG367" s="1056"/>
      <c r="BH367" s="1056"/>
      <c r="BI367" s="1500"/>
      <c r="BJ367" s="1058"/>
      <c r="BK367" s="1056"/>
      <c r="BL367" s="1056"/>
      <c r="BM367" s="1056"/>
      <c r="BN367" s="1500"/>
      <c r="BO367" s="1056"/>
      <c r="BP367" s="1056"/>
      <c r="BQ367" s="1056"/>
      <c r="BR367" s="1056"/>
      <c r="BS367" s="1500"/>
      <c r="BT367" s="1500"/>
      <c r="BU367" s="1500"/>
      <c r="BV367" s="1500"/>
      <c r="BW367" s="122"/>
    </row>
    <row r="368" spans="1:75" hidden="1" outlineLevel="2" x14ac:dyDescent="0.5">
      <c r="A368" s="496" t="s">
        <v>2378</v>
      </c>
      <c r="B368" s="513"/>
      <c r="C368" s="784"/>
      <c r="D368" s="784"/>
      <c r="E368" s="784"/>
      <c r="F368" s="784"/>
      <c r="G368" s="785"/>
      <c r="H368" s="785"/>
      <c r="I368" s="785"/>
      <c r="J368" s="785"/>
      <c r="K368" s="784"/>
      <c r="L368" s="785"/>
      <c r="M368" s="785"/>
      <c r="N368" s="785"/>
      <c r="O368" s="785"/>
      <c r="P368" s="784"/>
      <c r="Q368" s="785"/>
      <c r="R368" s="785"/>
      <c r="S368" s="785"/>
      <c r="T368" s="785"/>
      <c r="U368" s="784"/>
      <c r="V368" s="785"/>
      <c r="W368" s="785"/>
      <c r="X368" s="785"/>
      <c r="Y368" s="785"/>
      <c r="Z368" s="784"/>
      <c r="AA368" s="785"/>
      <c r="AB368" s="785"/>
      <c r="AC368" s="785"/>
      <c r="AD368" s="785"/>
      <c r="AE368" s="784"/>
      <c r="AF368" s="785"/>
      <c r="AG368" s="785"/>
      <c r="AH368" s="785"/>
      <c r="AI368" s="785"/>
      <c r="AJ368" s="784"/>
      <c r="AK368" s="785"/>
      <c r="AL368" s="785"/>
      <c r="AM368" s="785"/>
      <c r="AN368" s="785"/>
      <c r="AO368" s="1517">
        <v>104.06</v>
      </c>
      <c r="AP368" s="785"/>
      <c r="AQ368" s="785"/>
      <c r="AR368" s="785"/>
      <c r="AS368" s="785"/>
      <c r="AT368" s="1517">
        <v>104.06</v>
      </c>
      <c r="AU368" s="1071">
        <v>104.06</v>
      </c>
      <c r="AV368" s="1071">
        <v>104.06</v>
      </c>
      <c r="AW368" s="1071">
        <v>104.06</v>
      </c>
      <c r="AX368" s="785">
        <f>AY368</f>
        <v>104.06</v>
      </c>
      <c r="AY368" s="1517">
        <v>104.06</v>
      </c>
      <c r="AZ368" s="1071">
        <v>104.06</v>
      </c>
      <c r="BA368" s="1071">
        <v>104.06</v>
      </c>
      <c r="BB368" s="785"/>
      <c r="BC368" s="785"/>
      <c r="BD368" s="784"/>
      <c r="BE368" s="785"/>
      <c r="BF368" s="785"/>
      <c r="BG368" s="785"/>
      <c r="BH368" s="785"/>
      <c r="BI368" s="784"/>
      <c r="BJ368" s="1067"/>
      <c r="BK368" s="785"/>
      <c r="BL368" s="785"/>
      <c r="BM368" s="785"/>
      <c r="BN368" s="784"/>
      <c r="BO368" s="785"/>
      <c r="BP368" s="785"/>
      <c r="BQ368" s="785"/>
      <c r="BR368" s="785"/>
      <c r="BS368" s="784"/>
      <c r="BT368" s="784"/>
      <c r="BU368" s="784"/>
      <c r="BV368" s="784"/>
      <c r="BW368" s="122"/>
    </row>
    <row r="369" spans="1:75" hidden="1" outlineLevel="2" x14ac:dyDescent="0.5">
      <c r="A369" s="869" t="s">
        <v>2379</v>
      </c>
      <c r="B369" s="870"/>
      <c r="C369" s="871"/>
      <c r="D369" s="871"/>
      <c r="E369" s="871"/>
      <c r="F369" s="871"/>
      <c r="G369" s="872"/>
      <c r="H369" s="872"/>
      <c r="I369" s="872"/>
      <c r="J369" s="872"/>
      <c r="K369" s="871"/>
      <c r="L369" s="872"/>
      <c r="M369" s="872"/>
      <c r="N369" s="872"/>
      <c r="O369" s="872"/>
      <c r="P369" s="871"/>
      <c r="Q369" s="872"/>
      <c r="R369" s="872"/>
      <c r="S369" s="872"/>
      <c r="T369" s="872"/>
      <c r="U369" s="871"/>
      <c r="V369" s="872"/>
      <c r="W369" s="872"/>
      <c r="X369" s="872"/>
      <c r="Y369" s="872"/>
      <c r="Z369" s="871"/>
      <c r="AA369" s="872"/>
      <c r="AB369" s="872"/>
      <c r="AC369" s="872"/>
      <c r="AD369" s="872"/>
      <c r="AE369" s="871"/>
      <c r="AF369" s="872"/>
      <c r="AG369" s="872"/>
      <c r="AH369" s="872"/>
      <c r="AI369" s="872"/>
      <c r="AJ369" s="871"/>
      <c r="AK369" s="872"/>
      <c r="AL369" s="872"/>
      <c r="AM369" s="872"/>
      <c r="AN369" s="872"/>
      <c r="AO369" s="871">
        <f>IFERROR(AO364/AO368,0)</f>
        <v>4.1442437055544881</v>
      </c>
      <c r="AP369" s="872"/>
      <c r="AQ369" s="872"/>
      <c r="AR369" s="872"/>
      <c r="AS369" s="872"/>
      <c r="AT369" s="871">
        <f t="shared" ref="AT369:BA369" si="300">IFERROR(AT364/AT368,0)</f>
        <v>0.1733230828368249</v>
      </c>
      <c r="AU369" s="872">
        <f t="shared" si="300"/>
        <v>0.16910436286757641</v>
      </c>
      <c r="AV369" s="872">
        <f t="shared" si="300"/>
        <v>2.9915433403805498E-2</v>
      </c>
      <c r="AW369" s="872">
        <f t="shared" si="300"/>
        <v>2.5985008648856431E-2</v>
      </c>
      <c r="AX369" s="872">
        <f t="shared" si="300"/>
        <v>2.8829521429944261E-2</v>
      </c>
      <c r="AY369" s="871">
        <f t="shared" si="300"/>
        <v>2.8829521429944261E-2</v>
      </c>
      <c r="AZ369" s="872">
        <f t="shared" si="300"/>
        <v>2.8829521429944261E-2</v>
      </c>
      <c r="BA369" s="872">
        <f t="shared" si="300"/>
        <v>2.8829521429944261E-2</v>
      </c>
      <c r="BB369" s="872"/>
      <c r="BC369" s="872"/>
      <c r="BD369" s="871"/>
      <c r="BE369" s="872"/>
      <c r="BF369" s="872"/>
      <c r="BG369" s="872"/>
      <c r="BH369" s="872"/>
      <c r="BI369" s="871"/>
      <c r="BJ369" s="1504"/>
      <c r="BK369" s="872"/>
      <c r="BL369" s="872"/>
      <c r="BM369" s="872"/>
      <c r="BN369" s="871"/>
      <c r="BO369" s="872"/>
      <c r="BP369" s="872"/>
      <c r="BQ369" s="872"/>
      <c r="BR369" s="872"/>
      <c r="BS369" s="871"/>
      <c r="BT369" s="871"/>
      <c r="BU369" s="871"/>
      <c r="BV369" s="871"/>
      <c r="BW369" s="122"/>
    </row>
    <row r="370" spans="1:75" hidden="1" outlineLevel="2" x14ac:dyDescent="0.5">
      <c r="A370" s="1498" t="s">
        <v>2380</v>
      </c>
      <c r="B370" s="1499"/>
      <c r="C370" s="1500"/>
      <c r="D370" s="1500"/>
      <c r="E370" s="1500"/>
      <c r="F370" s="1500"/>
      <c r="G370" s="1056"/>
      <c r="H370" s="1056"/>
      <c r="I370" s="1056"/>
      <c r="J370" s="1056"/>
      <c r="K370" s="1500"/>
      <c r="L370" s="1056"/>
      <c r="M370" s="1056"/>
      <c r="N370" s="1056"/>
      <c r="O370" s="1056"/>
      <c r="P370" s="1500"/>
      <c r="Q370" s="1056"/>
      <c r="R370" s="1056"/>
      <c r="S370" s="1056"/>
      <c r="T370" s="1056"/>
      <c r="U370" s="1500"/>
      <c r="V370" s="1056"/>
      <c r="W370" s="1056"/>
      <c r="X370" s="1056"/>
      <c r="Y370" s="1056"/>
      <c r="Z370" s="1500"/>
      <c r="AA370" s="1056"/>
      <c r="AB370" s="1056"/>
      <c r="AC370" s="1056"/>
      <c r="AD370" s="1056"/>
      <c r="AE370" s="1500"/>
      <c r="AF370" s="1056"/>
      <c r="AG370" s="1056"/>
      <c r="AH370" s="1056"/>
      <c r="AI370" s="1056"/>
      <c r="AJ370" s="1500"/>
      <c r="AK370" s="1056"/>
      <c r="AL370" s="1056"/>
      <c r="AM370" s="1056"/>
      <c r="AN370" s="1056"/>
      <c r="AO370" s="1500">
        <f ca="1">IFERROR(IF(AO280&gt;AO368,AO369,0),0)</f>
        <v>0</v>
      </c>
      <c r="AP370" s="1056"/>
      <c r="AQ370" s="1056"/>
      <c r="AR370" s="1056"/>
      <c r="AS370" s="1056"/>
      <c r="AT370" s="1500">
        <f t="shared" ref="AT370:BA370" ca="1" si="301">IFERROR(IF(AT280&gt;AT368,AT369,0),0)</f>
        <v>0.1733230828368249</v>
      </c>
      <c r="AU370" s="1056">
        <f t="shared" ca="1" si="301"/>
        <v>0.16910436286757641</v>
      </c>
      <c r="AV370" s="1056">
        <f t="shared" ca="1" si="301"/>
        <v>2.9915433403805498E-2</v>
      </c>
      <c r="AW370" s="1056">
        <f t="shared" ca="1" si="301"/>
        <v>2.5985008648856431E-2</v>
      </c>
      <c r="AX370" s="1056">
        <f t="shared" ca="1" si="301"/>
        <v>2.8829521429944261E-2</v>
      </c>
      <c r="AY370" s="1500">
        <f t="shared" ca="1" si="301"/>
        <v>2.8829521429944261E-2</v>
      </c>
      <c r="AZ370" s="1056">
        <f t="shared" ca="1" si="301"/>
        <v>2.8829521429944261E-2</v>
      </c>
      <c r="BA370" s="1056">
        <f t="shared" ca="1" si="301"/>
        <v>2.8829521429944261E-2</v>
      </c>
      <c r="BB370" s="1056"/>
      <c r="BC370" s="1056"/>
      <c r="BD370" s="1500"/>
      <c r="BE370" s="1056"/>
      <c r="BF370" s="1056"/>
      <c r="BG370" s="1056"/>
      <c r="BH370" s="1056"/>
      <c r="BI370" s="1500"/>
      <c r="BJ370" s="1058"/>
      <c r="BK370" s="1056"/>
      <c r="BL370" s="1056"/>
      <c r="BM370" s="1056"/>
      <c r="BN370" s="1500"/>
      <c r="BO370" s="1056"/>
      <c r="BP370" s="1056"/>
      <c r="BQ370" s="1056"/>
      <c r="BR370" s="1056"/>
      <c r="BS370" s="1500"/>
      <c r="BT370" s="1500"/>
      <c r="BU370" s="1500"/>
      <c r="BV370" s="1500"/>
      <c r="BW370" s="122"/>
    </row>
    <row r="371" spans="1:75" hidden="1" outlineLevel="2" x14ac:dyDescent="0.5">
      <c r="A371" s="752"/>
      <c r="B371" s="513"/>
      <c r="C371" s="401"/>
      <c r="D371" s="401"/>
      <c r="E371" s="401"/>
      <c r="F371" s="401"/>
      <c r="G371" s="118"/>
      <c r="H371" s="118"/>
      <c r="I371" s="118"/>
      <c r="J371" s="118"/>
      <c r="K371" s="401"/>
      <c r="L371" s="118"/>
      <c r="M371" s="118"/>
      <c r="N371" s="118"/>
      <c r="O371" s="118"/>
      <c r="P371" s="401"/>
      <c r="Q371" s="118"/>
      <c r="R371" s="118"/>
      <c r="S371" s="118"/>
      <c r="T371" s="118"/>
      <c r="U371" s="401"/>
      <c r="V371" s="118"/>
      <c r="W371" s="118"/>
      <c r="X371" s="118"/>
      <c r="Y371" s="118"/>
      <c r="Z371" s="401"/>
      <c r="AA371" s="118"/>
      <c r="AB371" s="118"/>
      <c r="AC371" s="118"/>
      <c r="AD371" s="118"/>
      <c r="AE371" s="401"/>
      <c r="AF371" s="118"/>
      <c r="AG371" s="118"/>
      <c r="AH371" s="118"/>
      <c r="AI371" s="118"/>
      <c r="AJ371" s="401"/>
      <c r="AK371" s="118"/>
      <c r="AL371" s="118"/>
      <c r="AM371" s="118"/>
      <c r="AN371" s="118"/>
      <c r="AO371" s="401"/>
      <c r="AP371" s="118"/>
      <c r="AQ371" s="118"/>
      <c r="AR371" s="118"/>
      <c r="AS371" s="118"/>
      <c r="AT371" s="401"/>
      <c r="AU371" s="118"/>
      <c r="AV371" s="118"/>
      <c r="AW371" s="118"/>
      <c r="AX371" s="118"/>
      <c r="AY371" s="401"/>
      <c r="AZ371" s="118"/>
      <c r="BA371" s="118"/>
      <c r="BB371" s="118"/>
      <c r="BC371" s="118"/>
      <c r="BD371" s="401"/>
      <c r="BE371" s="118"/>
      <c r="BF371" s="118"/>
      <c r="BG371" s="118"/>
      <c r="BH371" s="118"/>
      <c r="BI371" s="401"/>
      <c r="BJ371" s="971"/>
      <c r="BK371" s="118"/>
      <c r="BL371" s="118"/>
      <c r="BM371" s="118"/>
      <c r="BN371" s="401"/>
      <c r="BO371" s="118"/>
      <c r="BP371" s="118"/>
      <c r="BQ371" s="118"/>
      <c r="BR371" s="118"/>
      <c r="BS371" s="401"/>
      <c r="BT371" s="401"/>
      <c r="BU371" s="401"/>
      <c r="BV371" s="401"/>
      <c r="BW371" s="122"/>
    </row>
    <row r="372" spans="1:75" hidden="1" outlineLevel="2" x14ac:dyDescent="0.5">
      <c r="A372" s="184" t="s">
        <v>2381</v>
      </c>
      <c r="B372" s="513"/>
      <c r="C372" s="401"/>
      <c r="D372" s="401"/>
      <c r="E372" s="401"/>
      <c r="F372" s="401"/>
      <c r="G372" s="118"/>
      <c r="H372" s="118"/>
      <c r="I372" s="118"/>
      <c r="J372" s="118"/>
      <c r="K372" s="401"/>
      <c r="L372" s="118"/>
      <c r="M372" s="118"/>
      <c r="N372" s="118"/>
      <c r="O372" s="118"/>
      <c r="P372" s="401"/>
      <c r="Q372" s="118"/>
      <c r="R372" s="118"/>
      <c r="S372" s="118"/>
      <c r="T372" s="118"/>
      <c r="U372" s="401"/>
      <c r="V372" s="118"/>
      <c r="W372" s="118"/>
      <c r="X372" s="118"/>
      <c r="Y372" s="118"/>
      <c r="Z372" s="401"/>
      <c r="AA372" s="118"/>
      <c r="AB372" s="118"/>
      <c r="AC372" s="118"/>
      <c r="AD372" s="118"/>
      <c r="AE372" s="401"/>
      <c r="AF372" s="118"/>
      <c r="AG372" s="118"/>
      <c r="AH372" s="118"/>
      <c r="AI372" s="118"/>
      <c r="AJ372" s="401"/>
      <c r="AK372" s="118"/>
      <c r="AL372" s="118"/>
      <c r="AM372" s="118"/>
      <c r="AN372" s="118"/>
      <c r="AO372" s="401">
        <f>AO369</f>
        <v>4.1442437055544881</v>
      </c>
      <c r="AP372" s="118"/>
      <c r="AQ372" s="118"/>
      <c r="AR372" s="118"/>
      <c r="AS372" s="118"/>
      <c r="AT372" s="401">
        <f t="shared" ref="AT372:BA372" si="302">AT369</f>
        <v>0.1733230828368249</v>
      </c>
      <c r="AU372" s="118">
        <f t="shared" si="302"/>
        <v>0.16910436286757641</v>
      </c>
      <c r="AV372" s="118">
        <f t="shared" si="302"/>
        <v>2.9915433403805498E-2</v>
      </c>
      <c r="AW372" s="118">
        <f t="shared" si="302"/>
        <v>2.5985008648856431E-2</v>
      </c>
      <c r="AX372" s="118">
        <f t="shared" si="302"/>
        <v>2.8829521429944261E-2</v>
      </c>
      <c r="AY372" s="401">
        <f t="shared" si="302"/>
        <v>2.8829521429944261E-2</v>
      </c>
      <c r="AZ372" s="118">
        <f t="shared" si="302"/>
        <v>2.8829521429944261E-2</v>
      </c>
      <c r="BA372" s="118">
        <f t="shared" si="302"/>
        <v>2.8829521429944261E-2</v>
      </c>
      <c r="BB372" s="118"/>
      <c r="BC372" s="118"/>
      <c r="BD372" s="401"/>
      <c r="BE372" s="118"/>
      <c r="BF372" s="118"/>
      <c r="BG372" s="118"/>
      <c r="BH372" s="118"/>
      <c r="BI372" s="401"/>
      <c r="BJ372" s="971"/>
      <c r="BK372" s="118"/>
      <c r="BL372" s="118"/>
      <c r="BM372" s="118"/>
      <c r="BN372" s="401"/>
      <c r="BO372" s="118"/>
      <c r="BP372" s="118"/>
      <c r="BQ372" s="118"/>
      <c r="BR372" s="118"/>
      <c r="BS372" s="401"/>
      <c r="BT372" s="401"/>
      <c r="BU372" s="401"/>
      <c r="BV372" s="401"/>
      <c r="BW372" s="122"/>
    </row>
    <row r="373" spans="1:75" hidden="1" outlineLevel="2" x14ac:dyDescent="0.5">
      <c r="A373" s="869" t="s">
        <v>2382</v>
      </c>
      <c r="B373" s="870"/>
      <c r="C373" s="1506"/>
      <c r="D373" s="1506"/>
      <c r="E373" s="1506"/>
      <c r="F373" s="1506"/>
      <c r="G373" s="1507"/>
      <c r="H373" s="1507"/>
      <c r="I373" s="1507"/>
      <c r="J373" s="1507"/>
      <c r="K373" s="1506"/>
      <c r="L373" s="1507"/>
      <c r="M373" s="1507"/>
      <c r="N373" s="1507"/>
      <c r="O373" s="1507"/>
      <c r="P373" s="1506"/>
      <c r="Q373" s="1507"/>
      <c r="R373" s="1507"/>
      <c r="S373" s="1507"/>
      <c r="T373" s="1507"/>
      <c r="U373" s="1506"/>
      <c r="V373" s="1507"/>
      <c r="W373" s="1507"/>
      <c r="X373" s="1507"/>
      <c r="Y373" s="1507"/>
      <c r="Z373" s="1506"/>
      <c r="AA373" s="1507"/>
      <c r="AB373" s="1507"/>
      <c r="AC373" s="1507"/>
      <c r="AD373" s="1507"/>
      <c r="AE373" s="1506"/>
      <c r="AF373" s="1507"/>
      <c r="AG373" s="1507"/>
      <c r="AH373" s="1507"/>
      <c r="AI373" s="1507"/>
      <c r="AJ373" s="1506"/>
      <c r="AK373" s="1507"/>
      <c r="AL373" s="1507"/>
      <c r="AM373" s="1507"/>
      <c r="AN373" s="1507"/>
      <c r="AO373" s="1517">
        <v>154.16</v>
      </c>
      <c r="AP373" s="1507"/>
      <c r="AQ373" s="1507"/>
      <c r="AR373" s="1507"/>
      <c r="AS373" s="1507"/>
      <c r="AT373" s="1517">
        <v>154.16</v>
      </c>
      <c r="AU373" s="1071">
        <v>154.16</v>
      </c>
      <c r="AV373" s="1071">
        <v>154.16</v>
      </c>
      <c r="AW373" s="1071">
        <v>154.16</v>
      </c>
      <c r="AX373" s="785">
        <f>AY373</f>
        <v>154.16</v>
      </c>
      <c r="AY373" s="1517">
        <v>154.16</v>
      </c>
      <c r="AZ373" s="1071">
        <v>154.16</v>
      </c>
      <c r="BA373" s="1071">
        <v>154.16</v>
      </c>
      <c r="BB373" s="1507"/>
      <c r="BC373" s="785"/>
      <c r="BD373" s="784"/>
      <c r="BE373" s="785"/>
      <c r="BF373" s="785"/>
      <c r="BG373" s="1507"/>
      <c r="BH373" s="785"/>
      <c r="BI373" s="784"/>
      <c r="BJ373" s="1067"/>
      <c r="BK373" s="1507"/>
      <c r="BL373" s="1507"/>
      <c r="BM373" s="1507"/>
      <c r="BN373" s="1506"/>
      <c r="BO373" s="1507"/>
      <c r="BP373" s="1507"/>
      <c r="BQ373" s="1507"/>
      <c r="BR373" s="1507"/>
      <c r="BS373" s="1506"/>
      <c r="BT373" s="1506"/>
      <c r="BU373" s="1506"/>
      <c r="BV373" s="1506"/>
      <c r="BW373" s="122"/>
    </row>
    <row r="374" spans="1:75" hidden="1" outlineLevel="2" x14ac:dyDescent="0.5">
      <c r="A374" s="1498" t="s">
        <v>2383</v>
      </c>
      <c r="B374" s="1499"/>
      <c r="C374" s="1500"/>
      <c r="D374" s="1500"/>
      <c r="E374" s="1500"/>
      <c r="F374" s="1500"/>
      <c r="G374" s="1056"/>
      <c r="H374" s="1056"/>
      <c r="I374" s="1056"/>
      <c r="J374" s="1056"/>
      <c r="K374" s="1500"/>
      <c r="L374" s="1056"/>
      <c r="M374" s="1056"/>
      <c r="N374" s="1056"/>
      <c r="O374" s="1056"/>
      <c r="P374" s="1500"/>
      <c r="Q374" s="1056"/>
      <c r="R374" s="1056"/>
      <c r="S374" s="1056"/>
      <c r="T374" s="1056"/>
      <c r="U374" s="1500"/>
      <c r="V374" s="1056"/>
      <c r="W374" s="1056"/>
      <c r="X374" s="1056"/>
      <c r="Y374" s="1056"/>
      <c r="Z374" s="1500"/>
      <c r="AA374" s="1056"/>
      <c r="AB374" s="1056"/>
      <c r="AC374" s="1056"/>
      <c r="AD374" s="1056"/>
      <c r="AE374" s="1500"/>
      <c r="AF374" s="1056"/>
      <c r="AG374" s="1056"/>
      <c r="AH374" s="1056"/>
      <c r="AI374" s="1056"/>
      <c r="AJ374" s="1500"/>
      <c r="AK374" s="1056"/>
      <c r="AL374" s="1056"/>
      <c r="AM374" s="1056"/>
      <c r="AN374" s="1056"/>
      <c r="AO374" s="1500">
        <f ca="1">IFERROR(IF(AO280&gt;AO373,-AO370*AO373/AO280*AO372/AO369,-AO370),0)</f>
        <v>0</v>
      </c>
      <c r="AP374" s="1056"/>
      <c r="AQ374" s="1056"/>
      <c r="AR374" s="1056"/>
      <c r="AS374" s="1056"/>
      <c r="AT374" s="1500">
        <f t="shared" ref="AT374:BA374" ca="1" si="303">IFERROR(IF(AT280&gt;AT373,-AT370*AT373/AT280*AT372/AT369,-AT370),0)</f>
        <v>-0.1733230828368249</v>
      </c>
      <c r="AU374" s="1056">
        <f t="shared" ca="1" si="303"/>
        <v>-0.15267425229672374</v>
      </c>
      <c r="AV374" s="1056">
        <f t="shared" ca="1" si="303"/>
        <v>-2.9915433403805498E-2</v>
      </c>
      <c r="AW374" s="1056">
        <f t="shared" ca="1" si="303"/>
        <v>-2.1568130799050813E-2</v>
      </c>
      <c r="AX374" s="1056">
        <f t="shared" ca="1" si="303"/>
        <v>-2.8708475057426571E-2</v>
      </c>
      <c r="AY374" s="1500">
        <f t="shared" ca="1" si="303"/>
        <v>-2.8708475057426571E-2</v>
      </c>
      <c r="AZ374" s="1056">
        <f t="shared" ca="1" si="303"/>
        <v>-2.8829521429944261E-2</v>
      </c>
      <c r="BA374" s="1056">
        <f t="shared" ca="1" si="303"/>
        <v>-2.8829521429944261E-2</v>
      </c>
      <c r="BB374" s="1056"/>
      <c r="BC374" s="1056"/>
      <c r="BD374" s="1500"/>
      <c r="BE374" s="1056"/>
      <c r="BF374" s="1056"/>
      <c r="BG374" s="1056"/>
      <c r="BH374" s="1056"/>
      <c r="BI374" s="1500"/>
      <c r="BJ374" s="1058"/>
      <c r="BK374" s="1056"/>
      <c r="BL374" s="1056"/>
      <c r="BM374" s="1056"/>
      <c r="BN374" s="1500"/>
      <c r="BO374" s="1056"/>
      <c r="BP374" s="1056"/>
      <c r="BQ374" s="1056"/>
      <c r="BR374" s="1056"/>
      <c r="BS374" s="1500"/>
      <c r="BT374" s="1500"/>
      <c r="BU374" s="1500"/>
      <c r="BV374" s="1500"/>
      <c r="BW374" s="122"/>
    </row>
    <row r="375" spans="1:75" hidden="1" outlineLevel="2" x14ac:dyDescent="0.5">
      <c r="A375" s="184" t="s">
        <v>2384</v>
      </c>
      <c r="B375" s="513"/>
      <c r="C375" s="401"/>
      <c r="D375" s="401"/>
      <c r="E375" s="401"/>
      <c r="F375" s="401"/>
      <c r="G375" s="118"/>
      <c r="H375" s="118"/>
      <c r="I375" s="118"/>
      <c r="J375" s="118"/>
      <c r="K375" s="401"/>
      <c r="L375" s="118"/>
      <c r="M375" s="118"/>
      <c r="N375" s="118"/>
      <c r="O375" s="118"/>
      <c r="P375" s="401"/>
      <c r="Q375" s="118"/>
      <c r="R375" s="118"/>
      <c r="S375" s="118"/>
      <c r="T375" s="118"/>
      <c r="U375" s="401"/>
      <c r="V375" s="118"/>
      <c r="W375" s="118"/>
      <c r="X375" s="118"/>
      <c r="Y375" s="118"/>
      <c r="Z375" s="401"/>
      <c r="AA375" s="118"/>
      <c r="AB375" s="118"/>
      <c r="AC375" s="118"/>
      <c r="AD375" s="118"/>
      <c r="AE375" s="401"/>
      <c r="AF375" s="118"/>
      <c r="AG375" s="118"/>
      <c r="AH375" s="118"/>
      <c r="AI375" s="118"/>
      <c r="AJ375" s="401"/>
      <c r="AK375" s="118"/>
      <c r="AL375" s="118"/>
      <c r="AM375" s="118"/>
      <c r="AN375" s="118"/>
      <c r="AO375" s="401">
        <f ca="1">IF(AO374&lt;0,AO372*AO368,0)</f>
        <v>0</v>
      </c>
      <c r="AP375" s="118"/>
      <c r="AQ375" s="118"/>
      <c r="AR375" s="118"/>
      <c r="AS375" s="118"/>
      <c r="AT375" s="401">
        <f t="shared" ref="AT375:BA375" ca="1" si="304">IF(AT374&lt;0,AT372*AT368,0)</f>
        <v>18.036000000000001</v>
      </c>
      <c r="AU375" s="118">
        <f t="shared" ca="1" si="304"/>
        <v>17.597000000000001</v>
      </c>
      <c r="AV375" s="118">
        <f t="shared" ca="1" si="304"/>
        <v>3.113</v>
      </c>
      <c r="AW375" s="118">
        <f t="shared" ca="1" si="304"/>
        <v>2.7040000000000002</v>
      </c>
      <c r="AX375" s="118">
        <f t="shared" ca="1" si="304"/>
        <v>3</v>
      </c>
      <c r="AY375" s="401">
        <f t="shared" ca="1" si="304"/>
        <v>3</v>
      </c>
      <c r="AZ375" s="118">
        <f t="shared" ca="1" si="304"/>
        <v>3</v>
      </c>
      <c r="BA375" s="118">
        <f t="shared" ca="1" si="304"/>
        <v>3</v>
      </c>
      <c r="BB375" s="118"/>
      <c r="BC375" s="118"/>
      <c r="BD375" s="401"/>
      <c r="BE375" s="118"/>
      <c r="BF375" s="118"/>
      <c r="BG375" s="118"/>
      <c r="BH375" s="118"/>
      <c r="BI375" s="401"/>
      <c r="BJ375" s="971"/>
      <c r="BK375" s="118"/>
      <c r="BL375" s="118"/>
      <c r="BM375" s="118"/>
      <c r="BN375" s="401"/>
      <c r="BO375" s="118"/>
      <c r="BP375" s="118"/>
      <c r="BQ375" s="118"/>
      <c r="BR375" s="118"/>
      <c r="BS375" s="401"/>
      <c r="BT375" s="401"/>
      <c r="BU375" s="401"/>
      <c r="BV375" s="401"/>
      <c r="BW375" s="122"/>
    </row>
    <row r="376" spans="1:75" hidden="1" outlineLevel="2" x14ac:dyDescent="0.5">
      <c r="A376" s="184"/>
      <c r="B376" s="513"/>
      <c r="C376" s="401"/>
      <c r="D376" s="401"/>
      <c r="E376" s="401"/>
      <c r="F376" s="401"/>
      <c r="G376" s="118"/>
      <c r="H376" s="118"/>
      <c r="I376" s="118"/>
      <c r="J376" s="118"/>
      <c r="K376" s="401"/>
      <c r="L376" s="118"/>
      <c r="M376" s="118"/>
      <c r="N376" s="118"/>
      <c r="O376" s="118"/>
      <c r="P376" s="401"/>
      <c r="Q376" s="118"/>
      <c r="R376" s="118"/>
      <c r="S376" s="118"/>
      <c r="T376" s="118"/>
      <c r="U376" s="401"/>
      <c r="V376" s="118"/>
      <c r="W376" s="118"/>
      <c r="X376" s="118"/>
      <c r="Y376" s="118"/>
      <c r="Z376" s="401"/>
      <c r="AA376" s="118"/>
      <c r="AB376" s="118"/>
      <c r="AC376" s="118"/>
      <c r="AD376" s="118"/>
      <c r="AE376" s="401"/>
      <c r="AF376" s="118"/>
      <c r="AG376" s="118"/>
      <c r="AH376" s="118"/>
      <c r="AI376" s="118"/>
      <c r="AJ376" s="401"/>
      <c r="AK376" s="118"/>
      <c r="AL376" s="118"/>
      <c r="AM376" s="118"/>
      <c r="AN376" s="118"/>
      <c r="AO376" s="401"/>
      <c r="AP376" s="118"/>
      <c r="AQ376" s="118"/>
      <c r="AR376" s="118"/>
      <c r="AS376" s="118"/>
      <c r="AT376" s="401"/>
      <c r="AU376" s="118"/>
      <c r="AV376" s="118"/>
      <c r="AW376" s="118"/>
      <c r="AX376" s="118"/>
      <c r="AY376" s="401"/>
      <c r="AZ376" s="118"/>
      <c r="BA376" s="118"/>
      <c r="BB376" s="118"/>
      <c r="BC376" s="118"/>
      <c r="BD376" s="401"/>
      <c r="BE376" s="118"/>
      <c r="BF376" s="118"/>
      <c r="BG376" s="118"/>
      <c r="BH376" s="118"/>
      <c r="BI376" s="401"/>
      <c r="BJ376" s="971"/>
      <c r="BK376" s="118"/>
      <c r="BL376" s="118"/>
      <c r="BM376" s="118"/>
      <c r="BN376" s="401"/>
      <c r="BO376" s="118"/>
      <c r="BP376" s="118"/>
      <c r="BQ376" s="118"/>
      <c r="BR376" s="118"/>
      <c r="BS376" s="401"/>
      <c r="BT376" s="401"/>
      <c r="BU376" s="401"/>
      <c r="BV376" s="401"/>
      <c r="BW376" s="122"/>
    </row>
    <row r="377" spans="1:75" hidden="1" outlineLevel="2" x14ac:dyDescent="0.5">
      <c r="A377" s="184" t="s">
        <v>2385</v>
      </c>
      <c r="B377" s="513"/>
      <c r="C377" s="779"/>
      <c r="D377" s="779"/>
      <c r="E377" s="779"/>
      <c r="F377" s="779"/>
      <c r="G377" s="780"/>
      <c r="H377" s="780"/>
      <c r="I377" s="780"/>
      <c r="J377" s="780"/>
      <c r="K377" s="779"/>
      <c r="L377" s="780"/>
      <c r="M377" s="780"/>
      <c r="N377" s="780"/>
      <c r="O377" s="780"/>
      <c r="P377" s="779"/>
      <c r="Q377" s="780"/>
      <c r="R377" s="780"/>
      <c r="S377" s="780"/>
      <c r="T377" s="780"/>
      <c r="U377" s="779"/>
      <c r="V377" s="780"/>
      <c r="W377" s="780"/>
      <c r="X377" s="780"/>
      <c r="Y377" s="780"/>
      <c r="Z377" s="779"/>
      <c r="AA377" s="780"/>
      <c r="AB377" s="780"/>
      <c r="AC377" s="780"/>
      <c r="AD377" s="780"/>
      <c r="AE377" s="779"/>
      <c r="AF377" s="780"/>
      <c r="AG377" s="780"/>
      <c r="AH377" s="780"/>
      <c r="AI377" s="780"/>
      <c r="AJ377" s="779"/>
      <c r="AK377" s="780"/>
      <c r="AL377" s="780"/>
      <c r="AM377" s="780"/>
      <c r="AN377" s="780"/>
      <c r="AO377" s="818">
        <v>45597</v>
      </c>
      <c r="AP377" s="780"/>
      <c r="AQ377" s="780"/>
      <c r="AR377" s="780"/>
      <c r="AS377" s="780"/>
      <c r="AT377" s="779">
        <f>AO377</f>
        <v>45597</v>
      </c>
      <c r="AU377" s="780">
        <f t="shared" ref="AU377:BV377" si="305">AT377</f>
        <v>45597</v>
      </c>
      <c r="AV377" s="780">
        <f t="shared" si="305"/>
        <v>45597</v>
      </c>
      <c r="AW377" s="780">
        <f t="shared" si="305"/>
        <v>45597</v>
      </c>
      <c r="AX377" s="780">
        <f t="shared" si="305"/>
        <v>45597</v>
      </c>
      <c r="AY377" s="779">
        <f t="shared" si="305"/>
        <v>45597</v>
      </c>
      <c r="AZ377" s="780">
        <f t="shared" si="305"/>
        <v>45597</v>
      </c>
      <c r="BA377" s="780">
        <f t="shared" si="305"/>
        <v>45597</v>
      </c>
      <c r="BB377" s="780">
        <f t="shared" si="305"/>
        <v>45597</v>
      </c>
      <c r="BC377" s="780">
        <f t="shared" si="305"/>
        <v>45597</v>
      </c>
      <c r="BD377" s="779">
        <f t="shared" si="305"/>
        <v>45597</v>
      </c>
      <c r="BE377" s="780">
        <f t="shared" si="305"/>
        <v>45597</v>
      </c>
      <c r="BF377" s="780">
        <f t="shared" si="305"/>
        <v>45597</v>
      </c>
      <c r="BG377" s="780">
        <f t="shared" si="305"/>
        <v>45597</v>
      </c>
      <c r="BH377" s="780">
        <f t="shared" si="305"/>
        <v>45597</v>
      </c>
      <c r="BI377" s="779">
        <f t="shared" si="305"/>
        <v>45597</v>
      </c>
      <c r="BJ377" s="1316">
        <f t="shared" si="305"/>
        <v>45597</v>
      </c>
      <c r="BK377" s="780">
        <f t="shared" si="305"/>
        <v>45597</v>
      </c>
      <c r="BL377" s="780">
        <f t="shared" si="305"/>
        <v>45597</v>
      </c>
      <c r="BM377" s="780">
        <f t="shared" si="305"/>
        <v>45597</v>
      </c>
      <c r="BN377" s="779">
        <f t="shared" si="305"/>
        <v>45597</v>
      </c>
      <c r="BO377" s="780">
        <f t="shared" si="305"/>
        <v>45597</v>
      </c>
      <c r="BP377" s="780">
        <f t="shared" si="305"/>
        <v>45597</v>
      </c>
      <c r="BQ377" s="780">
        <f t="shared" si="305"/>
        <v>45597</v>
      </c>
      <c r="BR377" s="780">
        <f t="shared" si="305"/>
        <v>45597</v>
      </c>
      <c r="BS377" s="779">
        <f t="shared" si="305"/>
        <v>45597</v>
      </c>
      <c r="BT377" s="779">
        <f t="shared" si="305"/>
        <v>45597</v>
      </c>
      <c r="BU377" s="779">
        <f t="shared" si="305"/>
        <v>45597</v>
      </c>
      <c r="BV377" s="779">
        <f t="shared" si="305"/>
        <v>45597</v>
      </c>
      <c r="BW377" s="122"/>
    </row>
    <row r="378" spans="1:75" hidden="1" outlineLevel="2" x14ac:dyDescent="0.5">
      <c r="A378" s="496" t="s">
        <v>2386</v>
      </c>
      <c r="B378" s="513"/>
      <c r="C378" s="401"/>
      <c r="D378" s="401"/>
      <c r="E378" s="401"/>
      <c r="F378" s="401"/>
      <c r="G378" s="118"/>
      <c r="H378" s="118"/>
      <c r="I378" s="118"/>
      <c r="J378" s="118"/>
      <c r="K378" s="401"/>
      <c r="L378" s="118"/>
      <c r="M378" s="118"/>
      <c r="N378" s="118"/>
      <c r="O378" s="118"/>
      <c r="P378" s="401"/>
      <c r="Q378" s="118"/>
      <c r="R378" s="118"/>
      <c r="S378" s="118"/>
      <c r="T378" s="118"/>
      <c r="U378" s="401"/>
      <c r="V378" s="118"/>
      <c r="W378" s="118"/>
      <c r="X378" s="118"/>
      <c r="Y378" s="118"/>
      <c r="Z378" s="401"/>
      <c r="AA378" s="118"/>
      <c r="AB378" s="118"/>
      <c r="AC378" s="118"/>
      <c r="AD378" s="118"/>
      <c r="AE378" s="401"/>
      <c r="AF378" s="118"/>
      <c r="AG378" s="118"/>
      <c r="AH378" s="118"/>
      <c r="AI378" s="118"/>
      <c r="AJ378" s="401"/>
      <c r="AK378" s="118"/>
      <c r="AL378" s="118"/>
      <c r="AM378" s="118"/>
      <c r="AN378" s="118"/>
      <c r="AO378" s="403">
        <v>575</v>
      </c>
      <c r="AP378" s="118"/>
      <c r="AQ378" s="118"/>
      <c r="AR378" s="118"/>
      <c r="AS378" s="118"/>
      <c r="AT378" s="403">
        <v>575</v>
      </c>
      <c r="AU378" s="302">
        <v>575</v>
      </c>
      <c r="AV378" s="302">
        <v>575</v>
      </c>
      <c r="AW378" s="302">
        <v>575</v>
      </c>
      <c r="AX378" s="118">
        <f>AY378</f>
        <v>575</v>
      </c>
      <c r="AY378" s="403">
        <v>575</v>
      </c>
      <c r="AZ378" s="302">
        <v>575</v>
      </c>
      <c r="BA378" s="302">
        <v>575</v>
      </c>
      <c r="BB378" s="302">
        <v>200</v>
      </c>
      <c r="BC378" s="118">
        <f>BD378</f>
        <v>200</v>
      </c>
      <c r="BD378" s="403">
        <v>200</v>
      </c>
      <c r="BE378" s="118">
        <f>BD378</f>
        <v>200</v>
      </c>
      <c r="BF378" s="302">
        <v>117</v>
      </c>
      <c r="BG378" s="302">
        <v>117</v>
      </c>
      <c r="BH378" s="118">
        <f>BI378</f>
        <v>117</v>
      </c>
      <c r="BI378" s="403">
        <v>117</v>
      </c>
      <c r="BJ378" s="1207">
        <v>117</v>
      </c>
      <c r="BK378" s="118">
        <f>IF(BK377&lt;BK$4,0,BJ378)</f>
        <v>117</v>
      </c>
      <c r="BL378" s="118">
        <f>IF(BL377&lt;BL$4,0,BK378)</f>
        <v>117</v>
      </c>
      <c r="BM378" s="118">
        <f>IF(BM377&lt;BM$4,0,BL378)</f>
        <v>0</v>
      </c>
      <c r="BN378" s="401">
        <f>BM378</f>
        <v>0</v>
      </c>
      <c r="BO378" s="118">
        <f>IF(BO377&lt;BO$4,0,BN378)</f>
        <v>0</v>
      </c>
      <c r="BP378" s="118">
        <f>IF(BP377&lt;BP$4,0,BO378)</f>
        <v>0</v>
      </c>
      <c r="BQ378" s="118">
        <f>IF(BQ377&lt;BQ$4,0,BP378)</f>
        <v>0</v>
      </c>
      <c r="BR378" s="118">
        <f>IF(BR377&lt;BR$4,0,BQ378)</f>
        <v>0</v>
      </c>
      <c r="BS378" s="401">
        <f>BR378</f>
        <v>0</v>
      </c>
      <c r="BT378" s="401">
        <f>IF(BT377&lt;BT$4,0,BS378)</f>
        <v>0</v>
      </c>
      <c r="BU378" s="401">
        <f>IF(BU377&lt;BU$4,0,BT378)</f>
        <v>0</v>
      </c>
      <c r="BV378" s="401">
        <f>IF(BV377&lt;BV$4,0,BU378)</f>
        <v>0</v>
      </c>
      <c r="BW378" s="122"/>
    </row>
    <row r="379" spans="1:75" hidden="1" outlineLevel="2" x14ac:dyDescent="0.5">
      <c r="A379" s="513" t="s">
        <v>2387</v>
      </c>
      <c r="B379" s="513"/>
      <c r="C379" s="401"/>
      <c r="D379" s="401"/>
      <c r="E379" s="401"/>
      <c r="F379" s="401"/>
      <c r="G379" s="118"/>
      <c r="H379" s="118"/>
      <c r="I379" s="118"/>
      <c r="J379" s="118"/>
      <c r="K379" s="401"/>
      <c r="L379" s="118"/>
      <c r="M379" s="118"/>
      <c r="N379" s="118"/>
      <c r="O379" s="118"/>
      <c r="P379" s="401"/>
      <c r="Q379" s="118"/>
      <c r="R379" s="118"/>
      <c r="S379" s="118"/>
      <c r="T379" s="118"/>
      <c r="U379" s="401"/>
      <c r="V379" s="118"/>
      <c r="W379" s="118"/>
      <c r="X379" s="118"/>
      <c r="Y379" s="118"/>
      <c r="Z379" s="401"/>
      <c r="AA379" s="118"/>
      <c r="AB379" s="118"/>
      <c r="AC379" s="118"/>
      <c r="AD379" s="118"/>
      <c r="AE379" s="401"/>
      <c r="AF379" s="118"/>
      <c r="AG379" s="118"/>
      <c r="AH379" s="118"/>
      <c r="AI379" s="118"/>
      <c r="AJ379" s="401"/>
      <c r="AK379" s="118"/>
      <c r="AL379" s="118"/>
      <c r="AM379" s="118"/>
      <c r="AN379" s="118"/>
      <c r="AO379" s="403">
        <v>-161.27500000000001</v>
      </c>
      <c r="AP379" s="118"/>
      <c r="AQ379" s="118"/>
      <c r="AR379" s="118"/>
      <c r="AS379" s="118"/>
      <c r="AT379" s="403">
        <v>-132.892</v>
      </c>
      <c r="AU379" s="302">
        <v>-8.1219999999999999</v>
      </c>
      <c r="AV379" s="302">
        <v>-7.4039999999999999</v>
      </c>
      <c r="AW379" s="302">
        <v>-6.86</v>
      </c>
      <c r="AX379" s="118">
        <f>AY379</f>
        <v>-6</v>
      </c>
      <c r="AY379" s="403">
        <v>-6</v>
      </c>
      <c r="AZ379" s="302">
        <v>-6</v>
      </c>
      <c r="BA379" s="302">
        <v>-5</v>
      </c>
      <c r="BB379" s="302">
        <v>-2</v>
      </c>
      <c r="BC379" s="118">
        <f>BD379</f>
        <v>-1</v>
      </c>
      <c r="BD379" s="403">
        <v>-1</v>
      </c>
      <c r="BE379" s="302">
        <v>-1</v>
      </c>
      <c r="BF379" s="302">
        <v>-1</v>
      </c>
      <c r="BG379" s="302">
        <v>0</v>
      </c>
      <c r="BH379" s="118">
        <f>BI379</f>
        <v>0</v>
      </c>
      <c r="BI379" s="403">
        <v>0</v>
      </c>
      <c r="BJ379" s="1207">
        <v>0</v>
      </c>
      <c r="BK379" s="723">
        <f>IF(BK378=0,0,BJ379-BJ379/(BK377-BJ$4)*BK$3)</f>
        <v>0</v>
      </c>
      <c r="BL379" s="723">
        <f>IF(BL378=0,0,BK379-BK379/(BL377-BK$4)*BL$3)</f>
        <v>0</v>
      </c>
      <c r="BM379" s="723">
        <f>IF(BM378=0,0,BL379-BL379/(BM377-BL$4)*BM$3)</f>
        <v>0</v>
      </c>
      <c r="BN379" s="401">
        <f>BM379</f>
        <v>0</v>
      </c>
      <c r="BO379" s="723">
        <f>IF(BO378=0,0,BN379-BN379/(BO377-BN$4)*BO$3)</f>
        <v>0</v>
      </c>
      <c r="BP379" s="723">
        <f>IF(BP378=0,0,BO379-BO379/(BP377-BO$4)*BP$3)</f>
        <v>0</v>
      </c>
      <c r="BQ379" s="723">
        <f>IF(BQ378=0,0,BP379-BP379/(BQ377-BP$4)*BQ$3)</f>
        <v>0</v>
      </c>
      <c r="BR379" s="723">
        <f>IF(BR378=0,0,BQ379-BQ379/(BR377-BQ$4)*BR$3)</f>
        <v>0</v>
      </c>
      <c r="BS379" s="401">
        <f>BR379</f>
        <v>0</v>
      </c>
      <c r="BT379" s="401">
        <f>IF(BT378=0,0,BS379-BS379/(BT377-BS$4)*BT$3)</f>
        <v>0</v>
      </c>
      <c r="BU379" s="401">
        <f>IF(BU378=0,0,BT379-BT379/(BU377-BT$4)*BU$3)</f>
        <v>0</v>
      </c>
      <c r="BV379" s="401">
        <f>IF(BV378=0,0,BU379-BU379/(BV377-BU$4)*BV$3)</f>
        <v>0</v>
      </c>
      <c r="BW379" s="122"/>
    </row>
    <row r="380" spans="1:75" hidden="1" outlineLevel="2" x14ac:dyDescent="0.5">
      <c r="A380" s="1516" t="s">
        <v>2388</v>
      </c>
      <c r="B380" s="1499"/>
      <c r="C380" s="1500"/>
      <c r="D380" s="1500"/>
      <c r="E380" s="1500"/>
      <c r="F380" s="1500"/>
      <c r="G380" s="1056"/>
      <c r="H380" s="1056"/>
      <c r="I380" s="1056"/>
      <c r="J380" s="1056"/>
      <c r="K380" s="1500"/>
      <c r="L380" s="1056"/>
      <c r="M380" s="1056"/>
      <c r="N380" s="1056"/>
      <c r="O380" s="1056"/>
      <c r="P380" s="1500"/>
      <c r="Q380" s="1056"/>
      <c r="R380" s="1056"/>
      <c r="S380" s="1056"/>
      <c r="T380" s="1056"/>
      <c r="U380" s="1500"/>
      <c r="V380" s="1056"/>
      <c r="W380" s="1056"/>
      <c r="X380" s="1056"/>
      <c r="Y380" s="1056"/>
      <c r="Z380" s="1500"/>
      <c r="AA380" s="1056"/>
      <c r="AB380" s="1056"/>
      <c r="AC380" s="1056"/>
      <c r="AD380" s="1056"/>
      <c r="AE380" s="1500"/>
      <c r="AF380" s="1056"/>
      <c r="AG380" s="1056"/>
      <c r="AH380" s="1056"/>
      <c r="AI380" s="1056"/>
      <c r="AJ380" s="1500"/>
      <c r="AK380" s="1056"/>
      <c r="AL380" s="1056"/>
      <c r="AM380" s="1056"/>
      <c r="AN380" s="1056"/>
      <c r="AO380" s="1500">
        <f>SUM(AO378:AO379)</f>
        <v>413.72500000000002</v>
      </c>
      <c r="AP380" s="1056"/>
      <c r="AQ380" s="1056"/>
      <c r="AR380" s="1056"/>
      <c r="AS380" s="1056"/>
      <c r="AT380" s="1500">
        <f t="shared" ref="AT380:BV380" si="306">SUM(AT378:AT379)</f>
        <v>442.108</v>
      </c>
      <c r="AU380" s="1056">
        <f t="shared" si="306"/>
        <v>566.87800000000004</v>
      </c>
      <c r="AV380" s="1056">
        <f t="shared" si="306"/>
        <v>567.596</v>
      </c>
      <c r="AW380" s="1056">
        <f t="shared" si="306"/>
        <v>568.14</v>
      </c>
      <c r="AX380" s="1056">
        <f t="shared" si="306"/>
        <v>569</v>
      </c>
      <c r="AY380" s="1500">
        <f t="shared" si="306"/>
        <v>569</v>
      </c>
      <c r="AZ380" s="1056">
        <f t="shared" si="306"/>
        <v>569</v>
      </c>
      <c r="BA380" s="1056">
        <f t="shared" si="306"/>
        <v>570</v>
      </c>
      <c r="BB380" s="1056">
        <f t="shared" si="306"/>
        <v>198</v>
      </c>
      <c r="BC380" s="1056">
        <f t="shared" si="306"/>
        <v>199</v>
      </c>
      <c r="BD380" s="1500">
        <f t="shared" si="306"/>
        <v>199</v>
      </c>
      <c r="BE380" s="1056">
        <f t="shared" si="306"/>
        <v>199</v>
      </c>
      <c r="BF380" s="1056">
        <f t="shared" si="306"/>
        <v>116</v>
      </c>
      <c r="BG380" s="1056">
        <f t="shared" si="306"/>
        <v>117</v>
      </c>
      <c r="BH380" s="1056">
        <f t="shared" si="306"/>
        <v>117</v>
      </c>
      <c r="BI380" s="1500">
        <f t="shared" si="306"/>
        <v>117</v>
      </c>
      <c r="BJ380" s="1058">
        <f t="shared" si="306"/>
        <v>117</v>
      </c>
      <c r="BK380" s="1056">
        <f t="shared" si="306"/>
        <v>117</v>
      </c>
      <c r="BL380" s="1056">
        <f t="shared" si="306"/>
        <v>117</v>
      </c>
      <c r="BM380" s="1056">
        <f t="shared" si="306"/>
        <v>0</v>
      </c>
      <c r="BN380" s="1500">
        <f t="shared" si="306"/>
        <v>0</v>
      </c>
      <c r="BO380" s="1056">
        <f t="shared" si="306"/>
        <v>0</v>
      </c>
      <c r="BP380" s="1056">
        <f t="shared" si="306"/>
        <v>0</v>
      </c>
      <c r="BQ380" s="1056">
        <f t="shared" si="306"/>
        <v>0</v>
      </c>
      <c r="BR380" s="1056">
        <f t="shared" si="306"/>
        <v>0</v>
      </c>
      <c r="BS380" s="1500">
        <f t="shared" si="306"/>
        <v>0</v>
      </c>
      <c r="BT380" s="1500">
        <f t="shared" si="306"/>
        <v>0</v>
      </c>
      <c r="BU380" s="1500">
        <f t="shared" si="306"/>
        <v>0</v>
      </c>
      <c r="BV380" s="1500">
        <f t="shared" si="306"/>
        <v>0</v>
      </c>
      <c r="BW380" s="122"/>
    </row>
    <row r="381" spans="1:75" hidden="1" outlineLevel="2" x14ac:dyDescent="0.5">
      <c r="A381" s="496" t="s">
        <v>2389</v>
      </c>
      <c r="B381" s="513"/>
      <c r="C381" s="784"/>
      <c r="D381" s="784"/>
      <c r="E381" s="784"/>
      <c r="F381" s="784"/>
      <c r="G381" s="785"/>
      <c r="H381" s="785"/>
      <c r="I381" s="785"/>
      <c r="J381" s="785"/>
      <c r="K381" s="784"/>
      <c r="L381" s="785"/>
      <c r="M381" s="785"/>
      <c r="N381" s="785"/>
      <c r="O381" s="785"/>
      <c r="P381" s="784"/>
      <c r="Q381" s="785"/>
      <c r="R381" s="785"/>
      <c r="S381" s="785"/>
      <c r="T381" s="785"/>
      <c r="U381" s="784"/>
      <c r="V381" s="785"/>
      <c r="W381" s="785"/>
      <c r="X381" s="785"/>
      <c r="Y381" s="785"/>
      <c r="Z381" s="784"/>
      <c r="AA381" s="785"/>
      <c r="AB381" s="785"/>
      <c r="AC381" s="785"/>
      <c r="AD381" s="785"/>
      <c r="AE381" s="784"/>
      <c r="AF381" s="785"/>
      <c r="AG381" s="785"/>
      <c r="AH381" s="785"/>
      <c r="AI381" s="785"/>
      <c r="AJ381" s="784"/>
      <c r="AK381" s="785"/>
      <c r="AL381" s="785"/>
      <c r="AM381" s="785"/>
      <c r="AN381" s="785"/>
      <c r="AO381" s="1517">
        <v>116.4</v>
      </c>
      <c r="AP381" s="785"/>
      <c r="AQ381" s="785"/>
      <c r="AR381" s="785"/>
      <c r="AS381" s="785"/>
      <c r="AT381" s="1517">
        <v>116.4</v>
      </c>
      <c r="AU381" s="1071">
        <v>116.4</v>
      </c>
      <c r="AV381" s="1071">
        <v>116.4</v>
      </c>
      <c r="AW381" s="1071">
        <v>116.4</v>
      </c>
      <c r="AX381" s="785">
        <f>AY381</f>
        <v>116.4</v>
      </c>
      <c r="AY381" s="1517">
        <v>116.4</v>
      </c>
      <c r="AZ381" s="1071">
        <v>116.4</v>
      </c>
      <c r="BA381" s="1071">
        <v>116.4</v>
      </c>
      <c r="BB381" s="1071">
        <v>116.4</v>
      </c>
      <c r="BC381" s="785">
        <f>BD381</f>
        <v>116.4</v>
      </c>
      <c r="BD381" s="1517">
        <v>116.4</v>
      </c>
      <c r="BE381" s="1071">
        <v>116.4</v>
      </c>
      <c r="BF381" s="1071">
        <v>116.4</v>
      </c>
      <c r="BG381" s="1071">
        <v>116.4</v>
      </c>
      <c r="BH381" s="785">
        <f>BI381</f>
        <v>116.4</v>
      </c>
      <c r="BI381" s="1517">
        <v>116.4</v>
      </c>
      <c r="BJ381" s="1072">
        <v>116.4</v>
      </c>
      <c r="BK381" s="785">
        <f>IF(BK378=0,0,BJ381)</f>
        <v>116.4</v>
      </c>
      <c r="BL381" s="785">
        <f>IF(BL378=0,0,BK381)</f>
        <v>116.4</v>
      </c>
      <c r="BM381" s="785">
        <f>IF(BM378=0,0,BL381)</f>
        <v>0</v>
      </c>
      <c r="BN381" s="784">
        <f>BM381</f>
        <v>0</v>
      </c>
      <c r="BO381" s="785">
        <f>IF(BO378=0,0,BN381)</f>
        <v>0</v>
      </c>
      <c r="BP381" s="785">
        <f>IF(BP378=0,0,BO381)</f>
        <v>0</v>
      </c>
      <c r="BQ381" s="785">
        <f>IF(BQ378=0,0,BP381)</f>
        <v>0</v>
      </c>
      <c r="BR381" s="785">
        <f>IF(BR378=0,0,BQ381)</f>
        <v>0</v>
      </c>
      <c r="BS381" s="784">
        <f>BR381</f>
        <v>0</v>
      </c>
      <c r="BT381" s="784">
        <f>IF(BT378=0,0,BS381)</f>
        <v>0</v>
      </c>
      <c r="BU381" s="784">
        <f>IF(BU378=0,0,BT381)</f>
        <v>0</v>
      </c>
      <c r="BV381" s="784">
        <f>IF(BV378=0,0,BU381)</f>
        <v>0</v>
      </c>
      <c r="BW381" s="122"/>
    </row>
    <row r="382" spans="1:75" hidden="1" outlineLevel="2" x14ac:dyDescent="0.5">
      <c r="A382" s="869" t="s">
        <v>2379</v>
      </c>
      <c r="B382" s="870"/>
      <c r="C382" s="871"/>
      <c r="D382" s="871"/>
      <c r="E382" s="871"/>
      <c r="F382" s="871"/>
      <c r="G382" s="872"/>
      <c r="H382" s="872"/>
      <c r="I382" s="872"/>
      <c r="J382" s="872"/>
      <c r="K382" s="871"/>
      <c r="L382" s="872"/>
      <c r="M382" s="872"/>
      <c r="N382" s="872"/>
      <c r="O382" s="872"/>
      <c r="P382" s="871"/>
      <c r="Q382" s="872"/>
      <c r="R382" s="872"/>
      <c r="S382" s="872"/>
      <c r="T382" s="872"/>
      <c r="U382" s="871"/>
      <c r="V382" s="872"/>
      <c r="W382" s="872"/>
      <c r="X382" s="872"/>
      <c r="Y382" s="872"/>
      <c r="Z382" s="871"/>
      <c r="AA382" s="872"/>
      <c r="AB382" s="872"/>
      <c r="AC382" s="872"/>
      <c r="AD382" s="872"/>
      <c r="AE382" s="871"/>
      <c r="AF382" s="872"/>
      <c r="AG382" s="872"/>
      <c r="AH382" s="872"/>
      <c r="AI382" s="872"/>
      <c r="AJ382" s="871"/>
      <c r="AK382" s="872"/>
      <c r="AL382" s="872"/>
      <c r="AM382" s="872"/>
      <c r="AN382" s="872"/>
      <c r="AO382" s="871">
        <f>IFERROR(AO378/AO381,0)</f>
        <v>4.9398625429553258</v>
      </c>
      <c r="AP382" s="872"/>
      <c r="AQ382" s="872"/>
      <c r="AR382" s="872"/>
      <c r="AS382" s="872"/>
      <c r="AT382" s="871">
        <f t="shared" ref="AT382:BV382" si="307">IFERROR(AT378/AT381,0)</f>
        <v>4.9398625429553258</v>
      </c>
      <c r="AU382" s="872">
        <f t="shared" si="307"/>
        <v>4.9398625429553258</v>
      </c>
      <c r="AV382" s="872">
        <f t="shared" si="307"/>
        <v>4.9398625429553258</v>
      </c>
      <c r="AW382" s="872">
        <f t="shared" si="307"/>
        <v>4.9398625429553258</v>
      </c>
      <c r="AX382" s="872">
        <f t="shared" si="307"/>
        <v>4.9398625429553258</v>
      </c>
      <c r="AY382" s="871">
        <f t="shared" si="307"/>
        <v>4.9398625429553258</v>
      </c>
      <c r="AZ382" s="872">
        <f t="shared" si="307"/>
        <v>4.9398625429553258</v>
      </c>
      <c r="BA382" s="872">
        <f t="shared" si="307"/>
        <v>4.9398625429553258</v>
      </c>
      <c r="BB382" s="872">
        <f t="shared" si="307"/>
        <v>1.7182130584192439</v>
      </c>
      <c r="BC382" s="872">
        <f t="shared" si="307"/>
        <v>1.7182130584192439</v>
      </c>
      <c r="BD382" s="871">
        <f t="shared" si="307"/>
        <v>1.7182130584192439</v>
      </c>
      <c r="BE382" s="872">
        <f t="shared" si="307"/>
        <v>1.7182130584192439</v>
      </c>
      <c r="BF382" s="872">
        <f t="shared" si="307"/>
        <v>1.0051546391752577</v>
      </c>
      <c r="BG382" s="872">
        <f t="shared" si="307"/>
        <v>1.0051546391752577</v>
      </c>
      <c r="BH382" s="872">
        <f t="shared" si="307"/>
        <v>1.0051546391752577</v>
      </c>
      <c r="BI382" s="871">
        <f t="shared" si="307"/>
        <v>1.0051546391752577</v>
      </c>
      <c r="BJ382" s="1504">
        <f t="shared" si="307"/>
        <v>1.0051546391752577</v>
      </c>
      <c r="BK382" s="872">
        <f t="shared" si="307"/>
        <v>1.0051546391752577</v>
      </c>
      <c r="BL382" s="872">
        <f t="shared" si="307"/>
        <v>1.0051546391752577</v>
      </c>
      <c r="BM382" s="872">
        <f t="shared" si="307"/>
        <v>0</v>
      </c>
      <c r="BN382" s="871">
        <f t="shared" si="307"/>
        <v>0</v>
      </c>
      <c r="BO382" s="872">
        <f t="shared" si="307"/>
        <v>0</v>
      </c>
      <c r="BP382" s="872">
        <f t="shared" si="307"/>
        <v>0</v>
      </c>
      <c r="BQ382" s="872">
        <f t="shared" si="307"/>
        <v>0</v>
      </c>
      <c r="BR382" s="872">
        <f t="shared" si="307"/>
        <v>0</v>
      </c>
      <c r="BS382" s="871">
        <f t="shared" si="307"/>
        <v>0</v>
      </c>
      <c r="BT382" s="871">
        <f t="shared" si="307"/>
        <v>0</v>
      </c>
      <c r="BU382" s="871">
        <f t="shared" si="307"/>
        <v>0</v>
      </c>
      <c r="BV382" s="871">
        <f t="shared" si="307"/>
        <v>0</v>
      </c>
      <c r="BW382" s="122"/>
    </row>
    <row r="383" spans="1:75" hidden="1" outlineLevel="2" x14ac:dyDescent="0.5">
      <c r="A383" s="1498" t="s">
        <v>2390</v>
      </c>
      <c r="B383" s="1499"/>
      <c r="C383" s="1500"/>
      <c r="D383" s="1500"/>
      <c r="E383" s="1500"/>
      <c r="F383" s="1500"/>
      <c r="G383" s="1056"/>
      <c r="H383" s="1056"/>
      <c r="I383" s="1056"/>
      <c r="J383" s="1056"/>
      <c r="K383" s="1500"/>
      <c r="L383" s="1056"/>
      <c r="M383" s="1056"/>
      <c r="N383" s="1056"/>
      <c r="O383" s="1056"/>
      <c r="P383" s="1500"/>
      <c r="Q383" s="1056"/>
      <c r="R383" s="1056"/>
      <c r="S383" s="1056"/>
      <c r="T383" s="1056"/>
      <c r="U383" s="1500"/>
      <c r="V383" s="1056"/>
      <c r="W383" s="1056"/>
      <c r="X383" s="1056"/>
      <c r="Y383" s="1056"/>
      <c r="Z383" s="1500"/>
      <c r="AA383" s="1056"/>
      <c r="AB383" s="1056"/>
      <c r="AC383" s="1056"/>
      <c r="AD383" s="1056"/>
      <c r="AE383" s="1500"/>
      <c r="AF383" s="1056"/>
      <c r="AG383" s="1056"/>
      <c r="AH383" s="1056"/>
      <c r="AI383" s="1056"/>
      <c r="AJ383" s="1500"/>
      <c r="AK383" s="1056"/>
      <c r="AL383" s="1056"/>
      <c r="AM383" s="1056"/>
      <c r="AN383" s="1056"/>
      <c r="AO383" s="1500">
        <f ca="1">IFERROR(IF(AO280&gt;AO381,AO382,0),0)</f>
        <v>0</v>
      </c>
      <c r="AP383" s="1056"/>
      <c r="AQ383" s="1056"/>
      <c r="AR383" s="1056"/>
      <c r="AS383" s="1056"/>
      <c r="AT383" s="1500">
        <f t="shared" ref="AT383:BV383" ca="1" si="308">IFERROR(IF(AT280&gt;AT381,AT382,0),0)</f>
        <v>4.9398625429553258</v>
      </c>
      <c r="AU383" s="1056">
        <f t="shared" ca="1" si="308"/>
        <v>4.9398625429553258</v>
      </c>
      <c r="AV383" s="1056">
        <f t="shared" ca="1" si="308"/>
        <v>4.9398625429553258</v>
      </c>
      <c r="AW383" s="1056">
        <f t="shared" ca="1" si="308"/>
        <v>4.9398625429553258</v>
      </c>
      <c r="AX383" s="1056">
        <f t="shared" ca="1" si="308"/>
        <v>4.9398625429553258</v>
      </c>
      <c r="AY383" s="1500">
        <f t="shared" ca="1" si="308"/>
        <v>4.9398625429553258</v>
      </c>
      <c r="AZ383" s="1056">
        <f t="shared" ca="1" si="308"/>
        <v>4.9398625429553258</v>
      </c>
      <c r="BA383" s="1056">
        <f t="shared" ca="1" si="308"/>
        <v>4.9398625429553258</v>
      </c>
      <c r="BB383" s="1056">
        <f t="shared" ca="1" si="308"/>
        <v>1.7182130584192439</v>
      </c>
      <c r="BC383" s="1056">
        <f t="shared" ca="1" si="308"/>
        <v>1.7182130584192439</v>
      </c>
      <c r="BD383" s="1500">
        <f t="shared" ca="1" si="308"/>
        <v>1.7182130584192439</v>
      </c>
      <c r="BE383" s="1056">
        <f t="shared" ca="1" si="308"/>
        <v>1.7182130584192439</v>
      </c>
      <c r="BF383" s="1056">
        <f t="shared" ca="1" si="308"/>
        <v>1.0051546391752577</v>
      </c>
      <c r="BG383" s="1056">
        <f t="shared" ca="1" si="308"/>
        <v>1.0051546391752577</v>
      </c>
      <c r="BH383" s="1056">
        <f t="shared" ca="1" si="308"/>
        <v>1.0051546391752577</v>
      </c>
      <c r="BI383" s="1500">
        <f t="shared" ca="1" si="308"/>
        <v>1.0051546391752577</v>
      </c>
      <c r="BJ383" s="1058">
        <f t="shared" ca="1" si="308"/>
        <v>1.0051546391752577</v>
      </c>
      <c r="BK383" s="1056">
        <f t="shared" si="308"/>
        <v>0</v>
      </c>
      <c r="BL383" s="1056">
        <f t="shared" si="308"/>
        <v>0</v>
      </c>
      <c r="BM383" s="1056">
        <f t="shared" si="308"/>
        <v>0</v>
      </c>
      <c r="BN383" s="1500">
        <f t="shared" si="308"/>
        <v>0</v>
      </c>
      <c r="BO383" s="1056">
        <f t="shared" si="308"/>
        <v>0</v>
      </c>
      <c r="BP383" s="1056">
        <f t="shared" si="308"/>
        <v>0</v>
      </c>
      <c r="BQ383" s="1056">
        <f t="shared" si="308"/>
        <v>0</v>
      </c>
      <c r="BR383" s="1056">
        <f t="shared" si="308"/>
        <v>0</v>
      </c>
      <c r="BS383" s="1500">
        <f t="shared" si="308"/>
        <v>0</v>
      </c>
      <c r="BT383" s="1500">
        <f t="shared" si="308"/>
        <v>0</v>
      </c>
      <c r="BU383" s="1500">
        <f t="shared" si="308"/>
        <v>0</v>
      </c>
      <c r="BV383" s="1500">
        <f t="shared" si="308"/>
        <v>0</v>
      </c>
      <c r="BW383" s="122"/>
    </row>
    <row r="384" spans="1:75" hidden="1" outlineLevel="2" x14ac:dyDescent="0.5">
      <c r="A384" s="752"/>
      <c r="B384" s="513"/>
      <c r="C384" s="401"/>
      <c r="D384" s="401"/>
      <c r="E384" s="401"/>
      <c r="F384" s="401"/>
      <c r="G384" s="118"/>
      <c r="H384" s="118"/>
      <c r="I384" s="118"/>
      <c r="J384" s="118"/>
      <c r="K384" s="401"/>
      <c r="L384" s="118"/>
      <c r="M384" s="118"/>
      <c r="N384" s="118"/>
      <c r="O384" s="118"/>
      <c r="P384" s="401"/>
      <c r="Q384" s="118"/>
      <c r="R384" s="118"/>
      <c r="S384" s="118"/>
      <c r="T384" s="118"/>
      <c r="U384" s="401"/>
      <c r="V384" s="118"/>
      <c r="W384" s="118"/>
      <c r="X384" s="118"/>
      <c r="Y384" s="118"/>
      <c r="Z384" s="401"/>
      <c r="AA384" s="118"/>
      <c r="AB384" s="118"/>
      <c r="AC384" s="118"/>
      <c r="AD384" s="118"/>
      <c r="AE384" s="401"/>
      <c r="AF384" s="118"/>
      <c r="AG384" s="118"/>
      <c r="AH384" s="118"/>
      <c r="AI384" s="118"/>
      <c r="AJ384" s="401"/>
      <c r="AK384" s="118"/>
      <c r="AL384" s="118"/>
      <c r="AM384" s="118"/>
      <c r="AN384" s="118"/>
      <c r="AO384" s="401"/>
      <c r="AP384" s="118"/>
      <c r="AQ384" s="118"/>
      <c r="AR384" s="118"/>
      <c r="AS384" s="118"/>
      <c r="AT384" s="401"/>
      <c r="AU384" s="118"/>
      <c r="AV384" s="118"/>
      <c r="AW384" s="118"/>
      <c r="AX384" s="118"/>
      <c r="AY384" s="401"/>
      <c r="AZ384" s="118"/>
      <c r="BA384" s="118"/>
      <c r="BB384" s="118"/>
      <c r="BC384" s="118"/>
      <c r="BD384" s="401"/>
      <c r="BE384" s="118"/>
      <c r="BF384" s="118"/>
      <c r="BG384" s="118"/>
      <c r="BH384" s="118"/>
      <c r="BI384" s="401"/>
      <c r="BJ384" s="971"/>
      <c r="BK384" s="118"/>
      <c r="BL384" s="118"/>
      <c r="BM384" s="118"/>
      <c r="BN384" s="401"/>
      <c r="BO384" s="118"/>
      <c r="BP384" s="118"/>
      <c r="BQ384" s="118"/>
      <c r="BR384" s="118"/>
      <c r="BS384" s="401"/>
      <c r="BT384" s="401"/>
      <c r="BU384" s="401"/>
      <c r="BV384" s="401"/>
      <c r="BW384" s="122"/>
    </row>
    <row r="385" spans="1:75" hidden="1" outlineLevel="2" x14ac:dyDescent="0.5">
      <c r="A385" s="184" t="s">
        <v>2391</v>
      </c>
      <c r="B385" s="513"/>
      <c r="C385" s="401"/>
      <c r="D385" s="401"/>
      <c r="E385" s="401"/>
      <c r="F385" s="401"/>
      <c r="G385" s="118"/>
      <c r="H385" s="118"/>
      <c r="I385" s="118"/>
      <c r="J385" s="118"/>
      <c r="K385" s="401"/>
      <c r="L385" s="118"/>
      <c r="M385" s="118"/>
      <c r="N385" s="118"/>
      <c r="O385" s="118"/>
      <c r="P385" s="401"/>
      <c r="Q385" s="118"/>
      <c r="R385" s="118"/>
      <c r="S385" s="118"/>
      <c r="T385" s="118"/>
      <c r="U385" s="401"/>
      <c r="V385" s="118"/>
      <c r="W385" s="118"/>
      <c r="X385" s="118"/>
      <c r="Y385" s="118"/>
      <c r="Z385" s="401"/>
      <c r="AA385" s="118"/>
      <c r="AB385" s="118"/>
      <c r="AC385" s="118"/>
      <c r="AD385" s="118"/>
      <c r="AE385" s="401"/>
      <c r="AF385" s="118"/>
      <c r="AG385" s="118"/>
      <c r="AH385" s="118"/>
      <c r="AI385" s="118"/>
      <c r="AJ385" s="401"/>
      <c r="AK385" s="118"/>
      <c r="AL385" s="118"/>
      <c r="AM385" s="118"/>
      <c r="AN385" s="118"/>
      <c r="AO385" s="401">
        <f>AO382</f>
        <v>4.9398625429553258</v>
      </c>
      <c r="AP385" s="118"/>
      <c r="AQ385" s="118"/>
      <c r="AR385" s="118"/>
      <c r="AS385" s="118"/>
      <c r="AT385" s="401">
        <f t="shared" ref="AT385:BV385" si="309">AT382</f>
        <v>4.9398625429553258</v>
      </c>
      <c r="AU385" s="118">
        <f t="shared" si="309"/>
        <v>4.9398625429553258</v>
      </c>
      <c r="AV385" s="118">
        <f t="shared" si="309"/>
        <v>4.9398625429553258</v>
      </c>
      <c r="AW385" s="118">
        <f t="shared" si="309"/>
        <v>4.9398625429553258</v>
      </c>
      <c r="AX385" s="118">
        <f t="shared" si="309"/>
        <v>4.9398625429553258</v>
      </c>
      <c r="AY385" s="401">
        <f t="shared" si="309"/>
        <v>4.9398625429553258</v>
      </c>
      <c r="AZ385" s="118">
        <f t="shared" si="309"/>
        <v>4.9398625429553258</v>
      </c>
      <c r="BA385" s="118">
        <f t="shared" si="309"/>
        <v>4.9398625429553258</v>
      </c>
      <c r="BB385" s="118">
        <f t="shared" si="309"/>
        <v>1.7182130584192439</v>
      </c>
      <c r="BC385" s="118">
        <f t="shared" si="309"/>
        <v>1.7182130584192439</v>
      </c>
      <c r="BD385" s="401">
        <f t="shared" si="309"/>
        <v>1.7182130584192439</v>
      </c>
      <c r="BE385" s="118">
        <f t="shared" si="309"/>
        <v>1.7182130584192439</v>
      </c>
      <c r="BF385" s="118">
        <f t="shared" si="309"/>
        <v>1.0051546391752577</v>
      </c>
      <c r="BG385" s="118">
        <f t="shared" si="309"/>
        <v>1.0051546391752577</v>
      </c>
      <c r="BH385" s="118">
        <f t="shared" si="309"/>
        <v>1.0051546391752577</v>
      </c>
      <c r="BI385" s="401">
        <f t="shared" si="309"/>
        <v>1.0051546391752577</v>
      </c>
      <c r="BJ385" s="971">
        <f t="shared" si="309"/>
        <v>1.0051546391752577</v>
      </c>
      <c r="BK385" s="118">
        <f t="shared" si="309"/>
        <v>1.0051546391752577</v>
      </c>
      <c r="BL385" s="118">
        <f t="shared" si="309"/>
        <v>1.0051546391752577</v>
      </c>
      <c r="BM385" s="118">
        <f t="shared" si="309"/>
        <v>0</v>
      </c>
      <c r="BN385" s="401">
        <f t="shared" si="309"/>
        <v>0</v>
      </c>
      <c r="BO385" s="118">
        <f t="shared" si="309"/>
        <v>0</v>
      </c>
      <c r="BP385" s="118">
        <f t="shared" si="309"/>
        <v>0</v>
      </c>
      <c r="BQ385" s="118">
        <f t="shared" si="309"/>
        <v>0</v>
      </c>
      <c r="BR385" s="118">
        <f t="shared" si="309"/>
        <v>0</v>
      </c>
      <c r="BS385" s="401">
        <f t="shared" si="309"/>
        <v>0</v>
      </c>
      <c r="BT385" s="401">
        <f t="shared" si="309"/>
        <v>0</v>
      </c>
      <c r="BU385" s="401">
        <f t="shared" si="309"/>
        <v>0</v>
      </c>
      <c r="BV385" s="401">
        <f t="shared" si="309"/>
        <v>0</v>
      </c>
      <c r="BW385" s="122"/>
    </row>
    <row r="386" spans="1:75" hidden="1" outlineLevel="2" x14ac:dyDescent="0.5">
      <c r="A386" s="869" t="s">
        <v>2392</v>
      </c>
      <c r="B386" s="870"/>
      <c r="C386" s="1506"/>
      <c r="D386" s="1506"/>
      <c r="E386" s="1506"/>
      <c r="F386" s="1506"/>
      <c r="G386" s="1507"/>
      <c r="H386" s="1507"/>
      <c r="I386" s="1507"/>
      <c r="J386" s="1507"/>
      <c r="K386" s="1506"/>
      <c r="L386" s="1507"/>
      <c r="M386" s="1507"/>
      <c r="N386" s="1507"/>
      <c r="O386" s="1507"/>
      <c r="P386" s="1506"/>
      <c r="Q386" s="1507"/>
      <c r="R386" s="1507"/>
      <c r="S386" s="1507"/>
      <c r="T386" s="1507"/>
      <c r="U386" s="1506"/>
      <c r="V386" s="1507"/>
      <c r="W386" s="1507"/>
      <c r="X386" s="1507"/>
      <c r="Y386" s="1507"/>
      <c r="Z386" s="1506"/>
      <c r="AA386" s="1507"/>
      <c r="AB386" s="1507"/>
      <c r="AC386" s="1507"/>
      <c r="AD386" s="1507"/>
      <c r="AE386" s="1506"/>
      <c r="AF386" s="1507"/>
      <c r="AG386" s="1507"/>
      <c r="AH386" s="1507"/>
      <c r="AI386" s="1507"/>
      <c r="AJ386" s="1506"/>
      <c r="AK386" s="1507"/>
      <c r="AL386" s="1507"/>
      <c r="AM386" s="1507"/>
      <c r="AN386" s="1507"/>
      <c r="AO386" s="1517">
        <v>219.63</v>
      </c>
      <c r="AP386" s="1507"/>
      <c r="AQ386" s="1507"/>
      <c r="AR386" s="1507"/>
      <c r="AS386" s="1507"/>
      <c r="AT386" s="1517">
        <v>219.63</v>
      </c>
      <c r="AU386" s="1071">
        <v>219.63</v>
      </c>
      <c r="AV386" s="1071">
        <v>219.63</v>
      </c>
      <c r="AW386" s="1071">
        <v>219.63</v>
      </c>
      <c r="AX386" s="785">
        <f>AY386</f>
        <v>219.63</v>
      </c>
      <c r="AY386" s="1517">
        <v>219.63</v>
      </c>
      <c r="AZ386" s="1071">
        <v>219.63</v>
      </c>
      <c r="BA386" s="1071">
        <v>219.63</v>
      </c>
      <c r="BB386" s="1071">
        <v>219.63</v>
      </c>
      <c r="BC386" s="785">
        <f>BD386</f>
        <v>219.63</v>
      </c>
      <c r="BD386" s="1517">
        <v>219.63</v>
      </c>
      <c r="BE386" s="1071">
        <v>219.63</v>
      </c>
      <c r="BF386" s="1071">
        <v>219.63</v>
      </c>
      <c r="BG386" s="1071">
        <v>219.63</v>
      </c>
      <c r="BH386" s="785">
        <f>BI386</f>
        <v>219.63</v>
      </c>
      <c r="BI386" s="1517">
        <v>219.63</v>
      </c>
      <c r="BJ386" s="1072">
        <v>219.63</v>
      </c>
      <c r="BK386" s="1507">
        <f t="shared" ref="BK386:BV386" si="310">BJ386</f>
        <v>219.63</v>
      </c>
      <c r="BL386" s="1507">
        <f t="shared" si="310"/>
        <v>219.63</v>
      </c>
      <c r="BM386" s="1507">
        <f t="shared" si="310"/>
        <v>219.63</v>
      </c>
      <c r="BN386" s="1506">
        <f t="shared" si="310"/>
        <v>219.63</v>
      </c>
      <c r="BO386" s="1507">
        <f t="shared" si="310"/>
        <v>219.63</v>
      </c>
      <c r="BP386" s="1507">
        <f t="shared" si="310"/>
        <v>219.63</v>
      </c>
      <c r="BQ386" s="1507">
        <f t="shared" si="310"/>
        <v>219.63</v>
      </c>
      <c r="BR386" s="1507">
        <f t="shared" si="310"/>
        <v>219.63</v>
      </c>
      <c r="BS386" s="1506">
        <f t="shared" si="310"/>
        <v>219.63</v>
      </c>
      <c r="BT386" s="1506">
        <f t="shared" si="310"/>
        <v>219.63</v>
      </c>
      <c r="BU386" s="1506">
        <f t="shared" si="310"/>
        <v>219.63</v>
      </c>
      <c r="BV386" s="1506">
        <f t="shared" si="310"/>
        <v>219.63</v>
      </c>
      <c r="BW386" s="122"/>
    </row>
    <row r="387" spans="1:75" hidden="1" outlineLevel="2" x14ac:dyDescent="0.5">
      <c r="A387" s="1498" t="s">
        <v>2393</v>
      </c>
      <c r="B387" s="1499"/>
      <c r="C387" s="1500"/>
      <c r="D387" s="1500"/>
      <c r="E387" s="1500"/>
      <c r="F387" s="1500"/>
      <c r="G387" s="1056"/>
      <c r="H387" s="1056"/>
      <c r="I387" s="1056"/>
      <c r="J387" s="1056"/>
      <c r="K387" s="1500"/>
      <c r="L387" s="1056"/>
      <c r="M387" s="1056"/>
      <c r="N387" s="1056"/>
      <c r="O387" s="1056"/>
      <c r="P387" s="1500"/>
      <c r="Q387" s="1056"/>
      <c r="R387" s="1056"/>
      <c r="S387" s="1056"/>
      <c r="T387" s="1056"/>
      <c r="U387" s="1500"/>
      <c r="V387" s="1056"/>
      <c r="W387" s="1056"/>
      <c r="X387" s="1056"/>
      <c r="Y387" s="1056"/>
      <c r="Z387" s="1500"/>
      <c r="AA387" s="1056"/>
      <c r="AB387" s="1056"/>
      <c r="AC387" s="1056"/>
      <c r="AD387" s="1056"/>
      <c r="AE387" s="1500"/>
      <c r="AF387" s="1056"/>
      <c r="AG387" s="1056"/>
      <c r="AH387" s="1056"/>
      <c r="AI387" s="1056"/>
      <c r="AJ387" s="1500"/>
      <c r="AK387" s="1056"/>
      <c r="AL387" s="1056"/>
      <c r="AM387" s="1056"/>
      <c r="AN387" s="1056"/>
      <c r="AO387" s="1500">
        <f ca="1">IFERROR(IF(AO280&gt;AO386,-AO383*AO386/AO280*AO385/AO382,-AO383),0)</f>
        <v>0</v>
      </c>
      <c r="AP387" s="1056"/>
      <c r="AQ387" s="1056"/>
      <c r="AR387" s="1056"/>
      <c r="AS387" s="1056"/>
      <c r="AT387" s="1500">
        <f t="shared" ref="AT387:BV387" ca="1" si="311">IFERROR(IF(AT280&gt;AT386,-AT383*AT386/AT280*AT385/AT382,-AT383),0)</f>
        <v>-4.9398625429553258</v>
      </c>
      <c r="AU387" s="1056">
        <f t="shared" ca="1" si="311"/>
        <v>-4.9398625429553258</v>
      </c>
      <c r="AV387" s="1056">
        <f t="shared" ca="1" si="311"/>
        <v>-4.9398625429553258</v>
      </c>
      <c r="AW387" s="1056">
        <f t="shared" ca="1" si="311"/>
        <v>-4.9398625429553258</v>
      </c>
      <c r="AX387" s="1056">
        <f t="shared" ca="1" si="311"/>
        <v>-4.9398625429553258</v>
      </c>
      <c r="AY387" s="1500">
        <f t="shared" ca="1" si="311"/>
        <v>-4.9398625429553258</v>
      </c>
      <c r="AZ387" s="1056">
        <f t="shared" ca="1" si="311"/>
        <v>-4.9398625429553258</v>
      </c>
      <c r="BA387" s="1056">
        <f t="shared" ca="1" si="311"/>
        <v>-4.9398625429553258</v>
      </c>
      <c r="BB387" s="1056">
        <f t="shared" ca="1" si="311"/>
        <v>-1.7182130584192439</v>
      </c>
      <c r="BC387" s="1056">
        <f t="shared" ca="1" si="311"/>
        <v>-1.7182130584192439</v>
      </c>
      <c r="BD387" s="1500">
        <f t="shared" ca="1" si="311"/>
        <v>-1.7182130584192439</v>
      </c>
      <c r="BE387" s="1056">
        <f t="shared" ca="1" si="311"/>
        <v>-1.7182130584192439</v>
      </c>
      <c r="BF387" s="1056">
        <f t="shared" ca="1" si="311"/>
        <v>-1.0051546391752577</v>
      </c>
      <c r="BG387" s="1056">
        <f t="shared" ca="1" si="311"/>
        <v>-1.0051546391752577</v>
      </c>
      <c r="BH387" s="1056">
        <f t="shared" ca="1" si="311"/>
        <v>-1.0051546391752577</v>
      </c>
      <c r="BI387" s="1500">
        <f t="shared" ca="1" si="311"/>
        <v>-1.0051546391752577</v>
      </c>
      <c r="BJ387" s="1058">
        <f t="shared" ca="1" si="311"/>
        <v>-0.78240045861235408</v>
      </c>
      <c r="BK387" s="1056">
        <f t="shared" si="311"/>
        <v>0</v>
      </c>
      <c r="BL387" s="1056">
        <f t="shared" si="311"/>
        <v>0</v>
      </c>
      <c r="BM387" s="1056">
        <f t="shared" si="311"/>
        <v>0</v>
      </c>
      <c r="BN387" s="1500">
        <f t="shared" si="311"/>
        <v>0</v>
      </c>
      <c r="BO387" s="1056">
        <f t="shared" si="311"/>
        <v>0</v>
      </c>
      <c r="BP387" s="1056">
        <f t="shared" si="311"/>
        <v>0</v>
      </c>
      <c r="BQ387" s="1056">
        <f t="shared" si="311"/>
        <v>0</v>
      </c>
      <c r="BR387" s="1056">
        <f t="shared" si="311"/>
        <v>0</v>
      </c>
      <c r="BS387" s="1500">
        <f t="shared" si="311"/>
        <v>0</v>
      </c>
      <c r="BT387" s="1500">
        <f t="shared" si="311"/>
        <v>0</v>
      </c>
      <c r="BU387" s="1500">
        <f t="shared" si="311"/>
        <v>0</v>
      </c>
      <c r="BV387" s="1500">
        <f t="shared" si="311"/>
        <v>0</v>
      </c>
      <c r="BW387" s="122"/>
    </row>
    <row r="388" spans="1:75" hidden="1" outlineLevel="2" x14ac:dyDescent="0.5">
      <c r="A388" s="184" t="s">
        <v>2384</v>
      </c>
      <c r="B388" s="513"/>
      <c r="C388" s="401"/>
      <c r="D388" s="401"/>
      <c r="E388" s="401"/>
      <c r="F388" s="401"/>
      <c r="G388" s="118"/>
      <c r="H388" s="118"/>
      <c r="I388" s="118"/>
      <c r="J388" s="118"/>
      <c r="K388" s="401"/>
      <c r="L388" s="118"/>
      <c r="M388" s="118"/>
      <c r="N388" s="118"/>
      <c r="O388" s="118"/>
      <c r="P388" s="401"/>
      <c r="Q388" s="118"/>
      <c r="R388" s="118"/>
      <c r="S388" s="118"/>
      <c r="T388" s="118"/>
      <c r="U388" s="401"/>
      <c r="V388" s="118"/>
      <c r="W388" s="118"/>
      <c r="X388" s="118"/>
      <c r="Y388" s="118"/>
      <c r="Z388" s="401"/>
      <c r="AA388" s="118"/>
      <c r="AB388" s="118"/>
      <c r="AC388" s="118"/>
      <c r="AD388" s="118"/>
      <c r="AE388" s="401"/>
      <c r="AF388" s="118"/>
      <c r="AG388" s="118"/>
      <c r="AH388" s="118"/>
      <c r="AI388" s="118"/>
      <c r="AJ388" s="401"/>
      <c r="AK388" s="118"/>
      <c r="AL388" s="118"/>
      <c r="AM388" s="118"/>
      <c r="AN388" s="118"/>
      <c r="AO388" s="401">
        <f ca="1">IF(AO387&lt;0,AO385*AO381,0)</f>
        <v>0</v>
      </c>
      <c r="AP388" s="118"/>
      <c r="AQ388" s="118"/>
      <c r="AR388" s="118"/>
      <c r="AS388" s="118"/>
      <c r="AT388" s="401">
        <f t="shared" ref="AT388:BV388" ca="1" si="312">IF(AT387&lt;0,AT385*AT381,0)</f>
        <v>575</v>
      </c>
      <c r="AU388" s="118">
        <f t="shared" ca="1" si="312"/>
        <v>575</v>
      </c>
      <c r="AV388" s="118">
        <f t="shared" ca="1" si="312"/>
        <v>575</v>
      </c>
      <c r="AW388" s="118">
        <f t="shared" ca="1" si="312"/>
        <v>575</v>
      </c>
      <c r="AX388" s="118">
        <f t="shared" ca="1" si="312"/>
        <v>575</v>
      </c>
      <c r="AY388" s="401">
        <f t="shared" ca="1" si="312"/>
        <v>575</v>
      </c>
      <c r="AZ388" s="118">
        <f t="shared" ca="1" si="312"/>
        <v>575</v>
      </c>
      <c r="BA388" s="118">
        <f t="shared" ca="1" si="312"/>
        <v>575</v>
      </c>
      <c r="BB388" s="118">
        <f t="shared" ca="1" si="312"/>
        <v>200</v>
      </c>
      <c r="BC388" s="118">
        <f t="shared" ca="1" si="312"/>
        <v>200</v>
      </c>
      <c r="BD388" s="401">
        <f t="shared" ca="1" si="312"/>
        <v>200</v>
      </c>
      <c r="BE388" s="118">
        <f t="shared" ca="1" si="312"/>
        <v>200</v>
      </c>
      <c r="BF388" s="118">
        <f t="shared" ca="1" si="312"/>
        <v>117</v>
      </c>
      <c r="BG388" s="118">
        <f t="shared" ca="1" si="312"/>
        <v>117</v>
      </c>
      <c r="BH388" s="118">
        <f t="shared" ca="1" si="312"/>
        <v>117</v>
      </c>
      <c r="BI388" s="401">
        <f t="shared" ca="1" si="312"/>
        <v>117</v>
      </c>
      <c r="BJ388" s="971">
        <f t="shared" ca="1" si="312"/>
        <v>117</v>
      </c>
      <c r="BK388" s="118">
        <f t="shared" si="312"/>
        <v>0</v>
      </c>
      <c r="BL388" s="118">
        <f t="shared" si="312"/>
        <v>0</v>
      </c>
      <c r="BM388" s="118">
        <f t="shared" si="312"/>
        <v>0</v>
      </c>
      <c r="BN388" s="401">
        <f t="shared" si="312"/>
        <v>0</v>
      </c>
      <c r="BO388" s="118">
        <f t="shared" si="312"/>
        <v>0</v>
      </c>
      <c r="BP388" s="118">
        <f t="shared" si="312"/>
        <v>0</v>
      </c>
      <c r="BQ388" s="118">
        <f t="shared" si="312"/>
        <v>0</v>
      </c>
      <c r="BR388" s="118">
        <f t="shared" si="312"/>
        <v>0</v>
      </c>
      <c r="BS388" s="401">
        <f t="shared" si="312"/>
        <v>0</v>
      </c>
      <c r="BT388" s="401">
        <f t="shared" si="312"/>
        <v>0</v>
      </c>
      <c r="BU388" s="401">
        <f t="shared" si="312"/>
        <v>0</v>
      </c>
      <c r="BV388" s="401">
        <f t="shared" si="312"/>
        <v>0</v>
      </c>
      <c r="BW388" s="122"/>
    </row>
    <row r="389" spans="1:75" hidden="1" outlineLevel="2" x14ac:dyDescent="0.5">
      <c r="A389" s="184"/>
      <c r="B389" s="513"/>
      <c r="C389" s="401"/>
      <c r="D389" s="401"/>
      <c r="E389" s="401"/>
      <c r="F389" s="401"/>
      <c r="G389" s="118"/>
      <c r="H389" s="118"/>
      <c r="I389" s="118"/>
      <c r="J389" s="118"/>
      <c r="K389" s="401"/>
      <c r="L389" s="118"/>
      <c r="M389" s="118"/>
      <c r="N389" s="118"/>
      <c r="O389" s="118"/>
      <c r="P389" s="401"/>
      <c r="Q389" s="118"/>
      <c r="R389" s="118"/>
      <c r="S389" s="118"/>
      <c r="T389" s="118"/>
      <c r="U389" s="401"/>
      <c r="V389" s="118"/>
      <c r="W389" s="118"/>
      <c r="X389" s="118"/>
      <c r="Y389" s="118"/>
      <c r="Z389" s="401"/>
      <c r="AA389" s="118"/>
      <c r="AB389" s="118"/>
      <c r="AC389" s="118"/>
      <c r="AD389" s="118"/>
      <c r="AE389" s="401"/>
      <c r="AF389" s="118"/>
      <c r="AG389" s="118"/>
      <c r="AH389" s="118"/>
      <c r="AI389" s="118"/>
      <c r="AJ389" s="401"/>
      <c r="AK389" s="118"/>
      <c r="AL389" s="118"/>
      <c r="AM389" s="118"/>
      <c r="AN389" s="118"/>
      <c r="AO389" s="401"/>
      <c r="AP389" s="118"/>
      <c r="AQ389" s="118"/>
      <c r="AR389" s="118"/>
      <c r="AS389" s="118"/>
      <c r="AT389" s="401"/>
      <c r="AU389" s="118"/>
      <c r="AV389" s="118"/>
      <c r="AW389" s="118"/>
      <c r="AX389" s="118"/>
      <c r="AY389" s="401"/>
      <c r="AZ389" s="118"/>
      <c r="BA389" s="118"/>
      <c r="BB389" s="118"/>
      <c r="BC389" s="118"/>
      <c r="BD389" s="401"/>
      <c r="BE389" s="118"/>
      <c r="BF389" s="118"/>
      <c r="BG389" s="118"/>
      <c r="BH389" s="118"/>
      <c r="BI389" s="401"/>
      <c r="BJ389" s="971"/>
      <c r="BK389" s="118"/>
      <c r="BL389" s="118"/>
      <c r="BM389" s="118"/>
      <c r="BN389" s="401"/>
      <c r="BO389" s="118"/>
      <c r="BP389" s="118"/>
      <c r="BQ389" s="118"/>
      <c r="BR389" s="118"/>
      <c r="BS389" s="401"/>
      <c r="BT389" s="401"/>
      <c r="BU389" s="401"/>
      <c r="BV389" s="401"/>
      <c r="BW389" s="122"/>
    </row>
    <row r="390" spans="1:75" hidden="1" outlineLevel="2" x14ac:dyDescent="0.5">
      <c r="A390" s="752" t="s">
        <v>2394</v>
      </c>
      <c r="B390" s="513"/>
      <c r="C390" s="401"/>
      <c r="D390" s="401"/>
      <c r="E390" s="401"/>
      <c r="F390" s="401"/>
      <c r="G390" s="118"/>
      <c r="H390" s="118"/>
      <c r="I390" s="118"/>
      <c r="J390" s="118"/>
      <c r="K390" s="401"/>
      <c r="L390" s="118"/>
      <c r="M390" s="118"/>
      <c r="N390" s="118"/>
      <c r="O390" s="118"/>
      <c r="P390" s="401"/>
      <c r="Q390" s="118"/>
      <c r="R390" s="118"/>
      <c r="S390" s="118"/>
      <c r="T390" s="118"/>
      <c r="U390" s="401"/>
      <c r="V390" s="118"/>
      <c r="W390" s="118"/>
      <c r="X390" s="118"/>
      <c r="Y390" s="118"/>
      <c r="Z390" s="401"/>
      <c r="AA390" s="118"/>
      <c r="AB390" s="118"/>
      <c r="AC390" s="118"/>
      <c r="AD390" s="118"/>
      <c r="AE390" s="401"/>
      <c r="AF390" s="118"/>
      <c r="AG390" s="118"/>
      <c r="AH390" s="118"/>
      <c r="AI390" s="118"/>
      <c r="AJ390" s="401"/>
      <c r="AK390" s="118"/>
      <c r="AL390" s="118"/>
      <c r="AM390" s="118"/>
      <c r="AN390" s="118"/>
      <c r="AO390" s="401"/>
      <c r="AP390" s="118"/>
      <c r="AQ390" s="118"/>
      <c r="AR390" s="118"/>
      <c r="AS390" s="118"/>
      <c r="AT390" s="401"/>
      <c r="AU390" s="118"/>
      <c r="AV390" s="118"/>
      <c r="AW390" s="118"/>
      <c r="AX390" s="118"/>
      <c r="AY390" s="401"/>
      <c r="AZ390" s="118"/>
      <c r="BA390" s="118"/>
      <c r="BB390" s="118"/>
      <c r="BC390" s="118"/>
      <c r="BD390" s="401"/>
      <c r="BE390" s="118"/>
      <c r="BF390" s="118"/>
      <c r="BG390" s="118"/>
      <c r="BH390" s="118"/>
      <c r="BI390" s="401"/>
      <c r="BJ390" s="971"/>
      <c r="BK390" s="118">
        <f>IFERROR(IF(AND(BK378=0,BK280&gt;BJ381,BK280&gt;BJ386),BJ382-BJ382*BJ386/BK280*BJ385/BJ382,0),0)</f>
        <v>0</v>
      </c>
      <c r="BL390" s="118">
        <f>IFERROR(IF(AND(BL378=0,BL280&gt;BK381,BL280&gt;BK386),BK382-BK382*BK386/BL280*BK385/BK382,0),0)</f>
        <v>0</v>
      </c>
      <c r="BM390" s="118">
        <f>IFERROR(IF(AND(BM378=0,BM280&gt;BL381,BM280&gt;BL386),BL382-BL382*BL386/BM280*BL385/BL382,0),0)</f>
        <v>0</v>
      </c>
      <c r="BN390" s="401">
        <f>SUM(BJ390,BK390,BL390,BM390)</f>
        <v>0</v>
      </c>
      <c r="BO390" s="118">
        <f>IFERROR(IF(AND(BO378=0,BO280&gt;BN381,BO280&gt;BN386),BN382-BN382*BN386/BO280*BN385/BN382,0),0)</f>
        <v>0</v>
      </c>
      <c r="BP390" s="118">
        <f>IFERROR(IF(AND(BP378=0,BP280&gt;BO381,BP280&gt;BO386),BO382-BO382*BO386/BP280*BO385/BO382,0),0)</f>
        <v>0</v>
      </c>
      <c r="BQ390" s="118">
        <f>IFERROR(IF(AND(BQ378=0,BQ280&gt;BP381,BQ280&gt;BP386),BP382-BP382*BP386/BQ280*BP385/BP382,0),0)</f>
        <v>0</v>
      </c>
      <c r="BR390" s="118">
        <f>IFERROR(IF(AND(BR378=0,BR280&gt;BQ381,BR280&gt;BQ386),BQ382-BQ382*BQ386/BR280*BQ385/BQ382,0),0)</f>
        <v>0</v>
      </c>
      <c r="BS390" s="401">
        <f>SUM(BO390,BP390,BQ390,BR390)</f>
        <v>0</v>
      </c>
      <c r="BT390" s="401">
        <f>IFERROR(IF(AND(BT378=0,BT280&gt;BS381,BT280&gt;BS386),BS382-BS382*BS386/BT280*BS385/BS382,0),0)</f>
        <v>0</v>
      </c>
      <c r="BU390" s="401">
        <f>IFERROR(IF(AND(BU378=0,BU280&gt;BT381,BU280&gt;BT386),BT382-BT382*BT386/BU280*BT385/BT382,0),0)</f>
        <v>0</v>
      </c>
      <c r="BV390" s="401">
        <f>IFERROR(IF(AND(BV378=0,BV280&gt;BU381,BV280&gt;BU386),BU382-BU382*BU386/BV280*BU385/BU382,0),0)</f>
        <v>0</v>
      </c>
      <c r="BW390" s="122"/>
    </row>
    <row r="391" spans="1:75" hidden="1" outlineLevel="2" x14ac:dyDescent="0.5">
      <c r="A391" s="752" t="s">
        <v>2395</v>
      </c>
      <c r="B391" s="513"/>
      <c r="C391" s="401"/>
      <c r="D391" s="401"/>
      <c r="E391" s="401"/>
      <c r="F391" s="401"/>
      <c r="G391" s="118"/>
      <c r="H391" s="118"/>
      <c r="I391" s="118"/>
      <c r="J391" s="118"/>
      <c r="K391" s="401"/>
      <c r="L391" s="118"/>
      <c r="M391" s="118"/>
      <c r="N391" s="118"/>
      <c r="O391" s="118"/>
      <c r="P391" s="401"/>
      <c r="Q391" s="118"/>
      <c r="R391" s="118"/>
      <c r="S391" s="118"/>
      <c r="T391" s="118"/>
      <c r="U391" s="401"/>
      <c r="V391" s="118"/>
      <c r="W391" s="118"/>
      <c r="X391" s="118"/>
      <c r="Y391" s="118"/>
      <c r="Z391" s="401"/>
      <c r="AA391" s="118"/>
      <c r="AB391" s="118"/>
      <c r="AC391" s="118"/>
      <c r="AD391" s="118"/>
      <c r="AE391" s="401"/>
      <c r="AF391" s="118"/>
      <c r="AG391" s="118"/>
      <c r="AH391" s="118"/>
      <c r="AI391" s="118"/>
      <c r="AJ391" s="401"/>
      <c r="AK391" s="118"/>
      <c r="AL391" s="118"/>
      <c r="AM391" s="118"/>
      <c r="AN391" s="118"/>
      <c r="AO391" s="401"/>
      <c r="AP391" s="118"/>
      <c r="AQ391" s="118"/>
      <c r="AR391" s="118"/>
      <c r="AS391" s="118"/>
      <c r="AT391" s="401"/>
      <c r="AU391" s="118"/>
      <c r="AV391" s="118"/>
      <c r="AW391" s="118"/>
      <c r="AX391" s="118"/>
      <c r="AY391" s="401"/>
      <c r="AZ391" s="118"/>
      <c r="BA391" s="118"/>
      <c r="BB391" s="118"/>
      <c r="BC391" s="118"/>
      <c r="BD391" s="401"/>
      <c r="BE391" s="118"/>
      <c r="BF391" s="118"/>
      <c r="BG391" s="118"/>
      <c r="BH391" s="118"/>
      <c r="BI391" s="401"/>
      <c r="BJ391" s="971"/>
      <c r="BK391" s="118">
        <f>IF(AND(BK378=0,BK280&gt;BJ381),-BJ381*BJ385,0)</f>
        <v>0</v>
      </c>
      <c r="BL391" s="118">
        <f>IF(AND(BL378=0,BL280&gt;BK381),-BK381*BK385,0)</f>
        <v>0</v>
      </c>
      <c r="BM391" s="118">
        <f>IF(AND(BM378=0,BM280&gt;BL381),-BL381*BL385,0)</f>
        <v>0</v>
      </c>
      <c r="BN391" s="401">
        <f>SUM(BJ391,BK391,BL391,BM391)</f>
        <v>0</v>
      </c>
      <c r="BO391" s="118">
        <f>IF(AND(BO378=0,BO280&gt;BN381),-BN381*BN385,0)</f>
        <v>0</v>
      </c>
      <c r="BP391" s="118">
        <f>IF(AND(BP378=0,BP280&gt;BO381),-BO381*BO385,0)</f>
        <v>0</v>
      </c>
      <c r="BQ391" s="118">
        <f>IF(AND(BQ378=0,BQ280&gt;BP381),-BP381*BP385,0)</f>
        <v>0</v>
      </c>
      <c r="BR391" s="118">
        <f>IF(AND(BR378=0,BR280&gt;BQ381),-BQ381*BQ385,0)</f>
        <v>0</v>
      </c>
      <c r="BS391" s="401">
        <f>SUM(BO391,BP391,BQ391,BR391)</f>
        <v>0</v>
      </c>
      <c r="BT391" s="401">
        <f>IF(AND(BT378=0,BT280&gt;BS381),-BS381*BS385,0)</f>
        <v>0</v>
      </c>
      <c r="BU391" s="401">
        <f>IF(AND(BU378=0,BU280&gt;BT381),-BT381*BT385,0)</f>
        <v>0</v>
      </c>
      <c r="BV391" s="401">
        <f>IF(AND(BV378=0,BV280&gt;BU381),-BU381*BU385,0)</f>
        <v>0</v>
      </c>
      <c r="BW391" s="122"/>
    </row>
    <row r="392" spans="1:75" hidden="1" outlineLevel="2" x14ac:dyDescent="0.5">
      <c r="A392" s="752" t="s">
        <v>2396</v>
      </c>
      <c r="B392" s="513"/>
      <c r="C392" s="401"/>
      <c r="D392" s="401"/>
      <c r="E392" s="401"/>
      <c r="F392" s="401"/>
      <c r="G392" s="118"/>
      <c r="H392" s="118"/>
      <c r="I392" s="118"/>
      <c r="J392" s="118"/>
      <c r="K392" s="401"/>
      <c r="L392" s="118"/>
      <c r="M392" s="118"/>
      <c r="N392" s="118"/>
      <c r="O392" s="118"/>
      <c r="P392" s="401"/>
      <c r="Q392" s="118"/>
      <c r="R392" s="118"/>
      <c r="S392" s="118"/>
      <c r="T392" s="118"/>
      <c r="U392" s="401"/>
      <c r="V392" s="118"/>
      <c r="W392" s="118"/>
      <c r="X392" s="118"/>
      <c r="Y392" s="118"/>
      <c r="Z392" s="401"/>
      <c r="AA392" s="118"/>
      <c r="AB392" s="118"/>
      <c r="AC392" s="118"/>
      <c r="AD392" s="118"/>
      <c r="AE392" s="401"/>
      <c r="AF392" s="118"/>
      <c r="AG392" s="118"/>
      <c r="AH392" s="118"/>
      <c r="AI392" s="118"/>
      <c r="AJ392" s="401"/>
      <c r="AK392" s="118"/>
      <c r="AL392" s="118"/>
      <c r="AM392" s="118"/>
      <c r="AN392" s="118"/>
      <c r="AO392" s="401"/>
      <c r="AP392" s="118"/>
      <c r="AQ392" s="118"/>
      <c r="AR392" s="118"/>
      <c r="AS392" s="118"/>
      <c r="AT392" s="401"/>
      <c r="AU392" s="118"/>
      <c r="AV392" s="118"/>
      <c r="AW392" s="118"/>
      <c r="AX392" s="118"/>
      <c r="AY392" s="401"/>
      <c r="AZ392" s="118"/>
      <c r="BA392" s="118"/>
      <c r="BB392" s="118"/>
      <c r="BC392" s="118"/>
      <c r="BD392" s="401"/>
      <c r="BE392" s="118"/>
      <c r="BF392" s="118"/>
      <c r="BG392" s="118"/>
      <c r="BH392" s="118"/>
      <c r="BI392" s="401"/>
      <c r="BJ392" s="971"/>
      <c r="BK392" s="118">
        <f>IF(AND(BK378=0,BK280&lt;=BJ381),-BJ378,0)</f>
        <v>0</v>
      </c>
      <c r="BL392" s="118">
        <f>IF(AND(BL378=0,BL280&lt;=BK381),-BK378,0)</f>
        <v>0</v>
      </c>
      <c r="BM392" s="118">
        <f>IF(AND(BM378=0,BM280&lt;=BL381),-BL378,0)</f>
        <v>-117</v>
      </c>
      <c r="BN392" s="401">
        <f>SUM(BJ392,BK392,BL392,BM392)</f>
        <v>-117</v>
      </c>
      <c r="BO392" s="118">
        <f>IF(AND(BO378=0,BO280&lt;=BN381),-BN378,0)</f>
        <v>0</v>
      </c>
      <c r="BP392" s="118">
        <f>IF(AND(BP378=0,BP280&lt;=BO381),-BO378,0)</f>
        <v>0</v>
      </c>
      <c r="BQ392" s="118">
        <f>IF(AND(BQ378=0,BQ280&lt;=BP381),-BP378,0)</f>
        <v>0</v>
      </c>
      <c r="BR392" s="118">
        <f>IF(AND(BR378=0,BR280&lt;=BQ381),-BQ378,0)</f>
        <v>0</v>
      </c>
      <c r="BS392" s="401">
        <f>SUM(BO392,BP392,BQ392,BR392)</f>
        <v>0</v>
      </c>
      <c r="BT392" s="401">
        <f>IF(AND(BT378=0,BT280&lt;=BS381),-BS378,0)</f>
        <v>0</v>
      </c>
      <c r="BU392" s="401">
        <f>IF(AND(BU378=0,BU280&lt;=BT381),-BT378,0)</f>
        <v>0</v>
      </c>
      <c r="BV392" s="401">
        <f>IF(AND(BV378=0,BV280&lt;=BU381),-BU378,0)</f>
        <v>0</v>
      </c>
      <c r="BW392" s="122"/>
    </row>
    <row r="393" spans="1:75" hidden="1" outlineLevel="2" x14ac:dyDescent="0.5">
      <c r="A393" s="184"/>
      <c r="B393" s="513"/>
      <c r="C393" s="401"/>
      <c r="D393" s="401"/>
      <c r="E393" s="401"/>
      <c r="F393" s="401"/>
      <c r="G393" s="118"/>
      <c r="H393" s="118"/>
      <c r="I393" s="118"/>
      <c r="J393" s="118"/>
      <c r="K393" s="401"/>
      <c r="L393" s="118"/>
      <c r="M393" s="118"/>
      <c r="N393" s="118"/>
      <c r="O393" s="118"/>
      <c r="P393" s="401"/>
      <c r="Q393" s="118"/>
      <c r="R393" s="118"/>
      <c r="S393" s="118"/>
      <c r="T393" s="118"/>
      <c r="U393" s="401"/>
      <c r="V393" s="118"/>
      <c r="W393" s="118"/>
      <c r="X393" s="118"/>
      <c r="Y393" s="118"/>
      <c r="Z393" s="401"/>
      <c r="AA393" s="118"/>
      <c r="AB393" s="118"/>
      <c r="AC393" s="118"/>
      <c r="AD393" s="118"/>
      <c r="AE393" s="401"/>
      <c r="AF393" s="118"/>
      <c r="AG393" s="118"/>
      <c r="AH393" s="118"/>
      <c r="AI393" s="118"/>
      <c r="AJ393" s="401"/>
      <c r="AK393" s="118"/>
      <c r="AL393" s="118"/>
      <c r="AM393" s="118"/>
      <c r="AN393" s="118"/>
      <c r="AO393" s="401"/>
      <c r="AP393" s="118"/>
      <c r="AQ393" s="118"/>
      <c r="AR393" s="118"/>
      <c r="AS393" s="118"/>
      <c r="AT393" s="401"/>
      <c r="AU393" s="118"/>
      <c r="AV393" s="118"/>
      <c r="AW393" s="118"/>
      <c r="AX393" s="118"/>
      <c r="AY393" s="401"/>
      <c r="AZ393" s="118"/>
      <c r="BA393" s="118"/>
      <c r="BB393" s="118"/>
      <c r="BC393" s="118"/>
      <c r="BD393" s="401"/>
      <c r="BE393" s="118"/>
      <c r="BF393" s="118"/>
      <c r="BG393" s="118"/>
      <c r="BH393" s="118"/>
      <c r="BI393" s="401"/>
      <c r="BJ393" s="971"/>
      <c r="BK393" s="118"/>
      <c r="BL393" s="118"/>
      <c r="BM393" s="118"/>
      <c r="BN393" s="401"/>
      <c r="BO393" s="118"/>
      <c r="BP393" s="118"/>
      <c r="BQ393" s="118"/>
      <c r="BR393" s="118"/>
      <c r="BS393" s="401"/>
      <c r="BT393" s="401"/>
      <c r="BU393" s="401"/>
      <c r="BV393" s="401"/>
      <c r="BW393" s="122"/>
    </row>
    <row r="394" spans="1:75" hidden="1" outlineLevel="2" x14ac:dyDescent="0.5">
      <c r="A394" s="184" t="s">
        <v>2397</v>
      </c>
      <c r="B394" s="513"/>
      <c r="C394" s="779"/>
      <c r="D394" s="779"/>
      <c r="E394" s="779"/>
      <c r="F394" s="779"/>
      <c r="G394" s="780"/>
      <c r="H394" s="780"/>
      <c r="I394" s="780"/>
      <c r="J394" s="780"/>
      <c r="K394" s="779"/>
      <c r="L394" s="780"/>
      <c r="M394" s="780"/>
      <c r="N394" s="780"/>
      <c r="O394" s="780"/>
      <c r="P394" s="779"/>
      <c r="Q394" s="780"/>
      <c r="R394" s="780"/>
      <c r="S394" s="780"/>
      <c r="T394" s="780"/>
      <c r="U394" s="779"/>
      <c r="V394" s="780"/>
      <c r="W394" s="780"/>
      <c r="X394" s="780"/>
      <c r="Y394" s="780"/>
      <c r="Z394" s="779"/>
      <c r="AA394" s="780"/>
      <c r="AB394" s="780"/>
      <c r="AC394" s="780"/>
      <c r="AD394" s="780"/>
      <c r="AE394" s="779"/>
      <c r="AF394" s="780"/>
      <c r="AG394" s="780"/>
      <c r="AH394" s="780"/>
      <c r="AI394" s="780"/>
      <c r="AJ394" s="779"/>
      <c r="AK394" s="780"/>
      <c r="AL394" s="780"/>
      <c r="AM394" s="780"/>
      <c r="AN394" s="780"/>
      <c r="AO394" s="779"/>
      <c r="AP394" s="780"/>
      <c r="AQ394" s="780"/>
      <c r="AR394" s="780"/>
      <c r="AS394" s="780"/>
      <c r="AT394" s="818">
        <v>45931</v>
      </c>
      <c r="AU394" s="780">
        <f t="shared" ref="AU394:BV394" si="313">AT394</f>
        <v>45931</v>
      </c>
      <c r="AV394" s="780">
        <f t="shared" si="313"/>
        <v>45931</v>
      </c>
      <c r="AW394" s="780">
        <f t="shared" si="313"/>
        <v>45931</v>
      </c>
      <c r="AX394" s="780">
        <f t="shared" si="313"/>
        <v>45931</v>
      </c>
      <c r="AY394" s="779">
        <f t="shared" si="313"/>
        <v>45931</v>
      </c>
      <c r="AZ394" s="780">
        <f t="shared" si="313"/>
        <v>45931</v>
      </c>
      <c r="BA394" s="780">
        <f t="shared" si="313"/>
        <v>45931</v>
      </c>
      <c r="BB394" s="780">
        <f t="shared" si="313"/>
        <v>45931</v>
      </c>
      <c r="BC394" s="780">
        <f t="shared" si="313"/>
        <v>45931</v>
      </c>
      <c r="BD394" s="779">
        <f t="shared" si="313"/>
        <v>45931</v>
      </c>
      <c r="BE394" s="780">
        <f t="shared" si="313"/>
        <v>45931</v>
      </c>
      <c r="BF394" s="780">
        <f t="shared" si="313"/>
        <v>45931</v>
      </c>
      <c r="BG394" s="780">
        <f t="shared" si="313"/>
        <v>45931</v>
      </c>
      <c r="BH394" s="780">
        <f t="shared" si="313"/>
        <v>45931</v>
      </c>
      <c r="BI394" s="779">
        <f t="shared" si="313"/>
        <v>45931</v>
      </c>
      <c r="BJ394" s="1316">
        <f t="shared" si="313"/>
        <v>45931</v>
      </c>
      <c r="BK394" s="780">
        <f t="shared" si="313"/>
        <v>45931</v>
      </c>
      <c r="BL394" s="780">
        <f t="shared" si="313"/>
        <v>45931</v>
      </c>
      <c r="BM394" s="780">
        <f t="shared" si="313"/>
        <v>45931</v>
      </c>
      <c r="BN394" s="779">
        <f t="shared" si="313"/>
        <v>45931</v>
      </c>
      <c r="BO394" s="780">
        <f t="shared" si="313"/>
        <v>45931</v>
      </c>
      <c r="BP394" s="780">
        <f t="shared" si="313"/>
        <v>45931</v>
      </c>
      <c r="BQ394" s="780">
        <f t="shared" si="313"/>
        <v>45931</v>
      </c>
      <c r="BR394" s="780">
        <f t="shared" si="313"/>
        <v>45931</v>
      </c>
      <c r="BS394" s="779">
        <f t="shared" si="313"/>
        <v>45931</v>
      </c>
      <c r="BT394" s="779">
        <f t="shared" si="313"/>
        <v>45931</v>
      </c>
      <c r="BU394" s="779">
        <f t="shared" si="313"/>
        <v>45931</v>
      </c>
      <c r="BV394" s="779">
        <f t="shared" si="313"/>
        <v>45931</v>
      </c>
      <c r="BW394" s="122"/>
    </row>
    <row r="395" spans="1:75" hidden="1" outlineLevel="2" x14ac:dyDescent="0.5">
      <c r="A395" s="496" t="s">
        <v>2398</v>
      </c>
      <c r="B395" s="513"/>
      <c r="C395" s="401"/>
      <c r="D395" s="401"/>
      <c r="E395" s="401"/>
      <c r="F395" s="401"/>
      <c r="G395" s="118"/>
      <c r="H395" s="118"/>
      <c r="I395" s="118"/>
      <c r="J395" s="118"/>
      <c r="K395" s="401"/>
      <c r="L395" s="118"/>
      <c r="M395" s="118"/>
      <c r="N395" s="118"/>
      <c r="O395" s="118"/>
      <c r="P395" s="401"/>
      <c r="Q395" s="118"/>
      <c r="R395" s="118"/>
      <c r="S395" s="118"/>
      <c r="T395" s="118"/>
      <c r="U395" s="401"/>
      <c r="V395" s="118"/>
      <c r="W395" s="118"/>
      <c r="X395" s="118"/>
      <c r="Y395" s="118"/>
      <c r="Z395" s="401"/>
      <c r="AA395" s="118"/>
      <c r="AB395" s="118"/>
      <c r="AC395" s="118"/>
      <c r="AD395" s="118"/>
      <c r="AE395" s="401"/>
      <c r="AF395" s="118"/>
      <c r="AG395" s="118"/>
      <c r="AH395" s="118"/>
      <c r="AI395" s="118"/>
      <c r="AJ395" s="401"/>
      <c r="AK395" s="118"/>
      <c r="AL395" s="118"/>
      <c r="AM395" s="118"/>
      <c r="AN395" s="118"/>
      <c r="AO395" s="401"/>
      <c r="AP395" s="118"/>
      <c r="AQ395" s="118"/>
      <c r="AR395" s="118"/>
      <c r="AS395" s="118"/>
      <c r="AT395" s="403">
        <v>1518</v>
      </c>
      <c r="AU395" s="302">
        <v>1518</v>
      </c>
      <c r="AV395" s="302">
        <v>1518</v>
      </c>
      <c r="AW395" s="302">
        <v>1518</v>
      </c>
      <c r="AX395" s="118">
        <f>AY395</f>
        <v>1518</v>
      </c>
      <c r="AY395" s="403">
        <v>1518</v>
      </c>
      <c r="AZ395" s="302">
        <v>1518</v>
      </c>
      <c r="BA395" s="302">
        <v>1518</v>
      </c>
      <c r="BB395" s="302">
        <v>1289</v>
      </c>
      <c r="BC395" s="118">
        <f>BD395</f>
        <v>1289</v>
      </c>
      <c r="BD395" s="403">
        <v>1289</v>
      </c>
      <c r="BE395" s="118">
        <f>BD395</f>
        <v>1289</v>
      </c>
      <c r="BF395" s="302">
        <v>754</v>
      </c>
      <c r="BG395" s="302">
        <v>754</v>
      </c>
      <c r="BH395" s="118">
        <f>BI395</f>
        <v>754</v>
      </c>
      <c r="BI395" s="403">
        <v>754</v>
      </c>
      <c r="BJ395" s="1207">
        <v>754</v>
      </c>
      <c r="BK395" s="118">
        <f>IF(BK394&lt;BK$4,0,BJ395)</f>
        <v>754</v>
      </c>
      <c r="BL395" s="118">
        <f>IF(BL394&lt;BL$4,0,BK395)</f>
        <v>754</v>
      </c>
      <c r="BM395" s="118">
        <f>IF(BM394&lt;BM$4,0,BL395)</f>
        <v>754</v>
      </c>
      <c r="BN395" s="401">
        <f>BM395</f>
        <v>754</v>
      </c>
      <c r="BO395" s="118">
        <f>IF(BO394&lt;BO$4,0,BN395)</f>
        <v>754</v>
      </c>
      <c r="BP395" s="118">
        <f>IF(BP394&lt;BP$4,0,BO395)</f>
        <v>754</v>
      </c>
      <c r="BQ395" s="118">
        <f>IF(BQ394&lt;BQ$4,0,BP395)</f>
        <v>754</v>
      </c>
      <c r="BR395" s="118">
        <f>IF(BR394&lt;BR$4,0,BQ395)</f>
        <v>0</v>
      </c>
      <c r="BS395" s="401">
        <f>BR395</f>
        <v>0</v>
      </c>
      <c r="BT395" s="401">
        <f>IF(BT394&lt;BT$4,0,BS395)</f>
        <v>0</v>
      </c>
      <c r="BU395" s="401">
        <f>IF(BU394&lt;BU$4,0,BT395)</f>
        <v>0</v>
      </c>
      <c r="BV395" s="401">
        <f>IF(BV394&lt;BV$4,0,BU395)</f>
        <v>0</v>
      </c>
      <c r="BW395" s="122"/>
    </row>
    <row r="396" spans="1:75" hidden="1" outlineLevel="2" x14ac:dyDescent="0.5">
      <c r="A396" s="513" t="s">
        <v>2399</v>
      </c>
      <c r="B396" s="513"/>
      <c r="C396" s="401"/>
      <c r="D396" s="401"/>
      <c r="E396" s="401"/>
      <c r="F396" s="401"/>
      <c r="G396" s="118"/>
      <c r="H396" s="118"/>
      <c r="I396" s="118"/>
      <c r="J396" s="118"/>
      <c r="K396" s="401"/>
      <c r="L396" s="118"/>
      <c r="M396" s="118"/>
      <c r="N396" s="118"/>
      <c r="O396" s="118"/>
      <c r="P396" s="401"/>
      <c r="Q396" s="118"/>
      <c r="R396" s="118"/>
      <c r="S396" s="118"/>
      <c r="T396" s="118"/>
      <c r="U396" s="401"/>
      <c r="V396" s="118"/>
      <c r="W396" s="118"/>
      <c r="X396" s="118"/>
      <c r="Y396" s="118"/>
      <c r="Z396" s="401"/>
      <c r="AA396" s="118"/>
      <c r="AB396" s="118"/>
      <c r="AC396" s="118"/>
      <c r="AD396" s="118"/>
      <c r="AE396" s="401"/>
      <c r="AF396" s="118"/>
      <c r="AG396" s="118"/>
      <c r="AH396" s="118"/>
      <c r="AI396" s="118"/>
      <c r="AJ396" s="401"/>
      <c r="AK396" s="118"/>
      <c r="AL396" s="118"/>
      <c r="AM396" s="118"/>
      <c r="AN396" s="118"/>
      <c r="AO396" s="401"/>
      <c r="AP396" s="118"/>
      <c r="AQ396" s="118"/>
      <c r="AR396" s="118"/>
      <c r="AS396" s="118"/>
      <c r="AT396" s="403">
        <v>-289.95400000000001</v>
      </c>
      <c r="AU396" s="302">
        <v>-15.532</v>
      </c>
      <c r="AV396" s="302">
        <v>-14.849</v>
      </c>
      <c r="AW396" s="302">
        <v>-13.999000000000001</v>
      </c>
      <c r="AX396" s="118">
        <f>AY396</f>
        <v>-13</v>
      </c>
      <c r="AY396" s="403">
        <v>-13</v>
      </c>
      <c r="AZ396" s="302">
        <v>-12</v>
      </c>
      <c r="BA396" s="302">
        <v>-11</v>
      </c>
      <c r="BB396" s="302">
        <v>-9</v>
      </c>
      <c r="BC396" s="118">
        <f>BD396</f>
        <v>-8</v>
      </c>
      <c r="BD396" s="403">
        <v>-8</v>
      </c>
      <c r="BE396" s="302">
        <v>-8</v>
      </c>
      <c r="BF396" s="302">
        <v>-4</v>
      </c>
      <c r="BG396" s="302">
        <v>-3</v>
      </c>
      <c r="BH396" s="118">
        <f>BI396</f>
        <v>-3</v>
      </c>
      <c r="BI396" s="403">
        <v>-3</v>
      </c>
      <c r="BJ396" s="1207">
        <v>-3</v>
      </c>
      <c r="BK396" s="723">
        <f>IF(BK395=0,0,BJ396-BJ396/(BK394-BJ$4)*BK$3)</f>
        <v>-2.5027322404371586</v>
      </c>
      <c r="BL396" s="723">
        <f>IF(BL395=0,0,BK396-BK396/(BL394-BK$4)*BL$3)</f>
        <v>-2</v>
      </c>
      <c r="BM396" s="723">
        <f>IF(BM395=0,0,BL396-BL396/(BM394-BL$4)*BM$3)</f>
        <v>-1.4972677595628414</v>
      </c>
      <c r="BN396" s="401">
        <f>BM396</f>
        <v>-1.4972677595628414</v>
      </c>
      <c r="BO396" s="723">
        <f>IF(BO395=0,0,BN396-BN396/(BO394-BN$4)*BO$3)</f>
        <v>-1.0054644808743167</v>
      </c>
      <c r="BP396" s="723">
        <f>IF(BP395=0,0,BO396-BO396/(BP394-BO$4)*BP$3)</f>
        <v>-0.50819672131147531</v>
      </c>
      <c r="BQ396" s="723">
        <f>IF(BQ395=0,0,BP396-BP396/(BQ394-BP$4)*BQ$3)</f>
        <v>-5.464480874316946E-3</v>
      </c>
      <c r="BR396" s="723">
        <f>IF(BR395=0,0,BQ396-BQ396/(BR394-BQ$4)*BR$3)</f>
        <v>0</v>
      </c>
      <c r="BS396" s="401">
        <f>BR396</f>
        <v>0</v>
      </c>
      <c r="BT396" s="401">
        <f>IF(BT395=0,0,BS396-BS396/(BT394-BS$4)*BT$3)</f>
        <v>0</v>
      </c>
      <c r="BU396" s="401">
        <f>IF(BU395=0,0,BT396-BT396/(BU394-BT$4)*BU$3)</f>
        <v>0</v>
      </c>
      <c r="BV396" s="401">
        <f>IF(BV395=0,0,BU396-BU396/(BV394-BU$4)*BV$3)</f>
        <v>0</v>
      </c>
      <c r="BW396" s="122"/>
    </row>
    <row r="397" spans="1:75" hidden="1" outlineLevel="2" x14ac:dyDescent="0.5">
      <c r="A397" s="1516" t="s">
        <v>2400</v>
      </c>
      <c r="B397" s="1499"/>
      <c r="C397" s="1500"/>
      <c r="D397" s="1500"/>
      <c r="E397" s="1500"/>
      <c r="F397" s="1500"/>
      <c r="G397" s="1056"/>
      <c r="H397" s="1056"/>
      <c r="I397" s="1056"/>
      <c r="J397" s="1056"/>
      <c r="K397" s="1500"/>
      <c r="L397" s="1056"/>
      <c r="M397" s="1056"/>
      <c r="N397" s="1056"/>
      <c r="O397" s="1056"/>
      <c r="P397" s="1500"/>
      <c r="Q397" s="1056"/>
      <c r="R397" s="1056"/>
      <c r="S397" s="1056"/>
      <c r="T397" s="1056"/>
      <c r="U397" s="1500"/>
      <c r="V397" s="1056"/>
      <c r="W397" s="1056"/>
      <c r="X397" s="1056"/>
      <c r="Y397" s="1056"/>
      <c r="Z397" s="1500"/>
      <c r="AA397" s="1056"/>
      <c r="AB397" s="1056"/>
      <c r="AC397" s="1056"/>
      <c r="AD397" s="1056"/>
      <c r="AE397" s="1500"/>
      <c r="AF397" s="1056"/>
      <c r="AG397" s="1056"/>
      <c r="AH397" s="1056"/>
      <c r="AI397" s="1056"/>
      <c r="AJ397" s="1500"/>
      <c r="AK397" s="1056"/>
      <c r="AL397" s="1056"/>
      <c r="AM397" s="1056"/>
      <c r="AN397" s="1056"/>
      <c r="AO397" s="1500"/>
      <c r="AP397" s="1056"/>
      <c r="AQ397" s="1056"/>
      <c r="AR397" s="1056"/>
      <c r="AS397" s="1056"/>
      <c r="AT397" s="1500">
        <f t="shared" ref="AT397:BV397" si="314">SUM(AT395:AT396)</f>
        <v>1228.046</v>
      </c>
      <c r="AU397" s="1056">
        <f t="shared" si="314"/>
        <v>1502.4680000000001</v>
      </c>
      <c r="AV397" s="1056">
        <f t="shared" si="314"/>
        <v>1503.1510000000001</v>
      </c>
      <c r="AW397" s="1056">
        <f t="shared" si="314"/>
        <v>1504.001</v>
      </c>
      <c r="AX397" s="1056">
        <f t="shared" si="314"/>
        <v>1505</v>
      </c>
      <c r="AY397" s="1500">
        <f t="shared" si="314"/>
        <v>1505</v>
      </c>
      <c r="AZ397" s="1056">
        <f t="shared" si="314"/>
        <v>1506</v>
      </c>
      <c r="BA397" s="1056">
        <f t="shared" si="314"/>
        <v>1507</v>
      </c>
      <c r="BB397" s="1056">
        <f t="shared" si="314"/>
        <v>1280</v>
      </c>
      <c r="BC397" s="1056">
        <f t="shared" si="314"/>
        <v>1281</v>
      </c>
      <c r="BD397" s="1500">
        <f t="shared" si="314"/>
        <v>1281</v>
      </c>
      <c r="BE397" s="1056">
        <f t="shared" si="314"/>
        <v>1281</v>
      </c>
      <c r="BF397" s="1056">
        <f t="shared" si="314"/>
        <v>750</v>
      </c>
      <c r="BG397" s="1056">
        <f t="shared" si="314"/>
        <v>751</v>
      </c>
      <c r="BH397" s="1056">
        <f t="shared" si="314"/>
        <v>751</v>
      </c>
      <c r="BI397" s="1500">
        <f t="shared" si="314"/>
        <v>751</v>
      </c>
      <c r="BJ397" s="1058">
        <f t="shared" si="314"/>
        <v>751</v>
      </c>
      <c r="BK397" s="1056">
        <f t="shared" si="314"/>
        <v>751.49726775956287</v>
      </c>
      <c r="BL397" s="1056">
        <f t="shared" si="314"/>
        <v>752</v>
      </c>
      <c r="BM397" s="1056">
        <f t="shared" si="314"/>
        <v>752.50273224043713</v>
      </c>
      <c r="BN397" s="1500">
        <f t="shared" si="314"/>
        <v>752.50273224043713</v>
      </c>
      <c r="BO397" s="1056">
        <f t="shared" si="314"/>
        <v>752.99453551912563</v>
      </c>
      <c r="BP397" s="1056">
        <f t="shared" si="314"/>
        <v>753.49180327868851</v>
      </c>
      <c r="BQ397" s="1056">
        <f t="shared" si="314"/>
        <v>753.99453551912563</v>
      </c>
      <c r="BR397" s="1056">
        <f t="shared" si="314"/>
        <v>0</v>
      </c>
      <c r="BS397" s="1500">
        <f t="shared" si="314"/>
        <v>0</v>
      </c>
      <c r="BT397" s="1500">
        <f t="shared" si="314"/>
        <v>0</v>
      </c>
      <c r="BU397" s="1500">
        <f t="shared" si="314"/>
        <v>0</v>
      </c>
      <c r="BV397" s="1500">
        <f t="shared" si="314"/>
        <v>0</v>
      </c>
      <c r="BW397" s="122"/>
    </row>
    <row r="398" spans="1:75" hidden="1" outlineLevel="2" x14ac:dyDescent="0.5">
      <c r="A398" s="496" t="s">
        <v>2401</v>
      </c>
      <c r="B398" s="513"/>
      <c r="C398" s="784"/>
      <c r="D398" s="784"/>
      <c r="E398" s="784"/>
      <c r="F398" s="784"/>
      <c r="G398" s="785"/>
      <c r="H398" s="785"/>
      <c r="I398" s="785"/>
      <c r="J398" s="785"/>
      <c r="K398" s="784"/>
      <c r="L398" s="785"/>
      <c r="M398" s="785"/>
      <c r="N398" s="785"/>
      <c r="O398" s="785"/>
      <c r="P398" s="784"/>
      <c r="Q398" s="785"/>
      <c r="R398" s="785"/>
      <c r="S398" s="785"/>
      <c r="T398" s="785"/>
      <c r="U398" s="784"/>
      <c r="V398" s="785"/>
      <c r="W398" s="785"/>
      <c r="X398" s="785"/>
      <c r="Y398" s="785"/>
      <c r="Z398" s="784"/>
      <c r="AA398" s="785"/>
      <c r="AB398" s="785"/>
      <c r="AC398" s="785"/>
      <c r="AD398" s="785"/>
      <c r="AE398" s="784"/>
      <c r="AF398" s="785"/>
      <c r="AG398" s="785"/>
      <c r="AH398" s="785"/>
      <c r="AI398" s="785"/>
      <c r="AJ398" s="784"/>
      <c r="AK398" s="785"/>
      <c r="AL398" s="785"/>
      <c r="AM398" s="785"/>
      <c r="AN398" s="785"/>
      <c r="AO398" s="784"/>
      <c r="AP398" s="785"/>
      <c r="AQ398" s="785"/>
      <c r="AR398" s="785"/>
      <c r="AS398" s="785"/>
      <c r="AT398" s="1517">
        <v>417.15</v>
      </c>
      <c r="AU398" s="1071">
        <v>417.15</v>
      </c>
      <c r="AV398" s="1071">
        <v>417.15</v>
      </c>
      <c r="AW398" s="1071">
        <v>417.15</v>
      </c>
      <c r="AX398" s="785">
        <f>AY398</f>
        <v>417.15</v>
      </c>
      <c r="AY398" s="1517">
        <v>417.15</v>
      </c>
      <c r="AZ398" s="1071">
        <v>417.15</v>
      </c>
      <c r="BA398" s="1071">
        <v>417.15</v>
      </c>
      <c r="BB398" s="1071">
        <v>417.15</v>
      </c>
      <c r="BC398" s="785">
        <f>BD398</f>
        <v>417.15</v>
      </c>
      <c r="BD398" s="1517">
        <v>417.15</v>
      </c>
      <c r="BE398" s="1071">
        <v>417.15</v>
      </c>
      <c r="BF398" s="1071">
        <v>417.15</v>
      </c>
      <c r="BG398" s="1071">
        <v>417.15</v>
      </c>
      <c r="BH398" s="785">
        <f>BI398</f>
        <v>417.15</v>
      </c>
      <c r="BI398" s="1517">
        <v>417.15</v>
      </c>
      <c r="BJ398" s="1072">
        <v>417.15</v>
      </c>
      <c r="BK398" s="785">
        <f>IF(BK395=0,0,BJ398)</f>
        <v>417.15</v>
      </c>
      <c r="BL398" s="785">
        <f>IF(BL395=0,0,BK398)</f>
        <v>417.15</v>
      </c>
      <c r="BM398" s="785">
        <f>IF(BM395=0,0,BL398)</f>
        <v>417.15</v>
      </c>
      <c r="BN398" s="784">
        <f>BM398</f>
        <v>417.15</v>
      </c>
      <c r="BO398" s="785">
        <f>IF(BO395=0,0,BN398)</f>
        <v>417.15</v>
      </c>
      <c r="BP398" s="785">
        <f>IF(BP395=0,0,BO398)</f>
        <v>417.15</v>
      </c>
      <c r="BQ398" s="785">
        <f>IF(BQ395=0,0,BP398)</f>
        <v>417.15</v>
      </c>
      <c r="BR398" s="785">
        <f>IF(BR395=0,0,BQ398)</f>
        <v>0</v>
      </c>
      <c r="BS398" s="784">
        <f>BR398</f>
        <v>0</v>
      </c>
      <c r="BT398" s="784">
        <f>IF(BT395=0,0,BS398)</f>
        <v>0</v>
      </c>
      <c r="BU398" s="784">
        <f>IF(BU395=0,0,BT398)</f>
        <v>0</v>
      </c>
      <c r="BV398" s="784">
        <f>IF(BV395=0,0,BU398)</f>
        <v>0</v>
      </c>
      <c r="BW398" s="122"/>
    </row>
    <row r="399" spans="1:75" hidden="1" outlineLevel="2" x14ac:dyDescent="0.5">
      <c r="A399" s="869" t="s">
        <v>2379</v>
      </c>
      <c r="B399" s="870"/>
      <c r="C399" s="871"/>
      <c r="D399" s="871"/>
      <c r="E399" s="871"/>
      <c r="F399" s="871"/>
      <c r="G399" s="872"/>
      <c r="H399" s="872"/>
      <c r="I399" s="872"/>
      <c r="J399" s="872"/>
      <c r="K399" s="871"/>
      <c r="L399" s="872"/>
      <c r="M399" s="872"/>
      <c r="N399" s="872"/>
      <c r="O399" s="872"/>
      <c r="P399" s="871"/>
      <c r="Q399" s="872"/>
      <c r="R399" s="872"/>
      <c r="S399" s="872"/>
      <c r="T399" s="872"/>
      <c r="U399" s="871"/>
      <c r="V399" s="872"/>
      <c r="W399" s="872"/>
      <c r="X399" s="872"/>
      <c r="Y399" s="872"/>
      <c r="Z399" s="871"/>
      <c r="AA399" s="872"/>
      <c r="AB399" s="872"/>
      <c r="AC399" s="872"/>
      <c r="AD399" s="872"/>
      <c r="AE399" s="871"/>
      <c r="AF399" s="872"/>
      <c r="AG399" s="872"/>
      <c r="AH399" s="872"/>
      <c r="AI399" s="872"/>
      <c r="AJ399" s="871"/>
      <c r="AK399" s="872"/>
      <c r="AL399" s="872"/>
      <c r="AM399" s="872"/>
      <c r="AN399" s="872"/>
      <c r="AO399" s="871"/>
      <c r="AP399" s="872"/>
      <c r="AQ399" s="872"/>
      <c r="AR399" s="872"/>
      <c r="AS399" s="872"/>
      <c r="AT399" s="871">
        <f t="shared" ref="AT399:BV399" si="315">IFERROR(AT395/AT398,0)</f>
        <v>3.6389787846098529</v>
      </c>
      <c r="AU399" s="872">
        <f t="shared" si="315"/>
        <v>3.6389787846098529</v>
      </c>
      <c r="AV399" s="872">
        <f t="shared" si="315"/>
        <v>3.6389787846098529</v>
      </c>
      <c r="AW399" s="872">
        <f t="shared" si="315"/>
        <v>3.6389787846098529</v>
      </c>
      <c r="AX399" s="872">
        <f t="shared" si="315"/>
        <v>3.6389787846098529</v>
      </c>
      <c r="AY399" s="871">
        <f t="shared" si="315"/>
        <v>3.6389787846098529</v>
      </c>
      <c r="AZ399" s="872">
        <f t="shared" si="315"/>
        <v>3.6389787846098529</v>
      </c>
      <c r="BA399" s="872">
        <f t="shared" si="315"/>
        <v>3.6389787846098529</v>
      </c>
      <c r="BB399" s="872">
        <f t="shared" si="315"/>
        <v>3.0900155819249671</v>
      </c>
      <c r="BC399" s="872">
        <f t="shared" si="315"/>
        <v>3.0900155819249671</v>
      </c>
      <c r="BD399" s="871">
        <f t="shared" si="315"/>
        <v>3.0900155819249671</v>
      </c>
      <c r="BE399" s="872">
        <f t="shared" si="315"/>
        <v>3.0900155819249671</v>
      </c>
      <c r="BF399" s="872">
        <f t="shared" si="315"/>
        <v>1.8075032961764355</v>
      </c>
      <c r="BG399" s="872">
        <f t="shared" si="315"/>
        <v>1.8075032961764355</v>
      </c>
      <c r="BH399" s="872">
        <f t="shared" si="315"/>
        <v>1.8075032961764355</v>
      </c>
      <c r="BI399" s="871">
        <f t="shared" si="315"/>
        <v>1.8075032961764355</v>
      </c>
      <c r="BJ399" s="1504">
        <f t="shared" si="315"/>
        <v>1.8075032961764355</v>
      </c>
      <c r="BK399" s="872">
        <f t="shared" si="315"/>
        <v>1.8075032961764355</v>
      </c>
      <c r="BL399" s="872">
        <f t="shared" si="315"/>
        <v>1.8075032961764355</v>
      </c>
      <c r="BM399" s="872">
        <f t="shared" si="315"/>
        <v>1.8075032961764355</v>
      </c>
      <c r="BN399" s="871">
        <f t="shared" si="315"/>
        <v>1.8075032961764355</v>
      </c>
      <c r="BO399" s="872">
        <f t="shared" si="315"/>
        <v>1.8075032961764355</v>
      </c>
      <c r="BP399" s="872">
        <f t="shared" si="315"/>
        <v>1.8075032961764355</v>
      </c>
      <c r="BQ399" s="872">
        <f t="shared" si="315"/>
        <v>1.8075032961764355</v>
      </c>
      <c r="BR399" s="872">
        <f t="shared" si="315"/>
        <v>0</v>
      </c>
      <c r="BS399" s="871">
        <f t="shared" si="315"/>
        <v>0</v>
      </c>
      <c r="BT399" s="871">
        <f t="shared" si="315"/>
        <v>0</v>
      </c>
      <c r="BU399" s="871">
        <f t="shared" si="315"/>
        <v>0</v>
      </c>
      <c r="BV399" s="871">
        <f t="shared" si="315"/>
        <v>0</v>
      </c>
      <c r="BW399" s="122"/>
    </row>
    <row r="400" spans="1:75" hidden="1" outlineLevel="2" x14ac:dyDescent="0.5">
      <c r="A400" s="1498" t="s">
        <v>2402</v>
      </c>
      <c r="B400" s="1499"/>
      <c r="C400" s="1500"/>
      <c r="D400" s="1500"/>
      <c r="E400" s="1500"/>
      <c r="F400" s="1500"/>
      <c r="G400" s="1056"/>
      <c r="H400" s="1056"/>
      <c r="I400" s="1056"/>
      <c r="J400" s="1056"/>
      <c r="K400" s="1500"/>
      <c r="L400" s="1056"/>
      <c r="M400" s="1056"/>
      <c r="N400" s="1056"/>
      <c r="O400" s="1056"/>
      <c r="P400" s="1500"/>
      <c r="Q400" s="1056"/>
      <c r="R400" s="1056"/>
      <c r="S400" s="1056"/>
      <c r="T400" s="1056"/>
      <c r="U400" s="1500"/>
      <c r="V400" s="1056"/>
      <c r="W400" s="1056"/>
      <c r="X400" s="1056"/>
      <c r="Y400" s="1056"/>
      <c r="Z400" s="1500"/>
      <c r="AA400" s="1056"/>
      <c r="AB400" s="1056"/>
      <c r="AC400" s="1056"/>
      <c r="AD400" s="1056"/>
      <c r="AE400" s="1500"/>
      <c r="AF400" s="1056"/>
      <c r="AG400" s="1056"/>
      <c r="AH400" s="1056"/>
      <c r="AI400" s="1056"/>
      <c r="AJ400" s="1500"/>
      <c r="AK400" s="1056"/>
      <c r="AL400" s="1056"/>
      <c r="AM400" s="1056"/>
      <c r="AN400" s="1056"/>
      <c r="AO400" s="1500"/>
      <c r="AP400" s="1056"/>
      <c r="AQ400" s="1056"/>
      <c r="AR400" s="1056"/>
      <c r="AS400" s="1056"/>
      <c r="AT400" s="1500">
        <f t="shared" ref="AT400:BV400" ca="1" si="316">IFERROR(IF(AT280&gt;AT398,AT399,0),0)</f>
        <v>0</v>
      </c>
      <c r="AU400" s="1056">
        <f t="shared" ca="1" si="316"/>
        <v>0</v>
      </c>
      <c r="AV400" s="1056">
        <f t="shared" ca="1" si="316"/>
        <v>0</v>
      </c>
      <c r="AW400" s="1056">
        <f t="shared" ca="1" si="316"/>
        <v>0</v>
      </c>
      <c r="AX400" s="1056">
        <f t="shared" ca="1" si="316"/>
        <v>0</v>
      </c>
      <c r="AY400" s="1500">
        <f t="shared" ca="1" si="316"/>
        <v>0</v>
      </c>
      <c r="AZ400" s="1056">
        <f t="shared" ca="1" si="316"/>
        <v>0</v>
      </c>
      <c r="BA400" s="1056">
        <f t="shared" ca="1" si="316"/>
        <v>0</v>
      </c>
      <c r="BB400" s="1056">
        <f t="shared" ca="1" si="316"/>
        <v>0</v>
      </c>
      <c r="BC400" s="1056">
        <f t="shared" ca="1" si="316"/>
        <v>0</v>
      </c>
      <c r="BD400" s="1500">
        <f t="shared" ca="1" si="316"/>
        <v>0</v>
      </c>
      <c r="BE400" s="1056">
        <f t="shared" ca="1" si="316"/>
        <v>0</v>
      </c>
      <c r="BF400" s="1056">
        <f t="shared" ca="1" si="316"/>
        <v>0</v>
      </c>
      <c r="BG400" s="1056">
        <f t="shared" ca="1" si="316"/>
        <v>0</v>
      </c>
      <c r="BH400" s="1056">
        <f t="shared" ca="1" si="316"/>
        <v>0</v>
      </c>
      <c r="BI400" s="1500">
        <f t="shared" ca="1" si="316"/>
        <v>0</v>
      </c>
      <c r="BJ400" s="1058">
        <f t="shared" ca="1" si="316"/>
        <v>0</v>
      </c>
      <c r="BK400" s="1056">
        <f t="shared" si="316"/>
        <v>0</v>
      </c>
      <c r="BL400" s="1056">
        <f t="shared" si="316"/>
        <v>0</v>
      </c>
      <c r="BM400" s="1056">
        <f t="shared" si="316"/>
        <v>0</v>
      </c>
      <c r="BN400" s="1500">
        <f t="shared" si="316"/>
        <v>0</v>
      </c>
      <c r="BO400" s="1056">
        <f t="shared" si="316"/>
        <v>0</v>
      </c>
      <c r="BP400" s="1056">
        <f t="shared" si="316"/>
        <v>0</v>
      </c>
      <c r="BQ400" s="1056">
        <f t="shared" si="316"/>
        <v>0</v>
      </c>
      <c r="BR400" s="1056">
        <f t="shared" si="316"/>
        <v>0</v>
      </c>
      <c r="BS400" s="1500">
        <f t="shared" si="316"/>
        <v>0</v>
      </c>
      <c r="BT400" s="1500">
        <f t="shared" si="316"/>
        <v>0</v>
      </c>
      <c r="BU400" s="1500">
        <f t="shared" si="316"/>
        <v>0</v>
      </c>
      <c r="BV400" s="1500">
        <f t="shared" si="316"/>
        <v>0</v>
      </c>
      <c r="BW400" s="122"/>
    </row>
    <row r="401" spans="1:75" hidden="1" outlineLevel="2" x14ac:dyDescent="0.5">
      <c r="A401" s="752"/>
      <c r="B401" s="513"/>
      <c r="C401" s="401"/>
      <c r="D401" s="401"/>
      <c r="E401" s="401"/>
      <c r="F401" s="401"/>
      <c r="G401" s="118"/>
      <c r="H401" s="118"/>
      <c r="I401" s="118"/>
      <c r="J401" s="118"/>
      <c r="K401" s="401"/>
      <c r="L401" s="118"/>
      <c r="M401" s="118"/>
      <c r="N401" s="118"/>
      <c r="O401" s="118"/>
      <c r="P401" s="401"/>
      <c r="Q401" s="118"/>
      <c r="R401" s="118"/>
      <c r="S401" s="118"/>
      <c r="T401" s="118"/>
      <c r="U401" s="401"/>
      <c r="V401" s="118"/>
      <c r="W401" s="118"/>
      <c r="X401" s="118"/>
      <c r="Y401" s="118"/>
      <c r="Z401" s="401"/>
      <c r="AA401" s="118"/>
      <c r="AB401" s="118"/>
      <c r="AC401" s="118"/>
      <c r="AD401" s="118"/>
      <c r="AE401" s="401"/>
      <c r="AF401" s="118"/>
      <c r="AG401" s="118"/>
      <c r="AH401" s="118"/>
      <c r="AI401" s="118"/>
      <c r="AJ401" s="401"/>
      <c r="AK401" s="118"/>
      <c r="AL401" s="118"/>
      <c r="AM401" s="118"/>
      <c r="AN401" s="118"/>
      <c r="AO401" s="401"/>
      <c r="AP401" s="118"/>
      <c r="AQ401" s="118"/>
      <c r="AR401" s="118"/>
      <c r="AS401" s="118"/>
      <c r="AT401" s="401"/>
      <c r="AU401" s="118"/>
      <c r="AV401" s="118"/>
      <c r="AW401" s="118"/>
      <c r="AX401" s="118"/>
      <c r="AY401" s="401"/>
      <c r="AZ401" s="118"/>
      <c r="BA401" s="118"/>
      <c r="BB401" s="118"/>
      <c r="BC401" s="118"/>
      <c r="BD401" s="401"/>
      <c r="BE401" s="118"/>
      <c r="BF401" s="118"/>
      <c r="BG401" s="118"/>
      <c r="BH401" s="118"/>
      <c r="BI401" s="401"/>
      <c r="BJ401" s="971"/>
      <c r="BK401" s="118"/>
      <c r="BL401" s="118"/>
      <c r="BM401" s="118"/>
      <c r="BN401" s="401"/>
      <c r="BO401" s="118"/>
      <c r="BP401" s="118"/>
      <c r="BQ401" s="118"/>
      <c r="BR401" s="118"/>
      <c r="BS401" s="401"/>
      <c r="BT401" s="401"/>
      <c r="BU401" s="401"/>
      <c r="BV401" s="401"/>
      <c r="BW401" s="122"/>
    </row>
    <row r="402" spans="1:75" hidden="1" outlineLevel="2" x14ac:dyDescent="0.5">
      <c r="A402" s="184" t="s">
        <v>2403</v>
      </c>
      <c r="B402" s="513"/>
      <c r="C402" s="401"/>
      <c r="D402" s="401"/>
      <c r="E402" s="401"/>
      <c r="F402" s="401"/>
      <c r="G402" s="118"/>
      <c r="H402" s="118"/>
      <c r="I402" s="118"/>
      <c r="J402" s="118"/>
      <c r="K402" s="401"/>
      <c r="L402" s="118"/>
      <c r="M402" s="118"/>
      <c r="N402" s="118"/>
      <c r="O402" s="118"/>
      <c r="P402" s="401"/>
      <c r="Q402" s="118"/>
      <c r="R402" s="118"/>
      <c r="S402" s="118"/>
      <c r="T402" s="118"/>
      <c r="U402" s="401"/>
      <c r="V402" s="118"/>
      <c r="W402" s="118"/>
      <c r="X402" s="118"/>
      <c r="Y402" s="118"/>
      <c r="Z402" s="401"/>
      <c r="AA402" s="118"/>
      <c r="AB402" s="118"/>
      <c r="AC402" s="118"/>
      <c r="AD402" s="118"/>
      <c r="AE402" s="401"/>
      <c r="AF402" s="118"/>
      <c r="AG402" s="118"/>
      <c r="AH402" s="118"/>
      <c r="AI402" s="118"/>
      <c r="AJ402" s="401"/>
      <c r="AK402" s="118"/>
      <c r="AL402" s="118"/>
      <c r="AM402" s="118"/>
      <c r="AN402" s="118"/>
      <c r="AO402" s="401"/>
      <c r="AP402" s="118"/>
      <c r="AQ402" s="118"/>
      <c r="AR402" s="118"/>
      <c r="AS402" s="118"/>
      <c r="AT402" s="401">
        <f t="shared" ref="AT402:BV402" si="317">AT399</f>
        <v>3.6389787846098529</v>
      </c>
      <c r="AU402" s="118">
        <f t="shared" si="317"/>
        <v>3.6389787846098529</v>
      </c>
      <c r="AV402" s="118">
        <f t="shared" si="317"/>
        <v>3.6389787846098529</v>
      </c>
      <c r="AW402" s="118">
        <f t="shared" si="317"/>
        <v>3.6389787846098529</v>
      </c>
      <c r="AX402" s="118">
        <f t="shared" si="317"/>
        <v>3.6389787846098529</v>
      </c>
      <c r="AY402" s="401">
        <f t="shared" si="317"/>
        <v>3.6389787846098529</v>
      </c>
      <c r="AZ402" s="118">
        <f t="shared" si="317"/>
        <v>3.6389787846098529</v>
      </c>
      <c r="BA402" s="118">
        <f t="shared" si="317"/>
        <v>3.6389787846098529</v>
      </c>
      <c r="BB402" s="118">
        <f t="shared" si="317"/>
        <v>3.0900155819249671</v>
      </c>
      <c r="BC402" s="118">
        <f t="shared" si="317"/>
        <v>3.0900155819249671</v>
      </c>
      <c r="BD402" s="401">
        <f t="shared" si="317"/>
        <v>3.0900155819249671</v>
      </c>
      <c r="BE402" s="118">
        <f t="shared" si="317"/>
        <v>3.0900155819249671</v>
      </c>
      <c r="BF402" s="118">
        <f t="shared" si="317"/>
        <v>1.8075032961764355</v>
      </c>
      <c r="BG402" s="118">
        <f t="shared" si="317"/>
        <v>1.8075032961764355</v>
      </c>
      <c r="BH402" s="118">
        <f t="shared" si="317"/>
        <v>1.8075032961764355</v>
      </c>
      <c r="BI402" s="401">
        <f t="shared" si="317"/>
        <v>1.8075032961764355</v>
      </c>
      <c r="BJ402" s="971">
        <f t="shared" si="317"/>
        <v>1.8075032961764355</v>
      </c>
      <c r="BK402" s="118">
        <f t="shared" si="317"/>
        <v>1.8075032961764355</v>
      </c>
      <c r="BL402" s="118">
        <f t="shared" si="317"/>
        <v>1.8075032961764355</v>
      </c>
      <c r="BM402" s="118">
        <f t="shared" si="317"/>
        <v>1.8075032961764355</v>
      </c>
      <c r="BN402" s="401">
        <f t="shared" si="317"/>
        <v>1.8075032961764355</v>
      </c>
      <c r="BO402" s="118">
        <f t="shared" si="317"/>
        <v>1.8075032961764355</v>
      </c>
      <c r="BP402" s="118">
        <f t="shared" si="317"/>
        <v>1.8075032961764355</v>
      </c>
      <c r="BQ402" s="118">
        <f t="shared" si="317"/>
        <v>1.8075032961764355</v>
      </c>
      <c r="BR402" s="118">
        <f t="shared" si="317"/>
        <v>0</v>
      </c>
      <c r="BS402" s="401">
        <f t="shared" si="317"/>
        <v>0</v>
      </c>
      <c r="BT402" s="401">
        <f t="shared" si="317"/>
        <v>0</v>
      </c>
      <c r="BU402" s="401">
        <f t="shared" si="317"/>
        <v>0</v>
      </c>
      <c r="BV402" s="401">
        <f t="shared" si="317"/>
        <v>0</v>
      </c>
      <c r="BW402" s="122"/>
    </row>
    <row r="403" spans="1:75" hidden="1" outlineLevel="2" x14ac:dyDescent="0.5">
      <c r="A403" s="869" t="s">
        <v>2404</v>
      </c>
      <c r="B403" s="870"/>
      <c r="C403" s="1506"/>
      <c r="D403" s="1506"/>
      <c r="E403" s="1506"/>
      <c r="F403" s="1506"/>
      <c r="G403" s="1507"/>
      <c r="H403" s="1507"/>
      <c r="I403" s="1507"/>
      <c r="J403" s="1507"/>
      <c r="K403" s="1506"/>
      <c r="L403" s="1507"/>
      <c r="M403" s="1507"/>
      <c r="N403" s="1507"/>
      <c r="O403" s="1507"/>
      <c r="P403" s="1506"/>
      <c r="Q403" s="1507"/>
      <c r="R403" s="1507"/>
      <c r="S403" s="1507"/>
      <c r="T403" s="1507"/>
      <c r="U403" s="1506"/>
      <c r="V403" s="1507"/>
      <c r="W403" s="1507"/>
      <c r="X403" s="1507"/>
      <c r="Y403" s="1507"/>
      <c r="Z403" s="1506"/>
      <c r="AA403" s="1507"/>
      <c r="AB403" s="1507"/>
      <c r="AC403" s="1507"/>
      <c r="AD403" s="1507"/>
      <c r="AE403" s="1506"/>
      <c r="AF403" s="1507"/>
      <c r="AG403" s="1507"/>
      <c r="AH403" s="1507"/>
      <c r="AI403" s="1507"/>
      <c r="AJ403" s="1506"/>
      <c r="AK403" s="1507"/>
      <c r="AL403" s="1507"/>
      <c r="AM403" s="1507"/>
      <c r="AN403" s="1507"/>
      <c r="AO403" s="1506"/>
      <c r="AP403" s="1507"/>
      <c r="AQ403" s="1507"/>
      <c r="AR403" s="1507"/>
      <c r="AS403" s="1507"/>
      <c r="AT403" s="1517">
        <v>787.08</v>
      </c>
      <c r="AU403" s="1071">
        <v>787.08</v>
      </c>
      <c r="AV403" s="1071">
        <v>787.08</v>
      </c>
      <c r="AW403" s="1071">
        <v>787.08</v>
      </c>
      <c r="AX403" s="785">
        <f>AY403</f>
        <v>787.08</v>
      </c>
      <c r="AY403" s="1517">
        <v>787.08</v>
      </c>
      <c r="AZ403" s="1071">
        <v>787.08</v>
      </c>
      <c r="BA403" s="1071">
        <v>787.08</v>
      </c>
      <c r="BB403" s="1071">
        <v>787.08</v>
      </c>
      <c r="BC403" s="785">
        <f>BD403</f>
        <v>787.08</v>
      </c>
      <c r="BD403" s="1517">
        <v>787.08</v>
      </c>
      <c r="BE403" s="1071">
        <v>787.08</v>
      </c>
      <c r="BF403" s="1071">
        <v>787.08</v>
      </c>
      <c r="BG403" s="1071">
        <v>787.08</v>
      </c>
      <c r="BH403" s="785">
        <f>BI403</f>
        <v>787.08</v>
      </c>
      <c r="BI403" s="1517">
        <v>787.08</v>
      </c>
      <c r="BJ403" s="1072">
        <v>787.08</v>
      </c>
      <c r="BK403" s="1507">
        <f t="shared" ref="BK403:BV403" si="318">BJ403</f>
        <v>787.08</v>
      </c>
      <c r="BL403" s="1507">
        <f t="shared" si="318"/>
        <v>787.08</v>
      </c>
      <c r="BM403" s="1507">
        <f t="shared" si="318"/>
        <v>787.08</v>
      </c>
      <c r="BN403" s="1506">
        <f t="shared" si="318"/>
        <v>787.08</v>
      </c>
      <c r="BO403" s="1507">
        <f t="shared" si="318"/>
        <v>787.08</v>
      </c>
      <c r="BP403" s="1507">
        <f t="shared" si="318"/>
        <v>787.08</v>
      </c>
      <c r="BQ403" s="1507">
        <f t="shared" si="318"/>
        <v>787.08</v>
      </c>
      <c r="BR403" s="1507">
        <f t="shared" si="318"/>
        <v>787.08</v>
      </c>
      <c r="BS403" s="1506">
        <f t="shared" si="318"/>
        <v>787.08</v>
      </c>
      <c r="BT403" s="1506">
        <f t="shared" si="318"/>
        <v>787.08</v>
      </c>
      <c r="BU403" s="1506">
        <f t="shared" si="318"/>
        <v>787.08</v>
      </c>
      <c r="BV403" s="1506">
        <f t="shared" si="318"/>
        <v>787.08</v>
      </c>
      <c r="BW403" s="122"/>
    </row>
    <row r="404" spans="1:75" hidden="1" outlineLevel="2" x14ac:dyDescent="0.5">
      <c r="A404" s="1498" t="s">
        <v>2405</v>
      </c>
      <c r="B404" s="1499"/>
      <c r="C404" s="1500"/>
      <c r="D404" s="1500"/>
      <c r="E404" s="1500"/>
      <c r="F404" s="1500"/>
      <c r="G404" s="1056"/>
      <c r="H404" s="1056"/>
      <c r="I404" s="1056"/>
      <c r="J404" s="1056"/>
      <c r="K404" s="1500"/>
      <c r="L404" s="1056"/>
      <c r="M404" s="1056"/>
      <c r="N404" s="1056"/>
      <c r="O404" s="1056"/>
      <c r="P404" s="1500"/>
      <c r="Q404" s="1056"/>
      <c r="R404" s="1056"/>
      <c r="S404" s="1056"/>
      <c r="T404" s="1056"/>
      <c r="U404" s="1500"/>
      <c r="V404" s="1056"/>
      <c r="W404" s="1056"/>
      <c r="X404" s="1056"/>
      <c r="Y404" s="1056"/>
      <c r="Z404" s="1500"/>
      <c r="AA404" s="1056"/>
      <c r="AB404" s="1056"/>
      <c r="AC404" s="1056"/>
      <c r="AD404" s="1056"/>
      <c r="AE404" s="1500"/>
      <c r="AF404" s="1056"/>
      <c r="AG404" s="1056"/>
      <c r="AH404" s="1056"/>
      <c r="AI404" s="1056"/>
      <c r="AJ404" s="1500"/>
      <c r="AK404" s="1056"/>
      <c r="AL404" s="1056"/>
      <c r="AM404" s="1056"/>
      <c r="AN404" s="1056"/>
      <c r="AO404" s="1500"/>
      <c r="AP404" s="1056"/>
      <c r="AQ404" s="1056"/>
      <c r="AR404" s="1056"/>
      <c r="AS404" s="1056"/>
      <c r="AT404" s="1500">
        <f t="shared" ref="AT404:BV404" ca="1" si="319">IFERROR(IF(AT280&gt;AT403,-AT400*AT403/AT280*AT402/AT399,-AT400),0)</f>
        <v>0</v>
      </c>
      <c r="AU404" s="1056">
        <f t="shared" ca="1" si="319"/>
        <v>0</v>
      </c>
      <c r="AV404" s="1056">
        <f t="shared" ca="1" si="319"/>
        <v>0</v>
      </c>
      <c r="AW404" s="1056">
        <f t="shared" ca="1" si="319"/>
        <v>0</v>
      </c>
      <c r="AX404" s="1056">
        <f t="shared" ca="1" si="319"/>
        <v>0</v>
      </c>
      <c r="AY404" s="1500">
        <f t="shared" ca="1" si="319"/>
        <v>0</v>
      </c>
      <c r="AZ404" s="1056">
        <f t="shared" ca="1" si="319"/>
        <v>0</v>
      </c>
      <c r="BA404" s="1056">
        <f t="shared" ca="1" si="319"/>
        <v>0</v>
      </c>
      <c r="BB404" s="1056">
        <f t="shared" ca="1" si="319"/>
        <v>0</v>
      </c>
      <c r="BC404" s="1056">
        <f t="shared" ca="1" si="319"/>
        <v>0</v>
      </c>
      <c r="BD404" s="1500">
        <f t="shared" ca="1" si="319"/>
        <v>0</v>
      </c>
      <c r="BE404" s="1056">
        <f t="shared" ca="1" si="319"/>
        <v>0</v>
      </c>
      <c r="BF404" s="1056">
        <f t="shared" ca="1" si="319"/>
        <v>0</v>
      </c>
      <c r="BG404" s="1056">
        <f t="shared" ca="1" si="319"/>
        <v>0</v>
      </c>
      <c r="BH404" s="1056">
        <f t="shared" ca="1" si="319"/>
        <v>0</v>
      </c>
      <c r="BI404" s="1500">
        <f t="shared" ca="1" si="319"/>
        <v>0</v>
      </c>
      <c r="BJ404" s="1058">
        <f t="shared" ca="1" si="319"/>
        <v>0</v>
      </c>
      <c r="BK404" s="1056">
        <f t="shared" si="319"/>
        <v>0</v>
      </c>
      <c r="BL404" s="1056">
        <f t="shared" si="319"/>
        <v>0</v>
      </c>
      <c r="BM404" s="1056">
        <f t="shared" si="319"/>
        <v>0</v>
      </c>
      <c r="BN404" s="1500">
        <f t="shared" si="319"/>
        <v>0</v>
      </c>
      <c r="BO404" s="1056">
        <f t="shared" si="319"/>
        <v>0</v>
      </c>
      <c r="BP404" s="1056">
        <f t="shared" si="319"/>
        <v>0</v>
      </c>
      <c r="BQ404" s="1056">
        <f t="shared" si="319"/>
        <v>0</v>
      </c>
      <c r="BR404" s="1056">
        <f t="shared" si="319"/>
        <v>0</v>
      </c>
      <c r="BS404" s="1500">
        <f t="shared" si="319"/>
        <v>0</v>
      </c>
      <c r="BT404" s="1500">
        <f t="shared" si="319"/>
        <v>0</v>
      </c>
      <c r="BU404" s="1500">
        <f t="shared" si="319"/>
        <v>0</v>
      </c>
      <c r="BV404" s="1500">
        <f t="shared" si="319"/>
        <v>0</v>
      </c>
      <c r="BW404" s="122"/>
    </row>
    <row r="405" spans="1:75" hidden="1" outlineLevel="2" x14ac:dyDescent="0.5">
      <c r="A405" s="184" t="s">
        <v>2384</v>
      </c>
      <c r="B405" s="513"/>
      <c r="C405" s="401"/>
      <c r="D405" s="401"/>
      <c r="E405" s="401"/>
      <c r="F405" s="401"/>
      <c r="G405" s="118"/>
      <c r="H405" s="118"/>
      <c r="I405" s="118"/>
      <c r="J405" s="118"/>
      <c r="K405" s="401"/>
      <c r="L405" s="118"/>
      <c r="M405" s="118"/>
      <c r="N405" s="118"/>
      <c r="O405" s="118"/>
      <c r="P405" s="401"/>
      <c r="Q405" s="118"/>
      <c r="R405" s="118"/>
      <c r="S405" s="118"/>
      <c r="T405" s="118"/>
      <c r="U405" s="401"/>
      <c r="V405" s="118"/>
      <c r="W405" s="118"/>
      <c r="X405" s="118"/>
      <c r="Y405" s="118"/>
      <c r="Z405" s="401"/>
      <c r="AA405" s="118"/>
      <c r="AB405" s="118"/>
      <c r="AC405" s="118"/>
      <c r="AD405" s="118"/>
      <c r="AE405" s="401"/>
      <c r="AF405" s="118"/>
      <c r="AG405" s="118"/>
      <c r="AH405" s="118"/>
      <c r="AI405" s="118"/>
      <c r="AJ405" s="401"/>
      <c r="AK405" s="118"/>
      <c r="AL405" s="118"/>
      <c r="AM405" s="118"/>
      <c r="AN405" s="118"/>
      <c r="AO405" s="401"/>
      <c r="AP405" s="118"/>
      <c r="AQ405" s="118"/>
      <c r="AR405" s="118"/>
      <c r="AS405" s="118"/>
      <c r="AT405" s="401">
        <f t="shared" ref="AT405:BV405" ca="1" si="320">IF(AT404&lt;0,AT402*AT398,0)</f>
        <v>0</v>
      </c>
      <c r="AU405" s="118">
        <f t="shared" ca="1" si="320"/>
        <v>0</v>
      </c>
      <c r="AV405" s="118">
        <f t="shared" ca="1" si="320"/>
        <v>0</v>
      </c>
      <c r="AW405" s="118">
        <f t="shared" ca="1" si="320"/>
        <v>0</v>
      </c>
      <c r="AX405" s="118">
        <f t="shared" ca="1" si="320"/>
        <v>0</v>
      </c>
      <c r="AY405" s="401">
        <f t="shared" ca="1" si="320"/>
        <v>0</v>
      </c>
      <c r="AZ405" s="118">
        <f t="shared" ca="1" si="320"/>
        <v>0</v>
      </c>
      <c r="BA405" s="118">
        <f t="shared" ca="1" si="320"/>
        <v>0</v>
      </c>
      <c r="BB405" s="118">
        <f t="shared" ca="1" si="320"/>
        <v>0</v>
      </c>
      <c r="BC405" s="118">
        <f t="shared" ca="1" si="320"/>
        <v>0</v>
      </c>
      <c r="BD405" s="401">
        <f t="shared" ca="1" si="320"/>
        <v>0</v>
      </c>
      <c r="BE405" s="118">
        <f t="shared" ca="1" si="320"/>
        <v>0</v>
      </c>
      <c r="BF405" s="118">
        <f t="shared" ca="1" si="320"/>
        <v>0</v>
      </c>
      <c r="BG405" s="118">
        <f t="shared" ca="1" si="320"/>
        <v>0</v>
      </c>
      <c r="BH405" s="118">
        <f t="shared" ca="1" si="320"/>
        <v>0</v>
      </c>
      <c r="BI405" s="401">
        <f t="shared" ca="1" si="320"/>
        <v>0</v>
      </c>
      <c r="BJ405" s="971">
        <f t="shared" ca="1" si="320"/>
        <v>0</v>
      </c>
      <c r="BK405" s="118">
        <f t="shared" si="320"/>
        <v>0</v>
      </c>
      <c r="BL405" s="118">
        <f t="shared" si="320"/>
        <v>0</v>
      </c>
      <c r="BM405" s="118">
        <f t="shared" si="320"/>
        <v>0</v>
      </c>
      <c r="BN405" s="401">
        <f t="shared" si="320"/>
        <v>0</v>
      </c>
      <c r="BO405" s="118">
        <f t="shared" si="320"/>
        <v>0</v>
      </c>
      <c r="BP405" s="118">
        <f t="shared" si="320"/>
        <v>0</v>
      </c>
      <c r="BQ405" s="118">
        <f t="shared" si="320"/>
        <v>0</v>
      </c>
      <c r="BR405" s="118">
        <f t="shared" si="320"/>
        <v>0</v>
      </c>
      <c r="BS405" s="401">
        <f t="shared" si="320"/>
        <v>0</v>
      </c>
      <c r="BT405" s="401">
        <f t="shared" si="320"/>
        <v>0</v>
      </c>
      <c r="BU405" s="401">
        <f t="shared" si="320"/>
        <v>0</v>
      </c>
      <c r="BV405" s="401">
        <f t="shared" si="320"/>
        <v>0</v>
      </c>
      <c r="BW405" s="122"/>
    </row>
    <row r="406" spans="1:75" hidden="1" outlineLevel="2" x14ac:dyDescent="0.5">
      <c r="A406" s="184"/>
      <c r="B406" s="513"/>
      <c r="C406" s="401"/>
      <c r="D406" s="401"/>
      <c r="E406" s="401"/>
      <c r="F406" s="401"/>
      <c r="G406" s="118"/>
      <c r="H406" s="118"/>
      <c r="I406" s="118"/>
      <c r="J406" s="118"/>
      <c r="K406" s="401"/>
      <c r="L406" s="118"/>
      <c r="M406" s="118"/>
      <c r="N406" s="118"/>
      <c r="O406" s="118"/>
      <c r="P406" s="401"/>
      <c r="Q406" s="118"/>
      <c r="R406" s="118"/>
      <c r="S406" s="118"/>
      <c r="T406" s="118"/>
      <c r="U406" s="401"/>
      <c r="V406" s="118"/>
      <c r="W406" s="118"/>
      <c r="X406" s="118"/>
      <c r="Y406" s="118"/>
      <c r="Z406" s="401"/>
      <c r="AA406" s="118"/>
      <c r="AB406" s="118"/>
      <c r="AC406" s="118"/>
      <c r="AD406" s="118"/>
      <c r="AE406" s="401"/>
      <c r="AF406" s="118"/>
      <c r="AG406" s="118"/>
      <c r="AH406" s="118"/>
      <c r="AI406" s="118"/>
      <c r="AJ406" s="401"/>
      <c r="AK406" s="118"/>
      <c r="AL406" s="118"/>
      <c r="AM406" s="118"/>
      <c r="AN406" s="118"/>
      <c r="AO406" s="401"/>
      <c r="AP406" s="118"/>
      <c r="AQ406" s="118"/>
      <c r="AR406" s="118"/>
      <c r="AS406" s="118"/>
      <c r="AT406" s="401"/>
      <c r="AU406" s="118"/>
      <c r="AV406" s="118"/>
      <c r="AW406" s="118"/>
      <c r="AX406" s="118"/>
      <c r="AY406" s="401"/>
      <c r="AZ406" s="118"/>
      <c r="BA406" s="118"/>
      <c r="BB406" s="118"/>
      <c r="BC406" s="118"/>
      <c r="BD406" s="401"/>
      <c r="BE406" s="118"/>
      <c r="BF406" s="118"/>
      <c r="BG406" s="118"/>
      <c r="BH406" s="118"/>
      <c r="BI406" s="401"/>
      <c r="BJ406" s="971"/>
      <c r="BK406" s="118"/>
      <c r="BL406" s="118"/>
      <c r="BM406" s="118"/>
      <c r="BN406" s="401"/>
      <c r="BO406" s="118"/>
      <c r="BP406" s="118"/>
      <c r="BQ406" s="118"/>
      <c r="BR406" s="118"/>
      <c r="BS406" s="401"/>
      <c r="BT406" s="401"/>
      <c r="BU406" s="401"/>
      <c r="BV406" s="401"/>
      <c r="BW406" s="122"/>
    </row>
    <row r="407" spans="1:75" hidden="1" outlineLevel="2" x14ac:dyDescent="0.5">
      <c r="A407" s="752" t="s">
        <v>2406</v>
      </c>
      <c r="B407" s="513"/>
      <c r="C407" s="401"/>
      <c r="D407" s="401"/>
      <c r="E407" s="401"/>
      <c r="F407" s="401"/>
      <c r="G407" s="118"/>
      <c r="H407" s="118"/>
      <c r="I407" s="118"/>
      <c r="J407" s="118"/>
      <c r="K407" s="401"/>
      <c r="L407" s="118"/>
      <c r="M407" s="118"/>
      <c r="N407" s="118"/>
      <c r="O407" s="118"/>
      <c r="P407" s="401"/>
      <c r="Q407" s="118"/>
      <c r="R407" s="118"/>
      <c r="S407" s="118"/>
      <c r="T407" s="118"/>
      <c r="U407" s="401"/>
      <c r="V407" s="118"/>
      <c r="W407" s="118"/>
      <c r="X407" s="118"/>
      <c r="Y407" s="118"/>
      <c r="Z407" s="401"/>
      <c r="AA407" s="118"/>
      <c r="AB407" s="118"/>
      <c r="AC407" s="118"/>
      <c r="AD407" s="118"/>
      <c r="AE407" s="401"/>
      <c r="AF407" s="118"/>
      <c r="AG407" s="118"/>
      <c r="AH407" s="118"/>
      <c r="AI407" s="118"/>
      <c r="AJ407" s="401"/>
      <c r="AK407" s="118"/>
      <c r="AL407" s="118"/>
      <c r="AM407" s="118"/>
      <c r="AN407" s="118"/>
      <c r="AO407" s="401"/>
      <c r="AP407" s="118"/>
      <c r="AQ407" s="118"/>
      <c r="AR407" s="118"/>
      <c r="AS407" s="118"/>
      <c r="AT407" s="401"/>
      <c r="AU407" s="118"/>
      <c r="AV407" s="118"/>
      <c r="AW407" s="118"/>
      <c r="AX407" s="118"/>
      <c r="AY407" s="401"/>
      <c r="AZ407" s="118"/>
      <c r="BA407" s="118"/>
      <c r="BB407" s="118"/>
      <c r="BC407" s="118"/>
      <c r="BD407" s="401"/>
      <c r="BE407" s="118"/>
      <c r="BF407" s="118"/>
      <c r="BG407" s="118"/>
      <c r="BH407" s="118"/>
      <c r="BI407" s="401"/>
      <c r="BJ407" s="971"/>
      <c r="BK407" s="118">
        <f>IFERROR(IF(AND(BK395=0,BK280&gt;BJ398,BK280&gt;BJ403),BJ399-BJ399*BJ403/BK280*BJ402/BJ399,0),0)</f>
        <v>0</v>
      </c>
      <c r="BL407" s="118">
        <f>IFERROR(IF(AND(BL395=0,BL280&gt;BK398,BL280&gt;BK403),BK399-BK399*BK403/BL280*BK402/BK399,0),0)</f>
        <v>0</v>
      </c>
      <c r="BM407" s="118">
        <f>IFERROR(IF(AND(BM395=0,BM280&gt;BL398,BM280&gt;BL403),BL399-BL399*BL403/BM280*BL402/BL399,0),0)</f>
        <v>0</v>
      </c>
      <c r="BN407" s="401">
        <f>SUM(BJ407,BK407,BL407,BM407)</f>
        <v>0</v>
      </c>
      <c r="BO407" s="118">
        <f>IFERROR(IF(AND(BO395=0,BO280&gt;BN398,BO280&gt;BN403),BN399-BN399*BN403/BO280*BN402/BN399,0),0)</f>
        <v>0</v>
      </c>
      <c r="BP407" s="118">
        <f>IFERROR(IF(AND(BP395=0,BP280&gt;BO398,BP280&gt;BO403),BO399-BO399*BO403/BP280*BO402/BO399,0),0)</f>
        <v>0</v>
      </c>
      <c r="BQ407" s="118">
        <f>IFERROR(IF(AND(BQ395=0,BQ280&gt;BP398,BQ280&gt;BP403),BP399-BP399*BP403/BQ280*BP402/BP399,0),0)</f>
        <v>0</v>
      </c>
      <c r="BR407" s="118">
        <f>IFERROR(IF(AND(BR395=0,BR280&gt;BQ398,BR280&gt;BQ403),BQ399-BQ399*BQ403/BR280*BQ402/BQ399,0),0)</f>
        <v>0</v>
      </c>
      <c r="BS407" s="401">
        <f>SUM(BO407,BP407,BQ407,BR407)</f>
        <v>0</v>
      </c>
      <c r="BT407" s="401">
        <f>IFERROR(IF(AND(BT395=0,BT280&gt;BS398,BT280&gt;BS403),BS399-BS399*BS403/BT280*BS402/BS399,0),0)</f>
        <v>0</v>
      </c>
      <c r="BU407" s="401">
        <f>IFERROR(IF(AND(BU395=0,BU280&gt;BT398,BU280&gt;BT403),BT399-BT399*BT403/BU280*BT402/BT399,0),0)</f>
        <v>0</v>
      </c>
      <c r="BV407" s="401">
        <f>IFERROR(IF(AND(BV395=0,BV280&gt;BU398,BV280&gt;BU403),BU399-BU399*BU403/BV280*BU402/BU399,0),0)</f>
        <v>0</v>
      </c>
      <c r="BW407" s="122"/>
    </row>
    <row r="408" spans="1:75" hidden="1" outlineLevel="2" x14ac:dyDescent="0.5">
      <c r="A408" s="752" t="s">
        <v>2407</v>
      </c>
      <c r="B408" s="513"/>
      <c r="C408" s="401"/>
      <c r="D408" s="401"/>
      <c r="E408" s="401"/>
      <c r="F408" s="401"/>
      <c r="G408" s="118"/>
      <c r="H408" s="118"/>
      <c r="I408" s="118"/>
      <c r="J408" s="118"/>
      <c r="K408" s="401"/>
      <c r="L408" s="118"/>
      <c r="M408" s="118"/>
      <c r="N408" s="118"/>
      <c r="O408" s="118"/>
      <c r="P408" s="401"/>
      <c r="Q408" s="118"/>
      <c r="R408" s="118"/>
      <c r="S408" s="118"/>
      <c r="T408" s="118"/>
      <c r="U408" s="401"/>
      <c r="V408" s="118"/>
      <c r="W408" s="118"/>
      <c r="X408" s="118"/>
      <c r="Y408" s="118"/>
      <c r="Z408" s="401"/>
      <c r="AA408" s="118"/>
      <c r="AB408" s="118"/>
      <c r="AC408" s="118"/>
      <c r="AD408" s="118"/>
      <c r="AE408" s="401"/>
      <c r="AF408" s="118"/>
      <c r="AG408" s="118"/>
      <c r="AH408" s="118"/>
      <c r="AI408" s="118"/>
      <c r="AJ408" s="401"/>
      <c r="AK408" s="118"/>
      <c r="AL408" s="118"/>
      <c r="AM408" s="118"/>
      <c r="AN408" s="118"/>
      <c r="AO408" s="401"/>
      <c r="AP408" s="118"/>
      <c r="AQ408" s="118"/>
      <c r="AR408" s="118"/>
      <c r="AS408" s="118"/>
      <c r="AT408" s="401"/>
      <c r="AU408" s="118"/>
      <c r="AV408" s="118"/>
      <c r="AW408" s="118"/>
      <c r="AX408" s="118"/>
      <c r="AY408" s="401"/>
      <c r="AZ408" s="118"/>
      <c r="BA408" s="118"/>
      <c r="BB408" s="118"/>
      <c r="BC408" s="118"/>
      <c r="BD408" s="401"/>
      <c r="BE408" s="118"/>
      <c r="BF408" s="118"/>
      <c r="BG408" s="118"/>
      <c r="BH408" s="118"/>
      <c r="BI408" s="401"/>
      <c r="BJ408" s="971"/>
      <c r="BK408" s="118">
        <f>IF(AND(BK395=0,BK280&gt;BJ398),-BJ398*BJ402,0)</f>
        <v>0</v>
      </c>
      <c r="BL408" s="118">
        <f>IF(AND(BL395=0,BL280&gt;BK398),-BK398*BK402,0)</f>
        <v>0</v>
      </c>
      <c r="BM408" s="118">
        <f>IF(AND(BM395=0,BM280&gt;BL398),-BL398*BL402,0)</f>
        <v>0</v>
      </c>
      <c r="BN408" s="401">
        <f>SUM(BJ408,BK408,BL408,BM408)</f>
        <v>0</v>
      </c>
      <c r="BO408" s="118">
        <f>IF(AND(BO395=0,BO280&gt;BN398),-BN398*BN402,0)</f>
        <v>0</v>
      </c>
      <c r="BP408" s="118">
        <f>IF(AND(BP395=0,BP280&gt;BO398),-BO398*BO402,0)</f>
        <v>0</v>
      </c>
      <c r="BQ408" s="118">
        <f>IF(AND(BQ395=0,BQ280&gt;BP398),-BP398*BP402,0)</f>
        <v>0</v>
      </c>
      <c r="BR408" s="118">
        <f>IF(AND(BR395=0,BR280&gt;BQ398),-BQ398*BQ402,0)</f>
        <v>0</v>
      </c>
      <c r="BS408" s="401">
        <f>SUM(BO408,BP408,BQ408,BR408)</f>
        <v>0</v>
      </c>
      <c r="BT408" s="401">
        <f>IF(AND(BT395=0,BT280&gt;BS398),-BS398*BS402,0)</f>
        <v>0</v>
      </c>
      <c r="BU408" s="401">
        <f>IF(AND(BU395=0,BU280&gt;BT398),-BT398*BT402,0)</f>
        <v>0</v>
      </c>
      <c r="BV408" s="401">
        <f>IF(AND(BV395=0,BV280&gt;BU398),-BU398*BU402,0)</f>
        <v>0</v>
      </c>
      <c r="BW408" s="122"/>
    </row>
    <row r="409" spans="1:75" hidden="1" outlineLevel="2" x14ac:dyDescent="0.5">
      <c r="A409" s="752" t="s">
        <v>2408</v>
      </c>
      <c r="B409" s="513"/>
      <c r="C409" s="401"/>
      <c r="D409" s="401"/>
      <c r="E409" s="401"/>
      <c r="F409" s="401"/>
      <c r="G409" s="118"/>
      <c r="H409" s="118"/>
      <c r="I409" s="118"/>
      <c r="J409" s="118"/>
      <c r="K409" s="401"/>
      <c r="L409" s="118"/>
      <c r="M409" s="118"/>
      <c r="N409" s="118"/>
      <c r="O409" s="118"/>
      <c r="P409" s="401"/>
      <c r="Q409" s="118"/>
      <c r="R409" s="118"/>
      <c r="S409" s="118"/>
      <c r="T409" s="118"/>
      <c r="U409" s="401"/>
      <c r="V409" s="118"/>
      <c r="W409" s="118"/>
      <c r="X409" s="118"/>
      <c r="Y409" s="118"/>
      <c r="Z409" s="401"/>
      <c r="AA409" s="118"/>
      <c r="AB409" s="118"/>
      <c r="AC409" s="118"/>
      <c r="AD409" s="118"/>
      <c r="AE409" s="401"/>
      <c r="AF409" s="118"/>
      <c r="AG409" s="118"/>
      <c r="AH409" s="118"/>
      <c r="AI409" s="118"/>
      <c r="AJ409" s="401"/>
      <c r="AK409" s="118"/>
      <c r="AL409" s="118"/>
      <c r="AM409" s="118"/>
      <c r="AN409" s="118"/>
      <c r="AO409" s="401"/>
      <c r="AP409" s="118"/>
      <c r="AQ409" s="118"/>
      <c r="AR409" s="118"/>
      <c r="AS409" s="118"/>
      <c r="AT409" s="401"/>
      <c r="AU409" s="118"/>
      <c r="AV409" s="118"/>
      <c r="AW409" s="118"/>
      <c r="AX409" s="118"/>
      <c r="AY409" s="401"/>
      <c r="AZ409" s="118"/>
      <c r="BA409" s="118"/>
      <c r="BB409" s="118"/>
      <c r="BC409" s="118"/>
      <c r="BD409" s="401"/>
      <c r="BE409" s="118"/>
      <c r="BF409" s="118"/>
      <c r="BG409" s="118"/>
      <c r="BH409" s="118"/>
      <c r="BI409" s="401"/>
      <c r="BJ409" s="971"/>
      <c r="BK409" s="118">
        <f>IF(AND(BK395=0,BK280&lt;=BJ398),-BJ395,0)</f>
        <v>0</v>
      </c>
      <c r="BL409" s="118">
        <f>IF(AND(BL395=0,BL280&lt;=BK398),-BK395,0)</f>
        <v>0</v>
      </c>
      <c r="BM409" s="118">
        <f>IF(AND(BM395=0,BM280&lt;=BL398),-BL395,0)</f>
        <v>0</v>
      </c>
      <c r="BN409" s="401">
        <f>SUM(BJ409,BK409,BL409,BM409)</f>
        <v>0</v>
      </c>
      <c r="BO409" s="118">
        <f>IF(AND(BO395=0,BO280&lt;=BN398),-BN395,0)</f>
        <v>0</v>
      </c>
      <c r="BP409" s="118">
        <f>IF(AND(BP395=0,BP280&lt;=BO398),-BO395,0)</f>
        <v>0</v>
      </c>
      <c r="BQ409" s="118">
        <f>IF(AND(BQ395=0,BQ280&lt;=BP398),-BP395,0)</f>
        <v>0</v>
      </c>
      <c r="BR409" s="118">
        <f>IF(AND(BR395=0,BR280&lt;=BQ398),-BQ395,0)</f>
        <v>-754</v>
      </c>
      <c r="BS409" s="401">
        <f>SUM(BO409,BP409,BQ409,BR409)</f>
        <v>-754</v>
      </c>
      <c r="BT409" s="401">
        <f>IF(AND(BT395=0,BT280&lt;=BS398),-BS395,0)</f>
        <v>0</v>
      </c>
      <c r="BU409" s="401">
        <f>IF(AND(BU395=0,BU280&lt;=BT398),-BT395,0)</f>
        <v>0</v>
      </c>
      <c r="BV409" s="401">
        <f>IF(AND(BV395=0,BV280&lt;=BU398),-BU395,0)</f>
        <v>0</v>
      </c>
      <c r="BW409" s="122"/>
    </row>
    <row r="410" spans="1:75" hidden="1" outlineLevel="2" x14ac:dyDescent="0.5">
      <c r="A410" s="184"/>
      <c r="B410" s="513"/>
      <c r="C410" s="401"/>
      <c r="D410" s="401"/>
      <c r="E410" s="401"/>
      <c r="F410" s="401"/>
      <c r="G410" s="118"/>
      <c r="H410" s="118"/>
      <c r="I410" s="118"/>
      <c r="J410" s="118"/>
      <c r="K410" s="401"/>
      <c r="L410" s="118"/>
      <c r="M410" s="118"/>
      <c r="N410" s="118"/>
      <c r="O410" s="118"/>
      <c r="P410" s="401"/>
      <c r="Q410" s="118"/>
      <c r="R410" s="118"/>
      <c r="S410" s="118"/>
      <c r="T410" s="118"/>
      <c r="U410" s="401"/>
      <c r="V410" s="118"/>
      <c r="W410" s="118"/>
      <c r="X410" s="118"/>
      <c r="Y410" s="118"/>
      <c r="Z410" s="401"/>
      <c r="AA410" s="118"/>
      <c r="AB410" s="118"/>
      <c r="AC410" s="118"/>
      <c r="AD410" s="118"/>
      <c r="AE410" s="401"/>
      <c r="AF410" s="118"/>
      <c r="AG410" s="118"/>
      <c r="AH410" s="118"/>
      <c r="AI410" s="118"/>
      <c r="AJ410" s="401"/>
      <c r="AK410" s="118"/>
      <c r="AL410" s="118"/>
      <c r="AM410" s="118"/>
      <c r="AN410" s="118"/>
      <c r="AO410" s="401"/>
      <c r="AP410" s="118"/>
      <c r="AQ410" s="118"/>
      <c r="AR410" s="118"/>
      <c r="AS410" s="118"/>
      <c r="AT410" s="401"/>
      <c r="AU410" s="118"/>
      <c r="AV410" s="118"/>
      <c r="AW410" s="118"/>
      <c r="AX410" s="118"/>
      <c r="AY410" s="401"/>
      <c r="AZ410" s="118"/>
      <c r="BA410" s="118"/>
      <c r="BB410" s="118"/>
      <c r="BC410" s="118"/>
      <c r="BD410" s="401"/>
      <c r="BE410" s="118"/>
      <c r="BF410" s="118"/>
      <c r="BG410" s="118"/>
      <c r="BH410" s="118"/>
      <c r="BI410" s="401"/>
      <c r="BJ410" s="971"/>
      <c r="BK410" s="118"/>
      <c r="BL410" s="118"/>
      <c r="BM410" s="118"/>
      <c r="BN410" s="401"/>
      <c r="BO410" s="118"/>
      <c r="BP410" s="118"/>
      <c r="BQ410" s="118"/>
      <c r="BR410" s="118"/>
      <c r="BS410" s="401"/>
      <c r="BT410" s="401"/>
      <c r="BU410" s="401"/>
      <c r="BV410" s="401"/>
      <c r="BW410" s="122"/>
    </row>
    <row r="411" spans="1:75" hidden="1" outlineLevel="2" x14ac:dyDescent="0.5">
      <c r="A411" s="184" t="s">
        <v>2409</v>
      </c>
      <c r="B411" s="513"/>
      <c r="C411" s="779"/>
      <c r="D411" s="779"/>
      <c r="E411" s="779"/>
      <c r="F411" s="779"/>
      <c r="G411" s="780"/>
      <c r="H411" s="780"/>
      <c r="I411" s="780"/>
      <c r="J411" s="780"/>
      <c r="K411" s="779"/>
      <c r="L411" s="780"/>
      <c r="M411" s="780"/>
      <c r="N411" s="780"/>
      <c r="O411" s="780"/>
      <c r="P411" s="779"/>
      <c r="Q411" s="780"/>
      <c r="R411" s="780"/>
      <c r="S411" s="780"/>
      <c r="T411" s="780"/>
      <c r="U411" s="779"/>
      <c r="V411" s="780"/>
      <c r="W411" s="780"/>
      <c r="X411" s="780"/>
      <c r="Y411" s="780"/>
      <c r="Z411" s="779"/>
      <c r="AA411" s="780"/>
      <c r="AB411" s="780"/>
      <c r="AC411" s="780"/>
      <c r="AD411" s="780"/>
      <c r="AE411" s="779"/>
      <c r="AF411" s="780"/>
      <c r="AG411" s="780"/>
      <c r="AH411" s="780"/>
      <c r="AI411" s="780"/>
      <c r="AJ411" s="779"/>
      <c r="AK411" s="780"/>
      <c r="AL411" s="780"/>
      <c r="AM411" s="780"/>
      <c r="AN411" s="780"/>
      <c r="AO411" s="818">
        <v>46249</v>
      </c>
      <c r="AP411" s="780"/>
      <c r="AQ411" s="780"/>
      <c r="AR411" s="780"/>
      <c r="AS411" s="780"/>
      <c r="AT411" s="779">
        <f>AO411</f>
        <v>46249</v>
      </c>
      <c r="AU411" s="780">
        <f t="shared" ref="AU411:BV411" si="321">AT411</f>
        <v>46249</v>
      </c>
      <c r="AV411" s="780">
        <f t="shared" si="321"/>
        <v>46249</v>
      </c>
      <c r="AW411" s="780">
        <f t="shared" si="321"/>
        <v>46249</v>
      </c>
      <c r="AX411" s="780">
        <f t="shared" si="321"/>
        <v>46249</v>
      </c>
      <c r="AY411" s="779">
        <f t="shared" si="321"/>
        <v>46249</v>
      </c>
      <c r="AZ411" s="780">
        <f t="shared" si="321"/>
        <v>46249</v>
      </c>
      <c r="BA411" s="780">
        <f t="shared" si="321"/>
        <v>46249</v>
      </c>
      <c r="BB411" s="780">
        <f t="shared" si="321"/>
        <v>46249</v>
      </c>
      <c r="BC411" s="780">
        <f t="shared" si="321"/>
        <v>46249</v>
      </c>
      <c r="BD411" s="779">
        <f t="shared" si="321"/>
        <v>46249</v>
      </c>
      <c r="BE411" s="780">
        <f t="shared" si="321"/>
        <v>46249</v>
      </c>
      <c r="BF411" s="780">
        <f t="shared" si="321"/>
        <v>46249</v>
      </c>
      <c r="BG411" s="780">
        <f t="shared" si="321"/>
        <v>46249</v>
      </c>
      <c r="BH411" s="780">
        <f t="shared" si="321"/>
        <v>46249</v>
      </c>
      <c r="BI411" s="779">
        <f t="shared" si="321"/>
        <v>46249</v>
      </c>
      <c r="BJ411" s="1316">
        <f t="shared" si="321"/>
        <v>46249</v>
      </c>
      <c r="BK411" s="780">
        <f t="shared" si="321"/>
        <v>46249</v>
      </c>
      <c r="BL411" s="780">
        <f t="shared" si="321"/>
        <v>46249</v>
      </c>
      <c r="BM411" s="780">
        <f t="shared" si="321"/>
        <v>46249</v>
      </c>
      <c r="BN411" s="779">
        <f t="shared" si="321"/>
        <v>46249</v>
      </c>
      <c r="BO411" s="780">
        <f t="shared" si="321"/>
        <v>46249</v>
      </c>
      <c r="BP411" s="780">
        <f t="shared" si="321"/>
        <v>46249</v>
      </c>
      <c r="BQ411" s="780">
        <f t="shared" si="321"/>
        <v>46249</v>
      </c>
      <c r="BR411" s="780">
        <f t="shared" si="321"/>
        <v>46249</v>
      </c>
      <c r="BS411" s="779">
        <f t="shared" si="321"/>
        <v>46249</v>
      </c>
      <c r="BT411" s="779">
        <f t="shared" si="321"/>
        <v>46249</v>
      </c>
      <c r="BU411" s="779">
        <f t="shared" si="321"/>
        <v>46249</v>
      </c>
      <c r="BV411" s="779">
        <f t="shared" si="321"/>
        <v>46249</v>
      </c>
      <c r="BW411" s="122"/>
    </row>
    <row r="412" spans="1:75" hidden="1" outlineLevel="2" x14ac:dyDescent="0.5">
      <c r="A412" s="496" t="s">
        <v>2410</v>
      </c>
      <c r="B412" s="513"/>
      <c r="C412" s="401"/>
      <c r="D412" s="401"/>
      <c r="E412" s="401"/>
      <c r="F412" s="401"/>
      <c r="G412" s="118"/>
      <c r="H412" s="118"/>
      <c r="I412" s="118"/>
      <c r="J412" s="118"/>
      <c r="K412" s="401"/>
      <c r="L412" s="118"/>
      <c r="M412" s="118"/>
      <c r="N412" s="118"/>
      <c r="O412" s="118"/>
      <c r="P412" s="401"/>
      <c r="Q412" s="118"/>
      <c r="R412" s="118"/>
      <c r="S412" s="118"/>
      <c r="T412" s="118"/>
      <c r="U412" s="401"/>
      <c r="V412" s="118"/>
      <c r="W412" s="118"/>
      <c r="X412" s="118"/>
      <c r="Y412" s="118"/>
      <c r="Z412" s="401"/>
      <c r="AA412" s="118"/>
      <c r="AB412" s="118"/>
      <c r="AC412" s="118"/>
      <c r="AD412" s="118"/>
      <c r="AE412" s="401"/>
      <c r="AF412" s="118"/>
      <c r="AG412" s="118"/>
      <c r="AH412" s="118"/>
      <c r="AI412" s="118"/>
      <c r="AJ412" s="401"/>
      <c r="AK412" s="118"/>
      <c r="AL412" s="118"/>
      <c r="AM412" s="118"/>
      <c r="AN412" s="118"/>
      <c r="AO412" s="403">
        <v>948.75</v>
      </c>
      <c r="AP412" s="118"/>
      <c r="AQ412" s="118"/>
      <c r="AR412" s="118"/>
      <c r="AS412" s="118"/>
      <c r="AT412" s="403">
        <v>948.75</v>
      </c>
      <c r="AU412" s="302">
        <v>948.74599999999998</v>
      </c>
      <c r="AV412" s="302">
        <v>948.745</v>
      </c>
      <c r="AW412" s="302">
        <v>948.74400000000003</v>
      </c>
      <c r="AX412" s="118">
        <f>AY412</f>
        <v>949</v>
      </c>
      <c r="AY412" s="403">
        <v>949</v>
      </c>
      <c r="AZ412" s="302">
        <v>949</v>
      </c>
      <c r="BA412" s="302">
        <v>949</v>
      </c>
      <c r="BB412" s="302">
        <v>949</v>
      </c>
      <c r="BC412" s="118">
        <f>BD412</f>
        <v>949</v>
      </c>
      <c r="BD412" s="403">
        <v>949</v>
      </c>
      <c r="BE412" s="302">
        <v>949</v>
      </c>
      <c r="BF412" s="302">
        <v>949</v>
      </c>
      <c r="BG412" s="302">
        <v>949</v>
      </c>
      <c r="BH412" s="118">
        <f>BI412</f>
        <v>949</v>
      </c>
      <c r="BI412" s="403">
        <v>949</v>
      </c>
      <c r="BJ412" s="1207">
        <v>949</v>
      </c>
      <c r="BK412" s="118">
        <f>IF(BK411&lt;BK$4,0,BJ412)</f>
        <v>949</v>
      </c>
      <c r="BL412" s="118">
        <f>IF(BL411&lt;BL$4,0,BK412)</f>
        <v>949</v>
      </c>
      <c r="BM412" s="118">
        <f>IF(BM411&lt;BM$4,0,BL412)</f>
        <v>949</v>
      </c>
      <c r="BN412" s="401">
        <f>BM412</f>
        <v>949</v>
      </c>
      <c r="BO412" s="118">
        <f>IF(BO411&lt;BO$4,0,BN412)</f>
        <v>949</v>
      </c>
      <c r="BP412" s="118">
        <f>IF(BP411&lt;BP$4,0,BO412)</f>
        <v>949</v>
      </c>
      <c r="BQ412" s="118">
        <f>IF(BQ411&lt;BQ$4,0,BP412)</f>
        <v>949</v>
      </c>
      <c r="BR412" s="118">
        <f>IF(BR411&lt;BR$4,0,BQ412)</f>
        <v>949</v>
      </c>
      <c r="BS412" s="401">
        <f>BR412</f>
        <v>949</v>
      </c>
      <c r="BT412" s="401">
        <f>IF(BT411&lt;BT$4,0,BS412)</f>
        <v>0</v>
      </c>
      <c r="BU412" s="401">
        <f>IF(BU411&lt;BU$4,0,BT412)</f>
        <v>0</v>
      </c>
      <c r="BV412" s="401">
        <f>IF(BV411&lt;BV$4,0,BU412)</f>
        <v>0</v>
      </c>
      <c r="BW412" s="122"/>
    </row>
    <row r="413" spans="1:75" hidden="1" outlineLevel="2" x14ac:dyDescent="0.5">
      <c r="A413" s="513" t="s">
        <v>2411</v>
      </c>
      <c r="B413" s="513"/>
      <c r="C413" s="401"/>
      <c r="D413" s="401"/>
      <c r="E413" s="401"/>
      <c r="F413" s="401"/>
      <c r="G413" s="118"/>
      <c r="H413" s="118"/>
      <c r="I413" s="118"/>
      <c r="J413" s="118"/>
      <c r="K413" s="401"/>
      <c r="L413" s="118"/>
      <c r="M413" s="118"/>
      <c r="N413" s="118"/>
      <c r="O413" s="118"/>
      <c r="P413" s="401"/>
      <c r="Q413" s="118"/>
      <c r="R413" s="118"/>
      <c r="S413" s="118"/>
      <c r="T413" s="118"/>
      <c r="U413" s="401"/>
      <c r="V413" s="118"/>
      <c r="W413" s="118"/>
      <c r="X413" s="118"/>
      <c r="Y413" s="118"/>
      <c r="Z413" s="401"/>
      <c r="AA413" s="118"/>
      <c r="AB413" s="118"/>
      <c r="AC413" s="118"/>
      <c r="AD413" s="118"/>
      <c r="AE413" s="401"/>
      <c r="AF413" s="118"/>
      <c r="AG413" s="118"/>
      <c r="AH413" s="118"/>
      <c r="AI413" s="118"/>
      <c r="AJ413" s="401"/>
      <c r="AK413" s="118"/>
      <c r="AL413" s="118"/>
      <c r="AM413" s="118"/>
      <c r="AN413" s="118"/>
      <c r="AO413" s="403">
        <v>-277.7</v>
      </c>
      <c r="AP413" s="118"/>
      <c r="AQ413" s="118"/>
      <c r="AR413" s="118"/>
      <c r="AS413" s="118"/>
      <c r="AT413" s="403">
        <v>-242.911</v>
      </c>
      <c r="AU413" s="302">
        <v>-10.5</v>
      </c>
      <c r="AV413" s="302">
        <v>-10.09</v>
      </c>
      <c r="AW413" s="302">
        <v>-9.6110000000000007</v>
      </c>
      <c r="AX413" s="118">
        <f>AY413</f>
        <v>-9</v>
      </c>
      <c r="AY413" s="403">
        <v>-9</v>
      </c>
      <c r="AZ413" s="302">
        <v>-9</v>
      </c>
      <c r="BA413" s="302">
        <v>-9</v>
      </c>
      <c r="BB413" s="302">
        <v>-8</v>
      </c>
      <c r="BC413" s="118">
        <f>BD413</f>
        <v>-7</v>
      </c>
      <c r="BD413" s="403">
        <v>-7</v>
      </c>
      <c r="BE413" s="302">
        <v>-7</v>
      </c>
      <c r="BF413" s="302">
        <v>-6</v>
      </c>
      <c r="BG413" s="302">
        <v>-6</v>
      </c>
      <c r="BH413" s="118">
        <f>BI413</f>
        <v>-5</v>
      </c>
      <c r="BI413" s="403">
        <v>-5</v>
      </c>
      <c r="BJ413" s="1207">
        <v>-5</v>
      </c>
      <c r="BK413" s="723">
        <f>IF(BK412=0,0,BJ413-BJ413/(BK411-BJ$4)*BK$3)</f>
        <v>-4.4752018454440599</v>
      </c>
      <c r="BL413" s="723">
        <f>IF(BL412=0,0,BK413-BK413/(BL411-BK$4)*BL$3)</f>
        <v>-3.9446366782006921</v>
      </c>
      <c r="BM413" s="723">
        <f>IF(BM412=0,0,BL413-BL413/(BM411-BL$4)*BM$3)</f>
        <v>-3.4140715109573243</v>
      </c>
      <c r="BN413" s="401">
        <f>BM413</f>
        <v>-3.4140715109573243</v>
      </c>
      <c r="BO413" s="723">
        <f>IF(BO412=0,0,BN413-BN413/(BO411-BN$4)*BO$3)</f>
        <v>-2.8950403690888122</v>
      </c>
      <c r="BP413" s="723">
        <f>IF(BP412=0,0,BO413-BO413/(BP411-BO$4)*BP$3)</f>
        <v>-2.3702422145328721</v>
      </c>
      <c r="BQ413" s="723">
        <f>IF(BQ412=0,0,BP413-BP413/(BQ411-BP$4)*BQ$3)</f>
        <v>-1.8396770472895041</v>
      </c>
      <c r="BR413" s="723">
        <f>IF(BR412=0,0,BQ413-BQ413/(BR411-BQ$4)*BR$3)</f>
        <v>-1.3091118800461361</v>
      </c>
      <c r="BS413" s="401">
        <f>BR413</f>
        <v>-1.3091118800461361</v>
      </c>
      <c r="BT413" s="401">
        <f>IF(BT412=0,0,BS413-BS413/(BT411-BS$4)*BT$3)</f>
        <v>0</v>
      </c>
      <c r="BU413" s="401">
        <f>IF(BU412=0,0,BT413-BT413/(BU411-BT$4)*BU$3)</f>
        <v>0</v>
      </c>
      <c r="BV413" s="401">
        <f>IF(BV412=0,0,BU413-BU413/(BV411-BU$4)*BV$3)</f>
        <v>0</v>
      </c>
      <c r="BW413" s="122"/>
    </row>
    <row r="414" spans="1:75" hidden="1" outlineLevel="2" x14ac:dyDescent="0.5">
      <c r="A414" s="1516" t="s">
        <v>2412</v>
      </c>
      <c r="B414" s="1499"/>
      <c r="C414" s="1500"/>
      <c r="D414" s="1500"/>
      <c r="E414" s="1500"/>
      <c r="F414" s="1500"/>
      <c r="G414" s="1056"/>
      <c r="H414" s="1056"/>
      <c r="I414" s="1056"/>
      <c r="J414" s="1056"/>
      <c r="K414" s="1500"/>
      <c r="L414" s="1056"/>
      <c r="M414" s="1056"/>
      <c r="N414" s="1056"/>
      <c r="O414" s="1056"/>
      <c r="P414" s="1500"/>
      <c r="Q414" s="1056"/>
      <c r="R414" s="1056"/>
      <c r="S414" s="1056"/>
      <c r="T414" s="1056"/>
      <c r="U414" s="1500"/>
      <c r="V414" s="1056"/>
      <c r="W414" s="1056"/>
      <c r="X414" s="1056"/>
      <c r="Y414" s="1056"/>
      <c r="Z414" s="1500"/>
      <c r="AA414" s="1056"/>
      <c r="AB414" s="1056"/>
      <c r="AC414" s="1056"/>
      <c r="AD414" s="1056"/>
      <c r="AE414" s="1500"/>
      <c r="AF414" s="1056"/>
      <c r="AG414" s="1056"/>
      <c r="AH414" s="1056"/>
      <c r="AI414" s="1056"/>
      <c r="AJ414" s="1500"/>
      <c r="AK414" s="1056"/>
      <c r="AL414" s="1056"/>
      <c r="AM414" s="1056"/>
      <c r="AN414" s="1056"/>
      <c r="AO414" s="1500">
        <f>SUM(AO412:AO413)</f>
        <v>671.05</v>
      </c>
      <c r="AP414" s="1056"/>
      <c r="AQ414" s="1056"/>
      <c r="AR414" s="1056"/>
      <c r="AS414" s="1056"/>
      <c r="AT414" s="1500">
        <f t="shared" ref="AT414:BV414" si="322">SUM(AT412:AT413)</f>
        <v>705.83899999999994</v>
      </c>
      <c r="AU414" s="1056">
        <f t="shared" si="322"/>
        <v>938.24599999999998</v>
      </c>
      <c r="AV414" s="1056">
        <f t="shared" si="322"/>
        <v>938.65499999999997</v>
      </c>
      <c r="AW414" s="1056">
        <f t="shared" si="322"/>
        <v>939.13300000000004</v>
      </c>
      <c r="AX414" s="1056">
        <f t="shared" si="322"/>
        <v>940</v>
      </c>
      <c r="AY414" s="1500">
        <f t="shared" si="322"/>
        <v>940</v>
      </c>
      <c r="AZ414" s="1056">
        <f t="shared" si="322"/>
        <v>940</v>
      </c>
      <c r="BA414" s="1056">
        <f t="shared" si="322"/>
        <v>940</v>
      </c>
      <c r="BB414" s="1056">
        <f t="shared" si="322"/>
        <v>941</v>
      </c>
      <c r="BC414" s="1056">
        <f t="shared" si="322"/>
        <v>942</v>
      </c>
      <c r="BD414" s="1500">
        <f t="shared" si="322"/>
        <v>942</v>
      </c>
      <c r="BE414" s="1056">
        <f t="shared" si="322"/>
        <v>942</v>
      </c>
      <c r="BF414" s="1056">
        <f t="shared" si="322"/>
        <v>943</v>
      </c>
      <c r="BG414" s="1056">
        <f t="shared" si="322"/>
        <v>943</v>
      </c>
      <c r="BH414" s="1056">
        <f t="shared" si="322"/>
        <v>944</v>
      </c>
      <c r="BI414" s="1500">
        <f t="shared" si="322"/>
        <v>944</v>
      </c>
      <c r="BJ414" s="1058">
        <f t="shared" si="322"/>
        <v>944</v>
      </c>
      <c r="BK414" s="1056">
        <f t="shared" si="322"/>
        <v>944.52479815455592</v>
      </c>
      <c r="BL414" s="1056">
        <f t="shared" si="322"/>
        <v>945.05536332179929</v>
      </c>
      <c r="BM414" s="1056">
        <f t="shared" si="322"/>
        <v>945.58592848904266</v>
      </c>
      <c r="BN414" s="1500">
        <f t="shared" si="322"/>
        <v>945.58592848904266</v>
      </c>
      <c r="BO414" s="1056">
        <f t="shared" si="322"/>
        <v>946.10495963091114</v>
      </c>
      <c r="BP414" s="1056">
        <f t="shared" si="322"/>
        <v>946.62975778546718</v>
      </c>
      <c r="BQ414" s="1056">
        <f t="shared" si="322"/>
        <v>947.16032295271054</v>
      </c>
      <c r="BR414" s="1056">
        <f t="shared" si="322"/>
        <v>947.69088811995391</v>
      </c>
      <c r="BS414" s="1500">
        <f t="shared" si="322"/>
        <v>947.69088811995391</v>
      </c>
      <c r="BT414" s="1500">
        <f t="shared" si="322"/>
        <v>0</v>
      </c>
      <c r="BU414" s="1500">
        <f t="shared" si="322"/>
        <v>0</v>
      </c>
      <c r="BV414" s="1500">
        <f t="shared" si="322"/>
        <v>0</v>
      </c>
      <c r="BW414" s="122"/>
    </row>
    <row r="415" spans="1:75" hidden="1" outlineLevel="2" x14ac:dyDescent="0.5">
      <c r="A415" s="496" t="s">
        <v>2413</v>
      </c>
      <c r="B415" s="513"/>
      <c r="C415" s="784"/>
      <c r="D415" s="784"/>
      <c r="E415" s="784"/>
      <c r="F415" s="784"/>
      <c r="G415" s="785"/>
      <c r="H415" s="785"/>
      <c r="I415" s="785"/>
      <c r="J415" s="785"/>
      <c r="K415" s="784"/>
      <c r="L415" s="785"/>
      <c r="M415" s="785"/>
      <c r="N415" s="785"/>
      <c r="O415" s="785"/>
      <c r="P415" s="784"/>
      <c r="Q415" s="785"/>
      <c r="R415" s="785"/>
      <c r="S415" s="785"/>
      <c r="T415" s="785"/>
      <c r="U415" s="784"/>
      <c r="V415" s="785"/>
      <c r="W415" s="785"/>
      <c r="X415" s="785"/>
      <c r="Y415" s="785"/>
      <c r="Z415" s="784"/>
      <c r="AA415" s="785"/>
      <c r="AB415" s="785"/>
      <c r="AC415" s="785"/>
      <c r="AD415" s="785"/>
      <c r="AE415" s="784"/>
      <c r="AF415" s="785"/>
      <c r="AG415" s="785"/>
      <c r="AH415" s="785"/>
      <c r="AI415" s="785"/>
      <c r="AJ415" s="784"/>
      <c r="AK415" s="785"/>
      <c r="AL415" s="785"/>
      <c r="AM415" s="785"/>
      <c r="AN415" s="785"/>
      <c r="AO415" s="1517">
        <v>148.47999999999999</v>
      </c>
      <c r="AP415" s="785"/>
      <c r="AQ415" s="785"/>
      <c r="AR415" s="785"/>
      <c r="AS415" s="785"/>
      <c r="AT415" s="1517">
        <v>148.47999999999999</v>
      </c>
      <c r="AU415" s="1071">
        <v>148.47999999999999</v>
      </c>
      <c r="AV415" s="1071">
        <v>148.47999999999999</v>
      </c>
      <c r="AW415" s="1071">
        <v>148.47999999999999</v>
      </c>
      <c r="AX415" s="785">
        <f>AY415</f>
        <v>148.47999999999999</v>
      </c>
      <c r="AY415" s="1517">
        <v>148.47999999999999</v>
      </c>
      <c r="AZ415" s="1071">
        <v>148.47999999999999</v>
      </c>
      <c r="BA415" s="1071">
        <v>148.47999999999999</v>
      </c>
      <c r="BB415" s="1071">
        <v>148.47999999999999</v>
      </c>
      <c r="BC415" s="785">
        <f>BD415</f>
        <v>148.47999999999999</v>
      </c>
      <c r="BD415" s="1517">
        <v>148.47999999999999</v>
      </c>
      <c r="BE415" s="1071">
        <v>148.47999999999999</v>
      </c>
      <c r="BF415" s="1071">
        <v>148.47999999999999</v>
      </c>
      <c r="BG415" s="1071">
        <v>148.47999999999999</v>
      </c>
      <c r="BH415" s="785">
        <f>BI415</f>
        <v>148.47999999999999</v>
      </c>
      <c r="BI415" s="1517">
        <v>148.47999999999999</v>
      </c>
      <c r="BJ415" s="1072">
        <v>148.47999999999999</v>
      </c>
      <c r="BK415" s="785">
        <f>IF(BK412=0,0,BJ415)</f>
        <v>148.47999999999999</v>
      </c>
      <c r="BL415" s="785">
        <f>IF(BL412=0,0,BK415)</f>
        <v>148.47999999999999</v>
      </c>
      <c r="BM415" s="785">
        <f>IF(BM412=0,0,BL415)</f>
        <v>148.47999999999999</v>
      </c>
      <c r="BN415" s="784">
        <f>BM415</f>
        <v>148.47999999999999</v>
      </c>
      <c r="BO415" s="785">
        <f>IF(BO412=0,0,BN415)</f>
        <v>148.47999999999999</v>
      </c>
      <c r="BP415" s="785">
        <f>IF(BP412=0,0,BO415)</f>
        <v>148.47999999999999</v>
      </c>
      <c r="BQ415" s="785">
        <f>IF(BQ412=0,0,BP415)</f>
        <v>148.47999999999999</v>
      </c>
      <c r="BR415" s="785">
        <f>IF(BR412=0,0,BQ415)</f>
        <v>148.47999999999999</v>
      </c>
      <c r="BS415" s="784">
        <f>BR415</f>
        <v>148.47999999999999</v>
      </c>
      <c r="BT415" s="784">
        <f>IF(BT412=0,0,BS415)</f>
        <v>0</v>
      </c>
      <c r="BU415" s="784">
        <f>IF(BU412=0,0,BT415)</f>
        <v>0</v>
      </c>
      <c r="BV415" s="784">
        <f>IF(BV412=0,0,BU415)</f>
        <v>0</v>
      </c>
      <c r="BW415" s="122"/>
    </row>
    <row r="416" spans="1:75" hidden="1" outlineLevel="2" x14ac:dyDescent="0.5">
      <c r="A416" s="869" t="s">
        <v>2379</v>
      </c>
      <c r="B416" s="870"/>
      <c r="C416" s="871"/>
      <c r="D416" s="871"/>
      <c r="E416" s="871"/>
      <c r="F416" s="871"/>
      <c r="G416" s="872"/>
      <c r="H416" s="872"/>
      <c r="I416" s="872"/>
      <c r="J416" s="872"/>
      <c r="K416" s="871"/>
      <c r="L416" s="872"/>
      <c r="M416" s="872"/>
      <c r="N416" s="872"/>
      <c r="O416" s="872"/>
      <c r="P416" s="871"/>
      <c r="Q416" s="872"/>
      <c r="R416" s="872"/>
      <c r="S416" s="872"/>
      <c r="T416" s="872"/>
      <c r="U416" s="871"/>
      <c r="V416" s="872"/>
      <c r="W416" s="872"/>
      <c r="X416" s="872"/>
      <c r="Y416" s="872"/>
      <c r="Z416" s="871"/>
      <c r="AA416" s="872"/>
      <c r="AB416" s="872"/>
      <c r="AC416" s="872"/>
      <c r="AD416" s="872"/>
      <c r="AE416" s="871"/>
      <c r="AF416" s="872"/>
      <c r="AG416" s="872"/>
      <c r="AH416" s="872"/>
      <c r="AI416" s="872"/>
      <c r="AJ416" s="871"/>
      <c r="AK416" s="872"/>
      <c r="AL416" s="872"/>
      <c r="AM416" s="872"/>
      <c r="AN416" s="872"/>
      <c r="AO416" s="871">
        <f>IFERROR(AO412/AO415,0)</f>
        <v>6.3897494612068968</v>
      </c>
      <c r="AP416" s="872"/>
      <c r="AQ416" s="872"/>
      <c r="AR416" s="872"/>
      <c r="AS416" s="872"/>
      <c r="AT416" s="871">
        <f t="shared" ref="AT416:BV416" si="323">IFERROR(AT412/AT415,0)</f>
        <v>6.3897494612068968</v>
      </c>
      <c r="AU416" s="872">
        <f t="shared" si="323"/>
        <v>6.3897225215517244</v>
      </c>
      <c r="AV416" s="872">
        <f t="shared" si="323"/>
        <v>6.3897157866379315</v>
      </c>
      <c r="AW416" s="872">
        <f t="shared" si="323"/>
        <v>6.3897090517241386</v>
      </c>
      <c r="AX416" s="872">
        <f t="shared" si="323"/>
        <v>6.3914331896551726</v>
      </c>
      <c r="AY416" s="871">
        <f t="shared" si="323"/>
        <v>6.3914331896551726</v>
      </c>
      <c r="AZ416" s="872">
        <f t="shared" si="323"/>
        <v>6.3914331896551726</v>
      </c>
      <c r="BA416" s="872">
        <f t="shared" si="323"/>
        <v>6.3914331896551726</v>
      </c>
      <c r="BB416" s="872">
        <f t="shared" si="323"/>
        <v>6.3914331896551726</v>
      </c>
      <c r="BC416" s="872">
        <f t="shared" si="323"/>
        <v>6.3914331896551726</v>
      </c>
      <c r="BD416" s="871">
        <f t="shared" si="323"/>
        <v>6.3914331896551726</v>
      </c>
      <c r="BE416" s="872">
        <f t="shared" si="323"/>
        <v>6.3914331896551726</v>
      </c>
      <c r="BF416" s="872">
        <f t="shared" si="323"/>
        <v>6.3914331896551726</v>
      </c>
      <c r="BG416" s="872">
        <f t="shared" si="323"/>
        <v>6.3914331896551726</v>
      </c>
      <c r="BH416" s="872">
        <f t="shared" si="323"/>
        <v>6.3914331896551726</v>
      </c>
      <c r="BI416" s="871">
        <f t="shared" si="323"/>
        <v>6.3914331896551726</v>
      </c>
      <c r="BJ416" s="1504">
        <f t="shared" si="323"/>
        <v>6.3914331896551726</v>
      </c>
      <c r="BK416" s="872">
        <f t="shared" si="323"/>
        <v>6.3914331896551726</v>
      </c>
      <c r="BL416" s="872">
        <f t="shared" si="323"/>
        <v>6.3914331896551726</v>
      </c>
      <c r="BM416" s="872">
        <f t="shared" si="323"/>
        <v>6.3914331896551726</v>
      </c>
      <c r="BN416" s="871">
        <f t="shared" si="323"/>
        <v>6.3914331896551726</v>
      </c>
      <c r="BO416" s="872">
        <f t="shared" si="323"/>
        <v>6.3914331896551726</v>
      </c>
      <c r="BP416" s="872">
        <f t="shared" si="323"/>
        <v>6.3914331896551726</v>
      </c>
      <c r="BQ416" s="872">
        <f t="shared" si="323"/>
        <v>6.3914331896551726</v>
      </c>
      <c r="BR416" s="872">
        <f t="shared" si="323"/>
        <v>6.3914331896551726</v>
      </c>
      <c r="BS416" s="871">
        <f t="shared" si="323"/>
        <v>6.3914331896551726</v>
      </c>
      <c r="BT416" s="871">
        <f t="shared" si="323"/>
        <v>0</v>
      </c>
      <c r="BU416" s="871">
        <f t="shared" si="323"/>
        <v>0</v>
      </c>
      <c r="BV416" s="871">
        <f t="shared" si="323"/>
        <v>0</v>
      </c>
      <c r="BW416" s="122"/>
    </row>
    <row r="417" spans="1:75" hidden="1" outlineLevel="2" x14ac:dyDescent="0.5">
      <c r="A417" s="1498" t="s">
        <v>2414</v>
      </c>
      <c r="B417" s="1499"/>
      <c r="C417" s="1500"/>
      <c r="D417" s="1500"/>
      <c r="E417" s="1500"/>
      <c r="F417" s="1500"/>
      <c r="G417" s="1056"/>
      <c r="H417" s="1056"/>
      <c r="I417" s="1056"/>
      <c r="J417" s="1056"/>
      <c r="K417" s="1500"/>
      <c r="L417" s="1056"/>
      <c r="M417" s="1056"/>
      <c r="N417" s="1056"/>
      <c r="O417" s="1056"/>
      <c r="P417" s="1500"/>
      <c r="Q417" s="1056"/>
      <c r="R417" s="1056"/>
      <c r="S417" s="1056"/>
      <c r="T417" s="1056"/>
      <c r="U417" s="1500"/>
      <c r="V417" s="1056"/>
      <c r="W417" s="1056"/>
      <c r="X417" s="1056"/>
      <c r="Y417" s="1056"/>
      <c r="Z417" s="1500"/>
      <c r="AA417" s="1056"/>
      <c r="AB417" s="1056"/>
      <c r="AC417" s="1056"/>
      <c r="AD417" s="1056"/>
      <c r="AE417" s="1500"/>
      <c r="AF417" s="1056"/>
      <c r="AG417" s="1056"/>
      <c r="AH417" s="1056"/>
      <c r="AI417" s="1056"/>
      <c r="AJ417" s="1500"/>
      <c r="AK417" s="1056"/>
      <c r="AL417" s="1056"/>
      <c r="AM417" s="1056"/>
      <c r="AN417" s="1056"/>
      <c r="AO417" s="1500">
        <f ca="1">IFERROR(IF(AO280&gt;AO415,AO416,0),0)</f>
        <v>0</v>
      </c>
      <c r="AP417" s="1056"/>
      <c r="AQ417" s="1056"/>
      <c r="AR417" s="1056"/>
      <c r="AS417" s="1056"/>
      <c r="AT417" s="1500">
        <f t="shared" ref="AT417:BV417" ca="1" si="324">IFERROR(IF(AT280&gt;AT415,AT416,0),0)</f>
        <v>0</v>
      </c>
      <c r="AU417" s="1056">
        <f t="shared" ca="1" si="324"/>
        <v>6.3897225215517244</v>
      </c>
      <c r="AV417" s="1056">
        <f t="shared" ca="1" si="324"/>
        <v>6.3897157866379315</v>
      </c>
      <c r="AW417" s="1056">
        <f t="shared" ca="1" si="324"/>
        <v>6.3897090517241386</v>
      </c>
      <c r="AX417" s="1056">
        <f t="shared" ca="1" si="324"/>
        <v>6.3914331896551726</v>
      </c>
      <c r="AY417" s="1500">
        <f t="shared" ca="1" si="324"/>
        <v>6.3914331896551726</v>
      </c>
      <c r="AZ417" s="1056">
        <f t="shared" ca="1" si="324"/>
        <v>0</v>
      </c>
      <c r="BA417" s="1056">
        <f t="shared" ca="1" si="324"/>
        <v>0</v>
      </c>
      <c r="BB417" s="1056">
        <f t="shared" ca="1" si="324"/>
        <v>0</v>
      </c>
      <c r="BC417" s="1056">
        <f t="shared" ca="1" si="324"/>
        <v>0</v>
      </c>
      <c r="BD417" s="1500">
        <f t="shared" ca="1" si="324"/>
        <v>0</v>
      </c>
      <c r="BE417" s="1056">
        <f t="shared" ca="1" si="324"/>
        <v>0</v>
      </c>
      <c r="BF417" s="1056">
        <f t="shared" ca="1" si="324"/>
        <v>0</v>
      </c>
      <c r="BG417" s="1056">
        <f t="shared" ca="1" si="324"/>
        <v>0</v>
      </c>
      <c r="BH417" s="1056">
        <f t="shared" ca="1" si="324"/>
        <v>6.3914331896551726</v>
      </c>
      <c r="BI417" s="1500">
        <f t="shared" ca="1" si="324"/>
        <v>6.3914331896551726</v>
      </c>
      <c r="BJ417" s="1058">
        <f t="shared" ca="1" si="324"/>
        <v>6.3914331896551726</v>
      </c>
      <c r="BK417" s="1056">
        <f t="shared" si="324"/>
        <v>0</v>
      </c>
      <c r="BL417" s="1056">
        <f t="shared" si="324"/>
        <v>0</v>
      </c>
      <c r="BM417" s="1056">
        <f t="shared" si="324"/>
        <v>0</v>
      </c>
      <c r="BN417" s="1500">
        <f t="shared" si="324"/>
        <v>0</v>
      </c>
      <c r="BO417" s="1056">
        <f t="shared" si="324"/>
        <v>0</v>
      </c>
      <c r="BP417" s="1056">
        <f t="shared" si="324"/>
        <v>0</v>
      </c>
      <c r="BQ417" s="1056">
        <f t="shared" si="324"/>
        <v>0</v>
      </c>
      <c r="BR417" s="1056">
        <f t="shared" si="324"/>
        <v>0</v>
      </c>
      <c r="BS417" s="1500">
        <f t="shared" si="324"/>
        <v>0</v>
      </c>
      <c r="BT417" s="1500">
        <f t="shared" si="324"/>
        <v>0</v>
      </c>
      <c r="BU417" s="1500">
        <f t="shared" si="324"/>
        <v>0</v>
      </c>
      <c r="BV417" s="1500">
        <f t="shared" si="324"/>
        <v>0</v>
      </c>
      <c r="BW417" s="122"/>
    </row>
    <row r="418" spans="1:75" hidden="1" outlineLevel="2" x14ac:dyDescent="0.5">
      <c r="A418" s="752"/>
      <c r="B418" s="513"/>
      <c r="C418" s="401"/>
      <c r="D418" s="401"/>
      <c r="E418" s="401"/>
      <c r="F418" s="401"/>
      <c r="G418" s="118"/>
      <c r="H418" s="118"/>
      <c r="I418" s="118"/>
      <c r="J418" s="118"/>
      <c r="K418" s="401"/>
      <c r="L418" s="118"/>
      <c r="M418" s="118"/>
      <c r="N418" s="118"/>
      <c r="O418" s="118"/>
      <c r="P418" s="401"/>
      <c r="Q418" s="118"/>
      <c r="R418" s="118"/>
      <c r="S418" s="118"/>
      <c r="T418" s="118"/>
      <c r="U418" s="401"/>
      <c r="V418" s="118"/>
      <c r="W418" s="118"/>
      <c r="X418" s="118"/>
      <c r="Y418" s="118"/>
      <c r="Z418" s="401"/>
      <c r="AA418" s="118"/>
      <c r="AB418" s="118"/>
      <c r="AC418" s="118"/>
      <c r="AD418" s="118"/>
      <c r="AE418" s="401"/>
      <c r="AF418" s="118"/>
      <c r="AG418" s="118"/>
      <c r="AH418" s="118"/>
      <c r="AI418" s="118"/>
      <c r="AJ418" s="401"/>
      <c r="AK418" s="118"/>
      <c r="AL418" s="118"/>
      <c r="AM418" s="118"/>
      <c r="AN418" s="118"/>
      <c r="AO418" s="401"/>
      <c r="AP418" s="118"/>
      <c r="AQ418" s="118"/>
      <c r="AR418" s="118"/>
      <c r="AS418" s="118"/>
      <c r="AT418" s="401"/>
      <c r="AU418" s="118"/>
      <c r="AV418" s="118"/>
      <c r="AW418" s="118"/>
      <c r="AX418" s="118"/>
      <c r="AY418" s="401"/>
      <c r="AZ418" s="118"/>
      <c r="BA418" s="118"/>
      <c r="BB418" s="118"/>
      <c r="BC418" s="118"/>
      <c r="BD418" s="401"/>
      <c r="BE418" s="118"/>
      <c r="BF418" s="118"/>
      <c r="BG418" s="118"/>
      <c r="BH418" s="118"/>
      <c r="BI418" s="401"/>
      <c r="BJ418" s="971"/>
      <c r="BK418" s="118"/>
      <c r="BL418" s="118"/>
      <c r="BM418" s="118"/>
      <c r="BN418" s="401"/>
      <c r="BO418" s="118"/>
      <c r="BP418" s="118"/>
      <c r="BQ418" s="118"/>
      <c r="BR418" s="118"/>
      <c r="BS418" s="401"/>
      <c r="BT418" s="401"/>
      <c r="BU418" s="401"/>
      <c r="BV418" s="401"/>
      <c r="BW418" s="122"/>
    </row>
    <row r="419" spans="1:75" hidden="1" outlineLevel="2" x14ac:dyDescent="0.5">
      <c r="A419" s="184" t="s">
        <v>2415</v>
      </c>
      <c r="B419" s="513"/>
      <c r="C419" s="401"/>
      <c r="D419" s="401"/>
      <c r="E419" s="401"/>
      <c r="F419" s="401"/>
      <c r="G419" s="118"/>
      <c r="H419" s="118"/>
      <c r="I419" s="118"/>
      <c r="J419" s="118"/>
      <c r="K419" s="401"/>
      <c r="L419" s="118"/>
      <c r="M419" s="118"/>
      <c r="N419" s="118"/>
      <c r="O419" s="118"/>
      <c r="P419" s="401"/>
      <c r="Q419" s="118"/>
      <c r="R419" s="118"/>
      <c r="S419" s="118"/>
      <c r="T419" s="118"/>
      <c r="U419" s="401"/>
      <c r="V419" s="118"/>
      <c r="W419" s="118"/>
      <c r="X419" s="118"/>
      <c r="Y419" s="118"/>
      <c r="Z419" s="401"/>
      <c r="AA419" s="118"/>
      <c r="AB419" s="118"/>
      <c r="AC419" s="118"/>
      <c r="AD419" s="118"/>
      <c r="AE419" s="401"/>
      <c r="AF419" s="118"/>
      <c r="AG419" s="118"/>
      <c r="AH419" s="118"/>
      <c r="AI419" s="118"/>
      <c r="AJ419" s="401"/>
      <c r="AK419" s="118"/>
      <c r="AL419" s="118"/>
      <c r="AM419" s="118"/>
      <c r="AN419" s="118"/>
      <c r="AO419" s="401">
        <f>AO416</f>
        <v>6.3897494612068968</v>
      </c>
      <c r="AP419" s="118"/>
      <c r="AQ419" s="118"/>
      <c r="AR419" s="118"/>
      <c r="AS419" s="118"/>
      <c r="AT419" s="401">
        <f t="shared" ref="AT419:BD419" si="325">AT416</f>
        <v>6.3897494612068968</v>
      </c>
      <c r="AU419" s="118">
        <f t="shared" si="325"/>
        <v>6.3897225215517244</v>
      </c>
      <c r="AV419" s="118">
        <f t="shared" si="325"/>
        <v>6.3897157866379315</v>
      </c>
      <c r="AW419" s="118">
        <f t="shared" si="325"/>
        <v>6.3897090517241386</v>
      </c>
      <c r="AX419" s="118">
        <f t="shared" si="325"/>
        <v>6.3914331896551726</v>
      </c>
      <c r="AY419" s="401">
        <f t="shared" si="325"/>
        <v>6.3914331896551726</v>
      </c>
      <c r="AZ419" s="118">
        <f t="shared" si="325"/>
        <v>6.3914331896551726</v>
      </c>
      <c r="BA419" s="118">
        <f t="shared" si="325"/>
        <v>6.3914331896551726</v>
      </c>
      <c r="BB419" s="118">
        <f t="shared" si="325"/>
        <v>6.3914331896551726</v>
      </c>
      <c r="BC419" s="118">
        <f t="shared" si="325"/>
        <v>6.3914331896551726</v>
      </c>
      <c r="BD419" s="401">
        <f t="shared" si="325"/>
        <v>6.3914331896551726</v>
      </c>
      <c r="BE419" s="118">
        <f>BD419</f>
        <v>6.3914331896551726</v>
      </c>
      <c r="BF419" s="118">
        <f t="shared" ref="BF419:BV419" si="326">BF416</f>
        <v>6.3914331896551726</v>
      </c>
      <c r="BG419" s="118">
        <f t="shared" si="326"/>
        <v>6.3914331896551726</v>
      </c>
      <c r="BH419" s="118">
        <f t="shared" si="326"/>
        <v>6.3914331896551726</v>
      </c>
      <c r="BI419" s="401">
        <f t="shared" si="326"/>
        <v>6.3914331896551726</v>
      </c>
      <c r="BJ419" s="971">
        <f>BI419</f>
        <v>6.3914331896551726</v>
      </c>
      <c r="BK419" s="118">
        <f t="shared" si="326"/>
        <v>6.3914331896551726</v>
      </c>
      <c r="BL419" s="118">
        <f t="shared" si="326"/>
        <v>6.3914331896551726</v>
      </c>
      <c r="BM419" s="118">
        <f t="shared" si="326"/>
        <v>6.3914331896551726</v>
      </c>
      <c r="BN419" s="401">
        <f t="shared" si="326"/>
        <v>6.3914331896551726</v>
      </c>
      <c r="BO419" s="118">
        <f t="shared" si="326"/>
        <v>6.3914331896551726</v>
      </c>
      <c r="BP419" s="118">
        <f t="shared" si="326"/>
        <v>6.3914331896551726</v>
      </c>
      <c r="BQ419" s="118">
        <f t="shared" si="326"/>
        <v>6.3914331896551726</v>
      </c>
      <c r="BR419" s="118">
        <f t="shared" si="326"/>
        <v>6.3914331896551726</v>
      </c>
      <c r="BS419" s="401">
        <f t="shared" si="326"/>
        <v>6.3914331896551726</v>
      </c>
      <c r="BT419" s="401">
        <f t="shared" si="326"/>
        <v>0</v>
      </c>
      <c r="BU419" s="401">
        <f t="shared" si="326"/>
        <v>0</v>
      </c>
      <c r="BV419" s="401">
        <f t="shared" si="326"/>
        <v>0</v>
      </c>
      <c r="BW419" s="122"/>
    </row>
    <row r="420" spans="1:75" hidden="1" outlineLevel="2" x14ac:dyDescent="0.5">
      <c r="A420" s="869" t="s">
        <v>2416</v>
      </c>
      <c r="B420" s="870"/>
      <c r="C420" s="1506"/>
      <c r="D420" s="1506"/>
      <c r="E420" s="1506"/>
      <c r="F420" s="1506"/>
      <c r="G420" s="1507"/>
      <c r="H420" s="1507"/>
      <c r="I420" s="1507"/>
      <c r="J420" s="1507"/>
      <c r="K420" s="1506"/>
      <c r="L420" s="1507"/>
      <c r="M420" s="1507"/>
      <c r="N420" s="1507"/>
      <c r="O420" s="1507"/>
      <c r="P420" s="1506"/>
      <c r="Q420" s="1507"/>
      <c r="R420" s="1507"/>
      <c r="S420" s="1507"/>
      <c r="T420" s="1507"/>
      <c r="U420" s="1506"/>
      <c r="V420" s="1507"/>
      <c r="W420" s="1507"/>
      <c r="X420" s="1507"/>
      <c r="Y420" s="1507"/>
      <c r="Z420" s="1506"/>
      <c r="AA420" s="1507"/>
      <c r="AB420" s="1507"/>
      <c r="AC420" s="1507"/>
      <c r="AD420" s="1507"/>
      <c r="AE420" s="1506"/>
      <c r="AF420" s="1507"/>
      <c r="AG420" s="1507"/>
      <c r="AH420" s="1507"/>
      <c r="AI420" s="1507"/>
      <c r="AJ420" s="1506"/>
      <c r="AK420" s="1507"/>
      <c r="AL420" s="1507"/>
      <c r="AM420" s="1507"/>
      <c r="AN420" s="1507"/>
      <c r="AO420" s="1517">
        <v>280.14999999999998</v>
      </c>
      <c r="AP420" s="1507"/>
      <c r="AQ420" s="1507"/>
      <c r="AR420" s="1507"/>
      <c r="AS420" s="1507"/>
      <c r="AT420" s="1517">
        <v>280.14999999999998</v>
      </c>
      <c r="AU420" s="1071">
        <v>280.14999999999998</v>
      </c>
      <c r="AV420" s="1071">
        <v>280.14999999999998</v>
      </c>
      <c r="AW420" s="1071">
        <v>280.14999999999998</v>
      </c>
      <c r="AX420" s="785">
        <f>AY420</f>
        <v>280.14999999999998</v>
      </c>
      <c r="AY420" s="1517">
        <v>280.14999999999998</v>
      </c>
      <c r="AZ420" s="1071">
        <v>280.14999999999998</v>
      </c>
      <c r="BA420" s="1071">
        <v>280.14999999999998</v>
      </c>
      <c r="BB420" s="1071">
        <v>280.14999999999998</v>
      </c>
      <c r="BC420" s="785">
        <f>BD420</f>
        <v>280.14999999999998</v>
      </c>
      <c r="BD420" s="1517">
        <v>280.14999999999998</v>
      </c>
      <c r="BE420" s="1071">
        <v>280.14999999999998</v>
      </c>
      <c r="BF420" s="1071">
        <v>280.14999999999998</v>
      </c>
      <c r="BG420" s="1071">
        <v>280.14999999999998</v>
      </c>
      <c r="BH420" s="785">
        <f>BI420</f>
        <v>280.14999999999998</v>
      </c>
      <c r="BI420" s="1517">
        <v>280.14999999999998</v>
      </c>
      <c r="BJ420" s="1072">
        <v>280.14999999999998</v>
      </c>
      <c r="BK420" s="1507">
        <f t="shared" ref="BK420:BV420" si="327">BJ420</f>
        <v>280.14999999999998</v>
      </c>
      <c r="BL420" s="1507">
        <f t="shared" si="327"/>
        <v>280.14999999999998</v>
      </c>
      <c r="BM420" s="1507">
        <f t="shared" si="327"/>
        <v>280.14999999999998</v>
      </c>
      <c r="BN420" s="1506">
        <f t="shared" si="327"/>
        <v>280.14999999999998</v>
      </c>
      <c r="BO420" s="1507">
        <f t="shared" si="327"/>
        <v>280.14999999999998</v>
      </c>
      <c r="BP420" s="1507">
        <f t="shared" si="327"/>
        <v>280.14999999999998</v>
      </c>
      <c r="BQ420" s="1507">
        <f t="shared" si="327"/>
        <v>280.14999999999998</v>
      </c>
      <c r="BR420" s="1507">
        <f t="shared" si="327"/>
        <v>280.14999999999998</v>
      </c>
      <c r="BS420" s="1506">
        <f t="shared" si="327"/>
        <v>280.14999999999998</v>
      </c>
      <c r="BT420" s="1506">
        <f t="shared" si="327"/>
        <v>280.14999999999998</v>
      </c>
      <c r="BU420" s="1506">
        <f t="shared" si="327"/>
        <v>280.14999999999998</v>
      </c>
      <c r="BV420" s="1506">
        <f t="shared" si="327"/>
        <v>280.14999999999998</v>
      </c>
      <c r="BW420" s="122"/>
    </row>
    <row r="421" spans="1:75" hidden="1" outlineLevel="2" x14ac:dyDescent="0.5">
      <c r="A421" s="1498" t="s">
        <v>2417</v>
      </c>
      <c r="B421" s="1499"/>
      <c r="C421" s="1500"/>
      <c r="D421" s="1500"/>
      <c r="E421" s="1500"/>
      <c r="F421" s="1500"/>
      <c r="G421" s="1056"/>
      <c r="H421" s="1056"/>
      <c r="I421" s="1056"/>
      <c r="J421" s="1056"/>
      <c r="K421" s="1500"/>
      <c r="L421" s="1056"/>
      <c r="M421" s="1056"/>
      <c r="N421" s="1056"/>
      <c r="O421" s="1056"/>
      <c r="P421" s="1500"/>
      <c r="Q421" s="1056"/>
      <c r="R421" s="1056"/>
      <c r="S421" s="1056"/>
      <c r="T421" s="1056"/>
      <c r="U421" s="1500"/>
      <c r="V421" s="1056"/>
      <c r="W421" s="1056"/>
      <c r="X421" s="1056"/>
      <c r="Y421" s="1056"/>
      <c r="Z421" s="1500"/>
      <c r="AA421" s="1056"/>
      <c r="AB421" s="1056"/>
      <c r="AC421" s="1056"/>
      <c r="AD421" s="1056"/>
      <c r="AE421" s="1500"/>
      <c r="AF421" s="1056"/>
      <c r="AG421" s="1056"/>
      <c r="AH421" s="1056"/>
      <c r="AI421" s="1056"/>
      <c r="AJ421" s="1500"/>
      <c r="AK421" s="1056"/>
      <c r="AL421" s="1056"/>
      <c r="AM421" s="1056"/>
      <c r="AN421" s="1056"/>
      <c r="AO421" s="1500">
        <f ca="1">IFERROR(IF(AO280&gt;AO420,-AO417*AO420/AO280*AO419/AO416,-AO417),0)</f>
        <v>0</v>
      </c>
      <c r="AP421" s="1056"/>
      <c r="AQ421" s="1056"/>
      <c r="AR421" s="1056"/>
      <c r="AS421" s="1056"/>
      <c r="AT421" s="1500">
        <f t="shared" ref="AT421:BV421" ca="1" si="328">IFERROR(IF(AT280&gt;AT420,-AT417*AT420/AT280*AT419/AT416,-AT417),0)</f>
        <v>0</v>
      </c>
      <c r="AU421" s="1056">
        <f t="shared" ca="1" si="328"/>
        <v>-6.3897225215517244</v>
      </c>
      <c r="AV421" s="1056">
        <f t="shared" ca="1" si="328"/>
        <v>-6.3897157866379315</v>
      </c>
      <c r="AW421" s="1056">
        <f t="shared" ca="1" si="328"/>
        <v>-6.3897090517241386</v>
      </c>
      <c r="AX421" s="1056">
        <f t="shared" ca="1" si="328"/>
        <v>-6.3914331896551726</v>
      </c>
      <c r="AY421" s="1500">
        <f t="shared" ca="1" si="328"/>
        <v>-6.3914331896551726</v>
      </c>
      <c r="AZ421" s="1056">
        <f t="shared" ca="1" si="328"/>
        <v>0</v>
      </c>
      <c r="BA421" s="1056">
        <f t="shared" ca="1" si="328"/>
        <v>0</v>
      </c>
      <c r="BB421" s="1056">
        <f t="shared" ca="1" si="328"/>
        <v>0</v>
      </c>
      <c r="BC421" s="1056">
        <f t="shared" ca="1" si="328"/>
        <v>0</v>
      </c>
      <c r="BD421" s="1500">
        <f t="shared" ca="1" si="328"/>
        <v>0</v>
      </c>
      <c r="BE421" s="1056">
        <f t="shared" ca="1" si="328"/>
        <v>0</v>
      </c>
      <c r="BF421" s="1056">
        <f t="shared" ca="1" si="328"/>
        <v>0</v>
      </c>
      <c r="BG421" s="1056">
        <f t="shared" ca="1" si="328"/>
        <v>0</v>
      </c>
      <c r="BH421" s="1056">
        <f t="shared" ca="1" si="328"/>
        <v>-6.3914331896551726</v>
      </c>
      <c r="BI421" s="1500">
        <f t="shared" ca="1" si="328"/>
        <v>-6.3914331896551726</v>
      </c>
      <c r="BJ421" s="1058">
        <f t="shared" ca="1" si="328"/>
        <v>-6.3459030623826767</v>
      </c>
      <c r="BK421" s="1056">
        <f t="shared" si="328"/>
        <v>0</v>
      </c>
      <c r="BL421" s="1056">
        <f t="shared" si="328"/>
        <v>0</v>
      </c>
      <c r="BM421" s="1056">
        <f t="shared" si="328"/>
        <v>0</v>
      </c>
      <c r="BN421" s="1500">
        <f t="shared" si="328"/>
        <v>0</v>
      </c>
      <c r="BO421" s="1056">
        <f t="shared" si="328"/>
        <v>0</v>
      </c>
      <c r="BP421" s="1056">
        <f t="shared" si="328"/>
        <v>0</v>
      </c>
      <c r="BQ421" s="1056">
        <f t="shared" si="328"/>
        <v>0</v>
      </c>
      <c r="BR421" s="1056">
        <f t="shared" si="328"/>
        <v>0</v>
      </c>
      <c r="BS421" s="1500">
        <f t="shared" si="328"/>
        <v>0</v>
      </c>
      <c r="BT421" s="1500">
        <f t="shared" si="328"/>
        <v>0</v>
      </c>
      <c r="BU421" s="1500">
        <f t="shared" si="328"/>
        <v>0</v>
      </c>
      <c r="BV421" s="1500">
        <f t="shared" si="328"/>
        <v>0</v>
      </c>
      <c r="BW421" s="122"/>
    </row>
    <row r="422" spans="1:75" hidden="1" outlineLevel="2" x14ac:dyDescent="0.5">
      <c r="A422" s="184" t="s">
        <v>2384</v>
      </c>
      <c r="B422" s="513"/>
      <c r="C422" s="401"/>
      <c r="D422" s="401"/>
      <c r="E422" s="401"/>
      <c r="F422" s="401"/>
      <c r="G422" s="118"/>
      <c r="H422" s="118"/>
      <c r="I422" s="118"/>
      <c r="J422" s="118"/>
      <c r="K422" s="401"/>
      <c r="L422" s="118"/>
      <c r="M422" s="118"/>
      <c r="N422" s="118"/>
      <c r="O422" s="118"/>
      <c r="P422" s="401"/>
      <c r="Q422" s="118"/>
      <c r="R422" s="118"/>
      <c r="S422" s="118"/>
      <c r="T422" s="118"/>
      <c r="U422" s="401"/>
      <c r="V422" s="118"/>
      <c r="W422" s="118"/>
      <c r="X422" s="118"/>
      <c r="Y422" s="118"/>
      <c r="Z422" s="401"/>
      <c r="AA422" s="118"/>
      <c r="AB422" s="118"/>
      <c r="AC422" s="118"/>
      <c r="AD422" s="118"/>
      <c r="AE422" s="401"/>
      <c r="AF422" s="118"/>
      <c r="AG422" s="118"/>
      <c r="AH422" s="118"/>
      <c r="AI422" s="118"/>
      <c r="AJ422" s="401"/>
      <c r="AK422" s="118"/>
      <c r="AL422" s="118"/>
      <c r="AM422" s="118"/>
      <c r="AN422" s="118"/>
      <c r="AO422" s="401">
        <f ca="1">IF(AO421&lt;0,AO419*AO415,0)</f>
        <v>0</v>
      </c>
      <c r="AP422" s="118"/>
      <c r="AQ422" s="118"/>
      <c r="AR422" s="118"/>
      <c r="AS422" s="118"/>
      <c r="AT422" s="401">
        <f t="shared" ref="AT422:BV422" ca="1" si="329">IF(AT421&lt;0,AT419*AT415,0)</f>
        <v>0</v>
      </c>
      <c r="AU422" s="118">
        <f t="shared" ca="1" si="329"/>
        <v>948.74599999999998</v>
      </c>
      <c r="AV422" s="118">
        <f t="shared" ca="1" si="329"/>
        <v>948.745</v>
      </c>
      <c r="AW422" s="118">
        <f t="shared" ca="1" si="329"/>
        <v>948.74400000000003</v>
      </c>
      <c r="AX422" s="118">
        <f t="shared" ca="1" si="329"/>
        <v>949</v>
      </c>
      <c r="AY422" s="401">
        <f t="shared" ca="1" si="329"/>
        <v>949</v>
      </c>
      <c r="AZ422" s="118">
        <f t="shared" ca="1" si="329"/>
        <v>0</v>
      </c>
      <c r="BA422" s="118">
        <f t="shared" ca="1" si="329"/>
        <v>0</v>
      </c>
      <c r="BB422" s="118">
        <f t="shared" ca="1" si="329"/>
        <v>0</v>
      </c>
      <c r="BC422" s="118">
        <f t="shared" ca="1" si="329"/>
        <v>0</v>
      </c>
      <c r="BD422" s="401">
        <f t="shared" ca="1" si="329"/>
        <v>0</v>
      </c>
      <c r="BE422" s="118">
        <f t="shared" ca="1" si="329"/>
        <v>0</v>
      </c>
      <c r="BF422" s="118">
        <f t="shared" ca="1" si="329"/>
        <v>0</v>
      </c>
      <c r="BG422" s="118">
        <f t="shared" ca="1" si="329"/>
        <v>0</v>
      </c>
      <c r="BH422" s="118">
        <f t="shared" ca="1" si="329"/>
        <v>949</v>
      </c>
      <c r="BI422" s="401">
        <f t="shared" ca="1" si="329"/>
        <v>949</v>
      </c>
      <c r="BJ422" s="971">
        <f t="shared" ca="1" si="329"/>
        <v>949</v>
      </c>
      <c r="BK422" s="118">
        <f t="shared" si="329"/>
        <v>0</v>
      </c>
      <c r="BL422" s="118">
        <f t="shared" si="329"/>
        <v>0</v>
      </c>
      <c r="BM422" s="118">
        <f t="shared" si="329"/>
        <v>0</v>
      </c>
      <c r="BN422" s="401">
        <f t="shared" si="329"/>
        <v>0</v>
      </c>
      <c r="BO422" s="118">
        <f t="shared" si="329"/>
        <v>0</v>
      </c>
      <c r="BP422" s="118">
        <f t="shared" si="329"/>
        <v>0</v>
      </c>
      <c r="BQ422" s="118">
        <f t="shared" si="329"/>
        <v>0</v>
      </c>
      <c r="BR422" s="118">
        <f t="shared" si="329"/>
        <v>0</v>
      </c>
      <c r="BS422" s="401">
        <f t="shared" si="329"/>
        <v>0</v>
      </c>
      <c r="BT422" s="401">
        <f t="shared" si="329"/>
        <v>0</v>
      </c>
      <c r="BU422" s="401">
        <f t="shared" si="329"/>
        <v>0</v>
      </c>
      <c r="BV422" s="401">
        <f t="shared" si="329"/>
        <v>0</v>
      </c>
      <c r="BW422" s="122"/>
    </row>
    <row r="423" spans="1:75" hidden="1" outlineLevel="2" x14ac:dyDescent="0.5">
      <c r="A423" s="184"/>
      <c r="B423" s="513"/>
      <c r="C423" s="401"/>
      <c r="D423" s="401"/>
      <c r="E423" s="401"/>
      <c r="F423" s="401"/>
      <c r="G423" s="118"/>
      <c r="H423" s="118"/>
      <c r="I423" s="118"/>
      <c r="J423" s="118"/>
      <c r="K423" s="401"/>
      <c r="L423" s="118"/>
      <c r="M423" s="118"/>
      <c r="N423" s="118"/>
      <c r="O423" s="118"/>
      <c r="P423" s="401"/>
      <c r="Q423" s="118"/>
      <c r="R423" s="118"/>
      <c r="S423" s="118"/>
      <c r="T423" s="118"/>
      <c r="U423" s="401"/>
      <c r="V423" s="118"/>
      <c r="W423" s="118"/>
      <c r="X423" s="118"/>
      <c r="Y423" s="118"/>
      <c r="Z423" s="401"/>
      <c r="AA423" s="118"/>
      <c r="AB423" s="118"/>
      <c r="AC423" s="118"/>
      <c r="AD423" s="118"/>
      <c r="AE423" s="401"/>
      <c r="AF423" s="118"/>
      <c r="AG423" s="118"/>
      <c r="AH423" s="118"/>
      <c r="AI423" s="118"/>
      <c r="AJ423" s="401"/>
      <c r="AK423" s="118"/>
      <c r="AL423" s="118"/>
      <c r="AM423" s="118"/>
      <c r="AN423" s="118"/>
      <c r="AO423" s="401"/>
      <c r="AP423" s="118"/>
      <c r="AQ423" s="118"/>
      <c r="AR423" s="118"/>
      <c r="AS423" s="118"/>
      <c r="AT423" s="401"/>
      <c r="AU423" s="118"/>
      <c r="AV423" s="118"/>
      <c r="AW423" s="118"/>
      <c r="AX423" s="118"/>
      <c r="AY423" s="401"/>
      <c r="AZ423" s="118"/>
      <c r="BA423" s="118"/>
      <c r="BB423" s="118"/>
      <c r="BC423" s="118"/>
      <c r="BD423" s="401"/>
      <c r="BE423" s="118"/>
      <c r="BF423" s="118"/>
      <c r="BG423" s="118"/>
      <c r="BH423" s="118"/>
      <c r="BI423" s="401"/>
      <c r="BJ423" s="971"/>
      <c r="BK423" s="118"/>
      <c r="BL423" s="118"/>
      <c r="BM423" s="118"/>
      <c r="BN423" s="401"/>
      <c r="BO423" s="118"/>
      <c r="BP423" s="118"/>
      <c r="BQ423" s="118"/>
      <c r="BR423" s="118"/>
      <c r="BS423" s="401"/>
      <c r="BT423" s="401"/>
      <c r="BU423" s="401"/>
      <c r="BV423" s="401"/>
      <c r="BW423" s="122"/>
    </row>
    <row r="424" spans="1:75" hidden="1" outlineLevel="2" x14ac:dyDescent="0.5">
      <c r="A424" s="752" t="s">
        <v>2418</v>
      </c>
      <c r="B424" s="513"/>
      <c r="C424" s="401"/>
      <c r="D424" s="401"/>
      <c r="E424" s="401"/>
      <c r="F424" s="401"/>
      <c r="G424" s="118"/>
      <c r="H424" s="118"/>
      <c r="I424" s="118"/>
      <c r="J424" s="118"/>
      <c r="K424" s="401"/>
      <c r="L424" s="118"/>
      <c r="M424" s="118"/>
      <c r="N424" s="118"/>
      <c r="O424" s="118"/>
      <c r="P424" s="401"/>
      <c r="Q424" s="118"/>
      <c r="R424" s="118"/>
      <c r="S424" s="118"/>
      <c r="T424" s="118"/>
      <c r="U424" s="401"/>
      <c r="V424" s="118"/>
      <c r="W424" s="118"/>
      <c r="X424" s="118"/>
      <c r="Y424" s="118"/>
      <c r="Z424" s="401"/>
      <c r="AA424" s="118"/>
      <c r="AB424" s="118"/>
      <c r="AC424" s="118"/>
      <c r="AD424" s="118"/>
      <c r="AE424" s="401"/>
      <c r="AF424" s="118"/>
      <c r="AG424" s="118"/>
      <c r="AH424" s="118"/>
      <c r="AI424" s="118"/>
      <c r="AJ424" s="401"/>
      <c r="AK424" s="118"/>
      <c r="AL424" s="118"/>
      <c r="AM424" s="118"/>
      <c r="AN424" s="118"/>
      <c r="AO424" s="401"/>
      <c r="AP424" s="118"/>
      <c r="AQ424" s="118"/>
      <c r="AR424" s="118"/>
      <c r="AS424" s="118"/>
      <c r="AT424" s="401"/>
      <c r="AU424" s="118"/>
      <c r="AV424" s="118"/>
      <c r="AW424" s="118"/>
      <c r="AX424" s="118"/>
      <c r="AY424" s="401"/>
      <c r="AZ424" s="118"/>
      <c r="BA424" s="118"/>
      <c r="BB424" s="118"/>
      <c r="BC424" s="118"/>
      <c r="BD424" s="401"/>
      <c r="BE424" s="118"/>
      <c r="BF424" s="118"/>
      <c r="BG424" s="118"/>
      <c r="BH424" s="118"/>
      <c r="BI424" s="401"/>
      <c r="BJ424" s="971"/>
      <c r="BK424" s="118">
        <f>IFERROR(IF(AND(BK412=0,BK280&gt;BJ415,BK280&gt;BJ420),BJ416-BJ416*BJ420/BK280*BJ419/BJ416,0),0)</f>
        <v>0</v>
      </c>
      <c r="BL424" s="118">
        <f>IFERROR(IF(AND(BL412=0,BL280&gt;BK415,BL280&gt;BK420),BK416-BK416*BK420/BL280*BK419/BK416,0),0)</f>
        <v>0</v>
      </c>
      <c r="BM424" s="118">
        <f>IFERROR(IF(AND(BM412=0,BM280&gt;BL415,BM280&gt;BL420),BL416-BL416*BL420/BM280*BL419/BL416,0),0)</f>
        <v>0</v>
      </c>
      <c r="BN424" s="401">
        <f>SUM(BJ424,BK424,BL424,BM424)</f>
        <v>0</v>
      </c>
      <c r="BO424" s="118">
        <f>IFERROR(IF(AND(BO412=0,BO280&gt;BN415,BO280&gt;BN420),BN416-BN416*BN420/BO280*BN419/BN416,0),0)</f>
        <v>0</v>
      </c>
      <c r="BP424" s="118">
        <f>IFERROR(IF(AND(BP412=0,BP280&gt;BO415,BP280&gt;BO420),BO416-BO416*BO420/BP280*BO419/BO416,0),0)</f>
        <v>0</v>
      </c>
      <c r="BQ424" s="118">
        <f>IFERROR(IF(AND(BQ412=0,BQ280&gt;BP415,BQ280&gt;BP420),BP416-BP416*BP420/BQ280*BP419/BP416,0),0)</f>
        <v>0</v>
      </c>
      <c r="BR424" s="118">
        <f>IFERROR(IF(AND(BR412=0,BR280&gt;BQ415,BR280&gt;BQ420),BQ416-BQ416*BQ420/BR280*BQ419/BQ416,0),0)</f>
        <v>0</v>
      </c>
      <c r="BS424" s="401">
        <f>SUM(BO424,BP424,BQ424,BR424)</f>
        <v>0</v>
      </c>
      <c r="BT424" s="401">
        <f>IFERROR(IF(AND(BT412=0,BT280&gt;BS415,BT280&gt;BS420),BS416-BS416*BS420/BT280*BS419/BS416,0),0)</f>
        <v>0</v>
      </c>
      <c r="BU424" s="401">
        <f>IFERROR(IF(AND(BU412=0,BU280&gt;BT415,BU280&gt;BT420),BT416-BT416*BT420/BU280*BT419/BT416,0),0)</f>
        <v>0</v>
      </c>
      <c r="BV424" s="401">
        <f>IFERROR(IF(AND(BV412=0,BV280&gt;BU415,BV280&gt;BU420),BU416-BU416*BU420/BV280*BU419/BU416,0),0)</f>
        <v>0</v>
      </c>
      <c r="BW424" s="122"/>
    </row>
    <row r="425" spans="1:75" hidden="1" outlineLevel="2" x14ac:dyDescent="0.5">
      <c r="A425" s="752" t="s">
        <v>2419</v>
      </c>
      <c r="B425" s="513"/>
      <c r="C425" s="401"/>
      <c r="D425" s="401"/>
      <c r="E425" s="401"/>
      <c r="F425" s="401"/>
      <c r="G425" s="118"/>
      <c r="H425" s="118"/>
      <c r="I425" s="118"/>
      <c r="J425" s="118"/>
      <c r="K425" s="401"/>
      <c r="L425" s="118"/>
      <c r="M425" s="118"/>
      <c r="N425" s="118"/>
      <c r="O425" s="118"/>
      <c r="P425" s="401"/>
      <c r="Q425" s="118"/>
      <c r="R425" s="118"/>
      <c r="S425" s="118"/>
      <c r="T425" s="118"/>
      <c r="U425" s="401"/>
      <c r="V425" s="118"/>
      <c r="W425" s="118"/>
      <c r="X425" s="118"/>
      <c r="Y425" s="118"/>
      <c r="Z425" s="401"/>
      <c r="AA425" s="118"/>
      <c r="AB425" s="118"/>
      <c r="AC425" s="118"/>
      <c r="AD425" s="118"/>
      <c r="AE425" s="401"/>
      <c r="AF425" s="118"/>
      <c r="AG425" s="118"/>
      <c r="AH425" s="118"/>
      <c r="AI425" s="118"/>
      <c r="AJ425" s="401"/>
      <c r="AK425" s="118"/>
      <c r="AL425" s="118"/>
      <c r="AM425" s="118"/>
      <c r="AN425" s="118"/>
      <c r="AO425" s="401"/>
      <c r="AP425" s="118"/>
      <c r="AQ425" s="118"/>
      <c r="AR425" s="118"/>
      <c r="AS425" s="118"/>
      <c r="AT425" s="401"/>
      <c r="AU425" s="118"/>
      <c r="AV425" s="118"/>
      <c r="AW425" s="118"/>
      <c r="AX425" s="118"/>
      <c r="AY425" s="401"/>
      <c r="AZ425" s="118"/>
      <c r="BA425" s="118"/>
      <c r="BB425" s="118"/>
      <c r="BC425" s="118"/>
      <c r="BD425" s="401"/>
      <c r="BE425" s="118"/>
      <c r="BF425" s="118"/>
      <c r="BG425" s="118"/>
      <c r="BH425" s="118"/>
      <c r="BI425" s="401"/>
      <c r="BJ425" s="971"/>
      <c r="BK425" s="118">
        <f>IF(AND(BK412=0,BK280&gt;BJ415),-BJ415*BJ419,0)</f>
        <v>0</v>
      </c>
      <c r="BL425" s="118">
        <f>IF(AND(BL412=0,BL280&gt;BK415),-BK415*BK419,0)</f>
        <v>0</v>
      </c>
      <c r="BM425" s="118">
        <f>IF(AND(BM412=0,BM280&gt;BL415),-BL415*BL419,0)</f>
        <v>0</v>
      </c>
      <c r="BN425" s="401">
        <f>SUM(BJ425,BK425,BL425,BM425)</f>
        <v>0</v>
      </c>
      <c r="BO425" s="118">
        <f>IF(AND(BO412=0,BO280&gt;BN415),-BN415*BN419,0)</f>
        <v>0</v>
      </c>
      <c r="BP425" s="118">
        <f>IF(AND(BP412=0,BP280&gt;BO415),-BO415*BO419,0)</f>
        <v>0</v>
      </c>
      <c r="BQ425" s="118">
        <f>IF(AND(BQ412=0,BQ280&gt;BP415),-BP415*BP419,0)</f>
        <v>0</v>
      </c>
      <c r="BR425" s="118">
        <f>IF(AND(BR412=0,BR280&gt;BQ415),-BQ415*BQ419,0)</f>
        <v>0</v>
      </c>
      <c r="BS425" s="401">
        <f>SUM(BO425,BP425,BQ425,BR425)</f>
        <v>0</v>
      </c>
      <c r="BT425" s="401">
        <f>IF(AND(BT412=0,BT280&gt;BS415),-BS415*BS419,0)</f>
        <v>0</v>
      </c>
      <c r="BU425" s="401">
        <f>IF(AND(BU412=0,BU280&gt;BT415),-BT415*BT419,0)</f>
        <v>0</v>
      </c>
      <c r="BV425" s="401">
        <f>IF(AND(BV412=0,BV280&gt;BU415),-BU415*BU419,0)</f>
        <v>0</v>
      </c>
      <c r="BW425" s="122"/>
    </row>
    <row r="426" spans="1:75" hidden="1" outlineLevel="2" x14ac:dyDescent="0.5">
      <c r="A426" s="752" t="s">
        <v>2420</v>
      </c>
      <c r="B426" s="513"/>
      <c r="C426" s="401"/>
      <c r="D426" s="401"/>
      <c r="E426" s="401"/>
      <c r="F426" s="401"/>
      <c r="G426" s="118"/>
      <c r="H426" s="118"/>
      <c r="I426" s="118"/>
      <c r="J426" s="118"/>
      <c r="K426" s="401"/>
      <c r="L426" s="118"/>
      <c r="M426" s="118"/>
      <c r="N426" s="118"/>
      <c r="O426" s="118"/>
      <c r="P426" s="401"/>
      <c r="Q426" s="118"/>
      <c r="R426" s="118"/>
      <c r="S426" s="118"/>
      <c r="T426" s="118"/>
      <c r="U426" s="401"/>
      <c r="V426" s="118"/>
      <c r="W426" s="118"/>
      <c r="X426" s="118"/>
      <c r="Y426" s="118"/>
      <c r="Z426" s="401"/>
      <c r="AA426" s="118"/>
      <c r="AB426" s="118"/>
      <c r="AC426" s="118"/>
      <c r="AD426" s="118"/>
      <c r="AE426" s="401"/>
      <c r="AF426" s="118"/>
      <c r="AG426" s="118"/>
      <c r="AH426" s="118"/>
      <c r="AI426" s="118"/>
      <c r="AJ426" s="401"/>
      <c r="AK426" s="118"/>
      <c r="AL426" s="118"/>
      <c r="AM426" s="118"/>
      <c r="AN426" s="118"/>
      <c r="AO426" s="401"/>
      <c r="AP426" s="118"/>
      <c r="AQ426" s="118"/>
      <c r="AR426" s="118"/>
      <c r="AS426" s="118"/>
      <c r="AT426" s="401"/>
      <c r="AU426" s="118"/>
      <c r="AV426" s="118"/>
      <c r="AW426" s="118"/>
      <c r="AX426" s="118"/>
      <c r="AY426" s="401"/>
      <c r="AZ426" s="118"/>
      <c r="BA426" s="118"/>
      <c r="BB426" s="118"/>
      <c r="BC426" s="118"/>
      <c r="BD426" s="401"/>
      <c r="BE426" s="118"/>
      <c r="BF426" s="118"/>
      <c r="BG426" s="118"/>
      <c r="BH426" s="118"/>
      <c r="BI426" s="401"/>
      <c r="BJ426" s="971"/>
      <c r="BK426" s="118">
        <f>IF(AND(BK412=0,BK280&lt;=BJ415),-BJ412,0)</f>
        <v>0</v>
      </c>
      <c r="BL426" s="118">
        <f>IF(AND(BL412=0,BL280&lt;=BK415),-BK412,0)</f>
        <v>0</v>
      </c>
      <c r="BM426" s="118">
        <f>IF(AND(BM412=0,BM280&lt;=BL415),-BL412,0)</f>
        <v>0</v>
      </c>
      <c r="BN426" s="401">
        <f>SUM(BJ426,BK426,BL426,BM426)</f>
        <v>0</v>
      </c>
      <c r="BO426" s="118">
        <f>IF(AND(BO412=0,BO280&lt;=BN415),-BN412,0)</f>
        <v>0</v>
      </c>
      <c r="BP426" s="118">
        <f>IF(AND(BP412=0,BP280&lt;=BO415),-BO412,0)</f>
        <v>0</v>
      </c>
      <c r="BQ426" s="118">
        <f>IF(AND(BQ412=0,BQ280&lt;=BP415),-BP412,0)</f>
        <v>0</v>
      </c>
      <c r="BR426" s="118">
        <f>IF(AND(BR412=0,BR280&lt;=BQ415),-BQ412,0)</f>
        <v>0</v>
      </c>
      <c r="BS426" s="401">
        <f>SUM(BO426,BP426,BQ426,BR426)</f>
        <v>0</v>
      </c>
      <c r="BT426" s="401">
        <f>IF(AND(BT412=0,BT280&lt;=BS415),-BS412,0)</f>
        <v>-949</v>
      </c>
      <c r="BU426" s="401">
        <f>IF(AND(BU412=0,BU280&lt;=BT415),-BT412,0)</f>
        <v>0</v>
      </c>
      <c r="BV426" s="401">
        <f>IF(AND(BV412=0,BV280&lt;=BU415),-BU412,0)</f>
        <v>0</v>
      </c>
      <c r="BW426" s="122"/>
    </row>
    <row r="427" spans="1:75" hidden="1" outlineLevel="2" x14ac:dyDescent="0.5">
      <c r="A427" s="752"/>
      <c r="B427" s="513"/>
      <c r="C427" s="401"/>
      <c r="D427" s="401"/>
      <c r="E427" s="401"/>
      <c r="F427" s="401"/>
      <c r="G427" s="118"/>
      <c r="H427" s="118"/>
      <c r="I427" s="118"/>
      <c r="J427" s="118"/>
      <c r="K427" s="401"/>
      <c r="L427" s="118"/>
      <c r="M427" s="118"/>
      <c r="N427" s="118"/>
      <c r="O427" s="118"/>
      <c r="P427" s="401"/>
      <c r="Q427" s="118"/>
      <c r="R427" s="118"/>
      <c r="S427" s="118"/>
      <c r="T427" s="118"/>
      <c r="U427" s="401"/>
      <c r="V427" s="118"/>
      <c r="W427" s="118"/>
      <c r="X427" s="118"/>
      <c r="Y427" s="118"/>
      <c r="Z427" s="401"/>
      <c r="AA427" s="118"/>
      <c r="AB427" s="118"/>
      <c r="AC427" s="118"/>
      <c r="AD427" s="118"/>
      <c r="AE427" s="401"/>
      <c r="AF427" s="118"/>
      <c r="AG427" s="118"/>
      <c r="AH427" s="118"/>
      <c r="AI427" s="118"/>
      <c r="AJ427" s="401"/>
      <c r="AK427" s="118"/>
      <c r="AL427" s="118"/>
      <c r="AM427" s="118"/>
      <c r="AN427" s="118"/>
      <c r="AO427" s="401"/>
      <c r="AP427" s="118"/>
      <c r="AQ427" s="118"/>
      <c r="AR427" s="118"/>
      <c r="AS427" s="118"/>
      <c r="AT427" s="401"/>
      <c r="AU427" s="118"/>
      <c r="AV427" s="118"/>
      <c r="AW427" s="118"/>
      <c r="AX427" s="118"/>
      <c r="AY427" s="401"/>
      <c r="AZ427" s="118"/>
      <c r="BA427" s="118"/>
      <c r="BB427" s="118"/>
      <c r="BC427" s="118"/>
      <c r="BD427" s="401"/>
      <c r="BE427" s="118"/>
      <c r="BF427" s="118"/>
      <c r="BG427" s="118"/>
      <c r="BH427" s="118"/>
      <c r="BI427" s="401"/>
      <c r="BJ427" s="971"/>
      <c r="BK427" s="118"/>
      <c r="BL427" s="118"/>
      <c r="BM427" s="118"/>
      <c r="BN427" s="401"/>
      <c r="BO427" s="118"/>
      <c r="BP427" s="118"/>
      <c r="BQ427" s="118"/>
      <c r="BR427" s="118"/>
      <c r="BS427" s="401"/>
      <c r="BT427" s="401"/>
      <c r="BU427" s="401"/>
      <c r="BV427" s="401"/>
      <c r="BW427" s="122"/>
    </row>
    <row r="428" spans="1:75" hidden="1" outlineLevel="2" x14ac:dyDescent="0.5">
      <c r="A428" s="184" t="s">
        <v>2421</v>
      </c>
      <c r="B428" s="513"/>
      <c r="C428" s="779"/>
      <c r="D428" s="779"/>
      <c r="E428" s="779"/>
      <c r="F428" s="779"/>
      <c r="G428" s="780"/>
      <c r="H428" s="780"/>
      <c r="I428" s="780"/>
      <c r="J428" s="780"/>
      <c r="K428" s="779"/>
      <c r="L428" s="780"/>
      <c r="M428" s="780"/>
      <c r="N428" s="780"/>
      <c r="O428" s="780"/>
      <c r="P428" s="779"/>
      <c r="Q428" s="780"/>
      <c r="R428" s="780"/>
      <c r="S428" s="780"/>
      <c r="T428" s="780"/>
      <c r="U428" s="779"/>
      <c r="V428" s="780"/>
      <c r="W428" s="780"/>
      <c r="X428" s="780"/>
      <c r="Y428" s="780"/>
      <c r="Z428" s="779"/>
      <c r="AA428" s="780"/>
      <c r="AB428" s="780"/>
      <c r="AC428" s="780"/>
      <c r="AD428" s="780"/>
      <c r="AE428" s="779"/>
      <c r="AF428" s="780"/>
      <c r="AG428" s="780"/>
      <c r="AH428" s="780"/>
      <c r="AI428" s="780"/>
      <c r="AJ428" s="779"/>
      <c r="AK428" s="780"/>
      <c r="AL428" s="780"/>
      <c r="AM428" s="780"/>
      <c r="AN428" s="780"/>
      <c r="AO428" s="779"/>
      <c r="AP428" s="780"/>
      <c r="AQ428" s="780"/>
      <c r="AR428" s="780"/>
      <c r="AS428" s="780"/>
      <c r="AT428" s="779"/>
      <c r="AU428" s="780"/>
      <c r="AV428" s="780"/>
      <c r="AW428" s="780"/>
      <c r="AX428" s="780"/>
      <c r="AY428" s="779"/>
      <c r="AZ428" s="780"/>
      <c r="BA428" s="780"/>
      <c r="BB428" s="819">
        <v>46645</v>
      </c>
      <c r="BC428" s="780">
        <f t="shared" ref="BC428:BV428" si="330">BB428</f>
        <v>46645</v>
      </c>
      <c r="BD428" s="779">
        <f t="shared" si="330"/>
        <v>46645</v>
      </c>
      <c r="BE428" s="780">
        <f t="shared" si="330"/>
        <v>46645</v>
      </c>
      <c r="BF428" s="780">
        <f t="shared" si="330"/>
        <v>46645</v>
      </c>
      <c r="BG428" s="780">
        <f t="shared" si="330"/>
        <v>46645</v>
      </c>
      <c r="BH428" s="780">
        <f t="shared" si="330"/>
        <v>46645</v>
      </c>
      <c r="BI428" s="779">
        <f t="shared" si="330"/>
        <v>46645</v>
      </c>
      <c r="BJ428" s="1316">
        <f t="shared" si="330"/>
        <v>46645</v>
      </c>
      <c r="BK428" s="780">
        <f t="shared" si="330"/>
        <v>46645</v>
      </c>
      <c r="BL428" s="780">
        <f t="shared" si="330"/>
        <v>46645</v>
      </c>
      <c r="BM428" s="780">
        <f t="shared" si="330"/>
        <v>46645</v>
      </c>
      <c r="BN428" s="779">
        <f t="shared" si="330"/>
        <v>46645</v>
      </c>
      <c r="BO428" s="780">
        <f t="shared" si="330"/>
        <v>46645</v>
      </c>
      <c r="BP428" s="780">
        <f t="shared" si="330"/>
        <v>46645</v>
      </c>
      <c r="BQ428" s="780">
        <f t="shared" si="330"/>
        <v>46645</v>
      </c>
      <c r="BR428" s="780">
        <f t="shared" si="330"/>
        <v>46645</v>
      </c>
      <c r="BS428" s="779">
        <f t="shared" si="330"/>
        <v>46645</v>
      </c>
      <c r="BT428" s="779">
        <f t="shared" si="330"/>
        <v>46645</v>
      </c>
      <c r="BU428" s="779">
        <f t="shared" si="330"/>
        <v>46645</v>
      </c>
      <c r="BV428" s="779">
        <f t="shared" si="330"/>
        <v>46645</v>
      </c>
      <c r="BW428" s="122"/>
    </row>
    <row r="429" spans="1:75" hidden="1" outlineLevel="2" x14ac:dyDescent="0.5">
      <c r="A429" s="496" t="s">
        <v>2422</v>
      </c>
      <c r="B429" s="513"/>
      <c r="C429" s="401"/>
      <c r="D429" s="401"/>
      <c r="E429" s="401"/>
      <c r="F429" s="401"/>
      <c r="G429" s="118"/>
      <c r="H429" s="118"/>
      <c r="I429" s="118"/>
      <c r="J429" s="118"/>
      <c r="K429" s="401"/>
      <c r="L429" s="118"/>
      <c r="M429" s="118"/>
      <c r="N429" s="118"/>
      <c r="O429" s="118"/>
      <c r="P429" s="401"/>
      <c r="Q429" s="118"/>
      <c r="R429" s="118"/>
      <c r="S429" s="118"/>
      <c r="T429" s="118"/>
      <c r="U429" s="401"/>
      <c r="V429" s="118"/>
      <c r="W429" s="118"/>
      <c r="X429" s="118"/>
      <c r="Y429" s="118"/>
      <c r="Z429" s="401"/>
      <c r="AA429" s="118"/>
      <c r="AB429" s="118"/>
      <c r="AC429" s="118"/>
      <c r="AD429" s="118"/>
      <c r="AE429" s="401"/>
      <c r="AF429" s="118"/>
      <c r="AG429" s="118"/>
      <c r="AH429" s="118"/>
      <c r="AI429" s="118"/>
      <c r="AJ429" s="401"/>
      <c r="AK429" s="118"/>
      <c r="AL429" s="118"/>
      <c r="AM429" s="118"/>
      <c r="AN429" s="118"/>
      <c r="AO429" s="401"/>
      <c r="AP429" s="118"/>
      <c r="AQ429" s="118"/>
      <c r="AR429" s="118"/>
      <c r="AS429" s="118"/>
      <c r="AT429" s="401"/>
      <c r="AU429" s="118"/>
      <c r="AV429" s="118"/>
      <c r="AW429" s="118"/>
      <c r="AX429" s="118"/>
      <c r="AY429" s="401"/>
      <c r="AZ429" s="118"/>
      <c r="BA429" s="118"/>
      <c r="BB429" s="302">
        <v>690</v>
      </c>
      <c r="BC429" s="118">
        <f>BD429</f>
        <v>690</v>
      </c>
      <c r="BD429" s="403">
        <v>690</v>
      </c>
      <c r="BE429" s="118">
        <f>BD429</f>
        <v>690</v>
      </c>
      <c r="BF429" s="302">
        <v>690</v>
      </c>
      <c r="BG429" s="302">
        <v>690</v>
      </c>
      <c r="BH429" s="118">
        <f>BI429</f>
        <v>690</v>
      </c>
      <c r="BI429" s="403">
        <v>690</v>
      </c>
      <c r="BJ429" s="1207">
        <v>690</v>
      </c>
      <c r="BK429" s="118">
        <f>IF(BK428&lt;BK$4,0,BJ429)</f>
        <v>690</v>
      </c>
      <c r="BL429" s="118">
        <f>IF(BL428&lt;BL$4,0,BK429)</f>
        <v>690</v>
      </c>
      <c r="BM429" s="118">
        <f>IF(BM428&lt;BM$4,0,BL429)</f>
        <v>690</v>
      </c>
      <c r="BN429" s="401">
        <f>BM429</f>
        <v>690</v>
      </c>
      <c r="BO429" s="118">
        <f>IF(BO428&lt;BO$4,0,BN429)</f>
        <v>690</v>
      </c>
      <c r="BP429" s="118">
        <f>IF(BP428&lt;BP$4,0,BO429)</f>
        <v>690</v>
      </c>
      <c r="BQ429" s="118">
        <f>IF(BQ428&lt;BQ$4,0,BP429)</f>
        <v>690</v>
      </c>
      <c r="BR429" s="118">
        <f>IF(BR428&lt;BR$4,0,BQ429)</f>
        <v>690</v>
      </c>
      <c r="BS429" s="401">
        <f>BR429</f>
        <v>690</v>
      </c>
      <c r="BT429" s="401">
        <f>IF(BT428&lt;BT$4,0,BS429)</f>
        <v>690</v>
      </c>
      <c r="BU429" s="401">
        <f>IF(BU428&lt;BU$4,0,BT429)</f>
        <v>0</v>
      </c>
      <c r="BV429" s="401">
        <f>IF(BV428&lt;BV$4,0,BU429)</f>
        <v>0</v>
      </c>
      <c r="BW429" s="122"/>
    </row>
    <row r="430" spans="1:75" hidden="1" outlineLevel="2" x14ac:dyDescent="0.5">
      <c r="A430" s="513" t="s">
        <v>2423</v>
      </c>
      <c r="B430" s="513"/>
      <c r="C430" s="401"/>
      <c r="D430" s="401"/>
      <c r="E430" s="401"/>
      <c r="F430" s="401"/>
      <c r="G430" s="118"/>
      <c r="H430" s="118"/>
      <c r="I430" s="118"/>
      <c r="J430" s="118"/>
      <c r="K430" s="401"/>
      <c r="L430" s="118"/>
      <c r="M430" s="118"/>
      <c r="N430" s="118"/>
      <c r="O430" s="118"/>
      <c r="P430" s="401"/>
      <c r="Q430" s="118"/>
      <c r="R430" s="118"/>
      <c r="S430" s="118"/>
      <c r="T430" s="118"/>
      <c r="U430" s="401"/>
      <c r="V430" s="118"/>
      <c r="W430" s="118"/>
      <c r="X430" s="118"/>
      <c r="Y430" s="118"/>
      <c r="Z430" s="401"/>
      <c r="AA430" s="118"/>
      <c r="AB430" s="118"/>
      <c r="AC430" s="118"/>
      <c r="AD430" s="118"/>
      <c r="AE430" s="401"/>
      <c r="AF430" s="118"/>
      <c r="AG430" s="118"/>
      <c r="AH430" s="118"/>
      <c r="AI430" s="118"/>
      <c r="AJ430" s="401"/>
      <c r="AK430" s="118"/>
      <c r="AL430" s="118"/>
      <c r="AM430" s="118"/>
      <c r="AN430" s="118"/>
      <c r="AO430" s="401"/>
      <c r="AP430" s="118"/>
      <c r="AQ430" s="118"/>
      <c r="AR430" s="118"/>
      <c r="AS430" s="118"/>
      <c r="AT430" s="401"/>
      <c r="AU430" s="118"/>
      <c r="AV430" s="118"/>
      <c r="AW430" s="118"/>
      <c r="AX430" s="118"/>
      <c r="AY430" s="401"/>
      <c r="AZ430" s="118"/>
      <c r="BA430" s="118"/>
      <c r="BB430" s="302">
        <v>-12</v>
      </c>
      <c r="BC430" s="118">
        <f>BD430</f>
        <v>-12</v>
      </c>
      <c r="BD430" s="403">
        <v>-12</v>
      </c>
      <c r="BE430" s="302">
        <v>-11</v>
      </c>
      <c r="BF430" s="302">
        <v>-10</v>
      </c>
      <c r="BG430" s="302">
        <v>-11</v>
      </c>
      <c r="BH430" s="118">
        <f>BI430</f>
        <v>-10</v>
      </c>
      <c r="BI430" s="403">
        <v>-10</v>
      </c>
      <c r="BJ430" s="1207">
        <v>-8</v>
      </c>
      <c r="BK430" s="723">
        <f>IF(BK429=0,0,BJ430-BJ430/(BK428-BJ$4)*BK$3)</f>
        <v>-7.4235946159936663</v>
      </c>
      <c r="BL430" s="723">
        <f>IF(BL429=0,0,BK430-BK430/(BL428-BK$4)*BL$3)</f>
        <v>-6.8408551068883616</v>
      </c>
      <c r="BM430" s="723">
        <f>IF(BM429=0,0,BL430-BL430/(BM428-BL$4)*BM$3)</f>
        <v>-6.2581155977830569</v>
      </c>
      <c r="BN430" s="401">
        <f>BM430</f>
        <v>-6.2581155977830569</v>
      </c>
      <c r="BO430" s="723">
        <f>IF(BO429=0,0,BN430-BN430/(BO428-BN$4)*BO$3)</f>
        <v>-5.6880443388756934</v>
      </c>
      <c r="BP430" s="723">
        <f>IF(BP429=0,0,BO430-BO430/(BP428-BO$4)*BP$3)</f>
        <v>-5.1116389548693588</v>
      </c>
      <c r="BQ430" s="723">
        <f>IF(BQ429=0,0,BP430-BP430/(BQ428-BP$4)*BQ$3)</f>
        <v>-4.5288994457640541</v>
      </c>
      <c r="BR430" s="723">
        <f>IF(BR429=0,0,BQ430-BQ430/(BR428-BQ$4)*BR$3)</f>
        <v>-3.9461599366587494</v>
      </c>
      <c r="BS430" s="401">
        <f>BR430</f>
        <v>-3.9461599366587494</v>
      </c>
      <c r="BT430" s="401">
        <f>IF(BT429=0,0,BS430-BS430/(BT428-BS$4)*BT$3)</f>
        <v>-1.6342042755344419</v>
      </c>
      <c r="BU430" s="401">
        <f>IF(BU429=0,0,BT430-BT430/(BU428-BT$4)*BU$3)</f>
        <v>0</v>
      </c>
      <c r="BV430" s="401">
        <f>IF(BV429=0,0,BU430-BU430/(BV428-BU$4)*BV$3)</f>
        <v>0</v>
      </c>
      <c r="BW430" s="122"/>
    </row>
    <row r="431" spans="1:75" hidden="1" outlineLevel="2" x14ac:dyDescent="0.5">
      <c r="A431" s="1516" t="s">
        <v>2424</v>
      </c>
      <c r="B431" s="1499"/>
      <c r="C431" s="1500"/>
      <c r="D431" s="1500"/>
      <c r="E431" s="1500"/>
      <c r="F431" s="1500"/>
      <c r="G431" s="1056"/>
      <c r="H431" s="1056"/>
      <c r="I431" s="1056"/>
      <c r="J431" s="1056"/>
      <c r="K431" s="1500"/>
      <c r="L431" s="1056"/>
      <c r="M431" s="1056"/>
      <c r="N431" s="1056"/>
      <c r="O431" s="1056"/>
      <c r="P431" s="1500"/>
      <c r="Q431" s="1056"/>
      <c r="R431" s="1056"/>
      <c r="S431" s="1056"/>
      <c r="T431" s="1056"/>
      <c r="U431" s="1500"/>
      <c r="V431" s="1056"/>
      <c r="W431" s="1056"/>
      <c r="X431" s="1056"/>
      <c r="Y431" s="1056"/>
      <c r="Z431" s="1500"/>
      <c r="AA431" s="1056"/>
      <c r="AB431" s="1056"/>
      <c r="AC431" s="1056"/>
      <c r="AD431" s="1056"/>
      <c r="AE431" s="1500"/>
      <c r="AF431" s="1056"/>
      <c r="AG431" s="1056"/>
      <c r="AH431" s="1056"/>
      <c r="AI431" s="1056"/>
      <c r="AJ431" s="1500"/>
      <c r="AK431" s="1056"/>
      <c r="AL431" s="1056"/>
      <c r="AM431" s="1056"/>
      <c r="AN431" s="1056"/>
      <c r="AO431" s="1500"/>
      <c r="AP431" s="1056"/>
      <c r="AQ431" s="1056"/>
      <c r="AR431" s="1056"/>
      <c r="AS431" s="1056"/>
      <c r="AT431" s="1500"/>
      <c r="AU431" s="1056"/>
      <c r="AV431" s="1056"/>
      <c r="AW431" s="1056"/>
      <c r="AX431" s="1056"/>
      <c r="AY431" s="1500"/>
      <c r="AZ431" s="1056"/>
      <c r="BA431" s="1056"/>
      <c r="BB431" s="1056">
        <f t="shared" ref="BB431:BV431" si="331">SUM(BB429:BB430)</f>
        <v>678</v>
      </c>
      <c r="BC431" s="1056">
        <f t="shared" si="331"/>
        <v>678</v>
      </c>
      <c r="BD431" s="1500">
        <f t="shared" si="331"/>
        <v>678</v>
      </c>
      <c r="BE431" s="1056">
        <f t="shared" si="331"/>
        <v>679</v>
      </c>
      <c r="BF431" s="1056">
        <f t="shared" si="331"/>
        <v>680</v>
      </c>
      <c r="BG431" s="1056">
        <f t="shared" si="331"/>
        <v>679</v>
      </c>
      <c r="BH431" s="1056">
        <f t="shared" si="331"/>
        <v>680</v>
      </c>
      <c r="BI431" s="1500">
        <f t="shared" si="331"/>
        <v>680</v>
      </c>
      <c r="BJ431" s="1058">
        <f t="shared" si="331"/>
        <v>682</v>
      </c>
      <c r="BK431" s="1056">
        <f t="shared" si="331"/>
        <v>682.57640538400631</v>
      </c>
      <c r="BL431" s="1056">
        <f t="shared" si="331"/>
        <v>683.1591448931116</v>
      </c>
      <c r="BM431" s="1056">
        <f t="shared" si="331"/>
        <v>683.7418844022169</v>
      </c>
      <c r="BN431" s="1500">
        <f t="shared" si="331"/>
        <v>683.7418844022169</v>
      </c>
      <c r="BO431" s="1056">
        <f t="shared" si="331"/>
        <v>684.31195566112433</v>
      </c>
      <c r="BP431" s="1056">
        <f t="shared" si="331"/>
        <v>684.88836104513064</v>
      </c>
      <c r="BQ431" s="1056">
        <f t="shared" si="331"/>
        <v>685.47110055423593</v>
      </c>
      <c r="BR431" s="1056">
        <f t="shared" si="331"/>
        <v>686.05384006334123</v>
      </c>
      <c r="BS431" s="1500">
        <f t="shared" si="331"/>
        <v>686.05384006334123</v>
      </c>
      <c r="BT431" s="1500">
        <f t="shared" si="331"/>
        <v>688.36579572446556</v>
      </c>
      <c r="BU431" s="1500">
        <f t="shared" si="331"/>
        <v>0</v>
      </c>
      <c r="BV431" s="1500">
        <f t="shared" si="331"/>
        <v>0</v>
      </c>
      <c r="BW431" s="122"/>
    </row>
    <row r="432" spans="1:75" hidden="1" outlineLevel="2" x14ac:dyDescent="0.5">
      <c r="A432" s="496" t="s">
        <v>2425</v>
      </c>
      <c r="B432" s="513"/>
      <c r="C432" s="784"/>
      <c r="D432" s="784"/>
      <c r="E432" s="784"/>
      <c r="F432" s="784"/>
      <c r="G432" s="785"/>
      <c r="H432" s="785"/>
      <c r="I432" s="785"/>
      <c r="J432" s="785"/>
      <c r="K432" s="784"/>
      <c r="L432" s="785"/>
      <c r="M432" s="785"/>
      <c r="N432" s="785"/>
      <c r="O432" s="785"/>
      <c r="P432" s="784"/>
      <c r="Q432" s="785"/>
      <c r="R432" s="785"/>
      <c r="S432" s="785"/>
      <c r="T432" s="785"/>
      <c r="U432" s="784"/>
      <c r="V432" s="785"/>
      <c r="W432" s="785"/>
      <c r="X432" s="785"/>
      <c r="Y432" s="785"/>
      <c r="Z432" s="784"/>
      <c r="AA432" s="785"/>
      <c r="AB432" s="785"/>
      <c r="AC432" s="785"/>
      <c r="AD432" s="785"/>
      <c r="AE432" s="784"/>
      <c r="AF432" s="785"/>
      <c r="AG432" s="785"/>
      <c r="AH432" s="785"/>
      <c r="AI432" s="785"/>
      <c r="AJ432" s="784"/>
      <c r="AK432" s="785"/>
      <c r="AL432" s="785"/>
      <c r="AM432" s="785"/>
      <c r="AN432" s="785"/>
      <c r="AO432" s="784"/>
      <c r="AP432" s="785"/>
      <c r="AQ432" s="785"/>
      <c r="AR432" s="785"/>
      <c r="AS432" s="785"/>
      <c r="AT432" s="784"/>
      <c r="AU432" s="785"/>
      <c r="AV432" s="785"/>
      <c r="AW432" s="785"/>
      <c r="AX432" s="785"/>
      <c r="AY432" s="784"/>
      <c r="AZ432" s="785"/>
      <c r="BA432" s="785"/>
      <c r="BB432" s="1071">
        <v>63.45</v>
      </c>
      <c r="BC432" s="785">
        <f>BD432</f>
        <v>63.45</v>
      </c>
      <c r="BD432" s="1517">
        <v>63.45</v>
      </c>
      <c r="BE432" s="1071">
        <v>63.45</v>
      </c>
      <c r="BF432" s="1071">
        <v>63.45</v>
      </c>
      <c r="BG432" s="1071">
        <v>63.45</v>
      </c>
      <c r="BH432" s="785">
        <f>BI432</f>
        <v>63.45</v>
      </c>
      <c r="BI432" s="1517">
        <v>63.45</v>
      </c>
      <c r="BJ432" s="1072">
        <v>63.45</v>
      </c>
      <c r="BK432" s="785">
        <f>IF(BK429=0,0,BJ432)</f>
        <v>63.45</v>
      </c>
      <c r="BL432" s="785">
        <f>IF(BL429=0,0,BK432)</f>
        <v>63.45</v>
      </c>
      <c r="BM432" s="785">
        <f>IF(BM429=0,0,BL432)</f>
        <v>63.45</v>
      </c>
      <c r="BN432" s="784">
        <f>BM432</f>
        <v>63.45</v>
      </c>
      <c r="BO432" s="785">
        <f>IF(BO429=0,0,BN432)</f>
        <v>63.45</v>
      </c>
      <c r="BP432" s="785">
        <f>IF(BP429=0,0,BO432)</f>
        <v>63.45</v>
      </c>
      <c r="BQ432" s="785">
        <f>IF(BQ429=0,0,BP432)</f>
        <v>63.45</v>
      </c>
      <c r="BR432" s="785">
        <f>IF(BR429=0,0,BQ432)</f>
        <v>63.45</v>
      </c>
      <c r="BS432" s="784">
        <f>BR432</f>
        <v>63.45</v>
      </c>
      <c r="BT432" s="784">
        <f>IF(BT429=0,0,BS432)</f>
        <v>63.45</v>
      </c>
      <c r="BU432" s="784">
        <f>IF(BU429=0,0,BT432)</f>
        <v>0</v>
      </c>
      <c r="BV432" s="784">
        <f>IF(BV429=0,0,BU432)</f>
        <v>0</v>
      </c>
      <c r="BW432" s="122"/>
    </row>
    <row r="433" spans="1:75" hidden="1" outlineLevel="2" x14ac:dyDescent="0.5">
      <c r="A433" s="869" t="s">
        <v>2379</v>
      </c>
      <c r="B433" s="870"/>
      <c r="C433" s="871"/>
      <c r="D433" s="871"/>
      <c r="E433" s="871"/>
      <c r="F433" s="871"/>
      <c r="G433" s="872"/>
      <c r="H433" s="872"/>
      <c r="I433" s="872"/>
      <c r="J433" s="872"/>
      <c r="K433" s="871"/>
      <c r="L433" s="872"/>
      <c r="M433" s="872"/>
      <c r="N433" s="872"/>
      <c r="O433" s="872"/>
      <c r="P433" s="871"/>
      <c r="Q433" s="872"/>
      <c r="R433" s="872"/>
      <c r="S433" s="872"/>
      <c r="T433" s="872"/>
      <c r="U433" s="871"/>
      <c r="V433" s="872"/>
      <c r="W433" s="872"/>
      <c r="X433" s="872"/>
      <c r="Y433" s="872"/>
      <c r="Z433" s="871"/>
      <c r="AA433" s="872"/>
      <c r="AB433" s="872"/>
      <c r="AC433" s="872"/>
      <c r="AD433" s="872"/>
      <c r="AE433" s="871"/>
      <c r="AF433" s="872"/>
      <c r="AG433" s="872"/>
      <c r="AH433" s="872"/>
      <c r="AI433" s="872"/>
      <c r="AJ433" s="871"/>
      <c r="AK433" s="872"/>
      <c r="AL433" s="872"/>
      <c r="AM433" s="872"/>
      <c r="AN433" s="872"/>
      <c r="AO433" s="871"/>
      <c r="AP433" s="872"/>
      <c r="AQ433" s="872"/>
      <c r="AR433" s="872"/>
      <c r="AS433" s="872"/>
      <c r="AT433" s="871"/>
      <c r="AU433" s="872"/>
      <c r="AV433" s="872"/>
      <c r="AW433" s="872"/>
      <c r="AX433" s="872"/>
      <c r="AY433" s="871"/>
      <c r="AZ433" s="872"/>
      <c r="BA433" s="872"/>
      <c r="BB433" s="872">
        <f t="shared" ref="BB433:BV433" si="332">IFERROR(BB429/BB432,0)</f>
        <v>10.874704491725767</v>
      </c>
      <c r="BC433" s="872">
        <f t="shared" si="332"/>
        <v>10.874704491725767</v>
      </c>
      <c r="BD433" s="871">
        <f t="shared" si="332"/>
        <v>10.874704491725767</v>
      </c>
      <c r="BE433" s="872">
        <f t="shared" si="332"/>
        <v>10.874704491725767</v>
      </c>
      <c r="BF433" s="872">
        <f t="shared" si="332"/>
        <v>10.874704491725767</v>
      </c>
      <c r="BG433" s="872">
        <f t="shared" si="332"/>
        <v>10.874704491725767</v>
      </c>
      <c r="BH433" s="872">
        <f t="shared" si="332"/>
        <v>10.874704491725767</v>
      </c>
      <c r="BI433" s="871">
        <f t="shared" si="332"/>
        <v>10.874704491725767</v>
      </c>
      <c r="BJ433" s="1504">
        <f t="shared" si="332"/>
        <v>10.874704491725767</v>
      </c>
      <c r="BK433" s="872">
        <f t="shared" si="332"/>
        <v>10.874704491725767</v>
      </c>
      <c r="BL433" s="872">
        <f t="shared" si="332"/>
        <v>10.874704491725767</v>
      </c>
      <c r="BM433" s="872">
        <f t="shared" si="332"/>
        <v>10.874704491725767</v>
      </c>
      <c r="BN433" s="871">
        <f t="shared" si="332"/>
        <v>10.874704491725767</v>
      </c>
      <c r="BO433" s="872">
        <f t="shared" si="332"/>
        <v>10.874704491725767</v>
      </c>
      <c r="BP433" s="872">
        <f t="shared" si="332"/>
        <v>10.874704491725767</v>
      </c>
      <c r="BQ433" s="872">
        <f t="shared" si="332"/>
        <v>10.874704491725767</v>
      </c>
      <c r="BR433" s="872">
        <f t="shared" si="332"/>
        <v>10.874704491725767</v>
      </c>
      <c r="BS433" s="871">
        <f t="shared" si="332"/>
        <v>10.874704491725767</v>
      </c>
      <c r="BT433" s="871">
        <f t="shared" si="332"/>
        <v>10.874704491725767</v>
      </c>
      <c r="BU433" s="871">
        <f t="shared" si="332"/>
        <v>0</v>
      </c>
      <c r="BV433" s="871">
        <f t="shared" si="332"/>
        <v>0</v>
      </c>
      <c r="BW433" s="122"/>
    </row>
    <row r="434" spans="1:75" hidden="1" outlineLevel="2" x14ac:dyDescent="0.5">
      <c r="A434" s="1498" t="s">
        <v>2426</v>
      </c>
      <c r="B434" s="1499"/>
      <c r="C434" s="1500"/>
      <c r="D434" s="1500"/>
      <c r="E434" s="1500"/>
      <c r="F434" s="1500"/>
      <c r="G434" s="1056"/>
      <c r="H434" s="1056"/>
      <c r="I434" s="1056"/>
      <c r="J434" s="1056"/>
      <c r="K434" s="1500"/>
      <c r="L434" s="1056"/>
      <c r="M434" s="1056"/>
      <c r="N434" s="1056"/>
      <c r="O434" s="1056"/>
      <c r="P434" s="1500"/>
      <c r="Q434" s="1056"/>
      <c r="R434" s="1056"/>
      <c r="S434" s="1056"/>
      <c r="T434" s="1056"/>
      <c r="U434" s="1500"/>
      <c r="V434" s="1056"/>
      <c r="W434" s="1056"/>
      <c r="X434" s="1056"/>
      <c r="Y434" s="1056"/>
      <c r="Z434" s="1500"/>
      <c r="AA434" s="1056"/>
      <c r="AB434" s="1056"/>
      <c r="AC434" s="1056"/>
      <c r="AD434" s="1056"/>
      <c r="AE434" s="1500"/>
      <c r="AF434" s="1056"/>
      <c r="AG434" s="1056"/>
      <c r="AH434" s="1056"/>
      <c r="AI434" s="1056"/>
      <c r="AJ434" s="1500"/>
      <c r="AK434" s="1056"/>
      <c r="AL434" s="1056"/>
      <c r="AM434" s="1056"/>
      <c r="AN434" s="1056"/>
      <c r="AO434" s="1500"/>
      <c r="AP434" s="1056"/>
      <c r="AQ434" s="1056"/>
      <c r="AR434" s="1056"/>
      <c r="AS434" s="1056"/>
      <c r="AT434" s="1500"/>
      <c r="AU434" s="1056"/>
      <c r="AV434" s="1056"/>
      <c r="AW434" s="1056"/>
      <c r="AX434" s="1056"/>
      <c r="AY434" s="1500"/>
      <c r="AZ434" s="1056"/>
      <c r="BA434" s="1056"/>
      <c r="BB434" s="1056">
        <f t="shared" ref="BB434:BV434" ca="1" si="333">IFERROR(IF(BB280&gt;BB432,BB433,0),0)</f>
        <v>10.874704491725767</v>
      </c>
      <c r="BC434" s="1056">
        <f t="shared" ca="1" si="333"/>
        <v>10.874704491725767</v>
      </c>
      <c r="BD434" s="1500">
        <f t="shared" ca="1" si="333"/>
        <v>10.874704491725767</v>
      </c>
      <c r="BE434" s="1056">
        <f t="shared" ca="1" si="333"/>
        <v>10.874704491725767</v>
      </c>
      <c r="BF434" s="1056">
        <f t="shared" ca="1" si="333"/>
        <v>10.874704491725767</v>
      </c>
      <c r="BG434" s="1056">
        <f t="shared" ca="1" si="333"/>
        <v>10.874704491725767</v>
      </c>
      <c r="BH434" s="1056">
        <f t="shared" ca="1" si="333"/>
        <v>10.874704491725767</v>
      </c>
      <c r="BI434" s="1500">
        <f t="shared" ca="1" si="333"/>
        <v>10.874704491725767</v>
      </c>
      <c r="BJ434" s="1058">
        <f t="shared" ca="1" si="333"/>
        <v>10.874704491725767</v>
      </c>
      <c r="BK434" s="1056">
        <f t="shared" si="333"/>
        <v>0</v>
      </c>
      <c r="BL434" s="1056">
        <f t="shared" si="333"/>
        <v>0</v>
      </c>
      <c r="BM434" s="1056">
        <f t="shared" si="333"/>
        <v>0</v>
      </c>
      <c r="BN434" s="1500">
        <f t="shared" si="333"/>
        <v>0</v>
      </c>
      <c r="BO434" s="1056">
        <f t="shared" si="333"/>
        <v>10.874704491725767</v>
      </c>
      <c r="BP434" s="1056">
        <f t="shared" si="333"/>
        <v>10.874704491725767</v>
      </c>
      <c r="BQ434" s="1056">
        <f t="shared" si="333"/>
        <v>10.874704491725767</v>
      </c>
      <c r="BR434" s="1056">
        <f t="shared" si="333"/>
        <v>10.874704491725767</v>
      </c>
      <c r="BS434" s="1500">
        <f t="shared" si="333"/>
        <v>10.874704491725767</v>
      </c>
      <c r="BT434" s="1500">
        <f t="shared" si="333"/>
        <v>10.874704491725767</v>
      </c>
      <c r="BU434" s="1500">
        <f t="shared" si="333"/>
        <v>0</v>
      </c>
      <c r="BV434" s="1500">
        <f t="shared" si="333"/>
        <v>0</v>
      </c>
      <c r="BW434" s="122"/>
    </row>
    <row r="435" spans="1:75" hidden="1" outlineLevel="2" x14ac:dyDescent="0.5">
      <c r="A435" s="752"/>
      <c r="B435" s="513"/>
      <c r="C435" s="401"/>
      <c r="D435" s="401"/>
      <c r="E435" s="401"/>
      <c r="F435" s="401"/>
      <c r="G435" s="118"/>
      <c r="H435" s="118"/>
      <c r="I435" s="118"/>
      <c r="J435" s="118"/>
      <c r="K435" s="401"/>
      <c r="L435" s="118"/>
      <c r="M435" s="118"/>
      <c r="N435" s="118"/>
      <c r="O435" s="118"/>
      <c r="P435" s="401"/>
      <c r="Q435" s="118"/>
      <c r="R435" s="118"/>
      <c r="S435" s="118"/>
      <c r="T435" s="118"/>
      <c r="U435" s="401"/>
      <c r="V435" s="118"/>
      <c r="W435" s="118"/>
      <c r="X435" s="118"/>
      <c r="Y435" s="118"/>
      <c r="Z435" s="401"/>
      <c r="AA435" s="118"/>
      <c r="AB435" s="118"/>
      <c r="AC435" s="118"/>
      <c r="AD435" s="118"/>
      <c r="AE435" s="401"/>
      <c r="AF435" s="118"/>
      <c r="AG435" s="118"/>
      <c r="AH435" s="118"/>
      <c r="AI435" s="118"/>
      <c r="AJ435" s="401"/>
      <c r="AK435" s="118"/>
      <c r="AL435" s="118"/>
      <c r="AM435" s="118"/>
      <c r="AN435" s="118"/>
      <c r="AO435" s="401"/>
      <c r="AP435" s="118"/>
      <c r="AQ435" s="118"/>
      <c r="AR435" s="118"/>
      <c r="AS435" s="118"/>
      <c r="AT435" s="401"/>
      <c r="AU435" s="118"/>
      <c r="AV435" s="118"/>
      <c r="AW435" s="118"/>
      <c r="AX435" s="118"/>
      <c r="AY435" s="401"/>
      <c r="AZ435" s="118"/>
      <c r="BA435" s="118"/>
      <c r="BB435" s="118"/>
      <c r="BC435" s="118"/>
      <c r="BD435" s="401"/>
      <c r="BE435" s="118"/>
      <c r="BF435" s="118"/>
      <c r="BG435" s="118"/>
      <c r="BH435" s="118"/>
      <c r="BI435" s="401"/>
      <c r="BJ435" s="971"/>
      <c r="BK435" s="118"/>
      <c r="BL435" s="118"/>
      <c r="BM435" s="118"/>
      <c r="BN435" s="401"/>
      <c r="BO435" s="118"/>
      <c r="BP435" s="118"/>
      <c r="BQ435" s="118"/>
      <c r="BR435" s="118"/>
      <c r="BS435" s="401"/>
      <c r="BT435" s="401"/>
      <c r="BU435" s="401"/>
      <c r="BV435" s="401"/>
      <c r="BW435" s="122"/>
    </row>
    <row r="436" spans="1:75" hidden="1" outlineLevel="2" x14ac:dyDescent="0.5">
      <c r="A436" s="184" t="s">
        <v>2427</v>
      </c>
      <c r="B436" s="513"/>
      <c r="C436" s="401"/>
      <c r="D436" s="401"/>
      <c r="E436" s="401"/>
      <c r="F436" s="401"/>
      <c r="G436" s="118"/>
      <c r="H436" s="118"/>
      <c r="I436" s="118"/>
      <c r="J436" s="118"/>
      <c r="K436" s="401"/>
      <c r="L436" s="118"/>
      <c r="M436" s="118"/>
      <c r="N436" s="118"/>
      <c r="O436" s="118"/>
      <c r="P436" s="401"/>
      <c r="Q436" s="118"/>
      <c r="R436" s="118"/>
      <c r="S436" s="118"/>
      <c r="T436" s="118"/>
      <c r="U436" s="401"/>
      <c r="V436" s="118"/>
      <c r="W436" s="118"/>
      <c r="X436" s="118"/>
      <c r="Y436" s="118"/>
      <c r="Z436" s="401"/>
      <c r="AA436" s="118"/>
      <c r="AB436" s="118"/>
      <c r="AC436" s="118"/>
      <c r="AD436" s="118"/>
      <c r="AE436" s="401"/>
      <c r="AF436" s="118"/>
      <c r="AG436" s="118"/>
      <c r="AH436" s="118"/>
      <c r="AI436" s="118"/>
      <c r="AJ436" s="401"/>
      <c r="AK436" s="118"/>
      <c r="AL436" s="118"/>
      <c r="AM436" s="118"/>
      <c r="AN436" s="118"/>
      <c r="AO436" s="401"/>
      <c r="AP436" s="118"/>
      <c r="AQ436" s="118"/>
      <c r="AR436" s="118"/>
      <c r="AS436" s="118"/>
      <c r="AT436" s="401"/>
      <c r="AU436" s="118"/>
      <c r="AV436" s="118"/>
      <c r="AW436" s="118"/>
      <c r="AX436" s="118"/>
      <c r="AY436" s="401"/>
      <c r="AZ436" s="118"/>
      <c r="BA436" s="118"/>
      <c r="BB436" s="118">
        <f t="shared" ref="BB436:BV436" si="334">BB433</f>
        <v>10.874704491725767</v>
      </c>
      <c r="BC436" s="118">
        <f t="shared" si="334"/>
        <v>10.874704491725767</v>
      </c>
      <c r="BD436" s="401">
        <f t="shared" si="334"/>
        <v>10.874704491725767</v>
      </c>
      <c r="BE436" s="118">
        <f t="shared" si="334"/>
        <v>10.874704491725767</v>
      </c>
      <c r="BF436" s="118">
        <f t="shared" si="334"/>
        <v>10.874704491725767</v>
      </c>
      <c r="BG436" s="118">
        <f t="shared" si="334"/>
        <v>10.874704491725767</v>
      </c>
      <c r="BH436" s="118">
        <f t="shared" si="334"/>
        <v>10.874704491725767</v>
      </c>
      <c r="BI436" s="401">
        <f t="shared" si="334"/>
        <v>10.874704491725767</v>
      </c>
      <c r="BJ436" s="971">
        <f t="shared" si="334"/>
        <v>10.874704491725767</v>
      </c>
      <c r="BK436" s="118">
        <f t="shared" si="334"/>
        <v>10.874704491725767</v>
      </c>
      <c r="BL436" s="118">
        <f t="shared" si="334"/>
        <v>10.874704491725767</v>
      </c>
      <c r="BM436" s="118">
        <f t="shared" si="334"/>
        <v>10.874704491725767</v>
      </c>
      <c r="BN436" s="401">
        <f t="shared" si="334"/>
        <v>10.874704491725767</v>
      </c>
      <c r="BO436" s="118">
        <f t="shared" si="334"/>
        <v>10.874704491725767</v>
      </c>
      <c r="BP436" s="118">
        <f t="shared" si="334"/>
        <v>10.874704491725767</v>
      </c>
      <c r="BQ436" s="118">
        <f t="shared" si="334"/>
        <v>10.874704491725767</v>
      </c>
      <c r="BR436" s="118">
        <f t="shared" si="334"/>
        <v>10.874704491725767</v>
      </c>
      <c r="BS436" s="401">
        <f t="shared" si="334"/>
        <v>10.874704491725767</v>
      </c>
      <c r="BT436" s="401">
        <f t="shared" si="334"/>
        <v>10.874704491725767</v>
      </c>
      <c r="BU436" s="401">
        <f t="shared" si="334"/>
        <v>0</v>
      </c>
      <c r="BV436" s="401">
        <f t="shared" si="334"/>
        <v>0</v>
      </c>
      <c r="BW436" s="122"/>
    </row>
    <row r="437" spans="1:75" hidden="1" outlineLevel="2" x14ac:dyDescent="0.5">
      <c r="A437" s="869" t="s">
        <v>2428</v>
      </c>
      <c r="B437" s="870"/>
      <c r="C437" s="1506"/>
      <c r="D437" s="1506"/>
      <c r="E437" s="1506"/>
      <c r="F437" s="1506"/>
      <c r="G437" s="1507"/>
      <c r="H437" s="1507"/>
      <c r="I437" s="1507"/>
      <c r="J437" s="1507"/>
      <c r="K437" s="1506"/>
      <c r="L437" s="1507"/>
      <c r="M437" s="1507"/>
      <c r="N437" s="1507"/>
      <c r="O437" s="1507"/>
      <c r="P437" s="1506"/>
      <c r="Q437" s="1507"/>
      <c r="R437" s="1507"/>
      <c r="S437" s="1507"/>
      <c r="T437" s="1507"/>
      <c r="U437" s="1506"/>
      <c r="V437" s="1507"/>
      <c r="W437" s="1507"/>
      <c r="X437" s="1507"/>
      <c r="Y437" s="1507"/>
      <c r="Z437" s="1506"/>
      <c r="AA437" s="1507"/>
      <c r="AB437" s="1507"/>
      <c r="AC437" s="1507"/>
      <c r="AD437" s="1507"/>
      <c r="AE437" s="1506"/>
      <c r="AF437" s="1507"/>
      <c r="AG437" s="1507"/>
      <c r="AH437" s="1507"/>
      <c r="AI437" s="1507"/>
      <c r="AJ437" s="1506"/>
      <c r="AK437" s="1507"/>
      <c r="AL437" s="1507"/>
      <c r="AM437" s="1507"/>
      <c r="AN437" s="1507"/>
      <c r="AO437" s="1506"/>
      <c r="AP437" s="1507"/>
      <c r="AQ437" s="1507"/>
      <c r="AR437" s="1507"/>
      <c r="AS437" s="1507"/>
      <c r="AT437" s="1506"/>
      <c r="AU437" s="1507"/>
      <c r="AV437" s="1507"/>
      <c r="AW437" s="1507"/>
      <c r="AX437" s="1507"/>
      <c r="AY437" s="1506"/>
      <c r="AZ437" s="1507"/>
      <c r="BA437" s="1507"/>
      <c r="BB437" s="1071">
        <v>97.62</v>
      </c>
      <c r="BC437" s="1507">
        <f>BD437</f>
        <v>97.62</v>
      </c>
      <c r="BD437" s="1518">
        <v>97.62</v>
      </c>
      <c r="BE437" s="1519">
        <v>97.62</v>
      </c>
      <c r="BF437" s="1519">
        <v>97.62</v>
      </c>
      <c r="BG437" s="1071">
        <v>97.62</v>
      </c>
      <c r="BH437" s="1507">
        <f>BI437</f>
        <v>97.62</v>
      </c>
      <c r="BI437" s="1518">
        <v>97.62</v>
      </c>
      <c r="BJ437" s="1520">
        <v>97.62</v>
      </c>
      <c r="BK437" s="1507">
        <f t="shared" ref="BK437:BV437" si="335">BJ437</f>
        <v>97.62</v>
      </c>
      <c r="BL437" s="1507">
        <f t="shared" si="335"/>
        <v>97.62</v>
      </c>
      <c r="BM437" s="1507">
        <f t="shared" si="335"/>
        <v>97.62</v>
      </c>
      <c r="BN437" s="1506">
        <f t="shared" si="335"/>
        <v>97.62</v>
      </c>
      <c r="BO437" s="1507">
        <f t="shared" si="335"/>
        <v>97.62</v>
      </c>
      <c r="BP437" s="1507">
        <f t="shared" si="335"/>
        <v>97.62</v>
      </c>
      <c r="BQ437" s="1507">
        <f t="shared" si="335"/>
        <v>97.62</v>
      </c>
      <c r="BR437" s="1507">
        <f t="shared" si="335"/>
        <v>97.62</v>
      </c>
      <c r="BS437" s="1506">
        <f t="shared" si="335"/>
        <v>97.62</v>
      </c>
      <c r="BT437" s="1506">
        <f t="shared" si="335"/>
        <v>97.62</v>
      </c>
      <c r="BU437" s="1506">
        <f t="shared" si="335"/>
        <v>97.62</v>
      </c>
      <c r="BV437" s="1506">
        <f t="shared" si="335"/>
        <v>97.62</v>
      </c>
      <c r="BW437" s="122"/>
    </row>
    <row r="438" spans="1:75" hidden="1" outlineLevel="2" x14ac:dyDescent="0.5">
      <c r="A438" s="1498" t="s">
        <v>2429</v>
      </c>
      <c r="B438" s="1499"/>
      <c r="C438" s="1500"/>
      <c r="D438" s="1500"/>
      <c r="E438" s="1500"/>
      <c r="F438" s="1500"/>
      <c r="G438" s="1056"/>
      <c r="H438" s="1056"/>
      <c r="I438" s="1056"/>
      <c r="J438" s="1056"/>
      <c r="K438" s="1500"/>
      <c r="L438" s="1056"/>
      <c r="M438" s="1056"/>
      <c r="N438" s="1056"/>
      <c r="O438" s="1056"/>
      <c r="P438" s="1500"/>
      <c r="Q438" s="1056"/>
      <c r="R438" s="1056"/>
      <c r="S438" s="1056"/>
      <c r="T438" s="1056"/>
      <c r="U438" s="1500"/>
      <c r="V438" s="1056"/>
      <c r="W438" s="1056"/>
      <c r="X438" s="1056"/>
      <c r="Y438" s="1056"/>
      <c r="Z438" s="1500"/>
      <c r="AA438" s="1056"/>
      <c r="AB438" s="1056"/>
      <c r="AC438" s="1056"/>
      <c r="AD438" s="1056"/>
      <c r="AE438" s="1500"/>
      <c r="AF438" s="1056"/>
      <c r="AG438" s="1056"/>
      <c r="AH438" s="1056"/>
      <c r="AI438" s="1056"/>
      <c r="AJ438" s="1500"/>
      <c r="AK438" s="1056"/>
      <c r="AL438" s="1056"/>
      <c r="AM438" s="1056"/>
      <c r="AN438" s="1056"/>
      <c r="AO438" s="1500"/>
      <c r="AP438" s="1056"/>
      <c r="AQ438" s="1056"/>
      <c r="AR438" s="1056"/>
      <c r="AS438" s="1056"/>
      <c r="AT438" s="1500"/>
      <c r="AU438" s="1056"/>
      <c r="AV438" s="1056"/>
      <c r="AW438" s="1056"/>
      <c r="AX438" s="1056"/>
      <c r="AY438" s="1500"/>
      <c r="AZ438" s="1056"/>
      <c r="BA438" s="1056"/>
      <c r="BB438" s="1056">
        <f t="shared" ref="BB438:BV438" ca="1" si="336">IFERROR(IF(BB280&gt;BB437,-BB434*BB437/BB280*BB436/BB433,-BB434),0)</f>
        <v>-8.6483800609553523</v>
      </c>
      <c r="BC438" s="1056">
        <f t="shared" ca="1" si="336"/>
        <v>-8.380742500057389</v>
      </c>
      <c r="BD438" s="1500">
        <f t="shared" ca="1" si="336"/>
        <v>-8.380742500057389</v>
      </c>
      <c r="BE438" s="1056">
        <f t="shared" ca="1" si="336"/>
        <v>-8.7705605790009038</v>
      </c>
      <c r="BF438" s="1056">
        <f t="shared" ca="1" si="336"/>
        <v>-7.5471964487577816</v>
      </c>
      <c r="BG438" s="1056">
        <f t="shared" ca="1" si="336"/>
        <v>-7.2801306575385372</v>
      </c>
      <c r="BH438" s="1056">
        <f t="shared" ca="1" si="336"/>
        <v>-5.0903315870643464</v>
      </c>
      <c r="BI438" s="1500">
        <f t="shared" ca="1" si="336"/>
        <v>-5.0903315870643464</v>
      </c>
      <c r="BJ438" s="1058">
        <f t="shared" ca="1" si="336"/>
        <v>-3.762364093004924</v>
      </c>
      <c r="BK438" s="1056">
        <f t="shared" si="336"/>
        <v>0</v>
      </c>
      <c r="BL438" s="1056">
        <f t="shared" si="336"/>
        <v>0</v>
      </c>
      <c r="BM438" s="1056">
        <f t="shared" si="336"/>
        <v>0</v>
      </c>
      <c r="BN438" s="1500">
        <f t="shared" si="336"/>
        <v>0</v>
      </c>
      <c r="BO438" s="1056">
        <f t="shared" si="336"/>
        <v>-10.874704491725767</v>
      </c>
      <c r="BP438" s="1056">
        <f t="shared" si="336"/>
        <v>-10.874704491725767</v>
      </c>
      <c r="BQ438" s="1056">
        <f t="shared" si="336"/>
        <v>-10.874704491725767</v>
      </c>
      <c r="BR438" s="1056">
        <f t="shared" si="336"/>
        <v>-10.874704491725767</v>
      </c>
      <c r="BS438" s="1500">
        <f t="shared" si="336"/>
        <v>-10.874704491725767</v>
      </c>
      <c r="BT438" s="1500">
        <f t="shared" si="336"/>
        <v>-10.874704491725767</v>
      </c>
      <c r="BU438" s="1500">
        <f t="shared" si="336"/>
        <v>0</v>
      </c>
      <c r="BV438" s="1500">
        <f t="shared" si="336"/>
        <v>0</v>
      </c>
      <c r="BW438" s="122"/>
    </row>
    <row r="439" spans="1:75" hidden="1" outlineLevel="2" x14ac:dyDescent="0.5">
      <c r="A439" s="184" t="s">
        <v>2384</v>
      </c>
      <c r="B439" s="513"/>
      <c r="C439" s="401"/>
      <c r="D439" s="401"/>
      <c r="E439" s="401"/>
      <c r="F439" s="401"/>
      <c r="G439" s="118"/>
      <c r="H439" s="118"/>
      <c r="I439" s="118"/>
      <c r="J439" s="118"/>
      <c r="K439" s="401"/>
      <c r="L439" s="118"/>
      <c r="M439" s="118"/>
      <c r="N439" s="118"/>
      <c r="O439" s="118"/>
      <c r="P439" s="401"/>
      <c r="Q439" s="118"/>
      <c r="R439" s="118"/>
      <c r="S439" s="118"/>
      <c r="T439" s="118"/>
      <c r="U439" s="401"/>
      <c r="V439" s="118"/>
      <c r="W439" s="118"/>
      <c r="X439" s="118"/>
      <c r="Y439" s="118"/>
      <c r="Z439" s="401"/>
      <c r="AA439" s="118"/>
      <c r="AB439" s="118"/>
      <c r="AC439" s="118"/>
      <c r="AD439" s="118"/>
      <c r="AE439" s="401"/>
      <c r="AF439" s="118"/>
      <c r="AG439" s="118"/>
      <c r="AH439" s="118"/>
      <c r="AI439" s="118"/>
      <c r="AJ439" s="401"/>
      <c r="AK439" s="118"/>
      <c r="AL439" s="118"/>
      <c r="AM439" s="118"/>
      <c r="AN439" s="118"/>
      <c r="AO439" s="401"/>
      <c r="AP439" s="118"/>
      <c r="AQ439" s="118"/>
      <c r="AR439" s="118"/>
      <c r="AS439" s="118"/>
      <c r="AT439" s="401"/>
      <c r="AU439" s="118"/>
      <c r="AV439" s="118"/>
      <c r="AW439" s="118"/>
      <c r="AX439" s="118"/>
      <c r="AY439" s="401"/>
      <c r="AZ439" s="118"/>
      <c r="BA439" s="118"/>
      <c r="BB439" s="118">
        <f t="shared" ref="BB439:BV439" ca="1" si="337">IF(BB438&lt;0,BB436*BB432,0)</f>
        <v>690</v>
      </c>
      <c r="BC439" s="118">
        <f t="shared" ca="1" si="337"/>
        <v>690</v>
      </c>
      <c r="BD439" s="401">
        <f t="shared" ca="1" si="337"/>
        <v>690</v>
      </c>
      <c r="BE439" s="118">
        <f t="shared" ca="1" si="337"/>
        <v>690</v>
      </c>
      <c r="BF439" s="118">
        <f t="shared" ca="1" si="337"/>
        <v>690</v>
      </c>
      <c r="BG439" s="118">
        <f t="shared" ca="1" si="337"/>
        <v>690</v>
      </c>
      <c r="BH439" s="118">
        <f t="shared" ca="1" si="337"/>
        <v>690</v>
      </c>
      <c r="BI439" s="401">
        <f t="shared" ca="1" si="337"/>
        <v>690</v>
      </c>
      <c r="BJ439" s="971">
        <f t="shared" ca="1" si="337"/>
        <v>690</v>
      </c>
      <c r="BK439" s="118">
        <f t="shared" si="337"/>
        <v>0</v>
      </c>
      <c r="BL439" s="118">
        <f t="shared" si="337"/>
        <v>0</v>
      </c>
      <c r="BM439" s="118">
        <f t="shared" si="337"/>
        <v>0</v>
      </c>
      <c r="BN439" s="401">
        <f t="shared" si="337"/>
        <v>0</v>
      </c>
      <c r="BO439" s="118">
        <f t="shared" si="337"/>
        <v>690</v>
      </c>
      <c r="BP439" s="118">
        <f t="shared" si="337"/>
        <v>690</v>
      </c>
      <c r="BQ439" s="118">
        <f t="shared" si="337"/>
        <v>690</v>
      </c>
      <c r="BR439" s="118">
        <f t="shared" si="337"/>
        <v>690</v>
      </c>
      <c r="BS439" s="401">
        <f t="shared" si="337"/>
        <v>690</v>
      </c>
      <c r="BT439" s="401">
        <f t="shared" si="337"/>
        <v>690</v>
      </c>
      <c r="BU439" s="401">
        <f t="shared" si="337"/>
        <v>0</v>
      </c>
      <c r="BV439" s="401">
        <f t="shared" si="337"/>
        <v>0</v>
      </c>
      <c r="BW439" s="122"/>
    </row>
    <row r="440" spans="1:75" hidden="1" outlineLevel="2" x14ac:dyDescent="0.5">
      <c r="A440" s="184"/>
      <c r="B440" s="513"/>
      <c r="C440" s="401"/>
      <c r="D440" s="401"/>
      <c r="E440" s="401"/>
      <c r="F440" s="401"/>
      <c r="G440" s="118"/>
      <c r="H440" s="118"/>
      <c r="I440" s="118"/>
      <c r="J440" s="118"/>
      <c r="K440" s="401"/>
      <c r="L440" s="118"/>
      <c r="M440" s="118"/>
      <c r="N440" s="118"/>
      <c r="O440" s="118"/>
      <c r="P440" s="401"/>
      <c r="Q440" s="118"/>
      <c r="R440" s="118"/>
      <c r="S440" s="118"/>
      <c r="T440" s="118"/>
      <c r="U440" s="401"/>
      <c r="V440" s="118"/>
      <c r="W440" s="118"/>
      <c r="X440" s="118"/>
      <c r="Y440" s="118"/>
      <c r="Z440" s="401"/>
      <c r="AA440" s="118"/>
      <c r="AB440" s="118"/>
      <c r="AC440" s="118"/>
      <c r="AD440" s="118"/>
      <c r="AE440" s="401"/>
      <c r="AF440" s="118"/>
      <c r="AG440" s="118"/>
      <c r="AH440" s="118"/>
      <c r="AI440" s="118"/>
      <c r="AJ440" s="401"/>
      <c r="AK440" s="118"/>
      <c r="AL440" s="118"/>
      <c r="AM440" s="118"/>
      <c r="AN440" s="118"/>
      <c r="AO440" s="401"/>
      <c r="AP440" s="118"/>
      <c r="AQ440" s="118"/>
      <c r="AR440" s="118"/>
      <c r="AS440" s="118"/>
      <c r="AT440" s="401"/>
      <c r="AU440" s="118"/>
      <c r="AV440" s="118"/>
      <c r="AW440" s="118"/>
      <c r="AX440" s="118"/>
      <c r="AY440" s="401"/>
      <c r="AZ440" s="118"/>
      <c r="BA440" s="118"/>
      <c r="BB440" s="118"/>
      <c r="BC440" s="118"/>
      <c r="BD440" s="401"/>
      <c r="BE440" s="118"/>
      <c r="BF440" s="118"/>
      <c r="BG440" s="118"/>
      <c r="BH440" s="118"/>
      <c r="BI440" s="401"/>
      <c r="BJ440" s="971"/>
      <c r="BK440" s="118"/>
      <c r="BL440" s="118"/>
      <c r="BM440" s="118"/>
      <c r="BN440" s="401"/>
      <c r="BO440" s="118"/>
      <c r="BP440" s="118"/>
      <c r="BQ440" s="118"/>
      <c r="BR440" s="118"/>
      <c r="BS440" s="401"/>
      <c r="BT440" s="401"/>
      <c r="BU440" s="401"/>
      <c r="BV440" s="401"/>
      <c r="BW440" s="122"/>
    </row>
    <row r="441" spans="1:75" hidden="1" outlineLevel="2" x14ac:dyDescent="0.5">
      <c r="A441" s="752" t="s">
        <v>2430</v>
      </c>
      <c r="B441" s="513"/>
      <c r="C441" s="401"/>
      <c r="D441" s="401"/>
      <c r="E441" s="401"/>
      <c r="F441" s="401"/>
      <c r="G441" s="118"/>
      <c r="H441" s="118"/>
      <c r="I441" s="118"/>
      <c r="J441" s="118"/>
      <c r="K441" s="401"/>
      <c r="L441" s="118"/>
      <c r="M441" s="118"/>
      <c r="N441" s="118"/>
      <c r="O441" s="118"/>
      <c r="P441" s="401"/>
      <c r="Q441" s="118"/>
      <c r="R441" s="118"/>
      <c r="S441" s="118"/>
      <c r="T441" s="118"/>
      <c r="U441" s="401"/>
      <c r="V441" s="118"/>
      <c r="W441" s="118"/>
      <c r="X441" s="118"/>
      <c r="Y441" s="118"/>
      <c r="Z441" s="401"/>
      <c r="AA441" s="118"/>
      <c r="AB441" s="118"/>
      <c r="AC441" s="118"/>
      <c r="AD441" s="118"/>
      <c r="AE441" s="401"/>
      <c r="AF441" s="118"/>
      <c r="AG441" s="118"/>
      <c r="AH441" s="118"/>
      <c r="AI441" s="118"/>
      <c r="AJ441" s="401"/>
      <c r="AK441" s="118"/>
      <c r="AL441" s="118"/>
      <c r="AM441" s="118"/>
      <c r="AN441" s="118"/>
      <c r="AO441" s="401"/>
      <c r="AP441" s="118"/>
      <c r="AQ441" s="118"/>
      <c r="AR441" s="118"/>
      <c r="AS441" s="118"/>
      <c r="AT441" s="401"/>
      <c r="AU441" s="118"/>
      <c r="AV441" s="118"/>
      <c r="AW441" s="118"/>
      <c r="AX441" s="118"/>
      <c r="AY441" s="401"/>
      <c r="AZ441" s="118"/>
      <c r="BA441" s="118"/>
      <c r="BB441" s="118"/>
      <c r="BC441" s="118"/>
      <c r="BD441" s="401"/>
      <c r="BE441" s="118"/>
      <c r="BF441" s="118"/>
      <c r="BG441" s="118"/>
      <c r="BH441" s="118"/>
      <c r="BI441" s="401"/>
      <c r="BJ441" s="971"/>
      <c r="BK441" s="118">
        <f>IFERROR(IF(AND(BK429=0,BK280&gt;BJ432,BK280&gt;BJ437),BJ433-BJ433*BJ437/BK280*BJ436/BJ433,0),0)</f>
        <v>0</v>
      </c>
      <c r="BL441" s="118">
        <f>IFERROR(IF(AND(BL429=0,BL280&gt;BK432,BL280&gt;BK437),BK433-BK433*BK437/BL280*BK436/BK433,0),0)</f>
        <v>0</v>
      </c>
      <c r="BM441" s="118">
        <f>IFERROR(IF(AND(BM429=0,BM280&gt;BL432,BM280&gt;BL437),BL433-BL433*BL437/BM280*BL436/BL433,0),0)</f>
        <v>0</v>
      </c>
      <c r="BN441" s="401">
        <f>SUM(BJ441,BK441,BL441,BM441)</f>
        <v>0</v>
      </c>
      <c r="BO441" s="118">
        <f>IFERROR(IF(AND(BO429=0,BO280&gt;BN432,BO280&gt;BN437),BN433-BN433*BN437/BO280*BN436/BN433,0),0)</f>
        <v>0</v>
      </c>
      <c r="BP441" s="118">
        <f>IFERROR(IF(AND(BP429=0,BP280&gt;BO432,BP280&gt;BO437),BO433-BO433*BO437/BP280*BO436/BO433,0),0)</f>
        <v>0</v>
      </c>
      <c r="BQ441" s="118">
        <f>IFERROR(IF(AND(BQ429=0,BQ280&gt;BP432,BQ280&gt;BP437),BP433-BP433*BP437/BQ280*BP436/BP433,0),0)</f>
        <v>0</v>
      </c>
      <c r="BR441" s="118">
        <f>IFERROR(IF(AND(BR429=0,BR280&gt;BQ432,BR280&gt;BQ437),BQ433-BQ433*BQ437/BR280*BQ436/BQ433,0),0)</f>
        <v>0</v>
      </c>
      <c r="BS441" s="401">
        <f>SUM(BO441,BP441,BQ441,BR441)</f>
        <v>0</v>
      </c>
      <c r="BT441" s="401">
        <f>IFERROR(IF(AND(BT429=0,BT280&gt;BS432,BT280&gt;BS437),BS433-BS433*BS437/BT280*BS436/BS433,0),0)</f>
        <v>0</v>
      </c>
      <c r="BU441" s="401">
        <f>IFERROR(IF(AND(BU429=0,BU280&gt;BT432,BU280&gt;BT437),BT433-BT433*BT437/BU280*BT436/BT433,0),0)</f>
        <v>0</v>
      </c>
      <c r="BV441" s="401">
        <f>IFERROR(IF(AND(BV429=0,BV280&gt;BU432,BV280&gt;BU437),BU433-BU433*BU437/BV280*BU436/BU433,0),0)</f>
        <v>0</v>
      </c>
      <c r="BW441" s="122"/>
    </row>
    <row r="442" spans="1:75" hidden="1" outlineLevel="2" x14ac:dyDescent="0.5">
      <c r="A442" s="752" t="s">
        <v>2431</v>
      </c>
      <c r="B442" s="513"/>
      <c r="C442" s="401"/>
      <c r="D442" s="401"/>
      <c r="E442" s="401"/>
      <c r="F442" s="401"/>
      <c r="G442" s="118"/>
      <c r="H442" s="118"/>
      <c r="I442" s="118"/>
      <c r="J442" s="118"/>
      <c r="K442" s="401"/>
      <c r="L442" s="118"/>
      <c r="M442" s="118"/>
      <c r="N442" s="118"/>
      <c r="O442" s="118"/>
      <c r="P442" s="401"/>
      <c r="Q442" s="118"/>
      <c r="R442" s="118"/>
      <c r="S442" s="118"/>
      <c r="T442" s="118"/>
      <c r="U442" s="401"/>
      <c r="V442" s="118"/>
      <c r="W442" s="118"/>
      <c r="X442" s="118"/>
      <c r="Y442" s="118"/>
      <c r="Z442" s="401"/>
      <c r="AA442" s="118"/>
      <c r="AB442" s="118"/>
      <c r="AC442" s="118"/>
      <c r="AD442" s="118"/>
      <c r="AE442" s="401"/>
      <c r="AF442" s="118"/>
      <c r="AG442" s="118"/>
      <c r="AH442" s="118"/>
      <c r="AI442" s="118"/>
      <c r="AJ442" s="401"/>
      <c r="AK442" s="118"/>
      <c r="AL442" s="118"/>
      <c r="AM442" s="118"/>
      <c r="AN442" s="118"/>
      <c r="AO442" s="401"/>
      <c r="AP442" s="118"/>
      <c r="AQ442" s="118"/>
      <c r="AR442" s="118"/>
      <c r="AS442" s="118"/>
      <c r="AT442" s="401"/>
      <c r="AU442" s="118"/>
      <c r="AV442" s="118"/>
      <c r="AW442" s="118"/>
      <c r="AX442" s="118"/>
      <c r="AY442" s="401"/>
      <c r="AZ442" s="118"/>
      <c r="BA442" s="118"/>
      <c r="BB442" s="118"/>
      <c r="BC442" s="118"/>
      <c r="BD442" s="401"/>
      <c r="BE442" s="118"/>
      <c r="BF442" s="118"/>
      <c r="BG442" s="118"/>
      <c r="BH442" s="118"/>
      <c r="BI442" s="401"/>
      <c r="BJ442" s="971"/>
      <c r="BK442" s="118">
        <f>IF(AND(BK429=0,BK280&gt;BJ432),-BJ432*BJ436,0)</f>
        <v>0</v>
      </c>
      <c r="BL442" s="118">
        <f>IF(AND(BL429=0,BL280&gt;BK432),-BK432*BK436,0)</f>
        <v>0</v>
      </c>
      <c r="BM442" s="118">
        <f>IF(AND(BM429=0,BM280&gt;BL432),-BL432*BL436,0)</f>
        <v>0</v>
      </c>
      <c r="BN442" s="401">
        <f>SUM(BJ442,BK442,BL442,BM442)</f>
        <v>0</v>
      </c>
      <c r="BO442" s="118">
        <f>IF(AND(BO429=0,BO280&gt;BN432),-BN432*BN436,0)</f>
        <v>0</v>
      </c>
      <c r="BP442" s="118">
        <f>IF(AND(BP429=0,BP280&gt;BO432),-BO432*BO436,0)</f>
        <v>0</v>
      </c>
      <c r="BQ442" s="118">
        <f>IF(AND(BQ429=0,BQ280&gt;BP432),-BP432*BP436,0)</f>
        <v>0</v>
      </c>
      <c r="BR442" s="118">
        <f>IF(AND(BR429=0,BR280&gt;BQ432),-BQ432*BQ436,0)</f>
        <v>0</v>
      </c>
      <c r="BS442" s="401">
        <f>SUM(BO442,BP442,BQ442,BR442)</f>
        <v>0</v>
      </c>
      <c r="BT442" s="401">
        <f>IF(AND(BT429=0,BT280&gt;BS432),-BS432*BS436,0)</f>
        <v>0</v>
      </c>
      <c r="BU442" s="401">
        <f>IF(AND(BU429=0,BU280&gt;BT432),-BT432*BT436,0)</f>
        <v>-690</v>
      </c>
      <c r="BV442" s="401">
        <f>IF(AND(BV429=0,BV280&gt;BU432),-BU432*BU436,0)</f>
        <v>0</v>
      </c>
      <c r="BW442" s="122"/>
    </row>
    <row r="443" spans="1:75" hidden="1" outlineLevel="2" x14ac:dyDescent="0.5">
      <c r="A443" s="752" t="s">
        <v>2432</v>
      </c>
      <c r="B443" s="513"/>
      <c r="C443" s="401"/>
      <c r="D443" s="401"/>
      <c r="E443" s="401"/>
      <c r="F443" s="401"/>
      <c r="G443" s="118"/>
      <c r="H443" s="118"/>
      <c r="I443" s="118"/>
      <c r="J443" s="118"/>
      <c r="K443" s="401"/>
      <c r="L443" s="118"/>
      <c r="M443" s="118"/>
      <c r="N443" s="118"/>
      <c r="O443" s="118"/>
      <c r="P443" s="401"/>
      <c r="Q443" s="118"/>
      <c r="R443" s="118"/>
      <c r="S443" s="118"/>
      <c r="T443" s="118"/>
      <c r="U443" s="401"/>
      <c r="V443" s="118"/>
      <c r="W443" s="118"/>
      <c r="X443" s="118"/>
      <c r="Y443" s="118"/>
      <c r="Z443" s="401"/>
      <c r="AA443" s="118"/>
      <c r="AB443" s="118"/>
      <c r="AC443" s="118"/>
      <c r="AD443" s="118"/>
      <c r="AE443" s="401"/>
      <c r="AF443" s="118"/>
      <c r="AG443" s="118"/>
      <c r="AH443" s="118"/>
      <c r="AI443" s="118"/>
      <c r="AJ443" s="401"/>
      <c r="AK443" s="118"/>
      <c r="AL443" s="118"/>
      <c r="AM443" s="118"/>
      <c r="AN443" s="118"/>
      <c r="AO443" s="401"/>
      <c r="AP443" s="118"/>
      <c r="AQ443" s="118"/>
      <c r="AR443" s="118"/>
      <c r="AS443" s="118"/>
      <c r="AT443" s="401"/>
      <c r="AU443" s="118"/>
      <c r="AV443" s="118"/>
      <c r="AW443" s="118"/>
      <c r="AX443" s="118"/>
      <c r="AY443" s="401"/>
      <c r="AZ443" s="118"/>
      <c r="BA443" s="118"/>
      <c r="BB443" s="118"/>
      <c r="BC443" s="118"/>
      <c r="BD443" s="401"/>
      <c r="BE443" s="118"/>
      <c r="BF443" s="118"/>
      <c r="BG443" s="118"/>
      <c r="BH443" s="118"/>
      <c r="BI443" s="401"/>
      <c r="BJ443" s="971"/>
      <c r="BK443" s="118">
        <f>IF(AND(BK429=0,BK280&lt;=BJ432),-BJ429,0)</f>
        <v>0</v>
      </c>
      <c r="BL443" s="118">
        <f>IF(AND(BL429=0,BL280&lt;=BK432),-BK429,0)</f>
        <v>0</v>
      </c>
      <c r="BM443" s="118">
        <f>IF(AND(BM429=0,BM280&lt;=BL432),-BL429,0)</f>
        <v>0</v>
      </c>
      <c r="BN443" s="401">
        <f>SUM(BJ443,BK443,BL443,BM443)</f>
        <v>0</v>
      </c>
      <c r="BO443" s="118">
        <f>IF(AND(BO429=0,BO280&lt;=BN432),-BN429,0)</f>
        <v>0</v>
      </c>
      <c r="BP443" s="118">
        <f>IF(AND(BP429=0,BP280&lt;=BO432),-BO429,0)</f>
        <v>0</v>
      </c>
      <c r="BQ443" s="118">
        <f>IF(AND(BQ429=0,BQ280&lt;=BP432),-BP429,0)</f>
        <v>0</v>
      </c>
      <c r="BR443" s="118">
        <f>IF(AND(BR429=0,BR280&lt;=BQ432),-BQ429,0)</f>
        <v>0</v>
      </c>
      <c r="BS443" s="401">
        <f>SUM(BO443,BP443,BQ443,BR443)</f>
        <v>0</v>
      </c>
      <c r="BT443" s="401">
        <f>IF(AND(BT429=0,BT280&lt;=BS432),-BS429,0)</f>
        <v>0</v>
      </c>
      <c r="BU443" s="401">
        <f>IF(AND(BU429=0,BU280&lt;=BT432),-BT429,0)</f>
        <v>0</v>
      </c>
      <c r="BV443" s="401">
        <f>IF(AND(BV429=0,BV280&lt;=BU432),-BU429,0)</f>
        <v>0</v>
      </c>
      <c r="BW443" s="122"/>
    </row>
    <row r="444" spans="1:75" hidden="1" outlineLevel="2" x14ac:dyDescent="0.5">
      <c r="A444" s="184"/>
      <c r="B444" s="513"/>
      <c r="C444" s="401"/>
      <c r="D444" s="401"/>
      <c r="E444" s="401"/>
      <c r="F444" s="401"/>
      <c r="G444" s="118"/>
      <c r="H444" s="118"/>
      <c r="I444" s="118"/>
      <c r="J444" s="118"/>
      <c r="K444" s="401"/>
      <c r="L444" s="118"/>
      <c r="M444" s="118"/>
      <c r="N444" s="118"/>
      <c r="O444" s="118"/>
      <c r="P444" s="401"/>
      <c r="Q444" s="118"/>
      <c r="R444" s="118"/>
      <c r="S444" s="118"/>
      <c r="T444" s="118"/>
      <c r="U444" s="401"/>
      <c r="V444" s="118"/>
      <c r="W444" s="118"/>
      <c r="X444" s="118"/>
      <c r="Y444" s="118"/>
      <c r="Z444" s="401"/>
      <c r="AA444" s="118"/>
      <c r="AB444" s="118"/>
      <c r="AC444" s="118"/>
      <c r="AD444" s="118"/>
      <c r="AE444" s="401"/>
      <c r="AF444" s="118"/>
      <c r="AG444" s="118"/>
      <c r="AH444" s="118"/>
      <c r="AI444" s="118"/>
      <c r="AJ444" s="401"/>
      <c r="AK444" s="118"/>
      <c r="AL444" s="118"/>
      <c r="AM444" s="118"/>
      <c r="AN444" s="118"/>
      <c r="AO444" s="401"/>
      <c r="AP444" s="118"/>
      <c r="AQ444" s="118"/>
      <c r="AR444" s="118"/>
      <c r="AS444" s="118"/>
      <c r="AT444" s="401"/>
      <c r="AU444" s="118"/>
      <c r="AV444" s="118"/>
      <c r="AW444" s="118"/>
      <c r="AX444" s="118"/>
      <c r="AY444" s="401"/>
      <c r="AZ444" s="118"/>
      <c r="BA444" s="118"/>
      <c r="BB444" s="118"/>
      <c r="BC444" s="118"/>
      <c r="BD444" s="401"/>
      <c r="BE444" s="118"/>
      <c r="BF444" s="118"/>
      <c r="BG444" s="118"/>
      <c r="BH444" s="118"/>
      <c r="BI444" s="401"/>
      <c r="BJ444" s="971"/>
      <c r="BK444" s="118"/>
      <c r="BL444" s="118"/>
      <c r="BM444" s="118"/>
      <c r="BN444" s="401"/>
      <c r="BO444" s="118"/>
      <c r="BP444" s="118"/>
      <c r="BQ444" s="118"/>
      <c r="BR444" s="118"/>
      <c r="BS444" s="401"/>
      <c r="BT444" s="401"/>
      <c r="BU444" s="401"/>
      <c r="BV444" s="401"/>
      <c r="BW444" s="122"/>
    </row>
    <row r="445" spans="1:75" hidden="1" outlineLevel="2" x14ac:dyDescent="0.5">
      <c r="A445" s="184" t="s">
        <v>2433</v>
      </c>
      <c r="B445" s="513"/>
      <c r="C445" s="779"/>
      <c r="D445" s="779"/>
      <c r="E445" s="779"/>
      <c r="F445" s="779"/>
      <c r="G445" s="780"/>
      <c r="H445" s="780"/>
      <c r="I445" s="780"/>
      <c r="J445" s="780"/>
      <c r="K445" s="779"/>
      <c r="L445" s="780"/>
      <c r="M445" s="780"/>
      <c r="N445" s="780"/>
      <c r="O445" s="780"/>
      <c r="P445" s="779"/>
      <c r="Q445" s="780"/>
      <c r="R445" s="780"/>
      <c r="S445" s="780"/>
      <c r="T445" s="780"/>
      <c r="U445" s="779"/>
      <c r="V445" s="780"/>
      <c r="W445" s="780"/>
      <c r="X445" s="780"/>
      <c r="Y445" s="780"/>
      <c r="Z445" s="779"/>
      <c r="AA445" s="780"/>
      <c r="AB445" s="780"/>
      <c r="AC445" s="780"/>
      <c r="AD445" s="780"/>
      <c r="AE445" s="779"/>
      <c r="AF445" s="780"/>
      <c r="AG445" s="780"/>
      <c r="AH445" s="780"/>
      <c r="AI445" s="780"/>
      <c r="AJ445" s="779"/>
      <c r="AK445" s="780"/>
      <c r="AL445" s="780"/>
      <c r="AM445" s="780"/>
      <c r="AN445" s="780"/>
      <c r="AO445" s="779"/>
      <c r="AP445" s="780"/>
      <c r="AQ445" s="780"/>
      <c r="AR445" s="780"/>
      <c r="AS445" s="780"/>
      <c r="AT445" s="779"/>
      <c r="AU445" s="780"/>
      <c r="AV445" s="780"/>
      <c r="AW445" s="780"/>
      <c r="AX445" s="780"/>
      <c r="AY445" s="779"/>
      <c r="AZ445" s="780"/>
      <c r="BA445" s="780"/>
      <c r="BB445" s="780"/>
      <c r="BC445" s="780"/>
      <c r="BD445" s="779"/>
      <c r="BE445" s="780"/>
      <c r="BF445" s="819">
        <v>47072</v>
      </c>
      <c r="BG445" s="780">
        <f>BF445</f>
        <v>47072</v>
      </c>
      <c r="BH445" s="780">
        <f t="shared" ref="BH445:BJ445" si="338">BG445</f>
        <v>47072</v>
      </c>
      <c r="BI445" s="779">
        <f t="shared" si="338"/>
        <v>47072</v>
      </c>
      <c r="BJ445" s="1316">
        <f t="shared" si="338"/>
        <v>47072</v>
      </c>
      <c r="BK445" s="780">
        <f>BJ445</f>
        <v>47072</v>
      </c>
      <c r="BL445" s="780">
        <f>BK445</f>
        <v>47072</v>
      </c>
      <c r="BM445" s="780">
        <f>BL445</f>
        <v>47072</v>
      </c>
      <c r="BN445" s="779">
        <f t="shared" ref="BN445:BV445" si="339">BM445</f>
        <v>47072</v>
      </c>
      <c r="BO445" s="780">
        <f t="shared" si="339"/>
        <v>47072</v>
      </c>
      <c r="BP445" s="780">
        <f t="shared" si="339"/>
        <v>47072</v>
      </c>
      <c r="BQ445" s="780">
        <f t="shared" si="339"/>
        <v>47072</v>
      </c>
      <c r="BR445" s="780">
        <f t="shared" si="339"/>
        <v>47072</v>
      </c>
      <c r="BS445" s="779">
        <f t="shared" si="339"/>
        <v>47072</v>
      </c>
      <c r="BT445" s="779">
        <f t="shared" si="339"/>
        <v>47072</v>
      </c>
      <c r="BU445" s="779">
        <f t="shared" si="339"/>
        <v>47072</v>
      </c>
      <c r="BV445" s="779">
        <f t="shared" si="339"/>
        <v>47072</v>
      </c>
      <c r="BW445" s="122"/>
    </row>
    <row r="446" spans="1:75" hidden="1" outlineLevel="2" x14ac:dyDescent="0.5">
      <c r="A446" s="496" t="s">
        <v>2434</v>
      </c>
      <c r="B446" s="513"/>
      <c r="C446" s="401"/>
      <c r="D446" s="401"/>
      <c r="E446" s="401"/>
      <c r="F446" s="401"/>
      <c r="G446" s="118"/>
      <c r="H446" s="118"/>
      <c r="I446" s="118"/>
      <c r="J446" s="118"/>
      <c r="K446" s="401"/>
      <c r="L446" s="118"/>
      <c r="M446" s="118"/>
      <c r="N446" s="118"/>
      <c r="O446" s="118"/>
      <c r="P446" s="401"/>
      <c r="Q446" s="118"/>
      <c r="R446" s="118"/>
      <c r="S446" s="118"/>
      <c r="T446" s="118"/>
      <c r="U446" s="401"/>
      <c r="V446" s="118"/>
      <c r="W446" s="118"/>
      <c r="X446" s="118"/>
      <c r="Y446" s="118"/>
      <c r="Z446" s="401"/>
      <c r="AA446" s="118"/>
      <c r="AB446" s="118"/>
      <c r="AC446" s="118"/>
      <c r="AD446" s="118"/>
      <c r="AE446" s="401"/>
      <c r="AF446" s="118"/>
      <c r="AG446" s="118"/>
      <c r="AH446" s="118"/>
      <c r="AI446" s="118"/>
      <c r="AJ446" s="401"/>
      <c r="AK446" s="118"/>
      <c r="AL446" s="118"/>
      <c r="AM446" s="118"/>
      <c r="AN446" s="118"/>
      <c r="AO446" s="401"/>
      <c r="AP446" s="118"/>
      <c r="AQ446" s="118"/>
      <c r="AR446" s="118"/>
      <c r="AS446" s="118"/>
      <c r="AT446" s="401"/>
      <c r="AU446" s="118"/>
      <c r="AV446" s="118"/>
      <c r="AW446" s="118"/>
      <c r="AX446" s="118"/>
      <c r="AY446" s="401"/>
      <c r="AZ446" s="118"/>
      <c r="BA446" s="118"/>
      <c r="BB446" s="118"/>
      <c r="BC446" s="118"/>
      <c r="BD446" s="401"/>
      <c r="BE446" s="118"/>
      <c r="BF446" s="302">
        <v>690</v>
      </c>
      <c r="BG446" s="302">
        <v>690</v>
      </c>
      <c r="BH446" s="118">
        <f t="shared" ref="BH446:BH447" si="340">BI446</f>
        <v>690</v>
      </c>
      <c r="BI446" s="403">
        <v>690</v>
      </c>
      <c r="BJ446" s="1207">
        <v>690</v>
      </c>
      <c r="BK446" s="118">
        <f>IF(BK445&lt;BK$4,0,BJ446)</f>
        <v>690</v>
      </c>
      <c r="BL446" s="118">
        <f>IF(BL445&lt;BL$4,0,BK446)</f>
        <v>690</v>
      </c>
      <c r="BM446" s="118">
        <f>IF(BM445&lt;BM$4,0,BL446)</f>
        <v>690</v>
      </c>
      <c r="BN446" s="401">
        <f>BM446</f>
        <v>690</v>
      </c>
      <c r="BO446" s="118">
        <f>IF(BO445&lt;BO$4,0,BN446)</f>
        <v>690</v>
      </c>
      <c r="BP446" s="118">
        <f>IF(BP445&lt;BP$4,0,BO446)</f>
        <v>690</v>
      </c>
      <c r="BQ446" s="118">
        <f>IF(BQ445&lt;BQ$4,0,BP446)</f>
        <v>690</v>
      </c>
      <c r="BR446" s="118">
        <f>IF(BR445&lt;BR$4,0,BQ446)</f>
        <v>690</v>
      </c>
      <c r="BS446" s="401">
        <f>BR446</f>
        <v>690</v>
      </c>
      <c r="BT446" s="401">
        <f>IF(BT445&lt;BT$4,0,BS446)</f>
        <v>690</v>
      </c>
      <c r="BU446" s="401">
        <f>IF(BU445&lt;BU$4,0,BT446)</f>
        <v>690</v>
      </c>
      <c r="BV446" s="401">
        <f>IF(BV445&lt;BV$4,0,BU446)</f>
        <v>0</v>
      </c>
      <c r="BW446" s="122"/>
    </row>
    <row r="447" spans="1:75" hidden="1" outlineLevel="2" x14ac:dyDescent="0.5">
      <c r="A447" s="513" t="s">
        <v>2435</v>
      </c>
      <c r="B447" s="513"/>
      <c r="C447" s="401"/>
      <c r="D447" s="401"/>
      <c r="E447" s="401"/>
      <c r="F447" s="401"/>
      <c r="G447" s="118"/>
      <c r="H447" s="118"/>
      <c r="I447" s="118"/>
      <c r="J447" s="118"/>
      <c r="K447" s="401"/>
      <c r="L447" s="118"/>
      <c r="M447" s="118"/>
      <c r="N447" s="118"/>
      <c r="O447" s="118"/>
      <c r="P447" s="401"/>
      <c r="Q447" s="118"/>
      <c r="R447" s="118"/>
      <c r="S447" s="118"/>
      <c r="T447" s="118"/>
      <c r="U447" s="401"/>
      <c r="V447" s="118"/>
      <c r="W447" s="118"/>
      <c r="X447" s="118"/>
      <c r="Y447" s="118"/>
      <c r="Z447" s="401"/>
      <c r="AA447" s="118"/>
      <c r="AB447" s="118"/>
      <c r="AC447" s="118"/>
      <c r="AD447" s="118"/>
      <c r="AE447" s="401"/>
      <c r="AF447" s="118"/>
      <c r="AG447" s="118"/>
      <c r="AH447" s="118"/>
      <c r="AI447" s="118"/>
      <c r="AJ447" s="401"/>
      <c r="AK447" s="118"/>
      <c r="AL447" s="118"/>
      <c r="AM447" s="118"/>
      <c r="AN447" s="118"/>
      <c r="AO447" s="401"/>
      <c r="AP447" s="118"/>
      <c r="AQ447" s="118"/>
      <c r="AR447" s="118"/>
      <c r="AS447" s="118"/>
      <c r="AT447" s="401"/>
      <c r="AU447" s="118"/>
      <c r="AV447" s="118"/>
      <c r="AW447" s="118"/>
      <c r="AX447" s="118"/>
      <c r="AY447" s="401"/>
      <c r="AZ447" s="118"/>
      <c r="BA447" s="118"/>
      <c r="BB447" s="118"/>
      <c r="BC447" s="118"/>
      <c r="BD447" s="401"/>
      <c r="BE447" s="118"/>
      <c r="BF447" s="302">
        <v>-12</v>
      </c>
      <c r="BG447" s="302">
        <v>-11</v>
      </c>
      <c r="BH447" s="118">
        <f t="shared" si="340"/>
        <v>-11</v>
      </c>
      <c r="BI447" s="403">
        <v>-11</v>
      </c>
      <c r="BJ447" s="1207">
        <v>-10</v>
      </c>
      <c r="BK447" s="723">
        <f>IF(BK446=0,0,BJ447-BJ447/(BK445-BJ$4)*BK$3)</f>
        <v>-9.4615384615384617</v>
      </c>
      <c r="BL447" s="723">
        <f>IF(BL446=0,0,BK447-BK447/(BL445-BK$4)*BL$3)</f>
        <v>-8.9171597633136095</v>
      </c>
      <c r="BM447" s="723">
        <f>IF(BM446=0,0,BL447-BL447/(BM445-BL$4)*BM$3)</f>
        <v>-8.3727810650887573</v>
      </c>
      <c r="BN447" s="401">
        <f>BM447</f>
        <v>-8.3727810650887573</v>
      </c>
      <c r="BO447" s="723">
        <f>IF(BO446=0,0,BN447-BN447/(BO445-BN$4)*BO$3)</f>
        <v>-7.8402366863905328</v>
      </c>
      <c r="BP447" s="723">
        <f>IF(BP446=0,0,BO447-BO447/(BP445-BO$4)*BP$3)</f>
        <v>-7.3017751479289945</v>
      </c>
      <c r="BQ447" s="723">
        <f>IF(BQ446=0,0,BP447-BP447/(BQ445-BP$4)*BQ$3)</f>
        <v>-6.7573964497041423</v>
      </c>
      <c r="BR447" s="723">
        <f>IF(BR446=0,0,BQ447-BQ447/(BR445-BQ$4)*BR$3)</f>
        <v>-6.2130177514792901</v>
      </c>
      <c r="BS447" s="401">
        <f>BR447</f>
        <v>-6.2130177514792901</v>
      </c>
      <c r="BT447" s="401">
        <f>IF(BT446=0,0,BS447-BS447/(BT445-BS$4)*BT$3)</f>
        <v>-4.053254437869823</v>
      </c>
      <c r="BU447" s="401">
        <f>IF(BU446=0,0,BT447-BT447/(BU445-BT$4)*BU$3)</f>
        <v>-1.8934911242603554</v>
      </c>
      <c r="BV447" s="401">
        <f>IF(BV446=0,0,BU447-BU447/(BV445-BU$4)*BV$3)</f>
        <v>0</v>
      </c>
      <c r="BW447" s="122"/>
    </row>
    <row r="448" spans="1:75" hidden="1" outlineLevel="2" x14ac:dyDescent="0.5">
      <c r="A448" s="1516" t="s">
        <v>2436</v>
      </c>
      <c r="B448" s="1499"/>
      <c r="C448" s="1500"/>
      <c r="D448" s="1500"/>
      <c r="E448" s="1500"/>
      <c r="F448" s="1500"/>
      <c r="G448" s="1056"/>
      <c r="H448" s="1056"/>
      <c r="I448" s="1056"/>
      <c r="J448" s="1056"/>
      <c r="K448" s="1500"/>
      <c r="L448" s="1056"/>
      <c r="M448" s="1056"/>
      <c r="N448" s="1056"/>
      <c r="O448" s="1056"/>
      <c r="P448" s="1500"/>
      <c r="Q448" s="1056"/>
      <c r="R448" s="1056"/>
      <c r="S448" s="1056"/>
      <c r="T448" s="1056"/>
      <c r="U448" s="1500"/>
      <c r="V448" s="1056"/>
      <c r="W448" s="1056"/>
      <c r="X448" s="1056"/>
      <c r="Y448" s="1056"/>
      <c r="Z448" s="1500"/>
      <c r="AA448" s="1056"/>
      <c r="AB448" s="1056"/>
      <c r="AC448" s="1056"/>
      <c r="AD448" s="1056"/>
      <c r="AE448" s="1500"/>
      <c r="AF448" s="1056"/>
      <c r="AG448" s="1056"/>
      <c r="AH448" s="1056"/>
      <c r="AI448" s="1056"/>
      <c r="AJ448" s="1500"/>
      <c r="AK448" s="1056"/>
      <c r="AL448" s="1056"/>
      <c r="AM448" s="1056"/>
      <c r="AN448" s="1056"/>
      <c r="AO448" s="1500"/>
      <c r="AP448" s="1056"/>
      <c r="AQ448" s="1056"/>
      <c r="AR448" s="1056"/>
      <c r="AS448" s="1056"/>
      <c r="AT448" s="1500"/>
      <c r="AU448" s="1056"/>
      <c r="AV448" s="1056"/>
      <c r="AW448" s="1056"/>
      <c r="AX448" s="1056"/>
      <c r="AY448" s="1500"/>
      <c r="AZ448" s="1056"/>
      <c r="BA448" s="1056"/>
      <c r="BB448" s="1056"/>
      <c r="BC448" s="1056"/>
      <c r="BD448" s="1500"/>
      <c r="BE448" s="1056"/>
      <c r="BF448" s="1056">
        <f t="shared" ref="BF448:BI448" si="341">SUM(BF446:BF447)</f>
        <v>678</v>
      </c>
      <c r="BG448" s="1056">
        <f t="shared" si="341"/>
        <v>679</v>
      </c>
      <c r="BH448" s="1056">
        <f t="shared" si="341"/>
        <v>679</v>
      </c>
      <c r="BI448" s="1500">
        <f t="shared" si="341"/>
        <v>679</v>
      </c>
      <c r="BJ448" s="1058">
        <f>SUM(BJ446:BJ447)</f>
        <v>680</v>
      </c>
      <c r="BK448" s="1056">
        <f>SUM(BK446:BK447)</f>
        <v>680.53846153846155</v>
      </c>
      <c r="BL448" s="1056">
        <f>SUM(BL446:BL447)</f>
        <v>681.08284023668637</v>
      </c>
      <c r="BM448" s="1056">
        <f>SUM(BM446:BM447)</f>
        <v>681.6272189349113</v>
      </c>
      <c r="BN448" s="1500">
        <f t="shared" ref="BN448:BV448" si="342">SUM(BN446:BN447)</f>
        <v>681.6272189349113</v>
      </c>
      <c r="BO448" s="1056">
        <f t="shared" si="342"/>
        <v>682.15976331360946</v>
      </c>
      <c r="BP448" s="1056">
        <f t="shared" si="342"/>
        <v>682.69822485207101</v>
      </c>
      <c r="BQ448" s="1056">
        <f t="shared" si="342"/>
        <v>683.24260355029583</v>
      </c>
      <c r="BR448" s="1056">
        <f t="shared" si="342"/>
        <v>683.78698224852076</v>
      </c>
      <c r="BS448" s="1500">
        <f t="shared" si="342"/>
        <v>683.78698224852076</v>
      </c>
      <c r="BT448" s="1500">
        <f t="shared" si="342"/>
        <v>685.94674556213022</v>
      </c>
      <c r="BU448" s="1500">
        <f t="shared" si="342"/>
        <v>688.10650887573968</v>
      </c>
      <c r="BV448" s="1500">
        <f t="shared" si="342"/>
        <v>0</v>
      </c>
      <c r="BW448" s="122"/>
    </row>
    <row r="449" spans="1:75" hidden="1" outlineLevel="2" x14ac:dyDescent="0.5">
      <c r="A449" s="496" t="s">
        <v>2437</v>
      </c>
      <c r="B449" s="513"/>
      <c r="C449" s="784"/>
      <c r="D449" s="784"/>
      <c r="E449" s="784"/>
      <c r="F449" s="784"/>
      <c r="G449" s="785"/>
      <c r="H449" s="785"/>
      <c r="I449" s="785"/>
      <c r="J449" s="785"/>
      <c r="K449" s="784"/>
      <c r="L449" s="785"/>
      <c r="M449" s="785"/>
      <c r="N449" s="785"/>
      <c r="O449" s="785"/>
      <c r="P449" s="784"/>
      <c r="Q449" s="785"/>
      <c r="R449" s="785"/>
      <c r="S449" s="785"/>
      <c r="T449" s="785"/>
      <c r="U449" s="784"/>
      <c r="V449" s="785"/>
      <c r="W449" s="785"/>
      <c r="X449" s="785"/>
      <c r="Y449" s="785"/>
      <c r="Z449" s="784"/>
      <c r="AA449" s="785"/>
      <c r="AB449" s="785"/>
      <c r="AC449" s="785"/>
      <c r="AD449" s="785"/>
      <c r="AE449" s="784"/>
      <c r="AF449" s="785"/>
      <c r="AG449" s="785"/>
      <c r="AH449" s="785"/>
      <c r="AI449" s="785"/>
      <c r="AJ449" s="784"/>
      <c r="AK449" s="785"/>
      <c r="AL449" s="785"/>
      <c r="AM449" s="785"/>
      <c r="AN449" s="785"/>
      <c r="AO449" s="784"/>
      <c r="AP449" s="785"/>
      <c r="AQ449" s="785"/>
      <c r="AR449" s="785"/>
      <c r="AS449" s="785"/>
      <c r="AT449" s="784"/>
      <c r="AU449" s="785"/>
      <c r="AV449" s="785"/>
      <c r="AW449" s="785"/>
      <c r="AX449" s="785"/>
      <c r="AY449" s="784"/>
      <c r="AZ449" s="785"/>
      <c r="BA449" s="785"/>
      <c r="BB449" s="785"/>
      <c r="BC449" s="785"/>
      <c r="BD449" s="784"/>
      <c r="BE449" s="785"/>
      <c r="BF449" s="1071">
        <v>45.8</v>
      </c>
      <c r="BG449" s="1071">
        <v>45.8</v>
      </c>
      <c r="BH449" s="785">
        <f t="shared" ref="BH449:BH450" si="343">BI449</f>
        <v>45.8</v>
      </c>
      <c r="BI449" s="1517">
        <v>45.8</v>
      </c>
      <c r="BJ449" s="1072">
        <v>45.8</v>
      </c>
      <c r="BK449" s="785">
        <f>IF(BK446=0,0,BJ449)</f>
        <v>45.8</v>
      </c>
      <c r="BL449" s="785">
        <f>IF(BL446=0,0,BK449)</f>
        <v>45.8</v>
      </c>
      <c r="BM449" s="785">
        <f>IF(BM446=0,0,BL449)</f>
        <v>45.8</v>
      </c>
      <c r="BN449" s="784">
        <f>BM449</f>
        <v>45.8</v>
      </c>
      <c r="BO449" s="785">
        <f>IF(BO446=0,0,BN449)</f>
        <v>45.8</v>
      </c>
      <c r="BP449" s="785">
        <f>IF(BP446=0,0,BO449)</f>
        <v>45.8</v>
      </c>
      <c r="BQ449" s="785">
        <f>IF(BQ446=0,0,BP449)</f>
        <v>45.8</v>
      </c>
      <c r="BR449" s="785">
        <f>IF(BR446=0,0,BQ449)</f>
        <v>45.8</v>
      </c>
      <c r="BS449" s="784">
        <f>BR449</f>
        <v>45.8</v>
      </c>
      <c r="BT449" s="784">
        <f>IF(BT446=0,0,BS449)</f>
        <v>45.8</v>
      </c>
      <c r="BU449" s="784">
        <f>IF(BU446=0,0,BT449)</f>
        <v>45.8</v>
      </c>
      <c r="BV449" s="784">
        <f>IF(BV446=0,0,BU449)</f>
        <v>0</v>
      </c>
      <c r="BW449" s="122"/>
    </row>
    <row r="450" spans="1:75" hidden="1" outlineLevel="2" x14ac:dyDescent="0.5">
      <c r="A450" s="869" t="s">
        <v>2379</v>
      </c>
      <c r="B450" s="870"/>
      <c r="C450" s="871"/>
      <c r="D450" s="871"/>
      <c r="E450" s="871"/>
      <c r="F450" s="871"/>
      <c r="G450" s="872"/>
      <c r="H450" s="872"/>
      <c r="I450" s="872"/>
      <c r="J450" s="872"/>
      <c r="K450" s="871"/>
      <c r="L450" s="872"/>
      <c r="M450" s="872"/>
      <c r="N450" s="872"/>
      <c r="O450" s="872"/>
      <c r="P450" s="871"/>
      <c r="Q450" s="872"/>
      <c r="R450" s="872"/>
      <c r="S450" s="872"/>
      <c r="T450" s="872"/>
      <c r="U450" s="871"/>
      <c r="V450" s="872"/>
      <c r="W450" s="872"/>
      <c r="X450" s="872"/>
      <c r="Y450" s="872"/>
      <c r="Z450" s="871"/>
      <c r="AA450" s="872"/>
      <c r="AB450" s="872"/>
      <c r="AC450" s="872"/>
      <c r="AD450" s="872"/>
      <c r="AE450" s="871"/>
      <c r="AF450" s="872"/>
      <c r="AG450" s="872"/>
      <c r="AH450" s="872"/>
      <c r="AI450" s="872"/>
      <c r="AJ450" s="871"/>
      <c r="AK450" s="872"/>
      <c r="AL450" s="872"/>
      <c r="AM450" s="872"/>
      <c r="AN450" s="872"/>
      <c r="AO450" s="871"/>
      <c r="AP450" s="872"/>
      <c r="AQ450" s="872"/>
      <c r="AR450" s="872"/>
      <c r="AS450" s="872"/>
      <c r="AT450" s="871"/>
      <c r="AU450" s="872"/>
      <c r="AV450" s="872"/>
      <c r="AW450" s="872"/>
      <c r="AX450" s="872"/>
      <c r="AY450" s="871"/>
      <c r="AZ450" s="872"/>
      <c r="BA450" s="872"/>
      <c r="BB450" s="872"/>
      <c r="BC450" s="872"/>
      <c r="BD450" s="871"/>
      <c r="BE450" s="872"/>
      <c r="BF450" s="872">
        <f t="shared" ref="BF450:BI450" si="344">IFERROR(BF446/BF449,0)</f>
        <v>15.065502183406114</v>
      </c>
      <c r="BG450" s="872">
        <f t="shared" si="344"/>
        <v>15.065502183406114</v>
      </c>
      <c r="BH450" s="872">
        <f t="shared" si="343"/>
        <v>15.065502183406114</v>
      </c>
      <c r="BI450" s="871">
        <f t="shared" si="344"/>
        <v>15.065502183406114</v>
      </c>
      <c r="BJ450" s="1504">
        <f>IFERROR(BJ446/BJ449,0)</f>
        <v>15.065502183406114</v>
      </c>
      <c r="BK450" s="872">
        <f>IFERROR(BK446/BK449,0)</f>
        <v>15.065502183406114</v>
      </c>
      <c r="BL450" s="872">
        <f>IFERROR(BL446/BL449,0)</f>
        <v>15.065502183406114</v>
      </c>
      <c r="BM450" s="872">
        <f>IFERROR(BM446/BM449,0)</f>
        <v>15.065502183406114</v>
      </c>
      <c r="BN450" s="871">
        <f t="shared" ref="BN450:BV450" si="345">IFERROR(BN446/BN449,0)</f>
        <v>15.065502183406114</v>
      </c>
      <c r="BO450" s="872">
        <f t="shared" si="345"/>
        <v>15.065502183406114</v>
      </c>
      <c r="BP450" s="872">
        <f t="shared" si="345"/>
        <v>15.065502183406114</v>
      </c>
      <c r="BQ450" s="872">
        <f t="shared" si="345"/>
        <v>15.065502183406114</v>
      </c>
      <c r="BR450" s="872">
        <f t="shared" si="345"/>
        <v>15.065502183406114</v>
      </c>
      <c r="BS450" s="871">
        <f t="shared" si="345"/>
        <v>15.065502183406114</v>
      </c>
      <c r="BT450" s="871">
        <f t="shared" si="345"/>
        <v>15.065502183406114</v>
      </c>
      <c r="BU450" s="871">
        <f t="shared" si="345"/>
        <v>15.065502183406114</v>
      </c>
      <c r="BV450" s="871">
        <f t="shared" si="345"/>
        <v>0</v>
      </c>
      <c r="BW450" s="122"/>
    </row>
    <row r="451" spans="1:75" hidden="1" outlineLevel="2" x14ac:dyDescent="0.5">
      <c r="A451" s="1498" t="s">
        <v>2438</v>
      </c>
      <c r="B451" s="1499"/>
      <c r="C451" s="1500"/>
      <c r="D451" s="1500"/>
      <c r="E451" s="1500"/>
      <c r="F451" s="1500"/>
      <c r="G451" s="1056"/>
      <c r="H451" s="1056"/>
      <c r="I451" s="1056"/>
      <c r="J451" s="1056"/>
      <c r="K451" s="1500"/>
      <c r="L451" s="1056"/>
      <c r="M451" s="1056"/>
      <c r="N451" s="1056"/>
      <c r="O451" s="1056"/>
      <c r="P451" s="1500"/>
      <c r="Q451" s="1056"/>
      <c r="R451" s="1056"/>
      <c r="S451" s="1056"/>
      <c r="T451" s="1056"/>
      <c r="U451" s="1500"/>
      <c r="V451" s="1056"/>
      <c r="W451" s="1056"/>
      <c r="X451" s="1056"/>
      <c r="Y451" s="1056"/>
      <c r="Z451" s="1500"/>
      <c r="AA451" s="1056"/>
      <c r="AB451" s="1056"/>
      <c r="AC451" s="1056"/>
      <c r="AD451" s="1056"/>
      <c r="AE451" s="1500"/>
      <c r="AF451" s="1056"/>
      <c r="AG451" s="1056"/>
      <c r="AH451" s="1056"/>
      <c r="AI451" s="1056"/>
      <c r="AJ451" s="1500"/>
      <c r="AK451" s="1056"/>
      <c r="AL451" s="1056"/>
      <c r="AM451" s="1056"/>
      <c r="AN451" s="1056"/>
      <c r="AO451" s="1500"/>
      <c r="AP451" s="1056"/>
      <c r="AQ451" s="1056"/>
      <c r="AR451" s="1056"/>
      <c r="AS451" s="1056"/>
      <c r="AT451" s="1500"/>
      <c r="AU451" s="1056"/>
      <c r="AV451" s="1056"/>
      <c r="AW451" s="1056"/>
      <c r="AX451" s="1056"/>
      <c r="AY451" s="1500"/>
      <c r="AZ451" s="1056"/>
      <c r="BA451" s="1056"/>
      <c r="BB451" s="1056"/>
      <c r="BC451" s="1056"/>
      <c r="BD451" s="1500"/>
      <c r="BE451" s="1056"/>
      <c r="BF451" s="1056">
        <f t="shared" ref="BF451:BV451" ca="1" si="346">IFERROR(IF(BF280&gt;BF449,BF450,0),0)</f>
        <v>15.065502183406114</v>
      </c>
      <c r="BG451" s="1056">
        <f t="shared" ca="1" si="346"/>
        <v>15.065502183406114</v>
      </c>
      <c r="BH451" s="1056">
        <f t="shared" ca="1" si="346"/>
        <v>15.065502183406114</v>
      </c>
      <c r="BI451" s="1500">
        <f t="shared" ca="1" si="346"/>
        <v>15.065502183406114</v>
      </c>
      <c r="BJ451" s="1058">
        <f t="shared" ca="1" si="346"/>
        <v>15.065502183406114</v>
      </c>
      <c r="BK451" s="1056">
        <f t="shared" si="346"/>
        <v>15.065502183406114</v>
      </c>
      <c r="BL451" s="1056">
        <f t="shared" si="346"/>
        <v>15.065502183406114</v>
      </c>
      <c r="BM451" s="1056">
        <f t="shared" si="346"/>
        <v>15.065502183406114</v>
      </c>
      <c r="BN451" s="1500">
        <f t="shared" si="346"/>
        <v>15.065502183406114</v>
      </c>
      <c r="BO451" s="1056">
        <f t="shared" si="346"/>
        <v>15.065502183406114</v>
      </c>
      <c r="BP451" s="1056">
        <f t="shared" si="346"/>
        <v>15.065502183406114</v>
      </c>
      <c r="BQ451" s="1056">
        <f t="shared" si="346"/>
        <v>15.065502183406114</v>
      </c>
      <c r="BR451" s="1056">
        <f t="shared" si="346"/>
        <v>15.065502183406114</v>
      </c>
      <c r="BS451" s="1500">
        <f t="shared" si="346"/>
        <v>15.065502183406114</v>
      </c>
      <c r="BT451" s="1500">
        <f t="shared" si="346"/>
        <v>15.065502183406114</v>
      </c>
      <c r="BU451" s="1500">
        <f t="shared" si="346"/>
        <v>15.065502183406114</v>
      </c>
      <c r="BV451" s="1500">
        <f t="shared" si="346"/>
        <v>0</v>
      </c>
      <c r="BW451" s="122"/>
    </row>
    <row r="452" spans="1:75" hidden="1" outlineLevel="2" x14ac:dyDescent="0.5">
      <c r="A452" s="752"/>
      <c r="B452" s="513"/>
      <c r="C452" s="401"/>
      <c r="D452" s="401"/>
      <c r="E452" s="401"/>
      <c r="F452" s="401"/>
      <c r="G452" s="118"/>
      <c r="H452" s="118"/>
      <c r="I452" s="118"/>
      <c r="J452" s="118"/>
      <c r="K452" s="401"/>
      <c r="L452" s="118"/>
      <c r="M452" s="118"/>
      <c r="N452" s="118"/>
      <c r="O452" s="118"/>
      <c r="P452" s="401"/>
      <c r="Q452" s="118"/>
      <c r="R452" s="118"/>
      <c r="S452" s="118"/>
      <c r="T452" s="118"/>
      <c r="U452" s="401"/>
      <c r="V452" s="118"/>
      <c r="W452" s="118"/>
      <c r="X452" s="118"/>
      <c r="Y452" s="118"/>
      <c r="Z452" s="401"/>
      <c r="AA452" s="118"/>
      <c r="AB452" s="118"/>
      <c r="AC452" s="118"/>
      <c r="AD452" s="118"/>
      <c r="AE452" s="401"/>
      <c r="AF452" s="118"/>
      <c r="AG452" s="118"/>
      <c r="AH452" s="118"/>
      <c r="AI452" s="118"/>
      <c r="AJ452" s="401"/>
      <c r="AK452" s="118"/>
      <c r="AL452" s="118"/>
      <c r="AM452" s="118"/>
      <c r="AN452" s="118"/>
      <c r="AO452" s="401"/>
      <c r="AP452" s="118"/>
      <c r="AQ452" s="118"/>
      <c r="AR452" s="118"/>
      <c r="AS452" s="118"/>
      <c r="AT452" s="401"/>
      <c r="AU452" s="118"/>
      <c r="AV452" s="118"/>
      <c r="AW452" s="118"/>
      <c r="AX452" s="118"/>
      <c r="AY452" s="401"/>
      <c r="AZ452" s="118"/>
      <c r="BA452" s="118"/>
      <c r="BB452" s="118"/>
      <c r="BC452" s="118"/>
      <c r="BD452" s="401"/>
      <c r="BE452" s="118"/>
      <c r="BF452" s="118"/>
      <c r="BG452" s="118"/>
      <c r="BH452" s="118"/>
      <c r="BI452" s="401"/>
      <c r="BJ452" s="971"/>
      <c r="BK452" s="118"/>
      <c r="BL452" s="118"/>
      <c r="BM452" s="118"/>
      <c r="BN452" s="401"/>
      <c r="BO452" s="118"/>
      <c r="BP452" s="118"/>
      <c r="BQ452" s="118"/>
      <c r="BR452" s="118"/>
      <c r="BS452" s="401"/>
      <c r="BT452" s="401"/>
      <c r="BU452" s="401"/>
      <c r="BV452" s="401"/>
      <c r="BW452" s="122"/>
    </row>
    <row r="453" spans="1:75" hidden="1" outlineLevel="2" x14ac:dyDescent="0.5">
      <c r="A453" s="184" t="s">
        <v>2439</v>
      </c>
      <c r="B453" s="513"/>
      <c r="C453" s="401"/>
      <c r="D453" s="401"/>
      <c r="E453" s="401"/>
      <c r="F453" s="401"/>
      <c r="G453" s="118"/>
      <c r="H453" s="118"/>
      <c r="I453" s="118"/>
      <c r="J453" s="118"/>
      <c r="K453" s="401"/>
      <c r="L453" s="118"/>
      <c r="M453" s="118"/>
      <c r="N453" s="118"/>
      <c r="O453" s="118"/>
      <c r="P453" s="401"/>
      <c r="Q453" s="118"/>
      <c r="R453" s="118"/>
      <c r="S453" s="118"/>
      <c r="T453" s="118"/>
      <c r="U453" s="401"/>
      <c r="V453" s="118"/>
      <c r="W453" s="118"/>
      <c r="X453" s="118"/>
      <c r="Y453" s="118"/>
      <c r="Z453" s="401"/>
      <c r="AA453" s="118"/>
      <c r="AB453" s="118"/>
      <c r="AC453" s="118"/>
      <c r="AD453" s="118"/>
      <c r="AE453" s="401"/>
      <c r="AF453" s="118"/>
      <c r="AG453" s="118"/>
      <c r="AH453" s="118"/>
      <c r="AI453" s="118"/>
      <c r="AJ453" s="401"/>
      <c r="AK453" s="118"/>
      <c r="AL453" s="118"/>
      <c r="AM453" s="118"/>
      <c r="AN453" s="118"/>
      <c r="AO453" s="401"/>
      <c r="AP453" s="118"/>
      <c r="AQ453" s="118"/>
      <c r="AR453" s="118"/>
      <c r="AS453" s="118"/>
      <c r="AT453" s="401"/>
      <c r="AU453" s="118"/>
      <c r="AV453" s="118"/>
      <c r="AW453" s="118"/>
      <c r="AX453" s="118"/>
      <c r="AY453" s="401"/>
      <c r="AZ453" s="118"/>
      <c r="BA453" s="118"/>
      <c r="BB453" s="118"/>
      <c r="BC453" s="118"/>
      <c r="BD453" s="401"/>
      <c r="BE453" s="118"/>
      <c r="BF453" s="118">
        <f>BF450</f>
        <v>15.065502183406114</v>
      </c>
      <c r="BG453" s="118">
        <f>BG450</f>
        <v>15.065502183406114</v>
      </c>
      <c r="BH453" s="118">
        <f t="shared" ref="BH453:BI453" si="347">BH450</f>
        <v>15.065502183406114</v>
      </c>
      <c r="BI453" s="401">
        <f t="shared" si="347"/>
        <v>15.065502183406114</v>
      </c>
      <c r="BJ453" s="971">
        <f>BJ450</f>
        <v>15.065502183406114</v>
      </c>
      <c r="BK453" s="118">
        <f>BK450</f>
        <v>15.065502183406114</v>
      </c>
      <c r="BL453" s="118">
        <f>BL450</f>
        <v>15.065502183406114</v>
      </c>
      <c r="BM453" s="118">
        <f>BM450</f>
        <v>15.065502183406114</v>
      </c>
      <c r="BN453" s="401">
        <f t="shared" ref="BN453:BV453" si="348">BN450</f>
        <v>15.065502183406114</v>
      </c>
      <c r="BO453" s="118">
        <f t="shared" si="348"/>
        <v>15.065502183406114</v>
      </c>
      <c r="BP453" s="118">
        <f t="shared" si="348"/>
        <v>15.065502183406114</v>
      </c>
      <c r="BQ453" s="118">
        <f t="shared" si="348"/>
        <v>15.065502183406114</v>
      </c>
      <c r="BR453" s="118">
        <f t="shared" si="348"/>
        <v>15.065502183406114</v>
      </c>
      <c r="BS453" s="401">
        <f t="shared" si="348"/>
        <v>15.065502183406114</v>
      </c>
      <c r="BT453" s="401">
        <f t="shared" si="348"/>
        <v>15.065502183406114</v>
      </c>
      <c r="BU453" s="401">
        <f t="shared" si="348"/>
        <v>15.065502183406114</v>
      </c>
      <c r="BV453" s="401">
        <f t="shared" si="348"/>
        <v>0</v>
      </c>
      <c r="BW453" s="122"/>
    </row>
    <row r="454" spans="1:75" hidden="1" outlineLevel="2" x14ac:dyDescent="0.5">
      <c r="A454" s="869" t="s">
        <v>2440</v>
      </c>
      <c r="B454" s="870"/>
      <c r="C454" s="1506"/>
      <c r="D454" s="1506"/>
      <c r="E454" s="1506"/>
      <c r="F454" s="1506"/>
      <c r="G454" s="1507"/>
      <c r="H454" s="1507"/>
      <c r="I454" s="1507"/>
      <c r="J454" s="1507"/>
      <c r="K454" s="1506"/>
      <c r="L454" s="1507"/>
      <c r="M454" s="1507"/>
      <c r="N454" s="1507"/>
      <c r="O454" s="1507"/>
      <c r="P454" s="1506"/>
      <c r="Q454" s="1507"/>
      <c r="R454" s="1507"/>
      <c r="S454" s="1507"/>
      <c r="T454" s="1507"/>
      <c r="U454" s="1506"/>
      <c r="V454" s="1507"/>
      <c r="W454" s="1507"/>
      <c r="X454" s="1507"/>
      <c r="Y454" s="1507"/>
      <c r="Z454" s="1506"/>
      <c r="AA454" s="1507"/>
      <c r="AB454" s="1507"/>
      <c r="AC454" s="1507"/>
      <c r="AD454" s="1507"/>
      <c r="AE454" s="1506"/>
      <c r="AF454" s="1507"/>
      <c r="AG454" s="1507"/>
      <c r="AH454" s="1507"/>
      <c r="AI454" s="1507"/>
      <c r="AJ454" s="1506"/>
      <c r="AK454" s="1507"/>
      <c r="AL454" s="1507"/>
      <c r="AM454" s="1507"/>
      <c r="AN454" s="1507"/>
      <c r="AO454" s="1506"/>
      <c r="AP454" s="1507"/>
      <c r="AQ454" s="1507"/>
      <c r="AR454" s="1507"/>
      <c r="AS454" s="1507"/>
      <c r="AT454" s="1506"/>
      <c r="AU454" s="1507"/>
      <c r="AV454" s="1507"/>
      <c r="AW454" s="1507"/>
      <c r="AX454" s="1507"/>
      <c r="AY454" s="1506"/>
      <c r="AZ454" s="1507"/>
      <c r="BA454" s="1507"/>
      <c r="BB454" s="785"/>
      <c r="BC454" s="1507"/>
      <c r="BD454" s="1506"/>
      <c r="BE454" s="1507"/>
      <c r="BF454" s="1519">
        <v>73.28</v>
      </c>
      <c r="BG454" s="1071">
        <v>73.28</v>
      </c>
      <c r="BH454" s="1507">
        <f>BI454</f>
        <v>73.28</v>
      </c>
      <c r="BI454" s="1518">
        <v>73.28</v>
      </c>
      <c r="BJ454" s="1520">
        <v>73.28</v>
      </c>
      <c r="BK454" s="1507">
        <f>BJ454</f>
        <v>73.28</v>
      </c>
      <c r="BL454" s="1507">
        <f>BK454</f>
        <v>73.28</v>
      </c>
      <c r="BM454" s="1507">
        <f>BL454</f>
        <v>73.28</v>
      </c>
      <c r="BN454" s="1506">
        <f t="shared" ref="BN454:BV454" si="349">BM454</f>
        <v>73.28</v>
      </c>
      <c r="BO454" s="1507">
        <f t="shared" si="349"/>
        <v>73.28</v>
      </c>
      <c r="BP454" s="1507">
        <f t="shared" si="349"/>
        <v>73.28</v>
      </c>
      <c r="BQ454" s="1507">
        <f t="shared" si="349"/>
        <v>73.28</v>
      </c>
      <c r="BR454" s="1507">
        <f t="shared" si="349"/>
        <v>73.28</v>
      </c>
      <c r="BS454" s="1506">
        <f t="shared" si="349"/>
        <v>73.28</v>
      </c>
      <c r="BT454" s="1506">
        <f t="shared" si="349"/>
        <v>73.28</v>
      </c>
      <c r="BU454" s="1506">
        <f t="shared" si="349"/>
        <v>73.28</v>
      </c>
      <c r="BV454" s="1506">
        <f t="shared" si="349"/>
        <v>73.28</v>
      </c>
      <c r="BW454" s="122"/>
    </row>
    <row r="455" spans="1:75" hidden="1" outlineLevel="2" x14ac:dyDescent="0.5">
      <c r="A455" s="1498" t="s">
        <v>2441</v>
      </c>
      <c r="B455" s="1499"/>
      <c r="C455" s="1500"/>
      <c r="D455" s="1500"/>
      <c r="E455" s="1500"/>
      <c r="F455" s="1500"/>
      <c r="G455" s="1056"/>
      <c r="H455" s="1056"/>
      <c r="I455" s="1056"/>
      <c r="J455" s="1056"/>
      <c r="K455" s="1500"/>
      <c r="L455" s="1056"/>
      <c r="M455" s="1056"/>
      <c r="N455" s="1056"/>
      <c r="O455" s="1056"/>
      <c r="P455" s="1500"/>
      <c r="Q455" s="1056"/>
      <c r="R455" s="1056"/>
      <c r="S455" s="1056"/>
      <c r="T455" s="1056"/>
      <c r="U455" s="1500"/>
      <c r="V455" s="1056"/>
      <c r="W455" s="1056"/>
      <c r="X455" s="1056"/>
      <c r="Y455" s="1056"/>
      <c r="Z455" s="1500"/>
      <c r="AA455" s="1056"/>
      <c r="AB455" s="1056"/>
      <c r="AC455" s="1056"/>
      <c r="AD455" s="1056"/>
      <c r="AE455" s="1500"/>
      <c r="AF455" s="1056"/>
      <c r="AG455" s="1056"/>
      <c r="AH455" s="1056"/>
      <c r="AI455" s="1056"/>
      <c r="AJ455" s="1500"/>
      <c r="AK455" s="1056"/>
      <c r="AL455" s="1056"/>
      <c r="AM455" s="1056"/>
      <c r="AN455" s="1056"/>
      <c r="AO455" s="1500"/>
      <c r="AP455" s="1056"/>
      <c r="AQ455" s="1056"/>
      <c r="AR455" s="1056"/>
      <c r="AS455" s="1056"/>
      <c r="AT455" s="1500"/>
      <c r="AU455" s="1056"/>
      <c r="AV455" s="1056"/>
      <c r="AW455" s="1056"/>
      <c r="AX455" s="1056"/>
      <c r="AY455" s="1500"/>
      <c r="AZ455" s="1056"/>
      <c r="BA455" s="1056"/>
      <c r="BB455" s="1056"/>
      <c r="BC455" s="1056"/>
      <c r="BD455" s="1500"/>
      <c r="BE455" s="1056"/>
      <c r="BF455" s="1056">
        <f t="shared" ref="BF455:BV455" ca="1" si="350">IFERROR(IF(BF280&gt;BF454,-BF451*BF454/BF280*BF453/BF450,-BF451),0)</f>
        <v>-7.8487132091568323</v>
      </c>
      <c r="BG455" s="1056">
        <f t="shared" ca="1" si="350"/>
        <v>-7.5709779179810726</v>
      </c>
      <c r="BH455" s="1056">
        <f t="shared" ca="1" si="350"/>
        <v>-5.2936945576600332</v>
      </c>
      <c r="BI455" s="1500">
        <f t="shared" ca="1" si="350"/>
        <v>-5.2936945576600332</v>
      </c>
      <c r="BJ455" s="1058">
        <f t="shared" ca="1" si="350"/>
        <v>-3.9126736603345615</v>
      </c>
      <c r="BK455" s="1056">
        <f t="shared" si="350"/>
        <v>-15.065502183406114</v>
      </c>
      <c r="BL455" s="1056">
        <f t="shared" si="350"/>
        <v>-15.065502183406114</v>
      </c>
      <c r="BM455" s="1056">
        <f t="shared" si="350"/>
        <v>-15.065502183406114</v>
      </c>
      <c r="BN455" s="1500">
        <f t="shared" si="350"/>
        <v>-15.065502183406114</v>
      </c>
      <c r="BO455" s="1056">
        <f t="shared" si="350"/>
        <v>-15.065502183406114</v>
      </c>
      <c r="BP455" s="1056">
        <f t="shared" si="350"/>
        <v>-15.065502183406114</v>
      </c>
      <c r="BQ455" s="1056">
        <f t="shared" si="350"/>
        <v>-15.065502183406114</v>
      </c>
      <c r="BR455" s="1056">
        <f t="shared" si="350"/>
        <v>-15.065502183406114</v>
      </c>
      <c r="BS455" s="1500">
        <f t="shared" si="350"/>
        <v>-15.065502183406114</v>
      </c>
      <c r="BT455" s="1500">
        <f t="shared" si="350"/>
        <v>-15.065502183406114</v>
      </c>
      <c r="BU455" s="1500">
        <f t="shared" si="350"/>
        <v>-13.974683544303797</v>
      </c>
      <c r="BV455" s="1500">
        <f t="shared" si="350"/>
        <v>0</v>
      </c>
      <c r="BW455" s="122"/>
    </row>
    <row r="456" spans="1:75" hidden="1" outlineLevel="2" x14ac:dyDescent="0.5">
      <c r="A456" s="184" t="s">
        <v>2384</v>
      </c>
      <c r="B456" s="513"/>
      <c r="C456" s="401"/>
      <c r="D456" s="401"/>
      <c r="E456" s="401"/>
      <c r="F456" s="401"/>
      <c r="G456" s="118"/>
      <c r="H456" s="118"/>
      <c r="I456" s="118"/>
      <c r="J456" s="118"/>
      <c r="K456" s="401"/>
      <c r="L456" s="118"/>
      <c r="M456" s="118"/>
      <c r="N456" s="118"/>
      <c r="O456" s="118"/>
      <c r="P456" s="401"/>
      <c r="Q456" s="118"/>
      <c r="R456" s="118"/>
      <c r="S456" s="118"/>
      <c r="T456" s="118"/>
      <c r="U456" s="401"/>
      <c r="V456" s="118"/>
      <c r="W456" s="118"/>
      <c r="X456" s="118"/>
      <c r="Y456" s="118"/>
      <c r="Z456" s="401"/>
      <c r="AA456" s="118"/>
      <c r="AB456" s="118"/>
      <c r="AC456" s="118"/>
      <c r="AD456" s="118"/>
      <c r="AE456" s="401"/>
      <c r="AF456" s="118"/>
      <c r="AG456" s="118"/>
      <c r="AH456" s="118"/>
      <c r="AI456" s="118"/>
      <c r="AJ456" s="401"/>
      <c r="AK456" s="118"/>
      <c r="AL456" s="118"/>
      <c r="AM456" s="118"/>
      <c r="AN456" s="118"/>
      <c r="AO456" s="401"/>
      <c r="AP456" s="118"/>
      <c r="AQ456" s="118"/>
      <c r="AR456" s="118"/>
      <c r="AS456" s="118"/>
      <c r="AT456" s="401"/>
      <c r="AU456" s="118"/>
      <c r="AV456" s="118"/>
      <c r="AW456" s="118"/>
      <c r="AX456" s="118"/>
      <c r="AY456" s="401"/>
      <c r="AZ456" s="118"/>
      <c r="BA456" s="118"/>
      <c r="BB456" s="118"/>
      <c r="BC456" s="118"/>
      <c r="BD456" s="401"/>
      <c r="BE456" s="118"/>
      <c r="BF456" s="118">
        <f t="shared" ref="BF456:BI456" ca="1" si="351">IF(BF455&lt;0,BF453*BF449,0)</f>
        <v>690</v>
      </c>
      <c r="BG456" s="118">
        <f t="shared" ca="1" si="351"/>
        <v>690</v>
      </c>
      <c r="BH456" s="118">
        <f t="shared" ca="1" si="351"/>
        <v>690</v>
      </c>
      <c r="BI456" s="401">
        <f t="shared" ca="1" si="351"/>
        <v>690</v>
      </c>
      <c r="BJ456" s="971">
        <f ca="1">IF(BJ455&lt;0,BJ453*BJ449,0)</f>
        <v>690</v>
      </c>
      <c r="BK456" s="118">
        <f>IF(BK455&lt;0,BK453*BK449,0)</f>
        <v>690</v>
      </c>
      <c r="BL456" s="118">
        <f>IF(BL455&lt;0,BL453*BL449,0)</f>
        <v>690</v>
      </c>
      <c r="BM456" s="118">
        <f>IF(BM455&lt;0,BM453*BM449,0)</f>
        <v>690</v>
      </c>
      <c r="BN456" s="401">
        <f t="shared" ref="BN456:BV456" si="352">IF(BN455&lt;0,BN453*BN449,0)</f>
        <v>690</v>
      </c>
      <c r="BO456" s="118">
        <f t="shared" si="352"/>
        <v>690</v>
      </c>
      <c r="BP456" s="118">
        <f t="shared" si="352"/>
        <v>690</v>
      </c>
      <c r="BQ456" s="118">
        <f t="shared" si="352"/>
        <v>690</v>
      </c>
      <c r="BR456" s="118">
        <f t="shared" si="352"/>
        <v>690</v>
      </c>
      <c r="BS456" s="401">
        <f t="shared" si="352"/>
        <v>690</v>
      </c>
      <c r="BT456" s="401">
        <f t="shared" si="352"/>
        <v>690</v>
      </c>
      <c r="BU456" s="401">
        <f t="shared" si="352"/>
        <v>690</v>
      </c>
      <c r="BV456" s="401">
        <f t="shared" si="352"/>
        <v>0</v>
      </c>
      <c r="BW456" s="122"/>
    </row>
    <row r="457" spans="1:75" hidden="1" outlineLevel="2" x14ac:dyDescent="0.5">
      <c r="A457" s="184"/>
      <c r="B457" s="513"/>
      <c r="C457" s="401"/>
      <c r="D457" s="401"/>
      <c r="E457" s="401"/>
      <c r="F457" s="401"/>
      <c r="G457" s="118"/>
      <c r="H457" s="118"/>
      <c r="I457" s="118"/>
      <c r="J457" s="118"/>
      <c r="K457" s="401"/>
      <c r="L457" s="118"/>
      <c r="M457" s="118"/>
      <c r="N457" s="118"/>
      <c r="O457" s="118"/>
      <c r="P457" s="401"/>
      <c r="Q457" s="118"/>
      <c r="R457" s="118"/>
      <c r="S457" s="118"/>
      <c r="T457" s="118"/>
      <c r="U457" s="401"/>
      <c r="V457" s="118"/>
      <c r="W457" s="118"/>
      <c r="X457" s="118"/>
      <c r="Y457" s="118"/>
      <c r="Z457" s="401"/>
      <c r="AA457" s="118"/>
      <c r="AB457" s="118"/>
      <c r="AC457" s="118"/>
      <c r="AD457" s="118"/>
      <c r="AE457" s="401"/>
      <c r="AF457" s="118"/>
      <c r="AG457" s="118"/>
      <c r="AH457" s="118"/>
      <c r="AI457" s="118"/>
      <c r="AJ457" s="401"/>
      <c r="AK457" s="118"/>
      <c r="AL457" s="118"/>
      <c r="AM457" s="118"/>
      <c r="AN457" s="118"/>
      <c r="AO457" s="401"/>
      <c r="AP457" s="118"/>
      <c r="AQ457" s="118"/>
      <c r="AR457" s="118"/>
      <c r="AS457" s="118"/>
      <c r="AT457" s="401"/>
      <c r="AU457" s="118"/>
      <c r="AV457" s="118"/>
      <c r="AW457" s="118"/>
      <c r="AX457" s="118"/>
      <c r="AY457" s="401"/>
      <c r="AZ457" s="118"/>
      <c r="BA457" s="118"/>
      <c r="BB457" s="118"/>
      <c r="BC457" s="118"/>
      <c r="BD457" s="401"/>
      <c r="BE457" s="118"/>
      <c r="BF457" s="118"/>
      <c r="BG457" s="118"/>
      <c r="BH457" s="118"/>
      <c r="BI457" s="401"/>
      <c r="BJ457" s="971"/>
      <c r="BK457" s="118"/>
      <c r="BL457" s="118"/>
      <c r="BM457" s="118"/>
      <c r="BN457" s="401"/>
      <c r="BO457" s="118"/>
      <c r="BP457" s="118"/>
      <c r="BQ457" s="118"/>
      <c r="BR457" s="118"/>
      <c r="BS457" s="401"/>
      <c r="BT457" s="401"/>
      <c r="BU457" s="401"/>
      <c r="BV457" s="401"/>
      <c r="BW457" s="122"/>
    </row>
    <row r="458" spans="1:75" hidden="1" outlineLevel="2" x14ac:dyDescent="0.5">
      <c r="A458" s="752" t="s">
        <v>2442</v>
      </c>
      <c r="B458" s="513"/>
      <c r="C458" s="401"/>
      <c r="D458" s="401"/>
      <c r="E458" s="401"/>
      <c r="F458" s="401"/>
      <c r="G458" s="118"/>
      <c r="H458" s="118"/>
      <c r="I458" s="118"/>
      <c r="J458" s="118"/>
      <c r="K458" s="401"/>
      <c r="L458" s="118"/>
      <c r="M458" s="118"/>
      <c r="N458" s="118"/>
      <c r="O458" s="118"/>
      <c r="P458" s="401"/>
      <c r="Q458" s="118"/>
      <c r="R458" s="118"/>
      <c r="S458" s="118"/>
      <c r="T458" s="118"/>
      <c r="U458" s="401"/>
      <c r="V458" s="118"/>
      <c r="W458" s="118"/>
      <c r="X458" s="118"/>
      <c r="Y458" s="118"/>
      <c r="Z458" s="401"/>
      <c r="AA458" s="118"/>
      <c r="AB458" s="118"/>
      <c r="AC458" s="118"/>
      <c r="AD458" s="118"/>
      <c r="AE458" s="401"/>
      <c r="AF458" s="118"/>
      <c r="AG458" s="118"/>
      <c r="AH458" s="118"/>
      <c r="AI458" s="118"/>
      <c r="AJ458" s="401"/>
      <c r="AK458" s="118"/>
      <c r="AL458" s="118"/>
      <c r="AM458" s="118"/>
      <c r="AN458" s="118"/>
      <c r="AO458" s="401"/>
      <c r="AP458" s="118"/>
      <c r="AQ458" s="118"/>
      <c r="AR458" s="118"/>
      <c r="AS458" s="118"/>
      <c r="AT458" s="401"/>
      <c r="AU458" s="118"/>
      <c r="AV458" s="118"/>
      <c r="AW458" s="118"/>
      <c r="AX458" s="118"/>
      <c r="AY458" s="401"/>
      <c r="AZ458" s="118"/>
      <c r="BA458" s="118"/>
      <c r="BB458" s="118"/>
      <c r="BC458" s="118"/>
      <c r="BD458" s="401"/>
      <c r="BE458" s="118"/>
      <c r="BF458" s="118"/>
      <c r="BG458" s="118"/>
      <c r="BH458" s="118"/>
      <c r="BI458" s="401"/>
      <c r="BJ458" s="971"/>
      <c r="BK458" s="118">
        <f>IFERROR(IF(AND(BK446=0,BK280&gt;BJ449,BK280&gt;BJ454),BJ450-BJ450*BJ454/BK280*BJ453/BJ450,0),0)</f>
        <v>0</v>
      </c>
      <c r="BL458" s="118">
        <f>IFERROR(IF(AND(BL446=0,BL280&gt;BK449,BL280&gt;BK454),BK450-BK450*BK454/BL280*BK453/BK450,0),0)</f>
        <v>0</v>
      </c>
      <c r="BM458" s="118">
        <f>IFERROR(IF(AND(BM446=0,BM280&gt;BL449,BM280&gt;BL454),BL450-BL450*BL454/BM280*BL453/BL450,0),0)</f>
        <v>0</v>
      </c>
      <c r="BN458" s="401">
        <f>SUM(BJ458,BK458,BL458,BM458)</f>
        <v>0</v>
      </c>
      <c r="BO458" s="118">
        <f>IFERROR(IF(AND(BO446=0,BO280&gt;BN449,BO280&gt;BN454),BN450-BN450*BN454/BO280*BN453/BN450,0),0)</f>
        <v>0</v>
      </c>
      <c r="BP458" s="118">
        <f>IFERROR(IF(AND(BP446=0,BP280&gt;BO449,BP280&gt;BO454),BO450-BO450*BO454/BP280*BO453/BO450,0),0)</f>
        <v>0</v>
      </c>
      <c r="BQ458" s="118">
        <f>IFERROR(IF(AND(BQ446=0,BQ280&gt;BP449,BQ280&gt;BP454),BP450-BP450*BP454/BQ280*BP453/BP450,0),0)</f>
        <v>0</v>
      </c>
      <c r="BR458" s="118">
        <f>IFERROR(IF(AND(BR446=0,BR280&gt;BQ449,BR280&gt;BQ454),BQ450-BQ450*BQ454/BR280*BQ453/BQ450,0),0)</f>
        <v>0</v>
      </c>
      <c r="BS458" s="401">
        <f>SUM(BO458,BP458,BQ458,BR458)</f>
        <v>0</v>
      </c>
      <c r="BT458" s="401">
        <f>IFERROR(IF(AND(BT446=0,BT280&gt;BS449,BT280&gt;BS454),BS450-BS450*BS454/BT280*BS453/BS450,0),0)</f>
        <v>0</v>
      </c>
      <c r="BU458" s="401">
        <f>IFERROR(IF(AND(BU446=0,BU280&gt;BT449,BU280&gt;BT454),BT450-BT450*BT454/BU280*BT453/BT450,0),0)</f>
        <v>0</v>
      </c>
      <c r="BV458" s="401">
        <f>IFERROR(IF(AND(BV446=0,BV280&gt;BU449,BV280&gt;BU454),BU450-BU450*BU454/BV280*BU453/BU450,0),0)</f>
        <v>2.3758470109923202</v>
      </c>
      <c r="BW458" s="122"/>
    </row>
    <row r="459" spans="1:75" hidden="1" outlineLevel="2" x14ac:dyDescent="0.5">
      <c r="A459" s="752" t="s">
        <v>2443</v>
      </c>
      <c r="B459" s="513"/>
      <c r="C459" s="401"/>
      <c r="D459" s="401"/>
      <c r="E459" s="401"/>
      <c r="F459" s="401"/>
      <c r="G459" s="118"/>
      <c r="H459" s="118"/>
      <c r="I459" s="118"/>
      <c r="J459" s="118"/>
      <c r="K459" s="401"/>
      <c r="L459" s="118"/>
      <c r="M459" s="118"/>
      <c r="N459" s="118"/>
      <c r="O459" s="118"/>
      <c r="P459" s="401"/>
      <c r="Q459" s="118"/>
      <c r="R459" s="118"/>
      <c r="S459" s="118"/>
      <c r="T459" s="118"/>
      <c r="U459" s="401"/>
      <c r="V459" s="118"/>
      <c r="W459" s="118"/>
      <c r="X459" s="118"/>
      <c r="Y459" s="118"/>
      <c r="Z459" s="401"/>
      <c r="AA459" s="118"/>
      <c r="AB459" s="118"/>
      <c r="AC459" s="118"/>
      <c r="AD459" s="118"/>
      <c r="AE459" s="401"/>
      <c r="AF459" s="118"/>
      <c r="AG459" s="118"/>
      <c r="AH459" s="118"/>
      <c r="AI459" s="118"/>
      <c r="AJ459" s="401"/>
      <c r="AK459" s="118"/>
      <c r="AL459" s="118"/>
      <c r="AM459" s="118"/>
      <c r="AN459" s="118"/>
      <c r="AO459" s="401"/>
      <c r="AP459" s="118"/>
      <c r="AQ459" s="118"/>
      <c r="AR459" s="118"/>
      <c r="AS459" s="118"/>
      <c r="AT459" s="401"/>
      <c r="AU459" s="118"/>
      <c r="AV459" s="118"/>
      <c r="AW459" s="118"/>
      <c r="AX459" s="118"/>
      <c r="AY459" s="401"/>
      <c r="AZ459" s="118"/>
      <c r="BA459" s="118"/>
      <c r="BB459" s="118"/>
      <c r="BC459" s="118"/>
      <c r="BD459" s="401"/>
      <c r="BE459" s="118"/>
      <c r="BF459" s="118"/>
      <c r="BG459" s="118"/>
      <c r="BH459" s="118"/>
      <c r="BI459" s="401"/>
      <c r="BJ459" s="971"/>
      <c r="BK459" s="118">
        <f>IF(AND(BK446=0,BK280&gt;BJ449),-BJ449*BJ453,0)</f>
        <v>0</v>
      </c>
      <c r="BL459" s="118">
        <f>IF(AND(BL446=0,BL280&gt;BK449),-BK449*BK453,0)</f>
        <v>0</v>
      </c>
      <c r="BM459" s="118">
        <f>IF(AND(BM446=0,BM280&gt;BL449),-BL449*BL453,0)</f>
        <v>0</v>
      </c>
      <c r="BN459" s="401">
        <f>SUM(BJ459,BK459,BL459,BM459)</f>
        <v>0</v>
      </c>
      <c r="BO459" s="118">
        <f>IF(AND(BO446=0,BO280&gt;BN449),-BN449*BN453,0)</f>
        <v>0</v>
      </c>
      <c r="BP459" s="118">
        <f>IF(AND(BP446=0,BP280&gt;BO449),-BO449*BO453,0)</f>
        <v>0</v>
      </c>
      <c r="BQ459" s="118">
        <f>IF(AND(BQ446=0,BQ280&gt;BP449),-BP449*BP453,0)</f>
        <v>0</v>
      </c>
      <c r="BR459" s="118">
        <f>IF(AND(BR446=0,BR280&gt;BQ449),-BQ449*BQ453,0)</f>
        <v>0</v>
      </c>
      <c r="BS459" s="401">
        <f>SUM(BO459,BP459,BQ459,BR459)</f>
        <v>0</v>
      </c>
      <c r="BT459" s="401">
        <f>IF(AND(BT446=0,BT280&gt;BS449),-BS449*BS453,0)</f>
        <v>0</v>
      </c>
      <c r="BU459" s="401">
        <f>IF(AND(BU446=0,BU280&gt;BT449),-BT449*BT453,0)</f>
        <v>0</v>
      </c>
      <c r="BV459" s="401">
        <f>IF(AND(BV446=0,BV280&gt;BU449),-BU449*BU453,0)</f>
        <v>-690</v>
      </c>
      <c r="BW459" s="122"/>
    </row>
    <row r="460" spans="1:75" hidden="1" outlineLevel="2" x14ac:dyDescent="0.5">
      <c r="A460" s="752" t="s">
        <v>2444</v>
      </c>
      <c r="B460" s="513"/>
      <c r="C460" s="401"/>
      <c r="D460" s="401"/>
      <c r="E460" s="401"/>
      <c r="F460" s="401"/>
      <c r="G460" s="118"/>
      <c r="H460" s="118"/>
      <c r="I460" s="118"/>
      <c r="J460" s="118"/>
      <c r="K460" s="401"/>
      <c r="L460" s="118"/>
      <c r="M460" s="118"/>
      <c r="N460" s="118"/>
      <c r="O460" s="118"/>
      <c r="P460" s="401"/>
      <c r="Q460" s="118"/>
      <c r="R460" s="118"/>
      <c r="S460" s="118"/>
      <c r="T460" s="118"/>
      <c r="U460" s="401"/>
      <c r="V460" s="118"/>
      <c r="W460" s="118"/>
      <c r="X460" s="118"/>
      <c r="Y460" s="118"/>
      <c r="Z460" s="401"/>
      <c r="AA460" s="118"/>
      <c r="AB460" s="118"/>
      <c r="AC460" s="118"/>
      <c r="AD460" s="118"/>
      <c r="AE460" s="401"/>
      <c r="AF460" s="118"/>
      <c r="AG460" s="118"/>
      <c r="AH460" s="118"/>
      <c r="AI460" s="118"/>
      <c r="AJ460" s="401"/>
      <c r="AK460" s="118"/>
      <c r="AL460" s="118"/>
      <c r="AM460" s="118"/>
      <c r="AN460" s="118"/>
      <c r="AO460" s="401"/>
      <c r="AP460" s="118"/>
      <c r="AQ460" s="118"/>
      <c r="AR460" s="118"/>
      <c r="AS460" s="118"/>
      <c r="AT460" s="401"/>
      <c r="AU460" s="118"/>
      <c r="AV460" s="118"/>
      <c r="AW460" s="118"/>
      <c r="AX460" s="118"/>
      <c r="AY460" s="401"/>
      <c r="AZ460" s="118"/>
      <c r="BA460" s="118"/>
      <c r="BB460" s="118"/>
      <c r="BC460" s="118"/>
      <c r="BD460" s="401"/>
      <c r="BE460" s="118"/>
      <c r="BF460" s="118"/>
      <c r="BG460" s="118"/>
      <c r="BH460" s="118"/>
      <c r="BI460" s="401"/>
      <c r="BJ460" s="971"/>
      <c r="BK460" s="118">
        <f>IF(AND(BK446=0,BK280&lt;=BJ449),-BJ446,0)</f>
        <v>0</v>
      </c>
      <c r="BL460" s="118">
        <f>IF(AND(BL446=0,BL280&lt;=BK449),-BK446,0)</f>
        <v>0</v>
      </c>
      <c r="BM460" s="118">
        <f>IF(AND(BM446=0,BM280&lt;=BL449),-BL446,0)</f>
        <v>0</v>
      </c>
      <c r="BN460" s="401">
        <f>SUM(BJ460,BK460,BL460,BM460)</f>
        <v>0</v>
      </c>
      <c r="BO460" s="118">
        <f>IF(AND(BO446=0,BO280&lt;=BN449),-BN446,0)</f>
        <v>0</v>
      </c>
      <c r="BP460" s="118">
        <f>IF(AND(BP446=0,BP280&lt;=BO449),-BO446,0)</f>
        <v>0</v>
      </c>
      <c r="BQ460" s="118">
        <f>IF(AND(BQ446=0,BQ280&lt;=BP449),-BP446,0)</f>
        <v>0</v>
      </c>
      <c r="BR460" s="118">
        <f>IF(AND(BR446=0,BR280&lt;=BQ449),-BQ446,0)</f>
        <v>0</v>
      </c>
      <c r="BS460" s="401">
        <f>SUM(BO460,BP460,BQ460,BR460)</f>
        <v>0</v>
      </c>
      <c r="BT460" s="401">
        <f>IF(AND(BT446=0,BT280&lt;=BS449),-BS446,0)</f>
        <v>0</v>
      </c>
      <c r="BU460" s="401">
        <f>IF(AND(BU446=0,BU280&lt;=BT449),-BT446,0)</f>
        <v>0</v>
      </c>
      <c r="BV460" s="401">
        <f>IF(AND(BV446=0,BV280&lt;=BU449),-BU446,0)</f>
        <v>0</v>
      </c>
      <c r="BW460" s="122"/>
    </row>
    <row r="461" spans="1:75" hidden="1" outlineLevel="2" x14ac:dyDescent="0.5">
      <c r="A461" s="752"/>
      <c r="B461" s="513"/>
      <c r="C461" s="401"/>
      <c r="D461" s="401"/>
      <c r="E461" s="401"/>
      <c r="F461" s="401"/>
      <c r="G461" s="118"/>
      <c r="H461" s="118"/>
      <c r="I461" s="118"/>
      <c r="J461" s="118"/>
      <c r="K461" s="401"/>
      <c r="L461" s="118"/>
      <c r="M461" s="118"/>
      <c r="N461" s="118"/>
      <c r="O461" s="118"/>
      <c r="P461" s="401"/>
      <c r="Q461" s="118"/>
      <c r="R461" s="118"/>
      <c r="S461" s="118"/>
      <c r="T461" s="118"/>
      <c r="U461" s="401"/>
      <c r="V461" s="118"/>
      <c r="W461" s="118"/>
      <c r="X461" s="118"/>
      <c r="Y461" s="118"/>
      <c r="Z461" s="401"/>
      <c r="AA461" s="118"/>
      <c r="AB461" s="118"/>
      <c r="AC461" s="118"/>
      <c r="AD461" s="118"/>
      <c r="AE461" s="401"/>
      <c r="AF461" s="118"/>
      <c r="AG461" s="118"/>
      <c r="AH461" s="118"/>
      <c r="AI461" s="118"/>
      <c r="AJ461" s="401"/>
      <c r="AK461" s="118"/>
      <c r="AL461" s="118"/>
      <c r="AM461" s="118"/>
      <c r="AN461" s="118"/>
      <c r="AO461" s="401"/>
      <c r="AP461" s="118"/>
      <c r="AQ461" s="118"/>
      <c r="AR461" s="118"/>
      <c r="AS461" s="118"/>
      <c r="AT461" s="401"/>
      <c r="AU461" s="118"/>
      <c r="AV461" s="118"/>
      <c r="AW461" s="118"/>
      <c r="AX461" s="118"/>
      <c r="AY461" s="401"/>
      <c r="AZ461" s="118"/>
      <c r="BA461" s="118"/>
      <c r="BB461" s="118"/>
      <c r="BC461" s="118"/>
      <c r="BD461" s="401"/>
      <c r="BE461" s="118"/>
      <c r="BF461" s="118"/>
      <c r="BG461" s="118"/>
      <c r="BH461" s="118"/>
      <c r="BI461" s="401"/>
      <c r="BJ461" s="971"/>
      <c r="BK461" s="118"/>
      <c r="BL461" s="118"/>
      <c r="BM461" s="118"/>
      <c r="BN461" s="401"/>
      <c r="BO461" s="118"/>
      <c r="BP461" s="118"/>
      <c r="BQ461" s="118"/>
      <c r="BR461" s="118"/>
      <c r="BS461" s="401"/>
      <c r="BT461" s="401"/>
      <c r="BU461" s="401"/>
      <c r="BV461" s="401"/>
      <c r="BW461" s="122"/>
    </row>
    <row r="462" spans="1:75" hidden="1" outlineLevel="2" x14ac:dyDescent="0.5">
      <c r="A462" s="184" t="s">
        <v>2445</v>
      </c>
      <c r="B462" s="513"/>
      <c r="C462" s="779"/>
      <c r="D462" s="779"/>
      <c r="E462" s="779"/>
      <c r="F462" s="779"/>
      <c r="G462" s="780"/>
      <c r="H462" s="780"/>
      <c r="I462" s="780"/>
      <c r="J462" s="780"/>
      <c r="K462" s="779"/>
      <c r="L462" s="780"/>
      <c r="M462" s="780"/>
      <c r="N462" s="780"/>
      <c r="O462" s="780"/>
      <c r="P462" s="779"/>
      <c r="Q462" s="780"/>
      <c r="R462" s="780"/>
      <c r="S462" s="780"/>
      <c r="T462" s="780"/>
      <c r="U462" s="779"/>
      <c r="V462" s="780"/>
      <c r="W462" s="780"/>
      <c r="X462" s="780"/>
      <c r="Y462" s="780"/>
      <c r="Z462" s="779"/>
      <c r="AA462" s="780"/>
      <c r="AB462" s="780"/>
      <c r="AC462" s="780"/>
      <c r="AD462" s="780"/>
      <c r="AE462" s="779"/>
      <c r="AF462" s="780"/>
      <c r="AG462" s="780"/>
      <c r="AH462" s="780"/>
      <c r="AI462" s="780"/>
      <c r="AJ462" s="779"/>
      <c r="AK462" s="780"/>
      <c r="AL462" s="780"/>
      <c r="AM462" s="780"/>
      <c r="AN462" s="780"/>
      <c r="AO462" s="779"/>
      <c r="AP462" s="780"/>
      <c r="AQ462" s="780"/>
      <c r="AR462" s="780"/>
      <c r="AS462" s="780"/>
      <c r="AT462" s="818">
        <v>45748</v>
      </c>
      <c r="AU462" s="780">
        <f t="shared" ref="AU462:BV462" si="353">AT462</f>
        <v>45748</v>
      </c>
      <c r="AV462" s="780">
        <f t="shared" si="353"/>
        <v>45748</v>
      </c>
      <c r="AW462" s="780">
        <f t="shared" si="353"/>
        <v>45748</v>
      </c>
      <c r="AX462" s="780">
        <f t="shared" si="353"/>
        <v>45748</v>
      </c>
      <c r="AY462" s="779">
        <f t="shared" si="353"/>
        <v>45748</v>
      </c>
      <c r="AZ462" s="780">
        <f t="shared" si="353"/>
        <v>45748</v>
      </c>
      <c r="BA462" s="780">
        <f t="shared" si="353"/>
        <v>45748</v>
      </c>
      <c r="BB462" s="780">
        <f t="shared" si="353"/>
        <v>45748</v>
      </c>
      <c r="BC462" s="780">
        <f t="shared" si="353"/>
        <v>45748</v>
      </c>
      <c r="BD462" s="779">
        <f t="shared" si="353"/>
        <v>45748</v>
      </c>
      <c r="BE462" s="780">
        <f t="shared" si="353"/>
        <v>45748</v>
      </c>
      <c r="BF462" s="780">
        <f t="shared" si="353"/>
        <v>45748</v>
      </c>
      <c r="BG462" s="780">
        <f t="shared" si="353"/>
        <v>45748</v>
      </c>
      <c r="BH462" s="780">
        <f t="shared" si="353"/>
        <v>45748</v>
      </c>
      <c r="BI462" s="779">
        <f t="shared" si="353"/>
        <v>45748</v>
      </c>
      <c r="BJ462" s="1316">
        <f>BI462</f>
        <v>45748</v>
      </c>
      <c r="BK462" s="780">
        <f t="shared" si="353"/>
        <v>45748</v>
      </c>
      <c r="BL462" s="780">
        <f t="shared" si="353"/>
        <v>45748</v>
      </c>
      <c r="BM462" s="780">
        <f t="shared" si="353"/>
        <v>45748</v>
      </c>
      <c r="BN462" s="779">
        <f t="shared" si="353"/>
        <v>45748</v>
      </c>
      <c r="BO462" s="780">
        <f t="shared" si="353"/>
        <v>45748</v>
      </c>
      <c r="BP462" s="780">
        <f t="shared" si="353"/>
        <v>45748</v>
      </c>
      <c r="BQ462" s="780">
        <f t="shared" si="353"/>
        <v>45748</v>
      </c>
      <c r="BR462" s="780">
        <f t="shared" si="353"/>
        <v>45748</v>
      </c>
      <c r="BS462" s="779">
        <f t="shared" si="353"/>
        <v>45748</v>
      </c>
      <c r="BT462" s="779">
        <f t="shared" si="353"/>
        <v>45748</v>
      </c>
      <c r="BU462" s="779">
        <f t="shared" si="353"/>
        <v>45748</v>
      </c>
      <c r="BV462" s="779">
        <f t="shared" si="353"/>
        <v>45748</v>
      </c>
      <c r="BW462" s="122"/>
    </row>
    <row r="463" spans="1:75" hidden="1" outlineLevel="2" x14ac:dyDescent="0.5">
      <c r="A463" s="496" t="s">
        <v>2446</v>
      </c>
      <c r="B463" s="513"/>
      <c r="C463" s="401"/>
      <c r="D463" s="401"/>
      <c r="E463" s="401"/>
      <c r="F463" s="401"/>
      <c r="G463" s="118"/>
      <c r="H463" s="118"/>
      <c r="I463" s="118"/>
      <c r="J463" s="118"/>
      <c r="K463" s="401"/>
      <c r="L463" s="118"/>
      <c r="M463" s="118"/>
      <c r="N463" s="118"/>
      <c r="O463" s="118"/>
      <c r="P463" s="401"/>
      <c r="Q463" s="118"/>
      <c r="R463" s="118"/>
      <c r="S463" s="118"/>
      <c r="T463" s="118"/>
      <c r="U463" s="401"/>
      <c r="V463" s="118"/>
      <c r="W463" s="118"/>
      <c r="X463" s="118"/>
      <c r="Y463" s="118"/>
      <c r="Z463" s="401"/>
      <c r="AA463" s="118"/>
      <c r="AB463" s="118"/>
      <c r="AC463" s="118"/>
      <c r="AD463" s="118"/>
      <c r="AE463" s="401"/>
      <c r="AF463" s="118"/>
      <c r="AG463" s="118"/>
      <c r="AH463" s="118"/>
      <c r="AI463" s="118"/>
      <c r="AJ463" s="401"/>
      <c r="AK463" s="118"/>
      <c r="AL463" s="118"/>
      <c r="AM463" s="118"/>
      <c r="AN463" s="118"/>
      <c r="AO463" s="401"/>
      <c r="AP463" s="118"/>
      <c r="AQ463" s="118"/>
      <c r="AR463" s="118"/>
      <c r="AS463" s="118"/>
      <c r="AT463" s="403">
        <v>288.464</v>
      </c>
      <c r="AU463" s="302">
        <v>35.424999999999997</v>
      </c>
      <c r="AV463" s="302">
        <v>35.868000000000002</v>
      </c>
      <c r="AW463" s="302">
        <v>35.868000000000002</v>
      </c>
      <c r="AX463" s="118">
        <f>AY463</f>
        <v>36</v>
      </c>
      <c r="AY463" s="403">
        <v>36</v>
      </c>
      <c r="AZ463" s="302">
        <v>36</v>
      </c>
      <c r="BA463" s="302">
        <v>37</v>
      </c>
      <c r="BB463" s="302">
        <v>37</v>
      </c>
      <c r="BC463" s="118">
        <f>BD463</f>
        <v>37</v>
      </c>
      <c r="BD463" s="403">
        <v>37</v>
      </c>
      <c r="BE463" s="118">
        <f>BD463</f>
        <v>37</v>
      </c>
      <c r="BF463" s="302">
        <v>38</v>
      </c>
      <c r="BG463" s="302">
        <v>38</v>
      </c>
      <c r="BH463" s="118">
        <f>BI463</f>
        <v>38</v>
      </c>
      <c r="BI463" s="403">
        <v>38</v>
      </c>
      <c r="BJ463" s="1207">
        <v>38</v>
      </c>
      <c r="BK463" s="118">
        <f>IF(BK462&lt;BK$4,0,BJ463)</f>
        <v>38</v>
      </c>
      <c r="BL463" s="118">
        <f>IF(BL462&lt;BL$4,0,BK463)</f>
        <v>38</v>
      </c>
      <c r="BM463" s="118">
        <f>IF(BM462&lt;BM$4,0,BL463)</f>
        <v>38</v>
      </c>
      <c r="BN463" s="401">
        <f>BM463</f>
        <v>38</v>
      </c>
      <c r="BO463" s="118">
        <f>IF(BO462&lt;BO$4,0,BN463)</f>
        <v>38</v>
      </c>
      <c r="BP463" s="118">
        <f>IF(BP462&lt;BP$4,0,BO463)</f>
        <v>0</v>
      </c>
      <c r="BQ463" s="118">
        <f>IF(BQ462&lt;BQ$4,0,BP463)</f>
        <v>0</v>
      </c>
      <c r="BR463" s="118">
        <f>IF(BR462&lt;BR$4,0,BQ463)</f>
        <v>0</v>
      </c>
      <c r="BS463" s="401">
        <f>BR463</f>
        <v>0</v>
      </c>
      <c r="BT463" s="401">
        <f>IF(BT462&lt;BT$4,0,BS463)</f>
        <v>0</v>
      </c>
      <c r="BU463" s="401">
        <f>IF(BU462&lt;BU$4,0,BT463)</f>
        <v>0</v>
      </c>
      <c r="BV463" s="401">
        <f>IF(BV462&lt;BV$4,0,BU463)</f>
        <v>0</v>
      </c>
      <c r="BW463" s="122"/>
    </row>
    <row r="464" spans="1:75" hidden="1" outlineLevel="2" x14ac:dyDescent="0.5">
      <c r="A464" s="513" t="s">
        <v>2447</v>
      </c>
      <c r="B464" s="513"/>
      <c r="C464" s="401"/>
      <c r="D464" s="401"/>
      <c r="E464" s="401"/>
      <c r="F464" s="401"/>
      <c r="G464" s="118"/>
      <c r="H464" s="118"/>
      <c r="I464" s="118"/>
      <c r="J464" s="118"/>
      <c r="K464" s="401"/>
      <c r="L464" s="118"/>
      <c r="M464" s="118"/>
      <c r="N464" s="118"/>
      <c r="O464" s="118"/>
      <c r="P464" s="401"/>
      <c r="Q464" s="118"/>
      <c r="R464" s="118"/>
      <c r="S464" s="118"/>
      <c r="T464" s="118"/>
      <c r="U464" s="401"/>
      <c r="V464" s="118"/>
      <c r="W464" s="118"/>
      <c r="X464" s="118"/>
      <c r="Y464" s="118"/>
      <c r="Z464" s="401"/>
      <c r="AA464" s="118"/>
      <c r="AB464" s="118"/>
      <c r="AC464" s="118"/>
      <c r="AD464" s="118"/>
      <c r="AE464" s="401"/>
      <c r="AF464" s="118"/>
      <c r="AG464" s="118"/>
      <c r="AH464" s="118"/>
      <c r="AI464" s="118"/>
      <c r="AJ464" s="401"/>
      <c r="AK464" s="118"/>
      <c r="AL464" s="118"/>
      <c r="AM464" s="118"/>
      <c r="AN464" s="118"/>
      <c r="AO464" s="401"/>
      <c r="AP464" s="118"/>
      <c r="AQ464" s="118"/>
      <c r="AR464" s="118"/>
      <c r="AS464" s="118"/>
      <c r="AT464" s="403">
        <v>-21.654</v>
      </c>
      <c r="AU464" s="302">
        <v>-0.40799999999999997</v>
      </c>
      <c r="AV464" s="302">
        <v>-0.38600000000000001</v>
      </c>
      <c r="AW464" s="302">
        <v>-0.36099999999999999</v>
      </c>
      <c r="AX464" s="118">
        <f>AY464</f>
        <v>-1</v>
      </c>
      <c r="AY464" s="403">
        <v>-1</v>
      </c>
      <c r="AZ464" s="118"/>
      <c r="BA464" s="118"/>
      <c r="BB464" s="118"/>
      <c r="BC464" s="118">
        <f>BD464</f>
        <v>0</v>
      </c>
      <c r="BD464" s="401"/>
      <c r="BE464" s="118"/>
      <c r="BF464" s="118"/>
      <c r="BG464" s="118"/>
      <c r="BH464" s="118">
        <f>BI464</f>
        <v>0</v>
      </c>
      <c r="BI464" s="401"/>
      <c r="BJ464" s="971"/>
      <c r="BK464" s="723">
        <f>IF(BK463=0,0,BJ464-BJ464/(BK462-BJ$4)*BK$3)</f>
        <v>0</v>
      </c>
      <c r="BL464" s="723">
        <f>IF(BL463=0,0,BK464-BK464/(BL462-BK$4)*BL$3)</f>
        <v>0</v>
      </c>
      <c r="BM464" s="723">
        <f>IF(BM463=0,0,BL464-BL464/(BM462-BL$4)*BM$3)</f>
        <v>0</v>
      </c>
      <c r="BN464" s="401">
        <f>BM464</f>
        <v>0</v>
      </c>
      <c r="BO464" s="723">
        <f>IF(BO463=0,0,BN464-BN464/(BO462-BN$4)*BO$3)</f>
        <v>0</v>
      </c>
      <c r="BP464" s="723">
        <f>IF(BP463=0,0,BO464-BO464/(BP462-BO$4)*BP$3)</f>
        <v>0</v>
      </c>
      <c r="BQ464" s="723">
        <f>IF(BQ463=0,0,BP464-BP464/(BQ462-BP$4)*BQ$3)</f>
        <v>0</v>
      </c>
      <c r="BR464" s="723">
        <f>IF(BR463=0,0,BQ464-BQ464/(BR462-BQ$4)*BR$3)</f>
        <v>0</v>
      </c>
      <c r="BS464" s="401">
        <f>BR464</f>
        <v>0</v>
      </c>
      <c r="BT464" s="401">
        <f>IF(BT463=0,0,BS464-BS464/(BT462-BS$4)*BT$3)</f>
        <v>0</v>
      </c>
      <c r="BU464" s="401">
        <f>IF(BU463=0,0,BT464-BT464/(BU462-BT$4)*BU$3)</f>
        <v>0</v>
      </c>
      <c r="BV464" s="401">
        <f>IF(BV463=0,0,BU464-BU464/(BV462-BU$4)*BV$3)</f>
        <v>0</v>
      </c>
      <c r="BW464" s="122"/>
    </row>
    <row r="465" spans="1:75" hidden="1" outlineLevel="2" x14ac:dyDescent="0.5">
      <c r="A465" s="1516" t="s">
        <v>2448</v>
      </c>
      <c r="B465" s="1499"/>
      <c r="C465" s="1500"/>
      <c r="D465" s="1500"/>
      <c r="E465" s="1500"/>
      <c r="F465" s="1500"/>
      <c r="G465" s="1056"/>
      <c r="H465" s="1056"/>
      <c r="I465" s="1056"/>
      <c r="J465" s="1056"/>
      <c r="K465" s="1500"/>
      <c r="L465" s="1056"/>
      <c r="M465" s="1056"/>
      <c r="N465" s="1056"/>
      <c r="O465" s="1056"/>
      <c r="P465" s="1500"/>
      <c r="Q465" s="1056"/>
      <c r="R465" s="1056"/>
      <c r="S465" s="1056"/>
      <c r="T465" s="1056"/>
      <c r="U465" s="1500"/>
      <c r="V465" s="1056"/>
      <c r="W465" s="1056"/>
      <c r="X465" s="1056"/>
      <c r="Y465" s="1056"/>
      <c r="Z465" s="1500"/>
      <c r="AA465" s="1056"/>
      <c r="AB465" s="1056"/>
      <c r="AC465" s="1056"/>
      <c r="AD465" s="1056"/>
      <c r="AE465" s="1500"/>
      <c r="AF465" s="1056"/>
      <c r="AG465" s="1056"/>
      <c r="AH465" s="1056"/>
      <c r="AI465" s="1056"/>
      <c r="AJ465" s="1500"/>
      <c r="AK465" s="1056"/>
      <c r="AL465" s="1056"/>
      <c r="AM465" s="1056"/>
      <c r="AN465" s="1056"/>
      <c r="AO465" s="1500"/>
      <c r="AP465" s="1056"/>
      <c r="AQ465" s="1056"/>
      <c r="AR465" s="1056"/>
      <c r="AS465" s="1056"/>
      <c r="AT465" s="1500">
        <f t="shared" ref="AT465:BV465" si="354">SUM(AT463:AT464)</f>
        <v>266.81</v>
      </c>
      <c r="AU465" s="1056">
        <f t="shared" si="354"/>
        <v>35.016999999999996</v>
      </c>
      <c r="AV465" s="1056">
        <f t="shared" si="354"/>
        <v>35.481999999999999</v>
      </c>
      <c r="AW465" s="1056">
        <f t="shared" si="354"/>
        <v>35.507000000000005</v>
      </c>
      <c r="AX465" s="1056">
        <f t="shared" si="354"/>
        <v>35</v>
      </c>
      <c r="AY465" s="1500">
        <f t="shared" si="354"/>
        <v>35</v>
      </c>
      <c r="AZ465" s="1056">
        <f t="shared" si="354"/>
        <v>36</v>
      </c>
      <c r="BA465" s="1056">
        <f t="shared" si="354"/>
        <v>37</v>
      </c>
      <c r="BB465" s="1056">
        <f t="shared" si="354"/>
        <v>37</v>
      </c>
      <c r="BC465" s="1056">
        <f t="shared" si="354"/>
        <v>37</v>
      </c>
      <c r="BD465" s="1500">
        <f t="shared" si="354"/>
        <v>37</v>
      </c>
      <c r="BE465" s="1056">
        <f t="shared" si="354"/>
        <v>37</v>
      </c>
      <c r="BF465" s="1056">
        <f t="shared" si="354"/>
        <v>38</v>
      </c>
      <c r="BG465" s="1056">
        <f t="shared" si="354"/>
        <v>38</v>
      </c>
      <c r="BH465" s="1056">
        <f t="shared" si="354"/>
        <v>38</v>
      </c>
      <c r="BI465" s="1500">
        <f t="shared" si="354"/>
        <v>38</v>
      </c>
      <c r="BJ465" s="1058">
        <f>SUM(BJ463:BJ464)</f>
        <v>38</v>
      </c>
      <c r="BK465" s="1056">
        <f t="shared" si="354"/>
        <v>38</v>
      </c>
      <c r="BL465" s="1056">
        <f t="shared" si="354"/>
        <v>38</v>
      </c>
      <c r="BM465" s="1056">
        <f t="shared" si="354"/>
        <v>38</v>
      </c>
      <c r="BN465" s="1500">
        <f t="shared" si="354"/>
        <v>38</v>
      </c>
      <c r="BO465" s="1056">
        <f t="shared" si="354"/>
        <v>38</v>
      </c>
      <c r="BP465" s="1056">
        <f t="shared" si="354"/>
        <v>0</v>
      </c>
      <c r="BQ465" s="1056">
        <f t="shared" si="354"/>
        <v>0</v>
      </c>
      <c r="BR465" s="1056">
        <f t="shared" si="354"/>
        <v>0</v>
      </c>
      <c r="BS465" s="1500">
        <f t="shared" si="354"/>
        <v>0</v>
      </c>
      <c r="BT465" s="1500">
        <f t="shared" si="354"/>
        <v>0</v>
      </c>
      <c r="BU465" s="1500">
        <f t="shared" si="354"/>
        <v>0</v>
      </c>
      <c r="BV465" s="1500">
        <f t="shared" si="354"/>
        <v>0</v>
      </c>
      <c r="BW465" s="122"/>
    </row>
    <row r="466" spans="1:75" hidden="1" outlineLevel="2" x14ac:dyDescent="0.5">
      <c r="A466" s="496" t="s">
        <v>2449</v>
      </c>
      <c r="B466" s="513"/>
      <c r="C466" s="784"/>
      <c r="D466" s="784"/>
      <c r="E466" s="784"/>
      <c r="F466" s="784"/>
      <c r="G466" s="785"/>
      <c r="H466" s="785"/>
      <c r="I466" s="785"/>
      <c r="J466" s="785"/>
      <c r="K466" s="784"/>
      <c r="L466" s="785"/>
      <c r="M466" s="785"/>
      <c r="N466" s="785"/>
      <c r="O466" s="785"/>
      <c r="P466" s="784"/>
      <c r="Q466" s="785"/>
      <c r="R466" s="785"/>
      <c r="S466" s="785"/>
      <c r="T466" s="785"/>
      <c r="U466" s="784"/>
      <c r="V466" s="785"/>
      <c r="W466" s="785"/>
      <c r="X466" s="785"/>
      <c r="Y466" s="785"/>
      <c r="Z466" s="784"/>
      <c r="AA466" s="785"/>
      <c r="AB466" s="785"/>
      <c r="AC466" s="785"/>
      <c r="AD466" s="785"/>
      <c r="AE466" s="784"/>
      <c r="AF466" s="785"/>
      <c r="AG466" s="785"/>
      <c r="AH466" s="785"/>
      <c r="AI466" s="785"/>
      <c r="AJ466" s="784"/>
      <c r="AK466" s="785"/>
      <c r="AL466" s="785"/>
      <c r="AM466" s="785"/>
      <c r="AN466" s="785"/>
      <c r="AO466" s="784"/>
      <c r="AP466" s="785"/>
      <c r="AQ466" s="785"/>
      <c r="AR466" s="785"/>
      <c r="AS466" s="785"/>
      <c r="AT466" s="1517">
        <v>72.5</v>
      </c>
      <c r="AU466" s="1071">
        <v>72.5</v>
      </c>
      <c r="AV466" s="1071">
        <v>72.5</v>
      </c>
      <c r="AW466" s="1071">
        <v>72.5</v>
      </c>
      <c r="AX466" s="785">
        <f>AY466</f>
        <v>72.5</v>
      </c>
      <c r="AY466" s="1517">
        <v>72.5</v>
      </c>
      <c r="AZ466" s="1071">
        <v>72.5</v>
      </c>
      <c r="BA466" s="1071">
        <v>72.5</v>
      </c>
      <c r="BB466" s="1071">
        <v>72.5</v>
      </c>
      <c r="BC466" s="785">
        <f>BD466</f>
        <v>72.5</v>
      </c>
      <c r="BD466" s="1517">
        <v>72.5</v>
      </c>
      <c r="BE466" s="1071">
        <v>72.5</v>
      </c>
      <c r="BF466" s="1071">
        <v>72.5</v>
      </c>
      <c r="BG466" s="1071">
        <v>72.5</v>
      </c>
      <c r="BH466" s="785">
        <f>BI466</f>
        <v>72.5</v>
      </c>
      <c r="BI466" s="1517">
        <v>72.5</v>
      </c>
      <c r="BJ466" s="1072">
        <v>72.5</v>
      </c>
      <c r="BK466" s="785">
        <f>IF(BK463=0,0,BJ466)</f>
        <v>72.5</v>
      </c>
      <c r="BL466" s="785">
        <f>IF(BL463=0,0,BK466)</f>
        <v>72.5</v>
      </c>
      <c r="BM466" s="785">
        <f>IF(BM463=0,0,BL466)</f>
        <v>72.5</v>
      </c>
      <c r="BN466" s="784">
        <f>BM466</f>
        <v>72.5</v>
      </c>
      <c r="BO466" s="785">
        <f>IF(BO463=0,0,BN466)</f>
        <v>72.5</v>
      </c>
      <c r="BP466" s="785">
        <f>IF(BP463=0,0,BO466)</f>
        <v>0</v>
      </c>
      <c r="BQ466" s="785">
        <f>IF(BQ463=0,0,BP466)</f>
        <v>0</v>
      </c>
      <c r="BR466" s="785">
        <f>IF(BR463=0,0,BQ466)</f>
        <v>0</v>
      </c>
      <c r="BS466" s="784">
        <f>BR466</f>
        <v>0</v>
      </c>
      <c r="BT466" s="784">
        <f>IF(BT463=0,0,BS466)</f>
        <v>0</v>
      </c>
      <c r="BU466" s="784">
        <f>IF(BU463=0,0,BT466)</f>
        <v>0</v>
      </c>
      <c r="BV466" s="784">
        <f>IF(BV463=0,0,BU466)</f>
        <v>0</v>
      </c>
      <c r="BW466" s="122"/>
    </row>
    <row r="467" spans="1:75" hidden="1" outlineLevel="2" x14ac:dyDescent="0.5">
      <c r="A467" s="869" t="s">
        <v>2379</v>
      </c>
      <c r="B467" s="870"/>
      <c r="C467" s="871"/>
      <c r="D467" s="871"/>
      <c r="E467" s="871"/>
      <c r="F467" s="871"/>
      <c r="G467" s="872"/>
      <c r="H467" s="872"/>
      <c r="I467" s="872"/>
      <c r="J467" s="872"/>
      <c r="K467" s="871"/>
      <c r="L467" s="872"/>
      <c r="M467" s="872"/>
      <c r="N467" s="872"/>
      <c r="O467" s="872"/>
      <c r="P467" s="871"/>
      <c r="Q467" s="872"/>
      <c r="R467" s="872"/>
      <c r="S467" s="872"/>
      <c r="T467" s="872"/>
      <c r="U467" s="871"/>
      <c r="V467" s="872"/>
      <c r="W467" s="872"/>
      <c r="X467" s="872"/>
      <c r="Y467" s="872"/>
      <c r="Z467" s="871"/>
      <c r="AA467" s="872"/>
      <c r="AB467" s="872"/>
      <c r="AC467" s="872"/>
      <c r="AD467" s="872"/>
      <c r="AE467" s="871"/>
      <c r="AF467" s="872"/>
      <c r="AG467" s="872"/>
      <c r="AH467" s="872"/>
      <c r="AI467" s="872"/>
      <c r="AJ467" s="871"/>
      <c r="AK467" s="872"/>
      <c r="AL467" s="872"/>
      <c r="AM467" s="872"/>
      <c r="AN467" s="872"/>
      <c r="AO467" s="871"/>
      <c r="AP467" s="872"/>
      <c r="AQ467" s="872"/>
      <c r="AR467" s="872"/>
      <c r="AS467" s="872"/>
      <c r="AT467" s="871">
        <f t="shared" ref="AT467:BV467" si="355">IFERROR(AT463/AT466,0)</f>
        <v>3.9788137931034484</v>
      </c>
      <c r="AU467" s="872">
        <f t="shared" si="355"/>
        <v>0.48862068965517236</v>
      </c>
      <c r="AV467" s="872">
        <f t="shared" si="355"/>
        <v>0.49473103448275862</v>
      </c>
      <c r="AW467" s="872">
        <f t="shared" si="355"/>
        <v>0.49473103448275862</v>
      </c>
      <c r="AX467" s="872">
        <f t="shared" si="355"/>
        <v>0.49655172413793103</v>
      </c>
      <c r="AY467" s="871">
        <f t="shared" si="355"/>
        <v>0.49655172413793103</v>
      </c>
      <c r="AZ467" s="872">
        <f t="shared" si="355"/>
        <v>0.49655172413793103</v>
      </c>
      <c r="BA467" s="872">
        <f t="shared" si="355"/>
        <v>0.51034482758620692</v>
      </c>
      <c r="BB467" s="872">
        <f t="shared" si="355"/>
        <v>0.51034482758620692</v>
      </c>
      <c r="BC467" s="872">
        <f t="shared" si="355"/>
        <v>0.51034482758620692</v>
      </c>
      <c r="BD467" s="871">
        <f t="shared" si="355"/>
        <v>0.51034482758620692</v>
      </c>
      <c r="BE467" s="872">
        <f t="shared" si="355"/>
        <v>0.51034482758620692</v>
      </c>
      <c r="BF467" s="872">
        <f t="shared" si="355"/>
        <v>0.52413793103448281</v>
      </c>
      <c r="BG467" s="872">
        <f t="shared" si="355"/>
        <v>0.52413793103448281</v>
      </c>
      <c r="BH467" s="872">
        <f t="shared" si="355"/>
        <v>0.52413793103448281</v>
      </c>
      <c r="BI467" s="871">
        <f t="shared" si="355"/>
        <v>0.52413793103448281</v>
      </c>
      <c r="BJ467" s="1504">
        <f>IFERROR(BJ463/BJ466,0)</f>
        <v>0.52413793103448281</v>
      </c>
      <c r="BK467" s="872">
        <f t="shared" si="355"/>
        <v>0.52413793103448281</v>
      </c>
      <c r="BL467" s="872">
        <f t="shared" si="355"/>
        <v>0.52413793103448281</v>
      </c>
      <c r="BM467" s="872">
        <f t="shared" si="355"/>
        <v>0.52413793103448281</v>
      </c>
      <c r="BN467" s="871">
        <f t="shared" si="355"/>
        <v>0.52413793103448281</v>
      </c>
      <c r="BO467" s="872">
        <f t="shared" si="355"/>
        <v>0.52413793103448281</v>
      </c>
      <c r="BP467" s="872">
        <f t="shared" si="355"/>
        <v>0</v>
      </c>
      <c r="BQ467" s="872">
        <f t="shared" si="355"/>
        <v>0</v>
      </c>
      <c r="BR467" s="872">
        <f t="shared" si="355"/>
        <v>0</v>
      </c>
      <c r="BS467" s="871">
        <f t="shared" si="355"/>
        <v>0</v>
      </c>
      <c r="BT467" s="871">
        <f t="shared" si="355"/>
        <v>0</v>
      </c>
      <c r="BU467" s="871">
        <f t="shared" si="355"/>
        <v>0</v>
      </c>
      <c r="BV467" s="871">
        <f t="shared" si="355"/>
        <v>0</v>
      </c>
      <c r="BW467" s="122"/>
    </row>
    <row r="468" spans="1:75" hidden="1" outlineLevel="2" x14ac:dyDescent="0.5">
      <c r="A468" s="1498" t="s">
        <v>2450</v>
      </c>
      <c r="B468" s="1499"/>
      <c r="C468" s="1500"/>
      <c r="D468" s="1500"/>
      <c r="E468" s="1500"/>
      <c r="F468" s="1500"/>
      <c r="G468" s="1056"/>
      <c r="H468" s="1056"/>
      <c r="I468" s="1056"/>
      <c r="J468" s="1056"/>
      <c r="K468" s="1500"/>
      <c r="L468" s="1056"/>
      <c r="M468" s="1056"/>
      <c r="N468" s="1056"/>
      <c r="O468" s="1056"/>
      <c r="P468" s="1500"/>
      <c r="Q468" s="1056"/>
      <c r="R468" s="1056"/>
      <c r="S468" s="1056"/>
      <c r="T468" s="1056"/>
      <c r="U468" s="1500"/>
      <c r="V468" s="1056"/>
      <c r="W468" s="1056"/>
      <c r="X468" s="1056"/>
      <c r="Y468" s="1056"/>
      <c r="Z468" s="1500"/>
      <c r="AA468" s="1056"/>
      <c r="AB468" s="1056"/>
      <c r="AC468" s="1056"/>
      <c r="AD468" s="1056"/>
      <c r="AE468" s="1500"/>
      <c r="AF468" s="1056"/>
      <c r="AG468" s="1056"/>
      <c r="AH468" s="1056"/>
      <c r="AI468" s="1056"/>
      <c r="AJ468" s="1500"/>
      <c r="AK468" s="1056"/>
      <c r="AL468" s="1056"/>
      <c r="AM468" s="1056"/>
      <c r="AN468" s="1056"/>
      <c r="AO468" s="1500"/>
      <c r="AP468" s="1056"/>
      <c r="AQ468" s="1056"/>
      <c r="AR468" s="1056"/>
      <c r="AS468" s="1056"/>
      <c r="AT468" s="1500">
        <f t="shared" ref="AT468:BV468" ca="1" si="356">IFERROR(IF(AT280&gt;AT466,AT467,0),0)</f>
        <v>3.9788137931034484</v>
      </c>
      <c r="AU468" s="1056">
        <f t="shared" ca="1" si="356"/>
        <v>0.48862068965517236</v>
      </c>
      <c r="AV468" s="1056">
        <f t="shared" ca="1" si="356"/>
        <v>0.49473103448275862</v>
      </c>
      <c r="AW468" s="1056">
        <f t="shared" ca="1" si="356"/>
        <v>0.49473103448275862</v>
      </c>
      <c r="AX468" s="1056">
        <f t="shared" ca="1" si="356"/>
        <v>0.49655172413793103</v>
      </c>
      <c r="AY468" s="1500">
        <f t="shared" ca="1" si="356"/>
        <v>0.49655172413793103</v>
      </c>
      <c r="AZ468" s="1056">
        <f t="shared" ca="1" si="356"/>
        <v>0.49655172413793103</v>
      </c>
      <c r="BA468" s="1056">
        <f t="shared" ca="1" si="356"/>
        <v>0.51034482758620692</v>
      </c>
      <c r="BB468" s="1056">
        <f t="shared" ca="1" si="356"/>
        <v>0.51034482758620692</v>
      </c>
      <c r="BC468" s="1056">
        <f t="shared" ca="1" si="356"/>
        <v>0.51034482758620692</v>
      </c>
      <c r="BD468" s="1500">
        <f t="shared" ca="1" si="356"/>
        <v>0.51034482758620692</v>
      </c>
      <c r="BE468" s="1056">
        <f t="shared" ca="1" si="356"/>
        <v>0.51034482758620692</v>
      </c>
      <c r="BF468" s="1056">
        <f t="shared" ca="1" si="356"/>
        <v>0.52413793103448281</v>
      </c>
      <c r="BG468" s="1056">
        <f t="shared" ca="1" si="356"/>
        <v>0.52413793103448281</v>
      </c>
      <c r="BH468" s="1056">
        <f t="shared" ca="1" si="356"/>
        <v>0.52413793103448281</v>
      </c>
      <c r="BI468" s="1500">
        <f t="shared" ca="1" si="356"/>
        <v>0.52413793103448281</v>
      </c>
      <c r="BJ468" s="1058">
        <f t="shared" ca="1" si="356"/>
        <v>0.52413793103448281</v>
      </c>
      <c r="BK468" s="1056">
        <f t="shared" si="356"/>
        <v>0</v>
      </c>
      <c r="BL468" s="1056">
        <f t="shared" si="356"/>
        <v>0</v>
      </c>
      <c r="BM468" s="1056">
        <f t="shared" si="356"/>
        <v>0</v>
      </c>
      <c r="BN468" s="1500">
        <f t="shared" si="356"/>
        <v>0</v>
      </c>
      <c r="BO468" s="1056">
        <f t="shared" si="356"/>
        <v>0</v>
      </c>
      <c r="BP468" s="1056">
        <f t="shared" si="356"/>
        <v>0</v>
      </c>
      <c r="BQ468" s="1056">
        <f t="shared" si="356"/>
        <v>0</v>
      </c>
      <c r="BR468" s="1056">
        <f t="shared" si="356"/>
        <v>0</v>
      </c>
      <c r="BS468" s="1500">
        <f t="shared" si="356"/>
        <v>0</v>
      </c>
      <c r="BT468" s="1500">
        <f t="shared" si="356"/>
        <v>0</v>
      </c>
      <c r="BU468" s="1500">
        <f t="shared" si="356"/>
        <v>0</v>
      </c>
      <c r="BV468" s="1500">
        <f t="shared" si="356"/>
        <v>0</v>
      </c>
      <c r="BW468" s="122"/>
    </row>
    <row r="469" spans="1:75" hidden="1" outlineLevel="2" x14ac:dyDescent="0.5">
      <c r="A469" s="184"/>
      <c r="B469" s="513"/>
      <c r="C469" s="401"/>
      <c r="D469" s="401"/>
      <c r="E469" s="401"/>
      <c r="F469" s="401"/>
      <c r="G469" s="118"/>
      <c r="H469" s="118"/>
      <c r="I469" s="118"/>
      <c r="J469" s="118"/>
      <c r="K469" s="401"/>
      <c r="L469" s="118"/>
      <c r="M469" s="118"/>
      <c r="N469" s="118"/>
      <c r="O469" s="118"/>
      <c r="P469" s="401"/>
      <c r="Q469" s="118"/>
      <c r="R469" s="118"/>
      <c r="S469" s="118"/>
      <c r="T469" s="118"/>
      <c r="U469" s="401"/>
      <c r="V469" s="118"/>
      <c r="W469" s="118"/>
      <c r="X469" s="118"/>
      <c r="Y469" s="118"/>
      <c r="Z469" s="401"/>
      <c r="AA469" s="118"/>
      <c r="AB469" s="118"/>
      <c r="AC469" s="118"/>
      <c r="AD469" s="118"/>
      <c r="AE469" s="401"/>
      <c r="AF469" s="118"/>
      <c r="AG469" s="118"/>
      <c r="AH469" s="118"/>
      <c r="AI469" s="118"/>
      <c r="AJ469" s="401"/>
      <c r="AK469" s="118"/>
      <c r="AL469" s="118"/>
      <c r="AM469" s="118"/>
      <c r="AN469" s="118"/>
      <c r="AO469" s="401"/>
      <c r="AP469" s="118"/>
      <c r="AQ469" s="118"/>
      <c r="AR469" s="118"/>
      <c r="AS469" s="118"/>
      <c r="AT469" s="401"/>
      <c r="AU469" s="118"/>
      <c r="AV469" s="118"/>
      <c r="AW469" s="118"/>
      <c r="AX469" s="118"/>
      <c r="AY469" s="401"/>
      <c r="AZ469" s="118"/>
      <c r="BA469" s="118"/>
      <c r="BB469" s="118"/>
      <c r="BC469" s="118"/>
      <c r="BD469" s="401"/>
      <c r="BE469" s="118"/>
      <c r="BF469" s="118"/>
      <c r="BG469" s="118"/>
      <c r="BH469" s="118"/>
      <c r="BI469" s="401"/>
      <c r="BJ469" s="971"/>
      <c r="BK469" s="118"/>
      <c r="BL469" s="118"/>
      <c r="BM469" s="118"/>
      <c r="BN469" s="401"/>
      <c r="BO469" s="118"/>
      <c r="BP469" s="118"/>
      <c r="BQ469" s="118"/>
      <c r="BR469" s="118"/>
      <c r="BS469" s="401"/>
      <c r="BT469" s="401"/>
      <c r="BU469" s="401"/>
      <c r="BV469" s="401"/>
      <c r="BW469" s="122"/>
    </row>
    <row r="470" spans="1:75" hidden="1" outlineLevel="2" x14ac:dyDescent="0.5">
      <c r="A470" s="752" t="s">
        <v>2451</v>
      </c>
      <c r="B470" s="513"/>
      <c r="C470" s="401"/>
      <c r="D470" s="401"/>
      <c r="E470" s="401"/>
      <c r="F470" s="401"/>
      <c r="G470" s="118"/>
      <c r="H470" s="118"/>
      <c r="I470" s="118"/>
      <c r="J470" s="118"/>
      <c r="K470" s="401"/>
      <c r="L470" s="118"/>
      <c r="M470" s="118"/>
      <c r="N470" s="118"/>
      <c r="O470" s="118"/>
      <c r="P470" s="401"/>
      <c r="Q470" s="118"/>
      <c r="R470" s="118"/>
      <c r="S470" s="118"/>
      <c r="T470" s="118"/>
      <c r="U470" s="401"/>
      <c r="V470" s="118"/>
      <c r="W470" s="118"/>
      <c r="X470" s="118"/>
      <c r="Y470" s="118"/>
      <c r="Z470" s="401"/>
      <c r="AA470" s="118"/>
      <c r="AB470" s="118"/>
      <c r="AC470" s="118"/>
      <c r="AD470" s="118"/>
      <c r="AE470" s="401"/>
      <c r="AF470" s="118"/>
      <c r="AG470" s="118"/>
      <c r="AH470" s="118"/>
      <c r="AI470" s="118"/>
      <c r="AJ470" s="401"/>
      <c r="AK470" s="118"/>
      <c r="AL470" s="118"/>
      <c r="AM470" s="118"/>
      <c r="AN470" s="118"/>
      <c r="AO470" s="401"/>
      <c r="AP470" s="118"/>
      <c r="AQ470" s="118"/>
      <c r="AR470" s="118"/>
      <c r="AS470" s="118"/>
      <c r="AT470" s="401"/>
      <c r="AU470" s="118"/>
      <c r="AV470" s="118"/>
      <c r="AW470" s="118"/>
      <c r="AX470" s="118"/>
      <c r="AY470" s="401"/>
      <c r="AZ470" s="118"/>
      <c r="BA470" s="118"/>
      <c r="BB470" s="118"/>
      <c r="BC470" s="118"/>
      <c r="BD470" s="401"/>
      <c r="BE470" s="118"/>
      <c r="BF470" s="118"/>
      <c r="BG470" s="118"/>
      <c r="BH470" s="118"/>
      <c r="BI470" s="401"/>
      <c r="BJ470" s="971"/>
      <c r="BK470" s="118">
        <f>IF(AND(BK463=0,BK280&lt;=BJ466),-BJ463,0)</f>
        <v>0</v>
      </c>
      <c r="BL470" s="118">
        <f>IF(AND(BL463=0,BL280&lt;=BK466),-BK463,0)</f>
        <v>0</v>
      </c>
      <c r="BM470" s="118">
        <f>IF(AND(BM463=0,BM280&lt;=BL466),-BL463,0)</f>
        <v>0</v>
      </c>
      <c r="BN470" s="401">
        <f>SUM(BJ470,BK470,BL470,BM470)</f>
        <v>0</v>
      </c>
      <c r="BO470" s="118">
        <f>IF(AND(BO463=0,BO280&lt;=BN466),-BN463,0)</f>
        <v>0</v>
      </c>
      <c r="BP470" s="118">
        <f>IF(AND(BP463=0,BP280&lt;=BO466),-BO463,0)</f>
        <v>-38</v>
      </c>
      <c r="BQ470" s="118">
        <f>IF(AND(BQ463=0,BQ280&lt;=BP466),-BP463,0)</f>
        <v>0</v>
      </c>
      <c r="BR470" s="118">
        <f>IF(AND(BR463=0,BR280&lt;=BQ466),-BQ463,0)</f>
        <v>0</v>
      </c>
      <c r="BS470" s="401">
        <f>SUM(BO470,BP470,BQ470,BR470)</f>
        <v>-38</v>
      </c>
      <c r="BT470" s="401">
        <f>IF(AND(BT463=0,BT280&lt;=BS466),-BS463,0)</f>
        <v>0</v>
      </c>
      <c r="BU470" s="401">
        <f>IF(AND(BU463=0,BU280&lt;=BT466),-BT463,0)</f>
        <v>0</v>
      </c>
      <c r="BV470" s="401">
        <f>IF(AND(BV463=0,BV280&lt;=BU466),-BU463,0)</f>
        <v>0</v>
      </c>
      <c r="BW470" s="122"/>
    </row>
    <row r="471" spans="1:75" hidden="1" outlineLevel="2" x14ac:dyDescent="0.5">
      <c r="A471" s="184"/>
      <c r="B471" s="513"/>
      <c r="C471" s="401"/>
      <c r="D471" s="401"/>
      <c r="E471" s="401"/>
      <c r="F471" s="401"/>
      <c r="G471" s="118"/>
      <c r="H471" s="118"/>
      <c r="I471" s="118"/>
      <c r="J471" s="118"/>
      <c r="K471" s="401"/>
      <c r="L471" s="118"/>
      <c r="M471" s="118"/>
      <c r="N471" s="118"/>
      <c r="O471" s="118"/>
      <c r="P471" s="401"/>
      <c r="Q471" s="118"/>
      <c r="R471" s="118"/>
      <c r="S471" s="118"/>
      <c r="T471" s="118"/>
      <c r="U471" s="401"/>
      <c r="V471" s="118"/>
      <c r="W471" s="118"/>
      <c r="X471" s="118"/>
      <c r="Y471" s="118"/>
      <c r="Z471" s="401"/>
      <c r="AA471" s="118"/>
      <c r="AB471" s="118"/>
      <c r="AC471" s="118"/>
      <c r="AD471" s="118"/>
      <c r="AE471" s="401"/>
      <c r="AF471" s="118"/>
      <c r="AG471" s="118"/>
      <c r="AH471" s="118"/>
      <c r="AI471" s="118"/>
      <c r="AJ471" s="401"/>
      <c r="AK471" s="118"/>
      <c r="AL471" s="118"/>
      <c r="AM471" s="118"/>
      <c r="AN471" s="118"/>
      <c r="AO471" s="401"/>
      <c r="AP471" s="118"/>
      <c r="AQ471" s="118"/>
      <c r="AR471" s="118"/>
      <c r="AS471" s="118"/>
      <c r="AT471" s="401"/>
      <c r="AU471" s="118"/>
      <c r="AV471" s="118"/>
      <c r="AW471" s="118"/>
      <c r="AX471" s="118"/>
      <c r="AY471" s="401"/>
      <c r="AZ471" s="118"/>
      <c r="BA471" s="118"/>
      <c r="BB471" s="118"/>
      <c r="BC471" s="118"/>
      <c r="BD471" s="401"/>
      <c r="BE471" s="118"/>
      <c r="BF471" s="118"/>
      <c r="BG471" s="118"/>
      <c r="BH471" s="118"/>
      <c r="BI471" s="401"/>
      <c r="BJ471" s="971"/>
      <c r="BK471" s="118"/>
      <c r="BL471" s="118"/>
      <c r="BM471" s="118"/>
      <c r="BN471" s="401"/>
      <c r="BO471" s="118"/>
      <c r="BP471" s="118"/>
      <c r="BQ471" s="118"/>
      <c r="BR471" s="118"/>
      <c r="BS471" s="401"/>
      <c r="BT471" s="401"/>
      <c r="BU471" s="401"/>
      <c r="BV471" s="401"/>
      <c r="BW471" s="122"/>
    </row>
    <row r="472" spans="1:75" hidden="1" outlineLevel="2" x14ac:dyDescent="0.5">
      <c r="A472" s="184" t="s">
        <v>2452</v>
      </c>
      <c r="B472" s="513"/>
      <c r="C472" s="401"/>
      <c r="D472" s="401"/>
      <c r="E472" s="401"/>
      <c r="F472" s="401"/>
      <c r="G472" s="118"/>
      <c r="H472" s="118"/>
      <c r="I472" s="118"/>
      <c r="J472" s="118"/>
      <c r="K472" s="401"/>
      <c r="L472" s="118"/>
      <c r="M472" s="118"/>
      <c r="N472" s="118"/>
      <c r="O472" s="118"/>
      <c r="P472" s="401"/>
      <c r="Q472" s="118"/>
      <c r="R472" s="118"/>
      <c r="S472" s="118"/>
      <c r="T472" s="118"/>
      <c r="U472" s="401"/>
      <c r="V472" s="118"/>
      <c r="W472" s="118"/>
      <c r="X472" s="118"/>
      <c r="Y472" s="118"/>
      <c r="Z472" s="401"/>
      <c r="AA472" s="118"/>
      <c r="AB472" s="118"/>
      <c r="AC472" s="118"/>
      <c r="AD472" s="118"/>
      <c r="AE472" s="401"/>
      <c r="AF472" s="118"/>
      <c r="AG472" s="118"/>
      <c r="AH472" s="118"/>
      <c r="AI472" s="118"/>
      <c r="AJ472" s="401"/>
      <c r="AK472" s="118"/>
      <c r="AL472" s="118"/>
      <c r="AM472" s="118"/>
      <c r="AN472" s="118"/>
      <c r="AO472" s="401"/>
      <c r="AP472" s="118"/>
      <c r="AQ472" s="118"/>
      <c r="AR472" s="118"/>
      <c r="AS472" s="118"/>
      <c r="AT472" s="401"/>
      <c r="AU472" s="118"/>
      <c r="AV472" s="118">
        <f>AV479-AV478-AV476-AV475-AV474-AV473</f>
        <v>6.3999999999999835E-2</v>
      </c>
      <c r="AW472" s="118">
        <f>AW479-AW478-AW476-AW475-AW474-AW473</f>
        <v>6.0000000000020037E-3</v>
      </c>
      <c r="AX472" s="118">
        <f>AX479-AX478-AX476-AX475-AX474-AX473</f>
        <v>-0.70400000000000174</v>
      </c>
      <c r="AY472" s="401">
        <f t="shared" ref="AY472:AY478" si="357">SUM(AU472,AV472,AW472,AX472)</f>
        <v>-0.6339999999999999</v>
      </c>
      <c r="AZ472" s="118">
        <f>AZ479-AZ478-AZ476-AZ475-AZ474-AZ473</f>
        <v>0</v>
      </c>
      <c r="BA472" s="118">
        <f>BA479-BA478-BA476-BA475-BA474-BA473</f>
        <v>0</v>
      </c>
      <c r="BB472" s="118">
        <f>BB479-BB478-BB476-BB475-BB474-BB473</f>
        <v>-3</v>
      </c>
      <c r="BC472" s="118">
        <f>BC479-BC478-BC476-BC475-BC474-BC473</f>
        <v>-2</v>
      </c>
      <c r="BD472" s="401">
        <f t="shared" ref="BD472:BD478" si="358">SUM(AZ472,BA472,BB472,BC472)</f>
        <v>-5</v>
      </c>
      <c r="BE472" s="118">
        <f t="shared" ref="BE472:BG472" si="359">BE479-BE478-BE476-BE475-BE474-BE473</f>
        <v>0</v>
      </c>
      <c r="BF472" s="118">
        <f t="shared" si="359"/>
        <v>-4</v>
      </c>
      <c r="BG472" s="118">
        <f t="shared" si="359"/>
        <v>2</v>
      </c>
      <c r="BH472" s="118">
        <f>BH479-BH478-BH476-BH475-BH474-BH473</f>
        <v>0</v>
      </c>
      <c r="BI472" s="401">
        <f t="shared" ref="BI472:BI478" si="360">SUM(BE472,BF472,BG472,BH472)</f>
        <v>-2</v>
      </c>
      <c r="BJ472" s="971">
        <f>BJ479-BJ478-BJ476-BJ475-BJ474-BJ473</f>
        <v>1</v>
      </c>
      <c r="BK472" s="118"/>
      <c r="BL472" s="118"/>
      <c r="BM472" s="118"/>
      <c r="BN472" s="401"/>
      <c r="BO472" s="118"/>
      <c r="BP472" s="118"/>
      <c r="BQ472" s="118"/>
      <c r="BR472" s="118"/>
      <c r="BS472" s="401"/>
      <c r="BT472" s="401"/>
      <c r="BU472" s="401"/>
      <c r="BV472" s="401"/>
      <c r="BW472" s="122"/>
    </row>
    <row r="473" spans="1:75" hidden="1" outlineLevel="2" x14ac:dyDescent="0.5">
      <c r="A473" s="184" t="s">
        <v>2453</v>
      </c>
      <c r="B473" s="513"/>
      <c r="C473" s="401"/>
      <c r="D473" s="401"/>
      <c r="E473" s="401"/>
      <c r="F473" s="401"/>
      <c r="G473" s="118"/>
      <c r="H473" s="118"/>
      <c r="I473" s="118"/>
      <c r="J473" s="118"/>
      <c r="K473" s="401"/>
      <c r="L473" s="118"/>
      <c r="M473" s="118"/>
      <c r="N473" s="118"/>
      <c r="O473" s="118"/>
      <c r="P473" s="401"/>
      <c r="Q473" s="118"/>
      <c r="R473" s="118"/>
      <c r="S473" s="118"/>
      <c r="T473" s="118"/>
      <c r="U473" s="401"/>
      <c r="V473" s="118"/>
      <c r="W473" s="118"/>
      <c r="X473" s="118"/>
      <c r="Y473" s="118"/>
      <c r="Z473" s="401"/>
      <c r="AA473" s="118"/>
      <c r="AB473" s="118"/>
      <c r="AC473" s="118"/>
      <c r="AD473" s="118"/>
      <c r="AE473" s="401"/>
      <c r="AF473" s="118"/>
      <c r="AG473" s="118"/>
      <c r="AH473" s="118"/>
      <c r="AI473" s="118"/>
      <c r="AJ473" s="401"/>
      <c r="AK473" s="118"/>
      <c r="AL473" s="118"/>
      <c r="AM473" s="118"/>
      <c r="AN473" s="118"/>
      <c r="AO473" s="401"/>
      <c r="AP473" s="118"/>
      <c r="AQ473" s="118"/>
      <c r="AR473" s="118"/>
      <c r="AS473" s="118"/>
      <c r="AT473" s="401">
        <f>AT379-AO379</f>
        <v>28.38300000000001</v>
      </c>
      <c r="AU473" s="118"/>
      <c r="AV473" s="118">
        <f>AV379-AU379</f>
        <v>0.71799999999999997</v>
      </c>
      <c r="AW473" s="118">
        <f>AW379-AV379</f>
        <v>0.54399999999999959</v>
      </c>
      <c r="AX473" s="118">
        <f>AX379-AW379</f>
        <v>0.86000000000000032</v>
      </c>
      <c r="AY473" s="401">
        <f t="shared" si="357"/>
        <v>2.1219999999999999</v>
      </c>
      <c r="AZ473" s="118">
        <f>AZ379-AY379</f>
        <v>0</v>
      </c>
      <c r="BA473" s="118">
        <f>BA379-AZ379</f>
        <v>1</v>
      </c>
      <c r="BB473" s="118">
        <f>BB379-BA379</f>
        <v>3</v>
      </c>
      <c r="BC473" s="118">
        <f>BC379-BB379</f>
        <v>1</v>
      </c>
      <c r="BD473" s="401">
        <f t="shared" si="358"/>
        <v>5</v>
      </c>
      <c r="BE473" s="118">
        <f>BE379-BD379</f>
        <v>0</v>
      </c>
      <c r="BF473" s="118">
        <f>BF379-BE379</f>
        <v>0</v>
      </c>
      <c r="BG473" s="118">
        <f>BG379-BF379</f>
        <v>1</v>
      </c>
      <c r="BH473" s="118">
        <f>BH379-BG379</f>
        <v>0</v>
      </c>
      <c r="BI473" s="401">
        <f t="shared" si="360"/>
        <v>1</v>
      </c>
      <c r="BJ473" s="971">
        <f>BJ379-BH379</f>
        <v>0</v>
      </c>
      <c r="BK473" s="118">
        <f>BK379-BJ379</f>
        <v>0</v>
      </c>
      <c r="BL473" s="118">
        <f>BL379-BK379</f>
        <v>0</v>
      </c>
      <c r="BM473" s="118">
        <f>BM379-BL379</f>
        <v>0</v>
      </c>
      <c r="BN473" s="401">
        <f t="shared" ref="BN473:BN478" si="361">SUM(BJ473,BK473,BL473,BM473)</f>
        <v>0</v>
      </c>
      <c r="BO473" s="118">
        <f>BO379-BN379</f>
        <v>0</v>
      </c>
      <c r="BP473" s="118">
        <f>BP379-BO379</f>
        <v>0</v>
      </c>
      <c r="BQ473" s="118">
        <f>BQ379-BP379</f>
        <v>0</v>
      </c>
      <c r="BR473" s="118">
        <f>BR379-BQ379</f>
        <v>0</v>
      </c>
      <c r="BS473" s="401">
        <f t="shared" ref="BS473:BS478" si="362">SUM(BO473,BP473,BQ473,BR473)</f>
        <v>0</v>
      </c>
      <c r="BT473" s="401">
        <f>BT379-BS379</f>
        <v>0</v>
      </c>
      <c r="BU473" s="401">
        <f>BU379-BT379</f>
        <v>0</v>
      </c>
      <c r="BV473" s="401">
        <f>BV379-BU379</f>
        <v>0</v>
      </c>
      <c r="BW473" s="122"/>
    </row>
    <row r="474" spans="1:75" hidden="1" outlineLevel="2" x14ac:dyDescent="0.5">
      <c r="A474" s="184" t="s">
        <v>2454</v>
      </c>
      <c r="B474" s="513"/>
      <c r="C474" s="401"/>
      <c r="D474" s="401"/>
      <c r="E474" s="401"/>
      <c r="F474" s="401"/>
      <c r="G474" s="118"/>
      <c r="H474" s="118"/>
      <c r="I474" s="118"/>
      <c r="J474" s="118"/>
      <c r="K474" s="401"/>
      <c r="L474" s="118"/>
      <c r="M474" s="118"/>
      <c r="N474" s="118"/>
      <c r="O474" s="118"/>
      <c r="P474" s="401"/>
      <c r="Q474" s="118"/>
      <c r="R474" s="118"/>
      <c r="S474" s="118"/>
      <c r="T474" s="118"/>
      <c r="U474" s="401"/>
      <c r="V474" s="118"/>
      <c r="W474" s="118"/>
      <c r="X474" s="118"/>
      <c r="Y474" s="118"/>
      <c r="Z474" s="401"/>
      <c r="AA474" s="118"/>
      <c r="AB474" s="118"/>
      <c r="AC474" s="118"/>
      <c r="AD474" s="118"/>
      <c r="AE474" s="401"/>
      <c r="AF474" s="118"/>
      <c r="AG474" s="118"/>
      <c r="AH474" s="118"/>
      <c r="AI474" s="118"/>
      <c r="AJ474" s="401"/>
      <c r="AK474" s="118"/>
      <c r="AL474" s="118"/>
      <c r="AM474" s="118"/>
      <c r="AN474" s="118"/>
      <c r="AO474" s="401"/>
      <c r="AP474" s="118"/>
      <c r="AQ474" s="118"/>
      <c r="AR474" s="118"/>
      <c r="AS474" s="118"/>
      <c r="AT474" s="401"/>
      <c r="AU474" s="118"/>
      <c r="AV474" s="118">
        <f>AV396-AU396</f>
        <v>0.68299999999999983</v>
      </c>
      <c r="AW474" s="118">
        <f>AW396-AV396</f>
        <v>0.84999999999999964</v>
      </c>
      <c r="AX474" s="118">
        <f>AX396-AW396</f>
        <v>0.99900000000000055</v>
      </c>
      <c r="AY474" s="401">
        <f t="shared" si="357"/>
        <v>2.532</v>
      </c>
      <c r="AZ474" s="118">
        <f>AZ396-AY396</f>
        <v>1</v>
      </c>
      <c r="BA474" s="118">
        <f>BA396-AZ396</f>
        <v>1</v>
      </c>
      <c r="BB474" s="118">
        <f>BB396-BA396</f>
        <v>2</v>
      </c>
      <c r="BC474" s="118">
        <f>BC396-BB396</f>
        <v>1</v>
      </c>
      <c r="BD474" s="401">
        <f t="shared" si="358"/>
        <v>5</v>
      </c>
      <c r="BE474" s="118">
        <f>BE396-BD396</f>
        <v>0</v>
      </c>
      <c r="BF474" s="118">
        <f>BF396-BE396</f>
        <v>4</v>
      </c>
      <c r="BG474" s="118">
        <f>BG396-BF396</f>
        <v>1</v>
      </c>
      <c r="BH474" s="118">
        <f>BH396-BG396</f>
        <v>0</v>
      </c>
      <c r="BI474" s="401">
        <f t="shared" si="360"/>
        <v>5</v>
      </c>
      <c r="BJ474" s="971">
        <f>BJ396-BH396</f>
        <v>0</v>
      </c>
      <c r="BK474" s="118">
        <f>BK396-BJ396</f>
        <v>0.49726775956284142</v>
      </c>
      <c r="BL474" s="118">
        <f>BL396-BK396</f>
        <v>0.50273224043715858</v>
      </c>
      <c r="BM474" s="118">
        <f>BM396-BL396</f>
        <v>0.50273224043715858</v>
      </c>
      <c r="BN474" s="401">
        <f t="shared" si="361"/>
        <v>1.5027322404371586</v>
      </c>
      <c r="BO474" s="118">
        <f>BO396-BN396</f>
        <v>0.49180327868852469</v>
      </c>
      <c r="BP474" s="118">
        <f>BP396-BO396</f>
        <v>0.49726775956284142</v>
      </c>
      <c r="BQ474" s="118">
        <f>BQ396-BP396</f>
        <v>0.50273224043715836</v>
      </c>
      <c r="BR474" s="118">
        <f>BR396-BQ396</f>
        <v>5.464480874316946E-3</v>
      </c>
      <c r="BS474" s="401">
        <f t="shared" si="362"/>
        <v>1.4972677595628414</v>
      </c>
      <c r="BT474" s="401">
        <f>BT396-BS396</f>
        <v>0</v>
      </c>
      <c r="BU474" s="401">
        <f>BU396-BT396</f>
        <v>0</v>
      </c>
      <c r="BV474" s="401">
        <f>BV396-BU396</f>
        <v>0</v>
      </c>
      <c r="BW474" s="122"/>
    </row>
    <row r="475" spans="1:75" hidden="1" outlineLevel="2" x14ac:dyDescent="0.5">
      <c r="A475" s="184" t="s">
        <v>2455</v>
      </c>
      <c r="B475" s="513"/>
      <c r="C475" s="401"/>
      <c r="D475" s="401"/>
      <c r="E475" s="401"/>
      <c r="F475" s="401"/>
      <c r="G475" s="118"/>
      <c r="H475" s="118"/>
      <c r="I475" s="118"/>
      <c r="J475" s="118"/>
      <c r="K475" s="401"/>
      <c r="L475" s="118"/>
      <c r="M475" s="118"/>
      <c r="N475" s="118"/>
      <c r="O475" s="118"/>
      <c r="P475" s="401"/>
      <c r="Q475" s="118"/>
      <c r="R475" s="118"/>
      <c r="S475" s="118"/>
      <c r="T475" s="118"/>
      <c r="U475" s="401"/>
      <c r="V475" s="118"/>
      <c r="W475" s="118"/>
      <c r="X475" s="118"/>
      <c r="Y475" s="118"/>
      <c r="Z475" s="401"/>
      <c r="AA475" s="118"/>
      <c r="AB475" s="118"/>
      <c r="AC475" s="118"/>
      <c r="AD475" s="118"/>
      <c r="AE475" s="401"/>
      <c r="AF475" s="118"/>
      <c r="AG475" s="118"/>
      <c r="AH475" s="118"/>
      <c r="AI475" s="118"/>
      <c r="AJ475" s="401"/>
      <c r="AK475" s="118"/>
      <c r="AL475" s="118"/>
      <c r="AM475" s="118"/>
      <c r="AN475" s="118"/>
      <c r="AO475" s="401"/>
      <c r="AP475" s="118"/>
      <c r="AQ475" s="118"/>
      <c r="AR475" s="118"/>
      <c r="AS475" s="118"/>
      <c r="AT475" s="401">
        <f>AT413-AO413</f>
        <v>34.788999999999987</v>
      </c>
      <c r="AU475" s="118"/>
      <c r="AV475" s="118">
        <f>AV413-AU413</f>
        <v>0.41000000000000014</v>
      </c>
      <c r="AW475" s="118">
        <f>AW413-AV413</f>
        <v>0.4789999999999992</v>
      </c>
      <c r="AX475" s="118">
        <f>AX413-AW413</f>
        <v>0.61100000000000065</v>
      </c>
      <c r="AY475" s="401">
        <f t="shared" si="357"/>
        <v>1.5</v>
      </c>
      <c r="AZ475" s="118">
        <f>AZ413-AY413</f>
        <v>0</v>
      </c>
      <c r="BA475" s="118">
        <f>BA413-AZ413</f>
        <v>0</v>
      </c>
      <c r="BB475" s="118">
        <f>BB413-BA413</f>
        <v>1</v>
      </c>
      <c r="BC475" s="118">
        <f>BC413-BB413</f>
        <v>1</v>
      </c>
      <c r="BD475" s="401">
        <f t="shared" si="358"/>
        <v>2</v>
      </c>
      <c r="BE475" s="118">
        <f>BE413-BD413</f>
        <v>0</v>
      </c>
      <c r="BF475" s="118">
        <f>BF413-BE413</f>
        <v>1</v>
      </c>
      <c r="BG475" s="118">
        <f>BG413-BF413</f>
        <v>0</v>
      </c>
      <c r="BH475" s="118">
        <f>BH413-BG413</f>
        <v>1</v>
      </c>
      <c r="BI475" s="401">
        <f t="shared" si="360"/>
        <v>2</v>
      </c>
      <c r="BJ475" s="971">
        <f>BJ413-BI413</f>
        <v>0</v>
      </c>
      <c r="BK475" s="118">
        <f>BK413-BJ413</f>
        <v>0.52479815455594014</v>
      </c>
      <c r="BL475" s="118">
        <f>BL413-BK413</f>
        <v>0.53056516724336777</v>
      </c>
      <c r="BM475" s="118">
        <f>BM413-BL413</f>
        <v>0.53056516724336777</v>
      </c>
      <c r="BN475" s="401">
        <f t="shared" si="361"/>
        <v>1.5859284890426757</v>
      </c>
      <c r="BO475" s="118">
        <f>BO413-BN413</f>
        <v>0.51903114186851207</v>
      </c>
      <c r="BP475" s="118">
        <f>BP413-BO413</f>
        <v>0.52479815455594014</v>
      </c>
      <c r="BQ475" s="118">
        <f>BQ413-BP413</f>
        <v>0.530565167243368</v>
      </c>
      <c r="BR475" s="118">
        <f>BR413-BQ413</f>
        <v>0.530565167243368</v>
      </c>
      <c r="BS475" s="401">
        <f t="shared" si="362"/>
        <v>2.1049596309111882</v>
      </c>
      <c r="BT475" s="401">
        <f>BT413-BS413</f>
        <v>1.3091118800461361</v>
      </c>
      <c r="BU475" s="401">
        <f>BU413-BT413</f>
        <v>0</v>
      </c>
      <c r="BV475" s="401">
        <f>BV413-BU413</f>
        <v>0</v>
      </c>
      <c r="BW475" s="122"/>
    </row>
    <row r="476" spans="1:75" hidden="1" outlineLevel="2" x14ac:dyDescent="0.5">
      <c r="A476" s="184" t="s">
        <v>2456</v>
      </c>
      <c r="B476" s="513"/>
      <c r="C476" s="401"/>
      <c r="D476" s="401"/>
      <c r="E476" s="401"/>
      <c r="F476" s="401"/>
      <c r="G476" s="118"/>
      <c r="H476" s="118"/>
      <c r="I476" s="118"/>
      <c r="J476" s="118"/>
      <c r="K476" s="401"/>
      <c r="L476" s="118"/>
      <c r="M476" s="118"/>
      <c r="N476" s="118"/>
      <c r="O476" s="118"/>
      <c r="P476" s="401"/>
      <c r="Q476" s="118"/>
      <c r="R476" s="118"/>
      <c r="S476" s="118"/>
      <c r="T476" s="118"/>
      <c r="U476" s="401"/>
      <c r="V476" s="118"/>
      <c r="W476" s="118"/>
      <c r="X476" s="118"/>
      <c r="Y476" s="118"/>
      <c r="Z476" s="401"/>
      <c r="AA476" s="118"/>
      <c r="AB476" s="118"/>
      <c r="AC476" s="118"/>
      <c r="AD476" s="118"/>
      <c r="AE476" s="401"/>
      <c r="AF476" s="118"/>
      <c r="AG476" s="118"/>
      <c r="AH476" s="118"/>
      <c r="AI476" s="118"/>
      <c r="AJ476" s="401"/>
      <c r="AK476" s="118"/>
      <c r="AL476" s="118"/>
      <c r="AM476" s="118"/>
      <c r="AN476" s="118"/>
      <c r="AO476" s="401"/>
      <c r="AP476" s="118"/>
      <c r="AQ476" s="118"/>
      <c r="AR476" s="118"/>
      <c r="AS476" s="118"/>
      <c r="AT476" s="401"/>
      <c r="AU476" s="118"/>
      <c r="AV476" s="118"/>
      <c r="AW476" s="118"/>
      <c r="AX476" s="118"/>
      <c r="AY476" s="401"/>
      <c r="AZ476" s="118"/>
      <c r="BA476" s="118"/>
      <c r="BB476" s="118"/>
      <c r="BC476" s="118">
        <f>BC430-BB430</f>
        <v>0</v>
      </c>
      <c r="BD476" s="401">
        <f t="shared" si="358"/>
        <v>0</v>
      </c>
      <c r="BE476" s="118">
        <f>BE430-BD430</f>
        <v>1</v>
      </c>
      <c r="BF476" s="118">
        <f>BF430-BE430</f>
        <v>1</v>
      </c>
      <c r="BG476" s="118">
        <f>BG430-BF430</f>
        <v>-1</v>
      </c>
      <c r="BH476" s="118">
        <f>BH430-BG430</f>
        <v>1</v>
      </c>
      <c r="BI476" s="401">
        <f t="shared" si="360"/>
        <v>2</v>
      </c>
      <c r="BJ476" s="971">
        <f>BJ430-BH430</f>
        <v>2</v>
      </c>
      <c r="BK476" s="118">
        <f>BK430-BJ430</f>
        <v>0.57640538400633368</v>
      </c>
      <c r="BL476" s="118">
        <f>BL430-BK430</f>
        <v>0.5827395091053047</v>
      </c>
      <c r="BM476" s="118">
        <f>BM430-BL430</f>
        <v>0.5827395091053047</v>
      </c>
      <c r="BN476" s="401">
        <f t="shared" si="361"/>
        <v>3.7418844022169431</v>
      </c>
      <c r="BO476" s="118">
        <f>BO430-BN430</f>
        <v>0.57007125890736354</v>
      </c>
      <c r="BP476" s="118">
        <f>BP430-BO430</f>
        <v>0.57640538400633456</v>
      </c>
      <c r="BQ476" s="118">
        <f>BQ430-BP430</f>
        <v>0.5827395091053047</v>
      </c>
      <c r="BR476" s="118">
        <f>BR430-BQ430</f>
        <v>0.5827395091053047</v>
      </c>
      <c r="BS476" s="401">
        <f t="shared" si="362"/>
        <v>2.3119556611243075</v>
      </c>
      <c r="BT476" s="401">
        <f>BT430-BS430</f>
        <v>2.3119556611243075</v>
      </c>
      <c r="BU476" s="401">
        <f>BU430-BT430</f>
        <v>1.6342042755344419</v>
      </c>
      <c r="BV476" s="401">
        <f>BV430-BU430</f>
        <v>0</v>
      </c>
      <c r="BW476" s="122"/>
    </row>
    <row r="477" spans="1:75" hidden="1" outlineLevel="2" x14ac:dyDescent="0.5">
      <c r="A477" s="184" t="s">
        <v>2457</v>
      </c>
      <c r="B477" s="513"/>
      <c r="C477" s="401"/>
      <c r="D477" s="401"/>
      <c r="E477" s="401"/>
      <c r="F477" s="401"/>
      <c r="G477" s="118"/>
      <c r="H477" s="118"/>
      <c r="I477" s="118"/>
      <c r="J477" s="118"/>
      <c r="K477" s="401"/>
      <c r="L477" s="118"/>
      <c r="M477" s="118"/>
      <c r="N477" s="118"/>
      <c r="O477" s="118"/>
      <c r="P477" s="401"/>
      <c r="Q477" s="118"/>
      <c r="R477" s="118"/>
      <c r="S477" s="118"/>
      <c r="T477" s="118"/>
      <c r="U477" s="401"/>
      <c r="V477" s="118"/>
      <c r="W477" s="118"/>
      <c r="X477" s="118"/>
      <c r="Y477" s="118"/>
      <c r="Z477" s="401"/>
      <c r="AA477" s="118"/>
      <c r="AB477" s="118"/>
      <c r="AC477" s="118"/>
      <c r="AD477" s="118"/>
      <c r="AE477" s="401"/>
      <c r="AF477" s="118"/>
      <c r="AG477" s="118"/>
      <c r="AH477" s="118"/>
      <c r="AI477" s="118"/>
      <c r="AJ477" s="401"/>
      <c r="AK477" s="118"/>
      <c r="AL477" s="118"/>
      <c r="AM477" s="118"/>
      <c r="AN477" s="118"/>
      <c r="AO477" s="401"/>
      <c r="AP477" s="118"/>
      <c r="AQ477" s="118"/>
      <c r="AR477" s="118"/>
      <c r="AS477" s="118"/>
      <c r="AT477" s="401"/>
      <c r="AU477" s="118"/>
      <c r="AV477" s="118"/>
      <c r="AW477" s="118"/>
      <c r="AX477" s="118"/>
      <c r="AY477" s="401"/>
      <c r="AZ477" s="118"/>
      <c r="BA477" s="118"/>
      <c r="BB477" s="118"/>
      <c r="BC477" s="118"/>
      <c r="BD477" s="401"/>
      <c r="BE477" s="118"/>
      <c r="BF477" s="118"/>
      <c r="BG477" s="118">
        <f>BG447-BF447</f>
        <v>1</v>
      </c>
      <c r="BH477" s="118">
        <f>BH447-BG447</f>
        <v>0</v>
      </c>
      <c r="BI477" s="401">
        <f t="shared" si="360"/>
        <v>1</v>
      </c>
      <c r="BJ477" s="971">
        <f>BJ447-BH447</f>
        <v>1</v>
      </c>
      <c r="BK477" s="118">
        <f>BK447-BJ447</f>
        <v>0.53846153846153832</v>
      </c>
      <c r="BL477" s="118">
        <f>BL447-BK447</f>
        <v>0.54437869822485219</v>
      </c>
      <c r="BM477" s="118">
        <f>BM447-BL447</f>
        <v>0.54437869822485219</v>
      </c>
      <c r="BN477" s="401">
        <f t="shared" si="361"/>
        <v>2.6272189349112427</v>
      </c>
      <c r="BO477" s="118">
        <f>BO447-BN447</f>
        <v>0.53254437869822446</v>
      </c>
      <c r="BP477" s="118">
        <f>BP447-BO447</f>
        <v>0.53846153846153832</v>
      </c>
      <c r="BQ477" s="118">
        <f>BQ447-BP447</f>
        <v>0.54437869822485219</v>
      </c>
      <c r="BR477" s="118">
        <f>BR447-BQ447</f>
        <v>0.54437869822485219</v>
      </c>
      <c r="BS477" s="401">
        <f t="shared" si="362"/>
        <v>2.1597633136094672</v>
      </c>
      <c r="BT477" s="401">
        <f>BT447-BS447</f>
        <v>2.1597633136094672</v>
      </c>
      <c r="BU477" s="401">
        <f>BU447-BT447</f>
        <v>2.1597633136094676</v>
      </c>
      <c r="BV477" s="401">
        <f>BV447-BU447</f>
        <v>1.8934911242603554</v>
      </c>
      <c r="BW477" s="122"/>
    </row>
    <row r="478" spans="1:75" hidden="1" outlineLevel="2" x14ac:dyDescent="0.5">
      <c r="A478" s="869" t="s">
        <v>2458</v>
      </c>
      <c r="B478" s="870"/>
      <c r="C478" s="871"/>
      <c r="D478" s="871"/>
      <c r="E478" s="871"/>
      <c r="F478" s="871"/>
      <c r="G478" s="872"/>
      <c r="H478" s="872"/>
      <c r="I478" s="872"/>
      <c r="J478" s="872"/>
      <c r="K478" s="871"/>
      <c r="L478" s="872"/>
      <c r="M478" s="872"/>
      <c r="N478" s="872"/>
      <c r="O478" s="872"/>
      <c r="P478" s="871"/>
      <c r="Q478" s="872"/>
      <c r="R478" s="872"/>
      <c r="S478" s="872"/>
      <c r="T478" s="872"/>
      <c r="U478" s="871"/>
      <c r="V478" s="872"/>
      <c r="W478" s="872"/>
      <c r="X478" s="872"/>
      <c r="Y478" s="872"/>
      <c r="Z478" s="871"/>
      <c r="AA478" s="872"/>
      <c r="AB478" s="872"/>
      <c r="AC478" s="872"/>
      <c r="AD478" s="872"/>
      <c r="AE478" s="871"/>
      <c r="AF478" s="872"/>
      <c r="AG478" s="872"/>
      <c r="AH478" s="872"/>
      <c r="AI478" s="872"/>
      <c r="AJ478" s="871"/>
      <c r="AK478" s="872"/>
      <c r="AL478" s="872"/>
      <c r="AM478" s="872"/>
      <c r="AN478" s="872"/>
      <c r="AO478" s="871"/>
      <c r="AP478" s="872"/>
      <c r="AQ478" s="872"/>
      <c r="AR478" s="872"/>
      <c r="AS478" s="872"/>
      <c r="AT478" s="871"/>
      <c r="AU478" s="872"/>
      <c r="AV478" s="872">
        <f>AV464-AU464</f>
        <v>2.1999999999999964E-2</v>
      </c>
      <c r="AW478" s="872">
        <f>AW464-AV464</f>
        <v>2.5000000000000022E-2</v>
      </c>
      <c r="AX478" s="872">
        <f>AX464-AW464</f>
        <v>-0.63900000000000001</v>
      </c>
      <c r="AY478" s="871">
        <f t="shared" si="357"/>
        <v>-0.59200000000000008</v>
      </c>
      <c r="AZ478" s="872">
        <f>AZ464-AY464</f>
        <v>1</v>
      </c>
      <c r="BA478" s="872">
        <f>BA464-AZ464</f>
        <v>0</v>
      </c>
      <c r="BB478" s="872">
        <f>BB464-BA464</f>
        <v>0</v>
      </c>
      <c r="BC478" s="872">
        <f>BC464-BB464</f>
        <v>0</v>
      </c>
      <c r="BD478" s="871">
        <f t="shared" si="358"/>
        <v>1</v>
      </c>
      <c r="BE478" s="872">
        <f>BE464-BD464</f>
        <v>0</v>
      </c>
      <c r="BF478" s="872">
        <f>BF464-BE464</f>
        <v>0</v>
      </c>
      <c r="BG478" s="872">
        <f>BG464-BF464</f>
        <v>0</v>
      </c>
      <c r="BH478" s="872">
        <f>BH464-BG464</f>
        <v>0</v>
      </c>
      <c r="BI478" s="871">
        <f t="shared" si="360"/>
        <v>0</v>
      </c>
      <c r="BJ478" s="1504">
        <f>BJ464-BI464</f>
        <v>0</v>
      </c>
      <c r="BK478" s="872">
        <f>BK464-BJ464</f>
        <v>0</v>
      </c>
      <c r="BL478" s="872">
        <f>BL464-BK464</f>
        <v>0</v>
      </c>
      <c r="BM478" s="872">
        <f>BM464-BL464</f>
        <v>0</v>
      </c>
      <c r="BN478" s="871">
        <f t="shared" si="361"/>
        <v>0</v>
      </c>
      <c r="BO478" s="872">
        <f>BO464-BN464</f>
        <v>0</v>
      </c>
      <c r="BP478" s="872">
        <f>BP464-BO464</f>
        <v>0</v>
      </c>
      <c r="BQ478" s="872">
        <f>BQ464-BP464</f>
        <v>0</v>
      </c>
      <c r="BR478" s="872">
        <f>BR464-BQ464</f>
        <v>0</v>
      </c>
      <c r="BS478" s="871">
        <f t="shared" si="362"/>
        <v>0</v>
      </c>
      <c r="BT478" s="871">
        <f>BT464-BS464</f>
        <v>0</v>
      </c>
      <c r="BU478" s="871">
        <f>BU464-BT464</f>
        <v>0</v>
      </c>
      <c r="BV478" s="871">
        <f>BV464-BU464</f>
        <v>0</v>
      </c>
      <c r="BW478" s="122"/>
    </row>
    <row r="479" spans="1:75" hidden="1" outlineLevel="2" x14ac:dyDescent="0.5">
      <c r="A479" s="805" t="s">
        <v>2459</v>
      </c>
      <c r="B479" s="967"/>
      <c r="C479" s="807"/>
      <c r="D479" s="807"/>
      <c r="E479" s="807"/>
      <c r="F479" s="807"/>
      <c r="G479" s="808"/>
      <c r="H479" s="808"/>
      <c r="I479" s="808"/>
      <c r="J479" s="808"/>
      <c r="K479" s="807"/>
      <c r="L479" s="808"/>
      <c r="M479" s="808"/>
      <c r="N479" s="808"/>
      <c r="O479" s="808"/>
      <c r="P479" s="807"/>
      <c r="Q479" s="808"/>
      <c r="R479" s="808"/>
      <c r="S479" s="808"/>
      <c r="T479" s="808"/>
      <c r="U479" s="807"/>
      <c r="V479" s="808"/>
      <c r="W479" s="808"/>
      <c r="X479" s="808"/>
      <c r="Y479" s="808"/>
      <c r="Z479" s="807"/>
      <c r="AA479" s="808"/>
      <c r="AB479" s="808"/>
      <c r="AC479" s="808"/>
      <c r="AD479" s="808"/>
      <c r="AE479" s="807"/>
      <c r="AF479" s="808"/>
      <c r="AG479" s="808"/>
      <c r="AH479" s="808"/>
      <c r="AI479" s="808"/>
      <c r="AJ479" s="807"/>
      <c r="AK479" s="808"/>
      <c r="AL479" s="808"/>
      <c r="AM479" s="808"/>
      <c r="AN479" s="808"/>
      <c r="AO479" s="807"/>
      <c r="AP479" s="808">
        <f t="shared" ref="AP479:BJ479" si="363">AP224</f>
        <v>19.527000000000001</v>
      </c>
      <c r="AQ479" s="808">
        <f t="shared" si="363"/>
        <v>26.960999999999999</v>
      </c>
      <c r="AR479" s="808">
        <f t="shared" si="363"/>
        <v>31.736999999999995</v>
      </c>
      <c r="AS479" s="808">
        <f t="shared" si="363"/>
        <v>56.063000000000017</v>
      </c>
      <c r="AT479" s="807">
        <f t="shared" si="363"/>
        <v>134.28800000000001</v>
      </c>
      <c r="AU479" s="808">
        <f t="shared" si="363"/>
        <v>2.0720000000000001</v>
      </c>
      <c r="AV479" s="808">
        <f t="shared" si="363"/>
        <v>1.8969999999999998</v>
      </c>
      <c r="AW479" s="808">
        <f t="shared" si="363"/>
        <v>1.9040000000000004</v>
      </c>
      <c r="AX479" s="808">
        <f t="shared" si="363"/>
        <v>1.1269999999999998</v>
      </c>
      <c r="AY479" s="807">
        <f t="shared" si="363"/>
        <v>7</v>
      </c>
      <c r="AZ479" s="808">
        <f t="shared" si="363"/>
        <v>2</v>
      </c>
      <c r="BA479" s="808">
        <f t="shared" si="363"/>
        <v>2</v>
      </c>
      <c r="BB479" s="808">
        <f t="shared" si="363"/>
        <v>3</v>
      </c>
      <c r="BC479" s="808">
        <f t="shared" si="363"/>
        <v>1</v>
      </c>
      <c r="BD479" s="807">
        <f t="shared" si="363"/>
        <v>8</v>
      </c>
      <c r="BE479" s="808">
        <f t="shared" si="363"/>
        <v>1</v>
      </c>
      <c r="BF479" s="808">
        <f t="shared" si="363"/>
        <v>2</v>
      </c>
      <c r="BG479" s="808">
        <f t="shared" si="363"/>
        <v>3</v>
      </c>
      <c r="BH479" s="808">
        <f t="shared" si="363"/>
        <v>2</v>
      </c>
      <c r="BI479" s="807">
        <f t="shared" si="363"/>
        <v>8</v>
      </c>
      <c r="BJ479" s="1521">
        <f t="shared" si="363"/>
        <v>3</v>
      </c>
      <c r="BK479" s="808">
        <f t="shared" ref="BK479:BV479" si="364">SUM(BK472:BK478)</f>
        <v>2.1369328365866536</v>
      </c>
      <c r="BL479" s="808">
        <f t="shared" si="364"/>
        <v>2.1604156150106832</v>
      </c>
      <c r="BM479" s="808">
        <f t="shared" si="364"/>
        <v>2.1604156150106832</v>
      </c>
      <c r="BN479" s="807">
        <f t="shared" si="364"/>
        <v>9.4577640666080196</v>
      </c>
      <c r="BO479" s="808">
        <f t="shared" si="364"/>
        <v>2.1134500581626248</v>
      </c>
      <c r="BP479" s="808">
        <f t="shared" si="364"/>
        <v>2.1369328365866544</v>
      </c>
      <c r="BQ479" s="808">
        <f t="shared" si="364"/>
        <v>2.1604156150106832</v>
      </c>
      <c r="BR479" s="808">
        <f t="shared" si="364"/>
        <v>1.6631478554478418</v>
      </c>
      <c r="BS479" s="807">
        <f t="shared" si="364"/>
        <v>8.0739463652078047</v>
      </c>
      <c r="BT479" s="807">
        <f t="shared" si="364"/>
        <v>5.7808308547799108</v>
      </c>
      <c r="BU479" s="807">
        <f t="shared" si="364"/>
        <v>3.7939675891439095</v>
      </c>
      <c r="BV479" s="807">
        <f t="shared" si="364"/>
        <v>1.8934911242603554</v>
      </c>
      <c r="BW479" s="122"/>
    </row>
    <row r="480" spans="1:75" hidden="1" outlineLevel="2" x14ac:dyDescent="0.5">
      <c r="A480" s="206"/>
      <c r="B480" s="522"/>
      <c r="C480" s="397"/>
      <c r="D480" s="397"/>
      <c r="E480" s="397"/>
      <c r="F480" s="397"/>
      <c r="G480" s="295"/>
      <c r="H480" s="295"/>
      <c r="I480" s="295"/>
      <c r="J480" s="295"/>
      <c r="K480" s="397"/>
      <c r="L480" s="295"/>
      <c r="M480" s="295"/>
      <c r="N480" s="295"/>
      <c r="O480" s="295"/>
      <c r="P480" s="397"/>
      <c r="Q480" s="295"/>
      <c r="R480" s="295"/>
      <c r="S480" s="295"/>
      <c r="T480" s="295"/>
      <c r="U480" s="397"/>
      <c r="V480" s="295"/>
      <c r="W480" s="295"/>
      <c r="X480" s="295"/>
      <c r="Y480" s="295"/>
      <c r="Z480" s="397"/>
      <c r="AA480" s="295"/>
      <c r="AB480" s="295"/>
      <c r="AC480" s="295"/>
      <c r="AD480" s="295"/>
      <c r="AE480" s="397"/>
      <c r="AF480" s="295"/>
      <c r="AG480" s="295"/>
      <c r="AH480" s="295"/>
      <c r="AI480" s="295"/>
      <c r="AJ480" s="397"/>
      <c r="AK480" s="295"/>
      <c r="AL480" s="295"/>
      <c r="AM480" s="295"/>
      <c r="AN480" s="295"/>
      <c r="AO480" s="397"/>
      <c r="AP480" s="295"/>
      <c r="AQ480" s="295"/>
      <c r="AR480" s="295"/>
      <c r="AS480" s="295"/>
      <c r="AT480" s="397"/>
      <c r="AU480" s="295"/>
      <c r="AV480" s="295"/>
      <c r="AW480" s="295"/>
      <c r="AX480" s="295"/>
      <c r="AY480" s="397"/>
      <c r="AZ480" s="295"/>
      <c r="BA480" s="295"/>
      <c r="BB480" s="295"/>
      <c r="BC480" s="295"/>
      <c r="BD480" s="397"/>
      <c r="BE480" s="295"/>
      <c r="BF480" s="295"/>
      <c r="BG480" s="295"/>
      <c r="BH480" s="295"/>
      <c r="BI480" s="397"/>
      <c r="BJ480" s="1030"/>
      <c r="BK480" s="295"/>
      <c r="BL480" s="295"/>
      <c r="BM480" s="295"/>
      <c r="BN480" s="397"/>
      <c r="BO480" s="295"/>
      <c r="BP480" s="295"/>
      <c r="BQ480" s="295"/>
      <c r="BR480" s="295"/>
      <c r="BS480" s="397"/>
      <c r="BT480" s="397"/>
      <c r="BU480" s="397"/>
      <c r="BV480" s="397"/>
      <c r="BW480" s="122"/>
    </row>
    <row r="481" spans="1:75" hidden="1" outlineLevel="1" x14ac:dyDescent="0.5">
      <c r="A481" s="752" t="s">
        <v>2460</v>
      </c>
      <c r="B481" s="513"/>
      <c r="C481" s="401"/>
      <c r="D481" s="401"/>
      <c r="E481" s="401"/>
      <c r="F481" s="401"/>
      <c r="G481" s="118"/>
      <c r="H481" s="118"/>
      <c r="I481" s="118"/>
      <c r="J481" s="118"/>
      <c r="K481" s="401"/>
      <c r="L481" s="118"/>
      <c r="M481" s="118"/>
      <c r="N481" s="118"/>
      <c r="O481" s="118"/>
      <c r="P481" s="401"/>
      <c r="Q481" s="118"/>
      <c r="R481" s="118"/>
      <c r="S481" s="118"/>
      <c r="T481" s="118"/>
      <c r="U481" s="401"/>
      <c r="V481" s="118"/>
      <c r="W481" s="118"/>
      <c r="X481" s="118"/>
      <c r="Y481" s="118"/>
      <c r="Z481" s="401"/>
      <c r="AA481" s="118"/>
      <c r="AB481" s="118"/>
      <c r="AC481" s="118"/>
      <c r="AD481" s="118"/>
      <c r="AE481" s="401"/>
      <c r="AF481" s="118"/>
      <c r="AG481" s="118"/>
      <c r="AH481" s="118"/>
      <c r="AI481" s="118"/>
      <c r="AJ481" s="401"/>
      <c r="AK481" s="118"/>
      <c r="AL481" s="118"/>
      <c r="AM481" s="118"/>
      <c r="AN481" s="118"/>
      <c r="AO481" s="401"/>
      <c r="AP481" s="118"/>
      <c r="AQ481" s="118"/>
      <c r="AR481" s="118"/>
      <c r="AS481" s="118"/>
      <c r="AT481" s="401">
        <f t="shared" ref="AT481:BV481" ca="1" si="365">AT370+AT383+AT400+AT417+AT434+AT451+AT468</f>
        <v>9.0919994188956004</v>
      </c>
      <c r="AU481" s="118">
        <f t="shared" ca="1" si="365"/>
        <v>11.9873101170298</v>
      </c>
      <c r="AV481" s="118">
        <f t="shared" ca="1" si="365"/>
        <v>11.854224797479819</v>
      </c>
      <c r="AW481" s="118">
        <f t="shared" ca="1" si="365"/>
        <v>11.850287637811078</v>
      </c>
      <c r="AX481" s="118">
        <f t="shared" ca="1" si="365"/>
        <v>11.856676978178374</v>
      </c>
      <c r="AY481" s="401">
        <f t="shared" ca="1" si="365"/>
        <v>11.856676978178374</v>
      </c>
      <c r="AZ481" s="118">
        <f t="shared" ca="1" si="365"/>
        <v>5.4652437885232015</v>
      </c>
      <c r="BA481" s="118">
        <f t="shared" ca="1" si="365"/>
        <v>5.4790368919714769</v>
      </c>
      <c r="BB481" s="118">
        <f t="shared" ca="1" si="365"/>
        <v>13.103262377731218</v>
      </c>
      <c r="BC481" s="118">
        <f t="shared" ca="1" si="365"/>
        <v>13.103262377731218</v>
      </c>
      <c r="BD481" s="401">
        <f t="shared" ca="1" si="365"/>
        <v>13.103262377731218</v>
      </c>
      <c r="BE481" s="118">
        <f t="shared" ca="1" si="365"/>
        <v>13.103262377731218</v>
      </c>
      <c r="BF481" s="118">
        <f t="shared" ca="1" si="365"/>
        <v>27.46949924534162</v>
      </c>
      <c r="BG481" s="118">
        <f t="shared" ca="1" si="365"/>
        <v>27.46949924534162</v>
      </c>
      <c r="BH481" s="118">
        <f t="shared" ca="1" si="365"/>
        <v>33.860932434996791</v>
      </c>
      <c r="BI481" s="401">
        <f t="shared" ca="1" si="365"/>
        <v>33.860932434996791</v>
      </c>
      <c r="BJ481" s="971">
        <f ca="1">BJ370+BJ383+BJ400+BJ417+BJ434+BJ451+BJ468</f>
        <v>33.860932434996791</v>
      </c>
      <c r="BK481" s="118">
        <f t="shared" si="365"/>
        <v>15.065502183406114</v>
      </c>
      <c r="BL481" s="118">
        <f t="shared" si="365"/>
        <v>15.065502183406114</v>
      </c>
      <c r="BM481" s="118">
        <f t="shared" si="365"/>
        <v>15.065502183406114</v>
      </c>
      <c r="BN481" s="401">
        <f t="shared" si="365"/>
        <v>15.065502183406114</v>
      </c>
      <c r="BO481" s="118">
        <f t="shared" si="365"/>
        <v>25.940206675131883</v>
      </c>
      <c r="BP481" s="118">
        <f t="shared" si="365"/>
        <v>25.940206675131883</v>
      </c>
      <c r="BQ481" s="118">
        <f t="shared" si="365"/>
        <v>25.940206675131883</v>
      </c>
      <c r="BR481" s="118">
        <f t="shared" si="365"/>
        <v>25.940206675131883</v>
      </c>
      <c r="BS481" s="401">
        <f t="shared" si="365"/>
        <v>25.940206675131883</v>
      </c>
      <c r="BT481" s="401">
        <f t="shared" si="365"/>
        <v>25.940206675131883</v>
      </c>
      <c r="BU481" s="401">
        <f t="shared" si="365"/>
        <v>15.065502183406114</v>
      </c>
      <c r="BV481" s="401">
        <f t="shared" si="365"/>
        <v>0</v>
      </c>
      <c r="BW481" s="122"/>
    </row>
    <row r="482" spans="1:75" hidden="1" outlineLevel="1" x14ac:dyDescent="0.5">
      <c r="A482" s="752" t="s">
        <v>2461</v>
      </c>
      <c r="B482" s="513"/>
      <c r="C482" s="401"/>
      <c r="D482" s="401"/>
      <c r="E482" s="401"/>
      <c r="F482" s="401"/>
      <c r="G482" s="118"/>
      <c r="H482" s="118"/>
      <c r="I482" s="118"/>
      <c r="J482" s="118"/>
      <c r="K482" s="401"/>
      <c r="L482" s="118"/>
      <c r="M482" s="118"/>
      <c r="N482" s="118"/>
      <c r="O482" s="118"/>
      <c r="P482" s="401"/>
      <c r="Q482" s="118"/>
      <c r="R482" s="118"/>
      <c r="S482" s="118"/>
      <c r="T482" s="118"/>
      <c r="U482" s="401"/>
      <c r="V482" s="118"/>
      <c r="W482" s="118"/>
      <c r="X482" s="118"/>
      <c r="Y482" s="118"/>
      <c r="Z482" s="401"/>
      <c r="AA482" s="118"/>
      <c r="AB482" s="118"/>
      <c r="AC482" s="118"/>
      <c r="AD482" s="118"/>
      <c r="AE482" s="401"/>
      <c r="AF482" s="118"/>
      <c r="AG482" s="118"/>
      <c r="AH482" s="118"/>
      <c r="AI482" s="118"/>
      <c r="AJ482" s="401"/>
      <c r="AK482" s="118"/>
      <c r="AL482" s="118"/>
      <c r="AM482" s="118"/>
      <c r="AN482" s="118"/>
      <c r="AO482" s="401"/>
      <c r="AP482" s="118"/>
      <c r="AQ482" s="118"/>
      <c r="AR482" s="118"/>
      <c r="AS482" s="118"/>
      <c r="AT482" s="401">
        <f t="shared" ref="AT482:BV482" ca="1" si="366">AT374+AT387+AT404+AT421+AT455+AT438</f>
        <v>-5.1131856257921511</v>
      </c>
      <c r="AU482" s="118">
        <f t="shared" ca="1" si="366"/>
        <v>-11.482259316803773</v>
      </c>
      <c r="AV482" s="118">
        <f t="shared" ca="1" si="366"/>
        <v>-11.359493762997062</v>
      </c>
      <c r="AW482" s="118">
        <f t="shared" ca="1" si="366"/>
        <v>-11.351139725478514</v>
      </c>
      <c r="AX482" s="118">
        <f t="shared" ca="1" si="366"/>
        <v>-11.360004207667924</v>
      </c>
      <c r="AY482" s="401">
        <f t="shared" ca="1" si="366"/>
        <v>-11.360004207667924</v>
      </c>
      <c r="AZ482" s="118">
        <f t="shared" ca="1" si="366"/>
        <v>-4.9686920643852703</v>
      </c>
      <c r="BA482" s="118">
        <f t="shared" ca="1" si="366"/>
        <v>-4.9686920643852703</v>
      </c>
      <c r="BB482" s="118">
        <f t="shared" ca="1" si="366"/>
        <v>-10.366593119374595</v>
      </c>
      <c r="BC482" s="118">
        <f t="shared" ca="1" si="366"/>
        <v>-10.098955558476632</v>
      </c>
      <c r="BD482" s="401">
        <f t="shared" ca="1" si="366"/>
        <v>-10.098955558476632</v>
      </c>
      <c r="BE482" s="118">
        <f t="shared" ca="1" si="366"/>
        <v>-10.488773637420147</v>
      </c>
      <c r="BF482" s="118">
        <f t="shared" ca="1" si="366"/>
        <v>-16.401064297089871</v>
      </c>
      <c r="BG482" s="118">
        <f t="shared" ca="1" si="366"/>
        <v>-15.856263214694868</v>
      </c>
      <c r="BH482" s="118">
        <f t="shared" ca="1" si="366"/>
        <v>-17.780613973554807</v>
      </c>
      <c r="BI482" s="401">
        <f t="shared" ca="1" si="366"/>
        <v>-17.780613973554807</v>
      </c>
      <c r="BJ482" s="971">
        <f ca="1">BJ374+BJ387+BJ404+BJ421+BJ455+BJ438</f>
        <v>-14.803341274334517</v>
      </c>
      <c r="BK482" s="118">
        <f t="shared" si="366"/>
        <v>-15.065502183406114</v>
      </c>
      <c r="BL482" s="118">
        <f t="shared" si="366"/>
        <v>-15.065502183406114</v>
      </c>
      <c r="BM482" s="118">
        <f t="shared" si="366"/>
        <v>-15.065502183406114</v>
      </c>
      <c r="BN482" s="401">
        <f t="shared" si="366"/>
        <v>-15.065502183406114</v>
      </c>
      <c r="BO482" s="118">
        <f t="shared" si="366"/>
        <v>-25.940206675131883</v>
      </c>
      <c r="BP482" s="118">
        <f t="shared" si="366"/>
        <v>-25.940206675131883</v>
      </c>
      <c r="BQ482" s="118">
        <f t="shared" si="366"/>
        <v>-25.940206675131883</v>
      </c>
      <c r="BR482" s="118">
        <f t="shared" si="366"/>
        <v>-25.940206675131883</v>
      </c>
      <c r="BS482" s="401">
        <f t="shared" si="366"/>
        <v>-25.940206675131883</v>
      </c>
      <c r="BT482" s="401">
        <f t="shared" si="366"/>
        <v>-25.940206675131883</v>
      </c>
      <c r="BU482" s="401">
        <f t="shared" si="366"/>
        <v>-13.974683544303797</v>
      </c>
      <c r="BV482" s="401">
        <f t="shared" si="366"/>
        <v>0</v>
      </c>
      <c r="BW482" s="122"/>
    </row>
    <row r="483" spans="1:75" hidden="1" outlineLevel="1" x14ac:dyDescent="0.5">
      <c r="A483" s="752"/>
      <c r="B483" s="513"/>
      <c r="C483" s="401"/>
      <c r="D483" s="401"/>
      <c r="E483" s="401"/>
      <c r="F483" s="401"/>
      <c r="G483" s="118"/>
      <c r="H483" s="118"/>
      <c r="I483" s="118"/>
      <c r="J483" s="118"/>
      <c r="K483" s="401"/>
      <c r="L483" s="118"/>
      <c r="M483" s="118"/>
      <c r="N483" s="118"/>
      <c r="O483" s="118"/>
      <c r="P483" s="401"/>
      <c r="Q483" s="118"/>
      <c r="R483" s="118"/>
      <c r="S483" s="118"/>
      <c r="T483" s="118"/>
      <c r="U483" s="401"/>
      <c r="V483" s="118"/>
      <c r="W483" s="118"/>
      <c r="X483" s="118"/>
      <c r="Y483" s="118"/>
      <c r="Z483" s="401"/>
      <c r="AA483" s="118"/>
      <c r="AB483" s="118"/>
      <c r="AC483" s="118"/>
      <c r="AD483" s="118"/>
      <c r="AE483" s="401"/>
      <c r="AF483" s="118"/>
      <c r="AG483" s="118"/>
      <c r="AH483" s="118"/>
      <c r="AI483" s="118"/>
      <c r="AJ483" s="401"/>
      <c r="AK483" s="118"/>
      <c r="AL483" s="118"/>
      <c r="AM483" s="118"/>
      <c r="AN483" s="118"/>
      <c r="AO483" s="401"/>
      <c r="AP483" s="118"/>
      <c r="AQ483" s="118"/>
      <c r="AR483" s="118"/>
      <c r="AS483" s="118"/>
      <c r="AT483" s="401"/>
      <c r="AU483" s="118"/>
      <c r="AV483" s="118"/>
      <c r="AW483" s="118"/>
      <c r="AX483" s="118"/>
      <c r="AY483" s="401"/>
      <c r="AZ483" s="118"/>
      <c r="BA483" s="118"/>
      <c r="BB483" s="118"/>
      <c r="BC483" s="118"/>
      <c r="BD483" s="401"/>
      <c r="BE483" s="118"/>
      <c r="BF483" s="118"/>
      <c r="BG483" s="118"/>
      <c r="BH483" s="118"/>
      <c r="BI483" s="401"/>
      <c r="BJ483" s="971"/>
      <c r="BK483" s="118"/>
      <c r="BL483" s="118"/>
      <c r="BM483" s="118"/>
      <c r="BN483" s="401"/>
      <c r="BO483" s="118"/>
      <c r="BP483" s="118"/>
      <c r="BQ483" s="118"/>
      <c r="BR483" s="118"/>
      <c r="BS483" s="401"/>
      <c r="BT483" s="401"/>
      <c r="BU483" s="401"/>
      <c r="BV483" s="401"/>
      <c r="BW483" s="122"/>
    </row>
    <row r="484" spans="1:75" hidden="1" outlineLevel="1" x14ac:dyDescent="0.5">
      <c r="A484" s="206" t="s">
        <v>2462</v>
      </c>
      <c r="B484" s="522"/>
      <c r="C484" s="397"/>
      <c r="D484" s="397"/>
      <c r="E484" s="397"/>
      <c r="F484" s="397"/>
      <c r="G484" s="295"/>
      <c r="H484" s="295"/>
      <c r="I484" s="295"/>
      <c r="J484" s="295"/>
      <c r="K484" s="397"/>
      <c r="L484" s="295"/>
      <c r="M484" s="295"/>
      <c r="N484" s="295"/>
      <c r="O484" s="295"/>
      <c r="P484" s="397"/>
      <c r="Q484" s="295"/>
      <c r="R484" s="295"/>
      <c r="S484" s="295"/>
      <c r="T484" s="295"/>
      <c r="U484" s="397"/>
      <c r="V484" s="295"/>
      <c r="W484" s="295"/>
      <c r="X484" s="295"/>
      <c r="Y484" s="295"/>
      <c r="Z484" s="397"/>
      <c r="AA484" s="295"/>
      <c r="AB484" s="295"/>
      <c r="AC484" s="295"/>
      <c r="AD484" s="295"/>
      <c r="AE484" s="397"/>
      <c r="AF484" s="295"/>
      <c r="AG484" s="295"/>
      <c r="AH484" s="295"/>
      <c r="AI484" s="295"/>
      <c r="AJ484" s="397"/>
      <c r="AK484" s="295"/>
      <c r="AL484" s="295"/>
      <c r="AM484" s="295"/>
      <c r="AN484" s="295"/>
      <c r="AO484" s="397">
        <f t="shared" ref="AO484:BV484" si="367">AO285+AO360+AO481+AO482</f>
        <v>101.713162</v>
      </c>
      <c r="AP484" s="295">
        <f t="shared" si="367"/>
        <v>101.51695699999999</v>
      </c>
      <c r="AQ484" s="295">
        <f t="shared" si="367"/>
        <v>102.245063</v>
      </c>
      <c r="AR484" s="295">
        <f t="shared" si="367"/>
        <v>101.821029</v>
      </c>
      <c r="AS484" s="295">
        <f t="shared" si="367"/>
        <v>105.52002299999999</v>
      </c>
      <c r="AT484" s="397">
        <f t="shared" ca="1" si="367"/>
        <v>109.49883679310345</v>
      </c>
      <c r="AU484" s="295">
        <f t="shared" ca="1" si="367"/>
        <v>109.67632980022603</v>
      </c>
      <c r="AV484" s="295">
        <f t="shared" ca="1" si="367"/>
        <v>109.12947103448275</v>
      </c>
      <c r="AW484" s="295">
        <f t="shared" ca="1" si="367"/>
        <v>109.22151891233256</v>
      </c>
      <c r="AX484" s="295">
        <f t="shared" ca="1" si="367"/>
        <v>110.56907877051044</v>
      </c>
      <c r="AY484" s="397">
        <f t="shared" ca="1" si="367"/>
        <v>110.56907877051044</v>
      </c>
      <c r="AZ484" s="295">
        <f t="shared" ca="1" si="367"/>
        <v>110.58479872413793</v>
      </c>
      <c r="BA484" s="295">
        <f t="shared" ca="1" si="367"/>
        <v>114.9329088275862</v>
      </c>
      <c r="BB484" s="295">
        <f t="shared" ca="1" si="367"/>
        <v>117.61585425835661</v>
      </c>
      <c r="BC484" s="295">
        <f t="shared" ca="1" si="367"/>
        <v>121.76976881925458</v>
      </c>
      <c r="BD484" s="397">
        <f t="shared" ca="1" si="367"/>
        <v>121.76976881925458</v>
      </c>
      <c r="BE484" s="295">
        <f t="shared" ca="1" si="367"/>
        <v>120.37266474031107</v>
      </c>
      <c r="BF484" s="295">
        <f t="shared" ca="1" si="367"/>
        <v>131.57691594825175</v>
      </c>
      <c r="BG484" s="295">
        <f t="shared" ca="1" si="367"/>
        <v>133.30531003064672</v>
      </c>
      <c r="BH484" s="295">
        <f t="shared" ca="1" si="367"/>
        <v>139.41606146144198</v>
      </c>
      <c r="BI484" s="397">
        <f t="shared" ca="1" si="367"/>
        <v>139.41606146144198</v>
      </c>
      <c r="BJ484" s="1030">
        <f t="shared" ca="1" si="367"/>
        <v>142.99473816066228</v>
      </c>
      <c r="BK484" s="295">
        <f t="shared" ca="1" si="367"/>
        <v>131.23312162739998</v>
      </c>
      <c r="BL484" s="295">
        <f t="shared" ca="1" si="367"/>
        <v>132.41421972204657</v>
      </c>
      <c r="BM484" s="295">
        <f t="shared" ca="1" si="367"/>
        <v>133.60594769954497</v>
      </c>
      <c r="BN484" s="397">
        <f t="shared" ca="1" si="367"/>
        <v>133.60594769954497</v>
      </c>
      <c r="BO484" s="295">
        <f t="shared" ca="1" si="367"/>
        <v>134.80840122884086</v>
      </c>
      <c r="BP484" s="295">
        <f t="shared" ca="1" si="367"/>
        <v>136.02167683990041</v>
      </c>
      <c r="BQ484" s="295">
        <f t="shared" ca="1" si="367"/>
        <v>137.2458719314595</v>
      </c>
      <c r="BR484" s="295">
        <f t="shared" ca="1" si="367"/>
        <v>138.48108477884264</v>
      </c>
      <c r="BS484" s="397">
        <f t="shared" ca="1" si="367"/>
        <v>138.48108477884264</v>
      </c>
      <c r="BT484" s="397">
        <f t="shared" ca="1" si="367"/>
        <v>143.46640383088098</v>
      </c>
      <c r="BU484" s="397">
        <f t="shared" ca="1" si="367"/>
        <v>149.72201300789501</v>
      </c>
      <c r="BV484" s="397">
        <f t="shared" ca="1" si="367"/>
        <v>153.98191736606921</v>
      </c>
      <c r="BW484" s="122"/>
    </row>
    <row r="485" spans="1:75" hidden="1" outlineLevel="1" x14ac:dyDescent="0.5">
      <c r="A485" s="206"/>
      <c r="B485" s="522"/>
      <c r="C485" s="397"/>
      <c r="D485" s="397"/>
      <c r="E485" s="397"/>
      <c r="F485" s="397"/>
      <c r="G485" s="295"/>
      <c r="H485" s="295"/>
      <c r="I485" s="295"/>
      <c r="J485" s="295"/>
      <c r="K485" s="397"/>
      <c r="L485" s="295"/>
      <c r="M485" s="295"/>
      <c r="N485" s="295"/>
      <c r="O485" s="295"/>
      <c r="P485" s="397"/>
      <c r="Q485" s="295"/>
      <c r="R485" s="295"/>
      <c r="S485" s="295"/>
      <c r="T485" s="295"/>
      <c r="U485" s="397"/>
      <c r="V485" s="295"/>
      <c r="W485" s="295"/>
      <c r="X485" s="295"/>
      <c r="Y485" s="295"/>
      <c r="Z485" s="397"/>
      <c r="AA485" s="295"/>
      <c r="AB485" s="295"/>
      <c r="AC485" s="295"/>
      <c r="AD485" s="295"/>
      <c r="AE485" s="397"/>
      <c r="AF485" s="295"/>
      <c r="AG485" s="295"/>
      <c r="AH485" s="295"/>
      <c r="AI485" s="295"/>
      <c r="AJ485" s="397"/>
      <c r="AK485" s="295"/>
      <c r="AL485" s="295"/>
      <c r="AM485" s="295"/>
      <c r="AN485" s="295"/>
      <c r="AO485" s="397"/>
      <c r="AP485" s="295"/>
      <c r="AQ485" s="295"/>
      <c r="AR485" s="295"/>
      <c r="AS485" s="295"/>
      <c r="AT485" s="397"/>
      <c r="AU485" s="295"/>
      <c r="AV485" s="295"/>
      <c r="AW485" s="295"/>
      <c r="AX485" s="295"/>
      <c r="AY485" s="397"/>
      <c r="AZ485" s="295"/>
      <c r="BA485" s="295"/>
      <c r="BB485" s="295"/>
      <c r="BC485" s="295"/>
      <c r="BD485" s="397"/>
      <c r="BE485" s="295"/>
      <c r="BF485" s="295"/>
      <c r="BG485" s="295"/>
      <c r="BH485" s="295"/>
      <c r="BI485" s="397"/>
      <c r="BJ485" s="1030"/>
      <c r="BK485" s="295"/>
      <c r="BL485" s="295"/>
      <c r="BM485" s="295"/>
      <c r="BN485" s="397"/>
      <c r="BO485" s="295"/>
      <c r="BP485" s="295"/>
      <c r="BQ485" s="295"/>
      <c r="BR485" s="295"/>
      <c r="BS485" s="397"/>
      <c r="BT485" s="397"/>
      <c r="BU485" s="397"/>
      <c r="BV485" s="397"/>
      <c r="BW485" s="122"/>
    </row>
    <row r="486" spans="1:75" hidden="1" outlineLevel="1" x14ac:dyDescent="0.5">
      <c r="A486" s="206" t="s">
        <v>2463</v>
      </c>
      <c r="B486" s="522"/>
      <c r="C486" s="397"/>
      <c r="D486" s="397"/>
      <c r="E486" s="397"/>
      <c r="F486" s="397"/>
      <c r="G486" s="295"/>
      <c r="H486" s="295"/>
      <c r="I486" s="295"/>
      <c r="J486" s="295"/>
      <c r="K486" s="397"/>
      <c r="L486" s="295"/>
      <c r="M486" s="295"/>
      <c r="N486" s="295"/>
      <c r="O486" s="295"/>
      <c r="P486" s="397"/>
      <c r="Q486" s="295"/>
      <c r="R486" s="295"/>
      <c r="S486" s="295"/>
      <c r="T486" s="295"/>
      <c r="U486" s="397"/>
      <c r="V486" s="295"/>
      <c r="W486" s="295"/>
      <c r="X486" s="295"/>
      <c r="Y486" s="295"/>
      <c r="Z486" s="397"/>
      <c r="AA486" s="295"/>
      <c r="AB486" s="295"/>
      <c r="AC486" s="295"/>
      <c r="AD486" s="295"/>
      <c r="AE486" s="397"/>
      <c r="AF486" s="295"/>
      <c r="AG486" s="295"/>
      <c r="AH486" s="295"/>
      <c r="AI486" s="295"/>
      <c r="AJ486" s="397"/>
      <c r="AK486" s="295"/>
      <c r="AL486" s="295"/>
      <c r="AM486" s="295"/>
      <c r="AN486" s="295"/>
      <c r="AO486" s="397">
        <f t="shared" ref="AO486:BV486" ca="1" si="368">AO280*AO484</f>
        <v>7128.0583929599998</v>
      </c>
      <c r="AP486" s="295">
        <f t="shared" ca="1" si="368"/>
        <v>6116.3966592499992</v>
      </c>
      <c r="AQ486" s="295">
        <f t="shared" ca="1" si="368"/>
        <v>8907.58988856</v>
      </c>
      <c r="AR486" s="295">
        <f t="shared" ca="1" si="368"/>
        <v>9287.0960550899981</v>
      </c>
      <c r="AS486" s="295">
        <f t="shared" ca="1" si="368"/>
        <v>13603.641365159998</v>
      </c>
      <c r="AT486" s="397">
        <f t="shared" ca="1" si="368"/>
        <v>14116.590039366896</v>
      </c>
      <c r="AU486" s="295">
        <f t="shared" ca="1" si="368"/>
        <v>18727.233313388595</v>
      </c>
      <c r="AV486" s="295">
        <f t="shared" ca="1" si="368"/>
        <v>16554.940755931031</v>
      </c>
      <c r="AW486" s="295">
        <f t="shared" ca="1" si="368"/>
        <v>20285.712707587525</v>
      </c>
      <c r="AX486" s="295">
        <f t="shared" ca="1" si="368"/>
        <v>17117.199084462722</v>
      </c>
      <c r="AY486" s="397">
        <f t="shared" ca="1" si="368"/>
        <v>17117.199084462722</v>
      </c>
      <c r="AZ486" s="295">
        <f t="shared" ca="1" si="368"/>
        <v>14429.104537525516</v>
      </c>
      <c r="BA486" s="295">
        <f t="shared" ca="1" si="368"/>
        <v>16598.610692879996</v>
      </c>
      <c r="BB486" s="295">
        <f t="shared" ca="1" si="368"/>
        <v>14437.346110213273</v>
      </c>
      <c r="BC486" s="295">
        <f t="shared" ca="1" si="368"/>
        <v>15424.576616334978</v>
      </c>
      <c r="BD486" s="397">
        <f t="shared" ca="1" si="368"/>
        <v>15424.576616334978</v>
      </c>
      <c r="BE486" s="295">
        <f t="shared" ca="1" si="368"/>
        <v>14569.907340167252</v>
      </c>
      <c r="BF486" s="295">
        <f t="shared" ca="1" si="368"/>
        <v>18507.608997281091</v>
      </c>
      <c r="BG486" s="295">
        <f t="shared" ca="1" si="368"/>
        <v>19438.580308668905</v>
      </c>
      <c r="BH486" s="295">
        <f t="shared" ca="1" si="368"/>
        <v>29075.219617783729</v>
      </c>
      <c r="BI486" s="397">
        <f t="shared" ca="1" si="368"/>
        <v>29075.219617783729</v>
      </c>
      <c r="BJ486" s="1030">
        <f t="shared" ca="1" si="368"/>
        <v>40347.39531941247</v>
      </c>
      <c r="BK486" s="295">
        <f t="shared" ca="1" si="368"/>
        <v>7742.7541760165986</v>
      </c>
      <c r="BL486" s="295">
        <f t="shared" ca="1" si="368"/>
        <v>7812.4389636007472</v>
      </c>
      <c r="BM486" s="295">
        <f t="shared" ca="1" si="368"/>
        <v>7882.7509142731533</v>
      </c>
      <c r="BN486" s="397">
        <f t="shared" ca="1" si="368"/>
        <v>7882.7509142731533</v>
      </c>
      <c r="BO486" s="295">
        <f t="shared" ca="1" si="368"/>
        <v>8762.5460798746553</v>
      </c>
      <c r="BP486" s="295">
        <f t="shared" ca="1" si="368"/>
        <v>8841.4089945935266</v>
      </c>
      <c r="BQ486" s="295">
        <f t="shared" ca="1" si="368"/>
        <v>8920.9816755448683</v>
      </c>
      <c r="BR486" s="295">
        <f t="shared" ca="1" si="368"/>
        <v>9001.2705106247722</v>
      </c>
      <c r="BS486" s="397">
        <f t="shared" ca="1" si="368"/>
        <v>9001.2705106247722</v>
      </c>
      <c r="BT486" s="397">
        <f t="shared" ca="1" si="368"/>
        <v>10329.581075823431</v>
      </c>
      <c r="BU486" s="397">
        <f t="shared" ca="1" si="368"/>
        <v>11828.039027623707</v>
      </c>
      <c r="BV486" s="397">
        <f t="shared" ca="1" si="368"/>
        <v>13396.426810848021</v>
      </c>
      <c r="BW486" s="122"/>
    </row>
    <row r="487" spans="1:75" hidden="1" outlineLevel="1" x14ac:dyDescent="0.5">
      <c r="A487" s="206"/>
      <c r="B487" s="522"/>
      <c r="C487" s="397"/>
      <c r="D487" s="397"/>
      <c r="E487" s="397"/>
      <c r="F487" s="397"/>
      <c r="G487" s="295"/>
      <c r="H487" s="295"/>
      <c r="I487" s="295"/>
      <c r="J487" s="295"/>
      <c r="K487" s="397"/>
      <c r="L487" s="295"/>
      <c r="M487" s="295"/>
      <c r="N487" s="295"/>
      <c r="O487" s="295"/>
      <c r="P487" s="397"/>
      <c r="Q487" s="295"/>
      <c r="R487" s="295"/>
      <c r="S487" s="295"/>
      <c r="T487" s="295"/>
      <c r="U487" s="397"/>
      <c r="V487" s="295"/>
      <c r="W487" s="295"/>
      <c r="X487" s="295"/>
      <c r="Y487" s="295"/>
      <c r="Z487" s="397"/>
      <c r="AA487" s="295"/>
      <c r="AB487" s="295"/>
      <c r="AC487" s="295"/>
      <c r="AD487" s="295"/>
      <c r="AE487" s="397"/>
      <c r="AF487" s="295"/>
      <c r="AG487" s="295"/>
      <c r="AH487" s="295"/>
      <c r="AI487" s="295"/>
      <c r="AJ487" s="397"/>
      <c r="AK487" s="295"/>
      <c r="AL487" s="295"/>
      <c r="AM487" s="295"/>
      <c r="AN487" s="295"/>
      <c r="AO487" s="397"/>
      <c r="AP487" s="295"/>
      <c r="AQ487" s="295"/>
      <c r="AR487" s="295"/>
      <c r="AS487" s="295"/>
      <c r="AT487" s="397"/>
      <c r="AU487" s="295"/>
      <c r="AV487" s="295"/>
      <c r="AW487" s="295"/>
      <c r="AX487" s="295"/>
      <c r="AY487" s="397"/>
      <c r="AZ487" s="295"/>
      <c r="BA487" s="295"/>
      <c r="BB487" s="295"/>
      <c r="BC487" s="295"/>
      <c r="BD487" s="397"/>
      <c r="BE487" s="295"/>
      <c r="BF487" s="295"/>
      <c r="BG487" s="295"/>
      <c r="BH487" s="295"/>
      <c r="BI487" s="397"/>
      <c r="BJ487" s="1030"/>
      <c r="BK487" s="295"/>
      <c r="BL487" s="295"/>
      <c r="BM487" s="295"/>
      <c r="BN487" s="397"/>
      <c r="BO487" s="295"/>
      <c r="BP487" s="295"/>
      <c r="BQ487" s="295"/>
      <c r="BR487" s="295"/>
      <c r="BS487" s="397"/>
      <c r="BT487" s="397"/>
      <c r="BU487" s="397"/>
      <c r="BV487" s="397"/>
      <c r="BW487" s="122"/>
    </row>
    <row r="488" spans="1:75" hidden="1" outlineLevel="2" x14ac:dyDescent="0.5">
      <c r="A488" s="513" t="str">
        <f>A728</f>
        <v>Cash</v>
      </c>
      <c r="B488" s="513"/>
      <c r="C488" s="401"/>
      <c r="D488" s="401"/>
      <c r="E488" s="401"/>
      <c r="F488" s="401"/>
      <c r="G488" s="118"/>
      <c r="H488" s="118"/>
      <c r="I488" s="118"/>
      <c r="J488" s="118"/>
      <c r="K488" s="401"/>
      <c r="L488" s="118"/>
      <c r="M488" s="118"/>
      <c r="N488" s="118"/>
      <c r="O488" s="118"/>
      <c r="P488" s="401"/>
      <c r="Q488" s="118"/>
      <c r="R488" s="118"/>
      <c r="S488" s="118"/>
      <c r="T488" s="118"/>
      <c r="U488" s="401"/>
      <c r="V488" s="118"/>
      <c r="W488" s="118"/>
      <c r="X488" s="118"/>
      <c r="Y488" s="118"/>
      <c r="Z488" s="401"/>
      <c r="AA488" s="118"/>
      <c r="AB488" s="118"/>
      <c r="AC488" s="118"/>
      <c r="AD488" s="118"/>
      <c r="AE488" s="401"/>
      <c r="AF488" s="118"/>
      <c r="AG488" s="118"/>
      <c r="AH488" s="118"/>
      <c r="AI488" s="118"/>
      <c r="AJ488" s="401"/>
      <c r="AK488" s="118"/>
      <c r="AL488" s="118"/>
      <c r="AM488" s="118"/>
      <c r="AN488" s="118"/>
      <c r="AO488" s="401">
        <f t="shared" ref="AO488:BV488" si="369">-AO728</f>
        <v>-987.00500000000011</v>
      </c>
      <c r="AP488" s="118">
        <f t="shared" si="369"/>
        <v>-890.97800000000007</v>
      </c>
      <c r="AQ488" s="118">
        <f t="shared" si="369"/>
        <v>-2374.2170000000001</v>
      </c>
      <c r="AR488" s="118">
        <f t="shared" si="369"/>
        <v>-2556.924</v>
      </c>
      <c r="AS488" s="118">
        <f t="shared" si="369"/>
        <v>-2591.1379999999999</v>
      </c>
      <c r="AT488" s="401">
        <f t="shared" si="369"/>
        <v>-2591.1379999999999</v>
      </c>
      <c r="AU488" s="118">
        <f t="shared" si="369"/>
        <v>-2695.0079999999998</v>
      </c>
      <c r="AV488" s="118">
        <f t="shared" si="369"/>
        <v>-2601.8409999999999</v>
      </c>
      <c r="AW488" s="118">
        <f t="shared" si="369"/>
        <v>-2393.2129999999997</v>
      </c>
      <c r="AX488" s="118">
        <f t="shared" si="369"/>
        <v>-2399</v>
      </c>
      <c r="AY488" s="401">
        <f t="shared" si="369"/>
        <v>-2399</v>
      </c>
      <c r="AZ488" s="118">
        <f t="shared" si="369"/>
        <v>-1987</v>
      </c>
      <c r="BA488" s="118">
        <f t="shared" si="369"/>
        <v>-1738</v>
      </c>
      <c r="BB488" s="118">
        <f t="shared" si="369"/>
        <v>-1288</v>
      </c>
      <c r="BC488" s="118">
        <f t="shared" si="369"/>
        <v>-1278</v>
      </c>
      <c r="BD488" s="401">
        <f t="shared" si="369"/>
        <v>-1278</v>
      </c>
      <c r="BE488" s="118">
        <f t="shared" si="369"/>
        <v>-1048</v>
      </c>
      <c r="BF488" s="118">
        <f t="shared" si="369"/>
        <v>-1253</v>
      </c>
      <c r="BG488" s="118">
        <f t="shared" si="369"/>
        <v>-1281</v>
      </c>
      <c r="BH488" s="118">
        <f t="shared" si="369"/>
        <v>-1351</v>
      </c>
      <c r="BI488" s="401">
        <f t="shared" si="369"/>
        <v>-1351</v>
      </c>
      <c r="BJ488" s="971">
        <f>-BJ728</f>
        <v>-1157</v>
      </c>
      <c r="BK488" s="118">
        <f t="shared" ca="1" si="369"/>
        <v>-1072.6431058160615</v>
      </c>
      <c r="BL488" s="118">
        <f t="shared" ca="1" si="369"/>
        <v>-1132.6910226385987</v>
      </c>
      <c r="BM488" s="118">
        <f t="shared" ca="1" si="369"/>
        <v>-1006.1807054606786</v>
      </c>
      <c r="BN488" s="401">
        <f t="shared" ca="1" si="369"/>
        <v>-1006.1807054606786</v>
      </c>
      <c r="BO488" s="118">
        <f t="shared" ca="1" si="369"/>
        <v>-920.62741830355901</v>
      </c>
      <c r="BP488" s="118">
        <f t="shared" ca="1" si="369"/>
        <v>-800.13522050400934</v>
      </c>
      <c r="BQ488" s="118">
        <f t="shared" ca="1" si="369"/>
        <v>-876.76014810958441</v>
      </c>
      <c r="BR488" s="118">
        <f t="shared" ca="1" si="369"/>
        <v>-128.79259223422412</v>
      </c>
      <c r="BS488" s="401">
        <f t="shared" ca="1" si="369"/>
        <v>-128.79259223422412</v>
      </c>
      <c r="BT488" s="401">
        <f t="shared" ca="1" si="369"/>
        <v>-328.26267760959797</v>
      </c>
      <c r="BU488" s="401">
        <f t="shared" ca="1" si="369"/>
        <v>-1031.6814422810576</v>
      </c>
      <c r="BV488" s="401">
        <f t="shared" ca="1" si="369"/>
        <v>-2020.8356342962588</v>
      </c>
      <c r="BW488" s="122"/>
    </row>
    <row r="489" spans="1:75" hidden="1" outlineLevel="2" x14ac:dyDescent="0.5">
      <c r="A489" s="870" t="s">
        <v>2464</v>
      </c>
      <c r="B489" s="870"/>
      <c r="C489" s="871"/>
      <c r="D489" s="871"/>
      <c r="E489" s="871"/>
      <c r="F489" s="871"/>
      <c r="G489" s="872"/>
      <c r="H489" s="872"/>
      <c r="I489" s="872"/>
      <c r="J489" s="872"/>
      <c r="K489" s="871"/>
      <c r="L489" s="872"/>
      <c r="M489" s="872"/>
      <c r="N489" s="872"/>
      <c r="O489" s="872"/>
      <c r="P489" s="871"/>
      <c r="Q489" s="872"/>
      <c r="R489" s="872"/>
      <c r="S489" s="872"/>
      <c r="T489" s="872"/>
      <c r="U489" s="871"/>
      <c r="V489" s="872"/>
      <c r="W489" s="872"/>
      <c r="X489" s="872"/>
      <c r="Y489" s="872"/>
      <c r="Z489" s="871"/>
      <c r="AA489" s="872"/>
      <c r="AB489" s="872"/>
      <c r="AC489" s="872"/>
      <c r="AD489" s="872"/>
      <c r="AE489" s="871"/>
      <c r="AF489" s="872"/>
      <c r="AG489" s="872"/>
      <c r="AH489" s="872"/>
      <c r="AI489" s="872"/>
      <c r="AJ489" s="871"/>
      <c r="AK489" s="872"/>
      <c r="AL489" s="872"/>
      <c r="AM489" s="872"/>
      <c r="AN489" s="872"/>
      <c r="AO489" s="871">
        <f t="shared" ref="AO489:BV489" ca="1" si="370">AO375+AO388+AO405+AO422+AO439+AO456</f>
        <v>0</v>
      </c>
      <c r="AP489" s="872">
        <f t="shared" si="370"/>
        <v>0</v>
      </c>
      <c r="AQ489" s="872">
        <f t="shared" si="370"/>
        <v>0</v>
      </c>
      <c r="AR489" s="872">
        <f t="shared" si="370"/>
        <v>0</v>
      </c>
      <c r="AS489" s="872">
        <f t="shared" si="370"/>
        <v>0</v>
      </c>
      <c r="AT489" s="871">
        <f t="shared" ca="1" si="370"/>
        <v>593.03600000000006</v>
      </c>
      <c r="AU489" s="872">
        <f t="shared" ca="1" si="370"/>
        <v>1541.3429999999998</v>
      </c>
      <c r="AV489" s="872">
        <f t="shared" ca="1" si="370"/>
        <v>1526.8580000000002</v>
      </c>
      <c r="AW489" s="872">
        <f t="shared" ca="1" si="370"/>
        <v>1526.4479999999999</v>
      </c>
      <c r="AX489" s="872">
        <f t="shared" ca="1" si="370"/>
        <v>1527</v>
      </c>
      <c r="AY489" s="871">
        <f t="shared" ca="1" si="370"/>
        <v>1527</v>
      </c>
      <c r="AZ489" s="872">
        <f t="shared" ca="1" si="370"/>
        <v>578</v>
      </c>
      <c r="BA489" s="872">
        <f t="shared" ca="1" si="370"/>
        <v>578</v>
      </c>
      <c r="BB489" s="872">
        <f t="shared" ca="1" si="370"/>
        <v>890</v>
      </c>
      <c r="BC489" s="872">
        <f t="shared" ca="1" si="370"/>
        <v>890</v>
      </c>
      <c r="BD489" s="871">
        <f t="shared" ca="1" si="370"/>
        <v>890</v>
      </c>
      <c r="BE489" s="872">
        <f t="shared" ca="1" si="370"/>
        <v>890</v>
      </c>
      <c r="BF489" s="872">
        <f t="shared" ca="1" si="370"/>
        <v>1497</v>
      </c>
      <c r="BG489" s="872">
        <f t="shared" ca="1" si="370"/>
        <v>1497</v>
      </c>
      <c r="BH489" s="872">
        <f t="shared" ca="1" si="370"/>
        <v>2446</v>
      </c>
      <c r="BI489" s="871">
        <f t="shared" ca="1" si="370"/>
        <v>2446</v>
      </c>
      <c r="BJ489" s="1504">
        <f ca="1">BJ375+BJ388+BJ405+BJ422+BJ439+BJ456</f>
        <v>2446</v>
      </c>
      <c r="BK489" s="872">
        <f t="shared" si="370"/>
        <v>690</v>
      </c>
      <c r="BL489" s="872">
        <f t="shared" si="370"/>
        <v>690</v>
      </c>
      <c r="BM489" s="872">
        <f t="shared" si="370"/>
        <v>690</v>
      </c>
      <c r="BN489" s="871">
        <f t="shared" si="370"/>
        <v>690</v>
      </c>
      <c r="BO489" s="872">
        <f t="shared" si="370"/>
        <v>1380</v>
      </c>
      <c r="BP489" s="872">
        <f t="shared" si="370"/>
        <v>1380</v>
      </c>
      <c r="BQ489" s="872">
        <f t="shared" si="370"/>
        <v>1380</v>
      </c>
      <c r="BR489" s="872">
        <f t="shared" si="370"/>
        <v>1380</v>
      </c>
      <c r="BS489" s="871">
        <f t="shared" si="370"/>
        <v>1380</v>
      </c>
      <c r="BT489" s="871">
        <f t="shared" si="370"/>
        <v>1380</v>
      </c>
      <c r="BU489" s="871">
        <f t="shared" si="370"/>
        <v>690</v>
      </c>
      <c r="BV489" s="871">
        <f t="shared" si="370"/>
        <v>0</v>
      </c>
      <c r="BW489" s="122"/>
    </row>
    <row r="490" spans="1:75" hidden="1" outlineLevel="2" x14ac:dyDescent="0.5">
      <c r="A490" s="1516" t="s">
        <v>2465</v>
      </c>
      <c r="B490" s="1499"/>
      <c r="C490" s="1500"/>
      <c r="D490" s="1500"/>
      <c r="E490" s="1500"/>
      <c r="F490" s="1500"/>
      <c r="G490" s="1056"/>
      <c r="H490" s="1056"/>
      <c r="I490" s="1056"/>
      <c r="J490" s="1056"/>
      <c r="K490" s="1500"/>
      <c r="L490" s="1056"/>
      <c r="M490" s="1056"/>
      <c r="N490" s="1056"/>
      <c r="O490" s="1056"/>
      <c r="P490" s="1500"/>
      <c r="Q490" s="1056"/>
      <c r="R490" s="1056"/>
      <c r="S490" s="1056"/>
      <c r="T490" s="1056"/>
      <c r="U490" s="1500"/>
      <c r="V490" s="1056"/>
      <c r="W490" s="1056"/>
      <c r="X490" s="1056"/>
      <c r="Y490" s="1056"/>
      <c r="Z490" s="1500"/>
      <c r="AA490" s="1056"/>
      <c r="AB490" s="1056"/>
      <c r="AC490" s="1056"/>
      <c r="AD490" s="1056"/>
      <c r="AE490" s="1500"/>
      <c r="AF490" s="1056"/>
      <c r="AG490" s="1056"/>
      <c r="AH490" s="1056"/>
      <c r="AI490" s="1056"/>
      <c r="AJ490" s="1500"/>
      <c r="AK490" s="1056"/>
      <c r="AL490" s="1056"/>
      <c r="AM490" s="1056"/>
      <c r="AN490" s="1056"/>
      <c r="AO490" s="1500">
        <f t="shared" ref="AO490:BB490" ca="1" si="371">SUM(AO488:AO489)</f>
        <v>-987.00500000000011</v>
      </c>
      <c r="AP490" s="1056">
        <f t="shared" si="371"/>
        <v>-890.97800000000007</v>
      </c>
      <c r="AQ490" s="1056">
        <f t="shared" si="371"/>
        <v>-2374.2170000000001</v>
      </c>
      <c r="AR490" s="1056">
        <f t="shared" si="371"/>
        <v>-2556.924</v>
      </c>
      <c r="AS490" s="1056">
        <f t="shared" si="371"/>
        <v>-2591.1379999999999</v>
      </c>
      <c r="AT490" s="1500">
        <f t="shared" ca="1" si="371"/>
        <v>-1998.1019999999999</v>
      </c>
      <c r="AU490" s="1056">
        <f t="shared" ca="1" si="371"/>
        <v>-1153.665</v>
      </c>
      <c r="AV490" s="1056">
        <f t="shared" ca="1" si="371"/>
        <v>-1074.9829999999997</v>
      </c>
      <c r="AW490" s="1056">
        <f t="shared" ca="1" si="371"/>
        <v>-866.76499999999987</v>
      </c>
      <c r="AX490" s="1056">
        <f t="shared" ca="1" si="371"/>
        <v>-872</v>
      </c>
      <c r="AY490" s="1500">
        <f t="shared" ca="1" si="371"/>
        <v>-872</v>
      </c>
      <c r="AZ490" s="1056">
        <f t="shared" ca="1" si="371"/>
        <v>-1409</v>
      </c>
      <c r="BA490" s="1056">
        <f t="shared" ca="1" si="371"/>
        <v>-1160</v>
      </c>
      <c r="BB490" s="1056">
        <f t="shared" ca="1" si="371"/>
        <v>-398</v>
      </c>
      <c r="BC490" s="1056">
        <f t="shared" ref="BC490:BV490" ca="1" si="372">SUM(BC488:BC489)</f>
        <v>-388</v>
      </c>
      <c r="BD490" s="1500">
        <f t="shared" ca="1" si="372"/>
        <v>-388</v>
      </c>
      <c r="BE490" s="1056">
        <f t="shared" ca="1" si="372"/>
        <v>-158</v>
      </c>
      <c r="BF490" s="1056">
        <f t="shared" ca="1" si="372"/>
        <v>244</v>
      </c>
      <c r="BG490" s="1056">
        <f t="shared" ca="1" si="372"/>
        <v>216</v>
      </c>
      <c r="BH490" s="1056">
        <f t="shared" ca="1" si="372"/>
        <v>1095</v>
      </c>
      <c r="BI490" s="1500">
        <f t="shared" ca="1" si="372"/>
        <v>1095</v>
      </c>
      <c r="BJ490" s="1058">
        <f ca="1">SUM(BJ488:BJ489)</f>
        <v>1289</v>
      </c>
      <c r="BK490" s="1056">
        <f t="shared" ca="1" si="372"/>
        <v>-382.64310581606151</v>
      </c>
      <c r="BL490" s="1056">
        <f t="shared" ca="1" si="372"/>
        <v>-442.69102263859872</v>
      </c>
      <c r="BM490" s="1056">
        <f t="shared" ca="1" si="372"/>
        <v>-316.18070546067861</v>
      </c>
      <c r="BN490" s="1500">
        <f t="shared" ca="1" si="372"/>
        <v>-316.18070546067861</v>
      </c>
      <c r="BO490" s="1056">
        <f t="shared" ca="1" si="372"/>
        <v>459.37258169644099</v>
      </c>
      <c r="BP490" s="1056">
        <f t="shared" ca="1" si="372"/>
        <v>579.86477949599066</v>
      </c>
      <c r="BQ490" s="1056">
        <f t="shared" ca="1" si="372"/>
        <v>503.23985189041559</v>
      </c>
      <c r="BR490" s="1056">
        <f t="shared" ca="1" si="372"/>
        <v>1251.2074077657758</v>
      </c>
      <c r="BS490" s="1500">
        <f t="shared" ca="1" si="372"/>
        <v>1251.2074077657758</v>
      </c>
      <c r="BT490" s="1500">
        <f t="shared" ca="1" si="372"/>
        <v>1051.7373223904019</v>
      </c>
      <c r="BU490" s="1500">
        <f t="shared" ca="1" si="372"/>
        <v>-341.68144228105757</v>
      </c>
      <c r="BV490" s="1500">
        <f t="shared" ca="1" si="372"/>
        <v>-2020.8356342962588</v>
      </c>
      <c r="BW490" s="122"/>
    </row>
    <row r="491" spans="1:75" hidden="1" outlineLevel="2" x14ac:dyDescent="0.5">
      <c r="A491" s="496" t="str">
        <f>A731</f>
        <v>Debt</v>
      </c>
      <c r="B491" s="513"/>
      <c r="C491" s="401"/>
      <c r="D491" s="401"/>
      <c r="E491" s="401"/>
      <c r="F491" s="401"/>
      <c r="G491" s="118"/>
      <c r="H491" s="118"/>
      <c r="I491" s="118"/>
      <c r="J491" s="118"/>
      <c r="K491" s="401"/>
      <c r="L491" s="118"/>
      <c r="M491" s="118"/>
      <c r="N491" s="118"/>
      <c r="O491" s="118"/>
      <c r="P491" s="401"/>
      <c r="Q491" s="118"/>
      <c r="R491" s="118"/>
      <c r="S491" s="118"/>
      <c r="T491" s="118"/>
      <c r="U491" s="401"/>
      <c r="V491" s="118"/>
      <c r="W491" s="118"/>
      <c r="X491" s="118"/>
      <c r="Y491" s="118"/>
      <c r="Z491" s="401"/>
      <c r="AA491" s="118"/>
      <c r="AB491" s="118"/>
      <c r="AC491" s="118"/>
      <c r="AD491" s="118"/>
      <c r="AE491" s="401"/>
      <c r="AF491" s="118"/>
      <c r="AG491" s="118"/>
      <c r="AH491" s="118"/>
      <c r="AI491" s="118"/>
      <c r="AJ491" s="401"/>
      <c r="AK491" s="118"/>
      <c r="AL491" s="118"/>
      <c r="AM491" s="118"/>
      <c r="AN491" s="118"/>
      <c r="AO491" s="401">
        <f t="shared" ref="AO491:BV492" si="373">AO731</f>
        <v>1456.1949999999999</v>
      </c>
      <c r="AP491" s="118">
        <f t="shared" si="373"/>
        <v>1577.069</v>
      </c>
      <c r="AQ491" s="118">
        <f t="shared" si="373"/>
        <v>1988.213</v>
      </c>
      <c r="AR491" s="118">
        <f t="shared" si="373"/>
        <v>2862.1350000000002</v>
      </c>
      <c r="AS491" s="118">
        <f t="shared" si="373"/>
        <v>2659.2429999999999</v>
      </c>
      <c r="AT491" s="401">
        <f t="shared" si="373"/>
        <v>2659.2429999999999</v>
      </c>
      <c r="AU491" s="118">
        <f t="shared" si="373"/>
        <v>3060.0909999999999</v>
      </c>
      <c r="AV491" s="118">
        <f t="shared" si="373"/>
        <v>3047.9830000000002</v>
      </c>
      <c r="AW491" s="118">
        <f t="shared" si="373"/>
        <v>3049.4749999999999</v>
      </c>
      <c r="AX491" s="118">
        <f t="shared" si="373"/>
        <v>3052</v>
      </c>
      <c r="AY491" s="401">
        <f t="shared" si="373"/>
        <v>3052</v>
      </c>
      <c r="AZ491" s="118">
        <f t="shared" si="373"/>
        <v>3054</v>
      </c>
      <c r="BA491" s="118">
        <f t="shared" si="373"/>
        <v>3057</v>
      </c>
      <c r="BB491" s="118">
        <f t="shared" si="373"/>
        <v>3134</v>
      </c>
      <c r="BC491" s="118">
        <f t="shared" si="373"/>
        <v>3137</v>
      </c>
      <c r="BD491" s="401">
        <f t="shared" si="373"/>
        <v>3137</v>
      </c>
      <c r="BE491" s="118">
        <f t="shared" si="373"/>
        <v>3138</v>
      </c>
      <c r="BF491" s="118">
        <f t="shared" si="373"/>
        <v>3205</v>
      </c>
      <c r="BG491" s="118">
        <f t="shared" si="373"/>
        <v>3207</v>
      </c>
      <c r="BH491" s="118">
        <f t="shared" si="373"/>
        <v>3209</v>
      </c>
      <c r="BI491" s="401">
        <f t="shared" si="373"/>
        <v>3209</v>
      </c>
      <c r="BJ491" s="971">
        <f>BJ731</f>
        <v>3212</v>
      </c>
      <c r="BK491" s="118">
        <f t="shared" si="373"/>
        <v>3214.1369328365872</v>
      </c>
      <c r="BL491" s="118">
        <f t="shared" si="373"/>
        <v>3216.2973484515969</v>
      </c>
      <c r="BM491" s="118">
        <f t="shared" si="373"/>
        <v>3101.4577640666066</v>
      </c>
      <c r="BN491" s="401">
        <f t="shared" si="373"/>
        <v>3101.4577640666066</v>
      </c>
      <c r="BO491" s="118">
        <f t="shared" si="373"/>
        <v>3103.5712141247704</v>
      </c>
      <c r="BP491" s="118">
        <f t="shared" si="373"/>
        <v>3067.7081469613563</v>
      </c>
      <c r="BQ491" s="118">
        <f t="shared" si="373"/>
        <v>3069.8685625763665</v>
      </c>
      <c r="BR491" s="118">
        <f t="shared" si="373"/>
        <v>2317.5317104318142</v>
      </c>
      <c r="BS491" s="401">
        <f t="shared" si="373"/>
        <v>2317.5317104318142</v>
      </c>
      <c r="BT491" s="401">
        <f t="shared" si="373"/>
        <v>2374.3125412865938</v>
      </c>
      <c r="BU491" s="401">
        <f t="shared" si="373"/>
        <v>2688.1065088757377</v>
      </c>
      <c r="BV491" s="401">
        <f t="shared" si="373"/>
        <v>3000</v>
      </c>
      <c r="BW491" s="122"/>
    </row>
    <row r="492" spans="1:75" hidden="1" outlineLevel="2" x14ac:dyDescent="0.5">
      <c r="A492" s="497" t="str">
        <f>A732</f>
        <v>Operating Lease Liabilities</v>
      </c>
      <c r="B492" s="677"/>
      <c r="C492" s="406"/>
      <c r="D492" s="406"/>
      <c r="E492" s="406"/>
      <c r="F492" s="406"/>
      <c r="G492" s="723"/>
      <c r="H492" s="723"/>
      <c r="I492" s="723"/>
      <c r="J492" s="723"/>
      <c r="K492" s="406"/>
      <c r="L492" s="723"/>
      <c r="M492" s="723"/>
      <c r="N492" s="723"/>
      <c r="O492" s="723"/>
      <c r="P492" s="406"/>
      <c r="Q492" s="723"/>
      <c r="R492" s="723"/>
      <c r="S492" s="723"/>
      <c r="T492" s="723"/>
      <c r="U492" s="406"/>
      <c r="V492" s="723"/>
      <c r="W492" s="723"/>
      <c r="X492" s="723"/>
      <c r="Y492" s="723"/>
      <c r="Z492" s="406"/>
      <c r="AA492" s="723"/>
      <c r="AB492" s="723"/>
      <c r="AC492" s="723"/>
      <c r="AD492" s="723"/>
      <c r="AE492" s="406"/>
      <c r="AF492" s="723"/>
      <c r="AG492" s="723"/>
      <c r="AH492" s="723"/>
      <c r="AI492" s="723"/>
      <c r="AJ492" s="406"/>
      <c r="AK492" s="723"/>
      <c r="AL492" s="723"/>
      <c r="AM492" s="723"/>
      <c r="AN492" s="723"/>
      <c r="AO492" s="406">
        <f t="shared" si="373"/>
        <v>913.70600000000002</v>
      </c>
      <c r="AP492" s="723">
        <f t="shared" si="373"/>
        <v>838.90599999999995</v>
      </c>
      <c r="AQ492" s="723">
        <f t="shared" si="373"/>
        <v>863.13499999999999</v>
      </c>
      <c r="AR492" s="723">
        <f t="shared" si="373"/>
        <v>867.71100000000001</v>
      </c>
      <c r="AS492" s="723">
        <f t="shared" si="373"/>
        <v>967.24399999999991</v>
      </c>
      <c r="AT492" s="406">
        <f t="shared" si="373"/>
        <v>967.24399999999991</v>
      </c>
      <c r="AU492" s="723">
        <f t="shared" si="373"/>
        <v>920.93600000000004</v>
      </c>
      <c r="AV492" s="723">
        <f t="shared" si="373"/>
        <v>899.43100000000004</v>
      </c>
      <c r="AW492" s="723">
        <f t="shared" si="373"/>
        <v>867.59500000000003</v>
      </c>
      <c r="AX492" s="723">
        <f t="shared" si="373"/>
        <v>1002</v>
      </c>
      <c r="AY492" s="406">
        <f t="shared" si="373"/>
        <v>1002</v>
      </c>
      <c r="AZ492" s="723">
        <f t="shared" si="373"/>
        <v>881</v>
      </c>
      <c r="BA492" s="723">
        <f t="shared" si="373"/>
        <v>939</v>
      </c>
      <c r="BB492" s="723">
        <f t="shared" si="373"/>
        <v>909</v>
      </c>
      <c r="BC492" s="723">
        <f t="shared" si="373"/>
        <v>1018</v>
      </c>
      <c r="BD492" s="406">
        <f t="shared" si="373"/>
        <v>1018</v>
      </c>
      <c r="BE492" s="723">
        <f t="shared" si="373"/>
        <v>867</v>
      </c>
      <c r="BF492" s="723">
        <f t="shared" si="373"/>
        <v>861</v>
      </c>
      <c r="BG492" s="723">
        <f t="shared" si="373"/>
        <v>827</v>
      </c>
      <c r="BH492" s="723">
        <f t="shared" si="373"/>
        <v>995</v>
      </c>
      <c r="BI492" s="406">
        <f t="shared" si="373"/>
        <v>995</v>
      </c>
      <c r="BJ492" s="1049">
        <f>BJ732</f>
        <v>1038</v>
      </c>
      <c r="BK492" s="723">
        <f t="shared" si="373"/>
        <v>1038</v>
      </c>
      <c r="BL492" s="723">
        <f t="shared" si="373"/>
        <v>1038</v>
      </c>
      <c r="BM492" s="723">
        <f t="shared" si="373"/>
        <v>1038</v>
      </c>
      <c r="BN492" s="406">
        <f t="shared" si="373"/>
        <v>1038</v>
      </c>
      <c r="BO492" s="723">
        <f t="shared" si="373"/>
        <v>1038</v>
      </c>
      <c r="BP492" s="723">
        <f t="shared" si="373"/>
        <v>1038</v>
      </c>
      <c r="BQ492" s="723">
        <f t="shared" si="373"/>
        <v>1038</v>
      </c>
      <c r="BR492" s="723">
        <f t="shared" si="373"/>
        <v>1038</v>
      </c>
      <c r="BS492" s="406">
        <f t="shared" si="373"/>
        <v>1038</v>
      </c>
      <c r="BT492" s="406">
        <f t="shared" si="373"/>
        <v>1038</v>
      </c>
      <c r="BU492" s="406">
        <f t="shared" si="373"/>
        <v>1038</v>
      </c>
      <c r="BV492" s="406">
        <f t="shared" si="373"/>
        <v>1038</v>
      </c>
      <c r="BW492" s="122"/>
    </row>
    <row r="493" spans="1:75" hidden="1" outlineLevel="1" x14ac:dyDescent="0.5">
      <c r="A493" s="184" t="s">
        <v>1307</v>
      </c>
      <c r="B493" s="513"/>
      <c r="C493" s="401"/>
      <c r="D493" s="401"/>
      <c r="E493" s="401"/>
      <c r="F493" s="401"/>
      <c r="G493" s="118"/>
      <c r="H493" s="118"/>
      <c r="I493" s="118"/>
      <c r="J493" s="118"/>
      <c r="K493" s="401"/>
      <c r="L493" s="118"/>
      <c r="M493" s="118"/>
      <c r="N493" s="118"/>
      <c r="O493" s="118"/>
      <c r="P493" s="401"/>
      <c r="Q493" s="118"/>
      <c r="R493" s="118"/>
      <c r="S493" s="118"/>
      <c r="T493" s="118"/>
      <c r="U493" s="401"/>
      <c r="V493" s="118"/>
      <c r="W493" s="118"/>
      <c r="X493" s="118"/>
      <c r="Y493" s="118"/>
      <c r="Z493" s="401"/>
      <c r="AA493" s="118"/>
      <c r="AB493" s="118"/>
      <c r="AC493" s="118"/>
      <c r="AD493" s="118"/>
      <c r="AE493" s="401"/>
      <c r="AF493" s="118"/>
      <c r="AG493" s="118"/>
      <c r="AH493" s="118"/>
      <c r="AI493" s="118"/>
      <c r="AJ493" s="401"/>
      <c r="AK493" s="118"/>
      <c r="AL493" s="118"/>
      <c r="AM493" s="118"/>
      <c r="AN493" s="118"/>
      <c r="AO493" s="401">
        <f t="shared" ref="AO493:BV493" ca="1" si="374">SUM(AO490:AO492)</f>
        <v>1382.8959999999997</v>
      </c>
      <c r="AP493" s="118">
        <f t="shared" si="374"/>
        <v>1524.9969999999998</v>
      </c>
      <c r="AQ493" s="118">
        <f t="shared" si="374"/>
        <v>477.13099999999986</v>
      </c>
      <c r="AR493" s="118">
        <f t="shared" si="374"/>
        <v>1172.9220000000003</v>
      </c>
      <c r="AS493" s="118">
        <f t="shared" si="374"/>
        <v>1035.3489999999999</v>
      </c>
      <c r="AT493" s="401">
        <f t="shared" ca="1" si="374"/>
        <v>1628.385</v>
      </c>
      <c r="AU493" s="118">
        <f t="shared" ca="1" si="374"/>
        <v>2827.3620000000001</v>
      </c>
      <c r="AV493" s="118">
        <f t="shared" ca="1" si="374"/>
        <v>2872.4310000000005</v>
      </c>
      <c r="AW493" s="118">
        <f t="shared" ca="1" si="374"/>
        <v>3050.3050000000003</v>
      </c>
      <c r="AX493" s="118">
        <f t="shared" ca="1" si="374"/>
        <v>3182</v>
      </c>
      <c r="AY493" s="401">
        <f t="shared" ca="1" si="374"/>
        <v>3182</v>
      </c>
      <c r="AZ493" s="118">
        <f t="shared" ca="1" si="374"/>
        <v>2526</v>
      </c>
      <c r="BA493" s="118">
        <f t="shared" ca="1" si="374"/>
        <v>2836</v>
      </c>
      <c r="BB493" s="118">
        <f t="shared" ca="1" si="374"/>
        <v>3645</v>
      </c>
      <c r="BC493" s="118">
        <f t="shared" ca="1" si="374"/>
        <v>3767</v>
      </c>
      <c r="BD493" s="401">
        <f t="shared" ca="1" si="374"/>
        <v>3767</v>
      </c>
      <c r="BE493" s="118">
        <f t="shared" ca="1" si="374"/>
        <v>3847</v>
      </c>
      <c r="BF493" s="118">
        <f t="shared" ca="1" si="374"/>
        <v>4310</v>
      </c>
      <c r="BG493" s="118">
        <f t="shared" ca="1" si="374"/>
        <v>4250</v>
      </c>
      <c r="BH493" s="118">
        <f t="shared" ca="1" si="374"/>
        <v>5299</v>
      </c>
      <c r="BI493" s="401">
        <f t="shared" ca="1" si="374"/>
        <v>5299</v>
      </c>
      <c r="BJ493" s="971">
        <f ca="1">SUM(BJ490:BJ492)</f>
        <v>5539</v>
      </c>
      <c r="BK493" s="118">
        <f t="shared" ca="1" si="374"/>
        <v>3869.4938270205257</v>
      </c>
      <c r="BL493" s="118">
        <f t="shared" ca="1" si="374"/>
        <v>3811.606325812998</v>
      </c>
      <c r="BM493" s="118">
        <f t="shared" ca="1" si="374"/>
        <v>3823.2770586059278</v>
      </c>
      <c r="BN493" s="401">
        <f t="shared" ca="1" si="374"/>
        <v>3823.2770586059278</v>
      </c>
      <c r="BO493" s="118">
        <f t="shared" ca="1" si="374"/>
        <v>4600.9437958212111</v>
      </c>
      <c r="BP493" s="118">
        <f t="shared" ca="1" si="374"/>
        <v>4685.5729264573474</v>
      </c>
      <c r="BQ493" s="118">
        <f t="shared" ca="1" si="374"/>
        <v>4611.1084144667821</v>
      </c>
      <c r="BR493" s="118">
        <f t="shared" ca="1" si="374"/>
        <v>4606.73911819759</v>
      </c>
      <c r="BS493" s="401">
        <f t="shared" ca="1" si="374"/>
        <v>4606.73911819759</v>
      </c>
      <c r="BT493" s="401">
        <f t="shared" ca="1" si="374"/>
        <v>4464.0498636769953</v>
      </c>
      <c r="BU493" s="401">
        <f t="shared" ca="1" si="374"/>
        <v>3384.4250665946802</v>
      </c>
      <c r="BV493" s="401">
        <f t="shared" ca="1" si="374"/>
        <v>2017.1643657037412</v>
      </c>
      <c r="BW493" s="122"/>
    </row>
    <row r="494" spans="1:75" hidden="1" outlineLevel="1" x14ac:dyDescent="0.5">
      <c r="A494" s="869" t="s">
        <v>2466</v>
      </c>
      <c r="B494" s="870"/>
      <c r="C494" s="871"/>
      <c r="D494" s="871"/>
      <c r="E494" s="871"/>
      <c r="F494" s="871"/>
      <c r="G494" s="872"/>
      <c r="H494" s="872"/>
      <c r="I494" s="872"/>
      <c r="J494" s="872"/>
      <c r="K494" s="871"/>
      <c r="L494" s="872"/>
      <c r="M494" s="872"/>
      <c r="N494" s="872"/>
      <c r="O494" s="872"/>
      <c r="P494" s="871"/>
      <c r="Q494" s="872"/>
      <c r="R494" s="872"/>
      <c r="S494" s="872"/>
      <c r="T494" s="872"/>
      <c r="U494" s="871"/>
      <c r="V494" s="872"/>
      <c r="W494" s="872"/>
      <c r="X494" s="872"/>
      <c r="Y494" s="872"/>
      <c r="Z494" s="871"/>
      <c r="AA494" s="872"/>
      <c r="AB494" s="872"/>
      <c r="AC494" s="872"/>
      <c r="AD494" s="872"/>
      <c r="AE494" s="871"/>
      <c r="AF494" s="872"/>
      <c r="AG494" s="872"/>
      <c r="AH494" s="872"/>
      <c r="AI494" s="872"/>
      <c r="AJ494" s="871"/>
      <c r="AK494" s="872"/>
      <c r="AL494" s="872"/>
      <c r="AM494" s="872"/>
      <c r="AN494" s="872"/>
      <c r="AO494" s="871">
        <f t="shared" ref="AO494:BV494" ca="1" si="375">-IF(AO370&gt;0,AO367)-IF(AO383&gt;0,AO380)-IF(AO400&gt;0,AO397)-IF(AO417&gt;0,AO414)-IF(AO434&gt;0,AO431)-IF(AO451&gt;0,AO448)-IF(AO468&gt;0,AO465)</f>
        <v>0</v>
      </c>
      <c r="AP494" s="872">
        <f t="shared" si="375"/>
        <v>0</v>
      </c>
      <c r="AQ494" s="872">
        <f t="shared" si="375"/>
        <v>0</v>
      </c>
      <c r="AR494" s="872">
        <f t="shared" si="375"/>
        <v>0</v>
      </c>
      <c r="AS494" s="872">
        <f t="shared" si="375"/>
        <v>0</v>
      </c>
      <c r="AT494" s="871">
        <f t="shared" ca="1" si="375"/>
        <v>-725.35799999999995</v>
      </c>
      <c r="AU494" s="872">
        <f t="shared" ca="1" si="375"/>
        <v>-1557.623</v>
      </c>
      <c r="AV494" s="872">
        <f t="shared" ca="1" si="375"/>
        <v>-1544.8319999999999</v>
      </c>
      <c r="AW494" s="872">
        <f t="shared" ca="1" si="375"/>
        <v>-1545.4740000000002</v>
      </c>
      <c r="AX494" s="872">
        <f t="shared" ca="1" si="375"/>
        <v>-1547</v>
      </c>
      <c r="AY494" s="871">
        <f t="shared" ca="1" si="375"/>
        <v>-1547</v>
      </c>
      <c r="AZ494" s="872">
        <f t="shared" ca="1" si="375"/>
        <v>-608</v>
      </c>
      <c r="BA494" s="872">
        <f t="shared" ca="1" si="375"/>
        <v>-610</v>
      </c>
      <c r="BB494" s="872">
        <f t="shared" ca="1" si="375"/>
        <v>-913</v>
      </c>
      <c r="BC494" s="872">
        <f t="shared" ca="1" si="375"/>
        <v>-914</v>
      </c>
      <c r="BD494" s="871">
        <f t="shared" ca="1" si="375"/>
        <v>-914</v>
      </c>
      <c r="BE494" s="872">
        <f t="shared" ca="1" si="375"/>
        <v>-915</v>
      </c>
      <c r="BF494" s="872">
        <f t="shared" ca="1" si="375"/>
        <v>-1512</v>
      </c>
      <c r="BG494" s="872">
        <f t="shared" ca="1" si="375"/>
        <v>-1513</v>
      </c>
      <c r="BH494" s="872">
        <f t="shared" ca="1" si="375"/>
        <v>-2458</v>
      </c>
      <c r="BI494" s="871">
        <f t="shared" ca="1" si="375"/>
        <v>-2458</v>
      </c>
      <c r="BJ494" s="1504">
        <f ca="1">-IF(BJ370&gt;0,BJ367)-IF(BJ383&gt;0,BJ380)-IF(BJ400&gt;0,BJ397)-IF(BJ417&gt;0,BJ414)-IF(BJ434&gt;0,BJ431)-IF(BJ451&gt;0,BJ448)-IF(BJ468&gt;0,BJ465)</f>
        <v>-2461</v>
      </c>
      <c r="BK494" s="872">
        <f t="shared" si="375"/>
        <v>-680.53846153846155</v>
      </c>
      <c r="BL494" s="872">
        <f t="shared" si="375"/>
        <v>-681.08284023668637</v>
      </c>
      <c r="BM494" s="872">
        <f t="shared" si="375"/>
        <v>-681.6272189349113</v>
      </c>
      <c r="BN494" s="871">
        <f t="shared" si="375"/>
        <v>-681.6272189349113</v>
      </c>
      <c r="BO494" s="872">
        <f t="shared" si="375"/>
        <v>-1366.4717189747339</v>
      </c>
      <c r="BP494" s="872">
        <f t="shared" si="375"/>
        <v>-1367.5865858972015</v>
      </c>
      <c r="BQ494" s="872">
        <f t="shared" si="375"/>
        <v>-1368.7137041045316</v>
      </c>
      <c r="BR494" s="872">
        <f t="shared" si="375"/>
        <v>-1369.840822311862</v>
      </c>
      <c r="BS494" s="871">
        <f t="shared" si="375"/>
        <v>-1369.840822311862</v>
      </c>
      <c r="BT494" s="871">
        <f t="shared" si="375"/>
        <v>-1374.3125412865957</v>
      </c>
      <c r="BU494" s="871">
        <f t="shared" si="375"/>
        <v>-688.10650887573968</v>
      </c>
      <c r="BV494" s="871">
        <f t="shared" si="375"/>
        <v>0</v>
      </c>
      <c r="BW494" s="122"/>
    </row>
    <row r="495" spans="1:75" hidden="1" outlineLevel="1" x14ac:dyDescent="0.5">
      <c r="A495" s="805" t="s">
        <v>2467</v>
      </c>
      <c r="B495" s="967"/>
      <c r="C495" s="807"/>
      <c r="D495" s="807"/>
      <c r="E495" s="807"/>
      <c r="F495" s="807"/>
      <c r="G495" s="808"/>
      <c r="H495" s="808"/>
      <c r="I495" s="808"/>
      <c r="J495" s="808"/>
      <c r="K495" s="807"/>
      <c r="L495" s="808"/>
      <c r="M495" s="808"/>
      <c r="N495" s="808"/>
      <c r="O495" s="808"/>
      <c r="P495" s="807"/>
      <c r="Q495" s="808"/>
      <c r="R495" s="808"/>
      <c r="S495" s="808"/>
      <c r="T495" s="808"/>
      <c r="U495" s="807"/>
      <c r="V495" s="808"/>
      <c r="W495" s="808"/>
      <c r="X495" s="808"/>
      <c r="Y495" s="808"/>
      <c r="Z495" s="807"/>
      <c r="AA495" s="808"/>
      <c r="AB495" s="808"/>
      <c r="AC495" s="808"/>
      <c r="AD495" s="808"/>
      <c r="AE495" s="807"/>
      <c r="AF495" s="808"/>
      <c r="AG495" s="808"/>
      <c r="AH495" s="808"/>
      <c r="AI495" s="808"/>
      <c r="AJ495" s="807"/>
      <c r="AK495" s="808"/>
      <c r="AL495" s="808"/>
      <c r="AM495" s="808"/>
      <c r="AN495" s="808"/>
      <c r="AO495" s="807">
        <f t="shared" ref="AO495:BV495" ca="1" si="376">AO493+AO494</f>
        <v>1382.8959999999997</v>
      </c>
      <c r="AP495" s="808">
        <f t="shared" si="376"/>
        <v>1524.9969999999998</v>
      </c>
      <c r="AQ495" s="808">
        <f t="shared" si="376"/>
        <v>477.13099999999986</v>
      </c>
      <c r="AR495" s="808">
        <f t="shared" si="376"/>
        <v>1172.9220000000003</v>
      </c>
      <c r="AS495" s="808">
        <f t="shared" si="376"/>
        <v>1035.3489999999999</v>
      </c>
      <c r="AT495" s="807">
        <f t="shared" ca="1" si="376"/>
        <v>903.02700000000004</v>
      </c>
      <c r="AU495" s="808">
        <f t="shared" ca="1" si="376"/>
        <v>1269.739</v>
      </c>
      <c r="AV495" s="808">
        <f t="shared" ca="1" si="376"/>
        <v>1327.5990000000006</v>
      </c>
      <c r="AW495" s="808">
        <f t="shared" ca="1" si="376"/>
        <v>1504.8310000000001</v>
      </c>
      <c r="AX495" s="808">
        <f t="shared" ca="1" si="376"/>
        <v>1635</v>
      </c>
      <c r="AY495" s="807">
        <f t="shared" ca="1" si="376"/>
        <v>1635</v>
      </c>
      <c r="AZ495" s="808">
        <f t="shared" ca="1" si="376"/>
        <v>1918</v>
      </c>
      <c r="BA495" s="808">
        <f t="shared" ca="1" si="376"/>
        <v>2226</v>
      </c>
      <c r="BB495" s="808">
        <f t="shared" ca="1" si="376"/>
        <v>2732</v>
      </c>
      <c r="BC495" s="808">
        <f t="shared" ca="1" si="376"/>
        <v>2853</v>
      </c>
      <c r="BD495" s="807">
        <f t="shared" ca="1" si="376"/>
        <v>2853</v>
      </c>
      <c r="BE495" s="808">
        <f t="shared" ca="1" si="376"/>
        <v>2932</v>
      </c>
      <c r="BF495" s="808">
        <f t="shared" ca="1" si="376"/>
        <v>2798</v>
      </c>
      <c r="BG495" s="808">
        <f t="shared" ca="1" si="376"/>
        <v>2737</v>
      </c>
      <c r="BH495" s="808">
        <f t="shared" ca="1" si="376"/>
        <v>2841</v>
      </c>
      <c r="BI495" s="807">
        <f t="shared" ca="1" si="376"/>
        <v>2841</v>
      </c>
      <c r="BJ495" s="1521">
        <f ca="1">BJ493+BJ494</f>
        <v>3078</v>
      </c>
      <c r="BK495" s="808">
        <f t="shared" ca="1" si="376"/>
        <v>3188.9553654820643</v>
      </c>
      <c r="BL495" s="808">
        <f t="shared" ca="1" si="376"/>
        <v>3130.5234855763115</v>
      </c>
      <c r="BM495" s="808">
        <f t="shared" ca="1" si="376"/>
        <v>3141.6498396710167</v>
      </c>
      <c r="BN495" s="807">
        <f t="shared" ca="1" si="376"/>
        <v>3141.6498396710167</v>
      </c>
      <c r="BO495" s="808">
        <f t="shared" ca="1" si="376"/>
        <v>3234.4720768464772</v>
      </c>
      <c r="BP495" s="808">
        <f t="shared" ca="1" si="376"/>
        <v>3317.9863405601459</v>
      </c>
      <c r="BQ495" s="808">
        <f t="shared" ca="1" si="376"/>
        <v>3242.3947103622504</v>
      </c>
      <c r="BR495" s="808">
        <f t="shared" ca="1" si="376"/>
        <v>3236.8982958857277</v>
      </c>
      <c r="BS495" s="807">
        <f t="shared" ca="1" si="376"/>
        <v>3236.8982958857277</v>
      </c>
      <c r="BT495" s="807">
        <f t="shared" ca="1" si="376"/>
        <v>3089.7373223903996</v>
      </c>
      <c r="BU495" s="807">
        <f t="shared" ca="1" si="376"/>
        <v>2696.3185577189406</v>
      </c>
      <c r="BV495" s="807">
        <f t="shared" ca="1" si="376"/>
        <v>2017.1643657037412</v>
      </c>
      <c r="BW495" s="122"/>
    </row>
    <row r="496" spans="1:75" hidden="1" outlineLevel="1" x14ac:dyDescent="0.5">
      <c r="A496" s="184" t="str">
        <f>A767</f>
        <v>Noncontrolling Interest</v>
      </c>
      <c r="B496" s="513"/>
      <c r="C496" s="401"/>
      <c r="D496" s="401"/>
      <c r="E496" s="401"/>
      <c r="F496" s="401"/>
      <c r="G496" s="118"/>
      <c r="H496" s="118"/>
      <c r="I496" s="118"/>
      <c r="J496" s="118"/>
      <c r="K496" s="401"/>
      <c r="L496" s="118"/>
      <c r="M496" s="118"/>
      <c r="N496" s="118"/>
      <c r="O496" s="118"/>
      <c r="P496" s="401"/>
      <c r="Q496" s="118"/>
      <c r="R496" s="118"/>
      <c r="S496" s="118"/>
      <c r="T496" s="118"/>
      <c r="U496" s="401"/>
      <c r="V496" s="118"/>
      <c r="W496" s="118"/>
      <c r="X496" s="118"/>
      <c r="Y496" s="118"/>
      <c r="Z496" s="401"/>
      <c r="AA496" s="118"/>
      <c r="AB496" s="118"/>
      <c r="AC496" s="118"/>
      <c r="AD496" s="118"/>
      <c r="AE496" s="401"/>
      <c r="AF496" s="118"/>
      <c r="AG496" s="118"/>
      <c r="AH496" s="118"/>
      <c r="AI496" s="118"/>
      <c r="AJ496" s="401"/>
      <c r="AK496" s="118"/>
      <c r="AL496" s="118"/>
      <c r="AM496" s="118"/>
      <c r="AN496" s="118"/>
      <c r="AO496" s="401">
        <f t="shared" ref="AO496:BV498" si="377">AO767</f>
        <v>0</v>
      </c>
      <c r="AP496" s="118">
        <f t="shared" si="377"/>
        <v>0</v>
      </c>
      <c r="AQ496" s="118">
        <f t="shared" si="377"/>
        <v>0</v>
      </c>
      <c r="AR496" s="118">
        <f t="shared" si="377"/>
        <v>0</v>
      </c>
      <c r="AS496" s="118">
        <f t="shared" si="377"/>
        <v>0</v>
      </c>
      <c r="AT496" s="401">
        <f t="shared" si="377"/>
        <v>0</v>
      </c>
      <c r="AU496" s="118">
        <f t="shared" si="377"/>
        <v>0</v>
      </c>
      <c r="AV496" s="118">
        <f t="shared" si="377"/>
        <v>0</v>
      </c>
      <c r="AW496" s="118">
        <f t="shared" si="377"/>
        <v>0</v>
      </c>
      <c r="AX496" s="118">
        <f t="shared" si="377"/>
        <v>0</v>
      </c>
      <c r="AY496" s="401">
        <f t="shared" si="377"/>
        <v>0</v>
      </c>
      <c r="AZ496" s="118">
        <f t="shared" si="377"/>
        <v>0</v>
      </c>
      <c r="BA496" s="118">
        <f t="shared" si="377"/>
        <v>0</v>
      </c>
      <c r="BB496" s="118">
        <f t="shared" si="377"/>
        <v>0</v>
      </c>
      <c r="BC496" s="118">
        <f t="shared" si="377"/>
        <v>0</v>
      </c>
      <c r="BD496" s="401">
        <f t="shared" si="377"/>
        <v>0</v>
      </c>
      <c r="BE496" s="118">
        <f t="shared" si="377"/>
        <v>0</v>
      </c>
      <c r="BF496" s="118">
        <f t="shared" si="377"/>
        <v>0</v>
      </c>
      <c r="BG496" s="118">
        <f t="shared" si="377"/>
        <v>0</v>
      </c>
      <c r="BH496" s="118">
        <f t="shared" si="377"/>
        <v>0</v>
      </c>
      <c r="BI496" s="401">
        <f t="shared" si="377"/>
        <v>0</v>
      </c>
      <c r="BJ496" s="971">
        <f>BJ767</f>
        <v>0</v>
      </c>
      <c r="BK496" s="118">
        <f t="shared" si="377"/>
        <v>0</v>
      </c>
      <c r="BL496" s="118">
        <f t="shared" si="377"/>
        <v>0</v>
      </c>
      <c r="BM496" s="118">
        <f t="shared" si="377"/>
        <v>0</v>
      </c>
      <c r="BN496" s="401">
        <f t="shared" si="377"/>
        <v>0</v>
      </c>
      <c r="BO496" s="118">
        <f t="shared" si="377"/>
        <v>0</v>
      </c>
      <c r="BP496" s="118">
        <f t="shared" si="377"/>
        <v>0</v>
      </c>
      <c r="BQ496" s="118">
        <f t="shared" si="377"/>
        <v>0</v>
      </c>
      <c r="BR496" s="118">
        <f t="shared" si="377"/>
        <v>0</v>
      </c>
      <c r="BS496" s="401">
        <f t="shared" si="377"/>
        <v>0</v>
      </c>
      <c r="BT496" s="401">
        <f t="shared" si="377"/>
        <v>0</v>
      </c>
      <c r="BU496" s="401">
        <f t="shared" si="377"/>
        <v>0</v>
      </c>
      <c r="BV496" s="401">
        <f t="shared" si="377"/>
        <v>0</v>
      </c>
      <c r="BW496" s="122"/>
    </row>
    <row r="497" spans="1:75" hidden="1" outlineLevel="1" x14ac:dyDescent="0.5">
      <c r="A497" s="184" t="str">
        <f>A768</f>
        <v>Preferred Shares</v>
      </c>
      <c r="B497" s="513"/>
      <c r="C497" s="401"/>
      <c r="D497" s="401"/>
      <c r="E497" s="401"/>
      <c r="F497" s="401"/>
      <c r="G497" s="118"/>
      <c r="H497" s="118"/>
      <c r="I497" s="118"/>
      <c r="J497" s="118"/>
      <c r="K497" s="401"/>
      <c r="L497" s="118"/>
      <c r="M497" s="118"/>
      <c r="N497" s="118"/>
      <c r="O497" s="118"/>
      <c r="P497" s="401"/>
      <c r="Q497" s="118"/>
      <c r="R497" s="118"/>
      <c r="S497" s="118"/>
      <c r="T497" s="118"/>
      <c r="U497" s="401"/>
      <c r="V497" s="118"/>
      <c r="W497" s="118"/>
      <c r="X497" s="118"/>
      <c r="Y497" s="118"/>
      <c r="Z497" s="401"/>
      <c r="AA497" s="118"/>
      <c r="AB497" s="118"/>
      <c r="AC497" s="118"/>
      <c r="AD497" s="118"/>
      <c r="AE497" s="401"/>
      <c r="AF497" s="118"/>
      <c r="AG497" s="118"/>
      <c r="AH497" s="118"/>
      <c r="AI497" s="118"/>
      <c r="AJ497" s="401"/>
      <c r="AK497" s="118"/>
      <c r="AL497" s="118"/>
      <c r="AM497" s="118"/>
      <c r="AN497" s="118"/>
      <c r="AO497" s="401">
        <f t="shared" si="377"/>
        <v>0</v>
      </c>
      <c r="AP497" s="118">
        <f t="shared" si="377"/>
        <v>0</v>
      </c>
      <c r="AQ497" s="118">
        <f t="shared" si="377"/>
        <v>0</v>
      </c>
      <c r="AR497" s="118">
        <f t="shared" si="377"/>
        <v>0</v>
      </c>
      <c r="AS497" s="118">
        <f t="shared" si="377"/>
        <v>0</v>
      </c>
      <c r="AT497" s="401">
        <f t="shared" si="377"/>
        <v>0</v>
      </c>
      <c r="AU497" s="118">
        <f t="shared" si="377"/>
        <v>0</v>
      </c>
      <c r="AV497" s="118">
        <f t="shared" si="377"/>
        <v>0</v>
      </c>
      <c r="AW497" s="118">
        <f t="shared" si="377"/>
        <v>0</v>
      </c>
      <c r="AX497" s="118">
        <f t="shared" si="377"/>
        <v>0</v>
      </c>
      <c r="AY497" s="401">
        <f t="shared" si="377"/>
        <v>0</v>
      </c>
      <c r="AZ497" s="118">
        <f t="shared" si="377"/>
        <v>0</v>
      </c>
      <c r="BA497" s="118">
        <f t="shared" si="377"/>
        <v>0</v>
      </c>
      <c r="BB497" s="118">
        <f t="shared" si="377"/>
        <v>0</v>
      </c>
      <c r="BC497" s="118">
        <f t="shared" si="377"/>
        <v>0</v>
      </c>
      <c r="BD497" s="401">
        <f t="shared" si="377"/>
        <v>0</v>
      </c>
      <c r="BE497" s="118">
        <f t="shared" si="377"/>
        <v>0</v>
      </c>
      <c r="BF497" s="118">
        <f t="shared" si="377"/>
        <v>0</v>
      </c>
      <c r="BG497" s="118">
        <f t="shared" si="377"/>
        <v>0</v>
      </c>
      <c r="BH497" s="118">
        <f t="shared" si="377"/>
        <v>0</v>
      </c>
      <c r="BI497" s="401">
        <f t="shared" si="377"/>
        <v>0</v>
      </c>
      <c r="BJ497" s="971">
        <f>BJ768</f>
        <v>0</v>
      </c>
      <c r="BK497" s="118">
        <f t="shared" si="377"/>
        <v>0</v>
      </c>
      <c r="BL497" s="118">
        <f t="shared" si="377"/>
        <v>0</v>
      </c>
      <c r="BM497" s="118">
        <f t="shared" si="377"/>
        <v>0</v>
      </c>
      <c r="BN497" s="401">
        <f t="shared" si="377"/>
        <v>0</v>
      </c>
      <c r="BO497" s="118">
        <f t="shared" si="377"/>
        <v>0</v>
      </c>
      <c r="BP497" s="118">
        <f t="shared" si="377"/>
        <v>0</v>
      </c>
      <c r="BQ497" s="118">
        <f t="shared" si="377"/>
        <v>0</v>
      </c>
      <c r="BR497" s="118">
        <f t="shared" si="377"/>
        <v>0</v>
      </c>
      <c r="BS497" s="401">
        <f t="shared" si="377"/>
        <v>0</v>
      </c>
      <c r="BT497" s="401">
        <f t="shared" si="377"/>
        <v>0</v>
      </c>
      <c r="BU497" s="401">
        <f t="shared" si="377"/>
        <v>0</v>
      </c>
      <c r="BV497" s="401">
        <f t="shared" si="377"/>
        <v>0</v>
      </c>
      <c r="BW497" s="122"/>
    </row>
    <row r="498" spans="1:75" hidden="1" outlineLevel="1" x14ac:dyDescent="0.5">
      <c r="A498" s="869" t="str">
        <f>A769</f>
        <v>Other EV Components</v>
      </c>
      <c r="B498" s="870"/>
      <c r="C498" s="871"/>
      <c r="D498" s="871"/>
      <c r="E498" s="871"/>
      <c r="F498" s="871"/>
      <c r="G498" s="872"/>
      <c r="H498" s="872"/>
      <c r="I498" s="872"/>
      <c r="J498" s="872"/>
      <c r="K498" s="871"/>
      <c r="L498" s="872"/>
      <c r="M498" s="872"/>
      <c r="N498" s="872"/>
      <c r="O498" s="872"/>
      <c r="P498" s="871"/>
      <c r="Q498" s="872"/>
      <c r="R498" s="872"/>
      <c r="S498" s="872"/>
      <c r="T498" s="872"/>
      <c r="U498" s="871"/>
      <c r="V498" s="872"/>
      <c r="W498" s="872"/>
      <c r="X498" s="872"/>
      <c r="Y498" s="872"/>
      <c r="Z498" s="871"/>
      <c r="AA498" s="872"/>
      <c r="AB498" s="872"/>
      <c r="AC498" s="872"/>
      <c r="AD498" s="872"/>
      <c r="AE498" s="871"/>
      <c r="AF498" s="872"/>
      <c r="AG498" s="872"/>
      <c r="AH498" s="872"/>
      <c r="AI498" s="872"/>
      <c r="AJ498" s="871"/>
      <c r="AK498" s="872"/>
      <c r="AL498" s="872"/>
      <c r="AM498" s="872"/>
      <c r="AN498" s="872"/>
      <c r="AO498" s="871">
        <f t="shared" si="377"/>
        <v>0</v>
      </c>
      <c r="AP498" s="872">
        <f t="shared" si="377"/>
        <v>0</v>
      </c>
      <c r="AQ498" s="872">
        <f t="shared" si="377"/>
        <v>0</v>
      </c>
      <c r="AR498" s="872">
        <f t="shared" si="377"/>
        <v>0</v>
      </c>
      <c r="AS498" s="872">
        <f t="shared" si="377"/>
        <v>0</v>
      </c>
      <c r="AT498" s="871">
        <f t="shared" si="377"/>
        <v>0</v>
      </c>
      <c r="AU498" s="872">
        <f t="shared" si="377"/>
        <v>0</v>
      </c>
      <c r="AV498" s="872">
        <f t="shared" si="377"/>
        <v>0</v>
      </c>
      <c r="AW498" s="872">
        <f t="shared" si="377"/>
        <v>0</v>
      </c>
      <c r="AX498" s="872">
        <f t="shared" si="377"/>
        <v>0</v>
      </c>
      <c r="AY498" s="871">
        <f t="shared" si="377"/>
        <v>0</v>
      </c>
      <c r="AZ498" s="872">
        <f t="shared" si="377"/>
        <v>0</v>
      </c>
      <c r="BA498" s="872">
        <f t="shared" si="377"/>
        <v>0</v>
      </c>
      <c r="BB498" s="872">
        <f t="shared" si="377"/>
        <v>0</v>
      </c>
      <c r="BC498" s="872">
        <f t="shared" si="377"/>
        <v>0</v>
      </c>
      <c r="BD498" s="871">
        <f t="shared" si="377"/>
        <v>0</v>
      </c>
      <c r="BE498" s="872">
        <f t="shared" si="377"/>
        <v>0</v>
      </c>
      <c r="BF498" s="872">
        <f t="shared" si="377"/>
        <v>0</v>
      </c>
      <c r="BG498" s="872">
        <f t="shared" si="377"/>
        <v>0</v>
      </c>
      <c r="BH498" s="872">
        <f t="shared" si="377"/>
        <v>0</v>
      </c>
      <c r="BI498" s="871">
        <f t="shared" si="377"/>
        <v>0</v>
      </c>
      <c r="BJ498" s="1504">
        <f>BJ769</f>
        <v>0</v>
      </c>
      <c r="BK498" s="872">
        <f t="shared" si="377"/>
        <v>0</v>
      </c>
      <c r="BL498" s="872">
        <f t="shared" si="377"/>
        <v>0</v>
      </c>
      <c r="BM498" s="872">
        <f t="shared" si="377"/>
        <v>0</v>
      </c>
      <c r="BN498" s="871">
        <f t="shared" si="377"/>
        <v>0</v>
      </c>
      <c r="BO498" s="872">
        <f t="shared" si="377"/>
        <v>0</v>
      </c>
      <c r="BP498" s="872">
        <f t="shared" si="377"/>
        <v>0</v>
      </c>
      <c r="BQ498" s="872">
        <f t="shared" si="377"/>
        <v>0</v>
      </c>
      <c r="BR498" s="872">
        <f t="shared" si="377"/>
        <v>0</v>
      </c>
      <c r="BS498" s="871">
        <f t="shared" si="377"/>
        <v>0</v>
      </c>
      <c r="BT498" s="871">
        <f t="shared" si="377"/>
        <v>0</v>
      </c>
      <c r="BU498" s="871">
        <f t="shared" si="377"/>
        <v>0</v>
      </c>
      <c r="BV498" s="871">
        <f t="shared" si="377"/>
        <v>0</v>
      </c>
      <c r="BW498" s="122"/>
    </row>
    <row r="499" spans="1:75" hidden="1" outlineLevel="1" x14ac:dyDescent="0.5">
      <c r="A499" s="805" t="s">
        <v>2468</v>
      </c>
      <c r="B499" s="967"/>
      <c r="C499" s="807"/>
      <c r="D499" s="807"/>
      <c r="E499" s="807"/>
      <c r="F499" s="807"/>
      <c r="G499" s="808"/>
      <c r="H499" s="808"/>
      <c r="I499" s="808"/>
      <c r="J499" s="808"/>
      <c r="K499" s="807"/>
      <c r="L499" s="808"/>
      <c r="M499" s="808"/>
      <c r="N499" s="808"/>
      <c r="O499" s="808"/>
      <c r="P499" s="807"/>
      <c r="Q499" s="808"/>
      <c r="R499" s="808"/>
      <c r="S499" s="808"/>
      <c r="T499" s="808"/>
      <c r="U499" s="807"/>
      <c r="V499" s="808"/>
      <c r="W499" s="808"/>
      <c r="X499" s="808"/>
      <c r="Y499" s="808"/>
      <c r="Z499" s="807"/>
      <c r="AA499" s="808"/>
      <c r="AB499" s="808"/>
      <c r="AC499" s="808"/>
      <c r="AD499" s="808"/>
      <c r="AE499" s="807"/>
      <c r="AF499" s="808"/>
      <c r="AG499" s="808"/>
      <c r="AH499" s="808"/>
      <c r="AI499" s="808"/>
      <c r="AJ499" s="807"/>
      <c r="AK499" s="808"/>
      <c r="AL499" s="808"/>
      <c r="AM499" s="808"/>
      <c r="AN499" s="808"/>
      <c r="AO499" s="807">
        <f t="shared" ref="AO499:BV499" ca="1" si="378">AO486+AO495+AO496+AO497+AO498</f>
        <v>8510.9543929600004</v>
      </c>
      <c r="AP499" s="808">
        <f t="shared" ca="1" si="378"/>
        <v>7641.3936592499995</v>
      </c>
      <c r="AQ499" s="808">
        <f t="shared" ca="1" si="378"/>
        <v>9384.7208885599994</v>
      </c>
      <c r="AR499" s="808">
        <f t="shared" ca="1" si="378"/>
        <v>10460.018055089999</v>
      </c>
      <c r="AS499" s="808">
        <f t="shared" ca="1" si="378"/>
        <v>14638.990365159998</v>
      </c>
      <c r="AT499" s="807">
        <f t="shared" ca="1" si="378"/>
        <v>15019.617039366896</v>
      </c>
      <c r="AU499" s="808">
        <f t="shared" ca="1" si="378"/>
        <v>19996.972313388596</v>
      </c>
      <c r="AV499" s="808">
        <f t="shared" ca="1" si="378"/>
        <v>17882.539755931033</v>
      </c>
      <c r="AW499" s="808">
        <f t="shared" ca="1" si="378"/>
        <v>21790.543707587523</v>
      </c>
      <c r="AX499" s="808">
        <f t="shared" ca="1" si="378"/>
        <v>18752.199084462722</v>
      </c>
      <c r="AY499" s="807">
        <f t="shared" ca="1" si="378"/>
        <v>18752.199084462722</v>
      </c>
      <c r="AZ499" s="808">
        <f t="shared" ca="1" si="378"/>
        <v>16347.104537525516</v>
      </c>
      <c r="BA499" s="808">
        <f t="shared" ca="1" si="378"/>
        <v>18824.610692879996</v>
      </c>
      <c r="BB499" s="808">
        <f t="shared" ca="1" si="378"/>
        <v>17169.346110213271</v>
      </c>
      <c r="BC499" s="808">
        <f t="shared" ca="1" si="378"/>
        <v>18277.576616334976</v>
      </c>
      <c r="BD499" s="807">
        <f t="shared" ca="1" si="378"/>
        <v>18277.576616334976</v>
      </c>
      <c r="BE499" s="808">
        <f t="shared" ca="1" si="378"/>
        <v>17501.90734016725</v>
      </c>
      <c r="BF499" s="808">
        <f t="shared" ca="1" si="378"/>
        <v>21305.608997281091</v>
      </c>
      <c r="BG499" s="808">
        <f t="shared" ca="1" si="378"/>
        <v>22175.580308668905</v>
      </c>
      <c r="BH499" s="808">
        <f t="shared" ca="1" si="378"/>
        <v>31916.219617783729</v>
      </c>
      <c r="BI499" s="807">
        <f t="shared" ca="1" si="378"/>
        <v>31916.219617783729</v>
      </c>
      <c r="BJ499" s="1521">
        <f ca="1">BJ486+BJ495+BJ496+BJ497+BJ498</f>
        <v>43425.39531941247</v>
      </c>
      <c r="BK499" s="808">
        <f t="shared" ca="1" si="378"/>
        <v>10931.709541498663</v>
      </c>
      <c r="BL499" s="808">
        <f t="shared" ca="1" si="378"/>
        <v>10942.962449177059</v>
      </c>
      <c r="BM499" s="808">
        <f t="shared" ca="1" si="378"/>
        <v>11024.40075394417</v>
      </c>
      <c r="BN499" s="807">
        <f t="shared" ca="1" si="378"/>
        <v>11024.40075394417</v>
      </c>
      <c r="BO499" s="808">
        <f t="shared" ca="1" si="378"/>
        <v>11997.018156721133</v>
      </c>
      <c r="BP499" s="808">
        <f t="shared" ca="1" si="378"/>
        <v>12159.395335153673</v>
      </c>
      <c r="BQ499" s="808">
        <f t="shared" ca="1" si="378"/>
        <v>12163.376385907119</v>
      </c>
      <c r="BR499" s="808">
        <f t="shared" ca="1" si="378"/>
        <v>12238.168806510501</v>
      </c>
      <c r="BS499" s="807">
        <f t="shared" ca="1" si="378"/>
        <v>12238.168806510501</v>
      </c>
      <c r="BT499" s="807">
        <f t="shared" ca="1" si="378"/>
        <v>13419.318398213831</v>
      </c>
      <c r="BU499" s="807">
        <f t="shared" ca="1" si="378"/>
        <v>14524.357585342648</v>
      </c>
      <c r="BV499" s="807">
        <f t="shared" ca="1" si="378"/>
        <v>15413.591176551763</v>
      </c>
      <c r="BW499" s="122"/>
    </row>
    <row r="500" spans="1:75" hidden="1" outlineLevel="1" x14ac:dyDescent="0.5">
      <c r="A500" s="206"/>
      <c r="B500" s="522"/>
      <c r="C500" s="397"/>
      <c r="D500" s="397"/>
      <c r="E500" s="397"/>
      <c r="F500" s="397"/>
      <c r="G500" s="295"/>
      <c r="H500" s="295"/>
      <c r="I500" s="295"/>
      <c r="J500" s="295"/>
      <c r="K500" s="397"/>
      <c r="L500" s="295"/>
      <c r="M500" s="295"/>
      <c r="N500" s="295"/>
      <c r="O500" s="295"/>
      <c r="P500" s="397"/>
      <c r="Q500" s="295"/>
      <c r="R500" s="295"/>
      <c r="S500" s="295"/>
      <c r="T500" s="295"/>
      <c r="U500" s="397"/>
      <c r="V500" s="295"/>
      <c r="W500" s="295"/>
      <c r="X500" s="295"/>
      <c r="Y500" s="295"/>
      <c r="Z500" s="397"/>
      <c r="AA500" s="295"/>
      <c r="AB500" s="295"/>
      <c r="AC500" s="295"/>
      <c r="AD500" s="295"/>
      <c r="AE500" s="397"/>
      <c r="AF500" s="295"/>
      <c r="AG500" s="295"/>
      <c r="AH500" s="295"/>
      <c r="AI500" s="295"/>
      <c r="AJ500" s="397"/>
      <c r="AK500" s="295"/>
      <c r="AL500" s="295"/>
      <c r="AM500" s="295"/>
      <c r="AN500" s="295"/>
      <c r="AO500" s="397"/>
      <c r="AP500" s="295"/>
      <c r="AQ500" s="295"/>
      <c r="AR500" s="295"/>
      <c r="AS500" s="295"/>
      <c r="AT500" s="397"/>
      <c r="AU500" s="295"/>
      <c r="AV500" s="295"/>
      <c r="AW500" s="295"/>
      <c r="AX500" s="295"/>
      <c r="AY500" s="397"/>
      <c r="AZ500" s="295"/>
      <c r="BA500" s="295"/>
      <c r="BB500" s="295"/>
      <c r="BC500" s="295"/>
      <c r="BD500" s="397"/>
      <c r="BE500" s="295"/>
      <c r="BF500" s="295"/>
      <c r="BG500" s="295"/>
      <c r="BH500" s="295"/>
      <c r="BI500" s="397"/>
      <c r="BJ500" s="1030"/>
      <c r="BK500" s="295"/>
      <c r="BL500" s="295"/>
      <c r="BM500" s="295"/>
      <c r="BN500" s="397"/>
      <c r="BO500" s="295"/>
      <c r="BP500" s="295"/>
      <c r="BQ500" s="295"/>
      <c r="BR500" s="295"/>
      <c r="BS500" s="397"/>
      <c r="BT500" s="397"/>
      <c r="BU500" s="397"/>
      <c r="BV500" s="397"/>
      <c r="BW500" s="122"/>
    </row>
    <row r="501" spans="1:75" hidden="1" outlineLevel="1" x14ac:dyDescent="0.5">
      <c r="A501" s="752" t="s">
        <v>2469</v>
      </c>
      <c r="B501" s="513"/>
      <c r="C501" s="905"/>
      <c r="D501" s="905"/>
      <c r="E501" s="905"/>
      <c r="F501" s="905"/>
      <c r="G501" s="906"/>
      <c r="H501" s="906"/>
      <c r="I501" s="906"/>
      <c r="J501" s="906"/>
      <c r="K501" s="905"/>
      <c r="L501" s="906"/>
      <c r="M501" s="906"/>
      <c r="N501" s="906"/>
      <c r="O501" s="906"/>
      <c r="P501" s="905"/>
      <c r="Q501" s="906"/>
      <c r="R501" s="906"/>
      <c r="S501" s="906"/>
      <c r="T501" s="906"/>
      <c r="U501" s="905"/>
      <c r="V501" s="906"/>
      <c r="W501" s="906"/>
      <c r="X501" s="906"/>
      <c r="Y501" s="906"/>
      <c r="Z501" s="905"/>
      <c r="AA501" s="906"/>
      <c r="AB501" s="906"/>
      <c r="AC501" s="906"/>
      <c r="AD501" s="906"/>
      <c r="AE501" s="905"/>
      <c r="AF501" s="906"/>
      <c r="AG501" s="906"/>
      <c r="AH501" s="906"/>
      <c r="AI501" s="906"/>
      <c r="AJ501" s="905"/>
      <c r="AK501" s="906"/>
      <c r="AL501" s="906"/>
      <c r="AM501" s="906"/>
      <c r="AN501" s="906"/>
      <c r="AO501" s="905">
        <f ca="1">IFERROR(AO499/AT227,"n/a")</f>
        <v>0.60168685258472931</v>
      </c>
      <c r="AP501" s="906">
        <f ca="1">IFERROR(AP499/(AQ227+AR227+AS227+AU227),"n/a")</f>
        <v>0.49967880954076443</v>
      </c>
      <c r="AQ501" s="906">
        <f ca="1">IFERROR(AQ499/(AR227+AS227+AU227+AV227),"n/a")</f>
        <v>0.63215653217375012</v>
      </c>
      <c r="AR501" s="906">
        <f ca="1">IFERROR(AR499/(AS227+AU227+AV227+AW227),"n/a")</f>
        <v>0.74042332427767421</v>
      </c>
      <c r="AS501" s="906">
        <f ca="1">IFERROR(AS499/(AU227+AV227+AW227+AX227),"n/a")</f>
        <v>1.067915842220601</v>
      </c>
      <c r="AT501" s="905">
        <f ca="1">IFERROR(AT499/AY227,"n/a")</f>
        <v>1.0956825969774509</v>
      </c>
      <c r="AU501" s="906">
        <f ca="1">IFERROR(AU499/(AV227+AW227+AX227+AZ227),"n/a")</f>
        <v>1.5122319759189444</v>
      </c>
      <c r="AV501" s="906">
        <f ca="1">IFERROR(AV499/(AW227+AX227+AZ227+BA227),"n/a")</f>
        <v>1.4136555986037338</v>
      </c>
      <c r="AW501" s="906">
        <f ca="1">IFERROR(AW499/(AX227+AZ227+BA227+BB227),"n/a")</f>
        <v>1.7617385093563869</v>
      </c>
      <c r="AX501" s="906">
        <f ca="1">IFERROR(AX499/(AZ227+BA227+BB227+BC227),"n/a")</f>
        <v>1.5348010381783206</v>
      </c>
      <c r="AY501" s="905">
        <f ca="1">IFERROR(AY499/BD227,"n/a")</f>
        <v>1.5348010381783206</v>
      </c>
      <c r="AZ501" s="906">
        <f ca="1">IFERROR(AZ499/(BA227+BB227+BC227+BE227),"n/a")</f>
        <v>1.3623722424806664</v>
      </c>
      <c r="BA501" s="906">
        <f ca="1">IFERROR(BA499/(BB227+BC227+BE227+BF227),"n/a")</f>
        <v>1.583763309177183</v>
      </c>
      <c r="BB501" s="906">
        <f ca="1">IFERROR(BB499/(BC227+BE227+BF227+BG227),"n/a")</f>
        <v>1.4319721526449767</v>
      </c>
      <c r="BC501" s="906">
        <f ca="1">IFERROR(BC499/(BE227+BF227+BG227+BH227),"n/a")</f>
        <v>1.5227506970203262</v>
      </c>
      <c r="BD501" s="905">
        <f ca="1">IFERROR(BD499/BI227,"n/a")</f>
        <v>1.5227506970203262</v>
      </c>
      <c r="BE501" s="906">
        <f ca="1">IFERROR(BE499/(BF227+BG227+BH227+BJ227),"n/a")</f>
        <v>1.4636149306043862</v>
      </c>
      <c r="BF501" s="906">
        <f ca="1">IFERROR(BF499/(BG227+BH227+BJ227+BK227),"n/a")</f>
        <v>1.7747630223140403</v>
      </c>
      <c r="BG501" s="906">
        <f ca="1">IFERROR(BG499/(BH227+BJ227+BK227+BL227),"n/a")</f>
        <v>1.8405754366779414</v>
      </c>
      <c r="BH501" s="906">
        <f ca="1">IFERROR(BH499/(BJ227+BK227+BL227+BM227),"n/a")</f>
        <v>2.6389908675740488</v>
      </c>
      <c r="BI501" s="905">
        <f ca="1">IFERROR(BI499/BN227,"n/a")</f>
        <v>2.6389908675740488</v>
      </c>
      <c r="BJ501" s="1344">
        <f ca="1">IFERROR(BJ499/(BK227+BL227+BM227+BO227),"n/a")</f>
        <v>3.541790805001491</v>
      </c>
      <c r="BK501" s="906"/>
      <c r="BL501" s="906"/>
      <c r="BM501" s="906"/>
      <c r="BN501" s="905">
        <f ca="1">IFERROR(BN499/BS227,"n/a")</f>
        <v>0.8590583516957635</v>
      </c>
      <c r="BO501" s="906"/>
      <c r="BP501" s="906"/>
      <c r="BQ501" s="906"/>
      <c r="BR501" s="906"/>
      <c r="BS501" s="905">
        <f ca="1">IFERROR(BS499/BT227,"n/a")</f>
        <v>0.88999647874025212</v>
      </c>
      <c r="BT501" s="905">
        <f ca="1">IFERROR(BT499/BU227,"n/a")</f>
        <v>0.91076531593453225</v>
      </c>
      <c r="BU501" s="905">
        <f ca="1">IFERROR(BU499/BV227,"n/a")</f>
        <v>0.91997735034502304</v>
      </c>
      <c r="BV501" s="905"/>
      <c r="BW501" s="122"/>
    </row>
    <row r="502" spans="1:75" hidden="1" outlineLevel="1" x14ac:dyDescent="0.5">
      <c r="A502" s="752" t="s">
        <v>2470</v>
      </c>
      <c r="B502" s="513"/>
      <c r="C502" s="905"/>
      <c r="D502" s="905"/>
      <c r="E502" s="905"/>
      <c r="F502" s="905"/>
      <c r="G502" s="906"/>
      <c r="H502" s="906"/>
      <c r="I502" s="906"/>
      <c r="J502" s="906"/>
      <c r="K502" s="905"/>
      <c r="L502" s="906"/>
      <c r="M502" s="906"/>
      <c r="N502" s="906"/>
      <c r="O502" s="906"/>
      <c r="P502" s="905"/>
      <c r="Q502" s="906"/>
      <c r="R502" s="906"/>
      <c r="S502" s="906"/>
      <c r="T502" s="906"/>
      <c r="U502" s="905"/>
      <c r="V502" s="906"/>
      <c r="W502" s="906"/>
      <c r="X502" s="906"/>
      <c r="Y502" s="906"/>
      <c r="Z502" s="905"/>
      <c r="AA502" s="906"/>
      <c r="AB502" s="906"/>
      <c r="AC502" s="906"/>
      <c r="AD502" s="906"/>
      <c r="AE502" s="905"/>
      <c r="AF502" s="906"/>
      <c r="AG502" s="906"/>
      <c r="AH502" s="906"/>
      <c r="AI502" s="906"/>
      <c r="AJ502" s="905"/>
      <c r="AK502" s="906"/>
      <c r="AL502" s="906"/>
      <c r="AM502" s="906"/>
      <c r="AN502" s="906"/>
      <c r="AO502" s="905">
        <f ca="1">IFERROR(AO499/AT245,"n/a")</f>
        <v>8.9883432813173254</v>
      </c>
      <c r="AP502" s="906">
        <f ca="1">IFERROR(AP499/(AQ245+AR245+AS245+AU245),"n/a")</f>
        <v>5.9701559608244787</v>
      </c>
      <c r="AQ502" s="906">
        <f ca="1">IFERROR(AQ499/(AR245+AS245+AU245+AV245),"n/a")</f>
        <v>8.1538272766970774</v>
      </c>
      <c r="AR502" s="906">
        <f ca="1">IFERROR(AR499/(AS245+AU245+AV245+AW245),"n/a")</f>
        <v>11.874267003773411</v>
      </c>
      <c r="AS502" s="906">
        <f ca="1">IFERROR(AS499/(AU245+AV245+AW245+AX245),"n/a")</f>
        <v>23.849578229502857</v>
      </c>
      <c r="AT502" s="905">
        <f ca="1">IFERROR(AT499/AY245,"n/a")</f>
        <v>24.461917002226215</v>
      </c>
      <c r="AU502" s="906">
        <f ca="1">IFERROR(AU499/(AV245+AW245+AX245+AZ245),"n/a")</f>
        <v>67.777616149067583</v>
      </c>
      <c r="AV502" s="906">
        <f ca="1">IFERROR(AV499/(AW245+AX245+AZ245+BA245),"n/a")</f>
        <v>-144.44467582051129</v>
      </c>
      <c r="AW502" s="906">
        <f ca="1">IFERROR(AW499/(AX245+AZ245+BA245+BB245),"n/a")</f>
        <v>-62.463397785277706</v>
      </c>
      <c r="AX502" s="906">
        <f ca="1">IFERROR(AX499/(AZ245+BA245+BB245+BC245),"n/a")</f>
        <v>-45.07740164534308</v>
      </c>
      <c r="AY502" s="905">
        <f ca="1">IFERROR(AY499/BD245,"n/a")</f>
        <v>-45.07740164534308</v>
      </c>
      <c r="AZ502" s="906">
        <f ca="1">IFERROR(AZ499/(BA245+BB245+BC245+BE245),"n/a")</f>
        <v>-51.568153115222451</v>
      </c>
      <c r="BA502" s="906">
        <f ca="1">IFERROR(BA499/(BB245+BC245+BE245+BF245),"n/a")</f>
        <v>-232.40260114666663</v>
      </c>
      <c r="BB502" s="906">
        <f ca="1">IFERROR(BB499/(BC245+BE245+BF245+BG245),"n/a")</f>
        <v>120.06535741407882</v>
      </c>
      <c r="BC502" s="906">
        <f ca="1">IFERROR(BC499/(BE245+BF245+BG245+BH245),"n/a")</f>
        <v>59.730642537042407</v>
      </c>
      <c r="BD502" s="905">
        <f ca="1">IFERROR(BD499/BI245,"n/a")</f>
        <v>59.730642537042407</v>
      </c>
      <c r="BE502" s="906">
        <f ca="1">IFERROR(BE499/(BF245+BG245+BH245+BJ245),"n/a")</f>
        <v>44.308626177638608</v>
      </c>
      <c r="BF502" s="906">
        <f ca="1">IFERROR(BF499/(BG245+BH245+BJ245+BK245),"n/a")</f>
        <v>49.698037964077379</v>
      </c>
      <c r="BG502" s="906">
        <f ca="1">IFERROR(BG499/(BH245+BJ245+BK245+BL245),"n/a")</f>
        <v>57.373344652059252</v>
      </c>
      <c r="BH502" s="906">
        <f ca="1">IFERROR(BH499/(BJ245+BK245+BL245+BM245),"n/a")</f>
        <v>94.465292389993678</v>
      </c>
      <c r="BI502" s="905">
        <f ca="1">IFERROR(BI499/BN245,"n/a")</f>
        <v>94.465292389993678</v>
      </c>
      <c r="BJ502" s="1344">
        <f ca="1">IFERROR(BJ499/(BK245+BL245+BM245+BO245),"n/a")</f>
        <v>120.1429175616324</v>
      </c>
      <c r="BK502" s="906"/>
      <c r="BL502" s="906"/>
      <c r="BM502" s="906"/>
      <c r="BN502" s="905">
        <f ca="1">IFERROR(BN499/BS245,"n/a")</f>
        <v>49.866307589261055</v>
      </c>
      <c r="BO502" s="906"/>
      <c r="BP502" s="906"/>
      <c r="BQ502" s="906"/>
      <c r="BR502" s="906"/>
      <c r="BS502" s="905">
        <f ca="1">IFERROR(BS499/BT245,"n/a")</f>
        <v>27.397456413586266</v>
      </c>
      <c r="BT502" s="905">
        <f ca="1">IFERROR(BT499/BU245,"n/a")</f>
        <v>19.358901720105546</v>
      </c>
      <c r="BU502" s="905">
        <f ca="1">IFERROR(BU499/BV245,"n/a")</f>
        <v>14.834830552951425</v>
      </c>
      <c r="BV502" s="905"/>
      <c r="BW502" s="122"/>
    </row>
    <row r="503" spans="1:75" collapsed="1" x14ac:dyDescent="0.5">
      <c r="A503" s="752"/>
      <c r="B503" s="513"/>
      <c r="C503" s="401"/>
      <c r="D503" s="401"/>
      <c r="E503" s="401"/>
      <c r="F503" s="401"/>
      <c r="G503" s="118"/>
      <c r="H503" s="118"/>
      <c r="I503" s="118"/>
      <c r="J503" s="118"/>
      <c r="K503" s="401"/>
      <c r="L503" s="118"/>
      <c r="M503" s="118"/>
      <c r="N503" s="118"/>
      <c r="O503" s="118"/>
      <c r="P503" s="401"/>
      <c r="Q503" s="118"/>
      <c r="R503" s="118"/>
      <c r="S503" s="118"/>
      <c r="T503" s="118"/>
      <c r="U503" s="401"/>
      <c r="V503" s="118"/>
      <c r="W503" s="118"/>
      <c r="X503" s="118"/>
      <c r="Y503" s="118"/>
      <c r="Z503" s="401"/>
      <c r="AA503" s="118"/>
      <c r="AB503" s="118"/>
      <c r="AC503" s="118"/>
      <c r="AD503" s="118"/>
      <c r="AE503" s="401"/>
      <c r="AF503" s="118"/>
      <c r="AG503" s="118"/>
      <c r="AH503" s="118"/>
      <c r="AI503" s="118"/>
      <c r="AJ503" s="401"/>
      <c r="AK503" s="118"/>
      <c r="AL503" s="118"/>
      <c r="AM503" s="118"/>
      <c r="AN503" s="118"/>
      <c r="AO503" s="401"/>
      <c r="AP503" s="118"/>
      <c r="AQ503" s="118"/>
      <c r="AR503" s="118"/>
      <c r="AS503" s="118"/>
      <c r="AT503" s="401"/>
      <c r="AU503" s="118"/>
      <c r="AV503" s="118"/>
      <c r="AW503" s="118"/>
      <c r="AX503" s="118"/>
      <c r="AY503" s="401"/>
      <c r="AZ503" s="118"/>
      <c r="BA503" s="118"/>
      <c r="BB503" s="118"/>
      <c r="BC503" s="118"/>
      <c r="BD503" s="401"/>
      <c r="BE503" s="118"/>
      <c r="BF503" s="118"/>
      <c r="BG503" s="118"/>
      <c r="BH503" s="118"/>
      <c r="BI503" s="401"/>
      <c r="BJ503" s="971"/>
      <c r="BK503" s="118"/>
      <c r="BL503" s="118"/>
      <c r="BM503" s="118"/>
      <c r="BN503" s="401"/>
      <c r="BO503" s="118"/>
      <c r="BP503" s="118"/>
      <c r="BQ503" s="118"/>
      <c r="BR503" s="118"/>
      <c r="BS503" s="401"/>
      <c r="BT503" s="401"/>
      <c r="BU503" s="401"/>
      <c r="BV503" s="401"/>
      <c r="BW503" s="122"/>
    </row>
    <row r="504" spans="1:75" x14ac:dyDescent="0.5">
      <c r="A504" s="482" t="s">
        <v>2471</v>
      </c>
      <c r="B504" s="946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  <c r="AA504" s="239"/>
      <c r="AB504" s="239"/>
      <c r="AC504" s="239"/>
      <c r="AD504" s="239"/>
      <c r="AE504" s="239"/>
      <c r="AF504" s="239"/>
      <c r="AG504" s="239"/>
      <c r="AH504" s="239"/>
      <c r="AI504" s="239"/>
      <c r="AJ504" s="239"/>
      <c r="AK504" s="239"/>
      <c r="AL504" s="239"/>
      <c r="AM504" s="239"/>
      <c r="AN504" s="239"/>
      <c r="AO504" s="239"/>
      <c r="AP504" s="239"/>
      <c r="AQ504" s="239"/>
      <c r="AR504" s="239"/>
      <c r="AS504" s="239"/>
      <c r="AT504" s="239"/>
      <c r="AU504" s="239"/>
      <c r="AV504" s="239"/>
      <c r="AW504" s="239"/>
      <c r="AX504" s="239"/>
      <c r="AY504" s="239"/>
      <c r="AZ504" s="239"/>
      <c r="BA504" s="239"/>
      <c r="BB504" s="239"/>
      <c r="BC504" s="239"/>
      <c r="BD504" s="239"/>
      <c r="BE504" s="239"/>
      <c r="BF504" s="239"/>
      <c r="BG504" s="239"/>
      <c r="BH504" s="239"/>
      <c r="BI504" s="239"/>
      <c r="BJ504" s="241"/>
      <c r="BK504" s="239"/>
      <c r="BL504" s="239"/>
      <c r="BM504" s="239"/>
      <c r="BN504" s="239"/>
      <c r="BO504" s="239"/>
      <c r="BP504" s="239"/>
      <c r="BQ504" s="239"/>
      <c r="BR504" s="239"/>
      <c r="BS504" s="239"/>
      <c r="BT504" s="239"/>
      <c r="BU504" s="239"/>
      <c r="BV504" s="239"/>
      <c r="BW504" s="122"/>
    </row>
    <row r="505" spans="1:75" hidden="1" outlineLevel="1" x14ac:dyDescent="0.5">
      <c r="A505" s="482" t="s">
        <v>2472</v>
      </c>
      <c r="B505" s="946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  <c r="AA505" s="239"/>
      <c r="AB505" s="239"/>
      <c r="AC505" s="239"/>
      <c r="AD505" s="239"/>
      <c r="AE505" s="239"/>
      <c r="AF505" s="239"/>
      <c r="AG505" s="239"/>
      <c r="AH505" s="239"/>
      <c r="AI505" s="239"/>
      <c r="AJ505" s="239"/>
      <c r="AK505" s="239"/>
      <c r="AL505" s="239"/>
      <c r="AM505" s="239"/>
      <c r="AN505" s="239"/>
      <c r="AO505" s="239"/>
      <c r="AP505" s="239"/>
      <c r="AQ505" s="239"/>
      <c r="AR505" s="239"/>
      <c r="AS505" s="239"/>
      <c r="AT505" s="239"/>
      <c r="AU505" s="239"/>
      <c r="AV505" s="239"/>
      <c r="AW505" s="239"/>
      <c r="AX505" s="239"/>
      <c r="AY505" s="239"/>
      <c r="AZ505" s="239"/>
      <c r="BA505" s="239"/>
      <c r="BB505" s="239"/>
      <c r="BC505" s="239"/>
      <c r="BD505" s="239"/>
      <c r="BE505" s="239"/>
      <c r="BF505" s="239"/>
      <c r="BG505" s="239"/>
      <c r="BH505" s="239"/>
      <c r="BI505" s="239"/>
      <c r="BJ505" s="241"/>
      <c r="BK505" s="239"/>
      <c r="BL505" s="239"/>
      <c r="BM505" s="239"/>
      <c r="BN505" s="239"/>
      <c r="BO505" s="239"/>
      <c r="BP505" s="239"/>
      <c r="BQ505" s="239"/>
      <c r="BR505" s="239"/>
      <c r="BS505" s="239"/>
      <c r="BT505" s="239"/>
      <c r="BU505" s="239"/>
      <c r="BV505" s="239"/>
      <c r="BW505" s="122"/>
    </row>
    <row r="506" spans="1:75" hidden="1" outlineLevel="2" x14ac:dyDescent="0.5">
      <c r="A506" s="184" t="s">
        <v>2473</v>
      </c>
      <c r="B506" s="513"/>
      <c r="C506" s="401"/>
      <c r="D506" s="401"/>
      <c r="E506" s="401"/>
      <c r="F506" s="401"/>
      <c r="G506" s="118"/>
      <c r="H506" s="118" t="str">
        <f>IF(ISBLANK(G526),"",G526)</f>
        <v/>
      </c>
      <c r="I506" s="118" t="str">
        <f>IF(ISBLANK(H526),"",H526)</f>
        <v/>
      </c>
      <c r="J506" s="118" t="str">
        <f>IF(ISBLANK(I526),"",I526)</f>
        <v/>
      </c>
      <c r="K506" s="401"/>
      <c r="L506" s="118" t="str">
        <f>IF(ISBLANK(J526),"",J526)</f>
        <v/>
      </c>
      <c r="M506" s="118" t="str">
        <f>IF(ISBLANK(L526),"",L526)</f>
        <v/>
      </c>
      <c r="N506" s="118" t="str">
        <f>IF(ISBLANK(M526),"",M526)</f>
        <v/>
      </c>
      <c r="O506" s="118" t="str">
        <f>IF(ISBLANK(N526),"",N526)</f>
        <v/>
      </c>
      <c r="P506" s="401" t="str">
        <f>IF(ISBLANK(J543),"",J543)</f>
        <v/>
      </c>
      <c r="Q506" s="118" t="str">
        <f>IF(ISBLANK(O526),"",O526)</f>
        <v/>
      </c>
      <c r="R506" s="118" t="str">
        <f>IF(ISBLANK(Q526),"",Q526)</f>
        <v/>
      </c>
      <c r="S506" s="118" t="str">
        <f>IF(ISBLANK(R526),"",R526)</f>
        <v/>
      </c>
      <c r="T506" s="118" t="str">
        <f>IF(ISBLANK(S526),"",S526)</f>
        <v/>
      </c>
      <c r="U506" s="401" t="str">
        <f>IF(ISBLANK(O543),"",O543)</f>
        <v/>
      </c>
      <c r="V506" s="118" t="str">
        <f>IF(ISBLANK(T526),"",T526)</f>
        <v/>
      </c>
      <c r="W506" s="118" t="str">
        <f>IF(ISBLANK(V526),"",V526)</f>
        <v/>
      </c>
      <c r="X506" s="118" t="str">
        <f>IF(ISBLANK(W526),"",W526)</f>
        <v/>
      </c>
      <c r="Y506" s="118" t="str">
        <f>IF(ISBLANK(X526),"",X526)</f>
        <v/>
      </c>
      <c r="Z506" s="401" t="str">
        <f>IF(ISBLANK(T543),"",T543)</f>
        <v/>
      </c>
      <c r="AA506" s="118" t="str">
        <f>IF(ISBLANK(Y526),"",Y526)</f>
        <v/>
      </c>
      <c r="AB506" s="118" t="str">
        <f>IF(ISBLANK(AA526),"",AA526)</f>
        <v/>
      </c>
      <c r="AC506" s="118" t="str">
        <f>IF(ISBLANK(AB526),"",AB526)</f>
        <v/>
      </c>
      <c r="AD506" s="118" t="str">
        <f>IF(ISBLANK(AC526),"",AC526)</f>
        <v/>
      </c>
      <c r="AE506" s="401" t="str">
        <f>IF(ISBLANK(Y543),"",Y543)</f>
        <v/>
      </c>
      <c r="AF506" s="118" t="str">
        <f>IF(ISBLANK(AD526),"",AD526)</f>
        <v/>
      </c>
      <c r="AG506" s="118" t="str">
        <f>IF(ISBLANK(AF526),"",AF526)</f>
        <v/>
      </c>
      <c r="AH506" s="118" t="str">
        <f>IF(ISBLANK(AG526),"",AG526)</f>
        <v/>
      </c>
      <c r="AI506" s="118" t="str">
        <f>IF(ISBLANK(AH526),"",AH526)</f>
        <v/>
      </c>
      <c r="AJ506" s="401" t="str">
        <f>IF(ISBLANK(AD543),"",AD543)</f>
        <v/>
      </c>
      <c r="AK506" s="118" t="str">
        <f>IF(ISBLANK(AI526),"",AI526)</f>
        <v/>
      </c>
      <c r="AL506" s="118" t="str">
        <f>IF(ISBLANK(AK526),"",AK526)</f>
        <v/>
      </c>
      <c r="AM506" s="118" t="str">
        <f>IF(ISBLANK(AL526),"",AL526)</f>
        <v/>
      </c>
      <c r="AN506" s="118" t="str">
        <f>IF(ISBLANK(AM526),"",AM526)</f>
        <v/>
      </c>
      <c r="AO506" s="401" t="str">
        <f>IF(ISBLANK(AI543),"",AI543)</f>
        <v/>
      </c>
      <c r="AP506" s="118">
        <f>IF(ISBLANK(AN526),"",AN526)</f>
        <v>2256.0016399999995</v>
      </c>
      <c r="AQ506" s="118">
        <f>IF(ISBLANK(AP526),"",AP526)</f>
        <v>3632.0390500000003</v>
      </c>
      <c r="AR506" s="118">
        <f>IF(ISBLANK(AQ526),"",AQ526)</f>
        <v>3342.95615</v>
      </c>
      <c r="AS506" s="118" t="str">
        <f>IF(ISBLANK(AR526),"",AR526)</f>
        <v/>
      </c>
      <c r="AT506" s="401" t="str">
        <f>IF(ISBLANK(AN543),"",AN543)</f>
        <v/>
      </c>
      <c r="AU506" s="118" t="str">
        <f>IF(ISBLANK(AS526),"",AS526)</f>
        <v/>
      </c>
      <c r="AV506" s="118" t="str">
        <f>IF(ISBLANK(AU526),"",AU526)</f>
        <v/>
      </c>
      <c r="AW506" s="118" t="str">
        <f>IF(ISBLANK(AV526),"",AV526)</f>
        <v/>
      </c>
      <c r="AX506" s="118">
        <f>IF(ISBLANK(AW526),"",AW526)</f>
        <v>3303.7659000000008</v>
      </c>
      <c r="AY506" s="401" t="str">
        <f>IF(ISBLANK(AS543),"",AS543)</f>
        <v/>
      </c>
      <c r="AZ506" s="118" t="str">
        <f>IF(ISBLANK(AX526),"",AX526)</f>
        <v/>
      </c>
      <c r="BA506" s="118" t="str">
        <f>IF(ISBLANK(AZ526),"",AZ526)</f>
        <v/>
      </c>
      <c r="BB506" s="118">
        <f>IF(ISBLANK(BA526),"",BA526)</f>
        <v>2808.9747000000002</v>
      </c>
      <c r="BC506" s="118">
        <f>IF(ISBLANK(BB526),"",BB526)</f>
        <v>2991.631159999999</v>
      </c>
      <c r="BD506" s="401" t="str">
        <f>IF(ISBLANK(AX543),"",AX543)</f>
        <v/>
      </c>
      <c r="BE506" s="118">
        <f>IF(ISBLANK(BC526),"",BC526)</f>
        <v>2753.56</v>
      </c>
      <c r="BF506" s="118">
        <f>IF(ISBLANK(BE526),"",BE526)</f>
        <v>3563.1400000000003</v>
      </c>
      <c r="BG506" s="118">
        <f>IF(ISBLANK(BF526),"",BF526)</f>
        <v>2982</v>
      </c>
      <c r="BH506" s="118">
        <f>IF(ISBLANK(BG526),"",BG526)</f>
        <v>3147.5150000000003</v>
      </c>
      <c r="BI506" s="401" t="str">
        <f>IF(ISBLANK(BC543),"",BC543)</f>
        <v/>
      </c>
      <c r="BJ506" s="971">
        <f>IF(ISBLANK(BH526),"",BH526)</f>
        <v>2635.3</v>
      </c>
      <c r="BK506" s="118">
        <f>IF(ISBLANK(BJ526),"",BJ526)</f>
        <v>3218.5650000000001</v>
      </c>
      <c r="BL506" s="118" t="str">
        <f>IF(ISBLANK(BK526),"",BK526)</f>
        <v/>
      </c>
      <c r="BM506" s="118" t="str">
        <f>IF(ISBLANK(BL526),"",BL526)</f>
        <v/>
      </c>
      <c r="BN506" s="401" t="str">
        <f>IF(ISBLANK(BH543),"",BH543)</f>
        <v/>
      </c>
      <c r="BO506" s="118" t="str">
        <f>IF(ISBLANK(BM526),"",BM526)</f>
        <v/>
      </c>
      <c r="BP506" s="118" t="str">
        <f>IF(ISBLANK(BO526),"",BO526)</f>
        <v/>
      </c>
      <c r="BQ506" s="118" t="str">
        <f>IF(ISBLANK(BP526),"",BP526)</f>
        <v/>
      </c>
      <c r="BR506" s="118" t="str">
        <f>IF(ISBLANK(BQ526),"",BQ526)</f>
        <v/>
      </c>
      <c r="BS506" s="401" t="str">
        <f>IF(ISBLANK(BM543),"",BM543)</f>
        <v/>
      </c>
      <c r="BT506" s="401"/>
      <c r="BU506" s="401"/>
      <c r="BV506" s="401"/>
      <c r="BW506" s="118"/>
    </row>
    <row r="507" spans="1:75" hidden="1" outlineLevel="2" x14ac:dyDescent="0.5">
      <c r="A507" s="184" t="s">
        <v>2474</v>
      </c>
      <c r="B507" s="513"/>
      <c r="C507" s="401"/>
      <c r="D507" s="401"/>
      <c r="E507" s="401"/>
      <c r="F507" s="401"/>
      <c r="G507" s="118"/>
      <c r="H507" s="118"/>
      <c r="I507" s="118"/>
      <c r="J507" s="118"/>
      <c r="K507" s="401" t="str">
        <f>IF(ISBLANK(G543),"",G543)</f>
        <v/>
      </c>
      <c r="L507" s="118"/>
      <c r="M507" s="118"/>
      <c r="N507" s="118"/>
      <c r="O507" s="118"/>
      <c r="P507" s="401" t="str">
        <f>IF(ISBLANK(L543),"",L543)</f>
        <v/>
      </c>
      <c r="Q507" s="118"/>
      <c r="R507" s="118"/>
      <c r="S507" s="118"/>
      <c r="T507" s="118"/>
      <c r="U507" s="401" t="str">
        <f>IF(ISBLANK(Q543),"",Q543)</f>
        <v/>
      </c>
      <c r="V507" s="118"/>
      <c r="W507" s="118"/>
      <c r="X507" s="118"/>
      <c r="Y507" s="118"/>
      <c r="Z507" s="401" t="str">
        <f>IF(ISBLANK(V543),"",V543)</f>
        <v/>
      </c>
      <c r="AA507" s="118"/>
      <c r="AB507" s="118"/>
      <c r="AC507" s="118"/>
      <c r="AD507" s="118"/>
      <c r="AE507" s="401" t="str">
        <f>IF(ISBLANK(AA543),"",AA543)</f>
        <v/>
      </c>
      <c r="AF507" s="118"/>
      <c r="AG507" s="118"/>
      <c r="AH507" s="118"/>
      <c r="AI507" s="118"/>
      <c r="AJ507" s="401" t="str">
        <f>IF(ISBLANK(AF543),"",AF543)</f>
        <v/>
      </c>
      <c r="AK507" s="118"/>
      <c r="AL507" s="118"/>
      <c r="AM507" s="118"/>
      <c r="AN507" s="118"/>
      <c r="AO507" s="401" t="str">
        <f>IF(ISBLANK(AK543),"",AK543)</f>
        <v/>
      </c>
      <c r="AP507" s="118"/>
      <c r="AQ507" s="118"/>
      <c r="AR507" s="118"/>
      <c r="AS507" s="118"/>
      <c r="AT507" s="401" t="str">
        <f>IF(ISBLANK(AP543),"",AP543)</f>
        <v/>
      </c>
      <c r="AU507" s="118"/>
      <c r="AV507" s="118"/>
      <c r="AW507" s="118"/>
      <c r="AX507" s="118"/>
      <c r="AY507" s="401" t="str">
        <f>IF(ISBLANK(AU543),"",AU543)</f>
        <v/>
      </c>
      <c r="AZ507" s="118"/>
      <c r="BA507" s="118"/>
      <c r="BB507" s="118"/>
      <c r="BC507" s="118"/>
      <c r="BD507" s="401" t="str">
        <f>IF(ISBLANK(AZ543),"",AZ543)</f>
        <v/>
      </c>
      <c r="BE507" s="118"/>
      <c r="BF507" s="118"/>
      <c r="BG507" s="118"/>
      <c r="BH507" s="118"/>
      <c r="BI507" s="401" t="str">
        <f>IF(ISBLANK(BE543),"",BE543)</f>
        <v/>
      </c>
      <c r="BJ507" s="971"/>
      <c r="BK507" s="118"/>
      <c r="BL507" s="118"/>
      <c r="BM507" s="118"/>
      <c r="BN507" s="401" t="str">
        <f>IF(ISBLANK(BJ543),"",BJ543)</f>
        <v/>
      </c>
      <c r="BO507" s="118"/>
      <c r="BP507" s="118"/>
      <c r="BQ507" s="118"/>
      <c r="BR507" s="118"/>
      <c r="BS507" s="401" t="str">
        <f>IF(ISBLANK(BO543),"",BO543)</f>
        <v/>
      </c>
      <c r="BT507" s="401"/>
      <c r="BU507" s="401"/>
      <c r="BV507" s="401"/>
      <c r="BW507" s="118"/>
    </row>
    <row r="508" spans="1:75" hidden="1" outlineLevel="2" x14ac:dyDescent="0.5">
      <c r="A508" s="184" t="s">
        <v>2475</v>
      </c>
      <c r="B508" s="513"/>
      <c r="C508" s="401"/>
      <c r="D508" s="401"/>
      <c r="E508" s="401"/>
      <c r="F508" s="401"/>
      <c r="G508" s="118"/>
      <c r="H508" s="118"/>
      <c r="I508" s="118"/>
      <c r="J508" s="118"/>
      <c r="K508" s="401" t="str">
        <f>IF(ISBLANK(H543),"",H543)</f>
        <v/>
      </c>
      <c r="L508" s="118"/>
      <c r="M508" s="118"/>
      <c r="N508" s="118"/>
      <c r="O508" s="118"/>
      <c r="P508" s="401" t="str">
        <f>IF(ISBLANK(M543),"",M543)</f>
        <v/>
      </c>
      <c r="Q508" s="118"/>
      <c r="R508" s="118"/>
      <c r="S508" s="118"/>
      <c r="T508" s="118"/>
      <c r="U508" s="401" t="str">
        <f>IF(ISBLANK(R543),"",R543)</f>
        <v/>
      </c>
      <c r="V508" s="118"/>
      <c r="W508" s="118"/>
      <c r="X508" s="118"/>
      <c r="Y508" s="118"/>
      <c r="Z508" s="401" t="str">
        <f>IF(ISBLANK(W543),"",W543)</f>
        <v/>
      </c>
      <c r="AA508" s="118"/>
      <c r="AB508" s="118"/>
      <c r="AC508" s="118"/>
      <c r="AD508" s="118"/>
      <c r="AE508" s="401" t="str">
        <f>IF(ISBLANK(AB543),"",AB543)</f>
        <v/>
      </c>
      <c r="AF508" s="118"/>
      <c r="AG508" s="118"/>
      <c r="AH508" s="118"/>
      <c r="AI508" s="118"/>
      <c r="AJ508" s="401" t="str">
        <f>IF(ISBLANK(AG543),"",AG543)</f>
        <v/>
      </c>
      <c r="AK508" s="118"/>
      <c r="AL508" s="118"/>
      <c r="AM508" s="118"/>
      <c r="AN508" s="118"/>
      <c r="AO508" s="401" t="str">
        <f>IF(ISBLANK(AL543),"",AL543)</f>
        <v/>
      </c>
      <c r="AP508" s="118"/>
      <c r="AQ508" s="118"/>
      <c r="AR508" s="118"/>
      <c r="AS508" s="118"/>
      <c r="AT508" s="401" t="str">
        <f>IF(ISBLANK(AQ543),"",AQ543)</f>
        <v/>
      </c>
      <c r="AU508" s="118"/>
      <c r="AV508" s="118"/>
      <c r="AW508" s="118"/>
      <c r="AX508" s="118"/>
      <c r="AY508" s="401" t="str">
        <f>IF(ISBLANK(AV543),"",AV543)</f>
        <v/>
      </c>
      <c r="AZ508" s="118"/>
      <c r="BA508" s="118"/>
      <c r="BB508" s="118"/>
      <c r="BC508" s="118"/>
      <c r="BD508" s="401" t="str">
        <f>IF(ISBLANK(BA543),"",BA543)</f>
        <v/>
      </c>
      <c r="BE508" s="118"/>
      <c r="BF508" s="118"/>
      <c r="BG508" s="118"/>
      <c r="BH508" s="118"/>
      <c r="BI508" s="401" t="str">
        <f>IF(ISBLANK(BF543),"",BF543)</f>
        <v/>
      </c>
      <c r="BJ508" s="971"/>
      <c r="BK508" s="118"/>
      <c r="BL508" s="118"/>
      <c r="BM508" s="118"/>
      <c r="BN508" s="401" t="str">
        <f>IF(ISBLANK(BK543),"",BK543)</f>
        <v/>
      </c>
      <c r="BO508" s="118"/>
      <c r="BP508" s="118"/>
      <c r="BQ508" s="118"/>
      <c r="BR508" s="118"/>
      <c r="BS508" s="401" t="str">
        <f>IF(ISBLANK(BP543),"",BP543)</f>
        <v/>
      </c>
      <c r="BT508" s="401"/>
      <c r="BU508" s="401"/>
      <c r="BV508" s="401"/>
      <c r="BW508" s="118"/>
    </row>
    <row r="509" spans="1:75" hidden="1" outlineLevel="2" x14ac:dyDescent="0.5">
      <c r="A509" s="445" t="s">
        <v>2476</v>
      </c>
      <c r="B509" s="677"/>
      <c r="C509" s="406"/>
      <c r="D509" s="406"/>
      <c r="E509" s="406"/>
      <c r="F509" s="406"/>
      <c r="G509" s="723"/>
      <c r="H509" s="723"/>
      <c r="I509" s="723"/>
      <c r="J509" s="723"/>
      <c r="K509" s="406" t="str">
        <f>IF(ISBLANK(I543),"",I543)</f>
        <v/>
      </c>
      <c r="L509" s="723"/>
      <c r="M509" s="723"/>
      <c r="N509" s="723"/>
      <c r="O509" s="723"/>
      <c r="P509" s="406" t="str">
        <f>IF(ISBLANK(N543),"",N543)</f>
        <v/>
      </c>
      <c r="Q509" s="723"/>
      <c r="R509" s="723"/>
      <c r="S509" s="723"/>
      <c r="T509" s="723"/>
      <c r="U509" s="406" t="str">
        <f>IF(ISBLANK(S543),"",S543)</f>
        <v/>
      </c>
      <c r="V509" s="723"/>
      <c r="W509" s="723"/>
      <c r="X509" s="723"/>
      <c r="Y509" s="723"/>
      <c r="Z509" s="406" t="str">
        <f>IF(ISBLANK(X543),"",X543)</f>
        <v/>
      </c>
      <c r="AA509" s="723"/>
      <c r="AB509" s="723"/>
      <c r="AC509" s="723"/>
      <c r="AD509" s="723"/>
      <c r="AE509" s="406" t="str">
        <f>IF(ISBLANK(AC543),"",AC543)</f>
        <v/>
      </c>
      <c r="AF509" s="723"/>
      <c r="AG509" s="723"/>
      <c r="AH509" s="723"/>
      <c r="AI509" s="723"/>
      <c r="AJ509" s="406" t="str">
        <f>IF(ISBLANK(AH543),"",AH543)</f>
        <v/>
      </c>
      <c r="AK509" s="723"/>
      <c r="AL509" s="723"/>
      <c r="AM509" s="723"/>
      <c r="AN509" s="723"/>
      <c r="AO509" s="406" t="str">
        <f>IF(ISBLANK(AM543),"",AM543)</f>
        <v/>
      </c>
      <c r="AP509" s="723"/>
      <c r="AQ509" s="723"/>
      <c r="AR509" s="723"/>
      <c r="AS509" s="723"/>
      <c r="AT509" s="406" t="str">
        <f>IF(ISBLANK(AR543),"",AR543)</f>
        <v/>
      </c>
      <c r="AU509" s="723"/>
      <c r="AV509" s="723"/>
      <c r="AW509" s="723"/>
      <c r="AX509" s="723"/>
      <c r="AY509" s="406" t="str">
        <f>IF(ISBLANK(AW543),"",AW543)</f>
        <v/>
      </c>
      <c r="AZ509" s="723"/>
      <c r="BA509" s="723"/>
      <c r="BB509" s="723"/>
      <c r="BC509" s="723"/>
      <c r="BD509" s="406" t="str">
        <f>IF(ISBLANK(BB543),"",BB543)</f>
        <v/>
      </c>
      <c r="BE509" s="723"/>
      <c r="BF509" s="723"/>
      <c r="BG509" s="723"/>
      <c r="BH509" s="723"/>
      <c r="BI509" s="406" t="str">
        <f>IF(ISBLANK(BG543),"",BG543)</f>
        <v/>
      </c>
      <c r="BJ509" s="1049"/>
      <c r="BK509" s="723"/>
      <c r="BL509" s="723"/>
      <c r="BM509" s="723"/>
      <c r="BN509" s="406" t="str">
        <f>IF(ISBLANK(BL543),"",BL543)</f>
        <v/>
      </c>
      <c r="BO509" s="723"/>
      <c r="BP509" s="723"/>
      <c r="BQ509" s="723"/>
      <c r="BR509" s="723"/>
      <c r="BS509" s="406" t="str">
        <f>IF(ISBLANK(BQ543),"",BQ543)</f>
        <v/>
      </c>
      <c r="BT509" s="406"/>
      <c r="BU509" s="406"/>
      <c r="BV509" s="406"/>
      <c r="BW509" s="118"/>
    </row>
    <row r="510" spans="1:75" hidden="1" outlineLevel="1" x14ac:dyDescent="0.5">
      <c r="A510" s="752" t="s">
        <v>2477</v>
      </c>
      <c r="B510" s="513"/>
      <c r="C510" s="401"/>
      <c r="D510" s="401"/>
      <c r="E510" s="401"/>
      <c r="F510" s="401"/>
      <c r="G510" s="118" t="str">
        <f t="shared" ref="G510:BR510" si="379">IF(G509="",IF(G508="",IF(G507="",IF(G506="","",G506),G507),G508),G509)</f>
        <v/>
      </c>
      <c r="H510" s="118" t="str">
        <f t="shared" si="379"/>
        <v/>
      </c>
      <c r="I510" s="118" t="str">
        <f t="shared" si="379"/>
        <v/>
      </c>
      <c r="J510" s="118" t="str">
        <f t="shared" si="379"/>
        <v/>
      </c>
      <c r="K510" s="401" t="str">
        <f t="shared" si="379"/>
        <v/>
      </c>
      <c r="L510" s="118" t="str">
        <f t="shared" si="379"/>
        <v/>
      </c>
      <c r="M510" s="118" t="str">
        <f t="shared" si="379"/>
        <v/>
      </c>
      <c r="N510" s="118" t="str">
        <f t="shared" si="379"/>
        <v/>
      </c>
      <c r="O510" s="118" t="str">
        <f t="shared" si="379"/>
        <v/>
      </c>
      <c r="P510" s="401" t="str">
        <f t="shared" si="379"/>
        <v/>
      </c>
      <c r="Q510" s="118" t="str">
        <f t="shared" si="379"/>
        <v/>
      </c>
      <c r="R510" s="118" t="str">
        <f t="shared" si="379"/>
        <v/>
      </c>
      <c r="S510" s="118" t="str">
        <f t="shared" si="379"/>
        <v/>
      </c>
      <c r="T510" s="118" t="str">
        <f t="shared" si="379"/>
        <v/>
      </c>
      <c r="U510" s="401" t="str">
        <f t="shared" si="379"/>
        <v/>
      </c>
      <c r="V510" s="118" t="str">
        <f t="shared" si="379"/>
        <v/>
      </c>
      <c r="W510" s="118" t="str">
        <f t="shared" si="379"/>
        <v/>
      </c>
      <c r="X510" s="118" t="str">
        <f t="shared" si="379"/>
        <v/>
      </c>
      <c r="Y510" s="118" t="str">
        <f t="shared" si="379"/>
        <v/>
      </c>
      <c r="Z510" s="401" t="str">
        <f t="shared" si="379"/>
        <v/>
      </c>
      <c r="AA510" s="118" t="str">
        <f t="shared" si="379"/>
        <v/>
      </c>
      <c r="AB510" s="118" t="str">
        <f t="shared" si="379"/>
        <v/>
      </c>
      <c r="AC510" s="118" t="str">
        <f t="shared" si="379"/>
        <v/>
      </c>
      <c r="AD510" s="118" t="str">
        <f t="shared" si="379"/>
        <v/>
      </c>
      <c r="AE510" s="401" t="str">
        <f t="shared" si="379"/>
        <v/>
      </c>
      <c r="AF510" s="118" t="str">
        <f t="shared" si="379"/>
        <v/>
      </c>
      <c r="AG510" s="118" t="str">
        <f t="shared" si="379"/>
        <v/>
      </c>
      <c r="AH510" s="118" t="str">
        <f t="shared" si="379"/>
        <v/>
      </c>
      <c r="AI510" s="118" t="str">
        <f t="shared" si="379"/>
        <v/>
      </c>
      <c r="AJ510" s="401" t="str">
        <f t="shared" si="379"/>
        <v/>
      </c>
      <c r="AK510" s="118" t="str">
        <f t="shared" si="379"/>
        <v/>
      </c>
      <c r="AL510" s="118" t="str">
        <f t="shared" si="379"/>
        <v/>
      </c>
      <c r="AM510" s="118" t="str">
        <f t="shared" si="379"/>
        <v/>
      </c>
      <c r="AN510" s="118" t="str">
        <f t="shared" si="379"/>
        <v/>
      </c>
      <c r="AO510" s="401" t="str">
        <f t="shared" si="379"/>
        <v/>
      </c>
      <c r="AP510" s="118">
        <f t="shared" si="379"/>
        <v>2256.0016399999995</v>
      </c>
      <c r="AQ510" s="118">
        <f t="shared" si="379"/>
        <v>3632.0390500000003</v>
      </c>
      <c r="AR510" s="118">
        <f t="shared" si="379"/>
        <v>3342.95615</v>
      </c>
      <c r="AS510" s="118" t="str">
        <f t="shared" si="379"/>
        <v/>
      </c>
      <c r="AT510" s="401" t="str">
        <f t="shared" si="379"/>
        <v/>
      </c>
      <c r="AU510" s="118" t="str">
        <f t="shared" si="379"/>
        <v/>
      </c>
      <c r="AV510" s="118" t="str">
        <f t="shared" si="379"/>
        <v/>
      </c>
      <c r="AW510" s="118" t="str">
        <f t="shared" si="379"/>
        <v/>
      </c>
      <c r="AX510" s="118">
        <f t="shared" si="379"/>
        <v>3303.7659000000008</v>
      </c>
      <c r="AY510" s="401" t="str">
        <f t="shared" si="379"/>
        <v/>
      </c>
      <c r="AZ510" s="118" t="str">
        <f t="shared" si="379"/>
        <v/>
      </c>
      <c r="BA510" s="118" t="str">
        <f t="shared" si="379"/>
        <v/>
      </c>
      <c r="BB510" s="118">
        <f t="shared" si="379"/>
        <v>2808.9747000000002</v>
      </c>
      <c r="BC510" s="118">
        <f t="shared" si="379"/>
        <v>2991.631159999999</v>
      </c>
      <c r="BD510" s="401" t="str">
        <f t="shared" si="379"/>
        <v/>
      </c>
      <c r="BE510" s="118">
        <f t="shared" si="379"/>
        <v>2753.56</v>
      </c>
      <c r="BF510" s="118">
        <f t="shared" si="379"/>
        <v>3563.1400000000003</v>
      </c>
      <c r="BG510" s="118">
        <f t="shared" si="379"/>
        <v>2982</v>
      </c>
      <c r="BH510" s="118">
        <f t="shared" si="379"/>
        <v>3147.5150000000003</v>
      </c>
      <c r="BI510" s="401" t="str">
        <f t="shared" si="379"/>
        <v/>
      </c>
      <c r="BJ510" s="971">
        <f>IF(BJ509="",IF(BJ508="",IF(BJ507="",IF(BJ506="","",BJ506),BJ507),BJ508),BJ509)</f>
        <v>2635.3</v>
      </c>
      <c r="BK510" s="118">
        <f t="shared" si="379"/>
        <v>3218.5650000000001</v>
      </c>
      <c r="BL510" s="118" t="str">
        <f t="shared" si="379"/>
        <v/>
      </c>
      <c r="BM510" s="118" t="str">
        <f t="shared" si="379"/>
        <v/>
      </c>
      <c r="BN510" s="401" t="str">
        <f t="shared" si="379"/>
        <v/>
      </c>
      <c r="BO510" s="118" t="str">
        <f t="shared" si="379"/>
        <v/>
      </c>
      <c r="BP510" s="118" t="str">
        <f t="shared" si="379"/>
        <v/>
      </c>
      <c r="BQ510" s="118" t="str">
        <f t="shared" si="379"/>
        <v/>
      </c>
      <c r="BR510" s="118" t="str">
        <f t="shared" si="379"/>
        <v/>
      </c>
      <c r="BS510" s="401" t="str">
        <f t="shared" ref="BS510:BZ510" si="380">IF(BS509="",IF(BS508="",IF(BS507="",IF(BS506="","",BS506),BS507),BS508),BS509)</f>
        <v/>
      </c>
      <c r="BT510" s="401" t="str">
        <f t="shared" si="380"/>
        <v/>
      </c>
      <c r="BU510" s="401" t="str">
        <f t="shared" si="380"/>
        <v/>
      </c>
      <c r="BV510" s="401" t="str">
        <f t="shared" si="380"/>
        <v/>
      </c>
      <c r="BW510" s="118"/>
    </row>
    <row r="511" spans="1:75" hidden="1" outlineLevel="1" x14ac:dyDescent="0.5">
      <c r="A511" s="1522" t="s">
        <v>2478</v>
      </c>
      <c r="B511" s="677"/>
      <c r="C511" s="406">
        <f t="shared" ref="C511:BN511" si="381">C227</f>
        <v>0</v>
      </c>
      <c r="D511" s="406">
        <f t="shared" si="381"/>
        <v>0</v>
      </c>
      <c r="E511" s="406">
        <f t="shared" si="381"/>
        <v>517.33600000000001</v>
      </c>
      <c r="F511" s="406">
        <f t="shared" si="381"/>
        <v>601.02800000000002</v>
      </c>
      <c r="G511" s="723">
        <f t="shared" si="381"/>
        <v>179.83099999999999</v>
      </c>
      <c r="H511" s="723">
        <f t="shared" si="381"/>
        <v>203.37700000000001</v>
      </c>
      <c r="I511" s="723">
        <f t="shared" si="381"/>
        <v>237.30199999999999</v>
      </c>
      <c r="J511" s="723">
        <f t="shared" si="381"/>
        <v>295.33299999999997</v>
      </c>
      <c r="K511" s="406">
        <f t="shared" si="381"/>
        <v>915.84299999999996</v>
      </c>
      <c r="L511" s="723">
        <f t="shared" si="381"/>
        <v>278.70699999999999</v>
      </c>
      <c r="M511" s="723">
        <f t="shared" si="381"/>
        <v>295.43700000000001</v>
      </c>
      <c r="N511" s="723">
        <f t="shared" si="381"/>
        <v>336.18799999999999</v>
      </c>
      <c r="O511" s="723">
        <f t="shared" si="381"/>
        <v>408.61900000000003</v>
      </c>
      <c r="P511" s="406">
        <f t="shared" si="381"/>
        <v>1318.951</v>
      </c>
      <c r="Q511" s="723">
        <f t="shared" si="381"/>
        <v>424.37099999999998</v>
      </c>
      <c r="R511" s="723">
        <f t="shared" si="381"/>
        <v>491.75200000000001</v>
      </c>
      <c r="S511" s="723">
        <f t="shared" si="381"/>
        <v>593.97199999999998</v>
      </c>
      <c r="T511" s="723">
        <f t="shared" si="381"/>
        <v>739.79</v>
      </c>
      <c r="U511" s="406">
        <f t="shared" si="381"/>
        <v>2249.8850000000002</v>
      </c>
      <c r="V511" s="723">
        <f t="shared" si="381"/>
        <v>747.34799999999996</v>
      </c>
      <c r="W511" s="723">
        <f t="shared" si="381"/>
        <v>786.928</v>
      </c>
      <c r="X511" s="723">
        <f t="shared" si="381"/>
        <v>861.52499999999998</v>
      </c>
      <c r="Y511" s="723">
        <f t="shared" si="381"/>
        <v>984.55899999999997</v>
      </c>
      <c r="Z511" s="406">
        <f t="shared" si="381"/>
        <v>3380.36</v>
      </c>
      <c r="AA511" s="723">
        <f t="shared" si="381"/>
        <v>960.82500000000005</v>
      </c>
      <c r="AB511" s="723">
        <f t="shared" si="381"/>
        <v>1122.856</v>
      </c>
      <c r="AC511" s="723">
        <f t="shared" si="381"/>
        <v>1198.1980000000001</v>
      </c>
      <c r="AD511" s="723">
        <f t="shared" si="381"/>
        <v>1439.0160000000005</v>
      </c>
      <c r="AE511" s="406">
        <f t="shared" si="381"/>
        <v>4720.8950000000004</v>
      </c>
      <c r="AF511" s="723">
        <f t="shared" si="381"/>
        <v>1404.269</v>
      </c>
      <c r="AG511" s="723">
        <f t="shared" si="381"/>
        <v>1655.2560000000001</v>
      </c>
      <c r="AH511" s="723">
        <f t="shared" si="381"/>
        <v>1705.645</v>
      </c>
      <c r="AI511" s="723">
        <f t="shared" si="381"/>
        <v>2014.0039999999999</v>
      </c>
      <c r="AJ511" s="406">
        <f t="shared" si="381"/>
        <v>6779.174</v>
      </c>
      <c r="AK511" s="723">
        <f t="shared" si="381"/>
        <v>1944.829</v>
      </c>
      <c r="AL511" s="723">
        <f t="shared" si="381"/>
        <v>2343.2510000000002</v>
      </c>
      <c r="AM511" s="723">
        <f t="shared" si="381"/>
        <v>2305.4870000000001</v>
      </c>
      <c r="AN511" s="723">
        <f t="shared" si="381"/>
        <v>2533.4900000000007</v>
      </c>
      <c r="AO511" s="406">
        <f t="shared" si="381"/>
        <v>9127.0570000000007</v>
      </c>
      <c r="AP511" s="723">
        <f t="shared" si="381"/>
        <v>2330.0630000000001</v>
      </c>
      <c r="AQ511" s="723">
        <f t="shared" si="381"/>
        <v>4304.6719999999996</v>
      </c>
      <c r="AR511" s="723">
        <f t="shared" si="381"/>
        <v>3839.57</v>
      </c>
      <c r="AS511" s="723">
        <f t="shared" si="381"/>
        <v>3670.8510000000006</v>
      </c>
      <c r="AT511" s="406">
        <f t="shared" si="381"/>
        <v>14145.156000000001</v>
      </c>
      <c r="AU511" s="723">
        <f t="shared" si="381"/>
        <v>3477.518</v>
      </c>
      <c r="AV511" s="723">
        <f t="shared" si="381"/>
        <v>3857.6260000000002</v>
      </c>
      <c r="AW511" s="723">
        <f t="shared" si="381"/>
        <v>3121.0830000000001</v>
      </c>
      <c r="AX511" s="723">
        <f t="shared" si="381"/>
        <v>3251.7729999999992</v>
      </c>
      <c r="AY511" s="406">
        <f t="shared" si="381"/>
        <v>13708</v>
      </c>
      <c r="AZ511" s="723">
        <f t="shared" si="381"/>
        <v>2993</v>
      </c>
      <c r="BA511" s="723">
        <f t="shared" si="381"/>
        <v>3284</v>
      </c>
      <c r="BB511" s="723">
        <f t="shared" si="381"/>
        <v>2840</v>
      </c>
      <c r="BC511" s="723">
        <f t="shared" si="381"/>
        <v>3101</v>
      </c>
      <c r="BD511" s="406">
        <f t="shared" si="381"/>
        <v>12218</v>
      </c>
      <c r="BE511" s="723">
        <f t="shared" si="381"/>
        <v>2774</v>
      </c>
      <c r="BF511" s="723">
        <f t="shared" si="381"/>
        <v>3171</v>
      </c>
      <c r="BG511" s="723">
        <f t="shared" si="381"/>
        <v>2944</v>
      </c>
      <c r="BH511" s="723">
        <f t="shared" si="381"/>
        <v>3114</v>
      </c>
      <c r="BI511" s="406">
        <f t="shared" si="381"/>
        <v>12003</v>
      </c>
      <c r="BJ511" s="1049">
        <f t="shared" si="381"/>
        <v>2729</v>
      </c>
      <c r="BK511" s="723">
        <f t="shared" si="381"/>
        <v>3217.762737</v>
      </c>
      <c r="BL511" s="723">
        <f t="shared" si="381"/>
        <v>2987.4151680000009</v>
      </c>
      <c r="BM511" s="723">
        <f t="shared" si="381"/>
        <v>3159.9221579999999</v>
      </c>
      <c r="BN511" s="406">
        <f t="shared" si="381"/>
        <v>12094.100063</v>
      </c>
      <c r="BO511" s="723">
        <f t="shared" ref="BO511:BV511" si="382">BO227</f>
        <v>2895.7582740000003</v>
      </c>
      <c r="BP511" s="723">
        <f t="shared" si="382"/>
        <v>3414.3873468071233</v>
      </c>
      <c r="BQ511" s="723">
        <f t="shared" si="382"/>
        <v>3169.9641592558091</v>
      </c>
      <c r="BR511" s="723">
        <f t="shared" si="382"/>
        <v>3353.0123613867486</v>
      </c>
      <c r="BS511" s="406">
        <f t="shared" si="382"/>
        <v>12833.122141449681</v>
      </c>
      <c r="BT511" s="406">
        <f t="shared" si="382"/>
        <v>13750.805872662608</v>
      </c>
      <c r="BU511" s="406">
        <f t="shared" si="382"/>
        <v>14734.11224981084</v>
      </c>
      <c r="BV511" s="406">
        <f t="shared" si="382"/>
        <v>15787.733882682563</v>
      </c>
      <c r="BW511" s="118"/>
    </row>
    <row r="512" spans="1:75" hidden="1" outlineLevel="1" x14ac:dyDescent="0.5">
      <c r="A512" s="879" t="s">
        <v>2479</v>
      </c>
      <c r="B512" s="880"/>
      <c r="C512" s="1250"/>
      <c r="D512" s="1250"/>
      <c r="E512" s="1250"/>
      <c r="F512" s="1250"/>
      <c r="G512" s="321" t="str">
        <f t="shared" ref="G512:BR512" si="383">IFERROR(G511-G510,"")</f>
        <v/>
      </c>
      <c r="H512" s="321" t="str">
        <f t="shared" si="383"/>
        <v/>
      </c>
      <c r="I512" s="321" t="str">
        <f t="shared" si="383"/>
        <v/>
      </c>
      <c r="J512" s="321" t="str">
        <f t="shared" si="383"/>
        <v/>
      </c>
      <c r="K512" s="1250" t="str">
        <f t="shared" si="383"/>
        <v/>
      </c>
      <c r="L512" s="321" t="str">
        <f t="shared" si="383"/>
        <v/>
      </c>
      <c r="M512" s="321" t="str">
        <f t="shared" si="383"/>
        <v/>
      </c>
      <c r="N512" s="321" t="str">
        <f t="shared" si="383"/>
        <v/>
      </c>
      <c r="O512" s="321" t="str">
        <f t="shared" si="383"/>
        <v/>
      </c>
      <c r="P512" s="1250" t="str">
        <f t="shared" si="383"/>
        <v/>
      </c>
      <c r="Q512" s="321" t="str">
        <f t="shared" si="383"/>
        <v/>
      </c>
      <c r="R512" s="321" t="str">
        <f t="shared" si="383"/>
        <v/>
      </c>
      <c r="S512" s="321" t="str">
        <f t="shared" si="383"/>
        <v/>
      </c>
      <c r="T512" s="321" t="str">
        <f t="shared" si="383"/>
        <v/>
      </c>
      <c r="U512" s="1250" t="str">
        <f t="shared" si="383"/>
        <v/>
      </c>
      <c r="V512" s="321" t="str">
        <f t="shared" si="383"/>
        <v/>
      </c>
      <c r="W512" s="321" t="str">
        <f t="shared" si="383"/>
        <v/>
      </c>
      <c r="X512" s="321" t="str">
        <f t="shared" si="383"/>
        <v/>
      </c>
      <c r="Y512" s="321" t="str">
        <f t="shared" si="383"/>
        <v/>
      </c>
      <c r="Z512" s="1250" t="str">
        <f t="shared" si="383"/>
        <v/>
      </c>
      <c r="AA512" s="321" t="str">
        <f t="shared" si="383"/>
        <v/>
      </c>
      <c r="AB512" s="321" t="str">
        <f t="shared" si="383"/>
        <v/>
      </c>
      <c r="AC512" s="321" t="str">
        <f t="shared" si="383"/>
        <v/>
      </c>
      <c r="AD512" s="321" t="str">
        <f t="shared" si="383"/>
        <v/>
      </c>
      <c r="AE512" s="1250" t="str">
        <f t="shared" si="383"/>
        <v/>
      </c>
      <c r="AF512" s="321" t="str">
        <f t="shared" si="383"/>
        <v/>
      </c>
      <c r="AG512" s="321" t="str">
        <f t="shared" si="383"/>
        <v/>
      </c>
      <c r="AH512" s="321" t="str">
        <f t="shared" si="383"/>
        <v/>
      </c>
      <c r="AI512" s="321" t="str">
        <f t="shared" si="383"/>
        <v/>
      </c>
      <c r="AJ512" s="1250" t="str">
        <f t="shared" si="383"/>
        <v/>
      </c>
      <c r="AK512" s="321" t="str">
        <f t="shared" si="383"/>
        <v/>
      </c>
      <c r="AL512" s="321" t="str">
        <f t="shared" si="383"/>
        <v/>
      </c>
      <c r="AM512" s="321" t="str">
        <f t="shared" si="383"/>
        <v/>
      </c>
      <c r="AN512" s="321" t="str">
        <f t="shared" si="383"/>
        <v/>
      </c>
      <c r="AO512" s="1250" t="str">
        <f t="shared" si="383"/>
        <v/>
      </c>
      <c r="AP512" s="321">
        <f t="shared" si="383"/>
        <v>74.061360000000604</v>
      </c>
      <c r="AQ512" s="321">
        <f t="shared" si="383"/>
        <v>672.63294999999925</v>
      </c>
      <c r="AR512" s="321">
        <f t="shared" si="383"/>
        <v>496.61385000000018</v>
      </c>
      <c r="AS512" s="321" t="str">
        <f t="shared" si="383"/>
        <v/>
      </c>
      <c r="AT512" s="1250" t="str">
        <f t="shared" si="383"/>
        <v/>
      </c>
      <c r="AU512" s="321" t="str">
        <f t="shared" si="383"/>
        <v/>
      </c>
      <c r="AV512" s="321" t="str">
        <f t="shared" si="383"/>
        <v/>
      </c>
      <c r="AW512" s="321" t="str">
        <f t="shared" si="383"/>
        <v/>
      </c>
      <c r="AX512" s="321">
        <f t="shared" si="383"/>
        <v>-51.992900000001555</v>
      </c>
      <c r="AY512" s="1250" t="str">
        <f t="shared" si="383"/>
        <v/>
      </c>
      <c r="AZ512" s="321" t="str">
        <f t="shared" si="383"/>
        <v/>
      </c>
      <c r="BA512" s="321" t="str">
        <f t="shared" si="383"/>
        <v/>
      </c>
      <c r="BB512" s="321">
        <f t="shared" si="383"/>
        <v>31.025299999999788</v>
      </c>
      <c r="BC512" s="321">
        <f t="shared" si="383"/>
        <v>109.368840000001</v>
      </c>
      <c r="BD512" s="1250" t="str">
        <f t="shared" si="383"/>
        <v/>
      </c>
      <c r="BE512" s="321">
        <f t="shared" si="383"/>
        <v>20.440000000000055</v>
      </c>
      <c r="BF512" s="321">
        <f t="shared" si="383"/>
        <v>-392.14000000000033</v>
      </c>
      <c r="BG512" s="321">
        <f t="shared" si="383"/>
        <v>-38</v>
      </c>
      <c r="BH512" s="321">
        <f t="shared" si="383"/>
        <v>-33.515000000000327</v>
      </c>
      <c r="BI512" s="1250" t="str">
        <f t="shared" si="383"/>
        <v/>
      </c>
      <c r="BJ512" s="1251">
        <f>IFERROR(BJ511-BJ510,"")</f>
        <v>93.699999999999818</v>
      </c>
      <c r="BK512" s="321">
        <f t="shared" si="383"/>
        <v>-0.80226300000003903</v>
      </c>
      <c r="BL512" s="321" t="str">
        <f t="shared" si="383"/>
        <v/>
      </c>
      <c r="BM512" s="321" t="str">
        <f t="shared" si="383"/>
        <v/>
      </c>
      <c r="BN512" s="1250" t="str">
        <f t="shared" si="383"/>
        <v/>
      </c>
      <c r="BO512" s="321" t="str">
        <f t="shared" si="383"/>
        <v/>
      </c>
      <c r="BP512" s="321" t="str">
        <f t="shared" si="383"/>
        <v/>
      </c>
      <c r="BQ512" s="321" t="str">
        <f t="shared" si="383"/>
        <v/>
      </c>
      <c r="BR512" s="321" t="str">
        <f t="shared" si="383"/>
        <v/>
      </c>
      <c r="BS512" s="1250" t="str">
        <f t="shared" ref="BS512:BZ512" si="384">IFERROR(BS511-BS510,"")</f>
        <v/>
      </c>
      <c r="BT512" s="1250" t="str">
        <f t="shared" si="384"/>
        <v/>
      </c>
      <c r="BU512" s="1250" t="str">
        <f t="shared" si="384"/>
        <v/>
      </c>
      <c r="BV512" s="1250" t="str">
        <f t="shared" si="384"/>
        <v/>
      </c>
      <c r="BW512" s="118"/>
    </row>
    <row r="513" spans="1:75" hidden="1" outlineLevel="1" x14ac:dyDescent="0.5">
      <c r="A513" s="1136" t="s">
        <v>2480</v>
      </c>
      <c r="B513" s="1523"/>
      <c r="C513" s="1138"/>
      <c r="D513" s="1138"/>
      <c r="E513" s="1138"/>
      <c r="F513" s="1138"/>
      <c r="G513" s="1139" t="str">
        <f t="shared" ref="G513:BR513" si="385">IFERROR(G512/ABS(G510),"")</f>
        <v/>
      </c>
      <c r="H513" s="1139" t="str">
        <f t="shared" si="385"/>
        <v/>
      </c>
      <c r="I513" s="1139" t="str">
        <f t="shared" si="385"/>
        <v/>
      </c>
      <c r="J513" s="1139" t="str">
        <f t="shared" si="385"/>
        <v/>
      </c>
      <c r="K513" s="1138" t="str">
        <f t="shared" si="385"/>
        <v/>
      </c>
      <c r="L513" s="1139" t="str">
        <f t="shared" si="385"/>
        <v/>
      </c>
      <c r="M513" s="1139" t="str">
        <f t="shared" si="385"/>
        <v/>
      </c>
      <c r="N513" s="1139" t="str">
        <f t="shared" si="385"/>
        <v/>
      </c>
      <c r="O513" s="1139" t="str">
        <f t="shared" si="385"/>
        <v/>
      </c>
      <c r="P513" s="1138" t="str">
        <f t="shared" si="385"/>
        <v/>
      </c>
      <c r="Q513" s="1139" t="str">
        <f t="shared" si="385"/>
        <v/>
      </c>
      <c r="R513" s="1139" t="str">
        <f t="shared" si="385"/>
        <v/>
      </c>
      <c r="S513" s="1139" t="str">
        <f t="shared" si="385"/>
        <v/>
      </c>
      <c r="T513" s="1139" t="str">
        <f t="shared" si="385"/>
        <v/>
      </c>
      <c r="U513" s="1138" t="str">
        <f t="shared" si="385"/>
        <v/>
      </c>
      <c r="V513" s="1139" t="str">
        <f t="shared" si="385"/>
        <v/>
      </c>
      <c r="W513" s="1139" t="str">
        <f t="shared" si="385"/>
        <v/>
      </c>
      <c r="X513" s="1139" t="str">
        <f t="shared" si="385"/>
        <v/>
      </c>
      <c r="Y513" s="1139" t="str">
        <f t="shared" si="385"/>
        <v/>
      </c>
      <c r="Z513" s="1138" t="str">
        <f t="shared" si="385"/>
        <v/>
      </c>
      <c r="AA513" s="1139" t="str">
        <f t="shared" si="385"/>
        <v/>
      </c>
      <c r="AB513" s="1139" t="str">
        <f t="shared" si="385"/>
        <v/>
      </c>
      <c r="AC513" s="1139" t="str">
        <f t="shared" si="385"/>
        <v/>
      </c>
      <c r="AD513" s="1139" t="str">
        <f t="shared" si="385"/>
        <v/>
      </c>
      <c r="AE513" s="1138" t="str">
        <f t="shared" si="385"/>
        <v/>
      </c>
      <c r="AF513" s="1139" t="str">
        <f t="shared" si="385"/>
        <v/>
      </c>
      <c r="AG513" s="1139" t="str">
        <f t="shared" si="385"/>
        <v/>
      </c>
      <c r="AH513" s="1139" t="str">
        <f t="shared" si="385"/>
        <v/>
      </c>
      <c r="AI513" s="1139" t="str">
        <f t="shared" si="385"/>
        <v/>
      </c>
      <c r="AJ513" s="1138" t="str">
        <f t="shared" si="385"/>
        <v/>
      </c>
      <c r="AK513" s="1139" t="str">
        <f t="shared" si="385"/>
        <v/>
      </c>
      <c r="AL513" s="1139" t="str">
        <f t="shared" si="385"/>
        <v/>
      </c>
      <c r="AM513" s="1139" t="str">
        <f t="shared" si="385"/>
        <v/>
      </c>
      <c r="AN513" s="1139" t="str">
        <f t="shared" si="385"/>
        <v/>
      </c>
      <c r="AO513" s="1138" t="str">
        <f t="shared" si="385"/>
        <v/>
      </c>
      <c r="AP513" s="1139">
        <f t="shared" si="385"/>
        <v>3.2828593156519432E-2</v>
      </c>
      <c r="AQ513" s="1139">
        <f t="shared" si="385"/>
        <v>0.1851943056614436</v>
      </c>
      <c r="AR513" s="1139">
        <f t="shared" si="385"/>
        <v>0.14855529887820998</v>
      </c>
      <c r="AS513" s="1139" t="str">
        <f t="shared" si="385"/>
        <v/>
      </c>
      <c r="AT513" s="1138" t="str">
        <f t="shared" si="385"/>
        <v/>
      </c>
      <c r="AU513" s="1139" t="str">
        <f t="shared" si="385"/>
        <v/>
      </c>
      <c r="AV513" s="1139" t="str">
        <f t="shared" si="385"/>
        <v/>
      </c>
      <c r="AW513" s="1139" t="str">
        <f t="shared" si="385"/>
        <v/>
      </c>
      <c r="AX513" s="1139">
        <f t="shared" si="385"/>
        <v>-1.5737464933578235E-2</v>
      </c>
      <c r="AY513" s="1138" t="str">
        <f t="shared" si="385"/>
        <v/>
      </c>
      <c r="AZ513" s="1139" t="str">
        <f t="shared" si="385"/>
        <v/>
      </c>
      <c r="BA513" s="1139" t="str">
        <f t="shared" si="385"/>
        <v/>
      </c>
      <c r="BB513" s="1139">
        <f t="shared" si="385"/>
        <v>1.1045062100416848E-2</v>
      </c>
      <c r="BC513" s="1139">
        <f t="shared" si="385"/>
        <v>3.6558263419077718E-2</v>
      </c>
      <c r="BD513" s="1138" t="str">
        <f t="shared" si="385"/>
        <v/>
      </c>
      <c r="BE513" s="1139">
        <f t="shared" si="385"/>
        <v>7.423117709437984E-3</v>
      </c>
      <c r="BF513" s="1139">
        <f t="shared" si="385"/>
        <v>-0.11005461474991168</v>
      </c>
      <c r="BG513" s="1139">
        <f t="shared" si="385"/>
        <v>-1.2743125419181758E-2</v>
      </c>
      <c r="BH513" s="1139">
        <f t="shared" si="385"/>
        <v>-1.0648082693807757E-2</v>
      </c>
      <c r="BI513" s="1138" t="str">
        <f t="shared" si="385"/>
        <v/>
      </c>
      <c r="BJ513" s="1140">
        <f>IFERROR(BJ512/ABS(BJ510),"")</f>
        <v>3.555572420597268E-2</v>
      </c>
      <c r="BK513" s="1139">
        <f t="shared" si="385"/>
        <v>-2.4926108374385449E-4</v>
      </c>
      <c r="BL513" s="1139" t="str">
        <f t="shared" si="385"/>
        <v/>
      </c>
      <c r="BM513" s="1139" t="str">
        <f t="shared" si="385"/>
        <v/>
      </c>
      <c r="BN513" s="1138" t="str">
        <f t="shared" si="385"/>
        <v/>
      </c>
      <c r="BO513" s="1139" t="str">
        <f t="shared" si="385"/>
        <v/>
      </c>
      <c r="BP513" s="1139" t="str">
        <f t="shared" si="385"/>
        <v/>
      </c>
      <c r="BQ513" s="1139" t="str">
        <f t="shared" si="385"/>
        <v/>
      </c>
      <c r="BR513" s="1139" t="str">
        <f t="shared" si="385"/>
        <v/>
      </c>
      <c r="BS513" s="1138" t="str">
        <f t="shared" ref="BS513:BZ513" si="386">IFERROR(BS512/ABS(BS510),"")</f>
        <v/>
      </c>
      <c r="BT513" s="1138" t="str">
        <f t="shared" si="386"/>
        <v/>
      </c>
      <c r="BU513" s="1138" t="str">
        <f t="shared" si="386"/>
        <v/>
      </c>
      <c r="BV513" s="1138" t="str">
        <f t="shared" si="386"/>
        <v/>
      </c>
      <c r="BW513" s="118"/>
    </row>
    <row r="514" spans="1:75" hidden="1" outlineLevel="1" x14ac:dyDescent="0.5">
      <c r="A514" s="1524"/>
      <c r="B514" s="513"/>
      <c r="C514" s="401"/>
      <c r="D514" s="401"/>
      <c r="E514" s="401"/>
      <c r="F514" s="401"/>
      <c r="G514" s="118"/>
      <c r="H514" s="118"/>
      <c r="I514" s="118"/>
      <c r="J514" s="118"/>
      <c r="K514" s="401"/>
      <c r="L514" s="118"/>
      <c r="M514" s="118"/>
      <c r="N514" s="118"/>
      <c r="O514" s="118"/>
      <c r="P514" s="401"/>
      <c r="Q514" s="118"/>
      <c r="R514" s="118"/>
      <c r="S514" s="118"/>
      <c r="T514" s="118"/>
      <c r="U514" s="401"/>
      <c r="V514" s="118"/>
      <c r="W514" s="118"/>
      <c r="X514" s="118"/>
      <c r="Y514" s="118"/>
      <c r="Z514" s="401"/>
      <c r="AA514" s="118"/>
      <c r="AB514" s="118"/>
      <c r="AC514" s="118"/>
      <c r="AD514" s="118"/>
      <c r="AE514" s="401"/>
      <c r="AF514" s="118"/>
      <c r="AG514" s="118"/>
      <c r="AH514" s="118"/>
      <c r="AI514" s="118"/>
      <c r="AJ514" s="401"/>
      <c r="AK514" s="118"/>
      <c r="AL514" s="118"/>
      <c r="AM514" s="118"/>
      <c r="AN514" s="118"/>
      <c r="AO514" s="401"/>
      <c r="AP514" s="118"/>
      <c r="AQ514" s="118"/>
      <c r="AR514" s="118"/>
      <c r="AS514" s="118"/>
      <c r="AT514" s="401"/>
      <c r="AU514" s="118"/>
      <c r="AV514" s="118"/>
      <c r="AW514" s="118"/>
      <c r="AX514" s="118"/>
      <c r="AY514" s="401"/>
      <c r="AZ514" s="118"/>
      <c r="BA514" s="118"/>
      <c r="BB514" s="118"/>
      <c r="BC514" s="118"/>
      <c r="BD514" s="401"/>
      <c r="BE514" s="118"/>
      <c r="BF514" s="118"/>
      <c r="BG514" s="118"/>
      <c r="BH514" s="118"/>
      <c r="BI514" s="401"/>
      <c r="BJ514" s="971"/>
      <c r="BK514" s="118"/>
      <c r="BL514" s="118"/>
      <c r="BM514" s="118"/>
      <c r="BN514" s="401"/>
      <c r="BO514" s="118"/>
      <c r="BP514" s="118"/>
      <c r="BQ514" s="118"/>
      <c r="BR514" s="118"/>
      <c r="BS514" s="401"/>
      <c r="BT514" s="401"/>
      <c r="BU514" s="401"/>
      <c r="BV514" s="401"/>
      <c r="BW514" s="118"/>
    </row>
    <row r="515" spans="1:75" hidden="1" outlineLevel="1" x14ac:dyDescent="0.5">
      <c r="A515" s="170" t="s">
        <v>2481</v>
      </c>
      <c r="B515" s="720"/>
      <c r="C515" s="417"/>
      <c r="D515" s="417"/>
      <c r="E515" s="417"/>
      <c r="F515" s="417"/>
      <c r="G515" s="378"/>
      <c r="H515" s="378" t="str">
        <f>IF(H510="","",H510/G511-1)</f>
        <v/>
      </c>
      <c r="I515" s="378" t="str">
        <f>IF(I510="","",I510/H511-1)</f>
        <v/>
      </c>
      <c r="J515" s="378" t="str">
        <f>IF(J510="","",J510/I511-1)</f>
        <v/>
      </c>
      <c r="K515" s="417"/>
      <c r="L515" s="378" t="str">
        <f>IF(L510="","",L510/J511-1)</f>
        <v/>
      </c>
      <c r="M515" s="378" t="str">
        <f>IF(M510="","",M510/L511-1)</f>
        <v/>
      </c>
      <c r="N515" s="378" t="str">
        <f>IF(N510="","",N510/M511-1)</f>
        <v/>
      </c>
      <c r="O515" s="378" t="str">
        <f>IF(O510="","",O510/N511-1)</f>
        <v/>
      </c>
      <c r="P515" s="417"/>
      <c r="Q515" s="378" t="str">
        <f>IF(Q510="","",Q510/O511-1)</f>
        <v/>
      </c>
      <c r="R515" s="378" t="str">
        <f>IF(R510="","",R510/Q511-1)</f>
        <v/>
      </c>
      <c r="S515" s="378" t="str">
        <f>IF(S510="","",S510/R511-1)</f>
        <v/>
      </c>
      <c r="T515" s="378" t="str">
        <f>IF(T510="","",T510/S511-1)</f>
        <v/>
      </c>
      <c r="U515" s="417"/>
      <c r="V515" s="378" t="str">
        <f>IF(V510="","",V510/T511-1)</f>
        <v/>
      </c>
      <c r="W515" s="378" t="str">
        <f>IF(W510="","",W510/V511-1)</f>
        <v/>
      </c>
      <c r="X515" s="378" t="str">
        <f>IF(X510="","",X510/W511-1)</f>
        <v/>
      </c>
      <c r="Y515" s="378" t="str">
        <f>IF(Y510="","",Y510/X511-1)</f>
        <v/>
      </c>
      <c r="Z515" s="417"/>
      <c r="AA515" s="378" t="str">
        <f>IF(AA510="","",AA510/Y511-1)</f>
        <v/>
      </c>
      <c r="AB515" s="378" t="str">
        <f>IF(AB510="","",AB510/AA511-1)</f>
        <v/>
      </c>
      <c r="AC515" s="378" t="str">
        <f>IF(AC510="","",AC510/AB511-1)</f>
        <v/>
      </c>
      <c r="AD515" s="378" t="str">
        <f>IF(AD510="","",AD510/AC511-1)</f>
        <v/>
      </c>
      <c r="AE515" s="417"/>
      <c r="AF515" s="378" t="str">
        <f>IF(AF510="","",AF510/AD511-1)</f>
        <v/>
      </c>
      <c r="AG515" s="378" t="str">
        <f>IF(AG510="","",AG510/AF511-1)</f>
        <v/>
      </c>
      <c r="AH515" s="378" t="str">
        <f>IF(AH510="","",AH510/AG511-1)</f>
        <v/>
      </c>
      <c r="AI515" s="378" t="str">
        <f>IF(AI510="","",AI510/AH511-1)</f>
        <v/>
      </c>
      <c r="AJ515" s="417"/>
      <c r="AK515" s="378" t="str">
        <f>IF(AK510="","",AK510/AI511-1)</f>
        <v/>
      </c>
      <c r="AL515" s="378" t="str">
        <f>IF(AL510="","",AL510/AK511-1)</f>
        <v/>
      </c>
      <c r="AM515" s="378" t="str">
        <f>IF(AM510="","",AM510/AL511-1)</f>
        <v/>
      </c>
      <c r="AN515" s="378" t="str">
        <f>IF(AN510="","",AN510/AM511-1)</f>
        <v/>
      </c>
      <c r="AO515" s="417"/>
      <c r="AP515" s="378">
        <f>IF(AP510="","",AP510/AN511-1)</f>
        <v>-0.10952810549873937</v>
      </c>
      <c r="AQ515" s="378">
        <f>IF(AQ510="","",AQ510/AP511-1)</f>
        <v>0.55877289584015544</v>
      </c>
      <c r="AR515" s="378">
        <f>IF(AR510="","",AR510/AQ511-1)</f>
        <v>-0.22341210898298403</v>
      </c>
      <c r="AS515" s="378" t="str">
        <f>IF(AS510="","",AS510/AR511-1)</f>
        <v/>
      </c>
      <c r="AT515" s="417"/>
      <c r="AU515" s="378" t="str">
        <f>IF(AU510="","",AU510/AS511-1)</f>
        <v/>
      </c>
      <c r="AV515" s="378" t="str">
        <f>IF(AV510="","",AV510/AU511-1)</f>
        <v/>
      </c>
      <c r="AW515" s="378" t="str">
        <f>IF(AW510="","",AW510/AV511-1)</f>
        <v/>
      </c>
      <c r="AX515" s="378">
        <f>IF(AX510="","",AX510/AW511-1)</f>
        <v>5.8531894217488167E-2</v>
      </c>
      <c r="AY515" s="417"/>
      <c r="AZ515" s="378" t="str">
        <f>IF(AZ510="","",AZ510/AX511-1)</f>
        <v/>
      </c>
      <c r="BA515" s="378" t="str">
        <f>IF(BA510="","",BA510/AZ511-1)</f>
        <v/>
      </c>
      <c r="BB515" s="378">
        <f>IF(BB510="","",BB510/BA511-1)</f>
        <v>-0.14464838611449449</v>
      </c>
      <c r="BC515" s="378">
        <f>IF(BC510="","",BC510/BB511-1)</f>
        <v>5.3391253521126503E-2</v>
      </c>
      <c r="BD515" s="417"/>
      <c r="BE515" s="378">
        <f>IF(BE510="","",BE510/BC511-1)</f>
        <v>-0.11204127700741695</v>
      </c>
      <c r="BF515" s="378">
        <f>IF(BF510="","",BF510/BE511-1)</f>
        <v>0.28447728911319414</v>
      </c>
      <c r="BG515" s="378">
        <f>IF(BG510="","",BG510/BF511-1)</f>
        <v>-5.9602649006622488E-2</v>
      </c>
      <c r="BH515" s="378">
        <f>IF(BH510="","",BH510/BG511-1)</f>
        <v>6.9128736413043512E-2</v>
      </c>
      <c r="BI515" s="417"/>
      <c r="BJ515" s="1130">
        <f>IF(BJ510="","",BJ510/BH511-1)</f>
        <v>-0.15372511239563258</v>
      </c>
      <c r="BK515" s="378">
        <f>IF(BK510="","",BK510/BJ511-1)</f>
        <v>0.17939355075119101</v>
      </c>
      <c r="BL515" s="378" t="str">
        <f>IF(BL510="","",BL510/BK511-1)</f>
        <v/>
      </c>
      <c r="BM515" s="378" t="str">
        <f>IF(BM510="","",BM510/BL511-1)</f>
        <v/>
      </c>
      <c r="BN515" s="417"/>
      <c r="BO515" s="378" t="str">
        <f>IF(BO510="","",BO510/BM511-1)</f>
        <v/>
      </c>
      <c r="BP515" s="378" t="str">
        <f>IF(BP510="","",BP510/BO511-1)</f>
        <v/>
      </c>
      <c r="BQ515" s="378" t="str">
        <f>IF(BQ510="","",BQ510/BP511-1)</f>
        <v/>
      </c>
      <c r="BR515" s="378" t="str">
        <f>IF(BR510="","",BR510/BQ511-1)</f>
        <v/>
      </c>
      <c r="BS515" s="417"/>
      <c r="BT515" s="417"/>
      <c r="BU515" s="417"/>
      <c r="BV515" s="417"/>
      <c r="BW515" s="118"/>
    </row>
    <row r="516" spans="1:75" hidden="1" outlineLevel="1" x14ac:dyDescent="0.5">
      <c r="A516" s="1192" t="s">
        <v>2482</v>
      </c>
      <c r="B516" s="769"/>
      <c r="C516" s="770"/>
      <c r="D516" s="770"/>
      <c r="E516" s="770"/>
      <c r="F516" s="770"/>
      <c r="G516" s="771"/>
      <c r="H516" s="771" t="str">
        <f>IF(H512="","",H512/G511)</f>
        <v/>
      </c>
      <c r="I516" s="771" t="str">
        <f>IF(I512="","",I512/H511)</f>
        <v/>
      </c>
      <c r="J516" s="771" t="str">
        <f>IF(J512="","",J512/I511)</f>
        <v/>
      </c>
      <c r="K516" s="770"/>
      <c r="L516" s="771" t="str">
        <f>IF(L512="","",L512/J511)</f>
        <v/>
      </c>
      <c r="M516" s="771" t="str">
        <f>IF(M512="","",M512/L511)</f>
        <v/>
      </c>
      <c r="N516" s="771" t="str">
        <f>IF(N512="","",N512/M511)</f>
        <v/>
      </c>
      <c r="O516" s="771" t="str">
        <f>IF(O512="","",O512/N511)</f>
        <v/>
      </c>
      <c r="P516" s="770"/>
      <c r="Q516" s="771" t="str">
        <f>IF(Q512="","",Q512/O511)</f>
        <v/>
      </c>
      <c r="R516" s="771" t="str">
        <f>IF(R512="","",R512/Q511)</f>
        <v/>
      </c>
      <c r="S516" s="771" t="str">
        <f>IF(S512="","",S512/R511)</f>
        <v/>
      </c>
      <c r="T516" s="771" t="str">
        <f>IF(T512="","",T512/S511)</f>
        <v/>
      </c>
      <c r="U516" s="770"/>
      <c r="V516" s="771" t="str">
        <f>IF(V512="","",V512/T511)</f>
        <v/>
      </c>
      <c r="W516" s="771" t="str">
        <f>IF(W512="","",W512/V511)</f>
        <v/>
      </c>
      <c r="X516" s="771" t="str">
        <f>IF(X512="","",X512/W511)</f>
        <v/>
      </c>
      <c r="Y516" s="771" t="str">
        <f>IF(Y512="","",Y512/X511)</f>
        <v/>
      </c>
      <c r="Z516" s="770"/>
      <c r="AA516" s="771" t="str">
        <f>IF(AA512="","",AA512/Y511)</f>
        <v/>
      </c>
      <c r="AB516" s="771" t="str">
        <f>IF(AB512="","",AB512/AA511)</f>
        <v/>
      </c>
      <c r="AC516" s="771" t="str">
        <f>IF(AC512="","",AC512/AB511)</f>
        <v/>
      </c>
      <c r="AD516" s="771" t="str">
        <f>IF(AD512="","",AD512/AC511)</f>
        <v/>
      </c>
      <c r="AE516" s="770"/>
      <c r="AF516" s="771" t="str">
        <f>IF(AF512="","",AF512/AD511)</f>
        <v/>
      </c>
      <c r="AG516" s="771" t="str">
        <f>IF(AG512="","",AG512/AF511)</f>
        <v/>
      </c>
      <c r="AH516" s="771" t="str">
        <f>IF(AH512="","",AH512/AG511)</f>
        <v/>
      </c>
      <c r="AI516" s="771" t="str">
        <f>IF(AI512="","",AI512/AH511)</f>
        <v/>
      </c>
      <c r="AJ516" s="770"/>
      <c r="AK516" s="771" t="str">
        <f>IF(AK512="","",AK512/AI511)</f>
        <v/>
      </c>
      <c r="AL516" s="771" t="str">
        <f>IF(AL512="","",AL512/AK511)</f>
        <v/>
      </c>
      <c r="AM516" s="771" t="str">
        <f>IF(AM512="","",AM512/AL511)</f>
        <v/>
      </c>
      <c r="AN516" s="771" t="str">
        <f>IF(AN512="","",AN512/AM511)</f>
        <v/>
      </c>
      <c r="AO516" s="770"/>
      <c r="AP516" s="771">
        <f>IF(AP512="","",AP512/AN511)</f>
        <v>2.9232939541896982E-2</v>
      </c>
      <c r="AQ516" s="771">
        <f>IF(AQ512="","",AQ512/AP511)</f>
        <v>0.28867586412899532</v>
      </c>
      <c r="AR516" s="771">
        <f>IF(AR512="","",AR512/AQ511)</f>
        <v>0.11536624625523158</v>
      </c>
      <c r="AS516" s="771" t="str">
        <f>IF(AS512="","",AS512/AR511)</f>
        <v/>
      </c>
      <c r="AT516" s="770"/>
      <c r="AU516" s="771" t="str">
        <f>IF(AU512="","",AU512/AS511)</f>
        <v/>
      </c>
      <c r="AV516" s="771" t="str">
        <f>IF(AV512="","",AV512/AU511)</f>
        <v/>
      </c>
      <c r="AW516" s="771" t="str">
        <f>IF(AW512="","",AW512/AV511)</f>
        <v/>
      </c>
      <c r="AX516" s="771">
        <f>IF(AX512="","",AX512/AW511)</f>
        <v>-1.6658608566321866E-2</v>
      </c>
      <c r="AY516" s="770"/>
      <c r="AZ516" s="771" t="str">
        <f>IF(AZ512="","",AZ512/AX511)</f>
        <v/>
      </c>
      <c r="BA516" s="771" t="str">
        <f>IF(BA512="","",BA512/AZ511)</f>
        <v/>
      </c>
      <c r="BB516" s="771">
        <f>IF(BB512="","",BB512/BA511)</f>
        <v>9.4474116930571821E-3</v>
      </c>
      <c r="BC516" s="771">
        <f>IF(BC512="","",BC512/BB511)</f>
        <v>3.8510154929577815E-2</v>
      </c>
      <c r="BD516" s="770"/>
      <c r="BE516" s="771">
        <f>IF(BE512="","",BE512/BC511)</f>
        <v>6.5914221218961802E-3</v>
      </c>
      <c r="BF516" s="771">
        <f>IF(BF512="","",BF512/BE511)</f>
        <v>-0.1413626532083635</v>
      </c>
      <c r="BG516" s="771">
        <f>IF(BG512="","",BG512/BF511)</f>
        <v>-1.1983601387574897E-2</v>
      </c>
      <c r="BH516" s="771">
        <f>IF(BH512="","",BH512/BG511)</f>
        <v>-1.1384171195652285E-2</v>
      </c>
      <c r="BI516" s="770"/>
      <c r="BJ516" s="1314">
        <f>IF(BJ512="","",BJ512/BH511)</f>
        <v>3.0089916506101419E-2</v>
      </c>
      <c r="BK516" s="771">
        <f>IF(BK512="","",BK512/BJ511)</f>
        <v>-2.939769146207545E-4</v>
      </c>
      <c r="BL516" s="771" t="str">
        <f>IF(BL512="","",BL512/BK511)</f>
        <v/>
      </c>
      <c r="BM516" s="771" t="str">
        <f>IF(BM512="","",BM512/BL511)</f>
        <v/>
      </c>
      <c r="BN516" s="770"/>
      <c r="BO516" s="771" t="str">
        <f>IF(BO512="","",BO512/BM511)</f>
        <v/>
      </c>
      <c r="BP516" s="771" t="str">
        <f>IF(BP512="","",BP512/BO511)</f>
        <v/>
      </c>
      <c r="BQ516" s="771" t="str">
        <f>IF(BQ512="","",BQ512/BP511)</f>
        <v/>
      </c>
      <c r="BR516" s="771" t="str">
        <f>IF(BR512="","",BR512/BQ511)</f>
        <v/>
      </c>
      <c r="BS516" s="770"/>
      <c r="BT516" s="770"/>
      <c r="BU516" s="770"/>
      <c r="BV516" s="770"/>
      <c r="BW516" s="118"/>
    </row>
    <row r="517" spans="1:75" hidden="1" outlineLevel="1" x14ac:dyDescent="0.5">
      <c r="A517" s="1150" t="s">
        <v>2483</v>
      </c>
      <c r="B517" s="1525"/>
      <c r="C517" s="1147"/>
      <c r="D517" s="1147"/>
      <c r="E517" s="1147"/>
      <c r="F517" s="1147"/>
      <c r="G517" s="1148"/>
      <c r="H517" s="1148">
        <f>H511/G511-1</f>
        <v>0.1309340436298525</v>
      </c>
      <c r="I517" s="1148">
        <f>I511/H511-1</f>
        <v>0.16680843949905833</v>
      </c>
      <c r="J517" s="1148">
        <f>J511/I511-1</f>
        <v>0.24454492587504517</v>
      </c>
      <c r="K517" s="1147"/>
      <c r="L517" s="1148">
        <f>L511/J511-1</f>
        <v>-5.6295774600196968E-2</v>
      </c>
      <c r="M517" s="1148">
        <f>M511/L511-1</f>
        <v>6.0027197020527057E-2</v>
      </c>
      <c r="N517" s="1148">
        <f>N511/M511-1</f>
        <v>0.13793465273476224</v>
      </c>
      <c r="O517" s="1148">
        <f>O511/N511-1</f>
        <v>0.21544790414886927</v>
      </c>
      <c r="P517" s="1147"/>
      <c r="Q517" s="1148">
        <f>Q511/O511-1</f>
        <v>3.8549357714643628E-2</v>
      </c>
      <c r="R517" s="1148">
        <f>R511/Q511-1</f>
        <v>0.15877852162376804</v>
      </c>
      <c r="S517" s="1148">
        <f>S511/R511-1</f>
        <v>0.20786900714181122</v>
      </c>
      <c r="T517" s="1148">
        <f>T511/S511-1</f>
        <v>0.24549642070669986</v>
      </c>
      <c r="U517" s="1147"/>
      <c r="V517" s="1148">
        <f>V511/T511-1</f>
        <v>1.0216412765784888E-2</v>
      </c>
      <c r="W517" s="1148">
        <f>W511/V511-1</f>
        <v>5.2960602022083414E-2</v>
      </c>
      <c r="X517" s="1148">
        <f>X511/W511-1</f>
        <v>9.4795203627269453E-2</v>
      </c>
      <c r="Y517" s="1148">
        <f>Y511/X511-1</f>
        <v>0.14280955282783436</v>
      </c>
      <c r="Z517" s="1147"/>
      <c r="AA517" s="1148">
        <f>AA511/Y511-1</f>
        <v>-2.4106224207995575E-2</v>
      </c>
      <c r="AB517" s="1148">
        <f>AB511/AA511-1</f>
        <v>0.16863736892774428</v>
      </c>
      <c r="AC517" s="1148">
        <f>AC511/AB511-1</f>
        <v>6.7098541576123827E-2</v>
      </c>
      <c r="AD517" s="1148">
        <f>AD511/AC511-1</f>
        <v>0.20098347685441009</v>
      </c>
      <c r="AE517" s="1147"/>
      <c r="AF517" s="1148">
        <f>AF511/AD511-1</f>
        <v>-2.41463611245466E-2</v>
      </c>
      <c r="AG517" s="1148">
        <f>AG511/AF511-1</f>
        <v>0.1787314253892951</v>
      </c>
      <c r="AH517" s="1148">
        <f>AH511/AG511-1</f>
        <v>3.0441816854915427E-2</v>
      </c>
      <c r="AI517" s="1148">
        <f>AI511/AH511-1</f>
        <v>0.1807873267883997</v>
      </c>
      <c r="AJ517" s="1147"/>
      <c r="AK517" s="1148">
        <f>AK511/AI511-1</f>
        <v>-3.4347002289965678E-2</v>
      </c>
      <c r="AL517" s="1148">
        <f>AL511/AK511-1</f>
        <v>0.20486222696185652</v>
      </c>
      <c r="AM517" s="1148">
        <f>AM511/AL511-1</f>
        <v>-1.6116071219003048E-2</v>
      </c>
      <c r="AN517" s="1148">
        <f>AN511/AM511-1</f>
        <v>9.8895808130776919E-2</v>
      </c>
      <c r="AO517" s="1147"/>
      <c r="AP517" s="1148">
        <f>AP511/AN511-1</f>
        <v>-8.0295165956842385E-2</v>
      </c>
      <c r="AQ517" s="1148">
        <f>AQ511/AP511-1</f>
        <v>0.8474487599691507</v>
      </c>
      <c r="AR517" s="1148">
        <f>AR511/AQ511-1</f>
        <v>-0.10804586272775241</v>
      </c>
      <c r="AS517" s="1148">
        <f>AS511/AR511-1</f>
        <v>-4.3942160189812784E-2</v>
      </c>
      <c r="AT517" s="1147"/>
      <c r="AU517" s="1148">
        <f>AU511/AS511-1</f>
        <v>-5.2667079105090497E-2</v>
      </c>
      <c r="AV517" s="1148">
        <f>AV511/AU511-1</f>
        <v>0.10930439468609521</v>
      </c>
      <c r="AW517" s="1148">
        <f>AW511/AV511-1</f>
        <v>-0.19093167663220856</v>
      </c>
      <c r="AX517" s="1148">
        <f>AX511/AW511-1</f>
        <v>4.1873285651166325E-2</v>
      </c>
      <c r="AY517" s="1147"/>
      <c r="AZ517" s="1148">
        <f>AZ511/AX511-1</f>
        <v>-7.957904810698635E-2</v>
      </c>
      <c r="BA517" s="1148">
        <f>BA511/AZ511-1</f>
        <v>9.7226862679585802E-2</v>
      </c>
      <c r="BB517" s="1148">
        <f>BB511/BA511-1</f>
        <v>-0.1352009744214373</v>
      </c>
      <c r="BC517" s="1148">
        <f>BC511/BB511-1</f>
        <v>9.1901408450704158E-2</v>
      </c>
      <c r="BD517" s="1147"/>
      <c r="BE517" s="1148">
        <f>BE511/BC511-1</f>
        <v>-0.10544985488552083</v>
      </c>
      <c r="BF517" s="1148">
        <f>BF511/BE511-1</f>
        <v>0.14311463590483053</v>
      </c>
      <c r="BG517" s="1148">
        <f>BG511/BF511-1</f>
        <v>-7.1586250394197415E-2</v>
      </c>
      <c r="BH517" s="1148">
        <f>BH511/BG511-1</f>
        <v>5.7744565217391353E-2</v>
      </c>
      <c r="BI517" s="1147"/>
      <c r="BJ517" s="1149">
        <f>BJ511/BH511-1</f>
        <v>-0.1236351958895312</v>
      </c>
      <c r="BK517" s="1148">
        <f>BK511/BJ511-1</f>
        <v>0.17909957383657016</v>
      </c>
      <c r="BL517" s="1148">
        <f>BL511/BK511-1</f>
        <v>-7.1586250394197193E-2</v>
      </c>
      <c r="BM517" s="1148">
        <f>BM511/BL511-1</f>
        <v>5.7744565217390909E-2</v>
      </c>
      <c r="BN517" s="1147"/>
      <c r="BO517" s="1148">
        <f>BO511/BM511-1</f>
        <v>-8.3598225143367455E-2</v>
      </c>
      <c r="BP517" s="1148">
        <f>BP511/BO511-1</f>
        <v>0.1790995738365706</v>
      </c>
      <c r="BQ517" s="1148">
        <f>BQ511/BP511-1</f>
        <v>-7.1586250394197415E-2</v>
      </c>
      <c r="BR517" s="1148">
        <f>BR511/BQ511-1</f>
        <v>5.7744565217391131E-2</v>
      </c>
      <c r="BS517" s="1147"/>
      <c r="BT517" s="1147"/>
      <c r="BU517" s="1147"/>
      <c r="BV517" s="1147"/>
      <c r="BW517" s="118"/>
    </row>
    <row r="518" spans="1:75" hidden="1" outlineLevel="1" x14ac:dyDescent="0.5">
      <c r="A518" s="170" t="s">
        <v>2484</v>
      </c>
      <c r="B518" s="720"/>
      <c r="C518" s="417"/>
      <c r="D518" s="417" t="str">
        <f>IF(D510="","",D510/C511-1)</f>
        <v/>
      </c>
      <c r="E518" s="417" t="str">
        <f>IF(E510="","",E510/D511-1)</f>
        <v/>
      </c>
      <c r="F518" s="417" t="str">
        <f>IF(F510="","",F510/E511-1)</f>
        <v/>
      </c>
      <c r="G518" s="378"/>
      <c r="H518" s="378"/>
      <c r="I518" s="378"/>
      <c r="J518" s="378"/>
      <c r="K518" s="417" t="str">
        <f t="shared" ref="K518:BN518" si="387">IF(K510="","",K510/F511-1)</f>
        <v/>
      </c>
      <c r="L518" s="378" t="str">
        <f t="shared" si="387"/>
        <v/>
      </c>
      <c r="M518" s="378" t="str">
        <f t="shared" si="387"/>
        <v/>
      </c>
      <c r="N518" s="378" t="str">
        <f t="shared" si="387"/>
        <v/>
      </c>
      <c r="O518" s="378" t="str">
        <f t="shared" si="387"/>
        <v/>
      </c>
      <c r="P518" s="417" t="str">
        <f t="shared" si="387"/>
        <v/>
      </c>
      <c r="Q518" s="378" t="str">
        <f t="shared" si="387"/>
        <v/>
      </c>
      <c r="R518" s="378" t="str">
        <f t="shared" si="387"/>
        <v/>
      </c>
      <c r="S518" s="378" t="str">
        <f t="shared" si="387"/>
        <v/>
      </c>
      <c r="T518" s="378" t="str">
        <f t="shared" si="387"/>
        <v/>
      </c>
      <c r="U518" s="417" t="str">
        <f t="shared" si="387"/>
        <v/>
      </c>
      <c r="V518" s="378" t="str">
        <f t="shared" si="387"/>
        <v/>
      </c>
      <c r="W518" s="378" t="str">
        <f t="shared" si="387"/>
        <v/>
      </c>
      <c r="X518" s="378" t="str">
        <f t="shared" si="387"/>
        <v/>
      </c>
      <c r="Y518" s="378" t="str">
        <f t="shared" si="387"/>
        <v/>
      </c>
      <c r="Z518" s="417" t="str">
        <f t="shared" si="387"/>
        <v/>
      </c>
      <c r="AA518" s="378" t="str">
        <f t="shared" si="387"/>
        <v/>
      </c>
      <c r="AB518" s="378" t="str">
        <f t="shared" si="387"/>
        <v/>
      </c>
      <c r="AC518" s="378" t="str">
        <f t="shared" si="387"/>
        <v/>
      </c>
      <c r="AD518" s="378" t="str">
        <f t="shared" si="387"/>
        <v/>
      </c>
      <c r="AE518" s="417" t="str">
        <f t="shared" si="387"/>
        <v/>
      </c>
      <c r="AF518" s="378" t="str">
        <f t="shared" si="387"/>
        <v/>
      </c>
      <c r="AG518" s="378" t="str">
        <f t="shared" si="387"/>
        <v/>
      </c>
      <c r="AH518" s="378" t="str">
        <f t="shared" si="387"/>
        <v/>
      </c>
      <c r="AI518" s="378" t="str">
        <f t="shared" si="387"/>
        <v/>
      </c>
      <c r="AJ518" s="417" t="str">
        <f t="shared" si="387"/>
        <v/>
      </c>
      <c r="AK518" s="378" t="str">
        <f t="shared" si="387"/>
        <v/>
      </c>
      <c r="AL518" s="378" t="str">
        <f t="shared" si="387"/>
        <v/>
      </c>
      <c r="AM518" s="378" t="str">
        <f t="shared" si="387"/>
        <v/>
      </c>
      <c r="AN518" s="378" t="str">
        <f t="shared" si="387"/>
        <v/>
      </c>
      <c r="AO518" s="417" t="str">
        <f t="shared" si="387"/>
        <v/>
      </c>
      <c r="AP518" s="378">
        <f t="shared" si="387"/>
        <v>0.1599999999999997</v>
      </c>
      <c r="AQ518" s="378">
        <f t="shared" si="387"/>
        <v>0.55000000000000004</v>
      </c>
      <c r="AR518" s="378">
        <f t="shared" si="387"/>
        <v>0.44999999999999996</v>
      </c>
      <c r="AS518" s="378" t="str">
        <f t="shared" si="387"/>
        <v/>
      </c>
      <c r="AT518" s="417" t="str">
        <f t="shared" si="387"/>
        <v/>
      </c>
      <c r="AU518" s="378" t="str">
        <f t="shared" si="387"/>
        <v/>
      </c>
      <c r="AV518" s="378" t="str">
        <f t="shared" si="387"/>
        <v/>
      </c>
      <c r="AW518" s="378" t="str">
        <f t="shared" si="387"/>
        <v/>
      </c>
      <c r="AX518" s="378">
        <f t="shared" si="387"/>
        <v>-9.9999999999999978E-2</v>
      </c>
      <c r="AY518" s="417" t="str">
        <f t="shared" si="387"/>
        <v/>
      </c>
      <c r="AZ518" s="378" t="str">
        <f t="shared" si="387"/>
        <v/>
      </c>
      <c r="BA518" s="378" t="str">
        <f t="shared" si="387"/>
        <v/>
      </c>
      <c r="BB518" s="378">
        <f t="shared" si="387"/>
        <v>-9.9999999999999978E-2</v>
      </c>
      <c r="BC518" s="378">
        <f t="shared" si="387"/>
        <v>-8.0000000000000071E-2</v>
      </c>
      <c r="BD518" s="417" t="str">
        <f t="shared" si="387"/>
        <v/>
      </c>
      <c r="BE518" s="378">
        <f t="shared" si="387"/>
        <v>-8.0000000000000071E-2</v>
      </c>
      <c r="BF518" s="378">
        <f t="shared" si="387"/>
        <v>8.5000000000000187E-2</v>
      </c>
      <c r="BG518" s="378">
        <f t="shared" si="387"/>
        <v>5.0000000000000044E-2</v>
      </c>
      <c r="BH518" s="378">
        <f t="shared" si="387"/>
        <v>1.5000000000000124E-2</v>
      </c>
      <c r="BI518" s="417" t="str">
        <f t="shared" si="387"/>
        <v/>
      </c>
      <c r="BJ518" s="1130">
        <f>IF(BJ510="","",BJ510/BE511-1)</f>
        <v>-4.9999999999999933E-2</v>
      </c>
      <c r="BK518" s="378">
        <f t="shared" si="387"/>
        <v>1.5000000000000124E-2</v>
      </c>
      <c r="BL518" s="378" t="str">
        <f t="shared" si="387"/>
        <v/>
      </c>
      <c r="BM518" s="378" t="str">
        <f t="shared" si="387"/>
        <v/>
      </c>
      <c r="BN518" s="417" t="str">
        <f t="shared" si="387"/>
        <v/>
      </c>
      <c r="BO518" s="378" t="str">
        <f>IF(BO510="","",BO510/BJ511-1)</f>
        <v/>
      </c>
      <c r="BP518" s="378" t="str">
        <f>IF(BP510="","",BP510/BK511-1)</f>
        <v/>
      </c>
      <c r="BQ518" s="378" t="str">
        <f>IF(BQ510="","",BQ510/BL511-1)</f>
        <v/>
      </c>
      <c r="BR518" s="378" t="str">
        <f>IF(BR510="","",BR510/BM511-1)</f>
        <v/>
      </c>
      <c r="BS518" s="417" t="str">
        <f>IF(BS510="","",BS510/BN511-1)</f>
        <v/>
      </c>
      <c r="BT518" s="417"/>
      <c r="BU518" s="417"/>
      <c r="BV518" s="417"/>
      <c r="BW518" s="118"/>
    </row>
    <row r="519" spans="1:75" hidden="1" outlineLevel="1" x14ac:dyDescent="0.5">
      <c r="A519" s="1192" t="s">
        <v>2485</v>
      </c>
      <c r="B519" s="769"/>
      <c r="C519" s="770"/>
      <c r="D519" s="770" t="str">
        <f>IF(D512="","",D512/C511)</f>
        <v/>
      </c>
      <c r="E519" s="770" t="str">
        <f>IF(E512="","",E512/D511)</f>
        <v/>
      </c>
      <c r="F519" s="770" t="str">
        <f>IF(F512="","",F512/E511)</f>
        <v/>
      </c>
      <c r="G519" s="771"/>
      <c r="H519" s="771"/>
      <c r="I519" s="771"/>
      <c r="J519" s="771"/>
      <c r="K519" s="770" t="str">
        <f t="shared" ref="K519:BN519" si="388">IF(K512="","",K512/F511)</f>
        <v/>
      </c>
      <c r="L519" s="771" t="str">
        <f t="shared" si="388"/>
        <v/>
      </c>
      <c r="M519" s="771" t="str">
        <f t="shared" si="388"/>
        <v/>
      </c>
      <c r="N519" s="771" t="str">
        <f t="shared" si="388"/>
        <v/>
      </c>
      <c r="O519" s="771" t="str">
        <f t="shared" si="388"/>
        <v/>
      </c>
      <c r="P519" s="770" t="str">
        <f t="shared" si="388"/>
        <v/>
      </c>
      <c r="Q519" s="771" t="str">
        <f t="shared" si="388"/>
        <v/>
      </c>
      <c r="R519" s="771" t="str">
        <f t="shared" si="388"/>
        <v/>
      </c>
      <c r="S519" s="771" t="str">
        <f t="shared" si="388"/>
        <v/>
      </c>
      <c r="T519" s="771" t="str">
        <f t="shared" si="388"/>
        <v/>
      </c>
      <c r="U519" s="770" t="str">
        <f t="shared" si="388"/>
        <v/>
      </c>
      <c r="V519" s="771" t="str">
        <f t="shared" si="388"/>
        <v/>
      </c>
      <c r="W519" s="771" t="str">
        <f t="shared" si="388"/>
        <v/>
      </c>
      <c r="X519" s="771" t="str">
        <f t="shared" si="388"/>
        <v/>
      </c>
      <c r="Y519" s="771" t="str">
        <f t="shared" si="388"/>
        <v/>
      </c>
      <c r="Z519" s="770" t="str">
        <f t="shared" si="388"/>
        <v/>
      </c>
      <c r="AA519" s="771" t="str">
        <f t="shared" si="388"/>
        <v/>
      </c>
      <c r="AB519" s="771" t="str">
        <f t="shared" si="388"/>
        <v/>
      </c>
      <c r="AC519" s="771" t="str">
        <f t="shared" si="388"/>
        <v/>
      </c>
      <c r="AD519" s="771" t="str">
        <f t="shared" si="388"/>
        <v/>
      </c>
      <c r="AE519" s="770" t="str">
        <f t="shared" si="388"/>
        <v/>
      </c>
      <c r="AF519" s="771" t="str">
        <f t="shared" si="388"/>
        <v/>
      </c>
      <c r="AG519" s="771" t="str">
        <f t="shared" si="388"/>
        <v/>
      </c>
      <c r="AH519" s="771" t="str">
        <f t="shared" si="388"/>
        <v/>
      </c>
      <c r="AI519" s="771" t="str">
        <f t="shared" si="388"/>
        <v/>
      </c>
      <c r="AJ519" s="770" t="str">
        <f t="shared" si="388"/>
        <v/>
      </c>
      <c r="AK519" s="771" t="str">
        <f t="shared" si="388"/>
        <v/>
      </c>
      <c r="AL519" s="771" t="str">
        <f t="shared" si="388"/>
        <v/>
      </c>
      <c r="AM519" s="771" t="str">
        <f t="shared" si="388"/>
        <v/>
      </c>
      <c r="AN519" s="771" t="str">
        <f t="shared" si="388"/>
        <v/>
      </c>
      <c r="AO519" s="770" t="str">
        <f t="shared" si="388"/>
        <v/>
      </c>
      <c r="AP519" s="771">
        <f t="shared" si="388"/>
        <v>3.8081168061562538E-2</v>
      </c>
      <c r="AQ519" s="771">
        <f t="shared" si="388"/>
        <v>0.28705117377523759</v>
      </c>
      <c r="AR519" s="771">
        <f t="shared" si="388"/>
        <v>0.21540518337340447</v>
      </c>
      <c r="AS519" s="771" t="str">
        <f t="shared" si="388"/>
        <v/>
      </c>
      <c r="AT519" s="770" t="str">
        <f t="shared" si="388"/>
        <v/>
      </c>
      <c r="AU519" s="771" t="str">
        <f t="shared" si="388"/>
        <v/>
      </c>
      <c r="AV519" s="771" t="str">
        <f t="shared" si="388"/>
        <v/>
      </c>
      <c r="AW519" s="771" t="str">
        <f t="shared" si="388"/>
        <v/>
      </c>
      <c r="AX519" s="771">
        <f t="shared" si="388"/>
        <v>-1.4163718440220414E-2</v>
      </c>
      <c r="AY519" s="770" t="str">
        <f t="shared" si="388"/>
        <v/>
      </c>
      <c r="AZ519" s="771" t="str">
        <f t="shared" si="388"/>
        <v/>
      </c>
      <c r="BA519" s="771" t="str">
        <f t="shared" si="388"/>
        <v/>
      </c>
      <c r="BB519" s="771">
        <f t="shared" si="388"/>
        <v>9.9405558903751644E-3</v>
      </c>
      <c r="BC519" s="771">
        <f t="shared" si="388"/>
        <v>3.3633602345551496E-2</v>
      </c>
      <c r="BD519" s="770" t="str">
        <f t="shared" si="388"/>
        <v/>
      </c>
      <c r="BE519" s="771">
        <f t="shared" si="388"/>
        <v>6.829268292682945E-3</v>
      </c>
      <c r="BF519" s="771">
        <f t="shared" si="388"/>
        <v>-0.11940925700365418</v>
      </c>
      <c r="BG519" s="771">
        <f t="shared" si="388"/>
        <v>-1.3380281690140845E-2</v>
      </c>
      <c r="BH519" s="771">
        <f t="shared" si="388"/>
        <v>-1.0807803934214875E-2</v>
      </c>
      <c r="BI519" s="770" t="str">
        <f t="shared" si="388"/>
        <v/>
      </c>
      <c r="BJ519" s="1314">
        <f>IF(BJ512="","",BJ512/BE511)</f>
        <v>3.3777937995674051E-2</v>
      </c>
      <c r="BK519" s="771">
        <f t="shared" si="388"/>
        <v>-2.5300000000001233E-4</v>
      </c>
      <c r="BL519" s="771" t="str">
        <f t="shared" si="388"/>
        <v/>
      </c>
      <c r="BM519" s="771" t="str">
        <f t="shared" si="388"/>
        <v/>
      </c>
      <c r="BN519" s="770" t="str">
        <f t="shared" si="388"/>
        <v/>
      </c>
      <c r="BO519" s="771" t="str">
        <f>IF(BO512="","",BO512/BJ511)</f>
        <v/>
      </c>
      <c r="BP519" s="771" t="str">
        <f>IF(BP512="","",BP512/BK511)</f>
        <v/>
      </c>
      <c r="BQ519" s="771" t="str">
        <f>IF(BQ512="","",BQ512/BL511)</f>
        <v/>
      </c>
      <c r="BR519" s="771" t="str">
        <f>IF(BR512="","",BR512/BM511)</f>
        <v/>
      </c>
      <c r="BS519" s="770" t="str">
        <f>IF(BS512="","",BS512/BN511)</f>
        <v/>
      </c>
      <c r="BT519" s="770"/>
      <c r="BU519" s="770"/>
      <c r="BV519" s="770"/>
      <c r="BW519" s="118"/>
    </row>
    <row r="520" spans="1:75" hidden="1" outlineLevel="1" x14ac:dyDescent="0.5">
      <c r="A520" s="1150" t="s">
        <v>2486</v>
      </c>
      <c r="B520" s="1525"/>
      <c r="C520" s="1147"/>
      <c r="D520" s="1147"/>
      <c r="E520" s="1147"/>
      <c r="F520" s="1147">
        <f>F511/E511-1</f>
        <v>0.16177493930443654</v>
      </c>
      <c r="G520" s="1148"/>
      <c r="H520" s="1148"/>
      <c r="I520" s="1148"/>
      <c r="J520" s="1148"/>
      <c r="K520" s="1147">
        <f t="shared" ref="K520:BN520" si="389">K511/F511-1</f>
        <v>0.52379423254823387</v>
      </c>
      <c r="L520" s="1148">
        <f t="shared" si="389"/>
        <v>0.54982733788946292</v>
      </c>
      <c r="M520" s="1148">
        <f t="shared" si="389"/>
        <v>0.45265688843871232</v>
      </c>
      <c r="N520" s="1148">
        <f t="shared" si="389"/>
        <v>0.41670950940152207</v>
      </c>
      <c r="O520" s="1148">
        <f t="shared" si="389"/>
        <v>0.38358734039203224</v>
      </c>
      <c r="P520" s="1147">
        <f t="shared" si="389"/>
        <v>0.44014967630914925</v>
      </c>
      <c r="Q520" s="1148">
        <f t="shared" si="389"/>
        <v>0.52264205778828665</v>
      </c>
      <c r="R520" s="1148">
        <f t="shared" si="389"/>
        <v>0.66449022972748839</v>
      </c>
      <c r="S520" s="1148">
        <f t="shared" si="389"/>
        <v>0.76678525110949836</v>
      </c>
      <c r="T520" s="1148">
        <f t="shared" si="389"/>
        <v>0.81046402639133253</v>
      </c>
      <c r="U520" s="1147">
        <f t="shared" si="389"/>
        <v>0.70581393850112706</v>
      </c>
      <c r="V520" s="1148">
        <f t="shared" si="389"/>
        <v>0.76107226931152216</v>
      </c>
      <c r="W520" s="1148">
        <f t="shared" si="389"/>
        <v>0.60025378646146832</v>
      </c>
      <c r="X520" s="1148">
        <f t="shared" si="389"/>
        <v>0.45044715912534605</v>
      </c>
      <c r="Y520" s="1148">
        <f t="shared" si="389"/>
        <v>0.3308628124197408</v>
      </c>
      <c r="Z520" s="1147">
        <f t="shared" si="389"/>
        <v>0.50245901457185571</v>
      </c>
      <c r="AA520" s="1148">
        <f t="shared" si="389"/>
        <v>0.28564604441304464</v>
      </c>
      <c r="AB520" s="1148">
        <f t="shared" si="389"/>
        <v>0.42688530589837947</v>
      </c>
      <c r="AC520" s="1148">
        <f t="shared" si="389"/>
        <v>0.39078726676532916</v>
      </c>
      <c r="AD520" s="1148">
        <f t="shared" si="389"/>
        <v>0.4615843235397783</v>
      </c>
      <c r="AE520" s="1147">
        <f t="shared" si="389"/>
        <v>0.39656575039344921</v>
      </c>
      <c r="AF520" s="1148">
        <f t="shared" si="389"/>
        <v>0.46152421096453566</v>
      </c>
      <c r="AG520" s="1148">
        <f t="shared" si="389"/>
        <v>0.47414806529065179</v>
      </c>
      <c r="AH520" s="1148">
        <f t="shared" si="389"/>
        <v>0.4235084685502728</v>
      </c>
      <c r="AI520" s="1148">
        <f t="shared" si="389"/>
        <v>0.39957026190118738</v>
      </c>
      <c r="AJ520" s="1147">
        <f t="shared" si="389"/>
        <v>0.43599338684719724</v>
      </c>
      <c r="AK520" s="1148">
        <f t="shared" si="389"/>
        <v>0.38494049217065962</v>
      </c>
      <c r="AL520" s="1148">
        <f t="shared" si="389"/>
        <v>0.41564265587921145</v>
      </c>
      <c r="AM520" s="1148">
        <f t="shared" si="389"/>
        <v>0.35168044933148468</v>
      </c>
      <c r="AN520" s="1148">
        <f t="shared" si="389"/>
        <v>0.25793692564662285</v>
      </c>
      <c r="AO520" s="1147">
        <f t="shared" si="389"/>
        <v>0.34633762166305226</v>
      </c>
      <c r="AP520" s="1148">
        <f t="shared" si="389"/>
        <v>0.1980811680615624</v>
      </c>
      <c r="AQ520" s="1148">
        <f t="shared" si="389"/>
        <v>0.83705117377523752</v>
      </c>
      <c r="AR520" s="1148">
        <f t="shared" si="389"/>
        <v>0.66540518337340449</v>
      </c>
      <c r="AS520" s="1148">
        <f t="shared" si="389"/>
        <v>0.44893052666479827</v>
      </c>
      <c r="AT520" s="1147">
        <f t="shared" si="389"/>
        <v>0.54980471799398201</v>
      </c>
      <c r="AU520" s="1148">
        <f t="shared" si="389"/>
        <v>0.49245664173028803</v>
      </c>
      <c r="AV520" s="1148">
        <f t="shared" si="389"/>
        <v>-0.10385135034678583</v>
      </c>
      <c r="AW520" s="1148">
        <f t="shared" si="389"/>
        <v>-0.18712694390257245</v>
      </c>
      <c r="AX520" s="1148">
        <f t="shared" si="389"/>
        <v>-0.11416371844022033</v>
      </c>
      <c r="AY520" s="1147">
        <f t="shared" si="389"/>
        <v>-3.0904996735278245E-2</v>
      </c>
      <c r="AZ520" s="1148">
        <f t="shared" si="389"/>
        <v>-0.13932868212328453</v>
      </c>
      <c r="BA520" s="1148">
        <f t="shared" si="389"/>
        <v>-0.1486992258969636</v>
      </c>
      <c r="BB520" s="1148">
        <f t="shared" si="389"/>
        <v>-9.0059444109624742E-2</v>
      </c>
      <c r="BC520" s="1148">
        <f t="shared" si="389"/>
        <v>-4.636639765444861E-2</v>
      </c>
      <c r="BD520" s="1147">
        <f t="shared" si="389"/>
        <v>-0.10869565217391308</v>
      </c>
      <c r="BE520" s="1148">
        <f t="shared" si="389"/>
        <v>-7.3170731707317027E-2</v>
      </c>
      <c r="BF520" s="1148">
        <f t="shared" si="389"/>
        <v>-3.4409257003654048E-2</v>
      </c>
      <c r="BG520" s="1148">
        <f t="shared" si="389"/>
        <v>3.6619718309859106E-2</v>
      </c>
      <c r="BH520" s="1148">
        <f t="shared" si="389"/>
        <v>4.1921960657851365E-3</v>
      </c>
      <c r="BI520" s="1147">
        <f t="shared" si="389"/>
        <v>-1.7596988050417428E-2</v>
      </c>
      <c r="BJ520" s="1149">
        <f>BJ511/BE511-1</f>
        <v>-1.6222062004325855E-2</v>
      </c>
      <c r="BK520" s="1148">
        <f t="shared" si="389"/>
        <v>1.4747000000000066E-2</v>
      </c>
      <c r="BL520" s="1148">
        <f t="shared" si="389"/>
        <v>1.4747000000000288E-2</v>
      </c>
      <c r="BM520" s="1148">
        <f t="shared" si="389"/>
        <v>1.4746999999999844E-2</v>
      </c>
      <c r="BN520" s="1147">
        <f t="shared" si="389"/>
        <v>7.5897744730484273E-3</v>
      </c>
      <c r="BO520" s="1148">
        <f>BO511/BJ511-1</f>
        <v>6.1106000000000105E-2</v>
      </c>
      <c r="BP520" s="1148">
        <f>BP511/BK511-1</f>
        <v>6.1106000000000327E-2</v>
      </c>
      <c r="BQ520" s="1148">
        <f>BQ511/BL511-1</f>
        <v>6.1106000000000105E-2</v>
      </c>
      <c r="BR520" s="1148">
        <f>BR511/BM511-1</f>
        <v>6.1106000000000327E-2</v>
      </c>
      <c r="BS520" s="1147">
        <f>BS511/BN511-1</f>
        <v>6.1106000000000327E-2</v>
      </c>
      <c r="BT520" s="1147">
        <f>BT511/BS511-1</f>
        <v>7.1509000000000045E-2</v>
      </c>
      <c r="BU520" s="1147">
        <f>BU511/BT511-1</f>
        <v>7.1509000000000045E-2</v>
      </c>
      <c r="BV520" s="1147">
        <f>BV511/BU511-1</f>
        <v>7.1509000000000045E-2</v>
      </c>
      <c r="BW520" s="118"/>
    </row>
    <row r="521" spans="1:75" hidden="1" outlineLevel="2" x14ac:dyDescent="0.5">
      <c r="A521" s="1524"/>
      <c r="B521" s="513"/>
      <c r="C521" s="401"/>
      <c r="D521" s="401"/>
      <c r="E521" s="401"/>
      <c r="F521" s="401"/>
      <c r="G521" s="118"/>
      <c r="H521" s="118"/>
      <c r="I521" s="118"/>
      <c r="J521" s="118"/>
      <c r="K521" s="401"/>
      <c r="L521" s="118"/>
      <c r="M521" s="118"/>
      <c r="N521" s="118"/>
      <c r="O521" s="118"/>
      <c r="P521" s="401"/>
      <c r="Q521" s="118"/>
      <c r="R521" s="118"/>
      <c r="S521" s="118"/>
      <c r="T521" s="118"/>
      <c r="U521" s="401"/>
      <c r="V521" s="118"/>
      <c r="W521" s="118"/>
      <c r="X521" s="118"/>
      <c r="Y521" s="118"/>
      <c r="Z521" s="401"/>
      <c r="AA521" s="118"/>
      <c r="AB521" s="118"/>
      <c r="AC521" s="118"/>
      <c r="AD521" s="118"/>
      <c r="AE521" s="401"/>
      <c r="AF521" s="118"/>
      <c r="AG521" s="118"/>
      <c r="AH521" s="118"/>
      <c r="AI521" s="118"/>
      <c r="AJ521" s="401"/>
      <c r="AK521" s="118"/>
      <c r="AL521" s="118"/>
      <c r="AM521" s="118"/>
      <c r="AN521" s="118"/>
      <c r="AO521" s="401"/>
      <c r="AP521" s="118"/>
      <c r="AQ521" s="118"/>
      <c r="AR521" s="118"/>
      <c r="AS521" s="118"/>
      <c r="AT521" s="401"/>
      <c r="AU521" s="118"/>
      <c r="AV521" s="118"/>
      <c r="AW521" s="118"/>
      <c r="AX521" s="118"/>
      <c r="AY521" s="401"/>
      <c r="AZ521" s="118"/>
      <c r="BA521" s="118"/>
      <c r="BB521" s="118"/>
      <c r="BC521" s="118"/>
      <c r="BD521" s="401"/>
      <c r="BE521" s="118"/>
      <c r="BF521" s="118"/>
      <c r="BG521" s="118"/>
      <c r="BH521" s="118"/>
      <c r="BI521" s="401"/>
      <c r="BJ521" s="971"/>
      <c r="BK521" s="118"/>
      <c r="BL521" s="118"/>
      <c r="BM521" s="118"/>
      <c r="BN521" s="401"/>
      <c r="BO521" s="118"/>
      <c r="BP521" s="118"/>
      <c r="BQ521" s="118"/>
      <c r="BR521" s="118"/>
      <c r="BS521" s="401"/>
      <c r="BT521" s="401"/>
      <c r="BU521" s="401"/>
      <c r="BV521" s="401"/>
      <c r="BW521" s="118"/>
    </row>
    <row r="522" spans="1:75" hidden="1" outlineLevel="2" x14ac:dyDescent="0.5">
      <c r="A522" s="752" t="s">
        <v>2487</v>
      </c>
      <c r="B522" s="513"/>
      <c r="C522" s="1526"/>
      <c r="D522" s="1526"/>
      <c r="E522" s="1526"/>
      <c r="F522" s="1526"/>
      <c r="G522" s="1527"/>
      <c r="H522" s="1527"/>
      <c r="I522" s="1527"/>
      <c r="J522" s="1527"/>
      <c r="K522" s="1526"/>
      <c r="L522" s="1527"/>
      <c r="M522" s="1527"/>
      <c r="N522" s="1527"/>
      <c r="O522" s="1527"/>
      <c r="P522" s="1526"/>
      <c r="Q522" s="1527"/>
      <c r="R522" s="1527"/>
      <c r="S522" s="1527"/>
      <c r="T522" s="1527"/>
      <c r="U522" s="1526"/>
      <c r="V522" s="1527"/>
      <c r="W522" s="1527"/>
      <c r="X522" s="1527"/>
      <c r="Y522" s="1527"/>
      <c r="Z522" s="1526"/>
      <c r="AA522" s="1527"/>
      <c r="AB522" s="1527"/>
      <c r="AC522" s="1527"/>
      <c r="AD522" s="1527">
        <f t="shared" ref="AD522:BJ522" si="390">AD1065</f>
        <v>43153</v>
      </c>
      <c r="AE522" s="1526">
        <f t="shared" si="390"/>
        <v>43153</v>
      </c>
      <c r="AF522" s="1527"/>
      <c r="AG522" s="1527"/>
      <c r="AH522" s="1527">
        <f t="shared" si="390"/>
        <v>43405</v>
      </c>
      <c r="AI522" s="1527">
        <f t="shared" si="390"/>
        <v>43518</v>
      </c>
      <c r="AJ522" s="1526">
        <f t="shared" si="390"/>
        <v>43518</v>
      </c>
      <c r="AK522" s="1527">
        <f t="shared" si="390"/>
        <v>43587</v>
      </c>
      <c r="AL522" s="1527">
        <f t="shared" si="390"/>
        <v>43678</v>
      </c>
      <c r="AM522" s="1527">
        <f t="shared" si="390"/>
        <v>43769</v>
      </c>
      <c r="AN522" s="1527">
        <f t="shared" si="390"/>
        <v>43889</v>
      </c>
      <c r="AO522" s="1526">
        <f t="shared" si="390"/>
        <v>43889</v>
      </c>
      <c r="AP522" s="1527">
        <f t="shared" si="390"/>
        <v>43956</v>
      </c>
      <c r="AQ522" s="1527">
        <f t="shared" si="390"/>
        <v>44048</v>
      </c>
      <c r="AR522" s="1527">
        <f t="shared" si="390"/>
        <v>44138</v>
      </c>
      <c r="AS522" s="1527">
        <f t="shared" si="390"/>
        <v>44252</v>
      </c>
      <c r="AT522" s="1526">
        <f t="shared" si="390"/>
        <v>44252</v>
      </c>
      <c r="AU522" s="1527">
        <f t="shared" si="390"/>
        <v>44322</v>
      </c>
      <c r="AV522" s="1527">
        <f t="shared" si="390"/>
        <v>44413</v>
      </c>
      <c r="AW522" s="1527">
        <f t="shared" si="390"/>
        <v>44504</v>
      </c>
      <c r="AX522" s="1527">
        <f t="shared" si="390"/>
        <v>44616</v>
      </c>
      <c r="AY522" s="1526">
        <f t="shared" si="390"/>
        <v>44616</v>
      </c>
      <c r="AZ522" s="1527">
        <f t="shared" si="390"/>
        <v>44686</v>
      </c>
      <c r="BA522" s="1527">
        <f t="shared" si="390"/>
        <v>44778</v>
      </c>
      <c r="BB522" s="1527">
        <f t="shared" si="390"/>
        <v>44868</v>
      </c>
      <c r="BC522" s="1527">
        <f t="shared" si="390"/>
        <v>44980</v>
      </c>
      <c r="BD522" s="1526">
        <f t="shared" si="390"/>
        <v>44980</v>
      </c>
      <c r="BE522" s="1527">
        <f t="shared" si="390"/>
        <v>45050</v>
      </c>
      <c r="BF522" s="1527">
        <f t="shared" si="390"/>
        <v>45141</v>
      </c>
      <c r="BG522" s="1527">
        <f t="shared" si="390"/>
        <v>45231</v>
      </c>
      <c r="BH522" s="1527">
        <f t="shared" si="390"/>
        <v>45344</v>
      </c>
      <c r="BI522" s="1526">
        <f t="shared" si="390"/>
        <v>45344</v>
      </c>
      <c r="BJ522" s="1528">
        <f t="shared" si="390"/>
        <v>45414</v>
      </c>
      <c r="BK522" s="1527"/>
      <c r="BL522" s="1527"/>
      <c r="BM522" s="1527"/>
      <c r="BN522" s="1526"/>
      <c r="BO522" s="1527"/>
      <c r="BP522" s="1527"/>
      <c r="BQ522" s="1527"/>
      <c r="BR522" s="1527"/>
      <c r="BS522" s="1526"/>
      <c r="BT522" s="1526"/>
      <c r="BU522" s="1526"/>
      <c r="BV522" s="1526"/>
      <c r="BW522" s="118"/>
    </row>
    <row r="523" spans="1:75" hidden="1" outlineLevel="2" x14ac:dyDescent="0.5">
      <c r="A523" s="1529" t="s">
        <v>2488</v>
      </c>
      <c r="B523" s="1530"/>
      <c r="C523" s="1531"/>
      <c r="D523" s="1531"/>
      <c r="E523" s="1531"/>
      <c r="F523" s="1531"/>
      <c r="G523" s="1532"/>
      <c r="H523" s="1532"/>
      <c r="I523" s="1532"/>
      <c r="J523" s="1532"/>
      <c r="K523" s="1531"/>
      <c r="L523" s="1532"/>
      <c r="M523" s="1532"/>
      <c r="N523" s="1532"/>
      <c r="O523" s="1532"/>
      <c r="P523" s="1531"/>
      <c r="Q523" s="1532"/>
      <c r="R523" s="1532"/>
      <c r="S523" s="1532"/>
      <c r="T523" s="1532"/>
      <c r="U523" s="1531"/>
      <c r="V523" s="1532"/>
      <c r="W523" s="1532"/>
      <c r="X523" s="1532"/>
      <c r="Y523" s="1532"/>
      <c r="Z523" s="1531"/>
      <c r="AA523" s="1532"/>
      <c r="AB523" s="1532"/>
      <c r="AC523" s="1532"/>
      <c r="AD523" s="1532" t="str">
        <f>AF5</f>
        <v>Q1-2018</v>
      </c>
      <c r="AE523" s="1531" t="str">
        <f>AF5</f>
        <v>Q1-2018</v>
      </c>
      <c r="AF523" s="1532" t="str">
        <f>AG5</f>
        <v>Q2-2018</v>
      </c>
      <c r="AG523" s="1532" t="str">
        <f>AH5</f>
        <v>Q3-2018</v>
      </c>
      <c r="AH523" s="1532" t="str">
        <f>AI5</f>
        <v>Q4-2018</v>
      </c>
      <c r="AI523" s="1532" t="str">
        <f>AK5</f>
        <v>Q1-2019</v>
      </c>
      <c r="AJ523" s="1531" t="str">
        <f>AK5</f>
        <v>Q1-2019</v>
      </c>
      <c r="AK523" s="1532" t="str">
        <f>AL5</f>
        <v>Q2-2019</v>
      </c>
      <c r="AL523" s="1532" t="str">
        <f>AM5</f>
        <v>Q3-2019</v>
      </c>
      <c r="AM523" s="1532" t="str">
        <f>AN5</f>
        <v>Q4-2019</v>
      </c>
      <c r="AN523" s="1532" t="str">
        <f>AP5</f>
        <v>Q1-2020</v>
      </c>
      <c r="AO523" s="1531" t="str">
        <f>AP5</f>
        <v>Q1-2020</v>
      </c>
      <c r="AP523" s="1532" t="str">
        <f>AQ5</f>
        <v>Q2-2020</v>
      </c>
      <c r="AQ523" s="1532" t="str">
        <f>AR5</f>
        <v>Q3-2020</v>
      </c>
      <c r="AR523" s="1532" t="str">
        <f>AS5</f>
        <v>Q4-2020</v>
      </c>
      <c r="AS523" s="1532" t="str">
        <f>AU5</f>
        <v>Q1-2021</v>
      </c>
      <c r="AT523" s="1531" t="str">
        <f>AU5</f>
        <v>Q1-2021</v>
      </c>
      <c r="AU523" s="1532" t="str">
        <f>AV5</f>
        <v>Q2-2021</v>
      </c>
      <c r="AV523" s="1532" t="str">
        <f>AW5</f>
        <v>Q3-2021</v>
      </c>
      <c r="AW523" s="1532" t="str">
        <f>AX5</f>
        <v>Q4-2021</v>
      </c>
      <c r="AX523" s="1532" t="str">
        <f>AZ5</f>
        <v>Q1-2022</v>
      </c>
      <c r="AY523" s="1531" t="str">
        <f>AZ5</f>
        <v>Q1-2022</v>
      </c>
      <c r="AZ523" s="1532" t="str">
        <f>BA5</f>
        <v>Q2-2022</v>
      </c>
      <c r="BA523" s="1532" t="str">
        <f>BB5</f>
        <v>Q3-2022</v>
      </c>
      <c r="BB523" s="1532" t="str">
        <f>BC5</f>
        <v>Q4-2022</v>
      </c>
      <c r="BC523" s="1532" t="str">
        <f>BE5</f>
        <v>Q1-2023</v>
      </c>
      <c r="BD523" s="1531" t="str">
        <f>BE5</f>
        <v>Q1-2023</v>
      </c>
      <c r="BE523" s="1532" t="str">
        <f>BF5</f>
        <v>Q2-2023</v>
      </c>
      <c r="BF523" s="1532" t="str">
        <f>BG5</f>
        <v>Q3-2023</v>
      </c>
      <c r="BG523" s="1532" t="str">
        <f>BH5</f>
        <v>Q4-2023</v>
      </c>
      <c r="BH523" s="1532" t="str">
        <f>BJ5</f>
        <v>Q1-2024</v>
      </c>
      <c r="BI523" s="1531" t="str">
        <f>BJ5</f>
        <v>Q1-2024</v>
      </c>
      <c r="BJ523" s="1533" t="str">
        <f>BK5</f>
        <v>Q2-2024</v>
      </c>
      <c r="BK523" s="1532"/>
      <c r="BL523" s="1532"/>
      <c r="BM523" s="1532"/>
      <c r="BN523" s="1531"/>
      <c r="BO523" s="1532"/>
      <c r="BP523" s="1532"/>
      <c r="BQ523" s="1532"/>
      <c r="BR523" s="1532"/>
      <c r="BS523" s="1531"/>
      <c r="BT523" s="1531"/>
      <c r="BU523" s="1531"/>
      <c r="BV523" s="1531"/>
      <c r="BW523" s="118"/>
    </row>
    <row r="524" spans="1:75" hidden="1" outlineLevel="3" x14ac:dyDescent="0.5">
      <c r="A524" s="184" t="s">
        <v>2489</v>
      </c>
      <c r="B524" s="513"/>
      <c r="C524" s="401"/>
      <c r="D524" s="401"/>
      <c r="E524" s="401"/>
      <c r="F524" s="401"/>
      <c r="G524" s="118"/>
      <c r="H524" s="118"/>
      <c r="I524" s="118"/>
      <c r="J524" s="118"/>
      <c r="K524" s="401"/>
      <c r="L524" s="118"/>
      <c r="M524" s="118"/>
      <c r="N524" s="118"/>
      <c r="O524" s="118"/>
      <c r="P524" s="401"/>
      <c r="Q524" s="118"/>
      <c r="R524" s="118"/>
      <c r="S524" s="118"/>
      <c r="T524" s="118"/>
      <c r="U524" s="401"/>
      <c r="V524" s="118"/>
      <c r="W524" s="118"/>
      <c r="X524" s="118"/>
      <c r="Y524" s="118"/>
      <c r="Z524" s="401"/>
      <c r="AA524" s="118"/>
      <c r="AB524" s="118"/>
      <c r="AC524" s="118"/>
      <c r="AD524" s="118" t="str">
        <f>IFERROR(AA$511*(1+AD532),"n/a")</f>
        <v>n/a</v>
      </c>
      <c r="AE524" s="401" t="str">
        <f t="shared" ref="AE524:AH525" si="391">IFERROR(AA$511*(1+AE532),"n/a")</f>
        <v>n/a</v>
      </c>
      <c r="AF524" s="118" t="str">
        <f t="shared" si="391"/>
        <v>n/a</v>
      </c>
      <c r="AG524" s="118" t="str">
        <f t="shared" si="391"/>
        <v>n/a</v>
      </c>
      <c r="AH524" s="118" t="str">
        <f t="shared" si="391"/>
        <v>n/a</v>
      </c>
      <c r="AI524" s="118" t="str">
        <f>IFERROR(AF$511*(1+AI532),"n/a")</f>
        <v>n/a</v>
      </c>
      <c r="AJ524" s="401" t="str">
        <f t="shared" ref="AJ524:AM525" si="392">IFERROR(AF$511*(1+AJ532),"n/a")</f>
        <v>n/a</v>
      </c>
      <c r="AK524" s="118" t="str">
        <f t="shared" si="392"/>
        <v>n/a</v>
      </c>
      <c r="AL524" s="118" t="str">
        <f t="shared" si="392"/>
        <v>n/a</v>
      </c>
      <c r="AM524" s="118" t="str">
        <f t="shared" si="392"/>
        <v>n/a</v>
      </c>
      <c r="AN524" s="118">
        <f>AK$511*(1+AN532)</f>
        <v>2236.5533499999997</v>
      </c>
      <c r="AO524" s="401">
        <f t="shared" ref="AO524:AQ525" si="393">AK$511*(1+AO532)</f>
        <v>2236.5533499999997</v>
      </c>
      <c r="AP524" s="118">
        <f t="shared" si="393"/>
        <v>2811.9012000000002</v>
      </c>
      <c r="AQ524" s="118">
        <f t="shared" si="393"/>
        <v>2766.5844000000002</v>
      </c>
      <c r="AR524" s="118" t="str">
        <f>IFERROR(AN$511*(1+AR532),"n/a")</f>
        <v>n/a</v>
      </c>
      <c r="AS524" s="118" t="str">
        <f>IFERROR(AP$511*(1+AS532),"n/a")</f>
        <v>n/a</v>
      </c>
      <c r="AT524" s="401" t="str">
        <f t="shared" ref="AT524:AV525" si="394">IFERROR(AP$511*(1+AT532),"n/a")</f>
        <v>n/a</v>
      </c>
      <c r="AU524" s="118" t="str">
        <f t="shared" si="394"/>
        <v>n/a</v>
      </c>
      <c r="AV524" s="118" t="str">
        <f t="shared" si="394"/>
        <v>n/a</v>
      </c>
      <c r="AW524" s="118">
        <f>AS$511*(1+AW532)</f>
        <v>3303.7659000000008</v>
      </c>
      <c r="AX524" s="118" t="str">
        <f>IFERROR(AU$511*(1+AX532),"n/a")</f>
        <v>n/a</v>
      </c>
      <c r="AY524" s="401" t="str">
        <f>IFERROR(AU$511*(1+AY532),"n/a")</f>
        <v>n/a</v>
      </c>
      <c r="AZ524" s="118" t="str">
        <f>IFERROR(AV$511*(1+AZ532),"n/a")</f>
        <v>n/a</v>
      </c>
      <c r="BA524" s="118">
        <f t="shared" ref="BA524:BA525" si="395">AW$511*(1+BA532)</f>
        <v>2808.9747000000002</v>
      </c>
      <c r="BB524" s="118">
        <f>AX$511*(1+BB532)</f>
        <v>2959.1134299999994</v>
      </c>
      <c r="BC524" s="118">
        <f>AZ$511*(1+BC532)</f>
        <v>2723.63</v>
      </c>
      <c r="BD524" s="401">
        <f t="shared" ref="BD524:BF525" si="396">AZ$511*(1+BD532)</f>
        <v>2723.63</v>
      </c>
      <c r="BE524" s="118">
        <f t="shared" si="396"/>
        <v>3546.7200000000003</v>
      </c>
      <c r="BF524" s="118">
        <f t="shared" si="396"/>
        <v>2953.6</v>
      </c>
      <c r="BG524" s="118">
        <f>BC$511*(1+BG532)</f>
        <v>3101</v>
      </c>
      <c r="BH524" s="118">
        <f>IFERROR(BE$511*(1+BH532),"n/a")</f>
        <v>2565.9500000000003</v>
      </c>
      <c r="BI524" s="401">
        <f>IFERROR(BE$511*(1+BI532),"n/a")</f>
        <v>2565.9500000000003</v>
      </c>
      <c r="BJ524" s="971">
        <f>IFERROR(BF$511*(1+BJ532),"n/a")</f>
        <v>3171</v>
      </c>
      <c r="BK524" s="118"/>
      <c r="BL524" s="118"/>
      <c r="BM524" s="118"/>
      <c r="BN524" s="401"/>
      <c r="BO524" s="118"/>
      <c r="BP524" s="118"/>
      <c r="BQ524" s="118"/>
      <c r="BR524" s="118"/>
      <c r="BS524" s="401"/>
      <c r="BT524" s="401"/>
      <c r="BU524" s="401"/>
      <c r="BV524" s="401"/>
      <c r="BW524" s="118"/>
    </row>
    <row r="525" spans="1:75" hidden="1" outlineLevel="3" x14ac:dyDescent="0.5">
      <c r="A525" s="445" t="s">
        <v>2490</v>
      </c>
      <c r="B525" s="677"/>
      <c r="C525" s="406"/>
      <c r="D525" s="406"/>
      <c r="E525" s="406"/>
      <c r="F525" s="406"/>
      <c r="G525" s="723"/>
      <c r="H525" s="723"/>
      <c r="I525" s="723"/>
      <c r="J525" s="723"/>
      <c r="K525" s="406"/>
      <c r="L525" s="723"/>
      <c r="M525" s="723"/>
      <c r="N525" s="723"/>
      <c r="O525" s="723"/>
      <c r="P525" s="406"/>
      <c r="Q525" s="723"/>
      <c r="R525" s="723"/>
      <c r="S525" s="723"/>
      <c r="T525" s="723"/>
      <c r="U525" s="406"/>
      <c r="V525" s="723"/>
      <c r="W525" s="723"/>
      <c r="X525" s="723"/>
      <c r="Y525" s="723"/>
      <c r="Z525" s="406"/>
      <c r="AA525" s="723"/>
      <c r="AB525" s="723"/>
      <c r="AC525" s="723"/>
      <c r="AD525" s="723" t="str">
        <f>IFERROR(AA$511*(1+AD533),"n/a")</f>
        <v>n/a</v>
      </c>
      <c r="AE525" s="406" t="str">
        <f t="shared" si="391"/>
        <v>n/a</v>
      </c>
      <c r="AF525" s="723" t="str">
        <f t="shared" si="391"/>
        <v>n/a</v>
      </c>
      <c r="AG525" s="723" t="str">
        <f t="shared" si="391"/>
        <v>n/a</v>
      </c>
      <c r="AH525" s="723" t="str">
        <f t="shared" si="391"/>
        <v>n/a</v>
      </c>
      <c r="AI525" s="723" t="str">
        <f>IFERROR(AF$511*(1+AI533),"n/a")</f>
        <v>n/a</v>
      </c>
      <c r="AJ525" s="406" t="str">
        <f t="shared" si="392"/>
        <v>n/a</v>
      </c>
      <c r="AK525" s="723" t="str">
        <f t="shared" si="392"/>
        <v>n/a</v>
      </c>
      <c r="AL525" s="723" t="str">
        <f t="shared" si="392"/>
        <v>n/a</v>
      </c>
      <c r="AM525" s="723" t="str">
        <f t="shared" si="392"/>
        <v>n/a</v>
      </c>
      <c r="AN525" s="723">
        <f>AK$511*(1+AN533)</f>
        <v>2275.4499299999998</v>
      </c>
      <c r="AO525" s="406">
        <f t="shared" si="393"/>
        <v>2275.4499299999998</v>
      </c>
      <c r="AP525" s="723">
        <f t="shared" si="393"/>
        <v>4452.1769000000004</v>
      </c>
      <c r="AQ525" s="723">
        <f t="shared" si="393"/>
        <v>3919.3279000000002</v>
      </c>
      <c r="AR525" s="723" t="str">
        <f>IFERROR(AN$511*(1+AR533),"n/a")</f>
        <v>n/a</v>
      </c>
      <c r="AS525" s="723" t="str">
        <f>IFERROR(AP$511*(1+AS533),"n/a")</f>
        <v>n/a</v>
      </c>
      <c r="AT525" s="406" t="str">
        <f t="shared" si="394"/>
        <v>n/a</v>
      </c>
      <c r="AU525" s="723" t="str">
        <f t="shared" si="394"/>
        <v>n/a</v>
      </c>
      <c r="AV525" s="723" t="str">
        <f t="shared" si="394"/>
        <v>n/a</v>
      </c>
      <c r="AW525" s="723">
        <f>AS$511*(1+AW533)</f>
        <v>3303.7659000000008</v>
      </c>
      <c r="AX525" s="723" t="str">
        <f>IFERROR(AU$511*(1+AX533),"n/a")</f>
        <v>n/a</v>
      </c>
      <c r="AY525" s="406" t="str">
        <f>IFERROR(AU$511*(1+AY533),"n/a")</f>
        <v>n/a</v>
      </c>
      <c r="AZ525" s="723" t="str">
        <f>IFERROR(AV$511*(1+AZ533),"n/a")</f>
        <v>n/a</v>
      </c>
      <c r="BA525" s="723">
        <f t="shared" si="395"/>
        <v>2808.9747000000002</v>
      </c>
      <c r="BB525" s="723">
        <f>AX$511*(1+BB533)</f>
        <v>3024.148889999999</v>
      </c>
      <c r="BC525" s="723">
        <f>AZ$511*(1+BC533)</f>
        <v>2783.49</v>
      </c>
      <c r="BD525" s="406">
        <f t="shared" si="396"/>
        <v>2783.49</v>
      </c>
      <c r="BE525" s="723">
        <f t="shared" si="396"/>
        <v>3579.5600000000004</v>
      </c>
      <c r="BF525" s="723">
        <f t="shared" si="396"/>
        <v>3010.4</v>
      </c>
      <c r="BG525" s="723">
        <f>BC$511*(1+BG533)</f>
        <v>3194.03</v>
      </c>
      <c r="BH525" s="723">
        <f>IFERROR(BE$511*(1+BH533),"n/a")</f>
        <v>2704.65</v>
      </c>
      <c r="BI525" s="406">
        <f>IFERROR(BE$511*(1+BI533),"n/a")</f>
        <v>2704.65</v>
      </c>
      <c r="BJ525" s="1049">
        <f>IFERROR(BF$511*(1+BJ533),"n/a")</f>
        <v>3266.13</v>
      </c>
      <c r="BK525" s="723"/>
      <c r="BL525" s="723"/>
      <c r="BM525" s="723"/>
      <c r="BN525" s="406"/>
      <c r="BO525" s="723"/>
      <c r="BP525" s="723"/>
      <c r="BQ525" s="723"/>
      <c r="BR525" s="723"/>
      <c r="BS525" s="406"/>
      <c r="BT525" s="406"/>
      <c r="BU525" s="406"/>
      <c r="BV525" s="406"/>
      <c r="BW525" s="118"/>
    </row>
    <row r="526" spans="1:75" hidden="1" outlineLevel="2" x14ac:dyDescent="0.5">
      <c r="A526" s="206" t="s">
        <v>2491</v>
      </c>
      <c r="B526" s="522"/>
      <c r="C526" s="397"/>
      <c r="D526" s="397"/>
      <c r="E526" s="397"/>
      <c r="F526" s="397"/>
      <c r="G526" s="295"/>
      <c r="H526" s="295"/>
      <c r="I526" s="295"/>
      <c r="J526" s="295"/>
      <c r="K526" s="397"/>
      <c r="L526" s="295"/>
      <c r="M526" s="295"/>
      <c r="N526" s="295"/>
      <c r="O526" s="295"/>
      <c r="P526" s="397"/>
      <c r="Q526" s="295"/>
      <c r="R526" s="295"/>
      <c r="S526" s="295"/>
      <c r="T526" s="295"/>
      <c r="U526" s="397"/>
      <c r="V526" s="295"/>
      <c r="W526" s="295"/>
      <c r="X526" s="295"/>
      <c r="Y526" s="295"/>
      <c r="Z526" s="397"/>
      <c r="AA526" s="295"/>
      <c r="AB526" s="295"/>
      <c r="AC526" s="295"/>
      <c r="AD526" s="295" t="str">
        <f t="shared" ref="AD526:BI526" si="397">IFERROR(AVERAGE(AD524,AD525),"")</f>
        <v/>
      </c>
      <c r="AE526" s="397" t="str">
        <f t="shared" si="397"/>
        <v/>
      </c>
      <c r="AF526" s="295" t="str">
        <f t="shared" si="397"/>
        <v/>
      </c>
      <c r="AG526" s="295" t="str">
        <f t="shared" si="397"/>
        <v/>
      </c>
      <c r="AH526" s="295" t="str">
        <f t="shared" si="397"/>
        <v/>
      </c>
      <c r="AI526" s="295" t="str">
        <f t="shared" si="397"/>
        <v/>
      </c>
      <c r="AJ526" s="397" t="str">
        <f t="shared" si="397"/>
        <v/>
      </c>
      <c r="AK526" s="295" t="str">
        <f t="shared" si="397"/>
        <v/>
      </c>
      <c r="AL526" s="295" t="str">
        <f t="shared" si="397"/>
        <v/>
      </c>
      <c r="AM526" s="295" t="str">
        <f t="shared" si="397"/>
        <v/>
      </c>
      <c r="AN526" s="295">
        <f t="shared" si="397"/>
        <v>2256.0016399999995</v>
      </c>
      <c r="AO526" s="397">
        <f t="shared" si="397"/>
        <v>2256.0016399999995</v>
      </c>
      <c r="AP526" s="295">
        <f t="shared" si="397"/>
        <v>3632.0390500000003</v>
      </c>
      <c r="AQ526" s="295">
        <f t="shared" si="397"/>
        <v>3342.95615</v>
      </c>
      <c r="AR526" s="295" t="str">
        <f t="shared" si="397"/>
        <v/>
      </c>
      <c r="AS526" s="295" t="str">
        <f t="shared" si="397"/>
        <v/>
      </c>
      <c r="AT526" s="397" t="str">
        <f t="shared" si="397"/>
        <v/>
      </c>
      <c r="AU526" s="295" t="str">
        <f t="shared" si="397"/>
        <v/>
      </c>
      <c r="AV526" s="295" t="str">
        <f t="shared" si="397"/>
        <v/>
      </c>
      <c r="AW526" s="295">
        <f t="shared" si="397"/>
        <v>3303.7659000000008</v>
      </c>
      <c r="AX526" s="295" t="str">
        <f t="shared" si="397"/>
        <v/>
      </c>
      <c r="AY526" s="397" t="str">
        <f t="shared" si="397"/>
        <v/>
      </c>
      <c r="AZ526" s="295" t="str">
        <f t="shared" si="397"/>
        <v/>
      </c>
      <c r="BA526" s="295">
        <f t="shared" si="397"/>
        <v>2808.9747000000002</v>
      </c>
      <c r="BB526" s="295">
        <f t="shared" si="397"/>
        <v>2991.631159999999</v>
      </c>
      <c r="BC526" s="295">
        <f t="shared" si="397"/>
        <v>2753.56</v>
      </c>
      <c r="BD526" s="397">
        <f t="shared" si="397"/>
        <v>2753.56</v>
      </c>
      <c r="BE526" s="295">
        <f t="shared" si="397"/>
        <v>3563.1400000000003</v>
      </c>
      <c r="BF526" s="295">
        <f t="shared" si="397"/>
        <v>2982</v>
      </c>
      <c r="BG526" s="295">
        <f t="shared" si="397"/>
        <v>3147.5150000000003</v>
      </c>
      <c r="BH526" s="295">
        <f t="shared" si="397"/>
        <v>2635.3</v>
      </c>
      <c r="BI526" s="397">
        <f t="shared" si="397"/>
        <v>2635.3</v>
      </c>
      <c r="BJ526" s="1030">
        <f>IFERROR(AVERAGE(BJ524,BJ525),"")</f>
        <v>3218.5650000000001</v>
      </c>
      <c r="BK526" s="295"/>
      <c r="BL526" s="295"/>
      <c r="BM526" s="295"/>
      <c r="BN526" s="397"/>
      <c r="BO526" s="295"/>
      <c r="BP526" s="295"/>
      <c r="BQ526" s="295"/>
      <c r="BR526" s="295"/>
      <c r="BS526" s="397"/>
      <c r="BT526" s="397"/>
      <c r="BU526" s="397"/>
      <c r="BV526" s="397"/>
      <c r="BW526" s="118"/>
    </row>
    <row r="527" spans="1:75" hidden="1" outlineLevel="2" x14ac:dyDescent="0.5">
      <c r="A527" s="184" t="s">
        <v>2492</v>
      </c>
      <c r="B527" s="513"/>
      <c r="C527" s="401"/>
      <c r="D527" s="401"/>
      <c r="E527" s="401"/>
      <c r="F527" s="401"/>
      <c r="G527" s="118"/>
      <c r="H527" s="118"/>
      <c r="I527" s="118"/>
      <c r="J527" s="118"/>
      <c r="K527" s="401"/>
      <c r="L527" s="118"/>
      <c r="M527" s="118"/>
      <c r="N527" s="118"/>
      <c r="O527" s="118"/>
      <c r="P527" s="401"/>
      <c r="Q527" s="118"/>
      <c r="R527" s="118"/>
      <c r="S527" s="118"/>
      <c r="T527" s="118"/>
      <c r="U527" s="401"/>
      <c r="V527" s="118"/>
      <c r="W527" s="118"/>
      <c r="X527" s="118"/>
      <c r="Y527" s="118"/>
      <c r="Z527" s="401"/>
      <c r="AA527" s="118"/>
      <c r="AB527" s="118"/>
      <c r="AC527" s="118"/>
      <c r="AD527" s="118" t="str">
        <f t="shared" ref="AD527:BI527" si="398">IFERROR(ABS(AD525-AD524),"")</f>
        <v/>
      </c>
      <c r="AE527" s="401" t="str">
        <f t="shared" si="398"/>
        <v/>
      </c>
      <c r="AF527" s="118" t="str">
        <f t="shared" si="398"/>
        <v/>
      </c>
      <c r="AG527" s="118" t="str">
        <f t="shared" si="398"/>
        <v/>
      </c>
      <c r="AH527" s="118" t="str">
        <f t="shared" si="398"/>
        <v/>
      </c>
      <c r="AI527" s="118" t="str">
        <f t="shared" si="398"/>
        <v/>
      </c>
      <c r="AJ527" s="401" t="str">
        <f t="shared" si="398"/>
        <v/>
      </c>
      <c r="AK527" s="118" t="str">
        <f t="shared" si="398"/>
        <v/>
      </c>
      <c r="AL527" s="118" t="str">
        <f t="shared" si="398"/>
        <v/>
      </c>
      <c r="AM527" s="118" t="str">
        <f t="shared" si="398"/>
        <v/>
      </c>
      <c r="AN527" s="118">
        <f t="shared" si="398"/>
        <v>38.896580000000085</v>
      </c>
      <c r="AO527" s="401">
        <f t="shared" si="398"/>
        <v>38.896580000000085</v>
      </c>
      <c r="AP527" s="118">
        <f t="shared" si="398"/>
        <v>1640.2757000000001</v>
      </c>
      <c r="AQ527" s="118">
        <f t="shared" si="398"/>
        <v>1152.7435</v>
      </c>
      <c r="AR527" s="118" t="str">
        <f t="shared" si="398"/>
        <v/>
      </c>
      <c r="AS527" s="118" t="str">
        <f t="shared" si="398"/>
        <v/>
      </c>
      <c r="AT527" s="401" t="str">
        <f t="shared" si="398"/>
        <v/>
      </c>
      <c r="AU527" s="118" t="str">
        <f t="shared" si="398"/>
        <v/>
      </c>
      <c r="AV527" s="118" t="str">
        <f t="shared" si="398"/>
        <v/>
      </c>
      <c r="AW527" s="118">
        <f t="shared" si="398"/>
        <v>0</v>
      </c>
      <c r="AX527" s="118" t="str">
        <f t="shared" si="398"/>
        <v/>
      </c>
      <c r="AY527" s="401" t="str">
        <f t="shared" si="398"/>
        <v/>
      </c>
      <c r="AZ527" s="118" t="str">
        <f t="shared" si="398"/>
        <v/>
      </c>
      <c r="BA527" s="118">
        <f t="shared" si="398"/>
        <v>0</v>
      </c>
      <c r="BB527" s="118">
        <f t="shared" si="398"/>
        <v>65.035459999999603</v>
      </c>
      <c r="BC527" s="118">
        <f t="shared" si="398"/>
        <v>59.859999999999673</v>
      </c>
      <c r="BD527" s="401">
        <f t="shared" si="398"/>
        <v>59.859999999999673</v>
      </c>
      <c r="BE527" s="118">
        <f t="shared" si="398"/>
        <v>32.840000000000146</v>
      </c>
      <c r="BF527" s="118">
        <f t="shared" si="398"/>
        <v>56.800000000000182</v>
      </c>
      <c r="BG527" s="118">
        <f t="shared" si="398"/>
        <v>93.0300000000002</v>
      </c>
      <c r="BH527" s="118">
        <f t="shared" si="398"/>
        <v>138.69999999999982</v>
      </c>
      <c r="BI527" s="401">
        <f t="shared" si="398"/>
        <v>138.69999999999982</v>
      </c>
      <c r="BJ527" s="971">
        <f>IFERROR(ABS(BJ525-BJ524),"")</f>
        <v>95.130000000000109</v>
      </c>
      <c r="BK527" s="118"/>
      <c r="BL527" s="118"/>
      <c r="BM527" s="118"/>
      <c r="BN527" s="401"/>
      <c r="BO527" s="118"/>
      <c r="BP527" s="118"/>
      <c r="BQ527" s="118"/>
      <c r="BR527" s="118"/>
      <c r="BS527" s="401"/>
      <c r="BT527" s="401"/>
      <c r="BU527" s="401"/>
      <c r="BV527" s="401"/>
      <c r="BW527" s="118"/>
    </row>
    <row r="528" spans="1:75" hidden="1" outlineLevel="2" x14ac:dyDescent="0.5">
      <c r="A528" s="526" t="s">
        <v>2493</v>
      </c>
      <c r="B528" s="513"/>
      <c r="C528" s="423"/>
      <c r="D528" s="423"/>
      <c r="E528" s="423"/>
      <c r="F528" s="423"/>
      <c r="G528" s="422"/>
      <c r="H528" s="422"/>
      <c r="I528" s="422"/>
      <c r="J528" s="422"/>
      <c r="K528" s="423"/>
      <c r="L528" s="422"/>
      <c r="M528" s="422"/>
      <c r="N528" s="422"/>
      <c r="O528" s="422"/>
      <c r="P528" s="423"/>
      <c r="Q528" s="422"/>
      <c r="R528" s="422"/>
      <c r="S528" s="422"/>
      <c r="T528" s="422"/>
      <c r="U528" s="423"/>
      <c r="V528" s="422"/>
      <c r="W528" s="422"/>
      <c r="X528" s="422"/>
      <c r="Y528" s="422"/>
      <c r="Z528" s="423"/>
      <c r="AA528" s="422"/>
      <c r="AB528" s="422"/>
      <c r="AC528" s="422"/>
      <c r="AD528" s="422" t="str">
        <f t="shared" ref="AD528:BI528" si="399">IFERROR(ABS((AD525-AD526)/AD526),"")</f>
        <v/>
      </c>
      <c r="AE528" s="423" t="str">
        <f t="shared" si="399"/>
        <v/>
      </c>
      <c r="AF528" s="422" t="str">
        <f t="shared" si="399"/>
        <v/>
      </c>
      <c r="AG528" s="422" t="str">
        <f t="shared" si="399"/>
        <v/>
      </c>
      <c r="AH528" s="422" t="str">
        <f t="shared" si="399"/>
        <v/>
      </c>
      <c r="AI528" s="422" t="str">
        <f t="shared" si="399"/>
        <v/>
      </c>
      <c r="AJ528" s="423" t="str">
        <f t="shared" si="399"/>
        <v/>
      </c>
      <c r="AK528" s="422" t="str">
        <f t="shared" si="399"/>
        <v/>
      </c>
      <c r="AL528" s="422" t="str">
        <f t="shared" si="399"/>
        <v/>
      </c>
      <c r="AM528" s="422" t="str">
        <f t="shared" si="399"/>
        <v/>
      </c>
      <c r="AN528" s="422">
        <f t="shared" si="399"/>
        <v>8.6206896551725351E-3</v>
      </c>
      <c r="AO528" s="423">
        <f t="shared" si="399"/>
        <v>8.6206896551725351E-3</v>
      </c>
      <c r="AP528" s="422">
        <f t="shared" si="399"/>
        <v>0.22580645161290322</v>
      </c>
      <c r="AQ528" s="422">
        <f t="shared" si="399"/>
        <v>0.17241379310344834</v>
      </c>
      <c r="AR528" s="422" t="str">
        <f t="shared" si="399"/>
        <v/>
      </c>
      <c r="AS528" s="422" t="str">
        <f t="shared" si="399"/>
        <v/>
      </c>
      <c r="AT528" s="423" t="str">
        <f t="shared" si="399"/>
        <v/>
      </c>
      <c r="AU528" s="422" t="str">
        <f t="shared" si="399"/>
        <v/>
      </c>
      <c r="AV528" s="422" t="str">
        <f t="shared" si="399"/>
        <v/>
      </c>
      <c r="AW528" s="422">
        <f t="shared" si="399"/>
        <v>0</v>
      </c>
      <c r="AX528" s="422" t="str">
        <f t="shared" si="399"/>
        <v/>
      </c>
      <c r="AY528" s="423" t="str">
        <f t="shared" si="399"/>
        <v/>
      </c>
      <c r="AZ528" s="422" t="str">
        <f t="shared" si="399"/>
        <v/>
      </c>
      <c r="BA528" s="422">
        <f t="shared" si="399"/>
        <v>0</v>
      </c>
      <c r="BB528" s="422">
        <f t="shared" si="399"/>
        <v>1.0869565217391318E-2</v>
      </c>
      <c r="BC528" s="422">
        <f t="shared" si="399"/>
        <v>1.0869565217391245E-2</v>
      </c>
      <c r="BD528" s="423">
        <f t="shared" si="399"/>
        <v>1.0869565217391245E-2</v>
      </c>
      <c r="BE528" s="422">
        <f t="shared" si="399"/>
        <v>4.608294930875596E-3</v>
      </c>
      <c r="BF528" s="422">
        <f t="shared" si="399"/>
        <v>9.5238095238095542E-3</v>
      </c>
      <c r="BG528" s="422">
        <f t="shared" si="399"/>
        <v>1.4778325123152667E-2</v>
      </c>
      <c r="BH528" s="422">
        <f t="shared" si="399"/>
        <v>2.6315789473684174E-2</v>
      </c>
      <c r="BI528" s="423">
        <f t="shared" si="399"/>
        <v>2.6315789473684174E-2</v>
      </c>
      <c r="BJ528" s="1034">
        <f>IFERROR(ABS((BJ525-BJ526)/BJ526),"")</f>
        <v>1.4778325123152726E-2</v>
      </c>
      <c r="BK528" s="422"/>
      <c r="BL528" s="422"/>
      <c r="BM528" s="422"/>
      <c r="BN528" s="423"/>
      <c r="BO528" s="422"/>
      <c r="BP528" s="422"/>
      <c r="BQ528" s="422"/>
      <c r="BR528" s="422"/>
      <c r="BS528" s="423"/>
      <c r="BT528" s="423"/>
      <c r="BU528" s="423"/>
      <c r="BV528" s="423"/>
      <c r="BW528" s="118"/>
    </row>
    <row r="529" spans="1:75" hidden="1" outlineLevel="3" x14ac:dyDescent="0.5">
      <c r="A529" s="189" t="s">
        <v>2494</v>
      </c>
      <c r="B529" s="720"/>
      <c r="C529" s="417"/>
      <c r="D529" s="417"/>
      <c r="E529" s="417"/>
      <c r="F529" s="417"/>
      <c r="G529" s="378"/>
      <c r="H529" s="378"/>
      <c r="I529" s="378"/>
      <c r="J529" s="378"/>
      <c r="K529" s="417"/>
      <c r="L529" s="378"/>
      <c r="M529" s="378"/>
      <c r="N529" s="378"/>
      <c r="O529" s="378"/>
      <c r="P529" s="417"/>
      <c r="Q529" s="378"/>
      <c r="R529" s="378"/>
      <c r="S529" s="378"/>
      <c r="T529" s="378"/>
      <c r="U529" s="417"/>
      <c r="V529" s="378"/>
      <c r="W529" s="378"/>
      <c r="X529" s="378"/>
      <c r="Y529" s="378"/>
      <c r="Z529" s="417"/>
      <c r="AA529" s="378"/>
      <c r="AB529" s="378"/>
      <c r="AC529" s="378"/>
      <c r="AD529" s="378" t="str">
        <f>IFERROR(AD524/AD511-1,"n/a")</f>
        <v>n/a</v>
      </c>
      <c r="AE529" s="417" t="str">
        <f>IFERROR(AE524/AD511-1,"n/a")</f>
        <v>n/a</v>
      </c>
      <c r="AF529" s="378" t="str">
        <f>IFERROR(AF524/AF511-1,"n/a")</f>
        <v>n/a</v>
      </c>
      <c r="AG529" s="378" t="str">
        <f>IFERROR(AG524/AG511-1,"n/a")</f>
        <v>n/a</v>
      </c>
      <c r="AH529" s="378" t="str">
        <f>IFERROR(AH524/AH511-1,"n/a")</f>
        <v>n/a</v>
      </c>
      <c r="AI529" s="378" t="str">
        <f>IFERROR(AI524/AI511-1,"n/a")</f>
        <v>n/a</v>
      </c>
      <c r="AJ529" s="417" t="str">
        <f>IFERROR(AJ524/AI511-1,"n/a")</f>
        <v>n/a</v>
      </c>
      <c r="AK529" s="378" t="str">
        <f>IFERROR(AK524/AK511-1,"n/a")</f>
        <v>n/a</v>
      </c>
      <c r="AL529" s="378" t="str">
        <f>IFERROR(AL524/AL511-1,"n/a")</f>
        <v>n/a</v>
      </c>
      <c r="AM529" s="378" t="str">
        <f>IFERROR(AM524/AM511-1,"n/a")</f>
        <v>n/a</v>
      </c>
      <c r="AN529" s="378">
        <f>AN524/AN511-1</f>
        <v>-0.11720458734788808</v>
      </c>
      <c r="AO529" s="417">
        <f>AO524/AN511-1</f>
        <v>-0.11720458734788808</v>
      </c>
      <c r="AP529" s="378">
        <f>AP524/AP511-1</f>
        <v>0.20679191936012042</v>
      </c>
      <c r="AQ529" s="378">
        <f>AQ524/AQ511-1</f>
        <v>-0.35730657295143498</v>
      </c>
      <c r="AR529" s="378" t="str">
        <f>IFERROR(AR524/AR511-1,"n/a")</f>
        <v>n/a</v>
      </c>
      <c r="AS529" s="378" t="str">
        <f>IFERROR(AS524/AS511-1,"n/a")</f>
        <v>n/a</v>
      </c>
      <c r="AT529" s="417" t="str">
        <f>IFERROR(AT524/AS511-1,"n/a")</f>
        <v>n/a</v>
      </c>
      <c r="AU529" s="378" t="str">
        <f>IFERROR(AU524/AU511-1,"n/a")</f>
        <v>n/a</v>
      </c>
      <c r="AV529" s="378" t="str">
        <f>IFERROR(AV524/AV511-1,"n/a")</f>
        <v>n/a</v>
      </c>
      <c r="AW529" s="378">
        <f>AW524/AW511-1</f>
        <v>5.8531894217488167E-2</v>
      </c>
      <c r="AX529" s="378" t="str">
        <f>IFERROR(AX524/AX511-1,"n/a")</f>
        <v>n/a</v>
      </c>
      <c r="AY529" s="417" t="str">
        <f>IFERROR(AY524/AX511-1,"n/a")</f>
        <v>n/a</v>
      </c>
      <c r="AZ529" s="378" t="str">
        <f>IFERROR(AZ524/AZ511-1,"n/a")</f>
        <v>n/a</v>
      </c>
      <c r="BA529" s="378">
        <f>BA524/BA511-1</f>
        <v>-0.14464838611449449</v>
      </c>
      <c r="BB529" s="378">
        <f>BB524/BB511-1</f>
        <v>4.1941348591549188E-2</v>
      </c>
      <c r="BC529" s="378">
        <f>BC524/BC511-1</f>
        <v>-0.12169300225733626</v>
      </c>
      <c r="BD529" s="417">
        <f>BD524/BC511-1</f>
        <v>-0.12169300225733626</v>
      </c>
      <c r="BE529" s="378">
        <f>BE524/BE511-1</f>
        <v>0.27855803893294895</v>
      </c>
      <c r="BF529" s="378">
        <f>BF524/BF511-1</f>
        <v>-6.8558814254178535E-2</v>
      </c>
      <c r="BG529" s="378">
        <f>BG524/BG511-1</f>
        <v>5.3328804347826164E-2</v>
      </c>
      <c r="BH529" s="378">
        <f>IFERROR(BH524/BH511-1,"n/a")</f>
        <v>-0.17599550417469478</v>
      </c>
      <c r="BI529" s="417">
        <f>IFERROR(BI524/BH511-1,"n/a")</f>
        <v>-0.17599550417469478</v>
      </c>
      <c r="BJ529" s="1130">
        <f>IFERROR(BJ524/BJ511-1,"n/a")</f>
        <v>0.16196408941004026</v>
      </c>
      <c r="BK529" s="378"/>
      <c r="BL529" s="378"/>
      <c r="BM529" s="378"/>
      <c r="BN529" s="417"/>
      <c r="BO529" s="378"/>
      <c r="BP529" s="378"/>
      <c r="BQ529" s="378"/>
      <c r="BR529" s="378"/>
      <c r="BS529" s="417"/>
      <c r="BT529" s="417"/>
      <c r="BU529" s="417"/>
      <c r="BV529" s="417"/>
      <c r="BW529" s="118"/>
    </row>
    <row r="530" spans="1:75" hidden="1" outlineLevel="3" x14ac:dyDescent="0.5">
      <c r="A530" s="1188" t="s">
        <v>2495</v>
      </c>
      <c r="B530" s="769"/>
      <c r="C530" s="770"/>
      <c r="D530" s="770"/>
      <c r="E530" s="770"/>
      <c r="F530" s="770"/>
      <c r="G530" s="771"/>
      <c r="H530" s="771"/>
      <c r="I530" s="771"/>
      <c r="J530" s="771"/>
      <c r="K530" s="770"/>
      <c r="L530" s="771"/>
      <c r="M530" s="771"/>
      <c r="N530" s="771"/>
      <c r="O530" s="771"/>
      <c r="P530" s="770"/>
      <c r="Q530" s="771"/>
      <c r="R530" s="771"/>
      <c r="S530" s="771"/>
      <c r="T530" s="771"/>
      <c r="U530" s="770"/>
      <c r="V530" s="771"/>
      <c r="W530" s="771"/>
      <c r="X530" s="771"/>
      <c r="Y530" s="771"/>
      <c r="Z530" s="770"/>
      <c r="AA530" s="771"/>
      <c r="AB530" s="771"/>
      <c r="AC530" s="771"/>
      <c r="AD530" s="771" t="str">
        <f>IFERROR(AD525/AD511-1,"n/a")</f>
        <v>n/a</v>
      </c>
      <c r="AE530" s="770" t="str">
        <f>IFERROR(AE525/AD511-1,"n/a")</f>
        <v>n/a</v>
      </c>
      <c r="AF530" s="771" t="str">
        <f>IFERROR(AF525/AF511-1,"n/a")</f>
        <v>n/a</v>
      </c>
      <c r="AG530" s="771" t="str">
        <f>IFERROR(AG525/AG511-1,"n/a")</f>
        <v>n/a</v>
      </c>
      <c r="AH530" s="771" t="str">
        <f>IFERROR(AH525/AH511-1,"n/a")</f>
        <v>n/a</v>
      </c>
      <c r="AI530" s="771" t="str">
        <f>IFERROR(AI525/AI511-1,"n/a")</f>
        <v>n/a</v>
      </c>
      <c r="AJ530" s="770" t="str">
        <f>IFERROR(AJ525/AI511-1,"n/a")</f>
        <v>n/a</v>
      </c>
      <c r="AK530" s="771" t="str">
        <f>IFERROR(AK525/AK511-1,"n/a")</f>
        <v>n/a</v>
      </c>
      <c r="AL530" s="771" t="str">
        <f>IFERROR(AL525/AL511-1,"n/a")</f>
        <v>n/a</v>
      </c>
      <c r="AM530" s="771" t="str">
        <f>IFERROR(AM525/AM511-1,"n/a")</f>
        <v>n/a</v>
      </c>
      <c r="AN530" s="771">
        <f>AN525/AN511-1</f>
        <v>-0.10185162364959044</v>
      </c>
      <c r="AO530" s="770">
        <f>AO525/AN511-1</f>
        <v>-0.10185162364959044</v>
      </c>
      <c r="AP530" s="771">
        <f>AP525/AP511-1</f>
        <v>0.91075387232019067</v>
      </c>
      <c r="AQ530" s="771">
        <f>AQ525/AQ511-1</f>
        <v>-8.9517645014532854E-2</v>
      </c>
      <c r="AR530" s="771" t="str">
        <f>IFERROR(AR525/AR511-1,"n/a")</f>
        <v>n/a</v>
      </c>
      <c r="AS530" s="771" t="str">
        <f>IFERROR(AS525/AS511-1,"n/a")</f>
        <v>n/a</v>
      </c>
      <c r="AT530" s="770" t="str">
        <f>IFERROR(AT525/AS511-1,"n/a")</f>
        <v>n/a</v>
      </c>
      <c r="AU530" s="771" t="str">
        <f>IFERROR(AU525/AU511-1,"n/a")</f>
        <v>n/a</v>
      </c>
      <c r="AV530" s="771" t="str">
        <f>IFERROR(AV525/AV511-1,"n/a")</f>
        <v>n/a</v>
      </c>
      <c r="AW530" s="771">
        <f>AW525/AW511-1</f>
        <v>5.8531894217488167E-2</v>
      </c>
      <c r="AX530" s="771" t="str">
        <f>IFERROR(AX525/AX511-1,"n/a")</f>
        <v>n/a</v>
      </c>
      <c r="AY530" s="770" t="str">
        <f>IFERROR(AY525/AX511-1,"n/a")</f>
        <v>n/a</v>
      </c>
      <c r="AZ530" s="771" t="str">
        <f>IFERROR(AZ525/AZ511-1,"n/a")</f>
        <v>n/a</v>
      </c>
      <c r="BA530" s="771">
        <f>BA525/BA511-1</f>
        <v>-0.14464838611449449</v>
      </c>
      <c r="BB530" s="771">
        <f>BB525/BB511-1</f>
        <v>6.4841158450703817E-2</v>
      </c>
      <c r="BC530" s="771">
        <f>BC525/BC511-1</f>
        <v>-0.10238955175749764</v>
      </c>
      <c r="BD530" s="770">
        <f>BD525/BC511-1</f>
        <v>-0.10238955175749764</v>
      </c>
      <c r="BE530" s="771">
        <f>BE525/BE511-1</f>
        <v>0.29039653929343912</v>
      </c>
      <c r="BF530" s="771">
        <f>BF525/BF511-1</f>
        <v>-5.0646483759066552E-2</v>
      </c>
      <c r="BG530" s="771">
        <f>BG525/BG511-1</f>
        <v>8.492866847826086E-2</v>
      </c>
      <c r="BH530" s="771">
        <f>IFERROR(BH525/BH511-1,"n/a")</f>
        <v>-0.13145472061657026</v>
      </c>
      <c r="BI530" s="770">
        <f>IFERROR(BI525/BH511-1,"n/a")</f>
        <v>-0.13145472061657026</v>
      </c>
      <c r="BJ530" s="1314">
        <f>IFERROR(BJ525/BJ511-1,"n/a")</f>
        <v>0.19682301209234154</v>
      </c>
      <c r="BK530" s="771"/>
      <c r="BL530" s="771"/>
      <c r="BM530" s="771"/>
      <c r="BN530" s="770"/>
      <c r="BO530" s="771"/>
      <c r="BP530" s="771"/>
      <c r="BQ530" s="771"/>
      <c r="BR530" s="771"/>
      <c r="BS530" s="770"/>
      <c r="BT530" s="770"/>
      <c r="BU530" s="770"/>
      <c r="BV530" s="770"/>
      <c r="BW530" s="118"/>
    </row>
    <row r="531" spans="1:75" hidden="1" outlineLevel="2" x14ac:dyDescent="0.5">
      <c r="A531" s="170" t="s">
        <v>2496</v>
      </c>
      <c r="B531" s="720"/>
      <c r="C531" s="417"/>
      <c r="D531" s="417"/>
      <c r="E531" s="417"/>
      <c r="F531" s="417"/>
      <c r="G531" s="378"/>
      <c r="H531" s="378"/>
      <c r="I531" s="378"/>
      <c r="J531" s="378"/>
      <c r="K531" s="417"/>
      <c r="L531" s="378"/>
      <c r="M531" s="378"/>
      <c r="N531" s="378"/>
      <c r="O531" s="378"/>
      <c r="P531" s="417"/>
      <c r="Q531" s="378"/>
      <c r="R531" s="378"/>
      <c r="S531" s="378"/>
      <c r="T531" s="378"/>
      <c r="U531" s="417"/>
      <c r="V531" s="378"/>
      <c r="W531" s="378"/>
      <c r="X531" s="378"/>
      <c r="Y531" s="378"/>
      <c r="Z531" s="417"/>
      <c r="AA531" s="378"/>
      <c r="AB531" s="378"/>
      <c r="AC531" s="378"/>
      <c r="AD531" s="378" t="str">
        <f>IFERROR(AD526/AD511-1,"n/a")</f>
        <v>n/a</v>
      </c>
      <c r="AE531" s="417" t="str">
        <f>IFERROR(AE526/AD511-1,"n/a")</f>
        <v>n/a</v>
      </c>
      <c r="AF531" s="378" t="str">
        <f>IFERROR(AF526/AF511-1,"n/a")</f>
        <v>n/a</v>
      </c>
      <c r="AG531" s="378" t="str">
        <f>IFERROR(AG526/AG511-1,"n/a")</f>
        <v>n/a</v>
      </c>
      <c r="AH531" s="378" t="str">
        <f>IFERROR(AH526/AH511-1,"n/a")</f>
        <v>n/a</v>
      </c>
      <c r="AI531" s="378" t="str">
        <f>IFERROR(AI526/AI511-1,"n/a")</f>
        <v>n/a</v>
      </c>
      <c r="AJ531" s="417" t="str">
        <f>IFERROR(AJ526/AI511-1,"n/a")</f>
        <v>n/a</v>
      </c>
      <c r="AK531" s="378" t="str">
        <f>IFERROR(AK526/AK511-1,"n/a")</f>
        <v>n/a</v>
      </c>
      <c r="AL531" s="378" t="str">
        <f>IFERROR(AL526/AL511-1,"n/a")</f>
        <v>n/a</v>
      </c>
      <c r="AM531" s="378" t="str">
        <f>IFERROR(AM526/AM511-1,"n/a")</f>
        <v>n/a</v>
      </c>
      <c r="AN531" s="378">
        <f>AN526/AN511-1</f>
        <v>-0.10952810549873937</v>
      </c>
      <c r="AO531" s="417">
        <f>AO526/AN511-1</f>
        <v>-0.10952810549873937</v>
      </c>
      <c r="AP531" s="378">
        <f>AP526/AP511-1</f>
        <v>0.55877289584015544</v>
      </c>
      <c r="AQ531" s="378">
        <f>AQ526/AQ511-1</f>
        <v>-0.22341210898298403</v>
      </c>
      <c r="AR531" s="378" t="str">
        <f>IFERROR(AR526/AR511-1,"n/a")</f>
        <v>n/a</v>
      </c>
      <c r="AS531" s="378" t="str">
        <f>IFERROR(AS526/AS511-1,"n/a")</f>
        <v>n/a</v>
      </c>
      <c r="AT531" s="417" t="str">
        <f>IFERROR(AT526/AS511-1,"n/a")</f>
        <v>n/a</v>
      </c>
      <c r="AU531" s="378" t="str">
        <f>IFERROR(AU526/AU511-1,"n/a")</f>
        <v>n/a</v>
      </c>
      <c r="AV531" s="378" t="str">
        <f>IFERROR(AV526/AV511-1,"n/a")</f>
        <v>n/a</v>
      </c>
      <c r="AW531" s="378">
        <f>AW526/AW511-1</f>
        <v>5.8531894217488167E-2</v>
      </c>
      <c r="AX531" s="378" t="str">
        <f>IFERROR(AX526/AX511-1,"n/a")</f>
        <v>n/a</v>
      </c>
      <c r="AY531" s="417" t="str">
        <f>IFERROR(AY526/AX511-1,"n/a")</f>
        <v>n/a</v>
      </c>
      <c r="AZ531" s="378" t="str">
        <f>IFERROR(AZ526/AZ511-1,"n/a")</f>
        <v>n/a</v>
      </c>
      <c r="BA531" s="378">
        <f>BA526/BA511-1</f>
        <v>-0.14464838611449449</v>
      </c>
      <c r="BB531" s="378">
        <f>BB526/BB511-1</f>
        <v>5.3391253521126503E-2</v>
      </c>
      <c r="BC531" s="378">
        <f>BC526/BC511-1</f>
        <v>-0.11204127700741695</v>
      </c>
      <c r="BD531" s="417">
        <f>BD526/BC511-1</f>
        <v>-0.11204127700741695</v>
      </c>
      <c r="BE531" s="378">
        <f>BE526/BE511-1</f>
        <v>0.28447728911319414</v>
      </c>
      <c r="BF531" s="378">
        <f>BF526/BF511-1</f>
        <v>-5.9602649006622488E-2</v>
      </c>
      <c r="BG531" s="378">
        <f>BG526/BG511-1</f>
        <v>6.9128736413043512E-2</v>
      </c>
      <c r="BH531" s="378">
        <f>IFERROR(BH526/BH511-1,"n/a")</f>
        <v>-0.15372511239563258</v>
      </c>
      <c r="BI531" s="417">
        <f>IFERROR(BI526/BH511-1,"n/a")</f>
        <v>-0.15372511239563258</v>
      </c>
      <c r="BJ531" s="1130">
        <f>IFERROR(BJ526/BJ511-1,"n/a")</f>
        <v>0.17939355075119101</v>
      </c>
      <c r="BK531" s="378"/>
      <c r="BL531" s="378"/>
      <c r="BM531" s="378"/>
      <c r="BN531" s="417"/>
      <c r="BO531" s="378"/>
      <c r="BP531" s="378"/>
      <c r="BQ531" s="378"/>
      <c r="BR531" s="378"/>
      <c r="BS531" s="417"/>
      <c r="BT531" s="417"/>
      <c r="BU531" s="417"/>
      <c r="BV531" s="417"/>
      <c r="BW531" s="118"/>
    </row>
    <row r="532" spans="1:75" hidden="1" outlineLevel="3" x14ac:dyDescent="0.5">
      <c r="A532" s="189" t="s">
        <v>2497</v>
      </c>
      <c r="B532" s="720"/>
      <c r="C532" s="417"/>
      <c r="D532" s="417"/>
      <c r="E532" s="417"/>
      <c r="F532" s="417"/>
      <c r="G532" s="378"/>
      <c r="H532" s="378"/>
      <c r="I532" s="378"/>
      <c r="J532" s="378"/>
      <c r="K532" s="417"/>
      <c r="L532" s="378"/>
      <c r="M532" s="378"/>
      <c r="N532" s="378"/>
      <c r="O532" s="378"/>
      <c r="P532" s="417"/>
      <c r="Q532" s="378"/>
      <c r="R532" s="378"/>
      <c r="S532" s="378"/>
      <c r="T532" s="378"/>
      <c r="U532" s="417"/>
      <c r="V532" s="378"/>
      <c r="W532" s="378"/>
      <c r="X532" s="378"/>
      <c r="Y532" s="378"/>
      <c r="Z532" s="417"/>
      <c r="AA532" s="378"/>
      <c r="AB532" s="378"/>
      <c r="AC532" s="378"/>
      <c r="AD532" s="378" t="str">
        <f t="shared" ref="AD532:BI533" si="400">AD1067</f>
        <v>NR</v>
      </c>
      <c r="AE532" s="417" t="str">
        <f t="shared" si="400"/>
        <v>NR</v>
      </c>
      <c r="AF532" s="378" t="str">
        <f t="shared" si="400"/>
        <v>NR</v>
      </c>
      <c r="AG532" s="378" t="str">
        <f t="shared" si="400"/>
        <v>NR</v>
      </c>
      <c r="AH532" s="378" t="str">
        <f t="shared" si="400"/>
        <v>NR</v>
      </c>
      <c r="AI532" s="378" t="str">
        <f t="shared" si="400"/>
        <v>NR</v>
      </c>
      <c r="AJ532" s="417" t="str">
        <f t="shared" si="400"/>
        <v>NR</v>
      </c>
      <c r="AK532" s="378" t="str">
        <f t="shared" si="400"/>
        <v>NR</v>
      </c>
      <c r="AL532" s="378" t="str">
        <f t="shared" si="400"/>
        <v>NR</v>
      </c>
      <c r="AM532" s="378" t="str">
        <f t="shared" si="400"/>
        <v>NR</v>
      </c>
      <c r="AN532" s="378">
        <f t="shared" si="400"/>
        <v>0.15</v>
      </c>
      <c r="AO532" s="417">
        <f t="shared" si="400"/>
        <v>0.15</v>
      </c>
      <c r="AP532" s="378">
        <f t="shared" si="400"/>
        <v>0.2</v>
      </c>
      <c r="AQ532" s="378">
        <f t="shared" si="400"/>
        <v>0.2</v>
      </c>
      <c r="AR532" s="378" t="str">
        <f t="shared" si="400"/>
        <v>NR</v>
      </c>
      <c r="AS532" s="378" t="str">
        <f t="shared" si="400"/>
        <v>NR</v>
      </c>
      <c r="AT532" s="417" t="str">
        <f t="shared" si="400"/>
        <v>NR</v>
      </c>
      <c r="AU532" s="378" t="str">
        <f t="shared" si="400"/>
        <v>NR</v>
      </c>
      <c r="AV532" s="378" t="str">
        <f t="shared" si="400"/>
        <v>NR</v>
      </c>
      <c r="AW532" s="378">
        <f t="shared" si="400"/>
        <v>-0.1</v>
      </c>
      <c r="AX532" s="378" t="str">
        <f t="shared" si="400"/>
        <v>NR</v>
      </c>
      <c r="AY532" s="417" t="str">
        <f t="shared" si="400"/>
        <v>NR</v>
      </c>
      <c r="AZ532" s="378" t="str">
        <f t="shared" si="400"/>
        <v>NR</v>
      </c>
      <c r="BA532" s="378">
        <f t="shared" si="400"/>
        <v>-0.1</v>
      </c>
      <c r="BB532" s="378">
        <f t="shared" si="400"/>
        <v>-0.09</v>
      </c>
      <c r="BC532" s="378">
        <f t="shared" si="400"/>
        <v>-0.09</v>
      </c>
      <c r="BD532" s="417">
        <f t="shared" si="400"/>
        <v>-0.09</v>
      </c>
      <c r="BE532" s="378">
        <f t="shared" si="400"/>
        <v>0.08</v>
      </c>
      <c r="BF532" s="378">
        <f t="shared" si="400"/>
        <v>0.04</v>
      </c>
      <c r="BG532" s="378">
        <f t="shared" si="400"/>
        <v>0</v>
      </c>
      <c r="BH532" s="378">
        <f t="shared" si="400"/>
        <v>-7.4999999999999997E-2</v>
      </c>
      <c r="BI532" s="417">
        <f t="shared" si="400"/>
        <v>-7.4999999999999997E-2</v>
      </c>
      <c r="BJ532" s="1130">
        <f>BJ1067</f>
        <v>0</v>
      </c>
      <c r="BK532" s="378"/>
      <c r="BL532" s="378"/>
      <c r="BM532" s="378"/>
      <c r="BN532" s="417"/>
      <c r="BO532" s="378"/>
      <c r="BP532" s="378"/>
      <c r="BQ532" s="378"/>
      <c r="BR532" s="378"/>
      <c r="BS532" s="417"/>
      <c r="BT532" s="417"/>
      <c r="BU532" s="417"/>
      <c r="BV532" s="417"/>
      <c r="BW532" s="118"/>
    </row>
    <row r="533" spans="1:75" hidden="1" outlineLevel="3" x14ac:dyDescent="0.5">
      <c r="A533" s="1188" t="s">
        <v>2498</v>
      </c>
      <c r="B533" s="769"/>
      <c r="C533" s="770"/>
      <c r="D533" s="770"/>
      <c r="E533" s="770"/>
      <c r="F533" s="770"/>
      <c r="G533" s="771"/>
      <c r="H533" s="771"/>
      <c r="I533" s="771"/>
      <c r="J533" s="771"/>
      <c r="K533" s="770"/>
      <c r="L533" s="771"/>
      <c r="M533" s="771"/>
      <c r="N533" s="771"/>
      <c r="O533" s="771"/>
      <c r="P533" s="770"/>
      <c r="Q533" s="771"/>
      <c r="R533" s="771"/>
      <c r="S533" s="771"/>
      <c r="T533" s="771"/>
      <c r="U533" s="770"/>
      <c r="V533" s="771"/>
      <c r="W533" s="771"/>
      <c r="X533" s="771"/>
      <c r="Y533" s="771"/>
      <c r="Z533" s="770"/>
      <c r="AA533" s="771"/>
      <c r="AB533" s="771"/>
      <c r="AC533" s="771"/>
      <c r="AD533" s="771" t="str">
        <f t="shared" si="400"/>
        <v>NR</v>
      </c>
      <c r="AE533" s="770" t="str">
        <f t="shared" si="400"/>
        <v>NR</v>
      </c>
      <c r="AF533" s="771" t="str">
        <f t="shared" si="400"/>
        <v>NR</v>
      </c>
      <c r="AG533" s="771" t="str">
        <f t="shared" si="400"/>
        <v>NR</v>
      </c>
      <c r="AH533" s="771" t="str">
        <f t="shared" si="400"/>
        <v>NR</v>
      </c>
      <c r="AI533" s="771" t="str">
        <f t="shared" si="400"/>
        <v>NR</v>
      </c>
      <c r="AJ533" s="770" t="str">
        <f t="shared" si="400"/>
        <v>NR</v>
      </c>
      <c r="AK533" s="771" t="str">
        <f t="shared" si="400"/>
        <v>NR</v>
      </c>
      <c r="AL533" s="771" t="str">
        <f t="shared" si="400"/>
        <v>NR</v>
      </c>
      <c r="AM533" s="771" t="str">
        <f t="shared" si="400"/>
        <v>NR</v>
      </c>
      <c r="AN533" s="771">
        <f t="shared" si="400"/>
        <v>0.17</v>
      </c>
      <c r="AO533" s="770">
        <f t="shared" si="400"/>
        <v>0.17</v>
      </c>
      <c r="AP533" s="771">
        <f t="shared" si="400"/>
        <v>0.9</v>
      </c>
      <c r="AQ533" s="771">
        <f t="shared" si="400"/>
        <v>0.7</v>
      </c>
      <c r="AR533" s="771" t="str">
        <f t="shared" si="400"/>
        <v>NR</v>
      </c>
      <c r="AS533" s="771" t="str">
        <f t="shared" si="400"/>
        <v>NR</v>
      </c>
      <c r="AT533" s="770" t="str">
        <f t="shared" si="400"/>
        <v>NR</v>
      </c>
      <c r="AU533" s="771" t="str">
        <f t="shared" si="400"/>
        <v>NR</v>
      </c>
      <c r="AV533" s="771" t="str">
        <f t="shared" si="400"/>
        <v>NR</v>
      </c>
      <c r="AW533" s="771">
        <f t="shared" si="400"/>
        <v>-0.1</v>
      </c>
      <c r="AX533" s="771" t="str">
        <f t="shared" si="400"/>
        <v>NR</v>
      </c>
      <c r="AY533" s="770" t="str">
        <f t="shared" si="400"/>
        <v>NR</v>
      </c>
      <c r="AZ533" s="771" t="str">
        <f t="shared" si="400"/>
        <v>NR</v>
      </c>
      <c r="BA533" s="771">
        <f t="shared" si="400"/>
        <v>-0.1</v>
      </c>
      <c r="BB533" s="771">
        <f t="shared" si="400"/>
        <v>-7.0000000000000007E-2</v>
      </c>
      <c r="BC533" s="771">
        <f t="shared" si="400"/>
        <v>-7.0000000000000007E-2</v>
      </c>
      <c r="BD533" s="770">
        <f t="shared" si="400"/>
        <v>-7.0000000000000007E-2</v>
      </c>
      <c r="BE533" s="771">
        <f t="shared" si="400"/>
        <v>0.09</v>
      </c>
      <c r="BF533" s="771">
        <f t="shared" si="400"/>
        <v>0.06</v>
      </c>
      <c r="BG533" s="771">
        <f t="shared" si="400"/>
        <v>0.03</v>
      </c>
      <c r="BH533" s="771">
        <f t="shared" si="400"/>
        <v>-2.5000000000000001E-2</v>
      </c>
      <c r="BI533" s="770">
        <f t="shared" si="400"/>
        <v>-2.5000000000000001E-2</v>
      </c>
      <c r="BJ533" s="1314">
        <f>BJ1068</f>
        <v>0.03</v>
      </c>
      <c r="BK533" s="771"/>
      <c r="BL533" s="771"/>
      <c r="BM533" s="771"/>
      <c r="BN533" s="770"/>
      <c r="BO533" s="771"/>
      <c r="BP533" s="771"/>
      <c r="BQ533" s="771"/>
      <c r="BR533" s="771"/>
      <c r="BS533" s="770"/>
      <c r="BT533" s="770"/>
      <c r="BU533" s="770"/>
      <c r="BV533" s="770"/>
      <c r="BW533" s="118"/>
    </row>
    <row r="534" spans="1:75" hidden="1" outlineLevel="2" x14ac:dyDescent="0.5">
      <c r="A534" s="170" t="s">
        <v>2499</v>
      </c>
      <c r="B534" s="720"/>
      <c r="C534" s="417"/>
      <c r="D534" s="417"/>
      <c r="E534" s="417"/>
      <c r="F534" s="417"/>
      <c r="G534" s="378"/>
      <c r="H534" s="378"/>
      <c r="I534" s="378"/>
      <c r="J534" s="378"/>
      <c r="K534" s="417"/>
      <c r="L534" s="378"/>
      <c r="M534" s="378"/>
      <c r="N534" s="378"/>
      <c r="O534" s="378"/>
      <c r="P534" s="417"/>
      <c r="Q534" s="378"/>
      <c r="R534" s="378"/>
      <c r="S534" s="378"/>
      <c r="T534" s="378"/>
      <c r="U534" s="417"/>
      <c r="V534" s="378"/>
      <c r="W534" s="378"/>
      <c r="X534" s="378"/>
      <c r="Y534" s="378"/>
      <c r="Z534" s="417"/>
      <c r="AA534" s="378"/>
      <c r="AB534" s="378"/>
      <c r="AC534" s="378"/>
      <c r="AD534" s="378" t="str">
        <f>IFERROR(AD526/AA511-1,"n/a")</f>
        <v>n/a</v>
      </c>
      <c r="AE534" s="417" t="str">
        <f>IFERROR(AE526/AA511-1,"n/a")</f>
        <v>n/a</v>
      </c>
      <c r="AF534" s="378" t="str">
        <f>IFERROR(AF526/AB511-1,"n/a")</f>
        <v>n/a</v>
      </c>
      <c r="AG534" s="378" t="str">
        <f>IFERROR(AG526/AC511-1,"n/a")</f>
        <v>n/a</v>
      </c>
      <c r="AH534" s="378" t="str">
        <f>IFERROR(AH526/AD511-1,"n/a")</f>
        <v>n/a</v>
      </c>
      <c r="AI534" s="378" t="str">
        <f>IFERROR(AI526/AF511-1,"n/a")</f>
        <v>n/a</v>
      </c>
      <c r="AJ534" s="417" t="str">
        <f>IFERROR(AJ526/AF511-1,"n/a")</f>
        <v>n/a</v>
      </c>
      <c r="AK534" s="378" t="str">
        <f>IFERROR(AK526/AG511-1,"n/a")</f>
        <v>n/a</v>
      </c>
      <c r="AL534" s="378" t="str">
        <f>IFERROR(AL526/AH511-1,"n/a")</f>
        <v>n/a</v>
      </c>
      <c r="AM534" s="378" t="str">
        <f>IFERROR(AM526/AI511-1,"n/a")</f>
        <v>n/a</v>
      </c>
      <c r="AN534" s="378">
        <f>AN526/AK511-1</f>
        <v>0.1599999999999997</v>
      </c>
      <c r="AO534" s="417">
        <f>AO526/AK511-1</f>
        <v>0.1599999999999997</v>
      </c>
      <c r="AP534" s="378">
        <f>AP526/AL511-1</f>
        <v>0.55000000000000004</v>
      </c>
      <c r="AQ534" s="378">
        <f>AQ526/AM511-1</f>
        <v>0.44999999999999996</v>
      </c>
      <c r="AR534" s="378" t="str">
        <f>IFERROR(AR526/AN511-1,"n/a")</f>
        <v>n/a</v>
      </c>
      <c r="AS534" s="378" t="str">
        <f>IFERROR(AS526/AP511-1,"n/a")</f>
        <v>n/a</v>
      </c>
      <c r="AT534" s="417" t="str">
        <f>IFERROR(AT526/AP511-1,"n/a")</f>
        <v>n/a</v>
      </c>
      <c r="AU534" s="378" t="str">
        <f>IFERROR(AU526/AQ511-1,"n/a")</f>
        <v>n/a</v>
      </c>
      <c r="AV534" s="378" t="str">
        <f>IFERROR(AV526/AR511-1,"n/a")</f>
        <v>n/a</v>
      </c>
      <c r="AW534" s="378">
        <f>AW526/AS511-1</f>
        <v>-9.9999999999999978E-2</v>
      </c>
      <c r="AX534" s="378" t="str">
        <f>IFERROR(AX526/AU511-1,"n/a")</f>
        <v>n/a</v>
      </c>
      <c r="AY534" s="417" t="str">
        <f>IFERROR(AY526/AU511-1,"n/a")</f>
        <v>n/a</v>
      </c>
      <c r="AZ534" s="378" t="str">
        <f>IFERROR(AZ526/AV511-1,"n/a")</f>
        <v>n/a</v>
      </c>
      <c r="BA534" s="378">
        <f>BA526/AW511-1</f>
        <v>-9.9999999999999978E-2</v>
      </c>
      <c r="BB534" s="378">
        <f>BB526/AX511-1</f>
        <v>-8.0000000000000071E-2</v>
      </c>
      <c r="BC534" s="378">
        <f>BC526/AZ511-1</f>
        <v>-8.0000000000000071E-2</v>
      </c>
      <c r="BD534" s="417">
        <f>BD526/AZ511-1</f>
        <v>-8.0000000000000071E-2</v>
      </c>
      <c r="BE534" s="378">
        <f>BE526/BA511-1</f>
        <v>8.5000000000000187E-2</v>
      </c>
      <c r="BF534" s="378">
        <f>BF526/BB511-1</f>
        <v>5.0000000000000044E-2</v>
      </c>
      <c r="BG534" s="378">
        <f>BG526/BC511-1</f>
        <v>1.5000000000000124E-2</v>
      </c>
      <c r="BH534" s="378">
        <f>IFERROR(BH526/BE511-1,"n/a")</f>
        <v>-4.9999999999999933E-2</v>
      </c>
      <c r="BI534" s="417">
        <f>IFERROR(BI526/BE511-1,"n/a")</f>
        <v>-4.9999999999999933E-2</v>
      </c>
      <c r="BJ534" s="1130">
        <f>IFERROR(BJ526/BF511-1,"n/a")</f>
        <v>1.5000000000000124E-2</v>
      </c>
      <c r="BK534" s="378"/>
      <c r="BL534" s="378"/>
      <c r="BM534" s="378"/>
      <c r="BN534" s="417"/>
      <c r="BO534" s="378"/>
      <c r="BP534" s="378"/>
      <c r="BQ534" s="378"/>
      <c r="BR534" s="378"/>
      <c r="BS534" s="417"/>
      <c r="BT534" s="417"/>
      <c r="BU534" s="417"/>
      <c r="BV534" s="417"/>
      <c r="BW534" s="118"/>
    </row>
    <row r="535" spans="1:75" hidden="1" outlineLevel="2" x14ac:dyDescent="0.5">
      <c r="A535" s="1524"/>
      <c r="B535" s="513"/>
      <c r="C535" s="401"/>
      <c r="D535" s="401"/>
      <c r="E535" s="401"/>
      <c r="F535" s="401"/>
      <c r="G535" s="118"/>
      <c r="H535" s="118"/>
      <c r="I535" s="118"/>
      <c r="J535" s="118"/>
      <c r="K535" s="401"/>
      <c r="L535" s="118"/>
      <c r="M535" s="118"/>
      <c r="N535" s="118"/>
      <c r="O535" s="118"/>
      <c r="P535" s="401"/>
      <c r="Q535" s="118"/>
      <c r="R535" s="118"/>
      <c r="S535" s="118"/>
      <c r="T535" s="118"/>
      <c r="U535" s="401"/>
      <c r="V535" s="118"/>
      <c r="W535" s="118"/>
      <c r="X535" s="118"/>
      <c r="Y535" s="118"/>
      <c r="Z535" s="401"/>
      <c r="AA535" s="118"/>
      <c r="AB535" s="118"/>
      <c r="AC535" s="118"/>
      <c r="AD535" s="118"/>
      <c r="AE535" s="401"/>
      <c r="AF535" s="118"/>
      <c r="AG535" s="118"/>
      <c r="AH535" s="118"/>
      <c r="AI535" s="118"/>
      <c r="AJ535" s="401"/>
      <c r="AK535" s="118"/>
      <c r="AL535" s="118"/>
      <c r="AM535" s="118"/>
      <c r="AN535" s="118"/>
      <c r="AO535" s="401"/>
      <c r="AP535" s="118"/>
      <c r="AQ535" s="118"/>
      <c r="AR535" s="118"/>
      <c r="AS535" s="118"/>
      <c r="AT535" s="401"/>
      <c r="AU535" s="118"/>
      <c r="AV535" s="118"/>
      <c r="AW535" s="118"/>
      <c r="AX535" s="118"/>
      <c r="AY535" s="401"/>
      <c r="AZ535" s="118"/>
      <c r="BA535" s="118"/>
      <c r="BB535" s="118"/>
      <c r="BC535" s="118"/>
      <c r="BD535" s="401"/>
      <c r="BE535" s="118"/>
      <c r="BF535" s="118"/>
      <c r="BG535" s="118"/>
      <c r="BH535" s="118"/>
      <c r="BI535" s="401"/>
      <c r="BJ535" s="971"/>
      <c r="BK535" s="118"/>
      <c r="BL535" s="118"/>
      <c r="BM535" s="118"/>
      <c r="BN535" s="401"/>
      <c r="BO535" s="118"/>
      <c r="BP535" s="118"/>
      <c r="BQ535" s="118"/>
      <c r="BR535" s="118"/>
      <c r="BS535" s="401"/>
      <c r="BT535" s="401"/>
      <c r="BU535" s="401"/>
      <c r="BV535" s="401"/>
      <c r="BW535" s="118"/>
    </row>
    <row r="536" spans="1:75" hidden="1" outlineLevel="2" x14ac:dyDescent="0.5">
      <c r="A536" s="170" t="s">
        <v>2500</v>
      </c>
      <c r="B536" s="720"/>
      <c r="C536" s="417"/>
      <c r="D536" s="417" t="str">
        <f>IFERROR(IF(D509="","",D509/C511-1),"")</f>
        <v/>
      </c>
      <c r="E536" s="417" t="str">
        <f>IFERROR(IF(E509="","",E509/D511-1),"")</f>
        <v/>
      </c>
      <c r="F536" s="417" t="str">
        <f>IFERROR(IF(F509="","",F509/E511-1),"")</f>
        <v/>
      </c>
      <c r="G536" s="378" t="str">
        <f>IFERROR(IF(K506="","",K506/F511-1),"")</f>
        <v/>
      </c>
      <c r="H536" s="378" t="str">
        <f>IFERROR(IF(K507="","",K507/F511-1),"")</f>
        <v/>
      </c>
      <c r="I536" s="378" t="str">
        <f>IFERROR(IF(K508="","",K508/F511-1),"")</f>
        <v/>
      </c>
      <c r="J536" s="378" t="str">
        <f>IFERROR(IF(K509="","",K509/F511-1),"")</f>
        <v/>
      </c>
      <c r="K536" s="417" t="str">
        <f>IFERROR(IF(K509="","",K509/F511-1),"")</f>
        <v/>
      </c>
      <c r="L536" s="378" t="str">
        <f>IFERROR(IF(P506="","",P506/K511-1),"")</f>
        <v/>
      </c>
      <c r="M536" s="378" t="str">
        <f>IFERROR(IF(P507="","",P507/K511-1),"")</f>
        <v/>
      </c>
      <c r="N536" s="378" t="str">
        <f>IFERROR(IF(P508="","",P508/K511-1),"")</f>
        <v/>
      </c>
      <c r="O536" s="378" t="str">
        <f>IFERROR(IF(P509="","",P509/K511-1),"")</f>
        <v/>
      </c>
      <c r="P536" s="417" t="str">
        <f>IFERROR(IF(P509="","",P509/K511-1),"")</f>
        <v/>
      </c>
      <c r="Q536" s="378" t="str">
        <f>IFERROR(IF(U506="","",U506/P511-1),"")</f>
        <v/>
      </c>
      <c r="R536" s="378" t="str">
        <f>IFERROR(IF(U507="","",U507/P511-1),"")</f>
        <v/>
      </c>
      <c r="S536" s="378" t="str">
        <f>IFERROR(IF(U508="","",U508/P511-1),"")</f>
        <v/>
      </c>
      <c r="T536" s="378" t="str">
        <f>IFERROR(IF(U509="","",U509/P511-1),"")</f>
        <v/>
      </c>
      <c r="U536" s="417" t="str">
        <f>IFERROR(IF(U509="","",U509/P511-1),"")</f>
        <v/>
      </c>
      <c r="V536" s="378" t="str">
        <f>IFERROR(IF(Z506="","",Z506/U511-1),"")</f>
        <v/>
      </c>
      <c r="W536" s="378" t="str">
        <f>IFERROR(IF(Z507="","",Z507/U511-1),"")</f>
        <v/>
      </c>
      <c r="X536" s="378" t="str">
        <f>IFERROR(IF(Z508="","",Z508/U511-1),"")</f>
        <v/>
      </c>
      <c r="Y536" s="378" t="str">
        <f>IFERROR(IF(Z509="","",Z509/U511-1),"")</f>
        <v/>
      </c>
      <c r="Z536" s="417" t="str">
        <f>IFERROR(IF(Z509="","",Z509/U511-1),"")</f>
        <v/>
      </c>
      <c r="AA536" s="378" t="str">
        <f>IFERROR(IF(AE506="","",AE506/Z511-1),"")</f>
        <v/>
      </c>
      <c r="AB536" s="378" t="str">
        <f>IFERROR(IF(AE507="","",AE507/Z511-1),"")</f>
        <v/>
      </c>
      <c r="AC536" s="378" t="str">
        <f>IFERROR(IF(AE508="","",AE508/Z511-1),"")</f>
        <v/>
      </c>
      <c r="AD536" s="378" t="str">
        <f>IFERROR(IF(AE509="","",AE509/Z511-1),"")</f>
        <v/>
      </c>
      <c r="AE536" s="417" t="str">
        <f>IFERROR(IF(AE509="","",AE509/Z511-1),"")</f>
        <v/>
      </c>
      <c r="AF536" s="378" t="str">
        <f>IFERROR(IF(AJ506="","",AJ506/AE511-1),"")</f>
        <v/>
      </c>
      <c r="AG536" s="378" t="str">
        <f>IFERROR(IF(AJ507="","",AJ507/AE511-1),"")</f>
        <v/>
      </c>
      <c r="AH536" s="378" t="str">
        <f>IFERROR(IF(AJ508="","",AJ508/AE511-1),"")</f>
        <v/>
      </c>
      <c r="AI536" s="378" t="str">
        <f>IFERROR(IF(AJ509="","",AJ509/AE511-1),"")</f>
        <v/>
      </c>
      <c r="AJ536" s="417" t="str">
        <f>IFERROR(IF(AJ509="","",AJ509/AE511-1),"")</f>
        <v/>
      </c>
      <c r="AK536" s="378" t="str">
        <f>IFERROR(IF(AO506="","",AO506/AJ511-1),"")</f>
        <v/>
      </c>
      <c r="AL536" s="378" t="str">
        <f>IFERROR(IF(AO507="","",AO507/AJ511-1),"")</f>
        <v/>
      </c>
      <c r="AM536" s="378" t="str">
        <f>IFERROR(IF(AO508="","",AO508/AJ511-1),"")</f>
        <v/>
      </c>
      <c r="AN536" s="378" t="str">
        <f>IFERROR(IF(AO509="","",AO509/AJ511-1),"")</f>
        <v/>
      </c>
      <c r="AO536" s="417" t="str">
        <f>IFERROR(IF(AO509="","",AO509/AJ511-1),"")</f>
        <v/>
      </c>
      <c r="AP536" s="378" t="str">
        <f>IFERROR(IF(AT506="","",AT506/AO511-1),"")</f>
        <v/>
      </c>
      <c r="AQ536" s="378" t="str">
        <f>IFERROR(IF(AT507="","",AT507/AO511-1),"")</f>
        <v/>
      </c>
      <c r="AR536" s="378" t="str">
        <f>IFERROR(IF(AT508="","",AT508/AO511-1),"")</f>
        <v/>
      </c>
      <c r="AS536" s="378" t="str">
        <f>IFERROR(IF(AT509="","",AT509/AO511-1),"")</f>
        <v/>
      </c>
      <c r="AT536" s="417" t="str">
        <f>IFERROR(IF(AT509="","",AT509/AO511-1),"")</f>
        <v/>
      </c>
      <c r="AU536" s="378" t="str">
        <f>IFERROR(IF(AY506="","",AY506/AT511-1),"")</f>
        <v/>
      </c>
      <c r="AV536" s="378" t="str">
        <f>IFERROR(IF(AY507="","",AY507/AT511-1),"")</f>
        <v/>
      </c>
      <c r="AW536" s="378" t="str">
        <f>IFERROR(IF(AY508="","",AY508/AT511-1),"")</f>
        <v/>
      </c>
      <c r="AX536" s="378" t="str">
        <f>IFERROR(IF(AY509="","",AY509/AT511-1),"")</f>
        <v/>
      </c>
      <c r="AY536" s="417" t="str">
        <f>IFERROR(IF(AY509="","",AY509/AT511-1),"")</f>
        <v/>
      </c>
      <c r="AZ536" s="378" t="str">
        <f>IFERROR(IF(BD506="","",BD506/AY511-1),"")</f>
        <v/>
      </c>
      <c r="BA536" s="378" t="str">
        <f>IFERROR(IF(BD507="","",BD507/AY511-1),"")</f>
        <v/>
      </c>
      <c r="BB536" s="378" t="str">
        <f>IFERROR(IF(BD508="","",BD508/AY511-1),"")</f>
        <v/>
      </c>
      <c r="BC536" s="378" t="str">
        <f>IFERROR(IF(BD509="","",BD509/AY511-1),"")</f>
        <v/>
      </c>
      <c r="BD536" s="417" t="str">
        <f>IFERROR(IF(BD509="","",BD509/AY511-1),"")</f>
        <v/>
      </c>
      <c r="BE536" s="378" t="str">
        <f>IFERROR(IF(BI506="","",BI506/BD511-1),"")</f>
        <v/>
      </c>
      <c r="BF536" s="378" t="str">
        <f>IFERROR(IF(BI507="","",BI507/BD511-1),"")</f>
        <v/>
      </c>
      <c r="BG536" s="378" t="str">
        <f>IFERROR(IF(BI508="","",BI508/BD511-1),"")</f>
        <v/>
      </c>
      <c r="BH536" s="378" t="str">
        <f>IFERROR(IF(BI509="","",BI509/BD511-1),"")</f>
        <v/>
      </c>
      <c r="BI536" s="417" t="str">
        <f>IFERROR(IF(BI509="","",BI509/BD511-1),"")</f>
        <v/>
      </c>
      <c r="BJ536" s="1130" t="str">
        <f>IFERROR(IF(BN506="","",BN506/BI511-1),"")</f>
        <v/>
      </c>
      <c r="BK536" s="378" t="str">
        <f>IFERROR(IF(BN507="","",BN507/BI511-1),"")</f>
        <v/>
      </c>
      <c r="BL536" s="378" t="str">
        <f>IFERROR(IF(BN508="","",BN508/BI511-1),"")</f>
        <v/>
      </c>
      <c r="BM536" s="378" t="str">
        <f>IFERROR(IF(BN509="","",BN509/BI511-1),"")</f>
        <v/>
      </c>
      <c r="BN536" s="417" t="str">
        <f>IFERROR(IF(BN509="","",BN509/BI511-1),"")</f>
        <v/>
      </c>
      <c r="BO536" s="378" t="str">
        <f>IFERROR(IF(BS506="","",BS506/BN511-1),"")</f>
        <v/>
      </c>
      <c r="BP536" s="378" t="str">
        <f>IFERROR(IF(BS507="","",BS507/BN511-1),"")</f>
        <v/>
      </c>
      <c r="BQ536" s="378" t="str">
        <f>IFERROR(IF(BS508="","",BS508/BN511-1),"")</f>
        <v/>
      </c>
      <c r="BR536" s="378" t="str">
        <f>IFERROR(IF(BS509="","",BS509/BN511-1),"")</f>
        <v/>
      </c>
      <c r="BS536" s="417" t="str">
        <f>IFERROR(IF(BS509="","",BS509/BN511-1),"")</f>
        <v/>
      </c>
      <c r="BT536" s="417"/>
      <c r="BU536" s="417"/>
      <c r="BV536" s="417"/>
      <c r="BW536" s="118"/>
    </row>
    <row r="537" spans="1:75" hidden="1" outlineLevel="2" x14ac:dyDescent="0.5">
      <c r="A537" s="1192" t="s">
        <v>2501</v>
      </c>
      <c r="B537" s="769"/>
      <c r="C537" s="770"/>
      <c r="D537" s="770" t="str">
        <f>IFERROR(IF(D509="","",(D511-D509)/C511),"")</f>
        <v/>
      </c>
      <c r="E537" s="770" t="str">
        <f>IFERROR(IF(E509="","",(E511-E509)/D511),"")</f>
        <v/>
      </c>
      <c r="F537" s="770" t="str">
        <f>IFERROR(IF(F509="","",(F511-F509)/E511),"")</f>
        <v/>
      </c>
      <c r="G537" s="771" t="str">
        <f>IFERROR(IF(K506="","",(K511-K506)/F511),"")</f>
        <v/>
      </c>
      <c r="H537" s="771" t="str">
        <f>IFERROR(IF(K507="","",(K511-K507)/F511),"")</f>
        <v/>
      </c>
      <c r="I537" s="771" t="str">
        <f>IFERROR(IF(K508="","",(K511-K508)/F511),"")</f>
        <v/>
      </c>
      <c r="J537" s="771" t="str">
        <f>IFERROR(IF(K509="","",(K511-K509)/F511),"")</f>
        <v/>
      </c>
      <c r="K537" s="770" t="str">
        <f>IFERROR(IF(K509="","",(K511-K509)/F511),"")</f>
        <v/>
      </c>
      <c r="L537" s="771" t="str">
        <f>IFERROR(IF(P506="","",(P511-P506)/K511),"")</f>
        <v/>
      </c>
      <c r="M537" s="771" t="str">
        <f>IFERROR(IF(P507="","",(P511-P507)/K511),"")</f>
        <v/>
      </c>
      <c r="N537" s="771" t="str">
        <f>IFERROR(IF(P508="","",(P511-P508)/K511),"")</f>
        <v/>
      </c>
      <c r="O537" s="771" t="str">
        <f>IFERROR(IF(P509="","",(P511-P509)/K511),"")</f>
        <v/>
      </c>
      <c r="P537" s="770" t="str">
        <f>IFERROR(IF(P509="","",(P511-P509)/K511),"")</f>
        <v/>
      </c>
      <c r="Q537" s="771" t="str">
        <f>IFERROR(IF(U506="","",(U511-U506)/P511),"")</f>
        <v/>
      </c>
      <c r="R537" s="771" t="str">
        <f>IFERROR(IF(U507="","",(U511-U507)/P511),"")</f>
        <v/>
      </c>
      <c r="S537" s="771" t="str">
        <f>IFERROR(IF(U508="","",(U511-U508)/P511),"")</f>
        <v/>
      </c>
      <c r="T537" s="771" t="str">
        <f>IFERROR(IF(U509="","",(U511-U509)/P511),"")</f>
        <v/>
      </c>
      <c r="U537" s="770" t="str">
        <f>IFERROR(IF(U509="","",(U511-U509)/P511),"")</f>
        <v/>
      </c>
      <c r="V537" s="771" t="str">
        <f>IFERROR(IF(Z506="","",(Z511-Z506)/U511),"")</f>
        <v/>
      </c>
      <c r="W537" s="771" t="str">
        <f>IFERROR(IF(Z507="","",(Z511-Z507)/U511),"")</f>
        <v/>
      </c>
      <c r="X537" s="771" t="str">
        <f>IFERROR(IF(Z508="","",(Z511-Z508)/U511),"")</f>
        <v/>
      </c>
      <c r="Y537" s="771" t="str">
        <f>IFERROR(IF(Z509="","",(Z511-Z509)/U511),"")</f>
        <v/>
      </c>
      <c r="Z537" s="770" t="str">
        <f>IFERROR(IF(Z509="","",(Z511-Z509)/U511),"")</f>
        <v/>
      </c>
      <c r="AA537" s="771" t="str">
        <f>IFERROR(IF(AE506="","",(AE511-AE506)/Z511),"")</f>
        <v/>
      </c>
      <c r="AB537" s="771" t="str">
        <f>IFERROR(IF(AE507="","",(AE511-AE507)/Z511),"")</f>
        <v/>
      </c>
      <c r="AC537" s="771" t="str">
        <f>IFERROR(IF(AE508="","",(AE511-AE508)/Z511),"")</f>
        <v/>
      </c>
      <c r="AD537" s="771" t="str">
        <f>IFERROR(IF(AE509="","",(AE511-AE509)/Z511),"")</f>
        <v/>
      </c>
      <c r="AE537" s="770" t="str">
        <f>IFERROR(IF(AE509="","",(AE511-AE509)/Z511),"")</f>
        <v/>
      </c>
      <c r="AF537" s="771" t="str">
        <f>IFERROR(IF(AJ506="","",(AJ511-AJ506)/AE511),"")</f>
        <v/>
      </c>
      <c r="AG537" s="771" t="str">
        <f>IFERROR(IF(AJ507="","",(AJ511-AJ507)/AE511),"")</f>
        <v/>
      </c>
      <c r="AH537" s="771" t="str">
        <f>IFERROR(IF(AJ508="","",(AJ511-AJ508)/AE511),"")</f>
        <v/>
      </c>
      <c r="AI537" s="771" t="str">
        <f>IFERROR(IF(AJ509="","",(AJ511-AJ509)/AE511),"")</f>
        <v/>
      </c>
      <c r="AJ537" s="770" t="str">
        <f>IFERROR(IF(AJ509="","",(AJ511-AJ509)/AE511),"")</f>
        <v/>
      </c>
      <c r="AK537" s="771" t="str">
        <f>IFERROR(IF(AO506="","",(AO511-AO506)/AJ511),"")</f>
        <v/>
      </c>
      <c r="AL537" s="771" t="str">
        <f>IFERROR(IF(AO507="","",(AO511-AO507)/AJ511),"")</f>
        <v/>
      </c>
      <c r="AM537" s="771" t="str">
        <f>IFERROR(IF(AO508="","",(AO511-AO508)/AJ511),"")</f>
        <v/>
      </c>
      <c r="AN537" s="771" t="str">
        <f>IFERROR(IF(AO509="","",(AO511-AO509)/AJ511),"")</f>
        <v/>
      </c>
      <c r="AO537" s="770" t="str">
        <f>IFERROR(IF(AO509="","",(AO511-AO509)/AJ511),"")</f>
        <v/>
      </c>
      <c r="AP537" s="771" t="str">
        <f>IFERROR(IF(AT506="","",(AT511-AT506)/AO511),"")</f>
        <v/>
      </c>
      <c r="AQ537" s="771" t="str">
        <f>IFERROR(IF(AT507="","",(AT511-AT507)/AO511),"")</f>
        <v/>
      </c>
      <c r="AR537" s="771" t="str">
        <f>IFERROR(IF(AT508="","",(AT511-AT508)/AO511),"")</f>
        <v/>
      </c>
      <c r="AS537" s="771" t="str">
        <f>IFERROR(IF(AT509="","",(AT511-AT509)/AO511),"")</f>
        <v/>
      </c>
      <c r="AT537" s="770" t="str">
        <f>IFERROR(IF(AT509="","",(AT511-AT509)/AO511),"")</f>
        <v/>
      </c>
      <c r="AU537" s="771" t="str">
        <f>IFERROR(IF(AY506="","",(AY511-AY506)/AT511),"")</f>
        <v/>
      </c>
      <c r="AV537" s="771" t="str">
        <f>IFERROR(IF(AY507="","",(AY511-AY507)/AT511),"")</f>
        <v/>
      </c>
      <c r="AW537" s="771" t="str">
        <f>IFERROR(IF(AY508="","",(AY511-AY508)/AT511),"")</f>
        <v/>
      </c>
      <c r="AX537" s="771" t="str">
        <f>IFERROR(IF(AY509="","",(AY511-AY509)/AT511),"")</f>
        <v/>
      </c>
      <c r="AY537" s="770" t="str">
        <f>IFERROR(IF(AY509="","",(AY511-AY509)/AT511),"")</f>
        <v/>
      </c>
      <c r="AZ537" s="771" t="str">
        <f>IFERROR(IF(BD506="","",(BD511-BD506)/AY511),"")</f>
        <v/>
      </c>
      <c r="BA537" s="771" t="str">
        <f>IFERROR(IF(BD507="","",(BD511-BD507)/AY511),"")</f>
        <v/>
      </c>
      <c r="BB537" s="771" t="str">
        <f>IFERROR(IF(BD508="","",(BD511-BD508)/AY511),"")</f>
        <v/>
      </c>
      <c r="BC537" s="771" t="str">
        <f>IFERROR(IF(BD509="","",(BD511-BD509)/AY511),"")</f>
        <v/>
      </c>
      <c r="BD537" s="770" t="str">
        <f>IFERROR(IF(BD509="","",(BD511-BD509)/AY511),"")</f>
        <v/>
      </c>
      <c r="BE537" s="771" t="str">
        <f>IFERROR(IF(BI506="","",(BI511-BI506)/BD511),"")</f>
        <v/>
      </c>
      <c r="BF537" s="771" t="str">
        <f>IFERROR(IF(BI507="","",(BI511-BI507)/BD511),"")</f>
        <v/>
      </c>
      <c r="BG537" s="771" t="str">
        <f>IFERROR(IF(BI508="","",(BI511-BI508)/BD511),"")</f>
        <v/>
      </c>
      <c r="BH537" s="771" t="str">
        <f>IFERROR(IF(BI509="","",(BI511-BI509)/BD511),"")</f>
        <v/>
      </c>
      <c r="BI537" s="770" t="str">
        <f>IFERROR(IF(BI509="","",(BI511-BI509)/BD511),"")</f>
        <v/>
      </c>
      <c r="BJ537" s="1314" t="str">
        <f>IFERROR(IF(BN506="","",(BN511-BN506)/BI511),"")</f>
        <v/>
      </c>
      <c r="BK537" s="771" t="str">
        <f>IFERROR(IF(BN507="","",(BN511-BN507)/BI511),"")</f>
        <v/>
      </c>
      <c r="BL537" s="771" t="str">
        <f>IFERROR(IF(BN508="","",(BN511-BN508)/BI511),"")</f>
        <v/>
      </c>
      <c r="BM537" s="771" t="str">
        <f>IFERROR(IF(BN509="","",(BN511-BN509)/BI511),"")</f>
        <v/>
      </c>
      <c r="BN537" s="770" t="str">
        <f>IFERROR(IF(BN509="","",(BN511-BN509)/BI511),"")</f>
        <v/>
      </c>
      <c r="BO537" s="771" t="str">
        <f>IFERROR(IF(BS506="","",(BS511-BS506)/BN511),"")</f>
        <v/>
      </c>
      <c r="BP537" s="771" t="str">
        <f>IFERROR(IF(BS507="","",(BS511-BS507)/BN511),"")</f>
        <v/>
      </c>
      <c r="BQ537" s="771" t="str">
        <f>IFERROR(IF(BS508="","",(BS511-BS508)/BN511),"")</f>
        <v/>
      </c>
      <c r="BR537" s="771" t="str">
        <f>IFERROR(IF(BS509="","",(BS511-BS509)/BN511),"")</f>
        <v/>
      </c>
      <c r="BS537" s="770" t="str">
        <f>IFERROR(IF(BS509="","",(BS511-BS509)/BN511),"")</f>
        <v/>
      </c>
      <c r="BT537" s="770"/>
      <c r="BU537" s="770"/>
      <c r="BV537" s="770"/>
      <c r="BW537" s="118"/>
    </row>
    <row r="538" spans="1:75" hidden="1" outlineLevel="2" x14ac:dyDescent="0.5">
      <c r="A538" s="1150" t="s">
        <v>2502</v>
      </c>
      <c r="B538" s="1525"/>
      <c r="C538" s="1147"/>
      <c r="D538" s="1147"/>
      <c r="E538" s="1147"/>
      <c r="F538" s="1147">
        <f>F511/E511-1</f>
        <v>0.16177493930443654</v>
      </c>
      <c r="G538" s="1148">
        <f>K511/F511-1</f>
        <v>0.52379423254823387</v>
      </c>
      <c r="H538" s="1148">
        <f>K511/F511-1</f>
        <v>0.52379423254823387</v>
      </c>
      <c r="I538" s="1148">
        <f>K511/F511-1</f>
        <v>0.52379423254823387</v>
      </c>
      <c r="J538" s="1148">
        <f>K511/F511-1</f>
        <v>0.52379423254823387</v>
      </c>
      <c r="K538" s="1147">
        <f>K511/F511-1</f>
        <v>0.52379423254823387</v>
      </c>
      <c r="L538" s="1148">
        <f>P511/K511-1</f>
        <v>0.44014967630914925</v>
      </c>
      <c r="M538" s="1148">
        <f>P511/K511-1</f>
        <v>0.44014967630914925</v>
      </c>
      <c r="N538" s="1148">
        <f>P511/K511-1</f>
        <v>0.44014967630914925</v>
      </c>
      <c r="O538" s="1148">
        <f>P511/K511-1</f>
        <v>0.44014967630914925</v>
      </c>
      <c r="P538" s="1147">
        <f>P511/K511-1</f>
        <v>0.44014967630914925</v>
      </c>
      <c r="Q538" s="1148">
        <f>U511/P511-1</f>
        <v>0.70581393850112706</v>
      </c>
      <c r="R538" s="1148">
        <f>U511/P511-1</f>
        <v>0.70581393850112706</v>
      </c>
      <c r="S538" s="1148">
        <f>U511/P511-1</f>
        <v>0.70581393850112706</v>
      </c>
      <c r="T538" s="1148">
        <f>U511/P511-1</f>
        <v>0.70581393850112706</v>
      </c>
      <c r="U538" s="1147">
        <f>U511/P511-1</f>
        <v>0.70581393850112706</v>
      </c>
      <c r="V538" s="1148">
        <f>Z511/U511-1</f>
        <v>0.50245901457185571</v>
      </c>
      <c r="W538" s="1148">
        <f>Z511/U511-1</f>
        <v>0.50245901457185571</v>
      </c>
      <c r="X538" s="1148">
        <f>Z511/U511-1</f>
        <v>0.50245901457185571</v>
      </c>
      <c r="Y538" s="1148">
        <f>Z511/U511-1</f>
        <v>0.50245901457185571</v>
      </c>
      <c r="Z538" s="1147">
        <f>Z511/U511-1</f>
        <v>0.50245901457185571</v>
      </c>
      <c r="AA538" s="1148">
        <f>AE511/Z511-1</f>
        <v>0.39656575039344921</v>
      </c>
      <c r="AB538" s="1148">
        <f>AE511/Z511-1</f>
        <v>0.39656575039344921</v>
      </c>
      <c r="AC538" s="1148">
        <f>AE511/Z511-1</f>
        <v>0.39656575039344921</v>
      </c>
      <c r="AD538" s="1148">
        <f>AE511/Z511-1</f>
        <v>0.39656575039344921</v>
      </c>
      <c r="AE538" s="1147">
        <f>AE511/Z511-1</f>
        <v>0.39656575039344921</v>
      </c>
      <c r="AF538" s="1148">
        <f>AJ511/AE511-1</f>
        <v>0.43599338684719724</v>
      </c>
      <c r="AG538" s="1148">
        <f>AJ511/AE511-1</f>
        <v>0.43599338684719724</v>
      </c>
      <c r="AH538" s="1148">
        <f>AJ511/AE511-1</f>
        <v>0.43599338684719724</v>
      </c>
      <c r="AI538" s="1148">
        <f>AJ511/AE511-1</f>
        <v>0.43599338684719724</v>
      </c>
      <c r="AJ538" s="1147">
        <f>AJ511/AE511-1</f>
        <v>0.43599338684719724</v>
      </c>
      <c r="AK538" s="1148">
        <f>AO511/AJ511-1</f>
        <v>0.34633762166305226</v>
      </c>
      <c r="AL538" s="1148">
        <f>AO511/AJ511-1</f>
        <v>0.34633762166305226</v>
      </c>
      <c r="AM538" s="1148">
        <f>AO511/AJ511-1</f>
        <v>0.34633762166305226</v>
      </c>
      <c r="AN538" s="1148">
        <f>AO511/AJ511-1</f>
        <v>0.34633762166305226</v>
      </c>
      <c r="AO538" s="1147">
        <f>AO511/AJ511-1</f>
        <v>0.34633762166305226</v>
      </c>
      <c r="AP538" s="1148">
        <f>AT511/AO511-1</f>
        <v>0.54980471799398201</v>
      </c>
      <c r="AQ538" s="1148">
        <f>AT511/AO511-1</f>
        <v>0.54980471799398201</v>
      </c>
      <c r="AR538" s="1148">
        <f>AT511/AO511-1</f>
        <v>0.54980471799398201</v>
      </c>
      <c r="AS538" s="1148">
        <f>AT511/AO511-1</f>
        <v>0.54980471799398201</v>
      </c>
      <c r="AT538" s="1147">
        <f>AT511/AO511-1</f>
        <v>0.54980471799398201</v>
      </c>
      <c r="AU538" s="1148">
        <f>AY511/AT511-1</f>
        <v>-3.0904996735278245E-2</v>
      </c>
      <c r="AV538" s="1148">
        <f>AY511/AT511-1</f>
        <v>-3.0904996735278245E-2</v>
      </c>
      <c r="AW538" s="1148">
        <f>AY511/AT511-1</f>
        <v>-3.0904996735278245E-2</v>
      </c>
      <c r="AX538" s="1148">
        <f>AY511/AT511-1</f>
        <v>-3.0904996735278245E-2</v>
      </c>
      <c r="AY538" s="1147">
        <f>AY511/AT511-1</f>
        <v>-3.0904996735278245E-2</v>
      </c>
      <c r="AZ538" s="1148">
        <f>BD511/AY511-1</f>
        <v>-0.10869565217391308</v>
      </c>
      <c r="BA538" s="1148">
        <f>BD511/AY511-1</f>
        <v>-0.10869565217391308</v>
      </c>
      <c r="BB538" s="1148">
        <f>BD511/AY511-1</f>
        <v>-0.10869565217391308</v>
      </c>
      <c r="BC538" s="1148">
        <f>BD511/AY511-1</f>
        <v>-0.10869565217391308</v>
      </c>
      <c r="BD538" s="1147">
        <f>BD511/AY511-1</f>
        <v>-0.10869565217391308</v>
      </c>
      <c r="BE538" s="1148">
        <f>BI511/BD511-1</f>
        <v>-1.7596988050417428E-2</v>
      </c>
      <c r="BF538" s="1148">
        <f>BI511/BD511-1</f>
        <v>-1.7596988050417428E-2</v>
      </c>
      <c r="BG538" s="1148">
        <f>BI511/BD511-1</f>
        <v>-1.7596988050417428E-2</v>
      </c>
      <c r="BH538" s="1148">
        <f>BI511/BD511-1</f>
        <v>-1.7596988050417428E-2</v>
      </c>
      <c r="BI538" s="1147">
        <f>BI511/BD511-1</f>
        <v>-1.7596988050417428E-2</v>
      </c>
      <c r="BJ538" s="1149">
        <f>BN511/BI511-1</f>
        <v>7.5897744730484273E-3</v>
      </c>
      <c r="BK538" s="1148">
        <f>BN511/BI511-1</f>
        <v>7.5897744730484273E-3</v>
      </c>
      <c r="BL538" s="1148">
        <f>BN511/BI511-1</f>
        <v>7.5897744730484273E-3</v>
      </c>
      <c r="BM538" s="1148">
        <f>BN511/BI511-1</f>
        <v>7.5897744730484273E-3</v>
      </c>
      <c r="BN538" s="1147">
        <f>BN511/BI511-1</f>
        <v>7.5897744730484273E-3</v>
      </c>
      <c r="BO538" s="1148">
        <f>BS511/BN511-1</f>
        <v>6.1106000000000327E-2</v>
      </c>
      <c r="BP538" s="1148">
        <f>BS511/BN511-1</f>
        <v>6.1106000000000327E-2</v>
      </c>
      <c r="BQ538" s="1148">
        <f>BS511/BN511-1</f>
        <v>6.1106000000000327E-2</v>
      </c>
      <c r="BR538" s="1148">
        <f>BS511/BN511-1</f>
        <v>6.1106000000000327E-2</v>
      </c>
      <c r="BS538" s="1147">
        <f>BS511/BN511-1</f>
        <v>6.1106000000000327E-2</v>
      </c>
      <c r="BT538" s="1147">
        <f>BT511/BS511-1</f>
        <v>7.1509000000000045E-2</v>
      </c>
      <c r="BU538" s="1147">
        <f>BU511/BT511-1</f>
        <v>7.1509000000000045E-2</v>
      </c>
      <c r="BV538" s="1147">
        <f>BV511/BU511-1</f>
        <v>7.1509000000000045E-2</v>
      </c>
      <c r="BW538" s="118"/>
    </row>
    <row r="539" spans="1:75" hidden="1" outlineLevel="2" x14ac:dyDescent="0.5">
      <c r="A539" s="1524"/>
      <c r="B539" s="513"/>
      <c r="C539" s="401"/>
      <c r="D539" s="401"/>
      <c r="E539" s="401"/>
      <c r="F539" s="401"/>
      <c r="G539" s="118"/>
      <c r="H539" s="118"/>
      <c r="I539" s="118"/>
      <c r="J539" s="118"/>
      <c r="K539" s="401"/>
      <c r="L539" s="118"/>
      <c r="M539" s="118"/>
      <c r="N539" s="118"/>
      <c r="O539" s="118"/>
      <c r="P539" s="401"/>
      <c r="Q539" s="118"/>
      <c r="R539" s="118"/>
      <c r="S539" s="118"/>
      <c r="T539" s="118"/>
      <c r="U539" s="401"/>
      <c r="V539" s="118"/>
      <c r="W539" s="118"/>
      <c r="X539" s="118"/>
      <c r="Y539" s="118"/>
      <c r="Z539" s="401"/>
      <c r="AA539" s="118"/>
      <c r="AB539" s="118"/>
      <c r="AC539" s="118"/>
      <c r="AD539" s="118"/>
      <c r="AE539" s="401"/>
      <c r="AF539" s="118"/>
      <c r="AG539" s="118"/>
      <c r="AH539" s="118"/>
      <c r="AI539" s="118"/>
      <c r="AJ539" s="401"/>
      <c r="AK539" s="118"/>
      <c r="AL539" s="118"/>
      <c r="AM539" s="118"/>
      <c r="AN539" s="118"/>
      <c r="AO539" s="401"/>
      <c r="AP539" s="118"/>
      <c r="AQ539" s="118"/>
      <c r="AR539" s="118"/>
      <c r="AS539" s="118"/>
      <c r="AT539" s="401"/>
      <c r="AU539" s="118"/>
      <c r="AV539" s="118"/>
      <c r="AW539" s="118"/>
      <c r="AX539" s="118"/>
      <c r="AY539" s="401"/>
      <c r="AZ539" s="118"/>
      <c r="BA539" s="118"/>
      <c r="BB539" s="118"/>
      <c r="BC539" s="118"/>
      <c r="BD539" s="401"/>
      <c r="BE539" s="118"/>
      <c r="BF539" s="118"/>
      <c r="BG539" s="118"/>
      <c r="BH539" s="118"/>
      <c r="BI539" s="401"/>
      <c r="BJ539" s="971"/>
      <c r="BK539" s="118"/>
      <c r="BL539" s="118"/>
      <c r="BM539" s="118"/>
      <c r="BN539" s="401"/>
      <c r="BO539" s="118"/>
      <c r="BP539" s="118"/>
      <c r="BQ539" s="118"/>
      <c r="BR539" s="118"/>
      <c r="BS539" s="401"/>
      <c r="BT539" s="401"/>
      <c r="BU539" s="401"/>
      <c r="BV539" s="401"/>
      <c r="BW539" s="118"/>
    </row>
    <row r="540" spans="1:75" hidden="1" outlineLevel="2" x14ac:dyDescent="0.5">
      <c r="A540" s="1529" t="s">
        <v>2503</v>
      </c>
      <c r="B540" s="1530"/>
      <c r="C540" s="1531"/>
      <c r="D540" s="1531"/>
      <c r="E540" s="1531"/>
      <c r="F540" s="1531"/>
      <c r="G540" s="1532"/>
      <c r="H540" s="1532"/>
      <c r="I540" s="1532"/>
      <c r="J540" s="1532"/>
      <c r="K540" s="1531"/>
      <c r="L540" s="1532"/>
      <c r="M540" s="1532"/>
      <c r="N540" s="1532"/>
      <c r="O540" s="1532"/>
      <c r="P540" s="1531"/>
      <c r="Q540" s="1532"/>
      <c r="R540" s="1532"/>
      <c r="S540" s="1532"/>
      <c r="T540" s="1532"/>
      <c r="U540" s="1531"/>
      <c r="V540" s="1532"/>
      <c r="W540" s="1532"/>
      <c r="X540" s="1532"/>
      <c r="Y540" s="1532"/>
      <c r="Z540" s="1531"/>
      <c r="AA540" s="1532"/>
      <c r="AB540" s="1532"/>
      <c r="AC540" s="1532"/>
      <c r="AD540" s="1532" t="str">
        <f>AJ5</f>
        <v>FY2018</v>
      </c>
      <c r="AE540" s="1531" t="str">
        <f>AJ5</f>
        <v>FY2018</v>
      </c>
      <c r="AF540" s="1532" t="str">
        <f>AJ5</f>
        <v>FY2018</v>
      </c>
      <c r="AG540" s="1532" t="str">
        <f>AJ5</f>
        <v>FY2018</v>
      </c>
      <c r="AH540" s="1532" t="str">
        <f>AJ5</f>
        <v>FY2018</v>
      </c>
      <c r="AI540" s="1532" t="str">
        <f>AO5</f>
        <v>FY2019</v>
      </c>
      <c r="AJ540" s="1531" t="str">
        <f>AO5</f>
        <v>FY2019</v>
      </c>
      <c r="AK540" s="1532" t="str">
        <f>AO5</f>
        <v>FY2019</v>
      </c>
      <c r="AL540" s="1532" t="str">
        <f>AO5</f>
        <v>FY2019</v>
      </c>
      <c r="AM540" s="1532" t="str">
        <f>AO5</f>
        <v>FY2019</v>
      </c>
      <c r="AN540" s="1532" t="str">
        <f>AT5</f>
        <v>FY2020</v>
      </c>
      <c r="AO540" s="1531" t="str">
        <f>AT5</f>
        <v>FY2020</v>
      </c>
      <c r="AP540" s="1532" t="str">
        <f>AT5</f>
        <v>FY2020</v>
      </c>
      <c r="AQ540" s="1532" t="str">
        <f>AT5</f>
        <v>FY2020</v>
      </c>
      <c r="AR540" s="1532" t="str">
        <f>AT5</f>
        <v>FY2020</v>
      </c>
      <c r="AS540" s="1532" t="str">
        <f>AY5</f>
        <v>FY2021</v>
      </c>
      <c r="AT540" s="1531" t="str">
        <f>AY5</f>
        <v>FY2021</v>
      </c>
      <c r="AU540" s="1532" t="str">
        <f>AY5</f>
        <v>FY2021</v>
      </c>
      <c r="AV540" s="1532" t="str">
        <f>AY5</f>
        <v>FY2021</v>
      </c>
      <c r="AW540" s="1532" t="str">
        <f>AY5</f>
        <v>FY2021</v>
      </c>
      <c r="AX540" s="1532" t="str">
        <f>BD5</f>
        <v>FY2022</v>
      </c>
      <c r="AY540" s="1531" t="str">
        <f>BD5</f>
        <v>FY2022</v>
      </c>
      <c r="AZ540" s="1532" t="str">
        <f>BD5</f>
        <v>FY2022</v>
      </c>
      <c r="BA540" s="1532" t="str">
        <f>BD5</f>
        <v>FY2022</v>
      </c>
      <c r="BB540" s="1532" t="str">
        <f>BD5</f>
        <v>FY2022</v>
      </c>
      <c r="BC540" s="1532" t="str">
        <f>BI5</f>
        <v>FY2023</v>
      </c>
      <c r="BD540" s="1531" t="str">
        <f>BI5</f>
        <v>FY2023</v>
      </c>
      <c r="BE540" s="1532" t="str">
        <f>BI5</f>
        <v>FY2023</v>
      </c>
      <c r="BF540" s="1532" t="str">
        <f>BI5</f>
        <v>FY2023</v>
      </c>
      <c r="BG540" s="1532" t="str">
        <f>BI5</f>
        <v>FY2023</v>
      </c>
      <c r="BH540" s="1532" t="str">
        <f>BN5</f>
        <v>FY2024</v>
      </c>
      <c r="BI540" s="1531" t="str">
        <f>BN5</f>
        <v>FY2024</v>
      </c>
      <c r="BJ540" s="1533" t="str">
        <f>BN5</f>
        <v>FY2024</v>
      </c>
      <c r="BK540" s="1532"/>
      <c r="BL540" s="1532"/>
      <c r="BM540" s="1532"/>
      <c r="BN540" s="1531"/>
      <c r="BO540" s="1532"/>
      <c r="BP540" s="1532"/>
      <c r="BQ540" s="1532"/>
      <c r="BR540" s="1532"/>
      <c r="BS540" s="1531"/>
      <c r="BT540" s="1531"/>
      <c r="BU540" s="1531"/>
      <c r="BV540" s="1531"/>
      <c r="BW540" s="118"/>
    </row>
    <row r="541" spans="1:75" hidden="1" outlineLevel="3" x14ac:dyDescent="0.5">
      <c r="A541" s="184" t="s">
        <v>2504</v>
      </c>
      <c r="B541" s="513"/>
      <c r="C541" s="401"/>
      <c r="D541" s="401"/>
      <c r="E541" s="401"/>
      <c r="F541" s="401"/>
      <c r="G541" s="118"/>
      <c r="H541" s="118"/>
      <c r="I541" s="118"/>
      <c r="J541" s="118"/>
      <c r="K541" s="401"/>
      <c r="L541" s="118"/>
      <c r="M541" s="118"/>
      <c r="N541" s="118"/>
      <c r="O541" s="118"/>
      <c r="P541" s="401"/>
      <c r="Q541" s="118"/>
      <c r="R541" s="118"/>
      <c r="S541" s="118"/>
      <c r="T541" s="118"/>
      <c r="U541" s="401"/>
      <c r="V541" s="118"/>
      <c r="W541" s="118"/>
      <c r="X541" s="118"/>
      <c r="Y541" s="118"/>
      <c r="Z541" s="401"/>
      <c r="AA541" s="118"/>
      <c r="AB541" s="118"/>
      <c r="AC541" s="118"/>
      <c r="AD541" s="118" t="str">
        <f>IFERROR(AE511*(1+AD546),"n/a")</f>
        <v>n/a</v>
      </c>
      <c r="AE541" s="401" t="str">
        <f>IFERROR(AE511*(1+AE546),"n/a")</f>
        <v>n/a</v>
      </c>
      <c r="AF541" s="118" t="str">
        <f>IFERROR(AE511*(1+AF546),"n/a")</f>
        <v>n/a</v>
      </c>
      <c r="AG541" s="118" t="str">
        <f>IFERROR(AE511*(1+AG546),"n/a")</f>
        <v>n/a</v>
      </c>
      <c r="AH541" s="118" t="str">
        <f>IFERROR(AE511*(1+AH546),"n/a")</f>
        <v>n/a</v>
      </c>
      <c r="AI541" s="118" t="str">
        <f>IFERROR(AJ511*(1+AI546),"n/a")</f>
        <v>n/a</v>
      </c>
      <c r="AJ541" s="401" t="str">
        <f>IFERROR(AJ511*(1+AJ546),"n/a")</f>
        <v>n/a</v>
      </c>
      <c r="AK541" s="118" t="str">
        <f>IFERROR(AJ511*(1+AK546),"n/a")</f>
        <v>n/a</v>
      </c>
      <c r="AL541" s="118" t="str">
        <f>IFERROR(AJ511*(1+AL546),"n/a")</f>
        <v>n/a</v>
      </c>
      <c r="AM541" s="118" t="str">
        <f>IFERROR(AJ511*(1+AM546),"n/a")</f>
        <v>n/a</v>
      </c>
      <c r="AN541" s="118" t="str">
        <f>IFERROR(AO511*(1+AN546),"n/a")</f>
        <v>n/a</v>
      </c>
      <c r="AO541" s="401" t="str">
        <f>IFERROR(AO511*(1+AO546),"n/a")</f>
        <v>n/a</v>
      </c>
      <c r="AP541" s="118" t="str">
        <f>IFERROR(AO511*(1+AP546),"n/a")</f>
        <v>n/a</v>
      </c>
      <c r="AQ541" s="118" t="str">
        <f>IFERROR(AO511*(1+AQ546),"n/a")</f>
        <v>n/a</v>
      </c>
      <c r="AR541" s="118" t="str">
        <f>IFERROR(AO511*(1+AR546),"n/a")</f>
        <v>n/a</v>
      </c>
      <c r="AS541" s="118" t="str">
        <f>IFERROR(AT511*(1+AS546),"n/a")</f>
        <v>n/a</v>
      </c>
      <c r="AT541" s="401" t="str">
        <f>IFERROR(AT511*(1+AT546),"n/a")</f>
        <v>n/a</v>
      </c>
      <c r="AU541" s="118" t="str">
        <f>IFERROR(AT511*(1+AU546),"n/a")</f>
        <v>n/a</v>
      </c>
      <c r="AV541" s="118" t="str">
        <f>IFERROR(AT511*(1+AV546),"n/a")</f>
        <v>n/a</v>
      </c>
      <c r="AW541" s="118" t="str">
        <f>IFERROR(AT511*(1+AW546),"n/a")</f>
        <v>n/a</v>
      </c>
      <c r="AX541" s="118" t="str">
        <f>IFERROR(AY511*(1+AX546),"n/a")</f>
        <v>n/a</v>
      </c>
      <c r="AY541" s="401" t="str">
        <f>IFERROR(AY511*(1+AY546),"n/a")</f>
        <v>n/a</v>
      </c>
      <c r="AZ541" s="118" t="str">
        <f>IFERROR(AY511*(1+AZ546),"n/a")</f>
        <v>n/a</v>
      </c>
      <c r="BA541" s="118" t="str">
        <f>IFERROR(AY511*(1+BA546),"n/a")</f>
        <v>n/a</v>
      </c>
      <c r="BB541" s="118" t="str">
        <f>IFERROR(AY511*(1+BB546),"n/a")</f>
        <v>n/a</v>
      </c>
      <c r="BC541" s="118" t="str">
        <f>IFERROR(BD511*(1+BC546),"n/a")</f>
        <v>n/a</v>
      </c>
      <c r="BD541" s="401" t="str">
        <f>IFERROR(BD511*(1+BD546),"n/a")</f>
        <v>n/a</v>
      </c>
      <c r="BE541" s="118" t="str">
        <f>IFERROR(BD511*(1+BE546),"n/a")</f>
        <v>n/a</v>
      </c>
      <c r="BF541" s="118" t="str">
        <f>IFERROR(BD511*(1+BF546),"n/a")</f>
        <v>n/a</v>
      </c>
      <c r="BG541" s="118" t="str">
        <f>IFERROR(BD511*(1+BG546),"n/a")</f>
        <v>n/a</v>
      </c>
      <c r="BH541" s="118" t="str">
        <f>IFERROR(BI511*(1+BH546),"n/a")</f>
        <v>n/a</v>
      </c>
      <c r="BI541" s="401" t="str">
        <f>IFERROR(BI511*(1+BI546),"n/a")</f>
        <v>n/a</v>
      </c>
      <c r="BJ541" s="971" t="str">
        <f>IFERROR(BI511*(1+BJ546),"n/a")</f>
        <v>n/a</v>
      </c>
      <c r="BK541" s="118"/>
      <c r="BL541" s="118"/>
      <c r="BM541" s="118"/>
      <c r="BN541" s="401"/>
      <c r="BO541" s="118"/>
      <c r="BP541" s="118"/>
      <c r="BQ541" s="118"/>
      <c r="BR541" s="118"/>
      <c r="BS541" s="401"/>
      <c r="BT541" s="401"/>
      <c r="BU541" s="401"/>
      <c r="BV541" s="401"/>
      <c r="BW541" s="118"/>
    </row>
    <row r="542" spans="1:75" hidden="1" outlineLevel="3" x14ac:dyDescent="0.5">
      <c r="A542" s="445" t="s">
        <v>2505</v>
      </c>
      <c r="B542" s="677"/>
      <c r="C542" s="406"/>
      <c r="D542" s="406"/>
      <c r="E542" s="406"/>
      <c r="F542" s="406"/>
      <c r="G542" s="723"/>
      <c r="H542" s="723"/>
      <c r="I542" s="723"/>
      <c r="J542" s="723"/>
      <c r="K542" s="406"/>
      <c r="L542" s="723"/>
      <c r="M542" s="723"/>
      <c r="N542" s="723"/>
      <c r="O542" s="723"/>
      <c r="P542" s="406"/>
      <c r="Q542" s="723"/>
      <c r="R542" s="723"/>
      <c r="S542" s="723"/>
      <c r="T542" s="723"/>
      <c r="U542" s="406"/>
      <c r="V542" s="723"/>
      <c r="W542" s="723"/>
      <c r="X542" s="723"/>
      <c r="Y542" s="723"/>
      <c r="Z542" s="406"/>
      <c r="AA542" s="723"/>
      <c r="AB542" s="723"/>
      <c r="AC542" s="723"/>
      <c r="AD542" s="723" t="str">
        <f>IFERROR(AE511*(1+AD547),"n/a")</f>
        <v>n/a</v>
      </c>
      <c r="AE542" s="406" t="str">
        <f>IFERROR(AE511*(1+AE547),"n/a")</f>
        <v>n/a</v>
      </c>
      <c r="AF542" s="723" t="str">
        <f>IFERROR(AE511*(1+AF547),"n/a")</f>
        <v>n/a</v>
      </c>
      <c r="AG542" s="723" t="str">
        <f>IFERROR(AE511*(1+AG547),"n/a")</f>
        <v>n/a</v>
      </c>
      <c r="AH542" s="723" t="str">
        <f>IFERROR(AE511*(1+AH547),"n/a")</f>
        <v>n/a</v>
      </c>
      <c r="AI542" s="723" t="str">
        <f>IFERROR(AJ511*(1+AI547),"n/a")</f>
        <v>n/a</v>
      </c>
      <c r="AJ542" s="406" t="str">
        <f>IFERROR(AJ511*(1+AJ547),"n/a")</f>
        <v>n/a</v>
      </c>
      <c r="AK542" s="723" t="str">
        <f>IFERROR(AJ511*(1+AK547),"n/a")</f>
        <v>n/a</v>
      </c>
      <c r="AL542" s="723" t="str">
        <f>IFERROR(AJ511*(1+AL547),"n/a")</f>
        <v>n/a</v>
      </c>
      <c r="AM542" s="723" t="str">
        <f>IFERROR(AJ511*(1+AM547),"n/a")</f>
        <v>n/a</v>
      </c>
      <c r="AN542" s="723" t="str">
        <f>IFERROR(AO511*(1+AN547),"n/a")</f>
        <v>n/a</v>
      </c>
      <c r="AO542" s="406" t="str">
        <f>IFERROR(AO511*(1+AO547),"n/a")</f>
        <v>n/a</v>
      </c>
      <c r="AP542" s="723" t="str">
        <f>IFERROR(AO511*(1+AP547),"n/a")</f>
        <v>n/a</v>
      </c>
      <c r="AQ542" s="723" t="str">
        <f>IFERROR(AO511*(1+AQ547),"n/a")</f>
        <v>n/a</v>
      </c>
      <c r="AR542" s="723" t="str">
        <f>IFERROR(AO511*(1+AR547),"n/a")</f>
        <v>n/a</v>
      </c>
      <c r="AS542" s="723" t="str">
        <f>IFERROR(AT511*(1+AS547),"n/a")</f>
        <v>n/a</v>
      </c>
      <c r="AT542" s="406" t="str">
        <f>IFERROR(AT511*(1+AT547),"n/a")</f>
        <v>n/a</v>
      </c>
      <c r="AU542" s="723" t="str">
        <f>IFERROR(AT511*(1+AU547),"n/a")</f>
        <v>n/a</v>
      </c>
      <c r="AV542" s="723" t="str">
        <f>IFERROR(AT511*(1+AV547),"n/a")</f>
        <v>n/a</v>
      </c>
      <c r="AW542" s="723" t="str">
        <f>IFERROR(AT511*(1+AW547),"n/a")</f>
        <v>n/a</v>
      </c>
      <c r="AX542" s="723" t="str">
        <f>IFERROR(AY511*(1+AX547),"n/a")</f>
        <v>n/a</v>
      </c>
      <c r="AY542" s="406" t="str">
        <f>IFERROR(AY511*(1+AY547),"n/a")</f>
        <v>n/a</v>
      </c>
      <c r="AZ542" s="723" t="str">
        <f>IFERROR(AY511*(1+AZ547),"n/a")</f>
        <v>n/a</v>
      </c>
      <c r="BA542" s="723" t="str">
        <f>IFERROR(AY511*(1+BA547),"n/a")</f>
        <v>n/a</v>
      </c>
      <c r="BB542" s="723" t="str">
        <f>IFERROR(AY511*(1+BB547),"n/a")</f>
        <v>n/a</v>
      </c>
      <c r="BC542" s="723" t="str">
        <f>IFERROR(BD511*(1+BC547),"n/a")</f>
        <v>n/a</v>
      </c>
      <c r="BD542" s="406" t="str">
        <f>IFERROR(BD511*(1+BD547),"n/a")</f>
        <v>n/a</v>
      </c>
      <c r="BE542" s="723" t="str">
        <f>IFERROR(BD511*(1+BE547),"n/a")</f>
        <v>n/a</v>
      </c>
      <c r="BF542" s="723" t="str">
        <f>IFERROR(BD511*(1+BF547),"n/a")</f>
        <v>n/a</v>
      </c>
      <c r="BG542" s="723" t="str">
        <f>IFERROR(BD511*(1+BG547),"n/a")</f>
        <v>n/a</v>
      </c>
      <c r="BH542" s="723" t="str">
        <f>IFERROR(BI511*(1+BH547),"n/a")</f>
        <v>n/a</v>
      </c>
      <c r="BI542" s="406" t="str">
        <f>IFERROR(BI511*(1+BI547),"n/a")</f>
        <v>n/a</v>
      </c>
      <c r="BJ542" s="1049" t="str">
        <f>IFERROR(BI511*(1+BJ547),"n/a")</f>
        <v>n/a</v>
      </c>
      <c r="BK542" s="723"/>
      <c r="BL542" s="723"/>
      <c r="BM542" s="723"/>
      <c r="BN542" s="406"/>
      <c r="BO542" s="723"/>
      <c r="BP542" s="723"/>
      <c r="BQ542" s="723"/>
      <c r="BR542" s="723"/>
      <c r="BS542" s="406"/>
      <c r="BT542" s="406"/>
      <c r="BU542" s="406"/>
      <c r="BV542" s="406"/>
      <c r="BW542" s="118"/>
    </row>
    <row r="543" spans="1:75" hidden="1" outlineLevel="2" x14ac:dyDescent="0.5">
      <c r="A543" s="206" t="s">
        <v>2506</v>
      </c>
      <c r="B543" s="522"/>
      <c r="C543" s="397"/>
      <c r="D543" s="397"/>
      <c r="E543" s="397"/>
      <c r="F543" s="397"/>
      <c r="G543" s="295"/>
      <c r="H543" s="295"/>
      <c r="I543" s="295"/>
      <c r="J543" s="295"/>
      <c r="K543" s="397"/>
      <c r="L543" s="295"/>
      <c r="M543" s="295"/>
      <c r="N543" s="295"/>
      <c r="O543" s="295"/>
      <c r="P543" s="397"/>
      <c r="Q543" s="295"/>
      <c r="R543" s="295"/>
      <c r="S543" s="295"/>
      <c r="T543" s="295"/>
      <c r="U543" s="397"/>
      <c r="V543" s="295"/>
      <c r="W543" s="295"/>
      <c r="X543" s="295"/>
      <c r="Y543" s="295"/>
      <c r="Z543" s="397"/>
      <c r="AA543" s="295"/>
      <c r="AB543" s="295"/>
      <c r="AC543" s="295"/>
      <c r="AD543" s="295" t="str">
        <f t="shared" ref="AD543:BG543" si="401">IFERROR(AVERAGE(AD541,AD542),"")</f>
        <v/>
      </c>
      <c r="AE543" s="397" t="str">
        <f t="shared" si="401"/>
        <v/>
      </c>
      <c r="AF543" s="295" t="str">
        <f t="shared" si="401"/>
        <v/>
      </c>
      <c r="AG543" s="295" t="str">
        <f t="shared" si="401"/>
        <v/>
      </c>
      <c r="AH543" s="295" t="str">
        <f t="shared" si="401"/>
        <v/>
      </c>
      <c r="AI543" s="295" t="str">
        <f t="shared" si="401"/>
        <v/>
      </c>
      <c r="AJ543" s="397" t="str">
        <f t="shared" si="401"/>
        <v/>
      </c>
      <c r="AK543" s="295" t="str">
        <f t="shared" si="401"/>
        <v/>
      </c>
      <c r="AL543" s="295" t="str">
        <f t="shared" si="401"/>
        <v/>
      </c>
      <c r="AM543" s="295" t="str">
        <f t="shared" si="401"/>
        <v/>
      </c>
      <c r="AN543" s="295" t="str">
        <f t="shared" si="401"/>
        <v/>
      </c>
      <c r="AO543" s="397" t="str">
        <f t="shared" si="401"/>
        <v/>
      </c>
      <c r="AP543" s="295" t="str">
        <f t="shared" si="401"/>
        <v/>
      </c>
      <c r="AQ543" s="295" t="str">
        <f t="shared" si="401"/>
        <v/>
      </c>
      <c r="AR543" s="295" t="str">
        <f t="shared" si="401"/>
        <v/>
      </c>
      <c r="AS543" s="295" t="str">
        <f t="shared" si="401"/>
        <v/>
      </c>
      <c r="AT543" s="397" t="str">
        <f t="shared" si="401"/>
        <v/>
      </c>
      <c r="AU543" s="295" t="str">
        <f t="shared" si="401"/>
        <v/>
      </c>
      <c r="AV543" s="295" t="str">
        <f t="shared" si="401"/>
        <v/>
      </c>
      <c r="AW543" s="295" t="str">
        <f t="shared" si="401"/>
        <v/>
      </c>
      <c r="AX543" s="295" t="str">
        <f t="shared" si="401"/>
        <v/>
      </c>
      <c r="AY543" s="397" t="str">
        <f t="shared" si="401"/>
        <v/>
      </c>
      <c r="AZ543" s="295" t="str">
        <f t="shared" si="401"/>
        <v/>
      </c>
      <c r="BA543" s="295" t="str">
        <f t="shared" si="401"/>
        <v/>
      </c>
      <c r="BB543" s="295" t="str">
        <f t="shared" si="401"/>
        <v/>
      </c>
      <c r="BC543" s="295" t="str">
        <f t="shared" si="401"/>
        <v/>
      </c>
      <c r="BD543" s="397" t="str">
        <f t="shared" si="401"/>
        <v/>
      </c>
      <c r="BE543" s="295" t="str">
        <f t="shared" si="401"/>
        <v/>
      </c>
      <c r="BF543" s="295" t="str">
        <f t="shared" si="401"/>
        <v/>
      </c>
      <c r="BG543" s="295" t="str">
        <f t="shared" si="401"/>
        <v/>
      </c>
      <c r="BH543" s="295" t="str">
        <f>IFERROR(AVERAGE(BH541,BH542),"")</f>
        <v/>
      </c>
      <c r="BI543" s="397" t="str">
        <f>IFERROR(AVERAGE(BI541,BI542),"")</f>
        <v/>
      </c>
      <c r="BJ543" s="1030" t="str">
        <f>IFERROR(AVERAGE(BJ541,BJ542),"")</f>
        <v/>
      </c>
      <c r="BK543" s="295"/>
      <c r="BL543" s="295"/>
      <c r="BM543" s="295"/>
      <c r="BN543" s="397"/>
      <c r="BO543" s="295"/>
      <c r="BP543" s="295"/>
      <c r="BQ543" s="295"/>
      <c r="BR543" s="295"/>
      <c r="BS543" s="397"/>
      <c r="BT543" s="397"/>
      <c r="BU543" s="397"/>
      <c r="BV543" s="397"/>
      <c r="BW543" s="118"/>
    </row>
    <row r="544" spans="1:75" hidden="1" outlineLevel="2" x14ac:dyDescent="0.5">
      <c r="A544" s="184" t="s">
        <v>2507</v>
      </c>
      <c r="B544" s="513"/>
      <c r="C544" s="401"/>
      <c r="D544" s="401"/>
      <c r="E544" s="401"/>
      <c r="F544" s="401"/>
      <c r="G544" s="118"/>
      <c r="H544" s="118"/>
      <c r="I544" s="118"/>
      <c r="J544" s="118"/>
      <c r="K544" s="401"/>
      <c r="L544" s="118"/>
      <c r="M544" s="118"/>
      <c r="N544" s="118"/>
      <c r="O544" s="118"/>
      <c r="P544" s="401"/>
      <c r="Q544" s="118"/>
      <c r="R544" s="118"/>
      <c r="S544" s="118"/>
      <c r="T544" s="118"/>
      <c r="U544" s="401"/>
      <c r="V544" s="118"/>
      <c r="W544" s="118"/>
      <c r="X544" s="118"/>
      <c r="Y544" s="118"/>
      <c r="Z544" s="401"/>
      <c r="AA544" s="118"/>
      <c r="AB544" s="118"/>
      <c r="AC544" s="118"/>
      <c r="AD544" s="118" t="str">
        <f t="shared" ref="AD544:BG544" si="402">IFERROR(ABS(AD542-AD541),"")</f>
        <v/>
      </c>
      <c r="AE544" s="401" t="str">
        <f t="shared" si="402"/>
        <v/>
      </c>
      <c r="AF544" s="118" t="str">
        <f t="shared" si="402"/>
        <v/>
      </c>
      <c r="AG544" s="118" t="str">
        <f t="shared" si="402"/>
        <v/>
      </c>
      <c r="AH544" s="118" t="str">
        <f t="shared" si="402"/>
        <v/>
      </c>
      <c r="AI544" s="118" t="str">
        <f t="shared" si="402"/>
        <v/>
      </c>
      <c r="AJ544" s="401" t="str">
        <f t="shared" si="402"/>
        <v/>
      </c>
      <c r="AK544" s="118" t="str">
        <f t="shared" si="402"/>
        <v/>
      </c>
      <c r="AL544" s="118" t="str">
        <f t="shared" si="402"/>
        <v/>
      </c>
      <c r="AM544" s="118" t="str">
        <f t="shared" si="402"/>
        <v/>
      </c>
      <c r="AN544" s="118" t="str">
        <f t="shared" si="402"/>
        <v/>
      </c>
      <c r="AO544" s="401" t="str">
        <f t="shared" si="402"/>
        <v/>
      </c>
      <c r="AP544" s="118" t="str">
        <f t="shared" si="402"/>
        <v/>
      </c>
      <c r="AQ544" s="118" t="str">
        <f t="shared" si="402"/>
        <v/>
      </c>
      <c r="AR544" s="118" t="str">
        <f t="shared" si="402"/>
        <v/>
      </c>
      <c r="AS544" s="118" t="str">
        <f t="shared" si="402"/>
        <v/>
      </c>
      <c r="AT544" s="401" t="str">
        <f t="shared" si="402"/>
        <v/>
      </c>
      <c r="AU544" s="118" t="str">
        <f t="shared" si="402"/>
        <v/>
      </c>
      <c r="AV544" s="118" t="str">
        <f t="shared" si="402"/>
        <v/>
      </c>
      <c r="AW544" s="118" t="str">
        <f t="shared" si="402"/>
        <v/>
      </c>
      <c r="AX544" s="118" t="str">
        <f t="shared" si="402"/>
        <v/>
      </c>
      <c r="AY544" s="401" t="str">
        <f t="shared" si="402"/>
        <v/>
      </c>
      <c r="AZ544" s="118" t="str">
        <f t="shared" si="402"/>
        <v/>
      </c>
      <c r="BA544" s="118" t="str">
        <f t="shared" si="402"/>
        <v/>
      </c>
      <c r="BB544" s="118" t="str">
        <f t="shared" si="402"/>
        <v/>
      </c>
      <c r="BC544" s="118" t="str">
        <f t="shared" si="402"/>
        <v/>
      </c>
      <c r="BD544" s="401" t="str">
        <f t="shared" si="402"/>
        <v/>
      </c>
      <c r="BE544" s="118" t="str">
        <f t="shared" si="402"/>
        <v/>
      </c>
      <c r="BF544" s="118" t="str">
        <f t="shared" si="402"/>
        <v/>
      </c>
      <c r="BG544" s="118" t="str">
        <f t="shared" si="402"/>
        <v/>
      </c>
      <c r="BH544" s="118" t="str">
        <f>IFERROR(ABS(BH542-BH541),"")</f>
        <v/>
      </c>
      <c r="BI544" s="401" t="str">
        <f>IFERROR(ABS(BI542-BI541),"")</f>
        <v/>
      </c>
      <c r="BJ544" s="971" t="str">
        <f>IFERROR(ABS(BJ542-BJ541),"")</f>
        <v/>
      </c>
      <c r="BK544" s="118"/>
      <c r="BL544" s="118"/>
      <c r="BM544" s="118"/>
      <c r="BN544" s="401"/>
      <c r="BO544" s="118"/>
      <c r="BP544" s="118"/>
      <c r="BQ544" s="118"/>
      <c r="BR544" s="118"/>
      <c r="BS544" s="401"/>
      <c r="BT544" s="401"/>
      <c r="BU544" s="401"/>
      <c r="BV544" s="401"/>
      <c r="BW544" s="118"/>
    </row>
    <row r="545" spans="1:75" hidden="1" outlineLevel="2" x14ac:dyDescent="0.5">
      <c r="A545" s="526" t="s">
        <v>2508</v>
      </c>
      <c r="B545" s="513"/>
      <c r="C545" s="423"/>
      <c r="D545" s="423"/>
      <c r="E545" s="423"/>
      <c r="F545" s="423"/>
      <c r="G545" s="422"/>
      <c r="H545" s="422"/>
      <c r="I545" s="422"/>
      <c r="J545" s="422"/>
      <c r="K545" s="423"/>
      <c r="L545" s="422"/>
      <c r="M545" s="422"/>
      <c r="N545" s="422"/>
      <c r="O545" s="422"/>
      <c r="P545" s="423"/>
      <c r="Q545" s="422"/>
      <c r="R545" s="422"/>
      <c r="S545" s="422"/>
      <c r="T545" s="422"/>
      <c r="U545" s="423"/>
      <c r="V545" s="422"/>
      <c r="W545" s="422"/>
      <c r="X545" s="422"/>
      <c r="Y545" s="422"/>
      <c r="Z545" s="423"/>
      <c r="AA545" s="422"/>
      <c r="AB545" s="422"/>
      <c r="AC545" s="422"/>
      <c r="AD545" s="422" t="str">
        <f t="shared" ref="AD545:BG545" si="403">IFERROR(ABS((AD542-AD543)/AD543),"")</f>
        <v/>
      </c>
      <c r="AE545" s="423" t="str">
        <f t="shared" si="403"/>
        <v/>
      </c>
      <c r="AF545" s="422" t="str">
        <f t="shared" si="403"/>
        <v/>
      </c>
      <c r="AG545" s="422" t="str">
        <f t="shared" si="403"/>
        <v/>
      </c>
      <c r="AH545" s="422" t="str">
        <f t="shared" si="403"/>
        <v/>
      </c>
      <c r="AI545" s="422" t="str">
        <f t="shared" si="403"/>
        <v/>
      </c>
      <c r="AJ545" s="423" t="str">
        <f t="shared" si="403"/>
        <v/>
      </c>
      <c r="AK545" s="422" t="str">
        <f t="shared" si="403"/>
        <v/>
      </c>
      <c r="AL545" s="422" t="str">
        <f t="shared" si="403"/>
        <v/>
      </c>
      <c r="AM545" s="422" t="str">
        <f t="shared" si="403"/>
        <v/>
      </c>
      <c r="AN545" s="422" t="str">
        <f t="shared" si="403"/>
        <v/>
      </c>
      <c r="AO545" s="423" t="str">
        <f t="shared" si="403"/>
        <v/>
      </c>
      <c r="AP545" s="422" t="str">
        <f t="shared" si="403"/>
        <v/>
      </c>
      <c r="AQ545" s="422" t="str">
        <f t="shared" si="403"/>
        <v/>
      </c>
      <c r="AR545" s="422" t="str">
        <f t="shared" si="403"/>
        <v/>
      </c>
      <c r="AS545" s="422" t="str">
        <f t="shared" si="403"/>
        <v/>
      </c>
      <c r="AT545" s="423" t="str">
        <f t="shared" si="403"/>
        <v/>
      </c>
      <c r="AU545" s="422" t="str">
        <f t="shared" si="403"/>
        <v/>
      </c>
      <c r="AV545" s="422" t="str">
        <f t="shared" si="403"/>
        <v/>
      </c>
      <c r="AW545" s="422" t="str">
        <f t="shared" si="403"/>
        <v/>
      </c>
      <c r="AX545" s="422" t="str">
        <f t="shared" si="403"/>
        <v/>
      </c>
      <c r="AY545" s="423" t="str">
        <f t="shared" si="403"/>
        <v/>
      </c>
      <c r="AZ545" s="422" t="str">
        <f t="shared" si="403"/>
        <v/>
      </c>
      <c r="BA545" s="422" t="str">
        <f t="shared" si="403"/>
        <v/>
      </c>
      <c r="BB545" s="422" t="str">
        <f t="shared" si="403"/>
        <v/>
      </c>
      <c r="BC545" s="422" t="str">
        <f t="shared" si="403"/>
        <v/>
      </c>
      <c r="BD545" s="423" t="str">
        <f t="shared" si="403"/>
        <v/>
      </c>
      <c r="BE545" s="422" t="str">
        <f t="shared" si="403"/>
        <v/>
      </c>
      <c r="BF545" s="422" t="str">
        <f t="shared" si="403"/>
        <v/>
      </c>
      <c r="BG545" s="422" t="str">
        <f t="shared" si="403"/>
        <v/>
      </c>
      <c r="BH545" s="422" t="str">
        <f>IFERROR(ABS((BH542-BH543)/BH543),"")</f>
        <v/>
      </c>
      <c r="BI545" s="423" t="str">
        <f>IFERROR(ABS((BI542-BI543)/BI543),"")</f>
        <v/>
      </c>
      <c r="BJ545" s="1034" t="str">
        <f>IFERROR(ABS((BJ542-BJ543)/BJ543),"")</f>
        <v/>
      </c>
      <c r="BK545" s="422"/>
      <c r="BL545" s="422"/>
      <c r="BM545" s="422"/>
      <c r="BN545" s="423"/>
      <c r="BO545" s="422"/>
      <c r="BP545" s="422"/>
      <c r="BQ545" s="422"/>
      <c r="BR545" s="422"/>
      <c r="BS545" s="423"/>
      <c r="BT545" s="423"/>
      <c r="BU545" s="423"/>
      <c r="BV545" s="423"/>
      <c r="BW545" s="118"/>
    </row>
    <row r="546" spans="1:75" hidden="1" outlineLevel="3" x14ac:dyDescent="0.5">
      <c r="A546" s="189" t="s">
        <v>2509</v>
      </c>
      <c r="B546" s="720"/>
      <c r="C546" s="417"/>
      <c r="D546" s="417"/>
      <c r="E546" s="417"/>
      <c r="F546" s="417"/>
      <c r="G546" s="378"/>
      <c r="H546" s="378"/>
      <c r="I546" s="378"/>
      <c r="J546" s="378"/>
      <c r="K546" s="417"/>
      <c r="L546" s="378"/>
      <c r="M546" s="378"/>
      <c r="N546" s="378"/>
      <c r="O546" s="378"/>
      <c r="P546" s="417"/>
      <c r="Q546" s="378"/>
      <c r="R546" s="378"/>
      <c r="S546" s="378"/>
      <c r="T546" s="378"/>
      <c r="U546" s="417"/>
      <c r="V546" s="378"/>
      <c r="W546" s="378"/>
      <c r="X546" s="378"/>
      <c r="Y546" s="378"/>
      <c r="Z546" s="417"/>
      <c r="AA546" s="378"/>
      <c r="AB546" s="378"/>
      <c r="AC546" s="378"/>
      <c r="AD546" s="378" t="str">
        <f t="shared" ref="AD546:BI547" si="404">AD1082</f>
        <v>NR</v>
      </c>
      <c r="AE546" s="417" t="str">
        <f t="shared" si="404"/>
        <v>NR</v>
      </c>
      <c r="AF546" s="378" t="str">
        <f t="shared" si="404"/>
        <v>NR</v>
      </c>
      <c r="AG546" s="378" t="str">
        <f t="shared" si="404"/>
        <v>NR</v>
      </c>
      <c r="AH546" s="378" t="str">
        <f t="shared" si="404"/>
        <v>NR</v>
      </c>
      <c r="AI546" s="378" t="str">
        <f t="shared" si="404"/>
        <v>NR</v>
      </c>
      <c r="AJ546" s="417" t="str">
        <f t="shared" si="404"/>
        <v>NR</v>
      </c>
      <c r="AK546" s="378" t="str">
        <f t="shared" si="404"/>
        <v>NR</v>
      </c>
      <c r="AL546" s="378" t="str">
        <f t="shared" si="404"/>
        <v>NR</v>
      </c>
      <c r="AM546" s="378" t="str">
        <f t="shared" si="404"/>
        <v>NR</v>
      </c>
      <c r="AN546" s="378" t="str">
        <f t="shared" si="404"/>
        <v>NR</v>
      </c>
      <c r="AO546" s="417" t="str">
        <f t="shared" si="404"/>
        <v>NR</v>
      </c>
      <c r="AP546" s="378" t="str">
        <f t="shared" si="404"/>
        <v>NR</v>
      </c>
      <c r="AQ546" s="378" t="str">
        <f t="shared" si="404"/>
        <v>NR</v>
      </c>
      <c r="AR546" s="378" t="str">
        <f t="shared" si="404"/>
        <v>NR</v>
      </c>
      <c r="AS546" s="378" t="str">
        <f t="shared" si="404"/>
        <v>NR</v>
      </c>
      <c r="AT546" s="417" t="str">
        <f t="shared" si="404"/>
        <v>NR</v>
      </c>
      <c r="AU546" s="378" t="str">
        <f t="shared" si="404"/>
        <v>NR</v>
      </c>
      <c r="AV546" s="378" t="str">
        <f t="shared" si="404"/>
        <v>NR</v>
      </c>
      <c r="AW546" s="378" t="str">
        <f t="shared" si="404"/>
        <v>NR</v>
      </c>
      <c r="AX546" s="378" t="str">
        <f t="shared" si="404"/>
        <v>NR</v>
      </c>
      <c r="AY546" s="417" t="str">
        <f t="shared" si="404"/>
        <v>NR</v>
      </c>
      <c r="AZ546" s="378" t="str">
        <f t="shared" si="404"/>
        <v>NR</v>
      </c>
      <c r="BA546" s="378" t="str">
        <f t="shared" si="404"/>
        <v>NR</v>
      </c>
      <c r="BB546" s="378" t="str">
        <f t="shared" si="404"/>
        <v>NR</v>
      </c>
      <c r="BC546" s="378" t="str">
        <f t="shared" si="404"/>
        <v>NR</v>
      </c>
      <c r="BD546" s="417" t="str">
        <f t="shared" si="404"/>
        <v>NR</v>
      </c>
      <c r="BE546" s="378" t="str">
        <f t="shared" si="404"/>
        <v>NR</v>
      </c>
      <c r="BF546" s="378" t="str">
        <f t="shared" si="404"/>
        <v>NR</v>
      </c>
      <c r="BG546" s="378" t="str">
        <f t="shared" si="404"/>
        <v>NR</v>
      </c>
      <c r="BH546" s="378" t="str">
        <f t="shared" si="404"/>
        <v>NR</v>
      </c>
      <c r="BI546" s="417" t="str">
        <f t="shared" si="404"/>
        <v>NR</v>
      </c>
      <c r="BJ546" s="1130" t="str">
        <f>BJ1082</f>
        <v>NR</v>
      </c>
      <c r="BK546" s="378"/>
      <c r="BL546" s="378"/>
      <c r="BM546" s="378"/>
      <c r="BN546" s="417"/>
      <c r="BO546" s="378"/>
      <c r="BP546" s="378"/>
      <c r="BQ546" s="378"/>
      <c r="BR546" s="378"/>
      <c r="BS546" s="417"/>
      <c r="BT546" s="417"/>
      <c r="BU546" s="417"/>
      <c r="BV546" s="417"/>
      <c r="BW546" s="118"/>
    </row>
    <row r="547" spans="1:75" hidden="1" outlineLevel="3" x14ac:dyDescent="0.5">
      <c r="A547" s="1188" t="s">
        <v>2510</v>
      </c>
      <c r="B547" s="769"/>
      <c r="C547" s="770"/>
      <c r="D547" s="770"/>
      <c r="E547" s="770"/>
      <c r="F547" s="770"/>
      <c r="G547" s="771"/>
      <c r="H547" s="771"/>
      <c r="I547" s="771"/>
      <c r="J547" s="771"/>
      <c r="K547" s="770"/>
      <c r="L547" s="771"/>
      <c r="M547" s="771"/>
      <c r="N547" s="771"/>
      <c r="O547" s="771"/>
      <c r="P547" s="770"/>
      <c r="Q547" s="771"/>
      <c r="R547" s="771"/>
      <c r="S547" s="771"/>
      <c r="T547" s="771"/>
      <c r="U547" s="770"/>
      <c r="V547" s="771"/>
      <c r="W547" s="771"/>
      <c r="X547" s="771"/>
      <c r="Y547" s="771"/>
      <c r="Z547" s="770"/>
      <c r="AA547" s="771"/>
      <c r="AB547" s="771"/>
      <c r="AC547" s="771"/>
      <c r="AD547" s="771" t="str">
        <f t="shared" si="404"/>
        <v>NR</v>
      </c>
      <c r="AE547" s="770" t="str">
        <f t="shared" si="404"/>
        <v>NR</v>
      </c>
      <c r="AF547" s="771" t="str">
        <f t="shared" si="404"/>
        <v>NR</v>
      </c>
      <c r="AG547" s="771" t="str">
        <f t="shared" si="404"/>
        <v>NR</v>
      </c>
      <c r="AH547" s="771" t="str">
        <f t="shared" si="404"/>
        <v>NR</v>
      </c>
      <c r="AI547" s="771" t="str">
        <f t="shared" si="404"/>
        <v>NR</v>
      </c>
      <c r="AJ547" s="770" t="str">
        <f t="shared" si="404"/>
        <v>NR</v>
      </c>
      <c r="AK547" s="771" t="str">
        <f t="shared" si="404"/>
        <v>NR</v>
      </c>
      <c r="AL547" s="771" t="str">
        <f t="shared" si="404"/>
        <v>NR</v>
      </c>
      <c r="AM547" s="771" t="str">
        <f t="shared" si="404"/>
        <v>NR</v>
      </c>
      <c r="AN547" s="771" t="str">
        <f t="shared" si="404"/>
        <v>NR</v>
      </c>
      <c r="AO547" s="770" t="str">
        <f t="shared" si="404"/>
        <v>NR</v>
      </c>
      <c r="AP547" s="771" t="str">
        <f t="shared" si="404"/>
        <v>NR</v>
      </c>
      <c r="AQ547" s="771" t="str">
        <f t="shared" si="404"/>
        <v>NR</v>
      </c>
      <c r="AR547" s="771" t="str">
        <f t="shared" si="404"/>
        <v>NR</v>
      </c>
      <c r="AS547" s="771" t="str">
        <f t="shared" si="404"/>
        <v>NR</v>
      </c>
      <c r="AT547" s="770" t="str">
        <f t="shared" si="404"/>
        <v>NR</v>
      </c>
      <c r="AU547" s="771" t="str">
        <f t="shared" si="404"/>
        <v>NR</v>
      </c>
      <c r="AV547" s="771" t="str">
        <f t="shared" si="404"/>
        <v>NR</v>
      </c>
      <c r="AW547" s="771" t="str">
        <f t="shared" si="404"/>
        <v>NR</v>
      </c>
      <c r="AX547" s="771" t="str">
        <f t="shared" si="404"/>
        <v>NR</v>
      </c>
      <c r="AY547" s="770" t="str">
        <f t="shared" si="404"/>
        <v>NR</v>
      </c>
      <c r="AZ547" s="771" t="str">
        <f t="shared" si="404"/>
        <v>NR</v>
      </c>
      <c r="BA547" s="771" t="str">
        <f t="shared" si="404"/>
        <v>NR</v>
      </c>
      <c r="BB547" s="771" t="str">
        <f t="shared" si="404"/>
        <v>NR</v>
      </c>
      <c r="BC547" s="771" t="str">
        <f t="shared" si="404"/>
        <v>NR</v>
      </c>
      <c r="BD547" s="770" t="str">
        <f t="shared" si="404"/>
        <v>NR</v>
      </c>
      <c r="BE547" s="771" t="str">
        <f t="shared" si="404"/>
        <v>NR</v>
      </c>
      <c r="BF547" s="771" t="str">
        <f t="shared" si="404"/>
        <v>NR</v>
      </c>
      <c r="BG547" s="771" t="str">
        <f t="shared" si="404"/>
        <v>NR</v>
      </c>
      <c r="BH547" s="771" t="str">
        <f t="shared" si="404"/>
        <v>NR</v>
      </c>
      <c r="BI547" s="770" t="str">
        <f t="shared" si="404"/>
        <v>NR</v>
      </c>
      <c r="BJ547" s="1314" t="str">
        <f>BJ1083</f>
        <v>NR</v>
      </c>
      <c r="BK547" s="771"/>
      <c r="BL547" s="771"/>
      <c r="BM547" s="771"/>
      <c r="BN547" s="770"/>
      <c r="BO547" s="771"/>
      <c r="BP547" s="771"/>
      <c r="BQ547" s="771"/>
      <c r="BR547" s="771"/>
      <c r="BS547" s="770"/>
      <c r="BT547" s="770"/>
      <c r="BU547" s="770"/>
      <c r="BV547" s="770"/>
      <c r="BW547" s="118"/>
    </row>
    <row r="548" spans="1:75" hidden="1" outlineLevel="2" x14ac:dyDescent="0.5">
      <c r="A548" s="170" t="s">
        <v>2511</v>
      </c>
      <c r="B548" s="720"/>
      <c r="C548" s="417"/>
      <c r="D548" s="417"/>
      <c r="E548" s="417"/>
      <c r="F548" s="417"/>
      <c r="G548" s="378"/>
      <c r="H548" s="378"/>
      <c r="I548" s="378"/>
      <c r="J548" s="378"/>
      <c r="K548" s="417"/>
      <c r="L548" s="378"/>
      <c r="M548" s="378"/>
      <c r="N548" s="378"/>
      <c r="O548" s="378"/>
      <c r="P548" s="417"/>
      <c r="Q548" s="378"/>
      <c r="R548" s="378"/>
      <c r="S548" s="378"/>
      <c r="T548" s="378"/>
      <c r="U548" s="417"/>
      <c r="V548" s="378"/>
      <c r="W548" s="378"/>
      <c r="X548" s="378"/>
      <c r="Y548" s="378"/>
      <c r="Z548" s="417"/>
      <c r="AA548" s="378"/>
      <c r="AB548" s="378"/>
      <c r="AC548" s="378"/>
      <c r="AD548" s="378" t="str">
        <f>IFERROR(AD543/AE511-1,"")</f>
        <v/>
      </c>
      <c r="AE548" s="417" t="str">
        <f>IFERROR(AE543/AE511-1,"")</f>
        <v/>
      </c>
      <c r="AF548" s="378" t="str">
        <f>IFERROR(AF543/AE511-1,"")</f>
        <v/>
      </c>
      <c r="AG548" s="378" t="str">
        <f>IFERROR(AG543/AE511-1,"")</f>
        <v/>
      </c>
      <c r="AH548" s="378" t="str">
        <f>IFERROR(AH543/AE511-1,"")</f>
        <v/>
      </c>
      <c r="AI548" s="378" t="str">
        <f>IFERROR(AI543/AJ511-1,"")</f>
        <v/>
      </c>
      <c r="AJ548" s="417" t="str">
        <f>IFERROR(AJ543/AJ511-1,"")</f>
        <v/>
      </c>
      <c r="AK548" s="378" t="str">
        <f>IFERROR(AK543/AJ511-1,"")</f>
        <v/>
      </c>
      <c r="AL548" s="378" t="str">
        <f>IFERROR(AL543/AJ511-1,"")</f>
        <v/>
      </c>
      <c r="AM548" s="378" t="str">
        <f>IFERROR(AM543/AJ511-1,"")</f>
        <v/>
      </c>
      <c r="AN548" s="378" t="str">
        <f>IFERROR(AN543/AO511-1,"")</f>
        <v/>
      </c>
      <c r="AO548" s="417" t="str">
        <f>IFERROR(AO543/AO511-1,"")</f>
        <v/>
      </c>
      <c r="AP548" s="378" t="str">
        <f>IFERROR(AP543/AO511-1,"")</f>
        <v/>
      </c>
      <c r="AQ548" s="378" t="str">
        <f>IFERROR(AQ543/AO511-1,"")</f>
        <v/>
      </c>
      <c r="AR548" s="378" t="str">
        <f>IFERROR(AR543/AO511-1,"")</f>
        <v/>
      </c>
      <c r="AS548" s="378" t="str">
        <f>IFERROR(AS543/AT511-1,"")</f>
        <v/>
      </c>
      <c r="AT548" s="417" t="str">
        <f>IFERROR(AT543/AT511-1,"")</f>
        <v/>
      </c>
      <c r="AU548" s="378" t="str">
        <f>IFERROR(AU543/AT511-1,"")</f>
        <v/>
      </c>
      <c r="AV548" s="378" t="str">
        <f>IFERROR(AV543/AT511-1,"")</f>
        <v/>
      </c>
      <c r="AW548" s="378" t="str">
        <f>IFERROR(AW543/AT511-1,"")</f>
        <v/>
      </c>
      <c r="AX548" s="378" t="str">
        <f>IFERROR(AX543/AY511-1,"")</f>
        <v/>
      </c>
      <c r="AY548" s="417" t="str">
        <f>IFERROR(AY543/AY511-1,"")</f>
        <v/>
      </c>
      <c r="AZ548" s="378" t="str">
        <f>IFERROR(AZ543/AY511-1,"")</f>
        <v/>
      </c>
      <c r="BA548" s="378" t="str">
        <f>IFERROR(BA543/AY511-1,"")</f>
        <v/>
      </c>
      <c r="BB548" s="378" t="str">
        <f>IFERROR(BB543/AY511-1,"")</f>
        <v/>
      </c>
      <c r="BC548" s="378" t="str">
        <f>IFERROR(BC543/BD511-1,"")</f>
        <v/>
      </c>
      <c r="BD548" s="417" t="str">
        <f>IFERROR(BD543/BD511-1,"")</f>
        <v/>
      </c>
      <c r="BE548" s="378" t="str">
        <f>IFERROR(BE543/BD511-1,"")</f>
        <v/>
      </c>
      <c r="BF548" s="378" t="str">
        <f>IFERROR(BF543/BD511-1,"")</f>
        <v/>
      </c>
      <c r="BG548" s="378" t="str">
        <f>IFERROR(BG543/BD511-1,"")</f>
        <v/>
      </c>
      <c r="BH548" s="378" t="str">
        <f>IFERROR(BH543/BI511-1,"")</f>
        <v/>
      </c>
      <c r="BI548" s="417" t="str">
        <f>IFERROR(BI543/BI511-1,"")</f>
        <v/>
      </c>
      <c r="BJ548" s="1130" t="str">
        <f>IFERROR(BJ543/BI511-1,"")</f>
        <v/>
      </c>
      <c r="BK548" s="378"/>
      <c r="BL548" s="378"/>
      <c r="BM548" s="378"/>
      <c r="BN548" s="417"/>
      <c r="BO548" s="378"/>
      <c r="BP548" s="378"/>
      <c r="BQ548" s="378"/>
      <c r="BR548" s="378"/>
      <c r="BS548" s="417"/>
      <c r="BT548" s="417"/>
      <c r="BU548" s="417"/>
      <c r="BV548" s="417"/>
      <c r="BW548" s="118"/>
    </row>
    <row r="549" spans="1:75" hidden="1" outlineLevel="1" x14ac:dyDescent="0.5">
      <c r="A549" s="1524"/>
      <c r="B549" s="513"/>
      <c r="C549" s="401"/>
      <c r="D549" s="401"/>
      <c r="E549" s="401"/>
      <c r="F549" s="401"/>
      <c r="G549" s="118"/>
      <c r="H549" s="118"/>
      <c r="I549" s="118"/>
      <c r="J549" s="118"/>
      <c r="K549" s="401"/>
      <c r="L549" s="118"/>
      <c r="M549" s="118"/>
      <c r="N549" s="118"/>
      <c r="O549" s="118"/>
      <c r="P549" s="401"/>
      <c r="Q549" s="118"/>
      <c r="R549" s="118"/>
      <c r="S549" s="118"/>
      <c r="T549" s="118"/>
      <c r="U549" s="401"/>
      <c r="V549" s="118"/>
      <c r="W549" s="118"/>
      <c r="X549" s="118"/>
      <c r="Y549" s="118"/>
      <c r="Z549" s="401"/>
      <c r="AA549" s="118"/>
      <c r="AB549" s="118"/>
      <c r="AC549" s="118"/>
      <c r="AD549" s="118"/>
      <c r="AE549" s="401"/>
      <c r="AF549" s="118"/>
      <c r="AG549" s="118"/>
      <c r="AH549" s="118"/>
      <c r="AI549" s="118"/>
      <c r="AJ549" s="401"/>
      <c r="AK549" s="118"/>
      <c r="AL549" s="118"/>
      <c r="AM549" s="118"/>
      <c r="AN549" s="118"/>
      <c r="AO549" s="401"/>
      <c r="AP549" s="118"/>
      <c r="AQ549" s="118"/>
      <c r="AR549" s="118"/>
      <c r="AS549" s="118"/>
      <c r="AT549" s="401"/>
      <c r="AU549" s="118"/>
      <c r="AV549" s="118"/>
      <c r="AW549" s="118"/>
      <c r="AX549" s="118"/>
      <c r="AY549" s="401"/>
      <c r="AZ549" s="118"/>
      <c r="BA549" s="118"/>
      <c r="BB549" s="118"/>
      <c r="BC549" s="118"/>
      <c r="BD549" s="401"/>
      <c r="BE549" s="118"/>
      <c r="BF549" s="118"/>
      <c r="BG549" s="118"/>
      <c r="BH549" s="118"/>
      <c r="BI549" s="401"/>
      <c r="BJ549" s="971"/>
      <c r="BK549" s="118"/>
      <c r="BL549" s="118"/>
      <c r="BM549" s="118"/>
      <c r="BN549" s="401"/>
      <c r="BO549" s="118"/>
      <c r="BP549" s="118"/>
      <c r="BQ549" s="118"/>
      <c r="BR549" s="118"/>
      <c r="BS549" s="401"/>
      <c r="BT549" s="401"/>
      <c r="BU549" s="401"/>
      <c r="BV549" s="401"/>
      <c r="BW549" s="118"/>
    </row>
    <row r="550" spans="1:75" hidden="1" outlineLevel="1" x14ac:dyDescent="0.5">
      <c r="A550" s="482" t="s">
        <v>2512</v>
      </c>
      <c r="B550" s="946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  <c r="AA550" s="239"/>
      <c r="AB550" s="239"/>
      <c r="AC550" s="239"/>
      <c r="AD550" s="239"/>
      <c r="AE550" s="239"/>
      <c r="AF550" s="239"/>
      <c r="AG550" s="239"/>
      <c r="AH550" s="239"/>
      <c r="AI550" s="239"/>
      <c r="AJ550" s="239"/>
      <c r="AK550" s="239"/>
      <c r="AL550" s="239"/>
      <c r="AM550" s="239"/>
      <c r="AN550" s="239"/>
      <c r="AO550" s="239"/>
      <c r="AP550" s="239"/>
      <c r="AQ550" s="239"/>
      <c r="AR550" s="239"/>
      <c r="AS550" s="239"/>
      <c r="AT550" s="239"/>
      <c r="AU550" s="239"/>
      <c r="AV550" s="239"/>
      <c r="AW550" s="239"/>
      <c r="AX550" s="239"/>
      <c r="AY550" s="239"/>
      <c r="AZ550" s="239"/>
      <c r="BA550" s="239"/>
      <c r="BB550" s="239"/>
      <c r="BC550" s="239"/>
      <c r="BD550" s="239"/>
      <c r="BE550" s="239"/>
      <c r="BF550" s="239"/>
      <c r="BG550" s="239"/>
      <c r="BH550" s="239"/>
      <c r="BI550" s="239"/>
      <c r="BJ550" s="241"/>
      <c r="BK550" s="239"/>
      <c r="BL550" s="239"/>
      <c r="BM550" s="239"/>
      <c r="BN550" s="239"/>
      <c r="BO550" s="239"/>
      <c r="BP550" s="239"/>
      <c r="BQ550" s="239"/>
      <c r="BR550" s="239"/>
      <c r="BS550" s="239"/>
      <c r="BT550" s="239"/>
      <c r="BU550" s="239"/>
      <c r="BV550" s="239"/>
      <c r="BW550" s="122"/>
    </row>
    <row r="551" spans="1:75" hidden="1" outlineLevel="2" x14ac:dyDescent="0.5">
      <c r="A551" s="184" t="s">
        <v>2513</v>
      </c>
      <c r="B551" s="513"/>
      <c r="C551" s="401"/>
      <c r="D551" s="401"/>
      <c r="E551" s="401"/>
      <c r="F551" s="401"/>
      <c r="G551" s="118"/>
      <c r="H551" s="118" t="str">
        <f>IF(ISBLANK(G579),"",G579)</f>
        <v/>
      </c>
      <c r="I551" s="118" t="str">
        <f>IF(ISBLANK(H579),"",H579)</f>
        <v/>
      </c>
      <c r="J551" s="118" t="str">
        <f>IF(ISBLANK(I579),"",I579)</f>
        <v/>
      </c>
      <c r="K551" s="401"/>
      <c r="L551" s="118" t="str">
        <f>IF(ISBLANK(J579),"",J579)</f>
        <v/>
      </c>
      <c r="M551" s="118" t="str">
        <f>IF(ISBLANK(L579),"",L579)</f>
        <v/>
      </c>
      <c r="N551" s="118" t="str">
        <f>IF(ISBLANK(M579),"",M579)</f>
        <v/>
      </c>
      <c r="O551" s="118" t="str">
        <f>IF(ISBLANK(N579),"",N579)</f>
        <v/>
      </c>
      <c r="P551" s="401" t="str">
        <f>IF(ISBLANK(J607),"",J607)</f>
        <v/>
      </c>
      <c r="Q551" s="118" t="str">
        <f>IF(ISBLANK(O579),"",O579)</f>
        <v/>
      </c>
      <c r="R551" s="118" t="str">
        <f>IF(ISBLANK(Q579),"",Q579)</f>
        <v/>
      </c>
      <c r="S551" s="118" t="str">
        <f>IF(ISBLANK(R579),"",R579)</f>
        <v/>
      </c>
      <c r="T551" s="118" t="str">
        <f>IF(ISBLANK(S579),"",S579)</f>
        <v/>
      </c>
      <c r="U551" s="401" t="str">
        <f>IF(ISBLANK(O607),"",O607)</f>
        <v/>
      </c>
      <c r="V551" s="118" t="str">
        <f>IF(ISBLANK(T579),"",T579)</f>
        <v/>
      </c>
      <c r="W551" s="118" t="str">
        <f>IF(ISBLANK(V579),"",V579)</f>
        <v/>
      </c>
      <c r="X551" s="118" t="str">
        <f>IF(ISBLANK(W579),"",W579)</f>
        <v/>
      </c>
      <c r="Y551" s="118" t="str">
        <f>IF(ISBLANK(X579),"",X579)</f>
        <v/>
      </c>
      <c r="Z551" s="401" t="str">
        <f>IF(ISBLANK(T607),"",T607)</f>
        <v/>
      </c>
      <c r="AA551" s="118" t="str">
        <f>IF(ISBLANK(Y579),"",Y579)</f>
        <v/>
      </c>
      <c r="AB551" s="118" t="str">
        <f>IF(ISBLANK(AA579),"",AA579)</f>
        <v/>
      </c>
      <c r="AC551" s="118" t="str">
        <f>IF(ISBLANK(AB579),"",AB579)</f>
        <v/>
      </c>
      <c r="AD551" s="118" t="str">
        <f>IF(ISBLANK(AC579),"",AC579)</f>
        <v/>
      </c>
      <c r="AE551" s="401" t="str">
        <f>IF(ISBLANK(Y607),"",Y607)</f>
        <v/>
      </c>
      <c r="AF551" s="118" t="str">
        <f>IF(ISBLANK(AD579),"",AD579)</f>
        <v/>
      </c>
      <c r="AG551" s="118" t="str">
        <f>IF(ISBLANK(AF579),"",AF579)</f>
        <v/>
      </c>
      <c r="AH551" s="118" t="str">
        <f>IF(ISBLANK(AG579),"",AG579)</f>
        <v/>
      </c>
      <c r="AI551" s="118" t="str">
        <f>IF(ISBLANK(AH579),"",AH579)</f>
        <v/>
      </c>
      <c r="AJ551" s="401" t="str">
        <f>IF(ISBLANK(AD607),"",AD607)</f>
        <v/>
      </c>
      <c r="AK551" s="118" t="str">
        <f>IF(ISBLANK(AI579),"",AI579)</f>
        <v/>
      </c>
      <c r="AL551" s="118" t="str">
        <f>IF(ISBLANK(AK579),"",AK579)</f>
        <v/>
      </c>
      <c r="AM551" s="118" t="str">
        <f>IF(ISBLANK(AL579),"",AL579)</f>
        <v/>
      </c>
      <c r="AN551" s="118" t="str">
        <f>IF(ISBLANK(AM579),"",AM579)</f>
        <v/>
      </c>
      <c r="AO551" s="401" t="str">
        <f>IF(ISBLANK(AI607),"",AI607)</f>
        <v/>
      </c>
      <c r="AP551" s="118">
        <f>IF(ISBLANK(AN579),"",AN579)</f>
        <v>530.16038539999988</v>
      </c>
      <c r="AQ551" s="118">
        <f>IF(ISBLANK(AP579),"",AP579)</f>
        <v>944.33015300000011</v>
      </c>
      <c r="AR551" s="118">
        <f>IF(ISBLANK(AQ579),"",AQ579)</f>
        <v>885.88337975000002</v>
      </c>
      <c r="AS551" s="118" t="str">
        <f>IF(ISBLANK(AR579),"",AR579)</f>
        <v/>
      </c>
      <c r="AT551" s="401" t="str">
        <f>IF(ISBLANK(AN607),"",AN607)</f>
        <v/>
      </c>
      <c r="AU551" s="118" t="str">
        <f>IF(ISBLANK(AS579),"",AS579)</f>
        <v/>
      </c>
      <c r="AV551" s="118" t="str">
        <f>IF(ISBLANK(AU579),"",AU579)</f>
        <v/>
      </c>
      <c r="AW551" s="118" t="str">
        <f>IF(ISBLANK(AV579),"",AV579)</f>
        <v/>
      </c>
      <c r="AX551" s="118">
        <f>IF(ISBLANK(AW579),"",AW579)</f>
        <v>908.53562250000027</v>
      </c>
      <c r="AY551" s="401" t="str">
        <f>IF(ISBLANK(AS607),"",AS607)</f>
        <v/>
      </c>
      <c r="AZ551" s="118" t="str">
        <f>IF(ISBLANK(AX579),"",AX579)</f>
        <v/>
      </c>
      <c r="BA551" s="118" t="str">
        <f>IF(ISBLANK(AZ579),"",AZ579)</f>
        <v/>
      </c>
      <c r="BB551" s="118">
        <f>IF(ISBLANK(BA579),"",BA579)</f>
        <v>772.46804250000014</v>
      </c>
      <c r="BC551" s="118">
        <f>IF(ISBLANK(BB579),"",BB579)</f>
        <v>852.61488059999965</v>
      </c>
      <c r="BD551" s="401" t="str">
        <f>IF(ISBLANK(AX607),"",AX607)</f>
        <v/>
      </c>
      <c r="BE551" s="118">
        <f>IF(ISBLANK(BC579),"",BC579)</f>
        <v>784.76459999999997</v>
      </c>
      <c r="BF551" s="118">
        <f>IF(ISBLANK(BE579),"",BE579)</f>
        <v>1051.1262999999999</v>
      </c>
      <c r="BG551" s="118">
        <f>IF(ISBLANK(BF579),"",BF579)</f>
        <v>894.59999999999991</v>
      </c>
      <c r="BH551" s="118">
        <f>IF(ISBLANK(BG579),"",BG579)</f>
        <v>959.99207500000011</v>
      </c>
      <c r="BI551" s="401" t="str">
        <f>IF(ISBLANK(BC607),"",BC607)</f>
        <v/>
      </c>
      <c r="BJ551" s="971">
        <f>IF(ISBLANK(BH579),"",BH579)</f>
        <v>803.76650000000006</v>
      </c>
      <c r="BK551" s="118">
        <f>IF(ISBLANK(BJ579),"",BJ579)</f>
        <v>981.66232500000001</v>
      </c>
      <c r="BL551" s="118" t="str">
        <f>IF(ISBLANK(BK579),"",BK579)</f>
        <v/>
      </c>
      <c r="BM551" s="118" t="str">
        <f>IF(ISBLANK(BL579),"",BL579)</f>
        <v/>
      </c>
      <c r="BN551" s="401" t="str">
        <f>IF(ISBLANK(BH607),"",BH607)</f>
        <v/>
      </c>
      <c r="BO551" s="118" t="str">
        <f>IF(ISBLANK(BM579),"",BM579)</f>
        <v/>
      </c>
      <c r="BP551" s="118" t="str">
        <f>IF(ISBLANK(BO579),"",BO579)</f>
        <v/>
      </c>
      <c r="BQ551" s="118" t="str">
        <f>IF(ISBLANK(BP579),"",BP579)</f>
        <v/>
      </c>
      <c r="BR551" s="118" t="str">
        <f>IF(ISBLANK(BQ579),"",BQ579)</f>
        <v/>
      </c>
      <c r="BS551" s="401" t="str">
        <f>IF(ISBLANK(BM607),"",BM607)</f>
        <v/>
      </c>
      <c r="BT551" s="401"/>
      <c r="BU551" s="401"/>
      <c r="BV551" s="401"/>
      <c r="BW551" s="118"/>
    </row>
    <row r="552" spans="1:75" hidden="1" outlineLevel="2" x14ac:dyDescent="0.5">
      <c r="A552" s="184" t="s">
        <v>2514</v>
      </c>
      <c r="B552" s="513"/>
      <c r="C552" s="401"/>
      <c r="D552" s="401"/>
      <c r="E552" s="401"/>
      <c r="F552" s="401"/>
      <c r="G552" s="118"/>
      <c r="H552" s="118"/>
      <c r="I552" s="118"/>
      <c r="J552" s="118"/>
      <c r="K552" s="401" t="str">
        <f>IF(ISBLANK(G607),"",G607)</f>
        <v/>
      </c>
      <c r="L552" s="118"/>
      <c r="M552" s="118"/>
      <c r="N552" s="118"/>
      <c r="O552" s="118"/>
      <c r="P552" s="401" t="str">
        <f>IF(ISBLANK(L607),"",L607)</f>
        <v/>
      </c>
      <c r="Q552" s="118"/>
      <c r="R552" s="118"/>
      <c r="S552" s="118"/>
      <c r="T552" s="118"/>
      <c r="U552" s="401" t="str">
        <f>IF(ISBLANK(Q607),"",Q607)</f>
        <v/>
      </c>
      <c r="V552" s="118"/>
      <c r="W552" s="118"/>
      <c r="X552" s="118"/>
      <c r="Y552" s="118"/>
      <c r="Z552" s="401" t="str">
        <f>IF(ISBLANK(V607),"",V607)</f>
        <v/>
      </c>
      <c r="AA552" s="118"/>
      <c r="AB552" s="118"/>
      <c r="AC552" s="118"/>
      <c r="AD552" s="118"/>
      <c r="AE552" s="401" t="str">
        <f>IF(ISBLANK(AA607),"",AA607)</f>
        <v/>
      </c>
      <c r="AF552" s="118"/>
      <c r="AG552" s="118"/>
      <c r="AH552" s="118"/>
      <c r="AI552" s="118"/>
      <c r="AJ552" s="401" t="str">
        <f>IF(ISBLANK(AF607),"",AF607)</f>
        <v/>
      </c>
      <c r="AK552" s="118"/>
      <c r="AL552" s="118"/>
      <c r="AM552" s="118"/>
      <c r="AN552" s="118"/>
      <c r="AO552" s="401" t="str">
        <f>IF(ISBLANK(AK607),"",AK607)</f>
        <v/>
      </c>
      <c r="AP552" s="118"/>
      <c r="AQ552" s="118"/>
      <c r="AR552" s="118"/>
      <c r="AS552" s="118"/>
      <c r="AT552" s="401" t="str">
        <f>IF(ISBLANK(AP607),"",AP607)</f>
        <v/>
      </c>
      <c r="AU552" s="118"/>
      <c r="AV552" s="118"/>
      <c r="AW552" s="118"/>
      <c r="AX552" s="118"/>
      <c r="AY552" s="401" t="str">
        <f>IF(ISBLANK(AU607),"",AU607)</f>
        <v/>
      </c>
      <c r="AZ552" s="118"/>
      <c r="BA552" s="118"/>
      <c r="BB552" s="118"/>
      <c r="BC552" s="118"/>
      <c r="BD552" s="401" t="str">
        <f>IF(ISBLANK(AZ607),"",AZ607)</f>
        <v/>
      </c>
      <c r="BE552" s="118"/>
      <c r="BF552" s="118"/>
      <c r="BG552" s="118"/>
      <c r="BH552" s="118"/>
      <c r="BI552" s="401" t="str">
        <f>IF(ISBLANK(BE607),"",BE607)</f>
        <v/>
      </c>
      <c r="BJ552" s="971"/>
      <c r="BK552" s="118"/>
      <c r="BL552" s="118"/>
      <c r="BM552" s="118"/>
      <c r="BN552" s="401" t="str">
        <f>IF(ISBLANK(BJ607),"",BJ607)</f>
        <v/>
      </c>
      <c r="BO552" s="118"/>
      <c r="BP552" s="118"/>
      <c r="BQ552" s="118"/>
      <c r="BR552" s="118"/>
      <c r="BS552" s="401" t="str">
        <f>IF(ISBLANK(BO607),"",BO607)</f>
        <v/>
      </c>
      <c r="BT552" s="401"/>
      <c r="BU552" s="401"/>
      <c r="BV552" s="401"/>
      <c r="BW552" s="118"/>
    </row>
    <row r="553" spans="1:75" hidden="1" outlineLevel="2" x14ac:dyDescent="0.5">
      <c r="A553" s="184" t="s">
        <v>2515</v>
      </c>
      <c r="B553" s="513"/>
      <c r="C553" s="401"/>
      <c r="D553" s="401"/>
      <c r="E553" s="401"/>
      <c r="F553" s="401"/>
      <c r="G553" s="118"/>
      <c r="H553" s="118"/>
      <c r="I553" s="118"/>
      <c r="J553" s="118"/>
      <c r="K553" s="401" t="str">
        <f>IF(ISBLANK(H607),"",H607)</f>
        <v/>
      </c>
      <c r="L553" s="118"/>
      <c r="M553" s="118"/>
      <c r="N553" s="118"/>
      <c r="O553" s="118"/>
      <c r="P553" s="401" t="str">
        <f>IF(ISBLANK(M607),"",M607)</f>
        <v/>
      </c>
      <c r="Q553" s="118"/>
      <c r="R553" s="118"/>
      <c r="S553" s="118"/>
      <c r="T553" s="118"/>
      <c r="U553" s="401" t="str">
        <f>IF(ISBLANK(R607),"",R607)</f>
        <v/>
      </c>
      <c r="V553" s="118"/>
      <c r="W553" s="118"/>
      <c r="X553" s="118"/>
      <c r="Y553" s="118"/>
      <c r="Z553" s="401" t="str">
        <f>IF(ISBLANK(W607),"",W607)</f>
        <v/>
      </c>
      <c r="AA553" s="118"/>
      <c r="AB553" s="118"/>
      <c r="AC553" s="118"/>
      <c r="AD553" s="118"/>
      <c r="AE553" s="401" t="str">
        <f>IF(ISBLANK(AB607),"",AB607)</f>
        <v/>
      </c>
      <c r="AF553" s="118"/>
      <c r="AG553" s="118"/>
      <c r="AH553" s="118"/>
      <c r="AI553" s="118"/>
      <c r="AJ553" s="401" t="str">
        <f>IF(ISBLANK(AG607),"",AG607)</f>
        <v/>
      </c>
      <c r="AK553" s="118"/>
      <c r="AL553" s="118"/>
      <c r="AM553" s="118"/>
      <c r="AN553" s="118"/>
      <c r="AO553" s="401" t="str">
        <f>IF(ISBLANK(AL607),"",AL607)</f>
        <v/>
      </c>
      <c r="AP553" s="118"/>
      <c r="AQ553" s="118"/>
      <c r="AR553" s="118"/>
      <c r="AS553" s="118"/>
      <c r="AT553" s="401" t="str">
        <f>IF(ISBLANK(AQ607),"",AQ607)</f>
        <v/>
      </c>
      <c r="AU553" s="118"/>
      <c r="AV553" s="118"/>
      <c r="AW553" s="118"/>
      <c r="AX553" s="118"/>
      <c r="AY553" s="401" t="str">
        <f>IF(ISBLANK(AV607),"",AV607)</f>
        <v/>
      </c>
      <c r="AZ553" s="118"/>
      <c r="BA553" s="118"/>
      <c r="BB553" s="118"/>
      <c r="BC553" s="118"/>
      <c r="BD553" s="401" t="str">
        <f>IF(ISBLANK(BA607),"",BA607)</f>
        <v/>
      </c>
      <c r="BE553" s="118"/>
      <c r="BF553" s="118"/>
      <c r="BG553" s="118"/>
      <c r="BH553" s="118"/>
      <c r="BI553" s="401" t="str">
        <f>IF(ISBLANK(BF607),"",BF607)</f>
        <v/>
      </c>
      <c r="BJ553" s="971"/>
      <c r="BK553" s="118"/>
      <c r="BL553" s="118"/>
      <c r="BM553" s="118"/>
      <c r="BN553" s="401" t="str">
        <f>IF(ISBLANK(BK607),"",BK607)</f>
        <v/>
      </c>
      <c r="BO553" s="118"/>
      <c r="BP553" s="118"/>
      <c r="BQ553" s="118"/>
      <c r="BR553" s="118"/>
      <c r="BS553" s="401" t="str">
        <f>IF(ISBLANK(BP607),"",BP607)</f>
        <v/>
      </c>
      <c r="BT553" s="401"/>
      <c r="BU553" s="401"/>
      <c r="BV553" s="401"/>
      <c r="BW553" s="118"/>
    </row>
    <row r="554" spans="1:75" hidden="1" outlineLevel="2" x14ac:dyDescent="0.5">
      <c r="A554" s="445" t="s">
        <v>2516</v>
      </c>
      <c r="B554" s="677"/>
      <c r="C554" s="406"/>
      <c r="D554" s="406"/>
      <c r="E554" s="406"/>
      <c r="F554" s="406"/>
      <c r="G554" s="723"/>
      <c r="H554" s="723"/>
      <c r="I554" s="723"/>
      <c r="J554" s="723"/>
      <c r="K554" s="406" t="str">
        <f>IF(ISBLANK(I607),"",I607)</f>
        <v/>
      </c>
      <c r="L554" s="723"/>
      <c r="M554" s="723"/>
      <c r="N554" s="723"/>
      <c r="O554" s="723"/>
      <c r="P554" s="406" t="str">
        <f>IF(ISBLANK(N607),"",N607)</f>
        <v/>
      </c>
      <c r="Q554" s="723"/>
      <c r="R554" s="723"/>
      <c r="S554" s="723"/>
      <c r="T554" s="723"/>
      <c r="U554" s="406" t="str">
        <f>IF(ISBLANK(S607),"",S607)</f>
        <v/>
      </c>
      <c r="V554" s="723"/>
      <c r="W554" s="723"/>
      <c r="X554" s="723"/>
      <c r="Y554" s="723"/>
      <c r="Z554" s="406" t="str">
        <f>IF(ISBLANK(X607),"",X607)</f>
        <v/>
      </c>
      <c r="AA554" s="723"/>
      <c r="AB554" s="723"/>
      <c r="AC554" s="723"/>
      <c r="AD554" s="723"/>
      <c r="AE554" s="406" t="str">
        <f>IF(ISBLANK(AC607),"",AC607)</f>
        <v/>
      </c>
      <c r="AF554" s="723"/>
      <c r="AG554" s="723"/>
      <c r="AH554" s="723"/>
      <c r="AI554" s="723"/>
      <c r="AJ554" s="406" t="str">
        <f>IF(ISBLANK(AH607),"",AH607)</f>
        <v/>
      </c>
      <c r="AK554" s="723"/>
      <c r="AL554" s="723"/>
      <c r="AM554" s="723"/>
      <c r="AN554" s="723"/>
      <c r="AO554" s="406" t="str">
        <f>IF(ISBLANK(AM607),"",AM607)</f>
        <v/>
      </c>
      <c r="AP554" s="723"/>
      <c r="AQ554" s="723"/>
      <c r="AR554" s="723"/>
      <c r="AS554" s="723"/>
      <c r="AT554" s="406" t="str">
        <f>IF(ISBLANK(AR607),"",AR607)</f>
        <v/>
      </c>
      <c r="AU554" s="723"/>
      <c r="AV554" s="723"/>
      <c r="AW554" s="723"/>
      <c r="AX554" s="723"/>
      <c r="AY554" s="406" t="str">
        <f>IF(ISBLANK(AW607),"",AW607)</f>
        <v/>
      </c>
      <c r="AZ554" s="723"/>
      <c r="BA554" s="723"/>
      <c r="BB554" s="723"/>
      <c r="BC554" s="723"/>
      <c r="BD554" s="406" t="str">
        <f>IF(ISBLANK(BB607),"",BB607)</f>
        <v/>
      </c>
      <c r="BE554" s="723"/>
      <c r="BF554" s="723"/>
      <c r="BG554" s="723"/>
      <c r="BH554" s="723"/>
      <c r="BI554" s="406" t="str">
        <f>IF(ISBLANK(BG607),"",BG607)</f>
        <v/>
      </c>
      <c r="BJ554" s="1049"/>
      <c r="BK554" s="723"/>
      <c r="BL554" s="723"/>
      <c r="BM554" s="723"/>
      <c r="BN554" s="406" t="str">
        <f>IF(ISBLANK(BL607),"",BL607)</f>
        <v/>
      </c>
      <c r="BO554" s="723"/>
      <c r="BP554" s="723"/>
      <c r="BQ554" s="723"/>
      <c r="BR554" s="723"/>
      <c r="BS554" s="406" t="str">
        <f>IF(ISBLANK(BQ607),"",BQ607)</f>
        <v/>
      </c>
      <c r="BT554" s="406"/>
      <c r="BU554" s="406"/>
      <c r="BV554" s="406"/>
      <c r="BW554" s="118"/>
    </row>
    <row r="555" spans="1:75" hidden="1" outlineLevel="1" x14ac:dyDescent="0.5">
      <c r="A555" s="752" t="s">
        <v>2517</v>
      </c>
      <c r="B555" s="513"/>
      <c r="C555" s="401"/>
      <c r="D555" s="401"/>
      <c r="E555" s="401"/>
      <c r="F555" s="401"/>
      <c r="G555" s="118" t="str">
        <f t="shared" ref="G555:BR555" si="405">IF(G554="",IF(G553="",IF(G552="",IF(G551="","",G551),G552),G553),G554)</f>
        <v/>
      </c>
      <c r="H555" s="118" t="str">
        <f t="shared" si="405"/>
        <v/>
      </c>
      <c r="I555" s="118" t="str">
        <f t="shared" si="405"/>
        <v/>
      </c>
      <c r="J555" s="118" t="str">
        <f t="shared" si="405"/>
        <v/>
      </c>
      <c r="K555" s="401" t="str">
        <f t="shared" si="405"/>
        <v/>
      </c>
      <c r="L555" s="118" t="str">
        <f t="shared" si="405"/>
        <v/>
      </c>
      <c r="M555" s="118" t="str">
        <f t="shared" si="405"/>
        <v/>
      </c>
      <c r="N555" s="118" t="str">
        <f t="shared" si="405"/>
        <v/>
      </c>
      <c r="O555" s="118" t="str">
        <f t="shared" si="405"/>
        <v/>
      </c>
      <c r="P555" s="401" t="str">
        <f t="shared" si="405"/>
        <v/>
      </c>
      <c r="Q555" s="118" t="str">
        <f t="shared" si="405"/>
        <v/>
      </c>
      <c r="R555" s="118" t="str">
        <f t="shared" si="405"/>
        <v/>
      </c>
      <c r="S555" s="118" t="str">
        <f t="shared" si="405"/>
        <v/>
      </c>
      <c r="T555" s="118" t="str">
        <f t="shared" si="405"/>
        <v/>
      </c>
      <c r="U555" s="401" t="str">
        <f t="shared" si="405"/>
        <v/>
      </c>
      <c r="V555" s="118" t="str">
        <f t="shared" si="405"/>
        <v/>
      </c>
      <c r="W555" s="118" t="str">
        <f t="shared" si="405"/>
        <v/>
      </c>
      <c r="X555" s="118" t="str">
        <f t="shared" si="405"/>
        <v/>
      </c>
      <c r="Y555" s="118" t="str">
        <f t="shared" si="405"/>
        <v/>
      </c>
      <c r="Z555" s="401" t="str">
        <f t="shared" si="405"/>
        <v/>
      </c>
      <c r="AA555" s="118" t="str">
        <f t="shared" si="405"/>
        <v/>
      </c>
      <c r="AB555" s="118" t="str">
        <f t="shared" si="405"/>
        <v/>
      </c>
      <c r="AC555" s="118" t="str">
        <f t="shared" si="405"/>
        <v/>
      </c>
      <c r="AD555" s="118" t="str">
        <f t="shared" si="405"/>
        <v/>
      </c>
      <c r="AE555" s="401" t="str">
        <f t="shared" si="405"/>
        <v/>
      </c>
      <c r="AF555" s="118" t="str">
        <f t="shared" si="405"/>
        <v/>
      </c>
      <c r="AG555" s="118" t="str">
        <f t="shared" si="405"/>
        <v/>
      </c>
      <c r="AH555" s="118" t="str">
        <f t="shared" si="405"/>
        <v/>
      </c>
      <c r="AI555" s="118" t="str">
        <f t="shared" si="405"/>
        <v/>
      </c>
      <c r="AJ555" s="401" t="str">
        <f t="shared" si="405"/>
        <v/>
      </c>
      <c r="AK555" s="118" t="str">
        <f t="shared" si="405"/>
        <v/>
      </c>
      <c r="AL555" s="118" t="str">
        <f t="shared" si="405"/>
        <v/>
      </c>
      <c r="AM555" s="118" t="str">
        <f t="shared" si="405"/>
        <v/>
      </c>
      <c r="AN555" s="118" t="str">
        <f t="shared" si="405"/>
        <v/>
      </c>
      <c r="AO555" s="401" t="str">
        <f t="shared" si="405"/>
        <v/>
      </c>
      <c r="AP555" s="118">
        <f t="shared" si="405"/>
        <v>530.16038539999988</v>
      </c>
      <c r="AQ555" s="118">
        <f t="shared" si="405"/>
        <v>944.33015300000011</v>
      </c>
      <c r="AR555" s="118">
        <f t="shared" si="405"/>
        <v>885.88337975000002</v>
      </c>
      <c r="AS555" s="118" t="str">
        <f t="shared" si="405"/>
        <v/>
      </c>
      <c r="AT555" s="401" t="str">
        <f t="shared" si="405"/>
        <v/>
      </c>
      <c r="AU555" s="118" t="str">
        <f t="shared" si="405"/>
        <v/>
      </c>
      <c r="AV555" s="118" t="str">
        <f t="shared" si="405"/>
        <v/>
      </c>
      <c r="AW555" s="118" t="str">
        <f t="shared" si="405"/>
        <v/>
      </c>
      <c r="AX555" s="118">
        <f t="shared" si="405"/>
        <v>908.53562250000027</v>
      </c>
      <c r="AY555" s="401" t="str">
        <f t="shared" si="405"/>
        <v/>
      </c>
      <c r="AZ555" s="118" t="str">
        <f t="shared" si="405"/>
        <v/>
      </c>
      <c r="BA555" s="118" t="str">
        <f t="shared" si="405"/>
        <v/>
      </c>
      <c r="BB555" s="118">
        <f t="shared" si="405"/>
        <v>772.46804250000014</v>
      </c>
      <c r="BC555" s="118">
        <f t="shared" si="405"/>
        <v>852.61488059999965</v>
      </c>
      <c r="BD555" s="401" t="str">
        <f t="shared" si="405"/>
        <v/>
      </c>
      <c r="BE555" s="118">
        <f t="shared" si="405"/>
        <v>784.76459999999997</v>
      </c>
      <c r="BF555" s="118">
        <f t="shared" si="405"/>
        <v>1051.1262999999999</v>
      </c>
      <c r="BG555" s="118">
        <f t="shared" si="405"/>
        <v>894.59999999999991</v>
      </c>
      <c r="BH555" s="118">
        <f t="shared" si="405"/>
        <v>959.99207500000011</v>
      </c>
      <c r="BI555" s="401" t="str">
        <f t="shared" si="405"/>
        <v/>
      </c>
      <c r="BJ555" s="971">
        <f>IF(BJ554="",IF(BJ553="",IF(BJ552="",IF(BJ551="","",BJ551),BJ552),BJ553),BJ554)</f>
        <v>803.76650000000006</v>
      </c>
      <c r="BK555" s="118">
        <f t="shared" si="405"/>
        <v>981.66232500000001</v>
      </c>
      <c r="BL555" s="118" t="str">
        <f t="shared" si="405"/>
        <v/>
      </c>
      <c r="BM555" s="118" t="str">
        <f t="shared" si="405"/>
        <v/>
      </c>
      <c r="BN555" s="401" t="str">
        <f t="shared" si="405"/>
        <v/>
      </c>
      <c r="BO555" s="118" t="str">
        <f t="shared" si="405"/>
        <v/>
      </c>
      <c r="BP555" s="118" t="str">
        <f t="shared" si="405"/>
        <v/>
      </c>
      <c r="BQ555" s="118" t="str">
        <f t="shared" si="405"/>
        <v/>
      </c>
      <c r="BR555" s="118" t="str">
        <f t="shared" si="405"/>
        <v/>
      </c>
      <c r="BS555" s="401" t="str">
        <f t="shared" ref="BS555:BZ555" si="406">IF(BS554="",IF(BS553="",IF(BS552="",IF(BS551="","",BS551),BS552),BS553),BS554)</f>
        <v/>
      </c>
      <c r="BT555" s="401" t="str">
        <f t="shared" si="406"/>
        <v/>
      </c>
      <c r="BU555" s="401" t="str">
        <f t="shared" si="406"/>
        <v/>
      </c>
      <c r="BV555" s="401" t="str">
        <f t="shared" si="406"/>
        <v/>
      </c>
      <c r="BW555" s="118"/>
    </row>
    <row r="556" spans="1:75" hidden="1" outlineLevel="1" x14ac:dyDescent="0.5">
      <c r="A556" s="1522" t="s">
        <v>2518</v>
      </c>
      <c r="B556" s="677"/>
      <c r="C556" s="406">
        <f t="shared" ref="C556:BN556" si="407">C232</f>
        <v>0</v>
      </c>
      <c r="D556" s="406">
        <f t="shared" si="407"/>
        <v>0</v>
      </c>
      <c r="E556" s="406">
        <f t="shared" si="407"/>
        <v>131.512</v>
      </c>
      <c r="F556" s="406">
        <f t="shared" si="407"/>
        <v>145.149</v>
      </c>
      <c r="G556" s="723">
        <f t="shared" si="407"/>
        <v>44.032999999999987</v>
      </c>
      <c r="H556" s="723">
        <f t="shared" si="407"/>
        <v>50.838000000000022</v>
      </c>
      <c r="I556" s="723">
        <f t="shared" si="407"/>
        <v>58.645999999999987</v>
      </c>
      <c r="J556" s="723">
        <f t="shared" si="407"/>
        <v>70.72399999999999</v>
      </c>
      <c r="K556" s="406">
        <f t="shared" si="407"/>
        <v>224.24099999999999</v>
      </c>
      <c r="L556" s="723">
        <f t="shared" si="407"/>
        <v>65.206999999999994</v>
      </c>
      <c r="M556" s="723">
        <f t="shared" si="407"/>
        <v>68.454000000000008</v>
      </c>
      <c r="N556" s="723">
        <f t="shared" si="407"/>
        <v>79.026999999999987</v>
      </c>
      <c r="O556" s="723">
        <f t="shared" si="407"/>
        <v>98.410000000000025</v>
      </c>
      <c r="P556" s="406">
        <f t="shared" si="407"/>
        <v>311.09800000000007</v>
      </c>
      <c r="Q556" s="723">
        <f t="shared" si="407"/>
        <v>102.83499999999998</v>
      </c>
      <c r="R556" s="723">
        <f t="shared" si="407"/>
        <v>120.80099999999999</v>
      </c>
      <c r="S556" s="723">
        <f t="shared" si="407"/>
        <v>141.38599999999997</v>
      </c>
      <c r="T556" s="723">
        <f t="shared" si="407"/>
        <v>175.702</v>
      </c>
      <c r="U556" s="406">
        <f t="shared" si="407"/>
        <v>540.72400000000016</v>
      </c>
      <c r="V556" s="723">
        <f t="shared" si="407"/>
        <v>179.05599999999993</v>
      </c>
      <c r="W556" s="723">
        <f t="shared" si="407"/>
        <v>188.51400000000001</v>
      </c>
      <c r="X556" s="723">
        <f t="shared" si="407"/>
        <v>201.66099999999994</v>
      </c>
      <c r="Y556" s="723">
        <f t="shared" si="407"/>
        <v>238.57999999999993</v>
      </c>
      <c r="Z556" s="406">
        <f t="shared" si="407"/>
        <v>807.81100000000015</v>
      </c>
      <c r="AA556" s="723">
        <f t="shared" si="407"/>
        <v>236.88300000000004</v>
      </c>
      <c r="AB556" s="723">
        <f t="shared" si="407"/>
        <v>269.46600000000001</v>
      </c>
      <c r="AC556" s="723">
        <f t="shared" si="407"/>
        <v>280.30900000000008</v>
      </c>
      <c r="AD556" s="723">
        <f t="shared" si="407"/>
        <v>332.16500000000042</v>
      </c>
      <c r="AE556" s="406">
        <f t="shared" si="407"/>
        <v>1118.8230000000003</v>
      </c>
      <c r="AF556" s="723">
        <f t="shared" si="407"/>
        <v>323.82400000000007</v>
      </c>
      <c r="AG556" s="723">
        <f t="shared" si="407"/>
        <v>385.00700000000006</v>
      </c>
      <c r="AH556" s="723">
        <f t="shared" si="407"/>
        <v>392.77</v>
      </c>
      <c r="AI556" s="723">
        <f t="shared" si="407"/>
        <v>485.12199999999984</v>
      </c>
      <c r="AJ556" s="406">
        <f t="shared" si="407"/>
        <v>1586.723</v>
      </c>
      <c r="AK556" s="723">
        <f t="shared" si="407"/>
        <v>470.4559999999999</v>
      </c>
      <c r="AL556" s="723">
        <f t="shared" si="407"/>
        <v>559.60000000000014</v>
      </c>
      <c r="AM556" s="723">
        <f t="shared" si="407"/>
        <v>539.92100000000005</v>
      </c>
      <c r="AN556" s="723">
        <f t="shared" si="407"/>
        <v>577.35500000000047</v>
      </c>
      <c r="AO556" s="406">
        <f t="shared" si="407"/>
        <v>2147.3320000000003</v>
      </c>
      <c r="AP556" s="723">
        <f t="shared" si="407"/>
        <v>579.12300000000005</v>
      </c>
      <c r="AQ556" s="723">
        <f t="shared" si="407"/>
        <v>1321.0299999999997</v>
      </c>
      <c r="AR556" s="723">
        <f t="shared" si="407"/>
        <v>1147.4280000000003</v>
      </c>
      <c r="AS556" s="723">
        <f t="shared" si="407"/>
        <v>1064.5900000000001</v>
      </c>
      <c r="AT556" s="406">
        <f t="shared" si="407"/>
        <v>4112.1710000000003</v>
      </c>
      <c r="AU556" s="723">
        <f t="shared" si="407"/>
        <v>1003.027</v>
      </c>
      <c r="AV556" s="723">
        <f t="shared" si="407"/>
        <v>1128.0600000000004</v>
      </c>
      <c r="AW556" s="723">
        <f t="shared" si="407"/>
        <v>882.72800000000007</v>
      </c>
      <c r="AX556" s="723">
        <f t="shared" si="407"/>
        <v>881.18499999999949</v>
      </c>
      <c r="AY556" s="406">
        <f t="shared" si="407"/>
        <v>3895</v>
      </c>
      <c r="AZ556" s="723">
        <f t="shared" si="407"/>
        <v>803</v>
      </c>
      <c r="BA556" s="723">
        <f t="shared" si="407"/>
        <v>896</v>
      </c>
      <c r="BB556" s="723">
        <f t="shared" si="407"/>
        <v>824</v>
      </c>
      <c r="BC556" s="723">
        <f t="shared" si="407"/>
        <v>893</v>
      </c>
      <c r="BD556" s="406">
        <f t="shared" si="407"/>
        <v>3416</v>
      </c>
      <c r="BE556" s="723">
        <f t="shared" si="407"/>
        <v>821</v>
      </c>
      <c r="BF556" s="723">
        <f t="shared" si="407"/>
        <v>985</v>
      </c>
      <c r="BG556" s="723">
        <f t="shared" si="407"/>
        <v>917</v>
      </c>
      <c r="BH556" s="723">
        <f t="shared" si="407"/>
        <v>944</v>
      </c>
      <c r="BI556" s="406">
        <f t="shared" si="407"/>
        <v>3667</v>
      </c>
      <c r="BJ556" s="1049">
        <f t="shared" si="407"/>
        <v>819</v>
      </c>
      <c r="BK556" s="723">
        <f t="shared" si="407"/>
        <v>983.43698131500003</v>
      </c>
      <c r="BL556" s="723">
        <f t="shared" si="407"/>
        <v>936.49782933600034</v>
      </c>
      <c r="BM556" s="723">
        <f t="shared" si="407"/>
        <v>964.24101231600002</v>
      </c>
      <c r="BN556" s="406">
        <f t="shared" si="407"/>
        <v>3703.1758229669995</v>
      </c>
      <c r="BO556" s="723">
        <f t="shared" ref="BO556:BV556" si="408">BO232</f>
        <v>874.83733054800007</v>
      </c>
      <c r="BP556" s="723">
        <f t="shared" si="408"/>
        <v>1050.3596561888492</v>
      </c>
      <c r="BQ556" s="723">
        <f t="shared" si="408"/>
        <v>1000.0633940139176</v>
      </c>
      <c r="BR556" s="723">
        <f t="shared" si="408"/>
        <v>1029.8679483373553</v>
      </c>
      <c r="BS556" s="406">
        <f t="shared" si="408"/>
        <v>3955.128329088122</v>
      </c>
      <c r="BT556" s="406">
        <f t="shared" si="408"/>
        <v>4265.4572125182094</v>
      </c>
      <c r="BU556" s="406">
        <f t="shared" si="408"/>
        <v>4599.944016827797</v>
      </c>
      <c r="BV556" s="406">
        <f t="shared" si="408"/>
        <v>4960.4568812925008</v>
      </c>
      <c r="BW556" s="118"/>
    </row>
    <row r="557" spans="1:75" hidden="1" outlineLevel="1" x14ac:dyDescent="0.5">
      <c r="A557" s="879" t="s">
        <v>2519</v>
      </c>
      <c r="B557" s="880"/>
      <c r="C557" s="1250"/>
      <c r="D557" s="1250"/>
      <c r="E557" s="1250"/>
      <c r="F557" s="1250"/>
      <c r="G557" s="321" t="str">
        <f t="shared" ref="G557:BR557" si="409">IFERROR(G556-G555,"")</f>
        <v/>
      </c>
      <c r="H557" s="321" t="str">
        <f t="shared" si="409"/>
        <v/>
      </c>
      <c r="I557" s="321" t="str">
        <f t="shared" si="409"/>
        <v/>
      </c>
      <c r="J557" s="321" t="str">
        <f t="shared" si="409"/>
        <v/>
      </c>
      <c r="K557" s="1250" t="str">
        <f t="shared" si="409"/>
        <v/>
      </c>
      <c r="L557" s="321" t="str">
        <f t="shared" si="409"/>
        <v/>
      </c>
      <c r="M557" s="321" t="str">
        <f t="shared" si="409"/>
        <v/>
      </c>
      <c r="N557" s="321" t="str">
        <f t="shared" si="409"/>
        <v/>
      </c>
      <c r="O557" s="321" t="str">
        <f t="shared" si="409"/>
        <v/>
      </c>
      <c r="P557" s="1250" t="str">
        <f t="shared" si="409"/>
        <v/>
      </c>
      <c r="Q557" s="321" t="str">
        <f t="shared" si="409"/>
        <v/>
      </c>
      <c r="R557" s="321" t="str">
        <f t="shared" si="409"/>
        <v/>
      </c>
      <c r="S557" s="321" t="str">
        <f t="shared" si="409"/>
        <v/>
      </c>
      <c r="T557" s="321" t="str">
        <f t="shared" si="409"/>
        <v/>
      </c>
      <c r="U557" s="1250" t="str">
        <f t="shared" si="409"/>
        <v/>
      </c>
      <c r="V557" s="321" t="str">
        <f t="shared" si="409"/>
        <v/>
      </c>
      <c r="W557" s="321" t="str">
        <f t="shared" si="409"/>
        <v/>
      </c>
      <c r="X557" s="321" t="str">
        <f t="shared" si="409"/>
        <v/>
      </c>
      <c r="Y557" s="321" t="str">
        <f t="shared" si="409"/>
        <v/>
      </c>
      <c r="Z557" s="1250" t="str">
        <f t="shared" si="409"/>
        <v/>
      </c>
      <c r="AA557" s="321" t="str">
        <f t="shared" si="409"/>
        <v/>
      </c>
      <c r="AB557" s="321" t="str">
        <f t="shared" si="409"/>
        <v/>
      </c>
      <c r="AC557" s="321" t="str">
        <f t="shared" si="409"/>
        <v/>
      </c>
      <c r="AD557" s="321" t="str">
        <f t="shared" si="409"/>
        <v/>
      </c>
      <c r="AE557" s="1250" t="str">
        <f t="shared" si="409"/>
        <v/>
      </c>
      <c r="AF557" s="321" t="str">
        <f t="shared" si="409"/>
        <v/>
      </c>
      <c r="AG557" s="321" t="str">
        <f t="shared" si="409"/>
        <v/>
      </c>
      <c r="AH557" s="321" t="str">
        <f t="shared" si="409"/>
        <v/>
      </c>
      <c r="AI557" s="321" t="str">
        <f t="shared" si="409"/>
        <v/>
      </c>
      <c r="AJ557" s="1250" t="str">
        <f t="shared" si="409"/>
        <v/>
      </c>
      <c r="AK557" s="321" t="str">
        <f t="shared" si="409"/>
        <v/>
      </c>
      <c r="AL557" s="321" t="str">
        <f t="shared" si="409"/>
        <v/>
      </c>
      <c r="AM557" s="321" t="str">
        <f t="shared" si="409"/>
        <v/>
      </c>
      <c r="AN557" s="321" t="str">
        <f t="shared" si="409"/>
        <v/>
      </c>
      <c r="AO557" s="1250" t="str">
        <f t="shared" si="409"/>
        <v/>
      </c>
      <c r="AP557" s="321">
        <f t="shared" si="409"/>
        <v>48.962614600000165</v>
      </c>
      <c r="AQ557" s="321">
        <f t="shared" si="409"/>
        <v>376.69984699999964</v>
      </c>
      <c r="AR557" s="321">
        <f t="shared" si="409"/>
        <v>261.54462025000032</v>
      </c>
      <c r="AS557" s="321" t="str">
        <f t="shared" si="409"/>
        <v/>
      </c>
      <c r="AT557" s="1250" t="str">
        <f t="shared" si="409"/>
        <v/>
      </c>
      <c r="AU557" s="321" t="str">
        <f t="shared" si="409"/>
        <v/>
      </c>
      <c r="AV557" s="321" t="str">
        <f t="shared" si="409"/>
        <v/>
      </c>
      <c r="AW557" s="321" t="str">
        <f t="shared" si="409"/>
        <v/>
      </c>
      <c r="AX557" s="321">
        <f t="shared" si="409"/>
        <v>-27.350622500000782</v>
      </c>
      <c r="AY557" s="1250" t="str">
        <f t="shared" si="409"/>
        <v/>
      </c>
      <c r="AZ557" s="321" t="str">
        <f t="shared" si="409"/>
        <v/>
      </c>
      <c r="BA557" s="321" t="str">
        <f t="shared" si="409"/>
        <v/>
      </c>
      <c r="BB557" s="321">
        <f t="shared" si="409"/>
        <v>51.531957499999862</v>
      </c>
      <c r="BC557" s="321">
        <f t="shared" si="409"/>
        <v>40.385119400000349</v>
      </c>
      <c r="BD557" s="1250" t="str">
        <f t="shared" si="409"/>
        <v/>
      </c>
      <c r="BE557" s="321">
        <f t="shared" si="409"/>
        <v>36.235400000000027</v>
      </c>
      <c r="BF557" s="321">
        <f t="shared" si="409"/>
        <v>-66.126299999999901</v>
      </c>
      <c r="BG557" s="321">
        <f t="shared" si="409"/>
        <v>22.400000000000091</v>
      </c>
      <c r="BH557" s="321">
        <f t="shared" si="409"/>
        <v>-15.992075000000114</v>
      </c>
      <c r="BI557" s="1250" t="str">
        <f t="shared" si="409"/>
        <v/>
      </c>
      <c r="BJ557" s="1251">
        <f>IFERROR(BJ556-BJ555,"")</f>
        <v>15.233499999999935</v>
      </c>
      <c r="BK557" s="321">
        <f t="shared" si="409"/>
        <v>1.7746563150000156</v>
      </c>
      <c r="BL557" s="321" t="str">
        <f t="shared" si="409"/>
        <v/>
      </c>
      <c r="BM557" s="321" t="str">
        <f t="shared" si="409"/>
        <v/>
      </c>
      <c r="BN557" s="1250" t="str">
        <f t="shared" si="409"/>
        <v/>
      </c>
      <c r="BO557" s="321" t="str">
        <f t="shared" si="409"/>
        <v/>
      </c>
      <c r="BP557" s="321" t="str">
        <f t="shared" si="409"/>
        <v/>
      </c>
      <c r="BQ557" s="321" t="str">
        <f t="shared" si="409"/>
        <v/>
      </c>
      <c r="BR557" s="321" t="str">
        <f t="shared" si="409"/>
        <v/>
      </c>
      <c r="BS557" s="1250" t="str">
        <f t="shared" ref="BS557:BZ557" si="410">IFERROR(BS556-BS555,"")</f>
        <v/>
      </c>
      <c r="BT557" s="1250" t="str">
        <f t="shared" si="410"/>
        <v/>
      </c>
      <c r="BU557" s="1250" t="str">
        <f t="shared" si="410"/>
        <v/>
      </c>
      <c r="BV557" s="1250" t="str">
        <f t="shared" si="410"/>
        <v/>
      </c>
      <c r="BW557" s="118"/>
    </row>
    <row r="558" spans="1:75" hidden="1" outlineLevel="1" x14ac:dyDescent="0.5">
      <c r="A558" s="1136" t="s">
        <v>2520</v>
      </c>
      <c r="B558" s="1523"/>
      <c r="C558" s="1138"/>
      <c r="D558" s="1138"/>
      <c r="E558" s="1138"/>
      <c r="F558" s="1138"/>
      <c r="G558" s="1139" t="str">
        <f t="shared" ref="G558:BR558" si="411">IFERROR(G557/ABS(G555),"")</f>
        <v/>
      </c>
      <c r="H558" s="1139" t="str">
        <f t="shared" si="411"/>
        <v/>
      </c>
      <c r="I558" s="1139" t="str">
        <f t="shared" si="411"/>
        <v/>
      </c>
      <c r="J558" s="1139" t="str">
        <f t="shared" si="411"/>
        <v/>
      </c>
      <c r="K558" s="1138" t="str">
        <f t="shared" si="411"/>
        <v/>
      </c>
      <c r="L558" s="1139" t="str">
        <f t="shared" si="411"/>
        <v/>
      </c>
      <c r="M558" s="1139" t="str">
        <f t="shared" si="411"/>
        <v/>
      </c>
      <c r="N558" s="1139" t="str">
        <f t="shared" si="411"/>
        <v/>
      </c>
      <c r="O558" s="1139" t="str">
        <f t="shared" si="411"/>
        <v/>
      </c>
      <c r="P558" s="1138" t="str">
        <f t="shared" si="411"/>
        <v/>
      </c>
      <c r="Q558" s="1139" t="str">
        <f t="shared" si="411"/>
        <v/>
      </c>
      <c r="R558" s="1139" t="str">
        <f t="shared" si="411"/>
        <v/>
      </c>
      <c r="S558" s="1139" t="str">
        <f t="shared" si="411"/>
        <v/>
      </c>
      <c r="T558" s="1139" t="str">
        <f t="shared" si="411"/>
        <v/>
      </c>
      <c r="U558" s="1138" t="str">
        <f t="shared" si="411"/>
        <v/>
      </c>
      <c r="V558" s="1139" t="str">
        <f t="shared" si="411"/>
        <v/>
      </c>
      <c r="W558" s="1139" t="str">
        <f t="shared" si="411"/>
        <v/>
      </c>
      <c r="X558" s="1139" t="str">
        <f t="shared" si="411"/>
        <v/>
      </c>
      <c r="Y558" s="1139" t="str">
        <f t="shared" si="411"/>
        <v/>
      </c>
      <c r="Z558" s="1138" t="str">
        <f t="shared" si="411"/>
        <v/>
      </c>
      <c r="AA558" s="1139" t="str">
        <f t="shared" si="411"/>
        <v/>
      </c>
      <c r="AB558" s="1139" t="str">
        <f t="shared" si="411"/>
        <v/>
      </c>
      <c r="AC558" s="1139" t="str">
        <f t="shared" si="411"/>
        <v/>
      </c>
      <c r="AD558" s="1139" t="str">
        <f t="shared" si="411"/>
        <v/>
      </c>
      <c r="AE558" s="1138" t="str">
        <f t="shared" si="411"/>
        <v/>
      </c>
      <c r="AF558" s="1139" t="str">
        <f t="shared" si="411"/>
        <v/>
      </c>
      <c r="AG558" s="1139" t="str">
        <f t="shared" si="411"/>
        <v/>
      </c>
      <c r="AH558" s="1139" t="str">
        <f t="shared" si="411"/>
        <v/>
      </c>
      <c r="AI558" s="1139" t="str">
        <f t="shared" si="411"/>
        <v/>
      </c>
      <c r="AJ558" s="1138" t="str">
        <f t="shared" si="411"/>
        <v/>
      </c>
      <c r="AK558" s="1139" t="str">
        <f t="shared" si="411"/>
        <v/>
      </c>
      <c r="AL558" s="1139" t="str">
        <f t="shared" si="411"/>
        <v/>
      </c>
      <c r="AM558" s="1139" t="str">
        <f t="shared" si="411"/>
        <v/>
      </c>
      <c r="AN558" s="1139" t="str">
        <f t="shared" si="411"/>
        <v/>
      </c>
      <c r="AO558" s="1138" t="str">
        <f t="shared" si="411"/>
        <v/>
      </c>
      <c r="AP558" s="1139">
        <f t="shared" si="411"/>
        <v>9.2354343984148185E-2</v>
      </c>
      <c r="AQ558" s="1139">
        <f t="shared" si="411"/>
        <v>0.3989069350409693</v>
      </c>
      <c r="AR558" s="1139">
        <f t="shared" si="411"/>
        <v>0.29523594891667265</v>
      </c>
      <c r="AS558" s="1139" t="str">
        <f t="shared" si="411"/>
        <v/>
      </c>
      <c r="AT558" s="1138" t="str">
        <f t="shared" si="411"/>
        <v/>
      </c>
      <c r="AU558" s="1139" t="str">
        <f t="shared" si="411"/>
        <v/>
      </c>
      <c r="AV558" s="1139" t="str">
        <f t="shared" si="411"/>
        <v/>
      </c>
      <c r="AW558" s="1139" t="str">
        <f t="shared" si="411"/>
        <v/>
      </c>
      <c r="AX558" s="1139">
        <f t="shared" si="411"/>
        <v>-3.0104072776739994E-2</v>
      </c>
      <c r="AY558" s="1138" t="str">
        <f t="shared" si="411"/>
        <v/>
      </c>
      <c r="AZ558" s="1139" t="str">
        <f t="shared" si="411"/>
        <v/>
      </c>
      <c r="BA558" s="1139" t="str">
        <f t="shared" si="411"/>
        <v/>
      </c>
      <c r="BB558" s="1139">
        <f t="shared" si="411"/>
        <v>6.6710795353064525E-2</v>
      </c>
      <c r="BC558" s="1139">
        <f t="shared" si="411"/>
        <v>4.7366191136120742E-2</v>
      </c>
      <c r="BD558" s="1138" t="str">
        <f t="shared" si="411"/>
        <v/>
      </c>
      <c r="BE558" s="1139">
        <f t="shared" si="411"/>
        <v>4.6173591418369318E-2</v>
      </c>
      <c r="BF558" s="1139">
        <f t="shared" si="411"/>
        <v>-6.29099471680995E-2</v>
      </c>
      <c r="BG558" s="1139">
        <f t="shared" si="411"/>
        <v>2.5039123630673031E-2</v>
      </c>
      <c r="BH558" s="1139">
        <f t="shared" si="411"/>
        <v>-1.6658548978125794E-2</v>
      </c>
      <c r="BI558" s="1138" t="str">
        <f t="shared" si="411"/>
        <v/>
      </c>
      <c r="BJ558" s="1140">
        <f>IFERROR(BJ557/ABS(BJ555),"")</f>
        <v>1.8952643584921658E-2</v>
      </c>
      <c r="BK558" s="1139">
        <f t="shared" si="411"/>
        <v>1.8078072976876398E-3</v>
      </c>
      <c r="BL558" s="1139" t="str">
        <f t="shared" si="411"/>
        <v/>
      </c>
      <c r="BM558" s="1139" t="str">
        <f t="shared" si="411"/>
        <v/>
      </c>
      <c r="BN558" s="1138" t="str">
        <f t="shared" si="411"/>
        <v/>
      </c>
      <c r="BO558" s="1139" t="str">
        <f t="shared" si="411"/>
        <v/>
      </c>
      <c r="BP558" s="1139" t="str">
        <f t="shared" si="411"/>
        <v/>
      </c>
      <c r="BQ558" s="1139" t="str">
        <f t="shared" si="411"/>
        <v/>
      </c>
      <c r="BR558" s="1139" t="str">
        <f t="shared" si="411"/>
        <v/>
      </c>
      <c r="BS558" s="1138" t="str">
        <f t="shared" ref="BS558:BZ558" si="412">IFERROR(BS557/ABS(BS555),"")</f>
        <v/>
      </c>
      <c r="BT558" s="1138" t="str">
        <f t="shared" si="412"/>
        <v/>
      </c>
      <c r="BU558" s="1138" t="str">
        <f t="shared" si="412"/>
        <v/>
      </c>
      <c r="BV558" s="1138" t="str">
        <f t="shared" si="412"/>
        <v/>
      </c>
      <c r="BW558" s="118"/>
    </row>
    <row r="559" spans="1:75" hidden="1" outlineLevel="1" x14ac:dyDescent="0.5">
      <c r="A559" s="1524"/>
      <c r="B559" s="513"/>
      <c r="C559" s="401"/>
      <c r="D559" s="401"/>
      <c r="E559" s="401"/>
      <c r="F559" s="401"/>
      <c r="G559" s="118"/>
      <c r="H559" s="118"/>
      <c r="I559" s="118"/>
      <c r="J559" s="118"/>
      <c r="K559" s="401"/>
      <c r="L559" s="118"/>
      <c r="M559" s="118"/>
      <c r="N559" s="118"/>
      <c r="O559" s="118"/>
      <c r="P559" s="401"/>
      <c r="Q559" s="118"/>
      <c r="R559" s="118"/>
      <c r="S559" s="118"/>
      <c r="T559" s="118"/>
      <c r="U559" s="401"/>
      <c r="V559" s="118"/>
      <c r="W559" s="118"/>
      <c r="X559" s="118"/>
      <c r="Y559" s="118"/>
      <c r="Z559" s="401"/>
      <c r="AA559" s="118"/>
      <c r="AB559" s="118"/>
      <c r="AC559" s="118"/>
      <c r="AD559" s="118"/>
      <c r="AE559" s="401"/>
      <c r="AF559" s="118"/>
      <c r="AG559" s="118"/>
      <c r="AH559" s="118"/>
      <c r="AI559" s="118"/>
      <c r="AJ559" s="401"/>
      <c r="AK559" s="118"/>
      <c r="AL559" s="118"/>
      <c r="AM559" s="118"/>
      <c r="AN559" s="118"/>
      <c r="AO559" s="401"/>
      <c r="AP559" s="118"/>
      <c r="AQ559" s="118"/>
      <c r="AR559" s="118"/>
      <c r="AS559" s="118"/>
      <c r="AT559" s="401"/>
      <c r="AU559" s="118"/>
      <c r="AV559" s="118"/>
      <c r="AW559" s="118"/>
      <c r="AX559" s="118"/>
      <c r="AY559" s="401"/>
      <c r="AZ559" s="118"/>
      <c r="BA559" s="118"/>
      <c r="BB559" s="118"/>
      <c r="BC559" s="118"/>
      <c r="BD559" s="401"/>
      <c r="BE559" s="118"/>
      <c r="BF559" s="118"/>
      <c r="BG559" s="118"/>
      <c r="BH559" s="118"/>
      <c r="BI559" s="401"/>
      <c r="BJ559" s="971"/>
      <c r="BK559" s="118"/>
      <c r="BL559" s="118"/>
      <c r="BM559" s="118"/>
      <c r="BN559" s="401"/>
      <c r="BO559" s="118"/>
      <c r="BP559" s="118"/>
      <c r="BQ559" s="118"/>
      <c r="BR559" s="118"/>
      <c r="BS559" s="401"/>
      <c r="BT559" s="401"/>
      <c r="BU559" s="401"/>
      <c r="BV559" s="401"/>
      <c r="BW559" s="118"/>
    </row>
    <row r="560" spans="1:75" hidden="1" outlineLevel="1" x14ac:dyDescent="0.5">
      <c r="A560" s="170" t="s">
        <v>2521</v>
      </c>
      <c r="B560" s="720"/>
      <c r="C560" s="417"/>
      <c r="D560" s="417"/>
      <c r="E560" s="417"/>
      <c r="F560" s="417"/>
      <c r="G560" s="378"/>
      <c r="H560" s="378" t="str">
        <f>IF(H555="","",H555/G556-1)</f>
        <v/>
      </c>
      <c r="I560" s="378" t="str">
        <f>IF(I555="","",I555/H556-1)</f>
        <v/>
      </c>
      <c r="J560" s="378" t="str">
        <f>IF(J555="","",J555/I556-1)</f>
        <v/>
      </c>
      <c r="K560" s="417"/>
      <c r="L560" s="378" t="str">
        <f>IF(L555="","",L555/J556-1)</f>
        <v/>
      </c>
      <c r="M560" s="378" t="str">
        <f>IF(M555="","",M555/L556-1)</f>
        <v/>
      </c>
      <c r="N560" s="378" t="str">
        <f>IF(N555="","",N555/M556-1)</f>
        <v/>
      </c>
      <c r="O560" s="378" t="str">
        <f>IF(O555="","",O555/N556-1)</f>
        <v/>
      </c>
      <c r="P560" s="417"/>
      <c r="Q560" s="378" t="str">
        <f>IF(Q555="","",Q555/O556-1)</f>
        <v/>
      </c>
      <c r="R560" s="378" t="str">
        <f>IF(R555="","",R555/Q556-1)</f>
        <v/>
      </c>
      <c r="S560" s="378" t="str">
        <f>IF(S555="","",S555/R556-1)</f>
        <v/>
      </c>
      <c r="T560" s="378" t="str">
        <f>IF(T555="","",T555/S556-1)</f>
        <v/>
      </c>
      <c r="U560" s="417"/>
      <c r="V560" s="378" t="str">
        <f>IF(V555="","",V555/T556-1)</f>
        <v/>
      </c>
      <c r="W560" s="378" t="str">
        <f>IF(W555="","",W555/V556-1)</f>
        <v/>
      </c>
      <c r="X560" s="378" t="str">
        <f>IF(X555="","",X555/W556-1)</f>
        <v/>
      </c>
      <c r="Y560" s="378" t="str">
        <f>IF(Y555="","",Y555/X556-1)</f>
        <v/>
      </c>
      <c r="Z560" s="417"/>
      <c r="AA560" s="378" t="str">
        <f>IF(AA555="","",AA555/Y556-1)</f>
        <v/>
      </c>
      <c r="AB560" s="378" t="str">
        <f>IF(AB555="","",AB555/AA556-1)</f>
        <v/>
      </c>
      <c r="AC560" s="378" t="str">
        <f>IF(AC555="","",AC555/AB556-1)</f>
        <v/>
      </c>
      <c r="AD560" s="378" t="str">
        <f>IF(AD555="","",AD555/AC556-1)</f>
        <v/>
      </c>
      <c r="AE560" s="417"/>
      <c r="AF560" s="378" t="str">
        <f>IF(AF555="","",AF555/AD556-1)</f>
        <v/>
      </c>
      <c r="AG560" s="378" t="str">
        <f>IF(AG555="","",AG555/AF556-1)</f>
        <v/>
      </c>
      <c r="AH560" s="378" t="str">
        <f>IF(AH555="","",AH555/AG556-1)</f>
        <v/>
      </c>
      <c r="AI560" s="378" t="str">
        <f>IF(AI555="","",AI555/AH556-1)</f>
        <v/>
      </c>
      <c r="AJ560" s="417"/>
      <c r="AK560" s="378" t="str">
        <f>IF(AK555="","",AK555/AI556-1)</f>
        <v/>
      </c>
      <c r="AL560" s="378" t="str">
        <f>IF(AL555="","",AL555/AK556-1)</f>
        <v/>
      </c>
      <c r="AM560" s="378" t="str">
        <f>IF(AM555="","",AM555/AL556-1)</f>
        <v/>
      </c>
      <c r="AN560" s="378" t="str">
        <f>IF(AN555="","",AN555/AM556-1)</f>
        <v/>
      </c>
      <c r="AO560" s="417"/>
      <c r="AP560" s="378">
        <f>IF(AP555="","",AP555/AN556-1)</f>
        <v>-8.1742800530004156E-2</v>
      </c>
      <c r="AQ560" s="378">
        <f>IF(AQ555="","",AQ555/AP556-1)</f>
        <v>0.63062104768762417</v>
      </c>
      <c r="AR560" s="378">
        <f>IF(AR555="","",AR555/AQ556-1)</f>
        <v>-0.32939949906512334</v>
      </c>
      <c r="AS560" s="378" t="str">
        <f>IF(AS555="","",AS555/AR556-1)</f>
        <v/>
      </c>
      <c r="AT560" s="417"/>
      <c r="AU560" s="378" t="str">
        <f>IF(AU555="","",AU555/AS556-1)</f>
        <v/>
      </c>
      <c r="AV560" s="378" t="str">
        <f>IF(AV555="","",AV555/AU556-1)</f>
        <v/>
      </c>
      <c r="AW560" s="378" t="str">
        <f>IF(AW555="","",AW555/AV556-1)</f>
        <v/>
      </c>
      <c r="AX560" s="378">
        <f>IF(AX555="","",AX555/AW556-1)</f>
        <v>2.9236211494367614E-2</v>
      </c>
      <c r="AY560" s="417"/>
      <c r="AZ560" s="378" t="str">
        <f>IF(AZ555="","",AZ555/AX556-1)</f>
        <v/>
      </c>
      <c r="BA560" s="378" t="str">
        <f>IF(BA555="","",BA555/AZ556-1)</f>
        <v/>
      </c>
      <c r="BB560" s="378">
        <f>IF(BB555="","",BB555/BA556-1)</f>
        <v>-0.13787048828124981</v>
      </c>
      <c r="BC560" s="378">
        <f>IF(BC555="","",BC555/BB556-1)</f>
        <v>3.4726796844659846E-2</v>
      </c>
      <c r="BD560" s="417"/>
      <c r="BE560" s="378">
        <f>IF(BE555="","",BE555/BC556-1)</f>
        <v>-0.12120425531914891</v>
      </c>
      <c r="BF560" s="378">
        <f>IF(BF555="","",BF555/BE556-1)</f>
        <v>0.28029999999999977</v>
      </c>
      <c r="BG560" s="378">
        <f>IF(BG555="","",BG555/BF556-1)</f>
        <v>-9.177664974619304E-2</v>
      </c>
      <c r="BH560" s="378">
        <f>IF(BH555="","",BH555/BG556-1)</f>
        <v>4.6883396946564959E-2</v>
      </c>
      <c r="BI560" s="417"/>
      <c r="BJ560" s="1130">
        <f>IF(BJ555="","",BJ555/BH556-1)</f>
        <v>-0.14855243644067795</v>
      </c>
      <c r="BK560" s="378">
        <f>IF(BK555="","",BK555/BJ556-1)</f>
        <v>0.19861089743589755</v>
      </c>
      <c r="BL560" s="378" t="str">
        <f>IF(BL555="","",BL555/BK556-1)</f>
        <v/>
      </c>
      <c r="BM560" s="378" t="str">
        <f>IF(BM555="","",BM555/BL556-1)</f>
        <v/>
      </c>
      <c r="BN560" s="417"/>
      <c r="BO560" s="378" t="str">
        <f>IF(BO555="","",BO555/BM556-1)</f>
        <v/>
      </c>
      <c r="BP560" s="378" t="str">
        <f>IF(BP555="","",BP555/BO556-1)</f>
        <v/>
      </c>
      <c r="BQ560" s="378" t="str">
        <f>IF(BQ555="","",BQ555/BP556-1)</f>
        <v/>
      </c>
      <c r="BR560" s="378" t="str">
        <f>IF(BR555="","",BR555/BQ556-1)</f>
        <v/>
      </c>
      <c r="BS560" s="417"/>
      <c r="BT560" s="417"/>
      <c r="BU560" s="417"/>
      <c r="BV560" s="417"/>
      <c r="BW560" s="118"/>
    </row>
    <row r="561" spans="1:75" hidden="1" outlineLevel="1" x14ac:dyDescent="0.5">
      <c r="A561" s="1192" t="s">
        <v>2522</v>
      </c>
      <c r="B561" s="769"/>
      <c r="C561" s="770"/>
      <c r="D561" s="770"/>
      <c r="E561" s="770"/>
      <c r="F561" s="770"/>
      <c r="G561" s="771"/>
      <c r="H561" s="771" t="str">
        <f>IF(H557="","",H557/G556)</f>
        <v/>
      </c>
      <c r="I561" s="771" t="str">
        <f>IF(I557="","",I557/H556)</f>
        <v/>
      </c>
      <c r="J561" s="771" t="str">
        <f>IF(J557="","",J557/I556)</f>
        <v/>
      </c>
      <c r="K561" s="770"/>
      <c r="L561" s="771" t="str">
        <f>IF(L557="","",L557/J556)</f>
        <v/>
      </c>
      <c r="M561" s="771" t="str">
        <f>IF(M557="","",M557/L556)</f>
        <v/>
      </c>
      <c r="N561" s="771" t="str">
        <f>IF(N557="","",N557/M556)</f>
        <v/>
      </c>
      <c r="O561" s="771" t="str">
        <f>IF(O557="","",O557/N556)</f>
        <v/>
      </c>
      <c r="P561" s="770"/>
      <c r="Q561" s="771" t="str">
        <f>IF(Q557="","",Q557/O556)</f>
        <v/>
      </c>
      <c r="R561" s="771" t="str">
        <f>IF(R557="","",R557/Q556)</f>
        <v/>
      </c>
      <c r="S561" s="771" t="str">
        <f>IF(S557="","",S557/R556)</f>
        <v/>
      </c>
      <c r="T561" s="771" t="str">
        <f>IF(T557="","",T557/S556)</f>
        <v/>
      </c>
      <c r="U561" s="770"/>
      <c r="V561" s="771" t="str">
        <f>IF(V557="","",V557/T556)</f>
        <v/>
      </c>
      <c r="W561" s="771" t="str">
        <f>IF(W557="","",W557/V556)</f>
        <v/>
      </c>
      <c r="X561" s="771" t="str">
        <f>IF(X557="","",X557/W556)</f>
        <v/>
      </c>
      <c r="Y561" s="771" t="str">
        <f>IF(Y557="","",Y557/X556)</f>
        <v/>
      </c>
      <c r="Z561" s="770"/>
      <c r="AA561" s="771" t="str">
        <f>IF(AA557="","",AA557/Y556)</f>
        <v/>
      </c>
      <c r="AB561" s="771" t="str">
        <f>IF(AB557="","",AB557/AA556)</f>
        <v/>
      </c>
      <c r="AC561" s="771" t="str">
        <f>IF(AC557="","",AC557/AB556)</f>
        <v/>
      </c>
      <c r="AD561" s="771" t="str">
        <f>IF(AD557="","",AD557/AC556)</f>
        <v/>
      </c>
      <c r="AE561" s="770"/>
      <c r="AF561" s="771" t="str">
        <f>IF(AF557="","",AF557/AD556)</f>
        <v/>
      </c>
      <c r="AG561" s="771" t="str">
        <f>IF(AG557="","",AG557/AF556)</f>
        <v/>
      </c>
      <c r="AH561" s="771" t="str">
        <f>IF(AH557="","",AH557/AG556)</f>
        <v/>
      </c>
      <c r="AI561" s="771" t="str">
        <f>IF(AI557="","",AI557/AH556)</f>
        <v/>
      </c>
      <c r="AJ561" s="770"/>
      <c r="AK561" s="771" t="str">
        <f>IF(AK557="","",AK557/AI556)</f>
        <v/>
      </c>
      <c r="AL561" s="771" t="str">
        <f>IF(AL557="","",AL557/AK556)</f>
        <v/>
      </c>
      <c r="AM561" s="771" t="str">
        <f>IF(AM557="","",AM557/AL556)</f>
        <v/>
      </c>
      <c r="AN561" s="771" t="str">
        <f>IF(AN557="","",AN557/AM556)</f>
        <v/>
      </c>
      <c r="AO561" s="770"/>
      <c r="AP561" s="771">
        <f>IF(AP557="","",AP557/AN556)</f>
        <v>8.4805041265772582E-2</v>
      </c>
      <c r="AQ561" s="771">
        <f>IF(AQ557="","",AQ557/AP556)</f>
        <v>0.65046604434636446</v>
      </c>
      <c r="AR561" s="771">
        <f>IF(AR557="","",AR557/AQ556)</f>
        <v>0.19798537523750434</v>
      </c>
      <c r="AS561" s="771" t="str">
        <f>IF(AS557="","",AS557/AR556)</f>
        <v/>
      </c>
      <c r="AT561" s="770"/>
      <c r="AU561" s="771" t="str">
        <f>IF(AU557="","",AU557/AS556)</f>
        <v/>
      </c>
      <c r="AV561" s="771" t="str">
        <f>IF(AV557="","",AV557/AU556)</f>
        <v/>
      </c>
      <c r="AW561" s="771" t="str">
        <f>IF(AW557="","",AW557/AV556)</f>
        <v/>
      </c>
      <c r="AX561" s="771">
        <f>IF(AX557="","",AX557/AW556)</f>
        <v>-3.0984201815282601E-2</v>
      </c>
      <c r="AY561" s="770"/>
      <c r="AZ561" s="771" t="str">
        <f>IF(AZ557="","",AZ557/AX556)</f>
        <v/>
      </c>
      <c r="BA561" s="771" t="str">
        <f>IF(BA557="","",BA557/AZ556)</f>
        <v/>
      </c>
      <c r="BB561" s="771">
        <f>IF(BB557="","",BB557/BA556)</f>
        <v>5.7513345424106986E-2</v>
      </c>
      <c r="BC561" s="771">
        <f>IF(BC557="","",BC557/BB556)</f>
        <v>4.901106723301013E-2</v>
      </c>
      <c r="BD561" s="770"/>
      <c r="BE561" s="771">
        <f>IF(BE557="","",BE557/BC556)</f>
        <v>4.0577155655095218E-2</v>
      </c>
      <c r="BF561" s="771">
        <f>IF(BF557="","",BF557/BE556)</f>
        <v>-8.0543605359317788E-2</v>
      </c>
      <c r="BG561" s="771">
        <f>IF(BG557="","",BG557/BF556)</f>
        <v>2.2741116751269129E-2</v>
      </c>
      <c r="BH561" s="771">
        <f>IF(BH557="","",BH557/BG556)</f>
        <v>-1.7439558342421061E-2</v>
      </c>
      <c r="BI561" s="770"/>
      <c r="BJ561" s="1314">
        <f>IF(BJ557="","",BJ557/BH556)</f>
        <v>1.6137182203389763E-2</v>
      </c>
      <c r="BK561" s="771">
        <f>IF(BK557="","",BK557/BJ556)</f>
        <v>2.1668575274725464E-3</v>
      </c>
      <c r="BL561" s="771" t="str">
        <f>IF(BL557="","",BL557/BK556)</f>
        <v/>
      </c>
      <c r="BM561" s="771" t="str">
        <f>IF(BM557="","",BM557/BL556)</f>
        <v/>
      </c>
      <c r="BN561" s="770"/>
      <c r="BO561" s="771" t="str">
        <f>IF(BO557="","",BO557/BM556)</f>
        <v/>
      </c>
      <c r="BP561" s="771" t="str">
        <f>IF(BP557="","",BP557/BO556)</f>
        <v/>
      </c>
      <c r="BQ561" s="771" t="str">
        <f>IF(BQ557="","",BQ557/BP556)</f>
        <v/>
      </c>
      <c r="BR561" s="771" t="str">
        <f>IF(BR557="","",BR557/BQ556)</f>
        <v/>
      </c>
      <c r="BS561" s="770"/>
      <c r="BT561" s="770"/>
      <c r="BU561" s="770"/>
      <c r="BV561" s="770"/>
      <c r="BW561" s="118"/>
    </row>
    <row r="562" spans="1:75" hidden="1" outlineLevel="1" x14ac:dyDescent="0.5">
      <c r="A562" s="1150" t="s">
        <v>2523</v>
      </c>
      <c r="B562" s="1525"/>
      <c r="C562" s="1147"/>
      <c r="D562" s="1147"/>
      <c r="E562" s="1147"/>
      <c r="F562" s="1147"/>
      <c r="G562" s="1148"/>
      <c r="H562" s="1148">
        <f>H556/G556-1</f>
        <v>0.15454318352145058</v>
      </c>
      <c r="I562" s="1148">
        <f>I556/H556-1</f>
        <v>0.15358590031079045</v>
      </c>
      <c r="J562" s="1148">
        <f>J556/I556-1</f>
        <v>0.20594754970500984</v>
      </c>
      <c r="K562" s="1147"/>
      <c r="L562" s="1148">
        <f>L556/J556-1</f>
        <v>-7.8007465641083629E-2</v>
      </c>
      <c r="M562" s="1148">
        <f>M556/L556-1</f>
        <v>4.9795267379269426E-2</v>
      </c>
      <c r="N562" s="1148">
        <f>N556/M556-1</f>
        <v>0.15445408595553189</v>
      </c>
      <c r="O562" s="1148">
        <f>O556/N556-1</f>
        <v>0.24527060371771725</v>
      </c>
      <c r="P562" s="1147"/>
      <c r="Q562" s="1148">
        <f>Q556/O556-1</f>
        <v>4.4964942587135015E-2</v>
      </c>
      <c r="R562" s="1148">
        <f>R556/Q556-1</f>
        <v>0.17470705499100503</v>
      </c>
      <c r="S562" s="1148">
        <f>S556/R556-1</f>
        <v>0.17040421850812471</v>
      </c>
      <c r="T562" s="1148">
        <f>T556/S556-1</f>
        <v>0.24271144243418763</v>
      </c>
      <c r="U562" s="1147"/>
      <c r="V562" s="1148">
        <f>V556/T556-1</f>
        <v>1.9089139565855451E-2</v>
      </c>
      <c r="W562" s="1148">
        <f>W556/V556-1</f>
        <v>5.2821463676168801E-2</v>
      </c>
      <c r="X562" s="1148">
        <f>X556/W556-1</f>
        <v>6.9740178448284729E-2</v>
      </c>
      <c r="Y562" s="1148">
        <f>Y556/X556-1</f>
        <v>0.18307456573159908</v>
      </c>
      <c r="Z562" s="1147"/>
      <c r="AA562" s="1148">
        <f>AA556/Y556-1</f>
        <v>-7.1129180987504759E-3</v>
      </c>
      <c r="AB562" s="1148">
        <f>AB556/AA556-1</f>
        <v>0.13754891655374157</v>
      </c>
      <c r="AC562" s="1148">
        <f>AC556/AB556-1</f>
        <v>4.0238842748250514E-2</v>
      </c>
      <c r="AD562" s="1148">
        <f>AD556/AC556-1</f>
        <v>0.18499584387229917</v>
      </c>
      <c r="AE562" s="1147"/>
      <c r="AF562" s="1148">
        <f>AF556/AD556-1</f>
        <v>-2.5111014104437057E-2</v>
      </c>
      <c r="AG562" s="1148">
        <f>AG556/AF556-1</f>
        <v>0.18893905331291072</v>
      </c>
      <c r="AH562" s="1148">
        <f>AH556/AG556-1</f>
        <v>2.0163269758731506E-2</v>
      </c>
      <c r="AI562" s="1148">
        <f>AI556/AH556-1</f>
        <v>0.23512997428520466</v>
      </c>
      <c r="AJ562" s="1147"/>
      <c r="AK562" s="1148">
        <f>AK556/AI556-1</f>
        <v>-3.0231570615226522E-2</v>
      </c>
      <c r="AL562" s="1148">
        <f>AL556/AK556-1</f>
        <v>0.18948424507286599</v>
      </c>
      <c r="AM562" s="1148">
        <f>AM556/AL556-1</f>
        <v>-3.5166190135811459E-2</v>
      </c>
      <c r="AN562" s="1148">
        <f>AN556/AM556-1</f>
        <v>6.9332365290478482E-2</v>
      </c>
      <c r="AO562" s="1147"/>
      <c r="AP562" s="1148">
        <f>AP556/AN556-1</f>
        <v>3.062240735768329E-3</v>
      </c>
      <c r="AQ562" s="1148">
        <f>AQ556/AP556-1</f>
        <v>1.2810870920339887</v>
      </c>
      <c r="AR562" s="1148">
        <f>AR556/AQ556-1</f>
        <v>-0.13141412382761897</v>
      </c>
      <c r="AS562" s="1148">
        <f>AS556/AR556-1</f>
        <v>-7.2194508064994167E-2</v>
      </c>
      <c r="AT562" s="1147"/>
      <c r="AU562" s="1148">
        <f>AU556/AS556-1</f>
        <v>-5.7827896185385974E-2</v>
      </c>
      <c r="AV562" s="1148">
        <f>AV556/AU556-1</f>
        <v>0.12465566729509803</v>
      </c>
      <c r="AW562" s="1148">
        <f>AW556/AV556-1</f>
        <v>-0.21748133964505456</v>
      </c>
      <c r="AX562" s="1148">
        <f>AX556/AW556-1</f>
        <v>-1.7479903209148828E-3</v>
      </c>
      <c r="AY562" s="1147"/>
      <c r="AZ562" s="1148">
        <f>AZ556/AX556-1</f>
        <v>-8.8727111786968127E-2</v>
      </c>
      <c r="BA562" s="1148">
        <f>BA556/AZ556-1</f>
        <v>0.11581569115815693</v>
      </c>
      <c r="BB562" s="1148">
        <f>BB556/BA556-1</f>
        <v>-8.0357142857142905E-2</v>
      </c>
      <c r="BC562" s="1148">
        <f>BC556/BB556-1</f>
        <v>8.373786407766981E-2</v>
      </c>
      <c r="BD562" s="1147"/>
      <c r="BE562" s="1148">
        <f>BE556/BC556-1</f>
        <v>-8.0627099664053792E-2</v>
      </c>
      <c r="BF562" s="1148">
        <f>BF556/BE556-1</f>
        <v>0.19975639464068218</v>
      </c>
      <c r="BG562" s="1148">
        <f>BG556/BF556-1</f>
        <v>-6.9035532994923821E-2</v>
      </c>
      <c r="BH562" s="1148">
        <f>BH556/BG556-1</f>
        <v>2.9443838604144013E-2</v>
      </c>
      <c r="BI562" s="1147"/>
      <c r="BJ562" s="1149">
        <f>BJ556/BH556-1</f>
        <v>-0.13241525423728817</v>
      </c>
      <c r="BK562" s="1148">
        <f>BK556/BJ556-1</f>
        <v>0.20077775496337003</v>
      </c>
      <c r="BL562" s="1148">
        <f>BL556/BK556-1</f>
        <v>-4.7729699890109001E-2</v>
      </c>
      <c r="BM562" s="1148">
        <f>BM556/BL556-1</f>
        <v>2.9624396459808411E-2</v>
      </c>
      <c r="BN562" s="1147"/>
      <c r="BO562" s="1148">
        <f>BO556/BM556-1</f>
        <v>-9.2719227481583899E-2</v>
      </c>
      <c r="BP562" s="1148">
        <f>BP556/BO556-1</f>
        <v>0.20063424308939992</v>
      </c>
      <c r="BQ562" s="1148">
        <f>BQ556/BP556-1</f>
        <v>-4.7884800104973424E-2</v>
      </c>
      <c r="BR562" s="1148">
        <f>BR556/BQ556-1</f>
        <v>2.9802665012877094E-2</v>
      </c>
      <c r="BS562" s="1147"/>
      <c r="BT562" s="1147"/>
      <c r="BU562" s="1147"/>
      <c r="BV562" s="1147"/>
      <c r="BW562" s="118"/>
    </row>
    <row r="563" spans="1:75" hidden="1" outlineLevel="1" x14ac:dyDescent="0.5">
      <c r="A563" s="170" t="s">
        <v>2524</v>
      </c>
      <c r="B563" s="720"/>
      <c r="C563" s="417"/>
      <c r="D563" s="417" t="str">
        <f>IF(D555="","",D555/C556-1)</f>
        <v/>
      </c>
      <c r="E563" s="417" t="str">
        <f>IF(E555="","",E555/D556-1)</f>
        <v/>
      </c>
      <c r="F563" s="417" t="str">
        <f>IF(F555="","",F555/E556-1)</f>
        <v/>
      </c>
      <c r="G563" s="378"/>
      <c r="H563" s="378"/>
      <c r="I563" s="378"/>
      <c r="J563" s="378"/>
      <c r="K563" s="417" t="str">
        <f t="shared" ref="K563:BN563" si="413">IF(K555="","",K555/F556-1)</f>
        <v/>
      </c>
      <c r="L563" s="378" t="str">
        <f t="shared" si="413"/>
        <v/>
      </c>
      <c r="M563" s="378" t="str">
        <f t="shared" si="413"/>
        <v/>
      </c>
      <c r="N563" s="378" t="str">
        <f t="shared" si="413"/>
        <v/>
      </c>
      <c r="O563" s="378" t="str">
        <f t="shared" si="413"/>
        <v/>
      </c>
      <c r="P563" s="417" t="str">
        <f t="shared" si="413"/>
        <v/>
      </c>
      <c r="Q563" s="378" t="str">
        <f t="shared" si="413"/>
        <v/>
      </c>
      <c r="R563" s="378" t="str">
        <f t="shared" si="413"/>
        <v/>
      </c>
      <c r="S563" s="378" t="str">
        <f t="shared" si="413"/>
        <v/>
      </c>
      <c r="T563" s="378" t="str">
        <f t="shared" si="413"/>
        <v/>
      </c>
      <c r="U563" s="417" t="str">
        <f t="shared" si="413"/>
        <v/>
      </c>
      <c r="V563" s="378" t="str">
        <f t="shared" si="413"/>
        <v/>
      </c>
      <c r="W563" s="378" t="str">
        <f t="shared" si="413"/>
        <v/>
      </c>
      <c r="X563" s="378" t="str">
        <f t="shared" si="413"/>
        <v/>
      </c>
      <c r="Y563" s="378" t="str">
        <f t="shared" si="413"/>
        <v/>
      </c>
      <c r="Z563" s="417" t="str">
        <f t="shared" si="413"/>
        <v/>
      </c>
      <c r="AA563" s="378" t="str">
        <f t="shared" si="413"/>
        <v/>
      </c>
      <c r="AB563" s="378" t="str">
        <f t="shared" si="413"/>
        <v/>
      </c>
      <c r="AC563" s="378" t="str">
        <f t="shared" si="413"/>
        <v/>
      </c>
      <c r="AD563" s="378" t="str">
        <f t="shared" si="413"/>
        <v/>
      </c>
      <c r="AE563" s="417" t="str">
        <f t="shared" si="413"/>
        <v/>
      </c>
      <c r="AF563" s="378" t="str">
        <f t="shared" si="413"/>
        <v/>
      </c>
      <c r="AG563" s="378" t="str">
        <f t="shared" si="413"/>
        <v/>
      </c>
      <c r="AH563" s="378" t="str">
        <f t="shared" si="413"/>
        <v/>
      </c>
      <c r="AI563" s="378" t="str">
        <f t="shared" si="413"/>
        <v/>
      </c>
      <c r="AJ563" s="417" t="str">
        <f t="shared" si="413"/>
        <v/>
      </c>
      <c r="AK563" s="378" t="str">
        <f t="shared" si="413"/>
        <v/>
      </c>
      <c r="AL563" s="378" t="str">
        <f t="shared" si="413"/>
        <v/>
      </c>
      <c r="AM563" s="378" t="str">
        <f t="shared" si="413"/>
        <v/>
      </c>
      <c r="AN563" s="378" t="str">
        <f t="shared" si="413"/>
        <v/>
      </c>
      <c r="AO563" s="417" t="str">
        <f t="shared" si="413"/>
        <v/>
      </c>
      <c r="AP563" s="378">
        <f t="shared" si="413"/>
        <v>0.12690747997687346</v>
      </c>
      <c r="AQ563" s="378">
        <f t="shared" si="413"/>
        <v>0.68750920836311624</v>
      </c>
      <c r="AR563" s="378">
        <f t="shared" si="413"/>
        <v>0.64076481513036154</v>
      </c>
      <c r="AS563" s="378" t="str">
        <f t="shared" si="413"/>
        <v/>
      </c>
      <c r="AT563" s="417" t="str">
        <f t="shared" si="413"/>
        <v/>
      </c>
      <c r="AU563" s="378" t="str">
        <f t="shared" si="413"/>
        <v/>
      </c>
      <c r="AV563" s="378" t="str">
        <f t="shared" si="413"/>
        <v/>
      </c>
      <c r="AW563" s="378" t="str">
        <f t="shared" si="413"/>
        <v/>
      </c>
      <c r="AX563" s="378">
        <f t="shared" si="413"/>
        <v>-0.14658636423411819</v>
      </c>
      <c r="AY563" s="417" t="str">
        <f t="shared" si="413"/>
        <v/>
      </c>
      <c r="AZ563" s="378" t="str">
        <f t="shared" si="413"/>
        <v/>
      </c>
      <c r="BA563" s="378" t="str">
        <f t="shared" si="413"/>
        <v/>
      </c>
      <c r="BB563" s="378">
        <f t="shared" si="413"/>
        <v>-0.12490819085833904</v>
      </c>
      <c r="BC563" s="378">
        <f t="shared" si="413"/>
        <v>-3.2422385083722305E-2</v>
      </c>
      <c r="BD563" s="417" t="str">
        <f t="shared" si="413"/>
        <v/>
      </c>
      <c r="BE563" s="378">
        <f t="shared" si="413"/>
        <v>-2.2709090909090901E-2</v>
      </c>
      <c r="BF563" s="378">
        <f t="shared" si="413"/>
        <v>0.17313203124999998</v>
      </c>
      <c r="BG563" s="378">
        <f t="shared" si="413"/>
        <v>8.5679611650485432E-2</v>
      </c>
      <c r="BH563" s="378">
        <f t="shared" si="413"/>
        <v>7.5019120940649664E-2</v>
      </c>
      <c r="BI563" s="417" t="str">
        <f t="shared" si="413"/>
        <v/>
      </c>
      <c r="BJ563" s="1130">
        <f>IF(BJ555="","",BJ555/BE556-1)</f>
        <v>-2.0990864799025455E-2</v>
      </c>
      <c r="BK563" s="378">
        <f t="shared" si="413"/>
        <v>-3.3885025380711031E-3</v>
      </c>
      <c r="BL563" s="378" t="str">
        <f t="shared" si="413"/>
        <v/>
      </c>
      <c r="BM563" s="378" t="str">
        <f t="shared" si="413"/>
        <v/>
      </c>
      <c r="BN563" s="417" t="str">
        <f t="shared" si="413"/>
        <v/>
      </c>
      <c r="BO563" s="378" t="str">
        <f>IF(BO555="","",BO555/BJ556-1)</f>
        <v/>
      </c>
      <c r="BP563" s="378" t="str">
        <f>IF(BP555="","",BP555/BK556-1)</f>
        <v/>
      </c>
      <c r="BQ563" s="378" t="str">
        <f>IF(BQ555="","",BQ555/BL556-1)</f>
        <v/>
      </c>
      <c r="BR563" s="378" t="str">
        <f>IF(BR555="","",BR555/BM556-1)</f>
        <v/>
      </c>
      <c r="BS563" s="417" t="str">
        <f>IF(BS555="","",BS555/BN556-1)</f>
        <v/>
      </c>
      <c r="BT563" s="417"/>
      <c r="BU563" s="417"/>
      <c r="BV563" s="417"/>
      <c r="BW563" s="118"/>
    </row>
    <row r="564" spans="1:75" hidden="1" outlineLevel="1" x14ac:dyDescent="0.5">
      <c r="A564" s="1192" t="s">
        <v>2525</v>
      </c>
      <c r="B564" s="769"/>
      <c r="C564" s="770"/>
      <c r="D564" s="770" t="str">
        <f>IF(D557="","",D557/C556)</f>
        <v/>
      </c>
      <c r="E564" s="770" t="str">
        <f>IF(E557="","",E557/D556)</f>
        <v/>
      </c>
      <c r="F564" s="770" t="str">
        <f>IF(F557="","",F557/E556)</f>
        <v/>
      </c>
      <c r="G564" s="771"/>
      <c r="H564" s="771"/>
      <c r="I564" s="771"/>
      <c r="J564" s="771"/>
      <c r="K564" s="770" t="str">
        <f t="shared" ref="K564:BN564" si="414">IF(K557="","",K557/F556)</f>
        <v/>
      </c>
      <c r="L564" s="771" t="str">
        <f t="shared" si="414"/>
        <v/>
      </c>
      <c r="M564" s="771" t="str">
        <f t="shared" si="414"/>
        <v/>
      </c>
      <c r="N564" s="771" t="str">
        <f t="shared" si="414"/>
        <v/>
      </c>
      <c r="O564" s="771" t="str">
        <f t="shared" si="414"/>
        <v/>
      </c>
      <c r="P564" s="770" t="str">
        <f t="shared" si="414"/>
        <v/>
      </c>
      <c r="Q564" s="771" t="str">
        <f t="shared" si="414"/>
        <v/>
      </c>
      <c r="R564" s="771" t="str">
        <f t="shared" si="414"/>
        <v/>
      </c>
      <c r="S564" s="771" t="str">
        <f t="shared" si="414"/>
        <v/>
      </c>
      <c r="T564" s="771" t="str">
        <f t="shared" si="414"/>
        <v/>
      </c>
      <c r="U564" s="770" t="str">
        <f t="shared" si="414"/>
        <v/>
      </c>
      <c r="V564" s="771" t="str">
        <f t="shared" si="414"/>
        <v/>
      </c>
      <c r="W564" s="771" t="str">
        <f t="shared" si="414"/>
        <v/>
      </c>
      <c r="X564" s="771" t="str">
        <f t="shared" si="414"/>
        <v/>
      </c>
      <c r="Y564" s="771" t="str">
        <f t="shared" si="414"/>
        <v/>
      </c>
      <c r="Z564" s="770" t="str">
        <f t="shared" si="414"/>
        <v/>
      </c>
      <c r="AA564" s="771" t="str">
        <f t="shared" si="414"/>
        <v/>
      </c>
      <c r="AB564" s="771" t="str">
        <f t="shared" si="414"/>
        <v/>
      </c>
      <c r="AC564" s="771" t="str">
        <f t="shared" si="414"/>
        <v/>
      </c>
      <c r="AD564" s="771" t="str">
        <f t="shared" si="414"/>
        <v/>
      </c>
      <c r="AE564" s="770" t="str">
        <f t="shared" si="414"/>
        <v/>
      </c>
      <c r="AF564" s="771" t="str">
        <f t="shared" si="414"/>
        <v/>
      </c>
      <c r="AG564" s="771" t="str">
        <f t="shared" si="414"/>
        <v/>
      </c>
      <c r="AH564" s="771" t="str">
        <f t="shared" si="414"/>
        <v/>
      </c>
      <c r="AI564" s="771" t="str">
        <f t="shared" si="414"/>
        <v/>
      </c>
      <c r="AJ564" s="770" t="str">
        <f t="shared" si="414"/>
        <v/>
      </c>
      <c r="AK564" s="771" t="str">
        <f t="shared" si="414"/>
        <v/>
      </c>
      <c r="AL564" s="771" t="str">
        <f t="shared" si="414"/>
        <v/>
      </c>
      <c r="AM564" s="771" t="str">
        <f t="shared" si="414"/>
        <v/>
      </c>
      <c r="AN564" s="771" t="str">
        <f t="shared" si="414"/>
        <v/>
      </c>
      <c r="AO564" s="770" t="str">
        <f t="shared" si="414"/>
        <v/>
      </c>
      <c r="AP564" s="771">
        <f t="shared" si="414"/>
        <v>0.10407480104409376</v>
      </c>
      <c r="AQ564" s="771">
        <f t="shared" si="414"/>
        <v>0.67315912616154316</v>
      </c>
      <c r="AR564" s="771">
        <f t="shared" si="414"/>
        <v>0.48441275714410126</v>
      </c>
      <c r="AS564" s="771" t="str">
        <f t="shared" si="414"/>
        <v/>
      </c>
      <c r="AT564" s="770" t="str">
        <f t="shared" si="414"/>
        <v/>
      </c>
      <c r="AU564" s="771" t="str">
        <f t="shared" si="414"/>
        <v/>
      </c>
      <c r="AV564" s="771" t="str">
        <f t="shared" si="414"/>
        <v/>
      </c>
      <c r="AW564" s="771" t="str">
        <f t="shared" si="414"/>
        <v/>
      </c>
      <c r="AX564" s="771">
        <f t="shared" si="414"/>
        <v>-2.5691226199758384E-2</v>
      </c>
      <c r="AY564" s="770" t="str">
        <f t="shared" si="414"/>
        <v/>
      </c>
      <c r="AZ564" s="771" t="str">
        <f t="shared" si="414"/>
        <v/>
      </c>
      <c r="BA564" s="771" t="str">
        <f t="shared" si="414"/>
        <v/>
      </c>
      <c r="BB564" s="771">
        <f t="shared" si="414"/>
        <v>5.8378070594792345E-2</v>
      </c>
      <c r="BC564" s="771">
        <f t="shared" si="414"/>
        <v>4.583046624715624E-2</v>
      </c>
      <c r="BD564" s="770" t="str">
        <f t="shared" si="414"/>
        <v/>
      </c>
      <c r="BE564" s="771">
        <f t="shared" si="414"/>
        <v>4.5125031133250344E-2</v>
      </c>
      <c r="BF564" s="771">
        <f t="shared" si="414"/>
        <v>-7.3801674107142751E-2</v>
      </c>
      <c r="BG564" s="771">
        <f t="shared" si="414"/>
        <v>2.7184466019417586E-2</v>
      </c>
      <c r="BH564" s="771">
        <f t="shared" si="414"/>
        <v>-1.7908258678611549E-2</v>
      </c>
      <c r="BI564" s="770" t="str">
        <f t="shared" si="414"/>
        <v/>
      </c>
      <c r="BJ564" s="1314">
        <f>IF(BJ557="","",BJ557/BE556)</f>
        <v>1.8554811205846448E-2</v>
      </c>
      <c r="BK564" s="771">
        <f t="shared" si="414"/>
        <v>1.8016815380710819E-3</v>
      </c>
      <c r="BL564" s="771" t="str">
        <f t="shared" si="414"/>
        <v/>
      </c>
      <c r="BM564" s="771" t="str">
        <f t="shared" si="414"/>
        <v/>
      </c>
      <c r="BN564" s="770" t="str">
        <f t="shared" si="414"/>
        <v/>
      </c>
      <c r="BO564" s="771" t="str">
        <f>IF(BO557="","",BO557/BJ556)</f>
        <v/>
      </c>
      <c r="BP564" s="771" t="str">
        <f>IF(BP557="","",BP557/BK556)</f>
        <v/>
      </c>
      <c r="BQ564" s="771" t="str">
        <f>IF(BQ557="","",BQ557/BL556)</f>
        <v/>
      </c>
      <c r="BR564" s="771" t="str">
        <f>IF(BR557="","",BR557/BM556)</f>
        <v/>
      </c>
      <c r="BS564" s="770" t="str">
        <f>IF(BS557="","",BS557/BN556)</f>
        <v/>
      </c>
      <c r="BT564" s="770"/>
      <c r="BU564" s="770"/>
      <c r="BV564" s="770"/>
      <c r="BW564" s="118"/>
    </row>
    <row r="565" spans="1:75" hidden="1" outlineLevel="1" x14ac:dyDescent="0.5">
      <c r="A565" s="1150" t="s">
        <v>2526</v>
      </c>
      <c r="B565" s="1525"/>
      <c r="C565" s="1147"/>
      <c r="D565" s="1147"/>
      <c r="E565" s="1147"/>
      <c r="F565" s="1147">
        <f>F556/E556-1</f>
        <v>0.10369395948658688</v>
      </c>
      <c r="G565" s="1148"/>
      <c r="H565" s="1148"/>
      <c r="I565" s="1148"/>
      <c r="J565" s="1148"/>
      <c r="K565" s="1147">
        <f t="shared" ref="K565:BN565" si="415">K556/F556-1</f>
        <v>0.5449021350474339</v>
      </c>
      <c r="L565" s="1148">
        <f t="shared" si="415"/>
        <v>0.48086662276020298</v>
      </c>
      <c r="M565" s="1148">
        <f t="shared" si="415"/>
        <v>0.34651245131594433</v>
      </c>
      <c r="N565" s="1148">
        <f t="shared" si="415"/>
        <v>0.34752583296388506</v>
      </c>
      <c r="O565" s="1148">
        <f t="shared" si="415"/>
        <v>0.39146541485210173</v>
      </c>
      <c r="P565" s="1147">
        <f t="shared" si="415"/>
        <v>0.38733773038828789</v>
      </c>
      <c r="Q565" s="1148">
        <f t="shared" si="415"/>
        <v>0.57705461070130482</v>
      </c>
      <c r="R565" s="1148">
        <f t="shared" si="415"/>
        <v>0.76470330440879963</v>
      </c>
      <c r="S565" s="1148">
        <f t="shared" si="415"/>
        <v>0.78908474318903665</v>
      </c>
      <c r="T565" s="1148">
        <f t="shared" si="415"/>
        <v>0.78540798699319136</v>
      </c>
      <c r="U565" s="1147">
        <f t="shared" si="415"/>
        <v>0.73811467768998851</v>
      </c>
      <c r="V565" s="1148">
        <f t="shared" si="415"/>
        <v>0.74119706325667289</v>
      </c>
      <c r="W565" s="1148">
        <f t="shared" si="415"/>
        <v>0.56053343929272126</v>
      </c>
      <c r="X565" s="1148">
        <f t="shared" si="415"/>
        <v>0.42631519386643646</v>
      </c>
      <c r="Y565" s="1148">
        <f t="shared" si="415"/>
        <v>0.3578672980387243</v>
      </c>
      <c r="Z565" s="1147">
        <f t="shared" si="415"/>
        <v>0.49394330564206501</v>
      </c>
      <c r="AA565" s="1148">
        <f t="shared" si="415"/>
        <v>0.3229548297739262</v>
      </c>
      <c r="AB565" s="1148">
        <f t="shared" si="415"/>
        <v>0.42942168751392473</v>
      </c>
      <c r="AC565" s="1148">
        <f t="shared" si="415"/>
        <v>0.39000104135157598</v>
      </c>
      <c r="AD565" s="1148">
        <f t="shared" si="415"/>
        <v>0.39225836197502106</v>
      </c>
      <c r="AE565" s="1147">
        <f t="shared" si="415"/>
        <v>0.38500589865698798</v>
      </c>
      <c r="AF565" s="1148">
        <f t="shared" si="415"/>
        <v>0.36702084995546325</v>
      </c>
      <c r="AG565" s="1148">
        <f t="shared" si="415"/>
        <v>0.42877765655036271</v>
      </c>
      <c r="AH565" s="1148">
        <f t="shared" si="415"/>
        <v>0.4012036716623435</v>
      </c>
      <c r="AI565" s="1148">
        <f t="shared" si="415"/>
        <v>0.4604849999247338</v>
      </c>
      <c r="AJ565" s="1147">
        <f t="shared" si="415"/>
        <v>0.41820734825794559</v>
      </c>
      <c r="AK565" s="1148">
        <f t="shared" si="415"/>
        <v>0.45281387420327035</v>
      </c>
      <c r="AL565" s="1148">
        <f t="shared" si="415"/>
        <v>0.45348006659619178</v>
      </c>
      <c r="AM565" s="1148">
        <f t="shared" si="415"/>
        <v>0.37464928584158685</v>
      </c>
      <c r="AN565" s="1148">
        <f t="shared" si="415"/>
        <v>0.19012330918820552</v>
      </c>
      <c r="AO565" s="1147">
        <f t="shared" si="415"/>
        <v>0.35331245592330895</v>
      </c>
      <c r="AP565" s="1148">
        <f t="shared" si="415"/>
        <v>0.23098228102096718</v>
      </c>
      <c r="AQ565" s="1148">
        <f t="shared" si="415"/>
        <v>1.3606683345246595</v>
      </c>
      <c r="AR565" s="1148">
        <f t="shared" si="415"/>
        <v>1.1251775722744628</v>
      </c>
      <c r="AS565" s="1148">
        <f t="shared" si="415"/>
        <v>0.84390886023330403</v>
      </c>
      <c r="AT565" s="1147">
        <f t="shared" si="415"/>
        <v>0.91501407327790929</v>
      </c>
      <c r="AU565" s="1148">
        <f t="shared" si="415"/>
        <v>0.73197576335251746</v>
      </c>
      <c r="AV565" s="1148">
        <f t="shared" si="415"/>
        <v>-0.14607541085365161</v>
      </c>
      <c r="AW565" s="1148">
        <f t="shared" si="415"/>
        <v>-0.23068985592124314</v>
      </c>
      <c r="AX565" s="1148">
        <f t="shared" si="415"/>
        <v>-0.17227759043387658</v>
      </c>
      <c r="AY565" s="1147">
        <f t="shared" si="415"/>
        <v>-5.2811762934955819E-2</v>
      </c>
      <c r="AZ565" s="1148">
        <f t="shared" si="415"/>
        <v>-0.19942334553307139</v>
      </c>
      <c r="BA565" s="1148">
        <f t="shared" si="415"/>
        <v>-0.20571600801375844</v>
      </c>
      <c r="BB565" s="1148">
        <f t="shared" si="415"/>
        <v>-6.6530120263546766E-2</v>
      </c>
      <c r="BC565" s="1148">
        <f t="shared" si="415"/>
        <v>1.3408081163433838E-2</v>
      </c>
      <c r="BD565" s="1147">
        <f t="shared" si="415"/>
        <v>-0.12297817715019255</v>
      </c>
      <c r="BE565" s="1148">
        <f t="shared" si="415"/>
        <v>2.2415940224159492E-2</v>
      </c>
      <c r="BF565" s="1148">
        <f t="shared" si="415"/>
        <v>9.9330357142857206E-2</v>
      </c>
      <c r="BG565" s="1148">
        <f t="shared" si="415"/>
        <v>0.11286407766990281</v>
      </c>
      <c r="BH565" s="1148">
        <f t="shared" si="415"/>
        <v>5.7110862262037987E-2</v>
      </c>
      <c r="BI565" s="1147">
        <f t="shared" si="415"/>
        <v>7.3477751756440224E-2</v>
      </c>
      <c r="BJ565" s="1149">
        <f>BJ556/BE556-1</f>
        <v>-2.4360535931789995E-3</v>
      </c>
      <c r="BK565" s="1148">
        <f t="shared" si="415"/>
        <v>-1.5868209999999605E-3</v>
      </c>
      <c r="BL565" s="1148">
        <f t="shared" si="415"/>
        <v>2.1262627411123614E-2</v>
      </c>
      <c r="BM565" s="1148">
        <f t="shared" si="415"/>
        <v>2.1441750334745713E-2</v>
      </c>
      <c r="BN565" s="1147">
        <f t="shared" si="415"/>
        <v>9.8652366967546534E-3</v>
      </c>
      <c r="BO565" s="1148">
        <f>BO556/BJ556-1</f>
        <v>6.8177448776556959E-2</v>
      </c>
      <c r="BP565" s="1148">
        <f>BP556/BK556-1</f>
        <v>6.8049784729839802E-2</v>
      </c>
      <c r="BQ565" s="1148">
        <f>BQ556/BL556-1</f>
        <v>6.7875827029932001E-2</v>
      </c>
      <c r="BR565" s="1148">
        <f>BR556/BM556-1</f>
        <v>6.8060718412844334E-2</v>
      </c>
      <c r="BS565" s="1147">
        <f>BS556/BN556-1</f>
        <v>6.8036873798570374E-2</v>
      </c>
      <c r="BT565" s="1147">
        <f>BT556/BS556-1</f>
        <v>7.8462405669055935E-2</v>
      </c>
      <c r="BU565" s="1147">
        <f>BU556/BT556-1</f>
        <v>7.8417573461513124E-2</v>
      </c>
      <c r="BV565" s="1147">
        <f>BV556/BU556-1</f>
        <v>7.8373315663376353E-2</v>
      </c>
      <c r="BW565" s="118"/>
    </row>
    <row r="566" spans="1:75" hidden="1" outlineLevel="1" x14ac:dyDescent="0.5">
      <c r="A566" s="1524"/>
      <c r="B566" s="513"/>
      <c r="C566" s="401"/>
      <c r="D566" s="401"/>
      <c r="E566" s="401"/>
      <c r="F566" s="401"/>
      <c r="G566" s="118"/>
      <c r="H566" s="118"/>
      <c r="I566" s="118"/>
      <c r="J566" s="118"/>
      <c r="K566" s="401"/>
      <c r="L566" s="118"/>
      <c r="M566" s="118"/>
      <c r="N566" s="118"/>
      <c r="O566" s="118"/>
      <c r="P566" s="401"/>
      <c r="Q566" s="118"/>
      <c r="R566" s="118"/>
      <c r="S566" s="118"/>
      <c r="T566" s="118"/>
      <c r="U566" s="401"/>
      <c r="V566" s="118"/>
      <c r="W566" s="118"/>
      <c r="X566" s="118"/>
      <c r="Y566" s="118"/>
      <c r="Z566" s="401"/>
      <c r="AA566" s="118"/>
      <c r="AB566" s="118"/>
      <c r="AC566" s="118"/>
      <c r="AD566" s="118"/>
      <c r="AE566" s="401"/>
      <c r="AF566" s="118"/>
      <c r="AG566" s="118"/>
      <c r="AH566" s="118"/>
      <c r="AI566" s="118"/>
      <c r="AJ566" s="401"/>
      <c r="AK566" s="118"/>
      <c r="AL566" s="118"/>
      <c r="AM566" s="118"/>
      <c r="AN566" s="118"/>
      <c r="AO566" s="401"/>
      <c r="AP566" s="118"/>
      <c r="AQ566" s="118"/>
      <c r="AR566" s="118"/>
      <c r="AS566" s="118"/>
      <c r="AT566" s="401"/>
      <c r="AU566" s="118"/>
      <c r="AV566" s="118"/>
      <c r="AW566" s="118"/>
      <c r="AX566" s="118"/>
      <c r="AY566" s="401"/>
      <c r="AZ566" s="118"/>
      <c r="BA566" s="118"/>
      <c r="BB566" s="118"/>
      <c r="BC566" s="118"/>
      <c r="BD566" s="401"/>
      <c r="BE566" s="118"/>
      <c r="BF566" s="118"/>
      <c r="BG566" s="118"/>
      <c r="BH566" s="118"/>
      <c r="BI566" s="401"/>
      <c r="BJ566" s="971"/>
      <c r="BK566" s="118"/>
      <c r="BL566" s="118"/>
      <c r="BM566" s="118"/>
      <c r="BN566" s="401"/>
      <c r="BO566" s="118"/>
      <c r="BP566" s="118"/>
      <c r="BQ566" s="118"/>
      <c r="BR566" s="118"/>
      <c r="BS566" s="401"/>
      <c r="BT566" s="401"/>
      <c r="BU566" s="401"/>
      <c r="BV566" s="401"/>
      <c r="BW566" s="118"/>
    </row>
    <row r="567" spans="1:75" hidden="1" outlineLevel="2" x14ac:dyDescent="0.5">
      <c r="A567" s="526" t="s">
        <v>2527</v>
      </c>
      <c r="B567" s="513"/>
      <c r="C567" s="423"/>
      <c r="D567" s="423"/>
      <c r="E567" s="423"/>
      <c r="F567" s="423"/>
      <c r="G567" s="422"/>
      <c r="H567" s="422" t="str">
        <f>IF(ISBLANK(G591),"",G591)</f>
        <v/>
      </c>
      <c r="I567" s="422" t="str">
        <f>IF(ISBLANK(H591),"",H591)</f>
        <v/>
      </c>
      <c r="J567" s="422" t="str">
        <f>IF(ISBLANK(I591),"",I591)</f>
        <v/>
      </c>
      <c r="K567" s="423"/>
      <c r="L567" s="422" t="str">
        <f>IF(ISBLANK(J591),"",J591)</f>
        <v/>
      </c>
      <c r="M567" s="422" t="str">
        <f>IF(ISBLANK(L591),"",L591)</f>
        <v/>
      </c>
      <c r="N567" s="422" t="str">
        <f>IF(ISBLANK(M591),"",M591)</f>
        <v/>
      </c>
      <c r="O567" s="422" t="str">
        <f>IF(ISBLANK(N591),"",N591)</f>
        <v/>
      </c>
      <c r="P567" s="423" t="str">
        <f>IF(ISBLANK(J616),"",J616)</f>
        <v/>
      </c>
      <c r="Q567" s="422" t="str">
        <f>IF(ISBLANK(O591),"",O591)</f>
        <v/>
      </c>
      <c r="R567" s="422" t="str">
        <f>IF(ISBLANK(Q591),"",Q591)</f>
        <v/>
      </c>
      <c r="S567" s="422" t="str">
        <f>IF(ISBLANK(R591),"",R591)</f>
        <v/>
      </c>
      <c r="T567" s="422" t="str">
        <f>IF(ISBLANK(S591),"",S591)</f>
        <v/>
      </c>
      <c r="U567" s="423" t="str">
        <f>IF(ISBLANK(O616),"",O616)</f>
        <v/>
      </c>
      <c r="V567" s="422" t="str">
        <f>IF(ISBLANK(T591),"",T591)</f>
        <v/>
      </c>
      <c r="W567" s="422" t="str">
        <f>IF(ISBLANK(V591),"",V591)</f>
        <v/>
      </c>
      <c r="X567" s="422" t="str">
        <f>IF(ISBLANK(W591),"",W591)</f>
        <v/>
      </c>
      <c r="Y567" s="422" t="str">
        <f>IF(ISBLANK(X591),"",X591)</f>
        <v/>
      </c>
      <c r="Z567" s="423" t="str">
        <f>IF(ISBLANK(T616),"",T616)</f>
        <v/>
      </c>
      <c r="AA567" s="422" t="str">
        <f>IF(ISBLANK(Y591),"",Y591)</f>
        <v/>
      </c>
      <c r="AB567" s="422" t="str">
        <f>IF(ISBLANK(AA591),"",AA591)</f>
        <v/>
      </c>
      <c r="AC567" s="422" t="str">
        <f>IF(ISBLANK(AB591),"",AB591)</f>
        <v/>
      </c>
      <c r="AD567" s="422" t="str">
        <f>IF(ISBLANK(AC591),"",AC591)</f>
        <v/>
      </c>
      <c r="AE567" s="423" t="str">
        <f>IF(ISBLANK(Y616),"",Y616)</f>
        <v/>
      </c>
      <c r="AF567" s="422" t="str">
        <f>IF(ISBLANK(AD591),"",AD591)</f>
        <v/>
      </c>
      <c r="AG567" s="422" t="str">
        <f>IF(ISBLANK(AF591),"",AF591)</f>
        <v/>
      </c>
      <c r="AH567" s="422" t="str">
        <f>IF(ISBLANK(AG591),"",AG591)</f>
        <v/>
      </c>
      <c r="AI567" s="422" t="str">
        <f>IF(ISBLANK(AH591),"",AH591)</f>
        <v/>
      </c>
      <c r="AJ567" s="423" t="str">
        <f>IF(ISBLANK(AD616),"",AD616)</f>
        <v/>
      </c>
      <c r="AK567" s="422">
        <f>IF(ISBLANK(AI591),"",AI591)</f>
        <v>0.23499999999999999</v>
      </c>
      <c r="AL567" s="422" t="str">
        <f>IF(ISBLANK(AK591),"",AK591)</f>
        <v/>
      </c>
      <c r="AM567" s="422" t="str">
        <f>IF(ISBLANK(AL591),"",AL591)</f>
        <v/>
      </c>
      <c r="AN567" s="422" t="str">
        <f>IF(ISBLANK(AM591),"",AM591)</f>
        <v/>
      </c>
      <c r="AO567" s="423" t="str">
        <f>IF(ISBLANK(AI616),"",AI616)</f>
        <v/>
      </c>
      <c r="AP567" s="422">
        <f>IF(ISBLANK(AN591),"",AN591)</f>
        <v>0.23499999999999999</v>
      </c>
      <c r="AQ567" s="422">
        <f>IF(ISBLANK(AP591),"",AP591)</f>
        <v>0.26</v>
      </c>
      <c r="AR567" s="422">
        <f>IF(ISBLANK(AQ591),"",AQ591)</f>
        <v>0.26500000000000001</v>
      </c>
      <c r="AS567" s="422">
        <f>IF(ISBLANK(AR591),"",AR591)</f>
        <v>0.27</v>
      </c>
      <c r="AT567" s="423" t="str">
        <f>IF(ISBLANK(AN616),"",AN616)</f>
        <v/>
      </c>
      <c r="AU567" s="422">
        <f>IF(ISBLANK(AS591),"",AS591)</f>
        <v>0.27</v>
      </c>
      <c r="AV567" s="422">
        <f>IF(ISBLANK(AU591),"",AU591)</f>
        <v>0.27500000000000002</v>
      </c>
      <c r="AW567" s="422">
        <f>IF(ISBLANK(AV591),"",AV591)</f>
        <v>0.27500000000000002</v>
      </c>
      <c r="AX567" s="422">
        <f>IF(ISBLANK(AW591),"",AW591)</f>
        <v>0.27500000000000002</v>
      </c>
      <c r="AY567" s="423" t="str">
        <f>IF(ISBLANK(AS616),"",AS616)</f>
        <v/>
      </c>
      <c r="AZ567" s="422">
        <f>IF(ISBLANK(AX591),"",AX591)</f>
        <v>0.27500000000000002</v>
      </c>
      <c r="BA567" s="422">
        <f>IF(ISBLANK(AZ591),"",AZ591)</f>
        <v>0.27500000000000002</v>
      </c>
      <c r="BB567" s="422">
        <f>IF(ISBLANK(BA591),"",BA591)</f>
        <v>0.27500000000000002</v>
      </c>
      <c r="BC567" s="422">
        <f>IF(ISBLANK(BB591),"",BB591)</f>
        <v>0.28500000000000003</v>
      </c>
      <c r="BD567" s="423" t="str">
        <f>IF(ISBLANK(AX616),"",AX616)</f>
        <v/>
      </c>
      <c r="BE567" s="422">
        <f>IF(ISBLANK(BC591),"",BC591)</f>
        <v>0.28500000000000003</v>
      </c>
      <c r="BF567" s="422">
        <f>IF(ISBLANK(BE591),"",BE591)</f>
        <v>0.29499999999999998</v>
      </c>
      <c r="BG567" s="422">
        <f>IF(ISBLANK(BF591),"",BF591)</f>
        <v>0.3</v>
      </c>
      <c r="BH567" s="422">
        <f>IF(ISBLANK(BG591),"",BG591)</f>
        <v>0.30499999999999999</v>
      </c>
      <c r="BI567" s="423" t="str">
        <f>IF(ISBLANK(BC616),"",BC616)</f>
        <v/>
      </c>
      <c r="BJ567" s="1034">
        <f>IF(ISBLANK(BH591),"",BH591)</f>
        <v>0.30499999999999999</v>
      </c>
      <c r="BK567" s="422">
        <f>IF(ISBLANK(BJ591),"",BJ591)</f>
        <v>0.30499999999999999</v>
      </c>
      <c r="BL567" s="422" t="str">
        <f>IF(ISBLANK(BK591),"",BK591)</f>
        <v/>
      </c>
      <c r="BM567" s="422" t="str">
        <f>IF(ISBLANK(BL591),"",BL591)</f>
        <v/>
      </c>
      <c r="BN567" s="423" t="str">
        <f>IF(ISBLANK(BH616),"",BH616)</f>
        <v/>
      </c>
      <c r="BO567" s="422" t="str">
        <f>IF(ISBLANK(BM591),"",BM591)</f>
        <v/>
      </c>
      <c r="BP567" s="422" t="str">
        <f>IF(ISBLANK(BO591),"",BO591)</f>
        <v/>
      </c>
      <c r="BQ567" s="422" t="str">
        <f>IF(ISBLANK(BP591),"",BP591)</f>
        <v/>
      </c>
      <c r="BR567" s="422" t="str">
        <f>IF(ISBLANK(BQ591),"",BQ591)</f>
        <v/>
      </c>
      <c r="BS567" s="423" t="str">
        <f>IF(ISBLANK(BM616),"",BM616)</f>
        <v/>
      </c>
      <c r="BT567" s="423"/>
      <c r="BU567" s="423"/>
      <c r="BV567" s="423"/>
      <c r="BW567" s="118"/>
    </row>
    <row r="568" spans="1:75" hidden="1" outlineLevel="2" x14ac:dyDescent="0.5">
      <c r="A568" s="526" t="s">
        <v>2528</v>
      </c>
      <c r="B568" s="513"/>
      <c r="C568" s="423"/>
      <c r="D568" s="423"/>
      <c r="E568" s="423"/>
      <c r="F568" s="423"/>
      <c r="G568" s="422"/>
      <c r="H568" s="422"/>
      <c r="I568" s="422"/>
      <c r="J568" s="422"/>
      <c r="K568" s="423" t="str">
        <f>IF(ISBLANK(G616),"",G616)</f>
        <v/>
      </c>
      <c r="L568" s="422"/>
      <c r="M568" s="422"/>
      <c r="N568" s="422"/>
      <c r="O568" s="422"/>
      <c r="P568" s="423" t="str">
        <f>IF(ISBLANK(L616),"",L616)</f>
        <v/>
      </c>
      <c r="Q568" s="422"/>
      <c r="R568" s="422"/>
      <c r="S568" s="422"/>
      <c r="T568" s="422"/>
      <c r="U568" s="423" t="str">
        <f>IF(ISBLANK(Q616),"",Q616)</f>
        <v/>
      </c>
      <c r="V568" s="422"/>
      <c r="W568" s="422"/>
      <c r="X568" s="422"/>
      <c r="Y568" s="422"/>
      <c r="Z568" s="423" t="str">
        <f>IF(ISBLANK(V616),"",V616)</f>
        <v/>
      </c>
      <c r="AA568" s="422"/>
      <c r="AB568" s="422"/>
      <c r="AC568" s="422"/>
      <c r="AD568" s="422"/>
      <c r="AE568" s="423" t="str">
        <f>IF(ISBLANK(AA616),"",AA616)</f>
        <v/>
      </c>
      <c r="AF568" s="422"/>
      <c r="AG568" s="422"/>
      <c r="AH568" s="422"/>
      <c r="AI568" s="422"/>
      <c r="AJ568" s="423" t="str">
        <f>IF(ISBLANK(AF616),"",AF616)</f>
        <v/>
      </c>
      <c r="AK568" s="422"/>
      <c r="AL568" s="422"/>
      <c r="AM568" s="422"/>
      <c r="AN568" s="422"/>
      <c r="AO568" s="423" t="str">
        <f>IF(ISBLANK(AK616),"",AK616)</f>
        <v/>
      </c>
      <c r="AP568" s="422"/>
      <c r="AQ568" s="422"/>
      <c r="AR568" s="422"/>
      <c r="AS568" s="422"/>
      <c r="AT568" s="423" t="str">
        <f>IF(ISBLANK(AP616),"",AP616)</f>
        <v/>
      </c>
      <c r="AU568" s="422"/>
      <c r="AV568" s="422"/>
      <c r="AW568" s="422"/>
      <c r="AX568" s="422"/>
      <c r="AY568" s="423" t="str">
        <f>IF(ISBLANK(AU616),"",AU616)</f>
        <v/>
      </c>
      <c r="AZ568" s="422"/>
      <c r="BA568" s="422"/>
      <c r="BB568" s="422"/>
      <c r="BC568" s="422"/>
      <c r="BD568" s="423" t="str">
        <f>IF(ISBLANK(AZ616),"",AZ616)</f>
        <v/>
      </c>
      <c r="BE568" s="422"/>
      <c r="BF568" s="422"/>
      <c r="BG568" s="422"/>
      <c r="BH568" s="422"/>
      <c r="BI568" s="423" t="str">
        <f>IF(ISBLANK(BE616),"",BE616)</f>
        <v/>
      </c>
      <c r="BJ568" s="1034"/>
      <c r="BK568" s="422"/>
      <c r="BL568" s="422"/>
      <c r="BM568" s="422"/>
      <c r="BN568" s="423" t="str">
        <f>IF(ISBLANK(BJ616),"",BJ616)</f>
        <v/>
      </c>
      <c r="BO568" s="422"/>
      <c r="BP568" s="422"/>
      <c r="BQ568" s="422"/>
      <c r="BR568" s="422"/>
      <c r="BS568" s="423" t="str">
        <f>IF(ISBLANK(BO616),"",BO616)</f>
        <v/>
      </c>
      <c r="BT568" s="423"/>
      <c r="BU568" s="423"/>
      <c r="BV568" s="423"/>
      <c r="BW568" s="118"/>
    </row>
    <row r="569" spans="1:75" hidden="1" outlineLevel="2" x14ac:dyDescent="0.5">
      <c r="A569" s="526" t="s">
        <v>2529</v>
      </c>
      <c r="B569" s="513"/>
      <c r="C569" s="423"/>
      <c r="D569" s="423"/>
      <c r="E569" s="423"/>
      <c r="F569" s="423"/>
      <c r="G569" s="422"/>
      <c r="H569" s="422"/>
      <c r="I569" s="422"/>
      <c r="J569" s="422"/>
      <c r="K569" s="423" t="str">
        <f>IF(ISBLANK(H616),"",H616)</f>
        <v/>
      </c>
      <c r="L569" s="422"/>
      <c r="M569" s="422"/>
      <c r="N569" s="422"/>
      <c r="O569" s="422"/>
      <c r="P569" s="423" t="str">
        <f>IF(ISBLANK(M616),"",M616)</f>
        <v/>
      </c>
      <c r="Q569" s="422"/>
      <c r="R569" s="422"/>
      <c r="S569" s="422"/>
      <c r="T569" s="422"/>
      <c r="U569" s="423" t="str">
        <f>IF(ISBLANK(R616),"",R616)</f>
        <v/>
      </c>
      <c r="V569" s="422"/>
      <c r="W569" s="422"/>
      <c r="X569" s="422"/>
      <c r="Y569" s="422"/>
      <c r="Z569" s="423" t="str">
        <f>IF(ISBLANK(W616),"",W616)</f>
        <v/>
      </c>
      <c r="AA569" s="422"/>
      <c r="AB569" s="422"/>
      <c r="AC569" s="422"/>
      <c r="AD569" s="422"/>
      <c r="AE569" s="423" t="str">
        <f>IF(ISBLANK(AB616),"",AB616)</f>
        <v/>
      </c>
      <c r="AF569" s="422"/>
      <c r="AG569" s="422"/>
      <c r="AH569" s="422"/>
      <c r="AI569" s="422"/>
      <c r="AJ569" s="423" t="str">
        <f>IF(ISBLANK(AG616),"",AG616)</f>
        <v/>
      </c>
      <c r="AK569" s="422"/>
      <c r="AL569" s="422"/>
      <c r="AM569" s="422"/>
      <c r="AN569" s="422"/>
      <c r="AO569" s="423" t="str">
        <f>IF(ISBLANK(AL616),"",AL616)</f>
        <v/>
      </c>
      <c r="AP569" s="422"/>
      <c r="AQ569" s="422"/>
      <c r="AR569" s="422"/>
      <c r="AS569" s="422"/>
      <c r="AT569" s="423" t="str">
        <f>IF(ISBLANK(AQ616),"",AQ616)</f>
        <v/>
      </c>
      <c r="AU569" s="422"/>
      <c r="AV569" s="422"/>
      <c r="AW569" s="422"/>
      <c r="AX569" s="422"/>
      <c r="AY569" s="423" t="str">
        <f>IF(ISBLANK(AV616),"",AV616)</f>
        <v/>
      </c>
      <c r="AZ569" s="422"/>
      <c r="BA569" s="422"/>
      <c r="BB569" s="422"/>
      <c r="BC569" s="422"/>
      <c r="BD569" s="423" t="str">
        <f>IF(ISBLANK(BA616),"",BA616)</f>
        <v/>
      </c>
      <c r="BE569" s="422"/>
      <c r="BF569" s="422"/>
      <c r="BG569" s="422"/>
      <c r="BH569" s="422"/>
      <c r="BI569" s="423" t="str">
        <f>IF(ISBLANK(BF616),"",BF616)</f>
        <v/>
      </c>
      <c r="BJ569" s="1034"/>
      <c r="BK569" s="422"/>
      <c r="BL569" s="422"/>
      <c r="BM569" s="422"/>
      <c r="BN569" s="423" t="str">
        <f>IF(ISBLANK(BK616),"",BK616)</f>
        <v/>
      </c>
      <c r="BO569" s="422"/>
      <c r="BP569" s="422"/>
      <c r="BQ569" s="422"/>
      <c r="BR569" s="422"/>
      <c r="BS569" s="423" t="str">
        <f>IF(ISBLANK(BP616),"",BP616)</f>
        <v/>
      </c>
      <c r="BT569" s="423"/>
      <c r="BU569" s="423"/>
      <c r="BV569" s="423"/>
      <c r="BW569" s="118"/>
    </row>
    <row r="570" spans="1:75" hidden="1" outlineLevel="2" x14ac:dyDescent="0.5">
      <c r="A570" s="664" t="s">
        <v>2530</v>
      </c>
      <c r="B570" s="677"/>
      <c r="C570" s="1210"/>
      <c r="D570" s="1210"/>
      <c r="E570" s="1210"/>
      <c r="F570" s="1210"/>
      <c r="G570" s="1211"/>
      <c r="H570" s="1211"/>
      <c r="I570" s="1211"/>
      <c r="J570" s="1211"/>
      <c r="K570" s="1210" t="str">
        <f>IF(ISBLANK(I616),"",I616)</f>
        <v/>
      </c>
      <c r="L570" s="1211"/>
      <c r="M570" s="1211"/>
      <c r="N570" s="1211"/>
      <c r="O570" s="1211"/>
      <c r="P570" s="1210" t="str">
        <f>IF(ISBLANK(N616),"",N616)</f>
        <v/>
      </c>
      <c r="Q570" s="1211"/>
      <c r="R570" s="1211"/>
      <c r="S570" s="1211"/>
      <c r="T570" s="1211"/>
      <c r="U570" s="1210" t="str">
        <f>IF(ISBLANK(S616),"",S616)</f>
        <v/>
      </c>
      <c r="V570" s="1211"/>
      <c r="W570" s="1211"/>
      <c r="X570" s="1211"/>
      <c r="Y570" s="1211"/>
      <c r="Z570" s="1210" t="str">
        <f>IF(ISBLANK(X616),"",X616)</f>
        <v/>
      </c>
      <c r="AA570" s="1211"/>
      <c r="AB570" s="1211"/>
      <c r="AC570" s="1211"/>
      <c r="AD570" s="1211"/>
      <c r="AE570" s="1210" t="str">
        <f>IF(ISBLANK(AC616),"",AC616)</f>
        <v/>
      </c>
      <c r="AF570" s="1211"/>
      <c r="AG570" s="1211"/>
      <c r="AH570" s="1211"/>
      <c r="AI570" s="1211"/>
      <c r="AJ570" s="1210" t="str">
        <f>IF(ISBLANK(AH616),"",AH616)</f>
        <v/>
      </c>
      <c r="AK570" s="1211"/>
      <c r="AL570" s="1211"/>
      <c r="AM570" s="1211"/>
      <c r="AN570" s="1211"/>
      <c r="AO570" s="1210" t="str">
        <f>IF(ISBLANK(AM616),"",AM616)</f>
        <v/>
      </c>
      <c r="AP570" s="1211"/>
      <c r="AQ570" s="1211"/>
      <c r="AR570" s="1211"/>
      <c r="AS570" s="1211"/>
      <c r="AT570" s="1210" t="str">
        <f>IF(ISBLANK(AR616),"",AR616)</f>
        <v/>
      </c>
      <c r="AU570" s="1211"/>
      <c r="AV570" s="1211"/>
      <c r="AW570" s="1211"/>
      <c r="AX570" s="1211"/>
      <c r="AY570" s="1210" t="str">
        <f>IF(ISBLANK(AW616),"",AW616)</f>
        <v/>
      </c>
      <c r="AZ570" s="1211"/>
      <c r="BA570" s="1211"/>
      <c r="BB570" s="1211"/>
      <c r="BC570" s="1211"/>
      <c r="BD570" s="1210" t="str">
        <f>IF(ISBLANK(BB616),"",BB616)</f>
        <v/>
      </c>
      <c r="BE570" s="1211"/>
      <c r="BF570" s="1211"/>
      <c r="BG570" s="1211"/>
      <c r="BH570" s="1211"/>
      <c r="BI570" s="1210" t="str">
        <f>IF(ISBLANK(BG616),"",BG616)</f>
        <v/>
      </c>
      <c r="BJ570" s="1212"/>
      <c r="BK570" s="1211"/>
      <c r="BL570" s="1211"/>
      <c r="BM570" s="1211"/>
      <c r="BN570" s="1210" t="str">
        <f>IF(ISBLANK(BL616),"",BL616)</f>
        <v/>
      </c>
      <c r="BO570" s="1211"/>
      <c r="BP570" s="1211"/>
      <c r="BQ570" s="1211"/>
      <c r="BR570" s="1211"/>
      <c r="BS570" s="1210" t="str">
        <f>IF(ISBLANK(BQ616),"",BQ616)</f>
        <v/>
      </c>
      <c r="BT570" s="1210"/>
      <c r="BU570" s="1210"/>
      <c r="BV570" s="1210"/>
      <c r="BW570" s="118"/>
    </row>
    <row r="571" spans="1:75" hidden="1" outlineLevel="1" x14ac:dyDescent="0.5">
      <c r="A571" s="211" t="s">
        <v>2531</v>
      </c>
      <c r="B571" s="513"/>
      <c r="C571" s="423"/>
      <c r="D571" s="423"/>
      <c r="E571" s="423"/>
      <c r="F571" s="423"/>
      <c r="G571" s="422" t="str">
        <f t="shared" ref="G571:BN571" si="416">IF(G570="",IF(G569="",IF(G568="",IF(G567="","",G567),G568),G569),G570)</f>
        <v/>
      </c>
      <c r="H571" s="422" t="str">
        <f t="shared" si="416"/>
        <v/>
      </c>
      <c r="I571" s="422" t="str">
        <f t="shared" si="416"/>
        <v/>
      </c>
      <c r="J571" s="422" t="str">
        <f t="shared" si="416"/>
        <v/>
      </c>
      <c r="K571" s="423" t="str">
        <f t="shared" si="416"/>
        <v/>
      </c>
      <c r="L571" s="422" t="str">
        <f t="shared" si="416"/>
        <v/>
      </c>
      <c r="M571" s="422" t="str">
        <f t="shared" si="416"/>
        <v/>
      </c>
      <c r="N571" s="422" t="str">
        <f t="shared" si="416"/>
        <v/>
      </c>
      <c r="O571" s="422" t="str">
        <f t="shared" si="416"/>
        <v/>
      </c>
      <c r="P571" s="423" t="str">
        <f t="shared" si="416"/>
        <v/>
      </c>
      <c r="Q571" s="422" t="str">
        <f t="shared" si="416"/>
        <v/>
      </c>
      <c r="R571" s="422" t="str">
        <f t="shared" si="416"/>
        <v/>
      </c>
      <c r="S571" s="422" t="str">
        <f t="shared" si="416"/>
        <v/>
      </c>
      <c r="T571" s="422" t="str">
        <f t="shared" si="416"/>
        <v/>
      </c>
      <c r="U571" s="423" t="str">
        <f t="shared" si="416"/>
        <v/>
      </c>
      <c r="V571" s="422" t="str">
        <f t="shared" si="416"/>
        <v/>
      </c>
      <c r="W571" s="422" t="str">
        <f t="shared" si="416"/>
        <v/>
      </c>
      <c r="X571" s="422" t="str">
        <f t="shared" si="416"/>
        <v/>
      </c>
      <c r="Y571" s="422" t="str">
        <f t="shared" si="416"/>
        <v/>
      </c>
      <c r="Z571" s="423" t="str">
        <f t="shared" si="416"/>
        <v/>
      </c>
      <c r="AA571" s="422" t="str">
        <f t="shared" si="416"/>
        <v/>
      </c>
      <c r="AB571" s="422" t="str">
        <f t="shared" si="416"/>
        <v/>
      </c>
      <c r="AC571" s="422" t="str">
        <f t="shared" si="416"/>
        <v/>
      </c>
      <c r="AD571" s="422" t="str">
        <f t="shared" si="416"/>
        <v/>
      </c>
      <c r="AE571" s="423" t="str">
        <f t="shared" si="416"/>
        <v/>
      </c>
      <c r="AF571" s="422" t="str">
        <f t="shared" si="416"/>
        <v/>
      </c>
      <c r="AG571" s="422" t="str">
        <f t="shared" si="416"/>
        <v/>
      </c>
      <c r="AH571" s="422" t="str">
        <f t="shared" si="416"/>
        <v/>
      </c>
      <c r="AI571" s="422" t="str">
        <f t="shared" si="416"/>
        <v/>
      </c>
      <c r="AJ571" s="423" t="str">
        <f t="shared" si="416"/>
        <v/>
      </c>
      <c r="AK571" s="422">
        <f t="shared" si="416"/>
        <v>0.23499999999999999</v>
      </c>
      <c r="AL571" s="422" t="str">
        <f t="shared" si="416"/>
        <v/>
      </c>
      <c r="AM571" s="422" t="str">
        <f t="shared" si="416"/>
        <v/>
      </c>
      <c r="AN571" s="422" t="str">
        <f t="shared" si="416"/>
        <v/>
      </c>
      <c r="AO571" s="423" t="str">
        <f t="shared" si="416"/>
        <v/>
      </c>
      <c r="AP571" s="422">
        <f t="shared" si="416"/>
        <v>0.23499999999999999</v>
      </c>
      <c r="AQ571" s="422">
        <f t="shared" si="416"/>
        <v>0.26</v>
      </c>
      <c r="AR571" s="422">
        <f t="shared" si="416"/>
        <v>0.26500000000000001</v>
      </c>
      <c r="AS571" s="422">
        <f t="shared" si="416"/>
        <v>0.27</v>
      </c>
      <c r="AT571" s="423" t="str">
        <f t="shared" si="416"/>
        <v/>
      </c>
      <c r="AU571" s="422">
        <f t="shared" si="416"/>
        <v>0.27</v>
      </c>
      <c r="AV571" s="422">
        <f t="shared" si="416"/>
        <v>0.27500000000000002</v>
      </c>
      <c r="AW571" s="422">
        <f t="shared" si="416"/>
        <v>0.27500000000000002</v>
      </c>
      <c r="AX571" s="422">
        <f t="shared" si="416"/>
        <v>0.27500000000000002</v>
      </c>
      <c r="AY571" s="423" t="str">
        <f t="shared" si="416"/>
        <v/>
      </c>
      <c r="AZ571" s="422">
        <f t="shared" si="416"/>
        <v>0.27500000000000002</v>
      </c>
      <c r="BA571" s="422">
        <f t="shared" si="416"/>
        <v>0.27500000000000002</v>
      </c>
      <c r="BB571" s="422">
        <f t="shared" si="416"/>
        <v>0.27500000000000002</v>
      </c>
      <c r="BC571" s="422">
        <f t="shared" si="416"/>
        <v>0.28500000000000003</v>
      </c>
      <c r="BD571" s="423" t="str">
        <f t="shared" si="416"/>
        <v/>
      </c>
      <c r="BE571" s="422">
        <f t="shared" si="416"/>
        <v>0.28500000000000003</v>
      </c>
      <c r="BF571" s="422">
        <f t="shared" si="416"/>
        <v>0.29499999999999998</v>
      </c>
      <c r="BG571" s="422">
        <f t="shared" si="416"/>
        <v>0.3</v>
      </c>
      <c r="BH571" s="422">
        <f t="shared" si="416"/>
        <v>0.30499999999999999</v>
      </c>
      <c r="BI571" s="423" t="str">
        <f t="shared" si="416"/>
        <v/>
      </c>
      <c r="BJ571" s="1034">
        <f>IF(BJ570="",IF(BJ569="",IF(BJ568="",IF(BJ567="","",BJ567),BJ568),BJ569),BJ570)</f>
        <v>0.30499999999999999</v>
      </c>
      <c r="BK571" s="422">
        <f t="shared" si="416"/>
        <v>0.30499999999999999</v>
      </c>
      <c r="BL571" s="422" t="str">
        <f t="shared" si="416"/>
        <v/>
      </c>
      <c r="BM571" s="422" t="str">
        <f t="shared" si="416"/>
        <v/>
      </c>
      <c r="BN571" s="423" t="str">
        <f t="shared" si="416"/>
        <v/>
      </c>
      <c r="BO571" s="422" t="str">
        <f>IF(BO570="",IF(BO569="",IF(BO568="",IF(BO567="","",BO567),BO568),BO569),BO570)</f>
        <v/>
      </c>
      <c r="BP571" s="422" t="str">
        <f>IF(BP570="",IF(BP569="",IF(BP568="",IF(BP567="","",BP567),BP568),BP569),BP570)</f>
        <v/>
      </c>
      <c r="BQ571" s="422" t="str">
        <f>IF(BQ570="",IF(BQ569="",IF(BQ568="",IF(BQ567="","",BQ567),BQ568),BQ569),BQ570)</f>
        <v/>
      </c>
      <c r="BR571" s="422" t="str">
        <f>IF(BR570="",IF(BR569="",IF(BR568="",IF(BR567="","",BR567),BR568),BR569),BR570)</f>
        <v/>
      </c>
      <c r="BS571" s="423" t="str">
        <f>IF(BS570="",IF(BS569="",IF(BS568="",IF(BS567="","",BS567),BS568),BS569),BS570)</f>
        <v/>
      </c>
      <c r="BT571" s="423"/>
      <c r="BU571" s="423"/>
      <c r="BV571" s="423"/>
      <c r="BW571" s="118"/>
    </row>
    <row r="572" spans="1:75" hidden="1" outlineLevel="1" x14ac:dyDescent="0.5">
      <c r="A572" s="1534" t="s">
        <v>2532</v>
      </c>
      <c r="B572" s="677"/>
      <c r="C572" s="1210">
        <f t="shared" ref="C572:BN572" si="417">C156</f>
        <v>0</v>
      </c>
      <c r="D572" s="1210">
        <f t="shared" si="417"/>
        <v>0</v>
      </c>
      <c r="E572" s="1210">
        <f t="shared" si="417"/>
        <v>0.25421002984520702</v>
      </c>
      <c r="F572" s="1210">
        <f t="shared" si="417"/>
        <v>0.24150122789620454</v>
      </c>
      <c r="G572" s="1211">
        <f t="shared" si="417"/>
        <v>0.24485767192530761</v>
      </c>
      <c r="H572" s="1211">
        <f t="shared" si="417"/>
        <v>0.24996926889471283</v>
      </c>
      <c r="I572" s="1211">
        <f t="shared" si="417"/>
        <v>0.24713656016384178</v>
      </c>
      <c r="J572" s="1211">
        <f t="shared" si="417"/>
        <v>0.23947205358019585</v>
      </c>
      <c r="K572" s="1210">
        <f t="shared" si="417"/>
        <v>0.24484655121019649</v>
      </c>
      <c r="L572" s="1211">
        <f t="shared" si="417"/>
        <v>0.23396254848281528</v>
      </c>
      <c r="M572" s="1211">
        <f t="shared" si="417"/>
        <v>0.23170422120452083</v>
      </c>
      <c r="N572" s="1211">
        <f t="shared" si="417"/>
        <v>0.23506787868692514</v>
      </c>
      <c r="O572" s="1211">
        <f t="shared" si="417"/>
        <v>0.24083559501638452</v>
      </c>
      <c r="P572" s="1210">
        <f t="shared" si="417"/>
        <v>0.23586774641362729</v>
      </c>
      <c r="Q572" s="1211">
        <f t="shared" si="417"/>
        <v>0.24232334443211245</v>
      </c>
      <c r="R572" s="1211">
        <f t="shared" si="417"/>
        <v>0.24565431355642675</v>
      </c>
      <c r="S572" s="1211">
        <f t="shared" si="417"/>
        <v>0.23803478951869783</v>
      </c>
      <c r="T572" s="1211">
        <f t="shared" si="417"/>
        <v>0.2375025345030346</v>
      </c>
      <c r="U572" s="1210">
        <f t="shared" si="417"/>
        <v>0.24033406151869985</v>
      </c>
      <c r="V572" s="1211">
        <f t="shared" si="417"/>
        <v>0.23958851833416284</v>
      </c>
      <c r="W572" s="1211">
        <f t="shared" si="417"/>
        <v>0.23955685907732349</v>
      </c>
      <c r="X572" s="1211">
        <f t="shared" si="417"/>
        <v>0.23407446098488138</v>
      </c>
      <c r="Y572" s="1211">
        <f t="shared" si="417"/>
        <v>0.24232168920298325</v>
      </c>
      <c r="Z572" s="1210">
        <f t="shared" si="417"/>
        <v>0.2389718846513389</v>
      </c>
      <c r="AA572" s="1211">
        <f t="shared" si="417"/>
        <v>0.24654125361017876</v>
      </c>
      <c r="AB572" s="1211">
        <f t="shared" si="417"/>
        <v>0.23998268700527936</v>
      </c>
      <c r="AC572" s="1211">
        <f t="shared" si="417"/>
        <v>0.23394213644155648</v>
      </c>
      <c r="AD572" s="1211">
        <f t="shared" si="417"/>
        <v>0.23082787126758864</v>
      </c>
      <c r="AE572" s="1210">
        <f t="shared" si="417"/>
        <v>0.23699383273722463</v>
      </c>
      <c r="AF572" s="1211">
        <f t="shared" si="417"/>
        <v>0.23059969279390202</v>
      </c>
      <c r="AG572" s="1211">
        <f t="shared" si="417"/>
        <v>0.23259664970252336</v>
      </c>
      <c r="AH572" s="1211">
        <f t="shared" si="417"/>
        <v>0.23027652295759082</v>
      </c>
      <c r="AI572" s="1211">
        <f t="shared" si="417"/>
        <v>0.24087439746892259</v>
      </c>
      <c r="AJ572" s="1210">
        <f t="shared" si="417"/>
        <v>0.23405845608919318</v>
      </c>
      <c r="AK572" s="1211">
        <f t="shared" si="417"/>
        <v>0.2419009589017852</v>
      </c>
      <c r="AL572" s="1211">
        <f t="shared" si="417"/>
        <v>0.23881351165538822</v>
      </c>
      <c r="AM572" s="1211">
        <f t="shared" si="417"/>
        <v>0.23418956602227647</v>
      </c>
      <c r="AN572" s="1211">
        <f t="shared" si="417"/>
        <v>0.22788919632601679</v>
      </c>
      <c r="AO572" s="1210">
        <f t="shared" si="417"/>
        <v>0.23527101890565605</v>
      </c>
      <c r="AP572" s="1211">
        <f t="shared" si="417"/>
        <v>0.24854392349048071</v>
      </c>
      <c r="AQ572" s="1211">
        <f t="shared" si="417"/>
        <v>0.30688284728778403</v>
      </c>
      <c r="AR572" s="1211">
        <f t="shared" si="417"/>
        <v>0.29884283917209487</v>
      </c>
      <c r="AS572" s="1211">
        <f t="shared" si="417"/>
        <v>0.290011771112475</v>
      </c>
      <c r="AT572" s="1210">
        <f t="shared" si="417"/>
        <v>0.29071231169171974</v>
      </c>
      <c r="AU572" s="1211">
        <f t="shared" si="417"/>
        <v>0.28843186433542545</v>
      </c>
      <c r="AV572" s="1211">
        <f t="shared" si="417"/>
        <v>0.2924233712651253</v>
      </c>
      <c r="AW572" s="1211">
        <f t="shared" si="417"/>
        <v>0.28282746726056307</v>
      </c>
      <c r="AX572" s="1211">
        <f t="shared" si="417"/>
        <v>0.27098601286129131</v>
      </c>
      <c r="AY572" s="1210">
        <f t="shared" si="417"/>
        <v>0.28414064779690695</v>
      </c>
      <c r="AZ572" s="1211">
        <f t="shared" si="417"/>
        <v>0.26829268292682928</v>
      </c>
      <c r="BA572" s="1211">
        <f t="shared" si="417"/>
        <v>0.27283800243605361</v>
      </c>
      <c r="BB572" s="1211">
        <f t="shared" si="417"/>
        <v>0.29014084507042248</v>
      </c>
      <c r="BC572" s="1211">
        <f t="shared" si="417"/>
        <v>0.28797162205740079</v>
      </c>
      <c r="BD572" s="1210">
        <f t="shared" si="417"/>
        <v>0.27958749386151582</v>
      </c>
      <c r="BE572" s="1211">
        <f t="shared" si="417"/>
        <v>0.29596250901225662</v>
      </c>
      <c r="BF572" s="1211">
        <f t="shared" si="417"/>
        <v>0.31062756228319144</v>
      </c>
      <c r="BG572" s="1211">
        <f t="shared" si="417"/>
        <v>0.31148097826086951</v>
      </c>
      <c r="BH572" s="1211">
        <f t="shared" si="417"/>
        <v>0.30314707771355165</v>
      </c>
      <c r="BI572" s="1210">
        <f t="shared" si="417"/>
        <v>0.30550695659418481</v>
      </c>
      <c r="BJ572" s="1212">
        <f t="shared" si="417"/>
        <v>0.30010993037742761</v>
      </c>
      <c r="BK572" s="1211">
        <f t="shared" si="417"/>
        <v>0.30562756228319143</v>
      </c>
      <c r="BL572" s="1211">
        <f t="shared" si="417"/>
        <v>0.31348097826086962</v>
      </c>
      <c r="BM572" s="1211">
        <f t="shared" si="417"/>
        <v>0.30514707771355176</v>
      </c>
      <c r="BN572" s="1210">
        <f t="shared" si="417"/>
        <v>0.3061968896963474</v>
      </c>
      <c r="BO572" s="1211">
        <f t="shared" ref="BO572:BV572" si="418">BO156</f>
        <v>0.30210993037742762</v>
      </c>
      <c r="BP572" s="1211">
        <f t="shared" si="418"/>
        <v>0.30762756228319144</v>
      </c>
      <c r="BQ572" s="1211">
        <f t="shared" si="418"/>
        <v>0.31548097826086963</v>
      </c>
      <c r="BR572" s="1211">
        <f t="shared" si="418"/>
        <v>0.30714707771355176</v>
      </c>
      <c r="BS572" s="1210">
        <f t="shared" si="418"/>
        <v>0.30819688969634751</v>
      </c>
      <c r="BT572" s="1210">
        <f t="shared" si="418"/>
        <v>0.3101968896963474</v>
      </c>
      <c r="BU572" s="1210">
        <f t="shared" si="418"/>
        <v>0.3121968896963474</v>
      </c>
      <c r="BV572" s="1210">
        <f t="shared" si="418"/>
        <v>0.31419688969634751</v>
      </c>
      <c r="BW572" s="118"/>
    </row>
    <row r="573" spans="1:75" hidden="1" outlineLevel="1" x14ac:dyDescent="0.5">
      <c r="A573" s="1535" t="s">
        <v>2533</v>
      </c>
      <c r="B573" s="1525"/>
      <c r="C573" s="957"/>
      <c r="D573" s="957"/>
      <c r="E573" s="957"/>
      <c r="F573" s="957"/>
      <c r="G573" s="958" t="str">
        <f t="shared" ref="G573:BN573" si="419">IFERROR((G572-G571)*10000,"")</f>
        <v/>
      </c>
      <c r="H573" s="958" t="str">
        <f t="shared" si="419"/>
        <v/>
      </c>
      <c r="I573" s="958" t="str">
        <f t="shared" si="419"/>
        <v/>
      </c>
      <c r="J573" s="958" t="str">
        <f t="shared" si="419"/>
        <v/>
      </c>
      <c r="K573" s="957" t="str">
        <f t="shared" si="419"/>
        <v/>
      </c>
      <c r="L573" s="958" t="str">
        <f t="shared" si="419"/>
        <v/>
      </c>
      <c r="M573" s="958" t="str">
        <f t="shared" si="419"/>
        <v/>
      </c>
      <c r="N573" s="958" t="str">
        <f t="shared" si="419"/>
        <v/>
      </c>
      <c r="O573" s="958" t="str">
        <f t="shared" si="419"/>
        <v/>
      </c>
      <c r="P573" s="957" t="str">
        <f t="shared" si="419"/>
        <v/>
      </c>
      <c r="Q573" s="958" t="str">
        <f t="shared" si="419"/>
        <v/>
      </c>
      <c r="R573" s="958" t="str">
        <f t="shared" si="419"/>
        <v/>
      </c>
      <c r="S573" s="958" t="str">
        <f t="shared" si="419"/>
        <v/>
      </c>
      <c r="T573" s="958" t="str">
        <f t="shared" si="419"/>
        <v/>
      </c>
      <c r="U573" s="957" t="str">
        <f t="shared" si="419"/>
        <v/>
      </c>
      <c r="V573" s="958" t="str">
        <f t="shared" si="419"/>
        <v/>
      </c>
      <c r="W573" s="958" t="str">
        <f t="shared" si="419"/>
        <v/>
      </c>
      <c r="X573" s="958" t="str">
        <f t="shared" si="419"/>
        <v/>
      </c>
      <c r="Y573" s="958" t="str">
        <f t="shared" si="419"/>
        <v/>
      </c>
      <c r="Z573" s="957" t="str">
        <f t="shared" si="419"/>
        <v/>
      </c>
      <c r="AA573" s="958" t="str">
        <f t="shared" si="419"/>
        <v/>
      </c>
      <c r="AB573" s="958" t="str">
        <f t="shared" si="419"/>
        <v/>
      </c>
      <c r="AC573" s="958" t="str">
        <f t="shared" si="419"/>
        <v/>
      </c>
      <c r="AD573" s="958" t="str">
        <f t="shared" si="419"/>
        <v/>
      </c>
      <c r="AE573" s="957" t="str">
        <f t="shared" si="419"/>
        <v/>
      </c>
      <c r="AF573" s="958" t="str">
        <f t="shared" si="419"/>
        <v/>
      </c>
      <c r="AG573" s="958" t="str">
        <f t="shared" si="419"/>
        <v/>
      </c>
      <c r="AH573" s="958" t="str">
        <f t="shared" si="419"/>
        <v/>
      </c>
      <c r="AI573" s="958" t="str">
        <f t="shared" si="419"/>
        <v/>
      </c>
      <c r="AJ573" s="957" t="str">
        <f t="shared" si="419"/>
        <v/>
      </c>
      <c r="AK573" s="958">
        <f t="shared" si="419"/>
        <v>69.00958901785215</v>
      </c>
      <c r="AL573" s="958" t="str">
        <f t="shared" si="419"/>
        <v/>
      </c>
      <c r="AM573" s="958" t="str">
        <f t="shared" si="419"/>
        <v/>
      </c>
      <c r="AN573" s="958" t="str">
        <f t="shared" si="419"/>
        <v/>
      </c>
      <c r="AO573" s="957" t="str">
        <f t="shared" si="419"/>
        <v/>
      </c>
      <c r="AP573" s="958">
        <f t="shared" si="419"/>
        <v>135.43923490480725</v>
      </c>
      <c r="AQ573" s="958">
        <f t="shared" si="419"/>
        <v>468.82847287784023</v>
      </c>
      <c r="AR573" s="958">
        <f t="shared" si="419"/>
        <v>338.42839172094853</v>
      </c>
      <c r="AS573" s="958">
        <f t="shared" si="419"/>
        <v>200.11771112474986</v>
      </c>
      <c r="AT573" s="957" t="str">
        <f t="shared" si="419"/>
        <v/>
      </c>
      <c r="AU573" s="958">
        <f t="shared" si="419"/>
        <v>184.31864335425431</v>
      </c>
      <c r="AV573" s="958">
        <f t="shared" si="419"/>
        <v>174.23371265125274</v>
      </c>
      <c r="AW573" s="958">
        <f t="shared" si="419"/>
        <v>78.274672605630485</v>
      </c>
      <c r="AX573" s="958">
        <f t="shared" si="419"/>
        <v>-40.139871387087076</v>
      </c>
      <c r="AY573" s="957" t="str">
        <f t="shared" si="419"/>
        <v/>
      </c>
      <c r="AZ573" s="958">
        <f t="shared" si="419"/>
        <v>-67.073170731707378</v>
      </c>
      <c r="BA573" s="958">
        <f t="shared" si="419"/>
        <v>-21.619975639464162</v>
      </c>
      <c r="BB573" s="958">
        <f t="shared" si="419"/>
        <v>151.40845070422461</v>
      </c>
      <c r="BC573" s="958">
        <f t="shared" si="419"/>
        <v>29.716220574007579</v>
      </c>
      <c r="BD573" s="957" t="str">
        <f t="shared" si="419"/>
        <v/>
      </c>
      <c r="BE573" s="958">
        <f t="shared" si="419"/>
        <v>109.62509012256594</v>
      </c>
      <c r="BF573" s="958">
        <f t="shared" si="419"/>
        <v>156.27562283191455</v>
      </c>
      <c r="BG573" s="958">
        <f t="shared" si="419"/>
        <v>114.80978260869523</v>
      </c>
      <c r="BH573" s="958">
        <f t="shared" si="419"/>
        <v>-18.52922286448344</v>
      </c>
      <c r="BI573" s="957" t="str">
        <f t="shared" si="419"/>
        <v/>
      </c>
      <c r="BJ573" s="1536">
        <f>IFERROR((BJ572-BJ571)*10000,"")</f>
        <v>-48.900696225723792</v>
      </c>
      <c r="BK573" s="958">
        <f t="shared" si="419"/>
        <v>6.275622831914407</v>
      </c>
      <c r="BL573" s="958" t="str">
        <f t="shared" si="419"/>
        <v/>
      </c>
      <c r="BM573" s="958" t="str">
        <f t="shared" si="419"/>
        <v/>
      </c>
      <c r="BN573" s="957" t="str">
        <f t="shared" si="419"/>
        <v/>
      </c>
      <c r="BO573" s="958" t="str">
        <f>IFERROR((BO572-BO571)*10000,"")</f>
        <v/>
      </c>
      <c r="BP573" s="958" t="str">
        <f>IFERROR((BP572-BP571)*10000,"")</f>
        <v/>
      </c>
      <c r="BQ573" s="958" t="str">
        <f>IFERROR((BQ572-BQ571)*10000,"")</f>
        <v/>
      </c>
      <c r="BR573" s="958" t="str">
        <f>IFERROR((BR572-BR571)*10000,"")</f>
        <v/>
      </c>
      <c r="BS573" s="957" t="str">
        <f>IFERROR((BS572-BS571)*10000,"")</f>
        <v/>
      </c>
      <c r="BT573" s="957"/>
      <c r="BU573" s="957"/>
      <c r="BV573" s="957"/>
      <c r="BW573" s="118"/>
    </row>
    <row r="574" spans="1:75" hidden="1" outlineLevel="2" x14ac:dyDescent="0.5">
      <c r="A574" s="1524"/>
      <c r="B574" s="513"/>
      <c r="C574" s="401"/>
      <c r="D574" s="401"/>
      <c r="E574" s="401"/>
      <c r="F574" s="401"/>
      <c r="G574" s="118"/>
      <c r="H574" s="118"/>
      <c r="I574" s="118"/>
      <c r="J574" s="118"/>
      <c r="K574" s="401"/>
      <c r="L574" s="118"/>
      <c r="M574" s="118"/>
      <c r="N574" s="118"/>
      <c r="O574" s="118"/>
      <c r="P574" s="401"/>
      <c r="Q574" s="118"/>
      <c r="R574" s="118"/>
      <c r="S574" s="118"/>
      <c r="T574" s="118"/>
      <c r="U574" s="401"/>
      <c r="V574" s="118"/>
      <c r="W574" s="118"/>
      <c r="X574" s="118"/>
      <c r="Y574" s="118"/>
      <c r="Z574" s="401"/>
      <c r="AA574" s="118"/>
      <c r="AB574" s="118"/>
      <c r="AC574" s="118"/>
      <c r="AD574" s="118"/>
      <c r="AE574" s="401"/>
      <c r="AF574" s="118"/>
      <c r="AG574" s="118"/>
      <c r="AH574" s="118"/>
      <c r="AI574" s="118"/>
      <c r="AJ574" s="401"/>
      <c r="AK574" s="118"/>
      <c r="AL574" s="118"/>
      <c r="AM574" s="118"/>
      <c r="AN574" s="118"/>
      <c r="AO574" s="401"/>
      <c r="AP574" s="118"/>
      <c r="AQ574" s="118"/>
      <c r="AR574" s="118"/>
      <c r="AS574" s="118"/>
      <c r="AT574" s="401"/>
      <c r="AU574" s="118"/>
      <c r="AV574" s="118"/>
      <c r="AW574" s="118"/>
      <c r="AX574" s="118"/>
      <c r="AY574" s="401"/>
      <c r="AZ574" s="118"/>
      <c r="BA574" s="118"/>
      <c r="BB574" s="118"/>
      <c r="BC574" s="118"/>
      <c r="BD574" s="401"/>
      <c r="BE574" s="118"/>
      <c r="BF574" s="118"/>
      <c r="BG574" s="118"/>
      <c r="BH574" s="118"/>
      <c r="BI574" s="401"/>
      <c r="BJ574" s="971"/>
      <c r="BK574" s="118"/>
      <c r="BL574" s="118"/>
      <c r="BM574" s="118"/>
      <c r="BN574" s="401"/>
      <c r="BO574" s="118"/>
      <c r="BP574" s="118"/>
      <c r="BQ574" s="118"/>
      <c r="BR574" s="118"/>
      <c r="BS574" s="401"/>
      <c r="BT574" s="401"/>
      <c r="BU574" s="401"/>
      <c r="BV574" s="401"/>
      <c r="BW574" s="118"/>
    </row>
    <row r="575" spans="1:75" hidden="1" outlineLevel="2" x14ac:dyDescent="0.5">
      <c r="A575" s="752" t="s">
        <v>2487</v>
      </c>
      <c r="B575" s="513"/>
      <c r="C575" s="1526"/>
      <c r="D575" s="1526"/>
      <c r="E575" s="1526"/>
      <c r="F575" s="1526"/>
      <c r="G575" s="1527"/>
      <c r="H575" s="1527"/>
      <c r="I575" s="1527"/>
      <c r="J575" s="1527"/>
      <c r="K575" s="1526"/>
      <c r="L575" s="1527"/>
      <c r="M575" s="1527"/>
      <c r="N575" s="1527"/>
      <c r="O575" s="1527"/>
      <c r="P575" s="1526"/>
      <c r="Q575" s="1527"/>
      <c r="R575" s="1527"/>
      <c r="S575" s="1527"/>
      <c r="T575" s="1527"/>
      <c r="U575" s="1526"/>
      <c r="V575" s="1527"/>
      <c r="W575" s="1527"/>
      <c r="X575" s="1527"/>
      <c r="Y575" s="1527"/>
      <c r="Z575" s="1526"/>
      <c r="AA575" s="1527"/>
      <c r="AB575" s="1527"/>
      <c r="AC575" s="1527"/>
      <c r="AD575" s="1527">
        <f t="shared" ref="AD575:BJ575" si="420">AD1065</f>
        <v>43153</v>
      </c>
      <c r="AE575" s="1526">
        <f t="shared" si="420"/>
        <v>43153</v>
      </c>
      <c r="AF575" s="1527"/>
      <c r="AG575" s="1527"/>
      <c r="AH575" s="1527">
        <f t="shared" si="420"/>
        <v>43405</v>
      </c>
      <c r="AI575" s="1527">
        <f t="shared" si="420"/>
        <v>43518</v>
      </c>
      <c r="AJ575" s="1526">
        <f t="shared" si="420"/>
        <v>43518</v>
      </c>
      <c r="AK575" s="1527">
        <f t="shared" si="420"/>
        <v>43587</v>
      </c>
      <c r="AL575" s="1527">
        <f t="shared" si="420"/>
        <v>43678</v>
      </c>
      <c r="AM575" s="1527">
        <f t="shared" si="420"/>
        <v>43769</v>
      </c>
      <c r="AN575" s="1527">
        <f t="shared" si="420"/>
        <v>43889</v>
      </c>
      <c r="AO575" s="1526">
        <f t="shared" si="420"/>
        <v>43889</v>
      </c>
      <c r="AP575" s="1527">
        <f t="shared" si="420"/>
        <v>43956</v>
      </c>
      <c r="AQ575" s="1527">
        <f t="shared" si="420"/>
        <v>44048</v>
      </c>
      <c r="AR575" s="1527">
        <f t="shared" si="420"/>
        <v>44138</v>
      </c>
      <c r="AS575" s="1527">
        <f t="shared" si="420"/>
        <v>44252</v>
      </c>
      <c r="AT575" s="1526">
        <f t="shared" si="420"/>
        <v>44252</v>
      </c>
      <c r="AU575" s="1527">
        <f t="shared" si="420"/>
        <v>44322</v>
      </c>
      <c r="AV575" s="1527">
        <f t="shared" si="420"/>
        <v>44413</v>
      </c>
      <c r="AW575" s="1527">
        <f t="shared" si="420"/>
        <v>44504</v>
      </c>
      <c r="AX575" s="1527">
        <f t="shared" si="420"/>
        <v>44616</v>
      </c>
      <c r="AY575" s="1526">
        <f t="shared" si="420"/>
        <v>44616</v>
      </c>
      <c r="AZ575" s="1527">
        <f t="shared" si="420"/>
        <v>44686</v>
      </c>
      <c r="BA575" s="1527">
        <f t="shared" si="420"/>
        <v>44778</v>
      </c>
      <c r="BB575" s="1527">
        <f t="shared" si="420"/>
        <v>44868</v>
      </c>
      <c r="BC575" s="1527">
        <f t="shared" si="420"/>
        <v>44980</v>
      </c>
      <c r="BD575" s="1526">
        <f t="shared" si="420"/>
        <v>44980</v>
      </c>
      <c r="BE575" s="1527">
        <f t="shared" si="420"/>
        <v>45050</v>
      </c>
      <c r="BF575" s="1527">
        <f t="shared" si="420"/>
        <v>45141</v>
      </c>
      <c r="BG575" s="1527">
        <f t="shared" si="420"/>
        <v>45231</v>
      </c>
      <c r="BH575" s="1527">
        <f t="shared" si="420"/>
        <v>45344</v>
      </c>
      <c r="BI575" s="1526">
        <f t="shared" si="420"/>
        <v>45344</v>
      </c>
      <c r="BJ575" s="1528">
        <f t="shared" si="420"/>
        <v>45414</v>
      </c>
      <c r="BK575" s="1527"/>
      <c r="BL575" s="1527"/>
      <c r="BM575" s="1527"/>
      <c r="BN575" s="1526"/>
      <c r="BO575" s="1527"/>
      <c r="BP575" s="1527"/>
      <c r="BQ575" s="1527"/>
      <c r="BR575" s="1527"/>
      <c r="BS575" s="1526"/>
      <c r="BT575" s="1526"/>
      <c r="BU575" s="1526"/>
      <c r="BV575" s="1526"/>
      <c r="BW575" s="118"/>
    </row>
    <row r="576" spans="1:75" hidden="1" outlineLevel="2" x14ac:dyDescent="0.5">
      <c r="A576" s="1529" t="s">
        <v>2488</v>
      </c>
      <c r="B576" s="1530"/>
      <c r="C576" s="1531"/>
      <c r="D576" s="1531"/>
      <c r="E576" s="1531"/>
      <c r="F576" s="1531"/>
      <c r="G576" s="1532"/>
      <c r="H576" s="1532"/>
      <c r="I576" s="1532"/>
      <c r="J576" s="1532"/>
      <c r="K576" s="1531"/>
      <c r="L576" s="1532"/>
      <c r="M576" s="1532"/>
      <c r="N576" s="1532"/>
      <c r="O576" s="1532"/>
      <c r="P576" s="1531"/>
      <c r="Q576" s="1532"/>
      <c r="R576" s="1532"/>
      <c r="S576" s="1532"/>
      <c r="T576" s="1532"/>
      <c r="U576" s="1531"/>
      <c r="V576" s="1532"/>
      <c r="W576" s="1532"/>
      <c r="X576" s="1532"/>
      <c r="Y576" s="1532"/>
      <c r="Z576" s="1531"/>
      <c r="AA576" s="1532"/>
      <c r="AB576" s="1532"/>
      <c r="AC576" s="1532"/>
      <c r="AD576" s="1532" t="str">
        <f>AF5</f>
        <v>Q1-2018</v>
      </c>
      <c r="AE576" s="1531" t="str">
        <f>AF5</f>
        <v>Q1-2018</v>
      </c>
      <c r="AF576" s="1532" t="str">
        <f>AG5</f>
        <v>Q2-2018</v>
      </c>
      <c r="AG576" s="1532" t="str">
        <f>AH5</f>
        <v>Q3-2018</v>
      </c>
      <c r="AH576" s="1532" t="str">
        <f>AI5</f>
        <v>Q4-2018</v>
      </c>
      <c r="AI576" s="1532" t="str">
        <f>AK5</f>
        <v>Q1-2019</v>
      </c>
      <c r="AJ576" s="1531" t="str">
        <f>AK5</f>
        <v>Q1-2019</v>
      </c>
      <c r="AK576" s="1532" t="str">
        <f>AL5</f>
        <v>Q2-2019</v>
      </c>
      <c r="AL576" s="1532" t="str">
        <f>AM5</f>
        <v>Q3-2019</v>
      </c>
      <c r="AM576" s="1532" t="str">
        <f>AN5</f>
        <v>Q4-2019</v>
      </c>
      <c r="AN576" s="1532" t="str">
        <f>AP5</f>
        <v>Q1-2020</v>
      </c>
      <c r="AO576" s="1531" t="str">
        <f>AP5</f>
        <v>Q1-2020</v>
      </c>
      <c r="AP576" s="1532" t="str">
        <f>AQ5</f>
        <v>Q2-2020</v>
      </c>
      <c r="AQ576" s="1532" t="str">
        <f>AR5</f>
        <v>Q3-2020</v>
      </c>
      <c r="AR576" s="1532" t="str">
        <f>AS5</f>
        <v>Q4-2020</v>
      </c>
      <c r="AS576" s="1532" t="str">
        <f>AU5</f>
        <v>Q1-2021</v>
      </c>
      <c r="AT576" s="1531" t="str">
        <f>AU5</f>
        <v>Q1-2021</v>
      </c>
      <c r="AU576" s="1532" t="str">
        <f>AV5</f>
        <v>Q2-2021</v>
      </c>
      <c r="AV576" s="1532" t="str">
        <f>AW5</f>
        <v>Q3-2021</v>
      </c>
      <c r="AW576" s="1532" t="str">
        <f>AX5</f>
        <v>Q4-2021</v>
      </c>
      <c r="AX576" s="1532" t="str">
        <f>AZ5</f>
        <v>Q1-2022</v>
      </c>
      <c r="AY576" s="1531" t="str">
        <f>AZ5</f>
        <v>Q1-2022</v>
      </c>
      <c r="AZ576" s="1532" t="str">
        <f>BA5</f>
        <v>Q2-2022</v>
      </c>
      <c r="BA576" s="1532" t="str">
        <f>BB5</f>
        <v>Q3-2022</v>
      </c>
      <c r="BB576" s="1532" t="str">
        <f>BC5</f>
        <v>Q4-2022</v>
      </c>
      <c r="BC576" s="1532" t="str">
        <f>BE5</f>
        <v>Q1-2023</v>
      </c>
      <c r="BD576" s="1531" t="str">
        <f>BE5</f>
        <v>Q1-2023</v>
      </c>
      <c r="BE576" s="1532" t="str">
        <f>BF5</f>
        <v>Q2-2023</v>
      </c>
      <c r="BF576" s="1532" t="str">
        <f>BG5</f>
        <v>Q3-2023</v>
      </c>
      <c r="BG576" s="1532" t="str">
        <f>BH5</f>
        <v>Q4-2023</v>
      </c>
      <c r="BH576" s="1532" t="str">
        <f>BJ5</f>
        <v>Q1-2024</v>
      </c>
      <c r="BI576" s="1531" t="str">
        <f>BJ5</f>
        <v>Q1-2024</v>
      </c>
      <c r="BJ576" s="1533" t="str">
        <f>BK5</f>
        <v>Q2-2024</v>
      </c>
      <c r="BK576" s="1532"/>
      <c r="BL576" s="1532"/>
      <c r="BM576" s="1532"/>
      <c r="BN576" s="1531"/>
      <c r="BO576" s="1532"/>
      <c r="BP576" s="1532"/>
      <c r="BQ576" s="1532"/>
      <c r="BR576" s="1532"/>
      <c r="BS576" s="1531"/>
      <c r="BT576" s="1531"/>
      <c r="BU576" s="1531"/>
      <c r="BV576" s="1531"/>
      <c r="BW576" s="118"/>
    </row>
    <row r="577" spans="1:75" hidden="1" outlineLevel="3" x14ac:dyDescent="0.5">
      <c r="A577" s="184" t="s">
        <v>2534</v>
      </c>
      <c r="B577" s="513"/>
      <c r="C577" s="401"/>
      <c r="D577" s="401"/>
      <c r="E577" s="401"/>
      <c r="F577" s="401"/>
      <c r="G577" s="118"/>
      <c r="H577" s="118"/>
      <c r="I577" s="118"/>
      <c r="J577" s="118"/>
      <c r="K577" s="401"/>
      <c r="L577" s="118"/>
      <c r="M577" s="118"/>
      <c r="N577" s="118"/>
      <c r="O577" s="118"/>
      <c r="P577" s="401"/>
      <c r="Q577" s="118"/>
      <c r="R577" s="118"/>
      <c r="S577" s="118"/>
      <c r="T577" s="118"/>
      <c r="U577" s="401"/>
      <c r="V577" s="118"/>
      <c r="W577" s="118"/>
      <c r="X577" s="118"/>
      <c r="Y577" s="118"/>
      <c r="Z577" s="401"/>
      <c r="AA577" s="118"/>
      <c r="AB577" s="118"/>
      <c r="AC577" s="118"/>
      <c r="AD577" s="118" t="str">
        <f t="shared" ref="AD577:AM578" si="421">IFERROR(AD$526*AD589,"n/a")</f>
        <v>n/a</v>
      </c>
      <c r="AE577" s="401" t="str">
        <f t="shared" si="421"/>
        <v>n/a</v>
      </c>
      <c r="AF577" s="118" t="str">
        <f t="shared" si="421"/>
        <v>n/a</v>
      </c>
      <c r="AG577" s="118" t="str">
        <f t="shared" si="421"/>
        <v>n/a</v>
      </c>
      <c r="AH577" s="118" t="str">
        <f t="shared" si="421"/>
        <v>n/a</v>
      </c>
      <c r="AI577" s="118" t="str">
        <f t="shared" si="421"/>
        <v>n/a</v>
      </c>
      <c r="AJ577" s="401" t="str">
        <f t="shared" si="421"/>
        <v>n/a</v>
      </c>
      <c r="AK577" s="118" t="str">
        <f t="shared" si="421"/>
        <v>n/a</v>
      </c>
      <c r="AL577" s="118" t="str">
        <f t="shared" si="421"/>
        <v>n/a</v>
      </c>
      <c r="AM577" s="118" t="str">
        <f t="shared" si="421"/>
        <v>n/a</v>
      </c>
      <c r="AN577" s="118">
        <f t="shared" ref="AN577:BG578" si="422">AN$526*AN589</f>
        <v>518.88037719999988</v>
      </c>
      <c r="AO577" s="401">
        <f t="shared" si="422"/>
        <v>518.88037719999988</v>
      </c>
      <c r="AP577" s="118">
        <f t="shared" si="422"/>
        <v>944.33015300000011</v>
      </c>
      <c r="AQ577" s="118">
        <f t="shared" si="422"/>
        <v>869.16859899999997</v>
      </c>
      <c r="AR577" s="118" t="str">
        <f t="shared" ref="AR577:AV578" si="423">IFERROR(AR$526*AR589,"n/a")</f>
        <v>n/a</v>
      </c>
      <c r="AS577" s="118" t="str">
        <f t="shared" si="423"/>
        <v>n/a</v>
      </c>
      <c r="AT577" s="401" t="str">
        <f t="shared" si="423"/>
        <v>n/a</v>
      </c>
      <c r="AU577" s="118" t="str">
        <f t="shared" si="423"/>
        <v>n/a</v>
      </c>
      <c r="AV577" s="118" t="str">
        <f t="shared" si="423"/>
        <v>n/a</v>
      </c>
      <c r="AW577" s="118">
        <f t="shared" si="422"/>
        <v>892.01679300000023</v>
      </c>
      <c r="AX577" s="118" t="str">
        <f t="shared" ref="AX577:AZ578" si="424">IFERROR(AX$526*AX589,"n/a")</f>
        <v>n/a</v>
      </c>
      <c r="AY577" s="401" t="str">
        <f t="shared" si="424"/>
        <v>n/a</v>
      </c>
      <c r="AZ577" s="118" t="str">
        <f t="shared" si="424"/>
        <v>n/a</v>
      </c>
      <c r="BA577" s="118">
        <f t="shared" si="422"/>
        <v>758.42316900000014</v>
      </c>
      <c r="BB577" s="118">
        <f t="shared" si="422"/>
        <v>837.65672479999978</v>
      </c>
      <c r="BC577" s="118">
        <f t="shared" si="422"/>
        <v>770.99680000000001</v>
      </c>
      <c r="BD577" s="401">
        <f t="shared" si="422"/>
        <v>770.99680000000001</v>
      </c>
      <c r="BE577" s="118">
        <f t="shared" si="422"/>
        <v>1033.3106</v>
      </c>
      <c r="BF577" s="118">
        <f t="shared" si="422"/>
        <v>879.68999999999994</v>
      </c>
      <c r="BG577" s="118">
        <f t="shared" si="422"/>
        <v>944.25450000000001</v>
      </c>
      <c r="BH577" s="118">
        <f t="shared" ref="BH577:BJ578" si="425">IFERROR(BH$526*BH589,"n/a")</f>
        <v>790.59</v>
      </c>
      <c r="BI577" s="401">
        <f t="shared" si="425"/>
        <v>790.59</v>
      </c>
      <c r="BJ577" s="971">
        <f t="shared" si="425"/>
        <v>965.56949999999995</v>
      </c>
      <c r="BK577" s="118"/>
      <c r="BL577" s="118"/>
      <c r="BM577" s="118"/>
      <c r="BN577" s="401"/>
      <c r="BO577" s="118"/>
      <c r="BP577" s="118"/>
      <c r="BQ577" s="118"/>
      <c r="BR577" s="118"/>
      <c r="BS577" s="401"/>
      <c r="BT577" s="401"/>
      <c r="BU577" s="401"/>
      <c r="BV577" s="401"/>
      <c r="BW577" s="118"/>
    </row>
    <row r="578" spans="1:75" hidden="1" outlineLevel="3" x14ac:dyDescent="0.5">
      <c r="A578" s="445" t="s">
        <v>2535</v>
      </c>
      <c r="B578" s="677"/>
      <c r="C578" s="406"/>
      <c r="D578" s="406"/>
      <c r="E578" s="406"/>
      <c r="F578" s="406"/>
      <c r="G578" s="723"/>
      <c r="H578" s="723"/>
      <c r="I578" s="723"/>
      <c r="J578" s="723"/>
      <c r="K578" s="406"/>
      <c r="L578" s="723"/>
      <c r="M578" s="723"/>
      <c r="N578" s="723"/>
      <c r="O578" s="723"/>
      <c r="P578" s="406"/>
      <c r="Q578" s="723"/>
      <c r="R578" s="723"/>
      <c r="S578" s="723"/>
      <c r="T578" s="723"/>
      <c r="U578" s="406"/>
      <c r="V578" s="723"/>
      <c r="W578" s="723"/>
      <c r="X578" s="723"/>
      <c r="Y578" s="723"/>
      <c r="Z578" s="406"/>
      <c r="AA578" s="723"/>
      <c r="AB578" s="723"/>
      <c r="AC578" s="723"/>
      <c r="AD578" s="723" t="str">
        <f t="shared" si="421"/>
        <v>n/a</v>
      </c>
      <c r="AE578" s="406" t="str">
        <f t="shared" si="421"/>
        <v>n/a</v>
      </c>
      <c r="AF578" s="723" t="str">
        <f t="shared" si="421"/>
        <v>n/a</v>
      </c>
      <c r="AG578" s="723" t="str">
        <f t="shared" si="421"/>
        <v>n/a</v>
      </c>
      <c r="AH578" s="723" t="str">
        <f t="shared" si="421"/>
        <v>n/a</v>
      </c>
      <c r="AI578" s="723" t="str">
        <f t="shared" si="421"/>
        <v>n/a</v>
      </c>
      <c r="AJ578" s="406" t="str">
        <f t="shared" si="421"/>
        <v>n/a</v>
      </c>
      <c r="AK578" s="723" t="str">
        <f t="shared" si="421"/>
        <v>n/a</v>
      </c>
      <c r="AL578" s="723" t="str">
        <f t="shared" si="421"/>
        <v>n/a</v>
      </c>
      <c r="AM578" s="723" t="str">
        <f t="shared" si="421"/>
        <v>n/a</v>
      </c>
      <c r="AN578" s="723">
        <f t="shared" si="422"/>
        <v>541.44039359999988</v>
      </c>
      <c r="AO578" s="406">
        <f t="shared" si="422"/>
        <v>541.44039359999988</v>
      </c>
      <c r="AP578" s="723">
        <f t="shared" si="422"/>
        <v>944.33015300000011</v>
      </c>
      <c r="AQ578" s="723">
        <f t="shared" si="422"/>
        <v>902.59816050000006</v>
      </c>
      <c r="AR578" s="723" t="str">
        <f t="shared" si="423"/>
        <v>n/a</v>
      </c>
      <c r="AS578" s="723" t="str">
        <f t="shared" si="423"/>
        <v>n/a</v>
      </c>
      <c r="AT578" s="406" t="str">
        <f t="shared" si="423"/>
        <v>n/a</v>
      </c>
      <c r="AU578" s="723" t="str">
        <f t="shared" si="423"/>
        <v>n/a</v>
      </c>
      <c r="AV578" s="723" t="str">
        <f t="shared" si="423"/>
        <v>n/a</v>
      </c>
      <c r="AW578" s="723">
        <f t="shared" si="422"/>
        <v>925.05445200000031</v>
      </c>
      <c r="AX578" s="723" t="str">
        <f t="shared" si="424"/>
        <v>n/a</v>
      </c>
      <c r="AY578" s="406" t="str">
        <f t="shared" si="424"/>
        <v>n/a</v>
      </c>
      <c r="AZ578" s="723" t="str">
        <f t="shared" si="424"/>
        <v>n/a</v>
      </c>
      <c r="BA578" s="723">
        <f t="shared" si="422"/>
        <v>786.51291600000013</v>
      </c>
      <c r="BB578" s="723">
        <f t="shared" si="422"/>
        <v>867.57303639999964</v>
      </c>
      <c r="BC578" s="723">
        <f t="shared" si="422"/>
        <v>798.53239999999994</v>
      </c>
      <c r="BD578" s="406">
        <f t="shared" si="422"/>
        <v>798.53239999999994</v>
      </c>
      <c r="BE578" s="723">
        <f t="shared" si="422"/>
        <v>1068.942</v>
      </c>
      <c r="BF578" s="723">
        <f t="shared" si="422"/>
        <v>909.51</v>
      </c>
      <c r="BG578" s="723">
        <f t="shared" si="422"/>
        <v>975.72965000000011</v>
      </c>
      <c r="BH578" s="723">
        <f t="shared" si="425"/>
        <v>816.9430000000001</v>
      </c>
      <c r="BI578" s="406">
        <f t="shared" si="425"/>
        <v>816.9430000000001</v>
      </c>
      <c r="BJ578" s="1049">
        <f t="shared" si="425"/>
        <v>997.75514999999996</v>
      </c>
      <c r="BK578" s="723"/>
      <c r="BL578" s="723"/>
      <c r="BM578" s="723"/>
      <c r="BN578" s="406"/>
      <c r="BO578" s="723"/>
      <c r="BP578" s="723"/>
      <c r="BQ578" s="723"/>
      <c r="BR578" s="723"/>
      <c r="BS578" s="406"/>
      <c r="BT578" s="406"/>
      <c r="BU578" s="406"/>
      <c r="BV578" s="406"/>
      <c r="BW578" s="118"/>
    </row>
    <row r="579" spans="1:75" hidden="1" outlineLevel="2" x14ac:dyDescent="0.5">
      <c r="A579" s="206" t="s">
        <v>2536</v>
      </c>
      <c r="B579" s="522"/>
      <c r="C579" s="397"/>
      <c r="D579" s="397"/>
      <c r="E579" s="397"/>
      <c r="F579" s="397"/>
      <c r="G579" s="295"/>
      <c r="H579" s="295"/>
      <c r="I579" s="295"/>
      <c r="J579" s="295"/>
      <c r="K579" s="397"/>
      <c r="L579" s="295"/>
      <c r="M579" s="295"/>
      <c r="N579" s="295"/>
      <c r="O579" s="295"/>
      <c r="P579" s="397"/>
      <c r="Q579" s="295"/>
      <c r="R579" s="295"/>
      <c r="S579" s="295"/>
      <c r="T579" s="295"/>
      <c r="U579" s="397"/>
      <c r="V579" s="295"/>
      <c r="W579" s="295"/>
      <c r="X579" s="295"/>
      <c r="Y579" s="295"/>
      <c r="Z579" s="397"/>
      <c r="AA579" s="295"/>
      <c r="AB579" s="295"/>
      <c r="AC579" s="295"/>
      <c r="AD579" s="295" t="str">
        <f t="shared" ref="AD579:BI579" si="426">IFERROR(AVERAGE(AD577,AD578),"")</f>
        <v/>
      </c>
      <c r="AE579" s="397" t="str">
        <f t="shared" si="426"/>
        <v/>
      </c>
      <c r="AF579" s="295" t="str">
        <f t="shared" si="426"/>
        <v/>
      </c>
      <c r="AG579" s="295" t="str">
        <f t="shared" si="426"/>
        <v/>
      </c>
      <c r="AH579" s="295" t="str">
        <f t="shared" si="426"/>
        <v/>
      </c>
      <c r="AI579" s="295" t="str">
        <f t="shared" si="426"/>
        <v/>
      </c>
      <c r="AJ579" s="397" t="str">
        <f t="shared" si="426"/>
        <v/>
      </c>
      <c r="AK579" s="295" t="str">
        <f t="shared" si="426"/>
        <v/>
      </c>
      <c r="AL579" s="295" t="str">
        <f t="shared" si="426"/>
        <v/>
      </c>
      <c r="AM579" s="295" t="str">
        <f t="shared" si="426"/>
        <v/>
      </c>
      <c r="AN579" s="295">
        <f t="shared" si="426"/>
        <v>530.16038539999988</v>
      </c>
      <c r="AO579" s="397">
        <f t="shared" si="426"/>
        <v>530.16038539999988</v>
      </c>
      <c r="AP579" s="295">
        <f t="shared" si="426"/>
        <v>944.33015300000011</v>
      </c>
      <c r="AQ579" s="295">
        <f t="shared" si="426"/>
        <v>885.88337975000002</v>
      </c>
      <c r="AR579" s="295" t="str">
        <f t="shared" si="426"/>
        <v/>
      </c>
      <c r="AS579" s="295" t="str">
        <f t="shared" si="426"/>
        <v/>
      </c>
      <c r="AT579" s="397" t="str">
        <f t="shared" si="426"/>
        <v/>
      </c>
      <c r="AU579" s="295" t="str">
        <f t="shared" si="426"/>
        <v/>
      </c>
      <c r="AV579" s="295" t="str">
        <f t="shared" si="426"/>
        <v/>
      </c>
      <c r="AW579" s="295">
        <f t="shared" si="426"/>
        <v>908.53562250000027</v>
      </c>
      <c r="AX579" s="295" t="str">
        <f t="shared" si="426"/>
        <v/>
      </c>
      <c r="AY579" s="397" t="str">
        <f t="shared" si="426"/>
        <v/>
      </c>
      <c r="AZ579" s="295" t="str">
        <f t="shared" si="426"/>
        <v/>
      </c>
      <c r="BA579" s="295">
        <f t="shared" si="426"/>
        <v>772.46804250000014</v>
      </c>
      <c r="BB579" s="295">
        <f t="shared" si="426"/>
        <v>852.61488059999965</v>
      </c>
      <c r="BC579" s="295">
        <f t="shared" si="426"/>
        <v>784.76459999999997</v>
      </c>
      <c r="BD579" s="397">
        <f t="shared" si="426"/>
        <v>784.76459999999997</v>
      </c>
      <c r="BE579" s="295">
        <f t="shared" si="426"/>
        <v>1051.1262999999999</v>
      </c>
      <c r="BF579" s="295">
        <f t="shared" si="426"/>
        <v>894.59999999999991</v>
      </c>
      <c r="BG579" s="295">
        <f t="shared" si="426"/>
        <v>959.99207500000011</v>
      </c>
      <c r="BH579" s="295">
        <f t="shared" si="426"/>
        <v>803.76650000000006</v>
      </c>
      <c r="BI579" s="397">
        <f t="shared" si="426"/>
        <v>803.76650000000006</v>
      </c>
      <c r="BJ579" s="1030">
        <f>IFERROR(AVERAGE(BJ577,BJ578),"")</f>
        <v>981.66232500000001</v>
      </c>
      <c r="BK579" s="295"/>
      <c r="BL579" s="295"/>
      <c r="BM579" s="295"/>
      <c r="BN579" s="397"/>
      <c r="BO579" s="295"/>
      <c r="BP579" s="295"/>
      <c r="BQ579" s="295"/>
      <c r="BR579" s="295"/>
      <c r="BS579" s="397"/>
      <c r="BT579" s="397"/>
      <c r="BU579" s="397"/>
      <c r="BV579" s="397"/>
      <c r="BW579" s="118"/>
    </row>
    <row r="580" spans="1:75" hidden="1" outlineLevel="2" x14ac:dyDescent="0.5">
      <c r="A580" s="184" t="s">
        <v>2537</v>
      </c>
      <c r="B580" s="513"/>
      <c r="C580" s="401"/>
      <c r="D580" s="401"/>
      <c r="E580" s="401"/>
      <c r="F580" s="401"/>
      <c r="G580" s="118"/>
      <c r="H580" s="118"/>
      <c r="I580" s="118"/>
      <c r="J580" s="118"/>
      <c r="K580" s="401"/>
      <c r="L580" s="118"/>
      <c r="M580" s="118"/>
      <c r="N580" s="118"/>
      <c r="O580" s="118"/>
      <c r="P580" s="401"/>
      <c r="Q580" s="118"/>
      <c r="R580" s="118"/>
      <c r="S580" s="118"/>
      <c r="T580" s="118"/>
      <c r="U580" s="401"/>
      <c r="V580" s="118"/>
      <c r="W580" s="118"/>
      <c r="X580" s="118"/>
      <c r="Y580" s="118"/>
      <c r="Z580" s="401"/>
      <c r="AA580" s="118"/>
      <c r="AB580" s="118"/>
      <c r="AC580" s="118"/>
      <c r="AD580" s="118" t="str">
        <f t="shared" ref="AD580:BI580" si="427">IFERROR(ABS(AD578-AD577),"")</f>
        <v/>
      </c>
      <c r="AE580" s="401" t="str">
        <f t="shared" si="427"/>
        <v/>
      </c>
      <c r="AF580" s="118" t="str">
        <f t="shared" si="427"/>
        <v/>
      </c>
      <c r="AG580" s="118" t="str">
        <f t="shared" si="427"/>
        <v/>
      </c>
      <c r="AH580" s="118" t="str">
        <f t="shared" si="427"/>
        <v/>
      </c>
      <c r="AI580" s="118" t="str">
        <f t="shared" si="427"/>
        <v/>
      </c>
      <c r="AJ580" s="401" t="str">
        <f t="shared" si="427"/>
        <v/>
      </c>
      <c r="AK580" s="118" t="str">
        <f t="shared" si="427"/>
        <v/>
      </c>
      <c r="AL580" s="118" t="str">
        <f t="shared" si="427"/>
        <v/>
      </c>
      <c r="AM580" s="118" t="str">
        <f t="shared" si="427"/>
        <v/>
      </c>
      <c r="AN580" s="118">
        <f t="shared" si="427"/>
        <v>22.560016399999995</v>
      </c>
      <c r="AO580" s="401">
        <f t="shared" si="427"/>
        <v>22.560016399999995</v>
      </c>
      <c r="AP580" s="118">
        <f t="shared" si="427"/>
        <v>0</v>
      </c>
      <c r="AQ580" s="118">
        <f t="shared" si="427"/>
        <v>33.429561500000091</v>
      </c>
      <c r="AR580" s="118" t="str">
        <f t="shared" si="427"/>
        <v/>
      </c>
      <c r="AS580" s="118" t="str">
        <f t="shared" si="427"/>
        <v/>
      </c>
      <c r="AT580" s="401" t="str">
        <f t="shared" si="427"/>
        <v/>
      </c>
      <c r="AU580" s="118" t="str">
        <f t="shared" si="427"/>
        <v/>
      </c>
      <c r="AV580" s="118" t="str">
        <f t="shared" si="427"/>
        <v/>
      </c>
      <c r="AW580" s="118">
        <f t="shared" si="427"/>
        <v>33.037659000000076</v>
      </c>
      <c r="AX580" s="118" t="str">
        <f t="shared" si="427"/>
        <v/>
      </c>
      <c r="AY580" s="401" t="str">
        <f t="shared" si="427"/>
        <v/>
      </c>
      <c r="AZ580" s="118" t="str">
        <f t="shared" si="427"/>
        <v/>
      </c>
      <c r="BA580" s="118">
        <f t="shared" si="427"/>
        <v>28.089746999999988</v>
      </c>
      <c r="BB580" s="118">
        <f t="shared" si="427"/>
        <v>29.916311599999858</v>
      </c>
      <c r="BC580" s="118">
        <f t="shared" si="427"/>
        <v>27.535599999999931</v>
      </c>
      <c r="BD580" s="401">
        <f t="shared" si="427"/>
        <v>27.535599999999931</v>
      </c>
      <c r="BE580" s="118">
        <f t="shared" si="427"/>
        <v>35.631399999999985</v>
      </c>
      <c r="BF580" s="118">
        <f t="shared" si="427"/>
        <v>29.82000000000005</v>
      </c>
      <c r="BG580" s="118">
        <f t="shared" si="427"/>
        <v>31.475150000000099</v>
      </c>
      <c r="BH580" s="118">
        <f t="shared" si="427"/>
        <v>26.353000000000065</v>
      </c>
      <c r="BI580" s="401">
        <f t="shared" si="427"/>
        <v>26.353000000000065</v>
      </c>
      <c r="BJ580" s="971">
        <f>IFERROR(ABS(BJ578-BJ577),"")</f>
        <v>32.18565000000001</v>
      </c>
      <c r="BK580" s="118"/>
      <c r="BL580" s="118"/>
      <c r="BM580" s="118"/>
      <c r="BN580" s="401"/>
      <c r="BO580" s="118"/>
      <c r="BP580" s="118"/>
      <c r="BQ580" s="118"/>
      <c r="BR580" s="118"/>
      <c r="BS580" s="401"/>
      <c r="BT580" s="401"/>
      <c r="BU580" s="401"/>
      <c r="BV580" s="401"/>
      <c r="BW580" s="118"/>
    </row>
    <row r="581" spans="1:75" hidden="1" outlineLevel="2" x14ac:dyDescent="0.5">
      <c r="A581" s="526" t="s">
        <v>2538</v>
      </c>
      <c r="B581" s="513"/>
      <c r="C581" s="423"/>
      <c r="D581" s="423"/>
      <c r="E581" s="423"/>
      <c r="F581" s="423"/>
      <c r="G581" s="422"/>
      <c r="H581" s="422"/>
      <c r="I581" s="422"/>
      <c r="J581" s="422"/>
      <c r="K581" s="423"/>
      <c r="L581" s="422"/>
      <c r="M581" s="422"/>
      <c r="N581" s="422"/>
      <c r="O581" s="422"/>
      <c r="P581" s="423"/>
      <c r="Q581" s="422"/>
      <c r="R581" s="422"/>
      <c r="S581" s="422"/>
      <c r="T581" s="422"/>
      <c r="U581" s="423"/>
      <c r="V581" s="422"/>
      <c r="W581" s="422"/>
      <c r="X581" s="422"/>
      <c r="Y581" s="422"/>
      <c r="Z581" s="423"/>
      <c r="AA581" s="422"/>
      <c r="AB581" s="422"/>
      <c r="AC581" s="422"/>
      <c r="AD581" s="422" t="str">
        <f t="shared" ref="AD581:BI581" si="428">IFERROR(ABS((AD578-AD579)/AD579),"")</f>
        <v/>
      </c>
      <c r="AE581" s="423" t="str">
        <f t="shared" si="428"/>
        <v/>
      </c>
      <c r="AF581" s="422" t="str">
        <f t="shared" si="428"/>
        <v/>
      </c>
      <c r="AG581" s="422" t="str">
        <f t="shared" si="428"/>
        <v/>
      </c>
      <c r="AH581" s="422" t="str">
        <f t="shared" si="428"/>
        <v/>
      </c>
      <c r="AI581" s="422" t="str">
        <f t="shared" si="428"/>
        <v/>
      </c>
      <c r="AJ581" s="423" t="str">
        <f t="shared" si="428"/>
        <v/>
      </c>
      <c r="AK581" s="422" t="str">
        <f t="shared" si="428"/>
        <v/>
      </c>
      <c r="AL581" s="422" t="str">
        <f t="shared" si="428"/>
        <v/>
      </c>
      <c r="AM581" s="422" t="str">
        <f t="shared" si="428"/>
        <v/>
      </c>
      <c r="AN581" s="422">
        <f t="shared" si="428"/>
        <v>2.1276595744680851E-2</v>
      </c>
      <c r="AO581" s="423">
        <f t="shared" si="428"/>
        <v>2.1276595744680851E-2</v>
      </c>
      <c r="AP581" s="422">
        <f t="shared" si="428"/>
        <v>0</v>
      </c>
      <c r="AQ581" s="422">
        <f t="shared" si="428"/>
        <v>1.8867924528301938E-2</v>
      </c>
      <c r="AR581" s="422" t="str">
        <f t="shared" si="428"/>
        <v/>
      </c>
      <c r="AS581" s="422" t="str">
        <f t="shared" si="428"/>
        <v/>
      </c>
      <c r="AT581" s="423" t="str">
        <f t="shared" si="428"/>
        <v/>
      </c>
      <c r="AU581" s="422" t="str">
        <f t="shared" si="428"/>
        <v/>
      </c>
      <c r="AV581" s="422" t="str">
        <f t="shared" si="428"/>
        <v/>
      </c>
      <c r="AW581" s="422">
        <f t="shared" si="428"/>
        <v>1.8181818181818219E-2</v>
      </c>
      <c r="AX581" s="422" t="str">
        <f t="shared" si="428"/>
        <v/>
      </c>
      <c r="AY581" s="423" t="str">
        <f t="shared" si="428"/>
        <v/>
      </c>
      <c r="AZ581" s="422" t="str">
        <f t="shared" si="428"/>
        <v/>
      </c>
      <c r="BA581" s="422">
        <f t="shared" si="428"/>
        <v>1.8181818181818171E-2</v>
      </c>
      <c r="BB581" s="422">
        <f t="shared" si="428"/>
        <v>1.7543859649122799E-2</v>
      </c>
      <c r="BC581" s="422">
        <f t="shared" si="428"/>
        <v>1.7543859649122764E-2</v>
      </c>
      <c r="BD581" s="423">
        <f t="shared" si="428"/>
        <v>1.7543859649122764E-2</v>
      </c>
      <c r="BE581" s="422">
        <f t="shared" si="428"/>
        <v>1.6949152542372985E-2</v>
      </c>
      <c r="BF581" s="422">
        <f t="shared" si="428"/>
        <v>1.666666666666676E-2</v>
      </c>
      <c r="BG581" s="422">
        <f t="shared" si="428"/>
        <v>1.639344262295081E-2</v>
      </c>
      <c r="BH581" s="422">
        <f t="shared" si="428"/>
        <v>1.6393442622950859E-2</v>
      </c>
      <c r="BI581" s="423">
        <f t="shared" si="428"/>
        <v>1.6393442622950859E-2</v>
      </c>
      <c r="BJ581" s="1034">
        <f>IFERROR(ABS((BJ578-BJ579)/BJ579),"")</f>
        <v>1.6393442622950765E-2</v>
      </c>
      <c r="BK581" s="422"/>
      <c r="BL581" s="422"/>
      <c r="BM581" s="422"/>
      <c r="BN581" s="423"/>
      <c r="BO581" s="422"/>
      <c r="BP581" s="422"/>
      <c r="BQ581" s="422"/>
      <c r="BR581" s="422"/>
      <c r="BS581" s="423"/>
      <c r="BT581" s="423"/>
      <c r="BU581" s="423"/>
      <c r="BV581" s="423"/>
      <c r="BW581" s="118"/>
    </row>
    <row r="582" spans="1:75" hidden="1" outlineLevel="3" x14ac:dyDescent="0.5">
      <c r="A582" s="189" t="s">
        <v>2539</v>
      </c>
      <c r="B582" s="720"/>
      <c r="C582" s="417"/>
      <c r="D582" s="417"/>
      <c r="E582" s="417"/>
      <c r="F582" s="417"/>
      <c r="G582" s="378"/>
      <c r="H582" s="378"/>
      <c r="I582" s="378"/>
      <c r="J582" s="378"/>
      <c r="K582" s="417"/>
      <c r="L582" s="378"/>
      <c r="M582" s="378"/>
      <c r="N582" s="378"/>
      <c r="O582" s="378"/>
      <c r="P582" s="417"/>
      <c r="Q582" s="378"/>
      <c r="R582" s="378"/>
      <c r="S582" s="378"/>
      <c r="T582" s="378"/>
      <c r="U582" s="417"/>
      <c r="V582" s="378"/>
      <c r="W582" s="378"/>
      <c r="X582" s="378"/>
      <c r="Y582" s="378"/>
      <c r="Z582" s="417"/>
      <c r="AA582" s="378"/>
      <c r="AB582" s="378"/>
      <c r="AC582" s="378"/>
      <c r="AD582" s="378" t="str">
        <f>IFERROR(AD577/AD556-1,"n/a")</f>
        <v>n/a</v>
      </c>
      <c r="AE582" s="417" t="str">
        <f>IFERROR(AE577/AD556-1,"n/a")</f>
        <v>n/a</v>
      </c>
      <c r="AF582" s="378" t="str">
        <f>IFERROR(AF577/AF556-1,"n/a")</f>
        <v>n/a</v>
      </c>
      <c r="AG582" s="378" t="str">
        <f>IFERROR(AG577/AG556-1,"n/a")</f>
        <v>n/a</v>
      </c>
      <c r="AH582" s="378" t="str">
        <f>IFERROR(AH577/AH556-1,"n/a")</f>
        <v>n/a</v>
      </c>
      <c r="AI582" s="378" t="str">
        <f>IFERROR(AI577/AI556-1,"n/a")</f>
        <v>n/a</v>
      </c>
      <c r="AJ582" s="417" t="str">
        <f>IFERROR(AJ577/AI556-1,"n/a")</f>
        <v>n/a</v>
      </c>
      <c r="AK582" s="378" t="str">
        <f>IFERROR(AK577/AK556-1,"n/a")</f>
        <v>n/a</v>
      </c>
      <c r="AL582" s="378" t="str">
        <f>IFERROR(AL577/AL556-1,"n/a")</f>
        <v>n/a</v>
      </c>
      <c r="AM582" s="378" t="str">
        <f>IFERROR(AM577/AM556-1,"n/a")</f>
        <v>n/a</v>
      </c>
      <c r="AN582" s="378">
        <f>AN577/AN556-1</f>
        <v>-0.10128018775277003</v>
      </c>
      <c r="AO582" s="417">
        <f>AO577/AN556-1</f>
        <v>-0.10128018775277003</v>
      </c>
      <c r="AP582" s="378">
        <f>AP577/AP556-1</f>
        <v>0.63062104768762417</v>
      </c>
      <c r="AQ582" s="378">
        <f>AQ577/AQ556-1</f>
        <v>-0.34205233870540397</v>
      </c>
      <c r="AR582" s="378" t="str">
        <f>IFERROR(AR577/AR556-1,"n/a")</f>
        <v>n/a</v>
      </c>
      <c r="AS582" s="378" t="str">
        <f>IFERROR(AS577/AS556-1,"n/a")</f>
        <v>n/a</v>
      </c>
      <c r="AT582" s="417" t="str">
        <f>IFERROR(AT577/AS556-1,"n/a")</f>
        <v>n/a</v>
      </c>
      <c r="AU582" s="378" t="str">
        <f>IFERROR(AU577/AU556-1,"n/a")</f>
        <v>n/a</v>
      </c>
      <c r="AV582" s="378" t="str">
        <f>IFERROR(AV577/AV556-1,"n/a")</f>
        <v>n/a</v>
      </c>
      <c r="AW582" s="378">
        <f>AW577/AW556-1</f>
        <v>1.0522825830833638E-2</v>
      </c>
      <c r="AX582" s="378" t="str">
        <f>IFERROR(AX577/AX556-1,"n/a")</f>
        <v>n/a</v>
      </c>
      <c r="AY582" s="417" t="str">
        <f>IFERROR(AY577/AX556-1,"n/a")</f>
        <v>n/a</v>
      </c>
      <c r="AZ582" s="378" t="str">
        <f>IFERROR(AZ577/AZ556-1,"n/a")</f>
        <v>n/a</v>
      </c>
      <c r="BA582" s="378">
        <f>BA577/BA556-1</f>
        <v>-0.15354557031249982</v>
      </c>
      <c r="BB582" s="378">
        <f>BB577/BB556-1</f>
        <v>1.6573695145630785E-2</v>
      </c>
      <c r="BC582" s="378">
        <f>BC577/BC556-1</f>
        <v>-0.13662172452407617</v>
      </c>
      <c r="BD582" s="417">
        <f>BD577/BC556-1</f>
        <v>-0.13662172452407617</v>
      </c>
      <c r="BE582" s="378">
        <f>BE577/BE556-1</f>
        <v>0.25859999999999994</v>
      </c>
      <c r="BF582" s="378">
        <f>BF577/BF556-1</f>
        <v>-0.10691370558375646</v>
      </c>
      <c r="BG582" s="378">
        <f>BG577/BG556-1</f>
        <v>2.9721374045801552E-2</v>
      </c>
      <c r="BH582" s="378">
        <f>IFERROR(BH577/BH556-1,"n/a")</f>
        <v>-0.16251059322033889</v>
      </c>
      <c r="BI582" s="417">
        <f>IFERROR(BI577/BH556-1,"n/a")</f>
        <v>-0.16251059322033889</v>
      </c>
      <c r="BJ582" s="1130">
        <f>IFERROR(BJ577/BJ556-1,"n/a")</f>
        <v>0.17896153846153839</v>
      </c>
      <c r="BK582" s="378"/>
      <c r="BL582" s="378"/>
      <c r="BM582" s="378"/>
      <c r="BN582" s="417"/>
      <c r="BO582" s="378"/>
      <c r="BP582" s="378"/>
      <c r="BQ582" s="378"/>
      <c r="BR582" s="378"/>
      <c r="BS582" s="417"/>
      <c r="BT582" s="417"/>
      <c r="BU582" s="417"/>
      <c r="BV582" s="417"/>
      <c r="BW582" s="118"/>
    </row>
    <row r="583" spans="1:75" hidden="1" outlineLevel="3" x14ac:dyDescent="0.5">
      <c r="A583" s="1188" t="s">
        <v>2540</v>
      </c>
      <c r="B583" s="769"/>
      <c r="C583" s="770"/>
      <c r="D583" s="770"/>
      <c r="E583" s="770"/>
      <c r="F583" s="770"/>
      <c r="G583" s="771"/>
      <c r="H583" s="771"/>
      <c r="I583" s="771"/>
      <c r="J583" s="771"/>
      <c r="K583" s="770"/>
      <c r="L583" s="771"/>
      <c r="M583" s="771"/>
      <c r="N583" s="771"/>
      <c r="O583" s="771"/>
      <c r="P583" s="770"/>
      <c r="Q583" s="771"/>
      <c r="R583" s="771"/>
      <c r="S583" s="771"/>
      <c r="T583" s="771"/>
      <c r="U583" s="770"/>
      <c r="V583" s="771"/>
      <c r="W583" s="771"/>
      <c r="X583" s="771"/>
      <c r="Y583" s="771"/>
      <c r="Z583" s="770"/>
      <c r="AA583" s="771"/>
      <c r="AB583" s="771"/>
      <c r="AC583" s="771"/>
      <c r="AD583" s="771" t="str">
        <f>IFERROR(AD578/AD556-1,"n/a")</f>
        <v>n/a</v>
      </c>
      <c r="AE583" s="770" t="str">
        <f>IFERROR(AE578/AD556-1,"n/a")</f>
        <v>n/a</v>
      </c>
      <c r="AF583" s="771" t="str">
        <f>IFERROR(AF578/AF556-1,"n/a")</f>
        <v>n/a</v>
      </c>
      <c r="AG583" s="771" t="str">
        <f>IFERROR(AG578/AG556-1,"n/a")</f>
        <v>n/a</v>
      </c>
      <c r="AH583" s="771" t="str">
        <f>IFERROR(AH578/AH556-1,"n/a")</f>
        <v>n/a</v>
      </c>
      <c r="AI583" s="771" t="str">
        <f>IFERROR(AI578/AI556-1,"n/a")</f>
        <v>n/a</v>
      </c>
      <c r="AJ583" s="770" t="str">
        <f>IFERROR(AJ578/AI556-1,"n/a")</f>
        <v>n/a</v>
      </c>
      <c r="AK583" s="771" t="str">
        <f>IFERROR(AK578/AK556-1,"n/a")</f>
        <v>n/a</v>
      </c>
      <c r="AL583" s="771" t="str">
        <f>IFERROR(AL578/AL556-1,"n/a")</f>
        <v>n/a</v>
      </c>
      <c r="AM583" s="771" t="str">
        <f>IFERROR(AM578/AM556-1,"n/a")</f>
        <v>n/a</v>
      </c>
      <c r="AN583" s="771">
        <f>AN578/AN556-1</f>
        <v>-6.2205413307238278E-2</v>
      </c>
      <c r="AO583" s="770">
        <f>AO578/AN556-1</f>
        <v>-6.2205413307238278E-2</v>
      </c>
      <c r="AP583" s="771">
        <f>AP578/AP556-1</f>
        <v>0.63062104768762417</v>
      </c>
      <c r="AQ583" s="771">
        <f>AQ578/AQ556-1</f>
        <v>-0.31674665942484259</v>
      </c>
      <c r="AR583" s="771" t="str">
        <f>IFERROR(AR578/AR556-1,"n/a")</f>
        <v>n/a</v>
      </c>
      <c r="AS583" s="771" t="str">
        <f>IFERROR(AS578/AS556-1,"n/a")</f>
        <v>n/a</v>
      </c>
      <c r="AT583" s="770" t="str">
        <f>IFERROR(AT578/AS556-1,"n/a")</f>
        <v>n/a</v>
      </c>
      <c r="AU583" s="771" t="str">
        <f>IFERROR(AU578/AU556-1,"n/a")</f>
        <v>n/a</v>
      </c>
      <c r="AV583" s="771" t="str">
        <f>IFERROR(AV578/AV556-1,"n/a")</f>
        <v>n/a</v>
      </c>
      <c r="AW583" s="771">
        <f>AW578/AW556-1</f>
        <v>4.7949597157901591E-2</v>
      </c>
      <c r="AX583" s="771" t="str">
        <f>IFERROR(AX578/AX556-1,"n/a")</f>
        <v>n/a</v>
      </c>
      <c r="AY583" s="770" t="str">
        <f>IFERROR(AY578/AX556-1,"n/a")</f>
        <v>n/a</v>
      </c>
      <c r="AZ583" s="771" t="str">
        <f>IFERROR(AZ578/AZ556-1,"n/a")</f>
        <v>n/a</v>
      </c>
      <c r="BA583" s="771">
        <f>BA578/BA556-1</f>
        <v>-0.12219540624999981</v>
      </c>
      <c r="BB583" s="771">
        <f>BB578/BB556-1</f>
        <v>5.2879898543688908E-2</v>
      </c>
      <c r="BC583" s="771">
        <f>BC578/BC556-1</f>
        <v>-0.10578678611422176</v>
      </c>
      <c r="BD583" s="770">
        <f>BD578/BC556-1</f>
        <v>-0.10578678611422176</v>
      </c>
      <c r="BE583" s="771">
        <f>BE578/BE556-1</f>
        <v>0.30200000000000005</v>
      </c>
      <c r="BF583" s="771">
        <f>BF578/BF556-1</f>
        <v>-7.66395939086294E-2</v>
      </c>
      <c r="BG583" s="771">
        <f>BG578/BG556-1</f>
        <v>6.4045419847328366E-2</v>
      </c>
      <c r="BH583" s="771">
        <f>IFERROR(BH578/BH556-1,"n/a")</f>
        <v>-0.13459427966101689</v>
      </c>
      <c r="BI583" s="770">
        <f>IFERROR(BI578/BH556-1,"n/a")</f>
        <v>-0.13459427966101689</v>
      </c>
      <c r="BJ583" s="1314">
        <f>IFERROR(BJ578/BJ556-1,"n/a")</f>
        <v>0.21826025641025626</v>
      </c>
      <c r="BK583" s="771"/>
      <c r="BL583" s="771"/>
      <c r="BM583" s="771"/>
      <c r="BN583" s="770"/>
      <c r="BO583" s="771"/>
      <c r="BP583" s="771"/>
      <c r="BQ583" s="771"/>
      <c r="BR583" s="771"/>
      <c r="BS583" s="770"/>
      <c r="BT583" s="770"/>
      <c r="BU583" s="770"/>
      <c r="BV583" s="770"/>
      <c r="BW583" s="118"/>
    </row>
    <row r="584" spans="1:75" hidden="1" outlineLevel="2" x14ac:dyDescent="0.5">
      <c r="A584" s="170" t="s">
        <v>2541</v>
      </c>
      <c r="B584" s="720"/>
      <c r="C584" s="417"/>
      <c r="D584" s="417"/>
      <c r="E584" s="417"/>
      <c r="F584" s="417"/>
      <c r="G584" s="378"/>
      <c r="H584" s="378"/>
      <c r="I584" s="378"/>
      <c r="J584" s="378"/>
      <c r="K584" s="417"/>
      <c r="L584" s="378"/>
      <c r="M584" s="378"/>
      <c r="N584" s="378"/>
      <c r="O584" s="378"/>
      <c r="P584" s="417"/>
      <c r="Q584" s="378"/>
      <c r="R584" s="378"/>
      <c r="S584" s="378"/>
      <c r="T584" s="378"/>
      <c r="U584" s="417"/>
      <c r="V584" s="378"/>
      <c r="W584" s="378"/>
      <c r="X584" s="378"/>
      <c r="Y584" s="378"/>
      <c r="Z584" s="417"/>
      <c r="AA584" s="378"/>
      <c r="AB584" s="378"/>
      <c r="AC584" s="378"/>
      <c r="AD584" s="378" t="str">
        <f>IFERROR(AD579/AD556-1,"n/a")</f>
        <v>n/a</v>
      </c>
      <c r="AE584" s="417" t="str">
        <f>IFERROR(AE579/AD556-1,"n/a")</f>
        <v>n/a</v>
      </c>
      <c r="AF584" s="378" t="str">
        <f>IFERROR(AF579/AF556-1,"n/a")</f>
        <v>n/a</v>
      </c>
      <c r="AG584" s="378" t="str">
        <f>IFERROR(AG579/AG556-1,"n/a")</f>
        <v>n/a</v>
      </c>
      <c r="AH584" s="378" t="str">
        <f>IFERROR(AH579/AH556-1,"n/a")</f>
        <v>n/a</v>
      </c>
      <c r="AI584" s="378" t="str">
        <f>IFERROR(AI579/AI556-1,"n/a")</f>
        <v>n/a</v>
      </c>
      <c r="AJ584" s="417" t="str">
        <f>IFERROR(AJ579/AI556-1,"n/a")</f>
        <v>n/a</v>
      </c>
      <c r="AK584" s="378" t="str">
        <f>IFERROR(AK579/AK556-1,"n/a")</f>
        <v>n/a</v>
      </c>
      <c r="AL584" s="378" t="str">
        <f>IFERROR(AL579/AL556-1,"n/a")</f>
        <v>n/a</v>
      </c>
      <c r="AM584" s="378" t="str">
        <f>IFERROR(AM579/AM556-1,"n/a")</f>
        <v>n/a</v>
      </c>
      <c r="AN584" s="378">
        <f>AN579/AN556-1</f>
        <v>-8.1742800530004156E-2</v>
      </c>
      <c r="AO584" s="417">
        <f>AO579/AN556-1</f>
        <v>-8.1742800530004156E-2</v>
      </c>
      <c r="AP584" s="378">
        <f>AP579/AP556-1</f>
        <v>0.63062104768762417</v>
      </c>
      <c r="AQ584" s="378">
        <f>AQ579/AQ556-1</f>
        <v>-0.32939949906512334</v>
      </c>
      <c r="AR584" s="378" t="str">
        <f>IFERROR(AR579/AR556-1,"n/a")</f>
        <v>n/a</v>
      </c>
      <c r="AS584" s="378" t="str">
        <f>IFERROR(AS579/AS556-1,"n/a")</f>
        <v>n/a</v>
      </c>
      <c r="AT584" s="417" t="str">
        <f>IFERROR(AT579/AS556-1,"n/a")</f>
        <v>n/a</v>
      </c>
      <c r="AU584" s="378" t="str">
        <f>IFERROR(AU579/AU556-1,"n/a")</f>
        <v>n/a</v>
      </c>
      <c r="AV584" s="378" t="str">
        <f>IFERROR(AV579/AV556-1,"n/a")</f>
        <v>n/a</v>
      </c>
      <c r="AW584" s="378">
        <f>AW579/AW556-1</f>
        <v>2.9236211494367614E-2</v>
      </c>
      <c r="AX584" s="378" t="str">
        <f>IFERROR(AX579/AX556-1,"n/a")</f>
        <v>n/a</v>
      </c>
      <c r="AY584" s="417" t="str">
        <f>IFERROR(AY579/AX556-1,"n/a")</f>
        <v>n/a</v>
      </c>
      <c r="AZ584" s="378" t="str">
        <f>IFERROR(AZ579/AZ556-1,"n/a")</f>
        <v>n/a</v>
      </c>
      <c r="BA584" s="378">
        <f>BA579/BA556-1</f>
        <v>-0.13787048828124981</v>
      </c>
      <c r="BB584" s="378">
        <f>BB579/BB556-1</f>
        <v>3.4726796844659846E-2</v>
      </c>
      <c r="BC584" s="378">
        <f>BC579/BC556-1</f>
        <v>-0.12120425531914891</v>
      </c>
      <c r="BD584" s="417">
        <f>BD579/BC556-1</f>
        <v>-0.12120425531914891</v>
      </c>
      <c r="BE584" s="378">
        <f>BE579/BE556-1</f>
        <v>0.28029999999999977</v>
      </c>
      <c r="BF584" s="378">
        <f>BF579/BF556-1</f>
        <v>-9.177664974619304E-2</v>
      </c>
      <c r="BG584" s="378">
        <f>BG579/BG556-1</f>
        <v>4.6883396946564959E-2</v>
      </c>
      <c r="BH584" s="378">
        <f>IFERROR(BH579/BH556-1,"n/a")</f>
        <v>-0.14855243644067795</v>
      </c>
      <c r="BI584" s="417">
        <f>IFERROR(BI579/BH556-1,"n/a")</f>
        <v>-0.14855243644067795</v>
      </c>
      <c r="BJ584" s="1130">
        <f>IFERROR(BJ579/BJ556-1,"n/a")</f>
        <v>0.19861089743589755</v>
      </c>
      <c r="BK584" s="378"/>
      <c r="BL584" s="378"/>
      <c r="BM584" s="378"/>
      <c r="BN584" s="417"/>
      <c r="BO584" s="378"/>
      <c r="BP584" s="378"/>
      <c r="BQ584" s="378"/>
      <c r="BR584" s="378"/>
      <c r="BS584" s="417"/>
      <c r="BT584" s="417"/>
      <c r="BU584" s="417"/>
      <c r="BV584" s="417"/>
      <c r="BW584" s="118"/>
    </row>
    <row r="585" spans="1:75" hidden="1" outlineLevel="3" x14ac:dyDescent="0.5">
      <c r="A585" s="189" t="s">
        <v>2542</v>
      </c>
      <c r="B585" s="720"/>
      <c r="C585" s="417"/>
      <c r="D585" s="417"/>
      <c r="E585" s="417"/>
      <c r="F585" s="417"/>
      <c r="G585" s="378"/>
      <c r="H585" s="378"/>
      <c r="I585" s="378"/>
      <c r="J585" s="378"/>
      <c r="K585" s="417"/>
      <c r="L585" s="378"/>
      <c r="M585" s="378"/>
      <c r="N585" s="378"/>
      <c r="O585" s="378"/>
      <c r="P585" s="417"/>
      <c r="Q585" s="378"/>
      <c r="R585" s="378"/>
      <c r="S585" s="378"/>
      <c r="T585" s="378"/>
      <c r="U585" s="417"/>
      <c r="V585" s="378"/>
      <c r="W585" s="378"/>
      <c r="X585" s="378"/>
      <c r="Y585" s="378"/>
      <c r="Z585" s="417"/>
      <c r="AA585" s="378"/>
      <c r="AB585" s="378"/>
      <c r="AC585" s="378"/>
      <c r="AD585" s="378" t="str">
        <f>IFERROR(AD577/AA556-1,"n/a")</f>
        <v>n/a</v>
      </c>
      <c r="AE585" s="417" t="str">
        <f>IFERROR(AD585,"n/a")</f>
        <v>n/a</v>
      </c>
      <c r="AF585" s="378" t="str">
        <f>IFERROR(AF577/AB556-1,"n/a")</f>
        <v>n/a</v>
      </c>
      <c r="AG585" s="378" t="str">
        <f>IFERROR(AG577/AC556-1,"n/a")</f>
        <v>n/a</v>
      </c>
      <c r="AH585" s="378" t="str">
        <f>IFERROR(AH577/AD556-1,"n/a")</f>
        <v>n/a</v>
      </c>
      <c r="AI585" s="378" t="str">
        <f>IFERROR(AI577/AF556-1,"n/a")</f>
        <v>n/a</v>
      </c>
      <c r="AJ585" s="417" t="str">
        <f>IFERROR(AI585,"n/a")</f>
        <v>n/a</v>
      </c>
      <c r="AK585" s="378" t="str">
        <f>IFERROR(AK577/AG556-1,"n/a")</f>
        <v>n/a</v>
      </c>
      <c r="AL585" s="378" t="str">
        <f>IFERROR(AL577/AH556-1,"n/a")</f>
        <v>n/a</v>
      </c>
      <c r="AM585" s="378" t="str">
        <f>IFERROR(AM577/AI556-1,"n/a")</f>
        <v>n/a</v>
      </c>
      <c r="AN585" s="378">
        <f>AN577/AK556-1</f>
        <v>0.10293072508374856</v>
      </c>
      <c r="AO585" s="417">
        <f>AN585</f>
        <v>0.10293072508374856</v>
      </c>
      <c r="AP585" s="378">
        <f>AP577/AL556-1</f>
        <v>0.68750920836311624</v>
      </c>
      <c r="AQ585" s="378">
        <f>AQ577/AM556-1</f>
        <v>0.60980698842978853</v>
      </c>
      <c r="AR585" s="378" t="str">
        <f>IFERROR(AR577/AN556-1,"n/a")</f>
        <v>n/a</v>
      </c>
      <c r="AS585" s="378" t="str">
        <f>IFERROR(AS577/AP556-1,"n/a")</f>
        <v>n/a</v>
      </c>
      <c r="AT585" s="417" t="str">
        <f>IFERROR(AS585,"n/a")</f>
        <v>n/a</v>
      </c>
      <c r="AU585" s="378" t="str">
        <f>IFERROR(AU577/AQ556-1,"n/a")</f>
        <v>n/a</v>
      </c>
      <c r="AV585" s="378" t="str">
        <f>IFERROR(AV577/AR556-1,"n/a")</f>
        <v>n/a</v>
      </c>
      <c r="AW585" s="378">
        <f>AW577/AS556-1</f>
        <v>-0.16210297579349786</v>
      </c>
      <c r="AX585" s="378" t="str">
        <f>IFERROR(AX577/AU556-1,"n/a")</f>
        <v>n/a</v>
      </c>
      <c r="AY585" s="417" t="str">
        <f>IFERROR(AX585,"n/a")</f>
        <v>n/a</v>
      </c>
      <c r="AZ585" s="378" t="str">
        <f>IFERROR(AZ577/AV556-1,"n/a")</f>
        <v>n/a</v>
      </c>
      <c r="BA585" s="378">
        <f>BA577/AW556-1</f>
        <v>-0.14081895102455111</v>
      </c>
      <c r="BB585" s="378">
        <f>BB577/AX556-1</f>
        <v>-4.9397430959446376E-2</v>
      </c>
      <c r="BC585" s="378">
        <f>BC577/AZ556-1</f>
        <v>-3.9854545454545476E-2</v>
      </c>
      <c r="BD585" s="417">
        <f>BC585</f>
        <v>-3.9854545454545476E-2</v>
      </c>
      <c r="BE585" s="378">
        <f>BE577/BA556-1</f>
        <v>0.15324843750000006</v>
      </c>
      <c r="BF585" s="378">
        <f>BF577/BB556-1</f>
        <v>6.7584951456310716E-2</v>
      </c>
      <c r="BG585" s="378">
        <f>BG577/BC556-1</f>
        <v>5.7395856662934008E-2</v>
      </c>
      <c r="BH585" s="378">
        <f>IFERROR(BH577/BE556-1,"n/a")</f>
        <v>-3.7040194884287447E-2</v>
      </c>
      <c r="BI585" s="417">
        <f>IFERROR(BH585,"n/a")</f>
        <v>-3.7040194884287447E-2</v>
      </c>
      <c r="BJ585" s="1130">
        <f>IFERROR(BJ577/BF556-1,"n/a")</f>
        <v>-1.9726395939086316E-2</v>
      </c>
      <c r="BK585" s="378"/>
      <c r="BL585" s="378"/>
      <c r="BM585" s="378"/>
      <c r="BN585" s="417"/>
      <c r="BO585" s="378"/>
      <c r="BP585" s="378"/>
      <c r="BQ585" s="378"/>
      <c r="BR585" s="378"/>
      <c r="BS585" s="417"/>
      <c r="BT585" s="417"/>
      <c r="BU585" s="417"/>
      <c r="BV585" s="417"/>
      <c r="BW585" s="118"/>
    </row>
    <row r="586" spans="1:75" hidden="1" outlineLevel="3" x14ac:dyDescent="0.5">
      <c r="A586" s="1188" t="s">
        <v>2543</v>
      </c>
      <c r="B586" s="769"/>
      <c r="C586" s="770"/>
      <c r="D586" s="770"/>
      <c r="E586" s="770"/>
      <c r="F586" s="770"/>
      <c r="G586" s="771"/>
      <c r="H586" s="771"/>
      <c r="I586" s="771"/>
      <c r="J586" s="771"/>
      <c r="K586" s="770"/>
      <c r="L586" s="771"/>
      <c r="M586" s="771"/>
      <c r="N586" s="771"/>
      <c r="O586" s="771"/>
      <c r="P586" s="770"/>
      <c r="Q586" s="771"/>
      <c r="R586" s="771"/>
      <c r="S586" s="771"/>
      <c r="T586" s="771"/>
      <c r="U586" s="770"/>
      <c r="V586" s="771"/>
      <c r="W586" s="771"/>
      <c r="X586" s="771"/>
      <c r="Y586" s="771"/>
      <c r="Z586" s="770"/>
      <c r="AA586" s="771"/>
      <c r="AB586" s="771"/>
      <c r="AC586" s="771"/>
      <c r="AD586" s="771" t="str">
        <f>IFERROR(AD578/AA556-1,"n/a")</f>
        <v>n/a</v>
      </c>
      <c r="AE586" s="770" t="str">
        <f>IFERROR(AD586,"n/a")</f>
        <v>n/a</v>
      </c>
      <c r="AF586" s="771" t="str">
        <f>IFERROR(AF578/AB556-1,"n/a")</f>
        <v>n/a</v>
      </c>
      <c r="AG586" s="771" t="str">
        <f>IFERROR(AG578/AC556-1,"n/a")</f>
        <v>n/a</v>
      </c>
      <c r="AH586" s="771" t="str">
        <f>IFERROR(AH578/AD556-1,"n/a")</f>
        <v>n/a</v>
      </c>
      <c r="AI586" s="771" t="str">
        <f>IFERROR(AI578/AF556-1,"n/a")</f>
        <v>n/a</v>
      </c>
      <c r="AJ586" s="770" t="str">
        <f>IFERROR(AI586,"n/a")</f>
        <v>n/a</v>
      </c>
      <c r="AK586" s="771" t="str">
        <f>IFERROR(AK578/AG556-1,"n/a")</f>
        <v>n/a</v>
      </c>
      <c r="AL586" s="771" t="str">
        <f>IFERROR(AL578/AH556-1,"n/a")</f>
        <v>n/a</v>
      </c>
      <c r="AM586" s="771" t="str">
        <f>IFERROR(AM578/AI556-1,"n/a")</f>
        <v>n/a</v>
      </c>
      <c r="AN586" s="771">
        <f>AN578/AK556-1</f>
        <v>0.15088423486999836</v>
      </c>
      <c r="AO586" s="770">
        <f>AN586</f>
        <v>0.15088423486999836</v>
      </c>
      <c r="AP586" s="771">
        <f>AP578/AL556-1</f>
        <v>0.68750920836311624</v>
      </c>
      <c r="AQ586" s="771">
        <f>AQ578/AM556-1</f>
        <v>0.67172264183093455</v>
      </c>
      <c r="AR586" s="771" t="str">
        <f>IFERROR(AR578/AN556-1,"n/a")</f>
        <v>n/a</v>
      </c>
      <c r="AS586" s="771" t="str">
        <f>IFERROR(AS578/AP556-1,"n/a")</f>
        <v>n/a</v>
      </c>
      <c r="AT586" s="770" t="str">
        <f>IFERROR(AS586,"n/a")</f>
        <v>n/a</v>
      </c>
      <c r="AU586" s="771" t="str">
        <f>IFERROR(AU578/AQ556-1,"n/a")</f>
        <v>n/a</v>
      </c>
      <c r="AV586" s="771" t="str">
        <f>IFERROR(AV578/AR556-1,"n/a")</f>
        <v>n/a</v>
      </c>
      <c r="AW586" s="771">
        <f>AW578/AS556-1</f>
        <v>-0.13106975267473842</v>
      </c>
      <c r="AX586" s="771" t="str">
        <f>IFERROR(AX578/AU556-1,"n/a")</f>
        <v>n/a</v>
      </c>
      <c r="AY586" s="770" t="str">
        <f>IFERROR(AX586,"n/a")</f>
        <v>n/a</v>
      </c>
      <c r="AZ586" s="771" t="str">
        <f>IFERROR(AZ578/AV556-1,"n/a")</f>
        <v>n/a</v>
      </c>
      <c r="BA586" s="771">
        <f>BA578/AW556-1</f>
        <v>-0.10899743069212708</v>
      </c>
      <c r="BB586" s="771">
        <f>BB578/AX556-1</f>
        <v>-1.5447339207998123E-2</v>
      </c>
      <c r="BC586" s="771">
        <f>BC578/AZ556-1</f>
        <v>-5.5636363636364372E-3</v>
      </c>
      <c r="BD586" s="770">
        <f>BC586</f>
        <v>-5.5636363636364372E-3</v>
      </c>
      <c r="BE586" s="771">
        <f>BE578/BA556-1</f>
        <v>0.19301562499999991</v>
      </c>
      <c r="BF586" s="771">
        <f>BF578/BB556-1</f>
        <v>0.10377427184466015</v>
      </c>
      <c r="BG586" s="771">
        <f>BG578/BC556-1</f>
        <v>9.2642385218365098E-2</v>
      </c>
      <c r="BH586" s="771">
        <f>IFERROR(BH578/BE556-1,"n/a")</f>
        <v>-4.9415347137635734E-3</v>
      </c>
      <c r="BI586" s="770">
        <f>IFERROR(BH586,"n/a")</f>
        <v>-4.9415347137635734E-3</v>
      </c>
      <c r="BJ586" s="1314">
        <f>IFERROR(BJ578/BF556-1,"n/a")</f>
        <v>1.294939086294411E-2</v>
      </c>
      <c r="BK586" s="771"/>
      <c r="BL586" s="771"/>
      <c r="BM586" s="771"/>
      <c r="BN586" s="770"/>
      <c r="BO586" s="771"/>
      <c r="BP586" s="771"/>
      <c r="BQ586" s="771"/>
      <c r="BR586" s="771"/>
      <c r="BS586" s="770"/>
      <c r="BT586" s="770"/>
      <c r="BU586" s="770"/>
      <c r="BV586" s="770"/>
      <c r="BW586" s="118"/>
    </row>
    <row r="587" spans="1:75" hidden="1" outlineLevel="2" x14ac:dyDescent="0.5">
      <c r="A587" s="170" t="s">
        <v>2544</v>
      </c>
      <c r="B587" s="720"/>
      <c r="C587" s="417"/>
      <c r="D587" s="417"/>
      <c r="E587" s="417"/>
      <c r="F587" s="417"/>
      <c r="G587" s="378"/>
      <c r="H587" s="378"/>
      <c r="I587" s="378"/>
      <c r="J587" s="378"/>
      <c r="K587" s="417"/>
      <c r="L587" s="378"/>
      <c r="M587" s="378"/>
      <c r="N587" s="378"/>
      <c r="O587" s="378"/>
      <c r="P587" s="417"/>
      <c r="Q587" s="378"/>
      <c r="R587" s="378"/>
      <c r="S587" s="378"/>
      <c r="T587" s="378"/>
      <c r="U587" s="417"/>
      <c r="V587" s="378"/>
      <c r="W587" s="378"/>
      <c r="X587" s="378"/>
      <c r="Y587" s="378"/>
      <c r="Z587" s="417"/>
      <c r="AA587" s="378"/>
      <c r="AB587" s="378"/>
      <c r="AC587" s="378"/>
      <c r="AD587" s="378" t="str">
        <f>IFERROR(AD579/AA556-1,"n/a")</f>
        <v>n/a</v>
      </c>
      <c r="AE587" s="417" t="str">
        <f>IFERROR(AE579/AA556-1,"n/a")</f>
        <v>n/a</v>
      </c>
      <c r="AF587" s="378" t="str">
        <f>IFERROR(AF579/AB556-1,"n/a")</f>
        <v>n/a</v>
      </c>
      <c r="AG587" s="378" t="str">
        <f>IFERROR(AG579/AC556-1,"n/a")</f>
        <v>n/a</v>
      </c>
      <c r="AH587" s="378" t="str">
        <f>IFERROR(AH579/AD556-1,"n/a")</f>
        <v>n/a</v>
      </c>
      <c r="AI587" s="378" t="str">
        <f>IFERROR(AI579/AF556-1,"n/a")</f>
        <v>n/a</v>
      </c>
      <c r="AJ587" s="417" t="str">
        <f>IFERROR(AJ579/AF556-1,"n/a")</f>
        <v>n/a</v>
      </c>
      <c r="AK587" s="378" t="str">
        <f>IFERROR(AK579/AG556-1,"n/a")</f>
        <v>n/a</v>
      </c>
      <c r="AL587" s="378" t="str">
        <f>IFERROR(AL579/AH556-1,"n/a")</f>
        <v>n/a</v>
      </c>
      <c r="AM587" s="378" t="str">
        <f>IFERROR(AM579/AI556-1,"n/a")</f>
        <v>n/a</v>
      </c>
      <c r="AN587" s="378">
        <f>AN579/AK556-1</f>
        <v>0.12690747997687346</v>
      </c>
      <c r="AO587" s="417">
        <f>AO579/AK556-1</f>
        <v>0.12690747997687346</v>
      </c>
      <c r="AP587" s="378">
        <f>AP579/AL556-1</f>
        <v>0.68750920836311624</v>
      </c>
      <c r="AQ587" s="378">
        <f>AQ579/AM556-1</f>
        <v>0.64076481513036154</v>
      </c>
      <c r="AR587" s="378" t="str">
        <f>IFERROR(AR579/AN556-1,"n/a")</f>
        <v>n/a</v>
      </c>
      <c r="AS587" s="378" t="str">
        <f>IFERROR(AS579/AP556-1,"n/a")</f>
        <v>n/a</v>
      </c>
      <c r="AT587" s="417" t="str">
        <f>IFERROR(AT579/AP556-1,"n/a")</f>
        <v>n/a</v>
      </c>
      <c r="AU587" s="378" t="str">
        <f>IFERROR(AU579/AQ556-1,"n/a")</f>
        <v>n/a</v>
      </c>
      <c r="AV587" s="378" t="str">
        <f>IFERROR(AV579/AR556-1,"n/a")</f>
        <v>n/a</v>
      </c>
      <c r="AW587" s="378">
        <f>AW579/AS556-1</f>
        <v>-0.14658636423411819</v>
      </c>
      <c r="AX587" s="378" t="str">
        <f>IFERROR(AX579/AU556-1,"n/a")</f>
        <v>n/a</v>
      </c>
      <c r="AY587" s="417" t="str">
        <f>IFERROR(AY579/AU556-1,"n/a")</f>
        <v>n/a</v>
      </c>
      <c r="AZ587" s="378" t="str">
        <f>IFERROR(AZ579/AV556-1,"n/a")</f>
        <v>n/a</v>
      </c>
      <c r="BA587" s="378">
        <f>BA579/AW556-1</f>
        <v>-0.12490819085833904</v>
      </c>
      <c r="BB587" s="378">
        <f>BB579/AX556-1</f>
        <v>-3.2422385083722305E-2</v>
      </c>
      <c r="BC587" s="378">
        <f>BC579/AZ556-1</f>
        <v>-2.2709090909090901E-2</v>
      </c>
      <c r="BD587" s="417">
        <f>BD579/AZ556-1</f>
        <v>-2.2709090909090901E-2</v>
      </c>
      <c r="BE587" s="378">
        <f>BE579/BA556-1</f>
        <v>0.17313203124999998</v>
      </c>
      <c r="BF587" s="378">
        <f>BF579/BB556-1</f>
        <v>8.5679611650485432E-2</v>
      </c>
      <c r="BG587" s="378">
        <f>BG579/BC556-1</f>
        <v>7.5019120940649664E-2</v>
      </c>
      <c r="BH587" s="378">
        <f>IFERROR(BH579/BE556-1,"n/a")</f>
        <v>-2.0990864799025455E-2</v>
      </c>
      <c r="BI587" s="417">
        <f>IFERROR(BI579/BE556-1,"n/a")</f>
        <v>-2.0990864799025455E-2</v>
      </c>
      <c r="BJ587" s="1130">
        <f>IFERROR(BJ579/BF556-1,"n/a")</f>
        <v>-3.3885025380711031E-3</v>
      </c>
      <c r="BK587" s="378"/>
      <c r="BL587" s="378"/>
      <c r="BM587" s="378"/>
      <c r="BN587" s="417"/>
      <c r="BO587" s="378"/>
      <c r="BP587" s="378"/>
      <c r="BQ587" s="378"/>
      <c r="BR587" s="378"/>
      <c r="BS587" s="417"/>
      <c r="BT587" s="417"/>
      <c r="BU587" s="417"/>
      <c r="BV587" s="417"/>
      <c r="BW587" s="118"/>
    </row>
    <row r="588" spans="1:75" hidden="1" outlineLevel="2" x14ac:dyDescent="0.5">
      <c r="A588" s="1524"/>
      <c r="B588" s="513"/>
      <c r="C588" s="401"/>
      <c r="D588" s="401"/>
      <c r="E588" s="401"/>
      <c r="F588" s="401"/>
      <c r="G588" s="118"/>
      <c r="H588" s="118"/>
      <c r="I588" s="118"/>
      <c r="J588" s="118"/>
      <c r="K588" s="401"/>
      <c r="L588" s="118"/>
      <c r="M588" s="118"/>
      <c r="N588" s="118"/>
      <c r="O588" s="118"/>
      <c r="P588" s="401"/>
      <c r="Q588" s="118"/>
      <c r="R588" s="118"/>
      <c r="S588" s="118"/>
      <c r="T588" s="118"/>
      <c r="U588" s="401"/>
      <c r="V588" s="118"/>
      <c r="W588" s="118"/>
      <c r="X588" s="118"/>
      <c r="Y588" s="118"/>
      <c r="Z588" s="401"/>
      <c r="AA588" s="118"/>
      <c r="AB588" s="118"/>
      <c r="AC588" s="118"/>
      <c r="AD588" s="118"/>
      <c r="AE588" s="401"/>
      <c r="AF588" s="118"/>
      <c r="AG588" s="118"/>
      <c r="AH588" s="118"/>
      <c r="AI588" s="118"/>
      <c r="AJ588" s="401"/>
      <c r="AK588" s="118"/>
      <c r="AL588" s="118"/>
      <c r="AM588" s="118"/>
      <c r="AN588" s="118"/>
      <c r="AO588" s="401"/>
      <c r="AP588" s="118"/>
      <c r="AQ588" s="118"/>
      <c r="AR588" s="118"/>
      <c r="AS588" s="118"/>
      <c r="AT588" s="401"/>
      <c r="AU588" s="118"/>
      <c r="AV588" s="118"/>
      <c r="AW588" s="118"/>
      <c r="AX588" s="118"/>
      <c r="AY588" s="401"/>
      <c r="AZ588" s="118"/>
      <c r="BA588" s="118"/>
      <c r="BB588" s="118"/>
      <c r="BC588" s="118"/>
      <c r="BD588" s="401"/>
      <c r="BE588" s="118"/>
      <c r="BF588" s="118"/>
      <c r="BG588" s="118"/>
      <c r="BH588" s="118"/>
      <c r="BI588" s="401"/>
      <c r="BJ588" s="971"/>
      <c r="BK588" s="118"/>
      <c r="BL588" s="118"/>
      <c r="BM588" s="118"/>
      <c r="BN588" s="401"/>
      <c r="BO588" s="118"/>
      <c r="BP588" s="118"/>
      <c r="BQ588" s="118"/>
      <c r="BR588" s="118"/>
      <c r="BS588" s="401"/>
      <c r="BT588" s="401"/>
      <c r="BU588" s="401"/>
      <c r="BV588" s="401"/>
      <c r="BW588" s="118"/>
    </row>
    <row r="589" spans="1:75" hidden="1" outlineLevel="3" x14ac:dyDescent="0.5">
      <c r="A589" s="526" t="s">
        <v>2545</v>
      </c>
      <c r="B589" s="513"/>
      <c r="C589" s="423"/>
      <c r="D589" s="423"/>
      <c r="E589" s="423"/>
      <c r="F589" s="423"/>
      <c r="G589" s="422"/>
      <c r="H589" s="422"/>
      <c r="I589" s="422"/>
      <c r="J589" s="422"/>
      <c r="K589" s="423"/>
      <c r="L589" s="422"/>
      <c r="M589" s="422"/>
      <c r="N589" s="422"/>
      <c r="O589" s="422"/>
      <c r="P589" s="423"/>
      <c r="Q589" s="422"/>
      <c r="R589" s="422"/>
      <c r="S589" s="422"/>
      <c r="T589" s="422"/>
      <c r="U589" s="423"/>
      <c r="V589" s="422"/>
      <c r="W589" s="422"/>
      <c r="X589" s="422"/>
      <c r="Y589" s="422"/>
      <c r="Z589" s="423"/>
      <c r="AA589" s="422"/>
      <c r="AB589" s="422"/>
      <c r="AC589" s="422"/>
      <c r="AD589" s="422" t="str">
        <f t="shared" ref="AD589:BI590" si="429">AD1070</f>
        <v>NR</v>
      </c>
      <c r="AE589" s="423" t="str">
        <f t="shared" si="429"/>
        <v>NR</v>
      </c>
      <c r="AF589" s="422" t="str">
        <f t="shared" si="429"/>
        <v>NR</v>
      </c>
      <c r="AG589" s="422" t="str">
        <f t="shared" si="429"/>
        <v>NR</v>
      </c>
      <c r="AH589" s="422" t="str">
        <f t="shared" si="429"/>
        <v>NR</v>
      </c>
      <c r="AI589" s="422">
        <f t="shared" si="429"/>
        <v>0.23</v>
      </c>
      <c r="AJ589" s="423">
        <f t="shared" si="429"/>
        <v>0.23</v>
      </c>
      <c r="AK589" s="422" t="str">
        <f t="shared" si="429"/>
        <v>NR</v>
      </c>
      <c r="AL589" s="422" t="str">
        <f t="shared" si="429"/>
        <v>NR</v>
      </c>
      <c r="AM589" s="422" t="str">
        <f t="shared" si="429"/>
        <v>NR</v>
      </c>
      <c r="AN589" s="422">
        <f t="shared" si="429"/>
        <v>0.23</v>
      </c>
      <c r="AO589" s="423">
        <f t="shared" si="429"/>
        <v>0.23</v>
      </c>
      <c r="AP589" s="422">
        <f t="shared" si="429"/>
        <v>0.26</v>
      </c>
      <c r="AQ589" s="422">
        <f t="shared" si="429"/>
        <v>0.26</v>
      </c>
      <c r="AR589" s="422">
        <f t="shared" si="429"/>
        <v>0.26</v>
      </c>
      <c r="AS589" s="422">
        <f t="shared" si="429"/>
        <v>0.26</v>
      </c>
      <c r="AT589" s="423">
        <f t="shared" si="429"/>
        <v>0.26</v>
      </c>
      <c r="AU589" s="422">
        <f t="shared" si="429"/>
        <v>0.27</v>
      </c>
      <c r="AV589" s="422">
        <f t="shared" si="429"/>
        <v>0.27</v>
      </c>
      <c r="AW589" s="422">
        <f t="shared" si="429"/>
        <v>0.27</v>
      </c>
      <c r="AX589" s="422">
        <f t="shared" si="429"/>
        <v>0.27</v>
      </c>
      <c r="AY589" s="423">
        <f t="shared" si="429"/>
        <v>0.27</v>
      </c>
      <c r="AZ589" s="422">
        <f t="shared" si="429"/>
        <v>0.27</v>
      </c>
      <c r="BA589" s="422">
        <f t="shared" si="429"/>
        <v>0.27</v>
      </c>
      <c r="BB589" s="422">
        <f t="shared" si="429"/>
        <v>0.28000000000000003</v>
      </c>
      <c r="BC589" s="422">
        <f t="shared" si="429"/>
        <v>0.28000000000000003</v>
      </c>
      <c r="BD589" s="423">
        <f t="shared" si="429"/>
        <v>0.28000000000000003</v>
      </c>
      <c r="BE589" s="422">
        <f t="shared" si="429"/>
        <v>0.28999999999999998</v>
      </c>
      <c r="BF589" s="422">
        <f t="shared" si="429"/>
        <v>0.29499999999999998</v>
      </c>
      <c r="BG589" s="422">
        <f t="shared" si="429"/>
        <v>0.3</v>
      </c>
      <c r="BH589" s="422">
        <f t="shared" si="429"/>
        <v>0.3</v>
      </c>
      <c r="BI589" s="423">
        <f t="shared" si="429"/>
        <v>0.3</v>
      </c>
      <c r="BJ589" s="1034">
        <f>BJ1070</f>
        <v>0.3</v>
      </c>
      <c r="BK589" s="422"/>
      <c r="BL589" s="422"/>
      <c r="BM589" s="422"/>
      <c r="BN589" s="423"/>
      <c r="BO589" s="422"/>
      <c r="BP589" s="422"/>
      <c r="BQ589" s="422"/>
      <c r="BR589" s="422"/>
      <c r="BS589" s="423"/>
      <c r="BT589" s="423"/>
      <c r="BU589" s="423"/>
      <c r="BV589" s="423"/>
      <c r="BW589" s="118"/>
    </row>
    <row r="590" spans="1:75" hidden="1" outlineLevel="3" x14ac:dyDescent="0.5">
      <c r="A590" s="664" t="s">
        <v>2546</v>
      </c>
      <c r="B590" s="677"/>
      <c r="C590" s="1210"/>
      <c r="D590" s="1210"/>
      <c r="E590" s="1210"/>
      <c r="F590" s="1210"/>
      <c r="G590" s="1211"/>
      <c r="H590" s="1211"/>
      <c r="I590" s="1211"/>
      <c r="J590" s="1211"/>
      <c r="K590" s="1210"/>
      <c r="L590" s="1211"/>
      <c r="M590" s="1211"/>
      <c r="N590" s="1211"/>
      <c r="O590" s="1211"/>
      <c r="P590" s="1210"/>
      <c r="Q590" s="1211"/>
      <c r="R590" s="1211"/>
      <c r="S590" s="1211"/>
      <c r="T590" s="1211"/>
      <c r="U590" s="1210"/>
      <c r="V590" s="1211"/>
      <c r="W590" s="1211"/>
      <c r="X590" s="1211"/>
      <c r="Y590" s="1211"/>
      <c r="Z590" s="1210"/>
      <c r="AA590" s="1211"/>
      <c r="AB590" s="1211"/>
      <c r="AC590" s="1211"/>
      <c r="AD590" s="1211" t="str">
        <f t="shared" si="429"/>
        <v>NR</v>
      </c>
      <c r="AE590" s="1210" t="str">
        <f t="shared" si="429"/>
        <v>NR</v>
      </c>
      <c r="AF590" s="1211" t="str">
        <f t="shared" si="429"/>
        <v>NR</v>
      </c>
      <c r="AG590" s="1211" t="str">
        <f t="shared" si="429"/>
        <v>NR</v>
      </c>
      <c r="AH590" s="1211" t="str">
        <f t="shared" si="429"/>
        <v>NR</v>
      </c>
      <c r="AI590" s="1211">
        <f t="shared" si="429"/>
        <v>0.24</v>
      </c>
      <c r="AJ590" s="1210">
        <f t="shared" si="429"/>
        <v>0.24</v>
      </c>
      <c r="AK590" s="1211" t="str">
        <f t="shared" si="429"/>
        <v>NR</v>
      </c>
      <c r="AL590" s="1211" t="str">
        <f t="shared" si="429"/>
        <v>NR</v>
      </c>
      <c r="AM590" s="1211" t="str">
        <f t="shared" si="429"/>
        <v>NR</v>
      </c>
      <c r="AN590" s="1211">
        <f t="shared" si="429"/>
        <v>0.24</v>
      </c>
      <c r="AO590" s="1210">
        <f t="shared" si="429"/>
        <v>0.24</v>
      </c>
      <c r="AP590" s="1211">
        <f t="shared" si="429"/>
        <v>0.26</v>
      </c>
      <c r="AQ590" s="1211">
        <f t="shared" si="429"/>
        <v>0.27</v>
      </c>
      <c r="AR590" s="1211">
        <f t="shared" si="429"/>
        <v>0.28000000000000003</v>
      </c>
      <c r="AS590" s="1211">
        <f t="shared" si="429"/>
        <v>0.28000000000000003</v>
      </c>
      <c r="AT590" s="1210">
        <f t="shared" si="429"/>
        <v>0.28000000000000003</v>
      </c>
      <c r="AU590" s="1211">
        <f t="shared" si="429"/>
        <v>0.28000000000000003</v>
      </c>
      <c r="AV590" s="1211">
        <f t="shared" si="429"/>
        <v>0.28000000000000003</v>
      </c>
      <c r="AW590" s="1211">
        <f t="shared" si="429"/>
        <v>0.28000000000000003</v>
      </c>
      <c r="AX590" s="1211">
        <f t="shared" si="429"/>
        <v>0.28000000000000003</v>
      </c>
      <c r="AY590" s="1210">
        <f t="shared" si="429"/>
        <v>0.28000000000000003</v>
      </c>
      <c r="AZ590" s="1211">
        <f t="shared" si="429"/>
        <v>0.28000000000000003</v>
      </c>
      <c r="BA590" s="1211">
        <f t="shared" si="429"/>
        <v>0.28000000000000003</v>
      </c>
      <c r="BB590" s="1211">
        <f t="shared" si="429"/>
        <v>0.28999999999999998</v>
      </c>
      <c r="BC590" s="1211">
        <f t="shared" si="429"/>
        <v>0.28999999999999998</v>
      </c>
      <c r="BD590" s="1210">
        <f t="shared" si="429"/>
        <v>0.28999999999999998</v>
      </c>
      <c r="BE590" s="1211">
        <f t="shared" si="429"/>
        <v>0.3</v>
      </c>
      <c r="BF590" s="1211">
        <f t="shared" si="429"/>
        <v>0.30499999999999999</v>
      </c>
      <c r="BG590" s="1211">
        <f t="shared" si="429"/>
        <v>0.31</v>
      </c>
      <c r="BH590" s="1211">
        <f t="shared" si="429"/>
        <v>0.31</v>
      </c>
      <c r="BI590" s="1210">
        <f t="shared" si="429"/>
        <v>0.31</v>
      </c>
      <c r="BJ590" s="1212">
        <f>BJ1071</f>
        <v>0.31</v>
      </c>
      <c r="BK590" s="1211"/>
      <c r="BL590" s="1211"/>
      <c r="BM590" s="1211"/>
      <c r="BN590" s="1210"/>
      <c r="BO590" s="1211"/>
      <c r="BP590" s="1211"/>
      <c r="BQ590" s="1211"/>
      <c r="BR590" s="1211"/>
      <c r="BS590" s="1210"/>
      <c r="BT590" s="1210"/>
      <c r="BU590" s="1210"/>
      <c r="BV590" s="1210"/>
      <c r="BW590" s="118"/>
    </row>
    <row r="591" spans="1:75" hidden="1" outlineLevel="2" x14ac:dyDescent="0.5">
      <c r="A591" s="178" t="s">
        <v>2547</v>
      </c>
      <c r="B591" s="522"/>
      <c r="C591" s="730"/>
      <c r="D591" s="730"/>
      <c r="E591" s="730"/>
      <c r="F591" s="730"/>
      <c r="G591" s="473" t="str">
        <f t="shared" ref="G591:BI591" si="430">IFERROR(AVERAGE(G590,G589),"")</f>
        <v/>
      </c>
      <c r="H591" s="473" t="str">
        <f t="shared" si="430"/>
        <v/>
      </c>
      <c r="I591" s="473" t="str">
        <f t="shared" si="430"/>
        <v/>
      </c>
      <c r="J591" s="473" t="str">
        <f t="shared" si="430"/>
        <v/>
      </c>
      <c r="K591" s="730" t="str">
        <f t="shared" si="430"/>
        <v/>
      </c>
      <c r="L591" s="473" t="str">
        <f t="shared" si="430"/>
        <v/>
      </c>
      <c r="M591" s="473" t="str">
        <f t="shared" si="430"/>
        <v/>
      </c>
      <c r="N591" s="473" t="str">
        <f t="shared" si="430"/>
        <v/>
      </c>
      <c r="O591" s="473" t="str">
        <f t="shared" si="430"/>
        <v/>
      </c>
      <c r="P591" s="730" t="str">
        <f t="shared" si="430"/>
        <v/>
      </c>
      <c r="Q591" s="473" t="str">
        <f t="shared" si="430"/>
        <v/>
      </c>
      <c r="R591" s="473" t="str">
        <f t="shared" si="430"/>
        <v/>
      </c>
      <c r="S591" s="473" t="str">
        <f t="shared" si="430"/>
        <v/>
      </c>
      <c r="T591" s="473" t="str">
        <f t="shared" si="430"/>
        <v/>
      </c>
      <c r="U591" s="730" t="str">
        <f t="shared" si="430"/>
        <v/>
      </c>
      <c r="V591" s="473" t="str">
        <f t="shared" si="430"/>
        <v/>
      </c>
      <c r="W591" s="473" t="str">
        <f t="shared" si="430"/>
        <v/>
      </c>
      <c r="X591" s="473" t="str">
        <f t="shared" si="430"/>
        <v/>
      </c>
      <c r="Y591" s="473" t="str">
        <f t="shared" si="430"/>
        <v/>
      </c>
      <c r="Z591" s="730" t="str">
        <f t="shared" si="430"/>
        <v/>
      </c>
      <c r="AA591" s="473" t="str">
        <f t="shared" si="430"/>
        <v/>
      </c>
      <c r="AB591" s="473" t="str">
        <f t="shared" si="430"/>
        <v/>
      </c>
      <c r="AC591" s="473" t="str">
        <f t="shared" si="430"/>
        <v/>
      </c>
      <c r="AD591" s="473" t="str">
        <f t="shared" si="430"/>
        <v/>
      </c>
      <c r="AE591" s="730" t="str">
        <f t="shared" si="430"/>
        <v/>
      </c>
      <c r="AF591" s="473" t="str">
        <f t="shared" si="430"/>
        <v/>
      </c>
      <c r="AG591" s="473" t="str">
        <f t="shared" si="430"/>
        <v/>
      </c>
      <c r="AH591" s="473" t="str">
        <f t="shared" si="430"/>
        <v/>
      </c>
      <c r="AI591" s="473">
        <f t="shared" si="430"/>
        <v>0.23499999999999999</v>
      </c>
      <c r="AJ591" s="730">
        <f t="shared" si="430"/>
        <v>0.23499999999999999</v>
      </c>
      <c r="AK591" s="473" t="str">
        <f t="shared" si="430"/>
        <v/>
      </c>
      <c r="AL591" s="473" t="str">
        <f t="shared" si="430"/>
        <v/>
      </c>
      <c r="AM591" s="473" t="str">
        <f t="shared" si="430"/>
        <v/>
      </c>
      <c r="AN591" s="473">
        <f t="shared" si="430"/>
        <v>0.23499999999999999</v>
      </c>
      <c r="AO591" s="730">
        <f t="shared" si="430"/>
        <v>0.23499999999999999</v>
      </c>
      <c r="AP591" s="473">
        <f t="shared" si="430"/>
        <v>0.26</v>
      </c>
      <c r="AQ591" s="473">
        <f t="shared" si="430"/>
        <v>0.26500000000000001</v>
      </c>
      <c r="AR591" s="473">
        <f t="shared" si="430"/>
        <v>0.27</v>
      </c>
      <c r="AS591" s="473">
        <f t="shared" si="430"/>
        <v>0.27</v>
      </c>
      <c r="AT591" s="730">
        <f t="shared" si="430"/>
        <v>0.27</v>
      </c>
      <c r="AU591" s="473">
        <f t="shared" si="430"/>
        <v>0.27500000000000002</v>
      </c>
      <c r="AV591" s="473">
        <f t="shared" si="430"/>
        <v>0.27500000000000002</v>
      </c>
      <c r="AW591" s="473">
        <f t="shared" si="430"/>
        <v>0.27500000000000002</v>
      </c>
      <c r="AX591" s="473">
        <f t="shared" si="430"/>
        <v>0.27500000000000002</v>
      </c>
      <c r="AY591" s="730">
        <f t="shared" si="430"/>
        <v>0.27500000000000002</v>
      </c>
      <c r="AZ591" s="473">
        <f t="shared" si="430"/>
        <v>0.27500000000000002</v>
      </c>
      <c r="BA591" s="473">
        <f t="shared" si="430"/>
        <v>0.27500000000000002</v>
      </c>
      <c r="BB591" s="473">
        <f t="shared" si="430"/>
        <v>0.28500000000000003</v>
      </c>
      <c r="BC591" s="473">
        <f t="shared" si="430"/>
        <v>0.28500000000000003</v>
      </c>
      <c r="BD591" s="730">
        <f t="shared" si="430"/>
        <v>0.28500000000000003</v>
      </c>
      <c r="BE591" s="473">
        <f t="shared" si="430"/>
        <v>0.29499999999999998</v>
      </c>
      <c r="BF591" s="473">
        <f t="shared" si="430"/>
        <v>0.3</v>
      </c>
      <c r="BG591" s="473">
        <f t="shared" si="430"/>
        <v>0.30499999999999999</v>
      </c>
      <c r="BH591" s="473">
        <f t="shared" si="430"/>
        <v>0.30499999999999999</v>
      </c>
      <c r="BI591" s="730">
        <f t="shared" si="430"/>
        <v>0.30499999999999999</v>
      </c>
      <c r="BJ591" s="1246">
        <f>IFERROR(AVERAGE(BJ590,BJ589),"")</f>
        <v>0.30499999999999999</v>
      </c>
      <c r="BK591" s="473"/>
      <c r="BL591" s="473"/>
      <c r="BM591" s="473"/>
      <c r="BN591" s="730"/>
      <c r="BO591" s="473"/>
      <c r="BP591" s="473"/>
      <c r="BQ591" s="473"/>
      <c r="BR591" s="473"/>
      <c r="BS591" s="730"/>
      <c r="BT591" s="730"/>
      <c r="BU591" s="730"/>
      <c r="BV591" s="730"/>
      <c r="BW591" s="118"/>
    </row>
    <row r="592" spans="1:75" hidden="1" outlineLevel="2" x14ac:dyDescent="0.5">
      <c r="A592" s="218" t="s">
        <v>2548</v>
      </c>
      <c r="B592" s="513"/>
      <c r="C592" s="425"/>
      <c r="D592" s="425"/>
      <c r="E592" s="425"/>
      <c r="F592" s="425"/>
      <c r="G592" s="487" t="str">
        <f t="shared" ref="G592:BI592" si="431">IFERROR(ABS(G590-G591)*10000,"")</f>
        <v/>
      </c>
      <c r="H592" s="487" t="str">
        <f t="shared" si="431"/>
        <v/>
      </c>
      <c r="I592" s="487" t="str">
        <f t="shared" si="431"/>
        <v/>
      </c>
      <c r="J592" s="487" t="str">
        <f t="shared" si="431"/>
        <v/>
      </c>
      <c r="K592" s="425" t="str">
        <f t="shared" si="431"/>
        <v/>
      </c>
      <c r="L592" s="487" t="str">
        <f t="shared" si="431"/>
        <v/>
      </c>
      <c r="M592" s="487" t="str">
        <f t="shared" si="431"/>
        <v/>
      </c>
      <c r="N592" s="487" t="str">
        <f t="shared" si="431"/>
        <v/>
      </c>
      <c r="O592" s="487" t="str">
        <f t="shared" si="431"/>
        <v/>
      </c>
      <c r="P592" s="425" t="str">
        <f t="shared" si="431"/>
        <v/>
      </c>
      <c r="Q592" s="487" t="str">
        <f t="shared" si="431"/>
        <v/>
      </c>
      <c r="R592" s="487" t="str">
        <f t="shared" si="431"/>
        <v/>
      </c>
      <c r="S592" s="487" t="str">
        <f t="shared" si="431"/>
        <v/>
      </c>
      <c r="T592" s="487" t="str">
        <f t="shared" si="431"/>
        <v/>
      </c>
      <c r="U592" s="425" t="str">
        <f t="shared" si="431"/>
        <v/>
      </c>
      <c r="V592" s="487" t="str">
        <f t="shared" si="431"/>
        <v/>
      </c>
      <c r="W592" s="487" t="str">
        <f t="shared" si="431"/>
        <v/>
      </c>
      <c r="X592" s="487" t="str">
        <f t="shared" si="431"/>
        <v/>
      </c>
      <c r="Y592" s="487" t="str">
        <f t="shared" si="431"/>
        <v/>
      </c>
      <c r="Z592" s="425" t="str">
        <f t="shared" si="431"/>
        <v/>
      </c>
      <c r="AA592" s="487" t="str">
        <f t="shared" si="431"/>
        <v/>
      </c>
      <c r="AB592" s="487" t="str">
        <f t="shared" si="431"/>
        <v/>
      </c>
      <c r="AC592" s="487" t="str">
        <f t="shared" si="431"/>
        <v/>
      </c>
      <c r="AD592" s="487" t="str">
        <f t="shared" si="431"/>
        <v/>
      </c>
      <c r="AE592" s="425" t="str">
        <f t="shared" si="431"/>
        <v/>
      </c>
      <c r="AF592" s="487" t="str">
        <f t="shared" si="431"/>
        <v/>
      </c>
      <c r="AG592" s="487" t="str">
        <f t="shared" si="431"/>
        <v/>
      </c>
      <c r="AH592" s="487" t="str">
        <f t="shared" si="431"/>
        <v/>
      </c>
      <c r="AI592" s="487">
        <f t="shared" si="431"/>
        <v>50.000000000000043</v>
      </c>
      <c r="AJ592" s="425">
        <f t="shared" si="431"/>
        <v>50.000000000000043</v>
      </c>
      <c r="AK592" s="487" t="str">
        <f t="shared" si="431"/>
        <v/>
      </c>
      <c r="AL592" s="487" t="str">
        <f t="shared" si="431"/>
        <v/>
      </c>
      <c r="AM592" s="487" t="str">
        <f t="shared" si="431"/>
        <v/>
      </c>
      <c r="AN592" s="487">
        <f t="shared" si="431"/>
        <v>50.000000000000043</v>
      </c>
      <c r="AO592" s="425">
        <f t="shared" si="431"/>
        <v>50.000000000000043</v>
      </c>
      <c r="AP592" s="487">
        <f t="shared" si="431"/>
        <v>0</v>
      </c>
      <c r="AQ592" s="487">
        <f t="shared" si="431"/>
        <v>50.000000000000043</v>
      </c>
      <c r="AR592" s="487">
        <f t="shared" si="431"/>
        <v>100.00000000000009</v>
      </c>
      <c r="AS592" s="487">
        <f t="shared" si="431"/>
        <v>100.00000000000009</v>
      </c>
      <c r="AT592" s="425">
        <f t="shared" si="431"/>
        <v>100.00000000000009</v>
      </c>
      <c r="AU592" s="487">
        <f t="shared" si="431"/>
        <v>50.000000000000043</v>
      </c>
      <c r="AV592" s="487">
        <f t="shared" si="431"/>
        <v>50.000000000000043</v>
      </c>
      <c r="AW592" s="487">
        <f t="shared" si="431"/>
        <v>50.000000000000043</v>
      </c>
      <c r="AX592" s="487">
        <f t="shared" si="431"/>
        <v>50.000000000000043</v>
      </c>
      <c r="AY592" s="425">
        <f t="shared" si="431"/>
        <v>50.000000000000043</v>
      </c>
      <c r="AZ592" s="487">
        <f t="shared" si="431"/>
        <v>50.000000000000043</v>
      </c>
      <c r="BA592" s="487">
        <f t="shared" si="431"/>
        <v>50.000000000000043</v>
      </c>
      <c r="BB592" s="487">
        <f t="shared" si="431"/>
        <v>49.999999999999488</v>
      </c>
      <c r="BC592" s="487">
        <f t="shared" si="431"/>
        <v>49.999999999999488</v>
      </c>
      <c r="BD592" s="425">
        <f t="shared" si="431"/>
        <v>49.999999999999488</v>
      </c>
      <c r="BE592" s="487">
        <f t="shared" si="431"/>
        <v>50.000000000000043</v>
      </c>
      <c r="BF592" s="487">
        <f t="shared" si="431"/>
        <v>50.000000000000043</v>
      </c>
      <c r="BG592" s="487">
        <f t="shared" si="431"/>
        <v>50.000000000000043</v>
      </c>
      <c r="BH592" s="487">
        <f t="shared" si="431"/>
        <v>50.000000000000043</v>
      </c>
      <c r="BI592" s="425">
        <f t="shared" si="431"/>
        <v>50.000000000000043</v>
      </c>
      <c r="BJ592" s="981">
        <f>IFERROR(ABS(BJ590-BJ591)*10000,"")</f>
        <v>50.000000000000043</v>
      </c>
      <c r="BK592" s="487"/>
      <c r="BL592" s="487"/>
      <c r="BM592" s="487"/>
      <c r="BN592" s="425"/>
      <c r="BO592" s="487"/>
      <c r="BP592" s="487"/>
      <c r="BQ592" s="487"/>
      <c r="BR592" s="487"/>
      <c r="BS592" s="425"/>
      <c r="BT592" s="425"/>
      <c r="BU592" s="425"/>
      <c r="BV592" s="425"/>
      <c r="BW592" s="118"/>
    </row>
    <row r="593" spans="1:75" hidden="1" outlineLevel="3" x14ac:dyDescent="0.5">
      <c r="A593" s="1537" t="s">
        <v>2549</v>
      </c>
      <c r="B593" s="720"/>
      <c r="C593" s="948"/>
      <c r="D593" s="948"/>
      <c r="E593" s="948"/>
      <c r="F593" s="948"/>
      <c r="G593" s="1538"/>
      <c r="H593" s="1538"/>
      <c r="I593" s="1538"/>
      <c r="J593" s="1538"/>
      <c r="K593" s="948"/>
      <c r="L593" s="1538"/>
      <c r="M593" s="1538"/>
      <c r="N593" s="1538"/>
      <c r="O593" s="1538"/>
      <c r="P593" s="948"/>
      <c r="Q593" s="1538"/>
      <c r="R593" s="1538"/>
      <c r="S593" s="1538"/>
      <c r="T593" s="1538"/>
      <c r="U593" s="948"/>
      <c r="V593" s="1538"/>
      <c r="W593" s="1538"/>
      <c r="X593" s="1538"/>
      <c r="Y593" s="1538"/>
      <c r="Z593" s="948"/>
      <c r="AA593" s="1538"/>
      <c r="AB593" s="1538"/>
      <c r="AC593" s="1538"/>
      <c r="AD593" s="1538" t="str">
        <f>IFERROR((AD589-AD572)*10000,"")</f>
        <v/>
      </c>
      <c r="AE593" s="948" t="str">
        <f t="shared" ref="AE593:AE598" si="432">AD593</f>
        <v/>
      </c>
      <c r="AF593" s="1538" t="str">
        <f>IFERROR((AF589-AF572)*10000,"")</f>
        <v/>
      </c>
      <c r="AG593" s="1538" t="str">
        <f>IFERROR((AG589-AG572)*10000,"")</f>
        <v/>
      </c>
      <c r="AH593" s="1538" t="str">
        <f>IFERROR((AH589-AH572)*10000,"")</f>
        <v/>
      </c>
      <c r="AI593" s="1538">
        <f>IFERROR((AI589-AI572)*10000,"")</f>
        <v>-108.74397468922575</v>
      </c>
      <c r="AJ593" s="948">
        <f t="shared" ref="AJ593:AJ598" si="433">AI593</f>
        <v>-108.74397468922575</v>
      </c>
      <c r="AK593" s="1538" t="str">
        <f>IFERROR((AK589-AK572)*10000,"")</f>
        <v/>
      </c>
      <c r="AL593" s="1538" t="str">
        <f>IFERROR((AL589-AL572)*10000,"")</f>
        <v/>
      </c>
      <c r="AM593" s="1538" t="str">
        <f>IFERROR((AM589-AM572)*10000,"")</f>
        <v/>
      </c>
      <c r="AN593" s="1538">
        <f>IFERROR((AN589-AN572)*10000,"")</f>
        <v>21.108036739832247</v>
      </c>
      <c r="AO593" s="948">
        <f t="shared" ref="AO593:AO598" si="434">AN593</f>
        <v>21.108036739832247</v>
      </c>
      <c r="AP593" s="1538">
        <f>IFERROR((AP589-AP572)*10000,"")</f>
        <v>114.56076509519298</v>
      </c>
      <c r="AQ593" s="1538">
        <f>IFERROR((AQ589-AQ572)*10000,"")</f>
        <v>-468.82847287784023</v>
      </c>
      <c r="AR593" s="1538">
        <f>IFERROR((AR589-AR572)*10000,"")</f>
        <v>-388.42839172094858</v>
      </c>
      <c r="AS593" s="1538">
        <f>IFERROR((AS589-AS572)*10000,"")</f>
        <v>-300.11771112474992</v>
      </c>
      <c r="AT593" s="948">
        <f t="shared" ref="AT593:AT598" si="435">AS593</f>
        <v>-300.11771112474992</v>
      </c>
      <c r="AU593" s="1538">
        <f>IFERROR((AU589-AU572)*10000,"")</f>
        <v>-184.31864335425431</v>
      </c>
      <c r="AV593" s="1538">
        <f>IFERROR((AV589-AV572)*10000,"")</f>
        <v>-224.2337126512528</v>
      </c>
      <c r="AW593" s="1538">
        <f>IFERROR((AW589-AW572)*10000,"")</f>
        <v>-128.27467260563051</v>
      </c>
      <c r="AX593" s="1538">
        <f>IFERROR((AX589-AX572)*10000,"")</f>
        <v>-9.8601286129129662</v>
      </c>
      <c r="AY593" s="948">
        <f t="shared" ref="AY593:AY598" si="436">AX593</f>
        <v>-9.8601286129129662</v>
      </c>
      <c r="AZ593" s="1538">
        <f>IFERROR((AZ589-AZ572)*10000,"")</f>
        <v>17.073170731707332</v>
      </c>
      <c r="BA593" s="1538">
        <f>IFERROR((BA589-BA572)*10000,"")</f>
        <v>-28.380024360535884</v>
      </c>
      <c r="BB593" s="1538">
        <f>IFERROR((BB589-BB572)*10000,"")</f>
        <v>-101.40845070422455</v>
      </c>
      <c r="BC593" s="1538">
        <f>IFERROR((BC589-BC572)*10000,"")</f>
        <v>-79.716220574007622</v>
      </c>
      <c r="BD593" s="948">
        <f t="shared" ref="BD593:BD598" si="437">BC593</f>
        <v>-79.716220574007622</v>
      </c>
      <c r="BE593" s="1538">
        <f>IFERROR((BE589-BE572)*10000,"")</f>
        <v>-59.625090122566448</v>
      </c>
      <c r="BF593" s="1538">
        <f>IFERROR((BF589-BF572)*10000,"")</f>
        <v>-156.27562283191455</v>
      </c>
      <c r="BG593" s="1538">
        <f>IFERROR((BG589-BG572)*10000,"")</f>
        <v>-114.80978260869523</v>
      </c>
      <c r="BH593" s="1538">
        <f>IFERROR((BH589-BH572)*10000,"")</f>
        <v>-31.470777135516602</v>
      </c>
      <c r="BI593" s="948">
        <f t="shared" ref="BI593:BI598" si="438">BH593</f>
        <v>-31.470777135516602</v>
      </c>
      <c r="BJ593" s="1539">
        <f>IFERROR((BJ589-BJ572)*10000,"")</f>
        <v>-1.0993037742762501</v>
      </c>
      <c r="BK593" s="1538"/>
      <c r="BL593" s="1538"/>
      <c r="BM593" s="1538"/>
      <c r="BN593" s="948"/>
      <c r="BO593" s="1538"/>
      <c r="BP593" s="1538"/>
      <c r="BQ593" s="1538"/>
      <c r="BR593" s="1538"/>
      <c r="BS593" s="948"/>
      <c r="BT593" s="948"/>
      <c r="BU593" s="948"/>
      <c r="BV593" s="948"/>
      <c r="BW593" s="118"/>
    </row>
    <row r="594" spans="1:75" hidden="1" outlineLevel="3" x14ac:dyDescent="0.5">
      <c r="A594" s="1540" t="s">
        <v>2550</v>
      </c>
      <c r="B594" s="769"/>
      <c r="C594" s="1541"/>
      <c r="D594" s="1541"/>
      <c r="E594" s="1541"/>
      <c r="F594" s="1541"/>
      <c r="G594" s="1542"/>
      <c r="H594" s="1542"/>
      <c r="I594" s="1542"/>
      <c r="J594" s="1542"/>
      <c r="K594" s="1541"/>
      <c r="L594" s="1542"/>
      <c r="M594" s="1542"/>
      <c r="N594" s="1542"/>
      <c r="O594" s="1542"/>
      <c r="P594" s="1541"/>
      <c r="Q594" s="1542"/>
      <c r="R594" s="1542"/>
      <c r="S594" s="1542"/>
      <c r="T594" s="1542"/>
      <c r="U594" s="1541"/>
      <c r="V594" s="1542"/>
      <c r="W594" s="1542"/>
      <c r="X594" s="1542"/>
      <c r="Y594" s="1542"/>
      <c r="Z594" s="1541"/>
      <c r="AA594" s="1542"/>
      <c r="AB594" s="1542"/>
      <c r="AC594" s="1542"/>
      <c r="AD594" s="1542" t="str">
        <f>IFERROR((AD590-AD572)*10000,"")</f>
        <v/>
      </c>
      <c r="AE594" s="1541" t="str">
        <f t="shared" si="432"/>
        <v/>
      </c>
      <c r="AF594" s="1542" t="str">
        <f>IFERROR((AF590-AF572)*10000,"")</f>
        <v/>
      </c>
      <c r="AG594" s="1542" t="str">
        <f>IFERROR((AG590-AG572)*10000,"")</f>
        <v/>
      </c>
      <c r="AH594" s="1542" t="str">
        <f>IFERROR((AH590-AH572)*10000,"")</f>
        <v/>
      </c>
      <c r="AI594" s="1542">
        <f>IFERROR((AI590-AI572)*10000,"")</f>
        <v>-8.7439746892259418</v>
      </c>
      <c r="AJ594" s="1541">
        <f t="shared" si="433"/>
        <v>-8.7439746892259418</v>
      </c>
      <c r="AK594" s="1542" t="str">
        <f>IFERROR((AK590-AK572)*10000,"")</f>
        <v/>
      </c>
      <c r="AL594" s="1542" t="str">
        <f>IFERROR((AL590-AL572)*10000,"")</f>
        <v/>
      </c>
      <c r="AM594" s="1542" t="str">
        <f>IFERROR((AM590-AM572)*10000,"")</f>
        <v/>
      </c>
      <c r="AN594" s="1542">
        <f>IFERROR((AN590-AN572)*10000,"")</f>
        <v>121.10803673983206</v>
      </c>
      <c r="AO594" s="1541">
        <f t="shared" si="434"/>
        <v>121.10803673983206</v>
      </c>
      <c r="AP594" s="1542">
        <f>IFERROR((AP590-AP572)*10000,"")</f>
        <v>114.56076509519298</v>
      </c>
      <c r="AQ594" s="1542">
        <f>IFERROR((AQ590-AQ572)*10000,"")</f>
        <v>-368.82847287784017</v>
      </c>
      <c r="AR594" s="1542">
        <f>IFERROR((AR590-AR572)*10000,"")</f>
        <v>-188.42839172094838</v>
      </c>
      <c r="AS594" s="1542">
        <f>IFERROR((AS590-AS572)*10000,"")</f>
        <v>-100.11771112474976</v>
      </c>
      <c r="AT594" s="1541">
        <f t="shared" si="435"/>
        <v>-100.11771112474976</v>
      </c>
      <c r="AU594" s="1542">
        <f>IFERROR((AU590-AU572)*10000,"")</f>
        <v>-84.318643354254206</v>
      </c>
      <c r="AV594" s="1542">
        <f>IFERROR((AV590-AV572)*10000,"")</f>
        <v>-124.23371265125272</v>
      </c>
      <c r="AW594" s="1542">
        <f>IFERROR((AW590-AW572)*10000,"")</f>
        <v>-28.274672605630435</v>
      </c>
      <c r="AX594" s="1542">
        <f>IFERROR((AX590-AX572)*10000,"")</f>
        <v>90.139871387087126</v>
      </c>
      <c r="AY594" s="1541">
        <f t="shared" si="436"/>
        <v>90.139871387087126</v>
      </c>
      <c r="AZ594" s="1542">
        <f>IFERROR((AZ590-AZ572)*10000,"")</f>
        <v>117.07317073170742</v>
      </c>
      <c r="BA594" s="1542">
        <f>IFERROR((BA590-BA572)*10000,"")</f>
        <v>71.619975639464201</v>
      </c>
      <c r="BB594" s="1542">
        <f>IFERROR((BB590-BB572)*10000,"")</f>
        <v>-1.4084507042250172</v>
      </c>
      <c r="BC594" s="1542">
        <f>IFERROR((BC590-BC572)*10000,"")</f>
        <v>20.283779425991909</v>
      </c>
      <c r="BD594" s="1541">
        <f t="shared" si="437"/>
        <v>20.283779425991909</v>
      </c>
      <c r="BE594" s="1542">
        <f>IFERROR((BE590-BE572)*10000,"")</f>
        <v>40.374909877433637</v>
      </c>
      <c r="BF594" s="1542">
        <f>IFERROR((BF590-BF572)*10000,"")</f>
        <v>-56.275622831914454</v>
      </c>
      <c r="BG594" s="1542">
        <f>IFERROR((BG590-BG572)*10000,"")</f>
        <v>-14.809782608695144</v>
      </c>
      <c r="BH594" s="1542">
        <f>IFERROR((BH590-BH572)*10000,"")</f>
        <v>68.529222864483486</v>
      </c>
      <c r="BI594" s="1541">
        <f t="shared" si="438"/>
        <v>68.529222864483486</v>
      </c>
      <c r="BJ594" s="1543">
        <f>IFERROR((BJ590-BJ572)*10000,"")</f>
        <v>98.900696225723834</v>
      </c>
      <c r="BK594" s="1542"/>
      <c r="BL594" s="1542"/>
      <c r="BM594" s="1542"/>
      <c r="BN594" s="1541"/>
      <c r="BO594" s="1542"/>
      <c r="BP594" s="1542"/>
      <c r="BQ594" s="1542"/>
      <c r="BR594" s="1542"/>
      <c r="BS594" s="1541"/>
      <c r="BT594" s="1541"/>
      <c r="BU594" s="1541"/>
      <c r="BV594" s="1541"/>
      <c r="BW594" s="118"/>
    </row>
    <row r="595" spans="1:75" hidden="1" outlineLevel="2" x14ac:dyDescent="0.5">
      <c r="A595" s="765" t="s">
        <v>2551</v>
      </c>
      <c r="B595" s="720"/>
      <c r="C595" s="948"/>
      <c r="D595" s="948"/>
      <c r="E595" s="948"/>
      <c r="F595" s="948"/>
      <c r="G595" s="1538"/>
      <c r="H595" s="1538"/>
      <c r="I595" s="1538"/>
      <c r="J595" s="1538"/>
      <c r="K595" s="948"/>
      <c r="L595" s="1538"/>
      <c r="M595" s="1538"/>
      <c r="N595" s="1538"/>
      <c r="O595" s="1538"/>
      <c r="P595" s="948"/>
      <c r="Q595" s="1538"/>
      <c r="R595" s="1538"/>
      <c r="S595" s="1538"/>
      <c r="T595" s="1538"/>
      <c r="U595" s="948"/>
      <c r="V595" s="1538"/>
      <c r="W595" s="1538"/>
      <c r="X595" s="1538"/>
      <c r="Y595" s="1538"/>
      <c r="Z595" s="948"/>
      <c r="AA595" s="1538"/>
      <c r="AB595" s="1538"/>
      <c r="AC595" s="1538"/>
      <c r="AD595" s="1538" t="str">
        <f>IFERROR((AD591-AD572)*10000,"")</f>
        <v/>
      </c>
      <c r="AE595" s="948" t="str">
        <f t="shared" si="432"/>
        <v/>
      </c>
      <c r="AF595" s="1538" t="str">
        <f>IFERROR((AF591-AF572)*10000,"")</f>
        <v/>
      </c>
      <c r="AG595" s="1538" t="str">
        <f>IFERROR((AG591-AG572)*10000,"")</f>
        <v/>
      </c>
      <c r="AH595" s="1538" t="str">
        <f>IFERROR((AH591-AH572)*10000,"")</f>
        <v/>
      </c>
      <c r="AI595" s="1538">
        <f>IFERROR((AI591-AI572)*10000,"")</f>
        <v>-58.743974689225986</v>
      </c>
      <c r="AJ595" s="948">
        <f t="shared" si="433"/>
        <v>-58.743974689225986</v>
      </c>
      <c r="AK595" s="1538" t="str">
        <f>IFERROR((AK591-AK572)*10000,"")</f>
        <v/>
      </c>
      <c r="AL595" s="1538" t="str">
        <f>IFERROR((AL591-AL572)*10000,"")</f>
        <v/>
      </c>
      <c r="AM595" s="1538" t="str">
        <f>IFERROR((AM591-AM572)*10000,"")</f>
        <v/>
      </c>
      <c r="AN595" s="1538">
        <f>IFERROR((AN591-AN572)*10000,"")</f>
        <v>71.108036739832016</v>
      </c>
      <c r="AO595" s="948">
        <f t="shared" si="434"/>
        <v>71.108036739832016</v>
      </c>
      <c r="AP595" s="1538">
        <f>IFERROR((AP591-AP572)*10000,"")</f>
        <v>114.56076509519298</v>
      </c>
      <c r="AQ595" s="1538">
        <f>IFERROR((AQ591-AQ572)*10000,"")</f>
        <v>-418.82847287784017</v>
      </c>
      <c r="AR595" s="1538">
        <f>IFERROR((AR591-AR572)*10000,"")</f>
        <v>-288.42839172094847</v>
      </c>
      <c r="AS595" s="1538">
        <f>IFERROR((AS591-AS572)*10000,"")</f>
        <v>-200.11771112474986</v>
      </c>
      <c r="AT595" s="948">
        <f t="shared" si="435"/>
        <v>-200.11771112474986</v>
      </c>
      <c r="AU595" s="1538">
        <f>IFERROR((AU591-AU572)*10000,"")</f>
        <v>-134.31864335425425</v>
      </c>
      <c r="AV595" s="1538">
        <f>IFERROR((AV591-AV572)*10000,"")</f>
        <v>-174.23371265125274</v>
      </c>
      <c r="AW595" s="1538">
        <f>IFERROR((AW591-AW572)*10000,"")</f>
        <v>-78.274672605630485</v>
      </c>
      <c r="AX595" s="1538">
        <f>IFERROR((AX591-AX572)*10000,"")</f>
        <v>40.139871387087076</v>
      </c>
      <c r="AY595" s="948">
        <f t="shared" si="436"/>
        <v>40.139871387087076</v>
      </c>
      <c r="AZ595" s="1538">
        <f>IFERROR((AZ591-AZ572)*10000,"")</f>
        <v>67.073170731707378</v>
      </c>
      <c r="BA595" s="1538">
        <f>IFERROR((BA591-BA572)*10000,"")</f>
        <v>21.619975639464162</v>
      </c>
      <c r="BB595" s="1538">
        <f>IFERROR((BB591-BB572)*10000,"")</f>
        <v>-51.408450704224506</v>
      </c>
      <c r="BC595" s="1538">
        <f>IFERROR((BC591-BC572)*10000,"")</f>
        <v>-29.716220574007579</v>
      </c>
      <c r="BD595" s="948">
        <f t="shared" si="437"/>
        <v>-29.716220574007579</v>
      </c>
      <c r="BE595" s="1538">
        <f>IFERROR((BE591-BE572)*10000,"")</f>
        <v>-9.6250901225664052</v>
      </c>
      <c r="BF595" s="1538">
        <f>IFERROR((BF591-BF572)*10000,"")</f>
        <v>-106.27562283191449</v>
      </c>
      <c r="BG595" s="1538">
        <f>IFERROR((BG591-BG572)*10000,"")</f>
        <v>-64.809782608695187</v>
      </c>
      <c r="BH595" s="1538">
        <f>IFERROR((BH591-BH572)*10000,"")</f>
        <v>18.52922286448344</v>
      </c>
      <c r="BI595" s="948">
        <f t="shared" si="438"/>
        <v>18.52922286448344</v>
      </c>
      <c r="BJ595" s="1539">
        <f>IFERROR((BJ591-BJ572)*10000,"")</f>
        <v>48.900696225723792</v>
      </c>
      <c r="BK595" s="1538"/>
      <c r="BL595" s="1538"/>
      <c r="BM595" s="1538"/>
      <c r="BN595" s="948"/>
      <c r="BO595" s="1538"/>
      <c r="BP595" s="1538"/>
      <c r="BQ595" s="1538"/>
      <c r="BR595" s="1538"/>
      <c r="BS595" s="948"/>
      <c r="BT595" s="948"/>
      <c r="BU595" s="948"/>
      <c r="BV595" s="948"/>
      <c r="BW595" s="118"/>
    </row>
    <row r="596" spans="1:75" hidden="1" outlineLevel="3" x14ac:dyDescent="0.5">
      <c r="A596" s="1537" t="s">
        <v>2552</v>
      </c>
      <c r="B596" s="720"/>
      <c r="C596" s="948"/>
      <c r="D596" s="948"/>
      <c r="E596" s="948"/>
      <c r="F596" s="948"/>
      <c r="G596" s="1538"/>
      <c r="H596" s="1538"/>
      <c r="I596" s="1538"/>
      <c r="J596" s="1538"/>
      <c r="K596" s="948"/>
      <c r="L596" s="1538"/>
      <c r="M596" s="1538"/>
      <c r="N596" s="1538"/>
      <c r="O596" s="1538"/>
      <c r="P596" s="948"/>
      <c r="Q596" s="1538"/>
      <c r="R596" s="1538"/>
      <c r="S596" s="1538"/>
      <c r="T596" s="1538"/>
      <c r="U596" s="948"/>
      <c r="V596" s="1538"/>
      <c r="W596" s="1538"/>
      <c r="X596" s="1538"/>
      <c r="Y596" s="1538"/>
      <c r="Z596" s="948"/>
      <c r="AA596" s="1538"/>
      <c r="AB596" s="1538"/>
      <c r="AC596" s="1538"/>
      <c r="AD596" s="1538" t="str">
        <f>IFERROR((AD589-AA572)*10000,"")</f>
        <v/>
      </c>
      <c r="AE596" s="948" t="str">
        <f t="shared" si="432"/>
        <v/>
      </c>
      <c r="AF596" s="1538" t="str">
        <f>IFERROR((AF589-AB572)*10000,"")</f>
        <v/>
      </c>
      <c r="AG596" s="1538" t="str">
        <f>IFERROR((AG589-AC572)*10000,"")</f>
        <v/>
      </c>
      <c r="AH596" s="1538" t="str">
        <f>IFERROR((AH589-AD572)*10000,"")</f>
        <v/>
      </c>
      <c r="AI596" s="1538">
        <f>IFERROR((AI589-AF572)*10000,"")</f>
        <v>-5.9969279390201251</v>
      </c>
      <c r="AJ596" s="948">
        <f t="shared" si="433"/>
        <v>-5.9969279390201251</v>
      </c>
      <c r="AK596" s="1538" t="str">
        <f>IFERROR((AK589-AG572)*10000,"")</f>
        <v/>
      </c>
      <c r="AL596" s="1538" t="str">
        <f>IFERROR((AL589-AH572)*10000,"")</f>
        <v/>
      </c>
      <c r="AM596" s="1538" t="str">
        <f>IFERROR((AM589-AI572)*10000,"")</f>
        <v/>
      </c>
      <c r="AN596" s="1538">
        <f>IFERROR((AN589-AK572)*10000,"")</f>
        <v>-119.00958901785191</v>
      </c>
      <c r="AO596" s="948">
        <f t="shared" si="434"/>
        <v>-119.00958901785191</v>
      </c>
      <c r="AP596" s="1538">
        <f>IFERROR((AP589-AL572)*10000,"")</f>
        <v>211.86488344611786</v>
      </c>
      <c r="AQ596" s="1538">
        <f>IFERROR((AQ589-AM572)*10000,"")</f>
        <v>258.10433977723534</v>
      </c>
      <c r="AR596" s="1538">
        <f>IFERROR((AR589-AN572)*10000,"")</f>
        <v>321.10803673983224</v>
      </c>
      <c r="AS596" s="1538">
        <f>IFERROR((AS589-AP572)*10000,"")</f>
        <v>114.56076509519298</v>
      </c>
      <c r="AT596" s="948">
        <f t="shared" si="435"/>
        <v>114.56076509519298</v>
      </c>
      <c r="AU596" s="1538">
        <f>IFERROR((AU589-AQ572)*10000,"")</f>
        <v>-368.82847287784017</v>
      </c>
      <c r="AV596" s="1538">
        <f>IFERROR((AV589-AR572)*10000,"")</f>
        <v>-288.42839172094847</v>
      </c>
      <c r="AW596" s="1538">
        <f>IFERROR((AW589-AS572)*10000,"")</f>
        <v>-200.11771112474986</v>
      </c>
      <c r="AX596" s="1538">
        <f>IFERROR((AX589-AU572)*10000,"")</f>
        <v>-184.31864335425431</v>
      </c>
      <c r="AY596" s="948">
        <f t="shared" si="436"/>
        <v>-184.31864335425431</v>
      </c>
      <c r="AZ596" s="1538">
        <f>IFERROR((AZ589-AV572)*10000,"")</f>
        <v>-224.2337126512528</v>
      </c>
      <c r="BA596" s="1538">
        <f>IFERROR((BA589-AW572)*10000,"")</f>
        <v>-128.27467260563051</v>
      </c>
      <c r="BB596" s="1538">
        <f>IFERROR((BB589-AX572)*10000,"")</f>
        <v>90.139871387087126</v>
      </c>
      <c r="BC596" s="1538">
        <f>IFERROR((BC589-AZ572)*10000,"")</f>
        <v>117.07317073170742</v>
      </c>
      <c r="BD596" s="948">
        <f t="shared" si="437"/>
        <v>117.07317073170742</v>
      </c>
      <c r="BE596" s="1538">
        <f>IFERROR((BE589-BA572)*10000,"")</f>
        <v>171.61997563946375</v>
      </c>
      <c r="BF596" s="1538">
        <f>IFERROR((BF589-BB572)*10000,"")</f>
        <v>48.591549295775025</v>
      </c>
      <c r="BG596" s="1538">
        <f>IFERROR((BG589-BC572)*10000,"")</f>
        <v>120.28377942599199</v>
      </c>
      <c r="BH596" s="1538">
        <f>IFERROR((BH589-BE572)*10000,"")</f>
        <v>40.374909877433637</v>
      </c>
      <c r="BI596" s="948">
        <f t="shared" si="438"/>
        <v>40.374909877433637</v>
      </c>
      <c r="BJ596" s="1539">
        <f>IFERROR((BJ589-BF572)*10000,"")</f>
        <v>-106.27562283191449</v>
      </c>
      <c r="BK596" s="1538"/>
      <c r="BL596" s="1538"/>
      <c r="BM596" s="1538"/>
      <c r="BN596" s="948"/>
      <c r="BO596" s="1538"/>
      <c r="BP596" s="1538"/>
      <c r="BQ596" s="1538"/>
      <c r="BR596" s="1538"/>
      <c r="BS596" s="948"/>
      <c r="BT596" s="948"/>
      <c r="BU596" s="948"/>
      <c r="BV596" s="948"/>
      <c r="BW596" s="118"/>
    </row>
    <row r="597" spans="1:75" hidden="1" outlineLevel="3" x14ac:dyDescent="0.5">
      <c r="A597" s="1540" t="s">
        <v>2553</v>
      </c>
      <c r="B597" s="769"/>
      <c r="C597" s="1541"/>
      <c r="D597" s="1541"/>
      <c r="E597" s="1541"/>
      <c r="F597" s="1541"/>
      <c r="G597" s="1542"/>
      <c r="H597" s="1542"/>
      <c r="I597" s="1542"/>
      <c r="J597" s="1542"/>
      <c r="K597" s="1541"/>
      <c r="L597" s="1542"/>
      <c r="M597" s="1542"/>
      <c r="N597" s="1542"/>
      <c r="O597" s="1542"/>
      <c r="P597" s="1541"/>
      <c r="Q597" s="1542"/>
      <c r="R597" s="1542"/>
      <c r="S597" s="1542"/>
      <c r="T597" s="1542"/>
      <c r="U597" s="1541"/>
      <c r="V597" s="1542"/>
      <c r="W597" s="1542"/>
      <c r="X597" s="1542"/>
      <c r="Y597" s="1542"/>
      <c r="Z597" s="1541"/>
      <c r="AA597" s="1542"/>
      <c r="AB597" s="1542"/>
      <c r="AC597" s="1542"/>
      <c r="AD597" s="1542" t="str">
        <f>IFERROR((AD590-AA572)*10000,"")</f>
        <v/>
      </c>
      <c r="AE597" s="1541" t="str">
        <f t="shared" si="432"/>
        <v/>
      </c>
      <c r="AF597" s="1542" t="str">
        <f>IFERROR((AF590-AB572)*10000,"")</f>
        <v/>
      </c>
      <c r="AG597" s="1542" t="str">
        <f>IFERROR((AG590-AC572)*10000,"")</f>
        <v/>
      </c>
      <c r="AH597" s="1542" t="str">
        <f>IFERROR((AH590-AD572)*10000,"")</f>
        <v/>
      </c>
      <c r="AI597" s="1542">
        <f>IFERROR((AI590-AF572)*10000,"")</f>
        <v>94.00307206097969</v>
      </c>
      <c r="AJ597" s="1541">
        <f t="shared" si="433"/>
        <v>94.00307206097969</v>
      </c>
      <c r="AK597" s="1542" t="str">
        <f>IFERROR((AK590-AG572)*10000,"")</f>
        <v/>
      </c>
      <c r="AL597" s="1542" t="str">
        <f>IFERROR((AL590-AH572)*10000,"")</f>
        <v/>
      </c>
      <c r="AM597" s="1542" t="str">
        <f>IFERROR((AM590-AI572)*10000,"")</f>
        <v/>
      </c>
      <c r="AN597" s="1542">
        <f>IFERROR((AN590-AK572)*10000,"")</f>
        <v>-19.0095890178521</v>
      </c>
      <c r="AO597" s="1541">
        <f t="shared" si="434"/>
        <v>-19.0095890178521</v>
      </c>
      <c r="AP597" s="1542">
        <f>IFERROR((AP590-AL572)*10000,"")</f>
        <v>211.86488344611786</v>
      </c>
      <c r="AQ597" s="1542">
        <f>IFERROR((AQ590-AM572)*10000,"")</f>
        <v>358.10433977723545</v>
      </c>
      <c r="AR597" s="1542">
        <f>IFERROR((AR590-AN572)*10000,"")</f>
        <v>521.10803673983241</v>
      </c>
      <c r="AS597" s="1542">
        <f>IFERROR((AS590-AP572)*10000,"")</f>
        <v>314.56076509519318</v>
      </c>
      <c r="AT597" s="1541">
        <f t="shared" si="435"/>
        <v>314.56076509519318</v>
      </c>
      <c r="AU597" s="1542">
        <f>IFERROR((AU590-AQ572)*10000,"")</f>
        <v>-268.82847287784006</v>
      </c>
      <c r="AV597" s="1542">
        <f>IFERROR((AV590-AR572)*10000,"")</f>
        <v>-188.42839172094838</v>
      </c>
      <c r="AW597" s="1542">
        <f>IFERROR((AW590-AS572)*10000,"")</f>
        <v>-100.11771112474976</v>
      </c>
      <c r="AX597" s="1542">
        <f>IFERROR((AX590-AU572)*10000,"")</f>
        <v>-84.318643354254206</v>
      </c>
      <c r="AY597" s="1541">
        <f t="shared" si="436"/>
        <v>-84.318643354254206</v>
      </c>
      <c r="AZ597" s="1542">
        <f>IFERROR((AZ590-AV572)*10000,"")</f>
        <v>-124.23371265125272</v>
      </c>
      <c r="BA597" s="1542">
        <f>IFERROR((BA590-AW572)*10000,"")</f>
        <v>-28.274672605630435</v>
      </c>
      <c r="BB597" s="1542">
        <f>IFERROR((BB590-AX572)*10000,"")</f>
        <v>190.13987138708666</v>
      </c>
      <c r="BC597" s="1542">
        <f>IFERROR((BC590-AZ572)*10000,"")</f>
        <v>217.07317073170697</v>
      </c>
      <c r="BD597" s="1541">
        <f t="shared" si="437"/>
        <v>217.07317073170697</v>
      </c>
      <c r="BE597" s="1542">
        <f>IFERROR((BE590-BA572)*10000,"")</f>
        <v>271.6199756394638</v>
      </c>
      <c r="BF597" s="1542">
        <f>IFERROR((BF590-BB572)*10000,"")</f>
        <v>148.59154929577511</v>
      </c>
      <c r="BG597" s="1542">
        <f>IFERROR((BG590-BC572)*10000,"")</f>
        <v>220.28377942599209</v>
      </c>
      <c r="BH597" s="1542">
        <f>IFERROR((BH590-BE572)*10000,"")</f>
        <v>140.37490987743374</v>
      </c>
      <c r="BI597" s="1541">
        <f t="shared" si="438"/>
        <v>140.37490987743374</v>
      </c>
      <c r="BJ597" s="1543">
        <f>IFERROR((BJ590-BF572)*10000,"")</f>
        <v>-6.275622831914407</v>
      </c>
      <c r="BK597" s="1542"/>
      <c r="BL597" s="1542"/>
      <c r="BM597" s="1542"/>
      <c r="BN597" s="1541"/>
      <c r="BO597" s="1542"/>
      <c r="BP597" s="1542"/>
      <c r="BQ597" s="1542"/>
      <c r="BR597" s="1542"/>
      <c r="BS597" s="1541"/>
      <c r="BT597" s="1541"/>
      <c r="BU597" s="1541"/>
      <c r="BV597" s="1541"/>
      <c r="BW597" s="118"/>
    </row>
    <row r="598" spans="1:75" hidden="1" outlineLevel="2" x14ac:dyDescent="0.5">
      <c r="A598" s="765" t="s">
        <v>2554</v>
      </c>
      <c r="B598" s="720"/>
      <c r="C598" s="948"/>
      <c r="D598" s="948"/>
      <c r="E598" s="948"/>
      <c r="F598" s="948"/>
      <c r="G598" s="1538"/>
      <c r="H598" s="1538"/>
      <c r="I598" s="1538"/>
      <c r="J598" s="1538"/>
      <c r="K598" s="948"/>
      <c r="L598" s="1538"/>
      <c r="M598" s="1538"/>
      <c r="N598" s="1538"/>
      <c r="O598" s="1538"/>
      <c r="P598" s="948"/>
      <c r="Q598" s="1538"/>
      <c r="R598" s="1538"/>
      <c r="S598" s="1538"/>
      <c r="T598" s="1538"/>
      <c r="U598" s="948"/>
      <c r="V598" s="1538"/>
      <c r="W598" s="1538"/>
      <c r="X598" s="1538"/>
      <c r="Y598" s="1538"/>
      <c r="Z598" s="948"/>
      <c r="AA598" s="1538"/>
      <c r="AB598" s="1538"/>
      <c r="AC598" s="1538"/>
      <c r="AD598" s="1538" t="str">
        <f>IFERROR((AD591-AA572)*10000,"")</f>
        <v/>
      </c>
      <c r="AE598" s="948" t="str">
        <f t="shared" si="432"/>
        <v/>
      </c>
      <c r="AF598" s="1538" t="str">
        <f>IFERROR((AF591-AB572)*10000,"")</f>
        <v/>
      </c>
      <c r="AG598" s="1538" t="str">
        <f>IFERROR((AG591-AC572)*10000,"")</f>
        <v/>
      </c>
      <c r="AH598" s="1538" t="str">
        <f>IFERROR((AH591-AD572)*10000,"")</f>
        <v/>
      </c>
      <c r="AI598" s="1538">
        <f>IFERROR((AI591-AF572)*10000,"")</f>
        <v>44.00307206097964</v>
      </c>
      <c r="AJ598" s="948">
        <f t="shared" si="433"/>
        <v>44.00307206097964</v>
      </c>
      <c r="AK598" s="1538" t="str">
        <f>IFERROR((AK591-AG572)*10000,"")</f>
        <v/>
      </c>
      <c r="AL598" s="1538" t="str">
        <f>IFERROR((AL591-AH572)*10000,"")</f>
        <v/>
      </c>
      <c r="AM598" s="1538" t="str">
        <f>IFERROR((AM591-AI572)*10000,"")</f>
        <v/>
      </c>
      <c r="AN598" s="1538">
        <f>IFERROR((AN591-AK572)*10000,"")</f>
        <v>-69.00958901785215</v>
      </c>
      <c r="AO598" s="948">
        <f t="shared" si="434"/>
        <v>-69.00958901785215</v>
      </c>
      <c r="AP598" s="1538">
        <f>IFERROR((AP591-AL572)*10000,"")</f>
        <v>211.86488344611786</v>
      </c>
      <c r="AQ598" s="1538">
        <f>IFERROR((AQ591-AM572)*10000,"")</f>
        <v>308.1043397772354</v>
      </c>
      <c r="AR598" s="1538">
        <f>IFERROR((AR591-AN572)*10000,"")</f>
        <v>421.1080367398323</v>
      </c>
      <c r="AS598" s="1538">
        <f>IFERROR((AS591-AP572)*10000,"")</f>
        <v>214.56076509519306</v>
      </c>
      <c r="AT598" s="948">
        <f t="shared" si="435"/>
        <v>214.56076509519306</v>
      </c>
      <c r="AU598" s="1538">
        <f>IFERROR((AU591-AQ572)*10000,"")</f>
        <v>-318.82847287784011</v>
      </c>
      <c r="AV598" s="1538">
        <f>IFERROR((AV591-AR572)*10000,"")</f>
        <v>-238.42839172094844</v>
      </c>
      <c r="AW598" s="1538">
        <f>IFERROR((AW591-AS572)*10000,"")</f>
        <v>-150.1177111247498</v>
      </c>
      <c r="AX598" s="1538">
        <f>IFERROR((AX591-AU572)*10000,"")</f>
        <v>-134.31864335425425</v>
      </c>
      <c r="AY598" s="948">
        <f t="shared" si="436"/>
        <v>-134.31864335425425</v>
      </c>
      <c r="AZ598" s="1538">
        <f>IFERROR((AZ591-AV572)*10000,"")</f>
        <v>-174.23371265125274</v>
      </c>
      <c r="BA598" s="1538">
        <f>IFERROR((BA591-AW572)*10000,"")</f>
        <v>-78.274672605630485</v>
      </c>
      <c r="BB598" s="1538">
        <f>IFERROR((BB591-AX572)*10000,"")</f>
        <v>140.13987138708717</v>
      </c>
      <c r="BC598" s="1538">
        <f>IFERROR((BC591-AZ572)*10000,"")</f>
        <v>167.07317073170748</v>
      </c>
      <c r="BD598" s="948">
        <f t="shared" si="437"/>
        <v>167.07317073170748</v>
      </c>
      <c r="BE598" s="1538">
        <f>IFERROR((BE591-BA572)*10000,"")</f>
        <v>221.61997563946377</v>
      </c>
      <c r="BF598" s="1538">
        <f>IFERROR((BF591-BB572)*10000,"")</f>
        <v>98.591549295775067</v>
      </c>
      <c r="BG598" s="1538">
        <f>IFERROR((BG591-BC572)*10000,"")</f>
        <v>170.28377942599204</v>
      </c>
      <c r="BH598" s="1538">
        <f>IFERROR((BH591-BE572)*10000,"")</f>
        <v>90.37490987743368</v>
      </c>
      <c r="BI598" s="948">
        <f t="shared" si="438"/>
        <v>90.37490987743368</v>
      </c>
      <c r="BJ598" s="1539">
        <f>IFERROR((BJ591-BF572)*10000,"")</f>
        <v>-56.275622831914454</v>
      </c>
      <c r="BK598" s="1538"/>
      <c r="BL598" s="1538"/>
      <c r="BM598" s="1538"/>
      <c r="BN598" s="948"/>
      <c r="BO598" s="1538"/>
      <c r="BP598" s="1538"/>
      <c r="BQ598" s="1538"/>
      <c r="BR598" s="1538"/>
      <c r="BS598" s="948"/>
      <c r="BT598" s="948"/>
      <c r="BU598" s="948"/>
      <c r="BV598" s="948"/>
      <c r="BW598" s="118"/>
    </row>
    <row r="599" spans="1:75" hidden="1" outlineLevel="2" x14ac:dyDescent="0.5">
      <c r="A599" s="1524"/>
      <c r="B599" s="513"/>
      <c r="C599" s="401"/>
      <c r="D599" s="401"/>
      <c r="E599" s="401"/>
      <c r="F599" s="401"/>
      <c r="G599" s="118"/>
      <c r="H599" s="118"/>
      <c r="I599" s="118"/>
      <c r="J599" s="118"/>
      <c r="K599" s="401"/>
      <c r="L599" s="118"/>
      <c r="M599" s="118"/>
      <c r="N599" s="118"/>
      <c r="O599" s="118"/>
      <c r="P599" s="401"/>
      <c r="Q599" s="118"/>
      <c r="R599" s="118"/>
      <c r="S599" s="118"/>
      <c r="T599" s="118"/>
      <c r="U599" s="401"/>
      <c r="V599" s="118"/>
      <c r="W599" s="118"/>
      <c r="X599" s="118"/>
      <c r="Y599" s="118"/>
      <c r="Z599" s="401"/>
      <c r="AA599" s="118"/>
      <c r="AB599" s="118"/>
      <c r="AC599" s="118"/>
      <c r="AD599" s="118"/>
      <c r="AE599" s="401"/>
      <c r="AF599" s="118"/>
      <c r="AG599" s="118"/>
      <c r="AH599" s="118"/>
      <c r="AI599" s="118"/>
      <c r="AJ599" s="401"/>
      <c r="AK599" s="118"/>
      <c r="AL599" s="118"/>
      <c r="AM599" s="118"/>
      <c r="AN599" s="118"/>
      <c r="AO599" s="401"/>
      <c r="AP599" s="118"/>
      <c r="AQ599" s="118"/>
      <c r="AR599" s="118"/>
      <c r="AS599" s="118"/>
      <c r="AT599" s="401"/>
      <c r="AU599" s="118"/>
      <c r="AV599" s="118"/>
      <c r="AW599" s="118"/>
      <c r="AX599" s="118"/>
      <c r="AY599" s="401"/>
      <c r="AZ599" s="118"/>
      <c r="BA599" s="118"/>
      <c r="BB599" s="118"/>
      <c r="BC599" s="118"/>
      <c r="BD599" s="401"/>
      <c r="BE599" s="118"/>
      <c r="BF599" s="118"/>
      <c r="BG599" s="118"/>
      <c r="BH599" s="118"/>
      <c r="BI599" s="401"/>
      <c r="BJ599" s="971"/>
      <c r="BK599" s="118"/>
      <c r="BL599" s="118"/>
      <c r="BM599" s="118"/>
      <c r="BN599" s="401"/>
      <c r="BO599" s="118"/>
      <c r="BP599" s="118"/>
      <c r="BQ599" s="118"/>
      <c r="BR599" s="118"/>
      <c r="BS599" s="401"/>
      <c r="BT599" s="401"/>
      <c r="BU599" s="401"/>
      <c r="BV599" s="401"/>
      <c r="BW599" s="118"/>
    </row>
    <row r="600" spans="1:75" hidden="1" outlineLevel="2" x14ac:dyDescent="0.5">
      <c r="A600" s="170" t="s">
        <v>2555</v>
      </c>
      <c r="B600" s="720"/>
      <c r="C600" s="417"/>
      <c r="D600" s="417" t="str">
        <f>IFERROR(IF(D554="","",D554/C556-1),"")</f>
        <v/>
      </c>
      <c r="E600" s="417" t="str">
        <f>IFERROR(IF(E554="","",E554/D556-1),"")</f>
        <v/>
      </c>
      <c r="F600" s="417" t="str">
        <f>IFERROR(IF(F554="","",F554/E556-1),"")</f>
        <v/>
      </c>
      <c r="G600" s="378" t="str">
        <f>IFERROR(IF(K551="","",K551/F556-1),"")</f>
        <v/>
      </c>
      <c r="H600" s="378" t="str">
        <f>IFERROR(IF(K552="","",K552/F556-1),"")</f>
        <v/>
      </c>
      <c r="I600" s="378" t="str">
        <f>IFERROR(IF(K553="","",K553/F556-1),"")</f>
        <v/>
      </c>
      <c r="J600" s="378" t="str">
        <f>IFERROR(IF(K554="","",K554/F556-1),"")</f>
        <v/>
      </c>
      <c r="K600" s="417" t="str">
        <f>IFERROR(IF(K554="","",K554/F556-1),"")</f>
        <v/>
      </c>
      <c r="L600" s="378" t="str">
        <f>IFERROR(IF(P551="","",P551/K556-1),"")</f>
        <v/>
      </c>
      <c r="M600" s="378" t="str">
        <f>IFERROR(IF(P552="","",P552/K556-1),"")</f>
        <v/>
      </c>
      <c r="N600" s="378" t="str">
        <f>IFERROR(IF(P553="","",P553/K556-1),"")</f>
        <v/>
      </c>
      <c r="O600" s="378" t="str">
        <f>IFERROR(IF(P554="","",P554/K556-1),"")</f>
        <v/>
      </c>
      <c r="P600" s="417" t="str">
        <f>IFERROR(IF(P554="","",P554/K556-1),"")</f>
        <v/>
      </c>
      <c r="Q600" s="378" t="str">
        <f>IFERROR(IF(U551="","",U551/P556-1),"")</f>
        <v/>
      </c>
      <c r="R600" s="378" t="str">
        <f>IFERROR(IF(U552="","",U552/P556-1),"")</f>
        <v/>
      </c>
      <c r="S600" s="378" t="str">
        <f>IFERROR(IF(U553="","",U553/P556-1),"")</f>
        <v/>
      </c>
      <c r="T600" s="378" t="str">
        <f>IFERROR(IF(U554="","",U554/P556-1),"")</f>
        <v/>
      </c>
      <c r="U600" s="417" t="str">
        <f>IFERROR(IF(U554="","",U554/P556-1),"")</f>
        <v/>
      </c>
      <c r="V600" s="378" t="str">
        <f>IFERROR(IF(Z551="","",Z551/U556-1),"")</f>
        <v/>
      </c>
      <c r="W600" s="378" t="str">
        <f>IFERROR(IF(Z552="","",Z552/U556-1),"")</f>
        <v/>
      </c>
      <c r="X600" s="378" t="str">
        <f>IFERROR(IF(Z553="","",Z553/U556-1),"")</f>
        <v/>
      </c>
      <c r="Y600" s="378" t="str">
        <f>IFERROR(IF(Z554="","",Z554/U556-1),"")</f>
        <v/>
      </c>
      <c r="Z600" s="417" t="str">
        <f>IFERROR(IF(Z554="","",Z554/U556-1),"")</f>
        <v/>
      </c>
      <c r="AA600" s="378" t="str">
        <f>IFERROR(IF(AE551="","",AE551/Z556-1),"")</f>
        <v/>
      </c>
      <c r="AB600" s="378" t="str">
        <f>IFERROR(IF(AE552="","",AE552/Z556-1),"")</f>
        <v/>
      </c>
      <c r="AC600" s="378" t="str">
        <f>IFERROR(IF(AE553="","",AE553/Z556-1),"")</f>
        <v/>
      </c>
      <c r="AD600" s="378" t="str">
        <f>IFERROR(IF(AE554="","",AE554/Z556-1),"")</f>
        <v/>
      </c>
      <c r="AE600" s="417" t="str">
        <f>IFERROR(IF(AE554="","",AE554/Z556-1),"")</f>
        <v/>
      </c>
      <c r="AF600" s="378" t="str">
        <f>IFERROR(IF(AJ551="","",AJ551/AE556-1),"")</f>
        <v/>
      </c>
      <c r="AG600" s="378" t="str">
        <f>IFERROR(IF(AJ552="","",AJ552/AE556-1),"")</f>
        <v/>
      </c>
      <c r="AH600" s="378" t="str">
        <f>IFERROR(IF(AJ553="","",AJ553/AE556-1),"")</f>
        <v/>
      </c>
      <c r="AI600" s="378" t="str">
        <f>IFERROR(IF(AJ554="","",AJ554/AE556-1),"")</f>
        <v/>
      </c>
      <c r="AJ600" s="417" t="str">
        <f>IFERROR(IF(AJ554="","",AJ554/AE556-1),"")</f>
        <v/>
      </c>
      <c r="AK600" s="378" t="str">
        <f>IFERROR(IF(AO551="","",AO551/AJ556-1),"")</f>
        <v/>
      </c>
      <c r="AL600" s="378" t="str">
        <f>IFERROR(IF(AO552="","",AO552/AJ556-1),"")</f>
        <v/>
      </c>
      <c r="AM600" s="378" t="str">
        <f>IFERROR(IF(AO553="","",AO553/AJ556-1),"")</f>
        <v/>
      </c>
      <c r="AN600" s="378" t="str">
        <f>IFERROR(IF(AO554="","",AO554/AJ556-1),"")</f>
        <v/>
      </c>
      <c r="AO600" s="417" t="str">
        <f>IFERROR(IF(AO554="","",AO554/AJ556-1),"")</f>
        <v/>
      </c>
      <c r="AP600" s="378" t="str">
        <f>IFERROR(IF(AT551="","",AT551/AO556-1),"")</f>
        <v/>
      </c>
      <c r="AQ600" s="378" t="str">
        <f>IFERROR(IF(AT552="","",AT552/AO556-1),"")</f>
        <v/>
      </c>
      <c r="AR600" s="378" t="str">
        <f>IFERROR(IF(AT553="","",AT553/AO556-1),"")</f>
        <v/>
      </c>
      <c r="AS600" s="378" t="str">
        <f>IFERROR(IF(AT554="","",AT554/AO556-1),"")</f>
        <v/>
      </c>
      <c r="AT600" s="417" t="str">
        <f>IFERROR(IF(AT554="","",AT554/AO556-1),"")</f>
        <v/>
      </c>
      <c r="AU600" s="378" t="str">
        <f>IFERROR(IF(AY551="","",AY551/AT556-1),"")</f>
        <v/>
      </c>
      <c r="AV600" s="378" t="str">
        <f>IFERROR(IF(AY552="","",AY552/AT556-1),"")</f>
        <v/>
      </c>
      <c r="AW600" s="378" t="str">
        <f>IFERROR(IF(AY553="","",AY553/AT556-1),"")</f>
        <v/>
      </c>
      <c r="AX600" s="378" t="str">
        <f>IFERROR(IF(AY554="","",AY554/AT556-1),"")</f>
        <v/>
      </c>
      <c r="AY600" s="417" t="str">
        <f>IFERROR(IF(AY554="","",AY554/AT556-1),"")</f>
        <v/>
      </c>
      <c r="AZ600" s="378" t="str">
        <f>IFERROR(IF(BD551="","",BD551/AY556-1),"")</f>
        <v/>
      </c>
      <c r="BA600" s="378" t="str">
        <f>IFERROR(IF(BD552="","",BD552/AY556-1),"")</f>
        <v/>
      </c>
      <c r="BB600" s="378" t="str">
        <f>IFERROR(IF(BD553="","",BD553/AY556-1),"")</f>
        <v/>
      </c>
      <c r="BC600" s="378" t="str">
        <f>IFERROR(IF(BD554="","",BD554/AY556-1),"")</f>
        <v/>
      </c>
      <c r="BD600" s="417" t="str">
        <f>IFERROR(IF(BD554="","",BD554/AY556-1),"")</f>
        <v/>
      </c>
      <c r="BE600" s="378" t="str">
        <f>IFERROR(IF(BI551="","",BI551/BD556-1),"")</f>
        <v/>
      </c>
      <c r="BF600" s="378" t="str">
        <f>IFERROR(IF(BI552="","",BI552/BD556-1),"")</f>
        <v/>
      </c>
      <c r="BG600" s="378" t="str">
        <f>IFERROR(IF(BI553="","",BI553/BD556-1),"")</f>
        <v/>
      </c>
      <c r="BH600" s="378" t="str">
        <f>IFERROR(IF(BI554="","",BI554/BD556-1),"")</f>
        <v/>
      </c>
      <c r="BI600" s="417" t="str">
        <f>IFERROR(IF(BI554="","",BI554/BD556-1),"")</f>
        <v/>
      </c>
      <c r="BJ600" s="1130" t="str">
        <f>IFERROR(IF(BN551="","",BN551/BI556-1),"")</f>
        <v/>
      </c>
      <c r="BK600" s="378" t="str">
        <f>IFERROR(IF(BN552="","",BN552/BI556-1),"")</f>
        <v/>
      </c>
      <c r="BL600" s="378" t="str">
        <f>IFERROR(IF(BN553="","",BN553/BI556-1),"")</f>
        <v/>
      </c>
      <c r="BM600" s="378" t="str">
        <f>IFERROR(IF(BN554="","",BN554/BI556-1),"")</f>
        <v/>
      </c>
      <c r="BN600" s="417" t="str">
        <f>IFERROR(IF(BN554="","",BN554/BI556-1),"")</f>
        <v/>
      </c>
      <c r="BO600" s="378" t="str">
        <f>IFERROR(IF(BS551="","",BS551/BN556-1),"")</f>
        <v/>
      </c>
      <c r="BP600" s="378" t="str">
        <f>IFERROR(IF(BS552="","",BS552/BN556-1),"")</f>
        <v/>
      </c>
      <c r="BQ600" s="378" t="str">
        <f>IFERROR(IF(BS553="","",BS553/BN556-1),"")</f>
        <v/>
      </c>
      <c r="BR600" s="378" t="str">
        <f>IFERROR(IF(BS554="","",BS554/BN556-1),"")</f>
        <v/>
      </c>
      <c r="BS600" s="417" t="str">
        <f>IFERROR(IF(BS554="","",BS554/BN556-1),"")</f>
        <v/>
      </c>
      <c r="BT600" s="417"/>
      <c r="BU600" s="417"/>
      <c r="BV600" s="417"/>
      <c r="BW600" s="118"/>
    </row>
    <row r="601" spans="1:75" hidden="1" outlineLevel="2" x14ac:dyDescent="0.5">
      <c r="A601" s="1192" t="s">
        <v>2556</v>
      </c>
      <c r="B601" s="769"/>
      <c r="C601" s="770"/>
      <c r="D601" s="770" t="str">
        <f>IFERROR(IF(D554="","",(D556-D554)/C556),"")</f>
        <v/>
      </c>
      <c r="E601" s="770" t="str">
        <f>IFERROR(IF(E554="","",(E556-E554)/D556),"")</f>
        <v/>
      </c>
      <c r="F601" s="770" t="str">
        <f>IFERROR(IF(F554="","",(F556-F554)/E556),"")</f>
        <v/>
      </c>
      <c r="G601" s="771" t="str">
        <f>IFERROR(IF(K551="","",(K556-K551)/F556),"")</f>
        <v/>
      </c>
      <c r="H601" s="771" t="str">
        <f>IFERROR(IF(K552="","",(K556-K552)/F556),"")</f>
        <v/>
      </c>
      <c r="I601" s="771" t="str">
        <f>IFERROR(IF(K553="","",(K556-K553)/F556),"")</f>
        <v/>
      </c>
      <c r="J601" s="771" t="str">
        <f>IFERROR(IF(K554="","",(K556-K554)/F556),"")</f>
        <v/>
      </c>
      <c r="K601" s="770" t="str">
        <f>IFERROR(IF(K554="","",(K556-K554)/F556),"")</f>
        <v/>
      </c>
      <c r="L601" s="771" t="str">
        <f>IFERROR(IF(P551="","",(P556-P551)/K556),"")</f>
        <v/>
      </c>
      <c r="M601" s="771" t="str">
        <f>IFERROR(IF(P552="","",(P556-P552)/K556),"")</f>
        <v/>
      </c>
      <c r="N601" s="771" t="str">
        <f>IFERROR(IF(P553="","",(P556-P553)/K556),"")</f>
        <v/>
      </c>
      <c r="O601" s="771" t="str">
        <f>IFERROR(IF(P554="","",(P556-P554)/K556),"")</f>
        <v/>
      </c>
      <c r="P601" s="770" t="str">
        <f>IFERROR(IF(P554="","",(P556-P554)/K556),"")</f>
        <v/>
      </c>
      <c r="Q601" s="771" t="str">
        <f>IFERROR(IF(U551="","",(U556-U551)/P556),"")</f>
        <v/>
      </c>
      <c r="R601" s="771" t="str">
        <f>IFERROR(IF(U552="","",(U556-U552)/P556),"")</f>
        <v/>
      </c>
      <c r="S601" s="771" t="str">
        <f>IFERROR(IF(U553="","",(U556-U553)/P556),"")</f>
        <v/>
      </c>
      <c r="T601" s="771" t="str">
        <f>IFERROR(IF(U554="","",(U556-U554)/P556),"")</f>
        <v/>
      </c>
      <c r="U601" s="770" t="str">
        <f>IFERROR(IF(U554="","",(U556-U554)/P556),"")</f>
        <v/>
      </c>
      <c r="V601" s="771" t="str">
        <f>IFERROR(IF(Z551="","",(Z556-Z551)/U556),"")</f>
        <v/>
      </c>
      <c r="W601" s="771" t="str">
        <f>IFERROR(IF(Z552="","",(Z556-Z552)/U556),"")</f>
        <v/>
      </c>
      <c r="X601" s="771" t="str">
        <f>IFERROR(IF(Z553="","",(Z556-Z553)/U556),"")</f>
        <v/>
      </c>
      <c r="Y601" s="771" t="str">
        <f>IFERROR(IF(Z554="","",(Z556-Z554)/U556),"")</f>
        <v/>
      </c>
      <c r="Z601" s="770" t="str">
        <f>IFERROR(IF(Z554="","",(Z556-Z554)/U556),"")</f>
        <v/>
      </c>
      <c r="AA601" s="771" t="str">
        <f>IFERROR(IF(AE551="","",(AE556-AE551)/Z556),"")</f>
        <v/>
      </c>
      <c r="AB601" s="771" t="str">
        <f>IFERROR(IF(AE552="","",(AE556-AE552)/Z556),"")</f>
        <v/>
      </c>
      <c r="AC601" s="771" t="str">
        <f>IFERROR(IF(AE553="","",(AE556-AE553)/Z556),"")</f>
        <v/>
      </c>
      <c r="AD601" s="771" t="str">
        <f>IFERROR(IF(AE554="","",(AE556-AE554)/Z556),"")</f>
        <v/>
      </c>
      <c r="AE601" s="770" t="str">
        <f>IFERROR(IF(AE554="","",(AE556-AE554)/Z556),"")</f>
        <v/>
      </c>
      <c r="AF601" s="771" t="str">
        <f>IFERROR(IF(AJ551="","",(AJ556-AJ551)/AE556),"")</f>
        <v/>
      </c>
      <c r="AG601" s="771" t="str">
        <f>IFERROR(IF(AJ552="","",(AJ556-AJ552)/AE556),"")</f>
        <v/>
      </c>
      <c r="AH601" s="771" t="str">
        <f>IFERROR(IF(AJ553="","",(AJ556-AJ553)/AE556),"")</f>
        <v/>
      </c>
      <c r="AI601" s="771" t="str">
        <f>IFERROR(IF(AJ554="","",(AJ556-AJ554)/AE556),"")</f>
        <v/>
      </c>
      <c r="AJ601" s="770" t="str">
        <f>IFERROR(IF(AJ554="","",(AJ556-AJ554)/AE556),"")</f>
        <v/>
      </c>
      <c r="AK601" s="771" t="str">
        <f>IFERROR(IF(AO551="","",(AO556-AO551)/AJ556),"")</f>
        <v/>
      </c>
      <c r="AL601" s="771" t="str">
        <f>IFERROR(IF(AO552="","",(AO556-AO552)/AJ556),"")</f>
        <v/>
      </c>
      <c r="AM601" s="771" t="str">
        <f>IFERROR(IF(AO553="","",(AO556-AO553)/AJ556),"")</f>
        <v/>
      </c>
      <c r="AN601" s="771" t="str">
        <f>IFERROR(IF(AO554="","",(AO556-AO554)/AJ556),"")</f>
        <v/>
      </c>
      <c r="AO601" s="770" t="str">
        <f>IFERROR(IF(AO554="","",(AO556-AO554)/AJ556),"")</f>
        <v/>
      </c>
      <c r="AP601" s="771" t="str">
        <f>IFERROR(IF(AT551="","",(AT556-AT551)/AO556),"")</f>
        <v/>
      </c>
      <c r="AQ601" s="771" t="str">
        <f>IFERROR(IF(AT552="","",(AT556-AT552)/AO556),"")</f>
        <v/>
      </c>
      <c r="AR601" s="771" t="str">
        <f>IFERROR(IF(AT553="","",(AT556-AT553)/AO556),"")</f>
        <v/>
      </c>
      <c r="AS601" s="771" t="str">
        <f>IFERROR(IF(AT554="","",(AT556-AT554)/AO556),"")</f>
        <v/>
      </c>
      <c r="AT601" s="770" t="str">
        <f>IFERROR(IF(AT554="","",(AT556-AT554)/AO556),"")</f>
        <v/>
      </c>
      <c r="AU601" s="771" t="str">
        <f>IFERROR(IF(AY551="","",(AY556-AY551)/AT556),"")</f>
        <v/>
      </c>
      <c r="AV601" s="771" t="str">
        <f>IFERROR(IF(AY552="","",(AY556-AY552)/AT556),"")</f>
        <v/>
      </c>
      <c r="AW601" s="771" t="str">
        <f>IFERROR(IF(AY553="","",(AY556-AY553)/AT556),"")</f>
        <v/>
      </c>
      <c r="AX601" s="771" t="str">
        <f>IFERROR(IF(AY554="","",(AY556-AY554)/AT556),"")</f>
        <v/>
      </c>
      <c r="AY601" s="770" t="str">
        <f>IFERROR(IF(AY554="","",(AY556-AY554)/AT556),"")</f>
        <v/>
      </c>
      <c r="AZ601" s="771" t="str">
        <f>IFERROR(IF(BD551="","",(BD556-BD551)/AY556),"")</f>
        <v/>
      </c>
      <c r="BA601" s="771" t="str">
        <f>IFERROR(IF(BD552="","",(BD556-BD552)/AY556),"")</f>
        <v/>
      </c>
      <c r="BB601" s="771" t="str">
        <f>IFERROR(IF(BD553="","",(BD556-BD553)/AY556),"")</f>
        <v/>
      </c>
      <c r="BC601" s="771" t="str">
        <f>IFERROR(IF(BD554="","",(BD556-BD554)/AY556),"")</f>
        <v/>
      </c>
      <c r="BD601" s="770" t="str">
        <f>IFERROR(IF(BD554="","",(BD556-BD554)/AY556),"")</f>
        <v/>
      </c>
      <c r="BE601" s="771" t="str">
        <f>IFERROR(IF(BI551="","",(BI556-BI551)/BD556),"")</f>
        <v/>
      </c>
      <c r="BF601" s="771" t="str">
        <f>IFERROR(IF(BI552="","",(BI556-BI552)/BD556),"")</f>
        <v/>
      </c>
      <c r="BG601" s="771" t="str">
        <f>IFERROR(IF(BI553="","",(BI556-BI553)/BD556),"")</f>
        <v/>
      </c>
      <c r="BH601" s="771" t="str">
        <f>IFERROR(IF(BI554="","",(BI556-BI554)/BD556),"")</f>
        <v/>
      </c>
      <c r="BI601" s="770" t="str">
        <f>IFERROR(IF(BI554="","",(BI556-BI554)/BD556),"")</f>
        <v/>
      </c>
      <c r="BJ601" s="1314" t="str">
        <f>IFERROR(IF(BN551="","",(BN556-BN551)/BI556),"")</f>
        <v/>
      </c>
      <c r="BK601" s="771" t="str">
        <f>IFERROR(IF(BN552="","",(BN556-BN552)/BI556),"")</f>
        <v/>
      </c>
      <c r="BL601" s="771" t="str">
        <f>IFERROR(IF(BN553="","",(BN556-BN553)/BI556),"")</f>
        <v/>
      </c>
      <c r="BM601" s="771" t="str">
        <f>IFERROR(IF(BN554="","",(BN556-BN554)/BI556),"")</f>
        <v/>
      </c>
      <c r="BN601" s="770" t="str">
        <f>IFERROR(IF(BN554="","",(BN556-BN554)/BI556),"")</f>
        <v/>
      </c>
      <c r="BO601" s="771" t="str">
        <f>IFERROR(IF(BS551="","",(BS556-BS551)/BN556),"")</f>
        <v/>
      </c>
      <c r="BP601" s="771" t="str">
        <f>IFERROR(IF(BS552="","",(BS556-BS552)/BN556),"")</f>
        <v/>
      </c>
      <c r="BQ601" s="771" t="str">
        <f>IFERROR(IF(BS553="","",(BS556-BS553)/BN556),"")</f>
        <v/>
      </c>
      <c r="BR601" s="771" t="str">
        <f>IFERROR(IF(BS554="","",(BS556-BS554)/BN556),"")</f>
        <v/>
      </c>
      <c r="BS601" s="770" t="str">
        <f>IFERROR(IF(BS554="","",(BS556-BS554)/BN556),"")</f>
        <v/>
      </c>
      <c r="BT601" s="770"/>
      <c r="BU601" s="770"/>
      <c r="BV601" s="770"/>
      <c r="BW601" s="118"/>
    </row>
    <row r="602" spans="1:75" hidden="1" outlineLevel="2" x14ac:dyDescent="0.5">
      <c r="A602" s="1150" t="s">
        <v>2557</v>
      </c>
      <c r="B602" s="1525"/>
      <c r="C602" s="1147"/>
      <c r="D602" s="1147"/>
      <c r="E602" s="1147"/>
      <c r="F602" s="1147">
        <f>F556/E556-1</f>
        <v>0.10369395948658688</v>
      </c>
      <c r="G602" s="1148">
        <f>K556/F556-1</f>
        <v>0.5449021350474339</v>
      </c>
      <c r="H602" s="1148">
        <f>K556/F556-1</f>
        <v>0.5449021350474339</v>
      </c>
      <c r="I602" s="1148">
        <f>K556/F556-1</f>
        <v>0.5449021350474339</v>
      </c>
      <c r="J602" s="1148">
        <f>K556/F556-1</f>
        <v>0.5449021350474339</v>
      </c>
      <c r="K602" s="1147">
        <f>K556/F556-1</f>
        <v>0.5449021350474339</v>
      </c>
      <c r="L602" s="1148">
        <f>P556/K556-1</f>
        <v>0.38733773038828789</v>
      </c>
      <c r="M602" s="1148">
        <f>P556/K556-1</f>
        <v>0.38733773038828789</v>
      </c>
      <c r="N602" s="1148">
        <f>P556/K556-1</f>
        <v>0.38733773038828789</v>
      </c>
      <c r="O602" s="1148">
        <f>P556/K556-1</f>
        <v>0.38733773038828789</v>
      </c>
      <c r="P602" s="1147">
        <f>P556/K556-1</f>
        <v>0.38733773038828789</v>
      </c>
      <c r="Q602" s="1148">
        <f>U556/P556-1</f>
        <v>0.73811467768998851</v>
      </c>
      <c r="R602" s="1148">
        <f>U556/P556-1</f>
        <v>0.73811467768998851</v>
      </c>
      <c r="S602" s="1148">
        <f>U556/P556-1</f>
        <v>0.73811467768998851</v>
      </c>
      <c r="T602" s="1148">
        <f>U556/P556-1</f>
        <v>0.73811467768998851</v>
      </c>
      <c r="U602" s="1147">
        <f>U556/P556-1</f>
        <v>0.73811467768998851</v>
      </c>
      <c r="V602" s="1148">
        <f>Z556/U556-1</f>
        <v>0.49394330564206501</v>
      </c>
      <c r="W602" s="1148">
        <f>Z556/U556-1</f>
        <v>0.49394330564206501</v>
      </c>
      <c r="X602" s="1148">
        <f>Z556/U556-1</f>
        <v>0.49394330564206501</v>
      </c>
      <c r="Y602" s="1148">
        <f>Z556/U556-1</f>
        <v>0.49394330564206501</v>
      </c>
      <c r="Z602" s="1147">
        <f>Z556/U556-1</f>
        <v>0.49394330564206501</v>
      </c>
      <c r="AA602" s="1148">
        <f>AE556/Z556-1</f>
        <v>0.38500589865698798</v>
      </c>
      <c r="AB602" s="1148">
        <f>AE556/Z556-1</f>
        <v>0.38500589865698798</v>
      </c>
      <c r="AC602" s="1148">
        <f>AE556/Z556-1</f>
        <v>0.38500589865698798</v>
      </c>
      <c r="AD602" s="1148">
        <f>AE556/Z556-1</f>
        <v>0.38500589865698798</v>
      </c>
      <c r="AE602" s="1147">
        <f>AE556/Z556-1</f>
        <v>0.38500589865698798</v>
      </c>
      <c r="AF602" s="1148">
        <f>AJ556/AE556-1</f>
        <v>0.41820734825794559</v>
      </c>
      <c r="AG602" s="1148">
        <f>AJ556/AE556-1</f>
        <v>0.41820734825794559</v>
      </c>
      <c r="AH602" s="1148">
        <f>AJ556/AE556-1</f>
        <v>0.41820734825794559</v>
      </c>
      <c r="AI602" s="1148">
        <f>AJ556/AE556-1</f>
        <v>0.41820734825794559</v>
      </c>
      <c r="AJ602" s="1147">
        <f>AJ556/AE556-1</f>
        <v>0.41820734825794559</v>
      </c>
      <c r="AK602" s="1148">
        <f>AO556/AJ556-1</f>
        <v>0.35331245592330895</v>
      </c>
      <c r="AL602" s="1148">
        <f>AO556/AJ556-1</f>
        <v>0.35331245592330895</v>
      </c>
      <c r="AM602" s="1148">
        <f>AO556/AJ556-1</f>
        <v>0.35331245592330895</v>
      </c>
      <c r="AN602" s="1148">
        <f>AO556/AJ556-1</f>
        <v>0.35331245592330895</v>
      </c>
      <c r="AO602" s="1147">
        <f>AO556/AJ556-1</f>
        <v>0.35331245592330895</v>
      </c>
      <c r="AP602" s="1148">
        <f>AT556/AO556-1</f>
        <v>0.91501407327790929</v>
      </c>
      <c r="AQ602" s="1148">
        <f>AT556/AO556-1</f>
        <v>0.91501407327790929</v>
      </c>
      <c r="AR602" s="1148">
        <f>AT556/AO556-1</f>
        <v>0.91501407327790929</v>
      </c>
      <c r="AS602" s="1148">
        <f>AT556/AO556-1</f>
        <v>0.91501407327790929</v>
      </c>
      <c r="AT602" s="1147">
        <f>AT556/AO556-1</f>
        <v>0.91501407327790929</v>
      </c>
      <c r="AU602" s="1148">
        <f>AY556/AT556-1</f>
        <v>-5.2811762934955819E-2</v>
      </c>
      <c r="AV602" s="1148">
        <f>AY556/AT556-1</f>
        <v>-5.2811762934955819E-2</v>
      </c>
      <c r="AW602" s="1148">
        <f>AY556/AT556-1</f>
        <v>-5.2811762934955819E-2</v>
      </c>
      <c r="AX602" s="1148">
        <f>AY556/AT556-1</f>
        <v>-5.2811762934955819E-2</v>
      </c>
      <c r="AY602" s="1147">
        <f>AY556/AT556-1</f>
        <v>-5.2811762934955819E-2</v>
      </c>
      <c r="AZ602" s="1148">
        <f>BD556/AY556-1</f>
        <v>-0.12297817715019255</v>
      </c>
      <c r="BA602" s="1148">
        <f>BD556/AY556-1</f>
        <v>-0.12297817715019255</v>
      </c>
      <c r="BB602" s="1148">
        <f>BD556/AY556-1</f>
        <v>-0.12297817715019255</v>
      </c>
      <c r="BC602" s="1148">
        <f>BD556/AY556-1</f>
        <v>-0.12297817715019255</v>
      </c>
      <c r="BD602" s="1147">
        <f>BD556/AY556-1</f>
        <v>-0.12297817715019255</v>
      </c>
      <c r="BE602" s="1148">
        <f>BI556/BD556-1</f>
        <v>7.3477751756440224E-2</v>
      </c>
      <c r="BF602" s="1148">
        <f>BI556/BD556-1</f>
        <v>7.3477751756440224E-2</v>
      </c>
      <c r="BG602" s="1148">
        <f>BI556/BD556-1</f>
        <v>7.3477751756440224E-2</v>
      </c>
      <c r="BH602" s="1148">
        <f>BI556/BD556-1</f>
        <v>7.3477751756440224E-2</v>
      </c>
      <c r="BI602" s="1147">
        <f>BI556/BD556-1</f>
        <v>7.3477751756440224E-2</v>
      </c>
      <c r="BJ602" s="1149">
        <f>BN556/BI556-1</f>
        <v>9.8652366967546534E-3</v>
      </c>
      <c r="BK602" s="1148">
        <f>BN556/BI556-1</f>
        <v>9.8652366967546534E-3</v>
      </c>
      <c r="BL602" s="1148">
        <f>BN556/BI556-1</f>
        <v>9.8652366967546534E-3</v>
      </c>
      <c r="BM602" s="1148">
        <f>BN556/BI556-1</f>
        <v>9.8652366967546534E-3</v>
      </c>
      <c r="BN602" s="1147">
        <f>BN556/BI556-1</f>
        <v>9.8652366967546534E-3</v>
      </c>
      <c r="BO602" s="1148">
        <f>BS556/BN556-1</f>
        <v>6.8036873798570374E-2</v>
      </c>
      <c r="BP602" s="1148">
        <f>BS556/BN556-1</f>
        <v>6.8036873798570374E-2</v>
      </c>
      <c r="BQ602" s="1148">
        <f>BS556/BN556-1</f>
        <v>6.8036873798570374E-2</v>
      </c>
      <c r="BR602" s="1148">
        <f>BS556/BN556-1</f>
        <v>6.8036873798570374E-2</v>
      </c>
      <c r="BS602" s="1147">
        <f>BS556/BN556-1</f>
        <v>6.8036873798570374E-2</v>
      </c>
      <c r="BT602" s="1147">
        <f>BT556/BS556-1</f>
        <v>7.8462405669055935E-2</v>
      </c>
      <c r="BU602" s="1147">
        <f>BU556/BT556-1</f>
        <v>7.8417573461513124E-2</v>
      </c>
      <c r="BV602" s="1147">
        <f>BV556/BU556-1</f>
        <v>7.8373315663376353E-2</v>
      </c>
      <c r="BW602" s="118"/>
    </row>
    <row r="603" spans="1:75" hidden="1" outlineLevel="2" x14ac:dyDescent="0.5">
      <c r="A603" s="1524"/>
      <c r="B603" s="513"/>
      <c r="C603" s="401"/>
      <c r="D603" s="401"/>
      <c r="E603" s="401"/>
      <c r="F603" s="401"/>
      <c r="G603" s="118"/>
      <c r="H603" s="118"/>
      <c r="I603" s="118"/>
      <c r="J603" s="118"/>
      <c r="K603" s="401"/>
      <c r="L603" s="118"/>
      <c r="M603" s="118"/>
      <c r="N603" s="118"/>
      <c r="O603" s="118"/>
      <c r="P603" s="401"/>
      <c r="Q603" s="118"/>
      <c r="R603" s="118"/>
      <c r="S603" s="118"/>
      <c r="T603" s="118"/>
      <c r="U603" s="401"/>
      <c r="V603" s="118"/>
      <c r="W603" s="118"/>
      <c r="X603" s="118"/>
      <c r="Y603" s="118"/>
      <c r="Z603" s="401"/>
      <c r="AA603" s="118"/>
      <c r="AB603" s="118"/>
      <c r="AC603" s="118"/>
      <c r="AD603" s="118"/>
      <c r="AE603" s="401"/>
      <c r="AF603" s="118"/>
      <c r="AG603" s="118"/>
      <c r="AH603" s="118"/>
      <c r="AI603" s="118"/>
      <c r="AJ603" s="401"/>
      <c r="AK603" s="118"/>
      <c r="AL603" s="118"/>
      <c r="AM603" s="118"/>
      <c r="AN603" s="118"/>
      <c r="AO603" s="401"/>
      <c r="AP603" s="118"/>
      <c r="AQ603" s="118"/>
      <c r="AR603" s="118"/>
      <c r="AS603" s="118"/>
      <c r="AT603" s="401"/>
      <c r="AU603" s="118"/>
      <c r="AV603" s="118"/>
      <c r="AW603" s="118"/>
      <c r="AX603" s="118"/>
      <c r="AY603" s="401"/>
      <c r="AZ603" s="118"/>
      <c r="BA603" s="118"/>
      <c r="BB603" s="118"/>
      <c r="BC603" s="118"/>
      <c r="BD603" s="401"/>
      <c r="BE603" s="118"/>
      <c r="BF603" s="118"/>
      <c r="BG603" s="118"/>
      <c r="BH603" s="118"/>
      <c r="BI603" s="401"/>
      <c r="BJ603" s="971"/>
      <c r="BK603" s="118"/>
      <c r="BL603" s="118"/>
      <c r="BM603" s="118"/>
      <c r="BN603" s="401"/>
      <c r="BO603" s="118"/>
      <c r="BP603" s="118"/>
      <c r="BQ603" s="118"/>
      <c r="BR603" s="118"/>
      <c r="BS603" s="401"/>
      <c r="BT603" s="401"/>
      <c r="BU603" s="401"/>
      <c r="BV603" s="401"/>
      <c r="BW603" s="118"/>
    </row>
    <row r="604" spans="1:75" hidden="1" outlineLevel="2" x14ac:dyDescent="0.5">
      <c r="A604" s="1529" t="s">
        <v>2503</v>
      </c>
      <c r="B604" s="1530"/>
      <c r="C604" s="1531"/>
      <c r="D604" s="1531"/>
      <c r="E604" s="1531"/>
      <c r="F604" s="1531"/>
      <c r="G604" s="1532"/>
      <c r="H604" s="1532"/>
      <c r="I604" s="1532"/>
      <c r="J604" s="1532"/>
      <c r="K604" s="1531"/>
      <c r="L604" s="1532"/>
      <c r="M604" s="1532"/>
      <c r="N604" s="1532"/>
      <c r="O604" s="1532"/>
      <c r="P604" s="1531"/>
      <c r="Q604" s="1532"/>
      <c r="R604" s="1532"/>
      <c r="S604" s="1532"/>
      <c r="T604" s="1532"/>
      <c r="U604" s="1531"/>
      <c r="V604" s="1532"/>
      <c r="W604" s="1532"/>
      <c r="X604" s="1532"/>
      <c r="Y604" s="1532"/>
      <c r="Z604" s="1531"/>
      <c r="AA604" s="1532"/>
      <c r="AB604" s="1532"/>
      <c r="AC604" s="1532"/>
      <c r="AD604" s="1532" t="str">
        <f>AJ5</f>
        <v>FY2018</v>
      </c>
      <c r="AE604" s="1531" t="str">
        <f>AJ5</f>
        <v>FY2018</v>
      </c>
      <c r="AF604" s="1532" t="str">
        <f>AJ5</f>
        <v>FY2018</v>
      </c>
      <c r="AG604" s="1532" t="str">
        <f>AJ5</f>
        <v>FY2018</v>
      </c>
      <c r="AH604" s="1532" t="str">
        <f>AJ5</f>
        <v>FY2018</v>
      </c>
      <c r="AI604" s="1532" t="str">
        <f>AO5</f>
        <v>FY2019</v>
      </c>
      <c r="AJ604" s="1531" t="str">
        <f>AO5</f>
        <v>FY2019</v>
      </c>
      <c r="AK604" s="1532" t="str">
        <f>AO5</f>
        <v>FY2019</v>
      </c>
      <c r="AL604" s="1532" t="str">
        <f>AO5</f>
        <v>FY2019</v>
      </c>
      <c r="AM604" s="1532" t="str">
        <f>AO5</f>
        <v>FY2019</v>
      </c>
      <c r="AN604" s="1532" t="str">
        <f>AT5</f>
        <v>FY2020</v>
      </c>
      <c r="AO604" s="1531" t="str">
        <f>AT5</f>
        <v>FY2020</v>
      </c>
      <c r="AP604" s="1532" t="str">
        <f>AT5</f>
        <v>FY2020</v>
      </c>
      <c r="AQ604" s="1532" t="str">
        <f>AT5</f>
        <v>FY2020</v>
      </c>
      <c r="AR604" s="1532" t="str">
        <f>AT5</f>
        <v>FY2020</v>
      </c>
      <c r="AS604" s="1532" t="str">
        <f>AY5</f>
        <v>FY2021</v>
      </c>
      <c r="AT604" s="1531" t="str">
        <f>AY5</f>
        <v>FY2021</v>
      </c>
      <c r="AU604" s="1532" t="str">
        <f>AY5</f>
        <v>FY2021</v>
      </c>
      <c r="AV604" s="1532" t="str">
        <f>AY5</f>
        <v>FY2021</v>
      </c>
      <c r="AW604" s="1532" t="str">
        <f>AY5</f>
        <v>FY2021</v>
      </c>
      <c r="AX604" s="1532" t="str">
        <f>BD5</f>
        <v>FY2022</v>
      </c>
      <c r="AY604" s="1531" t="str">
        <f>BD5</f>
        <v>FY2022</v>
      </c>
      <c r="AZ604" s="1532" t="str">
        <f>BD5</f>
        <v>FY2022</v>
      </c>
      <c r="BA604" s="1532" t="str">
        <f>BD5</f>
        <v>FY2022</v>
      </c>
      <c r="BB604" s="1532" t="str">
        <f>BD5</f>
        <v>FY2022</v>
      </c>
      <c r="BC604" s="1532" t="str">
        <f>BI5</f>
        <v>FY2023</v>
      </c>
      <c r="BD604" s="1531" t="str">
        <f>BI5</f>
        <v>FY2023</v>
      </c>
      <c r="BE604" s="1532" t="str">
        <f>BI5</f>
        <v>FY2023</v>
      </c>
      <c r="BF604" s="1532" t="str">
        <f>BI5</f>
        <v>FY2023</v>
      </c>
      <c r="BG604" s="1532" t="str">
        <f>BI5</f>
        <v>FY2023</v>
      </c>
      <c r="BH604" s="1532" t="str">
        <f>BN5</f>
        <v>FY2024</v>
      </c>
      <c r="BI604" s="1531" t="str">
        <f>BN5</f>
        <v>FY2024</v>
      </c>
      <c r="BJ604" s="1533" t="str">
        <f>BN5</f>
        <v>FY2024</v>
      </c>
      <c r="BK604" s="1532"/>
      <c r="BL604" s="1532"/>
      <c r="BM604" s="1532"/>
      <c r="BN604" s="1531"/>
      <c r="BO604" s="1532"/>
      <c r="BP604" s="1532"/>
      <c r="BQ604" s="1532"/>
      <c r="BR604" s="1532"/>
      <c r="BS604" s="1531"/>
      <c r="BT604" s="1531"/>
      <c r="BU604" s="1531"/>
      <c r="BV604" s="1531"/>
      <c r="BW604" s="118"/>
    </row>
    <row r="605" spans="1:75" hidden="1" outlineLevel="3" x14ac:dyDescent="0.5">
      <c r="A605" s="184" t="s">
        <v>2558</v>
      </c>
      <c r="B605" s="513"/>
      <c r="C605" s="401"/>
      <c r="D605" s="401"/>
      <c r="E605" s="401"/>
      <c r="F605" s="401"/>
      <c r="G605" s="118"/>
      <c r="H605" s="118"/>
      <c r="I605" s="118"/>
      <c r="J605" s="118"/>
      <c r="K605" s="401"/>
      <c r="L605" s="118"/>
      <c r="M605" s="118"/>
      <c r="N605" s="118"/>
      <c r="O605" s="118"/>
      <c r="P605" s="401"/>
      <c r="Q605" s="118"/>
      <c r="R605" s="118"/>
      <c r="S605" s="118"/>
      <c r="T605" s="118"/>
      <c r="U605" s="401"/>
      <c r="V605" s="118"/>
      <c r="W605" s="118"/>
      <c r="X605" s="118"/>
      <c r="Y605" s="118"/>
      <c r="Z605" s="401"/>
      <c r="AA605" s="118"/>
      <c r="AB605" s="118"/>
      <c r="AC605" s="118"/>
      <c r="AD605" s="118" t="str">
        <f t="shared" ref="AD605:BJ606" si="439">IFERROR(AD$543*AD614,"n/a")</f>
        <v>n/a</v>
      </c>
      <c r="AE605" s="401" t="str">
        <f t="shared" si="439"/>
        <v>n/a</v>
      </c>
      <c r="AF605" s="118" t="str">
        <f t="shared" si="439"/>
        <v>n/a</v>
      </c>
      <c r="AG605" s="118" t="str">
        <f t="shared" si="439"/>
        <v>n/a</v>
      </c>
      <c r="AH605" s="118" t="str">
        <f t="shared" si="439"/>
        <v>n/a</v>
      </c>
      <c r="AI605" s="118" t="str">
        <f t="shared" si="439"/>
        <v>n/a</v>
      </c>
      <c r="AJ605" s="401" t="str">
        <f t="shared" si="439"/>
        <v>n/a</v>
      </c>
      <c r="AK605" s="118" t="str">
        <f t="shared" si="439"/>
        <v>n/a</v>
      </c>
      <c r="AL605" s="118" t="str">
        <f t="shared" si="439"/>
        <v>n/a</v>
      </c>
      <c r="AM605" s="118" t="str">
        <f t="shared" si="439"/>
        <v>n/a</v>
      </c>
      <c r="AN605" s="118" t="str">
        <f t="shared" si="439"/>
        <v>n/a</v>
      </c>
      <c r="AO605" s="401" t="str">
        <f t="shared" si="439"/>
        <v>n/a</v>
      </c>
      <c r="AP605" s="118" t="str">
        <f t="shared" si="439"/>
        <v>n/a</v>
      </c>
      <c r="AQ605" s="118" t="str">
        <f t="shared" si="439"/>
        <v>n/a</v>
      </c>
      <c r="AR605" s="118" t="str">
        <f t="shared" si="439"/>
        <v>n/a</v>
      </c>
      <c r="AS605" s="118" t="str">
        <f t="shared" si="439"/>
        <v>n/a</v>
      </c>
      <c r="AT605" s="401" t="str">
        <f t="shared" si="439"/>
        <v>n/a</v>
      </c>
      <c r="AU605" s="118" t="str">
        <f t="shared" si="439"/>
        <v>n/a</v>
      </c>
      <c r="AV605" s="118" t="str">
        <f t="shared" si="439"/>
        <v>n/a</v>
      </c>
      <c r="AW605" s="118" t="str">
        <f t="shared" si="439"/>
        <v>n/a</v>
      </c>
      <c r="AX605" s="118" t="str">
        <f t="shared" si="439"/>
        <v>n/a</v>
      </c>
      <c r="AY605" s="401" t="str">
        <f t="shared" si="439"/>
        <v>n/a</v>
      </c>
      <c r="AZ605" s="118" t="str">
        <f t="shared" si="439"/>
        <v>n/a</v>
      </c>
      <c r="BA605" s="118" t="str">
        <f t="shared" si="439"/>
        <v>n/a</v>
      </c>
      <c r="BB605" s="118" t="str">
        <f t="shared" si="439"/>
        <v>n/a</v>
      </c>
      <c r="BC605" s="118" t="str">
        <f t="shared" si="439"/>
        <v>n/a</v>
      </c>
      <c r="BD605" s="401" t="str">
        <f t="shared" si="439"/>
        <v>n/a</v>
      </c>
      <c r="BE605" s="118" t="str">
        <f t="shared" si="439"/>
        <v>n/a</v>
      </c>
      <c r="BF605" s="118" t="str">
        <f t="shared" si="439"/>
        <v>n/a</v>
      </c>
      <c r="BG605" s="118" t="str">
        <f t="shared" si="439"/>
        <v>n/a</v>
      </c>
      <c r="BH605" s="118" t="str">
        <f t="shared" si="439"/>
        <v>n/a</v>
      </c>
      <c r="BI605" s="401" t="str">
        <f t="shared" si="439"/>
        <v>n/a</v>
      </c>
      <c r="BJ605" s="971" t="str">
        <f t="shared" si="439"/>
        <v>n/a</v>
      </c>
      <c r="BK605" s="118"/>
      <c r="BL605" s="118"/>
      <c r="BM605" s="118"/>
      <c r="BN605" s="401"/>
      <c r="BO605" s="118"/>
      <c r="BP605" s="118"/>
      <c r="BQ605" s="118"/>
      <c r="BR605" s="118"/>
      <c r="BS605" s="401"/>
      <c r="BT605" s="401"/>
      <c r="BU605" s="401"/>
      <c r="BV605" s="401"/>
      <c r="BW605" s="118"/>
    </row>
    <row r="606" spans="1:75" hidden="1" outlineLevel="3" x14ac:dyDescent="0.5">
      <c r="A606" s="445" t="s">
        <v>2559</v>
      </c>
      <c r="B606" s="677"/>
      <c r="C606" s="406"/>
      <c r="D606" s="406"/>
      <c r="E606" s="406"/>
      <c r="F606" s="406"/>
      <c r="G606" s="723"/>
      <c r="H606" s="723"/>
      <c r="I606" s="723"/>
      <c r="J606" s="723"/>
      <c r="K606" s="406"/>
      <c r="L606" s="723"/>
      <c r="M606" s="723"/>
      <c r="N606" s="723"/>
      <c r="O606" s="723"/>
      <c r="P606" s="406"/>
      <c r="Q606" s="723"/>
      <c r="R606" s="723"/>
      <c r="S606" s="723"/>
      <c r="T606" s="723"/>
      <c r="U606" s="406"/>
      <c r="V606" s="723"/>
      <c r="W606" s="723"/>
      <c r="X606" s="723"/>
      <c r="Y606" s="723"/>
      <c r="Z606" s="406"/>
      <c r="AA606" s="723"/>
      <c r="AB606" s="723"/>
      <c r="AC606" s="723"/>
      <c r="AD606" s="723" t="str">
        <f t="shared" si="439"/>
        <v>n/a</v>
      </c>
      <c r="AE606" s="406" t="str">
        <f t="shared" si="439"/>
        <v>n/a</v>
      </c>
      <c r="AF606" s="723" t="str">
        <f t="shared" si="439"/>
        <v>n/a</v>
      </c>
      <c r="AG606" s="723" t="str">
        <f t="shared" si="439"/>
        <v>n/a</v>
      </c>
      <c r="AH606" s="723" t="str">
        <f t="shared" si="439"/>
        <v>n/a</v>
      </c>
      <c r="AI606" s="723" t="str">
        <f t="shared" si="439"/>
        <v>n/a</v>
      </c>
      <c r="AJ606" s="406" t="str">
        <f t="shared" si="439"/>
        <v>n/a</v>
      </c>
      <c r="AK606" s="723" t="str">
        <f t="shared" si="439"/>
        <v>n/a</v>
      </c>
      <c r="AL606" s="723" t="str">
        <f t="shared" si="439"/>
        <v>n/a</v>
      </c>
      <c r="AM606" s="723" t="str">
        <f t="shared" si="439"/>
        <v>n/a</v>
      </c>
      <c r="AN606" s="723" t="str">
        <f t="shared" si="439"/>
        <v>n/a</v>
      </c>
      <c r="AO606" s="406" t="str">
        <f t="shared" si="439"/>
        <v>n/a</v>
      </c>
      <c r="AP606" s="723" t="str">
        <f t="shared" si="439"/>
        <v>n/a</v>
      </c>
      <c r="AQ606" s="723" t="str">
        <f t="shared" si="439"/>
        <v>n/a</v>
      </c>
      <c r="AR606" s="723" t="str">
        <f t="shared" si="439"/>
        <v>n/a</v>
      </c>
      <c r="AS606" s="723" t="str">
        <f t="shared" si="439"/>
        <v>n/a</v>
      </c>
      <c r="AT606" s="406" t="str">
        <f t="shared" si="439"/>
        <v>n/a</v>
      </c>
      <c r="AU606" s="723" t="str">
        <f t="shared" si="439"/>
        <v>n/a</v>
      </c>
      <c r="AV606" s="723" t="str">
        <f t="shared" si="439"/>
        <v>n/a</v>
      </c>
      <c r="AW606" s="723" t="str">
        <f t="shared" si="439"/>
        <v>n/a</v>
      </c>
      <c r="AX606" s="723" t="str">
        <f t="shared" si="439"/>
        <v>n/a</v>
      </c>
      <c r="AY606" s="406" t="str">
        <f t="shared" si="439"/>
        <v>n/a</v>
      </c>
      <c r="AZ606" s="723" t="str">
        <f t="shared" si="439"/>
        <v>n/a</v>
      </c>
      <c r="BA606" s="723" t="str">
        <f t="shared" si="439"/>
        <v>n/a</v>
      </c>
      <c r="BB606" s="723" t="str">
        <f t="shared" si="439"/>
        <v>n/a</v>
      </c>
      <c r="BC606" s="723" t="str">
        <f t="shared" si="439"/>
        <v>n/a</v>
      </c>
      <c r="BD606" s="406" t="str">
        <f t="shared" si="439"/>
        <v>n/a</v>
      </c>
      <c r="BE606" s="723" t="str">
        <f t="shared" si="439"/>
        <v>n/a</v>
      </c>
      <c r="BF606" s="723" t="str">
        <f t="shared" si="439"/>
        <v>n/a</v>
      </c>
      <c r="BG606" s="723" t="str">
        <f t="shared" si="439"/>
        <v>n/a</v>
      </c>
      <c r="BH606" s="723" t="str">
        <f t="shared" si="439"/>
        <v>n/a</v>
      </c>
      <c r="BI606" s="406" t="str">
        <f t="shared" si="439"/>
        <v>n/a</v>
      </c>
      <c r="BJ606" s="1049" t="str">
        <f t="shared" si="439"/>
        <v>n/a</v>
      </c>
      <c r="BK606" s="723"/>
      <c r="BL606" s="723"/>
      <c r="BM606" s="723"/>
      <c r="BN606" s="406"/>
      <c r="BO606" s="723"/>
      <c r="BP606" s="723"/>
      <c r="BQ606" s="723"/>
      <c r="BR606" s="723"/>
      <c r="BS606" s="406"/>
      <c r="BT606" s="406"/>
      <c r="BU606" s="406"/>
      <c r="BV606" s="406"/>
      <c r="BW606" s="118"/>
    </row>
    <row r="607" spans="1:75" hidden="1" outlineLevel="2" x14ac:dyDescent="0.5">
      <c r="A607" s="206" t="s">
        <v>2560</v>
      </c>
      <c r="B607" s="522"/>
      <c r="C607" s="397"/>
      <c r="D607" s="397"/>
      <c r="E607" s="397"/>
      <c r="F607" s="397"/>
      <c r="G607" s="295"/>
      <c r="H607" s="295"/>
      <c r="I607" s="295"/>
      <c r="J607" s="295"/>
      <c r="K607" s="397"/>
      <c r="L607" s="295"/>
      <c r="M607" s="295"/>
      <c r="N607" s="295"/>
      <c r="O607" s="295"/>
      <c r="P607" s="397"/>
      <c r="Q607" s="295"/>
      <c r="R607" s="295"/>
      <c r="S607" s="295"/>
      <c r="T607" s="295"/>
      <c r="U607" s="397"/>
      <c r="V607" s="295"/>
      <c r="W607" s="295"/>
      <c r="X607" s="295"/>
      <c r="Y607" s="295"/>
      <c r="Z607" s="397"/>
      <c r="AA607" s="295"/>
      <c r="AB607" s="295"/>
      <c r="AC607" s="295"/>
      <c r="AD607" s="295" t="str">
        <f t="shared" ref="AD607:BG607" si="440">IFERROR(AVERAGE(AD605,AD606),"")</f>
        <v/>
      </c>
      <c r="AE607" s="397" t="str">
        <f t="shared" si="440"/>
        <v/>
      </c>
      <c r="AF607" s="295" t="str">
        <f t="shared" si="440"/>
        <v/>
      </c>
      <c r="AG607" s="295" t="str">
        <f t="shared" si="440"/>
        <v/>
      </c>
      <c r="AH607" s="295" t="str">
        <f t="shared" si="440"/>
        <v/>
      </c>
      <c r="AI607" s="295" t="str">
        <f t="shared" si="440"/>
        <v/>
      </c>
      <c r="AJ607" s="397" t="str">
        <f t="shared" si="440"/>
        <v/>
      </c>
      <c r="AK607" s="295" t="str">
        <f t="shared" si="440"/>
        <v/>
      </c>
      <c r="AL607" s="295" t="str">
        <f t="shared" si="440"/>
        <v/>
      </c>
      <c r="AM607" s="295" t="str">
        <f t="shared" si="440"/>
        <v/>
      </c>
      <c r="AN607" s="295" t="str">
        <f t="shared" si="440"/>
        <v/>
      </c>
      <c r="AO607" s="397" t="str">
        <f t="shared" si="440"/>
        <v/>
      </c>
      <c r="AP607" s="295" t="str">
        <f t="shared" si="440"/>
        <v/>
      </c>
      <c r="AQ607" s="295" t="str">
        <f t="shared" si="440"/>
        <v/>
      </c>
      <c r="AR607" s="295" t="str">
        <f t="shared" si="440"/>
        <v/>
      </c>
      <c r="AS607" s="295" t="str">
        <f t="shared" si="440"/>
        <v/>
      </c>
      <c r="AT607" s="397" t="str">
        <f t="shared" si="440"/>
        <v/>
      </c>
      <c r="AU607" s="295" t="str">
        <f t="shared" si="440"/>
        <v/>
      </c>
      <c r="AV607" s="295" t="str">
        <f t="shared" si="440"/>
        <v/>
      </c>
      <c r="AW607" s="295" t="str">
        <f t="shared" si="440"/>
        <v/>
      </c>
      <c r="AX607" s="295" t="str">
        <f t="shared" si="440"/>
        <v/>
      </c>
      <c r="AY607" s="397" t="str">
        <f t="shared" si="440"/>
        <v/>
      </c>
      <c r="AZ607" s="295" t="str">
        <f t="shared" si="440"/>
        <v/>
      </c>
      <c r="BA607" s="295" t="str">
        <f t="shared" si="440"/>
        <v/>
      </c>
      <c r="BB607" s="295" t="str">
        <f t="shared" si="440"/>
        <v/>
      </c>
      <c r="BC607" s="295" t="str">
        <f t="shared" si="440"/>
        <v/>
      </c>
      <c r="BD607" s="397" t="str">
        <f t="shared" si="440"/>
        <v/>
      </c>
      <c r="BE607" s="295" t="str">
        <f t="shared" si="440"/>
        <v/>
      </c>
      <c r="BF607" s="295" t="str">
        <f t="shared" si="440"/>
        <v/>
      </c>
      <c r="BG607" s="295" t="str">
        <f t="shared" si="440"/>
        <v/>
      </c>
      <c r="BH607" s="295" t="str">
        <f>IFERROR(AVERAGE(BH605,BH606),"")</f>
        <v/>
      </c>
      <c r="BI607" s="397" t="str">
        <f>IFERROR(AVERAGE(BI605,BI606),"")</f>
        <v/>
      </c>
      <c r="BJ607" s="1030" t="str">
        <f>IFERROR(AVERAGE(BJ605,BJ606),"")</f>
        <v/>
      </c>
      <c r="BK607" s="295"/>
      <c r="BL607" s="295"/>
      <c r="BM607" s="295"/>
      <c r="BN607" s="397"/>
      <c r="BO607" s="295"/>
      <c r="BP607" s="295"/>
      <c r="BQ607" s="295"/>
      <c r="BR607" s="295"/>
      <c r="BS607" s="397"/>
      <c r="BT607" s="397"/>
      <c r="BU607" s="397"/>
      <c r="BV607" s="397"/>
      <c r="BW607" s="118"/>
    </row>
    <row r="608" spans="1:75" hidden="1" outlineLevel="2" x14ac:dyDescent="0.5">
      <c r="A608" s="184" t="s">
        <v>2561</v>
      </c>
      <c r="B608" s="513"/>
      <c r="C608" s="401"/>
      <c r="D608" s="401"/>
      <c r="E608" s="401"/>
      <c r="F608" s="401"/>
      <c r="G608" s="118"/>
      <c r="H608" s="118"/>
      <c r="I608" s="118"/>
      <c r="J608" s="118"/>
      <c r="K608" s="401"/>
      <c r="L608" s="118"/>
      <c r="M608" s="118"/>
      <c r="N608" s="118"/>
      <c r="O608" s="118"/>
      <c r="P608" s="401"/>
      <c r="Q608" s="118"/>
      <c r="R608" s="118"/>
      <c r="S608" s="118"/>
      <c r="T608" s="118"/>
      <c r="U608" s="401"/>
      <c r="V608" s="118"/>
      <c r="W608" s="118"/>
      <c r="X608" s="118"/>
      <c r="Y608" s="118"/>
      <c r="Z608" s="401"/>
      <c r="AA608" s="118"/>
      <c r="AB608" s="118"/>
      <c r="AC608" s="118"/>
      <c r="AD608" s="118" t="str">
        <f t="shared" ref="AD608:BG608" si="441">IFERROR(ABS(AD606-AD605),"")</f>
        <v/>
      </c>
      <c r="AE608" s="401" t="str">
        <f t="shared" si="441"/>
        <v/>
      </c>
      <c r="AF608" s="118" t="str">
        <f t="shared" si="441"/>
        <v/>
      </c>
      <c r="AG608" s="118" t="str">
        <f t="shared" si="441"/>
        <v/>
      </c>
      <c r="AH608" s="118" t="str">
        <f t="shared" si="441"/>
        <v/>
      </c>
      <c r="AI608" s="118" t="str">
        <f t="shared" si="441"/>
        <v/>
      </c>
      <c r="AJ608" s="401" t="str">
        <f t="shared" si="441"/>
        <v/>
      </c>
      <c r="AK608" s="118" t="str">
        <f t="shared" si="441"/>
        <v/>
      </c>
      <c r="AL608" s="118" t="str">
        <f t="shared" si="441"/>
        <v/>
      </c>
      <c r="AM608" s="118" t="str">
        <f t="shared" si="441"/>
        <v/>
      </c>
      <c r="AN608" s="118" t="str">
        <f t="shared" si="441"/>
        <v/>
      </c>
      <c r="AO608" s="401" t="str">
        <f t="shared" si="441"/>
        <v/>
      </c>
      <c r="AP608" s="118" t="str">
        <f t="shared" si="441"/>
        <v/>
      </c>
      <c r="AQ608" s="118" t="str">
        <f t="shared" si="441"/>
        <v/>
      </c>
      <c r="AR608" s="118" t="str">
        <f t="shared" si="441"/>
        <v/>
      </c>
      <c r="AS608" s="118" t="str">
        <f t="shared" si="441"/>
        <v/>
      </c>
      <c r="AT608" s="401" t="str">
        <f t="shared" si="441"/>
        <v/>
      </c>
      <c r="AU608" s="118" t="str">
        <f t="shared" si="441"/>
        <v/>
      </c>
      <c r="AV608" s="118" t="str">
        <f t="shared" si="441"/>
        <v/>
      </c>
      <c r="AW608" s="118" t="str">
        <f t="shared" si="441"/>
        <v/>
      </c>
      <c r="AX608" s="118" t="str">
        <f t="shared" si="441"/>
        <v/>
      </c>
      <c r="AY608" s="401" t="str">
        <f t="shared" si="441"/>
        <v/>
      </c>
      <c r="AZ608" s="118" t="str">
        <f t="shared" si="441"/>
        <v/>
      </c>
      <c r="BA608" s="118" t="str">
        <f t="shared" si="441"/>
        <v/>
      </c>
      <c r="BB608" s="118" t="str">
        <f t="shared" si="441"/>
        <v/>
      </c>
      <c r="BC608" s="118" t="str">
        <f t="shared" si="441"/>
        <v/>
      </c>
      <c r="BD608" s="401" t="str">
        <f t="shared" si="441"/>
        <v/>
      </c>
      <c r="BE608" s="118" t="str">
        <f t="shared" si="441"/>
        <v/>
      </c>
      <c r="BF608" s="118" t="str">
        <f t="shared" si="441"/>
        <v/>
      </c>
      <c r="BG608" s="118" t="str">
        <f t="shared" si="441"/>
        <v/>
      </c>
      <c r="BH608" s="118" t="str">
        <f>IFERROR(ABS(BH606-BH605),"")</f>
        <v/>
      </c>
      <c r="BI608" s="401" t="str">
        <f>IFERROR(ABS(BI606-BI605),"")</f>
        <v/>
      </c>
      <c r="BJ608" s="971" t="str">
        <f>IFERROR(ABS(BJ606-BJ605),"")</f>
        <v/>
      </c>
      <c r="BK608" s="118"/>
      <c r="BL608" s="118"/>
      <c r="BM608" s="118"/>
      <c r="BN608" s="401"/>
      <c r="BO608" s="118"/>
      <c r="BP608" s="118"/>
      <c r="BQ608" s="118"/>
      <c r="BR608" s="118"/>
      <c r="BS608" s="401"/>
      <c r="BT608" s="401"/>
      <c r="BU608" s="401"/>
      <c r="BV608" s="401"/>
      <c r="BW608" s="118"/>
    </row>
    <row r="609" spans="1:75" hidden="1" outlineLevel="2" x14ac:dyDescent="0.5">
      <c r="A609" s="526" t="s">
        <v>2562</v>
      </c>
      <c r="B609" s="513"/>
      <c r="C609" s="423"/>
      <c r="D609" s="423"/>
      <c r="E609" s="423"/>
      <c r="F609" s="423"/>
      <c r="G609" s="422"/>
      <c r="H609" s="422"/>
      <c r="I609" s="422"/>
      <c r="J609" s="422"/>
      <c r="K609" s="423"/>
      <c r="L609" s="422"/>
      <c r="M609" s="422"/>
      <c r="N609" s="422"/>
      <c r="O609" s="422"/>
      <c r="P609" s="423"/>
      <c r="Q609" s="422"/>
      <c r="R609" s="422"/>
      <c r="S609" s="422"/>
      <c r="T609" s="422"/>
      <c r="U609" s="423"/>
      <c r="V609" s="422"/>
      <c r="W609" s="422"/>
      <c r="X609" s="422"/>
      <c r="Y609" s="422"/>
      <c r="Z609" s="423"/>
      <c r="AA609" s="422"/>
      <c r="AB609" s="422"/>
      <c r="AC609" s="422"/>
      <c r="AD609" s="422" t="str">
        <f t="shared" ref="AD609:BG609" si="442">IFERROR(ABS((AD606-AD607)/AD607),"")</f>
        <v/>
      </c>
      <c r="AE609" s="423" t="str">
        <f t="shared" si="442"/>
        <v/>
      </c>
      <c r="AF609" s="422" t="str">
        <f t="shared" si="442"/>
        <v/>
      </c>
      <c r="AG609" s="422" t="str">
        <f t="shared" si="442"/>
        <v/>
      </c>
      <c r="AH609" s="422" t="str">
        <f t="shared" si="442"/>
        <v/>
      </c>
      <c r="AI609" s="422" t="str">
        <f t="shared" si="442"/>
        <v/>
      </c>
      <c r="AJ609" s="423" t="str">
        <f t="shared" si="442"/>
        <v/>
      </c>
      <c r="AK609" s="422" t="str">
        <f t="shared" si="442"/>
        <v/>
      </c>
      <c r="AL609" s="422" t="str">
        <f t="shared" si="442"/>
        <v/>
      </c>
      <c r="AM609" s="422" t="str">
        <f t="shared" si="442"/>
        <v/>
      </c>
      <c r="AN609" s="422" t="str">
        <f t="shared" si="442"/>
        <v/>
      </c>
      <c r="AO609" s="423" t="str">
        <f t="shared" si="442"/>
        <v/>
      </c>
      <c r="AP609" s="422" t="str">
        <f t="shared" si="442"/>
        <v/>
      </c>
      <c r="AQ609" s="422" t="str">
        <f t="shared" si="442"/>
        <v/>
      </c>
      <c r="AR609" s="422" t="str">
        <f t="shared" si="442"/>
        <v/>
      </c>
      <c r="AS609" s="422" t="str">
        <f t="shared" si="442"/>
        <v/>
      </c>
      <c r="AT609" s="423" t="str">
        <f t="shared" si="442"/>
        <v/>
      </c>
      <c r="AU609" s="422" t="str">
        <f t="shared" si="442"/>
        <v/>
      </c>
      <c r="AV609" s="422" t="str">
        <f t="shared" si="442"/>
        <v/>
      </c>
      <c r="AW609" s="422" t="str">
        <f t="shared" si="442"/>
        <v/>
      </c>
      <c r="AX609" s="422" t="str">
        <f t="shared" si="442"/>
        <v/>
      </c>
      <c r="AY609" s="423" t="str">
        <f t="shared" si="442"/>
        <v/>
      </c>
      <c r="AZ609" s="422" t="str">
        <f t="shared" si="442"/>
        <v/>
      </c>
      <c r="BA609" s="422" t="str">
        <f t="shared" si="442"/>
        <v/>
      </c>
      <c r="BB609" s="422" t="str">
        <f t="shared" si="442"/>
        <v/>
      </c>
      <c r="BC609" s="422" t="str">
        <f t="shared" si="442"/>
        <v/>
      </c>
      <c r="BD609" s="423" t="str">
        <f t="shared" si="442"/>
        <v/>
      </c>
      <c r="BE609" s="422" t="str">
        <f t="shared" si="442"/>
        <v/>
      </c>
      <c r="BF609" s="422" t="str">
        <f t="shared" si="442"/>
        <v/>
      </c>
      <c r="BG609" s="422" t="str">
        <f t="shared" si="442"/>
        <v/>
      </c>
      <c r="BH609" s="422" t="str">
        <f>IFERROR(ABS((BH606-BH607)/BH607),"")</f>
        <v/>
      </c>
      <c r="BI609" s="423" t="str">
        <f>IFERROR(ABS((BI606-BI607)/BI607),"")</f>
        <v/>
      </c>
      <c r="BJ609" s="1034" t="str">
        <f>IFERROR(ABS((BJ606-BJ607)/BJ607),"")</f>
        <v/>
      </c>
      <c r="BK609" s="422"/>
      <c r="BL609" s="422"/>
      <c r="BM609" s="422"/>
      <c r="BN609" s="423"/>
      <c r="BO609" s="422"/>
      <c r="BP609" s="422"/>
      <c r="BQ609" s="422"/>
      <c r="BR609" s="422"/>
      <c r="BS609" s="423"/>
      <c r="BT609" s="423"/>
      <c r="BU609" s="423"/>
      <c r="BV609" s="423"/>
      <c r="BW609" s="118"/>
    </row>
    <row r="610" spans="1:75" hidden="1" outlineLevel="3" x14ac:dyDescent="0.5">
      <c r="A610" s="189" t="s">
        <v>2563</v>
      </c>
      <c r="B610" s="720"/>
      <c r="C610" s="417"/>
      <c r="D610" s="417"/>
      <c r="E610" s="417"/>
      <c r="F610" s="417"/>
      <c r="G610" s="378"/>
      <c r="H610" s="378"/>
      <c r="I610" s="378"/>
      <c r="J610" s="378"/>
      <c r="K610" s="417"/>
      <c r="L610" s="378"/>
      <c r="M610" s="378"/>
      <c r="N610" s="378"/>
      <c r="O610" s="378"/>
      <c r="P610" s="417"/>
      <c r="Q610" s="378"/>
      <c r="R610" s="378"/>
      <c r="S610" s="378"/>
      <c r="T610" s="378"/>
      <c r="U610" s="417"/>
      <c r="V610" s="378"/>
      <c r="W610" s="378"/>
      <c r="X610" s="378"/>
      <c r="Y610" s="378"/>
      <c r="Z610" s="417"/>
      <c r="AA610" s="378"/>
      <c r="AB610" s="378"/>
      <c r="AC610" s="378"/>
      <c r="AD610" s="378" t="str">
        <f>IFERROR(AD605/AE556-1,"")</f>
        <v/>
      </c>
      <c r="AE610" s="417" t="str">
        <f>IFERROR(AE605/AE556-1,"")</f>
        <v/>
      </c>
      <c r="AF610" s="378" t="str">
        <f>IFERROR(AF605/AE556-1,"")</f>
        <v/>
      </c>
      <c r="AG610" s="378" t="str">
        <f>IFERROR(AG605/AE556-1,"")</f>
        <v/>
      </c>
      <c r="AH610" s="378" t="str">
        <f>IFERROR(AH605/AE556-1,"")</f>
        <v/>
      </c>
      <c r="AI610" s="378" t="str">
        <f>IFERROR(AI605/AJ556-1,"")</f>
        <v/>
      </c>
      <c r="AJ610" s="417" t="str">
        <f>IFERROR(AJ605/AJ556-1,"")</f>
        <v/>
      </c>
      <c r="AK610" s="378" t="str">
        <f>IFERROR(AK605/AJ556-1,"")</f>
        <v/>
      </c>
      <c r="AL610" s="378" t="str">
        <f>IFERROR(AL605/AJ556-1,"")</f>
        <v/>
      </c>
      <c r="AM610" s="378" t="str">
        <f>IFERROR(AM605/AJ556-1,"")</f>
        <v/>
      </c>
      <c r="AN610" s="378" t="str">
        <f>IFERROR(AN605/AO556-1,"")</f>
        <v/>
      </c>
      <c r="AO610" s="417" t="str">
        <f>IFERROR(AO605/AO556-1,"")</f>
        <v/>
      </c>
      <c r="AP610" s="378" t="str">
        <f>IFERROR(AP605/AO556-1,"")</f>
        <v/>
      </c>
      <c r="AQ610" s="378" t="str">
        <f>IFERROR(AQ605/AO556-1,"")</f>
        <v/>
      </c>
      <c r="AR610" s="378" t="str">
        <f>IFERROR(AR605/AO556-1,"")</f>
        <v/>
      </c>
      <c r="AS610" s="378" t="str">
        <f>IFERROR(AS605/AT556-1,"")</f>
        <v/>
      </c>
      <c r="AT610" s="417" t="str">
        <f>IFERROR(AT605/AT556-1,"")</f>
        <v/>
      </c>
      <c r="AU610" s="378" t="str">
        <f>IFERROR(AU605/AT556-1,"")</f>
        <v/>
      </c>
      <c r="AV610" s="378" t="str">
        <f>IFERROR(AV605/AT556-1,"")</f>
        <v/>
      </c>
      <c r="AW610" s="378" t="str">
        <f>IFERROR(AW605/AT556-1,"")</f>
        <v/>
      </c>
      <c r="AX610" s="378" t="str">
        <f>IFERROR(AX605/AY556-1,"")</f>
        <v/>
      </c>
      <c r="AY610" s="417" t="str">
        <f>IFERROR(AY605/AY556-1,"")</f>
        <v/>
      </c>
      <c r="AZ610" s="378" t="str">
        <f>IFERROR(AZ605/AY556-1,"")</f>
        <v/>
      </c>
      <c r="BA610" s="378" t="str">
        <f>IFERROR(BA605/AY556-1,"")</f>
        <v/>
      </c>
      <c r="BB610" s="378" t="str">
        <f>IFERROR(BB605/AY556-1,"")</f>
        <v/>
      </c>
      <c r="BC610" s="378" t="str">
        <f>IFERROR(BC605/BD556-1,"")</f>
        <v/>
      </c>
      <c r="BD610" s="417" t="str">
        <f>IFERROR(BD605/BD556-1,"")</f>
        <v/>
      </c>
      <c r="BE610" s="378" t="str">
        <f>IFERROR(BE605/BD556-1,"")</f>
        <v/>
      </c>
      <c r="BF610" s="378" t="str">
        <f>IFERROR(BF605/BD556-1,"")</f>
        <v/>
      </c>
      <c r="BG610" s="378" t="str">
        <f>IFERROR(BG605/BD556-1,"")</f>
        <v/>
      </c>
      <c r="BH610" s="378" t="str">
        <f>IFERROR(BH605/BI556-1,"")</f>
        <v/>
      </c>
      <c r="BI610" s="417" t="str">
        <f>IFERROR(BI605/BI556-1,"")</f>
        <v/>
      </c>
      <c r="BJ610" s="1130" t="str">
        <f>IFERROR(BJ605/BI556-1,"")</f>
        <v/>
      </c>
      <c r="BK610" s="378"/>
      <c r="BL610" s="378"/>
      <c r="BM610" s="378"/>
      <c r="BN610" s="417"/>
      <c r="BO610" s="378"/>
      <c r="BP610" s="378"/>
      <c r="BQ610" s="378"/>
      <c r="BR610" s="378"/>
      <c r="BS610" s="417"/>
      <c r="BT610" s="417"/>
      <c r="BU610" s="417"/>
      <c r="BV610" s="417"/>
      <c r="BW610" s="118"/>
    </row>
    <row r="611" spans="1:75" hidden="1" outlineLevel="3" x14ac:dyDescent="0.5">
      <c r="A611" s="1188" t="s">
        <v>2564</v>
      </c>
      <c r="B611" s="769"/>
      <c r="C611" s="770"/>
      <c r="D611" s="770"/>
      <c r="E611" s="770"/>
      <c r="F611" s="770"/>
      <c r="G611" s="771"/>
      <c r="H611" s="771"/>
      <c r="I611" s="771"/>
      <c r="J611" s="771"/>
      <c r="K611" s="770"/>
      <c r="L611" s="771"/>
      <c r="M611" s="771"/>
      <c r="N611" s="771"/>
      <c r="O611" s="771"/>
      <c r="P611" s="770"/>
      <c r="Q611" s="771"/>
      <c r="R611" s="771"/>
      <c r="S611" s="771"/>
      <c r="T611" s="771"/>
      <c r="U611" s="770"/>
      <c r="V611" s="771"/>
      <c r="W611" s="771"/>
      <c r="X611" s="771"/>
      <c r="Y611" s="771"/>
      <c r="Z611" s="770"/>
      <c r="AA611" s="771"/>
      <c r="AB611" s="771"/>
      <c r="AC611" s="771"/>
      <c r="AD611" s="771" t="str">
        <f>IFERROR(AD606/AE556-1,"")</f>
        <v/>
      </c>
      <c r="AE611" s="770" t="str">
        <f>IFERROR(AE606/AE556-1,"")</f>
        <v/>
      </c>
      <c r="AF611" s="771" t="str">
        <f>IFERROR(AF606/AE556-1,"")</f>
        <v/>
      </c>
      <c r="AG611" s="771" t="str">
        <f>IFERROR(AG606/AE556-1,"")</f>
        <v/>
      </c>
      <c r="AH611" s="771" t="str">
        <f>IFERROR(AH606/AE556-1,"")</f>
        <v/>
      </c>
      <c r="AI611" s="771" t="str">
        <f>IFERROR(AI606/AJ556-1,"")</f>
        <v/>
      </c>
      <c r="AJ611" s="770" t="str">
        <f>IFERROR(AJ606/AJ556-1,"")</f>
        <v/>
      </c>
      <c r="AK611" s="771" t="str">
        <f>IFERROR(AK606/AJ556-1,"")</f>
        <v/>
      </c>
      <c r="AL611" s="771" t="str">
        <f>IFERROR(AL606/AJ556-1,"")</f>
        <v/>
      </c>
      <c r="AM611" s="771" t="str">
        <f>IFERROR(AM606/AJ556-1,"")</f>
        <v/>
      </c>
      <c r="AN611" s="771" t="str">
        <f>IFERROR(AN606/AO556-1,"")</f>
        <v/>
      </c>
      <c r="AO611" s="770" t="str">
        <f>IFERROR(AO606/AO556-1,"")</f>
        <v/>
      </c>
      <c r="AP611" s="771" t="str">
        <f>IFERROR(AP606/AO556-1,"")</f>
        <v/>
      </c>
      <c r="AQ611" s="771" t="str">
        <f>IFERROR(AQ606/AO556-1,"")</f>
        <v/>
      </c>
      <c r="AR611" s="771" t="str">
        <f>IFERROR(AR606/AO556-1,"")</f>
        <v/>
      </c>
      <c r="AS611" s="771" t="str">
        <f>IFERROR(AS606/AT556-1,"")</f>
        <v/>
      </c>
      <c r="AT611" s="770" t="str">
        <f>IFERROR(AT606/AT556-1,"")</f>
        <v/>
      </c>
      <c r="AU611" s="771" t="str">
        <f>IFERROR(AU606/AT556-1,"")</f>
        <v/>
      </c>
      <c r="AV611" s="771" t="str">
        <f>IFERROR(AV606/AT556-1,"")</f>
        <v/>
      </c>
      <c r="AW611" s="771" t="str">
        <f>IFERROR(AW606/AT556-1,"")</f>
        <v/>
      </c>
      <c r="AX611" s="771" t="str">
        <f>IFERROR(AX606/AY556-1,"")</f>
        <v/>
      </c>
      <c r="AY611" s="770" t="str">
        <f>IFERROR(AY606/AY556-1,"")</f>
        <v/>
      </c>
      <c r="AZ611" s="771" t="str">
        <f>IFERROR(AZ606/AY556-1,"")</f>
        <v/>
      </c>
      <c r="BA611" s="771" t="str">
        <f>IFERROR(BA606/AY556-1,"")</f>
        <v/>
      </c>
      <c r="BB611" s="771" t="str">
        <f>IFERROR(BB606/AY556-1,"")</f>
        <v/>
      </c>
      <c r="BC611" s="771" t="str">
        <f>IFERROR(BC606/BD556-1,"")</f>
        <v/>
      </c>
      <c r="BD611" s="770" t="str">
        <f>IFERROR(BD606/BD556-1,"")</f>
        <v/>
      </c>
      <c r="BE611" s="771" t="str">
        <f>IFERROR(BE606/BD556-1,"")</f>
        <v/>
      </c>
      <c r="BF611" s="771" t="str">
        <f>IFERROR(BF606/BD556-1,"")</f>
        <v/>
      </c>
      <c r="BG611" s="771" t="str">
        <f>IFERROR(BG606/BD556-1,"")</f>
        <v/>
      </c>
      <c r="BH611" s="771" t="str">
        <f>IFERROR(BH606/BI556-1,"")</f>
        <v/>
      </c>
      <c r="BI611" s="770" t="str">
        <f>IFERROR(BI606/BI556-1,"")</f>
        <v/>
      </c>
      <c r="BJ611" s="1314" t="str">
        <f>IFERROR(BJ606/BI556-1,"")</f>
        <v/>
      </c>
      <c r="BK611" s="771"/>
      <c r="BL611" s="771"/>
      <c r="BM611" s="771"/>
      <c r="BN611" s="770"/>
      <c r="BO611" s="771"/>
      <c r="BP611" s="771"/>
      <c r="BQ611" s="771"/>
      <c r="BR611" s="771"/>
      <c r="BS611" s="770"/>
      <c r="BT611" s="770"/>
      <c r="BU611" s="770"/>
      <c r="BV611" s="770"/>
      <c r="BW611" s="118"/>
    </row>
    <row r="612" spans="1:75" hidden="1" outlineLevel="2" x14ac:dyDescent="0.5">
      <c r="A612" s="170" t="s">
        <v>2565</v>
      </c>
      <c r="B612" s="720"/>
      <c r="C612" s="417"/>
      <c r="D612" s="417"/>
      <c r="E612" s="417"/>
      <c r="F612" s="417"/>
      <c r="G612" s="378"/>
      <c r="H612" s="378"/>
      <c r="I612" s="378"/>
      <c r="J612" s="378"/>
      <c r="K612" s="417"/>
      <c r="L612" s="378"/>
      <c r="M612" s="378"/>
      <c r="N612" s="378"/>
      <c r="O612" s="378"/>
      <c r="P612" s="417"/>
      <c r="Q612" s="378"/>
      <c r="R612" s="378"/>
      <c r="S612" s="378"/>
      <c r="T612" s="378"/>
      <c r="U612" s="417"/>
      <c r="V612" s="378"/>
      <c r="W612" s="378"/>
      <c r="X612" s="378"/>
      <c r="Y612" s="378"/>
      <c r="Z612" s="417"/>
      <c r="AA612" s="378"/>
      <c r="AB612" s="378"/>
      <c r="AC612" s="378"/>
      <c r="AD612" s="378" t="str">
        <f>IFERROR(AD607/AE556-1,"")</f>
        <v/>
      </c>
      <c r="AE612" s="417" t="str">
        <f>IFERROR(AE607/AE556-1,"")</f>
        <v/>
      </c>
      <c r="AF612" s="378" t="str">
        <f>IFERROR(AF607/AE556-1,"")</f>
        <v/>
      </c>
      <c r="AG612" s="378" t="str">
        <f>IFERROR(AG607/AE556-1,"")</f>
        <v/>
      </c>
      <c r="AH612" s="378" t="str">
        <f>IFERROR(AH607/AE556-1,"")</f>
        <v/>
      </c>
      <c r="AI612" s="378" t="str">
        <f>IFERROR(AI607/AJ556-1,"")</f>
        <v/>
      </c>
      <c r="AJ612" s="417" t="str">
        <f>IFERROR(AJ607/AJ556-1,"")</f>
        <v/>
      </c>
      <c r="AK612" s="378" t="str">
        <f>IFERROR(AK607/AJ556-1,"")</f>
        <v/>
      </c>
      <c r="AL612" s="378" t="str">
        <f>IFERROR(AL607/AJ556-1,"")</f>
        <v/>
      </c>
      <c r="AM612" s="378" t="str">
        <f>IFERROR(AM607/AJ556-1,"")</f>
        <v/>
      </c>
      <c r="AN612" s="378" t="str">
        <f>IFERROR(AN607/AO556-1,"")</f>
        <v/>
      </c>
      <c r="AO612" s="417" t="str">
        <f>IFERROR(AO607/AO556-1,"")</f>
        <v/>
      </c>
      <c r="AP612" s="378" t="str">
        <f>IFERROR(AP607/AO556-1,"")</f>
        <v/>
      </c>
      <c r="AQ612" s="378" t="str">
        <f>IFERROR(AQ607/AO556-1,"")</f>
        <v/>
      </c>
      <c r="AR612" s="378" t="str">
        <f>IFERROR(AR607/AO556-1,"")</f>
        <v/>
      </c>
      <c r="AS612" s="378" t="str">
        <f>IFERROR(AS607/AT556-1,"")</f>
        <v/>
      </c>
      <c r="AT612" s="417" t="str">
        <f>IFERROR(AT607/AT556-1,"")</f>
        <v/>
      </c>
      <c r="AU612" s="378" t="str">
        <f>IFERROR(AU607/AT556-1,"")</f>
        <v/>
      </c>
      <c r="AV612" s="378" t="str">
        <f>IFERROR(AV607/AT556-1,"")</f>
        <v/>
      </c>
      <c r="AW612" s="378" t="str">
        <f>IFERROR(AW607/AT556-1,"")</f>
        <v/>
      </c>
      <c r="AX612" s="378" t="str">
        <f>IFERROR(AX607/AY556-1,"")</f>
        <v/>
      </c>
      <c r="AY612" s="417" t="str">
        <f>IFERROR(AY607/AY556-1,"")</f>
        <v/>
      </c>
      <c r="AZ612" s="378" t="str">
        <f>IFERROR(AZ607/AY556-1,"")</f>
        <v/>
      </c>
      <c r="BA612" s="378" t="str">
        <f>IFERROR(BA607/AY556-1,"")</f>
        <v/>
      </c>
      <c r="BB612" s="378" t="str">
        <f>IFERROR(BB607/AY556-1,"")</f>
        <v/>
      </c>
      <c r="BC612" s="378" t="str">
        <f>IFERROR(BC607/BD556-1,"")</f>
        <v/>
      </c>
      <c r="BD612" s="417" t="str">
        <f>IFERROR(BD607/BD556-1,"")</f>
        <v/>
      </c>
      <c r="BE612" s="378" t="str">
        <f>IFERROR(BE607/BD556-1,"")</f>
        <v/>
      </c>
      <c r="BF612" s="378" t="str">
        <f>IFERROR(BF607/BD556-1,"")</f>
        <v/>
      </c>
      <c r="BG612" s="378" t="str">
        <f>IFERROR(BG607/BD556-1,"")</f>
        <v/>
      </c>
      <c r="BH612" s="378" t="str">
        <f>IFERROR(BH607/BI556-1,"")</f>
        <v/>
      </c>
      <c r="BI612" s="417" t="str">
        <f>IFERROR(BI607/BI556-1,"")</f>
        <v/>
      </c>
      <c r="BJ612" s="1130" t="str">
        <f>IFERROR(BJ607/BI556-1,"")</f>
        <v/>
      </c>
      <c r="BK612" s="378"/>
      <c r="BL612" s="378"/>
      <c r="BM612" s="378"/>
      <c r="BN612" s="417"/>
      <c r="BO612" s="378"/>
      <c r="BP612" s="378"/>
      <c r="BQ612" s="378"/>
      <c r="BR612" s="378"/>
      <c r="BS612" s="417"/>
      <c r="BT612" s="417"/>
      <c r="BU612" s="417"/>
      <c r="BV612" s="417"/>
      <c r="BW612" s="118"/>
    </row>
    <row r="613" spans="1:75" hidden="1" outlineLevel="2" x14ac:dyDescent="0.5">
      <c r="A613" s="1524"/>
      <c r="B613" s="513"/>
      <c r="C613" s="401"/>
      <c r="D613" s="401"/>
      <c r="E613" s="401"/>
      <c r="F613" s="401"/>
      <c r="G613" s="118"/>
      <c r="H613" s="118"/>
      <c r="I613" s="118"/>
      <c r="J613" s="118"/>
      <c r="K613" s="401"/>
      <c r="L613" s="118"/>
      <c r="M613" s="118"/>
      <c r="N613" s="118"/>
      <c r="O613" s="118"/>
      <c r="P613" s="401"/>
      <c r="Q613" s="118"/>
      <c r="R613" s="118"/>
      <c r="S613" s="118"/>
      <c r="T613" s="118"/>
      <c r="U613" s="401"/>
      <c r="V613" s="118"/>
      <c r="W613" s="118"/>
      <c r="X613" s="118"/>
      <c r="Y613" s="118"/>
      <c r="Z613" s="401"/>
      <c r="AA613" s="118"/>
      <c r="AB613" s="118"/>
      <c r="AC613" s="118"/>
      <c r="AD613" s="118"/>
      <c r="AE613" s="401"/>
      <c r="AF613" s="118"/>
      <c r="AG613" s="118"/>
      <c r="AH613" s="118"/>
      <c r="AI613" s="118"/>
      <c r="AJ613" s="401"/>
      <c r="AK613" s="118"/>
      <c r="AL613" s="118"/>
      <c r="AM613" s="118"/>
      <c r="AN613" s="118"/>
      <c r="AO613" s="401"/>
      <c r="AP613" s="118"/>
      <c r="AQ613" s="118"/>
      <c r="AR613" s="118"/>
      <c r="AS613" s="118"/>
      <c r="AT613" s="401"/>
      <c r="AU613" s="118"/>
      <c r="AV613" s="118"/>
      <c r="AW613" s="118"/>
      <c r="AX613" s="118"/>
      <c r="AY613" s="401"/>
      <c r="AZ613" s="118"/>
      <c r="BA613" s="118"/>
      <c r="BB613" s="118"/>
      <c r="BC613" s="118"/>
      <c r="BD613" s="401"/>
      <c r="BE613" s="118"/>
      <c r="BF613" s="118"/>
      <c r="BG613" s="118"/>
      <c r="BH613" s="118"/>
      <c r="BI613" s="401"/>
      <c r="BJ613" s="971"/>
      <c r="BK613" s="118"/>
      <c r="BL613" s="118"/>
      <c r="BM613" s="118"/>
      <c r="BN613" s="401"/>
      <c r="BO613" s="118"/>
      <c r="BP613" s="118"/>
      <c r="BQ613" s="118"/>
      <c r="BR613" s="118"/>
      <c r="BS613" s="401"/>
      <c r="BT613" s="401"/>
      <c r="BU613" s="401"/>
      <c r="BV613" s="401"/>
      <c r="BW613" s="118"/>
    </row>
    <row r="614" spans="1:75" hidden="1" outlineLevel="3" x14ac:dyDescent="0.5">
      <c r="A614" s="526" t="s">
        <v>2566</v>
      </c>
      <c r="B614" s="513"/>
      <c r="C614" s="423"/>
      <c r="D614" s="423"/>
      <c r="E614" s="423"/>
      <c r="F614" s="423"/>
      <c r="G614" s="422"/>
      <c r="H614" s="422"/>
      <c r="I614" s="422"/>
      <c r="J614" s="422"/>
      <c r="K614" s="423"/>
      <c r="L614" s="422"/>
      <c r="M614" s="422"/>
      <c r="N614" s="422"/>
      <c r="O614" s="422"/>
      <c r="P614" s="423"/>
      <c r="Q614" s="422"/>
      <c r="R614" s="422"/>
      <c r="S614" s="422"/>
      <c r="T614" s="422"/>
      <c r="U614" s="423"/>
      <c r="V614" s="422"/>
      <c r="W614" s="422"/>
      <c r="X614" s="422"/>
      <c r="Y614" s="422"/>
      <c r="Z614" s="423"/>
      <c r="AA614" s="422"/>
      <c r="AB614" s="422"/>
      <c r="AC614" s="422"/>
      <c r="AD614" s="422" t="str">
        <f t="shared" ref="AD614:BI615" si="443">AD1085</f>
        <v>NR</v>
      </c>
      <c r="AE614" s="423" t="str">
        <f t="shared" si="443"/>
        <v>NR</v>
      </c>
      <c r="AF614" s="422" t="str">
        <f t="shared" si="443"/>
        <v>NR</v>
      </c>
      <c r="AG614" s="422" t="str">
        <f t="shared" si="443"/>
        <v>NR</v>
      </c>
      <c r="AH614" s="422" t="str">
        <f t="shared" si="443"/>
        <v>NR</v>
      </c>
      <c r="AI614" s="422" t="str">
        <f t="shared" si="443"/>
        <v>NR</v>
      </c>
      <c r="AJ614" s="423" t="str">
        <f t="shared" si="443"/>
        <v>NR</v>
      </c>
      <c r="AK614" s="422" t="str">
        <f t="shared" si="443"/>
        <v>NR</v>
      </c>
      <c r="AL614" s="422" t="str">
        <f t="shared" si="443"/>
        <v>NR</v>
      </c>
      <c r="AM614" s="422" t="str">
        <f t="shared" si="443"/>
        <v>NR</v>
      </c>
      <c r="AN614" s="422" t="str">
        <f t="shared" si="443"/>
        <v>NR</v>
      </c>
      <c r="AO614" s="423" t="str">
        <f t="shared" si="443"/>
        <v>NR</v>
      </c>
      <c r="AP614" s="422" t="str">
        <f t="shared" si="443"/>
        <v>NR</v>
      </c>
      <c r="AQ614" s="422" t="str">
        <f t="shared" si="443"/>
        <v>NR</v>
      </c>
      <c r="AR614" s="422" t="str">
        <f t="shared" si="443"/>
        <v>NR</v>
      </c>
      <c r="AS614" s="422" t="str">
        <f t="shared" si="443"/>
        <v>NR</v>
      </c>
      <c r="AT614" s="423" t="str">
        <f t="shared" si="443"/>
        <v>NR</v>
      </c>
      <c r="AU614" s="422" t="str">
        <f t="shared" si="443"/>
        <v>NR</v>
      </c>
      <c r="AV614" s="422" t="str">
        <f t="shared" si="443"/>
        <v>NR</v>
      </c>
      <c r="AW614" s="422" t="str">
        <f t="shared" si="443"/>
        <v>NR</v>
      </c>
      <c r="AX614" s="422" t="str">
        <f t="shared" si="443"/>
        <v>NR</v>
      </c>
      <c r="AY614" s="423" t="str">
        <f t="shared" si="443"/>
        <v>NR</v>
      </c>
      <c r="AZ614" s="422" t="str">
        <f t="shared" si="443"/>
        <v>NR</v>
      </c>
      <c r="BA614" s="422" t="str">
        <f t="shared" si="443"/>
        <v>NR</v>
      </c>
      <c r="BB614" s="422" t="str">
        <f t="shared" si="443"/>
        <v>NR</v>
      </c>
      <c r="BC614" s="422" t="str">
        <f t="shared" si="443"/>
        <v>NR</v>
      </c>
      <c r="BD614" s="423" t="str">
        <f t="shared" si="443"/>
        <v>NR</v>
      </c>
      <c r="BE614" s="422" t="str">
        <f t="shared" si="443"/>
        <v>NR</v>
      </c>
      <c r="BF614" s="422" t="str">
        <f t="shared" si="443"/>
        <v>NR</v>
      </c>
      <c r="BG614" s="422" t="str">
        <f t="shared" si="443"/>
        <v>NR</v>
      </c>
      <c r="BH614" s="422" t="str">
        <f t="shared" si="443"/>
        <v>NR</v>
      </c>
      <c r="BI614" s="423" t="str">
        <f t="shared" si="443"/>
        <v>NR</v>
      </c>
      <c r="BJ614" s="1034" t="str">
        <f>BJ1085</f>
        <v>NR</v>
      </c>
      <c r="BK614" s="422"/>
      <c r="BL614" s="422"/>
      <c r="BM614" s="422"/>
      <c r="BN614" s="423"/>
      <c r="BO614" s="422"/>
      <c r="BP614" s="422"/>
      <c r="BQ614" s="422"/>
      <c r="BR614" s="422"/>
      <c r="BS614" s="423"/>
      <c r="BT614" s="423"/>
      <c r="BU614" s="423"/>
      <c r="BV614" s="423"/>
      <c r="BW614" s="118"/>
    </row>
    <row r="615" spans="1:75" hidden="1" outlineLevel="3" x14ac:dyDescent="0.5">
      <c r="A615" s="664" t="s">
        <v>2567</v>
      </c>
      <c r="B615" s="677"/>
      <c r="C615" s="1210"/>
      <c r="D615" s="1210"/>
      <c r="E615" s="1210"/>
      <c r="F615" s="1210"/>
      <c r="G615" s="1211"/>
      <c r="H615" s="1211"/>
      <c r="I615" s="1211"/>
      <c r="J615" s="1211"/>
      <c r="K615" s="1210"/>
      <c r="L615" s="1211"/>
      <c r="M615" s="1211"/>
      <c r="N615" s="1211"/>
      <c r="O615" s="1211"/>
      <c r="P615" s="1210"/>
      <c r="Q615" s="1211"/>
      <c r="R615" s="1211"/>
      <c r="S615" s="1211"/>
      <c r="T615" s="1211"/>
      <c r="U615" s="1210"/>
      <c r="V615" s="1211"/>
      <c r="W615" s="1211"/>
      <c r="X615" s="1211"/>
      <c r="Y615" s="1211"/>
      <c r="Z615" s="1210"/>
      <c r="AA615" s="1211"/>
      <c r="AB615" s="1211"/>
      <c r="AC615" s="1211"/>
      <c r="AD615" s="1211" t="str">
        <f t="shared" si="443"/>
        <v>NR</v>
      </c>
      <c r="AE615" s="1210" t="str">
        <f t="shared" si="443"/>
        <v>NR</v>
      </c>
      <c r="AF615" s="1211" t="str">
        <f t="shared" si="443"/>
        <v>NR</v>
      </c>
      <c r="AG615" s="1211" t="str">
        <f t="shared" si="443"/>
        <v>NR</v>
      </c>
      <c r="AH615" s="1211" t="str">
        <f t="shared" si="443"/>
        <v>NR</v>
      </c>
      <c r="AI615" s="1211" t="str">
        <f t="shared" si="443"/>
        <v>NR</v>
      </c>
      <c r="AJ615" s="1210" t="str">
        <f t="shared" si="443"/>
        <v>NR</v>
      </c>
      <c r="AK615" s="1211" t="str">
        <f t="shared" si="443"/>
        <v>NR</v>
      </c>
      <c r="AL615" s="1211" t="str">
        <f t="shared" si="443"/>
        <v>NR</v>
      </c>
      <c r="AM615" s="1211" t="str">
        <f t="shared" si="443"/>
        <v>NR</v>
      </c>
      <c r="AN615" s="1211" t="str">
        <f t="shared" si="443"/>
        <v>NR</v>
      </c>
      <c r="AO615" s="1210" t="str">
        <f t="shared" si="443"/>
        <v>NR</v>
      </c>
      <c r="AP615" s="1211" t="str">
        <f t="shared" si="443"/>
        <v>NR</v>
      </c>
      <c r="AQ615" s="1211" t="str">
        <f t="shared" si="443"/>
        <v>NR</v>
      </c>
      <c r="AR615" s="1211" t="str">
        <f t="shared" si="443"/>
        <v>NR</v>
      </c>
      <c r="AS615" s="1211" t="str">
        <f t="shared" si="443"/>
        <v>NR</v>
      </c>
      <c r="AT615" s="1210" t="str">
        <f t="shared" si="443"/>
        <v>NR</v>
      </c>
      <c r="AU615" s="1211" t="str">
        <f t="shared" si="443"/>
        <v>NR</v>
      </c>
      <c r="AV615" s="1211" t="str">
        <f t="shared" si="443"/>
        <v>NR</v>
      </c>
      <c r="AW615" s="1211" t="str">
        <f t="shared" si="443"/>
        <v>NR</v>
      </c>
      <c r="AX615" s="1211" t="str">
        <f t="shared" si="443"/>
        <v>NR</v>
      </c>
      <c r="AY615" s="1210" t="str">
        <f t="shared" si="443"/>
        <v>NR</v>
      </c>
      <c r="AZ615" s="1211" t="str">
        <f t="shared" si="443"/>
        <v>NR</v>
      </c>
      <c r="BA615" s="1211" t="str">
        <f t="shared" si="443"/>
        <v>NR</v>
      </c>
      <c r="BB615" s="1211" t="str">
        <f t="shared" si="443"/>
        <v>NR</v>
      </c>
      <c r="BC615" s="1211" t="str">
        <f t="shared" si="443"/>
        <v>NR</v>
      </c>
      <c r="BD615" s="1210" t="str">
        <f t="shared" si="443"/>
        <v>NR</v>
      </c>
      <c r="BE615" s="1211" t="str">
        <f t="shared" si="443"/>
        <v>NR</v>
      </c>
      <c r="BF615" s="1211" t="str">
        <f t="shared" si="443"/>
        <v>NR</v>
      </c>
      <c r="BG615" s="1211" t="str">
        <f t="shared" si="443"/>
        <v>NR</v>
      </c>
      <c r="BH615" s="1211" t="str">
        <f t="shared" si="443"/>
        <v>NR</v>
      </c>
      <c r="BI615" s="1210" t="str">
        <f t="shared" si="443"/>
        <v>NR</v>
      </c>
      <c r="BJ615" s="1212" t="str">
        <f>BJ1086</f>
        <v>NR</v>
      </c>
      <c r="BK615" s="1211"/>
      <c r="BL615" s="1211"/>
      <c r="BM615" s="1211"/>
      <c r="BN615" s="1210"/>
      <c r="BO615" s="1211"/>
      <c r="BP615" s="1211"/>
      <c r="BQ615" s="1211"/>
      <c r="BR615" s="1211"/>
      <c r="BS615" s="1210"/>
      <c r="BT615" s="1210"/>
      <c r="BU615" s="1210"/>
      <c r="BV615" s="1210"/>
      <c r="BW615" s="118"/>
    </row>
    <row r="616" spans="1:75" hidden="1" outlineLevel="2" x14ac:dyDescent="0.5">
      <c r="A616" s="178" t="s">
        <v>2568</v>
      </c>
      <c r="B616" s="522"/>
      <c r="C616" s="730"/>
      <c r="D616" s="730"/>
      <c r="E616" s="730"/>
      <c r="F616" s="730"/>
      <c r="G616" s="473"/>
      <c r="H616" s="473"/>
      <c r="I616" s="473"/>
      <c r="J616" s="473"/>
      <c r="K616" s="730"/>
      <c r="L616" s="473"/>
      <c r="M616" s="473"/>
      <c r="N616" s="473"/>
      <c r="O616" s="473"/>
      <c r="P616" s="730"/>
      <c r="Q616" s="473"/>
      <c r="R616" s="473"/>
      <c r="S616" s="473"/>
      <c r="T616" s="473"/>
      <c r="U616" s="730"/>
      <c r="V616" s="473"/>
      <c r="W616" s="473"/>
      <c r="X616" s="473"/>
      <c r="Y616" s="473"/>
      <c r="Z616" s="730"/>
      <c r="AA616" s="473"/>
      <c r="AB616" s="473"/>
      <c r="AC616" s="473"/>
      <c r="AD616" s="473" t="str">
        <f t="shared" ref="AD616:BG616" si="444">IFERROR(AVERAGE(AD615,AD614),"")</f>
        <v/>
      </c>
      <c r="AE616" s="730" t="str">
        <f t="shared" si="444"/>
        <v/>
      </c>
      <c r="AF616" s="473" t="str">
        <f t="shared" si="444"/>
        <v/>
      </c>
      <c r="AG616" s="473" t="str">
        <f t="shared" si="444"/>
        <v/>
      </c>
      <c r="AH616" s="473" t="str">
        <f t="shared" si="444"/>
        <v/>
      </c>
      <c r="AI616" s="473" t="str">
        <f t="shared" si="444"/>
        <v/>
      </c>
      <c r="AJ616" s="730" t="str">
        <f t="shared" si="444"/>
        <v/>
      </c>
      <c r="AK616" s="473" t="str">
        <f t="shared" si="444"/>
        <v/>
      </c>
      <c r="AL616" s="473" t="str">
        <f t="shared" si="444"/>
        <v/>
      </c>
      <c r="AM616" s="473" t="str">
        <f t="shared" si="444"/>
        <v/>
      </c>
      <c r="AN616" s="473" t="str">
        <f t="shared" si="444"/>
        <v/>
      </c>
      <c r="AO616" s="730" t="str">
        <f t="shared" si="444"/>
        <v/>
      </c>
      <c r="AP616" s="473" t="str">
        <f t="shared" si="444"/>
        <v/>
      </c>
      <c r="AQ616" s="473" t="str">
        <f t="shared" si="444"/>
        <v/>
      </c>
      <c r="AR616" s="473" t="str">
        <f t="shared" si="444"/>
        <v/>
      </c>
      <c r="AS616" s="473" t="str">
        <f t="shared" si="444"/>
        <v/>
      </c>
      <c r="AT616" s="730" t="str">
        <f t="shared" si="444"/>
        <v/>
      </c>
      <c r="AU616" s="473" t="str">
        <f t="shared" si="444"/>
        <v/>
      </c>
      <c r="AV616" s="473" t="str">
        <f t="shared" si="444"/>
        <v/>
      </c>
      <c r="AW616" s="473" t="str">
        <f t="shared" si="444"/>
        <v/>
      </c>
      <c r="AX616" s="473" t="str">
        <f t="shared" si="444"/>
        <v/>
      </c>
      <c r="AY616" s="730" t="str">
        <f t="shared" si="444"/>
        <v/>
      </c>
      <c r="AZ616" s="473" t="str">
        <f t="shared" si="444"/>
        <v/>
      </c>
      <c r="BA616" s="473" t="str">
        <f t="shared" si="444"/>
        <v/>
      </c>
      <c r="BB616" s="473" t="str">
        <f t="shared" si="444"/>
        <v/>
      </c>
      <c r="BC616" s="473" t="str">
        <f t="shared" si="444"/>
        <v/>
      </c>
      <c r="BD616" s="730" t="str">
        <f t="shared" si="444"/>
        <v/>
      </c>
      <c r="BE616" s="473" t="str">
        <f t="shared" si="444"/>
        <v/>
      </c>
      <c r="BF616" s="473" t="str">
        <f t="shared" si="444"/>
        <v/>
      </c>
      <c r="BG616" s="473" t="str">
        <f t="shared" si="444"/>
        <v/>
      </c>
      <c r="BH616" s="473" t="str">
        <f>IFERROR(AVERAGE(BH615,BH614),"")</f>
        <v/>
      </c>
      <c r="BI616" s="730" t="str">
        <f>IFERROR(AVERAGE(BI615,BI614),"")</f>
        <v/>
      </c>
      <c r="BJ616" s="1246" t="str">
        <f>IFERROR(AVERAGE(BJ615,BJ614),"")</f>
        <v/>
      </c>
      <c r="BK616" s="473"/>
      <c r="BL616" s="473"/>
      <c r="BM616" s="473"/>
      <c r="BN616" s="730"/>
      <c r="BO616" s="473"/>
      <c r="BP616" s="473"/>
      <c r="BQ616" s="473"/>
      <c r="BR616" s="473"/>
      <c r="BS616" s="730"/>
      <c r="BT616" s="730"/>
      <c r="BU616" s="730"/>
      <c r="BV616" s="730"/>
      <c r="BW616" s="118"/>
    </row>
    <row r="617" spans="1:75" hidden="1" outlineLevel="2" x14ac:dyDescent="0.5">
      <c r="A617" s="218" t="s">
        <v>2569</v>
      </c>
      <c r="B617" s="513"/>
      <c r="C617" s="425"/>
      <c r="D617" s="425"/>
      <c r="E617" s="425"/>
      <c r="F617" s="425"/>
      <c r="G617" s="487"/>
      <c r="H617" s="487"/>
      <c r="I617" s="487"/>
      <c r="J617" s="487"/>
      <c r="K617" s="425"/>
      <c r="L617" s="487"/>
      <c r="M617" s="487"/>
      <c r="N617" s="487"/>
      <c r="O617" s="487"/>
      <c r="P617" s="425"/>
      <c r="Q617" s="487"/>
      <c r="R617" s="487"/>
      <c r="S617" s="487"/>
      <c r="T617" s="487"/>
      <c r="U617" s="425"/>
      <c r="V617" s="487"/>
      <c r="W617" s="487"/>
      <c r="X617" s="487"/>
      <c r="Y617" s="487"/>
      <c r="Z617" s="425"/>
      <c r="AA617" s="487"/>
      <c r="AB617" s="487"/>
      <c r="AC617" s="487"/>
      <c r="AD617" s="487" t="str">
        <f t="shared" ref="AD617:BG617" si="445">IFERROR(ABS(AD615-AD616)*10000,"")</f>
        <v/>
      </c>
      <c r="AE617" s="425" t="str">
        <f t="shared" si="445"/>
        <v/>
      </c>
      <c r="AF617" s="487" t="str">
        <f t="shared" si="445"/>
        <v/>
      </c>
      <c r="AG617" s="487" t="str">
        <f t="shared" si="445"/>
        <v/>
      </c>
      <c r="AH617" s="487" t="str">
        <f t="shared" si="445"/>
        <v/>
      </c>
      <c r="AI617" s="487" t="str">
        <f t="shared" si="445"/>
        <v/>
      </c>
      <c r="AJ617" s="425" t="str">
        <f t="shared" si="445"/>
        <v/>
      </c>
      <c r="AK617" s="487" t="str">
        <f t="shared" si="445"/>
        <v/>
      </c>
      <c r="AL617" s="487" t="str">
        <f t="shared" si="445"/>
        <v/>
      </c>
      <c r="AM617" s="487" t="str">
        <f t="shared" si="445"/>
        <v/>
      </c>
      <c r="AN617" s="487" t="str">
        <f t="shared" si="445"/>
        <v/>
      </c>
      <c r="AO617" s="425" t="str">
        <f t="shared" si="445"/>
        <v/>
      </c>
      <c r="AP617" s="487" t="str">
        <f t="shared" si="445"/>
        <v/>
      </c>
      <c r="AQ617" s="487" t="str">
        <f t="shared" si="445"/>
        <v/>
      </c>
      <c r="AR617" s="487" t="str">
        <f t="shared" si="445"/>
        <v/>
      </c>
      <c r="AS617" s="487" t="str">
        <f t="shared" si="445"/>
        <v/>
      </c>
      <c r="AT617" s="425" t="str">
        <f t="shared" si="445"/>
        <v/>
      </c>
      <c r="AU617" s="487" t="str">
        <f t="shared" si="445"/>
        <v/>
      </c>
      <c r="AV617" s="487" t="str">
        <f t="shared" si="445"/>
        <v/>
      </c>
      <c r="AW617" s="487" t="str">
        <f t="shared" si="445"/>
        <v/>
      </c>
      <c r="AX617" s="487" t="str">
        <f t="shared" si="445"/>
        <v/>
      </c>
      <c r="AY617" s="425" t="str">
        <f t="shared" si="445"/>
        <v/>
      </c>
      <c r="AZ617" s="487" t="str">
        <f t="shared" si="445"/>
        <v/>
      </c>
      <c r="BA617" s="487" t="str">
        <f t="shared" si="445"/>
        <v/>
      </c>
      <c r="BB617" s="487" t="str">
        <f t="shared" si="445"/>
        <v/>
      </c>
      <c r="BC617" s="487" t="str">
        <f t="shared" si="445"/>
        <v/>
      </c>
      <c r="BD617" s="425" t="str">
        <f t="shared" si="445"/>
        <v/>
      </c>
      <c r="BE617" s="487" t="str">
        <f t="shared" si="445"/>
        <v/>
      </c>
      <c r="BF617" s="487" t="str">
        <f t="shared" si="445"/>
        <v/>
      </c>
      <c r="BG617" s="487" t="str">
        <f t="shared" si="445"/>
        <v/>
      </c>
      <c r="BH617" s="487" t="str">
        <f>IFERROR(ABS(BH615-BH616)*10000,"")</f>
        <v/>
      </c>
      <c r="BI617" s="425" t="str">
        <f>IFERROR(ABS(BI615-BI616)*10000,"")</f>
        <v/>
      </c>
      <c r="BJ617" s="981" t="str">
        <f>IFERROR(ABS(BJ615-BJ616)*10000,"")</f>
        <v/>
      </c>
      <c r="BK617" s="487"/>
      <c r="BL617" s="487"/>
      <c r="BM617" s="487"/>
      <c r="BN617" s="425"/>
      <c r="BO617" s="487"/>
      <c r="BP617" s="487"/>
      <c r="BQ617" s="487"/>
      <c r="BR617" s="487"/>
      <c r="BS617" s="425"/>
      <c r="BT617" s="425"/>
      <c r="BU617" s="425"/>
      <c r="BV617" s="425"/>
      <c r="BW617" s="118"/>
    </row>
    <row r="618" spans="1:75" hidden="1" outlineLevel="3" x14ac:dyDescent="0.5">
      <c r="A618" s="1537" t="s">
        <v>2570</v>
      </c>
      <c r="B618" s="720"/>
      <c r="C618" s="948"/>
      <c r="D618" s="948"/>
      <c r="E618" s="948"/>
      <c r="F618" s="948"/>
      <c r="G618" s="1538"/>
      <c r="H618" s="1538"/>
      <c r="I618" s="1538"/>
      <c r="J618" s="1538"/>
      <c r="K618" s="948"/>
      <c r="L618" s="1538"/>
      <c r="M618" s="1538"/>
      <c r="N618" s="1538"/>
      <c r="O618" s="1538"/>
      <c r="P618" s="948"/>
      <c r="Q618" s="1538"/>
      <c r="R618" s="1538"/>
      <c r="S618" s="1538"/>
      <c r="T618" s="1538"/>
      <c r="U618" s="948"/>
      <c r="V618" s="1538"/>
      <c r="W618" s="1538"/>
      <c r="X618" s="1538"/>
      <c r="Y618" s="1538"/>
      <c r="Z618" s="948"/>
      <c r="AA618" s="1538"/>
      <c r="AB618" s="1538"/>
      <c r="AC618" s="1538"/>
      <c r="AD618" s="1538" t="str">
        <f>IFERROR((AD614-AE572)*10000,"")</f>
        <v/>
      </c>
      <c r="AE618" s="948" t="str">
        <f>IFERROR((AE614-AE572)*10000,"")</f>
        <v/>
      </c>
      <c r="AF618" s="1538" t="str">
        <f>IFERROR((AF614-AE572)*10000,"")</f>
        <v/>
      </c>
      <c r="AG618" s="1538" t="str">
        <f>IFERROR((AG614-AE572)*10000,"")</f>
        <v/>
      </c>
      <c r="AH618" s="1538" t="str">
        <f>IFERROR((AH614-AE572)*10000,"")</f>
        <v/>
      </c>
      <c r="AI618" s="1538" t="str">
        <f>IFERROR((AI614-AJ572)*10000,"")</f>
        <v/>
      </c>
      <c r="AJ618" s="948" t="str">
        <f>IFERROR((AJ614-AJ572)*10000,"")</f>
        <v/>
      </c>
      <c r="AK618" s="1538" t="str">
        <f>IFERROR((AK614-AJ572)*10000,"")</f>
        <v/>
      </c>
      <c r="AL618" s="1538" t="str">
        <f>IFERROR((AL614-AJ572)*10000,"")</f>
        <v/>
      </c>
      <c r="AM618" s="1538" t="str">
        <f>IFERROR((AM614-AJ572)*10000,"")</f>
        <v/>
      </c>
      <c r="AN618" s="1538" t="str">
        <f>IFERROR((AN614-AO572)*10000,"")</f>
        <v/>
      </c>
      <c r="AO618" s="948" t="str">
        <f>IFERROR((AO614-AO572)*10000,"")</f>
        <v/>
      </c>
      <c r="AP618" s="1538" t="str">
        <f>IFERROR((AP614-AO572)*10000,"")</f>
        <v/>
      </c>
      <c r="AQ618" s="1538" t="str">
        <f>IFERROR((AQ614-AO572)*10000,"")</f>
        <v/>
      </c>
      <c r="AR618" s="1538" t="str">
        <f>IFERROR((AR614-AO572)*10000,"")</f>
        <v/>
      </c>
      <c r="AS618" s="1538" t="str">
        <f>IFERROR((AS614-AT572)*10000,"")</f>
        <v/>
      </c>
      <c r="AT618" s="948" t="str">
        <f>IFERROR((AT614-AT572)*10000,"")</f>
        <v/>
      </c>
      <c r="AU618" s="1538" t="str">
        <f>IFERROR((AU614-AT572)*10000,"")</f>
        <v/>
      </c>
      <c r="AV618" s="1538" t="str">
        <f>IFERROR((AV614-AT572)*10000,"")</f>
        <v/>
      </c>
      <c r="AW618" s="1538" t="str">
        <f>IFERROR((AW614-AT572)*10000,"")</f>
        <v/>
      </c>
      <c r="AX618" s="1538" t="str">
        <f>IFERROR((AX614-AY572)*10000,"")</f>
        <v/>
      </c>
      <c r="AY618" s="948" t="str">
        <f>IFERROR((AY614-AY572)*10000,"")</f>
        <v/>
      </c>
      <c r="AZ618" s="1538" t="str">
        <f>IFERROR((AZ614-AY572)*10000,"")</f>
        <v/>
      </c>
      <c r="BA618" s="1538" t="str">
        <f>IFERROR((BA614-AY572)*10000,"")</f>
        <v/>
      </c>
      <c r="BB618" s="1538" t="str">
        <f>IFERROR((BB614-AY572)*10000,"")</f>
        <v/>
      </c>
      <c r="BC618" s="1538" t="str">
        <f>IFERROR((BC614-BD572)*10000,"")</f>
        <v/>
      </c>
      <c r="BD618" s="948" t="str">
        <f>IFERROR((BD614-BD572)*10000,"")</f>
        <v/>
      </c>
      <c r="BE618" s="1538" t="str">
        <f>IFERROR((BE614-BD572)*10000,"")</f>
        <v/>
      </c>
      <c r="BF618" s="1538" t="str">
        <f>IFERROR((BF614-BD572)*10000,"")</f>
        <v/>
      </c>
      <c r="BG618" s="1538" t="str">
        <f>IFERROR((BG614-BD572)*10000,"")</f>
        <v/>
      </c>
      <c r="BH618" s="1538" t="str">
        <f>IFERROR((BH614-BI572)*10000,"")</f>
        <v/>
      </c>
      <c r="BI618" s="948" t="str">
        <f>IFERROR((BI614-BI572)*10000,"")</f>
        <v/>
      </c>
      <c r="BJ618" s="1539" t="str">
        <f>IFERROR((BJ614-BI572)*10000,"")</f>
        <v/>
      </c>
      <c r="BK618" s="1538"/>
      <c r="BL618" s="1538"/>
      <c r="BM618" s="1538"/>
      <c r="BN618" s="948"/>
      <c r="BO618" s="1538"/>
      <c r="BP618" s="1538"/>
      <c r="BQ618" s="1538"/>
      <c r="BR618" s="1538"/>
      <c r="BS618" s="948"/>
      <c r="BT618" s="948"/>
      <c r="BU618" s="948"/>
      <c r="BV618" s="948"/>
      <c r="BW618" s="118"/>
    </row>
    <row r="619" spans="1:75" hidden="1" outlineLevel="3" x14ac:dyDescent="0.5">
      <c r="A619" s="1540" t="s">
        <v>2571</v>
      </c>
      <c r="B619" s="769"/>
      <c r="C619" s="1541"/>
      <c r="D619" s="1541"/>
      <c r="E619" s="1541"/>
      <c r="F619" s="1541"/>
      <c r="G619" s="1542"/>
      <c r="H619" s="1542"/>
      <c r="I619" s="1542"/>
      <c r="J619" s="1542"/>
      <c r="K619" s="1541"/>
      <c r="L619" s="1542"/>
      <c r="M619" s="1542"/>
      <c r="N619" s="1542"/>
      <c r="O619" s="1542"/>
      <c r="P619" s="1541"/>
      <c r="Q619" s="1542"/>
      <c r="R619" s="1542"/>
      <c r="S619" s="1542"/>
      <c r="T619" s="1542"/>
      <c r="U619" s="1541"/>
      <c r="V619" s="1542"/>
      <c r="W619" s="1542"/>
      <c r="X619" s="1542"/>
      <c r="Y619" s="1542"/>
      <c r="Z619" s="1541"/>
      <c r="AA619" s="1542"/>
      <c r="AB619" s="1542"/>
      <c r="AC619" s="1542"/>
      <c r="AD619" s="1542" t="str">
        <f>IFERROR((AD615-AE572)*10000,"")</f>
        <v/>
      </c>
      <c r="AE619" s="1541" t="str">
        <f>IFERROR((AE615-AE572)*10000,"")</f>
        <v/>
      </c>
      <c r="AF619" s="1542" t="str">
        <f>IFERROR((AF615-AE572)*10000,"")</f>
        <v/>
      </c>
      <c r="AG619" s="1542" t="str">
        <f>IFERROR((AG615-AE572)*10000,"")</f>
        <v/>
      </c>
      <c r="AH619" s="1542" t="str">
        <f>IFERROR((AH615-AE572)*10000,"")</f>
        <v/>
      </c>
      <c r="AI619" s="1542" t="str">
        <f>IFERROR((AI615-AJ572)*10000,"")</f>
        <v/>
      </c>
      <c r="AJ619" s="1541" t="str">
        <f>IFERROR((AJ615-AJ572)*10000,"")</f>
        <v/>
      </c>
      <c r="AK619" s="1542" t="str">
        <f>IFERROR((AK615-AJ572)*10000,"")</f>
        <v/>
      </c>
      <c r="AL619" s="1542" t="str">
        <f>IFERROR((AL615-AJ572)*10000,"")</f>
        <v/>
      </c>
      <c r="AM619" s="1542" t="str">
        <f>IFERROR((AM615-AJ572)*10000,"")</f>
        <v/>
      </c>
      <c r="AN619" s="1542" t="str">
        <f>IFERROR((AN615-AO572)*10000,"")</f>
        <v/>
      </c>
      <c r="AO619" s="1541" t="str">
        <f>IFERROR((AO615-AO572)*10000,"")</f>
        <v/>
      </c>
      <c r="AP619" s="1542" t="str">
        <f>IFERROR((AP615-AO572)*10000,"")</f>
        <v/>
      </c>
      <c r="AQ619" s="1542" t="str">
        <f>IFERROR((AQ615-AO572)*10000,"")</f>
        <v/>
      </c>
      <c r="AR619" s="1542" t="str">
        <f>IFERROR((AR615-AO572)*10000,"")</f>
        <v/>
      </c>
      <c r="AS619" s="1542" t="str">
        <f>IFERROR((AS615-AT572)*10000,"")</f>
        <v/>
      </c>
      <c r="AT619" s="1541" t="str">
        <f>IFERROR((AT615-AT572)*10000,"")</f>
        <v/>
      </c>
      <c r="AU619" s="1542" t="str">
        <f>IFERROR((AU615-AT572)*10000,"")</f>
        <v/>
      </c>
      <c r="AV619" s="1542" t="str">
        <f>IFERROR((AV615-AT572)*10000,"")</f>
        <v/>
      </c>
      <c r="AW619" s="1542" t="str">
        <f>IFERROR((AW615-AT572)*10000,"")</f>
        <v/>
      </c>
      <c r="AX619" s="1542" t="str">
        <f>IFERROR((AX615-AY572)*10000,"")</f>
        <v/>
      </c>
      <c r="AY619" s="1541" t="str">
        <f>IFERROR((AY615-AY572)*10000,"")</f>
        <v/>
      </c>
      <c r="AZ619" s="1542" t="str">
        <f>IFERROR((AZ615-AY572)*10000,"")</f>
        <v/>
      </c>
      <c r="BA619" s="1542" t="str">
        <f>IFERROR((BA615-AY572)*10000,"")</f>
        <v/>
      </c>
      <c r="BB619" s="1542" t="str">
        <f>IFERROR((BB615-AY572)*10000,"")</f>
        <v/>
      </c>
      <c r="BC619" s="1542" t="str">
        <f>IFERROR((BC615-BD572)*10000,"")</f>
        <v/>
      </c>
      <c r="BD619" s="1541" t="str">
        <f>IFERROR((BD615-BD572)*10000,"")</f>
        <v/>
      </c>
      <c r="BE619" s="1542" t="str">
        <f>IFERROR((BE615-BD572)*10000,"")</f>
        <v/>
      </c>
      <c r="BF619" s="1542" t="str">
        <f>IFERROR((BF615-BD572)*10000,"")</f>
        <v/>
      </c>
      <c r="BG619" s="1542" t="str">
        <f>IFERROR((BG615-BD572)*10000,"")</f>
        <v/>
      </c>
      <c r="BH619" s="1542" t="str">
        <f>IFERROR((BH615-BI572)*10000,"")</f>
        <v/>
      </c>
      <c r="BI619" s="1541" t="str">
        <f>IFERROR((BI615-BI572)*10000,"")</f>
        <v/>
      </c>
      <c r="BJ619" s="1543" t="str">
        <f>IFERROR((BJ615-BI572)*10000,"")</f>
        <v/>
      </c>
      <c r="BK619" s="1542"/>
      <c r="BL619" s="1542"/>
      <c r="BM619" s="1542"/>
      <c r="BN619" s="1541"/>
      <c r="BO619" s="1542"/>
      <c r="BP619" s="1542"/>
      <c r="BQ619" s="1542"/>
      <c r="BR619" s="1542"/>
      <c r="BS619" s="1541"/>
      <c r="BT619" s="1541"/>
      <c r="BU619" s="1541"/>
      <c r="BV619" s="1541"/>
      <c r="BW619" s="118"/>
    </row>
    <row r="620" spans="1:75" hidden="1" outlineLevel="2" x14ac:dyDescent="0.5">
      <c r="A620" s="765" t="s">
        <v>2572</v>
      </c>
      <c r="B620" s="720"/>
      <c r="C620" s="948"/>
      <c r="D620" s="948"/>
      <c r="E620" s="948"/>
      <c r="F620" s="948"/>
      <c r="G620" s="1538"/>
      <c r="H620" s="1538"/>
      <c r="I620" s="1538"/>
      <c r="J620" s="1538"/>
      <c r="K620" s="948"/>
      <c r="L620" s="1538"/>
      <c r="M620" s="1538"/>
      <c r="N620" s="1538"/>
      <c r="O620" s="1538"/>
      <c r="P620" s="948"/>
      <c r="Q620" s="1538"/>
      <c r="R620" s="1538"/>
      <c r="S620" s="1538"/>
      <c r="T620" s="1538"/>
      <c r="U620" s="948"/>
      <c r="V620" s="1538"/>
      <c r="W620" s="1538"/>
      <c r="X620" s="1538"/>
      <c r="Y620" s="1538"/>
      <c r="Z620" s="948"/>
      <c r="AA620" s="1538"/>
      <c r="AB620" s="1538"/>
      <c r="AC620" s="1538"/>
      <c r="AD620" s="1538" t="str">
        <f>IFERROR((AD616-AE572)*10000,"")</f>
        <v/>
      </c>
      <c r="AE620" s="948" t="str">
        <f>IFERROR((AE616-AE572)*10000,"")</f>
        <v/>
      </c>
      <c r="AF620" s="1538" t="str">
        <f>IFERROR((AF616-AE572)*10000,"")</f>
        <v/>
      </c>
      <c r="AG620" s="1538" t="str">
        <f>IFERROR((AG616-AE572)*10000,"")</f>
        <v/>
      </c>
      <c r="AH620" s="1538" t="str">
        <f>IFERROR((AH616-AE572)*10000,"")</f>
        <v/>
      </c>
      <c r="AI620" s="1538" t="str">
        <f>IFERROR((AI616-AJ572)*10000,"")</f>
        <v/>
      </c>
      <c r="AJ620" s="948" t="str">
        <f>IFERROR((AJ616-AJ572)*10000,"")</f>
        <v/>
      </c>
      <c r="AK620" s="1538" t="str">
        <f>IFERROR((AK616-AJ572)*10000,"")</f>
        <v/>
      </c>
      <c r="AL620" s="1538" t="str">
        <f>IFERROR((AL616-AJ572)*10000,"")</f>
        <v/>
      </c>
      <c r="AM620" s="1538" t="str">
        <f>IFERROR((AM616-AJ572)*10000,"")</f>
        <v/>
      </c>
      <c r="AN620" s="1538" t="str">
        <f>IFERROR((AN616-AO572)*10000,"")</f>
        <v/>
      </c>
      <c r="AO620" s="948" t="str">
        <f>IFERROR((AO616-AO572)*10000,"")</f>
        <v/>
      </c>
      <c r="AP620" s="1538" t="str">
        <f>IFERROR((AP616-AO572)*10000,"")</f>
        <v/>
      </c>
      <c r="AQ620" s="1538" t="str">
        <f>IFERROR((AQ616-AO572)*10000,"")</f>
        <v/>
      </c>
      <c r="AR620" s="1538" t="str">
        <f>IFERROR((AR616-AO572)*10000,"")</f>
        <v/>
      </c>
      <c r="AS620" s="1538" t="str">
        <f>IFERROR((AS616-AT572)*10000,"")</f>
        <v/>
      </c>
      <c r="AT620" s="948" t="str">
        <f>IFERROR((AT616-AT572)*10000,"")</f>
        <v/>
      </c>
      <c r="AU620" s="1538" t="str">
        <f>IFERROR((AU616-AT572)*10000,"")</f>
        <v/>
      </c>
      <c r="AV620" s="1538" t="str">
        <f>IFERROR((AV616-AT572)*10000,"")</f>
        <v/>
      </c>
      <c r="AW620" s="1538" t="str">
        <f>IFERROR((AW616-AT572)*10000,"")</f>
        <v/>
      </c>
      <c r="AX620" s="1538" t="str">
        <f>IFERROR((AX616-AY572)*10000,"")</f>
        <v/>
      </c>
      <c r="AY620" s="948" t="str">
        <f>IFERROR((AY616-AY572)*10000,"")</f>
        <v/>
      </c>
      <c r="AZ620" s="1538" t="str">
        <f>IFERROR((AZ616-AY572)*10000,"")</f>
        <v/>
      </c>
      <c r="BA620" s="1538" t="str">
        <f>IFERROR((BA616-AY572)*10000,"")</f>
        <v/>
      </c>
      <c r="BB620" s="1538" t="str">
        <f>IFERROR((BB616-AY572)*10000,"")</f>
        <v/>
      </c>
      <c r="BC620" s="1538" t="str">
        <f>IFERROR((BC616-BD572)*10000,"")</f>
        <v/>
      </c>
      <c r="BD620" s="948" t="str">
        <f>IFERROR((BD616-BD572)*10000,"")</f>
        <v/>
      </c>
      <c r="BE620" s="1538" t="str">
        <f>IFERROR((BE616-BD572)*10000,"")</f>
        <v/>
      </c>
      <c r="BF620" s="1538" t="str">
        <f>IFERROR((BF616-BD572)*10000,"")</f>
        <v/>
      </c>
      <c r="BG620" s="1538" t="str">
        <f>IFERROR((BG616-BD572)*10000,"")</f>
        <v/>
      </c>
      <c r="BH620" s="1538" t="str">
        <f>IFERROR((BH616-BI572)*10000,"")</f>
        <v/>
      </c>
      <c r="BI620" s="948" t="str">
        <f>IFERROR((BI616-BI572)*10000,"")</f>
        <v/>
      </c>
      <c r="BJ620" s="1539" t="str">
        <f>IFERROR((BJ616-BI572)*10000,"")</f>
        <v/>
      </c>
      <c r="BK620" s="1538"/>
      <c r="BL620" s="1538"/>
      <c r="BM620" s="1538"/>
      <c r="BN620" s="948"/>
      <c r="BO620" s="1538"/>
      <c r="BP620" s="1538"/>
      <c r="BQ620" s="1538"/>
      <c r="BR620" s="1538"/>
      <c r="BS620" s="948"/>
      <c r="BT620" s="948"/>
      <c r="BU620" s="948"/>
      <c r="BV620" s="948"/>
      <c r="BW620" s="118"/>
    </row>
    <row r="621" spans="1:75" hidden="1" outlineLevel="1" x14ac:dyDescent="0.5">
      <c r="A621" s="1524"/>
      <c r="B621" s="513"/>
      <c r="C621" s="401"/>
      <c r="D621" s="401"/>
      <c r="E621" s="401"/>
      <c r="F621" s="401"/>
      <c r="G621" s="118"/>
      <c r="H621" s="118"/>
      <c r="I621" s="118"/>
      <c r="J621" s="118"/>
      <c r="K621" s="401"/>
      <c r="L621" s="118"/>
      <c r="M621" s="118"/>
      <c r="N621" s="118"/>
      <c r="O621" s="118"/>
      <c r="P621" s="401"/>
      <c r="Q621" s="118"/>
      <c r="R621" s="118"/>
      <c r="S621" s="118"/>
      <c r="T621" s="118"/>
      <c r="U621" s="401"/>
      <c r="V621" s="118"/>
      <c r="W621" s="118"/>
      <c r="X621" s="118"/>
      <c r="Y621" s="118"/>
      <c r="Z621" s="401"/>
      <c r="AA621" s="118"/>
      <c r="AB621" s="118"/>
      <c r="AC621" s="118"/>
      <c r="AD621" s="118"/>
      <c r="AE621" s="401"/>
      <c r="AF621" s="118"/>
      <c r="AG621" s="118"/>
      <c r="AH621" s="118"/>
      <c r="AI621" s="118"/>
      <c r="AJ621" s="401"/>
      <c r="AK621" s="118"/>
      <c r="AL621" s="118"/>
      <c r="AM621" s="118"/>
      <c r="AN621" s="118"/>
      <c r="AO621" s="401"/>
      <c r="AP621" s="118"/>
      <c r="AQ621" s="118"/>
      <c r="AR621" s="118"/>
      <c r="AS621" s="118"/>
      <c r="AT621" s="401"/>
      <c r="AU621" s="118"/>
      <c r="AV621" s="118"/>
      <c r="AW621" s="118"/>
      <c r="AX621" s="118"/>
      <c r="AY621" s="401"/>
      <c r="AZ621" s="118"/>
      <c r="BA621" s="118"/>
      <c r="BB621" s="118"/>
      <c r="BC621" s="118"/>
      <c r="BD621" s="401"/>
      <c r="BE621" s="118"/>
      <c r="BF621" s="118"/>
      <c r="BG621" s="118"/>
      <c r="BH621" s="118"/>
      <c r="BI621" s="401"/>
      <c r="BJ621" s="971"/>
      <c r="BK621" s="118"/>
      <c r="BL621" s="118"/>
      <c r="BM621" s="118"/>
      <c r="BN621" s="401"/>
      <c r="BO621" s="118"/>
      <c r="BP621" s="118"/>
      <c r="BQ621" s="118"/>
      <c r="BR621" s="118"/>
      <c r="BS621" s="401"/>
      <c r="BT621" s="401"/>
      <c r="BU621" s="401"/>
      <c r="BV621" s="401"/>
      <c r="BW621" s="118"/>
    </row>
    <row r="622" spans="1:75" hidden="1" outlineLevel="1" x14ac:dyDescent="0.5">
      <c r="A622" s="482" t="s">
        <v>2573</v>
      </c>
      <c r="B622" s="946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  <c r="AA622" s="239"/>
      <c r="AB622" s="239"/>
      <c r="AC622" s="239"/>
      <c r="AD622" s="239"/>
      <c r="AE622" s="239"/>
      <c r="AF622" s="239"/>
      <c r="AG622" s="239"/>
      <c r="AH622" s="239"/>
      <c r="AI622" s="239"/>
      <c r="AJ622" s="239"/>
      <c r="AK622" s="239"/>
      <c r="AL622" s="239"/>
      <c r="AM622" s="239"/>
      <c r="AN622" s="239"/>
      <c r="AO622" s="239"/>
      <c r="AP622" s="239"/>
      <c r="AQ622" s="239"/>
      <c r="AR622" s="239"/>
      <c r="AS622" s="239"/>
      <c r="AT622" s="239"/>
      <c r="AU622" s="239"/>
      <c r="AV622" s="239"/>
      <c r="AW622" s="239"/>
      <c r="AX622" s="239"/>
      <c r="AY622" s="239"/>
      <c r="AZ622" s="239"/>
      <c r="BA622" s="239"/>
      <c r="BB622" s="239"/>
      <c r="BC622" s="239"/>
      <c r="BD622" s="239"/>
      <c r="BE622" s="239"/>
      <c r="BF622" s="239"/>
      <c r="BG622" s="239"/>
      <c r="BH622" s="239"/>
      <c r="BI622" s="239"/>
      <c r="BJ622" s="241"/>
      <c r="BK622" s="239"/>
      <c r="BL622" s="239"/>
      <c r="BM622" s="239"/>
      <c r="BN622" s="239"/>
      <c r="BO622" s="239"/>
      <c r="BP622" s="239"/>
      <c r="BQ622" s="239"/>
      <c r="BR622" s="239"/>
      <c r="BS622" s="239"/>
      <c r="BT622" s="239"/>
      <c r="BU622" s="239"/>
      <c r="BV622" s="239"/>
      <c r="BW622" s="122"/>
    </row>
    <row r="623" spans="1:75" hidden="1" outlineLevel="2" x14ac:dyDescent="0.5">
      <c r="A623" s="184" t="s">
        <v>2574</v>
      </c>
      <c r="B623" s="513"/>
      <c r="C623" s="401"/>
      <c r="D623" s="401"/>
      <c r="E623" s="401"/>
      <c r="F623" s="401"/>
      <c r="G623" s="118"/>
      <c r="H623" s="118" t="str">
        <f>IF(ISBLANK(G651),"",G651)</f>
        <v/>
      </c>
      <c r="I623" s="118" t="str">
        <f>IF(ISBLANK(H651),"",H651)</f>
        <v/>
      </c>
      <c r="J623" s="118" t="str">
        <f>IF(ISBLANK(I651),"",I651)</f>
        <v/>
      </c>
      <c r="K623" s="401"/>
      <c r="L623" s="118" t="str">
        <f>IF(ISBLANK(J651),"",J651)</f>
        <v/>
      </c>
      <c r="M623" s="118" t="str">
        <f>IF(ISBLANK(L651),"",L651)</f>
        <v/>
      </c>
      <c r="N623" s="118" t="str">
        <f>IF(ISBLANK(M651),"",M651)</f>
        <v/>
      </c>
      <c r="O623" s="118" t="str">
        <f>IF(ISBLANK(N651),"",N651)</f>
        <v/>
      </c>
      <c r="P623" s="401" t="str">
        <f>IF(ISBLANK(J679),"",J679)</f>
        <v/>
      </c>
      <c r="Q623" s="118" t="str">
        <f>IF(ISBLANK(O651),"",O651)</f>
        <v/>
      </c>
      <c r="R623" s="118" t="str">
        <f>IF(ISBLANK(Q651),"",Q651)</f>
        <v/>
      </c>
      <c r="S623" s="118" t="str">
        <f>IF(ISBLANK(R651),"",R651)</f>
        <v/>
      </c>
      <c r="T623" s="118" t="str">
        <f>IF(ISBLANK(S651),"",S651)</f>
        <v/>
      </c>
      <c r="U623" s="401" t="str">
        <f>IF(ISBLANK(O679),"",O679)</f>
        <v/>
      </c>
      <c r="V623" s="118" t="str">
        <f>IF(ISBLANK(T651),"",T651)</f>
        <v/>
      </c>
      <c r="W623" s="118" t="str">
        <f>IF(ISBLANK(V651),"",V651)</f>
        <v/>
      </c>
      <c r="X623" s="118" t="str">
        <f>IF(ISBLANK(W651),"",W651)</f>
        <v/>
      </c>
      <c r="Y623" s="118" t="str">
        <f>IF(ISBLANK(X651),"",X651)</f>
        <v/>
      </c>
      <c r="Z623" s="401" t="str">
        <f>IF(ISBLANK(T679),"",T679)</f>
        <v/>
      </c>
      <c r="AA623" s="118" t="str">
        <f>IF(ISBLANK(Y651),"",Y651)</f>
        <v/>
      </c>
      <c r="AB623" s="118" t="str">
        <f>IF(ISBLANK(AA651),"",AA651)</f>
        <v/>
      </c>
      <c r="AC623" s="118" t="str">
        <f>IF(ISBLANK(AB651),"",AB651)</f>
        <v/>
      </c>
      <c r="AD623" s="118" t="str">
        <f>IF(ISBLANK(AC651),"",AC651)</f>
        <v/>
      </c>
      <c r="AE623" s="401" t="str">
        <f>IF(ISBLANK(Y679),"",Y679)</f>
        <v/>
      </c>
      <c r="AF623" s="118" t="str">
        <f>IF(ISBLANK(AD651),"",AD651)</f>
        <v/>
      </c>
      <c r="AG623" s="118" t="str">
        <f>IF(ISBLANK(AF651),"",AF651)</f>
        <v/>
      </c>
      <c r="AH623" s="118" t="str">
        <f>IF(ISBLANK(AG651),"",AG651)</f>
        <v/>
      </c>
      <c r="AI623" s="118" t="str">
        <f>IF(ISBLANK(AH651),"",AH651)</f>
        <v/>
      </c>
      <c r="AJ623" s="401" t="str">
        <f>IF(ISBLANK(AD679),"",AD679)</f>
        <v/>
      </c>
      <c r="AK623" s="118" t="str">
        <f>IF(ISBLANK(AI651),"",AI651)</f>
        <v/>
      </c>
      <c r="AL623" s="118" t="str">
        <f>IF(ISBLANK(AK651),"",AK651)</f>
        <v/>
      </c>
      <c r="AM623" s="118" t="str">
        <f>IF(ISBLANK(AL651),"",AL651)</f>
        <v/>
      </c>
      <c r="AN623" s="118" t="str">
        <f>IF(ISBLANK(AM651),"",AM651)</f>
        <v/>
      </c>
      <c r="AO623" s="401" t="str">
        <f>IF(ISBLANK(AI679),"",AI679)</f>
        <v/>
      </c>
      <c r="AP623" s="118" t="str">
        <f>IF(ISBLANK(AN651),"",AN651)</f>
        <v/>
      </c>
      <c r="AQ623" s="118" t="str">
        <f>IF(ISBLANK(AP651),"",AP651)</f>
        <v/>
      </c>
      <c r="AR623" s="118" t="str">
        <f>IF(ISBLANK(AQ651),"",AQ651)</f>
        <v/>
      </c>
      <c r="AS623" s="118" t="str">
        <f>IF(ISBLANK(AR651),"",AR651)</f>
        <v/>
      </c>
      <c r="AT623" s="401" t="str">
        <f>IF(ISBLANK(AN679),"",AN679)</f>
        <v/>
      </c>
      <c r="AU623" s="118" t="str">
        <f>IF(ISBLANK(AS651),"",AS651)</f>
        <v/>
      </c>
      <c r="AV623" s="118" t="str">
        <f>IF(ISBLANK(AU651),"",AU651)</f>
        <v/>
      </c>
      <c r="AW623" s="118" t="str">
        <f>IF(ISBLANK(AV651),"",AV651)</f>
        <v/>
      </c>
      <c r="AX623" s="118" t="str">
        <f>IF(ISBLANK(AW651),"",AW651)</f>
        <v/>
      </c>
      <c r="AY623" s="401" t="str">
        <f>IF(ISBLANK(AS679),"",AS679)</f>
        <v/>
      </c>
      <c r="AZ623" s="118" t="str">
        <f>IF(ISBLANK(AX651),"",AX651)</f>
        <v/>
      </c>
      <c r="BA623" s="118" t="str">
        <f>IF(ISBLANK(AZ651),"",AZ651)</f>
        <v/>
      </c>
      <c r="BB623" s="118">
        <f>IF(ISBLANK(BA651),"",BA651)</f>
        <v>-84.269241000000022</v>
      </c>
      <c r="BC623" s="118">
        <f>IF(ISBLANK(BB651),"",BB651)</f>
        <v>-59.832623199999979</v>
      </c>
      <c r="BD623" s="401" t="str">
        <f>IF(ISBLANK(AX679),"",AX679)</f>
        <v/>
      </c>
      <c r="BE623" s="118">
        <f>IF(ISBLANK(BC651),"",BC651)</f>
        <v>-55.071199999999997</v>
      </c>
      <c r="BF623" s="118">
        <f>IF(ISBLANK(BE651),"",BE651)</f>
        <v>35.631400000000006</v>
      </c>
      <c r="BG623" s="118">
        <f>IF(ISBLANK(BF651),"",BF651)</f>
        <v>89.460000000000008</v>
      </c>
      <c r="BH623" s="118">
        <f>IF(ISBLANK(BG651),"",BG651)</f>
        <v>78.68787500000002</v>
      </c>
      <c r="BI623" s="401" t="str">
        <f>IF(ISBLANK(BC679),"",BC679)</f>
        <v/>
      </c>
      <c r="BJ623" s="971">
        <f>IF(ISBLANK(BH651),"",BH651)</f>
        <v>39.529499999999999</v>
      </c>
      <c r="BK623" s="118">
        <f>IF(ISBLANK(BJ651),"",BJ651)</f>
        <v>160.92824999999999</v>
      </c>
      <c r="BL623" s="118" t="str">
        <f>IF(ISBLANK(BK651),"",BK651)</f>
        <v/>
      </c>
      <c r="BM623" s="118" t="str">
        <f>IF(ISBLANK(BL651),"",BL651)</f>
        <v/>
      </c>
      <c r="BN623" s="401" t="str">
        <f>IF(ISBLANK(BH679),"",BH679)</f>
        <v/>
      </c>
      <c r="BO623" s="118" t="str">
        <f>IF(ISBLANK(BM651),"",BM651)</f>
        <v/>
      </c>
      <c r="BP623" s="118" t="str">
        <f>IF(ISBLANK(BO651),"",BO651)</f>
        <v/>
      </c>
      <c r="BQ623" s="118" t="str">
        <f>IF(ISBLANK(BP651),"",BP651)</f>
        <v/>
      </c>
      <c r="BR623" s="118" t="str">
        <f>IF(ISBLANK(BQ651),"",BQ651)</f>
        <v/>
      </c>
      <c r="BS623" s="401" t="str">
        <f>IF(ISBLANK(BM679),"",BM679)</f>
        <v/>
      </c>
      <c r="BT623" s="401"/>
      <c r="BU623" s="401"/>
      <c r="BV623" s="401"/>
      <c r="BW623" s="118"/>
    </row>
    <row r="624" spans="1:75" hidden="1" outlineLevel="2" x14ac:dyDescent="0.5">
      <c r="A624" s="184" t="s">
        <v>2575</v>
      </c>
      <c r="B624" s="513"/>
      <c r="C624" s="401"/>
      <c r="D624" s="401"/>
      <c r="E624" s="401"/>
      <c r="F624" s="401"/>
      <c r="G624" s="118"/>
      <c r="H624" s="118"/>
      <c r="I624" s="118"/>
      <c r="J624" s="118"/>
      <c r="K624" s="401" t="str">
        <f>IF(ISBLANK(G679),"",G679)</f>
        <v/>
      </c>
      <c r="L624" s="118"/>
      <c r="M624" s="118"/>
      <c r="N624" s="118"/>
      <c r="O624" s="118"/>
      <c r="P624" s="401" t="str">
        <f>IF(ISBLANK(L679),"",L679)</f>
        <v/>
      </c>
      <c r="Q624" s="118"/>
      <c r="R624" s="118"/>
      <c r="S624" s="118"/>
      <c r="T624" s="118"/>
      <c r="U624" s="401" t="str">
        <f>IF(ISBLANK(Q679),"",Q679)</f>
        <v/>
      </c>
      <c r="V624" s="118"/>
      <c r="W624" s="118"/>
      <c r="X624" s="118"/>
      <c r="Y624" s="118"/>
      <c r="Z624" s="401" t="str">
        <f>IF(ISBLANK(V679),"",V679)</f>
        <v/>
      </c>
      <c r="AA624" s="118"/>
      <c r="AB624" s="118"/>
      <c r="AC624" s="118"/>
      <c r="AD624" s="118"/>
      <c r="AE624" s="401" t="str">
        <f>IF(ISBLANK(AA679),"",AA679)</f>
        <v/>
      </c>
      <c r="AF624" s="118"/>
      <c r="AG624" s="118"/>
      <c r="AH624" s="118"/>
      <c r="AI624" s="118"/>
      <c r="AJ624" s="401" t="str">
        <f>IF(ISBLANK(AF679),"",AF679)</f>
        <v/>
      </c>
      <c r="AK624" s="118"/>
      <c r="AL624" s="118"/>
      <c r="AM624" s="118"/>
      <c r="AN624" s="118"/>
      <c r="AO624" s="401" t="str">
        <f>IF(ISBLANK(AK679),"",AK679)</f>
        <v/>
      </c>
      <c r="AP624" s="118"/>
      <c r="AQ624" s="118"/>
      <c r="AR624" s="118"/>
      <c r="AS624" s="118"/>
      <c r="AT624" s="401" t="str">
        <f>IF(ISBLANK(AP679),"",AP679)</f>
        <v/>
      </c>
      <c r="AU624" s="118"/>
      <c r="AV624" s="118"/>
      <c r="AW624" s="118"/>
      <c r="AX624" s="118"/>
      <c r="AY624" s="401" t="str">
        <f>IF(ISBLANK(AU679),"",AU679)</f>
        <v/>
      </c>
      <c r="AZ624" s="118"/>
      <c r="BA624" s="118"/>
      <c r="BB624" s="118"/>
      <c r="BC624" s="118"/>
      <c r="BD624" s="401" t="str">
        <f>IF(ISBLANK(AZ679),"",AZ679)</f>
        <v/>
      </c>
      <c r="BE624" s="118"/>
      <c r="BF624" s="118"/>
      <c r="BG624" s="118"/>
      <c r="BH624" s="118"/>
      <c r="BI624" s="401" t="str">
        <f>IF(ISBLANK(BE679),"",BE679)</f>
        <v/>
      </c>
      <c r="BJ624" s="971"/>
      <c r="BK624" s="118"/>
      <c r="BL624" s="118"/>
      <c r="BM624" s="118"/>
      <c r="BN624" s="401" t="str">
        <f>IF(ISBLANK(BJ679),"",BJ679)</f>
        <v/>
      </c>
      <c r="BO624" s="118"/>
      <c r="BP624" s="118"/>
      <c r="BQ624" s="118"/>
      <c r="BR624" s="118"/>
      <c r="BS624" s="401" t="str">
        <f>IF(ISBLANK(BO679),"",BO679)</f>
        <v/>
      </c>
      <c r="BT624" s="401"/>
      <c r="BU624" s="401"/>
      <c r="BV624" s="401"/>
      <c r="BW624" s="118"/>
    </row>
    <row r="625" spans="1:75" hidden="1" outlineLevel="2" x14ac:dyDescent="0.5">
      <c r="A625" s="184" t="s">
        <v>2576</v>
      </c>
      <c r="B625" s="513"/>
      <c r="C625" s="401"/>
      <c r="D625" s="401"/>
      <c r="E625" s="401"/>
      <c r="F625" s="401"/>
      <c r="G625" s="118"/>
      <c r="H625" s="118"/>
      <c r="I625" s="118"/>
      <c r="J625" s="118"/>
      <c r="K625" s="401" t="str">
        <f>IF(ISBLANK(H679),"",H679)</f>
        <v/>
      </c>
      <c r="L625" s="118"/>
      <c r="M625" s="118"/>
      <c r="N625" s="118"/>
      <c r="O625" s="118"/>
      <c r="P625" s="401" t="str">
        <f>IF(ISBLANK(M679),"",M679)</f>
        <v/>
      </c>
      <c r="Q625" s="118"/>
      <c r="R625" s="118"/>
      <c r="S625" s="118"/>
      <c r="T625" s="118"/>
      <c r="U625" s="401" t="str">
        <f>IF(ISBLANK(R679),"",R679)</f>
        <v/>
      </c>
      <c r="V625" s="118"/>
      <c r="W625" s="118"/>
      <c r="X625" s="118"/>
      <c r="Y625" s="118"/>
      <c r="Z625" s="401" t="str">
        <f>IF(ISBLANK(W679),"",W679)</f>
        <v/>
      </c>
      <c r="AA625" s="118"/>
      <c r="AB625" s="118"/>
      <c r="AC625" s="118"/>
      <c r="AD625" s="118"/>
      <c r="AE625" s="401" t="str">
        <f>IF(ISBLANK(AB679),"",AB679)</f>
        <v/>
      </c>
      <c r="AF625" s="118"/>
      <c r="AG625" s="118"/>
      <c r="AH625" s="118"/>
      <c r="AI625" s="118"/>
      <c r="AJ625" s="401" t="str">
        <f>IF(ISBLANK(AG679),"",AG679)</f>
        <v/>
      </c>
      <c r="AK625" s="118"/>
      <c r="AL625" s="118"/>
      <c r="AM625" s="118"/>
      <c r="AN625" s="118"/>
      <c r="AO625" s="401" t="str">
        <f>IF(ISBLANK(AL679),"",AL679)</f>
        <v/>
      </c>
      <c r="AP625" s="118"/>
      <c r="AQ625" s="118"/>
      <c r="AR625" s="118"/>
      <c r="AS625" s="118"/>
      <c r="AT625" s="401" t="str">
        <f>IF(ISBLANK(AQ679),"",AQ679)</f>
        <v/>
      </c>
      <c r="AU625" s="118"/>
      <c r="AV625" s="118"/>
      <c r="AW625" s="118"/>
      <c r="AX625" s="118"/>
      <c r="AY625" s="401" t="str">
        <f>IF(ISBLANK(AV679),"",AV679)</f>
        <v/>
      </c>
      <c r="AZ625" s="118"/>
      <c r="BA625" s="118"/>
      <c r="BB625" s="118"/>
      <c r="BC625" s="118"/>
      <c r="BD625" s="401" t="str">
        <f>IF(ISBLANK(BA679),"",BA679)</f>
        <v/>
      </c>
      <c r="BE625" s="118"/>
      <c r="BF625" s="118"/>
      <c r="BG625" s="118"/>
      <c r="BH625" s="118"/>
      <c r="BI625" s="401" t="str">
        <f>IF(ISBLANK(BF679),"",BF679)</f>
        <v/>
      </c>
      <c r="BJ625" s="971"/>
      <c r="BK625" s="118"/>
      <c r="BL625" s="118"/>
      <c r="BM625" s="118"/>
      <c r="BN625" s="401" t="str">
        <f>IF(ISBLANK(BK679),"",BK679)</f>
        <v/>
      </c>
      <c r="BO625" s="118"/>
      <c r="BP625" s="118"/>
      <c r="BQ625" s="118"/>
      <c r="BR625" s="118"/>
      <c r="BS625" s="401" t="str">
        <f>IF(ISBLANK(BP679),"",BP679)</f>
        <v/>
      </c>
      <c r="BT625" s="401"/>
      <c r="BU625" s="401"/>
      <c r="BV625" s="401"/>
      <c r="BW625" s="118"/>
    </row>
    <row r="626" spans="1:75" hidden="1" outlineLevel="2" x14ac:dyDescent="0.5">
      <c r="A626" s="445" t="s">
        <v>2577</v>
      </c>
      <c r="B626" s="677"/>
      <c r="C626" s="406"/>
      <c r="D626" s="406"/>
      <c r="E626" s="406"/>
      <c r="F626" s="406"/>
      <c r="G626" s="723"/>
      <c r="H626" s="723"/>
      <c r="I626" s="723"/>
      <c r="J626" s="723"/>
      <c r="K626" s="406" t="str">
        <f>IF(ISBLANK(I679),"",I679)</f>
        <v/>
      </c>
      <c r="L626" s="723"/>
      <c r="M626" s="723"/>
      <c r="N626" s="723"/>
      <c r="O626" s="723"/>
      <c r="P626" s="406" t="str">
        <f>IF(ISBLANK(N679),"",N679)</f>
        <v/>
      </c>
      <c r="Q626" s="723"/>
      <c r="R626" s="723"/>
      <c r="S626" s="723"/>
      <c r="T626" s="723"/>
      <c r="U626" s="406" t="str">
        <f>IF(ISBLANK(S679),"",S679)</f>
        <v/>
      </c>
      <c r="V626" s="723"/>
      <c r="W626" s="723"/>
      <c r="X626" s="723"/>
      <c r="Y626" s="723"/>
      <c r="Z626" s="406" t="str">
        <f>IF(ISBLANK(X679),"",X679)</f>
        <v/>
      </c>
      <c r="AA626" s="723"/>
      <c r="AB626" s="723"/>
      <c r="AC626" s="723"/>
      <c r="AD626" s="723"/>
      <c r="AE626" s="406" t="str">
        <f>IF(ISBLANK(AC679),"",AC679)</f>
        <v/>
      </c>
      <c r="AF626" s="723"/>
      <c r="AG626" s="723"/>
      <c r="AH626" s="723"/>
      <c r="AI626" s="723"/>
      <c r="AJ626" s="406" t="str">
        <f>IF(ISBLANK(AH679),"",AH679)</f>
        <v/>
      </c>
      <c r="AK626" s="723"/>
      <c r="AL626" s="723"/>
      <c r="AM626" s="723"/>
      <c r="AN626" s="723"/>
      <c r="AO626" s="406" t="str">
        <f>IF(ISBLANK(AM679),"",AM679)</f>
        <v/>
      </c>
      <c r="AP626" s="723"/>
      <c r="AQ626" s="723"/>
      <c r="AR626" s="723"/>
      <c r="AS626" s="723"/>
      <c r="AT626" s="406" t="str">
        <f>IF(ISBLANK(AR679),"",AR679)</f>
        <v/>
      </c>
      <c r="AU626" s="723"/>
      <c r="AV626" s="723"/>
      <c r="AW626" s="723"/>
      <c r="AX626" s="723"/>
      <c r="AY626" s="406" t="str">
        <f>IF(ISBLANK(AW679),"",AW679)</f>
        <v/>
      </c>
      <c r="AZ626" s="723"/>
      <c r="BA626" s="723"/>
      <c r="BB626" s="723"/>
      <c r="BC626" s="723"/>
      <c r="BD626" s="406" t="str">
        <f>IF(ISBLANK(BB679),"",BB679)</f>
        <v/>
      </c>
      <c r="BE626" s="723"/>
      <c r="BF626" s="723"/>
      <c r="BG626" s="723"/>
      <c r="BH626" s="723"/>
      <c r="BI626" s="406" t="str">
        <f>IF(ISBLANK(BG679),"",BG679)</f>
        <v/>
      </c>
      <c r="BJ626" s="1049"/>
      <c r="BK626" s="723"/>
      <c r="BL626" s="723"/>
      <c r="BM626" s="723"/>
      <c r="BN626" s="406" t="str">
        <f>IF(ISBLANK(BL679),"",BL679)</f>
        <v/>
      </c>
      <c r="BO626" s="723"/>
      <c r="BP626" s="723"/>
      <c r="BQ626" s="723"/>
      <c r="BR626" s="723"/>
      <c r="BS626" s="406" t="str">
        <f>IF(ISBLANK(BQ679),"",BQ679)</f>
        <v/>
      </c>
      <c r="BT626" s="406"/>
      <c r="BU626" s="406"/>
      <c r="BV626" s="406"/>
      <c r="BW626" s="118"/>
    </row>
    <row r="627" spans="1:75" hidden="1" outlineLevel="1" x14ac:dyDescent="0.5">
      <c r="A627" s="752" t="s">
        <v>2578</v>
      </c>
      <c r="B627" s="513"/>
      <c r="C627" s="401"/>
      <c r="D627" s="401"/>
      <c r="E627" s="401"/>
      <c r="F627" s="401"/>
      <c r="G627" s="118" t="str">
        <f t="shared" ref="G627:BR627" si="446">IF(G626="",IF(G625="",IF(G624="",IF(G623="","",G623),G624),G625),G626)</f>
        <v/>
      </c>
      <c r="H627" s="118" t="str">
        <f t="shared" si="446"/>
        <v/>
      </c>
      <c r="I627" s="118" t="str">
        <f t="shared" si="446"/>
        <v/>
      </c>
      <c r="J627" s="118" t="str">
        <f t="shared" si="446"/>
        <v/>
      </c>
      <c r="K627" s="401" t="str">
        <f t="shared" si="446"/>
        <v/>
      </c>
      <c r="L627" s="118" t="str">
        <f t="shared" si="446"/>
        <v/>
      </c>
      <c r="M627" s="118" t="str">
        <f t="shared" si="446"/>
        <v/>
      </c>
      <c r="N627" s="118" t="str">
        <f t="shared" si="446"/>
        <v/>
      </c>
      <c r="O627" s="118" t="str">
        <f t="shared" si="446"/>
        <v/>
      </c>
      <c r="P627" s="401" t="str">
        <f t="shared" si="446"/>
        <v/>
      </c>
      <c r="Q627" s="118" t="str">
        <f t="shared" si="446"/>
        <v/>
      </c>
      <c r="R627" s="118" t="str">
        <f t="shared" si="446"/>
        <v/>
      </c>
      <c r="S627" s="118" t="str">
        <f t="shared" si="446"/>
        <v/>
      </c>
      <c r="T627" s="118" t="str">
        <f t="shared" si="446"/>
        <v/>
      </c>
      <c r="U627" s="401" t="str">
        <f t="shared" si="446"/>
        <v/>
      </c>
      <c r="V627" s="118" t="str">
        <f t="shared" si="446"/>
        <v/>
      </c>
      <c r="W627" s="118" t="str">
        <f t="shared" si="446"/>
        <v/>
      </c>
      <c r="X627" s="118" t="str">
        <f t="shared" si="446"/>
        <v/>
      </c>
      <c r="Y627" s="118" t="str">
        <f t="shared" si="446"/>
        <v/>
      </c>
      <c r="Z627" s="401" t="str">
        <f t="shared" si="446"/>
        <v/>
      </c>
      <c r="AA627" s="118" t="str">
        <f t="shared" si="446"/>
        <v/>
      </c>
      <c r="AB627" s="118" t="str">
        <f t="shared" si="446"/>
        <v/>
      </c>
      <c r="AC627" s="118" t="str">
        <f t="shared" si="446"/>
        <v/>
      </c>
      <c r="AD627" s="118" t="str">
        <f t="shared" si="446"/>
        <v/>
      </c>
      <c r="AE627" s="401" t="str">
        <f t="shared" si="446"/>
        <v/>
      </c>
      <c r="AF627" s="118" t="str">
        <f t="shared" si="446"/>
        <v/>
      </c>
      <c r="AG627" s="118" t="str">
        <f t="shared" si="446"/>
        <v/>
      </c>
      <c r="AH627" s="118" t="str">
        <f t="shared" si="446"/>
        <v/>
      </c>
      <c r="AI627" s="118" t="str">
        <f t="shared" si="446"/>
        <v/>
      </c>
      <c r="AJ627" s="401" t="str">
        <f t="shared" si="446"/>
        <v/>
      </c>
      <c r="AK627" s="118" t="str">
        <f t="shared" si="446"/>
        <v/>
      </c>
      <c r="AL627" s="118" t="str">
        <f t="shared" si="446"/>
        <v/>
      </c>
      <c r="AM627" s="118" t="str">
        <f t="shared" si="446"/>
        <v/>
      </c>
      <c r="AN627" s="118" t="str">
        <f t="shared" si="446"/>
        <v/>
      </c>
      <c r="AO627" s="401" t="str">
        <f t="shared" si="446"/>
        <v/>
      </c>
      <c r="AP627" s="118" t="str">
        <f t="shared" si="446"/>
        <v/>
      </c>
      <c r="AQ627" s="118" t="str">
        <f t="shared" si="446"/>
        <v/>
      </c>
      <c r="AR627" s="118" t="str">
        <f t="shared" si="446"/>
        <v/>
      </c>
      <c r="AS627" s="118" t="str">
        <f t="shared" si="446"/>
        <v/>
      </c>
      <c r="AT627" s="401" t="str">
        <f t="shared" si="446"/>
        <v/>
      </c>
      <c r="AU627" s="118" t="str">
        <f t="shared" si="446"/>
        <v/>
      </c>
      <c r="AV627" s="118" t="str">
        <f t="shared" si="446"/>
        <v/>
      </c>
      <c r="AW627" s="118" t="str">
        <f t="shared" si="446"/>
        <v/>
      </c>
      <c r="AX627" s="118" t="str">
        <f t="shared" si="446"/>
        <v/>
      </c>
      <c r="AY627" s="401" t="str">
        <f t="shared" si="446"/>
        <v/>
      </c>
      <c r="AZ627" s="118" t="str">
        <f t="shared" si="446"/>
        <v/>
      </c>
      <c r="BA627" s="118" t="str">
        <f t="shared" si="446"/>
        <v/>
      </c>
      <c r="BB627" s="118">
        <f t="shared" si="446"/>
        <v>-84.269241000000022</v>
      </c>
      <c r="BC627" s="118">
        <f t="shared" si="446"/>
        <v>-59.832623199999979</v>
      </c>
      <c r="BD627" s="401" t="str">
        <f t="shared" si="446"/>
        <v/>
      </c>
      <c r="BE627" s="118">
        <f t="shared" si="446"/>
        <v>-55.071199999999997</v>
      </c>
      <c r="BF627" s="118">
        <f t="shared" si="446"/>
        <v>35.631400000000006</v>
      </c>
      <c r="BG627" s="118">
        <f t="shared" si="446"/>
        <v>89.460000000000008</v>
      </c>
      <c r="BH627" s="118">
        <f t="shared" si="446"/>
        <v>78.68787500000002</v>
      </c>
      <c r="BI627" s="401" t="str">
        <f t="shared" si="446"/>
        <v/>
      </c>
      <c r="BJ627" s="971">
        <f>IF(BJ626="",IF(BJ625="",IF(BJ624="",IF(BJ623="","",BJ623),BJ624),BJ625),BJ626)</f>
        <v>39.529499999999999</v>
      </c>
      <c r="BK627" s="118">
        <f t="shared" si="446"/>
        <v>160.92824999999999</v>
      </c>
      <c r="BL627" s="118" t="str">
        <f t="shared" si="446"/>
        <v/>
      </c>
      <c r="BM627" s="118" t="str">
        <f t="shared" si="446"/>
        <v/>
      </c>
      <c r="BN627" s="401" t="str">
        <f t="shared" si="446"/>
        <v/>
      </c>
      <c r="BO627" s="118" t="str">
        <f t="shared" si="446"/>
        <v/>
      </c>
      <c r="BP627" s="118" t="str">
        <f t="shared" si="446"/>
        <v/>
      </c>
      <c r="BQ627" s="118" t="str">
        <f t="shared" si="446"/>
        <v/>
      </c>
      <c r="BR627" s="118" t="str">
        <f t="shared" si="446"/>
        <v/>
      </c>
      <c r="BS627" s="401" t="str">
        <f t="shared" ref="BS627:BZ627" si="447">IF(BS626="",IF(BS625="",IF(BS624="",IF(BS623="","",BS623),BS624),BS625),BS626)</f>
        <v/>
      </c>
      <c r="BT627" s="401" t="str">
        <f t="shared" si="447"/>
        <v/>
      </c>
      <c r="BU627" s="401" t="str">
        <f t="shared" si="447"/>
        <v/>
      </c>
      <c r="BV627" s="401" t="str">
        <f t="shared" si="447"/>
        <v/>
      </c>
      <c r="BW627" s="118"/>
    </row>
    <row r="628" spans="1:75" hidden="1" outlineLevel="1" x14ac:dyDescent="0.5">
      <c r="A628" s="1522" t="s">
        <v>2579</v>
      </c>
      <c r="B628" s="677"/>
      <c r="C628" s="406">
        <f t="shared" ref="C628:BN628" si="448">C245</f>
        <v>0</v>
      </c>
      <c r="D628" s="406">
        <f t="shared" si="448"/>
        <v>0</v>
      </c>
      <c r="E628" s="406">
        <f t="shared" si="448"/>
        <v>0</v>
      </c>
      <c r="F628" s="406">
        <f t="shared" si="448"/>
        <v>-12.059000000000005</v>
      </c>
      <c r="G628" s="723">
        <f t="shared" si="448"/>
        <v>-2.5420000000000096</v>
      </c>
      <c r="H628" s="723">
        <f t="shared" si="448"/>
        <v>0.44200000000002254</v>
      </c>
      <c r="I628" s="723">
        <f t="shared" si="448"/>
        <v>-0.1810000000000162</v>
      </c>
      <c r="J628" s="723">
        <f t="shared" si="448"/>
        <v>-0.64699999999999658</v>
      </c>
      <c r="K628" s="406">
        <f t="shared" si="448"/>
        <v>-2.9280000000000062</v>
      </c>
      <c r="L628" s="723">
        <f t="shared" si="448"/>
        <v>-19.403000000000002</v>
      </c>
      <c r="M628" s="723">
        <f t="shared" si="448"/>
        <v>-17.59899999999999</v>
      </c>
      <c r="N628" s="723">
        <f t="shared" si="448"/>
        <v>-18.317</v>
      </c>
      <c r="O628" s="723">
        <f t="shared" si="448"/>
        <v>-7.2179999999999751</v>
      </c>
      <c r="P628" s="406">
        <f t="shared" si="448"/>
        <v>-62.53700000000002</v>
      </c>
      <c r="Q628" s="723">
        <f t="shared" si="448"/>
        <v>-12.340000000000037</v>
      </c>
      <c r="R628" s="723">
        <f t="shared" si="448"/>
        <v>-4.9719999999999844</v>
      </c>
      <c r="S628" s="723">
        <f t="shared" si="448"/>
        <v>-1.4450000000000307</v>
      </c>
      <c r="T628" s="723">
        <f t="shared" si="448"/>
        <v>2.8280000000000283</v>
      </c>
      <c r="U628" s="406">
        <f t="shared" si="448"/>
        <v>-15.928999999999801</v>
      </c>
      <c r="V628" s="723">
        <f t="shared" si="448"/>
        <v>-20.96000000000009</v>
      </c>
      <c r="W628" s="723">
        <f t="shared" si="448"/>
        <v>-24.856999999999978</v>
      </c>
      <c r="X628" s="723">
        <f t="shared" si="448"/>
        <v>-30.849000000000057</v>
      </c>
      <c r="Y628" s="723">
        <f t="shared" si="448"/>
        <v>-12.026000000000034</v>
      </c>
      <c r="Z628" s="406">
        <f t="shared" si="448"/>
        <v>-88.691999999999879</v>
      </c>
      <c r="AA628" s="723">
        <f t="shared" si="448"/>
        <v>-20.895999999999955</v>
      </c>
      <c r="AB628" s="723">
        <f t="shared" si="448"/>
        <v>-2.24599999999996</v>
      </c>
      <c r="AC628" s="723">
        <f t="shared" si="448"/>
        <v>-22.67199999999993</v>
      </c>
      <c r="AD628" s="723">
        <f t="shared" si="448"/>
        <v>-21.21899999999955</v>
      </c>
      <c r="AE628" s="406">
        <f t="shared" si="448"/>
        <v>-67.032999999999532</v>
      </c>
      <c r="AF628" s="723">
        <f t="shared" si="448"/>
        <v>-49.959999999999887</v>
      </c>
      <c r="AG628" s="723">
        <f t="shared" si="448"/>
        <v>-34.808999999999934</v>
      </c>
      <c r="AH628" s="723">
        <f t="shared" si="448"/>
        <v>-76.405000000000101</v>
      </c>
      <c r="AI628" s="723">
        <f t="shared" si="448"/>
        <v>-53.812000000000147</v>
      </c>
      <c r="AJ628" s="406">
        <f t="shared" si="448"/>
        <v>-214.98599999999999</v>
      </c>
      <c r="AK628" s="723">
        <f t="shared" si="448"/>
        <v>-102.21800000000013</v>
      </c>
      <c r="AL628" s="723">
        <f t="shared" si="448"/>
        <v>-69.982999999999919</v>
      </c>
      <c r="AM628" s="723">
        <f t="shared" si="448"/>
        <v>-144.18399999999997</v>
      </c>
      <c r="AN628" s="723">
        <f t="shared" si="448"/>
        <v>-180.15899999999925</v>
      </c>
      <c r="AO628" s="406">
        <f t="shared" si="448"/>
        <v>-496.54399999999987</v>
      </c>
      <c r="AP628" s="723">
        <f t="shared" si="448"/>
        <v>-127.27700000000002</v>
      </c>
      <c r="AQ628" s="723">
        <f t="shared" si="448"/>
        <v>439.81299999999976</v>
      </c>
      <c r="AR628" s="723">
        <f t="shared" si="448"/>
        <v>371.11200000000036</v>
      </c>
      <c r="AS628" s="723">
        <f t="shared" si="448"/>
        <v>263.24000000000018</v>
      </c>
      <c r="AT628" s="406">
        <f t="shared" si="448"/>
        <v>946.88800000000015</v>
      </c>
      <c r="AU628" s="723">
        <f t="shared" si="448"/>
        <v>205.76699999999997</v>
      </c>
      <c r="AV628" s="723">
        <f t="shared" si="448"/>
        <v>310.84000000000049</v>
      </c>
      <c r="AW628" s="723">
        <f t="shared" si="448"/>
        <v>101.05100000000002</v>
      </c>
      <c r="AX628" s="723">
        <f t="shared" si="448"/>
        <v>-3.8530000000006623</v>
      </c>
      <c r="AY628" s="406">
        <f t="shared" si="448"/>
        <v>614</v>
      </c>
      <c r="AZ628" s="723">
        <f t="shared" si="448"/>
        <v>-113</v>
      </c>
      <c r="BA628" s="723">
        <f t="shared" si="448"/>
        <v>-108</v>
      </c>
      <c r="BB628" s="723">
        <f t="shared" si="448"/>
        <v>-124</v>
      </c>
      <c r="BC628" s="723">
        <f t="shared" si="448"/>
        <v>-71</v>
      </c>
      <c r="BD628" s="406">
        <f t="shared" si="448"/>
        <v>-416</v>
      </c>
      <c r="BE628" s="723">
        <f t="shared" si="448"/>
        <v>-14</v>
      </c>
      <c r="BF628" s="723">
        <f t="shared" si="448"/>
        <v>128</v>
      </c>
      <c r="BG628" s="723">
        <f t="shared" si="448"/>
        <v>100</v>
      </c>
      <c r="BH628" s="723">
        <f t="shared" si="448"/>
        <v>92</v>
      </c>
      <c r="BI628" s="406">
        <f t="shared" si="448"/>
        <v>306</v>
      </c>
      <c r="BJ628" s="1049">
        <f t="shared" si="448"/>
        <v>75</v>
      </c>
      <c r="BK628" s="723">
        <f t="shared" si="448"/>
        <v>161.70120974757924</v>
      </c>
      <c r="BL628" s="723">
        <f t="shared" si="448"/>
        <v>57.812430744407934</v>
      </c>
      <c r="BM628" s="723">
        <f t="shared" si="448"/>
        <v>43.348221894673728</v>
      </c>
      <c r="BN628" s="406">
        <f t="shared" si="448"/>
        <v>337.8618623866609</v>
      </c>
      <c r="BO628" s="723">
        <f t="shared" ref="BO628:BV628" si="449">BO245</f>
        <v>98.585954935867306</v>
      </c>
      <c r="BP628" s="723">
        <f t="shared" si="449"/>
        <v>16.035974910701626</v>
      </c>
      <c r="BQ628" s="723">
        <f t="shared" si="449"/>
        <v>60.66344104787413</v>
      </c>
      <c r="BR628" s="723">
        <f t="shared" si="449"/>
        <v>45.793776267403857</v>
      </c>
      <c r="BS628" s="406">
        <f t="shared" si="449"/>
        <v>221.07914716184695</v>
      </c>
      <c r="BT628" s="406">
        <f t="shared" si="449"/>
        <v>446.68996354134731</v>
      </c>
      <c r="BU628" s="406">
        <f t="shared" si="449"/>
        <v>693.18593545402155</v>
      </c>
      <c r="BV628" s="406">
        <f t="shared" si="449"/>
        <v>979.07135059611392</v>
      </c>
      <c r="BW628" s="118"/>
    </row>
    <row r="629" spans="1:75" hidden="1" outlineLevel="1" x14ac:dyDescent="0.5">
      <c r="A629" s="879" t="s">
        <v>2580</v>
      </c>
      <c r="B629" s="880"/>
      <c r="C629" s="1250"/>
      <c r="D629" s="1250"/>
      <c r="E629" s="1250"/>
      <c r="F629" s="1250"/>
      <c r="G629" s="321" t="str">
        <f t="shared" ref="G629:BR629" si="450">IFERROR(G628-G627,"")</f>
        <v/>
      </c>
      <c r="H629" s="321" t="str">
        <f t="shared" si="450"/>
        <v/>
      </c>
      <c r="I629" s="321" t="str">
        <f t="shared" si="450"/>
        <v/>
      </c>
      <c r="J629" s="321" t="str">
        <f t="shared" si="450"/>
        <v/>
      </c>
      <c r="K629" s="1250" t="str">
        <f t="shared" si="450"/>
        <v/>
      </c>
      <c r="L629" s="321" t="str">
        <f t="shared" si="450"/>
        <v/>
      </c>
      <c r="M629" s="321" t="str">
        <f t="shared" si="450"/>
        <v/>
      </c>
      <c r="N629" s="321" t="str">
        <f t="shared" si="450"/>
        <v/>
      </c>
      <c r="O629" s="321" t="str">
        <f t="shared" si="450"/>
        <v/>
      </c>
      <c r="P629" s="1250" t="str">
        <f t="shared" si="450"/>
        <v/>
      </c>
      <c r="Q629" s="321" t="str">
        <f t="shared" si="450"/>
        <v/>
      </c>
      <c r="R629" s="321" t="str">
        <f t="shared" si="450"/>
        <v/>
      </c>
      <c r="S629" s="321" t="str">
        <f t="shared" si="450"/>
        <v/>
      </c>
      <c r="T629" s="321" t="str">
        <f t="shared" si="450"/>
        <v/>
      </c>
      <c r="U629" s="1250" t="str">
        <f t="shared" si="450"/>
        <v/>
      </c>
      <c r="V629" s="321" t="str">
        <f t="shared" si="450"/>
        <v/>
      </c>
      <c r="W629" s="321" t="str">
        <f t="shared" si="450"/>
        <v/>
      </c>
      <c r="X629" s="321" t="str">
        <f t="shared" si="450"/>
        <v/>
      </c>
      <c r="Y629" s="321" t="str">
        <f t="shared" si="450"/>
        <v/>
      </c>
      <c r="Z629" s="1250" t="str">
        <f t="shared" si="450"/>
        <v/>
      </c>
      <c r="AA629" s="321" t="str">
        <f t="shared" si="450"/>
        <v/>
      </c>
      <c r="AB629" s="321" t="str">
        <f t="shared" si="450"/>
        <v/>
      </c>
      <c r="AC629" s="321" t="str">
        <f t="shared" si="450"/>
        <v/>
      </c>
      <c r="AD629" s="321" t="str">
        <f t="shared" si="450"/>
        <v/>
      </c>
      <c r="AE629" s="1250" t="str">
        <f t="shared" si="450"/>
        <v/>
      </c>
      <c r="AF629" s="321" t="str">
        <f t="shared" si="450"/>
        <v/>
      </c>
      <c r="AG629" s="321" t="str">
        <f t="shared" si="450"/>
        <v/>
      </c>
      <c r="AH629" s="321" t="str">
        <f t="shared" si="450"/>
        <v/>
      </c>
      <c r="AI629" s="321" t="str">
        <f t="shared" si="450"/>
        <v/>
      </c>
      <c r="AJ629" s="1250" t="str">
        <f t="shared" si="450"/>
        <v/>
      </c>
      <c r="AK629" s="321" t="str">
        <f t="shared" si="450"/>
        <v/>
      </c>
      <c r="AL629" s="321" t="str">
        <f t="shared" si="450"/>
        <v/>
      </c>
      <c r="AM629" s="321" t="str">
        <f t="shared" si="450"/>
        <v/>
      </c>
      <c r="AN629" s="321" t="str">
        <f t="shared" si="450"/>
        <v/>
      </c>
      <c r="AO629" s="1250" t="str">
        <f t="shared" si="450"/>
        <v/>
      </c>
      <c r="AP629" s="321" t="str">
        <f t="shared" si="450"/>
        <v/>
      </c>
      <c r="AQ629" s="321" t="str">
        <f t="shared" si="450"/>
        <v/>
      </c>
      <c r="AR629" s="321" t="str">
        <f t="shared" si="450"/>
        <v/>
      </c>
      <c r="AS629" s="321" t="str">
        <f t="shared" si="450"/>
        <v/>
      </c>
      <c r="AT629" s="1250" t="str">
        <f t="shared" si="450"/>
        <v/>
      </c>
      <c r="AU629" s="321" t="str">
        <f t="shared" si="450"/>
        <v/>
      </c>
      <c r="AV629" s="321" t="str">
        <f t="shared" si="450"/>
        <v/>
      </c>
      <c r="AW629" s="321" t="str">
        <f t="shared" si="450"/>
        <v/>
      </c>
      <c r="AX629" s="321" t="str">
        <f t="shared" si="450"/>
        <v/>
      </c>
      <c r="AY629" s="1250" t="str">
        <f t="shared" si="450"/>
        <v/>
      </c>
      <c r="AZ629" s="321" t="str">
        <f t="shared" si="450"/>
        <v/>
      </c>
      <c r="BA629" s="321" t="str">
        <f t="shared" si="450"/>
        <v/>
      </c>
      <c r="BB629" s="321">
        <f t="shared" si="450"/>
        <v>-39.730758999999978</v>
      </c>
      <c r="BC629" s="321">
        <f t="shared" si="450"/>
        <v>-11.167376800000021</v>
      </c>
      <c r="BD629" s="1250" t="str">
        <f t="shared" si="450"/>
        <v/>
      </c>
      <c r="BE629" s="321">
        <f t="shared" si="450"/>
        <v>41.071199999999997</v>
      </c>
      <c r="BF629" s="321">
        <f t="shared" si="450"/>
        <v>92.368599999999986</v>
      </c>
      <c r="BG629" s="321">
        <f t="shared" si="450"/>
        <v>10.539999999999992</v>
      </c>
      <c r="BH629" s="321">
        <f t="shared" si="450"/>
        <v>13.31212499999998</v>
      </c>
      <c r="BI629" s="1250" t="str">
        <f t="shared" si="450"/>
        <v/>
      </c>
      <c r="BJ629" s="1251">
        <f>IFERROR(BJ628-BJ627,"")</f>
        <v>35.470500000000001</v>
      </c>
      <c r="BK629" s="321">
        <f t="shared" si="450"/>
        <v>0.77295974757925023</v>
      </c>
      <c r="BL629" s="321" t="str">
        <f t="shared" si="450"/>
        <v/>
      </c>
      <c r="BM629" s="321" t="str">
        <f t="shared" si="450"/>
        <v/>
      </c>
      <c r="BN629" s="1250" t="str">
        <f t="shared" si="450"/>
        <v/>
      </c>
      <c r="BO629" s="321" t="str">
        <f t="shared" si="450"/>
        <v/>
      </c>
      <c r="BP629" s="321" t="str">
        <f t="shared" si="450"/>
        <v/>
      </c>
      <c r="BQ629" s="321" t="str">
        <f t="shared" si="450"/>
        <v/>
      </c>
      <c r="BR629" s="321" t="str">
        <f t="shared" si="450"/>
        <v/>
      </c>
      <c r="BS629" s="1250" t="str">
        <f t="shared" ref="BS629:BZ629" si="451">IFERROR(BS628-BS627,"")</f>
        <v/>
      </c>
      <c r="BT629" s="1250" t="str">
        <f t="shared" si="451"/>
        <v/>
      </c>
      <c r="BU629" s="1250" t="str">
        <f t="shared" si="451"/>
        <v/>
      </c>
      <c r="BV629" s="1250" t="str">
        <f t="shared" si="451"/>
        <v/>
      </c>
      <c r="BW629" s="118"/>
    </row>
    <row r="630" spans="1:75" hidden="1" outlineLevel="1" x14ac:dyDescent="0.5">
      <c r="A630" s="1136" t="s">
        <v>2581</v>
      </c>
      <c r="B630" s="1523"/>
      <c r="C630" s="1138"/>
      <c r="D630" s="1138"/>
      <c r="E630" s="1138"/>
      <c r="F630" s="1138"/>
      <c r="G630" s="1139" t="str">
        <f t="shared" ref="G630:BR630" si="452">IFERROR(G629/ABS(G627),"")</f>
        <v/>
      </c>
      <c r="H630" s="1139" t="str">
        <f t="shared" si="452"/>
        <v/>
      </c>
      <c r="I630" s="1139" t="str">
        <f t="shared" si="452"/>
        <v/>
      </c>
      <c r="J630" s="1139" t="str">
        <f t="shared" si="452"/>
        <v/>
      </c>
      <c r="K630" s="1138" t="str">
        <f t="shared" si="452"/>
        <v/>
      </c>
      <c r="L630" s="1139" t="str">
        <f t="shared" si="452"/>
        <v/>
      </c>
      <c r="M630" s="1139" t="str">
        <f t="shared" si="452"/>
        <v/>
      </c>
      <c r="N630" s="1139" t="str">
        <f t="shared" si="452"/>
        <v/>
      </c>
      <c r="O630" s="1139" t="str">
        <f t="shared" si="452"/>
        <v/>
      </c>
      <c r="P630" s="1138" t="str">
        <f t="shared" si="452"/>
        <v/>
      </c>
      <c r="Q630" s="1139" t="str">
        <f t="shared" si="452"/>
        <v/>
      </c>
      <c r="R630" s="1139" t="str">
        <f t="shared" si="452"/>
        <v/>
      </c>
      <c r="S630" s="1139" t="str">
        <f t="shared" si="452"/>
        <v/>
      </c>
      <c r="T630" s="1139" t="str">
        <f t="shared" si="452"/>
        <v/>
      </c>
      <c r="U630" s="1138" t="str">
        <f t="shared" si="452"/>
        <v/>
      </c>
      <c r="V630" s="1139" t="str">
        <f t="shared" si="452"/>
        <v/>
      </c>
      <c r="W630" s="1139" t="str">
        <f t="shared" si="452"/>
        <v/>
      </c>
      <c r="X630" s="1139" t="str">
        <f t="shared" si="452"/>
        <v/>
      </c>
      <c r="Y630" s="1139" t="str">
        <f t="shared" si="452"/>
        <v/>
      </c>
      <c r="Z630" s="1138" t="str">
        <f t="shared" si="452"/>
        <v/>
      </c>
      <c r="AA630" s="1139" t="str">
        <f t="shared" si="452"/>
        <v/>
      </c>
      <c r="AB630" s="1139" t="str">
        <f t="shared" si="452"/>
        <v/>
      </c>
      <c r="AC630" s="1139" t="str">
        <f t="shared" si="452"/>
        <v/>
      </c>
      <c r="AD630" s="1139" t="str">
        <f t="shared" si="452"/>
        <v/>
      </c>
      <c r="AE630" s="1138" t="str">
        <f t="shared" si="452"/>
        <v/>
      </c>
      <c r="AF630" s="1139" t="str">
        <f t="shared" si="452"/>
        <v/>
      </c>
      <c r="AG630" s="1139" t="str">
        <f t="shared" si="452"/>
        <v/>
      </c>
      <c r="AH630" s="1139" t="str">
        <f t="shared" si="452"/>
        <v/>
      </c>
      <c r="AI630" s="1139" t="str">
        <f t="shared" si="452"/>
        <v/>
      </c>
      <c r="AJ630" s="1138" t="str">
        <f t="shared" si="452"/>
        <v/>
      </c>
      <c r="AK630" s="1139" t="str">
        <f t="shared" si="452"/>
        <v/>
      </c>
      <c r="AL630" s="1139" t="str">
        <f t="shared" si="452"/>
        <v/>
      </c>
      <c r="AM630" s="1139" t="str">
        <f t="shared" si="452"/>
        <v/>
      </c>
      <c r="AN630" s="1139" t="str">
        <f t="shared" si="452"/>
        <v/>
      </c>
      <c r="AO630" s="1138" t="str">
        <f t="shared" si="452"/>
        <v/>
      </c>
      <c r="AP630" s="1139" t="str">
        <f t="shared" si="452"/>
        <v/>
      </c>
      <c r="AQ630" s="1139" t="str">
        <f t="shared" si="452"/>
        <v/>
      </c>
      <c r="AR630" s="1139" t="str">
        <f t="shared" si="452"/>
        <v/>
      </c>
      <c r="AS630" s="1139" t="str">
        <f t="shared" si="452"/>
        <v/>
      </c>
      <c r="AT630" s="1138" t="str">
        <f t="shared" si="452"/>
        <v/>
      </c>
      <c r="AU630" s="1139" t="str">
        <f t="shared" si="452"/>
        <v/>
      </c>
      <c r="AV630" s="1139" t="str">
        <f t="shared" si="452"/>
        <v/>
      </c>
      <c r="AW630" s="1139" t="str">
        <f t="shared" si="452"/>
        <v/>
      </c>
      <c r="AX630" s="1139" t="str">
        <f t="shared" si="452"/>
        <v/>
      </c>
      <c r="AY630" s="1138" t="str">
        <f t="shared" si="452"/>
        <v/>
      </c>
      <c r="AZ630" s="1139" t="str">
        <f t="shared" si="452"/>
        <v/>
      </c>
      <c r="BA630" s="1139" t="str">
        <f t="shared" si="452"/>
        <v/>
      </c>
      <c r="BB630" s="1139">
        <f t="shared" si="452"/>
        <v>-0.47147403404285992</v>
      </c>
      <c r="BC630" s="1139">
        <f t="shared" si="452"/>
        <v>-0.18664361017017927</v>
      </c>
      <c r="BD630" s="1138" t="str">
        <f t="shared" si="452"/>
        <v/>
      </c>
      <c r="BE630" s="1139">
        <f t="shared" si="452"/>
        <v>0.7457836400877409</v>
      </c>
      <c r="BF630" s="1139">
        <f t="shared" si="452"/>
        <v>2.5923370959322387</v>
      </c>
      <c r="BG630" s="1139">
        <f t="shared" si="452"/>
        <v>0.11781801922646983</v>
      </c>
      <c r="BH630" s="1139">
        <f t="shared" si="452"/>
        <v>0.16917631846075368</v>
      </c>
      <c r="BI630" s="1138" t="str">
        <f t="shared" si="452"/>
        <v/>
      </c>
      <c r="BJ630" s="1140">
        <f>IFERROR(BJ629/ABS(BJ627),"")</f>
        <v>0.89731719348840744</v>
      </c>
      <c r="BK630" s="1139">
        <f t="shared" si="452"/>
        <v>4.8031327475396663E-3</v>
      </c>
      <c r="BL630" s="1139" t="str">
        <f t="shared" si="452"/>
        <v/>
      </c>
      <c r="BM630" s="1139" t="str">
        <f t="shared" si="452"/>
        <v/>
      </c>
      <c r="BN630" s="1138" t="str">
        <f t="shared" si="452"/>
        <v/>
      </c>
      <c r="BO630" s="1139" t="str">
        <f t="shared" si="452"/>
        <v/>
      </c>
      <c r="BP630" s="1139" t="str">
        <f t="shared" si="452"/>
        <v/>
      </c>
      <c r="BQ630" s="1139" t="str">
        <f t="shared" si="452"/>
        <v/>
      </c>
      <c r="BR630" s="1139" t="str">
        <f t="shared" si="452"/>
        <v/>
      </c>
      <c r="BS630" s="1138" t="str">
        <f t="shared" ref="BS630:BZ630" si="453">IFERROR(BS629/ABS(BS627),"")</f>
        <v/>
      </c>
      <c r="BT630" s="1138" t="str">
        <f t="shared" si="453"/>
        <v/>
      </c>
      <c r="BU630" s="1138" t="str">
        <f t="shared" si="453"/>
        <v/>
      </c>
      <c r="BV630" s="1138" t="str">
        <f t="shared" si="453"/>
        <v/>
      </c>
      <c r="BW630" s="118"/>
    </row>
    <row r="631" spans="1:75" hidden="1" outlineLevel="1" x14ac:dyDescent="0.5">
      <c r="A631" s="1524"/>
      <c r="B631" s="513"/>
      <c r="C631" s="401"/>
      <c r="D631" s="401"/>
      <c r="E631" s="401"/>
      <c r="F631" s="401"/>
      <c r="G631" s="118"/>
      <c r="H631" s="118"/>
      <c r="I631" s="118"/>
      <c r="J631" s="118"/>
      <c r="K631" s="401"/>
      <c r="L631" s="118"/>
      <c r="M631" s="118"/>
      <c r="N631" s="118"/>
      <c r="O631" s="118"/>
      <c r="P631" s="401"/>
      <c r="Q631" s="118"/>
      <c r="R631" s="118"/>
      <c r="S631" s="118"/>
      <c r="T631" s="118"/>
      <c r="U631" s="401"/>
      <c r="V631" s="118"/>
      <c r="W631" s="118"/>
      <c r="X631" s="118"/>
      <c r="Y631" s="118"/>
      <c r="Z631" s="401"/>
      <c r="AA631" s="118"/>
      <c r="AB631" s="118"/>
      <c r="AC631" s="118"/>
      <c r="AD631" s="118"/>
      <c r="AE631" s="401"/>
      <c r="AF631" s="118"/>
      <c r="AG631" s="118"/>
      <c r="AH631" s="118"/>
      <c r="AI631" s="118"/>
      <c r="AJ631" s="401"/>
      <c r="AK631" s="118"/>
      <c r="AL631" s="118"/>
      <c r="AM631" s="118"/>
      <c r="AN631" s="118"/>
      <c r="AO631" s="401"/>
      <c r="AP631" s="118"/>
      <c r="AQ631" s="118"/>
      <c r="AR631" s="118"/>
      <c r="AS631" s="118"/>
      <c r="AT631" s="401"/>
      <c r="AU631" s="118"/>
      <c r="AV631" s="118"/>
      <c r="AW631" s="118"/>
      <c r="AX631" s="118"/>
      <c r="AY631" s="401"/>
      <c r="AZ631" s="118"/>
      <c r="BA631" s="118"/>
      <c r="BB631" s="118"/>
      <c r="BC631" s="118"/>
      <c r="BD631" s="401"/>
      <c r="BE631" s="118"/>
      <c r="BF631" s="118"/>
      <c r="BG631" s="118"/>
      <c r="BH631" s="118"/>
      <c r="BI631" s="401"/>
      <c r="BJ631" s="971"/>
      <c r="BK631" s="118"/>
      <c r="BL631" s="118"/>
      <c r="BM631" s="118"/>
      <c r="BN631" s="401"/>
      <c r="BO631" s="118"/>
      <c r="BP631" s="118"/>
      <c r="BQ631" s="118"/>
      <c r="BR631" s="118"/>
      <c r="BS631" s="401"/>
      <c r="BT631" s="401"/>
      <c r="BU631" s="401"/>
      <c r="BV631" s="401"/>
      <c r="BW631" s="118"/>
    </row>
    <row r="632" spans="1:75" hidden="1" outlineLevel="1" x14ac:dyDescent="0.5">
      <c r="A632" s="170" t="s">
        <v>2582</v>
      </c>
      <c r="B632" s="720"/>
      <c r="C632" s="417"/>
      <c r="D632" s="417"/>
      <c r="E632" s="417"/>
      <c r="F632" s="417"/>
      <c r="G632" s="378"/>
      <c r="H632" s="378" t="str">
        <f>IF(H627="","",H627/G628-1)</f>
        <v/>
      </c>
      <c r="I632" s="378" t="str">
        <f>IF(I627="","",I627/H628-1)</f>
        <v/>
      </c>
      <c r="J632" s="378" t="str">
        <f>IF(J627="","",J627/I628-1)</f>
        <v/>
      </c>
      <c r="K632" s="417"/>
      <c r="L632" s="378" t="str">
        <f>IF(L627="","",L627/J628-1)</f>
        <v/>
      </c>
      <c r="M632" s="378" t="str">
        <f>IF(M627="","",M627/L628-1)</f>
        <v/>
      </c>
      <c r="N632" s="378" t="str">
        <f>IF(N627="","",N627/M628-1)</f>
        <v/>
      </c>
      <c r="O632" s="378" t="str">
        <f>IF(O627="","",O627/N628-1)</f>
        <v/>
      </c>
      <c r="P632" s="417"/>
      <c r="Q632" s="378" t="str">
        <f>IF(Q627="","",Q627/O628-1)</f>
        <v/>
      </c>
      <c r="R632" s="378" t="str">
        <f>IF(R627="","",R627/Q628-1)</f>
        <v/>
      </c>
      <c r="S632" s="378" t="str">
        <f>IF(S627="","",S627/R628-1)</f>
        <v/>
      </c>
      <c r="T632" s="378" t="str">
        <f>IF(T627="","",T627/S628-1)</f>
        <v/>
      </c>
      <c r="U632" s="417"/>
      <c r="V632" s="378" t="str">
        <f>IF(V627="","",V627/T628-1)</f>
        <v/>
      </c>
      <c r="W632" s="378" t="str">
        <f>IF(W627="","",W627/V628-1)</f>
        <v/>
      </c>
      <c r="X632" s="378" t="str">
        <f>IF(X627="","",X627/W628-1)</f>
        <v/>
      </c>
      <c r="Y632" s="378" t="str">
        <f>IF(Y627="","",Y627/X628-1)</f>
        <v/>
      </c>
      <c r="Z632" s="417"/>
      <c r="AA632" s="378" t="str">
        <f>IF(AA627="","",AA627/Y628-1)</f>
        <v/>
      </c>
      <c r="AB632" s="378" t="str">
        <f>IF(AB627="","",AB627/AA628-1)</f>
        <v/>
      </c>
      <c r="AC632" s="378" t="str">
        <f>IF(AC627="","",AC627/AB628-1)</f>
        <v/>
      </c>
      <c r="AD632" s="378" t="str">
        <f>IF(AD627="","",AD627/AC628-1)</f>
        <v/>
      </c>
      <c r="AE632" s="417"/>
      <c r="AF632" s="378" t="str">
        <f>IF(AF627="","",AF627/AD628-1)</f>
        <v/>
      </c>
      <c r="AG632" s="378" t="str">
        <f>IF(AG627="","",AG627/AF628-1)</f>
        <v/>
      </c>
      <c r="AH632" s="378" t="str">
        <f>IF(AH627="","",AH627/AG628-1)</f>
        <v/>
      </c>
      <c r="AI632" s="378" t="str">
        <f>IF(AI627="","",AI627/AH628-1)</f>
        <v/>
      </c>
      <c r="AJ632" s="417"/>
      <c r="AK632" s="378" t="str">
        <f>IF(AK627="","",AK627/AI628-1)</f>
        <v/>
      </c>
      <c r="AL632" s="378" t="str">
        <f>IF(AL627="","",AL627/AK628-1)</f>
        <v/>
      </c>
      <c r="AM632" s="378" t="str">
        <f>IF(AM627="","",AM627/AL628-1)</f>
        <v/>
      </c>
      <c r="AN632" s="378" t="str">
        <f>IF(AN627="","",AN627/AM628-1)</f>
        <v/>
      </c>
      <c r="AO632" s="417"/>
      <c r="AP632" s="378" t="str">
        <f>IF(AP627="","",AP627/AN628-1)</f>
        <v/>
      </c>
      <c r="AQ632" s="378" t="str">
        <f>IF(AQ627="","",AQ627/AP628-1)</f>
        <v/>
      </c>
      <c r="AR632" s="378" t="str">
        <f>IF(AR627="","",AR627/AQ628-1)</f>
        <v/>
      </c>
      <c r="AS632" s="378" t="str">
        <f>IF(AS627="","",AS627/AR628-1)</f>
        <v/>
      </c>
      <c r="AT632" s="417"/>
      <c r="AU632" s="378" t="str">
        <f>IF(AU627="","",AU627/AS628-1)</f>
        <v/>
      </c>
      <c r="AV632" s="378" t="str">
        <f>IF(AV627="","",AV627/AU628-1)</f>
        <v/>
      </c>
      <c r="AW632" s="378" t="str">
        <f>IF(AW627="","",AW627/AV628-1)</f>
        <v/>
      </c>
      <c r="AX632" s="378" t="str">
        <f>IF(AX627="","",AX627/AW628-1)</f>
        <v/>
      </c>
      <c r="AY632" s="417"/>
      <c r="AZ632" s="378" t="str">
        <f>IF(AZ627="","",AZ627/AX628-1)</f>
        <v/>
      </c>
      <c r="BA632" s="378" t="str">
        <f>IF(BA627="","",BA627/AZ628-1)</f>
        <v/>
      </c>
      <c r="BB632" s="378">
        <f>IF(BB627="","",BB627/BA628-1)</f>
        <v>-0.21972924999999977</v>
      </c>
      <c r="BC632" s="378">
        <f>IF(BC627="","",BC627/BB628-1)</f>
        <v>-0.5174788451612905</v>
      </c>
      <c r="BD632" s="417"/>
      <c r="BE632" s="378">
        <f>IF(BE627="","",BE627/BC628-1)</f>
        <v>-0.22434929577464791</v>
      </c>
      <c r="BF632" s="378">
        <f>IF(BF627="","",BF627/BE628-1)</f>
        <v>-3.5451000000000006</v>
      </c>
      <c r="BG632" s="378">
        <f>IF(BG627="","",BG627/BF628-1)</f>
        <v>-0.30109374999999994</v>
      </c>
      <c r="BH632" s="378">
        <f>IF(BH627="","",BH627/BG628-1)</f>
        <v>-0.21312124999999982</v>
      </c>
      <c r="BI632" s="417"/>
      <c r="BJ632" s="1130">
        <f>IF(BJ627="","",BJ627/BH628-1)</f>
        <v>-0.57033152173913049</v>
      </c>
      <c r="BK632" s="378">
        <f>IF(BK627="","",BK627/BJ628-1)</f>
        <v>1.1457099999999998</v>
      </c>
      <c r="BL632" s="378" t="str">
        <f>IF(BL627="","",BL627/BK628-1)</f>
        <v/>
      </c>
      <c r="BM632" s="378" t="str">
        <f>IF(BM627="","",BM627/BL628-1)</f>
        <v/>
      </c>
      <c r="BN632" s="417"/>
      <c r="BO632" s="378" t="str">
        <f>IF(BO627="","",BO627/BM628-1)</f>
        <v/>
      </c>
      <c r="BP632" s="378" t="str">
        <f>IF(BP627="","",BP627/BO628-1)</f>
        <v/>
      </c>
      <c r="BQ632" s="378" t="str">
        <f>IF(BQ627="","",BQ627/BP628-1)</f>
        <v/>
      </c>
      <c r="BR632" s="378" t="str">
        <f>IF(BR627="","",BR627/BQ628-1)</f>
        <v/>
      </c>
      <c r="BS632" s="417"/>
      <c r="BT632" s="417"/>
      <c r="BU632" s="417"/>
      <c r="BV632" s="417"/>
      <c r="BW632" s="118"/>
    </row>
    <row r="633" spans="1:75" hidden="1" outlineLevel="1" x14ac:dyDescent="0.5">
      <c r="A633" s="1192" t="s">
        <v>2583</v>
      </c>
      <c r="B633" s="769"/>
      <c r="C633" s="770"/>
      <c r="D633" s="770"/>
      <c r="E633" s="770"/>
      <c r="F633" s="770"/>
      <c r="G633" s="771"/>
      <c r="H633" s="771" t="str">
        <f>IF(H629="","",H629/G628)</f>
        <v/>
      </c>
      <c r="I633" s="771" t="str">
        <f>IF(I629="","",I629/H628)</f>
        <v/>
      </c>
      <c r="J633" s="771" t="str">
        <f>IF(J629="","",J629/I628)</f>
        <v/>
      </c>
      <c r="K633" s="770"/>
      <c r="L633" s="771" t="str">
        <f>IF(L629="","",L629/J628)</f>
        <v/>
      </c>
      <c r="M633" s="771" t="str">
        <f>IF(M629="","",M629/L628)</f>
        <v/>
      </c>
      <c r="N633" s="771" t="str">
        <f>IF(N629="","",N629/M628)</f>
        <v/>
      </c>
      <c r="O633" s="771" t="str">
        <f>IF(O629="","",O629/N628)</f>
        <v/>
      </c>
      <c r="P633" s="770"/>
      <c r="Q633" s="771" t="str">
        <f>IF(Q629="","",Q629/O628)</f>
        <v/>
      </c>
      <c r="R633" s="771" t="str">
        <f>IF(R629="","",R629/Q628)</f>
        <v/>
      </c>
      <c r="S633" s="771" t="str">
        <f>IF(S629="","",S629/R628)</f>
        <v/>
      </c>
      <c r="T633" s="771" t="str">
        <f>IF(T629="","",T629/S628)</f>
        <v/>
      </c>
      <c r="U633" s="770"/>
      <c r="V633" s="771" t="str">
        <f>IF(V629="","",V629/T628)</f>
        <v/>
      </c>
      <c r="W633" s="771" t="str">
        <f>IF(W629="","",W629/V628)</f>
        <v/>
      </c>
      <c r="X633" s="771" t="str">
        <f>IF(X629="","",X629/W628)</f>
        <v/>
      </c>
      <c r="Y633" s="771" t="str">
        <f>IF(Y629="","",Y629/X628)</f>
        <v/>
      </c>
      <c r="Z633" s="770"/>
      <c r="AA633" s="771" t="str">
        <f>IF(AA629="","",AA629/Y628)</f>
        <v/>
      </c>
      <c r="AB633" s="771" t="str">
        <f>IF(AB629="","",AB629/AA628)</f>
        <v/>
      </c>
      <c r="AC633" s="771" t="str">
        <f>IF(AC629="","",AC629/AB628)</f>
        <v/>
      </c>
      <c r="AD633" s="771" t="str">
        <f>IF(AD629="","",AD629/AC628)</f>
        <v/>
      </c>
      <c r="AE633" s="770"/>
      <c r="AF633" s="771" t="str">
        <f>IF(AF629="","",AF629/AD628)</f>
        <v/>
      </c>
      <c r="AG633" s="771" t="str">
        <f>IF(AG629="","",AG629/AF628)</f>
        <v/>
      </c>
      <c r="AH633" s="771" t="str">
        <f>IF(AH629="","",AH629/AG628)</f>
        <v/>
      </c>
      <c r="AI633" s="771" t="str">
        <f>IF(AI629="","",AI629/AH628)</f>
        <v/>
      </c>
      <c r="AJ633" s="770"/>
      <c r="AK633" s="771" t="str">
        <f>IF(AK629="","",AK629/AI628)</f>
        <v/>
      </c>
      <c r="AL633" s="771" t="str">
        <f>IF(AL629="","",AL629/AK628)</f>
        <v/>
      </c>
      <c r="AM633" s="771" t="str">
        <f>IF(AM629="","",AM629/AL628)</f>
        <v/>
      </c>
      <c r="AN633" s="771" t="str">
        <f>IF(AN629="","",AN629/AM628)</f>
        <v/>
      </c>
      <c r="AO633" s="770"/>
      <c r="AP633" s="771" t="str">
        <f>IF(AP629="","",AP629/AN628)</f>
        <v/>
      </c>
      <c r="AQ633" s="771" t="str">
        <f>IF(AQ629="","",AQ629/AP628)</f>
        <v/>
      </c>
      <c r="AR633" s="771" t="str">
        <f>IF(AR629="","",AR629/AQ628)</f>
        <v/>
      </c>
      <c r="AS633" s="771" t="str">
        <f>IF(AS629="","",AS629/AR628)</f>
        <v/>
      </c>
      <c r="AT633" s="770"/>
      <c r="AU633" s="771" t="str">
        <f>IF(AU629="","",AU629/AS628)</f>
        <v/>
      </c>
      <c r="AV633" s="771" t="str">
        <f>IF(AV629="","",AV629/AU628)</f>
        <v/>
      </c>
      <c r="AW633" s="771" t="str">
        <f>IF(AW629="","",AW629/AV628)</f>
        <v/>
      </c>
      <c r="AX633" s="771" t="str">
        <f>IF(AX629="","",AX629/AW628)</f>
        <v/>
      </c>
      <c r="AY633" s="770"/>
      <c r="AZ633" s="771" t="str">
        <f>IF(AZ629="","",AZ629/AX628)</f>
        <v/>
      </c>
      <c r="BA633" s="771" t="str">
        <f>IF(BA629="","",BA629/AZ628)</f>
        <v/>
      </c>
      <c r="BB633" s="771">
        <f>IF(BB629="","",BB629/BA628)</f>
        <v>0.36787739814814796</v>
      </c>
      <c r="BC633" s="771">
        <f>IF(BC629="","",BC629/BB628)</f>
        <v>9.0059490322580815E-2</v>
      </c>
      <c r="BD633" s="770"/>
      <c r="BE633" s="771">
        <f>IF(BE629="","",BE629/BC628)</f>
        <v>-0.57846760563380273</v>
      </c>
      <c r="BF633" s="771">
        <f>IF(BF629="","",BF629/BE628)</f>
        <v>-6.5977571428571418</v>
      </c>
      <c r="BG633" s="771">
        <f>IF(BG629="","",BG629/BF628)</f>
        <v>8.2343749999999938E-2</v>
      </c>
      <c r="BH633" s="771">
        <f>IF(BH629="","",BH629/BG628)</f>
        <v>0.1331212499999998</v>
      </c>
      <c r="BI633" s="770"/>
      <c r="BJ633" s="1314">
        <f>IF(BJ629="","",BJ629/BH628)</f>
        <v>0.38554891304347827</v>
      </c>
      <c r="BK633" s="771">
        <f>IF(BK629="","",BK629/BJ628)</f>
        <v>1.0306129967723336E-2</v>
      </c>
      <c r="BL633" s="771" t="str">
        <f>IF(BL629="","",BL629/BK628)</f>
        <v/>
      </c>
      <c r="BM633" s="771" t="str">
        <f>IF(BM629="","",BM629/BL628)</f>
        <v/>
      </c>
      <c r="BN633" s="770"/>
      <c r="BO633" s="771" t="str">
        <f>IF(BO629="","",BO629/BM628)</f>
        <v/>
      </c>
      <c r="BP633" s="771" t="str">
        <f>IF(BP629="","",BP629/BO628)</f>
        <v/>
      </c>
      <c r="BQ633" s="771" t="str">
        <f>IF(BQ629="","",BQ629/BP628)</f>
        <v/>
      </c>
      <c r="BR633" s="771" t="str">
        <f>IF(BR629="","",BR629/BQ628)</f>
        <v/>
      </c>
      <c r="BS633" s="770"/>
      <c r="BT633" s="770"/>
      <c r="BU633" s="770"/>
      <c r="BV633" s="770"/>
      <c r="BW633" s="118"/>
    </row>
    <row r="634" spans="1:75" hidden="1" outlineLevel="1" x14ac:dyDescent="0.5">
      <c r="A634" s="1150" t="s">
        <v>2584</v>
      </c>
      <c r="B634" s="1525"/>
      <c r="C634" s="1147"/>
      <c r="D634" s="1147"/>
      <c r="E634" s="1147"/>
      <c r="F634" s="1147"/>
      <c r="G634" s="1148"/>
      <c r="H634" s="1148">
        <f>H628/G628-1</f>
        <v>-1.1738788355625573</v>
      </c>
      <c r="I634" s="1148">
        <f>I628/H628-1</f>
        <v>-1.4095022624434548</v>
      </c>
      <c r="J634" s="1148">
        <f>J628/I628-1</f>
        <v>2.574585635358777</v>
      </c>
      <c r="K634" s="1147"/>
      <c r="L634" s="1148">
        <f>L628/J628-1</f>
        <v>28.989180834621493</v>
      </c>
      <c r="M634" s="1148">
        <f>M628/L628-1</f>
        <v>-9.297531309591367E-2</v>
      </c>
      <c r="N634" s="1148">
        <f>N628/M628-1</f>
        <v>4.0797772600716486E-2</v>
      </c>
      <c r="O634" s="1148">
        <f>O628/N628-1</f>
        <v>-0.60593983730960455</v>
      </c>
      <c r="P634" s="1147"/>
      <c r="Q634" s="1148">
        <f>Q628/O628-1</f>
        <v>0.70961485175950112</v>
      </c>
      <c r="R634" s="1148">
        <f>R628/Q628-1</f>
        <v>-0.59708265802269289</v>
      </c>
      <c r="S634" s="1148">
        <f>S628/R628-1</f>
        <v>-0.70937248592115143</v>
      </c>
      <c r="T634" s="1148">
        <f>T628/S628-1</f>
        <v>-2.9570934256055144</v>
      </c>
      <c r="U634" s="1147"/>
      <c r="V634" s="1148">
        <f>V628/T628-1</f>
        <v>-8.41159830268737</v>
      </c>
      <c r="W634" s="1148">
        <f>W628/V628-1</f>
        <v>0.18592557251907782</v>
      </c>
      <c r="X634" s="1148">
        <f>X628/W628-1</f>
        <v>0.24105885666009907</v>
      </c>
      <c r="Y634" s="1148">
        <f>Y628/X628-1</f>
        <v>-0.61016564556387531</v>
      </c>
      <c r="Z634" s="1147"/>
      <c r="AA634" s="1148">
        <f>AA628/Y628-1</f>
        <v>0.73756860136370328</v>
      </c>
      <c r="AB634" s="1148">
        <f>AB628/AA628-1</f>
        <v>-0.89251531393568317</v>
      </c>
      <c r="AC634" s="1148">
        <f>AC628/AB628-1</f>
        <v>9.0943900267143061</v>
      </c>
      <c r="AD634" s="1148">
        <f>AD628/AC628-1</f>
        <v>-6.4087861679621771E-2</v>
      </c>
      <c r="AE634" s="1147"/>
      <c r="AF634" s="1148">
        <f>AF628/AD628-1</f>
        <v>1.3544936142137209</v>
      </c>
      <c r="AG634" s="1148">
        <f>AG628/AF628-1</f>
        <v>-0.30326261008807021</v>
      </c>
      <c r="AH634" s="1148">
        <f>AH628/AG628-1</f>
        <v>1.1949783102071376</v>
      </c>
      <c r="AI634" s="1148">
        <f>AI628/AH628-1</f>
        <v>-0.29570054315816929</v>
      </c>
      <c r="AJ634" s="1147"/>
      <c r="AK634" s="1148">
        <f>AK628/AI628-1</f>
        <v>0.89953913625213433</v>
      </c>
      <c r="AL634" s="1148">
        <f>AL628/AK628-1</f>
        <v>-0.31535541685417612</v>
      </c>
      <c r="AM634" s="1148">
        <f>AM628/AL628-1</f>
        <v>1.0602717802895008</v>
      </c>
      <c r="AN634" s="1148">
        <f>AN628/AM628-1</f>
        <v>0.24950757365587917</v>
      </c>
      <c r="AO634" s="1147"/>
      <c r="AP634" s="1148">
        <f>AP628/AN628-1</f>
        <v>-0.29352960440499476</v>
      </c>
      <c r="AQ634" s="1148">
        <f>AQ628/AP628-1</f>
        <v>-4.4555575634246543</v>
      </c>
      <c r="AR634" s="1148">
        <f>AR628/AQ628-1</f>
        <v>-0.15620502349862198</v>
      </c>
      <c r="AS634" s="1148">
        <f>AS628/AR628-1</f>
        <v>-0.29067235767099975</v>
      </c>
      <c r="AT634" s="1147"/>
      <c r="AU634" s="1148">
        <f>AU628/AS628-1</f>
        <v>-0.21832928126424622</v>
      </c>
      <c r="AV634" s="1148">
        <f>AV628/AU628-1</f>
        <v>0.51064067610452857</v>
      </c>
      <c r="AW634" s="1148">
        <f>AW628/AV628-1</f>
        <v>-0.67490992150302453</v>
      </c>
      <c r="AX634" s="1148">
        <f>AX628/AW628-1</f>
        <v>-1.0381292614620405</v>
      </c>
      <c r="AY634" s="1147"/>
      <c r="AZ634" s="1148">
        <f>AZ628/AX628-1</f>
        <v>28.327796522185459</v>
      </c>
      <c r="BA634" s="1148">
        <f>BA628/AZ628-1</f>
        <v>-4.4247787610619427E-2</v>
      </c>
      <c r="BB634" s="1148">
        <f>BB628/BA628-1</f>
        <v>0.14814814814814814</v>
      </c>
      <c r="BC634" s="1148">
        <f>BC628/BB628-1</f>
        <v>-0.42741935483870963</v>
      </c>
      <c r="BD634" s="1147"/>
      <c r="BE634" s="1148">
        <f>BE628/BC628-1</f>
        <v>-0.80281690140845074</v>
      </c>
      <c r="BF634" s="1148">
        <f>BF628/BE628-1</f>
        <v>-10.142857142857142</v>
      </c>
      <c r="BG634" s="1148">
        <f>BG628/BF628-1</f>
        <v>-0.21875</v>
      </c>
      <c r="BH634" s="1148">
        <f>BH628/BG628-1</f>
        <v>-7.999999999999996E-2</v>
      </c>
      <c r="BI634" s="1147"/>
      <c r="BJ634" s="1149">
        <f>BJ628/BH628-1</f>
        <v>-0.18478260869565222</v>
      </c>
      <c r="BK634" s="1148">
        <f>BK628/BJ628-1</f>
        <v>1.1560161299677234</v>
      </c>
      <c r="BL634" s="1148">
        <f>BL628/BK628-1</f>
        <v>-0.64247372771882794</v>
      </c>
      <c r="BM634" s="1148">
        <f>BM628/BL628-1</f>
        <v>-0.25019202035772037</v>
      </c>
      <c r="BN634" s="1147"/>
      <c r="BO634" s="1148">
        <f>BO628/BM628-1</f>
        <v>1.2742790967391615</v>
      </c>
      <c r="BP634" s="1148">
        <f>BP628/BO628-1</f>
        <v>-0.83734016756105434</v>
      </c>
      <c r="BQ634" s="1148">
        <f>BQ628/BP628-1</f>
        <v>2.7829593389666827</v>
      </c>
      <c r="BR634" s="1148">
        <f>BR628/BQ628-1</f>
        <v>-0.24511739729263782</v>
      </c>
      <c r="BS634" s="1147"/>
      <c r="BT634" s="1147"/>
      <c r="BU634" s="1147"/>
      <c r="BV634" s="1147"/>
      <c r="BW634" s="118"/>
    </row>
    <row r="635" spans="1:75" hidden="1" outlineLevel="1" x14ac:dyDescent="0.5">
      <c r="A635" s="170" t="s">
        <v>2585</v>
      </c>
      <c r="B635" s="720"/>
      <c r="C635" s="417"/>
      <c r="D635" s="417" t="str">
        <f>IF(D627="","",D627/C628-1)</f>
        <v/>
      </c>
      <c r="E635" s="417" t="str">
        <f>IF(E627="","",E627/D628-1)</f>
        <v/>
      </c>
      <c r="F635" s="417" t="str">
        <f>IF(F627="","",F627/E628-1)</f>
        <v/>
      </c>
      <c r="G635" s="378"/>
      <c r="H635" s="378"/>
      <c r="I635" s="378"/>
      <c r="J635" s="378"/>
      <c r="K635" s="417" t="str">
        <f t="shared" ref="K635:BN635" si="454">IF(K627="","",K627/F628-1)</f>
        <v/>
      </c>
      <c r="L635" s="378" t="str">
        <f t="shared" si="454"/>
        <v/>
      </c>
      <c r="M635" s="378" t="str">
        <f t="shared" si="454"/>
        <v/>
      </c>
      <c r="N635" s="378" t="str">
        <f t="shared" si="454"/>
        <v/>
      </c>
      <c r="O635" s="378" t="str">
        <f t="shared" si="454"/>
        <v/>
      </c>
      <c r="P635" s="417" t="str">
        <f t="shared" si="454"/>
        <v/>
      </c>
      <c r="Q635" s="378" t="str">
        <f t="shared" si="454"/>
        <v/>
      </c>
      <c r="R635" s="378" t="str">
        <f t="shared" si="454"/>
        <v/>
      </c>
      <c r="S635" s="378" t="str">
        <f t="shared" si="454"/>
        <v/>
      </c>
      <c r="T635" s="378" t="str">
        <f t="shared" si="454"/>
        <v/>
      </c>
      <c r="U635" s="417" t="str">
        <f t="shared" si="454"/>
        <v/>
      </c>
      <c r="V635" s="378" t="str">
        <f t="shared" si="454"/>
        <v/>
      </c>
      <c r="W635" s="378" t="str">
        <f t="shared" si="454"/>
        <v/>
      </c>
      <c r="X635" s="378" t="str">
        <f t="shared" si="454"/>
        <v/>
      </c>
      <c r="Y635" s="378" t="str">
        <f t="shared" si="454"/>
        <v/>
      </c>
      <c r="Z635" s="417" t="str">
        <f t="shared" si="454"/>
        <v/>
      </c>
      <c r="AA635" s="378" t="str">
        <f t="shared" si="454"/>
        <v/>
      </c>
      <c r="AB635" s="378" t="str">
        <f t="shared" si="454"/>
        <v/>
      </c>
      <c r="AC635" s="378" t="str">
        <f t="shared" si="454"/>
        <v/>
      </c>
      <c r="AD635" s="378" t="str">
        <f t="shared" si="454"/>
        <v/>
      </c>
      <c r="AE635" s="417" t="str">
        <f t="shared" si="454"/>
        <v/>
      </c>
      <c r="AF635" s="378" t="str">
        <f t="shared" si="454"/>
        <v/>
      </c>
      <c r="AG635" s="378" t="str">
        <f t="shared" si="454"/>
        <v/>
      </c>
      <c r="AH635" s="378" t="str">
        <f t="shared" si="454"/>
        <v/>
      </c>
      <c r="AI635" s="378" t="str">
        <f t="shared" si="454"/>
        <v/>
      </c>
      <c r="AJ635" s="417" t="str">
        <f t="shared" si="454"/>
        <v/>
      </c>
      <c r="AK635" s="378" t="str">
        <f t="shared" si="454"/>
        <v/>
      </c>
      <c r="AL635" s="378" t="str">
        <f t="shared" si="454"/>
        <v/>
      </c>
      <c r="AM635" s="378" t="str">
        <f t="shared" si="454"/>
        <v/>
      </c>
      <c r="AN635" s="378" t="str">
        <f t="shared" si="454"/>
        <v/>
      </c>
      <c r="AO635" s="417" t="str">
        <f t="shared" si="454"/>
        <v/>
      </c>
      <c r="AP635" s="378" t="str">
        <f t="shared" si="454"/>
        <v/>
      </c>
      <c r="AQ635" s="378" t="str">
        <f t="shared" si="454"/>
        <v/>
      </c>
      <c r="AR635" s="378" t="str">
        <f t="shared" si="454"/>
        <v/>
      </c>
      <c r="AS635" s="378" t="str">
        <f t="shared" si="454"/>
        <v/>
      </c>
      <c r="AT635" s="417" t="str">
        <f t="shared" si="454"/>
        <v/>
      </c>
      <c r="AU635" s="378" t="str">
        <f t="shared" si="454"/>
        <v/>
      </c>
      <c r="AV635" s="378" t="str">
        <f t="shared" si="454"/>
        <v/>
      </c>
      <c r="AW635" s="378" t="str">
        <f t="shared" si="454"/>
        <v/>
      </c>
      <c r="AX635" s="378" t="str">
        <f t="shared" si="454"/>
        <v/>
      </c>
      <c r="AY635" s="417" t="str">
        <f t="shared" si="454"/>
        <v/>
      </c>
      <c r="AZ635" s="378" t="str">
        <f t="shared" si="454"/>
        <v/>
      </c>
      <c r="BA635" s="378" t="str">
        <f t="shared" si="454"/>
        <v/>
      </c>
      <c r="BB635" s="378">
        <f t="shared" si="454"/>
        <v>-1.8339278285222314</v>
      </c>
      <c r="BC635" s="378">
        <f t="shared" si="454"/>
        <v>14.528840695559225</v>
      </c>
      <c r="BD635" s="417" t="str">
        <f t="shared" si="454"/>
        <v/>
      </c>
      <c r="BE635" s="378">
        <f t="shared" si="454"/>
        <v>-0.51264424778761064</v>
      </c>
      <c r="BF635" s="378">
        <f t="shared" si="454"/>
        <v>-1.3299203703703704</v>
      </c>
      <c r="BG635" s="378">
        <f t="shared" si="454"/>
        <v>-1.721451612903226</v>
      </c>
      <c r="BH635" s="378">
        <f t="shared" si="454"/>
        <v>-2.1082799295774652</v>
      </c>
      <c r="BI635" s="417" t="str">
        <f t="shared" si="454"/>
        <v/>
      </c>
      <c r="BJ635" s="1130">
        <f>IF(BJ627="","",BJ627/BE628-1)</f>
        <v>-3.8235357142857143</v>
      </c>
      <c r="BK635" s="378">
        <f t="shared" si="454"/>
        <v>0.25725195312499993</v>
      </c>
      <c r="BL635" s="378" t="str">
        <f t="shared" si="454"/>
        <v/>
      </c>
      <c r="BM635" s="378" t="str">
        <f t="shared" si="454"/>
        <v/>
      </c>
      <c r="BN635" s="417" t="str">
        <f t="shared" si="454"/>
        <v/>
      </c>
      <c r="BO635" s="378" t="str">
        <f>IF(BO627="","",BO627/BJ628-1)</f>
        <v/>
      </c>
      <c r="BP635" s="378" t="str">
        <f>IF(BP627="","",BP627/BK628-1)</f>
        <v/>
      </c>
      <c r="BQ635" s="378" t="str">
        <f>IF(BQ627="","",BQ627/BL628-1)</f>
        <v/>
      </c>
      <c r="BR635" s="378" t="str">
        <f>IF(BR627="","",BR627/BM628-1)</f>
        <v/>
      </c>
      <c r="BS635" s="417" t="str">
        <f>IF(BS627="","",BS627/BN628-1)</f>
        <v/>
      </c>
      <c r="BT635" s="417"/>
      <c r="BU635" s="417"/>
      <c r="BV635" s="417"/>
      <c r="BW635" s="118"/>
    </row>
    <row r="636" spans="1:75" hidden="1" outlineLevel="1" x14ac:dyDescent="0.5">
      <c r="A636" s="1192" t="s">
        <v>2586</v>
      </c>
      <c r="B636" s="769"/>
      <c r="C636" s="770"/>
      <c r="D636" s="770" t="str">
        <f>IF(D629="","",D629/C628)</f>
        <v/>
      </c>
      <c r="E636" s="770" t="str">
        <f>IF(E629="","",E629/D628)</f>
        <v/>
      </c>
      <c r="F636" s="770" t="str">
        <f>IF(F629="","",F629/E628)</f>
        <v/>
      </c>
      <c r="G636" s="771"/>
      <c r="H636" s="771"/>
      <c r="I636" s="771"/>
      <c r="J636" s="771"/>
      <c r="K636" s="770" t="str">
        <f t="shared" ref="K636:BN636" si="455">IF(K629="","",K629/F628)</f>
        <v/>
      </c>
      <c r="L636" s="771" t="str">
        <f t="shared" si="455"/>
        <v/>
      </c>
      <c r="M636" s="771" t="str">
        <f t="shared" si="455"/>
        <v/>
      </c>
      <c r="N636" s="771" t="str">
        <f t="shared" si="455"/>
        <v/>
      </c>
      <c r="O636" s="771" t="str">
        <f t="shared" si="455"/>
        <v/>
      </c>
      <c r="P636" s="770" t="str">
        <f t="shared" si="455"/>
        <v/>
      </c>
      <c r="Q636" s="771" t="str">
        <f t="shared" si="455"/>
        <v/>
      </c>
      <c r="R636" s="771" t="str">
        <f t="shared" si="455"/>
        <v/>
      </c>
      <c r="S636" s="771" t="str">
        <f t="shared" si="455"/>
        <v/>
      </c>
      <c r="T636" s="771" t="str">
        <f t="shared" si="455"/>
        <v/>
      </c>
      <c r="U636" s="770" t="str">
        <f t="shared" si="455"/>
        <v/>
      </c>
      <c r="V636" s="771" t="str">
        <f t="shared" si="455"/>
        <v/>
      </c>
      <c r="W636" s="771" t="str">
        <f t="shared" si="455"/>
        <v/>
      </c>
      <c r="X636" s="771" t="str">
        <f t="shared" si="455"/>
        <v/>
      </c>
      <c r="Y636" s="771" t="str">
        <f t="shared" si="455"/>
        <v/>
      </c>
      <c r="Z636" s="770" t="str">
        <f t="shared" si="455"/>
        <v/>
      </c>
      <c r="AA636" s="771" t="str">
        <f t="shared" si="455"/>
        <v/>
      </c>
      <c r="AB636" s="771" t="str">
        <f t="shared" si="455"/>
        <v/>
      </c>
      <c r="AC636" s="771" t="str">
        <f t="shared" si="455"/>
        <v/>
      </c>
      <c r="AD636" s="771" t="str">
        <f t="shared" si="455"/>
        <v/>
      </c>
      <c r="AE636" s="770" t="str">
        <f t="shared" si="455"/>
        <v/>
      </c>
      <c r="AF636" s="771" t="str">
        <f t="shared" si="455"/>
        <v/>
      </c>
      <c r="AG636" s="771" t="str">
        <f t="shared" si="455"/>
        <v/>
      </c>
      <c r="AH636" s="771" t="str">
        <f t="shared" si="455"/>
        <v/>
      </c>
      <c r="AI636" s="771" t="str">
        <f t="shared" si="455"/>
        <v/>
      </c>
      <c r="AJ636" s="770" t="str">
        <f t="shared" si="455"/>
        <v/>
      </c>
      <c r="AK636" s="771" t="str">
        <f t="shared" si="455"/>
        <v/>
      </c>
      <c r="AL636" s="771" t="str">
        <f t="shared" si="455"/>
        <v/>
      </c>
      <c r="AM636" s="771" t="str">
        <f t="shared" si="455"/>
        <v/>
      </c>
      <c r="AN636" s="771" t="str">
        <f t="shared" si="455"/>
        <v/>
      </c>
      <c r="AO636" s="770" t="str">
        <f t="shared" si="455"/>
        <v/>
      </c>
      <c r="AP636" s="771" t="str">
        <f t="shared" si="455"/>
        <v/>
      </c>
      <c r="AQ636" s="771" t="str">
        <f t="shared" si="455"/>
        <v/>
      </c>
      <c r="AR636" s="771" t="str">
        <f t="shared" si="455"/>
        <v/>
      </c>
      <c r="AS636" s="771" t="str">
        <f t="shared" si="455"/>
        <v/>
      </c>
      <c r="AT636" s="770" t="str">
        <f t="shared" si="455"/>
        <v/>
      </c>
      <c r="AU636" s="771" t="str">
        <f t="shared" si="455"/>
        <v/>
      </c>
      <c r="AV636" s="771" t="str">
        <f t="shared" si="455"/>
        <v/>
      </c>
      <c r="AW636" s="771" t="str">
        <f t="shared" si="455"/>
        <v/>
      </c>
      <c r="AX636" s="771" t="str">
        <f t="shared" si="455"/>
        <v/>
      </c>
      <c r="AY636" s="770" t="str">
        <f t="shared" si="455"/>
        <v/>
      </c>
      <c r="AZ636" s="771" t="str">
        <f t="shared" si="455"/>
        <v/>
      </c>
      <c r="BA636" s="771" t="str">
        <f t="shared" si="455"/>
        <v/>
      </c>
      <c r="BB636" s="771">
        <f t="shared" si="455"/>
        <v>-0.39317531741397882</v>
      </c>
      <c r="BC636" s="771">
        <f t="shared" si="455"/>
        <v>2.8983588891767718</v>
      </c>
      <c r="BD636" s="770" t="str">
        <f t="shared" si="455"/>
        <v/>
      </c>
      <c r="BE636" s="771">
        <f t="shared" si="455"/>
        <v>-0.36346194690265482</v>
      </c>
      <c r="BF636" s="771">
        <f t="shared" si="455"/>
        <v>-0.85526481481481464</v>
      </c>
      <c r="BG636" s="771">
        <f t="shared" si="455"/>
        <v>-8.4999999999999937E-2</v>
      </c>
      <c r="BH636" s="771">
        <f t="shared" si="455"/>
        <v>-0.18749471830985889</v>
      </c>
      <c r="BI636" s="770" t="str">
        <f t="shared" si="455"/>
        <v/>
      </c>
      <c r="BJ636" s="1314">
        <f>IF(BJ629="","",BJ629/BE628)</f>
        <v>-2.5336071428571429</v>
      </c>
      <c r="BK636" s="771">
        <f t="shared" si="455"/>
        <v>6.0387480279628925E-3</v>
      </c>
      <c r="BL636" s="771" t="str">
        <f t="shared" si="455"/>
        <v/>
      </c>
      <c r="BM636" s="771" t="str">
        <f t="shared" si="455"/>
        <v/>
      </c>
      <c r="BN636" s="770" t="str">
        <f t="shared" si="455"/>
        <v/>
      </c>
      <c r="BO636" s="771" t="str">
        <f>IF(BO629="","",BO629/BJ628)</f>
        <v/>
      </c>
      <c r="BP636" s="771" t="str">
        <f>IF(BP629="","",BP629/BK628)</f>
        <v/>
      </c>
      <c r="BQ636" s="771" t="str">
        <f>IF(BQ629="","",BQ629/BL628)</f>
        <v/>
      </c>
      <c r="BR636" s="771" t="str">
        <f>IF(BR629="","",BR629/BM628)</f>
        <v/>
      </c>
      <c r="BS636" s="770" t="str">
        <f>IF(BS629="","",BS629/BN628)</f>
        <v/>
      </c>
      <c r="BT636" s="770"/>
      <c r="BU636" s="770"/>
      <c r="BV636" s="770"/>
      <c r="BW636" s="118"/>
    </row>
    <row r="637" spans="1:75" hidden="1" outlineLevel="1" x14ac:dyDescent="0.5">
      <c r="A637" s="1150" t="s">
        <v>2587</v>
      </c>
      <c r="B637" s="1525"/>
      <c r="C637" s="1147"/>
      <c r="D637" s="1147"/>
      <c r="E637" s="1147"/>
      <c r="F637" s="1147"/>
      <c r="G637" s="1148"/>
      <c r="H637" s="1148"/>
      <c r="I637" s="1148"/>
      <c r="J637" s="1148"/>
      <c r="K637" s="1147">
        <f t="shared" ref="K637:BN637" si="456">K628/F628-1</f>
        <v>-0.75719379716394353</v>
      </c>
      <c r="L637" s="1148">
        <f t="shared" si="456"/>
        <v>6.6329661683713335</v>
      </c>
      <c r="M637" s="1148">
        <f t="shared" si="456"/>
        <v>-40.816742081445909</v>
      </c>
      <c r="N637" s="1148">
        <f t="shared" si="456"/>
        <v>100.19889502761525</v>
      </c>
      <c r="O637" s="1148">
        <f t="shared" si="456"/>
        <v>10.1561051004637</v>
      </c>
      <c r="P637" s="1147">
        <f t="shared" si="456"/>
        <v>20.358265027322368</v>
      </c>
      <c r="Q637" s="1148">
        <f t="shared" si="456"/>
        <v>-0.36401587383394141</v>
      </c>
      <c r="R637" s="1148">
        <f t="shared" si="456"/>
        <v>-0.71748394795158887</v>
      </c>
      <c r="S637" s="1148">
        <f t="shared" si="456"/>
        <v>-0.92111153573183213</v>
      </c>
      <c r="T637" s="1148">
        <f t="shared" si="456"/>
        <v>-1.3917982820726016</v>
      </c>
      <c r="U637" s="1147">
        <f t="shared" si="456"/>
        <v>-0.74528679022019295</v>
      </c>
      <c r="V637" s="1148">
        <f t="shared" si="456"/>
        <v>0.69854132901134736</v>
      </c>
      <c r="W637" s="1148">
        <f t="shared" si="456"/>
        <v>3.9993966210780485</v>
      </c>
      <c r="X637" s="1148">
        <f t="shared" si="456"/>
        <v>20.348788927335224</v>
      </c>
      <c r="Y637" s="1148">
        <f t="shared" si="456"/>
        <v>-5.2524752475247221</v>
      </c>
      <c r="Z637" s="1147">
        <f t="shared" si="456"/>
        <v>4.5679578127943365</v>
      </c>
      <c r="AA637" s="1148">
        <f t="shared" si="456"/>
        <v>-3.0534351145102834E-3</v>
      </c>
      <c r="AB637" s="1148">
        <f t="shared" si="456"/>
        <v>-0.90964315886873071</v>
      </c>
      <c r="AC637" s="1148">
        <f t="shared" si="456"/>
        <v>-0.26506531816266699</v>
      </c>
      <c r="AD637" s="1148">
        <f t="shared" si="456"/>
        <v>0.76442707467150273</v>
      </c>
      <c r="AE637" s="1147">
        <f t="shared" si="456"/>
        <v>-0.24420466332927859</v>
      </c>
      <c r="AF637" s="1148">
        <f t="shared" si="456"/>
        <v>1.3908882082695251</v>
      </c>
      <c r="AG637" s="1148">
        <f t="shared" si="456"/>
        <v>14.498219056099979</v>
      </c>
      <c r="AH637" s="1148">
        <f t="shared" si="456"/>
        <v>2.3700158786168108</v>
      </c>
      <c r="AI637" s="1148">
        <f t="shared" si="456"/>
        <v>1.5360290305858566</v>
      </c>
      <c r="AJ637" s="1147">
        <f t="shared" si="456"/>
        <v>2.2071666194262751</v>
      </c>
      <c r="AK637" s="1148">
        <f t="shared" si="456"/>
        <v>1.0459967974379576</v>
      </c>
      <c r="AL637" s="1148">
        <f t="shared" si="456"/>
        <v>1.0104857939038769</v>
      </c>
      <c r="AM637" s="1148">
        <f t="shared" si="456"/>
        <v>0.88710162947450799</v>
      </c>
      <c r="AN637" s="1148">
        <f t="shared" si="456"/>
        <v>2.3479335464208497</v>
      </c>
      <c r="AO637" s="1147">
        <f t="shared" si="456"/>
        <v>1.3096573730382439</v>
      </c>
      <c r="AP637" s="1148">
        <f t="shared" si="456"/>
        <v>0.24515251716918596</v>
      </c>
      <c r="AQ637" s="1148">
        <f t="shared" si="456"/>
        <v>-7.2845691096409171</v>
      </c>
      <c r="AR637" s="1148">
        <f t="shared" si="456"/>
        <v>-3.5738778227820038</v>
      </c>
      <c r="AS637" s="1148">
        <f t="shared" si="456"/>
        <v>-2.4611537586243335</v>
      </c>
      <c r="AT637" s="1147">
        <f t="shared" si="456"/>
        <v>-2.9069568859960051</v>
      </c>
      <c r="AU637" s="1148">
        <f t="shared" si="456"/>
        <v>-2.6166864398123773</v>
      </c>
      <c r="AV637" s="1148">
        <f t="shared" si="456"/>
        <v>-0.29324508370602809</v>
      </c>
      <c r="AW637" s="1148">
        <f t="shared" si="456"/>
        <v>-0.72770753842505786</v>
      </c>
      <c r="AX637" s="1148">
        <f t="shared" si="456"/>
        <v>-1.0146368333080105</v>
      </c>
      <c r="AY637" s="1147">
        <f t="shared" si="456"/>
        <v>-0.35156005778930566</v>
      </c>
      <c r="AZ637" s="1148">
        <f t="shared" si="456"/>
        <v>-1.5491648320673383</v>
      </c>
      <c r="BA637" s="1148">
        <f t="shared" si="456"/>
        <v>-1.3474456311928962</v>
      </c>
      <c r="BB637" s="1148">
        <f t="shared" si="456"/>
        <v>-2.2271031459362103</v>
      </c>
      <c r="BC637" s="1148">
        <f t="shared" si="456"/>
        <v>17.427199584735998</v>
      </c>
      <c r="BD637" s="1147">
        <f t="shared" si="456"/>
        <v>-1.6775244299674266</v>
      </c>
      <c r="BE637" s="1148">
        <f t="shared" si="456"/>
        <v>-0.87610619469026552</v>
      </c>
      <c r="BF637" s="1148">
        <f t="shared" si="456"/>
        <v>-2.1851851851851851</v>
      </c>
      <c r="BG637" s="1148">
        <f t="shared" si="456"/>
        <v>-1.8064516129032258</v>
      </c>
      <c r="BH637" s="1148">
        <f t="shared" si="456"/>
        <v>-2.295774647887324</v>
      </c>
      <c r="BI637" s="1147">
        <f t="shared" si="456"/>
        <v>-1.7355769230769231</v>
      </c>
      <c r="BJ637" s="1149">
        <f>BJ628/BE628-1</f>
        <v>-6.3571428571428568</v>
      </c>
      <c r="BK637" s="1148">
        <f t="shared" si="456"/>
        <v>0.26329070115296282</v>
      </c>
      <c r="BL637" s="1148">
        <f t="shared" si="456"/>
        <v>-0.42187569255592061</v>
      </c>
      <c r="BM637" s="1148">
        <f t="shared" si="456"/>
        <v>-0.52882367505789429</v>
      </c>
      <c r="BN637" s="1147">
        <f t="shared" si="456"/>
        <v>0.10412373328974156</v>
      </c>
      <c r="BO637" s="1148">
        <f>BO628/BJ628-1</f>
        <v>0.31447939914489731</v>
      </c>
      <c r="BP637" s="1148">
        <f>BP628/BK628-1</f>
        <v>-0.90082959221063164</v>
      </c>
      <c r="BQ637" s="1148">
        <f>BQ628/BL628-1</f>
        <v>4.9314831892654398E-2</v>
      </c>
      <c r="BR637" s="1148">
        <f>BR628/BM628-1</f>
        <v>5.641648644025743E-2</v>
      </c>
      <c r="BS637" s="1147">
        <f>BS628/BN628-1</f>
        <v>-0.34565225681247136</v>
      </c>
      <c r="BT637" s="1147">
        <f>BT628/BS628-1</f>
        <v>1.0204979496068702</v>
      </c>
      <c r="BU637" s="1147">
        <f>BU628/BT628-1</f>
        <v>0.5518278717490317</v>
      </c>
      <c r="BV637" s="1147">
        <f>BV628/BU628-1</f>
        <v>0.41242241153499992</v>
      </c>
      <c r="BW637" s="118"/>
    </row>
    <row r="638" spans="1:75" hidden="1" outlineLevel="1" x14ac:dyDescent="0.5">
      <c r="A638" s="1524"/>
      <c r="B638" s="513"/>
      <c r="C638" s="401"/>
      <c r="D638" s="401"/>
      <c r="E638" s="401"/>
      <c r="F638" s="401"/>
      <c r="G638" s="118"/>
      <c r="H638" s="118"/>
      <c r="I638" s="118"/>
      <c r="J638" s="118"/>
      <c r="K638" s="401"/>
      <c r="L638" s="118"/>
      <c r="M638" s="118"/>
      <c r="N638" s="118"/>
      <c r="O638" s="118"/>
      <c r="P638" s="401"/>
      <c r="Q638" s="118"/>
      <c r="R638" s="118"/>
      <c r="S638" s="118"/>
      <c r="T638" s="118"/>
      <c r="U638" s="401"/>
      <c r="V638" s="118"/>
      <c r="W638" s="118"/>
      <c r="X638" s="118"/>
      <c r="Y638" s="118"/>
      <c r="Z638" s="401"/>
      <c r="AA638" s="118"/>
      <c r="AB638" s="118"/>
      <c r="AC638" s="118"/>
      <c r="AD638" s="118"/>
      <c r="AE638" s="401"/>
      <c r="AF638" s="118"/>
      <c r="AG638" s="118"/>
      <c r="AH638" s="118"/>
      <c r="AI638" s="118"/>
      <c r="AJ638" s="401"/>
      <c r="AK638" s="118"/>
      <c r="AL638" s="118"/>
      <c r="AM638" s="118"/>
      <c r="AN638" s="118"/>
      <c r="AO638" s="401"/>
      <c r="AP638" s="118"/>
      <c r="AQ638" s="118"/>
      <c r="AR638" s="118"/>
      <c r="AS638" s="118"/>
      <c r="AT638" s="401"/>
      <c r="AU638" s="118"/>
      <c r="AV638" s="118"/>
      <c r="AW638" s="118"/>
      <c r="AX638" s="118"/>
      <c r="AY638" s="401"/>
      <c r="AZ638" s="118"/>
      <c r="BA638" s="118"/>
      <c r="BB638" s="118"/>
      <c r="BC638" s="118"/>
      <c r="BD638" s="401"/>
      <c r="BE638" s="118"/>
      <c r="BF638" s="118"/>
      <c r="BG638" s="118"/>
      <c r="BH638" s="118"/>
      <c r="BI638" s="401"/>
      <c r="BJ638" s="971"/>
      <c r="BK638" s="118"/>
      <c r="BL638" s="118"/>
      <c r="BM638" s="118"/>
      <c r="BN638" s="401"/>
      <c r="BO638" s="118"/>
      <c r="BP638" s="118"/>
      <c r="BQ638" s="118"/>
      <c r="BR638" s="118"/>
      <c r="BS638" s="401"/>
      <c r="BT638" s="401"/>
      <c r="BU638" s="401"/>
      <c r="BV638" s="401"/>
      <c r="BW638" s="118"/>
    </row>
    <row r="639" spans="1:75" hidden="1" outlineLevel="2" x14ac:dyDescent="0.5">
      <c r="A639" s="526" t="s">
        <v>2588</v>
      </c>
      <c r="B639" s="513"/>
      <c r="C639" s="423"/>
      <c r="D639" s="423"/>
      <c r="E639" s="423"/>
      <c r="F639" s="423"/>
      <c r="G639" s="422"/>
      <c r="H639" s="422" t="str">
        <f>IF(ISBLANK(G663),"",G663)</f>
        <v/>
      </c>
      <c r="I639" s="422" t="str">
        <f>IF(ISBLANK(H663),"",H663)</f>
        <v/>
      </c>
      <c r="J639" s="422" t="str">
        <f>IF(ISBLANK(I663),"",I663)</f>
        <v/>
      </c>
      <c r="K639" s="423"/>
      <c r="L639" s="422" t="str">
        <f>IF(ISBLANK(J663),"",J663)</f>
        <v/>
      </c>
      <c r="M639" s="422" t="str">
        <f>IF(ISBLANK(L663),"",L663)</f>
        <v/>
      </c>
      <c r="N639" s="422" t="str">
        <f>IF(ISBLANK(M663),"",M663)</f>
        <v/>
      </c>
      <c r="O639" s="422" t="str">
        <f>IF(ISBLANK(N663),"",N663)</f>
        <v/>
      </c>
      <c r="P639" s="423" t="str">
        <f>IF(ISBLANK(J688),"",J688)</f>
        <v/>
      </c>
      <c r="Q639" s="422" t="str">
        <f>IF(ISBLANK(O663),"",O663)</f>
        <v/>
      </c>
      <c r="R639" s="422" t="str">
        <f>IF(ISBLANK(Q663),"",Q663)</f>
        <v/>
      </c>
      <c r="S639" s="422" t="str">
        <f>IF(ISBLANK(R663),"",R663)</f>
        <v/>
      </c>
      <c r="T639" s="422" t="str">
        <f>IF(ISBLANK(S663),"",S663)</f>
        <v/>
      </c>
      <c r="U639" s="423" t="str">
        <f>IF(ISBLANK(O688),"",O688)</f>
        <v/>
      </c>
      <c r="V639" s="422" t="str">
        <f>IF(ISBLANK(T663),"",T663)</f>
        <v/>
      </c>
      <c r="W639" s="422" t="str">
        <f>IF(ISBLANK(V663),"",V663)</f>
        <v/>
      </c>
      <c r="X639" s="422" t="str">
        <f>IF(ISBLANK(W663),"",W663)</f>
        <v/>
      </c>
      <c r="Y639" s="422" t="str">
        <f>IF(ISBLANK(X663),"",X663)</f>
        <v/>
      </c>
      <c r="Z639" s="423" t="str">
        <f>IF(ISBLANK(T688),"",T688)</f>
        <v/>
      </c>
      <c r="AA639" s="422" t="str">
        <f>IF(ISBLANK(Y663),"",Y663)</f>
        <v/>
      </c>
      <c r="AB639" s="422" t="str">
        <f>IF(ISBLANK(AA663),"",AA663)</f>
        <v/>
      </c>
      <c r="AC639" s="422" t="str">
        <f>IF(ISBLANK(AB663),"",AB663)</f>
        <v/>
      </c>
      <c r="AD639" s="422" t="str">
        <f>IF(ISBLANK(AC663),"",AC663)</f>
        <v/>
      </c>
      <c r="AE639" s="423" t="str">
        <f>IF(ISBLANK(Y688),"",Y688)</f>
        <v/>
      </c>
      <c r="AF639" s="422" t="str">
        <f>IF(ISBLANK(AD663),"",AD663)</f>
        <v/>
      </c>
      <c r="AG639" s="422" t="str">
        <f>IF(ISBLANK(AF663),"",AF663)</f>
        <v/>
      </c>
      <c r="AH639" s="422" t="str">
        <f>IF(ISBLANK(AG663),"",AG663)</f>
        <v/>
      </c>
      <c r="AI639" s="422" t="str">
        <f>IF(ISBLANK(AH663),"",AH663)</f>
        <v/>
      </c>
      <c r="AJ639" s="423" t="str">
        <f>IF(ISBLANK(AD688),"",AD688)</f>
        <v/>
      </c>
      <c r="AK639" s="422" t="str">
        <f>IF(ISBLANK(AI663),"",AI663)</f>
        <v/>
      </c>
      <c r="AL639" s="422" t="str">
        <f>IF(ISBLANK(AK663),"",AK663)</f>
        <v/>
      </c>
      <c r="AM639" s="422" t="str">
        <f>IF(ISBLANK(AL663),"",AL663)</f>
        <v/>
      </c>
      <c r="AN639" s="422" t="str">
        <f>IF(ISBLANK(AM663),"",AM663)</f>
        <v/>
      </c>
      <c r="AO639" s="423" t="str">
        <f>IF(ISBLANK(AI688),"",AI688)</f>
        <v/>
      </c>
      <c r="AP639" s="422" t="str">
        <f>IF(ISBLANK(AN663),"",AN663)</f>
        <v/>
      </c>
      <c r="AQ639" s="422" t="str">
        <f>IF(ISBLANK(AP663),"",AP663)</f>
        <v/>
      </c>
      <c r="AR639" s="422" t="str">
        <f>IF(ISBLANK(AQ663),"",AQ663)</f>
        <v/>
      </c>
      <c r="AS639" s="422" t="str">
        <f>IF(ISBLANK(AR663),"",AR663)</f>
        <v/>
      </c>
      <c r="AT639" s="423" t="str">
        <f>IF(ISBLANK(AN688),"",AN688)</f>
        <v/>
      </c>
      <c r="AU639" s="422" t="str">
        <f>IF(ISBLANK(AS663),"",AS663)</f>
        <v/>
      </c>
      <c r="AV639" s="422" t="str">
        <f>IF(ISBLANK(AU663),"",AU663)</f>
        <v/>
      </c>
      <c r="AW639" s="422" t="str">
        <f>IF(ISBLANK(AV663),"",AV663)</f>
        <v/>
      </c>
      <c r="AX639" s="422" t="str">
        <f>IF(ISBLANK(AW663),"",AW663)</f>
        <v/>
      </c>
      <c r="AY639" s="423" t="str">
        <f>IF(ISBLANK(AS688),"",AS688)</f>
        <v/>
      </c>
      <c r="AZ639" s="422">
        <f>IF(ISBLANK(AX663),"",AX663)</f>
        <v>-3.0000000000000002E-2</v>
      </c>
      <c r="BA639" s="422">
        <f>IF(ISBLANK(AZ663),"",AZ663)</f>
        <v>-3.7999999999999999E-2</v>
      </c>
      <c r="BB639" s="422">
        <f>IF(ISBLANK(BA663),"",BA663)</f>
        <v>-3.0000000000000002E-2</v>
      </c>
      <c r="BC639" s="422">
        <f>IF(ISBLANK(BB663),"",BB663)</f>
        <v>-0.02</v>
      </c>
      <c r="BD639" s="423" t="str">
        <f>IF(ISBLANK(AX688),"",AX688)</f>
        <v/>
      </c>
      <c r="BE639" s="422">
        <f>IF(ISBLANK(BC663),"",BC663)</f>
        <v>-0.02</v>
      </c>
      <c r="BF639" s="422">
        <f>IF(ISBLANK(BE663),"",BE663)</f>
        <v>0.01</v>
      </c>
      <c r="BG639" s="422">
        <f>IF(ISBLANK(BF663),"",BF663)</f>
        <v>0.03</v>
      </c>
      <c r="BH639" s="422">
        <f>IF(ISBLANK(BG663),"",BG663)</f>
        <v>2.5000000000000001E-2</v>
      </c>
      <c r="BI639" s="423" t="str">
        <f>IF(ISBLANK(BC688),"",BC688)</f>
        <v/>
      </c>
      <c r="BJ639" s="1034">
        <f>IF(ISBLANK(BH663),"",BH663)</f>
        <v>1.4999999999999999E-2</v>
      </c>
      <c r="BK639" s="422">
        <f>IF(ISBLANK(BJ663),"",BJ663)</f>
        <v>0.05</v>
      </c>
      <c r="BL639" s="422" t="str">
        <f>IF(ISBLANK(BK663),"",BK663)</f>
        <v/>
      </c>
      <c r="BM639" s="422" t="str">
        <f>IF(ISBLANK(BL663),"",BL663)</f>
        <v/>
      </c>
      <c r="BN639" s="423" t="str">
        <f>IF(ISBLANK(BH688),"",BH688)</f>
        <v/>
      </c>
      <c r="BO639" s="422" t="str">
        <f>IF(ISBLANK(BM663),"",BM663)</f>
        <v/>
      </c>
      <c r="BP639" s="422" t="str">
        <f>IF(ISBLANK(BO663),"",BO663)</f>
        <v/>
      </c>
      <c r="BQ639" s="422" t="str">
        <f>IF(ISBLANK(BP663),"",BP663)</f>
        <v/>
      </c>
      <c r="BR639" s="422" t="str">
        <f>IF(ISBLANK(BQ663),"",BQ663)</f>
        <v/>
      </c>
      <c r="BS639" s="423" t="str">
        <f>IF(ISBLANK(BM688),"",BM688)</f>
        <v/>
      </c>
      <c r="BT639" s="423"/>
      <c r="BU639" s="423"/>
      <c r="BV639" s="423"/>
      <c r="BW639" s="118"/>
    </row>
    <row r="640" spans="1:75" hidden="1" outlineLevel="2" x14ac:dyDescent="0.5">
      <c r="A640" s="526" t="s">
        <v>2589</v>
      </c>
      <c r="B640" s="513"/>
      <c r="C640" s="423"/>
      <c r="D640" s="423"/>
      <c r="E640" s="423"/>
      <c r="F640" s="423"/>
      <c r="G640" s="422"/>
      <c r="H640" s="422"/>
      <c r="I640" s="422"/>
      <c r="J640" s="422"/>
      <c r="K640" s="423" t="str">
        <f>IF(ISBLANK(G688),"",G688)</f>
        <v/>
      </c>
      <c r="L640" s="422"/>
      <c r="M640" s="422"/>
      <c r="N640" s="422"/>
      <c r="O640" s="422"/>
      <c r="P640" s="423" t="str">
        <f>IF(ISBLANK(L688),"",L688)</f>
        <v/>
      </c>
      <c r="Q640" s="422"/>
      <c r="R640" s="422"/>
      <c r="S640" s="422"/>
      <c r="T640" s="422"/>
      <c r="U640" s="423" t="str">
        <f>IF(ISBLANK(Q688),"",Q688)</f>
        <v/>
      </c>
      <c r="V640" s="422"/>
      <c r="W640" s="422"/>
      <c r="X640" s="422"/>
      <c r="Y640" s="422"/>
      <c r="Z640" s="423" t="str">
        <f>IF(ISBLANK(V688),"",V688)</f>
        <v/>
      </c>
      <c r="AA640" s="422"/>
      <c r="AB640" s="422"/>
      <c r="AC640" s="422"/>
      <c r="AD640" s="422"/>
      <c r="AE640" s="423" t="str">
        <f>IF(ISBLANK(AA688),"",AA688)</f>
        <v/>
      </c>
      <c r="AF640" s="422"/>
      <c r="AG640" s="422"/>
      <c r="AH640" s="422"/>
      <c r="AI640" s="422"/>
      <c r="AJ640" s="423" t="str">
        <f>IF(ISBLANK(AF688),"",AF688)</f>
        <v/>
      </c>
      <c r="AK640" s="422"/>
      <c r="AL640" s="422"/>
      <c r="AM640" s="422"/>
      <c r="AN640" s="422"/>
      <c r="AO640" s="423" t="str">
        <f>IF(ISBLANK(AK688),"",AK688)</f>
        <v/>
      </c>
      <c r="AP640" s="422"/>
      <c r="AQ640" s="422"/>
      <c r="AR640" s="422"/>
      <c r="AS640" s="422"/>
      <c r="AT640" s="423" t="str">
        <f>IF(ISBLANK(AP688),"",AP688)</f>
        <v/>
      </c>
      <c r="AU640" s="422"/>
      <c r="AV640" s="422"/>
      <c r="AW640" s="422"/>
      <c r="AX640" s="422"/>
      <c r="AY640" s="423" t="str">
        <f>IF(ISBLANK(AU688),"",AU688)</f>
        <v/>
      </c>
      <c r="AZ640" s="422"/>
      <c r="BA640" s="422"/>
      <c r="BB640" s="422"/>
      <c r="BC640" s="422"/>
      <c r="BD640" s="423" t="str">
        <f>IF(ISBLANK(AZ688),"",AZ688)</f>
        <v/>
      </c>
      <c r="BE640" s="422"/>
      <c r="BF640" s="422"/>
      <c r="BG640" s="422"/>
      <c r="BH640" s="422"/>
      <c r="BI640" s="423" t="str">
        <f>IF(ISBLANK(BE688),"",BE688)</f>
        <v/>
      </c>
      <c r="BJ640" s="1034"/>
      <c r="BK640" s="422"/>
      <c r="BL640" s="422"/>
      <c r="BM640" s="422"/>
      <c r="BN640" s="423" t="str">
        <f>IF(ISBLANK(BJ688),"",BJ688)</f>
        <v/>
      </c>
      <c r="BO640" s="422"/>
      <c r="BP640" s="422"/>
      <c r="BQ640" s="422"/>
      <c r="BR640" s="422"/>
      <c r="BS640" s="423" t="str">
        <f>IF(ISBLANK(BO688),"",BO688)</f>
        <v/>
      </c>
      <c r="BT640" s="423"/>
      <c r="BU640" s="423"/>
      <c r="BV640" s="423"/>
      <c r="BW640" s="118"/>
    </row>
    <row r="641" spans="1:75" hidden="1" outlineLevel="2" x14ac:dyDescent="0.5">
      <c r="A641" s="526" t="s">
        <v>2590</v>
      </c>
      <c r="B641" s="513"/>
      <c r="C641" s="423"/>
      <c r="D641" s="423"/>
      <c r="E641" s="423"/>
      <c r="F641" s="423"/>
      <c r="G641" s="422"/>
      <c r="H641" s="422"/>
      <c r="I641" s="422"/>
      <c r="J641" s="422"/>
      <c r="K641" s="423" t="str">
        <f>IF(ISBLANK(H688),"",H688)</f>
        <v/>
      </c>
      <c r="L641" s="422"/>
      <c r="M641" s="422"/>
      <c r="N641" s="422"/>
      <c r="O641" s="422"/>
      <c r="P641" s="423" t="str">
        <f>IF(ISBLANK(M688),"",M688)</f>
        <v/>
      </c>
      <c r="Q641" s="422"/>
      <c r="R641" s="422"/>
      <c r="S641" s="422"/>
      <c r="T641" s="422"/>
      <c r="U641" s="423" t="str">
        <f>IF(ISBLANK(R688),"",R688)</f>
        <v/>
      </c>
      <c r="V641" s="422"/>
      <c r="W641" s="422"/>
      <c r="X641" s="422"/>
      <c r="Y641" s="422"/>
      <c r="Z641" s="423" t="str">
        <f>IF(ISBLANK(W688),"",W688)</f>
        <v/>
      </c>
      <c r="AA641" s="422"/>
      <c r="AB641" s="422"/>
      <c r="AC641" s="422"/>
      <c r="AD641" s="422"/>
      <c r="AE641" s="423" t="str">
        <f>IF(ISBLANK(AB688),"",AB688)</f>
        <v/>
      </c>
      <c r="AF641" s="422"/>
      <c r="AG641" s="422"/>
      <c r="AH641" s="422"/>
      <c r="AI641" s="422"/>
      <c r="AJ641" s="423" t="str">
        <f>IF(ISBLANK(AG688),"",AG688)</f>
        <v/>
      </c>
      <c r="AK641" s="422"/>
      <c r="AL641" s="422"/>
      <c r="AM641" s="422"/>
      <c r="AN641" s="422"/>
      <c r="AO641" s="423" t="str">
        <f>IF(ISBLANK(AL688),"",AL688)</f>
        <v/>
      </c>
      <c r="AP641" s="422"/>
      <c r="AQ641" s="422"/>
      <c r="AR641" s="422"/>
      <c r="AS641" s="422"/>
      <c r="AT641" s="423" t="str">
        <f>IF(ISBLANK(AQ688),"",AQ688)</f>
        <v/>
      </c>
      <c r="AU641" s="422"/>
      <c r="AV641" s="422"/>
      <c r="AW641" s="422"/>
      <c r="AX641" s="422"/>
      <c r="AY641" s="423" t="str">
        <f>IF(ISBLANK(AV688),"",AV688)</f>
        <v/>
      </c>
      <c r="AZ641" s="422"/>
      <c r="BA641" s="422"/>
      <c r="BB641" s="422"/>
      <c r="BC641" s="422"/>
      <c r="BD641" s="423" t="str">
        <f>IF(ISBLANK(BA688),"",BA688)</f>
        <v/>
      </c>
      <c r="BE641" s="422"/>
      <c r="BF641" s="422"/>
      <c r="BG641" s="422"/>
      <c r="BH641" s="422"/>
      <c r="BI641" s="423" t="str">
        <f>IF(ISBLANK(BF688),"",BF688)</f>
        <v/>
      </c>
      <c r="BJ641" s="1034"/>
      <c r="BK641" s="422"/>
      <c r="BL641" s="422"/>
      <c r="BM641" s="422"/>
      <c r="BN641" s="423" t="str">
        <f>IF(ISBLANK(BK688),"",BK688)</f>
        <v/>
      </c>
      <c r="BO641" s="422"/>
      <c r="BP641" s="422"/>
      <c r="BQ641" s="422"/>
      <c r="BR641" s="422"/>
      <c r="BS641" s="423" t="str">
        <f>IF(ISBLANK(BP688),"",BP688)</f>
        <v/>
      </c>
      <c r="BT641" s="423"/>
      <c r="BU641" s="423"/>
      <c r="BV641" s="423"/>
      <c r="BW641" s="118"/>
    </row>
    <row r="642" spans="1:75" hidden="1" outlineLevel="2" x14ac:dyDescent="0.5">
      <c r="A642" s="664" t="s">
        <v>2591</v>
      </c>
      <c r="B642" s="677"/>
      <c r="C642" s="1210"/>
      <c r="D642" s="1210"/>
      <c r="E642" s="1210"/>
      <c r="F642" s="1210"/>
      <c r="G642" s="1211"/>
      <c r="H642" s="1211"/>
      <c r="I642" s="1211"/>
      <c r="J642" s="1211"/>
      <c r="K642" s="1210" t="str">
        <f>IF(ISBLANK(I688),"",I688)</f>
        <v/>
      </c>
      <c r="L642" s="1211"/>
      <c r="M642" s="1211"/>
      <c r="N642" s="1211"/>
      <c r="O642" s="1211"/>
      <c r="P642" s="1210" t="str">
        <f>IF(ISBLANK(N688),"",N688)</f>
        <v/>
      </c>
      <c r="Q642" s="1211"/>
      <c r="R642" s="1211"/>
      <c r="S642" s="1211"/>
      <c r="T642" s="1211"/>
      <c r="U642" s="1210" t="str">
        <f>IF(ISBLANK(S688),"",S688)</f>
        <v/>
      </c>
      <c r="V642" s="1211"/>
      <c r="W642" s="1211"/>
      <c r="X642" s="1211"/>
      <c r="Y642" s="1211"/>
      <c r="Z642" s="1210" t="str">
        <f>IF(ISBLANK(X688),"",X688)</f>
        <v/>
      </c>
      <c r="AA642" s="1211"/>
      <c r="AB642" s="1211"/>
      <c r="AC642" s="1211"/>
      <c r="AD642" s="1211"/>
      <c r="AE642" s="1210" t="str">
        <f>IF(ISBLANK(AC688),"",AC688)</f>
        <v/>
      </c>
      <c r="AF642" s="1211"/>
      <c r="AG642" s="1211"/>
      <c r="AH642" s="1211"/>
      <c r="AI642" s="1211"/>
      <c r="AJ642" s="1210" t="str">
        <f>IF(ISBLANK(AH688),"",AH688)</f>
        <v/>
      </c>
      <c r="AK642" s="1211"/>
      <c r="AL642" s="1211"/>
      <c r="AM642" s="1211"/>
      <c r="AN642" s="1211"/>
      <c r="AO642" s="1210" t="str">
        <f>IF(ISBLANK(AM688),"",AM688)</f>
        <v/>
      </c>
      <c r="AP642" s="1211"/>
      <c r="AQ642" s="1211"/>
      <c r="AR642" s="1211"/>
      <c r="AS642" s="1211"/>
      <c r="AT642" s="1210" t="str">
        <f>IF(ISBLANK(AR688),"",AR688)</f>
        <v/>
      </c>
      <c r="AU642" s="1211"/>
      <c r="AV642" s="1211"/>
      <c r="AW642" s="1211"/>
      <c r="AX642" s="1211"/>
      <c r="AY642" s="1210" t="str">
        <f>IF(ISBLANK(AW688),"",AW688)</f>
        <v/>
      </c>
      <c r="AZ642" s="1211"/>
      <c r="BA642" s="1211"/>
      <c r="BB642" s="1211"/>
      <c r="BC642" s="1211"/>
      <c r="BD642" s="1210" t="str">
        <f>IF(ISBLANK(BB688),"",BB688)</f>
        <v/>
      </c>
      <c r="BE642" s="1211"/>
      <c r="BF642" s="1211"/>
      <c r="BG642" s="1211"/>
      <c r="BH642" s="1211"/>
      <c r="BI642" s="1210" t="str">
        <f>IF(ISBLANK(BG688),"",BG688)</f>
        <v/>
      </c>
      <c r="BJ642" s="1212"/>
      <c r="BK642" s="1211"/>
      <c r="BL642" s="1211"/>
      <c r="BM642" s="1211"/>
      <c r="BN642" s="1210" t="str">
        <f>IF(ISBLANK(BL688),"",BL688)</f>
        <v/>
      </c>
      <c r="BO642" s="1211"/>
      <c r="BP642" s="1211"/>
      <c r="BQ642" s="1211"/>
      <c r="BR642" s="1211"/>
      <c r="BS642" s="1210" t="str">
        <f>IF(ISBLANK(BQ688),"",BQ688)</f>
        <v/>
      </c>
      <c r="BT642" s="1210"/>
      <c r="BU642" s="1210"/>
      <c r="BV642" s="1210"/>
      <c r="BW642" s="118"/>
    </row>
    <row r="643" spans="1:75" hidden="1" outlineLevel="1" x14ac:dyDescent="0.5">
      <c r="A643" s="211" t="s">
        <v>2592</v>
      </c>
      <c r="B643" s="513"/>
      <c r="C643" s="423"/>
      <c r="D643" s="423"/>
      <c r="E643" s="423"/>
      <c r="F643" s="423"/>
      <c r="G643" s="422" t="str">
        <f t="shared" ref="G643:BN643" si="457">IF(G642="",IF(G641="",IF(G640="",IF(G639="","",G639),G640),G641),G642)</f>
        <v/>
      </c>
      <c r="H643" s="422" t="str">
        <f t="shared" si="457"/>
        <v/>
      </c>
      <c r="I643" s="422" t="str">
        <f t="shared" si="457"/>
        <v/>
      </c>
      <c r="J643" s="422" t="str">
        <f t="shared" si="457"/>
        <v/>
      </c>
      <c r="K643" s="423" t="str">
        <f t="shared" si="457"/>
        <v/>
      </c>
      <c r="L643" s="422" t="str">
        <f t="shared" si="457"/>
        <v/>
      </c>
      <c r="M643" s="422" t="str">
        <f t="shared" si="457"/>
        <v/>
      </c>
      <c r="N643" s="422" t="str">
        <f t="shared" si="457"/>
        <v/>
      </c>
      <c r="O643" s="422" t="str">
        <f t="shared" si="457"/>
        <v/>
      </c>
      <c r="P643" s="423" t="str">
        <f t="shared" si="457"/>
        <v/>
      </c>
      <c r="Q643" s="422" t="str">
        <f t="shared" si="457"/>
        <v/>
      </c>
      <c r="R643" s="422" t="str">
        <f t="shared" si="457"/>
        <v/>
      </c>
      <c r="S643" s="422" t="str">
        <f t="shared" si="457"/>
        <v/>
      </c>
      <c r="T643" s="422" t="str">
        <f t="shared" si="457"/>
        <v/>
      </c>
      <c r="U643" s="423" t="str">
        <f t="shared" si="457"/>
        <v/>
      </c>
      <c r="V643" s="422" t="str">
        <f t="shared" si="457"/>
        <v/>
      </c>
      <c r="W643" s="422" t="str">
        <f t="shared" si="457"/>
        <v/>
      </c>
      <c r="X643" s="422" t="str">
        <f t="shared" si="457"/>
        <v/>
      </c>
      <c r="Y643" s="422" t="str">
        <f t="shared" si="457"/>
        <v/>
      </c>
      <c r="Z643" s="423" t="str">
        <f t="shared" si="457"/>
        <v/>
      </c>
      <c r="AA643" s="422" t="str">
        <f t="shared" si="457"/>
        <v/>
      </c>
      <c r="AB643" s="422" t="str">
        <f t="shared" si="457"/>
        <v/>
      </c>
      <c r="AC643" s="422" t="str">
        <f t="shared" si="457"/>
        <v/>
      </c>
      <c r="AD643" s="422" t="str">
        <f t="shared" si="457"/>
        <v/>
      </c>
      <c r="AE643" s="423" t="str">
        <f t="shared" si="457"/>
        <v/>
      </c>
      <c r="AF643" s="422" t="str">
        <f t="shared" si="457"/>
        <v/>
      </c>
      <c r="AG643" s="422" t="str">
        <f t="shared" si="457"/>
        <v/>
      </c>
      <c r="AH643" s="422" t="str">
        <f t="shared" si="457"/>
        <v/>
      </c>
      <c r="AI643" s="422" t="str">
        <f t="shared" si="457"/>
        <v/>
      </c>
      <c r="AJ643" s="423" t="str">
        <f t="shared" si="457"/>
        <v/>
      </c>
      <c r="AK643" s="422" t="str">
        <f t="shared" si="457"/>
        <v/>
      </c>
      <c r="AL643" s="422" t="str">
        <f t="shared" si="457"/>
        <v/>
      </c>
      <c r="AM643" s="422" t="str">
        <f t="shared" si="457"/>
        <v/>
      </c>
      <c r="AN643" s="422" t="str">
        <f t="shared" si="457"/>
        <v/>
      </c>
      <c r="AO643" s="423" t="str">
        <f t="shared" si="457"/>
        <v/>
      </c>
      <c r="AP643" s="422" t="str">
        <f t="shared" si="457"/>
        <v/>
      </c>
      <c r="AQ643" s="422" t="str">
        <f t="shared" si="457"/>
        <v/>
      </c>
      <c r="AR643" s="422" t="str">
        <f t="shared" si="457"/>
        <v/>
      </c>
      <c r="AS643" s="422" t="str">
        <f t="shared" si="457"/>
        <v/>
      </c>
      <c r="AT643" s="423" t="str">
        <f t="shared" si="457"/>
        <v/>
      </c>
      <c r="AU643" s="422" t="str">
        <f t="shared" si="457"/>
        <v/>
      </c>
      <c r="AV643" s="422" t="str">
        <f t="shared" si="457"/>
        <v/>
      </c>
      <c r="AW643" s="422" t="str">
        <f t="shared" si="457"/>
        <v/>
      </c>
      <c r="AX643" s="422" t="str">
        <f t="shared" si="457"/>
        <v/>
      </c>
      <c r="AY643" s="423" t="str">
        <f t="shared" si="457"/>
        <v/>
      </c>
      <c r="AZ643" s="422">
        <f t="shared" si="457"/>
        <v>-3.0000000000000002E-2</v>
      </c>
      <c r="BA643" s="422">
        <f t="shared" si="457"/>
        <v>-3.7999999999999999E-2</v>
      </c>
      <c r="BB643" s="422">
        <f t="shared" si="457"/>
        <v>-3.0000000000000002E-2</v>
      </c>
      <c r="BC643" s="422">
        <f t="shared" si="457"/>
        <v>-0.02</v>
      </c>
      <c r="BD643" s="423" t="str">
        <f t="shared" si="457"/>
        <v/>
      </c>
      <c r="BE643" s="422">
        <f t="shared" si="457"/>
        <v>-0.02</v>
      </c>
      <c r="BF643" s="422">
        <f t="shared" si="457"/>
        <v>0.01</v>
      </c>
      <c r="BG643" s="422">
        <f t="shared" si="457"/>
        <v>0.03</v>
      </c>
      <c r="BH643" s="422">
        <f t="shared" si="457"/>
        <v>2.5000000000000001E-2</v>
      </c>
      <c r="BI643" s="423" t="str">
        <f t="shared" si="457"/>
        <v/>
      </c>
      <c r="BJ643" s="1034">
        <f>IF(BJ642="",IF(BJ641="",IF(BJ640="",IF(BJ639="","",BJ639),BJ640),BJ641),BJ642)</f>
        <v>1.4999999999999999E-2</v>
      </c>
      <c r="BK643" s="422">
        <f t="shared" si="457"/>
        <v>0.05</v>
      </c>
      <c r="BL643" s="422" t="str">
        <f t="shared" si="457"/>
        <v/>
      </c>
      <c r="BM643" s="422" t="str">
        <f t="shared" si="457"/>
        <v/>
      </c>
      <c r="BN643" s="423" t="str">
        <f t="shared" si="457"/>
        <v/>
      </c>
      <c r="BO643" s="422" t="str">
        <f>IF(BO642="",IF(BO641="",IF(BO640="",IF(BO639="","",BO639),BO640),BO641),BO642)</f>
        <v/>
      </c>
      <c r="BP643" s="422" t="str">
        <f>IF(BP642="",IF(BP641="",IF(BP640="",IF(BP639="","",BP639),BP640),BP641),BP642)</f>
        <v/>
      </c>
      <c r="BQ643" s="422" t="str">
        <f>IF(BQ642="",IF(BQ641="",IF(BQ640="",IF(BQ639="","",BQ639),BQ640),BQ641),BQ642)</f>
        <v/>
      </c>
      <c r="BR643" s="422" t="str">
        <f>IF(BR642="",IF(BR641="",IF(BR640="",IF(BR639="","",BR639),BR640),BR641),BR642)</f>
        <v/>
      </c>
      <c r="BS643" s="423" t="str">
        <f>IF(BS642="",IF(BS641="",IF(BS640="",IF(BS639="","",BS639),BS640),BS641),BS642)</f>
        <v/>
      </c>
      <c r="BT643" s="423"/>
      <c r="BU643" s="423"/>
      <c r="BV643" s="423"/>
      <c r="BW643" s="118"/>
    </row>
    <row r="644" spans="1:75" hidden="1" outlineLevel="1" x14ac:dyDescent="0.5">
      <c r="A644" s="1534" t="s">
        <v>2593</v>
      </c>
      <c r="B644" s="677"/>
      <c r="C644" s="1210">
        <f t="shared" ref="C644:BN644" si="458">C168</f>
        <v>0</v>
      </c>
      <c r="D644" s="1210">
        <f t="shared" si="458"/>
        <v>0</v>
      </c>
      <c r="E644" s="1210">
        <f t="shared" si="458"/>
        <v>0</v>
      </c>
      <c r="F644" s="1210">
        <f t="shared" si="458"/>
        <v>-2.0063957086857858E-2</v>
      </c>
      <c r="G644" s="1211">
        <f t="shared" si="458"/>
        <v>-1.4135493880365509E-2</v>
      </c>
      <c r="H644" s="1211">
        <f t="shared" si="458"/>
        <v>2.1733037659126772E-3</v>
      </c>
      <c r="I644" s="1211">
        <f t="shared" si="458"/>
        <v>-7.6274114841011118E-4</v>
      </c>
      <c r="J644" s="1211">
        <f t="shared" si="458"/>
        <v>-2.1907473936200717E-3</v>
      </c>
      <c r="K644" s="1210">
        <f t="shared" si="458"/>
        <v>-3.1970545169859969E-3</v>
      </c>
      <c r="L644" s="1211">
        <f t="shared" si="458"/>
        <v>-6.9617914153573476E-2</v>
      </c>
      <c r="M644" s="1211">
        <f t="shared" si="458"/>
        <v>-5.9569383658783392E-2</v>
      </c>
      <c r="N644" s="1211">
        <f t="shared" si="458"/>
        <v>-5.4484395635775222E-2</v>
      </c>
      <c r="O644" s="1211">
        <f t="shared" si="458"/>
        <v>-1.7664376840039193E-2</v>
      </c>
      <c r="P644" s="1210">
        <f t="shared" si="458"/>
        <v>-4.741419506865685E-2</v>
      </c>
      <c r="Q644" s="1211">
        <f t="shared" si="458"/>
        <v>-2.9078330046115399E-2</v>
      </c>
      <c r="R644" s="1211">
        <f t="shared" si="458"/>
        <v>-1.0110787551448666E-2</v>
      </c>
      <c r="S644" s="1211">
        <f t="shared" si="458"/>
        <v>-2.4327746089041753E-3</v>
      </c>
      <c r="T644" s="1211">
        <f t="shared" si="458"/>
        <v>3.8227064437205537E-3</v>
      </c>
      <c r="U644" s="1210">
        <f t="shared" si="458"/>
        <v>-7.0799174180012758E-3</v>
      </c>
      <c r="V644" s="1211">
        <f t="shared" si="458"/>
        <v>-2.8045836745398518E-2</v>
      </c>
      <c r="W644" s="1211">
        <f t="shared" si="458"/>
        <v>-3.1587387918589727E-2</v>
      </c>
      <c r="X644" s="1211">
        <f t="shared" si="458"/>
        <v>-3.5807434491163991E-2</v>
      </c>
      <c r="Y644" s="1211">
        <f t="shared" si="458"/>
        <v>-1.2214605727031121E-2</v>
      </c>
      <c r="Z644" s="1210">
        <f t="shared" si="458"/>
        <v>-2.6237442165923119E-2</v>
      </c>
      <c r="AA644" s="1211">
        <f t="shared" si="458"/>
        <v>-2.1747976998933161E-2</v>
      </c>
      <c r="AB644" s="1211">
        <f t="shared" si="458"/>
        <v>-2.0002564888106401E-3</v>
      </c>
      <c r="AC644" s="1211">
        <f t="shared" si="458"/>
        <v>-1.8921747490815315E-2</v>
      </c>
      <c r="AD644" s="1211">
        <f t="shared" si="458"/>
        <v>-1.4745492753381158E-2</v>
      </c>
      <c r="AE644" s="1210">
        <f t="shared" si="458"/>
        <v>-1.4199214343890199E-2</v>
      </c>
      <c r="AF644" s="1211">
        <f t="shared" si="458"/>
        <v>-3.5577229149115937E-2</v>
      </c>
      <c r="AG644" s="1211">
        <f t="shared" si="458"/>
        <v>-2.1029375516536372E-2</v>
      </c>
      <c r="AH644" s="1211">
        <f t="shared" si="458"/>
        <v>-4.4795370666228962E-2</v>
      </c>
      <c r="AI644" s="1211">
        <f t="shared" si="458"/>
        <v>-2.6718914163030533E-2</v>
      </c>
      <c r="AJ644" s="1210">
        <f t="shared" si="458"/>
        <v>-3.1712713082744301E-2</v>
      </c>
      <c r="AK644" s="1211">
        <f t="shared" si="458"/>
        <v>-5.2558862501536192E-2</v>
      </c>
      <c r="AL644" s="1211">
        <f t="shared" si="458"/>
        <v>-2.9865771955287723E-2</v>
      </c>
      <c r="AM644" s="1211">
        <f t="shared" si="458"/>
        <v>-6.2539498162427279E-2</v>
      </c>
      <c r="AN644" s="1211">
        <f t="shared" si="458"/>
        <v>-7.1110997083074806E-2</v>
      </c>
      <c r="AO644" s="1210">
        <f t="shared" si="458"/>
        <v>-5.4403516927745692E-2</v>
      </c>
      <c r="AP644" s="1211">
        <f t="shared" si="458"/>
        <v>-5.4623844934664864E-2</v>
      </c>
      <c r="AQ644" s="1211">
        <f t="shared" si="458"/>
        <v>0.10217108295359084</v>
      </c>
      <c r="AR644" s="1211">
        <f t="shared" si="458"/>
        <v>9.6654573298572591E-2</v>
      </c>
      <c r="AS644" s="1211">
        <f t="shared" si="458"/>
        <v>7.1710892106489788E-2</v>
      </c>
      <c r="AT644" s="1210">
        <f t="shared" si="458"/>
        <v>6.6940795845588416E-2</v>
      </c>
      <c r="AU644" s="1211">
        <f t="shared" si="458"/>
        <v>5.9170649871546306E-2</v>
      </c>
      <c r="AV644" s="1211">
        <f t="shared" si="458"/>
        <v>8.0578055000666338E-2</v>
      </c>
      <c r="AW644" s="1211">
        <f t="shared" si="458"/>
        <v>3.2376902504675467E-2</v>
      </c>
      <c r="AX644" s="1211">
        <f t="shared" si="458"/>
        <v>-1.1848920573486106E-3</v>
      </c>
      <c r="AY644" s="1210">
        <f t="shared" si="458"/>
        <v>4.4791362707907789E-2</v>
      </c>
      <c r="AZ644" s="1211">
        <f t="shared" si="458"/>
        <v>-3.7754761109254929E-2</v>
      </c>
      <c r="BA644" s="1211">
        <f t="shared" si="458"/>
        <v>-3.2886723507917173E-2</v>
      </c>
      <c r="BB644" s="1211">
        <f t="shared" si="458"/>
        <v>-4.3661971830985913E-2</v>
      </c>
      <c r="BC644" s="1211">
        <f t="shared" si="458"/>
        <v>-2.2895840051596259E-2</v>
      </c>
      <c r="BD644" s="1210">
        <f t="shared" si="458"/>
        <v>-3.4048125716156494E-2</v>
      </c>
      <c r="BE644" s="1211">
        <f t="shared" si="458"/>
        <v>-5.0468637346791634E-3</v>
      </c>
      <c r="BF644" s="1211">
        <f t="shared" si="458"/>
        <v>4.0365815200252286E-2</v>
      </c>
      <c r="BG644" s="1211">
        <f t="shared" si="458"/>
        <v>3.3967391304347824E-2</v>
      </c>
      <c r="BH644" s="1211">
        <f t="shared" si="458"/>
        <v>2.9543994861913937E-2</v>
      </c>
      <c r="BI644" s="1210">
        <f t="shared" si="458"/>
        <v>2.5493626593351661E-2</v>
      </c>
      <c r="BJ644" s="1212">
        <f t="shared" si="458"/>
        <v>2.7482594356907291E-2</v>
      </c>
      <c r="BK644" s="1211">
        <f t="shared" si="458"/>
        <v>5.0252682675521715E-2</v>
      </c>
      <c r="BL644" s="1211">
        <f t="shared" si="458"/>
        <v>1.9351990765686545E-2</v>
      </c>
      <c r="BM644" s="1211">
        <f t="shared" si="458"/>
        <v>1.3718129664975667E-2</v>
      </c>
      <c r="BN644" s="1210">
        <f t="shared" si="458"/>
        <v>2.7936089550002669E-2</v>
      </c>
      <c r="BO644" s="1211">
        <f t="shared" ref="BO644:BV644" si="459">BO168</f>
        <v>3.4044953206569792E-2</v>
      </c>
      <c r="BP644" s="1211">
        <f t="shared" si="459"/>
        <v>4.6965892506886358E-3</v>
      </c>
      <c r="BQ644" s="1211">
        <f t="shared" si="459"/>
        <v>1.9136948558470666E-2</v>
      </c>
      <c r="BR644" s="1211">
        <f t="shared" si="459"/>
        <v>1.3657502965024661E-2</v>
      </c>
      <c r="BS644" s="1210">
        <f t="shared" si="459"/>
        <v>1.7227230032182406E-2</v>
      </c>
      <c r="BT644" s="1210">
        <f t="shared" si="459"/>
        <v>3.2484638913373991E-2</v>
      </c>
      <c r="BU644" s="1210">
        <f t="shared" si="459"/>
        <v>4.704633192019566E-2</v>
      </c>
      <c r="BV644" s="1210">
        <f t="shared" si="459"/>
        <v>6.2014685443238265E-2</v>
      </c>
      <c r="BW644" s="118"/>
    </row>
    <row r="645" spans="1:75" hidden="1" outlineLevel="1" x14ac:dyDescent="0.5">
      <c r="A645" s="1535" t="s">
        <v>2594</v>
      </c>
      <c r="B645" s="1525"/>
      <c r="C645" s="957"/>
      <c r="D645" s="957"/>
      <c r="E645" s="957"/>
      <c r="F645" s="957"/>
      <c r="G645" s="958" t="str">
        <f t="shared" ref="G645:BN645" si="460">IFERROR((G644-G643)*10000,"")</f>
        <v/>
      </c>
      <c r="H645" s="958" t="str">
        <f t="shared" si="460"/>
        <v/>
      </c>
      <c r="I645" s="958" t="str">
        <f t="shared" si="460"/>
        <v/>
      </c>
      <c r="J645" s="958" t="str">
        <f t="shared" si="460"/>
        <v/>
      </c>
      <c r="K645" s="957" t="str">
        <f t="shared" si="460"/>
        <v/>
      </c>
      <c r="L645" s="958" t="str">
        <f t="shared" si="460"/>
        <v/>
      </c>
      <c r="M645" s="958" t="str">
        <f t="shared" si="460"/>
        <v/>
      </c>
      <c r="N645" s="958" t="str">
        <f t="shared" si="460"/>
        <v/>
      </c>
      <c r="O645" s="958" t="str">
        <f t="shared" si="460"/>
        <v/>
      </c>
      <c r="P645" s="957" t="str">
        <f t="shared" si="460"/>
        <v/>
      </c>
      <c r="Q645" s="958" t="str">
        <f t="shared" si="460"/>
        <v/>
      </c>
      <c r="R645" s="958" t="str">
        <f t="shared" si="460"/>
        <v/>
      </c>
      <c r="S645" s="958" t="str">
        <f t="shared" si="460"/>
        <v/>
      </c>
      <c r="T645" s="958" t="str">
        <f t="shared" si="460"/>
        <v/>
      </c>
      <c r="U645" s="957" t="str">
        <f t="shared" si="460"/>
        <v/>
      </c>
      <c r="V645" s="958" t="str">
        <f t="shared" si="460"/>
        <v/>
      </c>
      <c r="W645" s="958" t="str">
        <f t="shared" si="460"/>
        <v/>
      </c>
      <c r="X645" s="958" t="str">
        <f t="shared" si="460"/>
        <v/>
      </c>
      <c r="Y645" s="958" t="str">
        <f t="shared" si="460"/>
        <v/>
      </c>
      <c r="Z645" s="957" t="str">
        <f t="shared" si="460"/>
        <v/>
      </c>
      <c r="AA645" s="958" t="str">
        <f t="shared" si="460"/>
        <v/>
      </c>
      <c r="AB645" s="958" t="str">
        <f t="shared" si="460"/>
        <v/>
      </c>
      <c r="AC645" s="958" t="str">
        <f t="shared" si="460"/>
        <v/>
      </c>
      <c r="AD645" s="958" t="str">
        <f t="shared" si="460"/>
        <v/>
      </c>
      <c r="AE645" s="957" t="str">
        <f t="shared" si="460"/>
        <v/>
      </c>
      <c r="AF645" s="958" t="str">
        <f t="shared" si="460"/>
        <v/>
      </c>
      <c r="AG645" s="958" t="str">
        <f t="shared" si="460"/>
        <v/>
      </c>
      <c r="AH645" s="958" t="str">
        <f t="shared" si="460"/>
        <v/>
      </c>
      <c r="AI645" s="958" t="str">
        <f t="shared" si="460"/>
        <v/>
      </c>
      <c r="AJ645" s="957" t="str">
        <f t="shared" si="460"/>
        <v/>
      </c>
      <c r="AK645" s="958" t="str">
        <f t="shared" si="460"/>
        <v/>
      </c>
      <c r="AL645" s="958" t="str">
        <f t="shared" si="460"/>
        <v/>
      </c>
      <c r="AM645" s="958" t="str">
        <f t="shared" si="460"/>
        <v/>
      </c>
      <c r="AN645" s="958" t="str">
        <f t="shared" si="460"/>
        <v/>
      </c>
      <c r="AO645" s="957" t="str">
        <f t="shared" si="460"/>
        <v/>
      </c>
      <c r="AP645" s="958" t="str">
        <f t="shared" si="460"/>
        <v/>
      </c>
      <c r="AQ645" s="958" t="str">
        <f t="shared" si="460"/>
        <v/>
      </c>
      <c r="AR645" s="958" t="str">
        <f t="shared" si="460"/>
        <v/>
      </c>
      <c r="AS645" s="958" t="str">
        <f t="shared" si="460"/>
        <v/>
      </c>
      <c r="AT645" s="957" t="str">
        <f t="shared" si="460"/>
        <v/>
      </c>
      <c r="AU645" s="958" t="str">
        <f t="shared" si="460"/>
        <v/>
      </c>
      <c r="AV645" s="958" t="str">
        <f t="shared" si="460"/>
        <v/>
      </c>
      <c r="AW645" s="958" t="str">
        <f t="shared" si="460"/>
        <v/>
      </c>
      <c r="AX645" s="958" t="str">
        <f t="shared" si="460"/>
        <v/>
      </c>
      <c r="AY645" s="957" t="str">
        <f t="shared" si="460"/>
        <v/>
      </c>
      <c r="AZ645" s="958">
        <f t="shared" si="460"/>
        <v>-77.547611092549275</v>
      </c>
      <c r="BA645" s="958">
        <f t="shared" si="460"/>
        <v>51.132764920828258</v>
      </c>
      <c r="BB645" s="958">
        <f t="shared" si="460"/>
        <v>-136.61971830985911</v>
      </c>
      <c r="BC645" s="958">
        <f t="shared" si="460"/>
        <v>-28.958400515962587</v>
      </c>
      <c r="BD645" s="957" t="str">
        <f t="shared" si="460"/>
        <v/>
      </c>
      <c r="BE645" s="958">
        <f t="shared" si="460"/>
        <v>149.53136265320836</v>
      </c>
      <c r="BF645" s="958">
        <f t="shared" si="460"/>
        <v>303.65815200252285</v>
      </c>
      <c r="BG645" s="958">
        <f t="shared" si="460"/>
        <v>39.673913043478251</v>
      </c>
      <c r="BH645" s="958">
        <f t="shared" si="460"/>
        <v>45.439948619139351</v>
      </c>
      <c r="BI645" s="957" t="str">
        <f t="shared" si="460"/>
        <v/>
      </c>
      <c r="BJ645" s="1536">
        <f>IFERROR((BJ644-BJ643)*10000,"")</f>
        <v>124.82594356907292</v>
      </c>
      <c r="BK645" s="958">
        <f t="shared" si="460"/>
        <v>2.5268267552171206</v>
      </c>
      <c r="BL645" s="958" t="str">
        <f t="shared" si="460"/>
        <v/>
      </c>
      <c r="BM645" s="958" t="str">
        <f t="shared" si="460"/>
        <v/>
      </c>
      <c r="BN645" s="957" t="str">
        <f t="shared" si="460"/>
        <v/>
      </c>
      <c r="BO645" s="958" t="str">
        <f>IFERROR((BO644-BO643)*10000,"")</f>
        <v/>
      </c>
      <c r="BP645" s="958" t="str">
        <f>IFERROR((BP644-BP643)*10000,"")</f>
        <v/>
      </c>
      <c r="BQ645" s="958" t="str">
        <f>IFERROR((BQ644-BQ643)*10000,"")</f>
        <v/>
      </c>
      <c r="BR645" s="958" t="str">
        <f>IFERROR((BR644-BR643)*10000,"")</f>
        <v/>
      </c>
      <c r="BS645" s="957" t="str">
        <f>IFERROR((BS644-BS643)*10000,"")</f>
        <v/>
      </c>
      <c r="BT645" s="957"/>
      <c r="BU645" s="957"/>
      <c r="BV645" s="957"/>
      <c r="BW645" s="118"/>
    </row>
    <row r="646" spans="1:75" hidden="1" outlineLevel="2" x14ac:dyDescent="0.5">
      <c r="A646" s="1524"/>
      <c r="B646" s="513"/>
      <c r="C646" s="401"/>
      <c r="D646" s="401"/>
      <c r="E646" s="401"/>
      <c r="F646" s="401"/>
      <c r="G646" s="118"/>
      <c r="H646" s="118"/>
      <c r="I646" s="118"/>
      <c r="J646" s="118"/>
      <c r="K646" s="401"/>
      <c r="L646" s="118"/>
      <c r="M646" s="118"/>
      <c r="N646" s="118"/>
      <c r="O646" s="118"/>
      <c r="P646" s="401"/>
      <c r="Q646" s="118"/>
      <c r="R646" s="118"/>
      <c r="S646" s="118"/>
      <c r="T646" s="118"/>
      <c r="U646" s="401"/>
      <c r="V646" s="118"/>
      <c r="W646" s="118"/>
      <c r="X646" s="118"/>
      <c r="Y646" s="118"/>
      <c r="Z646" s="401"/>
      <c r="AA646" s="118"/>
      <c r="AB646" s="118"/>
      <c r="AC646" s="118"/>
      <c r="AD646" s="118"/>
      <c r="AE646" s="401"/>
      <c r="AF646" s="118"/>
      <c r="AG646" s="118"/>
      <c r="AH646" s="118"/>
      <c r="AI646" s="118"/>
      <c r="AJ646" s="401"/>
      <c r="AK646" s="118"/>
      <c r="AL646" s="118"/>
      <c r="AM646" s="118"/>
      <c r="AN646" s="118"/>
      <c r="AO646" s="401"/>
      <c r="AP646" s="118"/>
      <c r="AQ646" s="118"/>
      <c r="AR646" s="118"/>
      <c r="AS646" s="118"/>
      <c r="AT646" s="401"/>
      <c r="AU646" s="118"/>
      <c r="AV646" s="118"/>
      <c r="AW646" s="118"/>
      <c r="AX646" s="118"/>
      <c r="AY646" s="401"/>
      <c r="AZ646" s="118"/>
      <c r="BA646" s="118"/>
      <c r="BB646" s="118"/>
      <c r="BC646" s="118"/>
      <c r="BD646" s="401"/>
      <c r="BE646" s="118"/>
      <c r="BF646" s="118"/>
      <c r="BG646" s="118"/>
      <c r="BH646" s="118"/>
      <c r="BI646" s="401"/>
      <c r="BJ646" s="971"/>
      <c r="BK646" s="118"/>
      <c r="BL646" s="118"/>
      <c r="BM646" s="118"/>
      <c r="BN646" s="401"/>
      <c r="BO646" s="118"/>
      <c r="BP646" s="118"/>
      <c r="BQ646" s="118"/>
      <c r="BR646" s="118"/>
      <c r="BS646" s="401"/>
      <c r="BT646" s="401"/>
      <c r="BU646" s="401"/>
      <c r="BV646" s="401"/>
      <c r="BW646" s="118"/>
    </row>
    <row r="647" spans="1:75" hidden="1" outlineLevel="2" x14ac:dyDescent="0.5">
      <c r="A647" s="752" t="s">
        <v>2487</v>
      </c>
      <c r="B647" s="513"/>
      <c r="C647" s="1526"/>
      <c r="D647" s="1526"/>
      <c r="E647" s="1526"/>
      <c r="F647" s="1526"/>
      <c r="G647" s="1527"/>
      <c r="H647" s="1527"/>
      <c r="I647" s="1527"/>
      <c r="J647" s="1527"/>
      <c r="K647" s="1526"/>
      <c r="L647" s="1527"/>
      <c r="M647" s="1527"/>
      <c r="N647" s="1527"/>
      <c r="O647" s="1527"/>
      <c r="P647" s="1526"/>
      <c r="Q647" s="1527"/>
      <c r="R647" s="1527"/>
      <c r="S647" s="1527"/>
      <c r="T647" s="1527"/>
      <c r="U647" s="1526"/>
      <c r="V647" s="1527"/>
      <c r="W647" s="1527"/>
      <c r="X647" s="1527"/>
      <c r="Y647" s="1527"/>
      <c r="Z647" s="1526"/>
      <c r="AA647" s="1527"/>
      <c r="AB647" s="1527"/>
      <c r="AC647" s="1527"/>
      <c r="AD647" s="1527">
        <f t="shared" ref="AD647:BJ647" si="461">AD1065</f>
        <v>43153</v>
      </c>
      <c r="AE647" s="1526">
        <f t="shared" si="461"/>
        <v>43153</v>
      </c>
      <c r="AF647" s="1527"/>
      <c r="AG647" s="1527"/>
      <c r="AH647" s="1527">
        <f t="shared" si="461"/>
        <v>43405</v>
      </c>
      <c r="AI647" s="1527">
        <f t="shared" si="461"/>
        <v>43518</v>
      </c>
      <c r="AJ647" s="1526">
        <f t="shared" si="461"/>
        <v>43518</v>
      </c>
      <c r="AK647" s="1527">
        <f t="shared" si="461"/>
        <v>43587</v>
      </c>
      <c r="AL647" s="1527">
        <f t="shared" si="461"/>
        <v>43678</v>
      </c>
      <c r="AM647" s="1527">
        <f t="shared" si="461"/>
        <v>43769</v>
      </c>
      <c r="AN647" s="1527">
        <f t="shared" si="461"/>
        <v>43889</v>
      </c>
      <c r="AO647" s="1526">
        <f t="shared" si="461"/>
        <v>43889</v>
      </c>
      <c r="AP647" s="1527">
        <f t="shared" si="461"/>
        <v>43956</v>
      </c>
      <c r="AQ647" s="1527">
        <f t="shared" si="461"/>
        <v>44048</v>
      </c>
      <c r="AR647" s="1527">
        <f t="shared" si="461"/>
        <v>44138</v>
      </c>
      <c r="AS647" s="1527">
        <f t="shared" si="461"/>
        <v>44252</v>
      </c>
      <c r="AT647" s="1526">
        <f t="shared" si="461"/>
        <v>44252</v>
      </c>
      <c r="AU647" s="1527">
        <f t="shared" si="461"/>
        <v>44322</v>
      </c>
      <c r="AV647" s="1527">
        <f t="shared" si="461"/>
        <v>44413</v>
      </c>
      <c r="AW647" s="1527">
        <f t="shared" si="461"/>
        <v>44504</v>
      </c>
      <c r="AX647" s="1527">
        <f t="shared" si="461"/>
        <v>44616</v>
      </c>
      <c r="AY647" s="1526">
        <f t="shared" si="461"/>
        <v>44616</v>
      </c>
      <c r="AZ647" s="1527">
        <f t="shared" si="461"/>
        <v>44686</v>
      </c>
      <c r="BA647" s="1527">
        <f t="shared" si="461"/>
        <v>44778</v>
      </c>
      <c r="BB647" s="1527">
        <f t="shared" si="461"/>
        <v>44868</v>
      </c>
      <c r="BC647" s="1527">
        <f t="shared" si="461"/>
        <v>44980</v>
      </c>
      <c r="BD647" s="1526">
        <f t="shared" si="461"/>
        <v>44980</v>
      </c>
      <c r="BE647" s="1527">
        <f t="shared" si="461"/>
        <v>45050</v>
      </c>
      <c r="BF647" s="1527">
        <f t="shared" si="461"/>
        <v>45141</v>
      </c>
      <c r="BG647" s="1527">
        <f t="shared" si="461"/>
        <v>45231</v>
      </c>
      <c r="BH647" s="1527">
        <f t="shared" si="461"/>
        <v>45344</v>
      </c>
      <c r="BI647" s="1526">
        <f t="shared" si="461"/>
        <v>45344</v>
      </c>
      <c r="BJ647" s="1528">
        <f t="shared" si="461"/>
        <v>45414</v>
      </c>
      <c r="BK647" s="1527"/>
      <c r="BL647" s="1527"/>
      <c r="BM647" s="1527"/>
      <c r="BN647" s="1526"/>
      <c r="BO647" s="1527"/>
      <c r="BP647" s="1527"/>
      <c r="BQ647" s="1527"/>
      <c r="BR647" s="1527"/>
      <c r="BS647" s="1526"/>
      <c r="BT647" s="1526"/>
      <c r="BU647" s="1526"/>
      <c r="BV647" s="1526"/>
      <c r="BW647" s="118"/>
    </row>
    <row r="648" spans="1:75" hidden="1" outlineLevel="2" x14ac:dyDescent="0.5">
      <c r="A648" s="1529" t="s">
        <v>2488</v>
      </c>
      <c r="B648" s="1530"/>
      <c r="C648" s="1531"/>
      <c r="D648" s="1531"/>
      <c r="E648" s="1531"/>
      <c r="F648" s="1531"/>
      <c r="G648" s="1532"/>
      <c r="H648" s="1532"/>
      <c r="I648" s="1532"/>
      <c r="J648" s="1532"/>
      <c r="K648" s="1531"/>
      <c r="L648" s="1532"/>
      <c r="M648" s="1532"/>
      <c r="N648" s="1532"/>
      <c r="O648" s="1532"/>
      <c r="P648" s="1531"/>
      <c r="Q648" s="1532"/>
      <c r="R648" s="1532"/>
      <c r="S648" s="1532"/>
      <c r="T648" s="1532"/>
      <c r="U648" s="1531"/>
      <c r="V648" s="1532"/>
      <c r="W648" s="1532"/>
      <c r="X648" s="1532"/>
      <c r="Y648" s="1532"/>
      <c r="Z648" s="1531"/>
      <c r="AA648" s="1532"/>
      <c r="AB648" s="1532"/>
      <c r="AC648" s="1532"/>
      <c r="AD648" s="1532" t="str">
        <f>AF5</f>
        <v>Q1-2018</v>
      </c>
      <c r="AE648" s="1531" t="str">
        <f>AF5</f>
        <v>Q1-2018</v>
      </c>
      <c r="AF648" s="1532" t="str">
        <f>AG5</f>
        <v>Q2-2018</v>
      </c>
      <c r="AG648" s="1532" t="str">
        <f>AH5</f>
        <v>Q3-2018</v>
      </c>
      <c r="AH648" s="1532" t="str">
        <f>AI5</f>
        <v>Q4-2018</v>
      </c>
      <c r="AI648" s="1532" t="str">
        <f>AK5</f>
        <v>Q1-2019</v>
      </c>
      <c r="AJ648" s="1531" t="str">
        <f>AK5</f>
        <v>Q1-2019</v>
      </c>
      <c r="AK648" s="1532" t="str">
        <f>AL5</f>
        <v>Q2-2019</v>
      </c>
      <c r="AL648" s="1532" t="str">
        <f>AM5</f>
        <v>Q3-2019</v>
      </c>
      <c r="AM648" s="1532" t="str">
        <f>AN5</f>
        <v>Q4-2019</v>
      </c>
      <c r="AN648" s="1532" t="str">
        <f>AP5</f>
        <v>Q1-2020</v>
      </c>
      <c r="AO648" s="1531" t="str">
        <f>AP5</f>
        <v>Q1-2020</v>
      </c>
      <c r="AP648" s="1532" t="str">
        <f>AQ5</f>
        <v>Q2-2020</v>
      </c>
      <c r="AQ648" s="1532" t="str">
        <f>AR5</f>
        <v>Q3-2020</v>
      </c>
      <c r="AR648" s="1532" t="str">
        <f>AS5</f>
        <v>Q4-2020</v>
      </c>
      <c r="AS648" s="1532" t="str">
        <f>AU5</f>
        <v>Q1-2021</v>
      </c>
      <c r="AT648" s="1531" t="str">
        <f>AU5</f>
        <v>Q1-2021</v>
      </c>
      <c r="AU648" s="1532" t="str">
        <f>AV5</f>
        <v>Q2-2021</v>
      </c>
      <c r="AV648" s="1532" t="str">
        <f>AW5</f>
        <v>Q3-2021</v>
      </c>
      <c r="AW648" s="1532" t="str">
        <f>AX5</f>
        <v>Q4-2021</v>
      </c>
      <c r="AX648" s="1532" t="str">
        <f>AZ5</f>
        <v>Q1-2022</v>
      </c>
      <c r="AY648" s="1531" t="str">
        <f>AZ5</f>
        <v>Q1-2022</v>
      </c>
      <c r="AZ648" s="1532" t="str">
        <f>BA5</f>
        <v>Q2-2022</v>
      </c>
      <c r="BA648" s="1532" t="str">
        <f>BB5</f>
        <v>Q3-2022</v>
      </c>
      <c r="BB648" s="1532" t="str">
        <f>BC5</f>
        <v>Q4-2022</v>
      </c>
      <c r="BC648" s="1532" t="str">
        <f>BE5</f>
        <v>Q1-2023</v>
      </c>
      <c r="BD648" s="1531" t="str">
        <f>BE5</f>
        <v>Q1-2023</v>
      </c>
      <c r="BE648" s="1532" t="str">
        <f>BF5</f>
        <v>Q2-2023</v>
      </c>
      <c r="BF648" s="1532" t="str">
        <f>BG5</f>
        <v>Q3-2023</v>
      </c>
      <c r="BG648" s="1532" t="str">
        <f>BH5</f>
        <v>Q4-2023</v>
      </c>
      <c r="BH648" s="1532" t="str">
        <f>BJ5</f>
        <v>Q1-2024</v>
      </c>
      <c r="BI648" s="1531" t="str">
        <f>BJ5</f>
        <v>Q1-2024</v>
      </c>
      <c r="BJ648" s="1533" t="str">
        <f>BK5</f>
        <v>Q2-2024</v>
      </c>
      <c r="BK648" s="1532"/>
      <c r="BL648" s="1532"/>
      <c r="BM648" s="1532"/>
      <c r="BN648" s="1531"/>
      <c r="BO648" s="1532"/>
      <c r="BP648" s="1532"/>
      <c r="BQ648" s="1532"/>
      <c r="BR648" s="1532"/>
      <c r="BS648" s="1531"/>
      <c r="BT648" s="1531"/>
      <c r="BU648" s="1531"/>
      <c r="BV648" s="1531"/>
      <c r="BW648" s="118"/>
    </row>
    <row r="649" spans="1:75" hidden="1" outlineLevel="3" x14ac:dyDescent="0.5">
      <c r="A649" s="184" t="s">
        <v>2595</v>
      </c>
      <c r="B649" s="513"/>
      <c r="C649" s="401"/>
      <c r="D649" s="401"/>
      <c r="E649" s="401"/>
      <c r="F649" s="401"/>
      <c r="G649" s="118"/>
      <c r="H649" s="118"/>
      <c r="I649" s="118"/>
      <c r="J649" s="118"/>
      <c r="K649" s="401"/>
      <c r="L649" s="118"/>
      <c r="M649" s="118"/>
      <c r="N649" s="118"/>
      <c r="O649" s="118"/>
      <c r="P649" s="401"/>
      <c r="Q649" s="118"/>
      <c r="R649" s="118"/>
      <c r="S649" s="118"/>
      <c r="T649" s="118"/>
      <c r="U649" s="401"/>
      <c r="V649" s="118"/>
      <c r="W649" s="118"/>
      <c r="X649" s="118"/>
      <c r="Y649" s="118"/>
      <c r="Z649" s="401"/>
      <c r="AA649" s="118"/>
      <c r="AB649" s="118"/>
      <c r="AC649" s="118"/>
      <c r="AD649" s="118" t="str">
        <f t="shared" ref="AD649:AZ650" si="462">IFERROR(AD$526*AD661,"n/a")</f>
        <v>n/a</v>
      </c>
      <c r="AE649" s="401" t="str">
        <f t="shared" si="462"/>
        <v>n/a</v>
      </c>
      <c r="AF649" s="118" t="str">
        <f t="shared" si="462"/>
        <v>n/a</v>
      </c>
      <c r="AG649" s="118" t="str">
        <f t="shared" si="462"/>
        <v>n/a</v>
      </c>
      <c r="AH649" s="118" t="str">
        <f t="shared" si="462"/>
        <v>n/a</v>
      </c>
      <c r="AI649" s="118" t="str">
        <f t="shared" si="462"/>
        <v>n/a</v>
      </c>
      <c r="AJ649" s="401" t="str">
        <f t="shared" si="462"/>
        <v>n/a</v>
      </c>
      <c r="AK649" s="118" t="str">
        <f t="shared" si="462"/>
        <v>n/a</v>
      </c>
      <c r="AL649" s="118" t="str">
        <f t="shared" si="462"/>
        <v>n/a</v>
      </c>
      <c r="AM649" s="118" t="str">
        <f t="shared" si="462"/>
        <v>n/a</v>
      </c>
      <c r="AN649" s="118" t="str">
        <f t="shared" si="462"/>
        <v>n/a</v>
      </c>
      <c r="AO649" s="401" t="str">
        <f t="shared" si="462"/>
        <v>n/a</v>
      </c>
      <c r="AP649" s="118" t="str">
        <f t="shared" si="462"/>
        <v>n/a</v>
      </c>
      <c r="AQ649" s="118" t="str">
        <f t="shared" si="462"/>
        <v>n/a</v>
      </c>
      <c r="AR649" s="118" t="str">
        <f t="shared" si="462"/>
        <v>n/a</v>
      </c>
      <c r="AS649" s="118" t="str">
        <f t="shared" si="462"/>
        <v>n/a</v>
      </c>
      <c r="AT649" s="401" t="str">
        <f t="shared" si="462"/>
        <v>n/a</v>
      </c>
      <c r="AU649" s="118" t="str">
        <f t="shared" si="462"/>
        <v>n/a</v>
      </c>
      <c r="AV649" s="118" t="str">
        <f t="shared" si="462"/>
        <v>n/a</v>
      </c>
      <c r="AW649" s="118" t="str">
        <f t="shared" si="462"/>
        <v>n/a</v>
      </c>
      <c r="AX649" s="118" t="str">
        <f t="shared" si="462"/>
        <v>n/a</v>
      </c>
      <c r="AY649" s="401" t="str">
        <f t="shared" si="462"/>
        <v>n/a</v>
      </c>
      <c r="AZ649" s="118" t="str">
        <f t="shared" si="462"/>
        <v>n/a</v>
      </c>
      <c r="BA649" s="118">
        <f t="shared" ref="BA649:BG650" si="463">BA$526*BA661</f>
        <v>-140.44873500000003</v>
      </c>
      <c r="BB649" s="118">
        <f t="shared" si="463"/>
        <v>-89.748934799999972</v>
      </c>
      <c r="BC649" s="118">
        <f t="shared" si="463"/>
        <v>-82.606799999999993</v>
      </c>
      <c r="BD649" s="401">
        <f t="shared" si="463"/>
        <v>-82.606799999999993</v>
      </c>
      <c r="BE649" s="118">
        <f t="shared" si="463"/>
        <v>17.815700000000003</v>
      </c>
      <c r="BF649" s="118">
        <f t="shared" si="463"/>
        <v>59.64</v>
      </c>
      <c r="BG649" s="118">
        <f t="shared" si="463"/>
        <v>0</v>
      </c>
      <c r="BH649" s="118">
        <f t="shared" ref="BH649:BJ650" si="464">IFERROR(BH$526*BH661,"n/a")</f>
        <v>0</v>
      </c>
      <c r="BI649" s="401">
        <f t="shared" si="464"/>
        <v>0</v>
      </c>
      <c r="BJ649" s="971">
        <f t="shared" si="464"/>
        <v>128.74260000000001</v>
      </c>
      <c r="BK649" s="118"/>
      <c r="BL649" s="118"/>
      <c r="BM649" s="118"/>
      <c r="BN649" s="401"/>
      <c r="BO649" s="118"/>
      <c r="BP649" s="118"/>
      <c r="BQ649" s="118"/>
      <c r="BR649" s="118"/>
      <c r="BS649" s="401"/>
      <c r="BT649" s="401"/>
      <c r="BU649" s="401"/>
      <c r="BV649" s="401"/>
      <c r="BW649" s="118"/>
    </row>
    <row r="650" spans="1:75" hidden="1" outlineLevel="3" x14ac:dyDescent="0.5">
      <c r="A650" s="445" t="s">
        <v>2596</v>
      </c>
      <c r="B650" s="677"/>
      <c r="C650" s="406"/>
      <c r="D650" s="406"/>
      <c r="E650" s="406"/>
      <c r="F650" s="406"/>
      <c r="G650" s="723"/>
      <c r="H650" s="723"/>
      <c r="I650" s="723"/>
      <c r="J650" s="723"/>
      <c r="K650" s="406"/>
      <c r="L650" s="723"/>
      <c r="M650" s="723"/>
      <c r="N650" s="723"/>
      <c r="O650" s="723"/>
      <c r="P650" s="406"/>
      <c r="Q650" s="723"/>
      <c r="R650" s="723"/>
      <c r="S650" s="723"/>
      <c r="T650" s="723"/>
      <c r="U650" s="406"/>
      <c r="V650" s="723"/>
      <c r="W650" s="723"/>
      <c r="X650" s="723"/>
      <c r="Y650" s="723"/>
      <c r="Z650" s="406"/>
      <c r="AA650" s="723"/>
      <c r="AB650" s="723"/>
      <c r="AC650" s="723"/>
      <c r="AD650" s="723" t="str">
        <f t="shared" si="462"/>
        <v>n/a</v>
      </c>
      <c r="AE650" s="406" t="str">
        <f t="shared" si="462"/>
        <v>n/a</v>
      </c>
      <c r="AF650" s="723" t="str">
        <f t="shared" si="462"/>
        <v>n/a</v>
      </c>
      <c r="AG650" s="723" t="str">
        <f t="shared" si="462"/>
        <v>n/a</v>
      </c>
      <c r="AH650" s="723" t="str">
        <f t="shared" si="462"/>
        <v>n/a</v>
      </c>
      <c r="AI650" s="723" t="str">
        <f t="shared" si="462"/>
        <v>n/a</v>
      </c>
      <c r="AJ650" s="406" t="str">
        <f t="shared" si="462"/>
        <v>n/a</v>
      </c>
      <c r="AK650" s="723" t="str">
        <f t="shared" si="462"/>
        <v>n/a</v>
      </c>
      <c r="AL650" s="723" t="str">
        <f t="shared" si="462"/>
        <v>n/a</v>
      </c>
      <c r="AM650" s="723" t="str">
        <f t="shared" si="462"/>
        <v>n/a</v>
      </c>
      <c r="AN650" s="723" t="str">
        <f t="shared" si="462"/>
        <v>n/a</v>
      </c>
      <c r="AO650" s="406" t="str">
        <f t="shared" si="462"/>
        <v>n/a</v>
      </c>
      <c r="AP650" s="723" t="str">
        <f t="shared" si="462"/>
        <v>n/a</v>
      </c>
      <c r="AQ650" s="723" t="str">
        <f t="shared" si="462"/>
        <v>n/a</v>
      </c>
      <c r="AR650" s="723" t="str">
        <f t="shared" si="462"/>
        <v>n/a</v>
      </c>
      <c r="AS650" s="723" t="str">
        <f t="shared" si="462"/>
        <v>n/a</v>
      </c>
      <c r="AT650" s="406" t="str">
        <f t="shared" si="462"/>
        <v>n/a</v>
      </c>
      <c r="AU650" s="723" t="str">
        <f t="shared" si="462"/>
        <v>n/a</v>
      </c>
      <c r="AV650" s="723" t="str">
        <f t="shared" si="462"/>
        <v>n/a</v>
      </c>
      <c r="AW650" s="723" t="str">
        <f t="shared" si="462"/>
        <v>n/a</v>
      </c>
      <c r="AX650" s="723" t="str">
        <f t="shared" si="462"/>
        <v>n/a</v>
      </c>
      <c r="AY650" s="406" t="str">
        <f t="shared" si="462"/>
        <v>n/a</v>
      </c>
      <c r="AZ650" s="723" t="str">
        <f t="shared" si="462"/>
        <v>n/a</v>
      </c>
      <c r="BA650" s="723">
        <f t="shared" si="463"/>
        <v>-28.089747000000003</v>
      </c>
      <c r="BB650" s="723">
        <f t="shared" si="463"/>
        <v>-29.91631159999999</v>
      </c>
      <c r="BC650" s="723">
        <f t="shared" si="463"/>
        <v>-27.535599999999999</v>
      </c>
      <c r="BD650" s="406">
        <f t="shared" si="463"/>
        <v>-27.535599999999999</v>
      </c>
      <c r="BE650" s="723">
        <f t="shared" si="463"/>
        <v>53.447100000000006</v>
      </c>
      <c r="BF650" s="723">
        <f t="shared" si="463"/>
        <v>119.28</v>
      </c>
      <c r="BG650" s="723">
        <f t="shared" si="463"/>
        <v>157.37575000000004</v>
      </c>
      <c r="BH650" s="723">
        <f t="shared" si="464"/>
        <v>79.058999999999997</v>
      </c>
      <c r="BI650" s="406">
        <f t="shared" si="464"/>
        <v>79.058999999999997</v>
      </c>
      <c r="BJ650" s="1049">
        <f t="shared" si="464"/>
        <v>193.1139</v>
      </c>
      <c r="BK650" s="723"/>
      <c r="BL650" s="723"/>
      <c r="BM650" s="723"/>
      <c r="BN650" s="406"/>
      <c r="BO650" s="723"/>
      <c r="BP650" s="723"/>
      <c r="BQ650" s="723"/>
      <c r="BR650" s="723"/>
      <c r="BS650" s="406"/>
      <c r="BT650" s="406"/>
      <c r="BU650" s="406"/>
      <c r="BV650" s="406"/>
      <c r="BW650" s="118"/>
    </row>
    <row r="651" spans="1:75" hidden="1" outlineLevel="2" x14ac:dyDescent="0.5">
      <c r="A651" s="206" t="s">
        <v>2597</v>
      </c>
      <c r="B651" s="522"/>
      <c r="C651" s="397"/>
      <c r="D651" s="397"/>
      <c r="E651" s="397"/>
      <c r="F651" s="397"/>
      <c r="G651" s="295"/>
      <c r="H651" s="295"/>
      <c r="I651" s="295"/>
      <c r="J651" s="295"/>
      <c r="K651" s="397"/>
      <c r="L651" s="295"/>
      <c r="M651" s="295"/>
      <c r="N651" s="295"/>
      <c r="O651" s="295"/>
      <c r="P651" s="397"/>
      <c r="Q651" s="295"/>
      <c r="R651" s="295"/>
      <c r="S651" s="295"/>
      <c r="T651" s="295"/>
      <c r="U651" s="397"/>
      <c r="V651" s="295"/>
      <c r="W651" s="295"/>
      <c r="X651" s="295"/>
      <c r="Y651" s="295"/>
      <c r="Z651" s="397"/>
      <c r="AA651" s="295"/>
      <c r="AB651" s="295"/>
      <c r="AC651" s="295"/>
      <c r="AD651" s="295" t="str">
        <f t="shared" ref="AD651:BI651" si="465">IFERROR(AVERAGE(AD649,AD650),"")</f>
        <v/>
      </c>
      <c r="AE651" s="397" t="str">
        <f t="shared" si="465"/>
        <v/>
      </c>
      <c r="AF651" s="295" t="str">
        <f t="shared" si="465"/>
        <v/>
      </c>
      <c r="AG651" s="295" t="str">
        <f t="shared" si="465"/>
        <v/>
      </c>
      <c r="AH651" s="295" t="str">
        <f t="shared" si="465"/>
        <v/>
      </c>
      <c r="AI651" s="295" t="str">
        <f t="shared" si="465"/>
        <v/>
      </c>
      <c r="AJ651" s="397" t="str">
        <f t="shared" si="465"/>
        <v/>
      </c>
      <c r="AK651" s="295" t="str">
        <f t="shared" si="465"/>
        <v/>
      </c>
      <c r="AL651" s="295" t="str">
        <f t="shared" si="465"/>
        <v/>
      </c>
      <c r="AM651" s="295" t="str">
        <f t="shared" si="465"/>
        <v/>
      </c>
      <c r="AN651" s="295" t="str">
        <f t="shared" si="465"/>
        <v/>
      </c>
      <c r="AO651" s="397" t="str">
        <f t="shared" si="465"/>
        <v/>
      </c>
      <c r="AP651" s="295" t="str">
        <f t="shared" si="465"/>
        <v/>
      </c>
      <c r="AQ651" s="295" t="str">
        <f t="shared" si="465"/>
        <v/>
      </c>
      <c r="AR651" s="295" t="str">
        <f t="shared" si="465"/>
        <v/>
      </c>
      <c r="AS651" s="295" t="str">
        <f t="shared" si="465"/>
        <v/>
      </c>
      <c r="AT651" s="397" t="str">
        <f t="shared" si="465"/>
        <v/>
      </c>
      <c r="AU651" s="295" t="str">
        <f t="shared" si="465"/>
        <v/>
      </c>
      <c r="AV651" s="295" t="str">
        <f t="shared" si="465"/>
        <v/>
      </c>
      <c r="AW651" s="295" t="str">
        <f t="shared" si="465"/>
        <v/>
      </c>
      <c r="AX651" s="295" t="str">
        <f t="shared" si="465"/>
        <v/>
      </c>
      <c r="AY651" s="397" t="str">
        <f t="shared" si="465"/>
        <v/>
      </c>
      <c r="AZ651" s="295" t="str">
        <f t="shared" si="465"/>
        <v/>
      </c>
      <c r="BA651" s="295">
        <f t="shared" si="465"/>
        <v>-84.269241000000022</v>
      </c>
      <c r="BB651" s="295">
        <f t="shared" si="465"/>
        <v>-59.832623199999979</v>
      </c>
      <c r="BC651" s="295">
        <f t="shared" si="465"/>
        <v>-55.071199999999997</v>
      </c>
      <c r="BD651" s="397">
        <f t="shared" si="465"/>
        <v>-55.071199999999997</v>
      </c>
      <c r="BE651" s="295">
        <f t="shared" si="465"/>
        <v>35.631400000000006</v>
      </c>
      <c r="BF651" s="295">
        <f t="shared" si="465"/>
        <v>89.460000000000008</v>
      </c>
      <c r="BG651" s="295">
        <f t="shared" si="465"/>
        <v>78.68787500000002</v>
      </c>
      <c r="BH651" s="295">
        <f t="shared" si="465"/>
        <v>39.529499999999999</v>
      </c>
      <c r="BI651" s="397">
        <f t="shared" si="465"/>
        <v>39.529499999999999</v>
      </c>
      <c r="BJ651" s="1030">
        <f>IFERROR(AVERAGE(BJ649,BJ650),"")</f>
        <v>160.92824999999999</v>
      </c>
      <c r="BK651" s="295"/>
      <c r="BL651" s="295"/>
      <c r="BM651" s="295"/>
      <c r="BN651" s="397"/>
      <c r="BO651" s="295"/>
      <c r="BP651" s="295"/>
      <c r="BQ651" s="295"/>
      <c r="BR651" s="295"/>
      <c r="BS651" s="397"/>
      <c r="BT651" s="397"/>
      <c r="BU651" s="397"/>
      <c r="BV651" s="397"/>
      <c r="BW651" s="118"/>
    </row>
    <row r="652" spans="1:75" hidden="1" outlineLevel="2" x14ac:dyDescent="0.5">
      <c r="A652" s="184" t="s">
        <v>2598</v>
      </c>
      <c r="B652" s="513"/>
      <c r="C652" s="401"/>
      <c r="D652" s="401"/>
      <c r="E652" s="401"/>
      <c r="F652" s="401"/>
      <c r="G652" s="118"/>
      <c r="H652" s="118"/>
      <c r="I652" s="118"/>
      <c r="J652" s="118"/>
      <c r="K652" s="401"/>
      <c r="L652" s="118"/>
      <c r="M652" s="118"/>
      <c r="N652" s="118"/>
      <c r="O652" s="118"/>
      <c r="P652" s="401"/>
      <c r="Q652" s="118"/>
      <c r="R652" s="118"/>
      <c r="S652" s="118"/>
      <c r="T652" s="118"/>
      <c r="U652" s="401"/>
      <c r="V652" s="118"/>
      <c r="W652" s="118"/>
      <c r="X652" s="118"/>
      <c r="Y652" s="118"/>
      <c r="Z652" s="401"/>
      <c r="AA652" s="118"/>
      <c r="AB652" s="118"/>
      <c r="AC652" s="118"/>
      <c r="AD652" s="118" t="str">
        <f t="shared" ref="AD652:BI652" si="466">IFERROR(ABS(AD650-AD649),"")</f>
        <v/>
      </c>
      <c r="AE652" s="401" t="str">
        <f t="shared" si="466"/>
        <v/>
      </c>
      <c r="AF652" s="118" t="str">
        <f t="shared" si="466"/>
        <v/>
      </c>
      <c r="AG652" s="118" t="str">
        <f t="shared" si="466"/>
        <v/>
      </c>
      <c r="AH652" s="118" t="str">
        <f t="shared" si="466"/>
        <v/>
      </c>
      <c r="AI652" s="118" t="str">
        <f t="shared" si="466"/>
        <v/>
      </c>
      <c r="AJ652" s="401" t="str">
        <f t="shared" si="466"/>
        <v/>
      </c>
      <c r="AK652" s="118" t="str">
        <f t="shared" si="466"/>
        <v/>
      </c>
      <c r="AL652" s="118" t="str">
        <f t="shared" si="466"/>
        <v/>
      </c>
      <c r="AM652" s="118" t="str">
        <f t="shared" si="466"/>
        <v/>
      </c>
      <c r="AN652" s="118" t="str">
        <f t="shared" si="466"/>
        <v/>
      </c>
      <c r="AO652" s="401" t="str">
        <f t="shared" si="466"/>
        <v/>
      </c>
      <c r="AP652" s="118" t="str">
        <f t="shared" si="466"/>
        <v/>
      </c>
      <c r="AQ652" s="118" t="str">
        <f t="shared" si="466"/>
        <v/>
      </c>
      <c r="AR652" s="118" t="str">
        <f t="shared" si="466"/>
        <v/>
      </c>
      <c r="AS652" s="118" t="str">
        <f t="shared" si="466"/>
        <v/>
      </c>
      <c r="AT652" s="401" t="str">
        <f t="shared" si="466"/>
        <v/>
      </c>
      <c r="AU652" s="118" t="str">
        <f t="shared" si="466"/>
        <v/>
      </c>
      <c r="AV652" s="118" t="str">
        <f t="shared" si="466"/>
        <v/>
      </c>
      <c r="AW652" s="118" t="str">
        <f t="shared" si="466"/>
        <v/>
      </c>
      <c r="AX652" s="118" t="str">
        <f t="shared" si="466"/>
        <v/>
      </c>
      <c r="AY652" s="401" t="str">
        <f t="shared" si="466"/>
        <v/>
      </c>
      <c r="AZ652" s="118" t="str">
        <f t="shared" si="466"/>
        <v/>
      </c>
      <c r="BA652" s="118">
        <f t="shared" si="466"/>
        <v>112.35898800000002</v>
      </c>
      <c r="BB652" s="118">
        <f t="shared" si="466"/>
        <v>59.832623199999986</v>
      </c>
      <c r="BC652" s="118">
        <f t="shared" si="466"/>
        <v>55.07119999999999</v>
      </c>
      <c r="BD652" s="401">
        <f t="shared" si="466"/>
        <v>55.07119999999999</v>
      </c>
      <c r="BE652" s="118">
        <f t="shared" si="466"/>
        <v>35.631399999999999</v>
      </c>
      <c r="BF652" s="118">
        <f t="shared" si="466"/>
        <v>59.64</v>
      </c>
      <c r="BG652" s="118">
        <f t="shared" si="466"/>
        <v>157.37575000000004</v>
      </c>
      <c r="BH652" s="118">
        <f t="shared" si="466"/>
        <v>79.058999999999997</v>
      </c>
      <c r="BI652" s="401">
        <f t="shared" si="466"/>
        <v>79.058999999999997</v>
      </c>
      <c r="BJ652" s="971">
        <f>IFERROR(ABS(BJ650-BJ649),"")</f>
        <v>64.371299999999991</v>
      </c>
      <c r="BK652" s="118"/>
      <c r="BL652" s="118"/>
      <c r="BM652" s="118"/>
      <c r="BN652" s="401"/>
      <c r="BO652" s="118"/>
      <c r="BP652" s="118"/>
      <c r="BQ652" s="118"/>
      <c r="BR652" s="118"/>
      <c r="BS652" s="401"/>
      <c r="BT652" s="401"/>
      <c r="BU652" s="401"/>
      <c r="BV652" s="401"/>
      <c r="BW652" s="118"/>
    </row>
    <row r="653" spans="1:75" hidden="1" outlineLevel="2" x14ac:dyDescent="0.5">
      <c r="A653" s="526" t="s">
        <v>2599</v>
      </c>
      <c r="B653" s="513"/>
      <c r="C653" s="423"/>
      <c r="D653" s="423"/>
      <c r="E653" s="423"/>
      <c r="F653" s="423"/>
      <c r="G653" s="422"/>
      <c r="H653" s="422"/>
      <c r="I653" s="422"/>
      <c r="J653" s="422"/>
      <c r="K653" s="423"/>
      <c r="L653" s="422"/>
      <c r="M653" s="422"/>
      <c r="N653" s="422"/>
      <c r="O653" s="422"/>
      <c r="P653" s="423"/>
      <c r="Q653" s="422"/>
      <c r="R653" s="422"/>
      <c r="S653" s="422"/>
      <c r="T653" s="422"/>
      <c r="U653" s="423"/>
      <c r="V653" s="422"/>
      <c r="W653" s="422"/>
      <c r="X653" s="422"/>
      <c r="Y653" s="422"/>
      <c r="Z653" s="423"/>
      <c r="AA653" s="422"/>
      <c r="AB653" s="422"/>
      <c r="AC653" s="422"/>
      <c r="AD653" s="422" t="str">
        <f t="shared" ref="AD653:BI653" si="467">IFERROR(ABS((AD650-AD651)/AD651),"")</f>
        <v/>
      </c>
      <c r="AE653" s="423" t="str">
        <f t="shared" si="467"/>
        <v/>
      </c>
      <c r="AF653" s="422" t="str">
        <f t="shared" si="467"/>
        <v/>
      </c>
      <c r="AG653" s="422" t="str">
        <f t="shared" si="467"/>
        <v/>
      </c>
      <c r="AH653" s="422" t="str">
        <f t="shared" si="467"/>
        <v/>
      </c>
      <c r="AI653" s="422" t="str">
        <f t="shared" si="467"/>
        <v/>
      </c>
      <c r="AJ653" s="423" t="str">
        <f t="shared" si="467"/>
        <v/>
      </c>
      <c r="AK653" s="422" t="str">
        <f t="shared" si="467"/>
        <v/>
      </c>
      <c r="AL653" s="422" t="str">
        <f t="shared" si="467"/>
        <v/>
      </c>
      <c r="AM653" s="422" t="str">
        <f t="shared" si="467"/>
        <v/>
      </c>
      <c r="AN653" s="422" t="str">
        <f t="shared" si="467"/>
        <v/>
      </c>
      <c r="AO653" s="423" t="str">
        <f t="shared" si="467"/>
        <v/>
      </c>
      <c r="AP653" s="422" t="str">
        <f t="shared" si="467"/>
        <v/>
      </c>
      <c r="AQ653" s="422" t="str">
        <f t="shared" si="467"/>
        <v/>
      </c>
      <c r="AR653" s="422" t="str">
        <f t="shared" si="467"/>
        <v/>
      </c>
      <c r="AS653" s="422" t="str">
        <f t="shared" si="467"/>
        <v/>
      </c>
      <c r="AT653" s="423" t="str">
        <f t="shared" si="467"/>
        <v/>
      </c>
      <c r="AU653" s="422" t="str">
        <f t="shared" si="467"/>
        <v/>
      </c>
      <c r="AV653" s="422" t="str">
        <f t="shared" si="467"/>
        <v/>
      </c>
      <c r="AW653" s="422" t="str">
        <f t="shared" si="467"/>
        <v/>
      </c>
      <c r="AX653" s="422" t="str">
        <f t="shared" si="467"/>
        <v/>
      </c>
      <c r="AY653" s="423" t="str">
        <f t="shared" si="467"/>
        <v/>
      </c>
      <c r="AZ653" s="422" t="str">
        <f t="shared" si="467"/>
        <v/>
      </c>
      <c r="BA653" s="422">
        <f t="shared" si="467"/>
        <v>0.66666666666666674</v>
      </c>
      <c r="BB653" s="422">
        <f t="shared" si="467"/>
        <v>0.5</v>
      </c>
      <c r="BC653" s="422">
        <f t="shared" si="467"/>
        <v>0.5</v>
      </c>
      <c r="BD653" s="423">
        <f t="shared" si="467"/>
        <v>0.5</v>
      </c>
      <c r="BE653" s="422">
        <f t="shared" si="467"/>
        <v>0.49999999999999989</v>
      </c>
      <c r="BF653" s="422">
        <f t="shared" si="467"/>
        <v>0.3333333333333332</v>
      </c>
      <c r="BG653" s="422">
        <f t="shared" si="467"/>
        <v>1</v>
      </c>
      <c r="BH653" s="422">
        <f t="shared" si="467"/>
        <v>1</v>
      </c>
      <c r="BI653" s="423">
        <f t="shared" si="467"/>
        <v>1</v>
      </c>
      <c r="BJ653" s="1034">
        <f>IFERROR(ABS((BJ650-BJ651)/BJ651),"")</f>
        <v>0.20000000000000007</v>
      </c>
      <c r="BK653" s="422"/>
      <c r="BL653" s="422"/>
      <c r="BM653" s="422"/>
      <c r="BN653" s="423"/>
      <c r="BO653" s="422"/>
      <c r="BP653" s="422"/>
      <c r="BQ653" s="422"/>
      <c r="BR653" s="422"/>
      <c r="BS653" s="423"/>
      <c r="BT653" s="423"/>
      <c r="BU653" s="423"/>
      <c r="BV653" s="423"/>
      <c r="BW653" s="118"/>
    </row>
    <row r="654" spans="1:75" hidden="1" outlineLevel="3" x14ac:dyDescent="0.5">
      <c r="A654" s="189" t="s">
        <v>2600</v>
      </c>
      <c r="B654" s="720"/>
      <c r="C654" s="417"/>
      <c r="D654" s="417"/>
      <c r="E654" s="417"/>
      <c r="F654" s="417"/>
      <c r="G654" s="378"/>
      <c r="H654" s="378"/>
      <c r="I654" s="378"/>
      <c r="J654" s="378"/>
      <c r="K654" s="417"/>
      <c r="L654" s="378"/>
      <c r="M654" s="378"/>
      <c r="N654" s="378"/>
      <c r="O654" s="378"/>
      <c r="P654" s="417"/>
      <c r="Q654" s="378"/>
      <c r="R654" s="378"/>
      <c r="S654" s="378"/>
      <c r="T654" s="378"/>
      <c r="U654" s="417"/>
      <c r="V654" s="378"/>
      <c r="W654" s="378"/>
      <c r="X654" s="378"/>
      <c r="Y654" s="378"/>
      <c r="Z654" s="417"/>
      <c r="AA654" s="378"/>
      <c r="AB654" s="378"/>
      <c r="AC654" s="378"/>
      <c r="AD654" s="378" t="str">
        <f>IFERROR(AD649/AD628-1,"n/a")</f>
        <v>n/a</v>
      </c>
      <c r="AE654" s="417" t="str">
        <f>IFERROR(AE649/AD628-1,"n/a")</f>
        <v>n/a</v>
      </c>
      <c r="AF654" s="378" t="str">
        <f>IFERROR(AF649/AF628-1,"n/a")</f>
        <v>n/a</v>
      </c>
      <c r="AG654" s="378" t="str">
        <f>IFERROR(AG649/AG628-1,"n/a")</f>
        <v>n/a</v>
      </c>
      <c r="AH654" s="378" t="str">
        <f>IFERROR(AH649/AH628-1,"n/a")</f>
        <v>n/a</v>
      </c>
      <c r="AI654" s="378" t="str">
        <f>IFERROR(AI649/AI628-1,"n/a")</f>
        <v>n/a</v>
      </c>
      <c r="AJ654" s="417" t="str">
        <f>IFERROR(AJ649/AI628-1,"n/a")</f>
        <v>n/a</v>
      </c>
      <c r="AK654" s="378" t="str">
        <f>IFERROR(AK649/AK628-1,"n/a")</f>
        <v>n/a</v>
      </c>
      <c r="AL654" s="378" t="str">
        <f>IFERROR(AL649/AL628-1,"n/a")</f>
        <v>n/a</v>
      </c>
      <c r="AM654" s="378" t="str">
        <f>IFERROR(AM649/AM628-1,"n/a")</f>
        <v>n/a</v>
      </c>
      <c r="AN654" s="378" t="str">
        <f>IFERROR(AN649/AN628-1,"n/a")</f>
        <v>n/a</v>
      </c>
      <c r="AO654" s="417" t="str">
        <f>IFERROR(AO649/AN628-1,"n/a")</f>
        <v>n/a</v>
      </c>
      <c r="AP654" s="378" t="str">
        <f>IFERROR(AP649/AP628-1,"n/a")</f>
        <v>n/a</v>
      </c>
      <c r="AQ654" s="378" t="str">
        <f>IFERROR(AQ649/AQ628-1,"n/a")</f>
        <v>n/a</v>
      </c>
      <c r="AR654" s="378" t="str">
        <f>IFERROR(AR649/AR628-1,"n/a")</f>
        <v>n/a</v>
      </c>
      <c r="AS654" s="378" t="str">
        <f>IFERROR(AS649/AS628-1,"n/a")</f>
        <v>n/a</v>
      </c>
      <c r="AT654" s="417" t="str">
        <f>IFERROR(AT649/AS628-1,"n/a")</f>
        <v>n/a</v>
      </c>
      <c r="AU654" s="378" t="str">
        <f>IFERROR(AU649/AU628-1,"n/a")</f>
        <v>n/a</v>
      </c>
      <c r="AV654" s="378" t="str">
        <f>IFERROR(AV649/AV628-1,"n/a")</f>
        <v>n/a</v>
      </c>
      <c r="AW654" s="378" t="str">
        <f>IFERROR(AW649/AW628-1,"n/a")</f>
        <v>n/a</v>
      </c>
      <c r="AX654" s="378" t="str">
        <f>IFERROR(AX649/AX628-1,"n/a")</f>
        <v>n/a</v>
      </c>
      <c r="AY654" s="417" t="str">
        <f>IFERROR(AY649/AX628-1,"n/a")</f>
        <v>n/a</v>
      </c>
      <c r="AZ654" s="378" t="str">
        <f>IFERROR(AZ649/AZ628-1,"n/a")</f>
        <v>n/a</v>
      </c>
      <c r="BA654" s="378">
        <f>BA649/BA628-1</f>
        <v>0.30045125000000028</v>
      </c>
      <c r="BB654" s="378">
        <f>BB649/BB628-1</f>
        <v>-0.2762182677419357</v>
      </c>
      <c r="BC654" s="378">
        <f>BC649/BC628-1</f>
        <v>0.16347605633802798</v>
      </c>
      <c r="BD654" s="417">
        <f>BD649/BC628-1</f>
        <v>0.16347605633802798</v>
      </c>
      <c r="BE654" s="378">
        <f>BE649/BE628-1</f>
        <v>-2.2725500000000003</v>
      </c>
      <c r="BF654" s="378">
        <f>BF649/BF628-1</f>
        <v>-0.5340625</v>
      </c>
      <c r="BG654" s="378">
        <f>BG649/BG628-1</f>
        <v>-1</v>
      </c>
      <c r="BH654" s="378">
        <f>IFERROR(BH649/BH628-1,"n/a")</f>
        <v>-1</v>
      </c>
      <c r="BI654" s="417">
        <f>IFERROR(BI649/BH628-1,"n/a")</f>
        <v>-1</v>
      </c>
      <c r="BJ654" s="1130">
        <f>IFERROR(BJ649/BJ628-1,"n/a")</f>
        <v>0.71656800000000009</v>
      </c>
      <c r="BK654" s="378"/>
      <c r="BL654" s="378"/>
      <c r="BM654" s="378"/>
      <c r="BN654" s="417"/>
      <c r="BO654" s="378"/>
      <c r="BP654" s="378"/>
      <c r="BQ654" s="378"/>
      <c r="BR654" s="378"/>
      <c r="BS654" s="417"/>
      <c r="BT654" s="417"/>
      <c r="BU654" s="417"/>
      <c r="BV654" s="417"/>
      <c r="BW654" s="118"/>
    </row>
    <row r="655" spans="1:75" hidden="1" outlineLevel="3" x14ac:dyDescent="0.5">
      <c r="A655" s="1188" t="s">
        <v>2601</v>
      </c>
      <c r="B655" s="769"/>
      <c r="C655" s="770"/>
      <c r="D655" s="770"/>
      <c r="E655" s="770"/>
      <c r="F655" s="770"/>
      <c r="G655" s="771"/>
      <c r="H655" s="771"/>
      <c r="I655" s="771"/>
      <c r="J655" s="771"/>
      <c r="K655" s="770"/>
      <c r="L655" s="771"/>
      <c r="M655" s="771"/>
      <c r="N655" s="771"/>
      <c r="O655" s="771"/>
      <c r="P655" s="770"/>
      <c r="Q655" s="771"/>
      <c r="R655" s="771"/>
      <c r="S655" s="771"/>
      <c r="T655" s="771"/>
      <c r="U655" s="770"/>
      <c r="V655" s="771"/>
      <c r="W655" s="771"/>
      <c r="X655" s="771"/>
      <c r="Y655" s="771"/>
      <c r="Z655" s="770"/>
      <c r="AA655" s="771"/>
      <c r="AB655" s="771"/>
      <c r="AC655" s="771"/>
      <c r="AD655" s="771" t="str">
        <f>IFERROR(AD650/AD628-1,"n/a")</f>
        <v>n/a</v>
      </c>
      <c r="AE655" s="770" t="str">
        <f>IFERROR(AE650/AD628-1,"n/a")</f>
        <v>n/a</v>
      </c>
      <c r="AF655" s="771" t="str">
        <f>IFERROR(AF650/AF628-1,"n/a")</f>
        <v>n/a</v>
      </c>
      <c r="AG655" s="771" t="str">
        <f>IFERROR(AG650/AG628-1,"n/a")</f>
        <v>n/a</v>
      </c>
      <c r="AH655" s="771" t="str">
        <f>IFERROR(AH650/AH628-1,"n/a")</f>
        <v>n/a</v>
      </c>
      <c r="AI655" s="771" t="str">
        <f>IFERROR(AI650/AI628-1,"n/a")</f>
        <v>n/a</v>
      </c>
      <c r="AJ655" s="770" t="str">
        <f>IFERROR(AJ650/AI628-1,"n/a")</f>
        <v>n/a</v>
      </c>
      <c r="AK655" s="771" t="str">
        <f>IFERROR(AK650/AK628-1,"n/a")</f>
        <v>n/a</v>
      </c>
      <c r="AL655" s="771" t="str">
        <f>IFERROR(AL650/AL628-1,"n/a")</f>
        <v>n/a</v>
      </c>
      <c r="AM655" s="771" t="str">
        <f>IFERROR(AM650/AM628-1,"n/a")</f>
        <v>n/a</v>
      </c>
      <c r="AN655" s="771" t="str">
        <f>IFERROR(AN650/AN628-1,"n/a")</f>
        <v>n/a</v>
      </c>
      <c r="AO655" s="770" t="str">
        <f>IFERROR(AO650/AN628-1,"n/a")</f>
        <v>n/a</v>
      </c>
      <c r="AP655" s="771" t="str">
        <f>IFERROR(AP650/AP628-1,"n/a")</f>
        <v>n/a</v>
      </c>
      <c r="AQ655" s="771" t="str">
        <f>IFERROR(AQ650/AQ628-1,"n/a")</f>
        <v>n/a</v>
      </c>
      <c r="AR655" s="771" t="str">
        <f>IFERROR(AR650/AR628-1,"n/a")</f>
        <v>n/a</v>
      </c>
      <c r="AS655" s="771" t="str">
        <f>IFERROR(AS650/AS628-1,"n/a")</f>
        <v>n/a</v>
      </c>
      <c r="AT655" s="770" t="str">
        <f>IFERROR(AT650/AS628-1,"n/a")</f>
        <v>n/a</v>
      </c>
      <c r="AU655" s="771" t="str">
        <f>IFERROR(AU650/AU628-1,"n/a")</f>
        <v>n/a</v>
      </c>
      <c r="AV655" s="771" t="str">
        <f>IFERROR(AV650/AV628-1,"n/a")</f>
        <v>n/a</v>
      </c>
      <c r="AW655" s="771" t="str">
        <f>IFERROR(AW650/AW628-1,"n/a")</f>
        <v>n/a</v>
      </c>
      <c r="AX655" s="771" t="str">
        <f>IFERROR(AX650/AX628-1,"n/a")</f>
        <v>n/a</v>
      </c>
      <c r="AY655" s="770" t="str">
        <f>IFERROR(AY650/AX628-1,"n/a")</f>
        <v>n/a</v>
      </c>
      <c r="AZ655" s="771" t="str">
        <f>IFERROR(AZ650/AZ628-1,"n/a")</f>
        <v>n/a</v>
      </c>
      <c r="BA655" s="771">
        <f>BA650/BA628-1</f>
        <v>-0.73990975000000003</v>
      </c>
      <c r="BB655" s="771">
        <f>BB650/BB628-1</f>
        <v>-0.7587394225806452</v>
      </c>
      <c r="BC655" s="771">
        <f>BC650/BC628-1</f>
        <v>-0.61217464788732401</v>
      </c>
      <c r="BD655" s="770">
        <f>BD650/BC628-1</f>
        <v>-0.61217464788732401</v>
      </c>
      <c r="BE655" s="771">
        <f>BE650/BE628-1</f>
        <v>-4.8176500000000004</v>
      </c>
      <c r="BF655" s="771">
        <f>BF650/BF628-1</f>
        <v>-6.8124999999999991E-2</v>
      </c>
      <c r="BG655" s="771">
        <f>BG650/BG628-1</f>
        <v>0.57375750000000036</v>
      </c>
      <c r="BH655" s="771">
        <f>IFERROR(BH650/BH628-1,"n/a")</f>
        <v>-0.14066304347826086</v>
      </c>
      <c r="BI655" s="770">
        <f>IFERROR(BI650/BH628-1,"n/a")</f>
        <v>-0.14066304347826086</v>
      </c>
      <c r="BJ655" s="1314">
        <f>IFERROR(BJ650/BJ628-1,"n/a")</f>
        <v>1.5748519999999999</v>
      </c>
      <c r="BK655" s="771"/>
      <c r="BL655" s="771"/>
      <c r="BM655" s="771"/>
      <c r="BN655" s="770"/>
      <c r="BO655" s="771"/>
      <c r="BP655" s="771"/>
      <c r="BQ655" s="771"/>
      <c r="BR655" s="771"/>
      <c r="BS655" s="770"/>
      <c r="BT655" s="770"/>
      <c r="BU655" s="770"/>
      <c r="BV655" s="770"/>
      <c r="BW655" s="118"/>
    </row>
    <row r="656" spans="1:75" hidden="1" outlineLevel="2" x14ac:dyDescent="0.5">
      <c r="A656" s="170" t="s">
        <v>2602</v>
      </c>
      <c r="B656" s="720"/>
      <c r="C656" s="417"/>
      <c r="D656" s="417"/>
      <c r="E656" s="417"/>
      <c r="F656" s="417"/>
      <c r="G656" s="378"/>
      <c r="H656" s="378"/>
      <c r="I656" s="378"/>
      <c r="J656" s="378"/>
      <c r="K656" s="417"/>
      <c r="L656" s="378"/>
      <c r="M656" s="378"/>
      <c r="N656" s="378"/>
      <c r="O656" s="378"/>
      <c r="P656" s="417"/>
      <c r="Q656" s="378"/>
      <c r="R656" s="378"/>
      <c r="S656" s="378"/>
      <c r="T656" s="378"/>
      <c r="U656" s="417"/>
      <c r="V656" s="378"/>
      <c r="W656" s="378"/>
      <c r="X656" s="378"/>
      <c r="Y656" s="378"/>
      <c r="Z656" s="417"/>
      <c r="AA656" s="378"/>
      <c r="AB656" s="378"/>
      <c r="AC656" s="378"/>
      <c r="AD656" s="378" t="str">
        <f>IFERROR(AD651/AD628-1,"n/a")</f>
        <v>n/a</v>
      </c>
      <c r="AE656" s="417" t="str">
        <f>IFERROR(AE651/AD628-1,"n/a")</f>
        <v>n/a</v>
      </c>
      <c r="AF656" s="378" t="str">
        <f>IFERROR(AF651/AF628-1,"n/a")</f>
        <v>n/a</v>
      </c>
      <c r="AG656" s="378" t="str">
        <f>IFERROR(AG651/AG628-1,"n/a")</f>
        <v>n/a</v>
      </c>
      <c r="AH656" s="378" t="str">
        <f>IFERROR(AH651/AH628-1,"n/a")</f>
        <v>n/a</v>
      </c>
      <c r="AI656" s="378" t="str">
        <f>IFERROR(AI651/AI628-1,"n/a")</f>
        <v>n/a</v>
      </c>
      <c r="AJ656" s="417" t="str">
        <f>IFERROR(AJ651/AI628-1,"n/a")</f>
        <v>n/a</v>
      </c>
      <c r="AK656" s="378" t="str">
        <f>IFERROR(AK651/AK628-1,"n/a")</f>
        <v>n/a</v>
      </c>
      <c r="AL656" s="378" t="str">
        <f>IFERROR(AL651/AL628-1,"n/a")</f>
        <v>n/a</v>
      </c>
      <c r="AM656" s="378" t="str">
        <f>IFERROR(AM651/AM628-1,"n/a")</f>
        <v>n/a</v>
      </c>
      <c r="AN656" s="378" t="str">
        <f>IFERROR(AN651/AN628-1,"n/a")</f>
        <v>n/a</v>
      </c>
      <c r="AO656" s="417" t="str">
        <f>IFERROR(AO651/AN628-1,"n/a")</f>
        <v>n/a</v>
      </c>
      <c r="AP656" s="378" t="str">
        <f>IFERROR(AP651/AP628-1,"n/a")</f>
        <v>n/a</v>
      </c>
      <c r="AQ656" s="378" t="str">
        <f>IFERROR(AQ651/AQ628-1,"n/a")</f>
        <v>n/a</v>
      </c>
      <c r="AR656" s="378" t="str">
        <f>IFERROR(AR651/AR628-1,"n/a")</f>
        <v>n/a</v>
      </c>
      <c r="AS656" s="378" t="str">
        <f>IFERROR(AS651/AS628-1,"n/a")</f>
        <v>n/a</v>
      </c>
      <c r="AT656" s="417" t="str">
        <f>IFERROR(AT651/AS628-1,"n/a")</f>
        <v>n/a</v>
      </c>
      <c r="AU656" s="378" t="str">
        <f>IFERROR(AU651/AU628-1,"n/a")</f>
        <v>n/a</v>
      </c>
      <c r="AV656" s="378" t="str">
        <f>IFERROR(AV651/AV628-1,"n/a")</f>
        <v>n/a</v>
      </c>
      <c r="AW656" s="378" t="str">
        <f>IFERROR(AW651/AW628-1,"n/a")</f>
        <v>n/a</v>
      </c>
      <c r="AX656" s="378" t="str">
        <f>IFERROR(AX651/AX628-1,"n/a")</f>
        <v>n/a</v>
      </c>
      <c r="AY656" s="417" t="str">
        <f>IFERROR(AY651/AX628-1,"n/a")</f>
        <v>n/a</v>
      </c>
      <c r="AZ656" s="378" t="str">
        <f>IFERROR(AZ651/AZ628-1,"n/a")</f>
        <v>n/a</v>
      </c>
      <c r="BA656" s="378">
        <f>BA651/BA628-1</f>
        <v>-0.21972924999999977</v>
      </c>
      <c r="BB656" s="378">
        <f>BB651/BB628-1</f>
        <v>-0.5174788451612905</v>
      </c>
      <c r="BC656" s="378">
        <f>BC651/BC628-1</f>
        <v>-0.22434929577464791</v>
      </c>
      <c r="BD656" s="417">
        <f>BD651/BC628-1</f>
        <v>-0.22434929577464791</v>
      </c>
      <c r="BE656" s="378">
        <f>BE651/BE628-1</f>
        <v>-3.5451000000000006</v>
      </c>
      <c r="BF656" s="378">
        <f>BF651/BF628-1</f>
        <v>-0.30109374999999994</v>
      </c>
      <c r="BG656" s="378">
        <f>BG651/BG628-1</f>
        <v>-0.21312124999999982</v>
      </c>
      <c r="BH656" s="378">
        <f>IFERROR(BH651/BH628-1,"n/a")</f>
        <v>-0.57033152173913049</v>
      </c>
      <c r="BI656" s="417">
        <f>IFERROR(BI651/BH628-1,"n/a")</f>
        <v>-0.57033152173913049</v>
      </c>
      <c r="BJ656" s="1130">
        <f>IFERROR(BJ651/BJ628-1,"n/a")</f>
        <v>1.1457099999999998</v>
      </c>
      <c r="BK656" s="378"/>
      <c r="BL656" s="378"/>
      <c r="BM656" s="378"/>
      <c r="BN656" s="417"/>
      <c r="BO656" s="378"/>
      <c r="BP656" s="378"/>
      <c r="BQ656" s="378"/>
      <c r="BR656" s="378"/>
      <c r="BS656" s="417"/>
      <c r="BT656" s="417"/>
      <c r="BU656" s="417"/>
      <c r="BV656" s="417"/>
      <c r="BW656" s="118"/>
    </row>
    <row r="657" spans="1:75" hidden="1" outlineLevel="3" x14ac:dyDescent="0.5">
      <c r="A657" s="189" t="s">
        <v>2603</v>
      </c>
      <c r="B657" s="720"/>
      <c r="C657" s="417"/>
      <c r="D657" s="417"/>
      <c r="E657" s="417"/>
      <c r="F657" s="417"/>
      <c r="G657" s="378"/>
      <c r="H657" s="378"/>
      <c r="I657" s="378"/>
      <c r="J657" s="378"/>
      <c r="K657" s="417"/>
      <c r="L657" s="378"/>
      <c r="M657" s="378"/>
      <c r="N657" s="378"/>
      <c r="O657" s="378"/>
      <c r="P657" s="417"/>
      <c r="Q657" s="378"/>
      <c r="R657" s="378"/>
      <c r="S657" s="378"/>
      <c r="T657" s="378"/>
      <c r="U657" s="417"/>
      <c r="V657" s="378"/>
      <c r="W657" s="378"/>
      <c r="X657" s="378"/>
      <c r="Y657" s="378"/>
      <c r="Z657" s="417"/>
      <c r="AA657" s="378"/>
      <c r="AB657" s="378"/>
      <c r="AC657" s="378"/>
      <c r="AD657" s="378" t="str">
        <f>IFERROR(AD649/AA628-1,"n/a")</f>
        <v>n/a</v>
      </c>
      <c r="AE657" s="417" t="str">
        <f>IFERROR(AD657,"n/a")</f>
        <v>n/a</v>
      </c>
      <c r="AF657" s="378" t="str">
        <f>IFERROR(AF649/AB628-1,"n/a")</f>
        <v>n/a</v>
      </c>
      <c r="AG657" s="378" t="str">
        <f>IFERROR(AG649/AC628-1,"n/a")</f>
        <v>n/a</v>
      </c>
      <c r="AH657" s="378" t="str">
        <f>IFERROR(AH649/AD628-1,"n/a")</f>
        <v>n/a</v>
      </c>
      <c r="AI657" s="378" t="str">
        <f>IFERROR(AI649/AF628-1,"n/a")</f>
        <v>n/a</v>
      </c>
      <c r="AJ657" s="417" t="str">
        <f>IFERROR(AI657,"n/a")</f>
        <v>n/a</v>
      </c>
      <c r="AK657" s="378" t="str">
        <f>IFERROR(AK649/AG628-1,"n/a")</f>
        <v>n/a</v>
      </c>
      <c r="AL657" s="378" t="str">
        <f>IFERROR(AL649/AH628-1,"n/a")</f>
        <v>n/a</v>
      </c>
      <c r="AM657" s="378" t="str">
        <f>IFERROR(AM649/AI628-1,"n/a")</f>
        <v>n/a</v>
      </c>
      <c r="AN657" s="378" t="str">
        <f>IFERROR(AN649/AK628-1,"n/a")</f>
        <v>n/a</v>
      </c>
      <c r="AO657" s="417" t="str">
        <f>IFERROR(AN657,"n/a")</f>
        <v>n/a</v>
      </c>
      <c r="AP657" s="378" t="str">
        <f>IFERROR(AP649/AL628-1,"n/a")</f>
        <v>n/a</v>
      </c>
      <c r="AQ657" s="378" t="str">
        <f>IFERROR(AQ649/AM628-1,"n/a")</f>
        <v>n/a</v>
      </c>
      <c r="AR657" s="378" t="str">
        <f>IFERROR(AR649/AN628-1,"n/a")</f>
        <v>n/a</v>
      </c>
      <c r="AS657" s="378" t="str">
        <f>IFERROR(AS649/AP628-1,"n/a")</f>
        <v>n/a</v>
      </c>
      <c r="AT657" s="417" t="str">
        <f>IFERROR(AS657,"n/a")</f>
        <v>n/a</v>
      </c>
      <c r="AU657" s="378" t="str">
        <f>IFERROR(AU649/AQ628-1,"n/a")</f>
        <v>n/a</v>
      </c>
      <c r="AV657" s="378" t="str">
        <f>IFERROR(AV649/AR628-1,"n/a")</f>
        <v>n/a</v>
      </c>
      <c r="AW657" s="378" t="str">
        <f>IFERROR(AW649/AS628-1,"n/a")</f>
        <v>n/a</v>
      </c>
      <c r="AX657" s="378" t="str">
        <f>IFERROR(AX649/AU628-1,"n/a")</f>
        <v>n/a</v>
      </c>
      <c r="AY657" s="417" t="str">
        <f>IFERROR(AX657,"n/a")</f>
        <v>n/a</v>
      </c>
      <c r="AZ657" s="378" t="str">
        <f>IFERROR(AZ649/AV628-1,"n/a")</f>
        <v>n/a</v>
      </c>
      <c r="BA657" s="378">
        <f>BA649/AW628-1</f>
        <v>-2.3898797142037189</v>
      </c>
      <c r="BB657" s="378">
        <f>BB649/AX628-1</f>
        <v>22.293261043338838</v>
      </c>
      <c r="BC657" s="378">
        <f>BC649/AZ628-1</f>
        <v>-0.26896637168141602</v>
      </c>
      <c r="BD657" s="417">
        <f>BC657</f>
        <v>-0.26896637168141602</v>
      </c>
      <c r="BE657" s="378">
        <f>BE649/BA628-1</f>
        <v>-1.1649601851851852</v>
      </c>
      <c r="BF657" s="378">
        <f>BF649/BB628-1</f>
        <v>-1.4809677419354839</v>
      </c>
      <c r="BG657" s="378">
        <f>BG649/BC628-1</f>
        <v>-1</v>
      </c>
      <c r="BH657" s="378">
        <f>IFERROR(BH649/BE628-1,"n/a")</f>
        <v>-1</v>
      </c>
      <c r="BI657" s="417">
        <f>IFERROR(BH657,"n/a")</f>
        <v>-1</v>
      </c>
      <c r="BJ657" s="1130">
        <f>IFERROR(BJ649/BF628-1,"n/a")</f>
        <v>5.8015625000000792E-3</v>
      </c>
      <c r="BK657" s="378"/>
      <c r="BL657" s="378"/>
      <c r="BM657" s="378"/>
      <c r="BN657" s="417"/>
      <c r="BO657" s="378"/>
      <c r="BP657" s="378"/>
      <c r="BQ657" s="378"/>
      <c r="BR657" s="378"/>
      <c r="BS657" s="417"/>
      <c r="BT657" s="417"/>
      <c r="BU657" s="417"/>
      <c r="BV657" s="417"/>
      <c r="BW657" s="118"/>
    </row>
    <row r="658" spans="1:75" hidden="1" outlineLevel="3" x14ac:dyDescent="0.5">
      <c r="A658" s="1188" t="s">
        <v>2604</v>
      </c>
      <c r="B658" s="769"/>
      <c r="C658" s="770"/>
      <c r="D658" s="770"/>
      <c r="E658" s="770"/>
      <c r="F658" s="770"/>
      <c r="G658" s="771"/>
      <c r="H658" s="771"/>
      <c r="I658" s="771"/>
      <c r="J658" s="771"/>
      <c r="K658" s="770"/>
      <c r="L658" s="771"/>
      <c r="M658" s="771"/>
      <c r="N658" s="771"/>
      <c r="O658" s="771"/>
      <c r="P658" s="770"/>
      <c r="Q658" s="771"/>
      <c r="R658" s="771"/>
      <c r="S658" s="771"/>
      <c r="T658" s="771"/>
      <c r="U658" s="770"/>
      <c r="V658" s="771"/>
      <c r="W658" s="771"/>
      <c r="X658" s="771"/>
      <c r="Y658" s="771"/>
      <c r="Z658" s="770"/>
      <c r="AA658" s="771"/>
      <c r="AB658" s="771"/>
      <c r="AC658" s="771"/>
      <c r="AD658" s="771" t="str">
        <f>IFERROR(AD650/AA628-1,"n/a")</f>
        <v>n/a</v>
      </c>
      <c r="AE658" s="770" t="str">
        <f>IFERROR(AD658,"n/a")</f>
        <v>n/a</v>
      </c>
      <c r="AF658" s="771" t="str">
        <f>IFERROR(AF650/AB628-1,"n/a")</f>
        <v>n/a</v>
      </c>
      <c r="AG658" s="771" t="str">
        <f>IFERROR(AG650/AC628-1,"n/a")</f>
        <v>n/a</v>
      </c>
      <c r="AH658" s="771" t="str">
        <f>IFERROR(AH650/AD628-1,"n/a")</f>
        <v>n/a</v>
      </c>
      <c r="AI658" s="771" t="str">
        <f>IFERROR(AI650/AF628-1,"n/a")</f>
        <v>n/a</v>
      </c>
      <c r="AJ658" s="770" t="str">
        <f>IFERROR(AI658,"n/a")</f>
        <v>n/a</v>
      </c>
      <c r="AK658" s="771" t="str">
        <f>IFERROR(AK650/AG628-1,"n/a")</f>
        <v>n/a</v>
      </c>
      <c r="AL658" s="771" t="str">
        <f>IFERROR(AL650/AH628-1,"n/a")</f>
        <v>n/a</v>
      </c>
      <c r="AM658" s="771" t="str">
        <f>IFERROR(AM650/AI628-1,"n/a")</f>
        <v>n/a</v>
      </c>
      <c r="AN658" s="771" t="str">
        <f>IFERROR(AN650/AK628-1,"n/a")</f>
        <v>n/a</v>
      </c>
      <c r="AO658" s="770" t="str">
        <f>IFERROR(AN658,"n/a")</f>
        <v>n/a</v>
      </c>
      <c r="AP658" s="771" t="str">
        <f>IFERROR(AP650/AL628-1,"n/a")</f>
        <v>n/a</v>
      </c>
      <c r="AQ658" s="771" t="str">
        <f>IFERROR(AQ650/AM628-1,"n/a")</f>
        <v>n/a</v>
      </c>
      <c r="AR658" s="771" t="str">
        <f>IFERROR(AR650/AN628-1,"n/a")</f>
        <v>n/a</v>
      </c>
      <c r="AS658" s="771" t="str">
        <f>IFERROR(AS650/AP628-1,"n/a")</f>
        <v>n/a</v>
      </c>
      <c r="AT658" s="770" t="str">
        <f>IFERROR(AS658,"n/a")</f>
        <v>n/a</v>
      </c>
      <c r="AU658" s="771" t="str">
        <f>IFERROR(AU650/AQ628-1,"n/a")</f>
        <v>n/a</v>
      </c>
      <c r="AV658" s="771" t="str">
        <f>IFERROR(AV650/AR628-1,"n/a")</f>
        <v>n/a</v>
      </c>
      <c r="AW658" s="771" t="str">
        <f>IFERROR(AW650/AS628-1,"n/a")</f>
        <v>n/a</v>
      </c>
      <c r="AX658" s="771" t="str">
        <f>IFERROR(AX650/AU628-1,"n/a")</f>
        <v>n/a</v>
      </c>
      <c r="AY658" s="770" t="str">
        <f>IFERROR(AX658,"n/a")</f>
        <v>n/a</v>
      </c>
      <c r="AZ658" s="771" t="str">
        <f>IFERROR(AZ650/AV628-1,"n/a")</f>
        <v>n/a</v>
      </c>
      <c r="BA658" s="771">
        <f>BA650/AW628-1</f>
        <v>-1.2779759428407438</v>
      </c>
      <c r="BB658" s="771">
        <f>BB650/AX628-1</f>
        <v>6.7644203477796125</v>
      </c>
      <c r="BC658" s="771">
        <f>BC650/AZ628-1</f>
        <v>-0.75632212389380538</v>
      </c>
      <c r="BD658" s="770">
        <f>BC658</f>
        <v>-0.75632212389380538</v>
      </c>
      <c r="BE658" s="771">
        <f>BE650/BA628-1</f>
        <v>-1.4948805555555555</v>
      </c>
      <c r="BF658" s="771">
        <f>BF650/BB628-1</f>
        <v>-1.9619354838709677</v>
      </c>
      <c r="BG658" s="771">
        <f>BG650/BC628-1</f>
        <v>-3.21655985915493</v>
      </c>
      <c r="BH658" s="771">
        <f>IFERROR(BH650/BE628-1,"n/a")</f>
        <v>-6.6470714285714285</v>
      </c>
      <c r="BI658" s="770">
        <f>IFERROR(BH658,"n/a")</f>
        <v>-6.6470714285714285</v>
      </c>
      <c r="BJ658" s="1314">
        <f>IFERROR(BJ650/BF628-1,"n/a")</f>
        <v>0.50870234375000001</v>
      </c>
      <c r="BK658" s="771"/>
      <c r="BL658" s="771"/>
      <c r="BM658" s="771"/>
      <c r="BN658" s="770"/>
      <c r="BO658" s="771"/>
      <c r="BP658" s="771"/>
      <c r="BQ658" s="771"/>
      <c r="BR658" s="771"/>
      <c r="BS658" s="770"/>
      <c r="BT658" s="770"/>
      <c r="BU658" s="770"/>
      <c r="BV658" s="770"/>
      <c r="BW658" s="118"/>
    </row>
    <row r="659" spans="1:75" hidden="1" outlineLevel="2" x14ac:dyDescent="0.5">
      <c r="A659" s="170" t="s">
        <v>2605</v>
      </c>
      <c r="B659" s="720"/>
      <c r="C659" s="417"/>
      <c r="D659" s="417"/>
      <c r="E659" s="417"/>
      <c r="F659" s="417"/>
      <c r="G659" s="378"/>
      <c r="H659" s="378"/>
      <c r="I659" s="378"/>
      <c r="J659" s="378"/>
      <c r="K659" s="417"/>
      <c r="L659" s="378"/>
      <c r="M659" s="378"/>
      <c r="N659" s="378"/>
      <c r="O659" s="378"/>
      <c r="P659" s="417"/>
      <c r="Q659" s="378"/>
      <c r="R659" s="378"/>
      <c r="S659" s="378"/>
      <c r="T659" s="378"/>
      <c r="U659" s="417"/>
      <c r="V659" s="378"/>
      <c r="W659" s="378"/>
      <c r="X659" s="378"/>
      <c r="Y659" s="378"/>
      <c r="Z659" s="417"/>
      <c r="AA659" s="378"/>
      <c r="AB659" s="378"/>
      <c r="AC659" s="378"/>
      <c r="AD659" s="378" t="str">
        <f>IFERROR(AD651/AA628-1,"n/a")</f>
        <v>n/a</v>
      </c>
      <c r="AE659" s="417" t="str">
        <f>IFERROR(AE651/AA628-1,"n/a")</f>
        <v>n/a</v>
      </c>
      <c r="AF659" s="378" t="str">
        <f>IFERROR(AF651/AB628-1,"n/a")</f>
        <v>n/a</v>
      </c>
      <c r="AG659" s="378" t="str">
        <f>IFERROR(AG651/AC628-1,"n/a")</f>
        <v>n/a</v>
      </c>
      <c r="AH659" s="378" t="str">
        <f>IFERROR(AH651/AD628-1,"n/a")</f>
        <v>n/a</v>
      </c>
      <c r="AI659" s="378" t="str">
        <f>IFERROR(AI651/AF628-1,"n/a")</f>
        <v>n/a</v>
      </c>
      <c r="AJ659" s="417" t="str">
        <f>IFERROR(AJ651/AF628-1,"n/a")</f>
        <v>n/a</v>
      </c>
      <c r="AK659" s="378" t="str">
        <f>IFERROR(AK651/AG628-1,"n/a")</f>
        <v>n/a</v>
      </c>
      <c r="AL659" s="378" t="str">
        <f>IFERROR(AL651/AH628-1,"n/a")</f>
        <v>n/a</v>
      </c>
      <c r="AM659" s="378" t="str">
        <f>IFERROR(AM651/AI628-1,"n/a")</f>
        <v>n/a</v>
      </c>
      <c r="AN659" s="378" t="str">
        <f>IFERROR(AN651/AK628-1,"n/a")</f>
        <v>n/a</v>
      </c>
      <c r="AO659" s="417" t="str">
        <f>IFERROR(AO651/AK628-1,"n/a")</f>
        <v>n/a</v>
      </c>
      <c r="AP659" s="378" t="str">
        <f>IFERROR(AP651/AL628-1,"n/a")</f>
        <v>n/a</v>
      </c>
      <c r="AQ659" s="378" t="str">
        <f>IFERROR(AQ651/AM628-1,"n/a")</f>
        <v>n/a</v>
      </c>
      <c r="AR659" s="378" t="str">
        <f>IFERROR(AR651/AN628-1,"n/a")</f>
        <v>n/a</v>
      </c>
      <c r="AS659" s="378" t="str">
        <f>IFERROR(AS651/AP628-1,"n/a")</f>
        <v>n/a</v>
      </c>
      <c r="AT659" s="417" t="str">
        <f>IFERROR(AT651/AP628-1,"n/a")</f>
        <v>n/a</v>
      </c>
      <c r="AU659" s="378" t="str">
        <f>IFERROR(AU651/AQ628-1,"n/a")</f>
        <v>n/a</v>
      </c>
      <c r="AV659" s="378" t="str">
        <f>IFERROR(AV651/AR628-1,"n/a")</f>
        <v>n/a</v>
      </c>
      <c r="AW659" s="378" t="str">
        <f>IFERROR(AW651/AS628-1,"n/a")</f>
        <v>n/a</v>
      </c>
      <c r="AX659" s="378" t="str">
        <f>IFERROR(AX651/AU628-1,"n/a")</f>
        <v>n/a</v>
      </c>
      <c r="AY659" s="417" t="str">
        <f>IFERROR(AY651/AU628-1,"n/a")</f>
        <v>n/a</v>
      </c>
      <c r="AZ659" s="378" t="str">
        <f>IFERROR(AZ651/AV628-1,"n/a")</f>
        <v>n/a</v>
      </c>
      <c r="BA659" s="378">
        <f>BA651/AW628-1</f>
        <v>-1.8339278285222314</v>
      </c>
      <c r="BB659" s="378">
        <f>BB651/AX628-1</f>
        <v>14.528840695559225</v>
      </c>
      <c r="BC659" s="378">
        <f>BC651/AZ628-1</f>
        <v>-0.51264424778761064</v>
      </c>
      <c r="BD659" s="417">
        <f>BD651/AZ628-1</f>
        <v>-0.51264424778761064</v>
      </c>
      <c r="BE659" s="378">
        <f>BE651/BA628-1</f>
        <v>-1.3299203703703704</v>
      </c>
      <c r="BF659" s="378">
        <f>BF651/BB628-1</f>
        <v>-1.721451612903226</v>
      </c>
      <c r="BG659" s="378">
        <f>BG651/BC628-1</f>
        <v>-2.1082799295774652</v>
      </c>
      <c r="BH659" s="378">
        <f>IFERROR(BH651/BE628-1,"n/a")</f>
        <v>-3.8235357142857143</v>
      </c>
      <c r="BI659" s="417">
        <f>IFERROR(BI651/BE628-1,"n/a")</f>
        <v>-3.8235357142857143</v>
      </c>
      <c r="BJ659" s="1130">
        <f>IFERROR(BJ651/BF628-1,"n/a")</f>
        <v>0.25725195312499993</v>
      </c>
      <c r="BK659" s="378"/>
      <c r="BL659" s="378"/>
      <c r="BM659" s="378"/>
      <c r="BN659" s="417"/>
      <c r="BO659" s="378"/>
      <c r="BP659" s="378"/>
      <c r="BQ659" s="378"/>
      <c r="BR659" s="378"/>
      <c r="BS659" s="417"/>
      <c r="BT659" s="417"/>
      <c r="BU659" s="417"/>
      <c r="BV659" s="417"/>
      <c r="BW659" s="118"/>
    </row>
    <row r="660" spans="1:75" hidden="1" outlineLevel="2" x14ac:dyDescent="0.5">
      <c r="A660" s="1524"/>
      <c r="B660" s="513"/>
      <c r="C660" s="401"/>
      <c r="D660" s="401"/>
      <c r="E660" s="401"/>
      <c r="F660" s="401"/>
      <c r="G660" s="118"/>
      <c r="H660" s="118"/>
      <c r="I660" s="118"/>
      <c r="J660" s="118"/>
      <c r="K660" s="401"/>
      <c r="L660" s="118"/>
      <c r="M660" s="118"/>
      <c r="N660" s="118"/>
      <c r="O660" s="118"/>
      <c r="P660" s="401"/>
      <c r="Q660" s="118"/>
      <c r="R660" s="118"/>
      <c r="S660" s="118"/>
      <c r="T660" s="118"/>
      <c r="U660" s="401"/>
      <c r="V660" s="118"/>
      <c r="W660" s="118"/>
      <c r="X660" s="118"/>
      <c r="Y660" s="118"/>
      <c r="Z660" s="401"/>
      <c r="AA660" s="118"/>
      <c r="AB660" s="118"/>
      <c r="AC660" s="118"/>
      <c r="AD660" s="118"/>
      <c r="AE660" s="401"/>
      <c r="AF660" s="118"/>
      <c r="AG660" s="118"/>
      <c r="AH660" s="118"/>
      <c r="AI660" s="118"/>
      <c r="AJ660" s="401"/>
      <c r="AK660" s="118"/>
      <c r="AL660" s="118"/>
      <c r="AM660" s="118"/>
      <c r="AN660" s="118"/>
      <c r="AO660" s="401"/>
      <c r="AP660" s="118"/>
      <c r="AQ660" s="118"/>
      <c r="AR660" s="118"/>
      <c r="AS660" s="118"/>
      <c r="AT660" s="401"/>
      <c r="AU660" s="118"/>
      <c r="AV660" s="118"/>
      <c r="AW660" s="118"/>
      <c r="AX660" s="118"/>
      <c r="AY660" s="401"/>
      <c r="AZ660" s="118"/>
      <c r="BA660" s="118"/>
      <c r="BB660" s="118"/>
      <c r="BC660" s="118"/>
      <c r="BD660" s="401"/>
      <c r="BE660" s="118"/>
      <c r="BF660" s="118"/>
      <c r="BG660" s="118"/>
      <c r="BH660" s="118"/>
      <c r="BI660" s="401"/>
      <c r="BJ660" s="971"/>
      <c r="BK660" s="118"/>
      <c r="BL660" s="118"/>
      <c r="BM660" s="118"/>
      <c r="BN660" s="401"/>
      <c r="BO660" s="118"/>
      <c r="BP660" s="118"/>
      <c r="BQ660" s="118"/>
      <c r="BR660" s="118"/>
      <c r="BS660" s="401"/>
      <c r="BT660" s="401"/>
      <c r="BU660" s="401"/>
      <c r="BV660" s="401"/>
      <c r="BW660" s="118"/>
    </row>
    <row r="661" spans="1:75" hidden="1" outlineLevel="3" x14ac:dyDescent="0.5">
      <c r="A661" s="526" t="s">
        <v>2606</v>
      </c>
      <c r="B661" s="513"/>
      <c r="C661" s="423"/>
      <c r="D661" s="423"/>
      <c r="E661" s="423"/>
      <c r="F661" s="423"/>
      <c r="G661" s="422"/>
      <c r="H661" s="422"/>
      <c r="I661" s="422"/>
      <c r="J661" s="422"/>
      <c r="K661" s="423"/>
      <c r="L661" s="422"/>
      <c r="M661" s="422"/>
      <c r="N661" s="422"/>
      <c r="O661" s="422"/>
      <c r="P661" s="423"/>
      <c r="Q661" s="422"/>
      <c r="R661" s="422"/>
      <c r="S661" s="422"/>
      <c r="T661" s="422"/>
      <c r="U661" s="423"/>
      <c r="V661" s="422"/>
      <c r="W661" s="422"/>
      <c r="X661" s="422"/>
      <c r="Y661" s="422"/>
      <c r="Z661" s="423"/>
      <c r="AA661" s="422"/>
      <c r="AB661" s="422"/>
      <c r="AC661" s="422"/>
      <c r="AD661" s="422" t="str">
        <f t="shared" ref="AD661:BI662" si="468">AD1073</f>
        <v>NR</v>
      </c>
      <c r="AE661" s="423" t="str">
        <f t="shared" si="468"/>
        <v>NR</v>
      </c>
      <c r="AF661" s="422" t="str">
        <f t="shared" si="468"/>
        <v>NR</v>
      </c>
      <c r="AG661" s="422" t="str">
        <f t="shared" si="468"/>
        <v>NR</v>
      </c>
      <c r="AH661" s="422" t="str">
        <f t="shared" si="468"/>
        <v>NR</v>
      </c>
      <c r="AI661" s="422" t="str">
        <f t="shared" si="468"/>
        <v>NR</v>
      </c>
      <c r="AJ661" s="423" t="str">
        <f t="shared" si="468"/>
        <v>NR</v>
      </c>
      <c r="AK661" s="422" t="str">
        <f t="shared" si="468"/>
        <v>NR</v>
      </c>
      <c r="AL661" s="422" t="str">
        <f t="shared" si="468"/>
        <v>NR</v>
      </c>
      <c r="AM661" s="422" t="str">
        <f t="shared" si="468"/>
        <v>NR</v>
      </c>
      <c r="AN661" s="422" t="str">
        <f t="shared" si="468"/>
        <v>NR</v>
      </c>
      <c r="AO661" s="423" t="str">
        <f t="shared" si="468"/>
        <v>NR</v>
      </c>
      <c r="AP661" s="422" t="str">
        <f t="shared" si="468"/>
        <v>NR</v>
      </c>
      <c r="AQ661" s="422" t="str">
        <f t="shared" si="468"/>
        <v>NR</v>
      </c>
      <c r="AR661" s="422" t="str">
        <f t="shared" si="468"/>
        <v>NR</v>
      </c>
      <c r="AS661" s="422" t="str">
        <f t="shared" si="468"/>
        <v>NR</v>
      </c>
      <c r="AT661" s="423" t="str">
        <f t="shared" si="468"/>
        <v>NR</v>
      </c>
      <c r="AU661" s="422" t="str">
        <f t="shared" si="468"/>
        <v>NR</v>
      </c>
      <c r="AV661" s="422" t="str">
        <f t="shared" si="468"/>
        <v>NR</v>
      </c>
      <c r="AW661" s="422" t="str">
        <f t="shared" si="468"/>
        <v>NR</v>
      </c>
      <c r="AX661" s="422">
        <f t="shared" si="468"/>
        <v>-0.05</v>
      </c>
      <c r="AY661" s="423">
        <f t="shared" si="468"/>
        <v>-0.05</v>
      </c>
      <c r="AZ661" s="422">
        <f t="shared" si="468"/>
        <v>-3.7999999999999999E-2</v>
      </c>
      <c r="BA661" s="422">
        <f t="shared" si="468"/>
        <v>-0.05</v>
      </c>
      <c r="BB661" s="422">
        <f t="shared" si="468"/>
        <v>-0.03</v>
      </c>
      <c r="BC661" s="422">
        <f t="shared" si="468"/>
        <v>-0.03</v>
      </c>
      <c r="BD661" s="423">
        <f t="shared" si="468"/>
        <v>-0.03</v>
      </c>
      <c r="BE661" s="422">
        <f t="shared" si="468"/>
        <v>5.0000000000000001E-3</v>
      </c>
      <c r="BF661" s="422">
        <f t="shared" si="468"/>
        <v>0.02</v>
      </c>
      <c r="BG661" s="422">
        <f t="shared" si="468"/>
        <v>0</v>
      </c>
      <c r="BH661" s="422">
        <f t="shared" si="468"/>
        <v>0</v>
      </c>
      <c r="BI661" s="423">
        <f t="shared" si="468"/>
        <v>0</v>
      </c>
      <c r="BJ661" s="1034">
        <f>BJ1073</f>
        <v>0.04</v>
      </c>
      <c r="BK661" s="422"/>
      <c r="BL661" s="422"/>
      <c r="BM661" s="422"/>
      <c r="BN661" s="423"/>
      <c r="BO661" s="422"/>
      <c r="BP661" s="422"/>
      <c r="BQ661" s="422"/>
      <c r="BR661" s="422"/>
      <c r="BS661" s="423"/>
      <c r="BT661" s="423"/>
      <c r="BU661" s="423"/>
      <c r="BV661" s="423"/>
      <c r="BW661" s="118"/>
    </row>
    <row r="662" spans="1:75" hidden="1" outlineLevel="3" x14ac:dyDescent="0.5">
      <c r="A662" s="664" t="s">
        <v>2607</v>
      </c>
      <c r="B662" s="677"/>
      <c r="C662" s="1210"/>
      <c r="D662" s="1210"/>
      <c r="E662" s="1210"/>
      <c r="F662" s="1210"/>
      <c r="G662" s="1211"/>
      <c r="H662" s="1211"/>
      <c r="I662" s="1211"/>
      <c r="J662" s="1211"/>
      <c r="K662" s="1210"/>
      <c r="L662" s="1211"/>
      <c r="M662" s="1211"/>
      <c r="N662" s="1211"/>
      <c r="O662" s="1211"/>
      <c r="P662" s="1210"/>
      <c r="Q662" s="1211"/>
      <c r="R662" s="1211"/>
      <c r="S662" s="1211"/>
      <c r="T662" s="1211"/>
      <c r="U662" s="1210"/>
      <c r="V662" s="1211"/>
      <c r="W662" s="1211"/>
      <c r="X662" s="1211"/>
      <c r="Y662" s="1211"/>
      <c r="Z662" s="1210"/>
      <c r="AA662" s="1211"/>
      <c r="AB662" s="1211"/>
      <c r="AC662" s="1211"/>
      <c r="AD662" s="1211" t="str">
        <f t="shared" si="468"/>
        <v>NR</v>
      </c>
      <c r="AE662" s="1210" t="str">
        <f t="shared" si="468"/>
        <v>NR</v>
      </c>
      <c r="AF662" s="1211" t="str">
        <f t="shared" si="468"/>
        <v>NR</v>
      </c>
      <c r="AG662" s="1211" t="str">
        <f t="shared" si="468"/>
        <v>NR</v>
      </c>
      <c r="AH662" s="1211" t="str">
        <f t="shared" si="468"/>
        <v>NR</v>
      </c>
      <c r="AI662" s="1211" t="str">
        <f t="shared" si="468"/>
        <v>NR</v>
      </c>
      <c r="AJ662" s="1210" t="str">
        <f t="shared" si="468"/>
        <v>NR</v>
      </c>
      <c r="AK662" s="1211" t="str">
        <f t="shared" si="468"/>
        <v>NR</v>
      </c>
      <c r="AL662" s="1211" t="str">
        <f t="shared" si="468"/>
        <v>NR</v>
      </c>
      <c r="AM662" s="1211" t="str">
        <f t="shared" si="468"/>
        <v>NR</v>
      </c>
      <c r="AN662" s="1211" t="str">
        <f t="shared" si="468"/>
        <v>NR</v>
      </c>
      <c r="AO662" s="1210" t="str">
        <f t="shared" si="468"/>
        <v>NR</v>
      </c>
      <c r="AP662" s="1211" t="str">
        <f t="shared" si="468"/>
        <v>NR</v>
      </c>
      <c r="AQ662" s="1211" t="str">
        <f t="shared" si="468"/>
        <v>NR</v>
      </c>
      <c r="AR662" s="1211" t="str">
        <f t="shared" si="468"/>
        <v>NR</v>
      </c>
      <c r="AS662" s="1211" t="str">
        <f t="shared" si="468"/>
        <v>NR</v>
      </c>
      <c r="AT662" s="1210" t="str">
        <f t="shared" si="468"/>
        <v>NR</v>
      </c>
      <c r="AU662" s="1211" t="str">
        <f t="shared" si="468"/>
        <v>NR</v>
      </c>
      <c r="AV662" s="1211" t="str">
        <f t="shared" si="468"/>
        <v>NR</v>
      </c>
      <c r="AW662" s="1211" t="str">
        <f t="shared" si="468"/>
        <v>NR</v>
      </c>
      <c r="AX662" s="1211">
        <f t="shared" si="468"/>
        <v>-0.01</v>
      </c>
      <c r="AY662" s="1210">
        <f t="shared" si="468"/>
        <v>-0.01</v>
      </c>
      <c r="AZ662" s="1211">
        <f t="shared" si="468"/>
        <v>-3.7999999999999999E-2</v>
      </c>
      <c r="BA662" s="1211">
        <f t="shared" si="468"/>
        <v>-0.01</v>
      </c>
      <c r="BB662" s="1211">
        <f t="shared" si="468"/>
        <v>-0.01</v>
      </c>
      <c r="BC662" s="1211">
        <f t="shared" si="468"/>
        <v>-0.01</v>
      </c>
      <c r="BD662" s="1210">
        <f t="shared" si="468"/>
        <v>-0.01</v>
      </c>
      <c r="BE662" s="1211">
        <f t="shared" si="468"/>
        <v>1.4999999999999999E-2</v>
      </c>
      <c r="BF662" s="1211">
        <f t="shared" si="468"/>
        <v>0.04</v>
      </c>
      <c r="BG662" s="1211">
        <f t="shared" si="468"/>
        <v>0.05</v>
      </c>
      <c r="BH662" s="1211">
        <f t="shared" si="468"/>
        <v>0.03</v>
      </c>
      <c r="BI662" s="1210">
        <f t="shared" si="468"/>
        <v>0.03</v>
      </c>
      <c r="BJ662" s="1212">
        <f>BJ1074</f>
        <v>0.06</v>
      </c>
      <c r="BK662" s="1211"/>
      <c r="BL662" s="1211"/>
      <c r="BM662" s="1211"/>
      <c r="BN662" s="1210"/>
      <c r="BO662" s="1211"/>
      <c r="BP662" s="1211"/>
      <c r="BQ662" s="1211"/>
      <c r="BR662" s="1211"/>
      <c r="BS662" s="1210"/>
      <c r="BT662" s="1210"/>
      <c r="BU662" s="1210"/>
      <c r="BV662" s="1210"/>
      <c r="BW662" s="118"/>
    </row>
    <row r="663" spans="1:75" hidden="1" outlineLevel="2" x14ac:dyDescent="0.5">
      <c r="A663" s="178" t="s">
        <v>2608</v>
      </c>
      <c r="B663" s="522"/>
      <c r="C663" s="730"/>
      <c r="D663" s="730"/>
      <c r="E663" s="730"/>
      <c r="F663" s="730"/>
      <c r="G663" s="473"/>
      <c r="H663" s="473"/>
      <c r="I663" s="473"/>
      <c r="J663" s="473"/>
      <c r="K663" s="730"/>
      <c r="L663" s="473"/>
      <c r="M663" s="473"/>
      <c r="N663" s="473"/>
      <c r="O663" s="473"/>
      <c r="P663" s="730"/>
      <c r="Q663" s="473"/>
      <c r="R663" s="473"/>
      <c r="S663" s="473"/>
      <c r="T663" s="473"/>
      <c r="U663" s="730"/>
      <c r="V663" s="473"/>
      <c r="W663" s="473"/>
      <c r="X663" s="473"/>
      <c r="Y663" s="473"/>
      <c r="Z663" s="730"/>
      <c r="AA663" s="473"/>
      <c r="AB663" s="473"/>
      <c r="AC663" s="473"/>
      <c r="AD663" s="473" t="str">
        <f t="shared" ref="AD663:BG663" si="469">IFERROR(AVERAGE(AD662,AD661),"")</f>
        <v/>
      </c>
      <c r="AE663" s="730" t="str">
        <f t="shared" si="469"/>
        <v/>
      </c>
      <c r="AF663" s="473" t="str">
        <f t="shared" si="469"/>
        <v/>
      </c>
      <c r="AG663" s="473" t="str">
        <f t="shared" si="469"/>
        <v/>
      </c>
      <c r="AH663" s="473" t="str">
        <f t="shared" si="469"/>
        <v/>
      </c>
      <c r="AI663" s="473" t="str">
        <f t="shared" si="469"/>
        <v/>
      </c>
      <c r="AJ663" s="730" t="str">
        <f t="shared" si="469"/>
        <v/>
      </c>
      <c r="AK663" s="473" t="str">
        <f t="shared" si="469"/>
        <v/>
      </c>
      <c r="AL663" s="473" t="str">
        <f t="shared" si="469"/>
        <v/>
      </c>
      <c r="AM663" s="473" t="str">
        <f t="shared" si="469"/>
        <v/>
      </c>
      <c r="AN663" s="473" t="str">
        <f t="shared" si="469"/>
        <v/>
      </c>
      <c r="AO663" s="730" t="str">
        <f t="shared" si="469"/>
        <v/>
      </c>
      <c r="AP663" s="473" t="str">
        <f t="shared" si="469"/>
        <v/>
      </c>
      <c r="AQ663" s="473" t="str">
        <f t="shared" si="469"/>
        <v/>
      </c>
      <c r="AR663" s="473" t="str">
        <f t="shared" si="469"/>
        <v/>
      </c>
      <c r="AS663" s="473" t="str">
        <f t="shared" si="469"/>
        <v/>
      </c>
      <c r="AT663" s="730" t="str">
        <f t="shared" si="469"/>
        <v/>
      </c>
      <c r="AU663" s="473" t="str">
        <f t="shared" si="469"/>
        <v/>
      </c>
      <c r="AV663" s="473" t="str">
        <f t="shared" si="469"/>
        <v/>
      </c>
      <c r="AW663" s="473" t="str">
        <f t="shared" si="469"/>
        <v/>
      </c>
      <c r="AX663" s="473">
        <f t="shared" si="469"/>
        <v>-3.0000000000000002E-2</v>
      </c>
      <c r="AY663" s="730">
        <f t="shared" si="469"/>
        <v>-3.0000000000000002E-2</v>
      </c>
      <c r="AZ663" s="473">
        <f t="shared" si="469"/>
        <v>-3.7999999999999999E-2</v>
      </c>
      <c r="BA663" s="473">
        <f t="shared" si="469"/>
        <v>-3.0000000000000002E-2</v>
      </c>
      <c r="BB663" s="473">
        <f t="shared" si="469"/>
        <v>-0.02</v>
      </c>
      <c r="BC663" s="473">
        <f t="shared" si="469"/>
        <v>-0.02</v>
      </c>
      <c r="BD663" s="730">
        <f t="shared" si="469"/>
        <v>-0.02</v>
      </c>
      <c r="BE663" s="473">
        <f t="shared" si="469"/>
        <v>0.01</v>
      </c>
      <c r="BF663" s="473">
        <f t="shared" si="469"/>
        <v>0.03</v>
      </c>
      <c r="BG663" s="473">
        <f t="shared" si="469"/>
        <v>2.5000000000000001E-2</v>
      </c>
      <c r="BH663" s="473">
        <f>IFERROR(AVERAGE(BH662,BH661),"")</f>
        <v>1.4999999999999999E-2</v>
      </c>
      <c r="BI663" s="730">
        <f>IFERROR(AVERAGE(BI662,BI661),"")</f>
        <v>1.4999999999999999E-2</v>
      </c>
      <c r="BJ663" s="1246">
        <f>IFERROR(AVERAGE(BJ662,BJ661),"")</f>
        <v>0.05</v>
      </c>
      <c r="BK663" s="473"/>
      <c r="BL663" s="473"/>
      <c r="BM663" s="473"/>
      <c r="BN663" s="730"/>
      <c r="BO663" s="473"/>
      <c r="BP663" s="473"/>
      <c r="BQ663" s="473"/>
      <c r="BR663" s="473"/>
      <c r="BS663" s="730"/>
      <c r="BT663" s="730"/>
      <c r="BU663" s="730"/>
      <c r="BV663" s="730"/>
      <c r="BW663" s="118"/>
    </row>
    <row r="664" spans="1:75" hidden="1" outlineLevel="2" x14ac:dyDescent="0.5">
      <c r="A664" s="218" t="s">
        <v>2609</v>
      </c>
      <c r="B664" s="513"/>
      <c r="C664" s="425"/>
      <c r="D664" s="425"/>
      <c r="E664" s="425"/>
      <c r="F664" s="425"/>
      <c r="G664" s="487"/>
      <c r="H664" s="487"/>
      <c r="I664" s="487"/>
      <c r="J664" s="487"/>
      <c r="K664" s="425"/>
      <c r="L664" s="487"/>
      <c r="M664" s="487"/>
      <c r="N664" s="487"/>
      <c r="O664" s="487"/>
      <c r="P664" s="425"/>
      <c r="Q664" s="487"/>
      <c r="R664" s="487"/>
      <c r="S664" s="487"/>
      <c r="T664" s="487"/>
      <c r="U664" s="425"/>
      <c r="V664" s="487"/>
      <c r="W664" s="487"/>
      <c r="X664" s="487"/>
      <c r="Y664" s="487"/>
      <c r="Z664" s="425"/>
      <c r="AA664" s="487"/>
      <c r="AB664" s="487"/>
      <c r="AC664" s="487"/>
      <c r="AD664" s="487" t="str">
        <f t="shared" ref="AD664:BG664" si="470">IFERROR(ABS(AD662-AD663)*10000,"")</f>
        <v/>
      </c>
      <c r="AE664" s="425" t="str">
        <f t="shared" si="470"/>
        <v/>
      </c>
      <c r="AF664" s="487" t="str">
        <f t="shared" si="470"/>
        <v/>
      </c>
      <c r="AG664" s="487" t="str">
        <f t="shared" si="470"/>
        <v/>
      </c>
      <c r="AH664" s="487" t="str">
        <f t="shared" si="470"/>
        <v/>
      </c>
      <c r="AI664" s="487" t="str">
        <f t="shared" si="470"/>
        <v/>
      </c>
      <c r="AJ664" s="425" t="str">
        <f t="shared" si="470"/>
        <v/>
      </c>
      <c r="AK664" s="487" t="str">
        <f t="shared" si="470"/>
        <v/>
      </c>
      <c r="AL664" s="487" t="str">
        <f t="shared" si="470"/>
        <v/>
      </c>
      <c r="AM664" s="487" t="str">
        <f t="shared" si="470"/>
        <v/>
      </c>
      <c r="AN664" s="487" t="str">
        <f t="shared" si="470"/>
        <v/>
      </c>
      <c r="AO664" s="425" t="str">
        <f t="shared" si="470"/>
        <v/>
      </c>
      <c r="AP664" s="487" t="str">
        <f t="shared" si="470"/>
        <v/>
      </c>
      <c r="AQ664" s="487" t="str">
        <f t="shared" si="470"/>
        <v/>
      </c>
      <c r="AR664" s="487" t="str">
        <f t="shared" si="470"/>
        <v/>
      </c>
      <c r="AS664" s="487" t="str">
        <f t="shared" si="470"/>
        <v/>
      </c>
      <c r="AT664" s="425" t="str">
        <f t="shared" si="470"/>
        <v/>
      </c>
      <c r="AU664" s="487" t="str">
        <f t="shared" si="470"/>
        <v/>
      </c>
      <c r="AV664" s="487" t="str">
        <f t="shared" si="470"/>
        <v/>
      </c>
      <c r="AW664" s="487" t="str">
        <f t="shared" si="470"/>
        <v/>
      </c>
      <c r="AX664" s="487">
        <f t="shared" si="470"/>
        <v>200.00000000000003</v>
      </c>
      <c r="AY664" s="425">
        <f t="shared" si="470"/>
        <v>200.00000000000003</v>
      </c>
      <c r="AZ664" s="487">
        <f t="shared" si="470"/>
        <v>0</v>
      </c>
      <c r="BA664" s="487">
        <f t="shared" si="470"/>
        <v>200.00000000000003</v>
      </c>
      <c r="BB664" s="487">
        <f t="shared" si="470"/>
        <v>100</v>
      </c>
      <c r="BC664" s="487">
        <f t="shared" si="470"/>
        <v>100</v>
      </c>
      <c r="BD664" s="425">
        <f t="shared" si="470"/>
        <v>100</v>
      </c>
      <c r="BE664" s="487">
        <f t="shared" si="470"/>
        <v>49.999999999999993</v>
      </c>
      <c r="BF664" s="487">
        <f t="shared" si="470"/>
        <v>100.00000000000001</v>
      </c>
      <c r="BG664" s="487">
        <f t="shared" si="470"/>
        <v>250</v>
      </c>
      <c r="BH664" s="487">
        <f>IFERROR(ABS(BH662-BH663)*10000,"")</f>
        <v>150</v>
      </c>
      <c r="BI664" s="425">
        <f>IFERROR(ABS(BI662-BI663)*10000,"")</f>
        <v>150</v>
      </c>
      <c r="BJ664" s="981">
        <f>IFERROR(ABS(BJ662-BJ663)*10000,"")</f>
        <v>99.999999999999943</v>
      </c>
      <c r="BK664" s="487"/>
      <c r="BL664" s="487"/>
      <c r="BM664" s="487"/>
      <c r="BN664" s="425"/>
      <c r="BO664" s="487"/>
      <c r="BP664" s="487"/>
      <c r="BQ664" s="487"/>
      <c r="BR664" s="487"/>
      <c r="BS664" s="425"/>
      <c r="BT664" s="425"/>
      <c r="BU664" s="425"/>
      <c r="BV664" s="425"/>
      <c r="BW664" s="118"/>
    </row>
    <row r="665" spans="1:75" hidden="1" outlineLevel="3" x14ac:dyDescent="0.5">
      <c r="A665" s="1537" t="s">
        <v>2610</v>
      </c>
      <c r="B665" s="720"/>
      <c r="C665" s="948"/>
      <c r="D665" s="948"/>
      <c r="E665" s="948"/>
      <c r="F665" s="948"/>
      <c r="G665" s="1538"/>
      <c r="H665" s="1538"/>
      <c r="I665" s="1538"/>
      <c r="J665" s="1538"/>
      <c r="K665" s="948"/>
      <c r="L665" s="1538"/>
      <c r="M665" s="1538"/>
      <c r="N665" s="1538"/>
      <c r="O665" s="1538"/>
      <c r="P665" s="948"/>
      <c r="Q665" s="1538"/>
      <c r="R665" s="1538"/>
      <c r="S665" s="1538"/>
      <c r="T665" s="1538"/>
      <c r="U665" s="948"/>
      <c r="V665" s="1538"/>
      <c r="W665" s="1538"/>
      <c r="X665" s="1538"/>
      <c r="Y665" s="1538"/>
      <c r="Z665" s="948"/>
      <c r="AA665" s="1538"/>
      <c r="AB665" s="1538"/>
      <c r="AC665" s="1538"/>
      <c r="AD665" s="1538" t="str">
        <f>IFERROR((AD661-AD644)*10000,"")</f>
        <v/>
      </c>
      <c r="AE665" s="948" t="str">
        <f t="shared" ref="AE665:AE670" si="471">AD665</f>
        <v/>
      </c>
      <c r="AF665" s="1538" t="str">
        <f>IFERROR((AF661-AF644)*10000,"")</f>
        <v/>
      </c>
      <c r="AG665" s="1538" t="str">
        <f>IFERROR((AG661-AG644)*10000,"")</f>
        <v/>
      </c>
      <c r="AH665" s="1538" t="str">
        <f>IFERROR((AH661-AH644)*10000,"")</f>
        <v/>
      </c>
      <c r="AI665" s="1538" t="str">
        <f>IFERROR((AI661-AI644)*10000,"")</f>
        <v/>
      </c>
      <c r="AJ665" s="948" t="str">
        <f t="shared" ref="AJ665:AJ670" si="472">AI665</f>
        <v/>
      </c>
      <c r="AK665" s="1538" t="str">
        <f>IFERROR((AK661-AK644)*10000,"")</f>
        <v/>
      </c>
      <c r="AL665" s="1538" t="str">
        <f>IFERROR((AL661-AL644)*10000,"")</f>
        <v/>
      </c>
      <c r="AM665" s="1538" t="str">
        <f>IFERROR((AM661-AM644)*10000,"")</f>
        <v/>
      </c>
      <c r="AN665" s="1538" t="str">
        <f>IFERROR((AN661-AN644)*10000,"")</f>
        <v/>
      </c>
      <c r="AO665" s="948" t="str">
        <f t="shared" ref="AO665:AO670" si="473">AN665</f>
        <v/>
      </c>
      <c r="AP665" s="1538" t="str">
        <f>IFERROR((AP661-AP644)*10000,"")</f>
        <v/>
      </c>
      <c r="AQ665" s="1538" t="str">
        <f>IFERROR((AQ661-AQ644)*10000,"")</f>
        <v/>
      </c>
      <c r="AR665" s="1538" t="str">
        <f>IFERROR((AR661-AR644)*10000,"")</f>
        <v/>
      </c>
      <c r="AS665" s="1538" t="str">
        <f>IFERROR((AS661-AS644)*10000,"")</f>
        <v/>
      </c>
      <c r="AT665" s="948" t="str">
        <f t="shared" ref="AT665:AT670" si="474">AS665</f>
        <v/>
      </c>
      <c r="AU665" s="1538" t="str">
        <f>IFERROR((AU661-AU644)*10000,"")</f>
        <v/>
      </c>
      <c r="AV665" s="1538" t="str">
        <f>IFERROR((AV661-AV644)*10000,"")</f>
        <v/>
      </c>
      <c r="AW665" s="1538" t="str">
        <f>IFERROR((AW661-AW644)*10000,"")</f>
        <v/>
      </c>
      <c r="AX665" s="1538">
        <f>IFERROR((AX661-AX644)*10000,"")</f>
        <v>-488.15107942651389</v>
      </c>
      <c r="AY665" s="948">
        <f t="shared" ref="AY665:AY670" si="475">AX665</f>
        <v>-488.15107942651389</v>
      </c>
      <c r="AZ665" s="1538">
        <f>IFERROR((AZ661-AZ644)*10000,"")</f>
        <v>-2.4523889074506977</v>
      </c>
      <c r="BA665" s="1538">
        <f>IFERROR((BA661-BA644)*10000,"")</f>
        <v>-171.13276492082829</v>
      </c>
      <c r="BB665" s="1538">
        <f>IFERROR((BB661-BB644)*10000,"")</f>
        <v>136.61971830985914</v>
      </c>
      <c r="BC665" s="1538">
        <f>IFERROR((BC661-BC644)*10000,"")</f>
        <v>-71.041599484037391</v>
      </c>
      <c r="BD665" s="948">
        <f t="shared" ref="BD665:BD670" si="476">BC665</f>
        <v>-71.041599484037391</v>
      </c>
      <c r="BE665" s="1538">
        <f>IFERROR((BE661-BE644)*10000,"")</f>
        <v>100.46863734679164</v>
      </c>
      <c r="BF665" s="1538">
        <f>IFERROR((BF661-BF644)*10000,"")</f>
        <v>-203.65815200252285</v>
      </c>
      <c r="BG665" s="1538">
        <f>IFERROR((BG661-BG644)*10000,"")</f>
        <v>-339.67391304347825</v>
      </c>
      <c r="BH665" s="1538">
        <f>IFERROR((BH661-BH644)*10000,"")</f>
        <v>-295.43994861913939</v>
      </c>
      <c r="BI665" s="948">
        <f t="shared" ref="BI665:BI670" si="477">BH665</f>
        <v>-295.43994861913939</v>
      </c>
      <c r="BJ665" s="1539">
        <f>IFERROR((BJ661-BJ644)*10000,"")</f>
        <v>125.1740564309271</v>
      </c>
      <c r="BK665" s="1538"/>
      <c r="BL665" s="1538"/>
      <c r="BM665" s="1538"/>
      <c r="BN665" s="948"/>
      <c r="BO665" s="1538"/>
      <c r="BP665" s="1538"/>
      <c r="BQ665" s="1538"/>
      <c r="BR665" s="1538"/>
      <c r="BS665" s="948"/>
      <c r="BT665" s="948"/>
      <c r="BU665" s="948"/>
      <c r="BV665" s="948"/>
      <c r="BW665" s="118"/>
    </row>
    <row r="666" spans="1:75" hidden="1" outlineLevel="3" x14ac:dyDescent="0.5">
      <c r="A666" s="1540" t="s">
        <v>2611</v>
      </c>
      <c r="B666" s="769"/>
      <c r="C666" s="1541"/>
      <c r="D666" s="1541"/>
      <c r="E666" s="1541"/>
      <c r="F666" s="1541"/>
      <c r="G666" s="1542"/>
      <c r="H666" s="1542"/>
      <c r="I666" s="1542"/>
      <c r="J666" s="1542"/>
      <c r="K666" s="1541"/>
      <c r="L666" s="1542"/>
      <c r="M666" s="1542"/>
      <c r="N666" s="1542"/>
      <c r="O666" s="1542"/>
      <c r="P666" s="1541"/>
      <c r="Q666" s="1542"/>
      <c r="R666" s="1542"/>
      <c r="S666" s="1542"/>
      <c r="T666" s="1542"/>
      <c r="U666" s="1541"/>
      <c r="V666" s="1542"/>
      <c r="W666" s="1542"/>
      <c r="X666" s="1542"/>
      <c r="Y666" s="1542"/>
      <c r="Z666" s="1541"/>
      <c r="AA666" s="1542"/>
      <c r="AB666" s="1542"/>
      <c r="AC666" s="1542"/>
      <c r="AD666" s="1542" t="str">
        <f>IFERROR((AD662-AD644)*10000,"")</f>
        <v/>
      </c>
      <c r="AE666" s="1541" t="str">
        <f t="shared" si="471"/>
        <v/>
      </c>
      <c r="AF666" s="1542" t="str">
        <f>IFERROR((AF662-AF644)*10000,"")</f>
        <v/>
      </c>
      <c r="AG666" s="1542" t="str">
        <f>IFERROR((AG662-AG644)*10000,"")</f>
        <v/>
      </c>
      <c r="AH666" s="1542" t="str">
        <f>IFERROR((AH662-AH644)*10000,"")</f>
        <v/>
      </c>
      <c r="AI666" s="1542" t="str">
        <f>IFERROR((AI662-AI644)*10000,"")</f>
        <v/>
      </c>
      <c r="AJ666" s="1541" t="str">
        <f t="shared" si="472"/>
        <v/>
      </c>
      <c r="AK666" s="1542" t="str">
        <f>IFERROR((AK662-AK644)*10000,"")</f>
        <v/>
      </c>
      <c r="AL666" s="1542" t="str">
        <f>IFERROR((AL662-AL644)*10000,"")</f>
        <v/>
      </c>
      <c r="AM666" s="1542" t="str">
        <f>IFERROR((AM662-AM644)*10000,"")</f>
        <v/>
      </c>
      <c r="AN666" s="1542" t="str">
        <f>IFERROR((AN662-AN644)*10000,"")</f>
        <v/>
      </c>
      <c r="AO666" s="1541" t="str">
        <f t="shared" si="473"/>
        <v/>
      </c>
      <c r="AP666" s="1542" t="str">
        <f>IFERROR((AP662-AP644)*10000,"")</f>
        <v/>
      </c>
      <c r="AQ666" s="1542" t="str">
        <f>IFERROR((AQ662-AQ644)*10000,"")</f>
        <v/>
      </c>
      <c r="AR666" s="1542" t="str">
        <f>IFERROR((AR662-AR644)*10000,"")</f>
        <v/>
      </c>
      <c r="AS666" s="1542" t="str">
        <f>IFERROR((AS662-AS644)*10000,"")</f>
        <v/>
      </c>
      <c r="AT666" s="1541" t="str">
        <f t="shared" si="474"/>
        <v/>
      </c>
      <c r="AU666" s="1542" t="str">
        <f>IFERROR((AU662-AU644)*10000,"")</f>
        <v/>
      </c>
      <c r="AV666" s="1542" t="str">
        <f>IFERROR((AV662-AV644)*10000,"")</f>
        <v/>
      </c>
      <c r="AW666" s="1542" t="str">
        <f>IFERROR((AW662-AW644)*10000,"")</f>
        <v/>
      </c>
      <c r="AX666" s="1542">
        <f>IFERROR((AX662-AX644)*10000,"")</f>
        <v>-88.151079426513903</v>
      </c>
      <c r="AY666" s="1541">
        <f t="shared" si="475"/>
        <v>-88.151079426513903</v>
      </c>
      <c r="AZ666" s="1542">
        <f>IFERROR((AZ662-AZ644)*10000,"")</f>
        <v>-2.4523889074506977</v>
      </c>
      <c r="BA666" s="1542">
        <f>IFERROR((BA662-BA644)*10000,"")</f>
        <v>228.86723507917171</v>
      </c>
      <c r="BB666" s="1542">
        <f>IFERROR((BB662-BB644)*10000,"")</f>
        <v>336.61971830985908</v>
      </c>
      <c r="BC666" s="1542">
        <f>IFERROR((BC662-BC644)*10000,"")</f>
        <v>128.95840051596258</v>
      </c>
      <c r="BD666" s="1541">
        <f t="shared" si="476"/>
        <v>128.95840051596258</v>
      </c>
      <c r="BE666" s="1542">
        <f>IFERROR((BE662-BE644)*10000,"")</f>
        <v>200.46863734679164</v>
      </c>
      <c r="BF666" s="1542">
        <f>IFERROR((BF662-BF644)*10000,"")</f>
        <v>-3.6581520025228547</v>
      </c>
      <c r="BG666" s="1542">
        <f>IFERROR((BG662-BG644)*10000,"")</f>
        <v>160.32608695652178</v>
      </c>
      <c r="BH666" s="1542">
        <f>IFERROR((BH662-BH644)*10000,"")</f>
        <v>4.5600513808606236</v>
      </c>
      <c r="BI666" s="1541">
        <f t="shared" si="477"/>
        <v>4.5600513808606236</v>
      </c>
      <c r="BJ666" s="1543">
        <f>IFERROR((BJ662-BJ644)*10000,"")</f>
        <v>325.17405643092701</v>
      </c>
      <c r="BK666" s="1542"/>
      <c r="BL666" s="1542"/>
      <c r="BM666" s="1542"/>
      <c r="BN666" s="1541"/>
      <c r="BO666" s="1542"/>
      <c r="BP666" s="1542"/>
      <c r="BQ666" s="1542"/>
      <c r="BR666" s="1542"/>
      <c r="BS666" s="1541"/>
      <c r="BT666" s="1541"/>
      <c r="BU666" s="1541"/>
      <c r="BV666" s="1541"/>
      <c r="BW666" s="118"/>
    </row>
    <row r="667" spans="1:75" hidden="1" outlineLevel="2" x14ac:dyDescent="0.5">
      <c r="A667" s="765" t="s">
        <v>2612</v>
      </c>
      <c r="B667" s="720"/>
      <c r="C667" s="948"/>
      <c r="D667" s="948"/>
      <c r="E667" s="948"/>
      <c r="F667" s="948"/>
      <c r="G667" s="1538"/>
      <c r="H667" s="1538"/>
      <c r="I667" s="1538"/>
      <c r="J667" s="1538"/>
      <c r="K667" s="948"/>
      <c r="L667" s="1538"/>
      <c r="M667" s="1538"/>
      <c r="N667" s="1538"/>
      <c r="O667" s="1538"/>
      <c r="P667" s="948"/>
      <c r="Q667" s="1538"/>
      <c r="R667" s="1538"/>
      <c r="S667" s="1538"/>
      <c r="T667" s="1538"/>
      <c r="U667" s="948"/>
      <c r="V667" s="1538"/>
      <c r="W667" s="1538"/>
      <c r="X667" s="1538"/>
      <c r="Y667" s="1538"/>
      <c r="Z667" s="948"/>
      <c r="AA667" s="1538"/>
      <c r="AB667" s="1538"/>
      <c r="AC667" s="1538"/>
      <c r="AD667" s="1538" t="str">
        <f>IFERROR((AD663-AD644)*10000,"")</f>
        <v/>
      </c>
      <c r="AE667" s="948" t="str">
        <f t="shared" si="471"/>
        <v/>
      </c>
      <c r="AF667" s="1538" t="str">
        <f>IFERROR((AF663-AF644)*10000,"")</f>
        <v/>
      </c>
      <c r="AG667" s="1538" t="str">
        <f>IFERROR((AG663-AG644)*10000,"")</f>
        <v/>
      </c>
      <c r="AH667" s="1538" t="str">
        <f>IFERROR((AH663-AH644)*10000,"")</f>
        <v/>
      </c>
      <c r="AI667" s="1538" t="str">
        <f>IFERROR((AI663-AI644)*10000,"")</f>
        <v/>
      </c>
      <c r="AJ667" s="948" t="str">
        <f t="shared" si="472"/>
        <v/>
      </c>
      <c r="AK667" s="1538" t="str">
        <f>IFERROR((AK663-AK644)*10000,"")</f>
        <v/>
      </c>
      <c r="AL667" s="1538" t="str">
        <f>IFERROR((AL663-AL644)*10000,"")</f>
        <v/>
      </c>
      <c r="AM667" s="1538" t="str">
        <f>IFERROR((AM663-AM644)*10000,"")</f>
        <v/>
      </c>
      <c r="AN667" s="1538" t="str">
        <f>IFERROR((AN663-AN644)*10000,"")</f>
        <v/>
      </c>
      <c r="AO667" s="948" t="str">
        <f t="shared" si="473"/>
        <v/>
      </c>
      <c r="AP667" s="1538" t="str">
        <f>IFERROR((AP663-AP644)*10000,"")</f>
        <v/>
      </c>
      <c r="AQ667" s="1538" t="str">
        <f>IFERROR((AQ663-AQ644)*10000,"")</f>
        <v/>
      </c>
      <c r="AR667" s="1538" t="str">
        <f>IFERROR((AR663-AR644)*10000,"")</f>
        <v/>
      </c>
      <c r="AS667" s="1538" t="str">
        <f>IFERROR((AS663-AS644)*10000,"")</f>
        <v/>
      </c>
      <c r="AT667" s="948" t="str">
        <f t="shared" si="474"/>
        <v/>
      </c>
      <c r="AU667" s="1538" t="str">
        <f>IFERROR((AU663-AU644)*10000,"")</f>
        <v/>
      </c>
      <c r="AV667" s="1538" t="str">
        <f>IFERROR((AV663-AV644)*10000,"")</f>
        <v/>
      </c>
      <c r="AW667" s="1538" t="str">
        <f>IFERROR((AW663-AW644)*10000,"")</f>
        <v/>
      </c>
      <c r="AX667" s="1538">
        <f>IFERROR((AX663-AX644)*10000,"")</f>
        <v>-288.15107942651389</v>
      </c>
      <c r="AY667" s="948">
        <f t="shared" si="475"/>
        <v>-288.15107942651389</v>
      </c>
      <c r="AZ667" s="1538">
        <f>IFERROR((AZ663-AZ644)*10000,"")</f>
        <v>-2.4523889074506977</v>
      </c>
      <c r="BA667" s="1538">
        <f>IFERROR((BA663-BA644)*10000,"")</f>
        <v>28.86723507917171</v>
      </c>
      <c r="BB667" s="1538">
        <f>IFERROR((BB663-BB644)*10000,"")</f>
        <v>236.61971830985914</v>
      </c>
      <c r="BC667" s="1538">
        <f>IFERROR((BC663-BC644)*10000,"")</f>
        <v>28.958400515962587</v>
      </c>
      <c r="BD667" s="948">
        <f t="shared" si="476"/>
        <v>28.958400515962587</v>
      </c>
      <c r="BE667" s="1538">
        <f>IFERROR((BE663-BE644)*10000,"")</f>
        <v>150.46863734679164</v>
      </c>
      <c r="BF667" s="1538">
        <f>IFERROR((BF663-BF644)*10000,"")</f>
        <v>-103.65815200252287</v>
      </c>
      <c r="BG667" s="1538">
        <f>IFERROR((BG663-BG644)*10000,"")</f>
        <v>-89.673913043478223</v>
      </c>
      <c r="BH667" s="1538">
        <f>IFERROR((BH663-BH644)*10000,"")</f>
        <v>-145.43994861913936</v>
      </c>
      <c r="BI667" s="948">
        <f t="shared" si="477"/>
        <v>-145.43994861913936</v>
      </c>
      <c r="BJ667" s="1539">
        <f>IFERROR((BJ663-BJ644)*10000,"")</f>
        <v>225.17405643092712</v>
      </c>
      <c r="BK667" s="1538"/>
      <c r="BL667" s="1538"/>
      <c r="BM667" s="1538"/>
      <c r="BN667" s="948"/>
      <c r="BO667" s="1538"/>
      <c r="BP667" s="1538"/>
      <c r="BQ667" s="1538"/>
      <c r="BR667" s="1538"/>
      <c r="BS667" s="948"/>
      <c r="BT667" s="948"/>
      <c r="BU667" s="948"/>
      <c r="BV667" s="948"/>
      <c r="BW667" s="118"/>
    </row>
    <row r="668" spans="1:75" hidden="1" outlineLevel="3" x14ac:dyDescent="0.5">
      <c r="A668" s="1537" t="s">
        <v>2613</v>
      </c>
      <c r="B668" s="720"/>
      <c r="C668" s="948"/>
      <c r="D668" s="948"/>
      <c r="E668" s="948"/>
      <c r="F668" s="948"/>
      <c r="G668" s="1538"/>
      <c r="H668" s="1538"/>
      <c r="I668" s="1538"/>
      <c r="J668" s="1538"/>
      <c r="K668" s="948"/>
      <c r="L668" s="1538"/>
      <c r="M668" s="1538"/>
      <c r="N668" s="1538"/>
      <c r="O668" s="1538"/>
      <c r="P668" s="948"/>
      <c r="Q668" s="1538"/>
      <c r="R668" s="1538"/>
      <c r="S668" s="1538"/>
      <c r="T668" s="1538"/>
      <c r="U668" s="948"/>
      <c r="V668" s="1538"/>
      <c r="W668" s="1538"/>
      <c r="X668" s="1538"/>
      <c r="Y668" s="1538"/>
      <c r="Z668" s="948"/>
      <c r="AA668" s="1538"/>
      <c r="AB668" s="1538"/>
      <c r="AC668" s="1538"/>
      <c r="AD668" s="1538" t="str">
        <f>IFERROR((AD661-AA644)*10000,"")</f>
        <v/>
      </c>
      <c r="AE668" s="948" t="str">
        <f t="shared" si="471"/>
        <v/>
      </c>
      <c r="AF668" s="1538" t="str">
        <f>IFERROR((AF661-AB644)*10000,"")</f>
        <v/>
      </c>
      <c r="AG668" s="1538" t="str">
        <f>IFERROR((AG661-AC644)*10000,"")</f>
        <v/>
      </c>
      <c r="AH668" s="1538" t="str">
        <f>IFERROR((AH661-AD644)*10000,"")</f>
        <v/>
      </c>
      <c r="AI668" s="1538" t="str">
        <f>IFERROR((AI661-AF644)*10000,"")</f>
        <v/>
      </c>
      <c r="AJ668" s="948" t="str">
        <f t="shared" si="472"/>
        <v/>
      </c>
      <c r="AK668" s="1538" t="str">
        <f>IFERROR((AK661-AG644)*10000,"")</f>
        <v/>
      </c>
      <c r="AL668" s="1538" t="str">
        <f>IFERROR((AL661-AH644)*10000,"")</f>
        <v/>
      </c>
      <c r="AM668" s="1538" t="str">
        <f>IFERROR((AM661-AI644)*10000,"")</f>
        <v/>
      </c>
      <c r="AN668" s="1538" t="str">
        <f>IFERROR((AN661-AK644)*10000,"")</f>
        <v/>
      </c>
      <c r="AO668" s="948" t="str">
        <f t="shared" si="473"/>
        <v/>
      </c>
      <c r="AP668" s="1538" t="str">
        <f>IFERROR((AP661-AL644)*10000,"")</f>
        <v/>
      </c>
      <c r="AQ668" s="1538" t="str">
        <f>IFERROR((AQ661-AM644)*10000,"")</f>
        <v/>
      </c>
      <c r="AR668" s="1538" t="str">
        <f>IFERROR((AR661-AN644)*10000,"")</f>
        <v/>
      </c>
      <c r="AS668" s="1538" t="str">
        <f>IFERROR((AS661-AP644)*10000,"")</f>
        <v/>
      </c>
      <c r="AT668" s="948" t="str">
        <f t="shared" si="474"/>
        <v/>
      </c>
      <c r="AU668" s="1538" t="str">
        <f>IFERROR((AU661-AQ644)*10000,"")</f>
        <v/>
      </c>
      <c r="AV668" s="1538" t="str">
        <f>IFERROR((AV661-AR644)*10000,"")</f>
        <v/>
      </c>
      <c r="AW668" s="1538" t="str">
        <f>IFERROR((AW661-AS644)*10000,"")</f>
        <v/>
      </c>
      <c r="AX668" s="1538">
        <f>IFERROR((AX661-AU644)*10000,"")</f>
        <v>-1091.7064987154631</v>
      </c>
      <c r="AY668" s="948">
        <f t="shared" si="475"/>
        <v>-1091.7064987154631</v>
      </c>
      <c r="AZ668" s="1538">
        <f>IFERROR((AZ661-AV644)*10000,"")</f>
        <v>-1185.7805500066634</v>
      </c>
      <c r="BA668" s="1538">
        <f>IFERROR((BA661-AW644)*10000,"")</f>
        <v>-823.76902504675468</v>
      </c>
      <c r="BB668" s="1538">
        <f>IFERROR((BB661-AX644)*10000,"")</f>
        <v>-288.15107942651389</v>
      </c>
      <c r="BC668" s="1538">
        <f>IFERROR((BC661-AZ644)*10000,"")</f>
        <v>77.547611092549303</v>
      </c>
      <c r="BD668" s="948">
        <f t="shared" si="476"/>
        <v>77.547611092549303</v>
      </c>
      <c r="BE668" s="1538">
        <f>IFERROR((BE661-BA644)*10000,"")</f>
        <v>378.86723507917173</v>
      </c>
      <c r="BF668" s="1538">
        <f>IFERROR((BF661-BB644)*10000,"")</f>
        <v>636.61971830985919</v>
      </c>
      <c r="BG668" s="1538">
        <f>IFERROR((BG661-BC644)*10000,"")</f>
        <v>228.95840051596258</v>
      </c>
      <c r="BH668" s="1538">
        <f>IFERROR((BH661-BE644)*10000,"")</f>
        <v>50.468637346791631</v>
      </c>
      <c r="BI668" s="948">
        <f t="shared" si="477"/>
        <v>50.468637346791631</v>
      </c>
      <c r="BJ668" s="1539">
        <f>IFERROR((BJ661-BF644)*10000,"")</f>
        <v>-3.6581520025228547</v>
      </c>
      <c r="BK668" s="1538"/>
      <c r="BL668" s="1538"/>
      <c r="BM668" s="1538"/>
      <c r="BN668" s="948"/>
      <c r="BO668" s="1538"/>
      <c r="BP668" s="1538"/>
      <c r="BQ668" s="1538"/>
      <c r="BR668" s="1538"/>
      <c r="BS668" s="948"/>
      <c r="BT668" s="948"/>
      <c r="BU668" s="948"/>
      <c r="BV668" s="948"/>
      <c r="BW668" s="118"/>
    </row>
    <row r="669" spans="1:75" hidden="1" outlineLevel="3" x14ac:dyDescent="0.5">
      <c r="A669" s="1540" t="s">
        <v>2614</v>
      </c>
      <c r="B669" s="769"/>
      <c r="C669" s="1541"/>
      <c r="D669" s="1541"/>
      <c r="E669" s="1541"/>
      <c r="F669" s="1541"/>
      <c r="G669" s="1542"/>
      <c r="H669" s="1542"/>
      <c r="I669" s="1542"/>
      <c r="J669" s="1542"/>
      <c r="K669" s="1541"/>
      <c r="L669" s="1542"/>
      <c r="M669" s="1542"/>
      <c r="N669" s="1542"/>
      <c r="O669" s="1542"/>
      <c r="P669" s="1541"/>
      <c r="Q669" s="1542"/>
      <c r="R669" s="1542"/>
      <c r="S669" s="1542"/>
      <c r="T669" s="1542"/>
      <c r="U669" s="1541"/>
      <c r="V669" s="1542"/>
      <c r="W669" s="1542"/>
      <c r="X669" s="1542"/>
      <c r="Y669" s="1542"/>
      <c r="Z669" s="1541"/>
      <c r="AA669" s="1542"/>
      <c r="AB669" s="1542"/>
      <c r="AC669" s="1542"/>
      <c r="AD669" s="1542" t="str">
        <f>IFERROR((AD662-AA644)*10000,"")</f>
        <v/>
      </c>
      <c r="AE669" s="1541" t="str">
        <f t="shared" si="471"/>
        <v/>
      </c>
      <c r="AF669" s="1542" t="str">
        <f>IFERROR((AF662-AB644)*10000,"")</f>
        <v/>
      </c>
      <c r="AG669" s="1542" t="str">
        <f>IFERROR((AG662-AC644)*10000,"")</f>
        <v/>
      </c>
      <c r="AH669" s="1542" t="str">
        <f>IFERROR((AH662-AD644)*10000,"")</f>
        <v/>
      </c>
      <c r="AI669" s="1542" t="str">
        <f>IFERROR((AI662-AF644)*10000,"")</f>
        <v/>
      </c>
      <c r="AJ669" s="1541" t="str">
        <f t="shared" si="472"/>
        <v/>
      </c>
      <c r="AK669" s="1542" t="str">
        <f>IFERROR((AK662-AG644)*10000,"")</f>
        <v/>
      </c>
      <c r="AL669" s="1542" t="str">
        <f>IFERROR((AL662-AH644)*10000,"")</f>
        <v/>
      </c>
      <c r="AM669" s="1542" t="str">
        <f>IFERROR((AM662-AI644)*10000,"")</f>
        <v/>
      </c>
      <c r="AN669" s="1542" t="str">
        <f>IFERROR((AN662-AK644)*10000,"")</f>
        <v/>
      </c>
      <c r="AO669" s="1541" t="str">
        <f t="shared" si="473"/>
        <v/>
      </c>
      <c r="AP669" s="1542" t="str">
        <f>IFERROR((AP662-AL644)*10000,"")</f>
        <v/>
      </c>
      <c r="AQ669" s="1542" t="str">
        <f>IFERROR((AQ662-AM644)*10000,"")</f>
        <v/>
      </c>
      <c r="AR669" s="1542" t="str">
        <f>IFERROR((AR662-AN644)*10000,"")</f>
        <v/>
      </c>
      <c r="AS669" s="1542" t="str">
        <f>IFERROR((AS662-AP644)*10000,"")</f>
        <v/>
      </c>
      <c r="AT669" s="1541" t="str">
        <f t="shared" si="474"/>
        <v/>
      </c>
      <c r="AU669" s="1542" t="str">
        <f>IFERROR((AU662-AQ644)*10000,"")</f>
        <v/>
      </c>
      <c r="AV669" s="1542" t="str">
        <f>IFERROR((AV662-AR644)*10000,"")</f>
        <v/>
      </c>
      <c r="AW669" s="1542" t="str">
        <f>IFERROR((AW662-AS644)*10000,"")</f>
        <v/>
      </c>
      <c r="AX669" s="1542">
        <f>IFERROR((AX662-AU644)*10000,"")</f>
        <v>-691.70649871546311</v>
      </c>
      <c r="AY669" s="1541">
        <f t="shared" si="475"/>
        <v>-691.70649871546311</v>
      </c>
      <c r="AZ669" s="1542">
        <f>IFERROR((AZ662-AV644)*10000,"")</f>
        <v>-1185.7805500066634</v>
      </c>
      <c r="BA669" s="1542">
        <f>IFERROR((BA662-AW644)*10000,"")</f>
        <v>-423.76902504675468</v>
      </c>
      <c r="BB669" s="1542">
        <f>IFERROR((BB662-AX644)*10000,"")</f>
        <v>-88.151079426513903</v>
      </c>
      <c r="BC669" s="1542">
        <f>IFERROR((BC662-AZ644)*10000,"")</f>
        <v>277.54761109254929</v>
      </c>
      <c r="BD669" s="1541">
        <f t="shared" si="476"/>
        <v>277.54761109254929</v>
      </c>
      <c r="BE669" s="1542">
        <f>IFERROR((BE662-BA644)*10000,"")</f>
        <v>478.86723507917173</v>
      </c>
      <c r="BF669" s="1542">
        <f>IFERROR((BF662-BB644)*10000,"")</f>
        <v>836.61971830985919</v>
      </c>
      <c r="BG669" s="1542">
        <f>IFERROR((BG662-BC644)*10000,"")</f>
        <v>728.95840051596258</v>
      </c>
      <c r="BH669" s="1542">
        <f>IFERROR((BH662-BE644)*10000,"")</f>
        <v>350.46863734679164</v>
      </c>
      <c r="BI669" s="1541">
        <f t="shared" si="477"/>
        <v>350.46863734679164</v>
      </c>
      <c r="BJ669" s="1543">
        <f>IFERROR((BJ662-BF644)*10000,"")</f>
        <v>196.34184799747712</v>
      </c>
      <c r="BK669" s="1542"/>
      <c r="BL669" s="1542"/>
      <c r="BM669" s="1542"/>
      <c r="BN669" s="1541"/>
      <c r="BO669" s="1542"/>
      <c r="BP669" s="1542"/>
      <c r="BQ669" s="1542"/>
      <c r="BR669" s="1542"/>
      <c r="BS669" s="1541"/>
      <c r="BT669" s="1541"/>
      <c r="BU669" s="1541"/>
      <c r="BV669" s="1541"/>
      <c r="BW669" s="118"/>
    </row>
    <row r="670" spans="1:75" hidden="1" outlineLevel="2" x14ac:dyDescent="0.5">
      <c r="A670" s="765" t="s">
        <v>2615</v>
      </c>
      <c r="B670" s="720"/>
      <c r="C670" s="948"/>
      <c r="D670" s="948"/>
      <c r="E670" s="948"/>
      <c r="F670" s="948"/>
      <c r="G670" s="1538"/>
      <c r="H670" s="1538"/>
      <c r="I670" s="1538"/>
      <c r="J670" s="1538"/>
      <c r="K670" s="948"/>
      <c r="L670" s="1538"/>
      <c r="M670" s="1538"/>
      <c r="N670" s="1538"/>
      <c r="O670" s="1538"/>
      <c r="P670" s="948"/>
      <c r="Q670" s="1538"/>
      <c r="R670" s="1538"/>
      <c r="S670" s="1538"/>
      <c r="T670" s="1538"/>
      <c r="U670" s="948"/>
      <c r="V670" s="1538"/>
      <c r="W670" s="1538"/>
      <c r="X670" s="1538"/>
      <c r="Y670" s="1538"/>
      <c r="Z670" s="948"/>
      <c r="AA670" s="1538"/>
      <c r="AB670" s="1538"/>
      <c r="AC670" s="1538"/>
      <c r="AD670" s="1538" t="str">
        <f>IFERROR((AD663-AA644)*10000,"")</f>
        <v/>
      </c>
      <c r="AE670" s="948" t="str">
        <f t="shared" si="471"/>
        <v/>
      </c>
      <c r="AF670" s="1538" t="str">
        <f>IFERROR((AF663-AB644)*10000,"")</f>
        <v/>
      </c>
      <c r="AG670" s="1538" t="str">
        <f>IFERROR((AG663-AC644)*10000,"")</f>
        <v/>
      </c>
      <c r="AH670" s="1538" t="str">
        <f>IFERROR((AH663-AD644)*10000,"")</f>
        <v/>
      </c>
      <c r="AI670" s="1538" t="str">
        <f>IFERROR((AI663-AF644)*10000,"")</f>
        <v/>
      </c>
      <c r="AJ670" s="948" t="str">
        <f t="shared" si="472"/>
        <v/>
      </c>
      <c r="AK670" s="1538" t="str">
        <f>IFERROR((AK663-AG644)*10000,"")</f>
        <v/>
      </c>
      <c r="AL670" s="1538" t="str">
        <f>IFERROR((AL663-AH644)*10000,"")</f>
        <v/>
      </c>
      <c r="AM670" s="1538" t="str">
        <f>IFERROR((AM663-AI644)*10000,"")</f>
        <v/>
      </c>
      <c r="AN670" s="1538" t="str">
        <f>IFERROR((AN663-AK644)*10000,"")</f>
        <v/>
      </c>
      <c r="AO670" s="948" t="str">
        <f t="shared" si="473"/>
        <v/>
      </c>
      <c r="AP670" s="1538" t="str">
        <f>IFERROR((AP663-AL644)*10000,"")</f>
        <v/>
      </c>
      <c r="AQ670" s="1538" t="str">
        <f>IFERROR((AQ663-AM644)*10000,"")</f>
        <v/>
      </c>
      <c r="AR670" s="1538" t="str">
        <f>IFERROR((AR663-AN644)*10000,"")</f>
        <v/>
      </c>
      <c r="AS670" s="1538" t="str">
        <f>IFERROR((AS663-AP644)*10000,"")</f>
        <v/>
      </c>
      <c r="AT670" s="948" t="str">
        <f t="shared" si="474"/>
        <v/>
      </c>
      <c r="AU670" s="1538" t="str">
        <f>IFERROR((AU663-AQ644)*10000,"")</f>
        <v/>
      </c>
      <c r="AV670" s="1538" t="str">
        <f>IFERROR((AV663-AR644)*10000,"")</f>
        <v/>
      </c>
      <c r="AW670" s="1538" t="str">
        <f>IFERROR((AW663-AS644)*10000,"")</f>
        <v/>
      </c>
      <c r="AX670" s="1538">
        <f>IFERROR((AX663-AU644)*10000,"")</f>
        <v>-891.70649871546311</v>
      </c>
      <c r="AY670" s="948">
        <f t="shared" si="475"/>
        <v>-891.70649871546311</v>
      </c>
      <c r="AZ670" s="1538">
        <f>IFERROR((AZ663-AV644)*10000,"")</f>
        <v>-1185.7805500066634</v>
      </c>
      <c r="BA670" s="1538">
        <f>IFERROR((BA663-AW644)*10000,"")</f>
        <v>-623.76902504675468</v>
      </c>
      <c r="BB670" s="1538">
        <f>IFERROR((BB663-AX644)*10000,"")</f>
        <v>-188.15107942651389</v>
      </c>
      <c r="BC670" s="1538">
        <f>IFERROR((BC663-AZ644)*10000,"")</f>
        <v>177.54761109254929</v>
      </c>
      <c r="BD670" s="948">
        <f t="shared" si="476"/>
        <v>177.54761109254929</v>
      </c>
      <c r="BE670" s="1538">
        <f>IFERROR((BE663-BA644)*10000,"")</f>
        <v>428.86723507917173</v>
      </c>
      <c r="BF670" s="1538">
        <f>IFERROR((BF663-BB644)*10000,"")</f>
        <v>736.61971830985908</v>
      </c>
      <c r="BG670" s="1538">
        <f>IFERROR((BG663-BC644)*10000,"")</f>
        <v>478.95840051596264</v>
      </c>
      <c r="BH670" s="1538">
        <f>IFERROR((BH663-BE644)*10000,"")</f>
        <v>200.46863734679164</v>
      </c>
      <c r="BI670" s="948">
        <f t="shared" si="477"/>
        <v>200.46863734679164</v>
      </c>
      <c r="BJ670" s="1539">
        <f>IFERROR((BJ663-BF644)*10000,"")</f>
        <v>96.34184799747716</v>
      </c>
      <c r="BK670" s="1538"/>
      <c r="BL670" s="1538"/>
      <c r="BM670" s="1538"/>
      <c r="BN670" s="948"/>
      <c r="BO670" s="1538"/>
      <c r="BP670" s="1538"/>
      <c r="BQ670" s="1538"/>
      <c r="BR670" s="1538"/>
      <c r="BS670" s="948"/>
      <c r="BT670" s="948"/>
      <c r="BU670" s="948"/>
      <c r="BV670" s="948"/>
      <c r="BW670" s="118"/>
    </row>
    <row r="671" spans="1:75" hidden="1" outlineLevel="2" x14ac:dyDescent="0.5">
      <c r="A671" s="1524"/>
      <c r="B671" s="513"/>
      <c r="C671" s="401"/>
      <c r="D671" s="401"/>
      <c r="E671" s="401"/>
      <c r="F671" s="401"/>
      <c r="G671" s="118"/>
      <c r="H671" s="118"/>
      <c r="I671" s="118"/>
      <c r="J671" s="118"/>
      <c r="K671" s="401"/>
      <c r="L671" s="118"/>
      <c r="M671" s="118"/>
      <c r="N671" s="118"/>
      <c r="O671" s="118"/>
      <c r="P671" s="401"/>
      <c r="Q671" s="118"/>
      <c r="R671" s="118"/>
      <c r="S671" s="118"/>
      <c r="T671" s="118"/>
      <c r="U671" s="401"/>
      <c r="V671" s="118"/>
      <c r="W671" s="118"/>
      <c r="X671" s="118"/>
      <c r="Y671" s="118"/>
      <c r="Z671" s="401"/>
      <c r="AA671" s="118"/>
      <c r="AB671" s="118"/>
      <c r="AC671" s="118"/>
      <c r="AD671" s="118"/>
      <c r="AE671" s="401"/>
      <c r="AF671" s="118"/>
      <c r="AG671" s="118"/>
      <c r="AH671" s="118"/>
      <c r="AI671" s="118"/>
      <c r="AJ671" s="401"/>
      <c r="AK671" s="118"/>
      <c r="AL671" s="118"/>
      <c r="AM671" s="118"/>
      <c r="AN671" s="118"/>
      <c r="AO671" s="401"/>
      <c r="AP671" s="118"/>
      <c r="AQ671" s="118"/>
      <c r="AR671" s="118"/>
      <c r="AS671" s="118"/>
      <c r="AT671" s="401"/>
      <c r="AU671" s="118"/>
      <c r="AV671" s="118"/>
      <c r="AW671" s="118"/>
      <c r="AX671" s="118"/>
      <c r="AY671" s="401"/>
      <c r="AZ671" s="118"/>
      <c r="BA671" s="118"/>
      <c r="BB671" s="118"/>
      <c r="BC671" s="118"/>
      <c r="BD671" s="401"/>
      <c r="BE671" s="118"/>
      <c r="BF671" s="118"/>
      <c r="BG671" s="118"/>
      <c r="BH671" s="118"/>
      <c r="BI671" s="401"/>
      <c r="BJ671" s="971"/>
      <c r="BK671" s="118"/>
      <c r="BL671" s="118"/>
      <c r="BM671" s="118"/>
      <c r="BN671" s="401"/>
      <c r="BO671" s="118"/>
      <c r="BP671" s="118"/>
      <c r="BQ671" s="118"/>
      <c r="BR671" s="118"/>
      <c r="BS671" s="401"/>
      <c r="BT671" s="401"/>
      <c r="BU671" s="401"/>
      <c r="BV671" s="401"/>
      <c r="BW671" s="118"/>
    </row>
    <row r="672" spans="1:75" hidden="1" outlineLevel="2" x14ac:dyDescent="0.5">
      <c r="A672" s="170" t="s">
        <v>2616</v>
      </c>
      <c r="B672" s="720"/>
      <c r="C672" s="417"/>
      <c r="D672" s="417" t="str">
        <f>IFERROR(IF(D626="","",D626/C628-1),"")</f>
        <v/>
      </c>
      <c r="E672" s="417" t="str">
        <f>IFERROR(IF(E626="","",E626/D628-1),"")</f>
        <v/>
      </c>
      <c r="F672" s="417" t="str">
        <f>IFERROR(IF(F626="","",F626/E628-1),"")</f>
        <v/>
      </c>
      <c r="G672" s="378" t="str">
        <f>IFERROR(IF(K623="","",K623/F628-1),"")</f>
        <v/>
      </c>
      <c r="H672" s="378" t="str">
        <f>IFERROR(IF(K624="","",K624/F628-1),"")</f>
        <v/>
      </c>
      <c r="I672" s="378" t="str">
        <f>IFERROR(IF(K625="","",K625/F628-1),"")</f>
        <v/>
      </c>
      <c r="J672" s="378" t="str">
        <f>IFERROR(IF(K626="","",K626/F628-1),"")</f>
        <v/>
      </c>
      <c r="K672" s="417" t="str">
        <f>IFERROR(IF(K626="","",K626/F628-1),"")</f>
        <v/>
      </c>
      <c r="L672" s="378" t="str">
        <f>IFERROR(IF(P623="","",P623/K628-1),"")</f>
        <v/>
      </c>
      <c r="M672" s="378" t="str">
        <f>IFERROR(IF(P624="","",P624/K628-1),"")</f>
        <v/>
      </c>
      <c r="N672" s="378" t="str">
        <f>IFERROR(IF(P625="","",P625/K628-1),"")</f>
        <v/>
      </c>
      <c r="O672" s="378" t="str">
        <f>IFERROR(IF(P626="","",P626/K628-1),"")</f>
        <v/>
      </c>
      <c r="P672" s="417" t="str">
        <f>IFERROR(IF(P626="","",P626/K628-1),"")</f>
        <v/>
      </c>
      <c r="Q672" s="378" t="str">
        <f>IFERROR(IF(U623="","",U623/P628-1),"")</f>
        <v/>
      </c>
      <c r="R672" s="378" t="str">
        <f>IFERROR(IF(U624="","",U624/P628-1),"")</f>
        <v/>
      </c>
      <c r="S672" s="378" t="str">
        <f>IFERROR(IF(U625="","",U625/P628-1),"")</f>
        <v/>
      </c>
      <c r="T672" s="378" t="str">
        <f>IFERROR(IF(U626="","",U626/P628-1),"")</f>
        <v/>
      </c>
      <c r="U672" s="417" t="str">
        <f>IFERROR(IF(U626="","",U626/P628-1),"")</f>
        <v/>
      </c>
      <c r="V672" s="378" t="str">
        <f>IFERROR(IF(Z623="","",Z623/U628-1),"")</f>
        <v/>
      </c>
      <c r="W672" s="378" t="str">
        <f>IFERROR(IF(Z624="","",Z624/U628-1),"")</f>
        <v/>
      </c>
      <c r="X672" s="378" t="str">
        <f>IFERROR(IF(Z625="","",Z625/U628-1),"")</f>
        <v/>
      </c>
      <c r="Y672" s="378" t="str">
        <f>IFERROR(IF(Z626="","",Z626/U628-1),"")</f>
        <v/>
      </c>
      <c r="Z672" s="417" t="str">
        <f>IFERROR(IF(Z626="","",Z626/U628-1),"")</f>
        <v/>
      </c>
      <c r="AA672" s="378" t="str">
        <f>IFERROR(IF(AE623="","",AE623/Z628-1),"")</f>
        <v/>
      </c>
      <c r="AB672" s="378" t="str">
        <f>IFERROR(IF(AE624="","",AE624/Z628-1),"")</f>
        <v/>
      </c>
      <c r="AC672" s="378" t="str">
        <f>IFERROR(IF(AE625="","",AE625/Z628-1),"")</f>
        <v/>
      </c>
      <c r="AD672" s="378" t="str">
        <f>IFERROR(IF(AE626="","",AE626/Z628-1),"")</f>
        <v/>
      </c>
      <c r="AE672" s="417" t="str">
        <f>IFERROR(IF(AE626="","",AE626/Z628-1),"")</f>
        <v/>
      </c>
      <c r="AF672" s="378" t="str">
        <f>IFERROR(IF(AJ623="","",AJ623/AE628-1),"")</f>
        <v/>
      </c>
      <c r="AG672" s="378" t="str">
        <f>IFERROR(IF(AJ624="","",AJ624/AE628-1),"")</f>
        <v/>
      </c>
      <c r="AH672" s="378" t="str">
        <f>IFERROR(IF(AJ625="","",AJ625/AE628-1),"")</f>
        <v/>
      </c>
      <c r="AI672" s="378" t="str">
        <f>IFERROR(IF(AJ626="","",AJ626/AE628-1),"")</f>
        <v/>
      </c>
      <c r="AJ672" s="417" t="str">
        <f>IFERROR(IF(AJ626="","",AJ626/AE628-1),"")</f>
        <v/>
      </c>
      <c r="AK672" s="378" t="str">
        <f>IFERROR(IF(AO623="","",AO623/AJ628-1),"")</f>
        <v/>
      </c>
      <c r="AL672" s="378" t="str">
        <f>IFERROR(IF(AO624="","",AO624/AJ628-1),"")</f>
        <v/>
      </c>
      <c r="AM672" s="378" t="str">
        <f>IFERROR(IF(AO625="","",AO625/AJ628-1),"")</f>
        <v/>
      </c>
      <c r="AN672" s="378" t="str">
        <f>IFERROR(IF(AO626="","",AO626/AJ628-1),"")</f>
        <v/>
      </c>
      <c r="AO672" s="417" t="str">
        <f>IFERROR(IF(AO626="","",AO626/AJ628-1),"")</f>
        <v/>
      </c>
      <c r="AP672" s="378" t="str">
        <f>IFERROR(IF(AT623="","",AT623/AO628-1),"")</f>
        <v/>
      </c>
      <c r="AQ672" s="378" t="str">
        <f>IFERROR(IF(AT624="","",AT624/AO628-1),"")</f>
        <v/>
      </c>
      <c r="AR672" s="378" t="str">
        <f>IFERROR(IF(AT625="","",AT625/AO628-1),"")</f>
        <v/>
      </c>
      <c r="AS672" s="378" t="str">
        <f>IFERROR(IF(AT626="","",AT626/AO628-1),"")</f>
        <v/>
      </c>
      <c r="AT672" s="417" t="str">
        <f>IFERROR(IF(AT626="","",AT626/AO628-1),"")</f>
        <v/>
      </c>
      <c r="AU672" s="378" t="str">
        <f>IFERROR(IF(AY623="","",AY623/AT628-1),"")</f>
        <v/>
      </c>
      <c r="AV672" s="378" t="str">
        <f>IFERROR(IF(AY624="","",AY624/AT628-1),"")</f>
        <v/>
      </c>
      <c r="AW672" s="378" t="str">
        <f>IFERROR(IF(AY625="","",AY625/AT628-1),"")</f>
        <v/>
      </c>
      <c r="AX672" s="378" t="str">
        <f>IFERROR(IF(AY626="","",AY626/AT628-1),"")</f>
        <v/>
      </c>
      <c r="AY672" s="417" t="str">
        <f>IFERROR(IF(AY626="","",AY626/AT628-1),"")</f>
        <v/>
      </c>
      <c r="AZ672" s="378" t="str">
        <f>IFERROR(IF(BD623="","",BD623/AY628-1),"")</f>
        <v/>
      </c>
      <c r="BA672" s="378" t="str">
        <f>IFERROR(IF(BD624="","",BD624/AY628-1),"")</f>
        <v/>
      </c>
      <c r="BB672" s="378" t="str">
        <f>IFERROR(IF(BD625="","",BD625/AY628-1),"")</f>
        <v/>
      </c>
      <c r="BC672" s="378" t="str">
        <f>IFERROR(IF(BD626="","",BD626/AY628-1),"")</f>
        <v/>
      </c>
      <c r="BD672" s="417" t="str">
        <f>IFERROR(IF(BD626="","",BD626/AY628-1),"")</f>
        <v/>
      </c>
      <c r="BE672" s="378" t="str">
        <f>IFERROR(IF(BI623="","",BI623/BD628-1),"")</f>
        <v/>
      </c>
      <c r="BF672" s="378" t="str">
        <f>IFERROR(IF(BI624="","",BI624/BD628-1),"")</f>
        <v/>
      </c>
      <c r="BG672" s="378" t="str">
        <f>IFERROR(IF(BI625="","",BI625/BD628-1),"")</f>
        <v/>
      </c>
      <c r="BH672" s="378" t="str">
        <f>IFERROR(IF(BI626="","",BI626/BD628-1),"")</f>
        <v/>
      </c>
      <c r="BI672" s="417" t="str">
        <f>IFERROR(IF(BI626="","",BI626/BD628-1),"")</f>
        <v/>
      </c>
      <c r="BJ672" s="1130" t="str">
        <f>IFERROR(IF(BN623="","",BN623/BI628-1),"")</f>
        <v/>
      </c>
      <c r="BK672" s="378" t="str">
        <f>IFERROR(IF(BN624="","",BN624/BI628-1),"")</f>
        <v/>
      </c>
      <c r="BL672" s="378" t="str">
        <f>IFERROR(IF(BN625="","",BN625/BI628-1),"")</f>
        <v/>
      </c>
      <c r="BM672" s="378" t="str">
        <f>IFERROR(IF(BN626="","",BN626/BI628-1),"")</f>
        <v/>
      </c>
      <c r="BN672" s="417" t="str">
        <f>IFERROR(IF(BN626="","",BN626/BI628-1),"")</f>
        <v/>
      </c>
      <c r="BO672" s="378" t="str">
        <f>IFERROR(IF(BS623="","",BS623/BN628-1),"")</f>
        <v/>
      </c>
      <c r="BP672" s="378" t="str">
        <f>IFERROR(IF(BS624="","",BS624/BN628-1),"")</f>
        <v/>
      </c>
      <c r="BQ672" s="378" t="str">
        <f>IFERROR(IF(BS625="","",BS625/BN628-1),"")</f>
        <v/>
      </c>
      <c r="BR672" s="378" t="str">
        <f>IFERROR(IF(BS626="","",BS626/BN628-1),"")</f>
        <v/>
      </c>
      <c r="BS672" s="417" t="str">
        <f>IFERROR(IF(BS626="","",BS626/BN628-1),"")</f>
        <v/>
      </c>
      <c r="BT672" s="417"/>
      <c r="BU672" s="417"/>
      <c r="BV672" s="417"/>
      <c r="BW672" s="118"/>
    </row>
    <row r="673" spans="1:75" hidden="1" outlineLevel="2" x14ac:dyDescent="0.5">
      <c r="A673" s="1192" t="s">
        <v>2617</v>
      </c>
      <c r="B673" s="769"/>
      <c r="C673" s="770"/>
      <c r="D673" s="770" t="str">
        <f>IFERROR(IF(D626="","",(D628-D626)/C628),"")</f>
        <v/>
      </c>
      <c r="E673" s="770" t="str">
        <f>IFERROR(IF(E626="","",(E628-E626)/D628),"")</f>
        <v/>
      </c>
      <c r="F673" s="770" t="str">
        <f>IFERROR(IF(F626="","",(F628-F626)/E628),"")</f>
        <v/>
      </c>
      <c r="G673" s="771" t="str">
        <f>IFERROR(IF(K623="","",(K628-K623)/F628),"")</f>
        <v/>
      </c>
      <c r="H673" s="771" t="str">
        <f>IFERROR(IF(K624="","",(K628-K624)/F628),"")</f>
        <v/>
      </c>
      <c r="I673" s="771" t="str">
        <f>IFERROR(IF(K625="","",(K628-K625)/F628),"")</f>
        <v/>
      </c>
      <c r="J673" s="771" t="str">
        <f>IFERROR(IF(K626="","",(K628-K626)/F628),"")</f>
        <v/>
      </c>
      <c r="K673" s="770" t="str">
        <f>IFERROR(IF(K626="","",(K628-K626)/F628),"")</f>
        <v/>
      </c>
      <c r="L673" s="771" t="str">
        <f>IFERROR(IF(P623="","",(P628-P623)/K628),"")</f>
        <v/>
      </c>
      <c r="M673" s="771" t="str">
        <f>IFERROR(IF(P624="","",(P628-P624)/K628),"")</f>
        <v/>
      </c>
      <c r="N673" s="771" t="str">
        <f>IFERROR(IF(P625="","",(P628-P625)/K628),"")</f>
        <v/>
      </c>
      <c r="O673" s="771" t="str">
        <f>IFERROR(IF(P626="","",(P628-P626)/K628),"")</f>
        <v/>
      </c>
      <c r="P673" s="770" t="str">
        <f>IFERROR(IF(P626="","",(P628-P626)/K628),"")</f>
        <v/>
      </c>
      <c r="Q673" s="771" t="str">
        <f>IFERROR(IF(U623="","",(U628-U623)/P628),"")</f>
        <v/>
      </c>
      <c r="R673" s="771" t="str">
        <f>IFERROR(IF(U624="","",(U628-U624)/P628),"")</f>
        <v/>
      </c>
      <c r="S673" s="771" t="str">
        <f>IFERROR(IF(U625="","",(U628-U625)/P628),"")</f>
        <v/>
      </c>
      <c r="T673" s="771" t="str">
        <f>IFERROR(IF(U626="","",(U628-U626)/P628),"")</f>
        <v/>
      </c>
      <c r="U673" s="770" t="str">
        <f>IFERROR(IF(U626="","",(U628-U626)/P628),"")</f>
        <v/>
      </c>
      <c r="V673" s="771" t="str">
        <f>IFERROR(IF(Z623="","",(Z628-Z623)/U628),"")</f>
        <v/>
      </c>
      <c r="W673" s="771" t="str">
        <f>IFERROR(IF(Z624="","",(Z628-Z624)/U628),"")</f>
        <v/>
      </c>
      <c r="X673" s="771" t="str">
        <f>IFERROR(IF(Z625="","",(Z628-Z625)/U628),"")</f>
        <v/>
      </c>
      <c r="Y673" s="771" t="str">
        <f>IFERROR(IF(Z626="","",(Z628-Z626)/U628),"")</f>
        <v/>
      </c>
      <c r="Z673" s="770" t="str">
        <f>IFERROR(IF(Z626="","",(Z628-Z626)/U628),"")</f>
        <v/>
      </c>
      <c r="AA673" s="771" t="str">
        <f>IFERROR(IF(AE623="","",(AE628-AE623)/Z628),"")</f>
        <v/>
      </c>
      <c r="AB673" s="771" t="str">
        <f>IFERROR(IF(AE624="","",(AE628-AE624)/Z628),"")</f>
        <v/>
      </c>
      <c r="AC673" s="771" t="str">
        <f>IFERROR(IF(AE625="","",(AE628-AE625)/Z628),"")</f>
        <v/>
      </c>
      <c r="AD673" s="771" t="str">
        <f>IFERROR(IF(AE626="","",(AE628-AE626)/Z628),"")</f>
        <v/>
      </c>
      <c r="AE673" s="770" t="str">
        <f>IFERROR(IF(AE626="","",(AE628-AE626)/Z628),"")</f>
        <v/>
      </c>
      <c r="AF673" s="771" t="str">
        <f>IFERROR(IF(AJ623="","",(AJ628-AJ623)/AE628),"")</f>
        <v/>
      </c>
      <c r="AG673" s="771" t="str">
        <f>IFERROR(IF(AJ624="","",(AJ628-AJ624)/AE628),"")</f>
        <v/>
      </c>
      <c r="AH673" s="771" t="str">
        <f>IFERROR(IF(AJ625="","",(AJ628-AJ625)/AE628),"")</f>
        <v/>
      </c>
      <c r="AI673" s="771" t="str">
        <f>IFERROR(IF(AJ626="","",(AJ628-AJ626)/AE628),"")</f>
        <v/>
      </c>
      <c r="AJ673" s="770" t="str">
        <f>IFERROR(IF(AJ626="","",(AJ628-AJ626)/AE628),"")</f>
        <v/>
      </c>
      <c r="AK673" s="771" t="str">
        <f>IFERROR(IF(AO623="","",(AO628-AO623)/AJ628),"")</f>
        <v/>
      </c>
      <c r="AL673" s="771" t="str">
        <f>IFERROR(IF(AO624="","",(AO628-AO624)/AJ628),"")</f>
        <v/>
      </c>
      <c r="AM673" s="771" t="str">
        <f>IFERROR(IF(AO625="","",(AO628-AO625)/AJ628),"")</f>
        <v/>
      </c>
      <c r="AN673" s="771" t="str">
        <f>IFERROR(IF(AO626="","",(AO628-AO626)/AJ628),"")</f>
        <v/>
      </c>
      <c r="AO673" s="770" t="str">
        <f>IFERROR(IF(AO626="","",(AO628-AO626)/AJ628),"")</f>
        <v/>
      </c>
      <c r="AP673" s="771" t="str">
        <f>IFERROR(IF(AT623="","",(AT628-AT623)/AO628),"")</f>
        <v/>
      </c>
      <c r="AQ673" s="771" t="str">
        <f>IFERROR(IF(AT624="","",(AT628-AT624)/AO628),"")</f>
        <v/>
      </c>
      <c r="AR673" s="771" t="str">
        <f>IFERROR(IF(AT625="","",(AT628-AT625)/AO628),"")</f>
        <v/>
      </c>
      <c r="AS673" s="771" t="str">
        <f>IFERROR(IF(AT626="","",(AT628-AT626)/AO628),"")</f>
        <v/>
      </c>
      <c r="AT673" s="770" t="str">
        <f>IFERROR(IF(AT626="","",(AT628-AT626)/AO628),"")</f>
        <v/>
      </c>
      <c r="AU673" s="771" t="str">
        <f>IFERROR(IF(AY623="","",(AY628-AY623)/AT628),"")</f>
        <v/>
      </c>
      <c r="AV673" s="771" t="str">
        <f>IFERROR(IF(AY624="","",(AY628-AY624)/AT628),"")</f>
        <v/>
      </c>
      <c r="AW673" s="771" t="str">
        <f>IFERROR(IF(AY625="","",(AY628-AY625)/AT628),"")</f>
        <v/>
      </c>
      <c r="AX673" s="771" t="str">
        <f>IFERROR(IF(AY626="","",(AY628-AY626)/AT628),"")</f>
        <v/>
      </c>
      <c r="AY673" s="770" t="str">
        <f>IFERROR(IF(AY626="","",(AY628-AY626)/AT628),"")</f>
        <v/>
      </c>
      <c r="AZ673" s="771" t="str">
        <f>IFERROR(IF(BD623="","",(BD628-BD623)/AY628),"")</f>
        <v/>
      </c>
      <c r="BA673" s="771" t="str">
        <f>IFERROR(IF(BD624="","",(BD628-BD624)/AY628),"")</f>
        <v/>
      </c>
      <c r="BB673" s="771" t="str">
        <f>IFERROR(IF(BD625="","",(BD628-BD625)/AY628),"")</f>
        <v/>
      </c>
      <c r="BC673" s="771" t="str">
        <f>IFERROR(IF(BD626="","",(BD628-BD626)/AY628),"")</f>
        <v/>
      </c>
      <c r="BD673" s="770" t="str">
        <f>IFERROR(IF(BD626="","",(BD628-BD626)/AY628),"")</f>
        <v/>
      </c>
      <c r="BE673" s="771" t="str">
        <f>IFERROR(IF(BI623="","",(BI628-BI623)/BD628),"")</f>
        <v/>
      </c>
      <c r="BF673" s="771" t="str">
        <f>IFERROR(IF(BI624="","",(BI628-BI624)/BD628),"")</f>
        <v/>
      </c>
      <c r="BG673" s="771" t="str">
        <f>IFERROR(IF(BI625="","",(BI628-BI625)/BD628),"")</f>
        <v/>
      </c>
      <c r="BH673" s="771" t="str">
        <f>IFERROR(IF(BI626="","",(BI628-BI626)/BD628),"")</f>
        <v/>
      </c>
      <c r="BI673" s="770" t="str">
        <f>IFERROR(IF(BI626="","",(BI628-BI626)/BD628),"")</f>
        <v/>
      </c>
      <c r="BJ673" s="1314" t="str">
        <f>IFERROR(IF(BN623="","",(BN628-BN623)/BI628),"")</f>
        <v/>
      </c>
      <c r="BK673" s="771" t="str">
        <f>IFERROR(IF(BN624="","",(BN628-BN624)/BI628),"")</f>
        <v/>
      </c>
      <c r="BL673" s="771" t="str">
        <f>IFERROR(IF(BN625="","",(BN628-BN625)/BI628),"")</f>
        <v/>
      </c>
      <c r="BM673" s="771" t="str">
        <f>IFERROR(IF(BN626="","",(BN628-BN626)/BI628),"")</f>
        <v/>
      </c>
      <c r="BN673" s="770" t="str">
        <f>IFERROR(IF(BN626="","",(BN628-BN626)/BI628),"")</f>
        <v/>
      </c>
      <c r="BO673" s="771" t="str">
        <f>IFERROR(IF(BS623="","",(BS628-BS623)/BN628),"")</f>
        <v/>
      </c>
      <c r="BP673" s="771" t="str">
        <f>IFERROR(IF(BS624="","",(BS628-BS624)/BN628),"")</f>
        <v/>
      </c>
      <c r="BQ673" s="771" t="str">
        <f>IFERROR(IF(BS625="","",(BS628-BS625)/BN628),"")</f>
        <v/>
      </c>
      <c r="BR673" s="771" t="str">
        <f>IFERROR(IF(BS626="","",(BS628-BS626)/BN628),"")</f>
        <v/>
      </c>
      <c r="BS673" s="770" t="str">
        <f>IFERROR(IF(BS626="","",(BS628-BS626)/BN628),"")</f>
        <v/>
      </c>
      <c r="BT673" s="770"/>
      <c r="BU673" s="770"/>
      <c r="BV673" s="770"/>
      <c r="BW673" s="118"/>
    </row>
    <row r="674" spans="1:75" hidden="1" outlineLevel="2" x14ac:dyDescent="0.5">
      <c r="A674" s="1150" t="s">
        <v>2618</v>
      </c>
      <c r="B674" s="1525"/>
      <c r="C674" s="1147"/>
      <c r="D674" s="1147"/>
      <c r="E674" s="1147"/>
      <c r="F674" s="1147"/>
      <c r="G674" s="1148">
        <f>K628/F628-1</f>
        <v>-0.75719379716394353</v>
      </c>
      <c r="H674" s="1148">
        <f>K628/F628-1</f>
        <v>-0.75719379716394353</v>
      </c>
      <c r="I674" s="1148">
        <f>K628/F628-1</f>
        <v>-0.75719379716394353</v>
      </c>
      <c r="J674" s="1148">
        <f>K628/F628-1</f>
        <v>-0.75719379716394353</v>
      </c>
      <c r="K674" s="1147">
        <f>K628/F628-1</f>
        <v>-0.75719379716394353</v>
      </c>
      <c r="L674" s="1148">
        <f>P628/K628-1</f>
        <v>20.358265027322368</v>
      </c>
      <c r="M674" s="1148">
        <f>P628/K628-1</f>
        <v>20.358265027322368</v>
      </c>
      <c r="N674" s="1148">
        <f>P628/K628-1</f>
        <v>20.358265027322368</v>
      </c>
      <c r="O674" s="1148">
        <f>P628/K628-1</f>
        <v>20.358265027322368</v>
      </c>
      <c r="P674" s="1147">
        <f>P628/K628-1</f>
        <v>20.358265027322368</v>
      </c>
      <c r="Q674" s="1148">
        <f>U628/P628-1</f>
        <v>-0.74528679022019295</v>
      </c>
      <c r="R674" s="1148">
        <f>U628/P628-1</f>
        <v>-0.74528679022019295</v>
      </c>
      <c r="S674" s="1148">
        <f>U628/P628-1</f>
        <v>-0.74528679022019295</v>
      </c>
      <c r="T674" s="1148">
        <f>U628/P628-1</f>
        <v>-0.74528679022019295</v>
      </c>
      <c r="U674" s="1147">
        <f>U628/P628-1</f>
        <v>-0.74528679022019295</v>
      </c>
      <c r="V674" s="1148">
        <f>Z628/U628-1</f>
        <v>4.5679578127943365</v>
      </c>
      <c r="W674" s="1148">
        <f>Z628/U628-1</f>
        <v>4.5679578127943365</v>
      </c>
      <c r="X674" s="1148">
        <f>Z628/U628-1</f>
        <v>4.5679578127943365</v>
      </c>
      <c r="Y674" s="1148">
        <f>Z628/U628-1</f>
        <v>4.5679578127943365</v>
      </c>
      <c r="Z674" s="1147">
        <f>Z628/U628-1</f>
        <v>4.5679578127943365</v>
      </c>
      <c r="AA674" s="1148">
        <f>AE628/Z628-1</f>
        <v>-0.24420466332927859</v>
      </c>
      <c r="AB674" s="1148">
        <f>AE628/Z628-1</f>
        <v>-0.24420466332927859</v>
      </c>
      <c r="AC674" s="1148">
        <f>AE628/Z628-1</f>
        <v>-0.24420466332927859</v>
      </c>
      <c r="AD674" s="1148">
        <f>AE628/Z628-1</f>
        <v>-0.24420466332927859</v>
      </c>
      <c r="AE674" s="1147">
        <f>AE628/Z628-1</f>
        <v>-0.24420466332927859</v>
      </c>
      <c r="AF674" s="1148">
        <f>AJ628/AE628-1</f>
        <v>2.2071666194262751</v>
      </c>
      <c r="AG674" s="1148">
        <f>AJ628/AE628-1</f>
        <v>2.2071666194262751</v>
      </c>
      <c r="AH674" s="1148">
        <f>AJ628/AE628-1</f>
        <v>2.2071666194262751</v>
      </c>
      <c r="AI674" s="1148">
        <f>AJ628/AE628-1</f>
        <v>2.2071666194262751</v>
      </c>
      <c r="AJ674" s="1147">
        <f>AJ628/AE628-1</f>
        <v>2.2071666194262751</v>
      </c>
      <c r="AK674" s="1148">
        <f>AO628/AJ628-1</f>
        <v>1.3096573730382439</v>
      </c>
      <c r="AL674" s="1148">
        <f>AO628/AJ628-1</f>
        <v>1.3096573730382439</v>
      </c>
      <c r="AM674" s="1148">
        <f>AO628/AJ628-1</f>
        <v>1.3096573730382439</v>
      </c>
      <c r="AN674" s="1148">
        <f>AO628/AJ628-1</f>
        <v>1.3096573730382439</v>
      </c>
      <c r="AO674" s="1147">
        <f>AO628/AJ628-1</f>
        <v>1.3096573730382439</v>
      </c>
      <c r="AP674" s="1148">
        <f>AT628/AO628-1</f>
        <v>-2.9069568859960051</v>
      </c>
      <c r="AQ674" s="1148">
        <f>AT628/AO628-1</f>
        <v>-2.9069568859960051</v>
      </c>
      <c r="AR674" s="1148">
        <f>AT628/AO628-1</f>
        <v>-2.9069568859960051</v>
      </c>
      <c r="AS674" s="1148">
        <f>AT628/AO628-1</f>
        <v>-2.9069568859960051</v>
      </c>
      <c r="AT674" s="1147">
        <f>AT628/AO628-1</f>
        <v>-2.9069568859960051</v>
      </c>
      <c r="AU674" s="1148">
        <f>AY628/AT628-1</f>
        <v>-0.35156005778930566</v>
      </c>
      <c r="AV674" s="1148">
        <f>AY628/AT628-1</f>
        <v>-0.35156005778930566</v>
      </c>
      <c r="AW674" s="1148">
        <f>AY628/AT628-1</f>
        <v>-0.35156005778930566</v>
      </c>
      <c r="AX674" s="1148">
        <f>AY628/AT628-1</f>
        <v>-0.35156005778930566</v>
      </c>
      <c r="AY674" s="1147">
        <f>AY628/AT628-1</f>
        <v>-0.35156005778930566</v>
      </c>
      <c r="AZ674" s="1148">
        <f>BD628/AY628-1</f>
        <v>-1.6775244299674266</v>
      </c>
      <c r="BA674" s="1148">
        <f>BD628/AY628-1</f>
        <v>-1.6775244299674266</v>
      </c>
      <c r="BB674" s="1148">
        <f>BD628/AY628-1</f>
        <v>-1.6775244299674266</v>
      </c>
      <c r="BC674" s="1148">
        <f>BD628/AY628-1</f>
        <v>-1.6775244299674266</v>
      </c>
      <c r="BD674" s="1147">
        <f>BD628/AY628-1</f>
        <v>-1.6775244299674266</v>
      </c>
      <c r="BE674" s="1148">
        <f>BI628/BD628-1</f>
        <v>-1.7355769230769231</v>
      </c>
      <c r="BF674" s="1148">
        <f>BI628/BD628-1</f>
        <v>-1.7355769230769231</v>
      </c>
      <c r="BG674" s="1148">
        <f>BI628/BD628-1</f>
        <v>-1.7355769230769231</v>
      </c>
      <c r="BH674" s="1148">
        <f>BI628/BD628-1</f>
        <v>-1.7355769230769231</v>
      </c>
      <c r="BI674" s="1147">
        <f>BI628/BD628-1</f>
        <v>-1.7355769230769231</v>
      </c>
      <c r="BJ674" s="1149">
        <f>BN628/BI628-1</f>
        <v>0.10412373328974156</v>
      </c>
      <c r="BK674" s="1148">
        <f>BN628/BI628-1</f>
        <v>0.10412373328974156</v>
      </c>
      <c r="BL674" s="1148">
        <f>BN628/BI628-1</f>
        <v>0.10412373328974156</v>
      </c>
      <c r="BM674" s="1148">
        <f>BN628/BI628-1</f>
        <v>0.10412373328974156</v>
      </c>
      <c r="BN674" s="1147">
        <f>BN628/BI628-1</f>
        <v>0.10412373328974156</v>
      </c>
      <c r="BO674" s="1148">
        <f>BS628/BN628-1</f>
        <v>-0.34565225681247136</v>
      </c>
      <c r="BP674" s="1148">
        <f>BS628/BN628-1</f>
        <v>-0.34565225681247136</v>
      </c>
      <c r="BQ674" s="1148">
        <f>BS628/BN628-1</f>
        <v>-0.34565225681247136</v>
      </c>
      <c r="BR674" s="1148">
        <f>BS628/BN628-1</f>
        <v>-0.34565225681247136</v>
      </c>
      <c r="BS674" s="1147">
        <f>BS628/BN628-1</f>
        <v>-0.34565225681247136</v>
      </c>
      <c r="BT674" s="1147">
        <f>BT628/BS628-1</f>
        <v>1.0204979496068702</v>
      </c>
      <c r="BU674" s="1147">
        <f>BU628/BT628-1</f>
        <v>0.5518278717490317</v>
      </c>
      <c r="BV674" s="1147">
        <f>BV628/BU628-1</f>
        <v>0.41242241153499992</v>
      </c>
      <c r="BW674" s="118"/>
    </row>
    <row r="675" spans="1:75" hidden="1" outlineLevel="2" x14ac:dyDescent="0.5">
      <c r="A675" s="1524"/>
      <c r="B675" s="513"/>
      <c r="C675" s="401"/>
      <c r="D675" s="401"/>
      <c r="E675" s="401"/>
      <c r="F675" s="401"/>
      <c r="G675" s="118"/>
      <c r="H675" s="118"/>
      <c r="I675" s="118"/>
      <c r="J675" s="118"/>
      <c r="K675" s="401"/>
      <c r="L675" s="118"/>
      <c r="M675" s="118"/>
      <c r="N675" s="118"/>
      <c r="O675" s="118"/>
      <c r="P675" s="401"/>
      <c r="Q675" s="118"/>
      <c r="R675" s="118"/>
      <c r="S675" s="118"/>
      <c r="T675" s="118"/>
      <c r="U675" s="401"/>
      <c r="V675" s="118"/>
      <c r="W675" s="118"/>
      <c r="X675" s="118"/>
      <c r="Y675" s="118"/>
      <c r="Z675" s="401"/>
      <c r="AA675" s="118"/>
      <c r="AB675" s="118"/>
      <c r="AC675" s="118"/>
      <c r="AD675" s="118"/>
      <c r="AE675" s="401"/>
      <c r="AF675" s="118"/>
      <c r="AG675" s="118"/>
      <c r="AH675" s="118"/>
      <c r="AI675" s="118"/>
      <c r="AJ675" s="401"/>
      <c r="AK675" s="118"/>
      <c r="AL675" s="118"/>
      <c r="AM675" s="118"/>
      <c r="AN675" s="118"/>
      <c r="AO675" s="401"/>
      <c r="AP675" s="118"/>
      <c r="AQ675" s="118"/>
      <c r="AR675" s="118"/>
      <c r="AS675" s="118"/>
      <c r="AT675" s="401"/>
      <c r="AU675" s="118"/>
      <c r="AV675" s="118"/>
      <c r="AW675" s="118"/>
      <c r="AX675" s="118"/>
      <c r="AY675" s="401"/>
      <c r="AZ675" s="118"/>
      <c r="BA675" s="118"/>
      <c r="BB675" s="118"/>
      <c r="BC675" s="118"/>
      <c r="BD675" s="401"/>
      <c r="BE675" s="118"/>
      <c r="BF675" s="118"/>
      <c r="BG675" s="118"/>
      <c r="BH675" s="118"/>
      <c r="BI675" s="401"/>
      <c r="BJ675" s="971"/>
      <c r="BK675" s="118"/>
      <c r="BL675" s="118"/>
      <c r="BM675" s="118"/>
      <c r="BN675" s="401"/>
      <c r="BO675" s="118"/>
      <c r="BP675" s="118"/>
      <c r="BQ675" s="118"/>
      <c r="BR675" s="118"/>
      <c r="BS675" s="401"/>
      <c r="BT675" s="401"/>
      <c r="BU675" s="401"/>
      <c r="BV675" s="401"/>
      <c r="BW675" s="118"/>
    </row>
    <row r="676" spans="1:75" hidden="1" outlineLevel="2" x14ac:dyDescent="0.5">
      <c r="A676" s="1529" t="s">
        <v>2503</v>
      </c>
      <c r="B676" s="1530"/>
      <c r="C676" s="1531"/>
      <c r="D676" s="1531"/>
      <c r="E676" s="1531"/>
      <c r="F676" s="1531"/>
      <c r="G676" s="1532"/>
      <c r="H676" s="1532"/>
      <c r="I676" s="1532"/>
      <c r="J676" s="1532"/>
      <c r="K676" s="1531"/>
      <c r="L676" s="1532"/>
      <c r="M676" s="1532"/>
      <c r="N676" s="1532"/>
      <c r="O676" s="1532"/>
      <c r="P676" s="1531"/>
      <c r="Q676" s="1532"/>
      <c r="R676" s="1532"/>
      <c r="S676" s="1532"/>
      <c r="T676" s="1532"/>
      <c r="U676" s="1531"/>
      <c r="V676" s="1532"/>
      <c r="W676" s="1532"/>
      <c r="X676" s="1532"/>
      <c r="Y676" s="1532"/>
      <c r="Z676" s="1531"/>
      <c r="AA676" s="1532"/>
      <c r="AB676" s="1532"/>
      <c r="AC676" s="1532"/>
      <c r="AD676" s="1532" t="str">
        <f>AJ5</f>
        <v>FY2018</v>
      </c>
      <c r="AE676" s="1531" t="str">
        <f>AJ5</f>
        <v>FY2018</v>
      </c>
      <c r="AF676" s="1532" t="str">
        <f>AJ5</f>
        <v>FY2018</v>
      </c>
      <c r="AG676" s="1532" t="str">
        <f>AJ5</f>
        <v>FY2018</v>
      </c>
      <c r="AH676" s="1532" t="str">
        <f>AJ5</f>
        <v>FY2018</v>
      </c>
      <c r="AI676" s="1532" t="str">
        <f>AO5</f>
        <v>FY2019</v>
      </c>
      <c r="AJ676" s="1531" t="str">
        <f>AO5</f>
        <v>FY2019</v>
      </c>
      <c r="AK676" s="1532" t="str">
        <f>AO5</f>
        <v>FY2019</v>
      </c>
      <c r="AL676" s="1532" t="str">
        <f>AO5</f>
        <v>FY2019</v>
      </c>
      <c r="AM676" s="1532" t="str">
        <f>AO5</f>
        <v>FY2019</v>
      </c>
      <c r="AN676" s="1532" t="str">
        <f>AT5</f>
        <v>FY2020</v>
      </c>
      <c r="AO676" s="1531" t="str">
        <f>AT5</f>
        <v>FY2020</v>
      </c>
      <c r="AP676" s="1532" t="str">
        <f>AT5</f>
        <v>FY2020</v>
      </c>
      <c r="AQ676" s="1532" t="str">
        <f>AT5</f>
        <v>FY2020</v>
      </c>
      <c r="AR676" s="1532" t="str">
        <f>AT5</f>
        <v>FY2020</v>
      </c>
      <c r="AS676" s="1532" t="str">
        <f>AY5</f>
        <v>FY2021</v>
      </c>
      <c r="AT676" s="1531" t="str">
        <f>AY5</f>
        <v>FY2021</v>
      </c>
      <c r="AU676" s="1532" t="str">
        <f>AY5</f>
        <v>FY2021</v>
      </c>
      <c r="AV676" s="1532" t="str">
        <f>AY5</f>
        <v>FY2021</v>
      </c>
      <c r="AW676" s="1532" t="str">
        <f>AY5</f>
        <v>FY2021</v>
      </c>
      <c r="AX676" s="1532" t="str">
        <f>BD5</f>
        <v>FY2022</v>
      </c>
      <c r="AY676" s="1531" t="str">
        <f>BD5</f>
        <v>FY2022</v>
      </c>
      <c r="AZ676" s="1532" t="str">
        <f>BD5</f>
        <v>FY2022</v>
      </c>
      <c r="BA676" s="1532" t="str">
        <f>BD5</f>
        <v>FY2022</v>
      </c>
      <c r="BB676" s="1532" t="str">
        <f>BD5</f>
        <v>FY2022</v>
      </c>
      <c r="BC676" s="1532" t="str">
        <f>BI5</f>
        <v>FY2023</v>
      </c>
      <c r="BD676" s="1531" t="str">
        <f>BI5</f>
        <v>FY2023</v>
      </c>
      <c r="BE676" s="1532" t="str">
        <f>BI5</f>
        <v>FY2023</v>
      </c>
      <c r="BF676" s="1532" t="str">
        <f>BI5</f>
        <v>FY2023</v>
      </c>
      <c r="BG676" s="1532" t="str">
        <f>BI5</f>
        <v>FY2023</v>
      </c>
      <c r="BH676" s="1532" t="str">
        <f>BN5</f>
        <v>FY2024</v>
      </c>
      <c r="BI676" s="1531" t="str">
        <f>BN5</f>
        <v>FY2024</v>
      </c>
      <c r="BJ676" s="1533" t="str">
        <f>BN5</f>
        <v>FY2024</v>
      </c>
      <c r="BK676" s="1532"/>
      <c r="BL676" s="1532"/>
      <c r="BM676" s="1532"/>
      <c r="BN676" s="1531"/>
      <c r="BO676" s="1532"/>
      <c r="BP676" s="1532"/>
      <c r="BQ676" s="1532"/>
      <c r="BR676" s="1532"/>
      <c r="BS676" s="1531"/>
      <c r="BT676" s="1531"/>
      <c r="BU676" s="1531"/>
      <c r="BV676" s="1531"/>
      <c r="BW676" s="118"/>
    </row>
    <row r="677" spans="1:75" hidden="1" outlineLevel="3" x14ac:dyDescent="0.5">
      <c r="A677" s="184" t="s">
        <v>2619</v>
      </c>
      <c r="B677" s="513"/>
      <c r="C677" s="401"/>
      <c r="D677" s="401"/>
      <c r="E677" s="401"/>
      <c r="F677" s="401"/>
      <c r="G677" s="118"/>
      <c r="H677" s="118"/>
      <c r="I677" s="118"/>
      <c r="J677" s="118"/>
      <c r="K677" s="401"/>
      <c r="L677" s="118"/>
      <c r="M677" s="118"/>
      <c r="N677" s="118"/>
      <c r="O677" s="118"/>
      <c r="P677" s="401"/>
      <c r="Q677" s="118"/>
      <c r="R677" s="118"/>
      <c r="S677" s="118"/>
      <c r="T677" s="118"/>
      <c r="U677" s="401"/>
      <c r="V677" s="118"/>
      <c r="W677" s="118"/>
      <c r="X677" s="118"/>
      <c r="Y677" s="118"/>
      <c r="Z677" s="401"/>
      <c r="AA677" s="118"/>
      <c r="AB677" s="118"/>
      <c r="AC677" s="118"/>
      <c r="AD677" s="118" t="str">
        <f t="shared" ref="AD677:BJ678" si="478">IFERROR(AD$543*AD686,"n/a")</f>
        <v>n/a</v>
      </c>
      <c r="AE677" s="401" t="str">
        <f t="shared" si="478"/>
        <v>n/a</v>
      </c>
      <c r="AF677" s="118" t="str">
        <f t="shared" si="478"/>
        <v>n/a</v>
      </c>
      <c r="AG677" s="118" t="str">
        <f t="shared" si="478"/>
        <v>n/a</v>
      </c>
      <c r="AH677" s="118" t="str">
        <f t="shared" si="478"/>
        <v>n/a</v>
      </c>
      <c r="AI677" s="118" t="str">
        <f t="shared" si="478"/>
        <v>n/a</v>
      </c>
      <c r="AJ677" s="401" t="str">
        <f t="shared" si="478"/>
        <v>n/a</v>
      </c>
      <c r="AK677" s="118" t="str">
        <f t="shared" si="478"/>
        <v>n/a</v>
      </c>
      <c r="AL677" s="118" t="str">
        <f t="shared" si="478"/>
        <v>n/a</v>
      </c>
      <c r="AM677" s="118" t="str">
        <f t="shared" si="478"/>
        <v>n/a</v>
      </c>
      <c r="AN677" s="118" t="str">
        <f t="shared" si="478"/>
        <v>n/a</v>
      </c>
      <c r="AO677" s="401" t="str">
        <f t="shared" si="478"/>
        <v>n/a</v>
      </c>
      <c r="AP677" s="118" t="str">
        <f t="shared" si="478"/>
        <v>n/a</v>
      </c>
      <c r="AQ677" s="118" t="str">
        <f t="shared" si="478"/>
        <v>n/a</v>
      </c>
      <c r="AR677" s="118" t="str">
        <f t="shared" si="478"/>
        <v>n/a</v>
      </c>
      <c r="AS677" s="118" t="str">
        <f t="shared" si="478"/>
        <v>n/a</v>
      </c>
      <c r="AT677" s="401" t="str">
        <f t="shared" si="478"/>
        <v>n/a</v>
      </c>
      <c r="AU677" s="118" t="str">
        <f t="shared" si="478"/>
        <v>n/a</v>
      </c>
      <c r="AV677" s="118" t="str">
        <f t="shared" si="478"/>
        <v>n/a</v>
      </c>
      <c r="AW677" s="118" t="str">
        <f t="shared" si="478"/>
        <v>n/a</v>
      </c>
      <c r="AX677" s="118" t="str">
        <f t="shared" si="478"/>
        <v>n/a</v>
      </c>
      <c r="AY677" s="401" t="str">
        <f t="shared" si="478"/>
        <v>n/a</v>
      </c>
      <c r="AZ677" s="118" t="str">
        <f t="shared" si="478"/>
        <v>n/a</v>
      </c>
      <c r="BA677" s="118" t="str">
        <f t="shared" si="478"/>
        <v>n/a</v>
      </c>
      <c r="BB677" s="118" t="str">
        <f t="shared" si="478"/>
        <v>n/a</v>
      </c>
      <c r="BC677" s="118" t="str">
        <f t="shared" si="478"/>
        <v>n/a</v>
      </c>
      <c r="BD677" s="401" t="str">
        <f t="shared" si="478"/>
        <v>n/a</v>
      </c>
      <c r="BE677" s="118" t="str">
        <f t="shared" si="478"/>
        <v>n/a</v>
      </c>
      <c r="BF677" s="118" t="str">
        <f t="shared" si="478"/>
        <v>n/a</v>
      </c>
      <c r="BG677" s="118" t="str">
        <f t="shared" si="478"/>
        <v>n/a</v>
      </c>
      <c r="BH677" s="118" t="str">
        <f t="shared" si="478"/>
        <v>n/a</v>
      </c>
      <c r="BI677" s="401" t="str">
        <f t="shared" si="478"/>
        <v>n/a</v>
      </c>
      <c r="BJ677" s="971" t="str">
        <f t="shared" si="478"/>
        <v>n/a</v>
      </c>
      <c r="BK677" s="118"/>
      <c r="BL677" s="118"/>
      <c r="BM677" s="118"/>
      <c r="BN677" s="401"/>
      <c r="BO677" s="118"/>
      <c r="BP677" s="118"/>
      <c r="BQ677" s="118"/>
      <c r="BR677" s="118"/>
      <c r="BS677" s="401"/>
      <c r="BT677" s="401"/>
      <c r="BU677" s="401"/>
      <c r="BV677" s="401"/>
      <c r="BW677" s="118"/>
    </row>
    <row r="678" spans="1:75" hidden="1" outlineLevel="3" x14ac:dyDescent="0.5">
      <c r="A678" s="445" t="s">
        <v>2620</v>
      </c>
      <c r="B678" s="677"/>
      <c r="C678" s="406"/>
      <c r="D678" s="406"/>
      <c r="E678" s="406"/>
      <c r="F678" s="406"/>
      <c r="G678" s="723"/>
      <c r="H678" s="723"/>
      <c r="I678" s="723"/>
      <c r="J678" s="723"/>
      <c r="K678" s="406"/>
      <c r="L678" s="723"/>
      <c r="M678" s="723"/>
      <c r="N678" s="723"/>
      <c r="O678" s="723"/>
      <c r="P678" s="406"/>
      <c r="Q678" s="723"/>
      <c r="R678" s="723"/>
      <c r="S678" s="723"/>
      <c r="T678" s="723"/>
      <c r="U678" s="406"/>
      <c r="V678" s="723"/>
      <c r="W678" s="723"/>
      <c r="X678" s="723"/>
      <c r="Y678" s="723"/>
      <c r="Z678" s="406"/>
      <c r="AA678" s="723"/>
      <c r="AB678" s="723"/>
      <c r="AC678" s="723"/>
      <c r="AD678" s="723" t="str">
        <f t="shared" si="478"/>
        <v>n/a</v>
      </c>
      <c r="AE678" s="406" t="str">
        <f t="shared" si="478"/>
        <v>n/a</v>
      </c>
      <c r="AF678" s="723" t="str">
        <f t="shared" si="478"/>
        <v>n/a</v>
      </c>
      <c r="AG678" s="723" t="str">
        <f t="shared" si="478"/>
        <v>n/a</v>
      </c>
      <c r="AH678" s="723" t="str">
        <f t="shared" si="478"/>
        <v>n/a</v>
      </c>
      <c r="AI678" s="723" t="str">
        <f t="shared" si="478"/>
        <v>n/a</v>
      </c>
      <c r="AJ678" s="406" t="str">
        <f t="shared" si="478"/>
        <v>n/a</v>
      </c>
      <c r="AK678" s="723" t="str">
        <f t="shared" si="478"/>
        <v>n/a</v>
      </c>
      <c r="AL678" s="723" t="str">
        <f t="shared" si="478"/>
        <v>n/a</v>
      </c>
      <c r="AM678" s="723" t="str">
        <f t="shared" si="478"/>
        <v>n/a</v>
      </c>
      <c r="AN678" s="723" t="str">
        <f t="shared" si="478"/>
        <v>n/a</v>
      </c>
      <c r="AO678" s="406" t="str">
        <f t="shared" si="478"/>
        <v>n/a</v>
      </c>
      <c r="AP678" s="723" t="str">
        <f t="shared" si="478"/>
        <v>n/a</v>
      </c>
      <c r="AQ678" s="723" t="str">
        <f t="shared" si="478"/>
        <v>n/a</v>
      </c>
      <c r="AR678" s="723" t="str">
        <f t="shared" si="478"/>
        <v>n/a</v>
      </c>
      <c r="AS678" s="723" t="str">
        <f t="shared" si="478"/>
        <v>n/a</v>
      </c>
      <c r="AT678" s="406" t="str">
        <f t="shared" si="478"/>
        <v>n/a</v>
      </c>
      <c r="AU678" s="723" t="str">
        <f t="shared" si="478"/>
        <v>n/a</v>
      </c>
      <c r="AV678" s="723" t="str">
        <f t="shared" si="478"/>
        <v>n/a</v>
      </c>
      <c r="AW678" s="723" t="str">
        <f t="shared" si="478"/>
        <v>n/a</v>
      </c>
      <c r="AX678" s="723" t="str">
        <f t="shared" si="478"/>
        <v>n/a</v>
      </c>
      <c r="AY678" s="406" t="str">
        <f t="shared" si="478"/>
        <v>n/a</v>
      </c>
      <c r="AZ678" s="723" t="str">
        <f t="shared" si="478"/>
        <v>n/a</v>
      </c>
      <c r="BA678" s="723" t="str">
        <f t="shared" si="478"/>
        <v>n/a</v>
      </c>
      <c r="BB678" s="723" t="str">
        <f t="shared" si="478"/>
        <v>n/a</v>
      </c>
      <c r="BC678" s="723" t="str">
        <f t="shared" si="478"/>
        <v>n/a</v>
      </c>
      <c r="BD678" s="406" t="str">
        <f t="shared" si="478"/>
        <v>n/a</v>
      </c>
      <c r="BE678" s="723" t="str">
        <f t="shared" si="478"/>
        <v>n/a</v>
      </c>
      <c r="BF678" s="723" t="str">
        <f t="shared" si="478"/>
        <v>n/a</v>
      </c>
      <c r="BG678" s="723" t="str">
        <f t="shared" si="478"/>
        <v>n/a</v>
      </c>
      <c r="BH678" s="723" t="str">
        <f t="shared" si="478"/>
        <v>n/a</v>
      </c>
      <c r="BI678" s="406" t="str">
        <f t="shared" si="478"/>
        <v>n/a</v>
      </c>
      <c r="BJ678" s="1049" t="str">
        <f t="shared" si="478"/>
        <v>n/a</v>
      </c>
      <c r="BK678" s="723"/>
      <c r="BL678" s="723"/>
      <c r="BM678" s="723"/>
      <c r="BN678" s="406"/>
      <c r="BO678" s="723"/>
      <c r="BP678" s="723"/>
      <c r="BQ678" s="723"/>
      <c r="BR678" s="723"/>
      <c r="BS678" s="406"/>
      <c r="BT678" s="406"/>
      <c r="BU678" s="406"/>
      <c r="BV678" s="406"/>
      <c r="BW678" s="118"/>
    </row>
    <row r="679" spans="1:75" hidden="1" outlineLevel="2" x14ac:dyDescent="0.5">
      <c r="A679" s="206" t="s">
        <v>2621</v>
      </c>
      <c r="B679" s="522"/>
      <c r="C679" s="397"/>
      <c r="D679" s="397"/>
      <c r="E679" s="397"/>
      <c r="F679" s="397"/>
      <c r="G679" s="295"/>
      <c r="H679" s="295"/>
      <c r="I679" s="295"/>
      <c r="J679" s="295"/>
      <c r="K679" s="397"/>
      <c r="L679" s="295"/>
      <c r="M679" s="295"/>
      <c r="N679" s="295"/>
      <c r="O679" s="295"/>
      <c r="P679" s="397"/>
      <c r="Q679" s="295"/>
      <c r="R679" s="295"/>
      <c r="S679" s="295"/>
      <c r="T679" s="295"/>
      <c r="U679" s="397"/>
      <c r="V679" s="295"/>
      <c r="W679" s="295"/>
      <c r="X679" s="295"/>
      <c r="Y679" s="295"/>
      <c r="Z679" s="397"/>
      <c r="AA679" s="295"/>
      <c r="AB679" s="295"/>
      <c r="AC679" s="295"/>
      <c r="AD679" s="295" t="str">
        <f t="shared" ref="AD679:BG679" si="479">IFERROR(AVERAGE(AD677,AD678),"")</f>
        <v/>
      </c>
      <c r="AE679" s="397" t="str">
        <f t="shared" si="479"/>
        <v/>
      </c>
      <c r="AF679" s="295" t="str">
        <f t="shared" si="479"/>
        <v/>
      </c>
      <c r="AG679" s="295" t="str">
        <f t="shared" si="479"/>
        <v/>
      </c>
      <c r="AH679" s="295" t="str">
        <f t="shared" si="479"/>
        <v/>
      </c>
      <c r="AI679" s="295" t="str">
        <f t="shared" si="479"/>
        <v/>
      </c>
      <c r="AJ679" s="397" t="str">
        <f t="shared" si="479"/>
        <v/>
      </c>
      <c r="AK679" s="295" t="str">
        <f t="shared" si="479"/>
        <v/>
      </c>
      <c r="AL679" s="295" t="str">
        <f t="shared" si="479"/>
        <v/>
      </c>
      <c r="AM679" s="295" t="str">
        <f t="shared" si="479"/>
        <v/>
      </c>
      <c r="AN679" s="295" t="str">
        <f t="shared" si="479"/>
        <v/>
      </c>
      <c r="AO679" s="397" t="str">
        <f t="shared" si="479"/>
        <v/>
      </c>
      <c r="AP679" s="295" t="str">
        <f t="shared" si="479"/>
        <v/>
      </c>
      <c r="AQ679" s="295" t="str">
        <f t="shared" si="479"/>
        <v/>
      </c>
      <c r="AR679" s="295" t="str">
        <f t="shared" si="479"/>
        <v/>
      </c>
      <c r="AS679" s="295" t="str">
        <f t="shared" si="479"/>
        <v/>
      </c>
      <c r="AT679" s="397" t="str">
        <f t="shared" si="479"/>
        <v/>
      </c>
      <c r="AU679" s="295" t="str">
        <f t="shared" si="479"/>
        <v/>
      </c>
      <c r="AV679" s="295" t="str">
        <f t="shared" si="479"/>
        <v/>
      </c>
      <c r="AW679" s="295" t="str">
        <f t="shared" si="479"/>
        <v/>
      </c>
      <c r="AX679" s="295" t="str">
        <f t="shared" si="479"/>
        <v/>
      </c>
      <c r="AY679" s="397" t="str">
        <f t="shared" si="479"/>
        <v/>
      </c>
      <c r="AZ679" s="295" t="str">
        <f t="shared" si="479"/>
        <v/>
      </c>
      <c r="BA679" s="295" t="str">
        <f t="shared" si="479"/>
        <v/>
      </c>
      <c r="BB679" s="295" t="str">
        <f t="shared" si="479"/>
        <v/>
      </c>
      <c r="BC679" s="295" t="str">
        <f t="shared" si="479"/>
        <v/>
      </c>
      <c r="BD679" s="397" t="str">
        <f t="shared" si="479"/>
        <v/>
      </c>
      <c r="BE679" s="295" t="str">
        <f t="shared" si="479"/>
        <v/>
      </c>
      <c r="BF679" s="295" t="str">
        <f t="shared" si="479"/>
        <v/>
      </c>
      <c r="BG679" s="295" t="str">
        <f t="shared" si="479"/>
        <v/>
      </c>
      <c r="BH679" s="295" t="str">
        <f>IFERROR(AVERAGE(BH677,BH678),"")</f>
        <v/>
      </c>
      <c r="BI679" s="397" t="str">
        <f>IFERROR(AVERAGE(BI677,BI678),"")</f>
        <v/>
      </c>
      <c r="BJ679" s="1030" t="str">
        <f>IFERROR(AVERAGE(BJ677,BJ678),"")</f>
        <v/>
      </c>
      <c r="BK679" s="295"/>
      <c r="BL679" s="295"/>
      <c r="BM679" s="295"/>
      <c r="BN679" s="397"/>
      <c r="BO679" s="295"/>
      <c r="BP679" s="295"/>
      <c r="BQ679" s="295"/>
      <c r="BR679" s="295"/>
      <c r="BS679" s="397"/>
      <c r="BT679" s="397"/>
      <c r="BU679" s="397"/>
      <c r="BV679" s="397"/>
      <c r="BW679" s="118"/>
    </row>
    <row r="680" spans="1:75" hidden="1" outlineLevel="2" x14ac:dyDescent="0.5">
      <c r="A680" s="184" t="s">
        <v>2622</v>
      </c>
      <c r="B680" s="513"/>
      <c r="C680" s="401"/>
      <c r="D680" s="401"/>
      <c r="E680" s="401"/>
      <c r="F680" s="401"/>
      <c r="G680" s="118"/>
      <c r="H680" s="118"/>
      <c r="I680" s="118"/>
      <c r="J680" s="118"/>
      <c r="K680" s="401"/>
      <c r="L680" s="118"/>
      <c r="M680" s="118"/>
      <c r="N680" s="118"/>
      <c r="O680" s="118"/>
      <c r="P680" s="401"/>
      <c r="Q680" s="118"/>
      <c r="R680" s="118"/>
      <c r="S680" s="118"/>
      <c r="T680" s="118"/>
      <c r="U680" s="401"/>
      <c r="V680" s="118"/>
      <c r="W680" s="118"/>
      <c r="X680" s="118"/>
      <c r="Y680" s="118"/>
      <c r="Z680" s="401"/>
      <c r="AA680" s="118"/>
      <c r="AB680" s="118"/>
      <c r="AC680" s="118"/>
      <c r="AD680" s="118" t="str">
        <f t="shared" ref="AD680:BG680" si="480">IFERROR(ABS(AD678-AD677),"")</f>
        <v/>
      </c>
      <c r="AE680" s="401" t="str">
        <f t="shared" si="480"/>
        <v/>
      </c>
      <c r="AF680" s="118" t="str">
        <f t="shared" si="480"/>
        <v/>
      </c>
      <c r="AG680" s="118" t="str">
        <f t="shared" si="480"/>
        <v/>
      </c>
      <c r="AH680" s="118" t="str">
        <f t="shared" si="480"/>
        <v/>
      </c>
      <c r="AI680" s="118" t="str">
        <f t="shared" si="480"/>
        <v/>
      </c>
      <c r="AJ680" s="401" t="str">
        <f t="shared" si="480"/>
        <v/>
      </c>
      <c r="AK680" s="118" t="str">
        <f t="shared" si="480"/>
        <v/>
      </c>
      <c r="AL680" s="118" t="str">
        <f t="shared" si="480"/>
        <v/>
      </c>
      <c r="AM680" s="118" t="str">
        <f t="shared" si="480"/>
        <v/>
      </c>
      <c r="AN680" s="118" t="str">
        <f t="shared" si="480"/>
        <v/>
      </c>
      <c r="AO680" s="401" t="str">
        <f t="shared" si="480"/>
        <v/>
      </c>
      <c r="AP680" s="118" t="str">
        <f t="shared" si="480"/>
        <v/>
      </c>
      <c r="AQ680" s="118" t="str">
        <f t="shared" si="480"/>
        <v/>
      </c>
      <c r="AR680" s="118" t="str">
        <f t="shared" si="480"/>
        <v/>
      </c>
      <c r="AS680" s="118" t="str">
        <f t="shared" si="480"/>
        <v/>
      </c>
      <c r="AT680" s="401" t="str">
        <f t="shared" si="480"/>
        <v/>
      </c>
      <c r="AU680" s="118" t="str">
        <f t="shared" si="480"/>
        <v/>
      </c>
      <c r="AV680" s="118" t="str">
        <f t="shared" si="480"/>
        <v/>
      </c>
      <c r="AW680" s="118" t="str">
        <f t="shared" si="480"/>
        <v/>
      </c>
      <c r="AX680" s="118" t="str">
        <f t="shared" si="480"/>
        <v/>
      </c>
      <c r="AY680" s="401" t="str">
        <f t="shared" si="480"/>
        <v/>
      </c>
      <c r="AZ680" s="118" t="str">
        <f t="shared" si="480"/>
        <v/>
      </c>
      <c r="BA680" s="118" t="str">
        <f t="shared" si="480"/>
        <v/>
      </c>
      <c r="BB680" s="118" t="str">
        <f t="shared" si="480"/>
        <v/>
      </c>
      <c r="BC680" s="118" t="str">
        <f t="shared" si="480"/>
        <v/>
      </c>
      <c r="BD680" s="401" t="str">
        <f t="shared" si="480"/>
        <v/>
      </c>
      <c r="BE680" s="118" t="str">
        <f t="shared" si="480"/>
        <v/>
      </c>
      <c r="BF680" s="118" t="str">
        <f t="shared" si="480"/>
        <v/>
      </c>
      <c r="BG680" s="118" t="str">
        <f t="shared" si="480"/>
        <v/>
      </c>
      <c r="BH680" s="118" t="str">
        <f>IFERROR(ABS(BH678-BH677),"")</f>
        <v/>
      </c>
      <c r="BI680" s="401" t="str">
        <f>IFERROR(ABS(BI678-BI677),"")</f>
        <v/>
      </c>
      <c r="BJ680" s="971" t="str">
        <f>IFERROR(ABS(BJ678-BJ677),"")</f>
        <v/>
      </c>
      <c r="BK680" s="118"/>
      <c r="BL680" s="118"/>
      <c r="BM680" s="118"/>
      <c r="BN680" s="401"/>
      <c r="BO680" s="118"/>
      <c r="BP680" s="118"/>
      <c r="BQ680" s="118"/>
      <c r="BR680" s="118"/>
      <c r="BS680" s="401"/>
      <c r="BT680" s="401"/>
      <c r="BU680" s="401"/>
      <c r="BV680" s="401"/>
      <c r="BW680" s="118"/>
    </row>
    <row r="681" spans="1:75" hidden="1" outlineLevel="2" x14ac:dyDescent="0.5">
      <c r="A681" s="526" t="s">
        <v>2623</v>
      </c>
      <c r="B681" s="513"/>
      <c r="C681" s="423"/>
      <c r="D681" s="423"/>
      <c r="E681" s="423"/>
      <c r="F681" s="423"/>
      <c r="G681" s="422"/>
      <c r="H681" s="422"/>
      <c r="I681" s="422"/>
      <c r="J681" s="422"/>
      <c r="K681" s="423"/>
      <c r="L681" s="422"/>
      <c r="M681" s="422"/>
      <c r="N681" s="422"/>
      <c r="O681" s="422"/>
      <c r="P681" s="423"/>
      <c r="Q681" s="422"/>
      <c r="R681" s="422"/>
      <c r="S681" s="422"/>
      <c r="T681" s="422"/>
      <c r="U681" s="423"/>
      <c r="V681" s="422"/>
      <c r="W681" s="422"/>
      <c r="X681" s="422"/>
      <c r="Y681" s="422"/>
      <c r="Z681" s="423"/>
      <c r="AA681" s="422"/>
      <c r="AB681" s="422"/>
      <c r="AC681" s="422"/>
      <c r="AD681" s="422" t="str">
        <f t="shared" ref="AD681:BG681" si="481">IFERROR(ABS((AD678-AD679)/AD679),"")</f>
        <v/>
      </c>
      <c r="AE681" s="423" t="str">
        <f t="shared" si="481"/>
        <v/>
      </c>
      <c r="AF681" s="422" t="str">
        <f t="shared" si="481"/>
        <v/>
      </c>
      <c r="AG681" s="422" t="str">
        <f t="shared" si="481"/>
        <v/>
      </c>
      <c r="AH681" s="422" t="str">
        <f t="shared" si="481"/>
        <v/>
      </c>
      <c r="AI681" s="422" t="str">
        <f t="shared" si="481"/>
        <v/>
      </c>
      <c r="AJ681" s="423" t="str">
        <f t="shared" si="481"/>
        <v/>
      </c>
      <c r="AK681" s="422" t="str">
        <f t="shared" si="481"/>
        <v/>
      </c>
      <c r="AL681" s="422" t="str">
        <f t="shared" si="481"/>
        <v/>
      </c>
      <c r="AM681" s="422" t="str">
        <f t="shared" si="481"/>
        <v/>
      </c>
      <c r="AN681" s="422" t="str">
        <f t="shared" si="481"/>
        <v/>
      </c>
      <c r="AO681" s="423" t="str">
        <f t="shared" si="481"/>
        <v/>
      </c>
      <c r="AP681" s="422" t="str">
        <f t="shared" si="481"/>
        <v/>
      </c>
      <c r="AQ681" s="422" t="str">
        <f t="shared" si="481"/>
        <v/>
      </c>
      <c r="AR681" s="422" t="str">
        <f t="shared" si="481"/>
        <v/>
      </c>
      <c r="AS681" s="422" t="str">
        <f t="shared" si="481"/>
        <v/>
      </c>
      <c r="AT681" s="423" t="str">
        <f t="shared" si="481"/>
        <v/>
      </c>
      <c r="AU681" s="422" t="str">
        <f t="shared" si="481"/>
        <v/>
      </c>
      <c r="AV681" s="422" t="str">
        <f t="shared" si="481"/>
        <v/>
      </c>
      <c r="AW681" s="422" t="str">
        <f t="shared" si="481"/>
        <v/>
      </c>
      <c r="AX681" s="422" t="str">
        <f t="shared" si="481"/>
        <v/>
      </c>
      <c r="AY681" s="423" t="str">
        <f t="shared" si="481"/>
        <v/>
      </c>
      <c r="AZ681" s="422" t="str">
        <f t="shared" si="481"/>
        <v/>
      </c>
      <c r="BA681" s="422" t="str">
        <f t="shared" si="481"/>
        <v/>
      </c>
      <c r="BB681" s="422" t="str">
        <f t="shared" si="481"/>
        <v/>
      </c>
      <c r="BC681" s="422" t="str">
        <f t="shared" si="481"/>
        <v/>
      </c>
      <c r="BD681" s="423" t="str">
        <f t="shared" si="481"/>
        <v/>
      </c>
      <c r="BE681" s="422" t="str">
        <f t="shared" si="481"/>
        <v/>
      </c>
      <c r="BF681" s="422" t="str">
        <f t="shared" si="481"/>
        <v/>
      </c>
      <c r="BG681" s="422" t="str">
        <f t="shared" si="481"/>
        <v/>
      </c>
      <c r="BH681" s="422" t="str">
        <f>IFERROR(ABS((BH678-BH679)/BH679),"")</f>
        <v/>
      </c>
      <c r="BI681" s="423" t="str">
        <f>IFERROR(ABS((BI678-BI679)/BI679),"")</f>
        <v/>
      </c>
      <c r="BJ681" s="1034" t="str">
        <f>IFERROR(ABS((BJ678-BJ679)/BJ679),"")</f>
        <v/>
      </c>
      <c r="BK681" s="422"/>
      <c r="BL681" s="422"/>
      <c r="BM681" s="422"/>
      <c r="BN681" s="423"/>
      <c r="BO681" s="422"/>
      <c r="BP681" s="422"/>
      <c r="BQ681" s="422"/>
      <c r="BR681" s="422"/>
      <c r="BS681" s="423"/>
      <c r="BT681" s="423"/>
      <c r="BU681" s="423"/>
      <c r="BV681" s="423"/>
      <c r="BW681" s="118"/>
    </row>
    <row r="682" spans="1:75" hidden="1" outlineLevel="3" x14ac:dyDescent="0.5">
      <c r="A682" s="189" t="s">
        <v>2624</v>
      </c>
      <c r="B682" s="720"/>
      <c r="C682" s="417"/>
      <c r="D682" s="417"/>
      <c r="E682" s="417"/>
      <c r="F682" s="417"/>
      <c r="G682" s="378"/>
      <c r="H682" s="378"/>
      <c r="I682" s="378"/>
      <c r="J682" s="378"/>
      <c r="K682" s="417"/>
      <c r="L682" s="378"/>
      <c r="M682" s="378"/>
      <c r="N682" s="378"/>
      <c r="O682" s="378"/>
      <c r="P682" s="417"/>
      <c r="Q682" s="378"/>
      <c r="R682" s="378"/>
      <c r="S682" s="378"/>
      <c r="T682" s="378"/>
      <c r="U682" s="417"/>
      <c r="V682" s="378"/>
      <c r="W682" s="378"/>
      <c r="X682" s="378"/>
      <c r="Y682" s="378"/>
      <c r="Z682" s="417"/>
      <c r="AA682" s="378"/>
      <c r="AB682" s="378"/>
      <c r="AC682" s="378"/>
      <c r="AD682" s="378" t="str">
        <f>IFERROR(AD677/AE628-1,"")</f>
        <v/>
      </c>
      <c r="AE682" s="417" t="str">
        <f>IFERROR(AE677/AE628-1,"")</f>
        <v/>
      </c>
      <c r="AF682" s="378" t="str">
        <f>IFERROR(AF677/AE628-1,"")</f>
        <v/>
      </c>
      <c r="AG682" s="378" t="str">
        <f>IFERROR(AG677/AE628-1,"")</f>
        <v/>
      </c>
      <c r="AH682" s="378" t="str">
        <f>IFERROR(AH677/AE628-1,"")</f>
        <v/>
      </c>
      <c r="AI682" s="378" t="str">
        <f>IFERROR(AI677/AJ628-1,"")</f>
        <v/>
      </c>
      <c r="AJ682" s="417" t="str">
        <f>IFERROR(AJ677/AJ628-1,"")</f>
        <v/>
      </c>
      <c r="AK682" s="378" t="str">
        <f>IFERROR(AK677/AJ628-1,"")</f>
        <v/>
      </c>
      <c r="AL682" s="378" t="str">
        <f>IFERROR(AL677/AJ628-1,"")</f>
        <v/>
      </c>
      <c r="AM682" s="378" t="str">
        <f>IFERROR(AM677/AJ628-1,"")</f>
        <v/>
      </c>
      <c r="AN682" s="378" t="str">
        <f>IFERROR(AN677/AO628-1,"")</f>
        <v/>
      </c>
      <c r="AO682" s="417" t="str">
        <f>IFERROR(AO677/AO628-1,"")</f>
        <v/>
      </c>
      <c r="AP682" s="378" t="str">
        <f>IFERROR(AP677/AO628-1,"")</f>
        <v/>
      </c>
      <c r="AQ682" s="378" t="str">
        <f>IFERROR(AQ677/AO628-1,"")</f>
        <v/>
      </c>
      <c r="AR682" s="378" t="str">
        <f>IFERROR(AR677/AO628-1,"")</f>
        <v/>
      </c>
      <c r="AS682" s="378" t="str">
        <f>IFERROR(AS677/AT628-1,"")</f>
        <v/>
      </c>
      <c r="AT682" s="417" t="str">
        <f>IFERROR(AT677/AT628-1,"")</f>
        <v/>
      </c>
      <c r="AU682" s="378" t="str">
        <f>IFERROR(AU677/AT628-1,"")</f>
        <v/>
      </c>
      <c r="AV682" s="378" t="str">
        <f>IFERROR(AV677/AT628-1,"")</f>
        <v/>
      </c>
      <c r="AW682" s="378" t="str">
        <f>IFERROR(AW677/AT628-1,"")</f>
        <v/>
      </c>
      <c r="AX682" s="378" t="str">
        <f>IFERROR(AX677/AY628-1,"")</f>
        <v/>
      </c>
      <c r="AY682" s="417" t="str">
        <f>IFERROR(AY677/AY628-1,"")</f>
        <v/>
      </c>
      <c r="AZ682" s="378" t="str">
        <f>IFERROR(AZ677/AY628-1,"")</f>
        <v/>
      </c>
      <c r="BA682" s="378" t="str">
        <f>IFERROR(BA677/AY628-1,"")</f>
        <v/>
      </c>
      <c r="BB682" s="378" t="str">
        <f>IFERROR(BB677/AY628-1,"")</f>
        <v/>
      </c>
      <c r="BC682" s="378" t="str">
        <f>IFERROR(BC677/BD628-1,"")</f>
        <v/>
      </c>
      <c r="BD682" s="417" t="str">
        <f>IFERROR(BD677/BD628-1,"")</f>
        <v/>
      </c>
      <c r="BE682" s="378" t="str">
        <f>IFERROR(BE677/BD628-1,"")</f>
        <v/>
      </c>
      <c r="BF682" s="378" t="str">
        <f>IFERROR(BF677/BD628-1,"")</f>
        <v/>
      </c>
      <c r="BG682" s="378" t="str">
        <f>IFERROR(BG677/BD628-1,"")</f>
        <v/>
      </c>
      <c r="BH682" s="378" t="str">
        <f>IFERROR(BH677/BI628-1,"")</f>
        <v/>
      </c>
      <c r="BI682" s="417" t="str">
        <f>IFERROR(BI677/BI628-1,"")</f>
        <v/>
      </c>
      <c r="BJ682" s="1130" t="str">
        <f>IFERROR(BJ677/BI628-1,"")</f>
        <v/>
      </c>
      <c r="BK682" s="378"/>
      <c r="BL682" s="378"/>
      <c r="BM682" s="378"/>
      <c r="BN682" s="417"/>
      <c r="BO682" s="378"/>
      <c r="BP682" s="378"/>
      <c r="BQ682" s="378"/>
      <c r="BR682" s="378"/>
      <c r="BS682" s="417"/>
      <c r="BT682" s="417"/>
      <c r="BU682" s="417"/>
      <c r="BV682" s="417"/>
      <c r="BW682" s="118"/>
    </row>
    <row r="683" spans="1:75" hidden="1" outlineLevel="3" x14ac:dyDescent="0.5">
      <c r="A683" s="1188" t="s">
        <v>2625</v>
      </c>
      <c r="B683" s="769"/>
      <c r="C683" s="770"/>
      <c r="D683" s="770"/>
      <c r="E683" s="770"/>
      <c r="F683" s="770"/>
      <c r="G683" s="771"/>
      <c r="H683" s="771"/>
      <c r="I683" s="771"/>
      <c r="J683" s="771"/>
      <c r="K683" s="770"/>
      <c r="L683" s="771"/>
      <c r="M683" s="771"/>
      <c r="N683" s="771"/>
      <c r="O683" s="771"/>
      <c r="P683" s="770"/>
      <c r="Q683" s="771"/>
      <c r="R683" s="771"/>
      <c r="S683" s="771"/>
      <c r="T683" s="771"/>
      <c r="U683" s="770"/>
      <c r="V683" s="771"/>
      <c r="W683" s="771"/>
      <c r="X683" s="771"/>
      <c r="Y683" s="771"/>
      <c r="Z683" s="770"/>
      <c r="AA683" s="771"/>
      <c r="AB683" s="771"/>
      <c r="AC683" s="771"/>
      <c r="AD683" s="771" t="str">
        <f>IFERROR(AD678/AE628-1,"")</f>
        <v/>
      </c>
      <c r="AE683" s="770" t="str">
        <f>IFERROR(AE678/AE628-1,"")</f>
        <v/>
      </c>
      <c r="AF683" s="771" t="str">
        <f>IFERROR(AF678/AE628-1,"")</f>
        <v/>
      </c>
      <c r="AG683" s="771" t="str">
        <f>IFERROR(AG678/AE628-1,"")</f>
        <v/>
      </c>
      <c r="AH683" s="771" t="str">
        <f>IFERROR(AH678/AE628-1,"")</f>
        <v/>
      </c>
      <c r="AI683" s="771" t="str">
        <f>IFERROR(AI678/AJ628-1,"")</f>
        <v/>
      </c>
      <c r="AJ683" s="770" t="str">
        <f>IFERROR(AJ678/AJ628-1,"")</f>
        <v/>
      </c>
      <c r="AK683" s="771" t="str">
        <f>IFERROR(AK678/AJ628-1,"")</f>
        <v/>
      </c>
      <c r="AL683" s="771" t="str">
        <f>IFERROR(AL678/AJ628-1,"")</f>
        <v/>
      </c>
      <c r="AM683" s="771" t="str">
        <f>IFERROR(AM678/AJ628-1,"")</f>
        <v/>
      </c>
      <c r="AN683" s="771" t="str">
        <f>IFERROR(AN678/AO628-1,"")</f>
        <v/>
      </c>
      <c r="AO683" s="770" t="str">
        <f>IFERROR(AO678/AO628-1,"")</f>
        <v/>
      </c>
      <c r="AP683" s="771" t="str">
        <f>IFERROR(AP678/AO628-1,"")</f>
        <v/>
      </c>
      <c r="AQ683" s="771" t="str">
        <f>IFERROR(AQ678/AO628-1,"")</f>
        <v/>
      </c>
      <c r="AR683" s="771" t="str">
        <f>IFERROR(AR678/AO628-1,"")</f>
        <v/>
      </c>
      <c r="AS683" s="771" t="str">
        <f>IFERROR(AS678/AT628-1,"")</f>
        <v/>
      </c>
      <c r="AT683" s="770" t="str">
        <f>IFERROR(AT678/AT628-1,"")</f>
        <v/>
      </c>
      <c r="AU683" s="771" t="str">
        <f>IFERROR(AU678/AT628-1,"")</f>
        <v/>
      </c>
      <c r="AV683" s="771" t="str">
        <f>IFERROR(AV678/AT628-1,"")</f>
        <v/>
      </c>
      <c r="AW683" s="771" t="str">
        <f>IFERROR(AW678/AT628-1,"")</f>
        <v/>
      </c>
      <c r="AX683" s="771" t="str">
        <f>IFERROR(AX678/AY628-1,"")</f>
        <v/>
      </c>
      <c r="AY683" s="770" t="str">
        <f>IFERROR(AY678/AY628-1,"")</f>
        <v/>
      </c>
      <c r="AZ683" s="771" t="str">
        <f>IFERROR(AZ678/AY628-1,"")</f>
        <v/>
      </c>
      <c r="BA683" s="771" t="str">
        <f>IFERROR(BA678/AY628-1,"")</f>
        <v/>
      </c>
      <c r="BB683" s="771" t="str">
        <f>IFERROR(BB678/AY628-1,"")</f>
        <v/>
      </c>
      <c r="BC683" s="771" t="str">
        <f>IFERROR(BC678/BD628-1,"")</f>
        <v/>
      </c>
      <c r="BD683" s="770" t="str">
        <f>IFERROR(BD678/BD628-1,"")</f>
        <v/>
      </c>
      <c r="BE683" s="771" t="str">
        <f>IFERROR(BE678/BD628-1,"")</f>
        <v/>
      </c>
      <c r="BF683" s="771" t="str">
        <f>IFERROR(BF678/BD628-1,"")</f>
        <v/>
      </c>
      <c r="BG683" s="771" t="str">
        <f>IFERROR(BG678/BD628-1,"")</f>
        <v/>
      </c>
      <c r="BH683" s="771" t="str">
        <f>IFERROR(BH678/BI628-1,"")</f>
        <v/>
      </c>
      <c r="BI683" s="770" t="str">
        <f>IFERROR(BI678/BI628-1,"")</f>
        <v/>
      </c>
      <c r="BJ683" s="1314" t="str">
        <f>IFERROR(BJ678/BI628-1,"")</f>
        <v/>
      </c>
      <c r="BK683" s="771"/>
      <c r="BL683" s="771"/>
      <c r="BM683" s="771"/>
      <c r="BN683" s="770"/>
      <c r="BO683" s="771"/>
      <c r="BP683" s="771"/>
      <c r="BQ683" s="771"/>
      <c r="BR683" s="771"/>
      <c r="BS683" s="770"/>
      <c r="BT683" s="770"/>
      <c r="BU683" s="770"/>
      <c r="BV683" s="770"/>
      <c r="BW683" s="118"/>
    </row>
    <row r="684" spans="1:75" hidden="1" outlineLevel="2" x14ac:dyDescent="0.5">
      <c r="A684" s="170" t="s">
        <v>2626</v>
      </c>
      <c r="B684" s="720"/>
      <c r="C684" s="417"/>
      <c r="D684" s="417"/>
      <c r="E684" s="417"/>
      <c r="F684" s="417"/>
      <c r="G684" s="378"/>
      <c r="H684" s="378"/>
      <c r="I684" s="378"/>
      <c r="J684" s="378"/>
      <c r="K684" s="417"/>
      <c r="L684" s="378"/>
      <c r="M684" s="378"/>
      <c r="N684" s="378"/>
      <c r="O684" s="378"/>
      <c r="P684" s="417"/>
      <c r="Q684" s="378"/>
      <c r="R684" s="378"/>
      <c r="S684" s="378"/>
      <c r="T684" s="378"/>
      <c r="U684" s="417"/>
      <c r="V684" s="378"/>
      <c r="W684" s="378"/>
      <c r="X684" s="378"/>
      <c r="Y684" s="378"/>
      <c r="Z684" s="417"/>
      <c r="AA684" s="378"/>
      <c r="AB684" s="378"/>
      <c r="AC684" s="378"/>
      <c r="AD684" s="378" t="str">
        <f>IFERROR(AD679/AE628-1,"")</f>
        <v/>
      </c>
      <c r="AE684" s="417" t="str">
        <f>IFERROR(AE679/AE628-1,"")</f>
        <v/>
      </c>
      <c r="AF684" s="378" t="str">
        <f>IFERROR(AF679/AE628-1,"")</f>
        <v/>
      </c>
      <c r="AG684" s="378" t="str">
        <f>IFERROR(AG679/AE628-1,"")</f>
        <v/>
      </c>
      <c r="AH684" s="378" t="str">
        <f>IFERROR(AH679/AE628-1,"")</f>
        <v/>
      </c>
      <c r="AI684" s="378" t="str">
        <f>IFERROR(AI679/AJ628-1,"")</f>
        <v/>
      </c>
      <c r="AJ684" s="417" t="str">
        <f>IFERROR(AJ679/AJ628-1,"")</f>
        <v/>
      </c>
      <c r="AK684" s="378" t="str">
        <f>IFERROR(AK679/AJ628-1,"")</f>
        <v/>
      </c>
      <c r="AL684" s="378" t="str">
        <f>IFERROR(AL679/AJ628-1,"")</f>
        <v/>
      </c>
      <c r="AM684" s="378" t="str">
        <f>IFERROR(AM679/AJ628-1,"")</f>
        <v/>
      </c>
      <c r="AN684" s="378" t="str">
        <f>IFERROR(AN679/AO628-1,"")</f>
        <v/>
      </c>
      <c r="AO684" s="417" t="str">
        <f>IFERROR(AO679/AO628-1,"")</f>
        <v/>
      </c>
      <c r="AP684" s="378" t="str">
        <f>IFERROR(AP679/AO628-1,"")</f>
        <v/>
      </c>
      <c r="AQ684" s="378" t="str">
        <f>IFERROR(AQ679/AO628-1,"")</f>
        <v/>
      </c>
      <c r="AR684" s="378" t="str">
        <f>IFERROR(AR679/AO628-1,"")</f>
        <v/>
      </c>
      <c r="AS684" s="378" t="str">
        <f>IFERROR(AS679/AT628-1,"")</f>
        <v/>
      </c>
      <c r="AT684" s="417" t="str">
        <f>IFERROR(AT679/AT628-1,"")</f>
        <v/>
      </c>
      <c r="AU684" s="378" t="str">
        <f>IFERROR(AU679/AT628-1,"")</f>
        <v/>
      </c>
      <c r="AV684" s="378" t="str">
        <f>IFERROR(AV679/AT628-1,"")</f>
        <v/>
      </c>
      <c r="AW684" s="378" t="str">
        <f>IFERROR(AW679/AT628-1,"")</f>
        <v/>
      </c>
      <c r="AX684" s="378" t="str">
        <f>IFERROR(AX679/AY628-1,"")</f>
        <v/>
      </c>
      <c r="AY684" s="417" t="str">
        <f>IFERROR(AY679/AY628-1,"")</f>
        <v/>
      </c>
      <c r="AZ684" s="378" t="str">
        <f>IFERROR(AZ679/AY628-1,"")</f>
        <v/>
      </c>
      <c r="BA684" s="378" t="str">
        <f>IFERROR(BA679/AY628-1,"")</f>
        <v/>
      </c>
      <c r="BB684" s="378" t="str">
        <f>IFERROR(BB679/AY628-1,"")</f>
        <v/>
      </c>
      <c r="BC684" s="378" t="str">
        <f>IFERROR(BC679/BD628-1,"")</f>
        <v/>
      </c>
      <c r="BD684" s="417" t="str">
        <f>IFERROR(BD679/BD628-1,"")</f>
        <v/>
      </c>
      <c r="BE684" s="378" t="str">
        <f>IFERROR(BE679/BD628-1,"")</f>
        <v/>
      </c>
      <c r="BF684" s="378" t="str">
        <f>IFERROR(BF679/BD628-1,"")</f>
        <v/>
      </c>
      <c r="BG684" s="378" t="str">
        <f>IFERROR(BG679/BD628-1,"")</f>
        <v/>
      </c>
      <c r="BH684" s="378" t="str">
        <f>IFERROR(BH679/BI628-1,"")</f>
        <v/>
      </c>
      <c r="BI684" s="417" t="str">
        <f>IFERROR(BI679/BI628-1,"")</f>
        <v/>
      </c>
      <c r="BJ684" s="1130" t="str">
        <f>IFERROR(BJ679/BI628-1,"")</f>
        <v/>
      </c>
      <c r="BK684" s="378"/>
      <c r="BL684" s="378"/>
      <c r="BM684" s="378"/>
      <c r="BN684" s="417"/>
      <c r="BO684" s="378"/>
      <c r="BP684" s="378"/>
      <c r="BQ684" s="378"/>
      <c r="BR684" s="378"/>
      <c r="BS684" s="417"/>
      <c r="BT684" s="417"/>
      <c r="BU684" s="417"/>
      <c r="BV684" s="417"/>
      <c r="BW684" s="118"/>
    </row>
    <row r="685" spans="1:75" hidden="1" outlineLevel="2" x14ac:dyDescent="0.5">
      <c r="A685" s="1524"/>
      <c r="B685" s="513"/>
      <c r="C685" s="401"/>
      <c r="D685" s="401"/>
      <c r="E685" s="401"/>
      <c r="F685" s="401"/>
      <c r="G685" s="118"/>
      <c r="H685" s="118"/>
      <c r="I685" s="118"/>
      <c r="J685" s="118"/>
      <c r="K685" s="401"/>
      <c r="L685" s="118"/>
      <c r="M685" s="118"/>
      <c r="N685" s="118"/>
      <c r="O685" s="118"/>
      <c r="P685" s="401"/>
      <c r="Q685" s="118"/>
      <c r="R685" s="118"/>
      <c r="S685" s="118"/>
      <c r="T685" s="118"/>
      <c r="U685" s="401"/>
      <c r="V685" s="118"/>
      <c r="W685" s="118"/>
      <c r="X685" s="118"/>
      <c r="Y685" s="118"/>
      <c r="Z685" s="401"/>
      <c r="AA685" s="118"/>
      <c r="AB685" s="118"/>
      <c r="AC685" s="118"/>
      <c r="AD685" s="118"/>
      <c r="AE685" s="401"/>
      <c r="AF685" s="118"/>
      <c r="AG685" s="118"/>
      <c r="AH685" s="118"/>
      <c r="AI685" s="118"/>
      <c r="AJ685" s="401"/>
      <c r="AK685" s="118"/>
      <c r="AL685" s="118"/>
      <c r="AM685" s="118"/>
      <c r="AN685" s="118"/>
      <c r="AO685" s="401"/>
      <c r="AP685" s="118"/>
      <c r="AQ685" s="118"/>
      <c r="AR685" s="118"/>
      <c r="AS685" s="118"/>
      <c r="AT685" s="401"/>
      <c r="AU685" s="118"/>
      <c r="AV685" s="118"/>
      <c r="AW685" s="118"/>
      <c r="AX685" s="118"/>
      <c r="AY685" s="401"/>
      <c r="AZ685" s="118"/>
      <c r="BA685" s="118"/>
      <c r="BB685" s="118"/>
      <c r="BC685" s="118"/>
      <c r="BD685" s="401"/>
      <c r="BE685" s="118"/>
      <c r="BF685" s="118"/>
      <c r="BG685" s="118"/>
      <c r="BH685" s="118"/>
      <c r="BI685" s="401"/>
      <c r="BJ685" s="971"/>
      <c r="BK685" s="118"/>
      <c r="BL685" s="118"/>
      <c r="BM685" s="118"/>
      <c r="BN685" s="401"/>
      <c r="BO685" s="118"/>
      <c r="BP685" s="118"/>
      <c r="BQ685" s="118"/>
      <c r="BR685" s="118"/>
      <c r="BS685" s="401"/>
      <c r="BT685" s="401"/>
      <c r="BU685" s="401"/>
      <c r="BV685" s="401"/>
      <c r="BW685" s="118"/>
    </row>
    <row r="686" spans="1:75" hidden="1" outlineLevel="3" x14ac:dyDescent="0.5">
      <c r="A686" s="526" t="s">
        <v>2627</v>
      </c>
      <c r="B686" s="513"/>
      <c r="C686" s="423"/>
      <c r="D686" s="423"/>
      <c r="E686" s="423"/>
      <c r="F686" s="423"/>
      <c r="G686" s="422"/>
      <c r="H686" s="422"/>
      <c r="I686" s="422"/>
      <c r="J686" s="422"/>
      <c r="K686" s="423"/>
      <c r="L686" s="422"/>
      <c r="M686" s="422"/>
      <c r="N686" s="422"/>
      <c r="O686" s="422"/>
      <c r="P686" s="423"/>
      <c r="Q686" s="422"/>
      <c r="R686" s="422"/>
      <c r="S686" s="422"/>
      <c r="T686" s="422"/>
      <c r="U686" s="423"/>
      <c r="V686" s="422"/>
      <c r="W686" s="422"/>
      <c r="X686" s="422"/>
      <c r="Y686" s="422"/>
      <c r="Z686" s="423"/>
      <c r="AA686" s="422"/>
      <c r="AB686" s="422"/>
      <c r="AC686" s="422"/>
      <c r="AD686" s="422" t="str">
        <f t="shared" ref="AD686:BI687" si="482">AD1088</f>
        <v>NR</v>
      </c>
      <c r="AE686" s="423" t="str">
        <f t="shared" si="482"/>
        <v>NR</v>
      </c>
      <c r="AF686" s="422" t="str">
        <f t="shared" si="482"/>
        <v>NR</v>
      </c>
      <c r="AG686" s="422" t="str">
        <f t="shared" si="482"/>
        <v>NR</v>
      </c>
      <c r="AH686" s="422" t="str">
        <f t="shared" si="482"/>
        <v>NR</v>
      </c>
      <c r="AI686" s="422" t="str">
        <f t="shared" si="482"/>
        <v>NR</v>
      </c>
      <c r="AJ686" s="423" t="str">
        <f t="shared" si="482"/>
        <v>NR</v>
      </c>
      <c r="AK686" s="422" t="str">
        <f t="shared" si="482"/>
        <v>NR</v>
      </c>
      <c r="AL686" s="422" t="str">
        <f t="shared" si="482"/>
        <v>NR</v>
      </c>
      <c r="AM686" s="422" t="str">
        <f t="shared" si="482"/>
        <v>NR</v>
      </c>
      <c r="AN686" s="422" t="str">
        <f t="shared" si="482"/>
        <v>NR</v>
      </c>
      <c r="AO686" s="423" t="str">
        <f t="shared" si="482"/>
        <v>NR</v>
      </c>
      <c r="AP686" s="422" t="str">
        <f t="shared" si="482"/>
        <v>NR</v>
      </c>
      <c r="AQ686" s="422" t="str">
        <f t="shared" si="482"/>
        <v>NR</v>
      </c>
      <c r="AR686" s="422" t="str">
        <f t="shared" si="482"/>
        <v>NR</v>
      </c>
      <c r="AS686" s="422" t="str">
        <f t="shared" si="482"/>
        <v>NR</v>
      </c>
      <c r="AT686" s="423" t="str">
        <f t="shared" si="482"/>
        <v>NR</v>
      </c>
      <c r="AU686" s="422" t="str">
        <f t="shared" si="482"/>
        <v>NR</v>
      </c>
      <c r="AV686" s="422" t="str">
        <f t="shared" si="482"/>
        <v>NR</v>
      </c>
      <c r="AW686" s="422" t="str">
        <f t="shared" si="482"/>
        <v>NR</v>
      </c>
      <c r="AX686" s="422" t="str">
        <f t="shared" si="482"/>
        <v>NR</v>
      </c>
      <c r="AY686" s="423" t="str">
        <f t="shared" si="482"/>
        <v>NR</v>
      </c>
      <c r="AZ686" s="422" t="str">
        <f t="shared" si="482"/>
        <v>NR</v>
      </c>
      <c r="BA686" s="422" t="str">
        <f t="shared" si="482"/>
        <v>NR</v>
      </c>
      <c r="BB686" s="422" t="str">
        <f t="shared" si="482"/>
        <v>NR</v>
      </c>
      <c r="BC686" s="422" t="str">
        <f t="shared" si="482"/>
        <v>NR</v>
      </c>
      <c r="BD686" s="423" t="str">
        <f t="shared" si="482"/>
        <v>NR</v>
      </c>
      <c r="BE686" s="422" t="str">
        <f t="shared" si="482"/>
        <v>NR</v>
      </c>
      <c r="BF686" s="422" t="str">
        <f t="shared" si="482"/>
        <v>NR</v>
      </c>
      <c r="BG686" s="422" t="str">
        <f t="shared" si="482"/>
        <v>NR</v>
      </c>
      <c r="BH686" s="422" t="str">
        <f t="shared" si="482"/>
        <v>NR</v>
      </c>
      <c r="BI686" s="423" t="str">
        <f t="shared" si="482"/>
        <v>NR</v>
      </c>
      <c r="BJ686" s="1034" t="str">
        <f>BJ1088</f>
        <v>NR</v>
      </c>
      <c r="BK686" s="422"/>
      <c r="BL686" s="422"/>
      <c r="BM686" s="422"/>
      <c r="BN686" s="423"/>
      <c r="BO686" s="422"/>
      <c r="BP686" s="422"/>
      <c r="BQ686" s="422"/>
      <c r="BR686" s="422"/>
      <c r="BS686" s="423"/>
      <c r="BT686" s="423"/>
      <c r="BU686" s="423"/>
      <c r="BV686" s="423"/>
      <c r="BW686" s="118"/>
    </row>
    <row r="687" spans="1:75" hidden="1" outlineLevel="3" x14ac:dyDescent="0.5">
      <c r="A687" s="664" t="s">
        <v>2628</v>
      </c>
      <c r="B687" s="677"/>
      <c r="C687" s="1210"/>
      <c r="D687" s="1210"/>
      <c r="E687" s="1210"/>
      <c r="F687" s="1210"/>
      <c r="G687" s="1211"/>
      <c r="H687" s="1211"/>
      <c r="I687" s="1211"/>
      <c r="J687" s="1211"/>
      <c r="K687" s="1210"/>
      <c r="L687" s="1211"/>
      <c r="M687" s="1211"/>
      <c r="N687" s="1211"/>
      <c r="O687" s="1211"/>
      <c r="P687" s="1210"/>
      <c r="Q687" s="1211"/>
      <c r="R687" s="1211"/>
      <c r="S687" s="1211"/>
      <c r="T687" s="1211"/>
      <c r="U687" s="1210"/>
      <c r="V687" s="1211"/>
      <c r="W687" s="1211"/>
      <c r="X687" s="1211"/>
      <c r="Y687" s="1211"/>
      <c r="Z687" s="1210"/>
      <c r="AA687" s="1211"/>
      <c r="AB687" s="1211"/>
      <c r="AC687" s="1211"/>
      <c r="AD687" s="1211" t="str">
        <f t="shared" si="482"/>
        <v>NR</v>
      </c>
      <c r="AE687" s="1210" t="str">
        <f t="shared" si="482"/>
        <v>NR</v>
      </c>
      <c r="AF687" s="1211" t="str">
        <f t="shared" si="482"/>
        <v>NR</v>
      </c>
      <c r="AG687" s="1211" t="str">
        <f t="shared" si="482"/>
        <v>NR</v>
      </c>
      <c r="AH687" s="1211" t="str">
        <f t="shared" si="482"/>
        <v>NR</v>
      </c>
      <c r="AI687" s="1211" t="str">
        <f t="shared" si="482"/>
        <v>NR</v>
      </c>
      <c r="AJ687" s="1210" t="str">
        <f t="shared" si="482"/>
        <v>NR</v>
      </c>
      <c r="AK687" s="1211" t="str">
        <f t="shared" si="482"/>
        <v>NR</v>
      </c>
      <c r="AL687" s="1211" t="str">
        <f t="shared" si="482"/>
        <v>NR</v>
      </c>
      <c r="AM687" s="1211" t="str">
        <f t="shared" si="482"/>
        <v>NR</v>
      </c>
      <c r="AN687" s="1211" t="str">
        <f t="shared" si="482"/>
        <v>NR</v>
      </c>
      <c r="AO687" s="1210" t="str">
        <f t="shared" si="482"/>
        <v>NR</v>
      </c>
      <c r="AP687" s="1211" t="str">
        <f t="shared" si="482"/>
        <v>NR</v>
      </c>
      <c r="AQ687" s="1211" t="str">
        <f t="shared" si="482"/>
        <v>NR</v>
      </c>
      <c r="AR687" s="1211" t="str">
        <f t="shared" si="482"/>
        <v>NR</v>
      </c>
      <c r="AS687" s="1211" t="str">
        <f t="shared" si="482"/>
        <v>NR</v>
      </c>
      <c r="AT687" s="1210" t="str">
        <f t="shared" si="482"/>
        <v>NR</v>
      </c>
      <c r="AU687" s="1211" t="str">
        <f t="shared" si="482"/>
        <v>NR</v>
      </c>
      <c r="AV687" s="1211" t="str">
        <f t="shared" si="482"/>
        <v>NR</v>
      </c>
      <c r="AW687" s="1211" t="str">
        <f t="shared" si="482"/>
        <v>NR</v>
      </c>
      <c r="AX687" s="1211" t="str">
        <f t="shared" si="482"/>
        <v>NR</v>
      </c>
      <c r="AY687" s="1210" t="str">
        <f t="shared" si="482"/>
        <v>NR</v>
      </c>
      <c r="AZ687" s="1211" t="str">
        <f t="shared" si="482"/>
        <v>NR</v>
      </c>
      <c r="BA687" s="1211" t="str">
        <f t="shared" si="482"/>
        <v>NR</v>
      </c>
      <c r="BB687" s="1211" t="str">
        <f t="shared" si="482"/>
        <v>NR</v>
      </c>
      <c r="BC687" s="1211" t="str">
        <f t="shared" si="482"/>
        <v>NR</v>
      </c>
      <c r="BD687" s="1210" t="str">
        <f t="shared" si="482"/>
        <v>NR</v>
      </c>
      <c r="BE687" s="1211" t="str">
        <f t="shared" si="482"/>
        <v>NR</v>
      </c>
      <c r="BF687" s="1211" t="str">
        <f t="shared" si="482"/>
        <v>NR</v>
      </c>
      <c r="BG687" s="1211" t="str">
        <f t="shared" si="482"/>
        <v>NR</v>
      </c>
      <c r="BH687" s="1211" t="str">
        <f t="shared" si="482"/>
        <v>NR</v>
      </c>
      <c r="BI687" s="1210" t="str">
        <f t="shared" si="482"/>
        <v>NR</v>
      </c>
      <c r="BJ687" s="1212" t="str">
        <f>BJ1089</f>
        <v>NR</v>
      </c>
      <c r="BK687" s="1211"/>
      <c r="BL687" s="1211"/>
      <c r="BM687" s="1211"/>
      <c r="BN687" s="1210"/>
      <c r="BO687" s="1211"/>
      <c r="BP687" s="1211"/>
      <c r="BQ687" s="1211"/>
      <c r="BR687" s="1211"/>
      <c r="BS687" s="1210"/>
      <c r="BT687" s="1210"/>
      <c r="BU687" s="1210"/>
      <c r="BV687" s="1210"/>
      <c r="BW687" s="118"/>
    </row>
    <row r="688" spans="1:75" hidden="1" outlineLevel="2" x14ac:dyDescent="0.5">
      <c r="A688" s="178" t="s">
        <v>2629</v>
      </c>
      <c r="B688" s="522"/>
      <c r="C688" s="730"/>
      <c r="D688" s="730"/>
      <c r="E688" s="730"/>
      <c r="F688" s="730"/>
      <c r="G688" s="473"/>
      <c r="H688" s="473"/>
      <c r="I688" s="473"/>
      <c r="J688" s="473"/>
      <c r="K688" s="730"/>
      <c r="L688" s="473"/>
      <c r="M688" s="473"/>
      <c r="N688" s="473"/>
      <c r="O688" s="473"/>
      <c r="P688" s="730"/>
      <c r="Q688" s="473"/>
      <c r="R688" s="473"/>
      <c r="S688" s="473"/>
      <c r="T688" s="473"/>
      <c r="U688" s="730"/>
      <c r="V688" s="473"/>
      <c r="W688" s="473"/>
      <c r="X688" s="473"/>
      <c r="Y688" s="473"/>
      <c r="Z688" s="730"/>
      <c r="AA688" s="473"/>
      <c r="AB688" s="473"/>
      <c r="AC688" s="473"/>
      <c r="AD688" s="473" t="str">
        <f t="shared" ref="AD688:BG688" si="483">IFERROR(AVERAGE(AD687,AD686),"")</f>
        <v/>
      </c>
      <c r="AE688" s="730" t="str">
        <f t="shared" si="483"/>
        <v/>
      </c>
      <c r="AF688" s="473" t="str">
        <f t="shared" si="483"/>
        <v/>
      </c>
      <c r="AG688" s="473" t="str">
        <f t="shared" si="483"/>
        <v/>
      </c>
      <c r="AH688" s="473" t="str">
        <f t="shared" si="483"/>
        <v/>
      </c>
      <c r="AI688" s="473" t="str">
        <f t="shared" si="483"/>
        <v/>
      </c>
      <c r="AJ688" s="730" t="str">
        <f t="shared" si="483"/>
        <v/>
      </c>
      <c r="AK688" s="473" t="str">
        <f t="shared" si="483"/>
        <v/>
      </c>
      <c r="AL688" s="473" t="str">
        <f t="shared" si="483"/>
        <v/>
      </c>
      <c r="AM688" s="473" t="str">
        <f t="shared" si="483"/>
        <v/>
      </c>
      <c r="AN688" s="473" t="str">
        <f t="shared" si="483"/>
        <v/>
      </c>
      <c r="AO688" s="730" t="str">
        <f t="shared" si="483"/>
        <v/>
      </c>
      <c r="AP688" s="473" t="str">
        <f t="shared" si="483"/>
        <v/>
      </c>
      <c r="AQ688" s="473" t="str">
        <f t="shared" si="483"/>
        <v/>
      </c>
      <c r="AR688" s="473" t="str">
        <f t="shared" si="483"/>
        <v/>
      </c>
      <c r="AS688" s="473" t="str">
        <f t="shared" si="483"/>
        <v/>
      </c>
      <c r="AT688" s="730" t="str">
        <f t="shared" si="483"/>
        <v/>
      </c>
      <c r="AU688" s="473" t="str">
        <f t="shared" si="483"/>
        <v/>
      </c>
      <c r="AV688" s="473" t="str">
        <f t="shared" si="483"/>
        <v/>
      </c>
      <c r="AW688" s="473" t="str">
        <f t="shared" si="483"/>
        <v/>
      </c>
      <c r="AX688" s="473" t="str">
        <f t="shared" si="483"/>
        <v/>
      </c>
      <c r="AY688" s="730" t="str">
        <f t="shared" si="483"/>
        <v/>
      </c>
      <c r="AZ688" s="473" t="str">
        <f t="shared" si="483"/>
        <v/>
      </c>
      <c r="BA688" s="473" t="str">
        <f t="shared" si="483"/>
        <v/>
      </c>
      <c r="BB688" s="473" t="str">
        <f t="shared" si="483"/>
        <v/>
      </c>
      <c r="BC688" s="473" t="str">
        <f t="shared" si="483"/>
        <v/>
      </c>
      <c r="BD688" s="730" t="str">
        <f t="shared" si="483"/>
        <v/>
      </c>
      <c r="BE688" s="473" t="str">
        <f t="shared" si="483"/>
        <v/>
      </c>
      <c r="BF688" s="473" t="str">
        <f t="shared" si="483"/>
        <v/>
      </c>
      <c r="BG688" s="473" t="str">
        <f t="shared" si="483"/>
        <v/>
      </c>
      <c r="BH688" s="473" t="str">
        <f>IFERROR(AVERAGE(BH687,BH686),"")</f>
        <v/>
      </c>
      <c r="BI688" s="730" t="str">
        <f>IFERROR(AVERAGE(BI687,BI686),"")</f>
        <v/>
      </c>
      <c r="BJ688" s="1246" t="str">
        <f>IFERROR(AVERAGE(BJ687,BJ686),"")</f>
        <v/>
      </c>
      <c r="BK688" s="473"/>
      <c r="BL688" s="473"/>
      <c r="BM688" s="473"/>
      <c r="BN688" s="730"/>
      <c r="BO688" s="473"/>
      <c r="BP688" s="473"/>
      <c r="BQ688" s="473"/>
      <c r="BR688" s="473"/>
      <c r="BS688" s="730"/>
      <c r="BT688" s="730"/>
      <c r="BU688" s="730"/>
      <c r="BV688" s="730"/>
      <c r="BW688" s="118"/>
    </row>
    <row r="689" spans="1:75" hidden="1" outlineLevel="2" x14ac:dyDescent="0.5">
      <c r="A689" s="218" t="s">
        <v>2630</v>
      </c>
      <c r="B689" s="513"/>
      <c r="C689" s="425"/>
      <c r="D689" s="425"/>
      <c r="E689" s="425"/>
      <c r="F689" s="425"/>
      <c r="G689" s="487"/>
      <c r="H689" s="487"/>
      <c r="I689" s="487"/>
      <c r="J689" s="487"/>
      <c r="K689" s="425"/>
      <c r="L689" s="487"/>
      <c r="M689" s="487"/>
      <c r="N689" s="487"/>
      <c r="O689" s="487"/>
      <c r="P689" s="425"/>
      <c r="Q689" s="487"/>
      <c r="R689" s="487"/>
      <c r="S689" s="487"/>
      <c r="T689" s="487"/>
      <c r="U689" s="425"/>
      <c r="V689" s="487"/>
      <c r="W689" s="487"/>
      <c r="X689" s="487"/>
      <c r="Y689" s="487"/>
      <c r="Z689" s="425"/>
      <c r="AA689" s="487"/>
      <c r="AB689" s="487"/>
      <c r="AC689" s="487"/>
      <c r="AD689" s="487" t="str">
        <f t="shared" ref="AD689:BG689" si="484">IFERROR(ABS(AD687-AD688)*10000,"")</f>
        <v/>
      </c>
      <c r="AE689" s="425" t="str">
        <f t="shared" si="484"/>
        <v/>
      </c>
      <c r="AF689" s="487" t="str">
        <f t="shared" si="484"/>
        <v/>
      </c>
      <c r="AG689" s="487" t="str">
        <f t="shared" si="484"/>
        <v/>
      </c>
      <c r="AH689" s="487" t="str">
        <f t="shared" si="484"/>
        <v/>
      </c>
      <c r="AI689" s="487" t="str">
        <f t="shared" si="484"/>
        <v/>
      </c>
      <c r="AJ689" s="425" t="str">
        <f t="shared" si="484"/>
        <v/>
      </c>
      <c r="AK689" s="487" t="str">
        <f t="shared" si="484"/>
        <v/>
      </c>
      <c r="AL689" s="487" t="str">
        <f t="shared" si="484"/>
        <v/>
      </c>
      <c r="AM689" s="487" t="str">
        <f t="shared" si="484"/>
        <v/>
      </c>
      <c r="AN689" s="487" t="str">
        <f t="shared" si="484"/>
        <v/>
      </c>
      <c r="AO689" s="425" t="str">
        <f t="shared" si="484"/>
        <v/>
      </c>
      <c r="AP689" s="487" t="str">
        <f t="shared" si="484"/>
        <v/>
      </c>
      <c r="AQ689" s="487" t="str">
        <f t="shared" si="484"/>
        <v/>
      </c>
      <c r="AR689" s="487" t="str">
        <f t="shared" si="484"/>
        <v/>
      </c>
      <c r="AS689" s="487" t="str">
        <f t="shared" si="484"/>
        <v/>
      </c>
      <c r="AT689" s="425" t="str">
        <f t="shared" si="484"/>
        <v/>
      </c>
      <c r="AU689" s="487" t="str">
        <f t="shared" si="484"/>
        <v/>
      </c>
      <c r="AV689" s="487" t="str">
        <f t="shared" si="484"/>
        <v/>
      </c>
      <c r="AW689" s="487" t="str">
        <f t="shared" si="484"/>
        <v/>
      </c>
      <c r="AX689" s="487" t="str">
        <f t="shared" si="484"/>
        <v/>
      </c>
      <c r="AY689" s="425" t="str">
        <f t="shared" si="484"/>
        <v/>
      </c>
      <c r="AZ689" s="487" t="str">
        <f t="shared" si="484"/>
        <v/>
      </c>
      <c r="BA689" s="487" t="str">
        <f t="shared" si="484"/>
        <v/>
      </c>
      <c r="BB689" s="487" t="str">
        <f t="shared" si="484"/>
        <v/>
      </c>
      <c r="BC689" s="487" t="str">
        <f t="shared" si="484"/>
        <v/>
      </c>
      <c r="BD689" s="425" t="str">
        <f t="shared" si="484"/>
        <v/>
      </c>
      <c r="BE689" s="487" t="str">
        <f t="shared" si="484"/>
        <v/>
      </c>
      <c r="BF689" s="487" t="str">
        <f t="shared" si="484"/>
        <v/>
      </c>
      <c r="BG689" s="487" t="str">
        <f t="shared" si="484"/>
        <v/>
      </c>
      <c r="BH689" s="487" t="str">
        <f>IFERROR(ABS(BH687-BH688)*10000,"")</f>
        <v/>
      </c>
      <c r="BI689" s="425" t="str">
        <f>IFERROR(ABS(BI687-BI688)*10000,"")</f>
        <v/>
      </c>
      <c r="BJ689" s="981" t="str">
        <f>IFERROR(ABS(BJ687-BJ688)*10000,"")</f>
        <v/>
      </c>
      <c r="BK689" s="487"/>
      <c r="BL689" s="487"/>
      <c r="BM689" s="487"/>
      <c r="BN689" s="425"/>
      <c r="BO689" s="487"/>
      <c r="BP689" s="487"/>
      <c r="BQ689" s="487"/>
      <c r="BR689" s="487"/>
      <c r="BS689" s="425"/>
      <c r="BT689" s="425"/>
      <c r="BU689" s="425"/>
      <c r="BV689" s="425"/>
      <c r="BW689" s="118"/>
    </row>
    <row r="690" spans="1:75" hidden="1" outlineLevel="3" x14ac:dyDescent="0.5">
      <c r="A690" s="1537" t="s">
        <v>2631</v>
      </c>
      <c r="B690" s="720"/>
      <c r="C690" s="948"/>
      <c r="D690" s="948"/>
      <c r="E690" s="948"/>
      <c r="F690" s="948"/>
      <c r="G690" s="1538"/>
      <c r="H690" s="1538"/>
      <c r="I690" s="1538"/>
      <c r="J690" s="1538"/>
      <c r="K690" s="948"/>
      <c r="L690" s="1538"/>
      <c r="M690" s="1538"/>
      <c r="N690" s="1538"/>
      <c r="O690" s="1538"/>
      <c r="P690" s="948"/>
      <c r="Q690" s="1538"/>
      <c r="R690" s="1538"/>
      <c r="S690" s="1538"/>
      <c r="T690" s="1538"/>
      <c r="U690" s="948"/>
      <c r="V690" s="1538"/>
      <c r="W690" s="1538"/>
      <c r="X690" s="1538"/>
      <c r="Y690" s="1538"/>
      <c r="Z690" s="948"/>
      <c r="AA690" s="1538"/>
      <c r="AB690" s="1538"/>
      <c r="AC690" s="1538"/>
      <c r="AD690" s="1538" t="str">
        <f>IFERROR((AD686-AE644)*10000,"")</f>
        <v/>
      </c>
      <c r="AE690" s="948" t="str">
        <f>IFERROR((AE686-AE644)*10000,"")</f>
        <v/>
      </c>
      <c r="AF690" s="1538" t="str">
        <f>IFERROR((AF686-AE644)*10000,"")</f>
        <v/>
      </c>
      <c r="AG690" s="1538" t="str">
        <f>IFERROR((AG686-AE644)*10000,"")</f>
        <v/>
      </c>
      <c r="AH690" s="1538" t="str">
        <f>IFERROR((AH686-AE644)*10000,"")</f>
        <v/>
      </c>
      <c r="AI690" s="1538" t="str">
        <f>IFERROR((AI686-AJ644)*10000,"")</f>
        <v/>
      </c>
      <c r="AJ690" s="948" t="str">
        <f>IFERROR((AJ686-AJ644)*10000,"")</f>
        <v/>
      </c>
      <c r="AK690" s="1538" t="str">
        <f>IFERROR((AK686-AJ644)*10000,"")</f>
        <v/>
      </c>
      <c r="AL690" s="1538" t="str">
        <f>IFERROR((AL686-AJ644)*10000,"")</f>
        <v/>
      </c>
      <c r="AM690" s="1538" t="str">
        <f>IFERROR((AM686-AJ644)*10000,"")</f>
        <v/>
      </c>
      <c r="AN690" s="1538" t="str">
        <f>IFERROR((AN686-AO644)*10000,"")</f>
        <v/>
      </c>
      <c r="AO690" s="948" t="str">
        <f>IFERROR((AO686-AO644)*10000,"")</f>
        <v/>
      </c>
      <c r="AP690" s="1538" t="str">
        <f>IFERROR((AP686-AO644)*10000,"")</f>
        <v/>
      </c>
      <c r="AQ690" s="1538" t="str">
        <f>IFERROR((AQ686-AO644)*10000,"")</f>
        <v/>
      </c>
      <c r="AR690" s="1538" t="str">
        <f>IFERROR((AR686-AO644)*10000,"")</f>
        <v/>
      </c>
      <c r="AS690" s="1538" t="str">
        <f>IFERROR((AS686-AT644)*10000,"")</f>
        <v/>
      </c>
      <c r="AT690" s="948" t="str">
        <f>IFERROR((AT686-AT644)*10000,"")</f>
        <v/>
      </c>
      <c r="AU690" s="1538" t="str">
        <f>IFERROR((AU686-AT644)*10000,"")</f>
        <v/>
      </c>
      <c r="AV690" s="1538" t="str">
        <f>IFERROR((AV686-AT644)*10000,"")</f>
        <v/>
      </c>
      <c r="AW690" s="1538" t="str">
        <f>IFERROR((AW686-AT644)*10000,"")</f>
        <v/>
      </c>
      <c r="AX690" s="1538" t="str">
        <f>IFERROR((AX686-AY644)*10000,"")</f>
        <v/>
      </c>
      <c r="AY690" s="948" t="str">
        <f>IFERROR((AY686-AY644)*10000,"")</f>
        <v/>
      </c>
      <c r="AZ690" s="1538" t="str">
        <f>IFERROR((AZ686-AY644)*10000,"")</f>
        <v/>
      </c>
      <c r="BA690" s="1538" t="str">
        <f>IFERROR((BA686-AY644)*10000,"")</f>
        <v/>
      </c>
      <c r="BB690" s="1538" t="str">
        <f>IFERROR((BB686-AY644)*10000,"")</f>
        <v/>
      </c>
      <c r="BC690" s="1538" t="str">
        <f>IFERROR((BC686-BD644)*10000,"")</f>
        <v/>
      </c>
      <c r="BD690" s="948" t="str">
        <f>IFERROR((BD686-BD644)*10000,"")</f>
        <v/>
      </c>
      <c r="BE690" s="1538" t="str">
        <f>IFERROR((BE686-BD644)*10000,"")</f>
        <v/>
      </c>
      <c r="BF690" s="1538" t="str">
        <f>IFERROR((BF686-BD644)*10000,"")</f>
        <v/>
      </c>
      <c r="BG690" s="1538" t="str">
        <f>IFERROR((BG686-BD644)*10000,"")</f>
        <v/>
      </c>
      <c r="BH690" s="1538" t="str">
        <f>IFERROR((BH686-BI644)*10000,"")</f>
        <v/>
      </c>
      <c r="BI690" s="948" t="str">
        <f>IFERROR((BI686-BI644)*10000,"")</f>
        <v/>
      </c>
      <c r="BJ690" s="1539" t="str">
        <f>IFERROR((BJ686-BI644)*10000,"")</f>
        <v/>
      </c>
      <c r="BK690" s="1538"/>
      <c r="BL690" s="1538"/>
      <c r="BM690" s="1538"/>
      <c r="BN690" s="948"/>
      <c r="BO690" s="1538"/>
      <c r="BP690" s="1538"/>
      <c r="BQ690" s="1538"/>
      <c r="BR690" s="1538"/>
      <c r="BS690" s="948"/>
      <c r="BT690" s="948"/>
      <c r="BU690" s="948"/>
      <c r="BV690" s="948"/>
      <c r="BW690" s="118"/>
    </row>
    <row r="691" spans="1:75" hidden="1" outlineLevel="3" x14ac:dyDescent="0.5">
      <c r="A691" s="1540" t="s">
        <v>2632</v>
      </c>
      <c r="B691" s="769"/>
      <c r="C691" s="1541"/>
      <c r="D691" s="1541"/>
      <c r="E691" s="1541"/>
      <c r="F691" s="1541"/>
      <c r="G691" s="1542"/>
      <c r="H691" s="1542"/>
      <c r="I691" s="1542"/>
      <c r="J691" s="1542"/>
      <c r="K691" s="1541"/>
      <c r="L691" s="1542"/>
      <c r="M691" s="1542"/>
      <c r="N691" s="1542"/>
      <c r="O691" s="1542"/>
      <c r="P691" s="1541"/>
      <c r="Q691" s="1542"/>
      <c r="R691" s="1542"/>
      <c r="S691" s="1542"/>
      <c r="T691" s="1542"/>
      <c r="U691" s="1541"/>
      <c r="V691" s="1542"/>
      <c r="W691" s="1542"/>
      <c r="X691" s="1542"/>
      <c r="Y691" s="1542"/>
      <c r="Z691" s="1541"/>
      <c r="AA691" s="1542"/>
      <c r="AB691" s="1542"/>
      <c r="AC691" s="1542"/>
      <c r="AD691" s="1542" t="str">
        <f>IFERROR((AD687-AE644)*10000,"")</f>
        <v/>
      </c>
      <c r="AE691" s="1541" t="str">
        <f>IFERROR((AE687-AE644)*10000,"")</f>
        <v/>
      </c>
      <c r="AF691" s="1542" t="str">
        <f>IFERROR((AF687-AE644)*10000,"")</f>
        <v/>
      </c>
      <c r="AG691" s="1542" t="str">
        <f>IFERROR((AG687-AE644)*10000,"")</f>
        <v/>
      </c>
      <c r="AH691" s="1542" t="str">
        <f>IFERROR((AH687-AE644)*10000,"")</f>
        <v/>
      </c>
      <c r="AI691" s="1542" t="str">
        <f>IFERROR((AI687-AJ644)*10000,"")</f>
        <v/>
      </c>
      <c r="AJ691" s="1541" t="str">
        <f>IFERROR((AJ687-AJ644)*10000,"")</f>
        <v/>
      </c>
      <c r="AK691" s="1542" t="str">
        <f>IFERROR((AK687-AJ644)*10000,"")</f>
        <v/>
      </c>
      <c r="AL691" s="1542" t="str">
        <f>IFERROR((AL687-AJ644)*10000,"")</f>
        <v/>
      </c>
      <c r="AM691" s="1542" t="str">
        <f>IFERROR((AM687-AJ644)*10000,"")</f>
        <v/>
      </c>
      <c r="AN691" s="1542" t="str">
        <f>IFERROR((AN687-AO644)*10000,"")</f>
        <v/>
      </c>
      <c r="AO691" s="1541" t="str">
        <f>IFERROR((AO687-AO644)*10000,"")</f>
        <v/>
      </c>
      <c r="AP691" s="1542" t="str">
        <f>IFERROR((AP687-AO644)*10000,"")</f>
        <v/>
      </c>
      <c r="AQ691" s="1542" t="str">
        <f>IFERROR((AQ687-AO644)*10000,"")</f>
        <v/>
      </c>
      <c r="AR691" s="1542" t="str">
        <f>IFERROR((AR687-AO644)*10000,"")</f>
        <v/>
      </c>
      <c r="AS691" s="1542" t="str">
        <f>IFERROR((AS687-AT644)*10000,"")</f>
        <v/>
      </c>
      <c r="AT691" s="1541" t="str">
        <f>IFERROR((AT687-AT644)*10000,"")</f>
        <v/>
      </c>
      <c r="AU691" s="1542" t="str">
        <f>IFERROR((AU687-AT644)*10000,"")</f>
        <v/>
      </c>
      <c r="AV691" s="1542" t="str">
        <f>IFERROR((AV687-AT644)*10000,"")</f>
        <v/>
      </c>
      <c r="AW691" s="1542" t="str">
        <f>IFERROR((AW687-AT644)*10000,"")</f>
        <v/>
      </c>
      <c r="AX691" s="1542" t="str">
        <f>IFERROR((AX687-AY644)*10000,"")</f>
        <v/>
      </c>
      <c r="AY691" s="1541" t="str">
        <f>IFERROR((AY687-AY644)*10000,"")</f>
        <v/>
      </c>
      <c r="AZ691" s="1542" t="str">
        <f>IFERROR((AZ687-AY644)*10000,"")</f>
        <v/>
      </c>
      <c r="BA691" s="1542" t="str">
        <f>IFERROR((BA687-AY644)*10000,"")</f>
        <v/>
      </c>
      <c r="BB691" s="1542" t="str">
        <f>IFERROR((BB687-AY644)*10000,"")</f>
        <v/>
      </c>
      <c r="BC691" s="1542" t="str">
        <f>IFERROR((BC687-BD644)*10000,"")</f>
        <v/>
      </c>
      <c r="BD691" s="1541" t="str">
        <f>IFERROR((BD687-BD644)*10000,"")</f>
        <v/>
      </c>
      <c r="BE691" s="1542" t="str">
        <f>IFERROR((BE687-BD644)*10000,"")</f>
        <v/>
      </c>
      <c r="BF691" s="1542" t="str">
        <f>IFERROR((BF687-BD644)*10000,"")</f>
        <v/>
      </c>
      <c r="BG691" s="1542" t="str">
        <f>IFERROR((BG687-BD644)*10000,"")</f>
        <v/>
      </c>
      <c r="BH691" s="1542" t="str">
        <f>IFERROR((BH687-BI644)*10000,"")</f>
        <v/>
      </c>
      <c r="BI691" s="1541" t="str">
        <f>IFERROR((BI687-BI644)*10000,"")</f>
        <v/>
      </c>
      <c r="BJ691" s="1543" t="str">
        <f>IFERROR((BJ687-BI644)*10000,"")</f>
        <v/>
      </c>
      <c r="BK691" s="1542"/>
      <c r="BL691" s="1542"/>
      <c r="BM691" s="1542"/>
      <c r="BN691" s="1541"/>
      <c r="BO691" s="1542"/>
      <c r="BP691" s="1542"/>
      <c r="BQ691" s="1542"/>
      <c r="BR691" s="1542"/>
      <c r="BS691" s="1541"/>
      <c r="BT691" s="1541"/>
      <c r="BU691" s="1541"/>
      <c r="BV691" s="1541"/>
      <c r="BW691" s="118"/>
    </row>
    <row r="692" spans="1:75" hidden="1" outlineLevel="2" x14ac:dyDescent="0.5">
      <c r="A692" s="765" t="s">
        <v>2633</v>
      </c>
      <c r="B692" s="720"/>
      <c r="C692" s="948"/>
      <c r="D692" s="948"/>
      <c r="E692" s="948"/>
      <c r="F692" s="948"/>
      <c r="G692" s="1538"/>
      <c r="H692" s="1538"/>
      <c r="I692" s="1538"/>
      <c r="J692" s="1538"/>
      <c r="K692" s="948"/>
      <c r="L692" s="1538"/>
      <c r="M692" s="1538"/>
      <c r="N692" s="1538"/>
      <c r="O692" s="1538"/>
      <c r="P692" s="948"/>
      <c r="Q692" s="1538"/>
      <c r="R692" s="1538"/>
      <c r="S692" s="1538"/>
      <c r="T692" s="1538"/>
      <c r="U692" s="948"/>
      <c r="V692" s="1538"/>
      <c r="W692" s="1538"/>
      <c r="X692" s="1538"/>
      <c r="Y692" s="1538"/>
      <c r="Z692" s="948"/>
      <c r="AA692" s="1538"/>
      <c r="AB692" s="1538"/>
      <c r="AC692" s="1538"/>
      <c r="AD692" s="1538" t="str">
        <f>IFERROR((AD688-AE644)*10000,"")</f>
        <v/>
      </c>
      <c r="AE692" s="948" t="str">
        <f>IFERROR((AE688-AE644)*10000,"")</f>
        <v/>
      </c>
      <c r="AF692" s="1538" t="str">
        <f>IFERROR((AF688-AE644)*10000,"")</f>
        <v/>
      </c>
      <c r="AG692" s="1538" t="str">
        <f>IFERROR((AG688-AE644)*10000,"")</f>
        <v/>
      </c>
      <c r="AH692" s="1538" t="str">
        <f>IFERROR((AH688-AE644)*10000,"")</f>
        <v/>
      </c>
      <c r="AI692" s="1538" t="str">
        <f>IFERROR((AI688-AJ644)*10000,"")</f>
        <v/>
      </c>
      <c r="AJ692" s="948" t="str">
        <f>IFERROR((AJ688-AJ644)*10000,"")</f>
        <v/>
      </c>
      <c r="AK692" s="1538" t="str">
        <f>IFERROR((AK688-AJ644)*10000,"")</f>
        <v/>
      </c>
      <c r="AL692" s="1538" t="str">
        <f>IFERROR((AL688-AJ644)*10000,"")</f>
        <v/>
      </c>
      <c r="AM692" s="1538" t="str">
        <f>IFERROR((AM688-AJ644)*10000,"")</f>
        <v/>
      </c>
      <c r="AN692" s="1538" t="str">
        <f>IFERROR((AN688-AO644)*10000,"")</f>
        <v/>
      </c>
      <c r="AO692" s="948" t="str">
        <f>IFERROR((AO688-AO644)*10000,"")</f>
        <v/>
      </c>
      <c r="AP692" s="1538" t="str">
        <f>IFERROR((AP688-AO644)*10000,"")</f>
        <v/>
      </c>
      <c r="AQ692" s="1538" t="str">
        <f>IFERROR((AQ688-AO644)*10000,"")</f>
        <v/>
      </c>
      <c r="AR692" s="1538" t="str">
        <f>IFERROR((AR688-AO644)*10000,"")</f>
        <v/>
      </c>
      <c r="AS692" s="1538" t="str">
        <f>IFERROR((AS688-AT644)*10000,"")</f>
        <v/>
      </c>
      <c r="AT692" s="948" t="str">
        <f>IFERROR((AT688-AT644)*10000,"")</f>
        <v/>
      </c>
      <c r="AU692" s="1538" t="str">
        <f>IFERROR((AU688-AT644)*10000,"")</f>
        <v/>
      </c>
      <c r="AV692" s="1538" t="str">
        <f>IFERROR((AV688-AT644)*10000,"")</f>
        <v/>
      </c>
      <c r="AW692" s="1538" t="str">
        <f>IFERROR((AW688-AT644)*10000,"")</f>
        <v/>
      </c>
      <c r="AX692" s="1538" t="str">
        <f>IFERROR((AX688-AY644)*10000,"")</f>
        <v/>
      </c>
      <c r="AY692" s="948" t="str">
        <f>IFERROR((AY688-AY644)*10000,"")</f>
        <v/>
      </c>
      <c r="AZ692" s="1538" t="str">
        <f>IFERROR((AZ688-AY644)*10000,"")</f>
        <v/>
      </c>
      <c r="BA692" s="1538" t="str">
        <f>IFERROR((BA688-AY644)*10000,"")</f>
        <v/>
      </c>
      <c r="BB692" s="1538" t="str">
        <f>IFERROR((BB688-AY644)*10000,"")</f>
        <v/>
      </c>
      <c r="BC692" s="1538" t="str">
        <f>IFERROR((BC688-BD644)*10000,"")</f>
        <v/>
      </c>
      <c r="BD692" s="948" t="str">
        <f>IFERROR((BD688-BD644)*10000,"")</f>
        <v/>
      </c>
      <c r="BE692" s="1538" t="str">
        <f>IFERROR((BE688-BD644)*10000,"")</f>
        <v/>
      </c>
      <c r="BF692" s="1538" t="str">
        <f>IFERROR((BF688-BD644)*10000,"")</f>
        <v/>
      </c>
      <c r="BG692" s="1538" t="str">
        <f>IFERROR((BG688-BD644)*10000,"")</f>
        <v/>
      </c>
      <c r="BH692" s="1538" t="str">
        <f>IFERROR((BH688-BI644)*10000,"")</f>
        <v/>
      </c>
      <c r="BI692" s="948" t="str">
        <f>IFERROR((BI688-BI644)*10000,"")</f>
        <v/>
      </c>
      <c r="BJ692" s="1539" t="str">
        <f>IFERROR((BJ688-BI644)*10000,"")</f>
        <v/>
      </c>
      <c r="BK692" s="1538"/>
      <c r="BL692" s="1538"/>
      <c r="BM692" s="1538"/>
      <c r="BN692" s="948"/>
      <c r="BO692" s="1538"/>
      <c r="BP692" s="1538"/>
      <c r="BQ692" s="1538"/>
      <c r="BR692" s="1538"/>
      <c r="BS692" s="948"/>
      <c r="BT692" s="948"/>
      <c r="BU692" s="948"/>
      <c r="BV692" s="948"/>
      <c r="BW692" s="118"/>
    </row>
    <row r="693" spans="1:75" hidden="1" outlineLevel="1" x14ac:dyDescent="0.5">
      <c r="A693" s="1524"/>
      <c r="B693" s="513"/>
      <c r="C693" s="401"/>
      <c r="D693" s="401"/>
      <c r="E693" s="401"/>
      <c r="F693" s="401"/>
      <c r="G693" s="118"/>
      <c r="H693" s="118"/>
      <c r="I693" s="118"/>
      <c r="J693" s="118"/>
      <c r="K693" s="401"/>
      <c r="L693" s="118"/>
      <c r="M693" s="118"/>
      <c r="N693" s="118"/>
      <c r="O693" s="118"/>
      <c r="P693" s="401"/>
      <c r="Q693" s="118"/>
      <c r="R693" s="118"/>
      <c r="S693" s="118"/>
      <c r="T693" s="118"/>
      <c r="U693" s="401"/>
      <c r="V693" s="118"/>
      <c r="W693" s="118"/>
      <c r="X693" s="118"/>
      <c r="Y693" s="118"/>
      <c r="Z693" s="401"/>
      <c r="AA693" s="118"/>
      <c r="AB693" s="118"/>
      <c r="AC693" s="118"/>
      <c r="AD693" s="118"/>
      <c r="AE693" s="401"/>
      <c r="AF693" s="118"/>
      <c r="AG693" s="118"/>
      <c r="AH693" s="118"/>
      <c r="AI693" s="118"/>
      <c r="AJ693" s="401"/>
      <c r="AK693" s="118"/>
      <c r="AL693" s="118"/>
      <c r="AM693" s="118"/>
      <c r="AN693" s="118"/>
      <c r="AO693" s="401"/>
      <c r="AP693" s="118"/>
      <c r="AQ693" s="118"/>
      <c r="AR693" s="118"/>
      <c r="AS693" s="118"/>
      <c r="AT693" s="401"/>
      <c r="AU693" s="118"/>
      <c r="AV693" s="118"/>
      <c r="AW693" s="118"/>
      <c r="AX693" s="118"/>
      <c r="AY693" s="401"/>
      <c r="AZ693" s="118"/>
      <c r="BA693" s="118"/>
      <c r="BB693" s="118"/>
      <c r="BC693" s="118"/>
      <c r="BD693" s="401"/>
      <c r="BE693" s="118"/>
      <c r="BF693" s="118"/>
      <c r="BG693" s="118"/>
      <c r="BH693" s="118"/>
      <c r="BI693" s="401"/>
      <c r="BJ693" s="971"/>
      <c r="BK693" s="118"/>
      <c r="BL693" s="118"/>
      <c r="BM693" s="118"/>
      <c r="BN693" s="401"/>
      <c r="BO693" s="118"/>
      <c r="BP693" s="118"/>
      <c r="BQ693" s="118"/>
      <c r="BR693" s="118"/>
      <c r="BS693" s="401"/>
      <c r="BT693" s="401"/>
      <c r="BU693" s="401"/>
      <c r="BV693" s="401"/>
      <c r="BW693" s="118"/>
    </row>
    <row r="694" spans="1:75" collapsed="1" x14ac:dyDescent="0.5">
      <c r="A694" s="752"/>
      <c r="B694" s="513"/>
      <c r="C694" s="401"/>
      <c r="D694" s="401"/>
      <c r="E694" s="401"/>
      <c r="F694" s="401"/>
      <c r="G694" s="118"/>
      <c r="H694" s="118"/>
      <c r="I694" s="118"/>
      <c r="J694" s="118"/>
      <c r="K694" s="401"/>
      <c r="L694" s="118"/>
      <c r="M694" s="118"/>
      <c r="N694" s="118"/>
      <c r="O694" s="118"/>
      <c r="P694" s="401"/>
      <c r="Q694" s="118"/>
      <c r="R694" s="118"/>
      <c r="S694" s="118"/>
      <c r="T694" s="118"/>
      <c r="U694" s="401"/>
      <c r="V694" s="118"/>
      <c r="W694" s="118"/>
      <c r="X694" s="118"/>
      <c r="Y694" s="118"/>
      <c r="Z694" s="401"/>
      <c r="AA694" s="118"/>
      <c r="AB694" s="118"/>
      <c r="AC694" s="118"/>
      <c r="AD694" s="118"/>
      <c r="AE694" s="401"/>
      <c r="AF694" s="118"/>
      <c r="AG694" s="118"/>
      <c r="AH694" s="118"/>
      <c r="AI694" s="118"/>
      <c r="AJ694" s="401"/>
      <c r="AK694" s="118"/>
      <c r="AL694" s="118"/>
      <c r="AM694" s="118"/>
      <c r="AN694" s="118"/>
      <c r="AO694" s="401"/>
      <c r="AP694" s="118"/>
      <c r="AQ694" s="118"/>
      <c r="AR694" s="118"/>
      <c r="AS694" s="118"/>
      <c r="AT694" s="401"/>
      <c r="AU694" s="118"/>
      <c r="AV694" s="118"/>
      <c r="AW694" s="118"/>
      <c r="AX694" s="118"/>
      <c r="AY694" s="401"/>
      <c r="AZ694" s="118"/>
      <c r="BA694" s="118"/>
      <c r="BB694" s="118"/>
      <c r="BC694" s="118"/>
      <c r="BD694" s="401"/>
      <c r="BE694" s="118"/>
      <c r="BF694" s="118"/>
      <c r="BG694" s="118"/>
      <c r="BH694" s="118"/>
      <c r="BI694" s="401"/>
      <c r="BJ694" s="971"/>
      <c r="BK694" s="118"/>
      <c r="BL694" s="118"/>
      <c r="BM694" s="118"/>
      <c r="BN694" s="401"/>
      <c r="BO694" s="118"/>
      <c r="BP694" s="118"/>
      <c r="BQ694" s="118"/>
      <c r="BR694" s="118"/>
      <c r="BS694" s="401"/>
      <c r="BT694" s="401"/>
      <c r="BU694" s="401"/>
      <c r="BV694" s="401"/>
      <c r="BW694" s="122"/>
    </row>
    <row r="695" spans="1:75" x14ac:dyDescent="0.5">
      <c r="A695" s="239" t="s">
        <v>1275</v>
      </c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  <c r="AA695" s="239"/>
      <c r="AB695" s="239"/>
      <c r="AC695" s="239"/>
      <c r="AD695" s="239"/>
      <c r="AE695" s="239"/>
      <c r="AF695" s="239"/>
      <c r="AG695" s="239"/>
      <c r="AH695" s="239"/>
      <c r="AI695" s="239"/>
      <c r="AJ695" s="239"/>
      <c r="AK695" s="239"/>
      <c r="AL695" s="239"/>
      <c r="AM695" s="239"/>
      <c r="AN695" s="239"/>
      <c r="AO695" s="239"/>
      <c r="AP695" s="239"/>
      <c r="AQ695" s="239"/>
      <c r="AR695" s="239"/>
      <c r="AS695" s="239"/>
      <c r="AT695" s="239"/>
      <c r="AU695" s="239"/>
      <c r="AV695" s="239"/>
      <c r="AW695" s="239"/>
      <c r="AX695" s="239"/>
      <c r="AY695" s="239"/>
      <c r="AZ695" s="239"/>
      <c r="BA695" s="239"/>
      <c r="BB695" s="239"/>
      <c r="BC695" s="239"/>
      <c r="BD695" s="239"/>
      <c r="BE695" s="239"/>
      <c r="BF695" s="239"/>
      <c r="BG695" s="239"/>
      <c r="BH695" s="239"/>
      <c r="BI695" s="239"/>
      <c r="BJ695" s="241"/>
      <c r="BK695" s="239"/>
      <c r="BL695" s="239"/>
      <c r="BM695" s="239"/>
      <c r="BN695" s="239"/>
      <c r="BO695" s="239"/>
      <c r="BP695" s="239"/>
      <c r="BQ695" s="239"/>
      <c r="BR695" s="239"/>
      <c r="BS695" s="239"/>
      <c r="BT695" s="239"/>
      <c r="BU695" s="239"/>
      <c r="BV695" s="239"/>
      <c r="BW695" s="197"/>
    </row>
    <row r="696" spans="1:75" hidden="1" outlineLevel="1" x14ac:dyDescent="0.5">
      <c r="A696" s="122" t="s">
        <v>1276</v>
      </c>
      <c r="B696" s="513"/>
      <c r="C696" s="401"/>
      <c r="D696" s="401"/>
      <c r="E696" s="401"/>
      <c r="F696" s="674">
        <f>F845</f>
        <v>-11.61</v>
      </c>
      <c r="G696" s="122">
        <f>G845</f>
        <v>-2.8580000000000005</v>
      </c>
      <c r="H696" s="122">
        <f>H845</f>
        <v>0.39400000000000168</v>
      </c>
      <c r="I696" s="122">
        <f t="shared" ref="I696:BT696" si="485">I845</f>
        <v>0.4579999999999993</v>
      </c>
      <c r="J696" s="122">
        <f t="shared" si="485"/>
        <v>-0.30800000000000105</v>
      </c>
      <c r="K696" s="674">
        <f t="shared" si="485"/>
        <v>-2.3140000000000005</v>
      </c>
      <c r="L696" s="122">
        <f t="shared" si="485"/>
        <v>-19.199000000000002</v>
      </c>
      <c r="M696" s="122">
        <f t="shared" si="485"/>
        <v>-17.664000000000001</v>
      </c>
      <c r="N696" s="122">
        <f t="shared" si="485"/>
        <v>-17.826999999999995</v>
      </c>
      <c r="O696" s="122">
        <f t="shared" si="485"/>
        <v>-10.026000000000019</v>
      </c>
      <c r="P696" s="674">
        <f t="shared" si="485"/>
        <v>-64.716000000000022</v>
      </c>
      <c r="Q696" s="122">
        <f t="shared" si="485"/>
        <v>-12.519</v>
      </c>
      <c r="R696" s="122">
        <f t="shared" si="485"/>
        <v>-4.8239999999999998</v>
      </c>
      <c r="S696" s="122">
        <f t="shared" si="485"/>
        <v>-1.1150000000000029</v>
      </c>
      <c r="T696" s="122">
        <f t="shared" si="485"/>
        <v>4.506000000000002</v>
      </c>
      <c r="U696" s="674">
        <f t="shared" si="485"/>
        <v>-13.951999999999998</v>
      </c>
      <c r="V696" s="122">
        <f t="shared" si="485"/>
        <v>-21.158999999999995</v>
      </c>
      <c r="W696" s="122">
        <f t="shared" si="485"/>
        <v>-24.384999999999998</v>
      </c>
      <c r="X696" s="122">
        <f t="shared" si="485"/>
        <v>-31.293000000000017</v>
      </c>
      <c r="Y696" s="122">
        <f t="shared" si="485"/>
        <v>-12.232999999999986</v>
      </c>
      <c r="Z696" s="674">
        <f t="shared" si="485"/>
        <v>-89.07</v>
      </c>
      <c r="AA696" s="122">
        <f t="shared" si="485"/>
        <v>-22.803999999999998</v>
      </c>
      <c r="AB696" s="122">
        <f t="shared" si="485"/>
        <v>-3.6050000000000031</v>
      </c>
      <c r="AC696" s="122">
        <f t="shared" si="485"/>
        <v>-34.318999999999981</v>
      </c>
      <c r="AD696" s="122">
        <f t="shared" si="485"/>
        <v>-21.998000000000019</v>
      </c>
      <c r="AE696" s="674">
        <f t="shared" si="485"/>
        <v>-82.725999999999999</v>
      </c>
      <c r="AF696" s="122">
        <f t="shared" si="485"/>
        <v>-53.021000000000008</v>
      </c>
      <c r="AG696" s="122">
        <f t="shared" si="485"/>
        <v>-36.906999999999975</v>
      </c>
      <c r="AH696" s="122">
        <f t="shared" si="485"/>
        <v>-80.857000000000014</v>
      </c>
      <c r="AI696" s="122">
        <f t="shared" si="485"/>
        <v>-59.659999999999968</v>
      </c>
      <c r="AJ696" s="674">
        <f t="shared" si="485"/>
        <v>-230.44500000000002</v>
      </c>
      <c r="AK696" s="122">
        <f t="shared" si="485"/>
        <v>-102.664</v>
      </c>
      <c r="AL696" s="122">
        <f t="shared" si="485"/>
        <v>-74.073999999999998</v>
      </c>
      <c r="AM696" s="122">
        <f t="shared" si="485"/>
        <v>-142.35999999999996</v>
      </c>
      <c r="AN696" s="122">
        <f t="shared" si="485"/>
        <v>-185.196</v>
      </c>
      <c r="AO696" s="674">
        <f t="shared" si="485"/>
        <v>-504.29399999999993</v>
      </c>
      <c r="AP696" s="122">
        <f t="shared" si="485"/>
        <v>-140.679</v>
      </c>
      <c r="AQ696" s="122">
        <f t="shared" si="485"/>
        <v>437.68599999999998</v>
      </c>
      <c r="AR696" s="122">
        <f t="shared" si="485"/>
        <v>360.19200000000001</v>
      </c>
      <c r="AS696" s="122">
        <f t="shared" si="485"/>
        <v>236.64200000000005</v>
      </c>
      <c r="AT696" s="674">
        <f t="shared" si="485"/>
        <v>893.84100000000001</v>
      </c>
      <c r="AU696" s="122">
        <f t="shared" si="485"/>
        <v>185.654</v>
      </c>
      <c r="AV696" s="122">
        <f t="shared" si="485"/>
        <v>291.80699999999996</v>
      </c>
      <c r="AW696" s="122">
        <f t="shared" si="485"/>
        <v>90.974999999999994</v>
      </c>
      <c r="AX696" s="122">
        <f t="shared" si="485"/>
        <v>-8.4360000000000248</v>
      </c>
      <c r="AY696" s="674">
        <f t="shared" si="485"/>
        <v>560</v>
      </c>
      <c r="AZ696" s="122">
        <f t="shared" si="485"/>
        <v>-124</v>
      </c>
      <c r="BA696" s="122">
        <f t="shared" si="485"/>
        <v>-88</v>
      </c>
      <c r="BB696" s="122">
        <f t="shared" si="485"/>
        <v>-172</v>
      </c>
      <c r="BC696" s="122">
        <f t="shared" si="485"/>
        <v>-71</v>
      </c>
      <c r="BD696" s="674">
        <f t="shared" si="485"/>
        <v>-455</v>
      </c>
      <c r="BE696" s="122">
        <f t="shared" si="485"/>
        <v>-93</v>
      </c>
      <c r="BF696" s="122">
        <f t="shared" si="485"/>
        <v>120</v>
      </c>
      <c r="BG696" s="122">
        <f t="shared" si="485"/>
        <v>88</v>
      </c>
      <c r="BH696" s="122">
        <f t="shared" si="485"/>
        <v>88</v>
      </c>
      <c r="BI696" s="674">
        <f t="shared" si="485"/>
        <v>203</v>
      </c>
      <c r="BJ696" s="1274">
        <f>BJ845</f>
        <v>-23</v>
      </c>
      <c r="BK696" s="118">
        <f t="shared" si="485"/>
        <v>28.679627657808069</v>
      </c>
      <c r="BL696" s="118">
        <f t="shared" ca="1" si="485"/>
        <v>61.673526167613041</v>
      </c>
      <c r="BM696" s="118">
        <f t="shared" ca="1" si="485"/>
        <v>47.776651149795278</v>
      </c>
      <c r="BN696" s="401">
        <f t="shared" ca="1" si="485"/>
        <v>115.1298049752164</v>
      </c>
      <c r="BO696" s="118">
        <f t="shared" ca="1" si="485"/>
        <v>101.65362509025933</v>
      </c>
      <c r="BP696" s="118">
        <f t="shared" ca="1" si="485"/>
        <v>21.031757744163958</v>
      </c>
      <c r="BQ696" s="118">
        <f t="shared" ca="1" si="485"/>
        <v>64.477191106595356</v>
      </c>
      <c r="BR696" s="118">
        <f t="shared" ca="1" si="485"/>
        <v>50.250986507462109</v>
      </c>
      <c r="BS696" s="401">
        <f t="shared" ca="1" si="485"/>
        <v>237.41356044848067</v>
      </c>
      <c r="BT696" s="401">
        <f t="shared" ca="1" si="485"/>
        <v>457.44382641537987</v>
      </c>
      <c r="BU696" s="401">
        <f t="shared" ref="BU696:CB696" ca="1" si="486">BU845</f>
        <v>697.31348895949509</v>
      </c>
      <c r="BV696" s="401">
        <f t="shared" ca="1" si="486"/>
        <v>977.60670414235017</v>
      </c>
      <c r="BW696" s="122"/>
    </row>
    <row r="697" spans="1:75" hidden="1" outlineLevel="1" x14ac:dyDescent="0.5">
      <c r="A697" s="445" t="s">
        <v>1277</v>
      </c>
      <c r="B697" s="677"/>
      <c r="C697" s="406">
        <f t="shared" ref="C697:BN697" si="487">C698-C696</f>
        <v>0</v>
      </c>
      <c r="D697" s="406">
        <f t="shared" si="487"/>
        <v>0</v>
      </c>
      <c r="E697" s="406">
        <f t="shared" si="487"/>
        <v>0</v>
      </c>
      <c r="F697" s="406">
        <f t="shared" si="487"/>
        <v>15.555000000000001</v>
      </c>
      <c r="G697" s="723">
        <f t="shared" si="487"/>
        <v>-17.593</v>
      </c>
      <c r="H697" s="723">
        <f t="shared" si="487"/>
        <v>14.15</v>
      </c>
      <c r="I697" s="723">
        <f t="shared" si="487"/>
        <v>-0.97599999999999887</v>
      </c>
      <c r="J697" s="723">
        <f t="shared" si="487"/>
        <v>41.146000000000008</v>
      </c>
      <c r="K697" s="406">
        <f t="shared" si="487"/>
        <v>36.727000000000004</v>
      </c>
      <c r="L697" s="723">
        <f t="shared" si="487"/>
        <v>-5.2330000000000005</v>
      </c>
      <c r="M697" s="723">
        <f t="shared" si="487"/>
        <v>2.3249999999999957</v>
      </c>
      <c r="N697" s="723">
        <f t="shared" si="487"/>
        <v>6.7609999999999975</v>
      </c>
      <c r="O697" s="723">
        <f t="shared" si="487"/>
        <v>64.988</v>
      </c>
      <c r="P697" s="406">
        <f t="shared" si="487"/>
        <v>68.841000000000008</v>
      </c>
      <c r="Q697" s="723">
        <f t="shared" si="487"/>
        <v>-22.683</v>
      </c>
      <c r="R697" s="723">
        <f t="shared" si="487"/>
        <v>33.276999999999994</v>
      </c>
      <c r="S697" s="723">
        <f t="shared" si="487"/>
        <v>52.619</v>
      </c>
      <c r="T697" s="723">
        <f t="shared" si="487"/>
        <v>85.859999999999985</v>
      </c>
      <c r="U697" s="406">
        <f t="shared" si="487"/>
        <v>149.07299999999998</v>
      </c>
      <c r="V697" s="723">
        <f t="shared" si="487"/>
        <v>-30.044999999999998</v>
      </c>
      <c r="W697" s="723">
        <f t="shared" si="487"/>
        <v>49.287999999999997</v>
      </c>
      <c r="X697" s="723">
        <f t="shared" si="487"/>
        <v>46.914000000000001</v>
      </c>
      <c r="Y697" s="723">
        <f t="shared" si="487"/>
        <v>85.727000000000004</v>
      </c>
      <c r="Z697" s="406">
        <f t="shared" si="487"/>
        <v>151.88400000000001</v>
      </c>
      <c r="AA697" s="723">
        <f t="shared" si="487"/>
        <v>-23.293999999999986</v>
      </c>
      <c r="AB697" s="723">
        <f t="shared" si="487"/>
        <v>21.706</v>
      </c>
      <c r="AC697" s="723">
        <f t="shared" si="487"/>
        <v>59.070999999999998</v>
      </c>
      <c r="AD697" s="723">
        <f t="shared" si="487"/>
        <v>58.876999999999988</v>
      </c>
      <c r="AE697" s="406">
        <f t="shared" si="487"/>
        <v>116.36</v>
      </c>
      <c r="AF697" s="723">
        <f t="shared" si="487"/>
        <v>39.943999999999996</v>
      </c>
      <c r="AG697" s="723">
        <f t="shared" si="487"/>
        <v>84.510999999999996</v>
      </c>
      <c r="AH697" s="723">
        <f t="shared" si="487"/>
        <v>88.661000000000016</v>
      </c>
      <c r="AI697" s="723">
        <f t="shared" si="487"/>
        <v>102.19000000000004</v>
      </c>
      <c r="AJ697" s="406">
        <f t="shared" si="487"/>
        <v>315.30600000000004</v>
      </c>
      <c r="AK697" s="723">
        <f t="shared" si="487"/>
        <v>21.316000000000003</v>
      </c>
      <c r="AL697" s="723">
        <f t="shared" si="487"/>
        <v>71.339999999999989</v>
      </c>
      <c r="AM697" s="723">
        <f t="shared" si="487"/>
        <v>65.918999999999997</v>
      </c>
      <c r="AN697" s="723">
        <f t="shared" si="487"/>
        <v>148.90100000000001</v>
      </c>
      <c r="AO697" s="406">
        <f t="shared" si="487"/>
        <v>307.476</v>
      </c>
      <c r="AP697" s="723">
        <f t="shared" si="487"/>
        <v>-115.61100000000002</v>
      </c>
      <c r="AQ697" s="723">
        <f t="shared" si="487"/>
        <v>697.56500000000005</v>
      </c>
      <c r="AR697" s="723">
        <f t="shared" si="487"/>
        <v>-29.165000000000077</v>
      </c>
      <c r="AS697" s="723">
        <f t="shared" si="487"/>
        <v>-29.899000000000029</v>
      </c>
      <c r="AT697" s="406">
        <f t="shared" si="487"/>
        <v>522.89</v>
      </c>
      <c r="AU697" s="723">
        <f t="shared" si="487"/>
        <v>-9.0580000000000211</v>
      </c>
      <c r="AV697" s="723">
        <f t="shared" si="487"/>
        <v>-16.367999999999995</v>
      </c>
      <c r="AW697" s="723">
        <f t="shared" si="487"/>
        <v>-221.82300000000001</v>
      </c>
      <c r="AX697" s="723">
        <f t="shared" si="487"/>
        <v>97.249000000000009</v>
      </c>
      <c r="AY697" s="406">
        <f t="shared" si="487"/>
        <v>-150</v>
      </c>
      <c r="AZ697" s="723">
        <f t="shared" si="487"/>
        <v>-102</v>
      </c>
      <c r="BA697" s="723">
        <f t="shared" si="487"/>
        <v>-27</v>
      </c>
      <c r="BB697" s="723">
        <f t="shared" si="487"/>
        <v>-259</v>
      </c>
      <c r="BC697" s="723">
        <f t="shared" si="487"/>
        <v>169</v>
      </c>
      <c r="BD697" s="406">
        <f t="shared" si="487"/>
        <v>-219</v>
      </c>
      <c r="BE697" s="723">
        <f t="shared" si="487"/>
        <v>-54</v>
      </c>
      <c r="BF697" s="723">
        <f t="shared" si="487"/>
        <v>97</v>
      </c>
      <c r="BG697" s="723">
        <f t="shared" si="487"/>
        <v>33</v>
      </c>
      <c r="BH697" s="723">
        <f t="shared" si="487"/>
        <v>70</v>
      </c>
      <c r="BI697" s="406">
        <f t="shared" si="487"/>
        <v>146</v>
      </c>
      <c r="BJ697" s="1049">
        <f>BJ698-BJ696</f>
        <v>-116</v>
      </c>
      <c r="BK697" s="723">
        <f t="shared" si="487"/>
        <v>-18.036521841746506</v>
      </c>
      <c r="BL697" s="723">
        <f t="shared" ca="1" si="487"/>
        <v>93.374390654924127</v>
      </c>
      <c r="BM697" s="723">
        <f t="shared" ca="1" si="487"/>
        <v>37.713031672284608</v>
      </c>
      <c r="BN697" s="406">
        <f t="shared" ca="1" si="487"/>
        <v>-2.9490995145377923</v>
      </c>
      <c r="BO697" s="723">
        <f t="shared" ref="BO697:CF697" ca="1" si="488">BO698-BO696</f>
        <v>-92.206912247378952</v>
      </c>
      <c r="BP697" s="723">
        <f t="shared" ca="1" si="488"/>
        <v>-8.5239555437135728</v>
      </c>
      <c r="BQ697" s="723">
        <f t="shared" ca="1" si="488"/>
        <v>107.14773649897977</v>
      </c>
      <c r="BR697" s="723">
        <f t="shared" ca="1" si="488"/>
        <v>50.78145761717763</v>
      </c>
      <c r="BS697" s="406">
        <f t="shared" ca="1" si="488"/>
        <v>57.198326325064841</v>
      </c>
      <c r="BT697" s="406">
        <f t="shared" ca="1" si="488"/>
        <v>71.026258959993982</v>
      </c>
      <c r="BU697" s="406">
        <f t="shared" ca="1" si="488"/>
        <v>76.105275711964623</v>
      </c>
      <c r="BV697" s="406">
        <f t="shared" ca="1" si="488"/>
        <v>81.547487872851093</v>
      </c>
      <c r="BW697" s="122"/>
    </row>
    <row r="698" spans="1:75" collapsed="1" x14ac:dyDescent="0.5">
      <c r="A698" s="206" t="s">
        <v>1278</v>
      </c>
      <c r="B698" s="522"/>
      <c r="C698" s="397"/>
      <c r="D698" s="397"/>
      <c r="E698" s="397"/>
      <c r="F698" s="397">
        <f t="shared" ref="F698:BQ698" si="489">F853</f>
        <v>3.9450000000000021</v>
      </c>
      <c r="G698" s="295">
        <f t="shared" si="489"/>
        <v>-20.451000000000001</v>
      </c>
      <c r="H698" s="295">
        <f t="shared" si="489"/>
        <v>14.544000000000002</v>
      </c>
      <c r="I698" s="295">
        <f t="shared" si="489"/>
        <v>-0.51799999999999957</v>
      </c>
      <c r="J698" s="295">
        <f t="shared" si="489"/>
        <v>40.838000000000008</v>
      </c>
      <c r="K698" s="397">
        <f t="shared" si="489"/>
        <v>34.413000000000004</v>
      </c>
      <c r="L698" s="295">
        <f t="shared" si="489"/>
        <v>-24.432000000000002</v>
      </c>
      <c r="M698" s="295">
        <f t="shared" si="489"/>
        <v>-15.339000000000006</v>
      </c>
      <c r="N698" s="295">
        <f t="shared" si="489"/>
        <v>-11.065999999999997</v>
      </c>
      <c r="O698" s="295">
        <f t="shared" si="489"/>
        <v>54.961999999999982</v>
      </c>
      <c r="P698" s="397">
        <f t="shared" si="489"/>
        <v>4.1249999999999831</v>
      </c>
      <c r="Q698" s="295">
        <f t="shared" si="489"/>
        <v>-35.201999999999998</v>
      </c>
      <c r="R698" s="295">
        <f t="shared" si="489"/>
        <v>28.452999999999996</v>
      </c>
      <c r="S698" s="295">
        <f t="shared" si="489"/>
        <v>51.503999999999998</v>
      </c>
      <c r="T698" s="295">
        <f t="shared" si="489"/>
        <v>90.365999999999985</v>
      </c>
      <c r="U698" s="397">
        <f t="shared" si="489"/>
        <v>135.12099999999998</v>
      </c>
      <c r="V698" s="295">
        <f t="shared" si="489"/>
        <v>-51.203999999999994</v>
      </c>
      <c r="W698" s="295">
        <f t="shared" si="489"/>
        <v>24.903000000000002</v>
      </c>
      <c r="X698" s="295">
        <f t="shared" si="489"/>
        <v>15.620999999999981</v>
      </c>
      <c r="Y698" s="295">
        <f t="shared" si="489"/>
        <v>73.494000000000014</v>
      </c>
      <c r="Z698" s="397">
        <f t="shared" si="489"/>
        <v>62.814000000000014</v>
      </c>
      <c r="AA698" s="295">
        <f t="shared" si="489"/>
        <v>-46.097999999999985</v>
      </c>
      <c r="AB698" s="295">
        <f t="shared" si="489"/>
        <v>18.100999999999996</v>
      </c>
      <c r="AC698" s="295">
        <f t="shared" si="489"/>
        <v>24.75200000000002</v>
      </c>
      <c r="AD698" s="295">
        <f t="shared" si="489"/>
        <v>36.878999999999969</v>
      </c>
      <c r="AE698" s="397">
        <f t="shared" si="489"/>
        <v>33.634</v>
      </c>
      <c r="AF698" s="295">
        <f t="shared" si="489"/>
        <v>-13.077000000000012</v>
      </c>
      <c r="AG698" s="295">
        <f t="shared" si="489"/>
        <v>47.604000000000013</v>
      </c>
      <c r="AH698" s="295">
        <f t="shared" si="489"/>
        <v>7.8039999999999967</v>
      </c>
      <c r="AI698" s="295">
        <f t="shared" si="489"/>
        <v>42.530000000000072</v>
      </c>
      <c r="AJ698" s="397">
        <f t="shared" si="489"/>
        <v>84.861000000000004</v>
      </c>
      <c r="AK698" s="295">
        <f t="shared" si="489"/>
        <v>-81.347999999999999</v>
      </c>
      <c r="AL698" s="295">
        <f t="shared" si="489"/>
        <v>-2.7340000000000115</v>
      </c>
      <c r="AM698" s="295">
        <f t="shared" si="489"/>
        <v>-76.44099999999996</v>
      </c>
      <c r="AN698" s="295">
        <f t="shared" si="489"/>
        <v>-36.294999999999995</v>
      </c>
      <c r="AO698" s="397">
        <f t="shared" si="489"/>
        <v>-196.8179999999999</v>
      </c>
      <c r="AP698" s="295">
        <f t="shared" si="489"/>
        <v>-256.29000000000002</v>
      </c>
      <c r="AQ698" s="295">
        <f t="shared" si="489"/>
        <v>1135.251</v>
      </c>
      <c r="AR698" s="295">
        <f t="shared" si="489"/>
        <v>331.02699999999993</v>
      </c>
      <c r="AS698" s="295">
        <f t="shared" si="489"/>
        <v>206.74300000000002</v>
      </c>
      <c r="AT698" s="397">
        <f t="shared" si="489"/>
        <v>1416.731</v>
      </c>
      <c r="AU698" s="295">
        <f t="shared" si="489"/>
        <v>176.59599999999998</v>
      </c>
      <c r="AV698" s="295">
        <f t="shared" si="489"/>
        <v>275.43899999999996</v>
      </c>
      <c r="AW698" s="295">
        <f t="shared" si="489"/>
        <v>-130.84800000000001</v>
      </c>
      <c r="AX698" s="295">
        <f t="shared" si="489"/>
        <v>88.812999999999988</v>
      </c>
      <c r="AY698" s="397">
        <f t="shared" si="489"/>
        <v>410</v>
      </c>
      <c r="AZ698" s="295">
        <f t="shared" si="489"/>
        <v>-226</v>
      </c>
      <c r="BA698" s="295">
        <f t="shared" si="489"/>
        <v>-115</v>
      </c>
      <c r="BB698" s="295">
        <f t="shared" si="489"/>
        <v>-431</v>
      </c>
      <c r="BC698" s="295">
        <f t="shared" si="489"/>
        <v>98</v>
      </c>
      <c r="BD698" s="397">
        <f t="shared" si="489"/>
        <v>-674</v>
      </c>
      <c r="BE698" s="295">
        <f t="shared" si="489"/>
        <v>-147</v>
      </c>
      <c r="BF698" s="295">
        <f t="shared" si="489"/>
        <v>217</v>
      </c>
      <c r="BG698" s="295">
        <f t="shared" si="489"/>
        <v>121</v>
      </c>
      <c r="BH698" s="295">
        <f t="shared" si="489"/>
        <v>158</v>
      </c>
      <c r="BI698" s="397">
        <f t="shared" si="489"/>
        <v>349</v>
      </c>
      <c r="BJ698" s="1030">
        <f>BJ853</f>
        <v>-139</v>
      </c>
      <c r="BK698" s="295">
        <f t="shared" si="489"/>
        <v>10.643105816061563</v>
      </c>
      <c r="BL698" s="295">
        <f t="shared" ca="1" si="489"/>
        <v>155.04791682253716</v>
      </c>
      <c r="BM698" s="295">
        <f t="shared" ca="1" si="489"/>
        <v>85.489682822079885</v>
      </c>
      <c r="BN698" s="397">
        <f t="shared" ca="1" si="489"/>
        <v>112.18070546067861</v>
      </c>
      <c r="BO698" s="295">
        <f t="shared" ca="1" si="489"/>
        <v>9.4467128428803733</v>
      </c>
      <c r="BP698" s="295">
        <f t="shared" ca="1" si="489"/>
        <v>12.507802200450385</v>
      </c>
      <c r="BQ698" s="295">
        <f t="shared" ca="1" si="489"/>
        <v>171.62492760557512</v>
      </c>
      <c r="BR698" s="295">
        <f t="shared" ref="BR698:CI698" ca="1" si="490">BR853</f>
        <v>101.03244412463974</v>
      </c>
      <c r="BS698" s="397">
        <f t="shared" ca="1" si="490"/>
        <v>294.61188677354551</v>
      </c>
      <c r="BT698" s="397">
        <f t="shared" ca="1" si="490"/>
        <v>528.47008537537386</v>
      </c>
      <c r="BU698" s="397">
        <f t="shared" ca="1" si="490"/>
        <v>773.41876467145971</v>
      </c>
      <c r="BV698" s="397">
        <f t="shared" ca="1" si="490"/>
        <v>1059.1541920152013</v>
      </c>
      <c r="BW698" s="122"/>
    </row>
    <row r="699" spans="1:75" hidden="1" outlineLevel="1" x14ac:dyDescent="0.5">
      <c r="A699" s="843" t="s">
        <v>1279</v>
      </c>
      <c r="B699" s="737"/>
      <c r="C699" s="1544"/>
      <c r="D699" s="1544"/>
      <c r="E699" s="1545"/>
      <c r="F699" s="1545">
        <f t="shared" ref="F699:BQ699" si="491">F696/F275</f>
        <v>-0.28130457090610023</v>
      </c>
      <c r="G699" s="1546">
        <f t="shared" si="491"/>
        <v>-6.9247929685584367E-2</v>
      </c>
      <c r="H699" s="1546">
        <f t="shared" si="491"/>
        <v>9.5464255759693337E-3</v>
      </c>
      <c r="I699" s="1546">
        <f t="shared" si="491"/>
        <v>1.107159636343988E-2</v>
      </c>
      <c r="J699" s="1546">
        <f t="shared" si="491"/>
        <v>-7.4372526479638042E-3</v>
      </c>
      <c r="K699" s="1545">
        <f t="shared" si="491"/>
        <v>-5.5986291923365274E-2</v>
      </c>
      <c r="L699" s="1546">
        <f t="shared" si="491"/>
        <v>-0.46662570192546116</v>
      </c>
      <c r="M699" s="1546">
        <f t="shared" si="491"/>
        <v>-0.43598970625934014</v>
      </c>
      <c r="N699" s="1546">
        <f t="shared" si="491"/>
        <v>-0.4400365476924874</v>
      </c>
      <c r="O699" s="1546">
        <f t="shared" si="491"/>
        <v>-0.12520245184013912</v>
      </c>
      <c r="P699" s="1545">
        <f t="shared" si="491"/>
        <v>-1.2779216834001756</v>
      </c>
      <c r="Q699" s="1546">
        <f t="shared" si="491"/>
        <v>-0.15045066698714099</v>
      </c>
      <c r="R699" s="1546">
        <f t="shared" si="491"/>
        <v>-5.7701278662248966E-2</v>
      </c>
      <c r="S699" s="1546">
        <f t="shared" si="491"/>
        <v>-1.3291848461006639E-2</v>
      </c>
      <c r="T699" s="1546">
        <f t="shared" si="491"/>
        <v>5.352116021902581E-2</v>
      </c>
      <c r="U699" s="1545">
        <f t="shared" si="491"/>
        <v>-0.16663879798389986</v>
      </c>
      <c r="V699" s="1546">
        <f t="shared" si="491"/>
        <v>-0.25056545680620518</v>
      </c>
      <c r="W699" s="1546">
        <f t="shared" si="491"/>
        <v>-0.28760644446017031</v>
      </c>
      <c r="X699" s="1546">
        <f t="shared" si="491"/>
        <v>-0.36769872510428314</v>
      </c>
      <c r="Y699" s="1546">
        <f t="shared" si="491"/>
        <v>-0.1429639931281918</v>
      </c>
      <c r="Z699" s="1545">
        <f t="shared" si="491"/>
        <v>-1.0481659743224636</v>
      </c>
      <c r="AA699" s="1546">
        <f t="shared" si="491"/>
        <v>-0.26505183876516802</v>
      </c>
      <c r="AB699" s="1546">
        <f t="shared" si="491"/>
        <v>-4.1573448347441047E-2</v>
      </c>
      <c r="AC699" s="1546">
        <f t="shared" si="491"/>
        <v>-0.39319225966110216</v>
      </c>
      <c r="AD699" s="1546">
        <f t="shared" si="491"/>
        <v>-0.25028159239074804</v>
      </c>
      <c r="AE699" s="1545">
        <f t="shared" si="491"/>
        <v>-0.95105940241196552</v>
      </c>
      <c r="AF699" s="1546">
        <f t="shared" si="491"/>
        <v>-0.59933082392304482</v>
      </c>
      <c r="AG699" s="1546">
        <f t="shared" si="491"/>
        <v>-0.41395051481639311</v>
      </c>
      <c r="AH699" s="1546">
        <f t="shared" si="491"/>
        <v>-0.90049224875267297</v>
      </c>
      <c r="AI699" s="1546">
        <f t="shared" si="491"/>
        <v>-0.65962739786610614</v>
      </c>
      <c r="AJ699" s="1545">
        <f t="shared" si="491"/>
        <v>-2.5756102467811162</v>
      </c>
      <c r="AK699" s="1546">
        <f t="shared" si="491"/>
        <v>-1.126887952230418</v>
      </c>
      <c r="AL699" s="1546">
        <f t="shared" si="491"/>
        <v>-0.80688873880743328</v>
      </c>
      <c r="AM699" s="1546">
        <f t="shared" si="491"/>
        <v>-1.5383617894964334</v>
      </c>
      <c r="AN699" s="1546">
        <f t="shared" si="491"/>
        <v>-1.9845050953161667</v>
      </c>
      <c r="AO699" s="1545">
        <f t="shared" si="491"/>
        <v>-5.4695661605206061</v>
      </c>
      <c r="AP699" s="1546">
        <f t="shared" si="491"/>
        <v>-1.4951694672065809</v>
      </c>
      <c r="AQ699" s="1546">
        <f t="shared" si="491"/>
        <v>3.6494513557682686</v>
      </c>
      <c r="AR699" s="1546">
        <f t="shared" si="491"/>
        <v>3.2984615384615386</v>
      </c>
      <c r="AS699" s="1546">
        <f t="shared" si="491"/>
        <v>2.3113181747147995</v>
      </c>
      <c r="AT699" s="1545">
        <f t="shared" si="491"/>
        <v>8.9980671854394636</v>
      </c>
      <c r="AU699" s="1546">
        <f t="shared" si="491"/>
        <v>1.740256088187323</v>
      </c>
      <c r="AV699" s="1546">
        <f t="shared" si="491"/>
        <v>2.3900583166792253</v>
      </c>
      <c r="AW699" s="1546">
        <f t="shared" si="491"/>
        <v>0.87430564898994745</v>
      </c>
      <c r="AX699" s="1546">
        <f t="shared" si="491"/>
        <v>-8.0342857142857382E-2</v>
      </c>
      <c r="AY699" s="1545">
        <f t="shared" si="491"/>
        <v>5.384615384615385</v>
      </c>
      <c r="AZ699" s="1546">
        <f t="shared" si="491"/>
        <v>-1.180952380952381</v>
      </c>
      <c r="BA699" s="1546">
        <f t="shared" si="491"/>
        <v>-0.83809523809523812</v>
      </c>
      <c r="BB699" s="1546">
        <f t="shared" si="491"/>
        <v>-1.6226415094339623</v>
      </c>
      <c r="BC699" s="1546">
        <f t="shared" si="491"/>
        <v>-0.65740740740740744</v>
      </c>
      <c r="BD699" s="1545">
        <f t="shared" si="491"/>
        <v>-4.2924528301886795</v>
      </c>
      <c r="BE699" s="1546">
        <f t="shared" si="491"/>
        <v>-0.84545454545454546</v>
      </c>
      <c r="BF699" s="1546">
        <f t="shared" si="491"/>
        <v>1.0714285714285714</v>
      </c>
      <c r="BG699" s="1546">
        <f t="shared" si="491"/>
        <v>0.75862068965517238</v>
      </c>
      <c r="BH699" s="1546">
        <f t="shared" si="491"/>
        <v>0.74576271186440679</v>
      </c>
      <c r="BI699" s="1545">
        <f t="shared" si="491"/>
        <v>1.7807017543859649</v>
      </c>
      <c r="BJ699" s="1547">
        <f t="shared" si="491"/>
        <v>-0.19166666666666668</v>
      </c>
      <c r="BK699" s="1546">
        <f t="shared" ca="1" si="491"/>
        <v>0.22478816056494499</v>
      </c>
      <c r="BL699" s="1546">
        <f t="shared" ca="1" si="491"/>
        <v>0.50527654039748893</v>
      </c>
      <c r="BM699" s="1546">
        <f t="shared" ca="1" si="491"/>
        <v>0.38793136431648517</v>
      </c>
      <c r="BN699" s="1545">
        <f t="shared" ca="1" si="491"/>
        <v>0.93449218632662434</v>
      </c>
      <c r="BO699" s="1546">
        <f t="shared" ca="1" si="491"/>
        <v>0.75743808403760837</v>
      </c>
      <c r="BP699" s="1546">
        <f t="shared" ca="1" si="491"/>
        <v>0.16773837326836202</v>
      </c>
      <c r="BQ699" s="1546">
        <f t="shared" ca="1" si="491"/>
        <v>0.50964973124844881</v>
      </c>
      <c r="BR699" s="1546">
        <f t="shared" ref="BR699:DB699" ca="1" si="492">BR696/BR275</f>
        <v>0.39365803094167556</v>
      </c>
      <c r="BS699" s="1545">
        <f t="shared" ca="1" si="492"/>
        <v>1.8484552872023519</v>
      </c>
      <c r="BT699" s="1545">
        <f t="shared" ca="1" si="492"/>
        <v>3.2448866891563712</v>
      </c>
      <c r="BU699" s="1545">
        <f t="shared" ca="1" si="492"/>
        <v>4.7745239485524404</v>
      </c>
      <c r="BV699" s="1545">
        <f t="shared" ca="1" si="492"/>
        <v>6.4610994450160657</v>
      </c>
      <c r="BW699" s="742"/>
    </row>
    <row r="700" spans="1:75" collapsed="1" x14ac:dyDescent="0.5">
      <c r="A700" s="843" t="s">
        <v>1280</v>
      </c>
      <c r="B700" s="737"/>
      <c r="C700" s="1544"/>
      <c r="D700" s="1544"/>
      <c r="E700" s="1545"/>
      <c r="F700" s="1545">
        <f t="shared" ref="F700:BQ700" si="493">F698/F275</f>
        <v>9.5585403292382937E-2</v>
      </c>
      <c r="G700" s="1546">
        <f t="shared" si="493"/>
        <v>-0.49551763820849748</v>
      </c>
      <c r="H700" s="1546">
        <f t="shared" si="493"/>
        <v>0.35239394308857208</v>
      </c>
      <c r="I700" s="1546">
        <f t="shared" si="493"/>
        <v>-1.2522023834632886E-2</v>
      </c>
      <c r="J700" s="1546">
        <f t="shared" si="493"/>
        <v>0.98611208973228859</v>
      </c>
      <c r="K700" s="1545">
        <f t="shared" si="493"/>
        <v>0.83260858425184481</v>
      </c>
      <c r="L700" s="1546">
        <f t="shared" si="493"/>
        <v>-0.59381213341543138</v>
      </c>
      <c r="M700" s="1546">
        <f t="shared" si="493"/>
        <v>-0.37860315355027291</v>
      </c>
      <c r="N700" s="1546">
        <f t="shared" si="493"/>
        <v>-0.27314996560077781</v>
      </c>
      <c r="O700" s="1546">
        <f t="shared" si="493"/>
        <v>0.68635319749029622</v>
      </c>
      <c r="P700" s="1545">
        <f t="shared" si="493"/>
        <v>8.1454770752606792E-2</v>
      </c>
      <c r="Q700" s="1546">
        <f t="shared" si="493"/>
        <v>-0.42305011416897009</v>
      </c>
      <c r="R700" s="1546">
        <f t="shared" si="493"/>
        <v>0.34033467698527564</v>
      </c>
      <c r="S700" s="1546">
        <f t="shared" si="493"/>
        <v>0.61397611043559119</v>
      </c>
      <c r="T700" s="1546">
        <f t="shared" si="493"/>
        <v>1.0733451319024596</v>
      </c>
      <c r="U700" s="1545">
        <f t="shared" si="493"/>
        <v>1.6138475503427845</v>
      </c>
      <c r="V700" s="1546">
        <f t="shared" si="493"/>
        <v>-0.60635916868967965</v>
      </c>
      <c r="W700" s="1546">
        <f t="shared" si="493"/>
        <v>0.29371594366994552</v>
      </c>
      <c r="X700" s="1546">
        <f t="shared" si="493"/>
        <v>0.18354973268315586</v>
      </c>
      <c r="Y700" s="1546">
        <f t="shared" si="493"/>
        <v>0.85890588661516731</v>
      </c>
      <c r="Z700" s="1545">
        <f t="shared" si="493"/>
        <v>0.73918825093848939</v>
      </c>
      <c r="AA700" s="1546">
        <f t="shared" si="493"/>
        <v>-0.53579896787391301</v>
      </c>
      <c r="AB700" s="1546">
        <f t="shared" si="493"/>
        <v>0.2087436861406462</v>
      </c>
      <c r="AC700" s="1546">
        <f t="shared" si="493"/>
        <v>0.28358328655064585</v>
      </c>
      <c r="AD700" s="1546">
        <f t="shared" si="493"/>
        <v>0.41958972841978281</v>
      </c>
      <c r="AE700" s="1545">
        <f t="shared" si="493"/>
        <v>0.38667325799294111</v>
      </c>
      <c r="AF700" s="1546">
        <f t="shared" si="493"/>
        <v>-0.14781783037742902</v>
      </c>
      <c r="AG700" s="1546">
        <f t="shared" si="493"/>
        <v>0.53392853137127361</v>
      </c>
      <c r="AH700" s="1546">
        <f t="shared" si="493"/>
        <v>8.6911974340698459E-2</v>
      </c>
      <c r="AI700" s="1546">
        <f t="shared" si="493"/>
        <v>0.47023052683951655</v>
      </c>
      <c r="AJ700" s="1545">
        <f t="shared" si="493"/>
        <v>0.94846432403433489</v>
      </c>
      <c r="AK700" s="1546">
        <f t="shared" si="493"/>
        <v>-0.89291359325605901</v>
      </c>
      <c r="AL700" s="1546">
        <f t="shared" si="493"/>
        <v>-2.9781486242129923E-2</v>
      </c>
      <c r="AM700" s="1546">
        <f t="shared" si="493"/>
        <v>-0.826031986168143</v>
      </c>
      <c r="AN700" s="1546">
        <f t="shared" si="493"/>
        <v>-0.38892639384490091</v>
      </c>
      <c r="AO700" s="1545">
        <f t="shared" si="493"/>
        <v>-2.1346854663774391</v>
      </c>
      <c r="AP700" s="1546">
        <f t="shared" si="493"/>
        <v>-2.7239103402098017</v>
      </c>
      <c r="AQ700" s="1546">
        <f t="shared" si="493"/>
        <v>9.4657889470700063</v>
      </c>
      <c r="AR700" s="1546">
        <f t="shared" si="493"/>
        <v>3.0313827838827834</v>
      </c>
      <c r="AS700" s="1546">
        <f t="shared" si="493"/>
        <v>2.0192901234567904</v>
      </c>
      <c r="AT700" s="1545">
        <f t="shared" si="493"/>
        <v>14.261866172725167</v>
      </c>
      <c r="AU700" s="1546">
        <f t="shared" si="493"/>
        <v>1.6553495435031211</v>
      </c>
      <c r="AV700" s="1546">
        <f t="shared" si="493"/>
        <v>2.2559954788192509</v>
      </c>
      <c r="AW700" s="1546">
        <f t="shared" si="493"/>
        <v>-1.2575009129874875</v>
      </c>
      <c r="AX700" s="1546">
        <f t="shared" si="493"/>
        <v>0.84583809523809517</v>
      </c>
      <c r="AY700" s="1545">
        <f t="shared" si="493"/>
        <v>3.9423076923076925</v>
      </c>
      <c r="AZ700" s="1546">
        <f t="shared" si="493"/>
        <v>-2.1523809523809523</v>
      </c>
      <c r="BA700" s="1546">
        <f t="shared" si="493"/>
        <v>-1.0952380952380953</v>
      </c>
      <c r="BB700" s="1546">
        <f t="shared" si="493"/>
        <v>-4.0660377358490569</v>
      </c>
      <c r="BC700" s="1546">
        <f t="shared" si="493"/>
        <v>0.90740740740740744</v>
      </c>
      <c r="BD700" s="1545">
        <f t="shared" si="493"/>
        <v>-6.3584905660377355</v>
      </c>
      <c r="BE700" s="1546">
        <f t="shared" si="493"/>
        <v>-1.3363636363636364</v>
      </c>
      <c r="BF700" s="1546">
        <f t="shared" si="493"/>
        <v>1.9375</v>
      </c>
      <c r="BG700" s="1546">
        <f t="shared" si="493"/>
        <v>1.0431034482758621</v>
      </c>
      <c r="BH700" s="1546">
        <f t="shared" si="493"/>
        <v>1.3389830508474576</v>
      </c>
      <c r="BI700" s="1545">
        <f t="shared" si="493"/>
        <v>3.0614035087719298</v>
      </c>
      <c r="BJ700" s="1547">
        <f t="shared" si="493"/>
        <v>-1.1583333333333334</v>
      </c>
      <c r="BK700" s="1546">
        <f t="shared" ca="1" si="493"/>
        <v>8.3419638763657392E-2</v>
      </c>
      <c r="BL700" s="1546">
        <f t="shared" ca="1" si="493"/>
        <v>1.2702707283999826</v>
      </c>
      <c r="BM700" s="1546">
        <f t="shared" ca="1" si="493"/>
        <v>0.69414930712018197</v>
      </c>
      <c r="BN700" s="1545">
        <f t="shared" ca="1" si="493"/>
        <v>0.91055476670163271</v>
      </c>
      <c r="BO700" s="1546">
        <f t="shared" ca="1" si="493"/>
        <v>7.0389030099138244E-2</v>
      </c>
      <c r="BP700" s="1546">
        <f t="shared" ca="1" si="493"/>
        <v>9.9755732249634022E-2</v>
      </c>
      <c r="BQ700" s="1546">
        <f t="shared" ca="1" si="493"/>
        <v>1.3565820211539692</v>
      </c>
      <c r="BR700" s="1546">
        <f t="shared" ref="BR700:DB700" ca="1" si="494">BR698/BR275</f>
        <v>0.79147168602201456</v>
      </c>
      <c r="BS700" s="1545">
        <f t="shared" ca="1" si="494"/>
        <v>2.2937902062144229</v>
      </c>
      <c r="BT700" s="1545">
        <f t="shared" ca="1" si="494"/>
        <v>3.748712839977737</v>
      </c>
      <c r="BU700" s="1545">
        <f t="shared" ca="1" si="494"/>
        <v>5.2956187893250801</v>
      </c>
      <c r="BV700" s="1545">
        <f t="shared" ca="1" si="494"/>
        <v>7.0000548617549141</v>
      </c>
      <c r="BW700" s="742"/>
    </row>
    <row r="701" spans="1:75" x14ac:dyDescent="0.5">
      <c r="A701" s="743" t="s">
        <v>1281</v>
      </c>
      <c r="B701" s="744"/>
      <c r="C701" s="745"/>
      <c r="D701" s="745"/>
      <c r="E701" s="745"/>
      <c r="F701" s="745"/>
      <c r="G701" s="746"/>
      <c r="H701" s="746"/>
      <c r="I701" s="746"/>
      <c r="J701" s="746"/>
      <c r="K701" s="745"/>
      <c r="L701" s="746"/>
      <c r="M701" s="746"/>
      <c r="N701" s="746"/>
      <c r="O701" s="746"/>
      <c r="P701" s="745"/>
      <c r="Q701" s="746"/>
      <c r="R701" s="746"/>
      <c r="S701" s="746"/>
      <c r="T701" s="746"/>
      <c r="U701" s="745"/>
      <c r="V701" s="746"/>
      <c r="W701" s="746"/>
      <c r="X701" s="746"/>
      <c r="Y701" s="1548"/>
      <c r="Z701" s="748"/>
      <c r="AA701" s="746"/>
      <c r="AB701" s="746"/>
      <c r="AC701" s="746"/>
      <c r="AD701" s="1548"/>
      <c r="AE701" s="748"/>
      <c r="AF701" s="746"/>
      <c r="AG701" s="746"/>
      <c r="AH701" s="746"/>
      <c r="AI701" s="1548"/>
      <c r="AJ701" s="748"/>
      <c r="AK701" s="746"/>
      <c r="AL701" s="746"/>
      <c r="AM701" s="746"/>
      <c r="AN701" s="1548"/>
      <c r="AO701" s="748"/>
      <c r="AP701" s="746"/>
      <c r="AQ701" s="746"/>
      <c r="AR701" s="746"/>
      <c r="AS701" s="1548"/>
      <c r="AT701" s="748"/>
      <c r="AU701" s="746"/>
      <c r="AV701" s="746"/>
      <c r="AW701" s="746"/>
      <c r="AX701" s="1548"/>
      <c r="AY701" s="748"/>
      <c r="AZ701" s="746"/>
      <c r="BA701" s="746"/>
      <c r="BB701" s="746"/>
      <c r="BC701" s="1548"/>
      <c r="BD701" s="748"/>
      <c r="BE701" s="746"/>
      <c r="BF701" s="746"/>
      <c r="BG701" s="746"/>
      <c r="BH701" s="1548"/>
      <c r="BI701" s="748"/>
      <c r="BJ701" s="1296"/>
      <c r="BK701" s="746" t="str">
        <f t="shared" ref="BK701:BS701" ca="1" si="495">IFERROR(VLOOKUP($A701,tb_ConsensusEstimate,MATCH(BK$5,OFFSET(tb_ConsensusEstimate,0,0,1,COLUMNS(tb_ConsensusEstimate)),0),FALSE),"-")</f>
        <v>N/A</v>
      </c>
      <c r="BL701" s="746" t="str">
        <f t="shared" ca="1" si="495"/>
        <v>N/A</v>
      </c>
      <c r="BM701" s="746" t="str">
        <f t="shared" ca="1" si="495"/>
        <v>N/A</v>
      </c>
      <c r="BN701" s="1549" t="str">
        <f t="shared" ca="1" si="495"/>
        <v>N/A</v>
      </c>
      <c r="BO701" s="746" t="str">
        <f t="shared" ca="1" si="495"/>
        <v>N/A</v>
      </c>
      <c r="BP701" s="746" t="str">
        <f t="shared" ca="1" si="495"/>
        <v>N/A</v>
      </c>
      <c r="BQ701" s="746" t="str">
        <f t="shared" ca="1" si="495"/>
        <v>N/A</v>
      </c>
      <c r="BR701" s="746" t="str">
        <f t="shared" ca="1" si="495"/>
        <v>N/A</v>
      </c>
      <c r="BS701" s="1549" t="str">
        <f t="shared" ca="1" si="495"/>
        <v>N/A</v>
      </c>
      <c r="BT701" s="1549" t="str">
        <f ca="1">IFERROR(VLOOKUP(A701,tb_ConsensusEstimate,MATCH(BT5,OFFSET(tb_ConsensusEstimate,0,0,1,COLUMNS(tb_ConsensusEstimate)),0),FALSE),"-")</f>
        <v>N/A</v>
      </c>
      <c r="BU701" s="1549" t="str">
        <f ca="1">IFERROR(VLOOKUP(A701,tb_ConsensusEstimate,MATCH(BU5,OFFSET(tb_ConsensusEstimate,0,0,1,COLUMNS(tb_ConsensusEstimate)),0),FALSE),"-")</f>
        <v>N/A</v>
      </c>
      <c r="BV701" s="1549" t="str">
        <f ca="1">IFERROR(VLOOKUP(A701,tb_ConsensusEstimate,MATCH(BV5,OFFSET(tb_ConsensusEstimate,0,0,1,COLUMNS(tb_ConsensusEstimate)),0),FALSE),"-")</f>
        <v>N/A</v>
      </c>
      <c r="BW701" s="746"/>
    </row>
    <row r="702" spans="1:75" x14ac:dyDescent="0.5">
      <c r="A702" s="243" t="s">
        <v>1282</v>
      </c>
      <c r="B702" s="522"/>
      <c r="C702" s="397"/>
      <c r="D702" s="397"/>
      <c r="E702" s="397"/>
      <c r="F702" s="397">
        <f>F858+F859</f>
        <v>-14.98</v>
      </c>
      <c r="G702" s="295">
        <f>G858+G859</f>
        <v>-4.2320000000000002</v>
      </c>
      <c r="H702" s="295">
        <f>H858+H859</f>
        <v>-3.1360000000000001</v>
      </c>
      <c r="I702" s="295">
        <f t="shared" ref="I702:BI702" si="496">I858+I859</f>
        <v>-3.4649999999999999</v>
      </c>
      <c r="J702" s="295">
        <f t="shared" si="496"/>
        <v>-4.9459999999999988</v>
      </c>
      <c r="K702" s="397">
        <f t="shared" si="496"/>
        <v>-15.779</v>
      </c>
      <c r="L702" s="295">
        <f t="shared" si="496"/>
        <v>-14.074</v>
      </c>
      <c r="M702" s="295">
        <f t="shared" si="496"/>
        <v>-16.405000000000001</v>
      </c>
      <c r="N702" s="295">
        <f t="shared" si="496"/>
        <v>-11.332000000000001</v>
      </c>
      <c r="O702" s="295">
        <f t="shared" si="496"/>
        <v>-4.1740000000000013</v>
      </c>
      <c r="P702" s="397">
        <f t="shared" si="496"/>
        <v>-45.984999999999999</v>
      </c>
      <c r="Q702" s="295">
        <f t="shared" si="496"/>
        <v>-16.166</v>
      </c>
      <c r="R702" s="295">
        <f t="shared" si="496"/>
        <v>-17.463999999999999</v>
      </c>
      <c r="S702" s="295">
        <f t="shared" si="496"/>
        <v>-16.171999999999997</v>
      </c>
      <c r="T702" s="295">
        <f t="shared" si="496"/>
        <v>-12.382000000000005</v>
      </c>
      <c r="U702" s="397">
        <f t="shared" si="496"/>
        <v>-62.184000000000005</v>
      </c>
      <c r="V702" s="295">
        <f t="shared" si="496"/>
        <v>-29.378</v>
      </c>
      <c r="W702" s="295">
        <f t="shared" si="496"/>
        <v>-44.320999999999998</v>
      </c>
      <c r="X702" s="295">
        <f t="shared" si="496"/>
        <v>-29.588999999999992</v>
      </c>
      <c r="Y702" s="295">
        <f t="shared" si="496"/>
        <v>-24.798000000000002</v>
      </c>
      <c r="Z702" s="397">
        <f t="shared" si="496"/>
        <v>-128.08599999999998</v>
      </c>
      <c r="AA702" s="295">
        <f t="shared" si="496"/>
        <v>-22.872</v>
      </c>
      <c r="AB702" s="295">
        <f t="shared" si="496"/>
        <v>-45.326000000000001</v>
      </c>
      <c r="AC702" s="295">
        <f t="shared" si="496"/>
        <v>-43.215000000000003</v>
      </c>
      <c r="AD702" s="295">
        <f t="shared" si="496"/>
        <v>-35.465999999999987</v>
      </c>
      <c r="AE702" s="397">
        <f t="shared" si="496"/>
        <v>-146.87899999999999</v>
      </c>
      <c r="AF702" s="295">
        <f t="shared" si="496"/>
        <v>-34.516999999999996</v>
      </c>
      <c r="AG702" s="295">
        <f t="shared" si="496"/>
        <v>-55.149000000000001</v>
      </c>
      <c r="AH702" s="295">
        <f t="shared" si="496"/>
        <v>-66.606999999999999</v>
      </c>
      <c r="AI702" s="295">
        <f t="shared" si="496"/>
        <v>-65.682000000000016</v>
      </c>
      <c r="AJ702" s="397">
        <f t="shared" si="496"/>
        <v>-221.95500000000001</v>
      </c>
      <c r="AK702" s="295">
        <f t="shared" si="496"/>
        <v>-85.468999999999994</v>
      </c>
      <c r="AL702" s="295">
        <f t="shared" si="496"/>
        <v>-88.736999999999995</v>
      </c>
      <c r="AM702" s="295">
        <f t="shared" si="496"/>
        <v>-104.45899999999999</v>
      </c>
      <c r="AN702" s="295">
        <f t="shared" si="496"/>
        <v>-122.21500000000003</v>
      </c>
      <c r="AO702" s="397">
        <f t="shared" si="496"/>
        <v>-400.88</v>
      </c>
      <c r="AP702" s="295">
        <f t="shared" si="496"/>
        <v>-98.332999999999998</v>
      </c>
      <c r="AQ702" s="295">
        <f t="shared" si="496"/>
        <v>-81.649000000000001</v>
      </c>
      <c r="AR702" s="295">
        <f t="shared" si="496"/>
        <v>-75.998999999999995</v>
      </c>
      <c r="AS702" s="295">
        <f t="shared" si="496"/>
        <v>-78.453000000000003</v>
      </c>
      <c r="AT702" s="397">
        <f t="shared" si="496"/>
        <v>-334.43399999999997</v>
      </c>
      <c r="AU702" s="295">
        <f t="shared" si="496"/>
        <v>-65.406000000000006</v>
      </c>
      <c r="AV702" s="295">
        <f t="shared" si="496"/>
        <v>-68.50200000000001</v>
      </c>
      <c r="AW702" s="295">
        <f t="shared" si="496"/>
        <v>-72.318999999999988</v>
      </c>
      <c r="AX702" s="295">
        <f t="shared" si="496"/>
        <v>-73.77300000000001</v>
      </c>
      <c r="AY702" s="397">
        <f t="shared" si="496"/>
        <v>-280</v>
      </c>
      <c r="AZ702" s="295">
        <f t="shared" si="496"/>
        <v>-105</v>
      </c>
      <c r="BA702" s="295">
        <f t="shared" si="496"/>
        <v>-129</v>
      </c>
      <c r="BB702" s="295">
        <f t="shared" si="496"/>
        <v>-107</v>
      </c>
      <c r="BC702" s="295">
        <f t="shared" si="496"/>
        <v>-117</v>
      </c>
      <c r="BD702" s="397">
        <f t="shared" si="496"/>
        <v>-458</v>
      </c>
      <c r="BE702" s="295">
        <f t="shared" si="496"/>
        <v>-87</v>
      </c>
      <c r="BF702" s="295">
        <f t="shared" si="496"/>
        <v>-89</v>
      </c>
      <c r="BG702" s="295">
        <f t="shared" si="496"/>
        <v>-79</v>
      </c>
      <c r="BH702" s="295">
        <f t="shared" si="496"/>
        <v>-96</v>
      </c>
      <c r="BI702" s="397">
        <f t="shared" si="496"/>
        <v>-351</v>
      </c>
      <c r="BJ702" s="1030">
        <f>BJ858+BJ859</f>
        <v>-54</v>
      </c>
      <c r="BK702" s="295">
        <f>SUM(BK220:BK221)</f>
        <v>-95</v>
      </c>
      <c r="BL702" s="295">
        <f>SUM(BL220:BL221)</f>
        <v>-95</v>
      </c>
      <c r="BM702" s="295">
        <f>SUM(BM220:BM221)</f>
        <v>-95</v>
      </c>
      <c r="BN702" s="397">
        <f>BN858+BN859</f>
        <v>-339</v>
      </c>
      <c r="BO702" s="295">
        <f>SUM(BO220:BO221)</f>
        <v>-95</v>
      </c>
      <c r="BP702" s="295">
        <f>SUM(BP220:BP221)</f>
        <v>-95</v>
      </c>
      <c r="BQ702" s="295">
        <f>SUM(BQ220:BQ221)</f>
        <v>-95</v>
      </c>
      <c r="BR702" s="295">
        <f>SUM(BR220:BR221)</f>
        <v>-95</v>
      </c>
      <c r="BS702" s="397">
        <f>BS858+BS859</f>
        <v>-380</v>
      </c>
      <c r="BT702" s="397">
        <f>SUM(BT220:BT221)</f>
        <v>-380</v>
      </c>
      <c r="BU702" s="397">
        <f>SUM(BU220:BU221)</f>
        <v>-380</v>
      </c>
      <c r="BV702" s="397">
        <f>SUM(BV220:BV221)</f>
        <v>-380</v>
      </c>
      <c r="BW702" s="197"/>
    </row>
    <row r="703" spans="1:75" x14ac:dyDescent="0.5">
      <c r="A703" s="719" t="str">
        <f>CONCATENATE("Consensus Estimates - ",IFERROR(LEFT(A702,FIND("(",A702)-1),A702))</f>
        <v>Consensus Estimates - Capex</v>
      </c>
      <c r="B703" s="720"/>
      <c r="C703" s="414"/>
      <c r="D703" s="414"/>
      <c r="E703" s="414"/>
      <c r="F703" s="414"/>
      <c r="G703" s="413"/>
      <c r="H703" s="413"/>
      <c r="I703" s="413"/>
      <c r="J703" s="413"/>
      <c r="K703" s="414"/>
      <c r="L703" s="413"/>
      <c r="M703" s="413"/>
      <c r="N703" s="413"/>
      <c r="O703" s="413"/>
      <c r="P703" s="414"/>
      <c r="Q703" s="413"/>
      <c r="R703" s="413"/>
      <c r="S703" s="413"/>
      <c r="T703" s="413"/>
      <c r="U703" s="414"/>
      <c r="V703" s="413"/>
      <c r="W703" s="413"/>
      <c r="X703" s="413"/>
      <c r="Y703" s="410"/>
      <c r="Z703" s="201"/>
      <c r="AA703" s="413"/>
      <c r="AB703" s="413"/>
      <c r="AC703" s="413"/>
      <c r="AD703" s="410"/>
      <c r="AE703" s="201"/>
      <c r="AF703" s="413"/>
      <c r="AG703" s="413"/>
      <c r="AH703" s="413"/>
      <c r="AI703" s="410"/>
      <c r="AJ703" s="201"/>
      <c r="AK703" s="413"/>
      <c r="AL703" s="413"/>
      <c r="AM703" s="413"/>
      <c r="AN703" s="410"/>
      <c r="AO703" s="201"/>
      <c r="AP703" s="413"/>
      <c r="AQ703" s="413"/>
      <c r="AR703" s="413"/>
      <c r="AS703" s="410"/>
      <c r="AT703" s="201"/>
      <c r="AU703" s="413"/>
      <c r="AV703" s="413"/>
      <c r="AW703" s="413"/>
      <c r="AX703" s="410"/>
      <c r="AY703" s="201"/>
      <c r="AZ703" s="413"/>
      <c r="BA703" s="413"/>
      <c r="BB703" s="413"/>
      <c r="BC703" s="410"/>
      <c r="BD703" s="201"/>
      <c r="BE703" s="413"/>
      <c r="BF703" s="413"/>
      <c r="BG703" s="413"/>
      <c r="BH703" s="410"/>
      <c r="BI703" s="201"/>
      <c r="BJ703" s="1216"/>
      <c r="BK703" s="413" t="str">
        <f t="shared" ref="BK703:BS703" ca="1" si="497">IFERROR(VLOOKUP($A703,tb_ConsensusEstimate,MATCH(BK$5,OFFSET(tb_ConsensusEstimate,0,0,1,COLUMNS(tb_ConsensusEstimate)),0),FALSE),"-")</f>
        <v>N/A</v>
      </c>
      <c r="BL703" s="413" t="str">
        <f t="shared" ca="1" si="497"/>
        <v>N/A</v>
      </c>
      <c r="BM703" s="413" t="str">
        <f t="shared" ca="1" si="497"/>
        <v>N/A</v>
      </c>
      <c r="BN703" s="1328" t="str">
        <f t="shared" ca="1" si="497"/>
        <v>N/A</v>
      </c>
      <c r="BO703" s="413" t="str">
        <f t="shared" ca="1" si="497"/>
        <v>N/A</v>
      </c>
      <c r="BP703" s="413" t="str">
        <f t="shared" ca="1" si="497"/>
        <v>N/A</v>
      </c>
      <c r="BQ703" s="413" t="str">
        <f t="shared" ca="1" si="497"/>
        <v>N/A</v>
      </c>
      <c r="BR703" s="413" t="str">
        <f t="shared" ca="1" si="497"/>
        <v>N/A</v>
      </c>
      <c r="BS703" s="1328" t="str">
        <f t="shared" ca="1" si="497"/>
        <v>N/A</v>
      </c>
      <c r="BT703" s="1328" t="str">
        <f ca="1">IFERROR(VLOOKUP(A703,tb_ConsensusEstimate,MATCH(BT5,OFFSET(tb_ConsensusEstimate,0,0,1,COLUMNS(tb_ConsensusEstimate)),0),FALSE),"-")</f>
        <v>N/A</v>
      </c>
      <c r="BU703" s="1328" t="str">
        <f ca="1">IFERROR(VLOOKUP(A703,tb_ConsensusEstimate,MATCH(BU5,OFFSET(tb_ConsensusEstimate,0,0,1,COLUMNS(tb_ConsensusEstimate)),0),FALSE),"-")</f>
        <v>N/A</v>
      </c>
      <c r="BV703" s="1328" t="str">
        <f ca="1">IFERROR(VLOOKUP(A703,tb_ConsensusEstimate,MATCH(BV5,OFFSET(tb_ConsensusEstimate,0,0,1,COLUMNS(tb_ConsensusEstimate)),0),FALSE),"-")</f>
        <v>N/A</v>
      </c>
      <c r="BW703" s="413"/>
    </row>
    <row r="704" spans="1:75" x14ac:dyDescent="0.5">
      <c r="A704" s="122" t="s">
        <v>1284</v>
      </c>
      <c r="B704" s="513"/>
      <c r="C704" s="401"/>
      <c r="D704" s="401"/>
      <c r="E704" s="401"/>
      <c r="F704" s="674">
        <f>F861</f>
        <v>0</v>
      </c>
      <c r="G704" s="122">
        <f>G861</f>
        <v>0</v>
      </c>
      <c r="H704" s="122">
        <f>H861</f>
        <v>0</v>
      </c>
      <c r="I704" s="122">
        <f t="shared" ref="I704:BI704" si="498">I861</f>
        <v>-3.7410000000000001</v>
      </c>
      <c r="J704" s="122">
        <f t="shared" si="498"/>
        <v>0</v>
      </c>
      <c r="K704" s="674">
        <f t="shared" si="498"/>
        <v>-3.7410000000000001</v>
      </c>
      <c r="L704" s="122">
        <f t="shared" si="498"/>
        <v>0</v>
      </c>
      <c r="M704" s="122">
        <f t="shared" si="498"/>
        <v>0</v>
      </c>
      <c r="N704" s="122">
        <f t="shared" si="498"/>
        <v>0</v>
      </c>
      <c r="O704" s="122">
        <f t="shared" si="498"/>
        <v>0</v>
      </c>
      <c r="P704" s="674">
        <f t="shared" si="498"/>
        <v>0</v>
      </c>
      <c r="Q704" s="122">
        <f t="shared" si="498"/>
        <v>0</v>
      </c>
      <c r="R704" s="122">
        <f t="shared" si="498"/>
        <v>0</v>
      </c>
      <c r="S704" s="122">
        <f t="shared" si="498"/>
        <v>0</v>
      </c>
      <c r="T704" s="122">
        <f t="shared" si="498"/>
        <v>0</v>
      </c>
      <c r="U704" s="674">
        <f t="shared" si="498"/>
        <v>0</v>
      </c>
      <c r="V704" s="122">
        <f t="shared" si="498"/>
        <v>0</v>
      </c>
      <c r="W704" s="122">
        <f t="shared" si="498"/>
        <v>0</v>
      </c>
      <c r="X704" s="122">
        <f t="shared" si="498"/>
        <v>0</v>
      </c>
      <c r="Y704" s="122">
        <f t="shared" si="498"/>
        <v>0</v>
      </c>
      <c r="Z704" s="674">
        <f t="shared" si="498"/>
        <v>0</v>
      </c>
      <c r="AA704" s="122">
        <f t="shared" si="498"/>
        <v>0</v>
      </c>
      <c r="AB704" s="122">
        <f t="shared" si="498"/>
        <v>0</v>
      </c>
      <c r="AC704" s="122">
        <f t="shared" si="498"/>
        <v>0</v>
      </c>
      <c r="AD704" s="122">
        <f t="shared" si="498"/>
        <v>0</v>
      </c>
      <c r="AE704" s="674">
        <f t="shared" si="498"/>
        <v>0</v>
      </c>
      <c r="AF704" s="122">
        <f t="shared" si="498"/>
        <v>0</v>
      </c>
      <c r="AG704" s="122">
        <f t="shared" si="498"/>
        <v>0</v>
      </c>
      <c r="AH704" s="122">
        <f t="shared" si="498"/>
        <v>0</v>
      </c>
      <c r="AI704" s="122">
        <f t="shared" si="498"/>
        <v>0</v>
      </c>
      <c r="AJ704" s="674">
        <f t="shared" si="498"/>
        <v>0</v>
      </c>
      <c r="AK704" s="122">
        <f t="shared" si="498"/>
        <v>0</v>
      </c>
      <c r="AL704" s="122">
        <f t="shared" si="498"/>
        <v>0</v>
      </c>
      <c r="AM704" s="122">
        <f t="shared" si="498"/>
        <v>0</v>
      </c>
      <c r="AN704" s="122">
        <f t="shared" si="498"/>
        <v>0</v>
      </c>
      <c r="AO704" s="674">
        <f t="shared" si="498"/>
        <v>0</v>
      </c>
      <c r="AP704" s="122">
        <f t="shared" si="498"/>
        <v>0</v>
      </c>
      <c r="AQ704" s="122">
        <f t="shared" si="498"/>
        <v>0</v>
      </c>
      <c r="AR704" s="122">
        <f t="shared" si="498"/>
        <v>0</v>
      </c>
      <c r="AS704" s="122">
        <f t="shared" si="498"/>
        <v>0</v>
      </c>
      <c r="AT704" s="674">
        <f t="shared" si="498"/>
        <v>0</v>
      </c>
      <c r="AU704" s="122">
        <f t="shared" si="498"/>
        <v>0</v>
      </c>
      <c r="AV704" s="122">
        <f t="shared" si="498"/>
        <v>0</v>
      </c>
      <c r="AW704" s="122">
        <f t="shared" si="498"/>
        <v>0</v>
      </c>
      <c r="AX704" s="122">
        <f t="shared" si="498"/>
        <v>0</v>
      </c>
      <c r="AY704" s="674">
        <f t="shared" si="498"/>
        <v>0</v>
      </c>
      <c r="AZ704" s="122">
        <f t="shared" si="498"/>
        <v>0</v>
      </c>
      <c r="BA704" s="122">
        <f t="shared" si="498"/>
        <v>0</v>
      </c>
      <c r="BB704" s="122">
        <f t="shared" si="498"/>
        <v>0</v>
      </c>
      <c r="BC704" s="122">
        <f t="shared" si="498"/>
        <v>0</v>
      </c>
      <c r="BD704" s="674">
        <f t="shared" si="498"/>
        <v>0</v>
      </c>
      <c r="BE704" s="122">
        <f t="shared" si="498"/>
        <v>0</v>
      </c>
      <c r="BF704" s="122">
        <f t="shared" si="498"/>
        <v>0</v>
      </c>
      <c r="BG704" s="122">
        <f t="shared" si="498"/>
        <v>0</v>
      </c>
      <c r="BH704" s="122">
        <f t="shared" si="498"/>
        <v>0</v>
      </c>
      <c r="BI704" s="674">
        <f t="shared" si="498"/>
        <v>0</v>
      </c>
      <c r="BJ704" s="1274">
        <f>BJ861</f>
        <v>0</v>
      </c>
      <c r="BK704" s="302">
        <v>0</v>
      </c>
      <c r="BL704" s="302">
        <v>0</v>
      </c>
      <c r="BM704" s="302">
        <v>0</v>
      </c>
      <c r="BN704" s="401">
        <f>BN861</f>
        <v>0</v>
      </c>
      <c r="BO704" s="302">
        <v>0</v>
      </c>
      <c r="BP704" s="302">
        <v>0</v>
      </c>
      <c r="BQ704" s="302">
        <v>0</v>
      </c>
      <c r="BR704" s="302">
        <v>0</v>
      </c>
      <c r="BS704" s="401">
        <f>BS861</f>
        <v>0</v>
      </c>
      <c r="BT704" s="403">
        <v>0</v>
      </c>
      <c r="BU704" s="403">
        <v>0</v>
      </c>
      <c r="BV704" s="403">
        <v>0</v>
      </c>
      <c r="BW704" s="122"/>
    </row>
    <row r="705" spans="1:75" x14ac:dyDescent="0.5">
      <c r="A705" s="122" t="s">
        <v>1285</v>
      </c>
      <c r="B705" s="513"/>
      <c r="C705" s="401"/>
      <c r="D705" s="401"/>
      <c r="E705" s="401"/>
      <c r="F705" s="674">
        <f>F860</f>
        <v>0</v>
      </c>
      <c r="G705" s="122">
        <f>G860</f>
        <v>0</v>
      </c>
      <c r="H705" s="122">
        <f>H860</f>
        <v>0</v>
      </c>
      <c r="I705" s="122">
        <f t="shared" ref="I705:BJ705" si="499">I860</f>
        <v>0</v>
      </c>
      <c r="J705" s="122">
        <f t="shared" si="499"/>
        <v>0</v>
      </c>
      <c r="K705" s="674">
        <f t="shared" si="499"/>
        <v>0</v>
      </c>
      <c r="L705" s="122">
        <f t="shared" si="499"/>
        <v>0</v>
      </c>
      <c r="M705" s="122">
        <f t="shared" si="499"/>
        <v>0</v>
      </c>
      <c r="N705" s="122">
        <f t="shared" si="499"/>
        <v>0</v>
      </c>
      <c r="O705" s="122">
        <f t="shared" si="499"/>
        <v>0</v>
      </c>
      <c r="P705" s="674">
        <f t="shared" si="499"/>
        <v>0</v>
      </c>
      <c r="Q705" s="122">
        <f t="shared" si="499"/>
        <v>0</v>
      </c>
      <c r="R705" s="122">
        <f t="shared" si="499"/>
        <v>0</v>
      </c>
      <c r="S705" s="122">
        <f t="shared" si="499"/>
        <v>2.86</v>
      </c>
      <c r="T705" s="122">
        <f t="shared" si="499"/>
        <v>0</v>
      </c>
      <c r="U705" s="674">
        <f t="shared" si="499"/>
        <v>2.86</v>
      </c>
      <c r="V705" s="122">
        <f t="shared" si="499"/>
        <v>0</v>
      </c>
      <c r="W705" s="122">
        <f t="shared" si="499"/>
        <v>0</v>
      </c>
      <c r="X705" s="122">
        <f t="shared" si="499"/>
        <v>1.508</v>
      </c>
      <c r="Y705" s="122">
        <f t="shared" si="499"/>
        <v>0</v>
      </c>
      <c r="Z705" s="674">
        <f t="shared" si="499"/>
        <v>1.508</v>
      </c>
      <c r="AA705" s="122">
        <f t="shared" si="499"/>
        <v>0</v>
      </c>
      <c r="AB705" s="122">
        <f t="shared" si="499"/>
        <v>0</v>
      </c>
      <c r="AC705" s="122">
        <f t="shared" si="499"/>
        <v>0</v>
      </c>
      <c r="AD705" s="122">
        <f t="shared" si="499"/>
        <v>0</v>
      </c>
      <c r="AE705" s="674">
        <f t="shared" si="499"/>
        <v>0</v>
      </c>
      <c r="AF705" s="122">
        <f t="shared" si="499"/>
        <v>0</v>
      </c>
      <c r="AG705" s="122">
        <f t="shared" si="499"/>
        <v>0</v>
      </c>
      <c r="AH705" s="122">
        <f t="shared" si="499"/>
        <v>0</v>
      </c>
      <c r="AI705" s="122">
        <f t="shared" si="499"/>
        <v>0</v>
      </c>
      <c r="AJ705" s="674">
        <f t="shared" si="499"/>
        <v>0</v>
      </c>
      <c r="AK705" s="122">
        <f t="shared" si="499"/>
        <v>0</v>
      </c>
      <c r="AL705" s="122">
        <f t="shared" si="499"/>
        <v>0</v>
      </c>
      <c r="AM705" s="122">
        <f t="shared" si="499"/>
        <v>0</v>
      </c>
      <c r="AN705" s="122">
        <f t="shared" si="499"/>
        <v>0</v>
      </c>
      <c r="AO705" s="674">
        <f t="shared" si="499"/>
        <v>0</v>
      </c>
      <c r="AP705" s="122">
        <f t="shared" si="499"/>
        <v>0</v>
      </c>
      <c r="AQ705" s="122">
        <f t="shared" si="499"/>
        <v>0</v>
      </c>
      <c r="AR705" s="122">
        <f t="shared" si="499"/>
        <v>0</v>
      </c>
      <c r="AS705" s="122">
        <f t="shared" si="499"/>
        <v>0</v>
      </c>
      <c r="AT705" s="674">
        <f t="shared" si="499"/>
        <v>0</v>
      </c>
      <c r="AU705" s="122">
        <f t="shared" si="499"/>
        <v>0</v>
      </c>
      <c r="AV705" s="122">
        <f t="shared" si="499"/>
        <v>0</v>
      </c>
      <c r="AW705" s="122">
        <f t="shared" si="499"/>
        <v>0</v>
      </c>
      <c r="AX705" s="122">
        <f t="shared" si="499"/>
        <v>0</v>
      </c>
      <c r="AY705" s="674">
        <f t="shared" si="499"/>
        <v>0</v>
      </c>
      <c r="AZ705" s="122">
        <f t="shared" si="499"/>
        <v>0</v>
      </c>
      <c r="BA705" s="122">
        <f t="shared" si="499"/>
        <v>0</v>
      </c>
      <c r="BB705" s="122">
        <f t="shared" si="499"/>
        <v>0</v>
      </c>
      <c r="BC705" s="122">
        <f t="shared" si="499"/>
        <v>0</v>
      </c>
      <c r="BD705" s="674">
        <f t="shared" si="499"/>
        <v>0</v>
      </c>
      <c r="BE705" s="122">
        <f t="shared" si="499"/>
        <v>0</v>
      </c>
      <c r="BF705" s="122">
        <f t="shared" si="499"/>
        <v>0</v>
      </c>
      <c r="BG705" s="122">
        <f t="shared" si="499"/>
        <v>0</v>
      </c>
      <c r="BH705" s="122">
        <f t="shared" si="499"/>
        <v>0</v>
      </c>
      <c r="BI705" s="674">
        <f t="shared" si="499"/>
        <v>0</v>
      </c>
      <c r="BJ705" s="1274">
        <f t="shared" si="499"/>
        <v>0</v>
      </c>
      <c r="BK705" s="302">
        <v>0</v>
      </c>
      <c r="BL705" s="302">
        <v>0</v>
      </c>
      <c r="BM705" s="302">
        <v>0</v>
      </c>
      <c r="BN705" s="401">
        <f>BN860</f>
        <v>0</v>
      </c>
      <c r="BO705" s="302">
        <v>0</v>
      </c>
      <c r="BP705" s="302">
        <v>0</v>
      </c>
      <c r="BQ705" s="302">
        <v>0</v>
      </c>
      <c r="BR705" s="302">
        <v>0</v>
      </c>
      <c r="BS705" s="401">
        <f>BS860</f>
        <v>0</v>
      </c>
      <c r="BT705" s="403">
        <v>0</v>
      </c>
      <c r="BU705" s="403">
        <v>0</v>
      </c>
      <c r="BV705" s="403">
        <v>0</v>
      </c>
      <c r="BW705" s="122"/>
    </row>
    <row r="706" spans="1:75" x14ac:dyDescent="0.5">
      <c r="A706" s="122" t="s">
        <v>1286</v>
      </c>
      <c r="B706" s="513"/>
      <c r="C706" s="401"/>
      <c r="D706" s="401"/>
      <c r="E706" s="401"/>
      <c r="F706" s="674">
        <f>F880+F878</f>
        <v>0</v>
      </c>
      <c r="G706" s="122">
        <f>G880+G878</f>
        <v>0</v>
      </c>
      <c r="H706" s="122">
        <f>H880+H878</f>
        <v>0</v>
      </c>
      <c r="I706" s="122">
        <f t="shared" ref="I706:BJ706" si="500">I880+I878</f>
        <v>0</v>
      </c>
      <c r="J706" s="122">
        <f t="shared" si="500"/>
        <v>0</v>
      </c>
      <c r="K706" s="674">
        <f t="shared" si="500"/>
        <v>0</v>
      </c>
      <c r="L706" s="122">
        <f t="shared" si="500"/>
        <v>-15</v>
      </c>
      <c r="M706" s="122">
        <f t="shared" si="500"/>
        <v>0</v>
      </c>
      <c r="N706" s="122">
        <f t="shared" si="500"/>
        <v>0</v>
      </c>
      <c r="O706" s="122">
        <f t="shared" si="500"/>
        <v>-24.515999999999998</v>
      </c>
      <c r="P706" s="674">
        <f t="shared" si="500"/>
        <v>-39.515999999999998</v>
      </c>
      <c r="Q706" s="122">
        <f t="shared" si="500"/>
        <v>0</v>
      </c>
      <c r="R706" s="122">
        <f t="shared" si="500"/>
        <v>0</v>
      </c>
      <c r="S706" s="122">
        <f t="shared" si="500"/>
        <v>0</v>
      </c>
      <c r="T706" s="122">
        <f t="shared" si="500"/>
        <v>0</v>
      </c>
      <c r="U706" s="674">
        <f t="shared" si="500"/>
        <v>0</v>
      </c>
      <c r="V706" s="122">
        <f t="shared" si="500"/>
        <v>0</v>
      </c>
      <c r="W706" s="122">
        <f t="shared" si="500"/>
        <v>0</v>
      </c>
      <c r="X706" s="122">
        <f t="shared" si="500"/>
        <v>0</v>
      </c>
      <c r="Y706" s="122">
        <f t="shared" si="500"/>
        <v>0</v>
      </c>
      <c r="Z706" s="674">
        <f t="shared" si="500"/>
        <v>0</v>
      </c>
      <c r="AA706" s="122">
        <f t="shared" si="500"/>
        <v>0</v>
      </c>
      <c r="AB706" s="122">
        <f t="shared" si="500"/>
        <v>0</v>
      </c>
      <c r="AC706" s="122">
        <f t="shared" si="500"/>
        <v>0</v>
      </c>
      <c r="AD706" s="122">
        <f t="shared" si="500"/>
        <v>0</v>
      </c>
      <c r="AE706" s="674">
        <f t="shared" si="500"/>
        <v>0</v>
      </c>
      <c r="AF706" s="122">
        <f t="shared" si="500"/>
        <v>0</v>
      </c>
      <c r="AG706" s="122">
        <f t="shared" si="500"/>
        <v>0</v>
      </c>
      <c r="AH706" s="122">
        <f t="shared" si="500"/>
        <v>0</v>
      </c>
      <c r="AI706" s="122">
        <f t="shared" si="500"/>
        <v>0</v>
      </c>
      <c r="AJ706" s="674">
        <f t="shared" si="500"/>
        <v>0</v>
      </c>
      <c r="AK706" s="122">
        <f t="shared" si="500"/>
        <v>0</v>
      </c>
      <c r="AL706" s="122">
        <f t="shared" si="500"/>
        <v>0</v>
      </c>
      <c r="AM706" s="122">
        <f t="shared" si="500"/>
        <v>0</v>
      </c>
      <c r="AN706" s="122">
        <f t="shared" si="500"/>
        <v>0</v>
      </c>
      <c r="AO706" s="674">
        <f t="shared" si="500"/>
        <v>0</v>
      </c>
      <c r="AP706" s="122">
        <f t="shared" si="500"/>
        <v>0</v>
      </c>
      <c r="AQ706" s="122">
        <f t="shared" si="500"/>
        <v>0</v>
      </c>
      <c r="AR706" s="122">
        <f t="shared" si="500"/>
        <v>0</v>
      </c>
      <c r="AS706" s="122">
        <f t="shared" si="500"/>
        <v>0</v>
      </c>
      <c r="AT706" s="674">
        <f t="shared" si="500"/>
        <v>0</v>
      </c>
      <c r="AU706" s="122">
        <f t="shared" si="500"/>
        <v>0</v>
      </c>
      <c r="AV706" s="122">
        <f t="shared" si="500"/>
        <v>0</v>
      </c>
      <c r="AW706" s="122">
        <f t="shared" si="500"/>
        <v>0</v>
      </c>
      <c r="AX706" s="122">
        <f t="shared" si="500"/>
        <v>0</v>
      </c>
      <c r="AY706" s="674">
        <f t="shared" si="500"/>
        <v>0</v>
      </c>
      <c r="AZ706" s="122">
        <f t="shared" si="500"/>
        <v>0</v>
      </c>
      <c r="BA706" s="122">
        <f t="shared" si="500"/>
        <v>0</v>
      </c>
      <c r="BB706" s="122">
        <f t="shared" si="500"/>
        <v>0</v>
      </c>
      <c r="BC706" s="122">
        <f t="shared" si="500"/>
        <v>0</v>
      </c>
      <c r="BD706" s="674">
        <f t="shared" si="500"/>
        <v>0</v>
      </c>
      <c r="BE706" s="122">
        <f t="shared" si="500"/>
        <v>0</v>
      </c>
      <c r="BF706" s="122">
        <f t="shared" si="500"/>
        <v>0</v>
      </c>
      <c r="BG706" s="122">
        <f t="shared" si="500"/>
        <v>0</v>
      </c>
      <c r="BH706" s="122">
        <f t="shared" si="500"/>
        <v>0</v>
      </c>
      <c r="BI706" s="674">
        <f t="shared" si="500"/>
        <v>0</v>
      </c>
      <c r="BJ706" s="1274">
        <f t="shared" si="500"/>
        <v>0</v>
      </c>
      <c r="BK706" s="118">
        <f ca="1">BK707*-BK274</f>
        <v>0</v>
      </c>
      <c r="BL706" s="118">
        <f ca="1">BL707*-BL274</f>
        <v>0</v>
      </c>
      <c r="BM706" s="118">
        <f ca="1">BM707*-BM274</f>
        <v>0</v>
      </c>
      <c r="BN706" s="401">
        <f ca="1">BN880</f>
        <v>0</v>
      </c>
      <c r="BO706" s="118">
        <f ca="1">BO707*-BO274</f>
        <v>0</v>
      </c>
      <c r="BP706" s="118">
        <f ca="1">BP707*-BP274</f>
        <v>0</v>
      </c>
      <c r="BQ706" s="118">
        <f ca="1">BQ707*-BQ274</f>
        <v>0</v>
      </c>
      <c r="BR706" s="118">
        <f ca="1">BR707*-BR274</f>
        <v>0</v>
      </c>
      <c r="BS706" s="401">
        <f ca="1">BS880</f>
        <v>0</v>
      </c>
      <c r="BT706" s="401">
        <f ca="1">BT707*-BT274</f>
        <v>0</v>
      </c>
      <c r="BU706" s="401">
        <f ca="1">BU707*-BU274</f>
        <v>0</v>
      </c>
      <c r="BV706" s="401">
        <f ca="1">BV707*-BV274</f>
        <v>0</v>
      </c>
      <c r="BW706" s="122"/>
    </row>
    <row r="707" spans="1:75" x14ac:dyDescent="0.5">
      <c r="A707" s="1550" t="s">
        <v>1287</v>
      </c>
      <c r="B707" s="851"/>
      <c r="C707" s="856"/>
      <c r="D707" s="856"/>
      <c r="E707" s="856"/>
      <c r="F707" s="852">
        <v>0</v>
      </c>
      <c r="G707" s="853">
        <v>0</v>
      </c>
      <c r="H707" s="853">
        <v>0</v>
      </c>
      <c r="I707" s="853">
        <v>0</v>
      </c>
      <c r="J707" s="853">
        <v>0</v>
      </c>
      <c r="K707" s="854">
        <f>SUM(G707,H707,I707,J707)</f>
        <v>0</v>
      </c>
      <c r="L707" s="853">
        <v>0</v>
      </c>
      <c r="M707" s="853">
        <v>0</v>
      </c>
      <c r="N707" s="853">
        <v>0</v>
      </c>
      <c r="O707" s="853">
        <v>0</v>
      </c>
      <c r="P707" s="854">
        <f>SUM(L707,M707,N707,O707)</f>
        <v>0</v>
      </c>
      <c r="Q707" s="853">
        <v>0</v>
      </c>
      <c r="R707" s="853">
        <v>0</v>
      </c>
      <c r="S707" s="853">
        <v>0</v>
      </c>
      <c r="T707" s="853">
        <v>0</v>
      </c>
      <c r="U707" s="854">
        <f>SUM(Q707,R707,S707,T707)</f>
        <v>0</v>
      </c>
      <c r="V707" s="853">
        <v>0</v>
      </c>
      <c r="W707" s="853">
        <v>0</v>
      </c>
      <c r="X707" s="853">
        <v>0</v>
      </c>
      <c r="Y707" s="853">
        <v>0</v>
      </c>
      <c r="Z707" s="854">
        <f>SUM(V707,W707,X707,Y707)</f>
        <v>0</v>
      </c>
      <c r="AA707" s="853">
        <v>0</v>
      </c>
      <c r="AB707" s="853">
        <v>0</v>
      </c>
      <c r="AC707" s="853">
        <v>0</v>
      </c>
      <c r="AD707" s="853">
        <v>0</v>
      </c>
      <c r="AE707" s="854">
        <f>SUM(AA707,AB707,AC707,AD707)</f>
        <v>0</v>
      </c>
      <c r="AF707" s="853">
        <v>0</v>
      </c>
      <c r="AG707" s="853">
        <v>0</v>
      </c>
      <c r="AH707" s="853">
        <v>0</v>
      </c>
      <c r="AI707" s="853">
        <v>0</v>
      </c>
      <c r="AJ707" s="854">
        <f>SUM(AF707,AG707,AH707,AI707)</f>
        <v>0</v>
      </c>
      <c r="AK707" s="853">
        <v>0</v>
      </c>
      <c r="AL707" s="853">
        <v>0</v>
      </c>
      <c r="AM707" s="853">
        <v>0</v>
      </c>
      <c r="AN707" s="853">
        <v>0</v>
      </c>
      <c r="AO707" s="854">
        <f>SUM(AK707,AL707,AM707,AN707)</f>
        <v>0</v>
      </c>
      <c r="AP707" s="853">
        <v>0</v>
      </c>
      <c r="AQ707" s="853">
        <v>0</v>
      </c>
      <c r="AR707" s="853">
        <v>0</v>
      </c>
      <c r="AS707" s="853">
        <v>0</v>
      </c>
      <c r="AT707" s="854">
        <f>SUM(AP707,AQ707,AR707,AS707)</f>
        <v>0</v>
      </c>
      <c r="AU707" s="853">
        <v>0</v>
      </c>
      <c r="AV707" s="853">
        <v>0</v>
      </c>
      <c r="AW707" s="853">
        <v>0</v>
      </c>
      <c r="AX707" s="853">
        <v>0</v>
      </c>
      <c r="AY707" s="854">
        <f>SUM(AU707,AV707,AW707,AX707)</f>
        <v>0</v>
      </c>
      <c r="AZ707" s="853">
        <v>0</v>
      </c>
      <c r="BA707" s="853">
        <v>0</v>
      </c>
      <c r="BB707" s="853">
        <v>0</v>
      </c>
      <c r="BC707" s="853">
        <v>0</v>
      </c>
      <c r="BD707" s="854">
        <f>SUM(AZ707,BA707,BB707,BC707)</f>
        <v>0</v>
      </c>
      <c r="BE707" s="853">
        <v>0</v>
      </c>
      <c r="BF707" s="853">
        <v>0</v>
      </c>
      <c r="BG707" s="853">
        <v>0</v>
      </c>
      <c r="BH707" s="853">
        <v>0</v>
      </c>
      <c r="BI707" s="854">
        <f>SUM(BE707,BF707,BG707,BH707)</f>
        <v>0</v>
      </c>
      <c r="BJ707" s="1329">
        <v>0</v>
      </c>
      <c r="BK707" s="853">
        <v>0</v>
      </c>
      <c r="BL707" s="853">
        <v>0</v>
      </c>
      <c r="BM707" s="853">
        <v>0</v>
      </c>
      <c r="BN707" s="856">
        <f>SUM(BJ707,BK707,BL707,BM707)</f>
        <v>0</v>
      </c>
      <c r="BO707" s="853">
        <v>0</v>
      </c>
      <c r="BP707" s="853">
        <v>0</v>
      </c>
      <c r="BQ707" s="853">
        <v>0</v>
      </c>
      <c r="BR707" s="853">
        <v>0</v>
      </c>
      <c r="BS707" s="856">
        <f>SUM(BO707,BP707,BQ707,BR707)</f>
        <v>0</v>
      </c>
      <c r="BT707" s="852">
        <v>0</v>
      </c>
      <c r="BU707" s="852">
        <v>0</v>
      </c>
      <c r="BV707" s="852">
        <v>0</v>
      </c>
      <c r="BW707" s="857"/>
    </row>
    <row r="708" spans="1:75" x14ac:dyDescent="0.5">
      <c r="A708" s="1551"/>
      <c r="B708" s="851"/>
      <c r="C708" s="856"/>
      <c r="D708" s="856"/>
      <c r="E708" s="856"/>
      <c r="F708" s="856"/>
      <c r="G708" s="860"/>
      <c r="H708" s="860"/>
      <c r="I708" s="860"/>
      <c r="J708" s="860"/>
      <c r="K708" s="856"/>
      <c r="L708" s="860"/>
      <c r="M708" s="860"/>
      <c r="N708" s="860"/>
      <c r="O708" s="860"/>
      <c r="P708" s="856"/>
      <c r="Q708" s="860"/>
      <c r="R708" s="860"/>
      <c r="S708" s="860"/>
      <c r="T708" s="860"/>
      <c r="U708" s="856"/>
      <c r="V708" s="860"/>
      <c r="W708" s="860"/>
      <c r="X708" s="860"/>
      <c r="Y708" s="860"/>
      <c r="Z708" s="856"/>
      <c r="AA708" s="860"/>
      <c r="AB708" s="860"/>
      <c r="AC708" s="860"/>
      <c r="AD708" s="860"/>
      <c r="AE708" s="856"/>
      <c r="AF708" s="860"/>
      <c r="AG708" s="860"/>
      <c r="AH708" s="860"/>
      <c r="AI708" s="860"/>
      <c r="AJ708" s="856"/>
      <c r="AK708" s="860"/>
      <c r="AL708" s="860"/>
      <c r="AM708" s="860"/>
      <c r="AN708" s="860"/>
      <c r="AO708" s="856"/>
      <c r="AP708" s="860"/>
      <c r="AQ708" s="860"/>
      <c r="AR708" s="860"/>
      <c r="AS708" s="860"/>
      <c r="AT708" s="856"/>
      <c r="AU708" s="860"/>
      <c r="AV708" s="860"/>
      <c r="AW708" s="860"/>
      <c r="AX708" s="860"/>
      <c r="AY708" s="856"/>
      <c r="AZ708" s="860"/>
      <c r="BA708" s="860"/>
      <c r="BB708" s="860"/>
      <c r="BC708" s="860"/>
      <c r="BD708" s="856"/>
      <c r="BE708" s="860"/>
      <c r="BF708" s="860"/>
      <c r="BG708" s="860"/>
      <c r="BH708" s="860"/>
      <c r="BI708" s="856"/>
      <c r="BJ708" s="1330"/>
      <c r="BK708" s="860"/>
      <c r="BL708" s="860"/>
      <c r="BM708" s="860"/>
      <c r="BN708" s="856"/>
      <c r="BO708" s="860"/>
      <c r="BP708" s="860"/>
      <c r="BQ708" s="860"/>
      <c r="BR708" s="860"/>
      <c r="BS708" s="856"/>
      <c r="BT708" s="856"/>
      <c r="BU708" s="856"/>
      <c r="BV708" s="856"/>
      <c r="BW708" s="857"/>
    </row>
    <row r="709" spans="1:75" x14ac:dyDescent="0.5">
      <c r="A709" s="1552" t="s">
        <v>2634</v>
      </c>
      <c r="B709" s="851"/>
      <c r="C709" s="186"/>
      <c r="D709" s="186"/>
      <c r="E709" s="186"/>
      <c r="F709" s="186"/>
      <c r="G709" s="187"/>
      <c r="H709" s="187"/>
      <c r="I709" s="187"/>
      <c r="J709" s="187"/>
      <c r="K709" s="186"/>
      <c r="L709" s="187"/>
      <c r="M709" s="187"/>
      <c r="N709" s="187"/>
      <c r="O709" s="187"/>
      <c r="P709" s="186"/>
      <c r="Q709" s="187"/>
      <c r="R709" s="187"/>
      <c r="S709" s="187"/>
      <c r="T709" s="187"/>
      <c r="U709" s="186"/>
      <c r="V709" s="187"/>
      <c r="W709" s="187"/>
      <c r="X709" s="187"/>
      <c r="Y709" s="187"/>
      <c r="Z709" s="186"/>
      <c r="AA709" s="187"/>
      <c r="AB709" s="187"/>
      <c r="AC709" s="187"/>
      <c r="AD709" s="187"/>
      <c r="AE709" s="186"/>
      <c r="AF709" s="187"/>
      <c r="AG709" s="187"/>
      <c r="AH709" s="187"/>
      <c r="AI709" s="187"/>
      <c r="AJ709" s="186"/>
      <c r="AK709" s="187"/>
      <c r="AL709" s="187"/>
      <c r="AM709" s="187"/>
      <c r="AN709" s="187"/>
      <c r="AO709" s="186"/>
      <c r="AP709" s="187"/>
      <c r="AQ709" s="187"/>
      <c r="AR709" s="187"/>
      <c r="AS709" s="187"/>
      <c r="AT709" s="186"/>
      <c r="AU709" s="187"/>
      <c r="AV709" s="187"/>
      <c r="AW709" s="187"/>
      <c r="AX709" s="187"/>
      <c r="AY709" s="186"/>
      <c r="AZ709" s="187"/>
      <c r="BA709" s="187"/>
      <c r="BB709" s="187"/>
      <c r="BC709" s="187"/>
      <c r="BD709" s="186"/>
      <c r="BE709" s="187"/>
      <c r="BF709" s="187"/>
      <c r="BG709" s="187"/>
      <c r="BH709" s="187"/>
      <c r="BI709" s="186"/>
      <c r="BJ709" s="1223"/>
      <c r="BK709" s="187">
        <f>BK873+BK875</f>
        <v>0</v>
      </c>
      <c r="BL709" s="187">
        <f>BL873+BL875</f>
        <v>0</v>
      </c>
      <c r="BM709" s="187">
        <f>BM873+BM875</f>
        <v>-117</v>
      </c>
      <c r="BN709" s="186" t="str">
        <f>IF(OR(ISBLANK(BJ709),ISBLANK(BK709),ISBLANK(BL709),ISBLANK(BM709)),"n/a",SUM(BJ709,BK709,BL709,BM709))</f>
        <v>n/a</v>
      </c>
      <c r="BO709" s="187">
        <f>BO873+BO875</f>
        <v>0</v>
      </c>
      <c r="BP709" s="187">
        <f>BP873+BP875</f>
        <v>-38</v>
      </c>
      <c r="BQ709" s="187">
        <f>BQ873+BQ875</f>
        <v>0</v>
      </c>
      <c r="BR709" s="187">
        <f>BR873+BR875</f>
        <v>-754</v>
      </c>
      <c r="BS709" s="186">
        <f>IF(OR(ISBLANK(BO709),ISBLANK(BP709),ISBLANK(BQ709),ISBLANK(BR709)),"n/a",SUM(BO709,BP709,BQ709,BR709))</f>
        <v>-792</v>
      </c>
      <c r="BT709" s="186">
        <f>BT873+BT875</f>
        <v>-949</v>
      </c>
      <c r="BU709" s="186">
        <f>BU873+BU875</f>
        <v>-690</v>
      </c>
      <c r="BV709" s="186">
        <f>BV873+BV875</f>
        <v>-690</v>
      </c>
      <c r="BW709" s="857"/>
    </row>
    <row r="710" spans="1:75" x14ac:dyDescent="0.5">
      <c r="A710" s="1553" t="s">
        <v>2635</v>
      </c>
      <c r="B710" s="1554"/>
      <c r="C710" s="1555"/>
      <c r="D710" s="1555"/>
      <c r="E710" s="1555"/>
      <c r="F710" s="1555"/>
      <c r="G710" s="1556"/>
      <c r="H710" s="1556"/>
      <c r="I710" s="1556"/>
      <c r="J710" s="1556"/>
      <c r="K710" s="1555"/>
      <c r="L710" s="1556"/>
      <c r="M710" s="1556"/>
      <c r="N710" s="1556"/>
      <c r="O710" s="1556"/>
      <c r="P710" s="1555"/>
      <c r="Q710" s="1556"/>
      <c r="R710" s="1556"/>
      <c r="S710" s="1556"/>
      <c r="T710" s="1556"/>
      <c r="U710" s="1555"/>
      <c r="V710" s="1556"/>
      <c r="W710" s="1556"/>
      <c r="X710" s="1556"/>
      <c r="Y710" s="1556"/>
      <c r="Z710" s="1555"/>
      <c r="AA710" s="1556"/>
      <c r="AB710" s="1556"/>
      <c r="AC710" s="1556"/>
      <c r="AD710" s="1556"/>
      <c r="AE710" s="1555"/>
      <c r="AF710" s="1556"/>
      <c r="AG710" s="1556"/>
      <c r="AH710" s="1556"/>
      <c r="AI710" s="1556"/>
      <c r="AJ710" s="1555"/>
      <c r="AK710" s="1556"/>
      <c r="AL710" s="1556"/>
      <c r="AM710" s="1556"/>
      <c r="AN710" s="1556"/>
      <c r="AO710" s="1555"/>
      <c r="AP710" s="1556"/>
      <c r="AQ710" s="1556"/>
      <c r="AR710" s="1556"/>
      <c r="AS710" s="1556"/>
      <c r="AT710" s="1555"/>
      <c r="AU710" s="1556"/>
      <c r="AV710" s="1556"/>
      <c r="AW710" s="1556"/>
      <c r="AX710" s="1556"/>
      <c r="AY710" s="1555"/>
      <c r="AZ710" s="1556"/>
      <c r="BA710" s="1556"/>
      <c r="BB710" s="1556"/>
      <c r="BC710" s="1556"/>
      <c r="BD710" s="1555"/>
      <c r="BE710" s="1556"/>
      <c r="BF710" s="1556"/>
      <c r="BG710" s="1556"/>
      <c r="BH710" s="1556"/>
      <c r="BI710" s="1555"/>
      <c r="BJ710" s="1557"/>
      <c r="BK710" s="1558">
        <v>0</v>
      </c>
      <c r="BL710" s="1558">
        <v>0</v>
      </c>
      <c r="BM710" s="1558">
        <v>0</v>
      </c>
      <c r="BN710" s="1555" t="str">
        <f>IF(OR(ISBLANK(BJ710),ISBLANK(BK710),ISBLANK(BL710),ISBLANK(BM710)),"n/a",SUM(BJ710,BK710,BL710,BM710))</f>
        <v>n/a</v>
      </c>
      <c r="BO710" s="1558">
        <v>0</v>
      </c>
      <c r="BP710" s="1558">
        <v>0</v>
      </c>
      <c r="BQ710" s="1558">
        <v>0</v>
      </c>
      <c r="BR710" s="1558">
        <v>0</v>
      </c>
      <c r="BS710" s="1555">
        <f>IF(OR(ISBLANK(BO710),ISBLANK(BP710),ISBLANK(BQ710),ISBLANK(BR710)),"n/a",SUM(BO710,BP710,BQ710,BR710))</f>
        <v>0</v>
      </c>
      <c r="BT710" s="1559">
        <v>1000</v>
      </c>
      <c r="BU710" s="1559">
        <v>1000</v>
      </c>
      <c r="BV710" s="1559">
        <v>1000</v>
      </c>
      <c r="BW710" s="857"/>
    </row>
    <row r="711" spans="1:75" x14ac:dyDescent="0.5">
      <c r="A711" s="1551" t="s">
        <v>1288</v>
      </c>
      <c r="B711" s="851"/>
      <c r="C711" s="401"/>
      <c r="D711" s="401"/>
      <c r="E711" s="401"/>
      <c r="F711" s="401">
        <f t="shared" ref="F711:BI711" si="501">F869+F870+F871+F872+F875+F874+F873</f>
        <v>0</v>
      </c>
      <c r="G711" s="118">
        <f t="shared" si="501"/>
        <v>0</v>
      </c>
      <c r="H711" s="118">
        <f t="shared" si="501"/>
        <v>0</v>
      </c>
      <c r="I711" s="118">
        <f t="shared" si="501"/>
        <v>0</v>
      </c>
      <c r="J711" s="118">
        <f t="shared" si="501"/>
        <v>0</v>
      </c>
      <c r="K711" s="401">
        <f t="shared" si="501"/>
        <v>0</v>
      </c>
      <c r="L711" s="118">
        <f t="shared" si="501"/>
        <v>0</v>
      </c>
      <c r="M711" s="118">
        <f t="shared" si="501"/>
        <v>0</v>
      </c>
      <c r="N711" s="118">
        <f t="shared" si="501"/>
        <v>0</v>
      </c>
      <c r="O711" s="118">
        <f t="shared" si="501"/>
        <v>0</v>
      </c>
      <c r="P711" s="401">
        <f t="shared" si="501"/>
        <v>0</v>
      </c>
      <c r="Q711" s="118">
        <f t="shared" si="501"/>
        <v>0</v>
      </c>
      <c r="R711" s="118">
        <f t="shared" si="501"/>
        <v>0</v>
      </c>
      <c r="S711" s="118">
        <f t="shared" si="501"/>
        <v>0</v>
      </c>
      <c r="T711" s="118">
        <f t="shared" si="501"/>
        <v>0</v>
      </c>
      <c r="U711" s="401">
        <f t="shared" si="501"/>
        <v>0</v>
      </c>
      <c r="V711" s="118">
        <f t="shared" si="501"/>
        <v>0</v>
      </c>
      <c r="W711" s="118">
        <f t="shared" si="501"/>
        <v>0</v>
      </c>
      <c r="X711" s="118">
        <f t="shared" si="501"/>
        <v>0</v>
      </c>
      <c r="Y711" s="118">
        <f t="shared" si="501"/>
        <v>0</v>
      </c>
      <c r="Z711" s="401">
        <f t="shared" si="501"/>
        <v>0</v>
      </c>
      <c r="AA711" s="118">
        <f t="shared" si="501"/>
        <v>0</v>
      </c>
      <c r="AB711" s="118">
        <f t="shared" si="501"/>
        <v>0</v>
      </c>
      <c r="AC711" s="118">
        <f t="shared" si="501"/>
        <v>376.28899999999999</v>
      </c>
      <c r="AD711" s="118">
        <f t="shared" si="501"/>
        <v>0</v>
      </c>
      <c r="AE711" s="401">
        <f t="shared" si="501"/>
        <v>376.28899999999999</v>
      </c>
      <c r="AF711" s="118">
        <f t="shared" si="501"/>
        <v>0</v>
      </c>
      <c r="AG711" s="118">
        <f t="shared" si="501"/>
        <v>0</v>
      </c>
      <c r="AH711" s="118">
        <f t="shared" si="501"/>
        <v>0</v>
      </c>
      <c r="AI711" s="118">
        <f t="shared" si="501"/>
        <v>468.60900000000004</v>
      </c>
      <c r="AJ711" s="401">
        <f t="shared" si="501"/>
        <v>468.60900000000004</v>
      </c>
      <c r="AK711" s="118">
        <f t="shared" si="501"/>
        <v>-0.79100000000000004</v>
      </c>
      <c r="AL711" s="118">
        <f t="shared" si="501"/>
        <v>0</v>
      </c>
      <c r="AM711" s="118">
        <f t="shared" si="501"/>
        <v>789.41799999999989</v>
      </c>
      <c r="AN711" s="118">
        <f t="shared" si="501"/>
        <v>0</v>
      </c>
      <c r="AO711" s="401">
        <f t="shared" si="501"/>
        <v>788.62699999999995</v>
      </c>
      <c r="AP711" s="118">
        <f t="shared" si="501"/>
        <v>100</v>
      </c>
      <c r="AQ711" s="118">
        <f t="shared" si="501"/>
        <v>427.423</v>
      </c>
      <c r="AR711" s="118">
        <f t="shared" si="501"/>
        <v>204.9620000000001</v>
      </c>
      <c r="AS711" s="118">
        <f t="shared" si="501"/>
        <v>0</v>
      </c>
      <c r="AT711" s="401">
        <f t="shared" si="501"/>
        <v>732.38499999999988</v>
      </c>
      <c r="AU711" s="118">
        <f t="shared" si="501"/>
        <v>0</v>
      </c>
      <c r="AV711" s="118">
        <f t="shared" si="501"/>
        <v>0</v>
      </c>
      <c r="AW711" s="118">
        <f t="shared" si="501"/>
        <v>0</v>
      </c>
      <c r="AX711" s="118">
        <f t="shared" si="501"/>
        <v>0</v>
      </c>
      <c r="AY711" s="401">
        <f t="shared" si="501"/>
        <v>0</v>
      </c>
      <c r="AZ711" s="118">
        <f t="shared" si="501"/>
        <v>0</v>
      </c>
      <c r="BA711" s="118">
        <f t="shared" si="501"/>
        <v>0</v>
      </c>
      <c r="BB711" s="118">
        <f t="shared" si="501"/>
        <v>91</v>
      </c>
      <c r="BC711" s="118">
        <f t="shared" si="501"/>
        <v>0</v>
      </c>
      <c r="BD711" s="401">
        <f t="shared" si="501"/>
        <v>91</v>
      </c>
      <c r="BE711" s="118">
        <f t="shared" si="501"/>
        <v>0</v>
      </c>
      <c r="BF711" s="118">
        <f t="shared" si="501"/>
        <v>77</v>
      </c>
      <c r="BG711" s="118">
        <f t="shared" si="501"/>
        <v>0</v>
      </c>
      <c r="BH711" s="118">
        <f t="shared" si="501"/>
        <v>0</v>
      </c>
      <c r="BI711" s="401">
        <f t="shared" si="501"/>
        <v>77</v>
      </c>
      <c r="BJ711" s="971">
        <f>BJ869+BJ870+BJ871+BJ872+BJ875+BJ874+BJ873</f>
        <v>0</v>
      </c>
      <c r="BK711" s="118">
        <f>SUM(BK709:BK710)</f>
        <v>0</v>
      </c>
      <c r="BL711" s="118">
        <f>SUM(BL709:BL710)</f>
        <v>0</v>
      </c>
      <c r="BM711" s="118">
        <f>SUM(BM709:BM710)</f>
        <v>-117</v>
      </c>
      <c r="BN711" s="401">
        <f>BN869+BN870+BN871+BN872+BN875+BN874+BN873</f>
        <v>-117</v>
      </c>
      <c r="BO711" s="118">
        <f>SUM(BO709:BO710)</f>
        <v>0</v>
      </c>
      <c r="BP711" s="118">
        <f>SUM(BP709:BP710)</f>
        <v>-38</v>
      </c>
      <c r="BQ711" s="118">
        <f>SUM(BQ709:BQ710)</f>
        <v>0</v>
      </c>
      <c r="BR711" s="118">
        <f>SUM(BR709:BR710)</f>
        <v>-754</v>
      </c>
      <c r="BS711" s="401">
        <f>BS869+BS870+BS871+BS872+BS875+BS874+BS873</f>
        <v>-792</v>
      </c>
      <c r="BT711" s="401">
        <f>SUM(BT709:BT710)</f>
        <v>51</v>
      </c>
      <c r="BU711" s="401">
        <f>SUM(BU709:BU710)</f>
        <v>310</v>
      </c>
      <c r="BV711" s="401">
        <f>SUM(BV709:BV710)</f>
        <v>310</v>
      </c>
      <c r="BW711" s="857"/>
    </row>
    <row r="712" spans="1:75" x14ac:dyDescent="0.5">
      <c r="A712" s="1550" t="s">
        <v>1289</v>
      </c>
      <c r="B712" s="851"/>
      <c r="C712" s="401"/>
      <c r="D712" s="401"/>
      <c r="E712" s="401"/>
      <c r="F712" s="674">
        <f>F866+F867+F868+F876+F877+F879+F881+F883</f>
        <v>44.944000000000003</v>
      </c>
      <c r="G712" s="122">
        <f>G866+G867+G868+G876+G877+G879+G881+G883</f>
        <v>0</v>
      </c>
      <c r="H712" s="122">
        <f>H866+H867+H868+H876+H877+H879+H881+H883</f>
        <v>0</v>
      </c>
      <c r="I712" s="122">
        <f t="shared" ref="I712:BI712" si="502">I866+I867+I868+I876+I877+I879+I881+I883</f>
        <v>0</v>
      </c>
      <c r="J712" s="122">
        <f t="shared" si="502"/>
        <v>0</v>
      </c>
      <c r="K712" s="674">
        <f t="shared" si="502"/>
        <v>0</v>
      </c>
      <c r="L712" s="122">
        <f t="shared" si="502"/>
        <v>126.72</v>
      </c>
      <c r="M712" s="122">
        <f t="shared" si="502"/>
        <v>-0.97399999999999931</v>
      </c>
      <c r="N712" s="122">
        <f t="shared" si="502"/>
        <v>0</v>
      </c>
      <c r="O712" s="122">
        <f t="shared" si="502"/>
        <v>254.91999999999996</v>
      </c>
      <c r="P712" s="674">
        <f t="shared" si="502"/>
        <v>380.66599999999994</v>
      </c>
      <c r="Q712" s="122">
        <f t="shared" si="502"/>
        <v>-4.2360000000000007</v>
      </c>
      <c r="R712" s="122">
        <f t="shared" si="502"/>
        <v>-3.3289999999999993</v>
      </c>
      <c r="S712" s="122">
        <f t="shared" si="502"/>
        <v>-4.9599999999999991</v>
      </c>
      <c r="T712" s="122">
        <f t="shared" si="502"/>
        <v>-6.0910000000000011</v>
      </c>
      <c r="U712" s="674">
        <f t="shared" si="502"/>
        <v>-18.616</v>
      </c>
      <c r="V712" s="122">
        <f t="shared" si="502"/>
        <v>-6.57</v>
      </c>
      <c r="W712" s="122">
        <f t="shared" si="502"/>
        <v>-5.6740000000000004</v>
      </c>
      <c r="X712" s="122">
        <f t="shared" si="502"/>
        <v>-6.0159999999999982</v>
      </c>
      <c r="Y712" s="122">
        <f t="shared" si="502"/>
        <v>-2.6230000000000002</v>
      </c>
      <c r="Z712" s="674">
        <f t="shared" si="502"/>
        <v>-20.882999999999999</v>
      </c>
      <c r="AA712" s="122">
        <f t="shared" si="502"/>
        <v>-0.53799999999999992</v>
      </c>
      <c r="AB712" s="122">
        <f t="shared" si="502"/>
        <v>-0.55200000000000005</v>
      </c>
      <c r="AC712" s="122">
        <f t="shared" si="502"/>
        <v>2.6000000000000079E-2</v>
      </c>
      <c r="AD712" s="122">
        <f t="shared" si="502"/>
        <v>-0.25400000000000011</v>
      </c>
      <c r="AE712" s="674">
        <f t="shared" si="502"/>
        <v>-1.3180000000000001</v>
      </c>
      <c r="AF712" s="122">
        <f t="shared" si="502"/>
        <v>-0.36199999999999999</v>
      </c>
      <c r="AG712" s="122">
        <f t="shared" si="502"/>
        <v>-0.19900000000000001</v>
      </c>
      <c r="AH712" s="122">
        <f t="shared" si="502"/>
        <v>-0.43199999999999994</v>
      </c>
      <c r="AI712" s="122">
        <f t="shared" si="502"/>
        <v>-0.15300000000000002</v>
      </c>
      <c r="AJ712" s="674">
        <f t="shared" si="502"/>
        <v>-1.1459999999999999</v>
      </c>
      <c r="AK712" s="122">
        <f t="shared" si="502"/>
        <v>-9.8000000000000004E-2</v>
      </c>
      <c r="AL712" s="122">
        <f t="shared" si="502"/>
        <v>-0.246</v>
      </c>
      <c r="AM712" s="122">
        <f t="shared" si="502"/>
        <v>-1.0760000000000001</v>
      </c>
      <c r="AN712" s="122">
        <f t="shared" si="502"/>
        <v>-0.70300000000000018</v>
      </c>
      <c r="AO712" s="674">
        <f t="shared" si="502"/>
        <v>-2.1230000000000002</v>
      </c>
      <c r="AP712" s="122">
        <f t="shared" si="502"/>
        <v>0.125</v>
      </c>
      <c r="AQ712" s="122">
        <f t="shared" si="502"/>
        <v>9.5000000000000001E-2</v>
      </c>
      <c r="AR712" s="122">
        <f t="shared" si="502"/>
        <v>-280.45600000000002</v>
      </c>
      <c r="AS712" s="122">
        <f t="shared" si="502"/>
        <v>-100.00100000000003</v>
      </c>
      <c r="AT712" s="674">
        <f t="shared" si="502"/>
        <v>-380.23700000000002</v>
      </c>
      <c r="AU712" s="122">
        <f t="shared" si="502"/>
        <v>-0.188</v>
      </c>
      <c r="AV712" s="122">
        <f t="shared" si="502"/>
        <v>-300.02000000000004</v>
      </c>
      <c r="AW712" s="122">
        <f t="shared" si="502"/>
        <v>0</v>
      </c>
      <c r="AX712" s="122">
        <f t="shared" si="502"/>
        <v>0.20800000000002683</v>
      </c>
      <c r="AY712" s="674">
        <f t="shared" si="502"/>
        <v>-300</v>
      </c>
      <c r="AZ712" s="122">
        <f t="shared" si="502"/>
        <v>-75</v>
      </c>
      <c r="BA712" s="122">
        <f t="shared" si="502"/>
        <v>0</v>
      </c>
      <c r="BB712" s="122">
        <f t="shared" si="502"/>
        <v>0</v>
      </c>
      <c r="BC712" s="122">
        <f t="shared" si="502"/>
        <v>0</v>
      </c>
      <c r="BD712" s="674">
        <f t="shared" si="502"/>
        <v>-75</v>
      </c>
      <c r="BE712" s="122">
        <f t="shared" si="502"/>
        <v>0</v>
      </c>
      <c r="BF712" s="122">
        <f t="shared" si="502"/>
        <v>0</v>
      </c>
      <c r="BG712" s="122">
        <f t="shared" si="502"/>
        <v>0</v>
      </c>
      <c r="BH712" s="122">
        <f t="shared" si="502"/>
        <v>0</v>
      </c>
      <c r="BI712" s="674">
        <f t="shared" si="502"/>
        <v>0</v>
      </c>
      <c r="BJ712" s="1274">
        <f>BJ866+BJ867+BJ868+BJ876+BJ877+BJ879+BJ881+BJ883</f>
        <v>0</v>
      </c>
      <c r="BK712" s="302">
        <v>0</v>
      </c>
      <c r="BL712" s="302">
        <v>0</v>
      </c>
      <c r="BM712" s="302">
        <v>0</v>
      </c>
      <c r="BN712" s="401">
        <f>BN866+BN867+BN868+BN876+BN877+BN879+BN881+BN883</f>
        <v>0</v>
      </c>
      <c r="BO712" s="302">
        <v>0</v>
      </c>
      <c r="BP712" s="302">
        <v>0</v>
      </c>
      <c r="BQ712" s="302">
        <v>0</v>
      </c>
      <c r="BR712" s="302">
        <v>0</v>
      </c>
      <c r="BS712" s="401">
        <f>BS866+BS867+BS868+BS876+BS877+BS879+BS881+BS883</f>
        <v>0</v>
      </c>
      <c r="BT712" s="403">
        <v>0</v>
      </c>
      <c r="BU712" s="403">
        <v>0</v>
      </c>
      <c r="BV712" s="403">
        <v>0</v>
      </c>
      <c r="BW712" s="857"/>
    </row>
    <row r="713" spans="1:75" x14ac:dyDescent="0.5">
      <c r="A713" s="1560" t="s">
        <v>1290</v>
      </c>
      <c r="B713" s="863"/>
      <c r="C713" s="864"/>
      <c r="D713" s="864"/>
      <c r="E713" s="864"/>
      <c r="F713" s="864"/>
      <c r="G713" s="865"/>
      <c r="H713" s="865"/>
      <c r="I713" s="865"/>
      <c r="J713" s="865"/>
      <c r="K713" s="864"/>
      <c r="L713" s="865"/>
      <c r="M713" s="865"/>
      <c r="N713" s="865"/>
      <c r="O713" s="865"/>
      <c r="P713" s="864"/>
      <c r="Q713" s="865"/>
      <c r="R713" s="865"/>
      <c r="S713" s="865"/>
      <c r="T713" s="865"/>
      <c r="U713" s="864"/>
      <c r="V713" s="865"/>
      <c r="W713" s="865"/>
      <c r="X713" s="865"/>
      <c r="Y713" s="865"/>
      <c r="Z713" s="864"/>
      <c r="AA713" s="865"/>
      <c r="AB713" s="865"/>
      <c r="AC713" s="865"/>
      <c r="AD713" s="865"/>
      <c r="AE713" s="864"/>
      <c r="AF713" s="865"/>
      <c r="AG713" s="865"/>
      <c r="AH713" s="865"/>
      <c r="AI713" s="865"/>
      <c r="AJ713" s="864"/>
      <c r="AK713" s="865"/>
      <c r="AL713" s="865"/>
      <c r="AM713" s="865"/>
      <c r="AN713" s="865"/>
      <c r="AO713" s="864"/>
      <c r="AP713" s="865"/>
      <c r="AQ713" s="865"/>
      <c r="AR713" s="865"/>
      <c r="AS713" s="865"/>
      <c r="AT713" s="864"/>
      <c r="AU713" s="865"/>
      <c r="AV713" s="865"/>
      <c r="AW713" s="865"/>
      <c r="AX713" s="865"/>
      <c r="AY713" s="864"/>
      <c r="AZ713" s="865"/>
      <c r="BA713" s="865"/>
      <c r="BB713" s="865"/>
      <c r="BC713" s="865"/>
      <c r="BD713" s="864"/>
      <c r="BE713" s="865"/>
      <c r="BF713" s="865"/>
      <c r="BG713" s="865"/>
      <c r="BH713" s="865"/>
      <c r="BI713" s="864"/>
      <c r="BJ713" s="1331"/>
      <c r="BK713" s="867">
        <v>59</v>
      </c>
      <c r="BL713" s="867">
        <v>59</v>
      </c>
      <c r="BM713" s="867">
        <v>59</v>
      </c>
      <c r="BN713" s="864">
        <f>AVERAGE(BJ713,BK713,BL713,BM713)</f>
        <v>59</v>
      </c>
      <c r="BO713" s="867">
        <v>65</v>
      </c>
      <c r="BP713" s="867">
        <v>65</v>
      </c>
      <c r="BQ713" s="867">
        <v>65</v>
      </c>
      <c r="BR713" s="867">
        <v>65</v>
      </c>
      <c r="BS713" s="864">
        <f>AVERAGE(BO713,BP713,BQ713,BR713)</f>
        <v>65</v>
      </c>
      <c r="BT713" s="868">
        <v>72</v>
      </c>
      <c r="BU713" s="868">
        <v>79</v>
      </c>
      <c r="BV713" s="868">
        <v>87</v>
      </c>
      <c r="BW713" s="857"/>
    </row>
    <row r="714" spans="1:75" x14ac:dyDescent="0.5">
      <c r="A714" s="1561"/>
      <c r="B714" s="863"/>
      <c r="C714" s="864"/>
      <c r="D714" s="864"/>
      <c r="E714" s="864"/>
      <c r="F714" s="864"/>
      <c r="G714" s="865"/>
      <c r="H714" s="865"/>
      <c r="I714" s="865"/>
      <c r="J714" s="865"/>
      <c r="K714" s="864"/>
      <c r="L714" s="865"/>
      <c r="M714" s="865"/>
      <c r="N714" s="865"/>
      <c r="O714" s="865"/>
      <c r="P714" s="864"/>
      <c r="Q714" s="865"/>
      <c r="R714" s="865"/>
      <c r="S714" s="865"/>
      <c r="T714" s="865"/>
      <c r="U714" s="864"/>
      <c r="V714" s="865"/>
      <c r="W714" s="865"/>
      <c r="X714" s="865"/>
      <c r="Y714" s="865"/>
      <c r="Z714" s="864"/>
      <c r="AA714" s="865"/>
      <c r="AB714" s="865"/>
      <c r="AC714" s="865"/>
      <c r="AD714" s="865"/>
      <c r="AE714" s="864"/>
      <c r="AF714" s="865"/>
      <c r="AG714" s="865"/>
      <c r="AH714" s="865"/>
      <c r="AI714" s="865"/>
      <c r="AJ714" s="864"/>
      <c r="AK714" s="865"/>
      <c r="AL714" s="865"/>
      <c r="AM714" s="865"/>
      <c r="AN714" s="865"/>
      <c r="AO714" s="864"/>
      <c r="AP714" s="865"/>
      <c r="AQ714" s="865"/>
      <c r="AR714" s="865"/>
      <c r="AS714" s="865"/>
      <c r="AT714" s="864"/>
      <c r="AU714" s="865"/>
      <c r="AV714" s="865"/>
      <c r="AW714" s="865"/>
      <c r="AX714" s="865"/>
      <c r="AY714" s="864"/>
      <c r="AZ714" s="865"/>
      <c r="BA714" s="865"/>
      <c r="BB714" s="865"/>
      <c r="BC714" s="865"/>
      <c r="BD714" s="864"/>
      <c r="BE714" s="865"/>
      <c r="BF714" s="865"/>
      <c r="BG714" s="865"/>
      <c r="BH714" s="865"/>
      <c r="BI714" s="864"/>
      <c r="BJ714" s="1331"/>
      <c r="BK714" s="865"/>
      <c r="BL714" s="865"/>
      <c r="BM714" s="865"/>
      <c r="BN714" s="864"/>
      <c r="BO714" s="865"/>
      <c r="BP714" s="865"/>
      <c r="BQ714" s="865"/>
      <c r="BR714" s="865"/>
      <c r="BS714" s="864"/>
      <c r="BT714" s="864"/>
      <c r="BU714" s="864"/>
      <c r="BV714" s="864"/>
      <c r="BW714" s="857"/>
    </row>
    <row r="715" spans="1:75" s="123" customFormat="1" x14ac:dyDescent="0.5">
      <c r="A715" s="1562" t="s">
        <v>2636</v>
      </c>
      <c r="B715" s="513"/>
      <c r="C715" s="401"/>
      <c r="D715" s="401"/>
      <c r="E715" s="401"/>
      <c r="F715" s="401">
        <f t="shared" ref="F715:BI715" si="503">F838</f>
        <v>0</v>
      </c>
      <c r="G715" s="118">
        <f t="shared" si="503"/>
        <v>0</v>
      </c>
      <c r="H715" s="118">
        <f t="shared" si="503"/>
        <v>0</v>
      </c>
      <c r="I715" s="118">
        <f t="shared" si="503"/>
        <v>0</v>
      </c>
      <c r="J715" s="118">
        <f t="shared" si="503"/>
        <v>0</v>
      </c>
      <c r="K715" s="401">
        <f t="shared" si="503"/>
        <v>0</v>
      </c>
      <c r="L715" s="118">
        <f t="shared" si="503"/>
        <v>4.5540000000000003</v>
      </c>
      <c r="M715" s="118">
        <f t="shared" si="503"/>
        <v>0.97399999999999931</v>
      </c>
      <c r="N715" s="118">
        <f t="shared" si="503"/>
        <v>0</v>
      </c>
      <c r="O715" s="118">
        <f t="shared" si="503"/>
        <v>55.280999999999999</v>
      </c>
      <c r="P715" s="401">
        <f t="shared" si="503"/>
        <v>60.808999999999997</v>
      </c>
      <c r="Q715" s="118">
        <f t="shared" si="503"/>
        <v>7.6420000000000003</v>
      </c>
      <c r="R715" s="118">
        <f t="shared" si="503"/>
        <v>6.5919999999999996</v>
      </c>
      <c r="S715" s="118">
        <f t="shared" si="503"/>
        <v>7.5069999999999997</v>
      </c>
      <c r="T715" s="118">
        <f t="shared" si="503"/>
        <v>9.2740000000000009</v>
      </c>
      <c r="U715" s="401">
        <f t="shared" si="503"/>
        <v>31.015000000000001</v>
      </c>
      <c r="V715" s="118">
        <f t="shared" si="503"/>
        <v>9.7149999999999999</v>
      </c>
      <c r="W715" s="118">
        <f t="shared" si="503"/>
        <v>10.747</v>
      </c>
      <c r="X715" s="118">
        <f t="shared" si="503"/>
        <v>14.726000000000003</v>
      </c>
      <c r="Y715" s="118">
        <f t="shared" si="503"/>
        <v>14.213999999999999</v>
      </c>
      <c r="Z715" s="401">
        <f t="shared" si="503"/>
        <v>49.402000000000001</v>
      </c>
      <c r="AA715" s="118">
        <f t="shared" si="503"/>
        <v>13.629</v>
      </c>
      <c r="AB715" s="118">
        <f t="shared" si="503"/>
        <v>14.833</v>
      </c>
      <c r="AC715" s="118">
        <f t="shared" si="503"/>
        <v>18.278000000000002</v>
      </c>
      <c r="AD715" s="118">
        <f t="shared" si="503"/>
        <v>21.1</v>
      </c>
      <c r="AE715" s="401">
        <f t="shared" si="503"/>
        <v>67.84</v>
      </c>
      <c r="AF715" s="118">
        <f t="shared" si="503"/>
        <v>24.4</v>
      </c>
      <c r="AG715" s="118">
        <f t="shared" si="503"/>
        <v>29.813000000000002</v>
      </c>
      <c r="AH715" s="118">
        <f t="shared" si="503"/>
        <v>33.934999999999995</v>
      </c>
      <c r="AI715" s="118">
        <f t="shared" si="503"/>
        <v>39.415999999999997</v>
      </c>
      <c r="AJ715" s="401">
        <f t="shared" si="503"/>
        <v>127.56399999999999</v>
      </c>
      <c r="AK715" s="118">
        <f t="shared" si="503"/>
        <v>47.06</v>
      </c>
      <c r="AL715" s="118">
        <f t="shared" si="503"/>
        <v>53.186999999999998</v>
      </c>
      <c r="AM715" s="118">
        <f t="shared" si="503"/>
        <v>61.76700000000001</v>
      </c>
      <c r="AN715" s="118">
        <f t="shared" si="503"/>
        <v>65.436999999999983</v>
      </c>
      <c r="AO715" s="401">
        <f t="shared" si="503"/>
        <v>227.45099999999999</v>
      </c>
      <c r="AP715" s="118">
        <f t="shared" si="503"/>
        <v>59.448999999999998</v>
      </c>
      <c r="AQ715" s="118">
        <f t="shared" si="503"/>
        <v>67.632000000000005</v>
      </c>
      <c r="AR715" s="118">
        <f t="shared" si="503"/>
        <v>70.118000000000009</v>
      </c>
      <c r="AS715" s="118">
        <f t="shared" si="503"/>
        <v>79.009000000000015</v>
      </c>
      <c r="AT715" s="401">
        <f t="shared" si="503"/>
        <v>276.20800000000003</v>
      </c>
      <c r="AU715" s="118">
        <f t="shared" si="503"/>
        <v>74.524000000000001</v>
      </c>
      <c r="AV715" s="118">
        <f t="shared" si="503"/>
        <v>79.359000000000009</v>
      </c>
      <c r="AW715" s="118">
        <f t="shared" si="503"/>
        <v>83.19</v>
      </c>
      <c r="AX715" s="118">
        <f t="shared" si="503"/>
        <v>106.92699999999999</v>
      </c>
      <c r="AY715" s="401">
        <f t="shared" si="503"/>
        <v>344</v>
      </c>
      <c r="AZ715" s="118">
        <f t="shared" si="503"/>
        <v>104</v>
      </c>
      <c r="BA715" s="118">
        <f t="shared" si="503"/>
        <v>129</v>
      </c>
      <c r="BB715" s="118">
        <f t="shared" si="503"/>
        <v>122</v>
      </c>
      <c r="BC715" s="118">
        <f t="shared" si="503"/>
        <v>158</v>
      </c>
      <c r="BD715" s="401">
        <f t="shared" si="503"/>
        <v>513</v>
      </c>
      <c r="BE715" s="118">
        <f t="shared" si="503"/>
        <v>144</v>
      </c>
      <c r="BF715" s="118">
        <f t="shared" si="503"/>
        <v>164</v>
      </c>
      <c r="BG715" s="118">
        <f t="shared" si="503"/>
        <v>139</v>
      </c>
      <c r="BH715" s="118">
        <f t="shared" si="503"/>
        <v>158</v>
      </c>
      <c r="BI715" s="401">
        <f t="shared" si="503"/>
        <v>605</v>
      </c>
      <c r="BJ715" s="971">
        <f>BJ838</f>
        <v>119</v>
      </c>
      <c r="BK715" s="118">
        <f>BK227*BK716</f>
        <v>109.40393305800001</v>
      </c>
      <c r="BL715" s="118">
        <f>BL227*BL716</f>
        <v>101.57211571200004</v>
      </c>
      <c r="BM715" s="118">
        <f>BM227*BM716</f>
        <v>107.437353372</v>
      </c>
      <c r="BN715" s="401">
        <f>SUM(BJ715,BK715,BL715,BM715)</f>
        <v>437.41340214200005</v>
      </c>
      <c r="BO715" s="118">
        <f>BO227*BO716</f>
        <v>98.455781316000014</v>
      </c>
      <c r="BP715" s="118">
        <f>BP227*BP716</f>
        <v>116.0891697914422</v>
      </c>
      <c r="BQ715" s="118">
        <f>BQ227*BQ716</f>
        <v>107.77878141469752</v>
      </c>
      <c r="BR715" s="118">
        <f>BR227*BR716</f>
        <v>114.00242028714946</v>
      </c>
      <c r="BS715" s="401">
        <f>SUM(BO715,BP715,BQ715,BR715)</f>
        <v>436.32615280928917</v>
      </c>
      <c r="BT715" s="401">
        <f>BT227*BT716</f>
        <v>467.52739967052872</v>
      </c>
      <c r="BU715" s="401">
        <f>BU227*BU716</f>
        <v>500.95981649356861</v>
      </c>
      <c r="BV715" s="401">
        <f>BV227*BV716</f>
        <v>536.78295201120716</v>
      </c>
      <c r="BW715" s="122"/>
    </row>
    <row r="716" spans="1:75" s="177" customFormat="1" ht="14.25" x14ac:dyDescent="0.45">
      <c r="A716" s="1477" t="s">
        <v>2637</v>
      </c>
      <c r="B716" s="660"/>
      <c r="C716" s="417"/>
      <c r="D716" s="417"/>
      <c r="E716" s="417"/>
      <c r="F716" s="417">
        <f t="shared" ref="F716:BJ716" si="504">F715/F227</f>
        <v>0</v>
      </c>
      <c r="G716" s="378">
        <f t="shared" si="504"/>
        <v>0</v>
      </c>
      <c r="H716" s="378">
        <f t="shared" si="504"/>
        <v>0</v>
      </c>
      <c r="I716" s="378">
        <f t="shared" si="504"/>
        <v>0</v>
      </c>
      <c r="J716" s="378">
        <f t="shared" si="504"/>
        <v>0</v>
      </c>
      <c r="K716" s="417">
        <f t="shared" si="504"/>
        <v>0</v>
      </c>
      <c r="L716" s="378">
        <f t="shared" si="504"/>
        <v>1.6339740300745947E-2</v>
      </c>
      <c r="M716" s="378">
        <f t="shared" si="504"/>
        <v>3.2968111644783803E-3</v>
      </c>
      <c r="N716" s="378">
        <f t="shared" si="504"/>
        <v>0</v>
      </c>
      <c r="O716" s="378">
        <f t="shared" si="504"/>
        <v>0.13528739485926988</v>
      </c>
      <c r="P716" s="417">
        <f t="shared" si="504"/>
        <v>4.6104063001582318E-2</v>
      </c>
      <c r="Q716" s="378">
        <f t="shared" si="504"/>
        <v>1.8007828056111282E-2</v>
      </c>
      <c r="R716" s="378">
        <f t="shared" si="504"/>
        <v>1.3405131041663276E-2</v>
      </c>
      <c r="S716" s="378">
        <f t="shared" si="504"/>
        <v>1.2638642898991871E-2</v>
      </c>
      <c r="T716" s="378">
        <f t="shared" si="504"/>
        <v>1.253598994309196E-2</v>
      </c>
      <c r="U716" s="417">
        <f t="shared" si="504"/>
        <v>1.3785149018727624E-2</v>
      </c>
      <c r="V716" s="378">
        <f t="shared" si="504"/>
        <v>1.2999298854081366E-2</v>
      </c>
      <c r="W716" s="378">
        <f t="shared" si="504"/>
        <v>1.365690380822642E-2</v>
      </c>
      <c r="X716" s="378">
        <f t="shared" si="504"/>
        <v>1.7092945648704335E-2</v>
      </c>
      <c r="Y716" s="378">
        <f t="shared" si="504"/>
        <v>1.4436920489274892E-2</v>
      </c>
      <c r="Z716" s="417">
        <f t="shared" si="504"/>
        <v>1.4614419765942089E-2</v>
      </c>
      <c r="AA716" s="378">
        <f t="shared" si="504"/>
        <v>1.4184685036296931E-2</v>
      </c>
      <c r="AB716" s="378">
        <f t="shared" si="504"/>
        <v>1.3210064335943345E-2</v>
      </c>
      <c r="AC716" s="378">
        <f t="shared" si="504"/>
        <v>1.5254573951884414E-2</v>
      </c>
      <c r="AD716" s="378">
        <f t="shared" si="504"/>
        <v>1.466279735597102E-2</v>
      </c>
      <c r="AE716" s="417">
        <f t="shared" si="504"/>
        <v>1.4370156506340428E-2</v>
      </c>
      <c r="AF716" s="378">
        <f t="shared" si="504"/>
        <v>1.7375588295404937E-2</v>
      </c>
      <c r="AG716" s="378">
        <f t="shared" si="504"/>
        <v>1.8011111272214088E-2</v>
      </c>
      <c r="AH716" s="378">
        <f t="shared" si="504"/>
        <v>1.9895699280917188E-2</v>
      </c>
      <c r="AI716" s="378">
        <f t="shared" si="504"/>
        <v>1.9570964109306633E-2</v>
      </c>
      <c r="AJ716" s="417">
        <f t="shared" si="504"/>
        <v>1.8817041722192111E-2</v>
      </c>
      <c r="AK716" s="378">
        <f t="shared" si="504"/>
        <v>2.4197500140115149E-2</v>
      </c>
      <c r="AL716" s="378">
        <f t="shared" si="504"/>
        <v>2.2697952545416601E-2</v>
      </c>
      <c r="AM716" s="378">
        <f t="shared" si="504"/>
        <v>2.6791302661867106E-2</v>
      </c>
      <c r="AN716" s="378">
        <f t="shared" si="504"/>
        <v>2.5828797429632629E-2</v>
      </c>
      <c r="AO716" s="417">
        <f t="shared" si="504"/>
        <v>2.4920519286775571E-2</v>
      </c>
      <c r="AP716" s="378">
        <f t="shared" si="504"/>
        <v>2.5513902413797394E-2</v>
      </c>
      <c r="AQ716" s="378">
        <f t="shared" si="504"/>
        <v>1.5711301581165769E-2</v>
      </c>
      <c r="AR716" s="378">
        <f t="shared" si="504"/>
        <v>1.8261940790244742E-2</v>
      </c>
      <c r="AS716" s="378">
        <f t="shared" si="504"/>
        <v>2.152334703860222E-2</v>
      </c>
      <c r="AT716" s="417">
        <f t="shared" si="504"/>
        <v>1.9526684612032559E-2</v>
      </c>
      <c r="AU716" s="378">
        <f t="shared" si="504"/>
        <v>2.1430226960723137E-2</v>
      </c>
      <c r="AV716" s="378">
        <f t="shared" si="504"/>
        <v>2.0571978724738999E-2</v>
      </c>
      <c r="AW716" s="378">
        <f t="shared" si="504"/>
        <v>2.6654209452295883E-2</v>
      </c>
      <c r="AX716" s="378">
        <f t="shared" si="504"/>
        <v>3.288267661980096E-2</v>
      </c>
      <c r="AY716" s="417">
        <f t="shared" si="504"/>
        <v>2.5094835132769187E-2</v>
      </c>
      <c r="AZ716" s="378">
        <f t="shared" si="504"/>
        <v>3.4747744737721346E-2</v>
      </c>
      <c r="BA716" s="378">
        <f t="shared" si="504"/>
        <v>3.9281364190012179E-2</v>
      </c>
      <c r="BB716" s="378">
        <f t="shared" si="504"/>
        <v>4.2957746478873238E-2</v>
      </c>
      <c r="BC716" s="378">
        <f t="shared" si="504"/>
        <v>5.0951306030312803E-2</v>
      </c>
      <c r="BD716" s="417">
        <f t="shared" si="504"/>
        <v>4.1987231952856439E-2</v>
      </c>
      <c r="BE716" s="378">
        <f t="shared" si="504"/>
        <v>5.1910598413842823E-2</v>
      </c>
      <c r="BF716" s="378">
        <f t="shared" si="504"/>
        <v>5.1718700725323245E-2</v>
      </c>
      <c r="BG716" s="378">
        <f t="shared" si="504"/>
        <v>4.721467391304348E-2</v>
      </c>
      <c r="BH716" s="378">
        <f t="shared" si="504"/>
        <v>5.073859987154785E-2</v>
      </c>
      <c r="BI716" s="417">
        <f t="shared" si="504"/>
        <v>5.0404065650254105E-2</v>
      </c>
      <c r="BJ716" s="1130">
        <f t="shared" si="504"/>
        <v>4.3605716379626236E-2</v>
      </c>
      <c r="BK716" s="766">
        <v>3.4000000000000002E-2</v>
      </c>
      <c r="BL716" s="766">
        <v>3.4000000000000002E-2</v>
      </c>
      <c r="BM716" s="766">
        <v>3.4000000000000002E-2</v>
      </c>
      <c r="BN716" s="417">
        <f>BN715/BN227</f>
        <v>3.616750315140832E-2</v>
      </c>
      <c r="BO716" s="766">
        <v>3.4000000000000002E-2</v>
      </c>
      <c r="BP716" s="766">
        <v>3.4000000000000002E-2</v>
      </c>
      <c r="BQ716" s="766">
        <v>3.4000000000000002E-2</v>
      </c>
      <c r="BR716" s="766">
        <v>3.4000000000000002E-2</v>
      </c>
      <c r="BS716" s="417">
        <f>BS715/BS227</f>
        <v>3.4000000000000002E-2</v>
      </c>
      <c r="BT716" s="767">
        <v>3.4000000000000002E-2</v>
      </c>
      <c r="BU716" s="767">
        <v>3.4000000000000002E-2</v>
      </c>
      <c r="BV716" s="767">
        <v>3.4000000000000002E-2</v>
      </c>
      <c r="BW716" s="176"/>
    </row>
    <row r="717" spans="1:75" x14ac:dyDescent="0.5">
      <c r="A717" s="719"/>
      <c r="B717" s="720"/>
      <c r="C717" s="414"/>
      <c r="D717" s="414"/>
      <c r="E717" s="414"/>
      <c r="F717" s="414"/>
      <c r="G717" s="413"/>
      <c r="H717" s="413"/>
      <c r="I717" s="413"/>
      <c r="J717" s="413"/>
      <c r="K717" s="414"/>
      <c r="L717" s="413"/>
      <c r="M717" s="413"/>
      <c r="N717" s="413"/>
      <c r="O717" s="413"/>
      <c r="P717" s="414"/>
      <c r="Q717" s="413"/>
      <c r="R717" s="413"/>
      <c r="S717" s="413"/>
      <c r="T717" s="413"/>
      <c r="U717" s="414"/>
      <c r="V717" s="413"/>
      <c r="W717" s="413"/>
      <c r="X717" s="413"/>
      <c r="Y717" s="413"/>
      <c r="Z717" s="414"/>
      <c r="AA717" s="413"/>
      <c r="AB717" s="413"/>
      <c r="AC717" s="413"/>
      <c r="AD717" s="413"/>
      <c r="AE717" s="414"/>
      <c r="AF717" s="413"/>
      <c r="AG717" s="413"/>
      <c r="AH717" s="413"/>
      <c r="AI717" s="413"/>
      <c r="AJ717" s="414"/>
      <c r="AK717" s="413"/>
      <c r="AL717" s="413"/>
      <c r="AM717" s="413"/>
      <c r="AN717" s="413"/>
      <c r="AO717" s="414"/>
      <c r="AP717" s="413"/>
      <c r="AQ717" s="413"/>
      <c r="AR717" s="413"/>
      <c r="AS717" s="413"/>
      <c r="AT717" s="414"/>
      <c r="AU717" s="413"/>
      <c r="AV717" s="413"/>
      <c r="AW717" s="413"/>
      <c r="AX717" s="413"/>
      <c r="AY717" s="414"/>
      <c r="AZ717" s="413"/>
      <c r="BA717" s="413"/>
      <c r="BB717" s="413"/>
      <c r="BC717" s="413"/>
      <c r="BD717" s="414"/>
      <c r="BE717" s="413"/>
      <c r="BF717" s="413"/>
      <c r="BG717" s="413"/>
      <c r="BH717" s="413"/>
      <c r="BI717" s="414"/>
      <c r="BJ717" s="1216"/>
      <c r="BK717" s="413"/>
      <c r="BL717" s="413"/>
      <c r="BM717" s="413"/>
      <c r="BN717" s="414"/>
      <c r="BO717" s="413"/>
      <c r="BP717" s="413"/>
      <c r="BQ717" s="413"/>
      <c r="BR717" s="413"/>
      <c r="BS717" s="414"/>
      <c r="BT717" s="414"/>
      <c r="BU717" s="414"/>
      <c r="BV717" s="414"/>
      <c r="BW717" s="204"/>
    </row>
    <row r="718" spans="1:75" hidden="1" outlineLevel="1" x14ac:dyDescent="0.5">
      <c r="A718" s="118" t="s">
        <v>1293</v>
      </c>
      <c r="B718" s="513"/>
      <c r="C718" s="401"/>
      <c r="D718" s="401"/>
      <c r="E718" s="401"/>
      <c r="F718" s="401">
        <f>F696+F702</f>
        <v>-26.59</v>
      </c>
      <c r="G718" s="118">
        <f>G696+G702</f>
        <v>-7.0900000000000007</v>
      </c>
      <c r="H718" s="118">
        <f>H696+H702</f>
        <v>-2.7419999999999982</v>
      </c>
      <c r="I718" s="118">
        <f t="shared" ref="I718:BT718" si="505">I696+I702</f>
        <v>-3.0070000000000006</v>
      </c>
      <c r="J718" s="118">
        <f t="shared" si="505"/>
        <v>-5.2539999999999996</v>
      </c>
      <c r="K718" s="401">
        <f t="shared" si="505"/>
        <v>-18.093</v>
      </c>
      <c r="L718" s="118">
        <f t="shared" si="505"/>
        <v>-33.273000000000003</v>
      </c>
      <c r="M718" s="118">
        <f t="shared" si="505"/>
        <v>-34.069000000000003</v>
      </c>
      <c r="N718" s="118">
        <f t="shared" si="505"/>
        <v>-29.158999999999995</v>
      </c>
      <c r="O718" s="118">
        <f t="shared" si="505"/>
        <v>-14.200000000000021</v>
      </c>
      <c r="P718" s="401">
        <f t="shared" si="505"/>
        <v>-110.70100000000002</v>
      </c>
      <c r="Q718" s="118">
        <f t="shared" si="505"/>
        <v>-28.685000000000002</v>
      </c>
      <c r="R718" s="118">
        <f t="shared" si="505"/>
        <v>-22.287999999999997</v>
      </c>
      <c r="S718" s="118">
        <f t="shared" si="505"/>
        <v>-17.286999999999999</v>
      </c>
      <c r="T718" s="118">
        <f t="shared" si="505"/>
        <v>-7.876000000000003</v>
      </c>
      <c r="U718" s="401">
        <f t="shared" si="505"/>
        <v>-76.135999999999996</v>
      </c>
      <c r="V718" s="118">
        <f t="shared" si="505"/>
        <v>-50.536999999999992</v>
      </c>
      <c r="W718" s="118">
        <f t="shared" si="505"/>
        <v>-68.705999999999989</v>
      </c>
      <c r="X718" s="118">
        <f t="shared" si="505"/>
        <v>-60.882000000000005</v>
      </c>
      <c r="Y718" s="118">
        <f t="shared" si="505"/>
        <v>-37.030999999999992</v>
      </c>
      <c r="Z718" s="401">
        <f t="shared" si="505"/>
        <v>-217.15599999999998</v>
      </c>
      <c r="AA718" s="118">
        <f t="shared" si="505"/>
        <v>-45.676000000000002</v>
      </c>
      <c r="AB718" s="118">
        <f t="shared" si="505"/>
        <v>-48.931000000000004</v>
      </c>
      <c r="AC718" s="118">
        <f t="shared" si="505"/>
        <v>-77.533999999999992</v>
      </c>
      <c r="AD718" s="118">
        <f t="shared" si="505"/>
        <v>-57.464000000000006</v>
      </c>
      <c r="AE718" s="401">
        <f t="shared" si="505"/>
        <v>-229.60499999999999</v>
      </c>
      <c r="AF718" s="118">
        <f t="shared" si="505"/>
        <v>-87.538000000000011</v>
      </c>
      <c r="AG718" s="118">
        <f t="shared" si="505"/>
        <v>-92.055999999999983</v>
      </c>
      <c r="AH718" s="118">
        <f t="shared" si="505"/>
        <v>-147.464</v>
      </c>
      <c r="AI718" s="118">
        <f t="shared" si="505"/>
        <v>-125.34199999999998</v>
      </c>
      <c r="AJ718" s="401">
        <f t="shared" si="505"/>
        <v>-452.40000000000003</v>
      </c>
      <c r="AK718" s="118">
        <f t="shared" si="505"/>
        <v>-188.13299999999998</v>
      </c>
      <c r="AL718" s="118">
        <f t="shared" si="505"/>
        <v>-162.81099999999998</v>
      </c>
      <c r="AM718" s="118">
        <f t="shared" si="505"/>
        <v>-246.81899999999996</v>
      </c>
      <c r="AN718" s="118">
        <f t="shared" si="505"/>
        <v>-307.41100000000006</v>
      </c>
      <c r="AO718" s="401">
        <f t="shared" si="505"/>
        <v>-905.17399999999998</v>
      </c>
      <c r="AP718" s="118">
        <f t="shared" si="505"/>
        <v>-239.012</v>
      </c>
      <c r="AQ718" s="118">
        <f t="shared" si="505"/>
        <v>356.03699999999998</v>
      </c>
      <c r="AR718" s="118">
        <f t="shared" si="505"/>
        <v>284.19299999999998</v>
      </c>
      <c r="AS718" s="118">
        <f t="shared" si="505"/>
        <v>158.18900000000005</v>
      </c>
      <c r="AT718" s="401">
        <f t="shared" si="505"/>
        <v>559.40700000000004</v>
      </c>
      <c r="AU718" s="118">
        <f t="shared" si="505"/>
        <v>120.24799999999999</v>
      </c>
      <c r="AV718" s="118">
        <f t="shared" si="505"/>
        <v>223.30499999999995</v>
      </c>
      <c r="AW718" s="118">
        <f t="shared" si="505"/>
        <v>18.656000000000006</v>
      </c>
      <c r="AX718" s="118">
        <f t="shared" si="505"/>
        <v>-82.209000000000032</v>
      </c>
      <c r="AY718" s="401">
        <f t="shared" si="505"/>
        <v>280</v>
      </c>
      <c r="AZ718" s="118">
        <f t="shared" si="505"/>
        <v>-229</v>
      </c>
      <c r="BA718" s="118">
        <f t="shared" si="505"/>
        <v>-217</v>
      </c>
      <c r="BB718" s="118">
        <f t="shared" si="505"/>
        <v>-279</v>
      </c>
      <c r="BC718" s="118">
        <f t="shared" si="505"/>
        <v>-188</v>
      </c>
      <c r="BD718" s="401">
        <f t="shared" si="505"/>
        <v>-913</v>
      </c>
      <c r="BE718" s="118">
        <f t="shared" si="505"/>
        <v>-180</v>
      </c>
      <c r="BF718" s="118">
        <f t="shared" si="505"/>
        <v>31</v>
      </c>
      <c r="BG718" s="118">
        <f t="shared" si="505"/>
        <v>9</v>
      </c>
      <c r="BH718" s="118">
        <f t="shared" si="505"/>
        <v>-8</v>
      </c>
      <c r="BI718" s="401">
        <f t="shared" si="505"/>
        <v>-148</v>
      </c>
      <c r="BJ718" s="971">
        <f>BJ696+BJ702</f>
        <v>-77</v>
      </c>
      <c r="BK718" s="118">
        <f t="shared" si="505"/>
        <v>-66.320372342191931</v>
      </c>
      <c r="BL718" s="118">
        <f t="shared" ca="1" si="505"/>
        <v>-33.326473832386959</v>
      </c>
      <c r="BM718" s="118">
        <f t="shared" ca="1" si="505"/>
        <v>-47.223348850204722</v>
      </c>
      <c r="BN718" s="401">
        <f t="shared" ca="1" si="505"/>
        <v>-223.87019502478358</v>
      </c>
      <c r="BO718" s="118">
        <f t="shared" ca="1" si="505"/>
        <v>6.6536250902593252</v>
      </c>
      <c r="BP718" s="118">
        <f t="shared" ca="1" si="505"/>
        <v>-73.968242255836046</v>
      </c>
      <c r="BQ718" s="118">
        <f t="shared" ca="1" si="505"/>
        <v>-30.522808893404644</v>
      </c>
      <c r="BR718" s="118">
        <f t="shared" ca="1" si="505"/>
        <v>-44.749013492537891</v>
      </c>
      <c r="BS718" s="401">
        <f t="shared" ca="1" si="505"/>
        <v>-142.58643955151933</v>
      </c>
      <c r="BT718" s="401">
        <f t="shared" ca="1" si="505"/>
        <v>77.443826415379874</v>
      </c>
      <c r="BU718" s="401">
        <f t="shared" ref="BU718:CB718" ca="1" si="506">BU696+BU702</f>
        <v>317.31348895949509</v>
      </c>
      <c r="BV718" s="401">
        <f t="shared" ca="1" si="506"/>
        <v>597.60670414235017</v>
      </c>
      <c r="BW718" s="118"/>
    </row>
    <row r="719" spans="1:75" hidden="1" outlineLevel="1" x14ac:dyDescent="0.5">
      <c r="A719" s="118" t="s">
        <v>1294</v>
      </c>
      <c r="B719" s="513"/>
      <c r="C719" s="401"/>
      <c r="D719" s="401"/>
      <c r="E719" s="401"/>
      <c r="F719" s="401">
        <f>F718+F706</f>
        <v>-26.59</v>
      </c>
      <c r="G719" s="118">
        <f>G718+G706</f>
        <v>-7.0900000000000007</v>
      </c>
      <c r="H719" s="118">
        <f>H718+H706</f>
        <v>-2.7419999999999982</v>
      </c>
      <c r="I719" s="118">
        <f t="shared" ref="I719:BT719" si="507">I718+I706</f>
        <v>-3.0070000000000006</v>
      </c>
      <c r="J719" s="118">
        <f t="shared" si="507"/>
        <v>-5.2539999999999996</v>
      </c>
      <c r="K719" s="401">
        <f t="shared" si="507"/>
        <v>-18.093</v>
      </c>
      <c r="L719" s="118">
        <f t="shared" si="507"/>
        <v>-48.273000000000003</v>
      </c>
      <c r="M719" s="118">
        <f t="shared" si="507"/>
        <v>-34.069000000000003</v>
      </c>
      <c r="N719" s="118">
        <f t="shared" si="507"/>
        <v>-29.158999999999995</v>
      </c>
      <c r="O719" s="118">
        <f t="shared" si="507"/>
        <v>-38.716000000000022</v>
      </c>
      <c r="P719" s="401">
        <f t="shared" si="507"/>
        <v>-150.21700000000001</v>
      </c>
      <c r="Q719" s="118">
        <f t="shared" si="507"/>
        <v>-28.685000000000002</v>
      </c>
      <c r="R719" s="118">
        <f t="shared" si="507"/>
        <v>-22.287999999999997</v>
      </c>
      <c r="S719" s="118">
        <f t="shared" si="507"/>
        <v>-17.286999999999999</v>
      </c>
      <c r="T719" s="118">
        <f t="shared" si="507"/>
        <v>-7.876000000000003</v>
      </c>
      <c r="U719" s="401">
        <f t="shared" si="507"/>
        <v>-76.135999999999996</v>
      </c>
      <c r="V719" s="118">
        <f t="shared" si="507"/>
        <v>-50.536999999999992</v>
      </c>
      <c r="W719" s="118">
        <f t="shared" si="507"/>
        <v>-68.705999999999989</v>
      </c>
      <c r="X719" s="118">
        <f t="shared" si="507"/>
        <v>-60.882000000000005</v>
      </c>
      <c r="Y719" s="118">
        <f t="shared" si="507"/>
        <v>-37.030999999999992</v>
      </c>
      <c r="Z719" s="401">
        <f t="shared" si="507"/>
        <v>-217.15599999999998</v>
      </c>
      <c r="AA719" s="118">
        <f t="shared" si="507"/>
        <v>-45.676000000000002</v>
      </c>
      <c r="AB719" s="118">
        <f t="shared" si="507"/>
        <v>-48.931000000000004</v>
      </c>
      <c r="AC719" s="118">
        <f t="shared" si="507"/>
        <v>-77.533999999999992</v>
      </c>
      <c r="AD719" s="118">
        <f t="shared" si="507"/>
        <v>-57.464000000000006</v>
      </c>
      <c r="AE719" s="401">
        <f t="shared" si="507"/>
        <v>-229.60499999999999</v>
      </c>
      <c r="AF719" s="118">
        <f t="shared" si="507"/>
        <v>-87.538000000000011</v>
      </c>
      <c r="AG719" s="118">
        <f t="shared" si="507"/>
        <v>-92.055999999999983</v>
      </c>
      <c r="AH719" s="118">
        <f t="shared" si="507"/>
        <v>-147.464</v>
      </c>
      <c r="AI719" s="118">
        <f t="shared" si="507"/>
        <v>-125.34199999999998</v>
      </c>
      <c r="AJ719" s="401">
        <f t="shared" si="507"/>
        <v>-452.40000000000003</v>
      </c>
      <c r="AK719" s="118">
        <f t="shared" si="507"/>
        <v>-188.13299999999998</v>
      </c>
      <c r="AL719" s="118">
        <f t="shared" si="507"/>
        <v>-162.81099999999998</v>
      </c>
      <c r="AM719" s="118">
        <f t="shared" si="507"/>
        <v>-246.81899999999996</v>
      </c>
      <c r="AN719" s="118">
        <f t="shared" si="507"/>
        <v>-307.41100000000006</v>
      </c>
      <c r="AO719" s="401">
        <f t="shared" si="507"/>
        <v>-905.17399999999998</v>
      </c>
      <c r="AP719" s="118">
        <f t="shared" si="507"/>
        <v>-239.012</v>
      </c>
      <c r="AQ719" s="118">
        <f t="shared" si="507"/>
        <v>356.03699999999998</v>
      </c>
      <c r="AR719" s="118">
        <f t="shared" si="507"/>
        <v>284.19299999999998</v>
      </c>
      <c r="AS719" s="118">
        <f t="shared" si="507"/>
        <v>158.18900000000005</v>
      </c>
      <c r="AT719" s="401">
        <f t="shared" si="507"/>
        <v>559.40700000000004</v>
      </c>
      <c r="AU719" s="118">
        <f t="shared" si="507"/>
        <v>120.24799999999999</v>
      </c>
      <c r="AV719" s="118">
        <f t="shared" si="507"/>
        <v>223.30499999999995</v>
      </c>
      <c r="AW719" s="118">
        <f t="shared" si="507"/>
        <v>18.656000000000006</v>
      </c>
      <c r="AX719" s="118">
        <f t="shared" si="507"/>
        <v>-82.209000000000032</v>
      </c>
      <c r="AY719" s="401">
        <f t="shared" si="507"/>
        <v>280</v>
      </c>
      <c r="AZ719" s="118">
        <f t="shared" si="507"/>
        <v>-229</v>
      </c>
      <c r="BA719" s="118">
        <f t="shared" si="507"/>
        <v>-217</v>
      </c>
      <c r="BB719" s="118">
        <f t="shared" si="507"/>
        <v>-279</v>
      </c>
      <c r="BC719" s="118">
        <f t="shared" si="507"/>
        <v>-188</v>
      </c>
      <c r="BD719" s="401">
        <f t="shared" si="507"/>
        <v>-913</v>
      </c>
      <c r="BE719" s="118">
        <f t="shared" si="507"/>
        <v>-180</v>
      </c>
      <c r="BF719" s="118">
        <f t="shared" si="507"/>
        <v>31</v>
      </c>
      <c r="BG719" s="118">
        <f t="shared" si="507"/>
        <v>9</v>
      </c>
      <c r="BH719" s="118">
        <f t="shared" si="507"/>
        <v>-8</v>
      </c>
      <c r="BI719" s="401">
        <f t="shared" si="507"/>
        <v>-148</v>
      </c>
      <c r="BJ719" s="971">
        <f>BJ718+BJ706</f>
        <v>-77</v>
      </c>
      <c r="BK719" s="118">
        <f t="shared" ca="1" si="507"/>
        <v>-66.320372342191931</v>
      </c>
      <c r="BL719" s="118">
        <f t="shared" ca="1" si="507"/>
        <v>-33.326473832386959</v>
      </c>
      <c r="BM719" s="118">
        <f t="shared" ca="1" si="507"/>
        <v>-47.223348850204722</v>
      </c>
      <c r="BN719" s="401">
        <f t="shared" ca="1" si="507"/>
        <v>-223.87019502478358</v>
      </c>
      <c r="BO719" s="118">
        <f t="shared" ca="1" si="507"/>
        <v>6.6536250902593252</v>
      </c>
      <c r="BP719" s="118">
        <f t="shared" ca="1" si="507"/>
        <v>-73.968242255836046</v>
      </c>
      <c r="BQ719" s="118">
        <f t="shared" ca="1" si="507"/>
        <v>-30.522808893404644</v>
      </c>
      <c r="BR719" s="118">
        <f t="shared" ca="1" si="507"/>
        <v>-44.749013492537891</v>
      </c>
      <c r="BS719" s="401">
        <f t="shared" ca="1" si="507"/>
        <v>-142.58643955151933</v>
      </c>
      <c r="BT719" s="401">
        <f t="shared" ca="1" si="507"/>
        <v>77.443826415379874</v>
      </c>
      <c r="BU719" s="401">
        <f t="shared" ref="BU719:CB719" ca="1" si="508">BU718+BU706</f>
        <v>317.31348895949509</v>
      </c>
      <c r="BV719" s="401">
        <f t="shared" ca="1" si="508"/>
        <v>597.60670414235017</v>
      </c>
      <c r="BW719" s="118"/>
    </row>
    <row r="720" spans="1:75" hidden="1" outlineLevel="1" x14ac:dyDescent="0.5">
      <c r="A720" s="118" t="s">
        <v>1295</v>
      </c>
      <c r="B720" s="513"/>
      <c r="C720" s="401"/>
      <c r="D720" s="401"/>
      <c r="E720" s="401"/>
      <c r="F720" s="401">
        <f>F719+F704+F705</f>
        <v>-26.59</v>
      </c>
      <c r="G720" s="118">
        <f>G719+G704+G705</f>
        <v>-7.0900000000000007</v>
      </c>
      <c r="H720" s="118">
        <f>H719+H704+H705</f>
        <v>-2.7419999999999982</v>
      </c>
      <c r="I720" s="118">
        <f t="shared" ref="I720:BT720" si="509">I719+I704+I705</f>
        <v>-6.7480000000000011</v>
      </c>
      <c r="J720" s="118">
        <f t="shared" si="509"/>
        <v>-5.2539999999999996</v>
      </c>
      <c r="K720" s="401">
        <f t="shared" si="509"/>
        <v>-21.834</v>
      </c>
      <c r="L720" s="118">
        <f t="shared" si="509"/>
        <v>-48.273000000000003</v>
      </c>
      <c r="M720" s="118">
        <f t="shared" si="509"/>
        <v>-34.069000000000003</v>
      </c>
      <c r="N720" s="118">
        <f t="shared" si="509"/>
        <v>-29.158999999999995</v>
      </c>
      <c r="O720" s="118">
        <f t="shared" si="509"/>
        <v>-38.716000000000022</v>
      </c>
      <c r="P720" s="401">
        <f t="shared" si="509"/>
        <v>-150.21700000000001</v>
      </c>
      <c r="Q720" s="118">
        <f t="shared" si="509"/>
        <v>-28.685000000000002</v>
      </c>
      <c r="R720" s="118">
        <f t="shared" si="509"/>
        <v>-22.287999999999997</v>
      </c>
      <c r="S720" s="118">
        <f t="shared" si="509"/>
        <v>-14.427</v>
      </c>
      <c r="T720" s="118">
        <f t="shared" si="509"/>
        <v>-7.876000000000003</v>
      </c>
      <c r="U720" s="401">
        <f t="shared" si="509"/>
        <v>-73.275999999999996</v>
      </c>
      <c r="V720" s="118">
        <f t="shared" si="509"/>
        <v>-50.536999999999992</v>
      </c>
      <c r="W720" s="118">
        <f t="shared" si="509"/>
        <v>-68.705999999999989</v>
      </c>
      <c r="X720" s="118">
        <f t="shared" si="509"/>
        <v>-59.374000000000002</v>
      </c>
      <c r="Y720" s="118">
        <f t="shared" si="509"/>
        <v>-37.030999999999992</v>
      </c>
      <c r="Z720" s="401">
        <f t="shared" si="509"/>
        <v>-215.64799999999997</v>
      </c>
      <c r="AA720" s="118">
        <f t="shared" si="509"/>
        <v>-45.676000000000002</v>
      </c>
      <c r="AB720" s="118">
        <f t="shared" si="509"/>
        <v>-48.931000000000004</v>
      </c>
      <c r="AC720" s="118">
        <f t="shared" si="509"/>
        <v>-77.533999999999992</v>
      </c>
      <c r="AD720" s="118">
        <f t="shared" si="509"/>
        <v>-57.464000000000006</v>
      </c>
      <c r="AE720" s="401">
        <f t="shared" si="509"/>
        <v>-229.60499999999999</v>
      </c>
      <c r="AF720" s="118">
        <f t="shared" si="509"/>
        <v>-87.538000000000011</v>
      </c>
      <c r="AG720" s="118">
        <f t="shared" si="509"/>
        <v>-92.055999999999983</v>
      </c>
      <c r="AH720" s="118">
        <f t="shared" si="509"/>
        <v>-147.464</v>
      </c>
      <c r="AI720" s="118">
        <f t="shared" si="509"/>
        <v>-125.34199999999998</v>
      </c>
      <c r="AJ720" s="401">
        <f t="shared" si="509"/>
        <v>-452.40000000000003</v>
      </c>
      <c r="AK720" s="118">
        <f t="shared" si="509"/>
        <v>-188.13299999999998</v>
      </c>
      <c r="AL720" s="118">
        <f t="shared" si="509"/>
        <v>-162.81099999999998</v>
      </c>
      <c r="AM720" s="118">
        <f t="shared" si="509"/>
        <v>-246.81899999999996</v>
      </c>
      <c r="AN720" s="118">
        <f t="shared" si="509"/>
        <v>-307.41100000000006</v>
      </c>
      <c r="AO720" s="401">
        <f t="shared" si="509"/>
        <v>-905.17399999999998</v>
      </c>
      <c r="AP720" s="118">
        <f t="shared" si="509"/>
        <v>-239.012</v>
      </c>
      <c r="AQ720" s="118">
        <f t="shared" si="509"/>
        <v>356.03699999999998</v>
      </c>
      <c r="AR720" s="118">
        <f t="shared" si="509"/>
        <v>284.19299999999998</v>
      </c>
      <c r="AS720" s="118">
        <f t="shared" si="509"/>
        <v>158.18900000000005</v>
      </c>
      <c r="AT720" s="401">
        <f t="shared" si="509"/>
        <v>559.40700000000004</v>
      </c>
      <c r="AU720" s="118">
        <f t="shared" si="509"/>
        <v>120.24799999999999</v>
      </c>
      <c r="AV720" s="118">
        <f t="shared" si="509"/>
        <v>223.30499999999995</v>
      </c>
      <c r="AW720" s="118">
        <f t="shared" si="509"/>
        <v>18.656000000000006</v>
      </c>
      <c r="AX720" s="118">
        <f t="shared" si="509"/>
        <v>-82.209000000000032</v>
      </c>
      <c r="AY720" s="401">
        <f t="shared" si="509"/>
        <v>280</v>
      </c>
      <c r="AZ720" s="118">
        <f t="shared" si="509"/>
        <v>-229</v>
      </c>
      <c r="BA720" s="118">
        <f t="shared" si="509"/>
        <v>-217</v>
      </c>
      <c r="BB720" s="118">
        <f t="shared" si="509"/>
        <v>-279</v>
      </c>
      <c r="BC720" s="118">
        <f t="shared" si="509"/>
        <v>-188</v>
      </c>
      <c r="BD720" s="401">
        <f t="shared" si="509"/>
        <v>-913</v>
      </c>
      <c r="BE720" s="118">
        <f t="shared" si="509"/>
        <v>-180</v>
      </c>
      <c r="BF720" s="118">
        <f t="shared" si="509"/>
        <v>31</v>
      </c>
      <c r="BG720" s="118">
        <f t="shared" si="509"/>
        <v>9</v>
      </c>
      <c r="BH720" s="118">
        <f t="shared" si="509"/>
        <v>-8</v>
      </c>
      <c r="BI720" s="401">
        <f t="shared" si="509"/>
        <v>-148</v>
      </c>
      <c r="BJ720" s="971">
        <f>BJ719+BJ704+BJ705</f>
        <v>-77</v>
      </c>
      <c r="BK720" s="118">
        <f t="shared" ca="1" si="509"/>
        <v>-66.320372342191931</v>
      </c>
      <c r="BL720" s="118">
        <f t="shared" ca="1" si="509"/>
        <v>-33.326473832386959</v>
      </c>
      <c r="BM720" s="118">
        <f t="shared" ca="1" si="509"/>
        <v>-47.223348850204722</v>
      </c>
      <c r="BN720" s="401">
        <f t="shared" ca="1" si="509"/>
        <v>-223.87019502478358</v>
      </c>
      <c r="BO720" s="118">
        <f t="shared" ca="1" si="509"/>
        <v>6.6536250902593252</v>
      </c>
      <c r="BP720" s="118">
        <f t="shared" ca="1" si="509"/>
        <v>-73.968242255836046</v>
      </c>
      <c r="BQ720" s="118">
        <f t="shared" ca="1" si="509"/>
        <v>-30.522808893404644</v>
      </c>
      <c r="BR720" s="118">
        <f t="shared" ca="1" si="509"/>
        <v>-44.749013492537891</v>
      </c>
      <c r="BS720" s="401">
        <f t="shared" ca="1" si="509"/>
        <v>-142.58643955151933</v>
      </c>
      <c r="BT720" s="401">
        <f t="shared" ca="1" si="509"/>
        <v>77.443826415379874</v>
      </c>
      <c r="BU720" s="401">
        <f t="shared" ref="BU720:CB720" ca="1" si="510">BU719+BU704+BU705</f>
        <v>317.31348895949509</v>
      </c>
      <c r="BV720" s="401">
        <f t="shared" ca="1" si="510"/>
        <v>597.60670414235017</v>
      </c>
      <c r="BW720" s="118"/>
    </row>
    <row r="721" spans="1:75" hidden="1" outlineLevel="1" x14ac:dyDescent="0.5">
      <c r="A721" s="295" t="s">
        <v>1296</v>
      </c>
      <c r="B721" s="522"/>
      <c r="C721" s="397"/>
      <c r="D721" s="397"/>
      <c r="E721" s="397"/>
      <c r="F721" s="397">
        <f>F720+F711+F712</f>
        <v>18.354000000000003</v>
      </c>
      <c r="G721" s="295">
        <f>G720+G711+G712</f>
        <v>-7.0900000000000007</v>
      </c>
      <c r="H721" s="295">
        <f>H720+H711+H712</f>
        <v>-2.7419999999999982</v>
      </c>
      <c r="I721" s="295">
        <f t="shared" ref="I721:BT721" si="511">I720+I711+I712</f>
        <v>-6.7480000000000011</v>
      </c>
      <c r="J721" s="295">
        <f t="shared" si="511"/>
        <v>-5.2539999999999996</v>
      </c>
      <c r="K721" s="397">
        <f t="shared" si="511"/>
        <v>-21.834</v>
      </c>
      <c r="L721" s="295">
        <f t="shared" si="511"/>
        <v>78.447000000000003</v>
      </c>
      <c r="M721" s="295">
        <f t="shared" si="511"/>
        <v>-35.042999999999999</v>
      </c>
      <c r="N721" s="295">
        <f t="shared" si="511"/>
        <v>-29.158999999999995</v>
      </c>
      <c r="O721" s="295">
        <f t="shared" si="511"/>
        <v>216.20399999999995</v>
      </c>
      <c r="P721" s="397">
        <f t="shared" si="511"/>
        <v>230.44899999999993</v>
      </c>
      <c r="Q721" s="295">
        <f t="shared" si="511"/>
        <v>-32.921000000000006</v>
      </c>
      <c r="R721" s="295">
        <f t="shared" si="511"/>
        <v>-25.616999999999997</v>
      </c>
      <c r="S721" s="295">
        <f t="shared" si="511"/>
        <v>-19.387</v>
      </c>
      <c r="T721" s="295">
        <f t="shared" si="511"/>
        <v>-13.967000000000004</v>
      </c>
      <c r="U721" s="397">
        <f t="shared" si="511"/>
        <v>-91.891999999999996</v>
      </c>
      <c r="V721" s="295">
        <f t="shared" si="511"/>
        <v>-57.106999999999992</v>
      </c>
      <c r="W721" s="295">
        <f t="shared" si="511"/>
        <v>-74.38</v>
      </c>
      <c r="X721" s="295">
        <f t="shared" si="511"/>
        <v>-65.39</v>
      </c>
      <c r="Y721" s="295">
        <f t="shared" si="511"/>
        <v>-39.653999999999989</v>
      </c>
      <c r="Z721" s="397">
        <f t="shared" si="511"/>
        <v>-236.53099999999998</v>
      </c>
      <c r="AA721" s="295">
        <f t="shared" si="511"/>
        <v>-46.213999999999999</v>
      </c>
      <c r="AB721" s="295">
        <f t="shared" si="511"/>
        <v>-49.483000000000004</v>
      </c>
      <c r="AC721" s="295">
        <f t="shared" si="511"/>
        <v>298.78100000000001</v>
      </c>
      <c r="AD721" s="295">
        <f t="shared" si="511"/>
        <v>-57.718000000000004</v>
      </c>
      <c r="AE721" s="397">
        <f t="shared" si="511"/>
        <v>145.36599999999999</v>
      </c>
      <c r="AF721" s="295">
        <f t="shared" si="511"/>
        <v>-87.9</v>
      </c>
      <c r="AG721" s="295">
        <f t="shared" si="511"/>
        <v>-92.254999999999981</v>
      </c>
      <c r="AH721" s="295">
        <f t="shared" si="511"/>
        <v>-147.89599999999999</v>
      </c>
      <c r="AI721" s="295">
        <f t="shared" si="511"/>
        <v>343.11400000000003</v>
      </c>
      <c r="AJ721" s="397">
        <f t="shared" si="511"/>
        <v>15.063000000000002</v>
      </c>
      <c r="AK721" s="295">
        <f t="shared" si="511"/>
        <v>-189.02199999999999</v>
      </c>
      <c r="AL721" s="295">
        <f t="shared" si="511"/>
        <v>-163.05699999999999</v>
      </c>
      <c r="AM721" s="295">
        <f t="shared" si="511"/>
        <v>541.52299999999991</v>
      </c>
      <c r="AN721" s="295">
        <f t="shared" si="511"/>
        <v>-308.11400000000003</v>
      </c>
      <c r="AO721" s="397">
        <f t="shared" si="511"/>
        <v>-118.67000000000003</v>
      </c>
      <c r="AP721" s="295">
        <f t="shared" si="511"/>
        <v>-138.887</v>
      </c>
      <c r="AQ721" s="295">
        <f t="shared" si="511"/>
        <v>783.55500000000006</v>
      </c>
      <c r="AR721" s="295">
        <f t="shared" si="511"/>
        <v>208.69900000000007</v>
      </c>
      <c r="AS721" s="295">
        <f t="shared" si="511"/>
        <v>58.188000000000017</v>
      </c>
      <c r="AT721" s="397">
        <f t="shared" si="511"/>
        <v>911.55499999999984</v>
      </c>
      <c r="AU721" s="295">
        <f t="shared" si="511"/>
        <v>120.05999999999999</v>
      </c>
      <c r="AV721" s="295">
        <f t="shared" si="511"/>
        <v>-76.715000000000089</v>
      </c>
      <c r="AW721" s="295">
        <f t="shared" si="511"/>
        <v>18.656000000000006</v>
      </c>
      <c r="AX721" s="295">
        <f t="shared" si="511"/>
        <v>-82.001000000000005</v>
      </c>
      <c r="AY721" s="397">
        <f t="shared" si="511"/>
        <v>-20</v>
      </c>
      <c r="AZ721" s="295">
        <f t="shared" si="511"/>
        <v>-304</v>
      </c>
      <c r="BA721" s="295">
        <f t="shared" si="511"/>
        <v>-217</v>
      </c>
      <c r="BB721" s="295">
        <f t="shared" si="511"/>
        <v>-188</v>
      </c>
      <c r="BC721" s="295">
        <f t="shared" si="511"/>
        <v>-188</v>
      </c>
      <c r="BD721" s="397">
        <f t="shared" si="511"/>
        <v>-897</v>
      </c>
      <c r="BE721" s="295">
        <f t="shared" si="511"/>
        <v>-180</v>
      </c>
      <c r="BF721" s="295">
        <f t="shared" si="511"/>
        <v>108</v>
      </c>
      <c r="BG721" s="295">
        <f t="shared" si="511"/>
        <v>9</v>
      </c>
      <c r="BH721" s="295">
        <f t="shared" si="511"/>
        <v>-8</v>
      </c>
      <c r="BI721" s="397">
        <f t="shared" si="511"/>
        <v>-71</v>
      </c>
      <c r="BJ721" s="1030">
        <f>BJ720+BJ711+BJ712</f>
        <v>-77</v>
      </c>
      <c r="BK721" s="295">
        <f t="shared" ca="1" si="511"/>
        <v>-66.320372342191931</v>
      </c>
      <c r="BL721" s="295">
        <f t="shared" ca="1" si="511"/>
        <v>-33.326473832386959</v>
      </c>
      <c r="BM721" s="295">
        <f t="shared" ca="1" si="511"/>
        <v>-164.22334885020473</v>
      </c>
      <c r="BN721" s="397">
        <f t="shared" ca="1" si="511"/>
        <v>-340.87019502478358</v>
      </c>
      <c r="BO721" s="295">
        <f t="shared" ca="1" si="511"/>
        <v>6.6536250902593252</v>
      </c>
      <c r="BP721" s="295">
        <f t="shared" ca="1" si="511"/>
        <v>-111.96824225583605</v>
      </c>
      <c r="BQ721" s="295">
        <f t="shared" ca="1" si="511"/>
        <v>-30.522808893404644</v>
      </c>
      <c r="BR721" s="295">
        <f t="shared" ca="1" si="511"/>
        <v>-798.74901349253787</v>
      </c>
      <c r="BS721" s="397">
        <f t="shared" ca="1" si="511"/>
        <v>-934.58643955151933</v>
      </c>
      <c r="BT721" s="397">
        <f t="shared" ca="1" si="511"/>
        <v>128.44382641537987</v>
      </c>
      <c r="BU721" s="397">
        <f t="shared" ref="BU721:CB721" ca="1" si="512">BU720+BU711+BU712</f>
        <v>627.31348895949509</v>
      </c>
      <c r="BV721" s="397">
        <f t="shared" ca="1" si="512"/>
        <v>907.60670414235017</v>
      </c>
      <c r="BW721" s="118"/>
    </row>
    <row r="722" spans="1:75" collapsed="1" x14ac:dyDescent="0.5">
      <c r="A722" s="118" t="s">
        <v>1297</v>
      </c>
      <c r="B722" s="513"/>
      <c r="C722" s="401"/>
      <c r="D722" s="401"/>
      <c r="E722" s="401"/>
      <c r="F722" s="401">
        <f t="shared" ref="F722:BQ722" si="513">F698+F702</f>
        <v>-11.034999999999998</v>
      </c>
      <c r="G722" s="118">
        <f t="shared" si="513"/>
        <v>-24.683</v>
      </c>
      <c r="H722" s="118">
        <f t="shared" si="513"/>
        <v>11.408000000000001</v>
      </c>
      <c r="I722" s="118">
        <f t="shared" si="513"/>
        <v>-3.9829999999999997</v>
      </c>
      <c r="J722" s="118">
        <f t="shared" si="513"/>
        <v>35.89200000000001</v>
      </c>
      <c r="K722" s="401">
        <f t="shared" si="513"/>
        <v>18.634000000000004</v>
      </c>
      <c r="L722" s="118">
        <f t="shared" si="513"/>
        <v>-38.506</v>
      </c>
      <c r="M722" s="118">
        <f t="shared" si="513"/>
        <v>-31.744000000000007</v>
      </c>
      <c r="N722" s="118">
        <f t="shared" si="513"/>
        <v>-22.397999999999996</v>
      </c>
      <c r="O722" s="118">
        <f t="shared" si="513"/>
        <v>50.787999999999982</v>
      </c>
      <c r="P722" s="401">
        <f t="shared" si="513"/>
        <v>-41.860000000000014</v>
      </c>
      <c r="Q722" s="118">
        <f t="shared" si="513"/>
        <v>-51.367999999999995</v>
      </c>
      <c r="R722" s="118">
        <f t="shared" si="513"/>
        <v>10.988999999999997</v>
      </c>
      <c r="S722" s="118">
        <f t="shared" si="513"/>
        <v>35.332000000000001</v>
      </c>
      <c r="T722" s="118">
        <f t="shared" si="513"/>
        <v>77.98399999999998</v>
      </c>
      <c r="U722" s="401">
        <f t="shared" si="513"/>
        <v>72.936999999999983</v>
      </c>
      <c r="V722" s="118">
        <f t="shared" si="513"/>
        <v>-80.581999999999994</v>
      </c>
      <c r="W722" s="118">
        <f t="shared" si="513"/>
        <v>-19.417999999999996</v>
      </c>
      <c r="X722" s="118">
        <f t="shared" si="513"/>
        <v>-13.968000000000011</v>
      </c>
      <c r="Y722" s="118">
        <f t="shared" si="513"/>
        <v>48.696000000000012</v>
      </c>
      <c r="Z722" s="401">
        <f t="shared" si="513"/>
        <v>-65.271999999999963</v>
      </c>
      <c r="AA722" s="118">
        <f t="shared" si="513"/>
        <v>-68.969999999999985</v>
      </c>
      <c r="AB722" s="118">
        <f t="shared" si="513"/>
        <v>-27.225000000000005</v>
      </c>
      <c r="AC722" s="118">
        <f t="shared" si="513"/>
        <v>-18.462999999999983</v>
      </c>
      <c r="AD722" s="118">
        <f t="shared" si="513"/>
        <v>1.4129999999999825</v>
      </c>
      <c r="AE722" s="401">
        <f t="shared" si="513"/>
        <v>-113.24499999999999</v>
      </c>
      <c r="AF722" s="118">
        <f t="shared" si="513"/>
        <v>-47.594000000000008</v>
      </c>
      <c r="AG722" s="118">
        <f t="shared" si="513"/>
        <v>-7.5449999999999875</v>
      </c>
      <c r="AH722" s="118">
        <f t="shared" si="513"/>
        <v>-58.803000000000004</v>
      </c>
      <c r="AI722" s="118">
        <f t="shared" si="513"/>
        <v>-23.151999999999944</v>
      </c>
      <c r="AJ722" s="401">
        <f t="shared" si="513"/>
        <v>-137.09399999999999</v>
      </c>
      <c r="AK722" s="118">
        <f t="shared" si="513"/>
        <v>-166.81700000000001</v>
      </c>
      <c r="AL722" s="118">
        <f t="shared" si="513"/>
        <v>-91.471000000000004</v>
      </c>
      <c r="AM722" s="118">
        <f t="shared" si="513"/>
        <v>-180.89999999999995</v>
      </c>
      <c r="AN722" s="118">
        <f t="shared" si="513"/>
        <v>-158.51000000000002</v>
      </c>
      <c r="AO722" s="401">
        <f t="shared" si="513"/>
        <v>-597.69799999999987</v>
      </c>
      <c r="AP722" s="118">
        <f t="shared" si="513"/>
        <v>-354.62300000000005</v>
      </c>
      <c r="AQ722" s="118">
        <f t="shared" si="513"/>
        <v>1053.6019999999999</v>
      </c>
      <c r="AR722" s="118">
        <f t="shared" si="513"/>
        <v>255.02799999999993</v>
      </c>
      <c r="AS722" s="118">
        <f t="shared" si="513"/>
        <v>128.29000000000002</v>
      </c>
      <c r="AT722" s="401">
        <f t="shared" si="513"/>
        <v>1082.297</v>
      </c>
      <c r="AU722" s="118">
        <f t="shared" si="513"/>
        <v>111.18999999999997</v>
      </c>
      <c r="AV722" s="118">
        <f t="shared" si="513"/>
        <v>206.93699999999995</v>
      </c>
      <c r="AW722" s="118">
        <f t="shared" si="513"/>
        <v>-203.167</v>
      </c>
      <c r="AX722" s="118">
        <f t="shared" si="513"/>
        <v>15.039999999999978</v>
      </c>
      <c r="AY722" s="401">
        <f t="shared" si="513"/>
        <v>130</v>
      </c>
      <c r="AZ722" s="118">
        <f t="shared" si="513"/>
        <v>-331</v>
      </c>
      <c r="BA722" s="118">
        <f t="shared" si="513"/>
        <v>-244</v>
      </c>
      <c r="BB722" s="118">
        <f t="shared" si="513"/>
        <v>-538</v>
      </c>
      <c r="BC722" s="118">
        <f t="shared" si="513"/>
        <v>-19</v>
      </c>
      <c r="BD722" s="401">
        <f t="shared" si="513"/>
        <v>-1132</v>
      </c>
      <c r="BE722" s="118">
        <f t="shared" si="513"/>
        <v>-234</v>
      </c>
      <c r="BF722" s="118">
        <f t="shared" si="513"/>
        <v>128</v>
      </c>
      <c r="BG722" s="118">
        <f t="shared" si="513"/>
        <v>42</v>
      </c>
      <c r="BH722" s="118">
        <f t="shared" si="513"/>
        <v>62</v>
      </c>
      <c r="BI722" s="401">
        <f t="shared" si="513"/>
        <v>-2</v>
      </c>
      <c r="BJ722" s="971">
        <f>BJ698+BJ702</f>
        <v>-193</v>
      </c>
      <c r="BK722" s="118">
        <f t="shared" si="513"/>
        <v>-84.356894183938437</v>
      </c>
      <c r="BL722" s="118">
        <f t="shared" ca="1" si="513"/>
        <v>60.047916822537161</v>
      </c>
      <c r="BM722" s="118">
        <f t="shared" ca="1" si="513"/>
        <v>-9.5103171779201148</v>
      </c>
      <c r="BN722" s="401">
        <f t="shared" ca="1" si="513"/>
        <v>-226.81929453932139</v>
      </c>
      <c r="BO722" s="118">
        <f t="shared" ca="1" si="513"/>
        <v>-85.553287157119627</v>
      </c>
      <c r="BP722" s="118">
        <f t="shared" ca="1" si="513"/>
        <v>-82.492197799549615</v>
      </c>
      <c r="BQ722" s="118">
        <f t="shared" ca="1" si="513"/>
        <v>76.624927605575124</v>
      </c>
      <c r="BR722" s="118">
        <f t="shared" ref="BR722:CI722" ca="1" si="514">BR698+BR702</f>
        <v>6.0324441246397384</v>
      </c>
      <c r="BS722" s="401">
        <f t="shared" ca="1" si="514"/>
        <v>-85.388113226454493</v>
      </c>
      <c r="BT722" s="401">
        <f t="shared" ca="1" si="514"/>
        <v>148.47008537537386</v>
      </c>
      <c r="BU722" s="401">
        <f t="shared" ca="1" si="514"/>
        <v>393.41876467145971</v>
      </c>
      <c r="BV722" s="401">
        <f t="shared" ca="1" si="514"/>
        <v>679.15419201520126</v>
      </c>
      <c r="BW722" s="118"/>
    </row>
    <row r="723" spans="1:75" x14ac:dyDescent="0.5">
      <c r="A723" s="118" t="s">
        <v>1298</v>
      </c>
      <c r="B723" s="513"/>
      <c r="C723" s="401"/>
      <c r="D723" s="401"/>
      <c r="E723" s="401"/>
      <c r="F723" s="401">
        <f t="shared" ref="F723:BQ723" si="515">F722+F706</f>
        <v>-11.034999999999998</v>
      </c>
      <c r="G723" s="118">
        <f t="shared" si="515"/>
        <v>-24.683</v>
      </c>
      <c r="H723" s="118">
        <f t="shared" si="515"/>
        <v>11.408000000000001</v>
      </c>
      <c r="I723" s="118">
        <f t="shared" si="515"/>
        <v>-3.9829999999999997</v>
      </c>
      <c r="J723" s="118">
        <f t="shared" si="515"/>
        <v>35.89200000000001</v>
      </c>
      <c r="K723" s="401">
        <f t="shared" si="515"/>
        <v>18.634000000000004</v>
      </c>
      <c r="L723" s="118">
        <f t="shared" si="515"/>
        <v>-53.506</v>
      </c>
      <c r="M723" s="118">
        <f t="shared" si="515"/>
        <v>-31.744000000000007</v>
      </c>
      <c r="N723" s="118">
        <f t="shared" si="515"/>
        <v>-22.397999999999996</v>
      </c>
      <c r="O723" s="118">
        <f t="shared" si="515"/>
        <v>26.271999999999984</v>
      </c>
      <c r="P723" s="401">
        <f t="shared" si="515"/>
        <v>-81.376000000000005</v>
      </c>
      <c r="Q723" s="118">
        <f t="shared" si="515"/>
        <v>-51.367999999999995</v>
      </c>
      <c r="R723" s="118">
        <f t="shared" si="515"/>
        <v>10.988999999999997</v>
      </c>
      <c r="S723" s="118">
        <f t="shared" si="515"/>
        <v>35.332000000000001</v>
      </c>
      <c r="T723" s="118">
        <f t="shared" si="515"/>
        <v>77.98399999999998</v>
      </c>
      <c r="U723" s="401">
        <f t="shared" si="515"/>
        <v>72.936999999999983</v>
      </c>
      <c r="V723" s="118">
        <f t="shared" si="515"/>
        <v>-80.581999999999994</v>
      </c>
      <c r="W723" s="118">
        <f t="shared" si="515"/>
        <v>-19.417999999999996</v>
      </c>
      <c r="X723" s="118">
        <f t="shared" si="515"/>
        <v>-13.968000000000011</v>
      </c>
      <c r="Y723" s="118">
        <f t="shared" si="515"/>
        <v>48.696000000000012</v>
      </c>
      <c r="Z723" s="401">
        <f t="shared" si="515"/>
        <v>-65.271999999999963</v>
      </c>
      <c r="AA723" s="118">
        <f t="shared" si="515"/>
        <v>-68.969999999999985</v>
      </c>
      <c r="AB723" s="118">
        <f t="shared" si="515"/>
        <v>-27.225000000000005</v>
      </c>
      <c r="AC723" s="118">
        <f t="shared" si="515"/>
        <v>-18.462999999999983</v>
      </c>
      <c r="AD723" s="118">
        <f t="shared" si="515"/>
        <v>1.4129999999999825</v>
      </c>
      <c r="AE723" s="401">
        <f t="shared" si="515"/>
        <v>-113.24499999999999</v>
      </c>
      <c r="AF723" s="118">
        <f t="shared" si="515"/>
        <v>-47.594000000000008</v>
      </c>
      <c r="AG723" s="118">
        <f t="shared" si="515"/>
        <v>-7.5449999999999875</v>
      </c>
      <c r="AH723" s="118">
        <f t="shared" si="515"/>
        <v>-58.803000000000004</v>
      </c>
      <c r="AI723" s="118">
        <f t="shared" si="515"/>
        <v>-23.151999999999944</v>
      </c>
      <c r="AJ723" s="401">
        <f t="shared" si="515"/>
        <v>-137.09399999999999</v>
      </c>
      <c r="AK723" s="118">
        <f t="shared" si="515"/>
        <v>-166.81700000000001</v>
      </c>
      <c r="AL723" s="118">
        <f t="shared" si="515"/>
        <v>-91.471000000000004</v>
      </c>
      <c r="AM723" s="118">
        <f t="shared" si="515"/>
        <v>-180.89999999999995</v>
      </c>
      <c r="AN723" s="118">
        <f t="shared" si="515"/>
        <v>-158.51000000000002</v>
      </c>
      <c r="AO723" s="401">
        <f t="shared" si="515"/>
        <v>-597.69799999999987</v>
      </c>
      <c r="AP723" s="118">
        <f t="shared" si="515"/>
        <v>-354.62300000000005</v>
      </c>
      <c r="AQ723" s="118">
        <f t="shared" si="515"/>
        <v>1053.6019999999999</v>
      </c>
      <c r="AR723" s="118">
        <f t="shared" si="515"/>
        <v>255.02799999999993</v>
      </c>
      <c r="AS723" s="118">
        <f t="shared" si="515"/>
        <v>128.29000000000002</v>
      </c>
      <c r="AT723" s="401">
        <f t="shared" si="515"/>
        <v>1082.297</v>
      </c>
      <c r="AU723" s="118">
        <f t="shared" si="515"/>
        <v>111.18999999999997</v>
      </c>
      <c r="AV723" s="118">
        <f t="shared" si="515"/>
        <v>206.93699999999995</v>
      </c>
      <c r="AW723" s="118">
        <f t="shared" si="515"/>
        <v>-203.167</v>
      </c>
      <c r="AX723" s="118">
        <f t="shared" si="515"/>
        <v>15.039999999999978</v>
      </c>
      <c r="AY723" s="401">
        <f t="shared" si="515"/>
        <v>130</v>
      </c>
      <c r="AZ723" s="118">
        <f t="shared" si="515"/>
        <v>-331</v>
      </c>
      <c r="BA723" s="118">
        <f t="shared" si="515"/>
        <v>-244</v>
      </c>
      <c r="BB723" s="118">
        <f t="shared" si="515"/>
        <v>-538</v>
      </c>
      <c r="BC723" s="118">
        <f t="shared" si="515"/>
        <v>-19</v>
      </c>
      <c r="BD723" s="401">
        <f t="shared" si="515"/>
        <v>-1132</v>
      </c>
      <c r="BE723" s="118">
        <f t="shared" si="515"/>
        <v>-234</v>
      </c>
      <c r="BF723" s="118">
        <f t="shared" si="515"/>
        <v>128</v>
      </c>
      <c r="BG723" s="118">
        <f t="shared" si="515"/>
        <v>42</v>
      </c>
      <c r="BH723" s="118">
        <f t="shared" si="515"/>
        <v>62</v>
      </c>
      <c r="BI723" s="401">
        <f t="shared" si="515"/>
        <v>-2</v>
      </c>
      <c r="BJ723" s="971">
        <f>BJ722+BJ706</f>
        <v>-193</v>
      </c>
      <c r="BK723" s="118">
        <f t="shared" ca="1" si="515"/>
        <v>-84.356894183938437</v>
      </c>
      <c r="BL723" s="118">
        <f t="shared" ca="1" si="515"/>
        <v>60.047916822537161</v>
      </c>
      <c r="BM723" s="118">
        <f t="shared" ca="1" si="515"/>
        <v>-9.5103171779201148</v>
      </c>
      <c r="BN723" s="401">
        <f t="shared" ca="1" si="515"/>
        <v>-226.81929453932139</v>
      </c>
      <c r="BO723" s="118">
        <f t="shared" ca="1" si="515"/>
        <v>-85.553287157119627</v>
      </c>
      <c r="BP723" s="118">
        <f t="shared" ca="1" si="515"/>
        <v>-82.492197799549615</v>
      </c>
      <c r="BQ723" s="118">
        <f t="shared" ca="1" si="515"/>
        <v>76.624927605575124</v>
      </c>
      <c r="BR723" s="118">
        <f t="shared" ref="BR723:CI723" ca="1" si="516">BR722+BR706</f>
        <v>6.0324441246397384</v>
      </c>
      <c r="BS723" s="401">
        <f t="shared" ca="1" si="516"/>
        <v>-85.388113226454493</v>
      </c>
      <c r="BT723" s="401">
        <f t="shared" ca="1" si="516"/>
        <v>148.47008537537386</v>
      </c>
      <c r="BU723" s="401">
        <f t="shared" ca="1" si="516"/>
        <v>393.41876467145971</v>
      </c>
      <c r="BV723" s="401">
        <f t="shared" ca="1" si="516"/>
        <v>679.15419201520126</v>
      </c>
      <c r="BW723" s="118"/>
    </row>
    <row r="724" spans="1:75" x14ac:dyDescent="0.5">
      <c r="A724" s="118" t="s">
        <v>1299</v>
      </c>
      <c r="B724" s="513"/>
      <c r="C724" s="401"/>
      <c r="D724" s="401"/>
      <c r="E724" s="401"/>
      <c r="F724" s="401">
        <f t="shared" ref="F724:BQ724" si="517">F723+F704+F705</f>
        <v>-11.034999999999998</v>
      </c>
      <c r="G724" s="118">
        <f t="shared" si="517"/>
        <v>-24.683</v>
      </c>
      <c r="H724" s="118">
        <f t="shared" si="517"/>
        <v>11.408000000000001</v>
      </c>
      <c r="I724" s="118">
        <f t="shared" si="517"/>
        <v>-7.7240000000000002</v>
      </c>
      <c r="J724" s="118">
        <f t="shared" si="517"/>
        <v>35.89200000000001</v>
      </c>
      <c r="K724" s="401">
        <f t="shared" si="517"/>
        <v>14.893000000000004</v>
      </c>
      <c r="L724" s="118">
        <f t="shared" si="517"/>
        <v>-53.506</v>
      </c>
      <c r="M724" s="118">
        <f t="shared" si="517"/>
        <v>-31.744000000000007</v>
      </c>
      <c r="N724" s="118">
        <f t="shared" si="517"/>
        <v>-22.397999999999996</v>
      </c>
      <c r="O724" s="118">
        <f t="shared" si="517"/>
        <v>26.271999999999984</v>
      </c>
      <c r="P724" s="401">
        <f t="shared" si="517"/>
        <v>-81.376000000000005</v>
      </c>
      <c r="Q724" s="118">
        <f t="shared" si="517"/>
        <v>-51.367999999999995</v>
      </c>
      <c r="R724" s="118">
        <f t="shared" si="517"/>
        <v>10.988999999999997</v>
      </c>
      <c r="S724" s="118">
        <f t="shared" si="517"/>
        <v>38.192</v>
      </c>
      <c r="T724" s="118">
        <f t="shared" si="517"/>
        <v>77.98399999999998</v>
      </c>
      <c r="U724" s="401">
        <f t="shared" si="517"/>
        <v>75.796999999999983</v>
      </c>
      <c r="V724" s="118">
        <f t="shared" si="517"/>
        <v>-80.581999999999994</v>
      </c>
      <c r="W724" s="118">
        <f t="shared" si="517"/>
        <v>-19.417999999999996</v>
      </c>
      <c r="X724" s="118">
        <f t="shared" si="517"/>
        <v>-12.460000000000012</v>
      </c>
      <c r="Y724" s="118">
        <f t="shared" si="517"/>
        <v>48.696000000000012</v>
      </c>
      <c r="Z724" s="401">
        <f t="shared" si="517"/>
        <v>-63.76399999999996</v>
      </c>
      <c r="AA724" s="118">
        <f t="shared" si="517"/>
        <v>-68.969999999999985</v>
      </c>
      <c r="AB724" s="118">
        <f t="shared" si="517"/>
        <v>-27.225000000000005</v>
      </c>
      <c r="AC724" s="118">
        <f t="shared" si="517"/>
        <v>-18.462999999999983</v>
      </c>
      <c r="AD724" s="118">
        <f t="shared" si="517"/>
        <v>1.4129999999999825</v>
      </c>
      <c r="AE724" s="401">
        <f t="shared" si="517"/>
        <v>-113.24499999999999</v>
      </c>
      <c r="AF724" s="118">
        <f t="shared" si="517"/>
        <v>-47.594000000000008</v>
      </c>
      <c r="AG724" s="118">
        <f t="shared" si="517"/>
        <v>-7.5449999999999875</v>
      </c>
      <c r="AH724" s="118">
        <f t="shared" si="517"/>
        <v>-58.803000000000004</v>
      </c>
      <c r="AI724" s="118">
        <f t="shared" si="517"/>
        <v>-23.151999999999944</v>
      </c>
      <c r="AJ724" s="401">
        <f t="shared" si="517"/>
        <v>-137.09399999999999</v>
      </c>
      <c r="AK724" s="118">
        <f t="shared" si="517"/>
        <v>-166.81700000000001</v>
      </c>
      <c r="AL724" s="118">
        <f t="shared" si="517"/>
        <v>-91.471000000000004</v>
      </c>
      <c r="AM724" s="118">
        <f t="shared" si="517"/>
        <v>-180.89999999999995</v>
      </c>
      <c r="AN724" s="118">
        <f t="shared" si="517"/>
        <v>-158.51000000000002</v>
      </c>
      <c r="AO724" s="401">
        <f t="shared" si="517"/>
        <v>-597.69799999999987</v>
      </c>
      <c r="AP724" s="118">
        <f t="shared" si="517"/>
        <v>-354.62300000000005</v>
      </c>
      <c r="AQ724" s="118">
        <f t="shared" si="517"/>
        <v>1053.6019999999999</v>
      </c>
      <c r="AR724" s="118">
        <f t="shared" si="517"/>
        <v>255.02799999999993</v>
      </c>
      <c r="AS724" s="118">
        <f t="shared" si="517"/>
        <v>128.29000000000002</v>
      </c>
      <c r="AT724" s="401">
        <f t="shared" si="517"/>
        <v>1082.297</v>
      </c>
      <c r="AU724" s="118">
        <f t="shared" si="517"/>
        <v>111.18999999999997</v>
      </c>
      <c r="AV724" s="118">
        <f t="shared" si="517"/>
        <v>206.93699999999995</v>
      </c>
      <c r="AW724" s="118">
        <f t="shared" si="517"/>
        <v>-203.167</v>
      </c>
      <c r="AX724" s="118">
        <f t="shared" si="517"/>
        <v>15.039999999999978</v>
      </c>
      <c r="AY724" s="401">
        <f t="shared" si="517"/>
        <v>130</v>
      </c>
      <c r="AZ724" s="118">
        <f t="shared" si="517"/>
        <v>-331</v>
      </c>
      <c r="BA724" s="118">
        <f t="shared" si="517"/>
        <v>-244</v>
      </c>
      <c r="BB724" s="118">
        <f t="shared" si="517"/>
        <v>-538</v>
      </c>
      <c r="BC724" s="118">
        <f t="shared" si="517"/>
        <v>-19</v>
      </c>
      <c r="BD724" s="401">
        <f t="shared" si="517"/>
        <v>-1132</v>
      </c>
      <c r="BE724" s="118">
        <f t="shared" si="517"/>
        <v>-234</v>
      </c>
      <c r="BF724" s="118">
        <f t="shared" si="517"/>
        <v>128</v>
      </c>
      <c r="BG724" s="118">
        <f t="shared" si="517"/>
        <v>42</v>
      </c>
      <c r="BH724" s="118">
        <f t="shared" si="517"/>
        <v>62</v>
      </c>
      <c r="BI724" s="401">
        <f t="shared" si="517"/>
        <v>-2</v>
      </c>
      <c r="BJ724" s="971">
        <f>BJ723+BJ704+BJ705</f>
        <v>-193</v>
      </c>
      <c r="BK724" s="118">
        <f t="shared" ca="1" si="517"/>
        <v>-84.356894183938437</v>
      </c>
      <c r="BL724" s="118">
        <f t="shared" ca="1" si="517"/>
        <v>60.047916822537161</v>
      </c>
      <c r="BM724" s="118">
        <f t="shared" ca="1" si="517"/>
        <v>-9.5103171779201148</v>
      </c>
      <c r="BN724" s="401">
        <f t="shared" ca="1" si="517"/>
        <v>-226.81929453932139</v>
      </c>
      <c r="BO724" s="118">
        <f t="shared" ca="1" si="517"/>
        <v>-85.553287157119627</v>
      </c>
      <c r="BP724" s="118">
        <f t="shared" ca="1" si="517"/>
        <v>-82.492197799549615</v>
      </c>
      <c r="BQ724" s="118">
        <f t="shared" ca="1" si="517"/>
        <v>76.624927605575124</v>
      </c>
      <c r="BR724" s="118">
        <f t="shared" ref="BR724:CI724" ca="1" si="518">BR723+BR704+BR705</f>
        <v>6.0324441246397384</v>
      </c>
      <c r="BS724" s="401">
        <f t="shared" ca="1" si="518"/>
        <v>-85.388113226454493</v>
      </c>
      <c r="BT724" s="401">
        <f t="shared" ca="1" si="518"/>
        <v>148.47008537537386</v>
      </c>
      <c r="BU724" s="401">
        <f t="shared" ca="1" si="518"/>
        <v>393.41876467145971</v>
      </c>
      <c r="BV724" s="401">
        <f t="shared" ca="1" si="518"/>
        <v>679.15419201520126</v>
      </c>
      <c r="BW724" s="118"/>
    </row>
    <row r="725" spans="1:75" x14ac:dyDescent="0.5">
      <c r="A725" s="295" t="s">
        <v>1300</v>
      </c>
      <c r="B725" s="522"/>
      <c r="C725" s="397"/>
      <c r="D725" s="397"/>
      <c r="E725" s="397"/>
      <c r="F725" s="397">
        <f t="shared" ref="F725:BQ725" si="519">F724+F711+F712</f>
        <v>33.909000000000006</v>
      </c>
      <c r="G725" s="295">
        <f t="shared" si="519"/>
        <v>-24.683</v>
      </c>
      <c r="H725" s="295">
        <f t="shared" si="519"/>
        <v>11.408000000000001</v>
      </c>
      <c r="I725" s="295">
        <f t="shared" si="519"/>
        <v>-7.7240000000000002</v>
      </c>
      <c r="J725" s="295">
        <f t="shared" si="519"/>
        <v>35.89200000000001</v>
      </c>
      <c r="K725" s="397">
        <f t="shared" si="519"/>
        <v>14.893000000000004</v>
      </c>
      <c r="L725" s="295">
        <f t="shared" si="519"/>
        <v>73.213999999999999</v>
      </c>
      <c r="M725" s="295">
        <f t="shared" si="519"/>
        <v>-32.718000000000004</v>
      </c>
      <c r="N725" s="295">
        <f t="shared" si="519"/>
        <v>-22.397999999999996</v>
      </c>
      <c r="O725" s="295">
        <f t="shared" si="519"/>
        <v>281.19199999999995</v>
      </c>
      <c r="P725" s="397">
        <f t="shared" si="519"/>
        <v>299.28999999999996</v>
      </c>
      <c r="Q725" s="295">
        <f t="shared" si="519"/>
        <v>-55.603999999999999</v>
      </c>
      <c r="R725" s="295">
        <f t="shared" si="519"/>
        <v>7.6599999999999984</v>
      </c>
      <c r="S725" s="295">
        <f t="shared" si="519"/>
        <v>33.231999999999999</v>
      </c>
      <c r="T725" s="295">
        <f t="shared" si="519"/>
        <v>71.892999999999972</v>
      </c>
      <c r="U725" s="397">
        <f t="shared" si="519"/>
        <v>57.180999999999983</v>
      </c>
      <c r="V725" s="295">
        <f t="shared" si="519"/>
        <v>-87.151999999999987</v>
      </c>
      <c r="W725" s="295">
        <f t="shared" si="519"/>
        <v>-25.091999999999995</v>
      </c>
      <c r="X725" s="295">
        <f t="shared" si="519"/>
        <v>-18.47600000000001</v>
      </c>
      <c r="Y725" s="295">
        <f t="shared" si="519"/>
        <v>46.073000000000015</v>
      </c>
      <c r="Z725" s="397">
        <f t="shared" si="519"/>
        <v>-84.646999999999963</v>
      </c>
      <c r="AA725" s="295">
        <f t="shared" si="519"/>
        <v>-69.507999999999981</v>
      </c>
      <c r="AB725" s="295">
        <f t="shared" si="519"/>
        <v>-27.777000000000005</v>
      </c>
      <c r="AC725" s="295">
        <f t="shared" si="519"/>
        <v>357.85200000000003</v>
      </c>
      <c r="AD725" s="295">
        <f t="shared" si="519"/>
        <v>1.1589999999999825</v>
      </c>
      <c r="AE725" s="397">
        <f t="shared" si="519"/>
        <v>261.726</v>
      </c>
      <c r="AF725" s="295">
        <f t="shared" si="519"/>
        <v>-47.95600000000001</v>
      </c>
      <c r="AG725" s="295">
        <f t="shared" si="519"/>
        <v>-7.7439999999999873</v>
      </c>
      <c r="AH725" s="295">
        <f t="shared" si="519"/>
        <v>-59.235000000000007</v>
      </c>
      <c r="AI725" s="295">
        <f t="shared" si="519"/>
        <v>445.30400000000009</v>
      </c>
      <c r="AJ725" s="397">
        <f t="shared" si="519"/>
        <v>330.36900000000003</v>
      </c>
      <c r="AK725" s="295">
        <f t="shared" si="519"/>
        <v>-167.70600000000002</v>
      </c>
      <c r="AL725" s="295">
        <f t="shared" si="519"/>
        <v>-91.716999999999999</v>
      </c>
      <c r="AM725" s="295">
        <f t="shared" si="519"/>
        <v>607.44199999999989</v>
      </c>
      <c r="AN725" s="295">
        <f t="shared" si="519"/>
        <v>-159.21300000000002</v>
      </c>
      <c r="AO725" s="397">
        <f t="shared" si="519"/>
        <v>188.8060000000001</v>
      </c>
      <c r="AP725" s="295">
        <f t="shared" si="519"/>
        <v>-254.49800000000005</v>
      </c>
      <c r="AQ725" s="295">
        <f t="shared" si="519"/>
        <v>1481.12</v>
      </c>
      <c r="AR725" s="295">
        <f t="shared" si="519"/>
        <v>179.53399999999999</v>
      </c>
      <c r="AS725" s="295">
        <f t="shared" si="519"/>
        <v>28.288999999999987</v>
      </c>
      <c r="AT725" s="397">
        <f t="shared" si="519"/>
        <v>1434.4449999999997</v>
      </c>
      <c r="AU725" s="295">
        <f t="shared" si="519"/>
        <v>111.00199999999997</v>
      </c>
      <c r="AV725" s="295">
        <f t="shared" si="519"/>
        <v>-93.083000000000084</v>
      </c>
      <c r="AW725" s="295">
        <f t="shared" si="519"/>
        <v>-203.167</v>
      </c>
      <c r="AX725" s="295">
        <f t="shared" si="519"/>
        <v>15.248000000000005</v>
      </c>
      <c r="AY725" s="397">
        <f t="shared" si="519"/>
        <v>-170</v>
      </c>
      <c r="AZ725" s="295">
        <f t="shared" si="519"/>
        <v>-406</v>
      </c>
      <c r="BA725" s="295">
        <f t="shared" si="519"/>
        <v>-244</v>
      </c>
      <c r="BB725" s="295">
        <f t="shared" si="519"/>
        <v>-447</v>
      </c>
      <c r="BC725" s="295">
        <f t="shared" si="519"/>
        <v>-19</v>
      </c>
      <c r="BD725" s="397">
        <f t="shared" si="519"/>
        <v>-1116</v>
      </c>
      <c r="BE725" s="295">
        <f t="shared" si="519"/>
        <v>-234</v>
      </c>
      <c r="BF725" s="295">
        <f t="shared" si="519"/>
        <v>205</v>
      </c>
      <c r="BG725" s="295">
        <f t="shared" si="519"/>
        <v>42</v>
      </c>
      <c r="BH725" s="295">
        <f t="shared" si="519"/>
        <v>62</v>
      </c>
      <c r="BI725" s="397">
        <f t="shared" si="519"/>
        <v>75</v>
      </c>
      <c r="BJ725" s="1030">
        <f>BJ724+BJ711+BJ712</f>
        <v>-193</v>
      </c>
      <c r="BK725" s="295">
        <f t="shared" ca="1" si="519"/>
        <v>-84.356894183938437</v>
      </c>
      <c r="BL725" s="295">
        <f t="shared" ca="1" si="519"/>
        <v>60.047916822537161</v>
      </c>
      <c r="BM725" s="295">
        <f t="shared" ca="1" si="519"/>
        <v>-126.51031717792011</v>
      </c>
      <c r="BN725" s="397">
        <f t="shared" ca="1" si="519"/>
        <v>-343.81929453932139</v>
      </c>
      <c r="BO725" s="295">
        <f t="shared" ca="1" si="519"/>
        <v>-85.553287157119627</v>
      </c>
      <c r="BP725" s="295">
        <f t="shared" ca="1" si="519"/>
        <v>-120.49219779954961</v>
      </c>
      <c r="BQ725" s="295">
        <f t="shared" ca="1" si="519"/>
        <v>76.624927605575124</v>
      </c>
      <c r="BR725" s="295">
        <f t="shared" ref="BR725:CI725" ca="1" si="520">BR724+BR711+BR712</f>
        <v>-747.96755587536029</v>
      </c>
      <c r="BS725" s="397">
        <f t="shared" ca="1" si="520"/>
        <v>-877.38811322645449</v>
      </c>
      <c r="BT725" s="397">
        <f t="shared" ca="1" si="520"/>
        <v>199.47008537537386</v>
      </c>
      <c r="BU725" s="397">
        <f t="shared" ca="1" si="520"/>
        <v>703.41876467145971</v>
      </c>
      <c r="BV725" s="397">
        <f t="shared" ca="1" si="520"/>
        <v>989.15419201520126</v>
      </c>
      <c r="BW725" s="118"/>
    </row>
    <row r="726" spans="1:75" x14ac:dyDescent="0.5">
      <c r="A726" s="118"/>
      <c r="B726" s="513"/>
      <c r="C726" s="401"/>
      <c r="D726" s="401"/>
      <c r="E726" s="401"/>
      <c r="F726" s="401"/>
      <c r="G726" s="118"/>
      <c r="H726" s="118"/>
      <c r="I726" s="118"/>
      <c r="J726" s="118"/>
      <c r="K726" s="401"/>
      <c r="L726" s="118"/>
      <c r="M726" s="118"/>
      <c r="N726" s="118"/>
      <c r="O726" s="118"/>
      <c r="P726" s="401"/>
      <c r="Q726" s="118"/>
      <c r="R726" s="118"/>
      <c r="S726" s="118"/>
      <c r="T726" s="118"/>
      <c r="U726" s="401"/>
      <c r="V726" s="118"/>
      <c r="W726" s="118"/>
      <c r="X726" s="118"/>
      <c r="Y726" s="118"/>
      <c r="Z726" s="401"/>
      <c r="AA726" s="118"/>
      <c r="AB726" s="118"/>
      <c r="AC726" s="118"/>
      <c r="AD726" s="118"/>
      <c r="AE726" s="401"/>
      <c r="AF726" s="118"/>
      <c r="AG726" s="118"/>
      <c r="AH726" s="118"/>
      <c r="AI726" s="118"/>
      <c r="AJ726" s="401"/>
      <c r="AK726" s="118"/>
      <c r="AL726" s="118"/>
      <c r="AM726" s="118"/>
      <c r="AN726" s="118"/>
      <c r="AO726" s="401"/>
      <c r="AP726" s="118"/>
      <c r="AQ726" s="118"/>
      <c r="AR726" s="118"/>
      <c r="AS726" s="118"/>
      <c r="AT726" s="401"/>
      <c r="AU726" s="118"/>
      <c r="AV726" s="118"/>
      <c r="AW726" s="118"/>
      <c r="AX726" s="118"/>
      <c r="AY726" s="401"/>
      <c r="AZ726" s="118"/>
      <c r="BA726" s="118"/>
      <c r="BB726" s="118"/>
      <c r="BC726" s="118"/>
      <c r="BD726" s="401"/>
      <c r="BE726" s="118"/>
      <c r="BF726" s="118"/>
      <c r="BG726" s="118"/>
      <c r="BH726" s="118"/>
      <c r="BI726" s="401"/>
      <c r="BJ726" s="971"/>
      <c r="BK726" s="118"/>
      <c r="BL726" s="118"/>
      <c r="BM726" s="118"/>
      <c r="BN726" s="401"/>
      <c r="BO726" s="118"/>
      <c r="BP726" s="118"/>
      <c r="BQ726" s="118"/>
      <c r="BR726" s="118"/>
      <c r="BS726" s="401"/>
      <c r="BT726" s="401"/>
      <c r="BU726" s="401"/>
      <c r="BV726" s="401"/>
      <c r="BW726" s="122"/>
    </row>
    <row r="727" spans="1:75" x14ac:dyDescent="0.5">
      <c r="A727" s="239" t="s">
        <v>1301</v>
      </c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  <c r="AK727" s="239"/>
      <c r="AL727" s="239"/>
      <c r="AM727" s="239"/>
      <c r="AN727" s="239"/>
      <c r="AO727" s="239"/>
      <c r="AP727" s="239"/>
      <c r="AQ727" s="239"/>
      <c r="AR727" s="239"/>
      <c r="AS727" s="239"/>
      <c r="AT727" s="239"/>
      <c r="AU727" s="239"/>
      <c r="AV727" s="239"/>
      <c r="AW727" s="239"/>
      <c r="AX727" s="239"/>
      <c r="AY727" s="239"/>
      <c r="AZ727" s="239"/>
      <c r="BA727" s="239"/>
      <c r="BB727" s="239"/>
      <c r="BC727" s="239"/>
      <c r="BD727" s="239"/>
      <c r="BE727" s="239"/>
      <c r="BF727" s="239"/>
      <c r="BG727" s="239"/>
      <c r="BH727" s="239"/>
      <c r="BI727" s="239"/>
      <c r="BJ727" s="241"/>
      <c r="BK727" s="239"/>
      <c r="BL727" s="239"/>
      <c r="BM727" s="239"/>
      <c r="BN727" s="239"/>
      <c r="BO727" s="239"/>
      <c r="BP727" s="239"/>
      <c r="BQ727" s="239"/>
      <c r="BR727" s="239"/>
      <c r="BS727" s="239"/>
      <c r="BT727" s="239"/>
      <c r="BU727" s="239"/>
      <c r="BV727" s="239"/>
      <c r="BW727" s="197"/>
    </row>
    <row r="728" spans="1:75" x14ac:dyDescent="0.5">
      <c r="A728" s="122" t="s">
        <v>1302</v>
      </c>
      <c r="B728" s="513"/>
      <c r="C728" s="401"/>
      <c r="D728" s="401"/>
      <c r="E728" s="401"/>
      <c r="F728" s="674">
        <f>F936+F937+F951</f>
        <v>101.146</v>
      </c>
      <c r="G728" s="118"/>
      <c r="H728" s="118"/>
      <c r="I728" s="118"/>
      <c r="J728" s="122">
        <f>J936+J937+J951</f>
        <v>116.13399999999999</v>
      </c>
      <c r="K728" s="674">
        <f>K936+K937+K951</f>
        <v>116.13399999999999</v>
      </c>
      <c r="L728" s="122">
        <f>L936+L937+L951</f>
        <v>189.37400000000002</v>
      </c>
      <c r="M728" s="122">
        <f>M936+M937+M951</f>
        <v>156.642</v>
      </c>
      <c r="N728" s="122">
        <f t="shared" ref="N728:BV728" si="521">N936+N937+N951</f>
        <v>134.20999999999998</v>
      </c>
      <c r="O728" s="122">
        <f t="shared" si="521"/>
        <v>415.85899999999998</v>
      </c>
      <c r="P728" s="674">
        <f t="shared" si="521"/>
        <v>415.85899999999998</v>
      </c>
      <c r="Q728" s="122">
        <f t="shared" si="521"/>
        <v>280.29499999999996</v>
      </c>
      <c r="R728" s="122">
        <f t="shared" si="521"/>
        <v>287.99900000000002</v>
      </c>
      <c r="S728" s="122">
        <f t="shared" si="521"/>
        <v>325.34399999999999</v>
      </c>
      <c r="T728" s="122">
        <f t="shared" si="521"/>
        <v>386.07099999999997</v>
      </c>
      <c r="U728" s="674">
        <f t="shared" si="521"/>
        <v>386.07099999999997</v>
      </c>
      <c r="V728" s="122">
        <f t="shared" si="521"/>
        <v>309.45400000000001</v>
      </c>
      <c r="W728" s="122">
        <f t="shared" si="521"/>
        <v>303.01100000000002</v>
      </c>
      <c r="X728" s="122">
        <f t="shared" si="521"/>
        <v>292.815</v>
      </c>
      <c r="Y728" s="122">
        <f t="shared" si="521"/>
        <v>348.58299999999997</v>
      </c>
      <c r="Z728" s="674">
        <f t="shared" si="521"/>
        <v>348.58299999999997</v>
      </c>
      <c r="AA728" s="122">
        <f t="shared" si="521"/>
        <v>276.685</v>
      </c>
      <c r="AB728" s="122">
        <f t="shared" si="521"/>
        <v>255.869</v>
      </c>
      <c r="AC728" s="122">
        <f t="shared" si="521"/>
        <v>610.41999999999996</v>
      </c>
      <c r="AD728" s="122">
        <f t="shared" si="521"/>
        <v>619.99200000000008</v>
      </c>
      <c r="AE728" s="674">
        <f t="shared" si="521"/>
        <v>619.99200000000008</v>
      </c>
      <c r="AF728" s="122">
        <f t="shared" si="521"/>
        <v>582.05799999999999</v>
      </c>
      <c r="AG728" s="122">
        <f t="shared" si="521"/>
        <v>575.38599999999997</v>
      </c>
      <c r="AH728" s="122">
        <f t="shared" si="521"/>
        <v>518.69200000000001</v>
      </c>
      <c r="AI728" s="122">
        <f t="shared" si="521"/>
        <v>963.73900000000003</v>
      </c>
      <c r="AJ728" s="674">
        <f t="shared" si="521"/>
        <v>963.73900000000003</v>
      </c>
      <c r="AK728" s="122">
        <f t="shared" si="521"/>
        <v>805.66200000000003</v>
      </c>
      <c r="AL728" s="122">
        <f t="shared" si="521"/>
        <v>714.45299999999997</v>
      </c>
      <c r="AM728" s="122">
        <f t="shared" si="521"/>
        <v>1301.434</v>
      </c>
      <c r="AN728" s="122">
        <f t="shared" si="521"/>
        <v>987.00500000000011</v>
      </c>
      <c r="AO728" s="674">
        <f t="shared" si="521"/>
        <v>987.00500000000011</v>
      </c>
      <c r="AP728" s="122">
        <f t="shared" si="521"/>
        <v>890.97800000000007</v>
      </c>
      <c r="AQ728" s="122">
        <f t="shared" si="521"/>
        <v>2374.2170000000001</v>
      </c>
      <c r="AR728" s="122">
        <f t="shared" si="521"/>
        <v>2556.924</v>
      </c>
      <c r="AS728" s="122">
        <f t="shared" si="521"/>
        <v>2591.1379999999999</v>
      </c>
      <c r="AT728" s="674">
        <f t="shared" si="521"/>
        <v>2591.1379999999999</v>
      </c>
      <c r="AU728" s="122">
        <f t="shared" si="521"/>
        <v>2695.0079999999998</v>
      </c>
      <c r="AV728" s="122">
        <f t="shared" si="521"/>
        <v>2601.8409999999999</v>
      </c>
      <c r="AW728" s="122">
        <f t="shared" si="521"/>
        <v>2393.2129999999997</v>
      </c>
      <c r="AX728" s="122">
        <f t="shared" si="521"/>
        <v>2399</v>
      </c>
      <c r="AY728" s="674">
        <f t="shared" si="521"/>
        <v>2399</v>
      </c>
      <c r="AZ728" s="122">
        <f t="shared" si="521"/>
        <v>1987</v>
      </c>
      <c r="BA728" s="122">
        <f t="shared" si="521"/>
        <v>1738</v>
      </c>
      <c r="BB728" s="122">
        <f t="shared" si="521"/>
        <v>1288</v>
      </c>
      <c r="BC728" s="122">
        <f t="shared" si="521"/>
        <v>1278</v>
      </c>
      <c r="BD728" s="674">
        <f t="shared" si="521"/>
        <v>1278</v>
      </c>
      <c r="BE728" s="122">
        <f t="shared" si="521"/>
        <v>1048</v>
      </c>
      <c r="BF728" s="122">
        <f t="shared" si="521"/>
        <v>1253</v>
      </c>
      <c r="BG728" s="122">
        <f t="shared" si="521"/>
        <v>1281</v>
      </c>
      <c r="BH728" s="122">
        <f t="shared" si="521"/>
        <v>1351</v>
      </c>
      <c r="BI728" s="674">
        <f t="shared" si="521"/>
        <v>1351</v>
      </c>
      <c r="BJ728" s="1274">
        <f>BJ936+BJ937+BJ951</f>
        <v>1157</v>
      </c>
      <c r="BK728" s="118">
        <f t="shared" ca="1" si="521"/>
        <v>1072.6431058160615</v>
      </c>
      <c r="BL728" s="118">
        <f t="shared" ca="1" si="521"/>
        <v>1132.6910226385987</v>
      </c>
      <c r="BM728" s="118">
        <f t="shared" ca="1" si="521"/>
        <v>1006.1807054606786</v>
      </c>
      <c r="BN728" s="401">
        <f t="shared" ca="1" si="521"/>
        <v>1006.1807054606786</v>
      </c>
      <c r="BO728" s="118">
        <f t="shared" ca="1" si="521"/>
        <v>920.62741830355901</v>
      </c>
      <c r="BP728" s="118">
        <f t="shared" ca="1" si="521"/>
        <v>800.13522050400934</v>
      </c>
      <c r="BQ728" s="118">
        <f t="shared" ca="1" si="521"/>
        <v>876.76014810958441</v>
      </c>
      <c r="BR728" s="118">
        <f t="shared" ca="1" si="521"/>
        <v>128.79259223422412</v>
      </c>
      <c r="BS728" s="401">
        <f t="shared" ca="1" si="521"/>
        <v>128.79259223422412</v>
      </c>
      <c r="BT728" s="401">
        <f t="shared" ca="1" si="521"/>
        <v>328.26267760959797</v>
      </c>
      <c r="BU728" s="401">
        <f t="shared" ca="1" si="521"/>
        <v>1031.6814422810576</v>
      </c>
      <c r="BV728" s="401">
        <f t="shared" ca="1" si="521"/>
        <v>2020.8356342962588</v>
      </c>
      <c r="BW728" s="122"/>
    </row>
    <row r="729" spans="1:75" x14ac:dyDescent="0.5">
      <c r="A729" s="464" t="s">
        <v>1303</v>
      </c>
      <c r="B729" s="513"/>
      <c r="C729" s="401"/>
      <c r="D729" s="401"/>
      <c r="E729" s="401"/>
      <c r="F729" s="674">
        <f t="shared" ref="F729:BQ729" si="522">F964+F963</f>
        <v>0</v>
      </c>
      <c r="G729" s="118">
        <f t="shared" si="522"/>
        <v>0</v>
      </c>
      <c r="H729" s="118">
        <f t="shared" si="522"/>
        <v>0</v>
      </c>
      <c r="I729" s="118">
        <f t="shared" si="522"/>
        <v>0</v>
      </c>
      <c r="J729" s="122">
        <f t="shared" si="522"/>
        <v>0</v>
      </c>
      <c r="K729" s="674">
        <f t="shared" si="522"/>
        <v>0</v>
      </c>
      <c r="L729" s="122">
        <f t="shared" si="522"/>
        <v>0</v>
      </c>
      <c r="M729" s="122">
        <f t="shared" si="522"/>
        <v>0</v>
      </c>
      <c r="N729" s="122">
        <f t="shared" si="522"/>
        <v>0</v>
      </c>
      <c r="O729" s="122">
        <f t="shared" si="522"/>
        <v>0</v>
      </c>
      <c r="P729" s="674">
        <f t="shared" si="522"/>
        <v>0</v>
      </c>
      <c r="Q729" s="122">
        <f t="shared" si="522"/>
        <v>0</v>
      </c>
      <c r="R729" s="122">
        <f t="shared" si="522"/>
        <v>0</v>
      </c>
      <c r="S729" s="122">
        <f t="shared" si="522"/>
        <v>0</v>
      </c>
      <c r="T729" s="122">
        <f t="shared" si="522"/>
        <v>0</v>
      </c>
      <c r="U729" s="674">
        <f t="shared" si="522"/>
        <v>0</v>
      </c>
      <c r="V729" s="122">
        <f t="shared" si="522"/>
        <v>0</v>
      </c>
      <c r="W729" s="122">
        <f t="shared" si="522"/>
        <v>0</v>
      </c>
      <c r="X729" s="122">
        <f t="shared" si="522"/>
        <v>0</v>
      </c>
      <c r="Y729" s="122">
        <f t="shared" si="522"/>
        <v>0</v>
      </c>
      <c r="Z729" s="674">
        <f t="shared" si="522"/>
        <v>0</v>
      </c>
      <c r="AA729" s="122">
        <f t="shared" si="522"/>
        <v>0</v>
      </c>
      <c r="AB729" s="122">
        <f t="shared" si="522"/>
        <v>0</v>
      </c>
      <c r="AC729" s="122">
        <f t="shared" si="522"/>
        <v>0</v>
      </c>
      <c r="AD729" s="122">
        <f t="shared" si="522"/>
        <v>0</v>
      </c>
      <c r="AE729" s="674">
        <f t="shared" si="522"/>
        <v>0</v>
      </c>
      <c r="AF729" s="122">
        <f t="shared" si="522"/>
        <v>0</v>
      </c>
      <c r="AG729" s="122">
        <f t="shared" si="522"/>
        <v>0</v>
      </c>
      <c r="AH729" s="122">
        <f t="shared" si="522"/>
        <v>0</v>
      </c>
      <c r="AI729" s="122">
        <f t="shared" si="522"/>
        <v>0</v>
      </c>
      <c r="AJ729" s="674">
        <f t="shared" si="522"/>
        <v>0</v>
      </c>
      <c r="AK729" s="122">
        <f t="shared" si="522"/>
        <v>0</v>
      </c>
      <c r="AL729" s="122">
        <f t="shared" si="522"/>
        <v>0</v>
      </c>
      <c r="AM729" s="122">
        <f t="shared" si="522"/>
        <v>0</v>
      </c>
      <c r="AN729" s="122">
        <f t="shared" si="522"/>
        <v>0</v>
      </c>
      <c r="AO729" s="674">
        <f t="shared" si="522"/>
        <v>0</v>
      </c>
      <c r="AP729" s="122">
        <f t="shared" si="522"/>
        <v>0</v>
      </c>
      <c r="AQ729" s="122">
        <f t="shared" si="522"/>
        <v>0</v>
      </c>
      <c r="AR729" s="122">
        <f t="shared" si="522"/>
        <v>0</v>
      </c>
      <c r="AS729" s="122">
        <f t="shared" si="522"/>
        <v>0</v>
      </c>
      <c r="AT729" s="674">
        <f t="shared" si="522"/>
        <v>0</v>
      </c>
      <c r="AU729" s="122">
        <f t="shared" si="522"/>
        <v>0</v>
      </c>
      <c r="AV729" s="122">
        <f t="shared" si="522"/>
        <v>0</v>
      </c>
      <c r="AW729" s="122">
        <f t="shared" si="522"/>
        <v>0</v>
      </c>
      <c r="AX729" s="122">
        <f t="shared" si="522"/>
        <v>0</v>
      </c>
      <c r="AY729" s="674">
        <f t="shared" si="522"/>
        <v>0</v>
      </c>
      <c r="AZ729" s="122">
        <f t="shared" si="522"/>
        <v>0</v>
      </c>
      <c r="BA729" s="122">
        <f t="shared" si="522"/>
        <v>3</v>
      </c>
      <c r="BB729" s="122">
        <f t="shared" si="522"/>
        <v>0</v>
      </c>
      <c r="BC729" s="122">
        <f t="shared" si="522"/>
        <v>0</v>
      </c>
      <c r="BD729" s="674">
        <f t="shared" si="522"/>
        <v>0</v>
      </c>
      <c r="BE729" s="122">
        <f t="shared" si="522"/>
        <v>0</v>
      </c>
      <c r="BF729" s="122">
        <f t="shared" si="522"/>
        <v>0</v>
      </c>
      <c r="BG729" s="122">
        <f t="shared" si="522"/>
        <v>0</v>
      </c>
      <c r="BH729" s="122">
        <f t="shared" si="522"/>
        <v>117</v>
      </c>
      <c r="BI729" s="674">
        <f t="shared" si="522"/>
        <v>117</v>
      </c>
      <c r="BJ729" s="1274">
        <f>BJ964+BJ963</f>
        <v>117</v>
      </c>
      <c r="BK729" s="118">
        <f t="shared" si="522"/>
        <v>117</v>
      </c>
      <c r="BL729" s="118">
        <f t="shared" si="522"/>
        <v>117</v>
      </c>
      <c r="BM729" s="118">
        <f t="shared" si="522"/>
        <v>117</v>
      </c>
      <c r="BN729" s="401">
        <f t="shared" si="522"/>
        <v>117</v>
      </c>
      <c r="BO729" s="118">
        <f t="shared" si="522"/>
        <v>117</v>
      </c>
      <c r="BP729" s="118">
        <f t="shared" si="522"/>
        <v>117</v>
      </c>
      <c r="BQ729" s="118">
        <f t="shared" si="522"/>
        <v>117</v>
      </c>
      <c r="BR729" s="118">
        <f t="shared" ref="BR729:CI729" si="523">BR964+BR963</f>
        <v>117</v>
      </c>
      <c r="BS729" s="401">
        <f t="shared" si="523"/>
        <v>117</v>
      </c>
      <c r="BT729" s="401">
        <f t="shared" si="523"/>
        <v>117</v>
      </c>
      <c r="BU729" s="401">
        <f t="shared" si="523"/>
        <v>117</v>
      </c>
      <c r="BV729" s="401">
        <f t="shared" si="523"/>
        <v>0</v>
      </c>
      <c r="BW729" s="122"/>
    </row>
    <row r="730" spans="1:75" x14ac:dyDescent="0.5">
      <c r="A730" s="1333" t="s">
        <v>1304</v>
      </c>
      <c r="B730" s="870"/>
      <c r="C730" s="871"/>
      <c r="D730" s="871"/>
      <c r="E730" s="871"/>
      <c r="F730" s="1334">
        <f t="shared" ref="F730:BQ730" si="524">F975+F974</f>
        <v>0</v>
      </c>
      <c r="G730" s="872">
        <f t="shared" si="524"/>
        <v>0</v>
      </c>
      <c r="H730" s="872">
        <f t="shared" si="524"/>
        <v>0</v>
      </c>
      <c r="I730" s="872">
        <f t="shared" si="524"/>
        <v>0</v>
      </c>
      <c r="J730" s="1335">
        <f t="shared" si="524"/>
        <v>0</v>
      </c>
      <c r="K730" s="1334">
        <f t="shared" si="524"/>
        <v>0</v>
      </c>
      <c r="L730" s="1335">
        <f t="shared" si="524"/>
        <v>0</v>
      </c>
      <c r="M730" s="1335">
        <f t="shared" si="524"/>
        <v>0</v>
      </c>
      <c r="N730" s="1335">
        <f t="shared" si="524"/>
        <v>0</v>
      </c>
      <c r="O730" s="1335">
        <f t="shared" si="524"/>
        <v>0</v>
      </c>
      <c r="P730" s="1334">
        <f t="shared" si="524"/>
        <v>0</v>
      </c>
      <c r="Q730" s="1335">
        <f t="shared" si="524"/>
        <v>0</v>
      </c>
      <c r="R730" s="1335">
        <f t="shared" si="524"/>
        <v>0</v>
      </c>
      <c r="S730" s="1335">
        <f t="shared" si="524"/>
        <v>0</v>
      </c>
      <c r="T730" s="1335">
        <f t="shared" si="524"/>
        <v>0</v>
      </c>
      <c r="U730" s="1334">
        <f t="shared" si="524"/>
        <v>0</v>
      </c>
      <c r="V730" s="1335">
        <f t="shared" si="524"/>
        <v>0</v>
      </c>
      <c r="W730" s="1335">
        <f t="shared" si="524"/>
        <v>29.856000000000002</v>
      </c>
      <c r="X730" s="1335">
        <f t="shared" si="524"/>
        <v>28.9</v>
      </c>
      <c r="Y730" s="1335">
        <f t="shared" si="524"/>
        <v>28.9</v>
      </c>
      <c r="Z730" s="1334">
        <f t="shared" si="524"/>
        <v>28.9</v>
      </c>
      <c r="AA730" s="1335">
        <f t="shared" si="524"/>
        <v>41.542000000000002</v>
      </c>
      <c r="AB730" s="1335">
        <f t="shared" si="524"/>
        <v>58.265999999999998</v>
      </c>
      <c r="AC730" s="1335">
        <f t="shared" si="524"/>
        <v>402.137</v>
      </c>
      <c r="AD730" s="1335">
        <f t="shared" si="524"/>
        <v>415.48499999999996</v>
      </c>
      <c r="AE730" s="1334">
        <f t="shared" si="524"/>
        <v>415.48499999999996</v>
      </c>
      <c r="AF730" s="1335">
        <f t="shared" si="524"/>
        <v>419.76599999999996</v>
      </c>
      <c r="AG730" s="1335">
        <f t="shared" si="524"/>
        <v>451.423</v>
      </c>
      <c r="AH730" s="1335">
        <f t="shared" si="524"/>
        <v>530.69600000000003</v>
      </c>
      <c r="AI730" s="1335">
        <f t="shared" si="524"/>
        <v>921.96</v>
      </c>
      <c r="AJ730" s="1334">
        <f t="shared" si="524"/>
        <v>921.96</v>
      </c>
      <c r="AK730" s="1335">
        <f t="shared" si="524"/>
        <v>750.15599999999995</v>
      </c>
      <c r="AL730" s="1335">
        <f t="shared" si="524"/>
        <v>761.60400000000004</v>
      </c>
      <c r="AM730" s="1335">
        <f t="shared" si="524"/>
        <v>1435.9269999999999</v>
      </c>
      <c r="AN730" s="1335">
        <f t="shared" si="524"/>
        <v>1456.1949999999999</v>
      </c>
      <c r="AO730" s="1334">
        <f t="shared" si="524"/>
        <v>1456.1949999999999</v>
      </c>
      <c r="AP730" s="1335">
        <f t="shared" si="524"/>
        <v>1577.069</v>
      </c>
      <c r="AQ730" s="1335">
        <f t="shared" si="524"/>
        <v>1988.213</v>
      </c>
      <c r="AR730" s="1335">
        <f t="shared" si="524"/>
        <v>2862.1350000000002</v>
      </c>
      <c r="AS730" s="1335">
        <f t="shared" si="524"/>
        <v>2659.2429999999999</v>
      </c>
      <c r="AT730" s="1334">
        <f t="shared" si="524"/>
        <v>2659.2429999999999</v>
      </c>
      <c r="AU730" s="1335">
        <f t="shared" si="524"/>
        <v>3060.0909999999999</v>
      </c>
      <c r="AV730" s="1335">
        <f t="shared" si="524"/>
        <v>3047.9830000000002</v>
      </c>
      <c r="AW730" s="1335">
        <f t="shared" si="524"/>
        <v>3049.4749999999999</v>
      </c>
      <c r="AX730" s="1335">
        <f t="shared" si="524"/>
        <v>3052</v>
      </c>
      <c r="AY730" s="1334">
        <f t="shared" si="524"/>
        <v>3052</v>
      </c>
      <c r="AZ730" s="1335">
        <f t="shared" si="524"/>
        <v>3054</v>
      </c>
      <c r="BA730" s="1335">
        <f t="shared" si="524"/>
        <v>3054</v>
      </c>
      <c r="BB730" s="1335">
        <f t="shared" si="524"/>
        <v>3134</v>
      </c>
      <c r="BC730" s="1335">
        <f t="shared" si="524"/>
        <v>3137</v>
      </c>
      <c r="BD730" s="1334">
        <f t="shared" si="524"/>
        <v>3137</v>
      </c>
      <c r="BE730" s="1335">
        <f t="shared" si="524"/>
        <v>3138</v>
      </c>
      <c r="BF730" s="1335">
        <f t="shared" si="524"/>
        <v>3205</v>
      </c>
      <c r="BG730" s="1335">
        <f t="shared" si="524"/>
        <v>3207</v>
      </c>
      <c r="BH730" s="1335">
        <f t="shared" si="524"/>
        <v>3092</v>
      </c>
      <c r="BI730" s="1334">
        <f t="shared" si="524"/>
        <v>3092</v>
      </c>
      <c r="BJ730" s="1336">
        <f>BJ975+BJ974</f>
        <v>3095</v>
      </c>
      <c r="BK730" s="872">
        <f t="shared" si="524"/>
        <v>3097.1369328365872</v>
      </c>
      <c r="BL730" s="872">
        <f t="shared" si="524"/>
        <v>3099.2973484515969</v>
      </c>
      <c r="BM730" s="872">
        <f t="shared" si="524"/>
        <v>2984.4577640666066</v>
      </c>
      <c r="BN730" s="871">
        <f t="shared" si="524"/>
        <v>2984.4577640666066</v>
      </c>
      <c r="BO730" s="872">
        <f t="shared" si="524"/>
        <v>2986.5712141247704</v>
      </c>
      <c r="BP730" s="872">
        <f t="shared" si="524"/>
        <v>2950.7081469613563</v>
      </c>
      <c r="BQ730" s="872">
        <f t="shared" si="524"/>
        <v>2952.8685625763665</v>
      </c>
      <c r="BR730" s="872">
        <f t="shared" ref="BR730:CI730" si="525">BR975+BR974</f>
        <v>2200.5317104318142</v>
      </c>
      <c r="BS730" s="871">
        <f t="shared" si="525"/>
        <v>2200.5317104318142</v>
      </c>
      <c r="BT730" s="871">
        <f t="shared" si="525"/>
        <v>2257.3125412865938</v>
      </c>
      <c r="BU730" s="871">
        <f t="shared" si="525"/>
        <v>2571.1065088757377</v>
      </c>
      <c r="BV730" s="871">
        <f t="shared" si="525"/>
        <v>3000</v>
      </c>
      <c r="BW730" s="122"/>
    </row>
    <row r="731" spans="1:75" x14ac:dyDescent="0.5">
      <c r="A731" s="122" t="s">
        <v>1305</v>
      </c>
      <c r="B731" s="513"/>
      <c r="C731" s="401"/>
      <c r="D731" s="401"/>
      <c r="E731" s="401"/>
      <c r="F731" s="674">
        <f t="shared" ref="F731:BQ731" si="526">F975+F974+F964+F963</f>
        <v>0</v>
      </c>
      <c r="G731" s="118">
        <f t="shared" si="526"/>
        <v>0</v>
      </c>
      <c r="H731" s="118">
        <f t="shared" si="526"/>
        <v>0</v>
      </c>
      <c r="I731" s="118">
        <f t="shared" si="526"/>
        <v>0</v>
      </c>
      <c r="J731" s="122">
        <f t="shared" si="526"/>
        <v>0</v>
      </c>
      <c r="K731" s="674">
        <f t="shared" si="526"/>
        <v>0</v>
      </c>
      <c r="L731" s="122">
        <f t="shared" si="526"/>
        <v>0</v>
      </c>
      <c r="M731" s="122">
        <f t="shared" si="526"/>
        <v>0</v>
      </c>
      <c r="N731" s="122">
        <f t="shared" si="526"/>
        <v>0</v>
      </c>
      <c r="O731" s="122">
        <f t="shared" si="526"/>
        <v>0</v>
      </c>
      <c r="P731" s="674">
        <f t="shared" si="526"/>
        <v>0</v>
      </c>
      <c r="Q731" s="122">
        <f t="shared" si="526"/>
        <v>0</v>
      </c>
      <c r="R731" s="122">
        <f t="shared" si="526"/>
        <v>0</v>
      </c>
      <c r="S731" s="122">
        <f t="shared" si="526"/>
        <v>0</v>
      </c>
      <c r="T731" s="122">
        <f t="shared" si="526"/>
        <v>0</v>
      </c>
      <c r="U731" s="674">
        <f t="shared" si="526"/>
        <v>0</v>
      </c>
      <c r="V731" s="122">
        <f t="shared" si="526"/>
        <v>0</v>
      </c>
      <c r="W731" s="122">
        <f t="shared" si="526"/>
        <v>29.856000000000002</v>
      </c>
      <c r="X731" s="122">
        <f t="shared" si="526"/>
        <v>28.9</v>
      </c>
      <c r="Y731" s="122">
        <f t="shared" si="526"/>
        <v>28.9</v>
      </c>
      <c r="Z731" s="674">
        <f t="shared" si="526"/>
        <v>28.9</v>
      </c>
      <c r="AA731" s="122">
        <f t="shared" si="526"/>
        <v>41.542000000000002</v>
      </c>
      <c r="AB731" s="122">
        <f t="shared" si="526"/>
        <v>58.265999999999998</v>
      </c>
      <c r="AC731" s="122">
        <f t="shared" si="526"/>
        <v>402.137</v>
      </c>
      <c r="AD731" s="122">
        <f t="shared" si="526"/>
        <v>415.48499999999996</v>
      </c>
      <c r="AE731" s="674">
        <f t="shared" si="526"/>
        <v>415.48499999999996</v>
      </c>
      <c r="AF731" s="122">
        <f t="shared" si="526"/>
        <v>419.76599999999996</v>
      </c>
      <c r="AG731" s="122">
        <f t="shared" si="526"/>
        <v>451.423</v>
      </c>
      <c r="AH731" s="122">
        <f t="shared" si="526"/>
        <v>530.69600000000003</v>
      </c>
      <c r="AI731" s="122">
        <f t="shared" si="526"/>
        <v>921.96</v>
      </c>
      <c r="AJ731" s="674">
        <f t="shared" si="526"/>
        <v>921.96</v>
      </c>
      <c r="AK731" s="122">
        <f t="shared" si="526"/>
        <v>750.15599999999995</v>
      </c>
      <c r="AL731" s="122">
        <f t="shared" si="526"/>
        <v>761.60400000000004</v>
      </c>
      <c r="AM731" s="122">
        <f t="shared" si="526"/>
        <v>1435.9269999999999</v>
      </c>
      <c r="AN731" s="122">
        <f t="shared" si="526"/>
        <v>1456.1949999999999</v>
      </c>
      <c r="AO731" s="674">
        <f t="shared" si="526"/>
        <v>1456.1949999999999</v>
      </c>
      <c r="AP731" s="122">
        <f t="shared" si="526"/>
        <v>1577.069</v>
      </c>
      <c r="AQ731" s="122">
        <f t="shared" si="526"/>
        <v>1988.213</v>
      </c>
      <c r="AR731" s="122">
        <f t="shared" si="526"/>
        <v>2862.1350000000002</v>
      </c>
      <c r="AS731" s="122">
        <f t="shared" si="526"/>
        <v>2659.2429999999999</v>
      </c>
      <c r="AT731" s="674">
        <f t="shared" si="526"/>
        <v>2659.2429999999999</v>
      </c>
      <c r="AU731" s="122">
        <f t="shared" si="526"/>
        <v>3060.0909999999999</v>
      </c>
      <c r="AV731" s="122">
        <f t="shared" si="526"/>
        <v>3047.9830000000002</v>
      </c>
      <c r="AW731" s="122">
        <f t="shared" si="526"/>
        <v>3049.4749999999999</v>
      </c>
      <c r="AX731" s="122">
        <f t="shared" si="526"/>
        <v>3052</v>
      </c>
      <c r="AY731" s="674">
        <f t="shared" si="526"/>
        <v>3052</v>
      </c>
      <c r="AZ731" s="122">
        <f t="shared" si="526"/>
        <v>3054</v>
      </c>
      <c r="BA731" s="122">
        <f t="shared" si="526"/>
        <v>3057</v>
      </c>
      <c r="BB731" s="122">
        <f t="shared" si="526"/>
        <v>3134</v>
      </c>
      <c r="BC731" s="122">
        <f t="shared" si="526"/>
        <v>3137</v>
      </c>
      <c r="BD731" s="674">
        <f t="shared" si="526"/>
        <v>3137</v>
      </c>
      <c r="BE731" s="122">
        <f t="shared" si="526"/>
        <v>3138</v>
      </c>
      <c r="BF731" s="122">
        <f t="shared" si="526"/>
        <v>3205</v>
      </c>
      <c r="BG731" s="122">
        <f t="shared" si="526"/>
        <v>3207</v>
      </c>
      <c r="BH731" s="122">
        <f t="shared" si="526"/>
        <v>3209</v>
      </c>
      <c r="BI731" s="674">
        <f t="shared" si="526"/>
        <v>3209</v>
      </c>
      <c r="BJ731" s="1274">
        <f>BJ975+BJ974+BJ964+BJ963</f>
        <v>3212</v>
      </c>
      <c r="BK731" s="118">
        <f t="shared" si="526"/>
        <v>3214.1369328365872</v>
      </c>
      <c r="BL731" s="118">
        <f t="shared" si="526"/>
        <v>3216.2973484515969</v>
      </c>
      <c r="BM731" s="118">
        <f t="shared" si="526"/>
        <v>3101.4577640666066</v>
      </c>
      <c r="BN731" s="401">
        <f t="shared" si="526"/>
        <v>3101.4577640666066</v>
      </c>
      <c r="BO731" s="118">
        <f t="shared" si="526"/>
        <v>3103.5712141247704</v>
      </c>
      <c r="BP731" s="118">
        <f t="shared" si="526"/>
        <v>3067.7081469613563</v>
      </c>
      <c r="BQ731" s="118">
        <f t="shared" si="526"/>
        <v>3069.8685625763665</v>
      </c>
      <c r="BR731" s="118">
        <f t="shared" ref="BR731:BY731" si="527">BR975+BR974+BR964+BR963</f>
        <v>2317.5317104318142</v>
      </c>
      <c r="BS731" s="401">
        <f t="shared" si="527"/>
        <v>2317.5317104318142</v>
      </c>
      <c r="BT731" s="401">
        <f t="shared" si="527"/>
        <v>2374.3125412865938</v>
      </c>
      <c r="BU731" s="401">
        <f t="shared" si="527"/>
        <v>2688.1065088757377</v>
      </c>
      <c r="BV731" s="401">
        <f t="shared" si="527"/>
        <v>3000</v>
      </c>
      <c r="BW731" s="122"/>
    </row>
    <row r="732" spans="1:75" x14ac:dyDescent="0.5">
      <c r="A732" s="122" t="s">
        <v>1306</v>
      </c>
      <c r="B732" s="513"/>
      <c r="C732" s="401"/>
      <c r="D732" s="401"/>
      <c r="E732" s="401"/>
      <c r="F732" s="674">
        <f t="shared" ref="F732:BQ732" si="528">F971+F962</f>
        <v>0</v>
      </c>
      <c r="G732" s="118">
        <f t="shared" si="528"/>
        <v>0</v>
      </c>
      <c r="H732" s="118">
        <f t="shared" si="528"/>
        <v>0</v>
      </c>
      <c r="I732" s="118">
        <f t="shared" si="528"/>
        <v>0</v>
      </c>
      <c r="J732" s="122">
        <f t="shared" si="528"/>
        <v>0</v>
      </c>
      <c r="K732" s="674">
        <f t="shared" si="528"/>
        <v>0</v>
      </c>
      <c r="L732" s="122">
        <f t="shared" si="528"/>
        <v>0</v>
      </c>
      <c r="M732" s="122">
        <f t="shared" si="528"/>
        <v>0</v>
      </c>
      <c r="N732" s="122">
        <f t="shared" si="528"/>
        <v>0</v>
      </c>
      <c r="O732" s="122">
        <f t="shared" si="528"/>
        <v>0</v>
      </c>
      <c r="P732" s="674">
        <f t="shared" si="528"/>
        <v>0</v>
      </c>
      <c r="Q732" s="122">
        <f t="shared" si="528"/>
        <v>0</v>
      </c>
      <c r="R732" s="122">
        <f t="shared" si="528"/>
        <v>0</v>
      </c>
      <c r="S732" s="122">
        <f t="shared" si="528"/>
        <v>0</v>
      </c>
      <c r="T732" s="122">
        <f t="shared" si="528"/>
        <v>0</v>
      </c>
      <c r="U732" s="674">
        <f t="shared" si="528"/>
        <v>0</v>
      </c>
      <c r="V732" s="122">
        <f t="shared" si="528"/>
        <v>0</v>
      </c>
      <c r="W732" s="122">
        <f t="shared" si="528"/>
        <v>0</v>
      </c>
      <c r="X732" s="122">
        <f t="shared" si="528"/>
        <v>0</v>
      </c>
      <c r="Y732" s="122">
        <f t="shared" si="528"/>
        <v>0</v>
      </c>
      <c r="Z732" s="674">
        <f t="shared" si="528"/>
        <v>0</v>
      </c>
      <c r="AA732" s="122">
        <f t="shared" si="528"/>
        <v>0</v>
      </c>
      <c r="AB732" s="122">
        <f t="shared" si="528"/>
        <v>0</v>
      </c>
      <c r="AC732" s="122">
        <f t="shared" si="528"/>
        <v>0</v>
      </c>
      <c r="AD732" s="122">
        <f t="shared" si="528"/>
        <v>0</v>
      </c>
      <c r="AE732" s="674">
        <f t="shared" si="528"/>
        <v>0</v>
      </c>
      <c r="AF732" s="122">
        <f t="shared" si="528"/>
        <v>0</v>
      </c>
      <c r="AG732" s="122">
        <f t="shared" si="528"/>
        <v>0</v>
      </c>
      <c r="AH732" s="122">
        <f t="shared" si="528"/>
        <v>0</v>
      </c>
      <c r="AI732" s="122">
        <f t="shared" si="528"/>
        <v>0</v>
      </c>
      <c r="AJ732" s="674">
        <f t="shared" si="528"/>
        <v>0</v>
      </c>
      <c r="AK732" s="122">
        <f t="shared" si="528"/>
        <v>607.63</v>
      </c>
      <c r="AL732" s="122">
        <f t="shared" si="528"/>
        <v>685.48900000000003</v>
      </c>
      <c r="AM732" s="122">
        <f t="shared" si="528"/>
        <v>813.86099999999999</v>
      </c>
      <c r="AN732" s="122">
        <f t="shared" si="528"/>
        <v>913.70600000000002</v>
      </c>
      <c r="AO732" s="674">
        <f t="shared" si="528"/>
        <v>913.70600000000002</v>
      </c>
      <c r="AP732" s="122">
        <f t="shared" si="528"/>
        <v>838.90599999999995</v>
      </c>
      <c r="AQ732" s="122">
        <f t="shared" si="528"/>
        <v>863.13499999999999</v>
      </c>
      <c r="AR732" s="122">
        <f t="shared" si="528"/>
        <v>867.71100000000001</v>
      </c>
      <c r="AS732" s="122">
        <f t="shared" si="528"/>
        <v>967.24399999999991</v>
      </c>
      <c r="AT732" s="674">
        <f t="shared" si="528"/>
        <v>967.24399999999991</v>
      </c>
      <c r="AU732" s="122">
        <f t="shared" si="528"/>
        <v>920.93600000000004</v>
      </c>
      <c r="AV732" s="122">
        <f t="shared" si="528"/>
        <v>899.43100000000004</v>
      </c>
      <c r="AW732" s="122">
        <f t="shared" si="528"/>
        <v>867.59500000000003</v>
      </c>
      <c r="AX732" s="122">
        <f t="shared" si="528"/>
        <v>1002</v>
      </c>
      <c r="AY732" s="674">
        <f t="shared" si="528"/>
        <v>1002</v>
      </c>
      <c r="AZ732" s="122">
        <f t="shared" si="528"/>
        <v>881</v>
      </c>
      <c r="BA732" s="122">
        <f t="shared" si="528"/>
        <v>939</v>
      </c>
      <c r="BB732" s="122">
        <f t="shared" si="528"/>
        <v>909</v>
      </c>
      <c r="BC732" s="122">
        <f t="shared" si="528"/>
        <v>1018</v>
      </c>
      <c r="BD732" s="674">
        <f t="shared" si="528"/>
        <v>1018</v>
      </c>
      <c r="BE732" s="122">
        <f t="shared" si="528"/>
        <v>867</v>
      </c>
      <c r="BF732" s="122">
        <f t="shared" si="528"/>
        <v>861</v>
      </c>
      <c r="BG732" s="122">
        <f t="shared" si="528"/>
        <v>827</v>
      </c>
      <c r="BH732" s="122">
        <f t="shared" si="528"/>
        <v>995</v>
      </c>
      <c r="BI732" s="674">
        <f t="shared" si="528"/>
        <v>995</v>
      </c>
      <c r="BJ732" s="1274">
        <f>BJ971+BJ962</f>
        <v>1038</v>
      </c>
      <c r="BK732" s="118">
        <f t="shared" si="528"/>
        <v>1038</v>
      </c>
      <c r="BL732" s="118">
        <f t="shared" si="528"/>
        <v>1038</v>
      </c>
      <c r="BM732" s="118">
        <f t="shared" si="528"/>
        <v>1038</v>
      </c>
      <c r="BN732" s="401">
        <f t="shared" si="528"/>
        <v>1038</v>
      </c>
      <c r="BO732" s="118">
        <f t="shared" si="528"/>
        <v>1038</v>
      </c>
      <c r="BP732" s="118">
        <f t="shared" si="528"/>
        <v>1038</v>
      </c>
      <c r="BQ732" s="118">
        <f t="shared" si="528"/>
        <v>1038</v>
      </c>
      <c r="BR732" s="118">
        <f t="shared" ref="BR732:BY732" si="529">BR971+BR962</f>
        <v>1038</v>
      </c>
      <c r="BS732" s="401">
        <f t="shared" si="529"/>
        <v>1038</v>
      </c>
      <c r="BT732" s="401">
        <f t="shared" si="529"/>
        <v>1038</v>
      </c>
      <c r="BU732" s="401">
        <f t="shared" si="529"/>
        <v>1038</v>
      </c>
      <c r="BV732" s="401">
        <f t="shared" si="529"/>
        <v>1038</v>
      </c>
      <c r="BW732" s="122"/>
    </row>
    <row r="733" spans="1:75" x14ac:dyDescent="0.5">
      <c r="A733" s="122" t="s">
        <v>1307</v>
      </c>
      <c r="B733" s="513"/>
      <c r="C733" s="401"/>
      <c r="D733" s="401"/>
      <c r="E733" s="401"/>
      <c r="F733" s="674">
        <f>F731+F732-F728</f>
        <v>-101.146</v>
      </c>
      <c r="G733" s="118"/>
      <c r="H733" s="118"/>
      <c r="I733" s="118"/>
      <c r="J733" s="122">
        <f>J731+J732-J728</f>
        <v>-116.13399999999999</v>
      </c>
      <c r="K733" s="674">
        <f>K731+K732-K728</f>
        <v>-116.13399999999999</v>
      </c>
      <c r="L733" s="122">
        <f>L731+L732-L728</f>
        <v>-189.37400000000002</v>
      </c>
      <c r="M733" s="122">
        <f>M731+M732-M728</f>
        <v>-156.642</v>
      </c>
      <c r="N733" s="122">
        <f t="shared" ref="N733:BV733" si="530">N731+N732-N728</f>
        <v>-134.20999999999998</v>
      </c>
      <c r="O733" s="122">
        <f t="shared" si="530"/>
        <v>-415.85899999999998</v>
      </c>
      <c r="P733" s="674">
        <f t="shared" si="530"/>
        <v>-415.85899999999998</v>
      </c>
      <c r="Q733" s="122">
        <f t="shared" si="530"/>
        <v>-280.29499999999996</v>
      </c>
      <c r="R733" s="122">
        <f t="shared" si="530"/>
        <v>-287.99900000000002</v>
      </c>
      <c r="S733" s="122">
        <f t="shared" si="530"/>
        <v>-325.34399999999999</v>
      </c>
      <c r="T733" s="122">
        <f t="shared" si="530"/>
        <v>-386.07099999999997</v>
      </c>
      <c r="U733" s="674">
        <f t="shared" si="530"/>
        <v>-386.07099999999997</v>
      </c>
      <c r="V733" s="122">
        <f t="shared" si="530"/>
        <v>-309.45400000000001</v>
      </c>
      <c r="W733" s="122">
        <f t="shared" si="530"/>
        <v>-273.15500000000003</v>
      </c>
      <c r="X733" s="122">
        <f t="shared" si="530"/>
        <v>-263.91500000000002</v>
      </c>
      <c r="Y733" s="122">
        <f t="shared" si="530"/>
        <v>-319.68299999999999</v>
      </c>
      <c r="Z733" s="674">
        <f t="shared" si="530"/>
        <v>-319.68299999999999</v>
      </c>
      <c r="AA733" s="122">
        <f t="shared" si="530"/>
        <v>-235.143</v>
      </c>
      <c r="AB733" s="122">
        <f t="shared" si="530"/>
        <v>-197.60300000000001</v>
      </c>
      <c r="AC733" s="122">
        <f t="shared" si="530"/>
        <v>-208.28299999999996</v>
      </c>
      <c r="AD733" s="122">
        <f t="shared" si="530"/>
        <v>-204.50700000000012</v>
      </c>
      <c r="AE733" s="674">
        <f t="shared" si="530"/>
        <v>-204.50700000000012</v>
      </c>
      <c r="AF733" s="122">
        <f t="shared" si="530"/>
        <v>-162.29200000000003</v>
      </c>
      <c r="AG733" s="122">
        <f t="shared" si="530"/>
        <v>-123.96299999999997</v>
      </c>
      <c r="AH733" s="122">
        <f t="shared" si="530"/>
        <v>12.004000000000019</v>
      </c>
      <c r="AI733" s="122">
        <f t="shared" si="530"/>
        <v>-41.778999999999996</v>
      </c>
      <c r="AJ733" s="674">
        <f t="shared" si="530"/>
        <v>-41.778999999999996</v>
      </c>
      <c r="AK733" s="122">
        <f t="shared" si="530"/>
        <v>552.12400000000002</v>
      </c>
      <c r="AL733" s="122">
        <f t="shared" si="530"/>
        <v>732.6400000000001</v>
      </c>
      <c r="AM733" s="122">
        <f t="shared" si="530"/>
        <v>948.35400000000004</v>
      </c>
      <c r="AN733" s="122">
        <f t="shared" si="530"/>
        <v>1382.8959999999997</v>
      </c>
      <c r="AO733" s="674">
        <f t="shared" si="530"/>
        <v>1382.8959999999997</v>
      </c>
      <c r="AP733" s="122">
        <f t="shared" si="530"/>
        <v>1524.9969999999998</v>
      </c>
      <c r="AQ733" s="122">
        <f t="shared" si="530"/>
        <v>477.13099999999986</v>
      </c>
      <c r="AR733" s="122">
        <f t="shared" si="530"/>
        <v>1172.9220000000005</v>
      </c>
      <c r="AS733" s="122">
        <f t="shared" si="530"/>
        <v>1035.3490000000002</v>
      </c>
      <c r="AT733" s="674">
        <f t="shared" si="530"/>
        <v>1035.3490000000002</v>
      </c>
      <c r="AU733" s="122">
        <f t="shared" si="530"/>
        <v>1286.0190000000002</v>
      </c>
      <c r="AV733" s="122">
        <f t="shared" si="530"/>
        <v>1345.5730000000003</v>
      </c>
      <c r="AW733" s="122">
        <f t="shared" si="530"/>
        <v>1523.857</v>
      </c>
      <c r="AX733" s="122">
        <f t="shared" si="530"/>
        <v>1655</v>
      </c>
      <c r="AY733" s="674">
        <f t="shared" si="530"/>
        <v>1655</v>
      </c>
      <c r="AZ733" s="122">
        <f t="shared" si="530"/>
        <v>1948</v>
      </c>
      <c r="BA733" s="122">
        <f t="shared" si="530"/>
        <v>2258</v>
      </c>
      <c r="BB733" s="122">
        <f t="shared" si="530"/>
        <v>2755</v>
      </c>
      <c r="BC733" s="122">
        <f t="shared" si="530"/>
        <v>2877</v>
      </c>
      <c r="BD733" s="674">
        <f t="shared" si="530"/>
        <v>2877</v>
      </c>
      <c r="BE733" s="122">
        <f t="shared" si="530"/>
        <v>2957</v>
      </c>
      <c r="BF733" s="122">
        <f t="shared" si="530"/>
        <v>2813</v>
      </c>
      <c r="BG733" s="122">
        <f t="shared" si="530"/>
        <v>2753</v>
      </c>
      <c r="BH733" s="122">
        <f t="shared" si="530"/>
        <v>2853</v>
      </c>
      <c r="BI733" s="674">
        <f t="shared" si="530"/>
        <v>2853</v>
      </c>
      <c r="BJ733" s="1274">
        <f>BJ731+BJ732-BJ728</f>
        <v>3093</v>
      </c>
      <c r="BK733" s="118">
        <f t="shared" ca="1" si="530"/>
        <v>3179.4938270205257</v>
      </c>
      <c r="BL733" s="118">
        <f t="shared" ca="1" si="530"/>
        <v>3121.606325812998</v>
      </c>
      <c r="BM733" s="118">
        <f t="shared" ca="1" si="530"/>
        <v>3133.2770586059278</v>
      </c>
      <c r="BN733" s="401">
        <f t="shared" ca="1" si="530"/>
        <v>3133.2770586059278</v>
      </c>
      <c r="BO733" s="118">
        <f t="shared" ca="1" si="530"/>
        <v>3220.9437958212116</v>
      </c>
      <c r="BP733" s="118">
        <f t="shared" ca="1" si="530"/>
        <v>3305.5729264573474</v>
      </c>
      <c r="BQ733" s="118">
        <f t="shared" ca="1" si="530"/>
        <v>3231.1084144667821</v>
      </c>
      <c r="BR733" s="118">
        <f t="shared" ca="1" si="530"/>
        <v>3226.73911819759</v>
      </c>
      <c r="BS733" s="401">
        <f t="shared" ca="1" si="530"/>
        <v>3226.73911819759</v>
      </c>
      <c r="BT733" s="401">
        <f t="shared" ca="1" si="530"/>
        <v>3084.0498636769958</v>
      </c>
      <c r="BU733" s="401">
        <f t="shared" ca="1" si="530"/>
        <v>2694.4250665946802</v>
      </c>
      <c r="BV733" s="401">
        <f t="shared" ca="1" si="530"/>
        <v>2017.1643657037412</v>
      </c>
      <c r="BW733" s="122"/>
    </row>
    <row r="734" spans="1:75" x14ac:dyDescent="0.5">
      <c r="A734" s="118"/>
      <c r="B734" s="513"/>
      <c r="C734" s="401"/>
      <c r="D734" s="401"/>
      <c r="E734" s="401"/>
      <c r="F734" s="401"/>
      <c r="G734" s="118"/>
      <c r="H734" s="118"/>
      <c r="I734" s="118"/>
      <c r="J734" s="118"/>
      <c r="K734" s="401"/>
      <c r="L734" s="118"/>
      <c r="M734" s="118"/>
      <c r="N734" s="118"/>
      <c r="O734" s="118"/>
      <c r="P734" s="401"/>
      <c r="Q734" s="118"/>
      <c r="R734" s="118"/>
      <c r="S734" s="118"/>
      <c r="T734" s="118"/>
      <c r="U734" s="401"/>
      <c r="V734" s="118"/>
      <c r="W734" s="118"/>
      <c r="X734" s="118"/>
      <c r="Y734" s="118"/>
      <c r="Z734" s="401"/>
      <c r="AA734" s="118"/>
      <c r="AB734" s="118"/>
      <c r="AC734" s="118"/>
      <c r="AD734" s="118"/>
      <c r="AE734" s="401"/>
      <c r="AF734" s="118"/>
      <c r="AG734" s="118"/>
      <c r="AH734" s="118"/>
      <c r="AI734" s="118"/>
      <c r="AJ734" s="401"/>
      <c r="AK734" s="118"/>
      <c r="AL734" s="118"/>
      <c r="AM734" s="118"/>
      <c r="AN734" s="118"/>
      <c r="AO734" s="401"/>
      <c r="AP734" s="118"/>
      <c r="AQ734" s="118"/>
      <c r="AR734" s="118"/>
      <c r="AS734" s="118"/>
      <c r="AT734" s="401"/>
      <c r="AU734" s="118"/>
      <c r="AV734" s="118"/>
      <c r="AW734" s="118"/>
      <c r="AX734" s="118"/>
      <c r="AY734" s="401"/>
      <c r="AZ734" s="118"/>
      <c r="BA734" s="118"/>
      <c r="BB734" s="118"/>
      <c r="BC734" s="118"/>
      <c r="BD734" s="401"/>
      <c r="BE734" s="118"/>
      <c r="BF734" s="118"/>
      <c r="BG734" s="118"/>
      <c r="BH734" s="118"/>
      <c r="BI734" s="401"/>
      <c r="BJ734" s="971"/>
      <c r="BK734" s="118"/>
      <c r="BL734" s="118"/>
      <c r="BM734" s="118"/>
      <c r="BN734" s="401"/>
      <c r="BO734" s="118"/>
      <c r="BP734" s="118"/>
      <c r="BQ734" s="118"/>
      <c r="BR734" s="118"/>
      <c r="BS734" s="401"/>
      <c r="BT734" s="401"/>
      <c r="BU734" s="401"/>
      <c r="BV734" s="401"/>
      <c r="BW734" s="122"/>
    </row>
    <row r="735" spans="1:75" x14ac:dyDescent="0.5">
      <c r="A735" s="122" t="s">
        <v>2108</v>
      </c>
      <c r="B735" s="513"/>
      <c r="C735" s="186"/>
      <c r="D735" s="186"/>
      <c r="E735" s="186"/>
      <c r="F735" s="186"/>
      <c r="G735" s="187"/>
      <c r="H735" s="187"/>
      <c r="I735" s="187"/>
      <c r="J735" s="187"/>
      <c r="K735" s="186"/>
      <c r="L735" s="187"/>
      <c r="M735" s="187"/>
      <c r="N735" s="187"/>
      <c r="O735" s="187"/>
      <c r="P735" s="186"/>
      <c r="Q735" s="187"/>
      <c r="R735" s="187"/>
      <c r="S735" s="187"/>
      <c r="T735" s="187"/>
      <c r="U735" s="186"/>
      <c r="V735" s="187"/>
      <c r="W735" s="187"/>
      <c r="X735" s="187"/>
      <c r="Y735" s="187"/>
      <c r="Z735" s="186"/>
      <c r="AA735" s="187"/>
      <c r="AB735" s="187"/>
      <c r="AC735" s="187"/>
      <c r="AD735" s="187"/>
      <c r="AE735" s="186"/>
      <c r="AF735" s="187"/>
      <c r="AG735" s="187"/>
      <c r="AH735" s="187"/>
      <c r="AI735" s="187"/>
      <c r="AJ735" s="186"/>
      <c r="AK735" s="187"/>
      <c r="AL735" s="187"/>
      <c r="AM735" s="187"/>
      <c r="AN735" s="187"/>
      <c r="AO735" s="186"/>
      <c r="AP735" s="187"/>
      <c r="AQ735" s="187"/>
      <c r="AR735" s="187"/>
      <c r="AS735" s="187"/>
      <c r="AT735" s="186"/>
      <c r="AU735" s="187"/>
      <c r="AV735" s="187"/>
      <c r="AW735" s="187"/>
      <c r="AX735" s="187"/>
      <c r="AY735" s="186"/>
      <c r="AZ735" s="187"/>
      <c r="BA735" s="187"/>
      <c r="BB735" s="187"/>
      <c r="BC735" s="187"/>
      <c r="BD735" s="186"/>
      <c r="BE735" s="187"/>
      <c r="BF735" s="187"/>
      <c r="BG735" s="187"/>
      <c r="BH735" s="187"/>
      <c r="BI735" s="186"/>
      <c r="BJ735" s="1223"/>
      <c r="BK735" s="187">
        <f>MAX(0,BK736*AVERAGE(BJ731,BK731)*BK3/BN3)</f>
        <v>5.4323682159006559</v>
      </c>
      <c r="BL735" s="187">
        <f>MAX(0,BL736*AVERAGE(BK731,BL731)*BL3/BN3)</f>
        <v>5.49573727646706</v>
      </c>
      <c r="BM735" s="187">
        <f>MAX(0,BM736*AVERAGE(BL731,BM731)*BM3/BN3)</f>
        <v>5.399436609824301</v>
      </c>
      <c r="BN735" s="186" t="str">
        <f>IF(OR(ISBLANK(BJ735),ISBLANK(BK735),ISBLANK(BL735),ISBLANK(BM735)),"n/a",SUM(BJ735,BK735,BL735,BM735))</f>
        <v>n/a</v>
      </c>
      <c r="BO735" s="187">
        <f>MAX(0,BO736*AVERAGE(BN731,BO731)*BO3/BS3)</f>
        <v>5.2020242940453727</v>
      </c>
      <c r="BP735" s="187">
        <f>MAX(0,BP736*AVERAGE(BO731,BP731)*BP3/BS3)</f>
        <v>5.231215984438486</v>
      </c>
      <c r="BQ735" s="187">
        <f>MAX(0,BQ736*AVERAGE(BP731,BQ731)*BQ3/BS3)</f>
        <v>5.2598191636805467</v>
      </c>
      <c r="BR735" s="187">
        <f>MAX(0,BR736*AVERAGE(BQ731,BR731)*BR3/BS3)</f>
        <v>4.6169282339642708</v>
      </c>
      <c r="BS735" s="186">
        <f>IF(OR(ISBLANK(BO735),ISBLANK(BP735),ISBLANK(BQ735),ISBLANK(BR735)),"n/a",SUM(BO735,BP735,BQ735,BR735))</f>
        <v>20.309987676128674</v>
      </c>
      <c r="BT735" s="186">
        <f>MAX(0,BT736*AVERAGE(BS731,BT731))</f>
        <v>15.952270455842587</v>
      </c>
      <c r="BU735" s="186">
        <f>MAX(0,BU736*AVERAGE(BT731,BU731))</f>
        <v>17.212224770551927</v>
      </c>
      <c r="BV735" s="186">
        <f>MAX(0,BV736*AVERAGE(BU731,BV731))</f>
        <v>19.339562130177509</v>
      </c>
      <c r="BW735" s="122"/>
    </row>
    <row r="736" spans="1:75" x14ac:dyDescent="0.5">
      <c r="A736" s="197" t="s">
        <v>1312</v>
      </c>
      <c r="B736" s="522"/>
      <c r="C736" s="180"/>
      <c r="D736" s="180"/>
      <c r="E736" s="180"/>
      <c r="F736" s="180"/>
      <c r="G736" s="183"/>
      <c r="H736" s="183"/>
      <c r="I736" s="183"/>
      <c r="J736" s="183"/>
      <c r="K736" s="180"/>
      <c r="L736" s="183"/>
      <c r="M736" s="183"/>
      <c r="N736" s="183"/>
      <c r="O736" s="183"/>
      <c r="P736" s="180"/>
      <c r="Q736" s="183"/>
      <c r="R736" s="183"/>
      <c r="S736" s="183"/>
      <c r="T736" s="183"/>
      <c r="U736" s="180"/>
      <c r="V736" s="183"/>
      <c r="W736" s="183"/>
      <c r="X736" s="183"/>
      <c r="Y736" s="183"/>
      <c r="Z736" s="180"/>
      <c r="AA736" s="183"/>
      <c r="AB736" s="183"/>
      <c r="AC736" s="183"/>
      <c r="AD736" s="183"/>
      <c r="AE736" s="180"/>
      <c r="AF736" s="183"/>
      <c r="AG736" s="183"/>
      <c r="AH736" s="183"/>
      <c r="AI736" s="183"/>
      <c r="AJ736" s="180"/>
      <c r="AK736" s="183"/>
      <c r="AL736" s="183"/>
      <c r="AM736" s="183"/>
      <c r="AN736" s="183"/>
      <c r="AO736" s="180"/>
      <c r="AP736" s="183"/>
      <c r="AQ736" s="183"/>
      <c r="AR736" s="183"/>
      <c r="AS736" s="183"/>
      <c r="AT736" s="180"/>
      <c r="AU736" s="183"/>
      <c r="AV736" s="183"/>
      <c r="AW736" s="183"/>
      <c r="AX736" s="183"/>
      <c r="AY736" s="180"/>
      <c r="AZ736" s="183"/>
      <c r="BA736" s="183"/>
      <c r="BB736" s="183"/>
      <c r="BC736" s="183"/>
      <c r="BD736" s="180"/>
      <c r="BE736" s="183"/>
      <c r="BF736" s="183"/>
      <c r="BG736" s="183"/>
      <c r="BH736" s="183"/>
      <c r="BI736" s="180"/>
      <c r="BJ736" s="1112"/>
      <c r="BK736" s="881">
        <v>6.7999999999999996E-3</v>
      </c>
      <c r="BL736" s="881">
        <v>6.7999999999999996E-3</v>
      </c>
      <c r="BM736" s="881">
        <v>6.7999999999999996E-3</v>
      </c>
      <c r="BN736" s="180" t="str">
        <f>IFERROR(BN735/AVERAGE(BJ731,BK731,BL731,BM731),"n/a")</f>
        <v>n/a</v>
      </c>
      <c r="BO736" s="881">
        <v>6.7999999999999996E-3</v>
      </c>
      <c r="BP736" s="881">
        <v>6.7999999999999996E-3</v>
      </c>
      <c r="BQ736" s="881">
        <v>6.7999999999999996E-3</v>
      </c>
      <c r="BR736" s="881">
        <v>6.7999999999999996E-3</v>
      </c>
      <c r="BS736" s="180">
        <f>IFERROR(BS735/AVERAGE(BO731,BP731,BQ731,BR731),"n/a")</f>
        <v>7.0284801790754308E-3</v>
      </c>
      <c r="BT736" s="882">
        <v>6.7999999999999996E-3</v>
      </c>
      <c r="BU736" s="882">
        <v>6.7999999999999996E-3</v>
      </c>
      <c r="BV736" s="882">
        <v>6.7999999999999996E-3</v>
      </c>
      <c r="BW736" s="122"/>
    </row>
    <row r="737" spans="1:75" x14ac:dyDescent="0.5">
      <c r="A737" s="118" t="s">
        <v>1313</v>
      </c>
      <c r="B737" s="513"/>
      <c r="C737" s="186"/>
      <c r="D737" s="186"/>
      <c r="E737" s="186"/>
      <c r="F737" s="186"/>
      <c r="G737" s="187"/>
      <c r="H737" s="187"/>
      <c r="I737" s="187"/>
      <c r="J737" s="187"/>
      <c r="K737" s="186"/>
      <c r="L737" s="187"/>
      <c r="M737" s="187"/>
      <c r="N737" s="187"/>
      <c r="O737" s="187"/>
      <c r="P737" s="186"/>
      <c r="Q737" s="187"/>
      <c r="R737" s="187"/>
      <c r="S737" s="187"/>
      <c r="T737" s="187"/>
      <c r="U737" s="186"/>
      <c r="V737" s="187"/>
      <c r="W737" s="187"/>
      <c r="X737" s="187"/>
      <c r="Y737" s="187"/>
      <c r="Z737" s="186"/>
      <c r="AA737" s="187"/>
      <c r="AB737" s="187"/>
      <c r="AC737" s="187"/>
      <c r="AD737" s="187"/>
      <c r="AE737" s="186"/>
      <c r="AF737" s="187"/>
      <c r="AG737" s="187"/>
      <c r="AH737" s="187"/>
      <c r="AI737" s="187"/>
      <c r="AJ737" s="186"/>
      <c r="AK737" s="187"/>
      <c r="AL737" s="187"/>
      <c r="AM737" s="187"/>
      <c r="AN737" s="187"/>
      <c r="AO737" s="186"/>
      <c r="AP737" s="187"/>
      <c r="AQ737" s="187"/>
      <c r="AR737" s="187"/>
      <c r="AS737" s="187"/>
      <c r="AT737" s="186"/>
      <c r="AU737" s="187"/>
      <c r="AV737" s="187"/>
      <c r="AW737" s="187"/>
      <c r="AX737" s="187"/>
      <c r="AY737" s="186"/>
      <c r="AZ737" s="187"/>
      <c r="BA737" s="187"/>
      <c r="BB737" s="187"/>
      <c r="BC737" s="187"/>
      <c r="BD737" s="186"/>
      <c r="BE737" s="187"/>
      <c r="BF737" s="187"/>
      <c r="BG737" s="187"/>
      <c r="BH737" s="187"/>
      <c r="BI737" s="186"/>
      <c r="BJ737" s="1223"/>
      <c r="BK737" s="187">
        <f>MAX(0,BK738*BJ728*BK3/BN3)</f>
        <v>1.4383469945355194</v>
      </c>
      <c r="BL737" s="187">
        <f ca="1">MAX(0,BL738*BK728*BL3/BN3)</f>
        <v>1.3481306794409516</v>
      </c>
      <c r="BM737" s="187">
        <f ca="1">MAX(0,BM738*BL728*BM3/BN3)</f>
        <v>1.4236007388353973</v>
      </c>
      <c r="BN737" s="186" t="str">
        <f ca="1">IF(OR(ISBLANK(BJ737),ISBLANK(BK737),ISBLANK(BL737),ISBLANK(BM737)),"n/a",SUM(BJ737,BK737,BL737,BM737))</f>
        <v>n/a</v>
      </c>
      <c r="BO737" s="187">
        <f ca="1">MAX(0,BO738*BN728*BO3/BS3)</f>
        <v>1.2404967601570012</v>
      </c>
      <c r="BP737" s="187">
        <f ca="1">MAX(0,BP738*BO728*BP3/BS3)</f>
        <v>1.1476314392551215</v>
      </c>
      <c r="BQ737" s="187">
        <f ca="1">MAX(0,BQ738*BP728*BQ3/BS3)</f>
        <v>1.008389592963957</v>
      </c>
      <c r="BR737" s="187">
        <f ca="1">MAX(0,BR738*BQ728*BR3/BS3)</f>
        <v>1.1049579948778325</v>
      </c>
      <c r="BS737" s="186">
        <f ca="1">IF(OR(ISBLANK(BO737),ISBLANK(BP737),ISBLANK(BQ737),ISBLANK(BR737)),"n/a",SUM(BO737,BP737,BQ737,BR737))</f>
        <v>4.501475787253912</v>
      </c>
      <c r="BT737" s="186">
        <f ca="1">MAX(0,BT738*BS728)</f>
        <v>0.64396296117112062</v>
      </c>
      <c r="BU737" s="186">
        <f ca="1">MAX(0,BU738*BT728)</f>
        <v>1.64131338804799</v>
      </c>
      <c r="BV737" s="186">
        <f ca="1">MAX(0,BV738*BU728)</f>
        <v>5.1584072114052884</v>
      </c>
      <c r="BW737" s="122"/>
    </row>
    <row r="738" spans="1:75" x14ac:dyDescent="0.5">
      <c r="A738" s="295" t="s">
        <v>1314</v>
      </c>
      <c r="B738" s="522"/>
      <c r="C738" s="180"/>
      <c r="D738" s="180"/>
      <c r="E738" s="180"/>
      <c r="F738" s="180"/>
      <c r="G738" s="183"/>
      <c r="H738" s="183"/>
      <c r="I738" s="183"/>
      <c r="J738" s="183"/>
      <c r="K738" s="180"/>
      <c r="L738" s="183"/>
      <c r="M738" s="183"/>
      <c r="N738" s="183"/>
      <c r="O738" s="183"/>
      <c r="P738" s="180"/>
      <c r="Q738" s="183"/>
      <c r="R738" s="183"/>
      <c r="S738" s="183"/>
      <c r="T738" s="183"/>
      <c r="U738" s="180"/>
      <c r="V738" s="183"/>
      <c r="W738" s="183"/>
      <c r="X738" s="183"/>
      <c r="Y738" s="183"/>
      <c r="Z738" s="180"/>
      <c r="AA738" s="183"/>
      <c r="AB738" s="183"/>
      <c r="AC738" s="183"/>
      <c r="AD738" s="183"/>
      <c r="AE738" s="180"/>
      <c r="AF738" s="183"/>
      <c r="AG738" s="183"/>
      <c r="AH738" s="183"/>
      <c r="AI738" s="183"/>
      <c r="AJ738" s="180"/>
      <c r="AK738" s="183"/>
      <c r="AL738" s="183"/>
      <c r="AM738" s="183"/>
      <c r="AN738" s="183"/>
      <c r="AO738" s="180"/>
      <c r="AP738" s="183"/>
      <c r="AQ738" s="183"/>
      <c r="AR738" s="183"/>
      <c r="AS738" s="183"/>
      <c r="AT738" s="180"/>
      <c r="AU738" s="183"/>
      <c r="AV738" s="183"/>
      <c r="AW738" s="183"/>
      <c r="AX738" s="183"/>
      <c r="AY738" s="180"/>
      <c r="AZ738" s="183"/>
      <c r="BA738" s="183"/>
      <c r="BB738" s="183"/>
      <c r="BC738" s="183"/>
      <c r="BD738" s="180"/>
      <c r="BE738" s="183"/>
      <c r="BF738" s="183"/>
      <c r="BG738" s="183"/>
      <c r="BH738" s="183"/>
      <c r="BI738" s="180"/>
      <c r="BJ738" s="1112"/>
      <c r="BK738" s="881">
        <v>5.0000000000000001E-3</v>
      </c>
      <c r="BL738" s="881">
        <v>5.0000000000000001E-3</v>
      </c>
      <c r="BM738" s="881">
        <v>5.0000000000000001E-3</v>
      </c>
      <c r="BN738" s="180" t="str">
        <f ca="1">IFERROR(BN737/AVERAGE(BJ728,BK728,BL728,BM728),"n/a")</f>
        <v>n/a</v>
      </c>
      <c r="BO738" s="881">
        <v>5.0000000000000001E-3</v>
      </c>
      <c r="BP738" s="881">
        <v>5.0000000000000001E-3</v>
      </c>
      <c r="BQ738" s="881">
        <v>5.0000000000000001E-3</v>
      </c>
      <c r="BR738" s="881">
        <v>5.0000000000000001E-3</v>
      </c>
      <c r="BS738" s="180">
        <f ca="1">IFERROR(BS737/AVERAGE(BO728,BP728,BQ728,BR728),"n/a")</f>
        <v>6.6044828440282519E-3</v>
      </c>
      <c r="BT738" s="882">
        <v>5.0000000000000001E-3</v>
      </c>
      <c r="BU738" s="882">
        <v>5.0000000000000001E-3</v>
      </c>
      <c r="BV738" s="882">
        <v>5.0000000000000001E-3</v>
      </c>
      <c r="BW738" s="122"/>
    </row>
    <row r="739" spans="1:75" x14ac:dyDescent="0.5">
      <c r="A739" s="118" t="s">
        <v>1315</v>
      </c>
      <c r="B739" s="513"/>
      <c r="C739" s="186"/>
      <c r="D739" s="186"/>
      <c r="E739" s="186">
        <f t="shared" ref="E739:BJ739" si="531">E249</f>
        <v>-0.157</v>
      </c>
      <c r="F739" s="186">
        <f t="shared" si="531"/>
        <v>-0.23400000000000001</v>
      </c>
      <c r="G739" s="187">
        <f t="shared" si="531"/>
        <v>-6.7000000000000004E-2</v>
      </c>
      <c r="H739" s="187">
        <f t="shared" si="531"/>
        <v>-5.7000000000000002E-2</v>
      </c>
      <c r="I739" s="187">
        <f t="shared" si="531"/>
        <v>-6.0999999999999999E-2</v>
      </c>
      <c r="J739" s="187">
        <f t="shared" si="531"/>
        <v>-0.06</v>
      </c>
      <c r="K739" s="186">
        <f t="shared" si="531"/>
        <v>-0.245</v>
      </c>
      <c r="L739" s="187">
        <f t="shared" si="531"/>
        <v>-5.6000000000000001E-2</v>
      </c>
      <c r="M739" s="187">
        <f t="shared" si="531"/>
        <v>-7.6999999999999999E-2</v>
      </c>
      <c r="N739" s="187">
        <f t="shared" si="531"/>
        <v>-8.8999999999999996E-2</v>
      </c>
      <c r="O739" s="187">
        <f t="shared" si="531"/>
        <v>-0.128</v>
      </c>
      <c r="P739" s="186">
        <f t="shared" si="531"/>
        <v>-0.35</v>
      </c>
      <c r="Q739" s="187">
        <f t="shared" si="531"/>
        <v>-0.26400000000000001</v>
      </c>
      <c r="R739" s="187">
        <f t="shared" si="531"/>
        <v>-0.308</v>
      </c>
      <c r="S739" s="187">
        <f t="shared" si="531"/>
        <v>-0.32500000000000001</v>
      </c>
      <c r="T739" s="187">
        <f t="shared" si="531"/>
        <v>-0.38700000000000001</v>
      </c>
      <c r="U739" s="186">
        <f t="shared" si="531"/>
        <v>-1.284</v>
      </c>
      <c r="V739" s="187">
        <f t="shared" si="531"/>
        <v>-0.55200000000000005</v>
      </c>
      <c r="W739" s="187">
        <f t="shared" si="531"/>
        <v>-0.53100000000000003</v>
      </c>
      <c r="X739" s="187">
        <f t="shared" si="531"/>
        <v>0.29199999999999998</v>
      </c>
      <c r="Y739" s="187">
        <f t="shared" si="531"/>
        <v>9.7000000000000003E-2</v>
      </c>
      <c r="Z739" s="186">
        <f t="shared" si="531"/>
        <v>-0.69399999999999995</v>
      </c>
      <c r="AA739" s="187">
        <f t="shared" si="531"/>
        <v>0.29899999999999999</v>
      </c>
      <c r="AB739" s="187">
        <f t="shared" si="531"/>
        <v>1.55</v>
      </c>
      <c r="AC739" s="187">
        <f t="shared" si="531"/>
        <v>2.008</v>
      </c>
      <c r="AD739" s="187">
        <f t="shared" si="531"/>
        <v>5.5759999999999996</v>
      </c>
      <c r="AE739" s="186">
        <f t="shared" si="531"/>
        <v>9.4329999999999998</v>
      </c>
      <c r="AF739" s="187">
        <f t="shared" si="531"/>
        <v>5.407</v>
      </c>
      <c r="AG739" s="187">
        <f t="shared" si="531"/>
        <v>5.7960000000000003</v>
      </c>
      <c r="AH739" s="187">
        <f t="shared" si="531"/>
        <v>7.0659999999999998</v>
      </c>
      <c r="AI739" s="187">
        <f t="shared" si="531"/>
        <v>10.291</v>
      </c>
      <c r="AJ739" s="186">
        <f t="shared" si="531"/>
        <v>28.56</v>
      </c>
      <c r="AK739" s="187">
        <f t="shared" si="531"/>
        <v>9.2379999999999995</v>
      </c>
      <c r="AL739" s="187">
        <f t="shared" si="531"/>
        <v>10.252000000000001</v>
      </c>
      <c r="AM739" s="187">
        <f t="shared" si="531"/>
        <v>14.432</v>
      </c>
      <c r="AN739" s="187">
        <f t="shared" si="531"/>
        <v>20.591999999999999</v>
      </c>
      <c r="AO739" s="186">
        <f t="shared" si="531"/>
        <v>54.514000000000003</v>
      </c>
      <c r="AP739" s="187">
        <f t="shared" si="531"/>
        <v>22.218</v>
      </c>
      <c r="AQ739" s="187">
        <f t="shared" si="531"/>
        <v>28.939</v>
      </c>
      <c r="AR739" s="187">
        <f t="shared" si="531"/>
        <v>36.314999999999998</v>
      </c>
      <c r="AS739" s="187">
        <f t="shared" si="531"/>
        <v>58.924999999999997</v>
      </c>
      <c r="AT739" s="186">
        <f t="shared" si="531"/>
        <v>146.39699999999999</v>
      </c>
      <c r="AU739" s="187">
        <f t="shared" si="531"/>
        <v>6.8120000000000003</v>
      </c>
      <c r="AV739" s="187">
        <f t="shared" si="531"/>
        <v>8.4019999999999992</v>
      </c>
      <c r="AW739" s="187">
        <f t="shared" si="531"/>
        <v>8.4060000000000006</v>
      </c>
      <c r="AX739" s="187">
        <f t="shared" si="531"/>
        <v>8.3800000000000026</v>
      </c>
      <c r="AY739" s="186">
        <f t="shared" si="531"/>
        <v>32</v>
      </c>
      <c r="AZ739" s="187">
        <f t="shared" si="531"/>
        <v>8</v>
      </c>
      <c r="BA739" s="187">
        <f t="shared" si="531"/>
        <v>6</v>
      </c>
      <c r="BB739" s="187">
        <f t="shared" si="531"/>
        <v>5</v>
      </c>
      <c r="BC739" s="187">
        <f t="shared" si="531"/>
        <v>8</v>
      </c>
      <c r="BD739" s="186">
        <f t="shared" si="531"/>
        <v>27</v>
      </c>
      <c r="BE739" s="187">
        <f t="shared" si="531"/>
        <v>5</v>
      </c>
      <c r="BF739" s="187">
        <f t="shared" si="531"/>
        <v>5</v>
      </c>
      <c r="BG739" s="187">
        <f t="shared" si="531"/>
        <v>5</v>
      </c>
      <c r="BH739" s="187">
        <f t="shared" si="531"/>
        <v>2</v>
      </c>
      <c r="BI739" s="186">
        <f t="shared" si="531"/>
        <v>17</v>
      </c>
      <c r="BJ739" s="1223">
        <f t="shared" si="531"/>
        <v>6</v>
      </c>
      <c r="BK739" s="187">
        <f>IFERROR(BK735-BK737,"n/a")</f>
        <v>3.9940212213651365</v>
      </c>
      <c r="BL739" s="187">
        <f ca="1">IFERROR(BL735-BL737,"n/a")</f>
        <v>4.1476065970261082</v>
      </c>
      <c r="BM739" s="187">
        <f ca="1">IFERROR(BM735-BM737,"n/a")</f>
        <v>3.9758358709889037</v>
      </c>
      <c r="BN739" s="186">
        <f ca="1">SUM(BJ739,BK739,BL739,BM739)</f>
        <v>18.117463689380148</v>
      </c>
      <c r="BO739" s="187">
        <f ca="1">IFERROR(BO735-BO737,"n/a")</f>
        <v>3.9615275338883715</v>
      </c>
      <c r="BP739" s="187">
        <f ca="1">IFERROR(BP735-BP737,"n/a")</f>
        <v>4.0835845451833643</v>
      </c>
      <c r="BQ739" s="187">
        <f ca="1">IFERROR(BQ735-BQ737,"n/a")</f>
        <v>4.2514295707165894</v>
      </c>
      <c r="BR739" s="187">
        <f ca="1">IFERROR(BR735-BR737,"n/a")</f>
        <v>3.5119702390864385</v>
      </c>
      <c r="BS739" s="186">
        <f ca="1">SUM(BO739,BP739,BQ739,BR739)</f>
        <v>15.808511888874762</v>
      </c>
      <c r="BT739" s="186">
        <f ca="1">IFERROR(BT735-BT737,"n/a")</f>
        <v>15.308307494671467</v>
      </c>
      <c r="BU739" s="186">
        <f ca="1">IFERROR(BU735-BU737,"n/a")</f>
        <v>15.570911382503937</v>
      </c>
      <c r="BV739" s="186">
        <f ca="1">IFERROR(BV735-BV737,"n/a")</f>
        <v>14.18115491877222</v>
      </c>
      <c r="BW739" s="122"/>
    </row>
    <row r="740" spans="1:75" x14ac:dyDescent="0.5">
      <c r="A740" s="295" t="s">
        <v>1316</v>
      </c>
      <c r="B740" s="522"/>
      <c r="C740" s="180"/>
      <c r="D740" s="180"/>
      <c r="E740" s="180"/>
      <c r="F740" s="180"/>
      <c r="G740" s="183"/>
      <c r="H740" s="183"/>
      <c r="I740" s="183"/>
      <c r="J740" s="183"/>
      <c r="K740" s="180"/>
      <c r="L740" s="183" t="str">
        <f>IFERROR(IF(L739/AVERAGE(K731,L731)&lt;0,"n/a",L739/AVERAGE(K731,L731)*P3/L3),"n/a")</f>
        <v>n/a</v>
      </c>
      <c r="M740" s="183" t="str">
        <f>IFERROR(IF(M739/AVERAGE(L731,M731)&lt;0,"n/a",M739/AVERAGE(L731,M731)*Q3/M3),"n/a")</f>
        <v>n/a</v>
      </c>
      <c r="N740" s="183" t="str">
        <f>IFERROR(IF(N739/AVERAGE(M731,N731)&lt;0,"n/a",N739/AVERAGE(M731,N731)*R3/N3),"n/a")</f>
        <v>n/a</v>
      </c>
      <c r="O740" s="183" t="str">
        <f>IFERROR(IF(O739/AVERAGE(N731,O731)&lt;0,"n/a",O739/AVERAGE(N731,O731)*S3/O3),"n/a")</f>
        <v>n/a</v>
      </c>
      <c r="P740" s="180" t="str">
        <f>IFERROR(IF(P739/AVERAGE(L731,M731,N731,O731)&lt;0,"n/a",P739/AVERAGE(L731,M731,N731,O731)),"n/a")</f>
        <v>n/a</v>
      </c>
      <c r="Q740" s="183" t="str">
        <f>IFERROR(IF(Q739/AVERAGE(P731,Q731)&lt;0,"n/a",Q739/AVERAGE(P731,Q731)*U3/Q3),"n/a")</f>
        <v>n/a</v>
      </c>
      <c r="R740" s="183" t="str">
        <f>IFERROR(IF(R739/AVERAGE(Q731,R731)&lt;0,"n/a",R739/AVERAGE(Q731,R731)*U3/R3),"n/a")</f>
        <v>n/a</v>
      </c>
      <c r="S740" s="183" t="str">
        <f>IFERROR(IF(S739/AVERAGE(R731,S731)&lt;0,"n/a",S739/AVERAGE(R731,S731)*U3/S3),"n/a")</f>
        <v>n/a</v>
      </c>
      <c r="T740" s="183" t="str">
        <f>IFERROR(IF(T739/AVERAGE(S731,T731)&lt;0,"n/a",T739/AVERAGE(S731,T731)*U3/T3),"n/a")</f>
        <v>n/a</v>
      </c>
      <c r="U740" s="180" t="str">
        <f>IFERROR(IF(U739/AVERAGE(Q731,R731,S731,T731)&lt;0,"n/a",U739/AVERAGE(Q731,R731,S731,T731)),"n/a")</f>
        <v>n/a</v>
      </c>
      <c r="V740" s="183" t="str">
        <f>IFERROR(IF(V739/AVERAGE(U731,V731)&lt;0,"n/a",V739/AVERAGE(U731,V731)*Z3/V3),"n/a")</f>
        <v>n/a</v>
      </c>
      <c r="W740" s="183" t="str">
        <f>IFERROR(IF(W739/AVERAGE(V731,W731)&lt;0,"n/a",W739/AVERAGE(V731,W731)*Z3/W3),"n/a")</f>
        <v>n/a</v>
      </c>
      <c r="X740" s="183">
        <f>IFERROR(IF(X739/AVERAGE(W731,X731)&lt;0,"n/a",X739/AVERAGE(W731,X731)*Z3/X3),"n/a")</f>
        <v>3.9541567632685799E-2</v>
      </c>
      <c r="Y740" s="183">
        <f>IFERROR(IF(Y739/AVERAGE(X731,Y731)&lt;0,"n/a",Y739/AVERAGE(X731,Y731)*Z3/Y3),"n/a")</f>
        <v>1.3352640288852113E-2</v>
      </c>
      <c r="Z740" s="180" t="str">
        <f>IFERROR(IF(Z739/AVERAGE(V731,W731,X731,Y731)&lt;0,"n/a",Z739/AVERAGE(V731,W731,X731,Y731)),"n/a")</f>
        <v>n/a</v>
      </c>
      <c r="AA740" s="183">
        <f>IFERROR(IF(AA739/AVERAGE(Z731,AA731)&lt;0,"n/a",AA739/AVERAGE(Z731,AA731)*AE3/AA3),"n/a")</f>
        <v>3.4428639479603389E-2</v>
      </c>
      <c r="AB740" s="183">
        <f>IFERROR(IF(AB739/AVERAGE(AA731,AB731)&lt;0,"n/a",AB739/AVERAGE(AA731,AB731)*AE3/AB3),"n/a")</f>
        <v>0.12457985265776227</v>
      </c>
      <c r="AC740" s="183">
        <f>IFERROR(IF(AC739/AVERAGE(AB731,AC731)&lt;0,"n/a",AC739/AVERAGE(AB731,AC731)*AE3/AC3),"n/a")</f>
        <v>3.4606732532717788E-2</v>
      </c>
      <c r="AD740" s="183">
        <f>IFERROR(IF(AD739/AVERAGE(AC731,AD731)&lt;0,"n/a",AD739/AVERAGE(AC731,AD731)*AE3/AD3),"n/a")</f>
        <v>5.4113450746294686E-2</v>
      </c>
      <c r="AE740" s="180">
        <f>IFERROR(IF(AE739/AVERAGE(AA731,AB731,AC731,AD731)&lt;0,"n/a",AE739/AVERAGE(AA731,AB731,AC731,AD731)),"n/a")</f>
        <v>4.1127933466313507E-2</v>
      </c>
      <c r="AF740" s="183">
        <f>IFERROR(IF(AF739/AVERAGE(AE731,AF731)&lt;0,"n/a",AF739/AVERAGE(AE731,AF731)*AJ3/AF3),"n/a")</f>
        <v>5.2507303526458243E-2</v>
      </c>
      <c r="AG740" s="183">
        <f>IFERROR(IF(AG739/AVERAGE(AF731,AG731)&lt;0,"n/a",AG739/AVERAGE(AF731,AG731)*AJ3/AG3),"n/a")</f>
        <v>5.337003177885008E-2</v>
      </c>
      <c r="AH740" s="183">
        <f>IFERROR(IF(AH739/AVERAGE(AG731,AH731)&lt;0,"n/a",AH739/AVERAGE(AG731,AH731)*AJ3/AH3),"n/a")</f>
        <v>5.7087963793637501E-2</v>
      </c>
      <c r="AI740" s="183">
        <f>IFERROR(IF(AI739/AVERAGE(AH731,AI731)&lt;0,"n/a",AI739/AVERAGE(AH731,AI731)*AJ3/AI3),"n/a")</f>
        <v>5.6212102401454266E-2</v>
      </c>
      <c r="AJ740" s="180">
        <f>IFERROR(IF(AJ739/AVERAGE(AF731,AG731,AH731,AI731)&lt;0,"n/a",AJ739/AVERAGE(AF731,AG731,AH731,AI731)),"n/a")</f>
        <v>4.9159905243249861E-2</v>
      </c>
      <c r="AK740" s="183">
        <f>IFERROR(IF(AK739/AVERAGE(AJ731,AK731)&lt;0,"n/a",AK739/AVERAGE(AJ731,AK731)*AO3/AK3),"n/a")</f>
        <v>4.4811750168316331E-2</v>
      </c>
      <c r="AL740" s="183">
        <f>IFERROR(IF(AL739/AVERAGE(AK731,AL731)&lt;0,"n/a",AL739/AVERAGE(AK731,AL731)*AO3/AL3),"n/a")</f>
        <v>5.4401041621235303E-2</v>
      </c>
      <c r="AM740" s="183">
        <f>IFERROR(IF(AM739/AVERAGE(AL731,AM731)&lt;0,"n/a",AM739/AVERAGE(AL731,AM731)*AO3/AM3),"n/a")</f>
        <v>5.2110656281388369E-2</v>
      </c>
      <c r="AN740" s="183">
        <f>IFERROR(IF(AN739/AVERAGE(AM731,AN731)&lt;0,"n/a",AN739/AVERAGE(AM731,AN731)*AO3/AN3),"n/a")</f>
        <v>5.6495902827840894E-2</v>
      </c>
      <c r="AO740" s="180">
        <f>IFERROR(IF(AO739/AVERAGE(AK731,AL731,AM731,AN731)&lt;0,"n/a",AO739/AVERAGE(AK731,AL731,AM731,AN731)),"n/a")</f>
        <v>4.9514496528290278E-2</v>
      </c>
      <c r="AP740" s="183">
        <f>IFERROR(IF(AP739/AVERAGE(AO731,AP731)&lt;0,"n/a",AP739/AVERAGE(AO731,AP731)*AT3/AP3),"n/a")</f>
        <v>5.8920230940866139E-2</v>
      </c>
      <c r="AQ740" s="183">
        <f>IFERROR(IF(AQ739/AVERAGE(AP731,AQ731)&lt;0,"n/a",AQ739/AVERAGE(AP731,AQ731)*AT3/AQ3),"n/a")</f>
        <v>6.5291902283197784E-2</v>
      </c>
      <c r="AR740" s="183">
        <f>IFERROR(IF(AR739/AVERAGE(AQ731,AR731)&lt;0,"n/a",AR739/AVERAGE(AQ731,AR731)*AT3/AR3),"n/a")</f>
        <v>5.9571207459036282E-2</v>
      </c>
      <c r="AS740" s="183">
        <f>IFERROR(IF(AS739/AVERAGE(AR731,AS731)&lt;0,"n/a",AS739/AVERAGE(AR731,AS731)*AT3/AS3),"n/a")</f>
        <v>8.4913230624358779E-2</v>
      </c>
      <c r="AT740" s="180">
        <f>IFERROR(IF(AT739/AVERAGE(AP731,AQ731,AR731,AS731)&lt;0,"n/a",AT739/AVERAGE(AP731,AQ731,AR731,AS731)),"n/a")</f>
        <v>6.4444801500221194E-2</v>
      </c>
      <c r="AU740" s="183">
        <f>IFERROR(IF(AU739/AVERAGE(AT731,AU731)&lt;0,"n/a",AU739/AVERAGE(AT731,AU731)*AY3/AU3),"n/a")</f>
        <v>9.6607207917720657E-3</v>
      </c>
      <c r="AV740" s="183">
        <f>IFERROR(IF(AV739/AVERAGE(AU731,AV731)&lt;0,"n/a",AV739/AVERAGE(AU731,AV731)*AY3/AV3),"n/a")</f>
        <v>1.1034682837938656E-2</v>
      </c>
      <c r="AW740" s="183">
        <f>IFERROR(IF(AW739/AVERAGE(AV731,AW731)&lt;0,"n/a",AW739/AVERAGE(AV731,AW731)*AY3/AW3),"n/a")</f>
        <v>1.0938949084798231E-2</v>
      </c>
      <c r="AX740" s="183">
        <f>IFERROR(IF(AX739/AVERAGE(AW731,AX731)&lt;0,"n/a",AX739/AVERAGE(AW731,AX731)*AY3/AX3),"n/a")</f>
        <v>1.0897935050273842E-2</v>
      </c>
      <c r="AY740" s="180">
        <f>IFERROR(IF(AY739/AVERAGE(AU731,AV731,AW731,AX731)&lt;0,"n/a",AY739/AVERAGE(AU731,AV731,AW731,AX731)),"n/a")</f>
        <v>1.048359771519816E-2</v>
      </c>
      <c r="AZ740" s="183">
        <f>IFERROR(IF(AZ739/AVERAGE(AY731,AZ731)&lt;0,"n/a",AZ739/AVERAGE(AY731,AZ731)*BD3/AZ3),"n/a")</f>
        <v>1.062706991301816E-2</v>
      </c>
      <c r="BA740" s="183">
        <f>IFERROR(IF(BA739/AVERAGE(AZ731,BA731)&lt;0,"n/a",BA739/AVERAGE(AZ731,BA731)*BD3/BA3),"n/a")</f>
        <v>7.876267080979894E-3</v>
      </c>
      <c r="BB740" s="183">
        <f>IFERROR(IF(BB739/AVERAGE(BA731,BB731)&lt;0,"n/a",BB739/AVERAGE(BA731,BB731)*BD3/BB3),"n/a")</f>
        <v>6.4083206337390173E-3</v>
      </c>
      <c r="BC740" s="183">
        <f>IFERROR(IF(BC739/AVERAGE(BB731,BC731)&lt;0,"n/a",BC739/AVERAGE(BB731,BC731)*BD3/BC3),"n/a")</f>
        <v>1.012251010517704E-2</v>
      </c>
      <c r="BD740" s="180">
        <f>IFERROR(IF(BD739/AVERAGE(AZ731,BA731,BB731,BC731)&lt;0,"n/a",BD739/AVERAGE(AZ731,BA731,BB731,BC731)),"n/a")</f>
        <v>8.7223388790179292E-3</v>
      </c>
      <c r="BE740" s="183">
        <f>IFERROR(IF(BE739/AVERAGE(BD731,BE731)&lt;0,"n/a",BE739/AVERAGE(BD731,BE731)*BI3/BE3),"n/a")</f>
        <v>6.4630367419212043E-3</v>
      </c>
      <c r="BF740" s="183">
        <f>IFERROR(IF(BF739/AVERAGE(BE731,BF731)&lt;0,"n/a",BF739/AVERAGE(BE731,BF731)*BI3/BF3),"n/a")</f>
        <v>6.3234889027100919E-3</v>
      </c>
      <c r="BG740" s="183">
        <f>IFERROR(IF(BG739/AVERAGE(BF731,BG731)&lt;0,"n/a",BG739/AVERAGE(BF731,BG731)*BI3/BG3),"n/a")</f>
        <v>6.1874474490764605E-3</v>
      </c>
      <c r="BH740" s="183">
        <f>IFERROR(IF(BH739/AVERAGE(BG731,BH731)&lt;0,"n/a",BH739/AVERAGE(BG731,BH731)*BI3/BH3),"n/a")</f>
        <v>2.4734359752791933E-3</v>
      </c>
      <c r="BI740" s="180">
        <f>IFERROR(IF(BI739/AVERAGE(BE731,BF731,BG731,BH731)&lt;0,"n/a",BI739/AVERAGE(BE731,BF731,BG731,BH731)),"n/a")</f>
        <v>5.3295712830159101E-3</v>
      </c>
      <c r="BJ740" s="1112">
        <f>IFERROR(IF(BJ739/AVERAGE(BI731,BJ731)&lt;0,"n/a",BJ739/AVERAGE(BI731,BJ731)*BN3/BJ3),"n/a")</f>
        <v>7.516545127509152E-3</v>
      </c>
      <c r="BK740" s="183">
        <f>IFERROR(IF(BK739/AVERAGE(BJ731,BK731)&lt;0,"n/a",BK739/AVERAGE(BJ731,BK731)*BN3/BK3),"n/a")</f>
        <v>4.9995403893622224E-3</v>
      </c>
      <c r="BL740" s="183">
        <f ca="1">IFERROR(IF(BL739/AVERAGE(BK731,BL731)&lt;0,"n/a",BL739/AVERAGE(BK731,BL731)*BN3/BL3),"n/a")</f>
        <v>5.1319274268344078E-3</v>
      </c>
      <c r="BM740" s="183">
        <f ca="1">IFERROR(IF(BM739/AVERAGE(BL731,BM731)&lt;0,"n/a",BM739/AVERAGE(BL731,BM731)*BN3/BM3),"n/a")</f>
        <v>5.00713053534752E-3</v>
      </c>
      <c r="BN740" s="180">
        <f ca="1">IFERROR(IF(BN739/AVERAGE(BJ731,BK731,BL731,BM731)&lt;0,"n/a",BN739/AVERAGE(BJ731,BK731,BL731,BM731)),"n/a")</f>
        <v>5.6866343892120622E-3</v>
      </c>
      <c r="BO740" s="183">
        <f ca="1">IFERROR(IF(BO739/AVERAGE(BN731,BO731)&lt;0,"n/a",BO739/AVERAGE(BN731,BO731)*BS3/BO3),"n/a")</f>
        <v>5.1784431805281302E-3</v>
      </c>
      <c r="BP740" s="183">
        <f ca="1">IFERROR(IF(BP739/AVERAGE(BO731,BP731)&lt;0,"n/a",BP739/AVERAGE(BO731,BP731)*BS3/BP3),"n/a")</f>
        <v>5.3082065412421529E-3</v>
      </c>
      <c r="BQ740" s="183">
        <f ca="1">IFERROR(IF(BQ739/AVERAGE(BP731,BQ731)&lt;0,"n/a",BQ739/AVERAGE(BP731,BQ731)*BS3/BQ3),"n/a")</f>
        <v>5.4963336535401516E-3</v>
      </c>
      <c r="BR740" s="183">
        <f ca="1">IFERROR(IF(BR739/AVERAGE(BQ731,BR731)&lt;0,"n/a",BR739/AVERAGE(BQ731,BR731)*BS3/BR3),"n/a")</f>
        <v>5.1725728483507953E-3</v>
      </c>
      <c r="BS740" s="180">
        <f ca="1">IFERROR(IF(BS739/AVERAGE(BO731,BP731,BQ731,BR731)&lt;0,"n/a",BS739/AVERAGE(BO731,BP731,BQ731,BR731)),"n/a")</f>
        <v>5.4706981729106307E-3</v>
      </c>
      <c r="BT740" s="180">
        <f ca="1">IFERROR(IF(BT739/AVERAGE(BS731,BT731)&lt;0,"n/a",BT739/AVERAGE(BS731,BT731)),"n/a")</f>
        <v>6.5254968721797334E-3</v>
      </c>
      <c r="BU740" s="180">
        <f ca="1">IFERROR(IF(BU739/AVERAGE(BT731,BU731)&lt;0,"n/a",BU739/AVERAGE(BT731,BU731)),"n/a")</f>
        <v>6.1515695276172918E-3</v>
      </c>
      <c r="BV740" s="180">
        <f ca="1">IFERROR(IF(BV739/AVERAGE(BU731,BV731)&lt;0,"n/a",BV739/AVERAGE(BU731,BV731)),"n/a")</f>
        <v>4.9862480235360945E-3</v>
      </c>
      <c r="BW740" s="122"/>
    </row>
    <row r="741" spans="1:75" x14ac:dyDescent="0.5">
      <c r="A741" s="295"/>
      <c r="B741" s="522"/>
      <c r="C741" s="180"/>
      <c r="D741" s="180"/>
      <c r="E741" s="180"/>
      <c r="F741" s="180"/>
      <c r="G741" s="183"/>
      <c r="H741" s="183"/>
      <c r="I741" s="183"/>
      <c r="J741" s="183"/>
      <c r="K741" s="180"/>
      <c r="L741" s="183"/>
      <c r="M741" s="183"/>
      <c r="N741" s="183"/>
      <c r="O741" s="183"/>
      <c r="P741" s="180"/>
      <c r="Q741" s="183"/>
      <c r="R741" s="183"/>
      <c r="S741" s="183"/>
      <c r="T741" s="183"/>
      <c r="U741" s="180"/>
      <c r="V741" s="183"/>
      <c r="W741" s="183"/>
      <c r="X741" s="183"/>
      <c r="Y741" s="183"/>
      <c r="Z741" s="180"/>
      <c r="AA741" s="183"/>
      <c r="AB741" s="183"/>
      <c r="AC741" s="183"/>
      <c r="AD741" s="183"/>
      <c r="AE741" s="180"/>
      <c r="AF741" s="183"/>
      <c r="AG741" s="183"/>
      <c r="AH741" s="183"/>
      <c r="AI741" s="183"/>
      <c r="AJ741" s="180"/>
      <c r="AK741" s="183"/>
      <c r="AL741" s="183"/>
      <c r="AM741" s="183"/>
      <c r="AN741" s="183"/>
      <c r="AO741" s="180"/>
      <c r="AP741" s="183"/>
      <c r="AQ741" s="183"/>
      <c r="AR741" s="183"/>
      <c r="AS741" s="183"/>
      <c r="AT741" s="180"/>
      <c r="AU741" s="183"/>
      <c r="AV741" s="183"/>
      <c r="AW741" s="183"/>
      <c r="AX741" s="183"/>
      <c r="AY741" s="180"/>
      <c r="AZ741" s="183"/>
      <c r="BA741" s="183"/>
      <c r="BB741" s="183"/>
      <c r="BC741" s="183"/>
      <c r="BD741" s="180"/>
      <c r="BE741" s="183"/>
      <c r="BF741" s="183"/>
      <c r="BG741" s="183"/>
      <c r="BH741" s="183"/>
      <c r="BI741" s="180"/>
      <c r="BJ741" s="1112"/>
      <c r="BK741" s="183"/>
      <c r="BL741" s="183"/>
      <c r="BM741" s="183"/>
      <c r="BN741" s="180"/>
      <c r="BO741" s="183"/>
      <c r="BP741" s="183"/>
      <c r="BQ741" s="183"/>
      <c r="BR741" s="183"/>
      <c r="BS741" s="180"/>
      <c r="BT741" s="180"/>
      <c r="BU741" s="180"/>
      <c r="BV741" s="180"/>
      <c r="BW741" s="122"/>
    </row>
    <row r="742" spans="1:75" x14ac:dyDescent="0.5">
      <c r="A742" s="295" t="s">
        <v>1317</v>
      </c>
      <c r="B742" s="522"/>
      <c r="C742" s="883"/>
      <c r="D742" s="883"/>
      <c r="E742" s="883" t="str">
        <f t="shared" ref="E742:BP742" si="532">IFERROR(IF(OR(E245&lt;0,E739&lt;0),"n/a",E245/E739),"n/a")</f>
        <v>n/a</v>
      </c>
      <c r="F742" s="883" t="str">
        <f t="shared" si="532"/>
        <v>n/a</v>
      </c>
      <c r="G742" s="884" t="str">
        <f t="shared" si="532"/>
        <v>n/a</v>
      </c>
      <c r="H742" s="884" t="str">
        <f t="shared" si="532"/>
        <v>n/a</v>
      </c>
      <c r="I742" s="884" t="str">
        <f t="shared" si="532"/>
        <v>n/a</v>
      </c>
      <c r="J742" s="884" t="str">
        <f t="shared" si="532"/>
        <v>n/a</v>
      </c>
      <c r="K742" s="883" t="str">
        <f t="shared" si="532"/>
        <v>n/a</v>
      </c>
      <c r="L742" s="884" t="str">
        <f t="shared" si="532"/>
        <v>n/a</v>
      </c>
      <c r="M742" s="884" t="str">
        <f t="shared" si="532"/>
        <v>n/a</v>
      </c>
      <c r="N742" s="884" t="str">
        <f t="shared" si="532"/>
        <v>n/a</v>
      </c>
      <c r="O742" s="884" t="str">
        <f t="shared" si="532"/>
        <v>n/a</v>
      </c>
      <c r="P742" s="883" t="str">
        <f t="shared" si="532"/>
        <v>n/a</v>
      </c>
      <c r="Q742" s="884" t="str">
        <f t="shared" si="532"/>
        <v>n/a</v>
      </c>
      <c r="R742" s="884" t="str">
        <f t="shared" si="532"/>
        <v>n/a</v>
      </c>
      <c r="S742" s="884" t="str">
        <f t="shared" si="532"/>
        <v>n/a</v>
      </c>
      <c r="T742" s="884" t="str">
        <f t="shared" si="532"/>
        <v>n/a</v>
      </c>
      <c r="U742" s="883" t="str">
        <f t="shared" si="532"/>
        <v>n/a</v>
      </c>
      <c r="V742" s="884" t="str">
        <f t="shared" si="532"/>
        <v>n/a</v>
      </c>
      <c r="W742" s="884" t="str">
        <f t="shared" si="532"/>
        <v>n/a</v>
      </c>
      <c r="X742" s="884" t="str">
        <f t="shared" si="532"/>
        <v>n/a</v>
      </c>
      <c r="Y742" s="884" t="str">
        <f t="shared" si="532"/>
        <v>n/a</v>
      </c>
      <c r="Z742" s="883" t="str">
        <f t="shared" si="532"/>
        <v>n/a</v>
      </c>
      <c r="AA742" s="884" t="str">
        <f t="shared" si="532"/>
        <v>n/a</v>
      </c>
      <c r="AB742" s="884" t="str">
        <f t="shared" si="532"/>
        <v>n/a</v>
      </c>
      <c r="AC742" s="884" t="str">
        <f t="shared" si="532"/>
        <v>n/a</v>
      </c>
      <c r="AD742" s="884" t="str">
        <f t="shared" si="532"/>
        <v>n/a</v>
      </c>
      <c r="AE742" s="883" t="str">
        <f t="shared" si="532"/>
        <v>n/a</v>
      </c>
      <c r="AF742" s="884" t="str">
        <f t="shared" si="532"/>
        <v>n/a</v>
      </c>
      <c r="AG742" s="884" t="str">
        <f t="shared" si="532"/>
        <v>n/a</v>
      </c>
      <c r="AH742" s="884" t="str">
        <f t="shared" si="532"/>
        <v>n/a</v>
      </c>
      <c r="AI742" s="884" t="str">
        <f t="shared" si="532"/>
        <v>n/a</v>
      </c>
      <c r="AJ742" s="883" t="str">
        <f t="shared" si="532"/>
        <v>n/a</v>
      </c>
      <c r="AK742" s="884" t="str">
        <f t="shared" si="532"/>
        <v>n/a</v>
      </c>
      <c r="AL742" s="884" t="str">
        <f t="shared" si="532"/>
        <v>n/a</v>
      </c>
      <c r="AM742" s="884" t="str">
        <f t="shared" si="532"/>
        <v>n/a</v>
      </c>
      <c r="AN742" s="884" t="str">
        <f t="shared" si="532"/>
        <v>n/a</v>
      </c>
      <c r="AO742" s="883" t="str">
        <f t="shared" si="532"/>
        <v>n/a</v>
      </c>
      <c r="AP742" s="884" t="str">
        <f t="shared" si="532"/>
        <v>n/a</v>
      </c>
      <c r="AQ742" s="884">
        <f t="shared" si="532"/>
        <v>15.197933584436219</v>
      </c>
      <c r="AR742" s="884">
        <f t="shared" si="532"/>
        <v>10.219248244527066</v>
      </c>
      <c r="AS742" s="884">
        <f t="shared" si="532"/>
        <v>4.4673737802291082</v>
      </c>
      <c r="AT742" s="883">
        <f t="shared" si="532"/>
        <v>6.4679467475426424</v>
      </c>
      <c r="AU742" s="884">
        <f t="shared" si="532"/>
        <v>30.206547269524364</v>
      </c>
      <c r="AV742" s="884">
        <f t="shared" si="532"/>
        <v>36.995953344441858</v>
      </c>
      <c r="AW742" s="884">
        <f t="shared" si="532"/>
        <v>12.021294313585535</v>
      </c>
      <c r="AX742" s="884" t="str">
        <f t="shared" si="532"/>
        <v>n/a</v>
      </c>
      <c r="AY742" s="883">
        <f t="shared" si="532"/>
        <v>19.1875</v>
      </c>
      <c r="AZ742" s="884" t="str">
        <f t="shared" si="532"/>
        <v>n/a</v>
      </c>
      <c r="BA742" s="884" t="str">
        <f t="shared" si="532"/>
        <v>n/a</v>
      </c>
      <c r="BB742" s="884" t="str">
        <f t="shared" si="532"/>
        <v>n/a</v>
      </c>
      <c r="BC742" s="884" t="str">
        <f t="shared" si="532"/>
        <v>n/a</v>
      </c>
      <c r="BD742" s="883" t="str">
        <f t="shared" si="532"/>
        <v>n/a</v>
      </c>
      <c r="BE742" s="884" t="str">
        <f t="shared" si="532"/>
        <v>n/a</v>
      </c>
      <c r="BF742" s="884">
        <f t="shared" si="532"/>
        <v>25.6</v>
      </c>
      <c r="BG742" s="884">
        <f t="shared" si="532"/>
        <v>20</v>
      </c>
      <c r="BH742" s="884">
        <f t="shared" si="532"/>
        <v>46</v>
      </c>
      <c r="BI742" s="883">
        <f t="shared" si="532"/>
        <v>18</v>
      </c>
      <c r="BJ742" s="1339">
        <f t="shared" si="532"/>
        <v>12.5</v>
      </c>
      <c r="BK742" s="884">
        <f t="shared" si="532"/>
        <v>40.485816370377364</v>
      </c>
      <c r="BL742" s="884">
        <f t="shared" ca="1" si="532"/>
        <v>13.938745006785419</v>
      </c>
      <c r="BM742" s="884">
        <f t="shared" ca="1" si="532"/>
        <v>10.902920367256456</v>
      </c>
      <c r="BN742" s="883">
        <f t="shared" ca="1" si="532"/>
        <v>18.648408418486536</v>
      </c>
      <c r="BO742" s="884">
        <f t="shared" ca="1" si="532"/>
        <v>24.88584367836058</v>
      </c>
      <c r="BP742" s="884">
        <f t="shared" ca="1" si="532"/>
        <v>3.9269359390676128</v>
      </c>
      <c r="BQ742" s="884">
        <f t="shared" ref="BQ742:BV742" ca="1" si="533">IFERROR(IF(OR(BQ245&lt;0,BQ739&lt;0),"n/a",BQ245/BQ739),"n/a")</f>
        <v>14.268951193668522</v>
      </c>
      <c r="BR742" s="884">
        <f t="shared" ca="1" si="533"/>
        <v>13.039340640687234</v>
      </c>
      <c r="BS742" s="883">
        <f t="shared" ca="1" si="533"/>
        <v>13.984817085625332</v>
      </c>
      <c r="BT742" s="883">
        <f t="shared" ca="1" si="533"/>
        <v>29.17957871546751</v>
      </c>
      <c r="BU742" s="883">
        <f t="shared" ca="1" si="533"/>
        <v>44.518006584567132</v>
      </c>
      <c r="BV742" s="883">
        <f t="shared" ca="1" si="533"/>
        <v>69.040311328950651</v>
      </c>
      <c r="BW742" s="122"/>
    </row>
    <row r="743" spans="1:75" x14ac:dyDescent="0.5">
      <c r="A743" s="1340" t="s">
        <v>1318</v>
      </c>
      <c r="B743" s="887"/>
      <c r="C743" s="883"/>
      <c r="D743" s="883"/>
      <c r="E743" s="883"/>
      <c r="F743" s="1341" t="str">
        <f>IF(F733&lt;0,"n/a",F733/F245)</f>
        <v>n/a</v>
      </c>
      <c r="G743" s="884"/>
      <c r="H743" s="884"/>
      <c r="I743" s="884"/>
      <c r="J743" s="884"/>
      <c r="K743" s="1341" t="str">
        <f>IF(K733&lt;0,"n/a",K733/K245)</f>
        <v>n/a</v>
      </c>
      <c r="L743" s="884"/>
      <c r="M743" s="884"/>
      <c r="N743" s="884"/>
      <c r="O743" s="884"/>
      <c r="P743" s="1341" t="str">
        <f>IF(P733&lt;0,"n/a",P733/P245)</f>
        <v>n/a</v>
      </c>
      <c r="Q743" s="884"/>
      <c r="R743" s="884"/>
      <c r="S743" s="884"/>
      <c r="T743" s="884"/>
      <c r="U743" s="1341" t="str">
        <f>IF(U733&lt;0,"n/a",U733/U245)</f>
        <v>n/a</v>
      </c>
      <c r="V743" s="884"/>
      <c r="W743" s="884"/>
      <c r="X743" s="884"/>
      <c r="Y743" s="888"/>
      <c r="Z743" s="1341" t="str">
        <f>IF(Z733&lt;0,"n/a",Z733/Z245)</f>
        <v>n/a</v>
      </c>
      <c r="AA743" s="888"/>
      <c r="AB743" s="884"/>
      <c r="AC743" s="884"/>
      <c r="AD743" s="888"/>
      <c r="AE743" s="1341" t="str">
        <f>IF(AE733&lt;0,"n/a",AE733/AE245)</f>
        <v>n/a</v>
      </c>
      <c r="AF743" s="888"/>
      <c r="AG743" s="884"/>
      <c r="AH743" s="884"/>
      <c r="AI743" s="888"/>
      <c r="AJ743" s="1341" t="str">
        <f>IF(AJ733&lt;0,"n/a",AJ733/AJ245)</f>
        <v>n/a</v>
      </c>
      <c r="AK743" s="888"/>
      <c r="AL743" s="884"/>
      <c r="AM743" s="884"/>
      <c r="AN743" s="888"/>
      <c r="AO743" s="1341">
        <f>IF(AO733&lt;0,"n/a",AO733/AO245)</f>
        <v>-2.7850422117677387</v>
      </c>
      <c r="AP743" s="888"/>
      <c r="AQ743" s="884"/>
      <c r="AR743" s="884"/>
      <c r="AS743" s="888"/>
      <c r="AT743" s="1341">
        <f>IF(AT733&lt;0,"n/a",AT733/AT245)</f>
        <v>1.0934228757783391</v>
      </c>
      <c r="AU743" s="888"/>
      <c r="AV743" s="884"/>
      <c r="AW743" s="884"/>
      <c r="AX743" s="888"/>
      <c r="AY743" s="1341">
        <f>IF(AY733&lt;0,"n/a",AY733/AY245)</f>
        <v>2.6954397394136809</v>
      </c>
      <c r="AZ743" s="888"/>
      <c r="BA743" s="884"/>
      <c r="BB743" s="884"/>
      <c r="BC743" s="888"/>
      <c r="BD743" s="1341">
        <f>IF(BD733&lt;0,"n/a",BD733/BD245)</f>
        <v>-6.915865384615385</v>
      </c>
      <c r="BE743" s="888"/>
      <c r="BF743" s="884"/>
      <c r="BG743" s="884"/>
      <c r="BH743" s="888"/>
      <c r="BI743" s="1341">
        <f>IF(BI733&lt;0,"n/a",BI733/BI245)</f>
        <v>9.3235294117647065</v>
      </c>
      <c r="BJ743" s="1563"/>
      <c r="BK743" s="888"/>
      <c r="BL743" s="888"/>
      <c r="BM743" s="888"/>
      <c r="BN743" s="883">
        <f ca="1">IF(BN733&lt;0,"n/a",BN733/BN245)</f>
        <v>9.2738406059577567</v>
      </c>
      <c r="BO743" s="888"/>
      <c r="BP743" s="888"/>
      <c r="BQ743" s="888"/>
      <c r="BR743" s="888"/>
      <c r="BS743" s="883">
        <f ca="1">IF(BS733&lt;0,"n/a",BS733/BS245)</f>
        <v>14.595402414119901</v>
      </c>
      <c r="BT743" s="883">
        <f ca="1">IF(BT733&lt;0,"n/a",BT733/BT245)</f>
        <v>6.9042291419012924</v>
      </c>
      <c r="BU743" s="883">
        <f ca="1">IF(BU733&lt;0,"n/a",BU733/BU245)</f>
        <v>3.8870163527335433</v>
      </c>
      <c r="BV743" s="883">
        <f ca="1">IF(BV733&lt;0,"n/a",BV733/BV245)</f>
        <v>2.0602833128306508</v>
      </c>
      <c r="BW743" s="889"/>
    </row>
    <row r="744" spans="1:75" x14ac:dyDescent="0.5">
      <c r="A744" s="1340" t="s">
        <v>1319</v>
      </c>
      <c r="B744" s="887"/>
      <c r="C744" s="883"/>
      <c r="D744" s="883"/>
      <c r="E744" s="883"/>
      <c r="F744" s="1341" t="str">
        <f>IF(F733&lt;0,"n/a",F733/F698)</f>
        <v>n/a</v>
      </c>
      <c r="G744" s="884"/>
      <c r="H744" s="884"/>
      <c r="I744" s="884"/>
      <c r="J744" s="884"/>
      <c r="K744" s="1341" t="str">
        <f>IF(K733&lt;0,"n/a",K733/K698)</f>
        <v>n/a</v>
      </c>
      <c r="L744" s="884"/>
      <c r="M744" s="884"/>
      <c r="N744" s="884"/>
      <c r="O744" s="884"/>
      <c r="P744" s="1341" t="str">
        <f>IF(P733&lt;0,"n/a",P733/P698)</f>
        <v>n/a</v>
      </c>
      <c r="Q744" s="884"/>
      <c r="R744" s="884"/>
      <c r="S744" s="884"/>
      <c r="T744" s="884"/>
      <c r="U744" s="1341" t="str">
        <f>IF(U733&lt;0,"n/a",U733/U698)</f>
        <v>n/a</v>
      </c>
      <c r="V744" s="884"/>
      <c r="W744" s="884"/>
      <c r="X744" s="884"/>
      <c r="Y744" s="888"/>
      <c r="Z744" s="1341" t="str">
        <f>IF(Z733&lt;0,"n/a",Z733/Z698)</f>
        <v>n/a</v>
      </c>
      <c r="AA744" s="888"/>
      <c r="AB744" s="884"/>
      <c r="AC744" s="884"/>
      <c r="AD744" s="888"/>
      <c r="AE744" s="1341" t="str">
        <f>IF(AE733&lt;0,"n/a",AE733/AE698)</f>
        <v>n/a</v>
      </c>
      <c r="AF744" s="888"/>
      <c r="AG744" s="884"/>
      <c r="AH744" s="884"/>
      <c r="AI744" s="888"/>
      <c r="AJ744" s="1341" t="str">
        <f>IF(AJ733&lt;0,"n/a",AJ733/AJ698)</f>
        <v>n/a</v>
      </c>
      <c r="AK744" s="888"/>
      <c r="AL744" s="884"/>
      <c r="AM744" s="884"/>
      <c r="AN744" s="888"/>
      <c r="AO744" s="1341">
        <f>IF(AO733&lt;0,"n/a",AO733/AO698)</f>
        <v>-7.0262679226493532</v>
      </c>
      <c r="AP744" s="888"/>
      <c r="AQ744" s="884"/>
      <c r="AR744" s="884"/>
      <c r="AS744" s="888"/>
      <c r="AT744" s="1341">
        <f>IF(AT733&lt;0,"n/a",AT733/AT698)</f>
        <v>0.73080140125401372</v>
      </c>
      <c r="AU744" s="888"/>
      <c r="AV744" s="884"/>
      <c r="AW744" s="884"/>
      <c r="AX744" s="888"/>
      <c r="AY744" s="1341">
        <f>IF(AY733&lt;0,"n/a",AY733/AY698)</f>
        <v>4.0365853658536581</v>
      </c>
      <c r="AZ744" s="888"/>
      <c r="BA744" s="884"/>
      <c r="BB744" s="884"/>
      <c r="BC744" s="888"/>
      <c r="BD744" s="1341">
        <f>IF(BD733&lt;0,"n/a",BD733/BD698)</f>
        <v>-4.2685459940652821</v>
      </c>
      <c r="BE744" s="888"/>
      <c r="BF744" s="884"/>
      <c r="BG744" s="884"/>
      <c r="BH744" s="888"/>
      <c r="BI744" s="1341">
        <f>IF(BI733&lt;0,"n/a",BI733/BI698)</f>
        <v>8.1747851002865328</v>
      </c>
      <c r="BJ744" s="1563"/>
      <c r="BK744" s="888"/>
      <c r="BL744" s="888"/>
      <c r="BM744" s="888"/>
      <c r="BN744" s="883">
        <f ca="1">IF(BN733&lt;0,"n/a",BN733/BN698)</f>
        <v>27.930623592879783</v>
      </c>
      <c r="BO744" s="888"/>
      <c r="BP744" s="888"/>
      <c r="BQ744" s="888"/>
      <c r="BR744" s="888"/>
      <c r="BS744" s="883">
        <f ca="1">IF(BS733&lt;0,"n/a",BS733/BS698)</f>
        <v>10.952508242404472</v>
      </c>
      <c r="BT744" s="883">
        <f ca="1">IF(BT733&lt;0,"n/a",BT733/BT698)</f>
        <v>5.8358078328811862</v>
      </c>
      <c r="BU744" s="883">
        <f ca="1">IF(BU733&lt;0,"n/a",BU733/BU698)</f>
        <v>3.4837854855244483</v>
      </c>
      <c r="BV744" s="883">
        <f ca="1">IF(BV733&lt;0,"n/a",BV733/BV698)</f>
        <v>1.9045049161971219</v>
      </c>
      <c r="BW744" s="889"/>
    </row>
    <row r="745" spans="1:75" x14ac:dyDescent="0.5">
      <c r="A745" s="891"/>
      <c r="B745" s="891"/>
      <c r="C745" s="1342"/>
      <c r="D745" s="1342"/>
      <c r="E745" s="1342"/>
      <c r="F745" s="1342"/>
      <c r="G745" s="127"/>
      <c r="H745" s="127"/>
      <c r="I745" s="127"/>
      <c r="J745" s="127"/>
      <c r="K745" s="1342"/>
      <c r="L745" s="127"/>
      <c r="M745" s="127"/>
      <c r="N745" s="127"/>
      <c r="O745" s="127"/>
      <c r="P745" s="1342"/>
      <c r="Q745" s="127"/>
      <c r="R745" s="127"/>
      <c r="S745" s="127"/>
      <c r="T745" s="127"/>
      <c r="U745" s="1342"/>
      <c r="V745" s="127"/>
      <c r="W745" s="127"/>
      <c r="X745" s="127"/>
      <c r="Y745" s="127"/>
      <c r="Z745" s="1342"/>
      <c r="AA745" s="127"/>
      <c r="AB745" s="127"/>
      <c r="AC745" s="127"/>
      <c r="AD745" s="127"/>
      <c r="AE745" s="1342"/>
      <c r="AF745" s="127"/>
      <c r="AG745" s="127"/>
      <c r="AH745" s="127"/>
      <c r="AI745" s="127"/>
      <c r="AJ745" s="1342"/>
      <c r="AK745" s="127"/>
      <c r="AL745" s="127"/>
      <c r="AM745" s="127"/>
      <c r="AN745" s="127"/>
      <c r="AO745" s="1342"/>
      <c r="AP745" s="127"/>
      <c r="AQ745" s="127"/>
      <c r="AR745" s="127"/>
      <c r="AS745" s="127"/>
      <c r="AT745" s="1342"/>
      <c r="AU745" s="127"/>
      <c r="AV745" s="127"/>
      <c r="AW745" s="127"/>
      <c r="AX745" s="127"/>
      <c r="AY745" s="1342"/>
      <c r="AZ745" s="127"/>
      <c r="BA745" s="127"/>
      <c r="BB745" s="127"/>
      <c r="BC745" s="127"/>
      <c r="BD745" s="1342"/>
      <c r="BE745" s="127"/>
      <c r="BF745" s="127"/>
      <c r="BG745" s="127"/>
      <c r="BH745" s="127"/>
      <c r="BI745" s="1342"/>
      <c r="BJ745" s="1097"/>
      <c r="BK745" s="127"/>
      <c r="BL745" s="127"/>
      <c r="BM745" s="127"/>
      <c r="BN745" s="1342"/>
      <c r="BO745" s="127"/>
      <c r="BP745" s="127"/>
      <c r="BQ745" s="127"/>
      <c r="BR745" s="127"/>
      <c r="BS745" s="1342"/>
      <c r="BT745" s="1342"/>
      <c r="BU745" s="1342"/>
      <c r="BV745" s="1342"/>
      <c r="BW745" s="152"/>
    </row>
    <row r="746" spans="1:75" x14ac:dyDescent="0.5">
      <c r="A746" s="239" t="s">
        <v>1320</v>
      </c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  <c r="AK746" s="239"/>
      <c r="AL746" s="239"/>
      <c r="AM746" s="239"/>
      <c r="AN746" s="239"/>
      <c r="AO746" s="239"/>
      <c r="AP746" s="239"/>
      <c r="AQ746" s="239"/>
      <c r="AR746" s="239"/>
      <c r="AS746" s="239"/>
      <c r="AT746" s="239"/>
      <c r="AU746" s="239"/>
      <c r="AV746" s="239"/>
      <c r="AW746" s="239"/>
      <c r="AX746" s="239"/>
      <c r="AY746" s="239"/>
      <c r="AZ746" s="239"/>
      <c r="BA746" s="239"/>
      <c r="BB746" s="239"/>
      <c r="BC746" s="239"/>
      <c r="BD746" s="239"/>
      <c r="BE746" s="239"/>
      <c r="BF746" s="239"/>
      <c r="BG746" s="239"/>
      <c r="BH746" s="239"/>
      <c r="BI746" s="239"/>
      <c r="BJ746" s="241"/>
      <c r="BK746" s="239"/>
      <c r="BL746" s="239"/>
      <c r="BM746" s="239"/>
      <c r="BN746" s="239"/>
      <c r="BO746" s="239"/>
      <c r="BP746" s="239"/>
      <c r="BQ746" s="239"/>
      <c r="BR746" s="239"/>
      <c r="BS746" s="239"/>
      <c r="BT746" s="239"/>
      <c r="BU746" s="239"/>
      <c r="BV746" s="239"/>
      <c r="BW746" s="197"/>
    </row>
    <row r="747" spans="1:75" x14ac:dyDescent="0.5">
      <c r="A747" s="1564" t="str">
        <f>"Stock Price (Reporting Cur.) - "&amp;MO.ValuationToggle&amp;", "&amp;MO.ReportCurrency</f>
        <v>Stock Price (Reporting Cur.) - EoP, USD</v>
      </c>
      <c r="B747" s="896" t="s">
        <v>1587</v>
      </c>
      <c r="C747" s="1565"/>
      <c r="D747" s="1565"/>
      <c r="E747" s="1565"/>
      <c r="F747" s="1565"/>
      <c r="G747" s="1566"/>
      <c r="H747" s="1566"/>
      <c r="I747" s="1566"/>
      <c r="J747" s="1566"/>
      <c r="K747" s="1565"/>
      <c r="L747" s="1566"/>
      <c r="M747" s="1566"/>
      <c r="N747" s="1566"/>
      <c r="O747" s="1567">
        <f t="shared" ref="O747:AT747" ca="1" si="534">INDEX(MO_VA_StockPrice_TradingCurrency,1,COLUMN())/INDEX(MO_VA_FX_Average,1,COLUMN())</f>
        <v>78.25</v>
      </c>
      <c r="P747" s="1568">
        <f t="shared" ca="1" si="534"/>
        <v>78.25</v>
      </c>
      <c r="Q747" s="1567">
        <f t="shared" ca="1" si="534"/>
        <v>75.010000000000005</v>
      </c>
      <c r="R747" s="1567">
        <f t="shared" ca="1" si="534"/>
        <v>84.66</v>
      </c>
      <c r="S747" s="1567">
        <f t="shared" ca="1" si="534"/>
        <v>73.75</v>
      </c>
      <c r="T747" s="1567">
        <f t="shared" ca="1" si="534"/>
        <v>51.66</v>
      </c>
      <c r="U747" s="1568">
        <f t="shared" ca="1" si="534"/>
        <v>51.66</v>
      </c>
      <c r="V747" s="1567">
        <f t="shared" ca="1" si="534"/>
        <v>58.78</v>
      </c>
      <c r="W747" s="1567">
        <f t="shared" ca="1" si="534"/>
        <v>54.08</v>
      </c>
      <c r="X747" s="1567">
        <f t="shared" ca="1" si="534"/>
        <v>46.52</v>
      </c>
      <c r="Y747" s="1567">
        <f t="shared" ca="1" si="534"/>
        <v>47.5</v>
      </c>
      <c r="Z747" s="1243">
        <f t="shared" ca="1" si="534"/>
        <v>47.5</v>
      </c>
      <c r="AA747" s="1567">
        <f t="shared" ca="1" si="534"/>
        <v>54.05</v>
      </c>
      <c r="AB747" s="1567">
        <f t="shared" ca="1" si="534"/>
        <v>46.32</v>
      </c>
      <c r="AC747" s="1567">
        <f t="shared" ca="1" si="534"/>
        <v>52.42</v>
      </c>
      <c r="AD747" s="1567">
        <f t="shared" ca="1" si="534"/>
        <v>53.41</v>
      </c>
      <c r="AE747" s="1243">
        <f t="shared" ca="1" si="534"/>
        <v>53.41</v>
      </c>
      <c r="AF747" s="1567">
        <f t="shared" ca="1" si="534"/>
        <v>49.18</v>
      </c>
      <c r="AG747" s="1567">
        <f t="shared" ca="1" si="534"/>
        <v>58.16</v>
      </c>
      <c r="AH747" s="1567">
        <f t="shared" ca="1" si="534"/>
        <v>56.9</v>
      </c>
      <c r="AI747" s="1567">
        <f t="shared" ca="1" si="534"/>
        <v>54</v>
      </c>
      <c r="AJ747" s="1243">
        <f t="shared" ca="1" si="534"/>
        <v>54</v>
      </c>
      <c r="AK747" s="1567">
        <f t="shared" ca="1" si="534"/>
        <v>56.64</v>
      </c>
      <c r="AL747" s="1567">
        <f t="shared" ca="1" si="534"/>
        <v>64.040000000000006</v>
      </c>
      <c r="AM747" s="1567">
        <f t="shared" ca="1" si="534"/>
        <v>66.790000000000006</v>
      </c>
      <c r="AN747" s="1567">
        <f t="shared" ca="1" si="534"/>
        <v>70.08</v>
      </c>
      <c r="AO747" s="1243">
        <f t="shared" ca="1" si="534"/>
        <v>70.08</v>
      </c>
      <c r="AP747" s="1567">
        <f t="shared" ca="1" si="534"/>
        <v>60.25</v>
      </c>
      <c r="AQ747" s="1567">
        <f t="shared" ca="1" si="534"/>
        <v>87.12</v>
      </c>
      <c r="AR747" s="1567">
        <f t="shared" ca="1" si="534"/>
        <v>91.21</v>
      </c>
      <c r="AS747" s="1567">
        <f t="shared" ca="1" si="534"/>
        <v>128.91999999999999</v>
      </c>
      <c r="AT747" s="1243">
        <f t="shared" ca="1" si="534"/>
        <v>128.91999999999999</v>
      </c>
      <c r="AU747" s="1567">
        <f t="shared" ref="AU747:BA747" ca="1" si="535">INDEX(MO_VA_StockPrice_TradingCurrency,1,COLUMN())/INDEX(MO_VA_FX_Average,1,COLUMN())</f>
        <v>170.75</v>
      </c>
      <c r="AV747" s="1567">
        <f t="shared" ca="1" si="535"/>
        <v>151.69999999999999</v>
      </c>
      <c r="AW747" s="1567">
        <f t="shared" ca="1" si="535"/>
        <v>185.73</v>
      </c>
      <c r="AX747" s="1567">
        <f t="shared" ca="1" si="535"/>
        <v>154.81</v>
      </c>
      <c r="AY747" s="1243">
        <f t="shared" ca="1" si="535"/>
        <v>154.81</v>
      </c>
      <c r="AZ747" s="1567">
        <f t="shared" ca="1" si="535"/>
        <v>130.47999999999999</v>
      </c>
      <c r="BA747" s="1567">
        <f t="shared" ca="1" si="535"/>
        <v>144.41999999999999</v>
      </c>
      <c r="BB747" s="1567">
        <f t="shared" ref="BB747:BD747" ca="1" si="536">INDEX(MO_VA_StockPrice_TradingCurrency,1,COLUMN())/INDEX(MO_VA_FX_Average,1,COLUMN())</f>
        <v>122.75</v>
      </c>
      <c r="BC747" s="1567">
        <f t="shared" ca="1" si="536"/>
        <v>126.67</v>
      </c>
      <c r="BD747" s="1243">
        <f t="shared" ca="1" si="536"/>
        <v>126.67</v>
      </c>
      <c r="BE747" s="1567">
        <f t="shared" ref="BE747:BV747" ca="1" si="537">INDEX(MO_VA_StockPrice_TradingCurrency,1,COLUMN())/INDEX(MO_VA_FX_Average,1,COLUMN())</f>
        <v>121.04</v>
      </c>
      <c r="BF747" s="1567">
        <f t="shared" ca="1" si="537"/>
        <v>140.66</v>
      </c>
      <c r="BG747" s="1567">
        <f t="shared" ca="1" si="537"/>
        <v>145.82</v>
      </c>
      <c r="BH747" s="1567">
        <f t="shared" ca="1" si="537"/>
        <v>208.55</v>
      </c>
      <c r="BI747" s="1243">
        <f t="shared" ca="1" si="537"/>
        <v>208.55</v>
      </c>
      <c r="BJ747" s="1569">
        <f ca="1">INDEX(MO_VA_StockPrice_TradingCurrency,1,COLUMN())/INDEX(MO_VA_FX_Average,1,COLUMN())</f>
        <v>282.16000000000003</v>
      </c>
      <c r="BK747" s="1566">
        <f t="shared" ca="1" si="537"/>
        <v>292.52</v>
      </c>
      <c r="BL747" s="1566">
        <f t="shared" ca="1" si="537"/>
        <v>292.52</v>
      </c>
      <c r="BM747" s="1566">
        <f t="shared" ca="1" si="537"/>
        <v>292.52</v>
      </c>
      <c r="BN747" s="738">
        <f t="shared" ca="1" si="537"/>
        <v>292.52</v>
      </c>
      <c r="BO747" s="1566">
        <f t="shared" ca="1" si="537"/>
        <v>292.52</v>
      </c>
      <c r="BP747" s="1566">
        <f t="shared" ca="1" si="537"/>
        <v>292.52</v>
      </c>
      <c r="BQ747" s="1566">
        <f t="shared" ca="1" si="537"/>
        <v>292.52</v>
      </c>
      <c r="BR747" s="1566">
        <f t="shared" ca="1" si="537"/>
        <v>292.52</v>
      </c>
      <c r="BS747" s="738">
        <f t="shared" ca="1" si="537"/>
        <v>292.52</v>
      </c>
      <c r="BT747" s="738">
        <f t="shared" ca="1" si="537"/>
        <v>292.52</v>
      </c>
      <c r="BU747" s="738">
        <f t="shared" ca="1" si="537"/>
        <v>292.52</v>
      </c>
      <c r="BV747" s="738">
        <f t="shared" ca="1" si="537"/>
        <v>292.52</v>
      </c>
      <c r="BW747" s="901"/>
    </row>
    <row r="748" spans="1:75" x14ac:dyDescent="0.5">
      <c r="A748" s="122" t="str">
        <f>"Market Cap - "&amp;MO.ValuationToggle</f>
        <v>Market Cap - EoP</v>
      </c>
      <c r="B748" s="513"/>
      <c r="C748" s="401"/>
      <c r="D748" s="401"/>
      <c r="E748" s="401"/>
      <c r="F748" s="401"/>
      <c r="G748" s="118"/>
      <c r="H748" s="118"/>
      <c r="I748" s="118"/>
      <c r="J748" s="118"/>
      <c r="K748" s="401"/>
      <c r="L748" s="118"/>
      <c r="M748" s="118"/>
      <c r="N748" s="118"/>
      <c r="O748" s="122">
        <f t="shared" ref="O748:BV748" ca="1" si="538">O276*O747</f>
        <v>6496.3612457499994</v>
      </c>
      <c r="P748" s="674">
        <f t="shared" ca="1" si="538"/>
        <v>6496.3612457499994</v>
      </c>
      <c r="Q748" s="122">
        <f t="shared" ca="1" si="538"/>
        <v>6241.5820999999996</v>
      </c>
      <c r="R748" s="122">
        <f t="shared" ca="1" si="538"/>
        <v>7077.8299799999995</v>
      </c>
      <c r="S748" s="122">
        <f t="shared" ca="1" si="538"/>
        <v>6186.5924999999997</v>
      </c>
      <c r="T748" s="122">
        <f t="shared" ca="1" si="538"/>
        <v>4349.3070600000001</v>
      </c>
      <c r="U748" s="674">
        <f t="shared" ca="1" si="538"/>
        <v>4325.2851599999995</v>
      </c>
      <c r="V748" s="122">
        <f t="shared" ca="1" si="538"/>
        <v>4963.6770999999999</v>
      </c>
      <c r="W748" s="122">
        <f t="shared" ca="1" si="538"/>
        <v>4585.2268800000002</v>
      </c>
      <c r="X748" s="122">
        <f t="shared" ca="1" si="538"/>
        <v>3959.0846000000006</v>
      </c>
      <c r="Y748" s="122">
        <f t="shared" ca="1" si="538"/>
        <v>4064.4324999999999</v>
      </c>
      <c r="Z748" s="674">
        <f t="shared" ca="1" si="538"/>
        <v>4036.4075000000003</v>
      </c>
      <c r="AA748" s="122">
        <f t="shared" ca="1" si="538"/>
        <v>4650.2457999999997</v>
      </c>
      <c r="AB748" s="122">
        <f t="shared" ca="1" si="538"/>
        <v>4016.5924799999998</v>
      </c>
      <c r="AC748" s="122">
        <f t="shared" ca="1" si="538"/>
        <v>4575.3748599999999</v>
      </c>
      <c r="AD748" s="122">
        <f t="shared" ca="1" si="538"/>
        <v>4694.3651300000001</v>
      </c>
      <c r="AE748" s="674">
        <f t="shared" ca="1" si="538"/>
        <v>4645.7620299999999</v>
      </c>
      <c r="AF748" s="122">
        <f t="shared" ca="1" si="538"/>
        <v>4350.8070600000001</v>
      </c>
      <c r="AG748" s="122">
        <f t="shared" ca="1" si="538"/>
        <v>5185.4292799999994</v>
      </c>
      <c r="AH748" s="122">
        <f t="shared" ca="1" si="538"/>
        <v>5109.1647999999996</v>
      </c>
      <c r="AI748" s="122">
        <f t="shared" ca="1" si="538"/>
        <v>4884.03</v>
      </c>
      <c r="AJ748" s="674">
        <f t="shared" ca="1" si="538"/>
        <v>4831.4879999999994</v>
      </c>
      <c r="AK748" s="122">
        <f t="shared" ca="1" si="538"/>
        <v>5160.1305599999996</v>
      </c>
      <c r="AL748" s="122">
        <f t="shared" ca="1" si="538"/>
        <v>5879.0000800000007</v>
      </c>
      <c r="AM748" s="122">
        <f t="shared" ca="1" si="538"/>
        <v>6180.7466000000013</v>
      </c>
      <c r="AN748" s="122">
        <f t="shared" ca="1" si="538"/>
        <v>6539.9356799999996</v>
      </c>
      <c r="AO748" s="674">
        <f t="shared" ca="1" si="538"/>
        <v>6461.3760000000002</v>
      </c>
      <c r="AP748" s="122">
        <f t="shared" ca="1" si="538"/>
        <v>5668.8622500000001</v>
      </c>
      <c r="AQ748" s="122">
        <f t="shared" ca="1" si="538"/>
        <v>10448.475840000001</v>
      </c>
      <c r="AR748" s="122">
        <f t="shared" ca="1" si="538"/>
        <v>10993.541299999999</v>
      </c>
      <c r="AS748" s="122">
        <f t="shared" ca="1" si="538"/>
        <v>13712.317959999998</v>
      </c>
      <c r="AT748" s="674">
        <f t="shared" ca="1" si="538"/>
        <v>13182.069999999998</v>
      </c>
      <c r="AU748" s="122">
        <f t="shared" ca="1" si="538"/>
        <v>20884.774000000001</v>
      </c>
      <c r="AV748" s="122">
        <f t="shared" ca="1" si="538"/>
        <v>18521.356399999997</v>
      </c>
      <c r="AW748" s="122">
        <f t="shared" ca="1" si="538"/>
        <v>19699.452449999997</v>
      </c>
      <c r="AX748" s="122">
        <f t="shared" ca="1" si="538"/>
        <v>16255.050000000001</v>
      </c>
      <c r="AY748" s="674">
        <f t="shared" ca="1" si="538"/>
        <v>18422.39</v>
      </c>
      <c r="AZ748" s="122">
        <f t="shared" ca="1" si="538"/>
        <v>13700.4</v>
      </c>
      <c r="BA748" s="122">
        <f t="shared" ca="1" si="538"/>
        <v>15164.099999999999</v>
      </c>
      <c r="BB748" s="122">
        <f t="shared" ca="1" si="538"/>
        <v>13011.5</v>
      </c>
      <c r="BC748" s="122">
        <f t="shared" ca="1" si="538"/>
        <v>13680.36</v>
      </c>
      <c r="BD748" s="674">
        <f t="shared" ca="1" si="538"/>
        <v>13427.02</v>
      </c>
      <c r="BE748" s="122">
        <f t="shared" ca="1" si="538"/>
        <v>13314.400000000001</v>
      </c>
      <c r="BF748" s="122">
        <f t="shared" ca="1" si="538"/>
        <v>15753.92</v>
      </c>
      <c r="BG748" s="122">
        <f t="shared" ca="1" si="538"/>
        <v>16915.12</v>
      </c>
      <c r="BH748" s="122">
        <f t="shared" ca="1" si="538"/>
        <v>24608.9</v>
      </c>
      <c r="BI748" s="674">
        <f t="shared" ca="1" si="538"/>
        <v>23774.7</v>
      </c>
      <c r="BJ748" s="1274">
        <f t="shared" ca="1" si="538"/>
        <v>33859.200000000004</v>
      </c>
      <c r="BK748" s="118">
        <f t="shared" ca="1" si="538"/>
        <v>37321.20348944352</v>
      </c>
      <c r="BL748" s="118">
        <f t="shared" ca="1" si="538"/>
        <v>35704.685320157449</v>
      </c>
      <c r="BM748" s="118">
        <f t="shared" ca="1" si="538"/>
        <v>36026.027488038861</v>
      </c>
      <c r="BN748" s="401">
        <f t="shared" ca="1" si="538"/>
        <v>36038.579074409965</v>
      </c>
      <c r="BO748" s="118">
        <f t="shared" ca="1" si="538"/>
        <v>39258.282674265713</v>
      </c>
      <c r="BP748" s="118">
        <f t="shared" ca="1" si="538"/>
        <v>36677.414091050086</v>
      </c>
      <c r="BQ748" s="118">
        <f t="shared" ca="1" si="538"/>
        <v>37007.510817869537</v>
      </c>
      <c r="BR748" s="118">
        <f t="shared" ca="1" si="538"/>
        <v>37340.57841523036</v>
      </c>
      <c r="BS748" s="401">
        <f t="shared" ca="1" si="538"/>
        <v>37570.946499603917</v>
      </c>
      <c r="BT748" s="401">
        <f t="shared" ca="1" si="538"/>
        <v>41237.639684058173</v>
      </c>
      <c r="BU748" s="401">
        <f t="shared" ca="1" si="538"/>
        <v>42722.194712684264</v>
      </c>
      <c r="BV748" s="401">
        <f t="shared" ca="1" si="538"/>
        <v>44260.19372234089</v>
      </c>
      <c r="BW748" s="122"/>
    </row>
    <row r="749" spans="1:75" x14ac:dyDescent="0.5">
      <c r="A749" s="122" t="str">
        <f>"Enterprise Value - "&amp;MO.ValuationToggle</f>
        <v>Enterprise Value - EoP</v>
      </c>
      <c r="B749" s="513"/>
      <c r="C749" s="401"/>
      <c r="D749" s="401"/>
      <c r="E749" s="401"/>
      <c r="F749" s="401"/>
      <c r="G749" s="118"/>
      <c r="H749" s="118"/>
      <c r="I749" s="118"/>
      <c r="J749" s="118"/>
      <c r="K749" s="401"/>
      <c r="L749" s="118"/>
      <c r="M749" s="118"/>
      <c r="N749" s="118"/>
      <c r="O749" s="122">
        <f t="shared" ref="O749:BV749" ca="1" si="539">O733+O748+O767+O768+O769</f>
        <v>6080.502245749999</v>
      </c>
      <c r="P749" s="674">
        <f t="shared" ca="1" si="539"/>
        <v>6080.502245749999</v>
      </c>
      <c r="Q749" s="122">
        <f t="shared" ca="1" si="539"/>
        <v>5961.2870999999996</v>
      </c>
      <c r="R749" s="122">
        <f t="shared" ca="1" si="539"/>
        <v>6789.8309799999997</v>
      </c>
      <c r="S749" s="122">
        <f t="shared" ca="1" si="539"/>
        <v>5861.2484999999997</v>
      </c>
      <c r="T749" s="122">
        <f t="shared" ca="1" si="539"/>
        <v>3963.2360600000002</v>
      </c>
      <c r="U749" s="674">
        <f t="shared" ca="1" si="539"/>
        <v>3939.2141599999995</v>
      </c>
      <c r="V749" s="122">
        <f t="shared" ca="1" si="539"/>
        <v>4654.2231000000002</v>
      </c>
      <c r="W749" s="122">
        <f t="shared" ca="1" si="539"/>
        <v>4312.0718800000004</v>
      </c>
      <c r="X749" s="122">
        <f t="shared" ca="1" si="539"/>
        <v>3695.1696000000006</v>
      </c>
      <c r="Y749" s="122">
        <f t="shared" ca="1" si="539"/>
        <v>3744.7494999999999</v>
      </c>
      <c r="Z749" s="674">
        <f t="shared" ca="1" si="539"/>
        <v>3716.7245000000003</v>
      </c>
      <c r="AA749" s="122">
        <f t="shared" ca="1" si="539"/>
        <v>4415.1027999999997</v>
      </c>
      <c r="AB749" s="122">
        <f t="shared" ca="1" si="539"/>
        <v>3818.9894799999997</v>
      </c>
      <c r="AC749" s="122">
        <f t="shared" ca="1" si="539"/>
        <v>4367.0918599999995</v>
      </c>
      <c r="AD749" s="122">
        <f t="shared" ca="1" si="539"/>
        <v>4489.8581299999996</v>
      </c>
      <c r="AE749" s="674">
        <f t="shared" ca="1" si="539"/>
        <v>4441.2550299999994</v>
      </c>
      <c r="AF749" s="122">
        <f t="shared" ca="1" si="539"/>
        <v>4188.5150599999997</v>
      </c>
      <c r="AG749" s="122">
        <f t="shared" ca="1" si="539"/>
        <v>5061.4662799999996</v>
      </c>
      <c r="AH749" s="122">
        <f t="shared" ca="1" si="539"/>
        <v>5121.1687999999995</v>
      </c>
      <c r="AI749" s="122">
        <f t="shared" ca="1" si="539"/>
        <v>4842.2510000000002</v>
      </c>
      <c r="AJ749" s="674">
        <f t="shared" ca="1" si="539"/>
        <v>4789.7089999999989</v>
      </c>
      <c r="AK749" s="122">
        <f t="shared" ca="1" si="539"/>
        <v>5712.2545599999994</v>
      </c>
      <c r="AL749" s="122">
        <f t="shared" ca="1" si="539"/>
        <v>6611.640080000001</v>
      </c>
      <c r="AM749" s="122">
        <f t="shared" ca="1" si="539"/>
        <v>7129.1006000000016</v>
      </c>
      <c r="AN749" s="122">
        <f t="shared" ca="1" si="539"/>
        <v>7922.8316799999993</v>
      </c>
      <c r="AO749" s="674">
        <f t="shared" ca="1" si="539"/>
        <v>7844.2719999999999</v>
      </c>
      <c r="AP749" s="122">
        <f t="shared" ca="1" si="539"/>
        <v>7193.8592499999995</v>
      </c>
      <c r="AQ749" s="122">
        <f t="shared" ca="1" si="539"/>
        <v>10925.60684</v>
      </c>
      <c r="AR749" s="122">
        <f t="shared" ca="1" si="539"/>
        <v>12166.463299999999</v>
      </c>
      <c r="AS749" s="122">
        <f t="shared" ca="1" si="539"/>
        <v>14747.666959999999</v>
      </c>
      <c r="AT749" s="674">
        <f t="shared" ca="1" si="539"/>
        <v>14217.418999999998</v>
      </c>
      <c r="AU749" s="122">
        <f t="shared" ca="1" si="539"/>
        <v>22170.793000000001</v>
      </c>
      <c r="AV749" s="122">
        <f t="shared" ca="1" si="539"/>
        <v>19866.929399999997</v>
      </c>
      <c r="AW749" s="122">
        <f t="shared" ca="1" si="539"/>
        <v>21223.309449999997</v>
      </c>
      <c r="AX749" s="122">
        <f t="shared" ca="1" si="539"/>
        <v>17910.050000000003</v>
      </c>
      <c r="AY749" s="674">
        <f t="shared" ca="1" si="539"/>
        <v>20077.39</v>
      </c>
      <c r="AZ749" s="122">
        <f t="shared" ca="1" si="539"/>
        <v>15648.4</v>
      </c>
      <c r="BA749" s="122">
        <f t="shared" ca="1" si="539"/>
        <v>17422.099999999999</v>
      </c>
      <c r="BB749" s="122">
        <f t="shared" ca="1" si="539"/>
        <v>15766.5</v>
      </c>
      <c r="BC749" s="122">
        <f t="shared" ca="1" si="539"/>
        <v>16557.36</v>
      </c>
      <c r="BD749" s="674">
        <f t="shared" ca="1" si="539"/>
        <v>16304.02</v>
      </c>
      <c r="BE749" s="122">
        <f t="shared" ca="1" si="539"/>
        <v>16271.400000000001</v>
      </c>
      <c r="BF749" s="122">
        <f t="shared" ca="1" si="539"/>
        <v>18566.919999999998</v>
      </c>
      <c r="BG749" s="122">
        <f t="shared" ca="1" si="539"/>
        <v>19668.12</v>
      </c>
      <c r="BH749" s="122">
        <f t="shared" ca="1" si="539"/>
        <v>27461.9</v>
      </c>
      <c r="BI749" s="674">
        <f t="shared" ca="1" si="539"/>
        <v>26627.7</v>
      </c>
      <c r="BJ749" s="1274">
        <f ca="1">BJ733+BJ748+BJ767+BJ768+BJ769</f>
        <v>36952.200000000004</v>
      </c>
      <c r="BK749" s="118">
        <f t="shared" ca="1" si="539"/>
        <v>40500.697316464044</v>
      </c>
      <c r="BL749" s="118">
        <f t="shared" ca="1" si="539"/>
        <v>38826.291645970443</v>
      </c>
      <c r="BM749" s="118">
        <f t="shared" ca="1" si="539"/>
        <v>39159.304546644787</v>
      </c>
      <c r="BN749" s="401">
        <f t="shared" ca="1" si="539"/>
        <v>39171.856133015892</v>
      </c>
      <c r="BO749" s="118">
        <f t="shared" ca="1" si="539"/>
        <v>42479.226470086927</v>
      </c>
      <c r="BP749" s="118">
        <f t="shared" ca="1" si="539"/>
        <v>39982.987017507432</v>
      </c>
      <c r="BQ749" s="118">
        <f t="shared" ca="1" si="539"/>
        <v>40238.619232336321</v>
      </c>
      <c r="BR749" s="118">
        <f t="shared" ca="1" si="539"/>
        <v>40567.317533427951</v>
      </c>
      <c r="BS749" s="401">
        <f t="shared" ca="1" si="539"/>
        <v>40797.685617801508</v>
      </c>
      <c r="BT749" s="401">
        <f t="shared" ca="1" si="539"/>
        <v>44321.689547735172</v>
      </c>
      <c r="BU749" s="401">
        <f t="shared" ca="1" si="539"/>
        <v>45416.619779278946</v>
      </c>
      <c r="BV749" s="401">
        <f t="shared" ca="1" si="539"/>
        <v>46277.358088044632</v>
      </c>
      <c r="BW749" s="122"/>
    </row>
    <row r="750" spans="1:75" x14ac:dyDescent="0.5">
      <c r="A750" s="903"/>
      <c r="B750" s="904"/>
      <c r="C750" s="905"/>
      <c r="D750" s="905"/>
      <c r="E750" s="905"/>
      <c r="F750" s="905"/>
      <c r="G750" s="906"/>
      <c r="H750" s="906"/>
      <c r="I750" s="906"/>
      <c r="J750" s="906"/>
      <c r="K750" s="905"/>
      <c r="L750" s="906"/>
      <c r="M750" s="906"/>
      <c r="N750" s="906"/>
      <c r="O750" s="906"/>
      <c r="P750" s="905"/>
      <c r="Q750" s="906"/>
      <c r="R750" s="906"/>
      <c r="S750" s="906"/>
      <c r="T750" s="906"/>
      <c r="U750" s="905"/>
      <c r="V750" s="906"/>
      <c r="W750" s="906"/>
      <c r="X750" s="906"/>
      <c r="Y750" s="907"/>
      <c r="Z750" s="905"/>
      <c r="AA750" s="907"/>
      <c r="AB750" s="906"/>
      <c r="AC750" s="906"/>
      <c r="AD750" s="907"/>
      <c r="AE750" s="905"/>
      <c r="AF750" s="907"/>
      <c r="AG750" s="906"/>
      <c r="AH750" s="906"/>
      <c r="AI750" s="907"/>
      <c r="AJ750" s="905"/>
      <c r="AK750" s="907"/>
      <c r="AL750" s="906"/>
      <c r="AM750" s="906"/>
      <c r="AN750" s="907"/>
      <c r="AO750" s="905"/>
      <c r="AP750" s="907"/>
      <c r="AQ750" s="906"/>
      <c r="AR750" s="906"/>
      <c r="AS750" s="907"/>
      <c r="AT750" s="905"/>
      <c r="AU750" s="907"/>
      <c r="AV750" s="906"/>
      <c r="AW750" s="906"/>
      <c r="AX750" s="907"/>
      <c r="AY750" s="905"/>
      <c r="AZ750" s="907"/>
      <c r="BA750" s="906"/>
      <c r="BB750" s="906"/>
      <c r="BC750" s="907"/>
      <c r="BD750" s="905"/>
      <c r="BE750" s="907"/>
      <c r="BF750" s="906"/>
      <c r="BG750" s="906"/>
      <c r="BH750" s="907"/>
      <c r="BI750" s="905"/>
      <c r="BJ750" s="1570"/>
      <c r="BK750" s="907"/>
      <c r="BL750" s="907"/>
      <c r="BM750" s="907"/>
      <c r="BN750" s="905"/>
      <c r="BO750" s="907"/>
      <c r="BP750" s="907"/>
      <c r="BQ750" s="907"/>
      <c r="BR750" s="907"/>
      <c r="BS750" s="905"/>
      <c r="BT750" s="905"/>
      <c r="BU750" s="905"/>
      <c r="BV750" s="905"/>
      <c r="BW750" s="909"/>
    </row>
    <row r="751" spans="1:75" x14ac:dyDescent="0.5">
      <c r="A751" s="911" t="str">
        <f>"P/E - "&amp;MO.ValuationToggle</f>
        <v>P/E - EoP</v>
      </c>
      <c r="B751" s="904"/>
      <c r="C751" s="905"/>
      <c r="D751" s="905"/>
      <c r="E751" s="905"/>
      <c r="F751" s="905"/>
      <c r="G751" s="906"/>
      <c r="H751" s="906"/>
      <c r="I751" s="906"/>
      <c r="J751" s="906"/>
      <c r="K751" s="905"/>
      <c r="L751" s="906"/>
      <c r="M751" s="906"/>
      <c r="N751" s="906"/>
      <c r="O751" s="906"/>
      <c r="P751" s="912">
        <f ca="1">P747/P271</f>
        <v>-76.717500746938413</v>
      </c>
      <c r="Q751" s="906"/>
      <c r="R751" s="906"/>
      <c r="S751" s="906"/>
      <c r="T751" s="906"/>
      <c r="U751" s="912">
        <f ca="1">U747/U271</f>
        <v>-91.308531982267638</v>
      </c>
      <c r="V751" s="906"/>
      <c r="W751" s="906"/>
      <c r="X751" s="906"/>
      <c r="Y751" s="907"/>
      <c r="Z751" s="912">
        <f ca="1">Z747/Z271</f>
        <v>-28.46268704077174</v>
      </c>
      <c r="AA751" s="907"/>
      <c r="AB751" s="906"/>
      <c r="AC751" s="906"/>
      <c r="AD751" s="907"/>
      <c r="AE751" s="912">
        <f ca="1">AE747/AE271</f>
        <v>-27.088675525649926</v>
      </c>
      <c r="AF751" s="907"/>
      <c r="AG751" s="906"/>
      <c r="AH751" s="906"/>
      <c r="AI751" s="907"/>
      <c r="AJ751" s="912">
        <f ca="1">AJ747/AJ271</f>
        <v>-13.214217729495552</v>
      </c>
      <c r="AK751" s="907"/>
      <c r="AL751" s="906"/>
      <c r="AM751" s="906"/>
      <c r="AN751" s="907"/>
      <c r="AO751" s="912">
        <f ca="1">AO747/AO271</f>
        <v>-8.7245623794889546</v>
      </c>
      <c r="AP751" s="907"/>
      <c r="AQ751" s="906"/>
      <c r="AR751" s="906"/>
      <c r="AS751" s="907"/>
      <c r="AT751" s="912">
        <f ca="1">AT747/AT271</f>
        <v>25.599384002314839</v>
      </c>
      <c r="AU751" s="907"/>
      <c r="AV751" s="906"/>
      <c r="AW751" s="906"/>
      <c r="AX751" s="907"/>
      <c r="AY751" s="912">
        <f ca="1">AY747/AY271</f>
        <v>66.747789855072455</v>
      </c>
      <c r="AZ751" s="907"/>
      <c r="BA751" s="906"/>
      <c r="BB751" s="906"/>
      <c r="BC751" s="907"/>
      <c r="BD751" s="912">
        <f ca="1">BD747/BD271</f>
        <v>-16.414449877750609</v>
      </c>
      <c r="BE751" s="907"/>
      <c r="BF751" s="906"/>
      <c r="BG751" s="906"/>
      <c r="BH751" s="907"/>
      <c r="BI751" s="912">
        <f ca="1">BI747/BI271</f>
        <v>-187.20236220472444</v>
      </c>
      <c r="BJ751" s="1570"/>
      <c r="BK751" s="907"/>
      <c r="BL751" s="907"/>
      <c r="BM751" s="907"/>
      <c r="BN751" s="905">
        <f ca="1">BN747/BN271</f>
        <v>-621.69021967121478</v>
      </c>
      <c r="BO751" s="907"/>
      <c r="BP751" s="907"/>
      <c r="BQ751" s="907"/>
      <c r="BR751" s="907"/>
      <c r="BS751" s="905">
        <f ca="1">BS747/BS271</f>
        <v>-270.05602115353844</v>
      </c>
      <c r="BT751" s="905">
        <f ca="1">BT747/BT271</f>
        <v>506.22913154804809</v>
      </c>
      <c r="BU751" s="905">
        <f ca="1">BU747/BU271</f>
        <v>128.01234786474296</v>
      </c>
      <c r="BV751" s="905">
        <f ca="1">BV747/BV271</f>
        <v>70.971643038859895</v>
      </c>
      <c r="BW751" s="909"/>
    </row>
    <row r="752" spans="1:75" x14ac:dyDescent="0.5">
      <c r="A752" s="911" t="s">
        <v>2638</v>
      </c>
      <c r="B752" s="904"/>
      <c r="C752" s="905"/>
      <c r="D752" s="905"/>
      <c r="E752" s="905"/>
      <c r="F752" s="905"/>
      <c r="G752" s="906"/>
      <c r="H752" s="906"/>
      <c r="I752" s="906"/>
      <c r="J752" s="906"/>
      <c r="K752" s="905"/>
      <c r="L752" s="906"/>
      <c r="M752" s="906"/>
      <c r="N752" s="906"/>
      <c r="O752" s="906"/>
      <c r="P752" s="912">
        <f ca="1">P749/P227</f>
        <v>4.6101047315252792</v>
      </c>
      <c r="Q752" s="906"/>
      <c r="R752" s="906"/>
      <c r="S752" s="906"/>
      <c r="T752" s="906"/>
      <c r="U752" s="912">
        <f ca="1">U749/U227</f>
        <v>1.7508513368461052</v>
      </c>
      <c r="V752" s="906"/>
      <c r="W752" s="906"/>
      <c r="X752" s="906"/>
      <c r="Y752" s="907"/>
      <c r="Z752" s="912">
        <f ca="1">Z749/Z227</f>
        <v>1.0995055260386468</v>
      </c>
      <c r="AA752" s="907"/>
      <c r="AB752" s="906"/>
      <c r="AC752" s="906"/>
      <c r="AD752" s="907"/>
      <c r="AE752" s="912">
        <f ca="1">AE749/AE227</f>
        <v>0.9407654756142636</v>
      </c>
      <c r="AF752" s="907"/>
      <c r="AG752" s="906"/>
      <c r="AH752" s="906"/>
      <c r="AI752" s="907"/>
      <c r="AJ752" s="912">
        <f ca="1">AJ749/AJ227</f>
        <v>0.70653283128593525</v>
      </c>
      <c r="AK752" s="907"/>
      <c r="AL752" s="906"/>
      <c r="AM752" s="906"/>
      <c r="AN752" s="907"/>
      <c r="AO752" s="912">
        <f ca="1">AO749/AO227</f>
        <v>0.85945250478878343</v>
      </c>
      <c r="AP752" s="907"/>
      <c r="AQ752" s="906"/>
      <c r="AR752" s="906"/>
      <c r="AS752" s="907"/>
      <c r="AT752" s="912">
        <f ca="1">AT749/AT227</f>
        <v>1.0051086746586604</v>
      </c>
      <c r="AU752" s="907"/>
      <c r="AV752" s="906"/>
      <c r="AW752" s="906"/>
      <c r="AX752" s="907"/>
      <c r="AY752" s="912">
        <f ca="1">AY749/AY227</f>
        <v>1.4646476510067115</v>
      </c>
      <c r="AZ752" s="907"/>
      <c r="BA752" s="906"/>
      <c r="BB752" s="906"/>
      <c r="BC752" s="907"/>
      <c r="BD752" s="912">
        <f ca="1">BD749/BD227</f>
        <v>1.3344262563431004</v>
      </c>
      <c r="BE752" s="907"/>
      <c r="BF752" s="906"/>
      <c r="BG752" s="906"/>
      <c r="BH752" s="907"/>
      <c r="BI752" s="912">
        <f ca="1">BI749/BI227</f>
        <v>2.2184203949012749</v>
      </c>
      <c r="BJ752" s="1570"/>
      <c r="BK752" s="907"/>
      <c r="BL752" s="907"/>
      <c r="BM752" s="907"/>
      <c r="BN752" s="905">
        <f ca="1">BN749/BN227</f>
        <v>3.238922774655721</v>
      </c>
      <c r="BO752" s="907"/>
      <c r="BP752" s="907"/>
      <c r="BQ752" s="907"/>
      <c r="BR752" s="907"/>
      <c r="BS752" s="905">
        <f ca="1">BS749/BS227</f>
        <v>3.1790927545237904</v>
      </c>
      <c r="BT752" s="905">
        <f ca="1">BT749/BT227</f>
        <v>3.2232066948053739</v>
      </c>
      <c r="BU752" s="905">
        <f ca="1">BU749/BU227</f>
        <v>3.0824130432331964</v>
      </c>
      <c r="BV752" s="905">
        <f ca="1">BV749/BV227</f>
        <v>2.9312223294317046</v>
      </c>
      <c r="BW752" s="909"/>
    </row>
    <row r="753" spans="1:75" x14ac:dyDescent="0.5">
      <c r="A753" s="911" t="str">
        <f>"EV/EBITDA - "&amp;MO.ValuationToggle</f>
        <v>EV/EBITDA - EoP</v>
      </c>
      <c r="B753" s="904"/>
      <c r="C753" s="905"/>
      <c r="D753" s="905"/>
      <c r="E753" s="905"/>
      <c r="F753" s="905"/>
      <c r="G753" s="906"/>
      <c r="H753" s="906"/>
      <c r="I753" s="906"/>
      <c r="J753" s="906"/>
      <c r="K753" s="905"/>
      <c r="L753" s="906"/>
      <c r="M753" s="906"/>
      <c r="N753" s="906"/>
      <c r="O753" s="906"/>
      <c r="P753" s="912">
        <f ca="1">P749/P245</f>
        <v>-97.230475490509576</v>
      </c>
      <c r="Q753" s="906"/>
      <c r="R753" s="906"/>
      <c r="S753" s="906"/>
      <c r="T753" s="906"/>
      <c r="U753" s="912">
        <f ca="1">U749/U245</f>
        <v>-247.29827107791127</v>
      </c>
      <c r="V753" s="906"/>
      <c r="W753" s="906"/>
      <c r="X753" s="906"/>
      <c r="Y753" s="907"/>
      <c r="Z753" s="912">
        <f ca="1">Z749/Z245</f>
        <v>-41.905972353763644</v>
      </c>
      <c r="AA753" s="907"/>
      <c r="AB753" s="906"/>
      <c r="AC753" s="906"/>
      <c r="AD753" s="907"/>
      <c r="AE753" s="912">
        <f ca="1">AE749/AE245</f>
        <v>-66.254755568153456</v>
      </c>
      <c r="AF753" s="907"/>
      <c r="AG753" s="906"/>
      <c r="AH753" s="906"/>
      <c r="AI753" s="907"/>
      <c r="AJ753" s="912">
        <f ca="1">AJ749/AJ245</f>
        <v>-22.279167015526589</v>
      </c>
      <c r="AK753" s="907"/>
      <c r="AL753" s="906"/>
      <c r="AM753" s="906"/>
      <c r="AN753" s="907"/>
      <c r="AO753" s="912">
        <f ca="1">AO749/AO245</f>
        <v>-15.797737964812789</v>
      </c>
      <c r="AP753" s="907"/>
      <c r="AQ753" s="906"/>
      <c r="AR753" s="906"/>
      <c r="AS753" s="907"/>
      <c r="AT753" s="912">
        <f ca="1">AT749/AT245</f>
        <v>15.014889828575287</v>
      </c>
      <c r="AU753" s="907"/>
      <c r="AV753" s="906"/>
      <c r="AW753" s="906"/>
      <c r="AX753" s="907"/>
      <c r="AY753" s="912">
        <f ca="1">AY749/AY245</f>
        <v>32.699332247557003</v>
      </c>
      <c r="AZ753" s="907"/>
      <c r="BA753" s="906"/>
      <c r="BB753" s="906"/>
      <c r="BC753" s="907"/>
      <c r="BD753" s="912">
        <f ca="1">BD749/BD245</f>
        <v>-39.192355769230772</v>
      </c>
      <c r="BE753" s="907"/>
      <c r="BF753" s="906"/>
      <c r="BG753" s="906"/>
      <c r="BH753" s="907"/>
      <c r="BI753" s="912">
        <f ca="1">BI749/BI245</f>
        <v>87.018627450980389</v>
      </c>
      <c r="BJ753" s="1570"/>
      <c r="BK753" s="907"/>
      <c r="BL753" s="907"/>
      <c r="BM753" s="907"/>
      <c r="BN753" s="905">
        <f ca="1">BN749/BN245</f>
        <v>115.94044931945072</v>
      </c>
      <c r="BO753" s="907"/>
      <c r="BP753" s="907"/>
      <c r="BQ753" s="907"/>
      <c r="BR753" s="907"/>
      <c r="BS753" s="905">
        <f ca="1">BS749/BS245</f>
        <v>184.53882304844637</v>
      </c>
      <c r="BT753" s="905">
        <f ca="1">BT749/BT245</f>
        <v>99.222488001194122</v>
      </c>
      <c r="BU753" s="905">
        <f ca="1">BU749/BU245</f>
        <v>65.518668882876369</v>
      </c>
      <c r="BV753" s="905">
        <f ca="1">BV749/BV245</f>
        <v>47.266583849959822</v>
      </c>
      <c r="BW753" s="909"/>
    </row>
    <row r="754" spans="1:75" x14ac:dyDescent="0.5">
      <c r="A754" s="911" t="str">
        <f>"P/CF - "&amp;MO.ValuationToggle</f>
        <v>P/CF - EoP</v>
      </c>
      <c r="B754" s="904"/>
      <c r="C754" s="905"/>
      <c r="D754" s="905"/>
      <c r="E754" s="905"/>
      <c r="F754" s="905"/>
      <c r="G754" s="906"/>
      <c r="H754" s="906"/>
      <c r="I754" s="906"/>
      <c r="J754" s="906"/>
      <c r="K754" s="905"/>
      <c r="L754" s="906"/>
      <c r="M754" s="906"/>
      <c r="N754" s="906"/>
      <c r="O754" s="906"/>
      <c r="P754" s="912">
        <f ca="1">P747/P700</f>
        <v>960.65582503030703</v>
      </c>
      <c r="Q754" s="906"/>
      <c r="R754" s="906"/>
      <c r="S754" s="906"/>
      <c r="T754" s="906"/>
      <c r="U754" s="912">
        <f ca="1">U747/U700</f>
        <v>32.010458477956796</v>
      </c>
      <c r="V754" s="906"/>
      <c r="W754" s="906"/>
      <c r="X754" s="906"/>
      <c r="Y754" s="907"/>
      <c r="Z754" s="912">
        <f ca="1">Z747/Z700</f>
        <v>64.259679370840885</v>
      </c>
      <c r="AA754" s="907"/>
      <c r="AB754" s="906"/>
      <c r="AC754" s="906"/>
      <c r="AD754" s="907"/>
      <c r="AE754" s="912">
        <f ca="1">AE747/AE700</f>
        <v>138.12695575905335</v>
      </c>
      <c r="AF754" s="907"/>
      <c r="AG754" s="906"/>
      <c r="AH754" s="906"/>
      <c r="AI754" s="907"/>
      <c r="AJ754" s="912">
        <f ca="1">AJ747/AJ700</f>
        <v>56.93413935730193</v>
      </c>
      <c r="AK754" s="907"/>
      <c r="AL754" s="906"/>
      <c r="AM754" s="906"/>
      <c r="AN754" s="907"/>
      <c r="AO754" s="912">
        <f ca="1">AO747/AO700</f>
        <v>-32.829192451909904</v>
      </c>
      <c r="AP754" s="907"/>
      <c r="AQ754" s="906"/>
      <c r="AR754" s="906"/>
      <c r="AS754" s="907"/>
      <c r="AT754" s="912">
        <f ca="1">AT747/AT700</f>
        <v>9.0394902349140374</v>
      </c>
      <c r="AU754" s="907"/>
      <c r="AV754" s="906"/>
      <c r="AW754" s="906"/>
      <c r="AX754" s="907"/>
      <c r="AY754" s="912">
        <f ca="1">AY747/AY700</f>
        <v>39.268878048780486</v>
      </c>
      <c r="AZ754" s="907"/>
      <c r="BA754" s="906"/>
      <c r="BB754" s="906"/>
      <c r="BC754" s="907"/>
      <c r="BD754" s="912">
        <f ca="1">BD747/BD700</f>
        <v>-19.921394658753709</v>
      </c>
      <c r="BE754" s="907"/>
      <c r="BF754" s="906"/>
      <c r="BG754" s="906"/>
      <c r="BH754" s="907"/>
      <c r="BI754" s="912">
        <f ca="1">BI747/BI700</f>
        <v>68.122349570200583</v>
      </c>
      <c r="BJ754" s="1570"/>
      <c r="BK754" s="907"/>
      <c r="BL754" s="907"/>
      <c r="BM754" s="907"/>
      <c r="BN754" s="905">
        <f ca="1">BN747/BN700</f>
        <v>321.25470174585541</v>
      </c>
      <c r="BO754" s="907"/>
      <c r="BP754" s="907"/>
      <c r="BQ754" s="907"/>
      <c r="BR754" s="907"/>
      <c r="BS754" s="905">
        <f ca="1">BS747/BS700</f>
        <v>127.52691994564009</v>
      </c>
      <c r="BT754" s="905">
        <f ca="1">BT747/BT700</f>
        <v>78.032117285819425</v>
      </c>
      <c r="BU754" s="905">
        <f ca="1">BU747/BU700</f>
        <v>55.238115060257442</v>
      </c>
      <c r="BV754" s="905">
        <f ca="1">BV747/BV700</f>
        <v>41.788243917657695</v>
      </c>
      <c r="BW754" s="909"/>
    </row>
    <row r="755" spans="1:75" x14ac:dyDescent="0.5">
      <c r="A755" s="913" t="str">
        <f>"FCF Yield % to "&amp;MO.ValuationToggle&amp;" Market Cap"</f>
        <v>FCF Yield % to EoP Market Cap</v>
      </c>
      <c r="B755" s="1414"/>
      <c r="C755" s="213"/>
      <c r="D755" s="213"/>
      <c r="E755" s="213"/>
      <c r="F755" s="213"/>
      <c r="G755" s="214"/>
      <c r="H755" s="214"/>
      <c r="I755" s="214"/>
      <c r="J755" s="214"/>
      <c r="K755" s="213"/>
      <c r="L755" s="214"/>
      <c r="M755" s="214"/>
      <c r="N755" s="214"/>
      <c r="O755" s="214"/>
      <c r="P755" s="914">
        <f ca="1">P722/P748</f>
        <v>-6.4436071850815478E-3</v>
      </c>
      <c r="Q755" s="214"/>
      <c r="R755" s="214"/>
      <c r="S755" s="214"/>
      <c r="T755" s="214"/>
      <c r="U755" s="914">
        <f ca="1">U722/U748</f>
        <v>1.6862934419796728E-2</v>
      </c>
      <c r="V755" s="214"/>
      <c r="W755" s="214"/>
      <c r="X755" s="214"/>
      <c r="Y755" s="214"/>
      <c r="Z755" s="914">
        <f ca="1">Z722/Z748</f>
        <v>-1.6170815260847661E-2</v>
      </c>
      <c r="AA755" s="214"/>
      <c r="AB755" s="214"/>
      <c r="AC755" s="214"/>
      <c r="AD755" s="214"/>
      <c r="AE755" s="914">
        <f ca="1">AE722/AE748</f>
        <v>-2.4375979498889658E-2</v>
      </c>
      <c r="AF755" s="214"/>
      <c r="AG755" s="214"/>
      <c r="AH755" s="214"/>
      <c r="AI755" s="214"/>
      <c r="AJ755" s="914">
        <f ca="1">AJ722/AJ748</f>
        <v>-2.8375109283102849E-2</v>
      </c>
      <c r="AK755" s="214"/>
      <c r="AL755" s="214"/>
      <c r="AM755" s="214"/>
      <c r="AN755" s="214"/>
      <c r="AO755" s="914">
        <f ca="1">AO722/AO748</f>
        <v>-9.2503206747293426E-2</v>
      </c>
      <c r="AP755" s="214"/>
      <c r="AQ755" s="214"/>
      <c r="AR755" s="214"/>
      <c r="AS755" s="214"/>
      <c r="AT755" s="914">
        <f ca="1">AT722/AT748</f>
        <v>8.2103721190981402E-2</v>
      </c>
      <c r="AU755" s="214"/>
      <c r="AV755" s="214"/>
      <c r="AW755" s="214"/>
      <c r="AX755" s="214"/>
      <c r="AY755" s="914">
        <f ca="1">AY722/AY748</f>
        <v>7.0566305457652346E-3</v>
      </c>
      <c r="AZ755" s="214"/>
      <c r="BA755" s="214"/>
      <c r="BB755" s="214"/>
      <c r="BC755" s="214"/>
      <c r="BD755" s="914">
        <f ca="1">BD722/BD748</f>
        <v>-8.4307612560344733E-2</v>
      </c>
      <c r="BE755" s="214"/>
      <c r="BF755" s="214"/>
      <c r="BG755" s="214"/>
      <c r="BH755" s="214"/>
      <c r="BI755" s="914">
        <f ca="1">BI722/BI748</f>
        <v>-8.4123038355899343E-5</v>
      </c>
      <c r="BJ755" s="1117"/>
      <c r="BK755" s="214"/>
      <c r="BL755" s="214"/>
      <c r="BM755" s="214"/>
      <c r="BN755" s="213">
        <f ca="1">BN722/BN748</f>
        <v>-6.2937912749279207E-3</v>
      </c>
      <c r="BO755" s="214"/>
      <c r="BP755" s="214"/>
      <c r="BQ755" s="214"/>
      <c r="BR755" s="214"/>
      <c r="BS755" s="213">
        <f ca="1">BS722/BS748</f>
        <v>-2.272716585070719E-3</v>
      </c>
      <c r="BT755" s="213">
        <f ca="1">BT722/BT748</f>
        <v>3.6003536214215012E-3</v>
      </c>
      <c r="BU755" s="213">
        <f ca="1">BU722/BU748</f>
        <v>9.2087676515048809E-3</v>
      </c>
      <c r="BV755" s="213">
        <f ca="1">BV722/BV748</f>
        <v>1.5344582454287579E-2</v>
      </c>
      <c r="BW755" s="216"/>
    </row>
    <row r="756" spans="1:75" x14ac:dyDescent="0.5">
      <c r="A756" s="913" t="str">
        <f>"FCF Yield % to "&amp;MO.ValuationToggle&amp;" Enterprise Value"</f>
        <v>FCF Yield % to EoP Enterprise Value</v>
      </c>
      <c r="B756" s="1414"/>
      <c r="C756" s="213"/>
      <c r="D756" s="213"/>
      <c r="E756" s="213"/>
      <c r="F756" s="213"/>
      <c r="G756" s="214"/>
      <c r="H756" s="214"/>
      <c r="I756" s="214"/>
      <c r="J756" s="214"/>
      <c r="K756" s="213"/>
      <c r="L756" s="214"/>
      <c r="M756" s="214"/>
      <c r="N756" s="214"/>
      <c r="O756" s="214"/>
      <c r="P756" s="914">
        <f ca="1">P722/P749</f>
        <v>-6.8842997351507094E-3</v>
      </c>
      <c r="Q756" s="214"/>
      <c r="R756" s="214"/>
      <c r="S756" s="214"/>
      <c r="T756" s="214"/>
      <c r="U756" s="914">
        <f ca="1">U722/U749</f>
        <v>1.8515621907695415E-2</v>
      </c>
      <c r="V756" s="214"/>
      <c r="W756" s="214"/>
      <c r="X756" s="214"/>
      <c r="Y756" s="214"/>
      <c r="Z756" s="914">
        <f ca="1">Z722/Z749</f>
        <v>-1.7561699824670877E-2</v>
      </c>
      <c r="AA756" s="214"/>
      <c r="AB756" s="214"/>
      <c r="AC756" s="214"/>
      <c r="AD756" s="214"/>
      <c r="AE756" s="914">
        <f ca="1">AE722/AE749</f>
        <v>-2.5498423133787029E-2</v>
      </c>
      <c r="AF756" s="214"/>
      <c r="AG756" s="214"/>
      <c r="AH756" s="214"/>
      <c r="AI756" s="214"/>
      <c r="AJ756" s="914">
        <f ca="1">AJ722/AJ749</f>
        <v>-2.8622615695442045E-2</v>
      </c>
      <c r="AK756" s="214"/>
      <c r="AL756" s="214"/>
      <c r="AM756" s="214"/>
      <c r="AN756" s="214"/>
      <c r="AO756" s="914">
        <f ca="1">AO722/AO749</f>
        <v>-7.6195471039250021E-2</v>
      </c>
      <c r="AP756" s="214"/>
      <c r="AQ756" s="214"/>
      <c r="AR756" s="214"/>
      <c r="AS756" s="214"/>
      <c r="AT756" s="914">
        <f ca="1">AT722/AT749</f>
        <v>7.6124717151544882E-2</v>
      </c>
      <c r="AU756" s="214"/>
      <c r="AV756" s="214"/>
      <c r="AW756" s="214"/>
      <c r="AX756" s="214"/>
      <c r="AY756" s="914">
        <f ca="1">AY722/AY749</f>
        <v>6.47494519955034E-3</v>
      </c>
      <c r="AZ756" s="214"/>
      <c r="BA756" s="214"/>
      <c r="BB756" s="214"/>
      <c r="BC756" s="214"/>
      <c r="BD756" s="914">
        <f ca="1">BD722/BD749</f>
        <v>-6.9430729353864878E-2</v>
      </c>
      <c r="BE756" s="214"/>
      <c r="BF756" s="214"/>
      <c r="BG756" s="214"/>
      <c r="BH756" s="214"/>
      <c r="BI756" s="914">
        <f ca="1">BI722/BI749</f>
        <v>-7.5109754128219861E-5</v>
      </c>
      <c r="BJ756" s="1117"/>
      <c r="BK756" s="214"/>
      <c r="BL756" s="214"/>
      <c r="BM756" s="214"/>
      <c r="BN756" s="213">
        <f ca="1">BN722/BN749</f>
        <v>-5.7903637185103256E-3</v>
      </c>
      <c r="BO756" s="214"/>
      <c r="BP756" s="214"/>
      <c r="BQ756" s="214"/>
      <c r="BR756" s="214"/>
      <c r="BS756" s="213">
        <f ca="1">BS722/BS749</f>
        <v>-2.0929646359448529E-3</v>
      </c>
      <c r="BT756" s="213">
        <f ca="1">BT722/BT749</f>
        <v>3.3498290992600628E-3</v>
      </c>
      <c r="BU756" s="213">
        <f ca="1">BU722/BU749</f>
        <v>8.6624404586568247E-3</v>
      </c>
      <c r="BV756" s="213">
        <f ca="1">BV722/BV749</f>
        <v>1.4675733880985205E-2</v>
      </c>
      <c r="BW756" s="216"/>
    </row>
    <row r="757" spans="1:75" hidden="1" outlineLevel="1" x14ac:dyDescent="0.5">
      <c r="A757" s="211"/>
      <c r="B757" s="1414"/>
      <c r="C757" s="213"/>
      <c r="D757" s="213"/>
      <c r="E757" s="213"/>
      <c r="F757" s="213"/>
      <c r="G757" s="214"/>
      <c r="H757" s="214"/>
      <c r="I757" s="214"/>
      <c r="J757" s="214"/>
      <c r="K757" s="213"/>
      <c r="L757" s="214"/>
      <c r="M757" s="214"/>
      <c r="N757" s="214"/>
      <c r="O757" s="214"/>
      <c r="P757" s="213"/>
      <c r="Q757" s="214"/>
      <c r="R757" s="214"/>
      <c r="S757" s="214"/>
      <c r="T757" s="214"/>
      <c r="U757" s="213"/>
      <c r="V757" s="214"/>
      <c r="W757" s="214"/>
      <c r="X757" s="214"/>
      <c r="Y757" s="214"/>
      <c r="Z757" s="213"/>
      <c r="AA757" s="214"/>
      <c r="AB757" s="214"/>
      <c r="AC757" s="214"/>
      <c r="AD757" s="214"/>
      <c r="AE757" s="213"/>
      <c r="AF757" s="214"/>
      <c r="AG757" s="214"/>
      <c r="AH757" s="214"/>
      <c r="AI757" s="214"/>
      <c r="AJ757" s="213"/>
      <c r="AK757" s="214"/>
      <c r="AL757" s="214"/>
      <c r="AM757" s="214"/>
      <c r="AN757" s="214"/>
      <c r="AO757" s="213"/>
      <c r="AP757" s="214"/>
      <c r="AQ757" s="214"/>
      <c r="AR757" s="214"/>
      <c r="AS757" s="214"/>
      <c r="AT757" s="213"/>
      <c r="AU757" s="214"/>
      <c r="AV757" s="214"/>
      <c r="AW757" s="214"/>
      <c r="AX757" s="214"/>
      <c r="AY757" s="213"/>
      <c r="AZ757" s="214"/>
      <c r="BA757" s="214"/>
      <c r="BB757" s="214"/>
      <c r="BC757" s="214"/>
      <c r="BD757" s="213"/>
      <c r="BE757" s="214"/>
      <c r="BF757" s="214"/>
      <c r="BG757" s="214"/>
      <c r="BH757" s="214"/>
      <c r="BI757" s="213"/>
      <c r="BJ757" s="1117"/>
      <c r="BK757" s="214"/>
      <c r="BL757" s="214"/>
      <c r="BM757" s="214"/>
      <c r="BN757" s="213"/>
      <c r="BO757" s="214"/>
      <c r="BP757" s="214"/>
      <c r="BQ757" s="214"/>
      <c r="BR757" s="214"/>
      <c r="BS757" s="213"/>
      <c r="BT757" s="213"/>
      <c r="BU757" s="213"/>
      <c r="BV757" s="213"/>
      <c r="BW757" s="216"/>
    </row>
    <row r="758" spans="1:75" hidden="1" outlineLevel="1" x14ac:dyDescent="0.5">
      <c r="A758" s="915" t="str">
        <f ca="1">"Stock High, "&amp;HP.TradeCurrency</f>
        <v>Stock High, USD</v>
      </c>
      <c r="B758" s="1571"/>
      <c r="C758" s="917"/>
      <c r="D758" s="917"/>
      <c r="E758" s="917"/>
      <c r="F758" s="917"/>
      <c r="G758" s="920"/>
      <c r="H758" s="920"/>
      <c r="I758" s="920"/>
      <c r="J758" s="920"/>
      <c r="K758" s="917"/>
      <c r="L758" s="920"/>
      <c r="M758" s="920"/>
      <c r="N758" s="920"/>
      <c r="O758" s="919">
        <f t="shared" ref="O758:AH758" ca="1" si="540">IF(INDEX(MO_SNA_IsHistoricalPeriod,1,COLUMN())=FALSE,0,INDEX(MO_SPT_StockHigh,1,COLUMN()))</f>
        <v>80.989999999999995</v>
      </c>
      <c r="P758" s="918">
        <f t="shared" ca="1" si="540"/>
        <v>80.989999999999995</v>
      </c>
      <c r="Q758" s="919">
        <f t="shared" ca="1" si="540"/>
        <v>84.75</v>
      </c>
      <c r="R758" s="919">
        <f t="shared" ca="1" si="540"/>
        <v>85.37</v>
      </c>
      <c r="S758" s="919">
        <f t="shared" ca="1" si="540"/>
        <v>89.38</v>
      </c>
      <c r="T758" s="919">
        <f t="shared" ca="1" si="540"/>
        <v>75.900000000000006</v>
      </c>
      <c r="U758" s="918">
        <f t="shared" ca="1" si="540"/>
        <v>89.38</v>
      </c>
      <c r="V758" s="919">
        <f t="shared" ca="1" si="540"/>
        <v>61.97</v>
      </c>
      <c r="W758" s="919">
        <f t="shared" ca="1" si="540"/>
        <v>61.03</v>
      </c>
      <c r="X758" s="919">
        <f t="shared" ca="1" si="540"/>
        <v>57.4</v>
      </c>
      <c r="Y758" s="919">
        <f t="shared" ca="1" si="540"/>
        <v>56.94</v>
      </c>
      <c r="Z758" s="1572">
        <f t="shared" ca="1" si="540"/>
        <v>61.97</v>
      </c>
      <c r="AA758" s="919">
        <f t="shared" ca="1" si="540"/>
        <v>55.89</v>
      </c>
      <c r="AB758" s="919">
        <f t="shared" ca="1" si="540"/>
        <v>54.85</v>
      </c>
      <c r="AC758" s="919">
        <f t="shared" ca="1" si="540"/>
        <v>54.18</v>
      </c>
      <c r="AD758" s="919">
        <f t="shared" ca="1" si="540"/>
        <v>55.88</v>
      </c>
      <c r="AE758" s="1572">
        <f t="shared" ca="1" si="540"/>
        <v>55.89</v>
      </c>
      <c r="AF758" s="919">
        <f t="shared" ca="1" si="540"/>
        <v>54.037100000000002</v>
      </c>
      <c r="AG758" s="919">
        <f t="shared" ca="1" si="540"/>
        <v>63.609699999999997</v>
      </c>
      <c r="AH758" s="919">
        <f t="shared" ca="1" si="540"/>
        <v>72.381500000000003</v>
      </c>
      <c r="AI758" s="919">
        <f t="shared" ref="AI758:AQ758" ca="1" si="541">IF(INDEX(MO_SNA_IsHistoricalPeriod,1,COLUMN())=FALSE,0,INDEX(MO_SPT_StockHigh,1,COLUMN()))</f>
        <v>64.98</v>
      </c>
      <c r="AJ758" s="1572">
        <f t="shared" ca="1" si="541"/>
        <v>72.381500000000003</v>
      </c>
      <c r="AK758" s="919">
        <f t="shared" ca="1" si="541"/>
        <v>60.24</v>
      </c>
      <c r="AL758" s="919">
        <f t="shared" ca="1" si="541"/>
        <v>70.260000000000005</v>
      </c>
      <c r="AM758" s="919">
        <f t="shared" ca="1" si="541"/>
        <v>71.23</v>
      </c>
      <c r="AN758" s="919">
        <f t="shared" ca="1" si="541"/>
        <v>76.59</v>
      </c>
      <c r="AO758" s="1572">
        <f t="shared" ca="1" si="541"/>
        <v>76.59</v>
      </c>
      <c r="AP758" s="919">
        <f t="shared" ca="1" si="541"/>
        <v>74.48</v>
      </c>
      <c r="AQ758" s="919">
        <f t="shared" ca="1" si="541"/>
        <v>87.65</v>
      </c>
      <c r="AR758" s="919">
        <f t="shared" ref="AR758:AV758" ca="1" si="542">IF(INDEX(MO_SNA_IsHistoricalPeriod,1,COLUMN())=FALSE,0,INDEX(MO_SPT_StockHigh,1,COLUMN()))</f>
        <v>105.76</v>
      </c>
      <c r="AS758" s="919">
        <f t="shared" ca="1" si="542"/>
        <v>147.6</v>
      </c>
      <c r="AT758" s="1572">
        <f t="shared" ca="1" si="542"/>
        <v>147.6</v>
      </c>
      <c r="AU758" s="919">
        <f t="shared" ca="1" si="542"/>
        <v>186.89</v>
      </c>
      <c r="AV758" s="919">
        <f t="shared" ca="1" si="542"/>
        <v>187.04</v>
      </c>
      <c r="AW758" s="919">
        <f t="shared" ref="AW758:BA758" ca="1" si="543">IF(INDEX(MO_SNA_IsHistoricalPeriod,1,COLUMN())=FALSE,0,INDEX(MO_SPT_StockHigh,1,COLUMN()))</f>
        <v>194.46</v>
      </c>
      <c r="AX758" s="919">
        <f t="shared" ca="1" si="543"/>
        <v>221.63</v>
      </c>
      <c r="AY758" s="1572">
        <f t="shared" ca="1" si="543"/>
        <v>221.63</v>
      </c>
      <c r="AZ758" s="919">
        <f t="shared" ca="1" si="543"/>
        <v>164.8</v>
      </c>
      <c r="BA758" s="919">
        <f t="shared" ca="1" si="543"/>
        <v>144.41999999999999</v>
      </c>
      <c r="BB758" s="919">
        <f t="shared" ref="BB758:BN758" ca="1" si="544">IF(INDEX(MO_SNA_IsHistoricalPeriod,1,COLUMN())=FALSE,0,INDEX(MO_SPT_StockHigh,1,COLUMN()))</f>
        <v>168.87</v>
      </c>
      <c r="BC758" s="919">
        <f t="shared" ca="1" si="544"/>
        <v>135.36000000000001</v>
      </c>
      <c r="BD758" s="1572">
        <f t="shared" ca="1" si="544"/>
        <v>168.87</v>
      </c>
      <c r="BE758" s="919">
        <f t="shared" ref="BE758:BM758" ca="1" si="545">IF(INDEX(MO_SNA_IsHistoricalPeriod,1,COLUMN())=FALSE,0,INDEX(MO_SPT_StockHigh,1,COLUMN()))</f>
        <v>143.56</v>
      </c>
      <c r="BF758" s="919">
        <f t="shared" ca="1" si="545"/>
        <v>140.66</v>
      </c>
      <c r="BG758" s="919">
        <f t="shared" ca="1" si="545"/>
        <v>163.46</v>
      </c>
      <c r="BH758" s="919">
        <f t="shared" ca="1" si="545"/>
        <v>210.59</v>
      </c>
      <c r="BI758" s="1572">
        <f t="shared" ca="1" si="545"/>
        <v>210.59</v>
      </c>
      <c r="BJ758" s="1345">
        <f ca="1">IF(INDEX(MO_SNA_IsHistoricalPeriod,1,COLUMN())=FALSE,0,INDEX(MO_SPT_StockHigh,1,COLUMN()))</f>
        <v>317.52999999999997</v>
      </c>
      <c r="BK758" s="920">
        <f t="shared" si="545"/>
        <v>0</v>
      </c>
      <c r="BL758" s="920">
        <f t="shared" si="545"/>
        <v>0</v>
      </c>
      <c r="BM758" s="920">
        <f t="shared" si="545"/>
        <v>0</v>
      </c>
      <c r="BN758" s="784">
        <f t="shared" si="544"/>
        <v>0</v>
      </c>
      <c r="BO758" s="920">
        <f t="shared" ref="BO758:BV758" si="546">IF(INDEX(MO_SNA_IsHistoricalPeriod,1,COLUMN())=FALSE,0,INDEX(MO_SPT_StockHigh,1,COLUMN()))</f>
        <v>0</v>
      </c>
      <c r="BP758" s="920">
        <f t="shared" si="546"/>
        <v>0</v>
      </c>
      <c r="BQ758" s="920">
        <f t="shared" si="546"/>
        <v>0</v>
      </c>
      <c r="BR758" s="920">
        <f t="shared" si="546"/>
        <v>0</v>
      </c>
      <c r="BS758" s="784">
        <f t="shared" si="546"/>
        <v>0</v>
      </c>
      <c r="BT758" s="784">
        <f t="shared" si="546"/>
        <v>0</v>
      </c>
      <c r="BU758" s="784">
        <f t="shared" si="546"/>
        <v>0</v>
      </c>
      <c r="BV758" s="784">
        <f t="shared" si="546"/>
        <v>0</v>
      </c>
      <c r="BW758" s="787"/>
    </row>
    <row r="759" spans="1:75" hidden="1" outlineLevel="1" x14ac:dyDescent="0.5">
      <c r="A759" s="915" t="str">
        <f ca="1">"Stock Low, "&amp;HP.TradeCurrency</f>
        <v>Stock Low, USD</v>
      </c>
      <c r="B759" s="1571"/>
      <c r="C759" s="917"/>
      <c r="D759" s="917"/>
      <c r="E759" s="917"/>
      <c r="F759" s="917"/>
      <c r="G759" s="920"/>
      <c r="H759" s="920"/>
      <c r="I759" s="920"/>
      <c r="J759" s="920"/>
      <c r="K759" s="917"/>
      <c r="L759" s="920"/>
      <c r="M759" s="920"/>
      <c r="N759" s="920"/>
      <c r="O759" s="919">
        <f t="shared" ref="O759:AH759" ca="1" si="547">IF(INDEX(MO_SNA_IsHistoricalPeriod,1,COLUMN())=FALSE,0,INDEX(MO_SPT_StockLow,1,COLUMN()))</f>
        <v>64.17</v>
      </c>
      <c r="P759" s="918">
        <f t="shared" ca="1" si="547"/>
        <v>52.46</v>
      </c>
      <c r="Q759" s="919">
        <f t="shared" ca="1" si="547"/>
        <v>73.14</v>
      </c>
      <c r="R759" s="919">
        <f t="shared" ca="1" si="547"/>
        <v>74.75</v>
      </c>
      <c r="S759" s="919">
        <f t="shared" ca="1" si="547"/>
        <v>71.03</v>
      </c>
      <c r="T759" s="919">
        <f t="shared" ca="1" si="547"/>
        <v>47.33</v>
      </c>
      <c r="U759" s="918">
        <f t="shared" ca="1" si="547"/>
        <v>47.33</v>
      </c>
      <c r="V759" s="919">
        <f t="shared" ca="1" si="547"/>
        <v>49.39</v>
      </c>
      <c r="W759" s="919">
        <f t="shared" ca="1" si="547"/>
        <v>47.66</v>
      </c>
      <c r="X759" s="919">
        <f t="shared" ca="1" si="547"/>
        <v>45.96</v>
      </c>
      <c r="Y759" s="919">
        <f t="shared" ca="1" si="547"/>
        <v>45.98</v>
      </c>
      <c r="Z759" s="1572">
        <f t="shared" ca="1" si="547"/>
        <v>45.96</v>
      </c>
      <c r="AA759" s="919">
        <f t="shared" ca="1" si="547"/>
        <v>46.44</v>
      </c>
      <c r="AB759" s="919">
        <f t="shared" ca="1" si="547"/>
        <v>43.96</v>
      </c>
      <c r="AC759" s="919">
        <f t="shared" ca="1" si="547"/>
        <v>42.68</v>
      </c>
      <c r="AD759" s="919">
        <f t="shared" ca="1" si="547"/>
        <v>44.01</v>
      </c>
      <c r="AE759" s="1572">
        <f t="shared" ca="1" si="547"/>
        <v>42.68</v>
      </c>
      <c r="AF759" s="919">
        <f t="shared" ca="1" si="547"/>
        <v>46.935699999999997</v>
      </c>
      <c r="AG759" s="919">
        <f t="shared" ca="1" si="547"/>
        <v>46.610900000000001</v>
      </c>
      <c r="AH759" s="919">
        <f t="shared" ca="1" si="547"/>
        <v>55.73</v>
      </c>
      <c r="AI759" s="919">
        <f t="shared" ref="AI759:AQ759" ca="1" si="548">IF(INDEX(MO_SNA_IsHistoricalPeriod,1,COLUMN())=FALSE,0,INDEX(MO_SPT_StockLow,1,COLUMN()))</f>
        <v>45.54</v>
      </c>
      <c r="AJ759" s="1572">
        <f t="shared" ca="1" si="548"/>
        <v>45.54</v>
      </c>
      <c r="AK759" s="919">
        <f t="shared" ca="1" si="548"/>
        <v>52.88</v>
      </c>
      <c r="AL759" s="919">
        <f t="shared" ca="1" si="548"/>
        <v>51.13</v>
      </c>
      <c r="AM759" s="919">
        <f t="shared" ca="1" si="548"/>
        <v>62.19</v>
      </c>
      <c r="AN759" s="919">
        <f t="shared" ca="1" si="548"/>
        <v>67.42</v>
      </c>
      <c r="AO759" s="1572">
        <f t="shared" ca="1" si="548"/>
        <v>51.13</v>
      </c>
      <c r="AP759" s="919">
        <f t="shared" ca="1" si="548"/>
        <v>30.66</v>
      </c>
      <c r="AQ759" s="919">
        <f t="shared" ca="1" si="548"/>
        <v>62.61</v>
      </c>
      <c r="AR759" s="919">
        <f t="shared" ref="AR759:AV759" ca="1" si="549">IF(INDEX(MO_SNA_IsHistoricalPeriod,1,COLUMN())=FALSE,0,INDEX(MO_SPT_StockLow,1,COLUMN()))</f>
        <v>84.56</v>
      </c>
      <c r="AS759" s="919">
        <f t="shared" ca="1" si="549"/>
        <v>89.82</v>
      </c>
      <c r="AT759" s="1572">
        <f t="shared" ca="1" si="549"/>
        <v>30.66</v>
      </c>
      <c r="AU759" s="919">
        <f t="shared" ca="1" si="549"/>
        <v>124.34</v>
      </c>
      <c r="AV759" s="919">
        <f t="shared" ca="1" si="549"/>
        <v>150.93</v>
      </c>
      <c r="AW759" s="919">
        <f t="shared" ref="AW759:BA759" ca="1" si="550">IF(INDEX(MO_SNA_IsHistoricalPeriod,1,COLUMN())=FALSE,0,INDEX(MO_SPT_StockLow,1,COLUMN()))</f>
        <v>152.84</v>
      </c>
      <c r="AX759" s="919">
        <f t="shared" ca="1" si="550"/>
        <v>142.58000000000001</v>
      </c>
      <c r="AY759" s="1572">
        <f t="shared" ca="1" si="550"/>
        <v>124.34</v>
      </c>
      <c r="AZ759" s="919">
        <f t="shared" ca="1" si="550"/>
        <v>130.47999999999999</v>
      </c>
      <c r="BA759" s="919">
        <f t="shared" ca="1" si="550"/>
        <v>105.47</v>
      </c>
      <c r="BB759" s="919">
        <f t="shared" ref="BB759:BN759" ca="1" si="551">IF(INDEX(MO_SNA_IsHistoricalPeriod,1,COLUMN())=FALSE,0,INDEX(MO_SPT_StockLow,1,COLUMN()))</f>
        <v>113.51</v>
      </c>
      <c r="BC759" s="919">
        <f t="shared" ca="1" si="551"/>
        <v>111.71</v>
      </c>
      <c r="BD759" s="1572">
        <f t="shared" ca="1" si="551"/>
        <v>105.47</v>
      </c>
      <c r="BE759" s="919">
        <f t="shared" ref="BE759:BM759" ca="1" si="552">IF(INDEX(MO_SNA_IsHistoricalPeriod,1,COLUMN())=FALSE,0,INDEX(MO_SPT_StockLow,1,COLUMN()))</f>
        <v>116.86</v>
      </c>
      <c r="BF759" s="919">
        <f t="shared" ca="1" si="552"/>
        <v>111.16</v>
      </c>
      <c r="BG759" s="919">
        <f t="shared" ca="1" si="552"/>
        <v>125.15</v>
      </c>
      <c r="BH759" s="919">
        <f t="shared" ca="1" si="552"/>
        <v>147.52000000000001</v>
      </c>
      <c r="BI759" s="1572">
        <f t="shared" ca="1" si="552"/>
        <v>111.16</v>
      </c>
      <c r="BJ759" s="1345">
        <f ca="1">IF(INDEX(MO_SNA_IsHistoricalPeriod,1,COLUMN())=FALSE,0,INDEX(MO_SPT_StockLow,1,COLUMN()))</f>
        <v>193.39</v>
      </c>
      <c r="BK759" s="920">
        <f t="shared" si="552"/>
        <v>0</v>
      </c>
      <c r="BL759" s="920">
        <f t="shared" si="552"/>
        <v>0</v>
      </c>
      <c r="BM759" s="920">
        <f t="shared" si="552"/>
        <v>0</v>
      </c>
      <c r="BN759" s="784">
        <f t="shared" si="551"/>
        <v>0</v>
      </c>
      <c r="BO759" s="920">
        <f t="shared" ref="BO759:BV759" si="553">IF(INDEX(MO_SNA_IsHistoricalPeriod,1,COLUMN())=FALSE,0,INDEX(MO_SPT_StockLow,1,COLUMN()))</f>
        <v>0</v>
      </c>
      <c r="BP759" s="920">
        <f t="shared" si="553"/>
        <v>0</v>
      </c>
      <c r="BQ759" s="920">
        <f t="shared" si="553"/>
        <v>0</v>
      </c>
      <c r="BR759" s="920">
        <f t="shared" si="553"/>
        <v>0</v>
      </c>
      <c r="BS759" s="784">
        <f t="shared" si="553"/>
        <v>0</v>
      </c>
      <c r="BT759" s="784">
        <f t="shared" si="553"/>
        <v>0</v>
      </c>
      <c r="BU759" s="784">
        <f t="shared" si="553"/>
        <v>0</v>
      </c>
      <c r="BV759" s="784">
        <f t="shared" si="553"/>
        <v>0</v>
      </c>
      <c r="BW759" s="787"/>
    </row>
    <row r="760" spans="1:75" hidden="1" outlineLevel="1" x14ac:dyDescent="0.5">
      <c r="A760" s="915" t="str">
        <f ca="1">"Stock Average, "&amp;HP.TradeCurrency</f>
        <v>Stock Average, USD</v>
      </c>
      <c r="B760" s="1571"/>
      <c r="C760" s="917"/>
      <c r="D760" s="917"/>
      <c r="E760" s="917"/>
      <c r="F760" s="917"/>
      <c r="G760" s="920"/>
      <c r="H760" s="920"/>
      <c r="I760" s="920"/>
      <c r="J760" s="920"/>
      <c r="K760" s="917"/>
      <c r="L760" s="920"/>
      <c r="M760" s="920"/>
      <c r="N760" s="920"/>
      <c r="O760" s="919">
        <f t="shared" ref="O760:AH760" ca="1" si="554">IF(INDEX(MO_SNA_IsHistoricalPeriod,1,COLUMN())=FALSE,0,INDEX(MO_SPT_StockAverage,1,COLUMN()))</f>
        <v>72.58</v>
      </c>
      <c r="P760" s="918">
        <f t="shared" ca="1" si="554"/>
        <v>67.203749999999999</v>
      </c>
      <c r="Q760" s="919">
        <f t="shared" ca="1" si="554"/>
        <v>78.944999999999993</v>
      </c>
      <c r="R760" s="919">
        <f t="shared" ca="1" si="554"/>
        <v>80.06</v>
      </c>
      <c r="S760" s="919">
        <f t="shared" ca="1" si="554"/>
        <v>80.204999999999998</v>
      </c>
      <c r="T760" s="919">
        <f t="shared" ca="1" si="554"/>
        <v>61.615000000000002</v>
      </c>
      <c r="U760" s="918">
        <f t="shared" ca="1" si="554"/>
        <v>75.206249999999997</v>
      </c>
      <c r="V760" s="919">
        <f t="shared" ca="1" si="554"/>
        <v>55.68</v>
      </c>
      <c r="W760" s="919">
        <f t="shared" ca="1" si="554"/>
        <v>54.344999999999999</v>
      </c>
      <c r="X760" s="919">
        <f t="shared" ca="1" si="554"/>
        <v>51.68</v>
      </c>
      <c r="Y760" s="919">
        <f t="shared" ca="1" si="554"/>
        <v>51.46</v>
      </c>
      <c r="Z760" s="1572">
        <f t="shared" ca="1" si="554"/>
        <v>53.291249999999998</v>
      </c>
      <c r="AA760" s="919">
        <f t="shared" ca="1" si="554"/>
        <v>51.164999999999999</v>
      </c>
      <c r="AB760" s="919">
        <f t="shared" ca="1" si="554"/>
        <v>49.405000000000001</v>
      </c>
      <c r="AC760" s="919">
        <f t="shared" ca="1" si="554"/>
        <v>48.43</v>
      </c>
      <c r="AD760" s="919">
        <f t="shared" ca="1" si="554"/>
        <v>49.945</v>
      </c>
      <c r="AE760" s="1572">
        <f t="shared" ca="1" si="554"/>
        <v>49.736249999999998</v>
      </c>
      <c r="AF760" s="919">
        <f t="shared" ca="1" si="554"/>
        <v>50.318453968253998</v>
      </c>
      <c r="AG760" s="919">
        <f t="shared" ca="1" si="554"/>
        <v>56.250880952381003</v>
      </c>
      <c r="AH760" s="919">
        <f t="shared" ca="1" si="554"/>
        <v>62.831870312500001</v>
      </c>
      <c r="AI760" s="919">
        <f t="shared" ref="AI760:AQ760" ca="1" si="555">IF(INDEX(MO_SNA_IsHistoricalPeriod,1,COLUMN())=FALSE,0,INDEX(MO_SPT_StockAverage,1,COLUMN()))</f>
        <v>54.5011430769231</v>
      </c>
      <c r="AJ760" s="1572">
        <f t="shared" ca="1" si="555"/>
        <v>55.990910196078403</v>
      </c>
      <c r="AK760" s="919">
        <f t="shared" ca="1" si="555"/>
        <v>57.009365079365097</v>
      </c>
      <c r="AL760" s="919">
        <f t="shared" ca="1" si="555"/>
        <v>60.775238095238102</v>
      </c>
      <c r="AM760" s="919">
        <f t="shared" ca="1" si="555"/>
        <v>66.632031249999997</v>
      </c>
      <c r="AN760" s="919">
        <f t="shared" ca="1" si="555"/>
        <v>71.841147540983599</v>
      </c>
      <c r="AO760" s="1572">
        <f t="shared" ca="1" si="555"/>
        <v>64.012709163346699</v>
      </c>
      <c r="AP760" s="919">
        <f t="shared" ca="1" si="555"/>
        <v>55.830317460317502</v>
      </c>
      <c r="AQ760" s="919">
        <f t="shared" ca="1" si="555"/>
        <v>79.522698412698404</v>
      </c>
      <c r="AR760" s="919">
        <f t="shared" ref="AR760:AV760" ca="1" si="556">IF(INDEX(MO_SNA_IsHistoricalPeriod,1,COLUMN())=FALSE,0,INDEX(MO_SPT_StockAverage,1,COLUMN()))</f>
        <v>93.781406250000003</v>
      </c>
      <c r="AS760" s="919">
        <f t="shared" ca="1" si="556"/>
        <v>109.83196721311501</v>
      </c>
      <c r="AT760" s="1572">
        <f t="shared" ca="1" si="556"/>
        <v>84.577689243027905</v>
      </c>
      <c r="AU760" s="919">
        <f t="shared" ca="1" si="556"/>
        <v>152.585079365079</v>
      </c>
      <c r="AV760" s="919">
        <f t="shared" ca="1" si="556"/>
        <v>164.36666666666699</v>
      </c>
      <c r="AW760" s="919">
        <f t="shared" ref="AW760:BA760" ca="1" si="557">IF(INDEX(MO_SNA_IsHistoricalPeriod,1,COLUMN())=FALSE,0,INDEX(MO_SPT_StockAverage,1,COLUMN()))</f>
        <v>175.89046875</v>
      </c>
      <c r="AX760" s="919">
        <f t="shared" ca="1" si="557"/>
        <v>178.29516129032299</v>
      </c>
      <c r="AY760" s="1572">
        <f t="shared" ca="1" si="557"/>
        <v>167.77480158730199</v>
      </c>
      <c r="AZ760" s="919">
        <f t="shared" ca="1" si="557"/>
        <v>148.51015873015899</v>
      </c>
      <c r="BA760" s="919">
        <f t="shared" ca="1" si="557"/>
        <v>125.76516129032299</v>
      </c>
      <c r="BB760" s="919">
        <f t="shared" ref="BB760:BN760" ca="1" si="558">IF(INDEX(MO_SNA_IsHistoricalPeriod,1,COLUMN())=FALSE,0,INDEX(MO_SPT_StockAverage,1,COLUMN()))</f>
        <v>138.63234374999999</v>
      </c>
      <c r="BC760" s="919">
        <f t="shared" ca="1" si="558"/>
        <v>120.66819672131101</v>
      </c>
      <c r="BD760" s="1572">
        <f t="shared" ca="1" si="558"/>
        <v>133.54723999999999</v>
      </c>
      <c r="BE760" s="919">
        <f t="shared" ref="BE760:BM760" ca="1" si="559">IF(INDEX(MO_SNA_IsHistoricalPeriod,1,COLUMN())=FALSE,0,INDEX(MO_SPT_StockAverage,1,COLUMN()))</f>
        <v>123.663333333333</v>
      </c>
      <c r="BF760" s="919">
        <f t="shared" ca="1" si="559"/>
        <v>122.361451612903</v>
      </c>
      <c r="BG760" s="919">
        <f t="shared" ca="1" si="559"/>
        <v>145.87531250000001</v>
      </c>
      <c r="BH760" s="919">
        <f t="shared" ca="1" si="559"/>
        <v>187.539344262295</v>
      </c>
      <c r="BI760" s="1572">
        <f t="shared" ca="1" si="559"/>
        <v>144.61248000000001</v>
      </c>
      <c r="BJ760" s="1345">
        <f ca="1">IF(INDEX(MO_SNA_IsHistoricalPeriod,1,COLUMN())=FALSE,0,INDEX(MO_SPT_StockAverage,1,COLUMN()))</f>
        <v>259.91349206349201</v>
      </c>
      <c r="BK760" s="920">
        <f t="shared" si="559"/>
        <v>0</v>
      </c>
      <c r="BL760" s="920">
        <f t="shared" si="559"/>
        <v>0</v>
      </c>
      <c r="BM760" s="920">
        <f t="shared" si="559"/>
        <v>0</v>
      </c>
      <c r="BN760" s="784">
        <f t="shared" si="558"/>
        <v>0</v>
      </c>
      <c r="BO760" s="920">
        <f t="shared" ref="BO760:BV760" si="560">IF(INDEX(MO_SNA_IsHistoricalPeriod,1,COLUMN())=FALSE,0,INDEX(MO_SPT_StockAverage,1,COLUMN()))</f>
        <v>0</v>
      </c>
      <c r="BP760" s="920">
        <f t="shared" si="560"/>
        <v>0</v>
      </c>
      <c r="BQ760" s="920">
        <f t="shared" si="560"/>
        <v>0</v>
      </c>
      <c r="BR760" s="920">
        <f t="shared" si="560"/>
        <v>0</v>
      </c>
      <c r="BS760" s="784">
        <f t="shared" si="560"/>
        <v>0</v>
      </c>
      <c r="BT760" s="784">
        <f t="shared" si="560"/>
        <v>0</v>
      </c>
      <c r="BU760" s="784">
        <f t="shared" si="560"/>
        <v>0</v>
      </c>
      <c r="BV760" s="784">
        <f t="shared" si="560"/>
        <v>0</v>
      </c>
      <c r="BW760" s="787"/>
    </row>
    <row r="761" spans="1:75" hidden="1" outlineLevel="1" x14ac:dyDescent="0.5">
      <c r="A761" s="915" t="str">
        <f ca="1">"Stock EoP, "&amp;HP.TradeCurrency</f>
        <v>Stock EoP, USD</v>
      </c>
      <c r="B761" s="1571"/>
      <c r="C761" s="922">
        <f t="shared" ref="C761:AH761" si="561">IF(INDEX(MO_SNA_IsHistoricalPeriod,1,COLUMN())=FALSE,MO.LastPrice,INDEX(MO_SPT_StockEoP,1,COLUMN()))</f>
        <v>18.98</v>
      </c>
      <c r="D761" s="922">
        <f t="shared" si="561"/>
        <v>32.340000000000003</v>
      </c>
      <c r="E761" s="922">
        <f t="shared" si="561"/>
        <v>35.119999999999997</v>
      </c>
      <c r="F761" s="922">
        <f t="shared" si="561"/>
        <v>45.02</v>
      </c>
      <c r="G761" s="925">
        <f t="shared" si="561"/>
        <v>53.83</v>
      </c>
      <c r="H761" s="925">
        <f t="shared" si="561"/>
        <v>60.6</v>
      </c>
      <c r="I761" s="925">
        <f t="shared" si="561"/>
        <v>52</v>
      </c>
      <c r="J761" s="925">
        <f t="shared" si="561"/>
        <v>54.52</v>
      </c>
      <c r="K761" s="922">
        <f t="shared" si="561"/>
        <v>54.52</v>
      </c>
      <c r="L761" s="925">
        <f t="shared" si="561"/>
        <v>63.06</v>
      </c>
      <c r="M761" s="925">
        <f t="shared" si="561"/>
        <v>67.2</v>
      </c>
      <c r="N761" s="925">
        <f t="shared" si="561"/>
        <v>65.03</v>
      </c>
      <c r="O761" s="924">
        <f t="shared" si="561"/>
        <v>78.25</v>
      </c>
      <c r="P761" s="923">
        <f t="shared" si="561"/>
        <v>78.25</v>
      </c>
      <c r="Q761" s="924">
        <f t="shared" si="561"/>
        <v>75.010000000000005</v>
      </c>
      <c r="R761" s="924">
        <f t="shared" si="561"/>
        <v>84.66</v>
      </c>
      <c r="S761" s="924">
        <f t="shared" si="561"/>
        <v>73.75</v>
      </c>
      <c r="T761" s="924">
        <f t="shared" si="561"/>
        <v>51.66</v>
      </c>
      <c r="U761" s="923">
        <f t="shared" si="561"/>
        <v>51.66</v>
      </c>
      <c r="V761" s="924">
        <f t="shared" si="561"/>
        <v>58.78</v>
      </c>
      <c r="W761" s="924">
        <f t="shared" si="561"/>
        <v>54.08</v>
      </c>
      <c r="X761" s="924">
        <f t="shared" si="561"/>
        <v>46.52</v>
      </c>
      <c r="Y761" s="924">
        <f t="shared" si="561"/>
        <v>47.5</v>
      </c>
      <c r="Z761" s="1573">
        <f t="shared" si="561"/>
        <v>47.5</v>
      </c>
      <c r="AA761" s="924">
        <f t="shared" si="561"/>
        <v>54.05</v>
      </c>
      <c r="AB761" s="924">
        <f t="shared" si="561"/>
        <v>46.32</v>
      </c>
      <c r="AC761" s="924">
        <f t="shared" si="561"/>
        <v>52.42</v>
      </c>
      <c r="AD761" s="924">
        <f t="shared" si="561"/>
        <v>53.41</v>
      </c>
      <c r="AE761" s="1573">
        <f t="shared" si="561"/>
        <v>53.41</v>
      </c>
      <c r="AF761" s="924">
        <f t="shared" si="561"/>
        <v>49.18</v>
      </c>
      <c r="AG761" s="924">
        <f t="shared" si="561"/>
        <v>58.16</v>
      </c>
      <c r="AH761" s="924">
        <f t="shared" si="561"/>
        <v>56.9</v>
      </c>
      <c r="AI761" s="924">
        <f t="shared" ref="AI761:AZ761" si="562">IF(INDEX(MO_SNA_IsHistoricalPeriod,1,COLUMN())=FALSE,MO.LastPrice,INDEX(MO_SPT_StockEoP,1,COLUMN()))</f>
        <v>54</v>
      </c>
      <c r="AJ761" s="1573">
        <f t="shared" si="562"/>
        <v>54</v>
      </c>
      <c r="AK761" s="924">
        <f t="shared" si="562"/>
        <v>56.64</v>
      </c>
      <c r="AL761" s="924">
        <f t="shared" si="562"/>
        <v>64.040000000000006</v>
      </c>
      <c r="AM761" s="924">
        <f t="shared" si="562"/>
        <v>66.790000000000006</v>
      </c>
      <c r="AN761" s="924">
        <f t="shared" si="562"/>
        <v>70.08</v>
      </c>
      <c r="AO761" s="1573">
        <f t="shared" si="562"/>
        <v>70.08</v>
      </c>
      <c r="AP761" s="924">
        <f t="shared" si="562"/>
        <v>60.25</v>
      </c>
      <c r="AQ761" s="924">
        <f t="shared" si="562"/>
        <v>87.12</v>
      </c>
      <c r="AR761" s="924">
        <f t="shared" si="562"/>
        <v>91.21</v>
      </c>
      <c r="AS761" s="924">
        <f t="shared" si="562"/>
        <v>128.91999999999999</v>
      </c>
      <c r="AT761" s="1573">
        <f t="shared" si="562"/>
        <v>128.91999999999999</v>
      </c>
      <c r="AU761" s="924">
        <f t="shared" si="562"/>
        <v>170.75</v>
      </c>
      <c r="AV761" s="924">
        <f t="shared" si="562"/>
        <v>151.69999999999999</v>
      </c>
      <c r="AW761" s="924">
        <f t="shared" si="562"/>
        <v>185.73</v>
      </c>
      <c r="AX761" s="924">
        <f t="shared" si="562"/>
        <v>154.81</v>
      </c>
      <c r="AY761" s="1573">
        <f t="shared" si="562"/>
        <v>154.81</v>
      </c>
      <c r="AZ761" s="924">
        <f t="shared" si="562"/>
        <v>130.47999999999999</v>
      </c>
      <c r="BA761" s="924">
        <f t="shared" ref="BA761:BD761" si="563">IF(INDEX(MO_SNA_IsHistoricalPeriod,1,COLUMN())=FALSE,MO.LastPrice,INDEX(MO_SPT_StockEoP,1,COLUMN()))</f>
        <v>144.41999999999999</v>
      </c>
      <c r="BB761" s="924">
        <f t="shared" si="563"/>
        <v>122.75</v>
      </c>
      <c r="BC761" s="924">
        <f t="shared" si="563"/>
        <v>126.67</v>
      </c>
      <c r="BD761" s="1573">
        <f t="shared" si="563"/>
        <v>126.67</v>
      </c>
      <c r="BE761" s="924">
        <f t="shared" ref="BE761:BV761" si="564">IF(INDEX(MO_SNA_IsHistoricalPeriod,1,COLUMN())=FALSE,MO.LastPrice,INDEX(MO_SPT_StockEoP,1,COLUMN()))</f>
        <v>121.04</v>
      </c>
      <c r="BF761" s="924">
        <f t="shared" si="564"/>
        <v>140.66</v>
      </c>
      <c r="BG761" s="924">
        <f t="shared" si="564"/>
        <v>145.82</v>
      </c>
      <c r="BH761" s="924">
        <f t="shared" si="564"/>
        <v>208.55</v>
      </c>
      <c r="BI761" s="1573">
        <f t="shared" si="564"/>
        <v>208.55</v>
      </c>
      <c r="BJ761" s="1346">
        <f>IF(INDEX(MO_SNA_IsHistoricalPeriod,1,COLUMN())=FALSE,MO.LastPrice,INDEX(MO_SPT_StockEoP,1,COLUMN()))</f>
        <v>282.16000000000003</v>
      </c>
      <c r="BK761" s="925">
        <f t="shared" ca="1" si="564"/>
        <v>292.52</v>
      </c>
      <c r="BL761" s="925">
        <f t="shared" ca="1" si="564"/>
        <v>292.52</v>
      </c>
      <c r="BM761" s="925">
        <f t="shared" ca="1" si="564"/>
        <v>292.52</v>
      </c>
      <c r="BN761" s="926">
        <f t="shared" ca="1" si="564"/>
        <v>292.52</v>
      </c>
      <c r="BO761" s="925">
        <f t="shared" ca="1" si="564"/>
        <v>292.52</v>
      </c>
      <c r="BP761" s="925">
        <f t="shared" ca="1" si="564"/>
        <v>292.52</v>
      </c>
      <c r="BQ761" s="925">
        <f t="shared" ca="1" si="564"/>
        <v>292.52</v>
      </c>
      <c r="BR761" s="925">
        <f t="shared" ca="1" si="564"/>
        <v>292.52</v>
      </c>
      <c r="BS761" s="926">
        <f t="shared" ca="1" si="564"/>
        <v>292.52</v>
      </c>
      <c r="BT761" s="926">
        <f t="shared" ca="1" si="564"/>
        <v>292.52</v>
      </c>
      <c r="BU761" s="926">
        <f t="shared" ca="1" si="564"/>
        <v>292.52</v>
      </c>
      <c r="BV761" s="926">
        <f t="shared" ca="1" si="564"/>
        <v>292.52</v>
      </c>
      <c r="BW761" s="787"/>
    </row>
    <row r="762" spans="1:75" hidden="1" outlineLevel="1" x14ac:dyDescent="0.5">
      <c r="A762" s="928" t="str">
        <f ca="1">"Average FX Rate, "&amp;HP.TradeCurrency&amp;"/"&amp;MO.ReportCurrency</f>
        <v>Average FX Rate, USD/USD</v>
      </c>
      <c r="B762" s="1574"/>
      <c r="C762" s="930"/>
      <c r="D762" s="930"/>
      <c r="E762" s="930"/>
      <c r="F762" s="930"/>
      <c r="G762" s="933"/>
      <c r="H762" s="933"/>
      <c r="I762" s="933"/>
      <c r="J762" s="933"/>
      <c r="K762" s="930"/>
      <c r="L762" s="933"/>
      <c r="M762" s="933"/>
      <c r="N762" s="933"/>
      <c r="O762" s="932">
        <f t="shared" ref="O762:AH762" ca="1" si="565">IF(INDEX(MO_SPT_FXAverage,1,COLUMN())=0,1,INDEX(MO_SPT_FXAverage,1,COLUMN()))</f>
        <v>1</v>
      </c>
      <c r="P762" s="931">
        <f t="shared" ca="1" si="565"/>
        <v>1</v>
      </c>
      <c r="Q762" s="932">
        <f t="shared" ca="1" si="565"/>
        <v>1</v>
      </c>
      <c r="R762" s="932">
        <f t="shared" ca="1" si="565"/>
        <v>1</v>
      </c>
      <c r="S762" s="932">
        <f t="shared" ca="1" si="565"/>
        <v>1</v>
      </c>
      <c r="T762" s="932">
        <f t="shared" ca="1" si="565"/>
        <v>1</v>
      </c>
      <c r="U762" s="931">
        <f t="shared" ca="1" si="565"/>
        <v>1</v>
      </c>
      <c r="V762" s="932">
        <f t="shared" ca="1" si="565"/>
        <v>1</v>
      </c>
      <c r="W762" s="932">
        <f t="shared" ca="1" si="565"/>
        <v>1</v>
      </c>
      <c r="X762" s="932">
        <f t="shared" ca="1" si="565"/>
        <v>1</v>
      </c>
      <c r="Y762" s="932">
        <f t="shared" ca="1" si="565"/>
        <v>1</v>
      </c>
      <c r="Z762" s="1575">
        <f t="shared" ca="1" si="565"/>
        <v>1</v>
      </c>
      <c r="AA762" s="932">
        <f t="shared" ca="1" si="565"/>
        <v>1</v>
      </c>
      <c r="AB762" s="932">
        <f t="shared" ca="1" si="565"/>
        <v>1</v>
      </c>
      <c r="AC762" s="932">
        <f t="shared" ca="1" si="565"/>
        <v>1</v>
      </c>
      <c r="AD762" s="932">
        <f t="shared" ca="1" si="565"/>
        <v>1</v>
      </c>
      <c r="AE762" s="1575">
        <f t="shared" ca="1" si="565"/>
        <v>1</v>
      </c>
      <c r="AF762" s="932">
        <f t="shared" ca="1" si="565"/>
        <v>1</v>
      </c>
      <c r="AG762" s="932">
        <f t="shared" ca="1" si="565"/>
        <v>1</v>
      </c>
      <c r="AH762" s="932">
        <f t="shared" ca="1" si="565"/>
        <v>1</v>
      </c>
      <c r="AI762" s="932">
        <f t="shared" ref="AI762:AQ762" ca="1" si="566">IF(INDEX(MO_SPT_FXAverage,1,COLUMN())=0,1,INDEX(MO_SPT_FXAverage,1,COLUMN()))</f>
        <v>1</v>
      </c>
      <c r="AJ762" s="1575">
        <f t="shared" ca="1" si="566"/>
        <v>1</v>
      </c>
      <c r="AK762" s="932">
        <f t="shared" ca="1" si="566"/>
        <v>1</v>
      </c>
      <c r="AL762" s="932">
        <f t="shared" ca="1" si="566"/>
        <v>1</v>
      </c>
      <c r="AM762" s="932">
        <f t="shared" ca="1" si="566"/>
        <v>1</v>
      </c>
      <c r="AN762" s="932">
        <f t="shared" ca="1" si="566"/>
        <v>1</v>
      </c>
      <c r="AO762" s="1575">
        <f t="shared" ca="1" si="566"/>
        <v>1</v>
      </c>
      <c r="AP762" s="932">
        <f t="shared" ca="1" si="566"/>
        <v>1</v>
      </c>
      <c r="AQ762" s="932">
        <f t="shared" ca="1" si="566"/>
        <v>1</v>
      </c>
      <c r="AR762" s="932">
        <f t="shared" ref="AR762:AV762" ca="1" si="567">IF(INDEX(MO_SPT_FXAverage,1,COLUMN())=0,1,INDEX(MO_SPT_FXAverage,1,COLUMN()))</f>
        <v>1</v>
      </c>
      <c r="AS762" s="932">
        <f t="shared" ca="1" si="567"/>
        <v>1</v>
      </c>
      <c r="AT762" s="1575">
        <f t="shared" ca="1" si="567"/>
        <v>1</v>
      </c>
      <c r="AU762" s="932">
        <f t="shared" ca="1" si="567"/>
        <v>1</v>
      </c>
      <c r="AV762" s="932">
        <f t="shared" ca="1" si="567"/>
        <v>1</v>
      </c>
      <c r="AW762" s="932">
        <f t="shared" ref="AW762:BA762" ca="1" si="568">IF(INDEX(MO_SPT_FXAverage,1,COLUMN())=0,1,INDEX(MO_SPT_FXAverage,1,COLUMN()))</f>
        <v>1</v>
      </c>
      <c r="AX762" s="932">
        <f t="shared" ca="1" si="568"/>
        <v>1</v>
      </c>
      <c r="AY762" s="1575">
        <f t="shared" ca="1" si="568"/>
        <v>1</v>
      </c>
      <c r="AZ762" s="932">
        <f t="shared" ca="1" si="568"/>
        <v>1</v>
      </c>
      <c r="BA762" s="932">
        <f t="shared" ca="1" si="568"/>
        <v>1</v>
      </c>
      <c r="BB762" s="932">
        <f t="shared" ref="BB762:BN762" ca="1" si="569">IF(INDEX(MO_SPT_FXAverage,1,COLUMN())=0,1,INDEX(MO_SPT_FXAverage,1,COLUMN()))</f>
        <v>1</v>
      </c>
      <c r="BC762" s="932">
        <f t="shared" ca="1" si="569"/>
        <v>1</v>
      </c>
      <c r="BD762" s="1575">
        <f t="shared" ca="1" si="569"/>
        <v>1</v>
      </c>
      <c r="BE762" s="932">
        <f t="shared" ref="BE762:BM762" ca="1" si="570">IF(INDEX(MO_SPT_FXAverage,1,COLUMN())=0,1,INDEX(MO_SPT_FXAverage,1,COLUMN()))</f>
        <v>1</v>
      </c>
      <c r="BF762" s="932">
        <f t="shared" ca="1" si="570"/>
        <v>1</v>
      </c>
      <c r="BG762" s="932">
        <f t="shared" ca="1" si="570"/>
        <v>1</v>
      </c>
      <c r="BH762" s="932">
        <f t="shared" ca="1" si="570"/>
        <v>1</v>
      </c>
      <c r="BI762" s="1575">
        <f t="shared" ca="1" si="570"/>
        <v>1</v>
      </c>
      <c r="BJ762" s="1347">
        <f ca="1">IF(INDEX(MO_SPT_FXAverage,1,COLUMN())=0,1,INDEX(MO_SPT_FXAverage,1,COLUMN()))</f>
        <v>1</v>
      </c>
      <c r="BK762" s="933">
        <f t="shared" ca="1" si="570"/>
        <v>1</v>
      </c>
      <c r="BL762" s="933">
        <f t="shared" ca="1" si="570"/>
        <v>1</v>
      </c>
      <c r="BM762" s="933">
        <f t="shared" ca="1" si="570"/>
        <v>1</v>
      </c>
      <c r="BN762" s="934">
        <f t="shared" ca="1" si="569"/>
        <v>1</v>
      </c>
      <c r="BO762" s="933">
        <f t="shared" ref="BO762:BV762" ca="1" si="571">IF(INDEX(MO_SPT_FXAverage,1,COLUMN())=0,1,INDEX(MO_SPT_FXAverage,1,COLUMN()))</f>
        <v>1</v>
      </c>
      <c r="BP762" s="933">
        <f t="shared" ca="1" si="571"/>
        <v>1</v>
      </c>
      <c r="BQ762" s="933">
        <f t="shared" ca="1" si="571"/>
        <v>1</v>
      </c>
      <c r="BR762" s="933">
        <f t="shared" ca="1" si="571"/>
        <v>1</v>
      </c>
      <c r="BS762" s="934">
        <f t="shared" ca="1" si="571"/>
        <v>1</v>
      </c>
      <c r="BT762" s="934">
        <f t="shared" ca="1" si="571"/>
        <v>1</v>
      </c>
      <c r="BU762" s="934">
        <f t="shared" ca="1" si="571"/>
        <v>1</v>
      </c>
      <c r="BV762" s="934">
        <f t="shared" ca="1" si="571"/>
        <v>1</v>
      </c>
      <c r="BW762" s="936"/>
    </row>
    <row r="763" spans="1:75" hidden="1" outlineLevel="1" x14ac:dyDescent="0.5">
      <c r="A763" s="928" t="str">
        <f ca="1">"EoP FX Rate, "&amp;HP.TradeCurrency&amp;"/"&amp;MO.ReportCurrency</f>
        <v>EoP FX Rate, USD/USD</v>
      </c>
      <c r="B763" s="1574"/>
      <c r="C763" s="930">
        <f t="shared" ref="C763:AH763" si="572">IF(INDEX(MO_SNA_IsHistoricalPeriod,1,COLUMN())=FALSE,HP.MRFX,INDEX(MO_SPT_FXEoP,1,COLUMN()))</f>
        <v>1</v>
      </c>
      <c r="D763" s="930">
        <f t="shared" si="572"/>
        <v>1</v>
      </c>
      <c r="E763" s="930">
        <f t="shared" si="572"/>
        <v>1</v>
      </c>
      <c r="F763" s="930">
        <f t="shared" si="572"/>
        <v>1</v>
      </c>
      <c r="G763" s="933">
        <f t="shared" si="572"/>
        <v>1</v>
      </c>
      <c r="H763" s="933">
        <f t="shared" si="572"/>
        <v>1</v>
      </c>
      <c r="I763" s="933">
        <f t="shared" si="572"/>
        <v>1</v>
      </c>
      <c r="J763" s="933">
        <f t="shared" si="572"/>
        <v>1</v>
      </c>
      <c r="K763" s="930">
        <f t="shared" si="572"/>
        <v>1</v>
      </c>
      <c r="L763" s="933">
        <f t="shared" si="572"/>
        <v>1</v>
      </c>
      <c r="M763" s="933">
        <f t="shared" si="572"/>
        <v>1</v>
      </c>
      <c r="N763" s="933">
        <f t="shared" si="572"/>
        <v>1</v>
      </c>
      <c r="O763" s="932">
        <f t="shared" si="572"/>
        <v>1</v>
      </c>
      <c r="P763" s="931">
        <f t="shared" si="572"/>
        <v>1</v>
      </c>
      <c r="Q763" s="932">
        <f t="shared" si="572"/>
        <v>1</v>
      </c>
      <c r="R763" s="932">
        <f t="shared" si="572"/>
        <v>1</v>
      </c>
      <c r="S763" s="932">
        <f t="shared" si="572"/>
        <v>1</v>
      </c>
      <c r="T763" s="932">
        <f t="shared" si="572"/>
        <v>1</v>
      </c>
      <c r="U763" s="931">
        <f t="shared" si="572"/>
        <v>1</v>
      </c>
      <c r="V763" s="932">
        <f t="shared" si="572"/>
        <v>1</v>
      </c>
      <c r="W763" s="932">
        <f t="shared" si="572"/>
        <v>1</v>
      </c>
      <c r="X763" s="932">
        <f t="shared" si="572"/>
        <v>1</v>
      </c>
      <c r="Y763" s="932">
        <f t="shared" si="572"/>
        <v>1</v>
      </c>
      <c r="Z763" s="1575">
        <f t="shared" si="572"/>
        <v>1</v>
      </c>
      <c r="AA763" s="932">
        <f t="shared" si="572"/>
        <v>1</v>
      </c>
      <c r="AB763" s="932">
        <f t="shared" si="572"/>
        <v>1</v>
      </c>
      <c r="AC763" s="932">
        <f t="shared" si="572"/>
        <v>1</v>
      </c>
      <c r="AD763" s="932">
        <f t="shared" si="572"/>
        <v>1</v>
      </c>
      <c r="AE763" s="1575">
        <f t="shared" si="572"/>
        <v>1</v>
      </c>
      <c r="AF763" s="932">
        <f t="shared" si="572"/>
        <v>1</v>
      </c>
      <c r="AG763" s="932">
        <f t="shared" si="572"/>
        <v>1</v>
      </c>
      <c r="AH763" s="932">
        <f t="shared" si="572"/>
        <v>1</v>
      </c>
      <c r="AI763" s="932">
        <f t="shared" ref="AI763:AZ763" si="573">IF(INDEX(MO_SNA_IsHistoricalPeriod,1,COLUMN())=FALSE,HP.MRFX,INDEX(MO_SPT_FXEoP,1,COLUMN()))</f>
        <v>1</v>
      </c>
      <c r="AJ763" s="1575">
        <f t="shared" si="573"/>
        <v>1</v>
      </c>
      <c r="AK763" s="932">
        <f t="shared" si="573"/>
        <v>1</v>
      </c>
      <c r="AL763" s="932">
        <f t="shared" si="573"/>
        <v>1</v>
      </c>
      <c r="AM763" s="932">
        <f t="shared" si="573"/>
        <v>1</v>
      </c>
      <c r="AN763" s="932">
        <f t="shared" si="573"/>
        <v>1</v>
      </c>
      <c r="AO763" s="1575">
        <f t="shared" si="573"/>
        <v>1</v>
      </c>
      <c r="AP763" s="932">
        <f t="shared" si="573"/>
        <v>1</v>
      </c>
      <c r="AQ763" s="932">
        <f t="shared" si="573"/>
        <v>1</v>
      </c>
      <c r="AR763" s="932">
        <f t="shared" si="573"/>
        <v>1</v>
      </c>
      <c r="AS763" s="932">
        <f t="shared" si="573"/>
        <v>1</v>
      </c>
      <c r="AT763" s="1575">
        <f t="shared" si="573"/>
        <v>1</v>
      </c>
      <c r="AU763" s="932">
        <f t="shared" si="573"/>
        <v>1</v>
      </c>
      <c r="AV763" s="932">
        <f t="shared" si="573"/>
        <v>1</v>
      </c>
      <c r="AW763" s="932">
        <f t="shared" si="573"/>
        <v>1</v>
      </c>
      <c r="AX763" s="932">
        <f t="shared" si="573"/>
        <v>1</v>
      </c>
      <c r="AY763" s="1575">
        <f t="shared" si="573"/>
        <v>1</v>
      </c>
      <c r="AZ763" s="932">
        <f t="shared" si="573"/>
        <v>1</v>
      </c>
      <c r="BA763" s="932">
        <f t="shared" ref="BA763:BD763" si="574">IF(INDEX(MO_SNA_IsHistoricalPeriod,1,COLUMN())=FALSE,HP.MRFX,INDEX(MO_SPT_FXEoP,1,COLUMN()))</f>
        <v>1</v>
      </c>
      <c r="BB763" s="932">
        <f t="shared" si="574"/>
        <v>1</v>
      </c>
      <c r="BC763" s="932">
        <f t="shared" si="574"/>
        <v>1</v>
      </c>
      <c r="BD763" s="1575">
        <f t="shared" si="574"/>
        <v>1</v>
      </c>
      <c r="BE763" s="932">
        <f t="shared" ref="BE763:BV763" si="575">IF(INDEX(MO_SNA_IsHistoricalPeriod,1,COLUMN())=FALSE,HP.MRFX,INDEX(MO_SPT_FXEoP,1,COLUMN()))</f>
        <v>1</v>
      </c>
      <c r="BF763" s="932">
        <f t="shared" si="575"/>
        <v>1</v>
      </c>
      <c r="BG763" s="932">
        <f t="shared" si="575"/>
        <v>1</v>
      </c>
      <c r="BH763" s="932">
        <f t="shared" si="575"/>
        <v>1</v>
      </c>
      <c r="BI763" s="1575">
        <f t="shared" si="575"/>
        <v>1</v>
      </c>
      <c r="BJ763" s="1347">
        <f>IF(INDEX(MO_SNA_IsHistoricalPeriod,1,COLUMN())=FALSE,HP.MRFX,INDEX(MO_SPT_FXEoP,1,COLUMN()))</f>
        <v>1</v>
      </c>
      <c r="BK763" s="933">
        <f t="shared" ca="1" si="575"/>
        <v>1</v>
      </c>
      <c r="BL763" s="933">
        <f t="shared" ca="1" si="575"/>
        <v>1</v>
      </c>
      <c r="BM763" s="933">
        <f t="shared" ca="1" si="575"/>
        <v>1</v>
      </c>
      <c r="BN763" s="934">
        <f t="shared" ca="1" si="575"/>
        <v>1</v>
      </c>
      <c r="BO763" s="933">
        <f t="shared" ca="1" si="575"/>
        <v>1</v>
      </c>
      <c r="BP763" s="933">
        <f t="shared" ca="1" si="575"/>
        <v>1</v>
      </c>
      <c r="BQ763" s="933">
        <f t="shared" ca="1" si="575"/>
        <v>1</v>
      </c>
      <c r="BR763" s="933">
        <f t="shared" ca="1" si="575"/>
        <v>1</v>
      </c>
      <c r="BS763" s="934">
        <f t="shared" ca="1" si="575"/>
        <v>1</v>
      </c>
      <c r="BT763" s="934">
        <f t="shared" ca="1" si="575"/>
        <v>1</v>
      </c>
      <c r="BU763" s="934">
        <f t="shared" ca="1" si="575"/>
        <v>1</v>
      </c>
      <c r="BV763" s="934">
        <f t="shared" ca="1" si="575"/>
        <v>1</v>
      </c>
      <c r="BW763" s="936"/>
    </row>
    <row r="764" spans="1:75" hidden="1" outlineLevel="1" x14ac:dyDescent="0.5">
      <c r="A764" s="915" t="str">
        <f ca="1">"Stock Price (Trading Cur.) - "&amp;MO.ValuationToggle&amp;", "&amp;HP.TradeCurrency</f>
        <v>Stock Price (Trading Cur.) - EoP, USD</v>
      </c>
      <c r="B764" s="1571"/>
      <c r="C764" s="917"/>
      <c r="D764" s="917"/>
      <c r="E764" s="917"/>
      <c r="F764" s="917"/>
      <c r="G764" s="920"/>
      <c r="H764" s="920"/>
      <c r="I764" s="920"/>
      <c r="J764" s="920"/>
      <c r="K764" s="917"/>
      <c r="L764" s="920"/>
      <c r="M764" s="920"/>
      <c r="N764" s="920"/>
      <c r="O764" s="919" t="e">
        <f t="shared" ref="O764:AT764" si="576">IF(INDEX(MO_SNA_IsHistoricalPeriod,1,COLUMN())=FALSE,MO.LastPrice,CHOOSE(VLOOKUP(MO.ValuationToggle,tb_ValuationToggle,COLUMNS(tb_ValuationToggle),FALSE),O758,O759,O760))</f>
        <v>#VALUE!</v>
      </c>
      <c r="P764" s="918" t="e">
        <f t="shared" si="576"/>
        <v>#VALUE!</v>
      </c>
      <c r="Q764" s="919" t="e">
        <f t="shared" si="576"/>
        <v>#VALUE!</v>
      </c>
      <c r="R764" s="919" t="e">
        <f t="shared" si="576"/>
        <v>#VALUE!</v>
      </c>
      <c r="S764" s="919" t="e">
        <f t="shared" si="576"/>
        <v>#VALUE!</v>
      </c>
      <c r="T764" s="919" t="e">
        <f t="shared" si="576"/>
        <v>#VALUE!</v>
      </c>
      <c r="U764" s="918" t="e">
        <f t="shared" si="576"/>
        <v>#VALUE!</v>
      </c>
      <c r="V764" s="919" t="e">
        <f t="shared" si="576"/>
        <v>#VALUE!</v>
      </c>
      <c r="W764" s="919" t="e">
        <f t="shared" si="576"/>
        <v>#VALUE!</v>
      </c>
      <c r="X764" s="919" t="e">
        <f t="shared" si="576"/>
        <v>#VALUE!</v>
      </c>
      <c r="Y764" s="919" t="e">
        <f t="shared" si="576"/>
        <v>#VALUE!</v>
      </c>
      <c r="Z764" s="1572" t="e">
        <f t="shared" si="576"/>
        <v>#VALUE!</v>
      </c>
      <c r="AA764" s="919" t="e">
        <f t="shared" si="576"/>
        <v>#VALUE!</v>
      </c>
      <c r="AB764" s="919" t="e">
        <f t="shared" si="576"/>
        <v>#VALUE!</v>
      </c>
      <c r="AC764" s="919" t="e">
        <f t="shared" si="576"/>
        <v>#VALUE!</v>
      </c>
      <c r="AD764" s="919" t="e">
        <f t="shared" si="576"/>
        <v>#VALUE!</v>
      </c>
      <c r="AE764" s="1572" t="e">
        <f t="shared" si="576"/>
        <v>#VALUE!</v>
      </c>
      <c r="AF764" s="919" t="e">
        <f t="shared" si="576"/>
        <v>#VALUE!</v>
      </c>
      <c r="AG764" s="919" t="e">
        <f t="shared" si="576"/>
        <v>#VALUE!</v>
      </c>
      <c r="AH764" s="919" t="e">
        <f t="shared" si="576"/>
        <v>#VALUE!</v>
      </c>
      <c r="AI764" s="919" t="e">
        <f t="shared" si="576"/>
        <v>#VALUE!</v>
      </c>
      <c r="AJ764" s="1572" t="e">
        <f t="shared" si="576"/>
        <v>#VALUE!</v>
      </c>
      <c r="AK764" s="919" t="e">
        <f t="shared" si="576"/>
        <v>#VALUE!</v>
      </c>
      <c r="AL764" s="919" t="e">
        <f t="shared" si="576"/>
        <v>#VALUE!</v>
      </c>
      <c r="AM764" s="919" t="e">
        <f t="shared" si="576"/>
        <v>#VALUE!</v>
      </c>
      <c r="AN764" s="919" t="e">
        <f t="shared" si="576"/>
        <v>#VALUE!</v>
      </c>
      <c r="AO764" s="1572" t="e">
        <f t="shared" si="576"/>
        <v>#VALUE!</v>
      </c>
      <c r="AP764" s="919" t="e">
        <f t="shared" si="576"/>
        <v>#VALUE!</v>
      </c>
      <c r="AQ764" s="919" t="e">
        <f t="shared" si="576"/>
        <v>#VALUE!</v>
      </c>
      <c r="AR764" s="919" t="e">
        <f t="shared" si="576"/>
        <v>#VALUE!</v>
      </c>
      <c r="AS764" s="919" t="e">
        <f t="shared" si="576"/>
        <v>#VALUE!</v>
      </c>
      <c r="AT764" s="1572" t="e">
        <f t="shared" si="576"/>
        <v>#VALUE!</v>
      </c>
      <c r="AU764" s="919" t="e">
        <f t="shared" ref="AU764:BA764" si="577">IF(INDEX(MO_SNA_IsHistoricalPeriod,1,COLUMN())=FALSE,MO.LastPrice,CHOOSE(VLOOKUP(MO.ValuationToggle,tb_ValuationToggle,COLUMNS(tb_ValuationToggle),FALSE),AU758,AU759,AU760))</f>
        <v>#VALUE!</v>
      </c>
      <c r="AV764" s="919" t="e">
        <f t="shared" si="577"/>
        <v>#VALUE!</v>
      </c>
      <c r="AW764" s="919" t="e">
        <f t="shared" si="577"/>
        <v>#VALUE!</v>
      </c>
      <c r="AX764" s="919" t="e">
        <f t="shared" si="577"/>
        <v>#VALUE!</v>
      </c>
      <c r="AY764" s="1572" t="e">
        <f t="shared" si="577"/>
        <v>#VALUE!</v>
      </c>
      <c r="AZ764" s="919" t="e">
        <f t="shared" si="577"/>
        <v>#VALUE!</v>
      </c>
      <c r="BA764" s="919" t="e">
        <f t="shared" si="577"/>
        <v>#VALUE!</v>
      </c>
      <c r="BB764" s="919" t="e">
        <f t="shared" ref="BB764:BD764" si="578">IF(INDEX(MO_SNA_IsHistoricalPeriod,1,COLUMN())=FALSE,MO.LastPrice,CHOOSE(VLOOKUP(MO.ValuationToggle,tb_ValuationToggle,COLUMNS(tb_ValuationToggle),FALSE),BB758,BB759,BB760))</f>
        <v>#VALUE!</v>
      </c>
      <c r="BC764" s="919" t="e">
        <f t="shared" si="578"/>
        <v>#VALUE!</v>
      </c>
      <c r="BD764" s="1572" t="e">
        <f t="shared" si="578"/>
        <v>#VALUE!</v>
      </c>
      <c r="BE764" s="919" t="e">
        <f t="shared" ref="BE764:BV764" si="579">IF(INDEX(MO_SNA_IsHistoricalPeriod,1,COLUMN())=FALSE,MO.LastPrice,CHOOSE(VLOOKUP(MO.ValuationToggle,tb_ValuationToggle,COLUMNS(tb_ValuationToggle),FALSE),BE758,BE759,BE760))</f>
        <v>#VALUE!</v>
      </c>
      <c r="BF764" s="919" t="e">
        <f t="shared" si="579"/>
        <v>#VALUE!</v>
      </c>
      <c r="BG764" s="919" t="e">
        <f t="shared" si="579"/>
        <v>#VALUE!</v>
      </c>
      <c r="BH764" s="919" t="e">
        <f t="shared" si="579"/>
        <v>#VALUE!</v>
      </c>
      <c r="BI764" s="1572" t="e">
        <f t="shared" si="579"/>
        <v>#VALUE!</v>
      </c>
      <c r="BJ764" s="1345" t="e">
        <f>IF(INDEX(MO_SNA_IsHistoricalPeriod,1,COLUMN())=FALSE,MO.LastPrice,CHOOSE(VLOOKUP(MO.ValuationToggle,tb_ValuationToggle,COLUMNS(tb_ValuationToggle),FALSE),BJ758,BJ759,BJ760))</f>
        <v>#VALUE!</v>
      </c>
      <c r="BK764" s="920">
        <f t="shared" ca="1" si="579"/>
        <v>292.52</v>
      </c>
      <c r="BL764" s="920">
        <f t="shared" ca="1" si="579"/>
        <v>292.52</v>
      </c>
      <c r="BM764" s="920">
        <f t="shared" ca="1" si="579"/>
        <v>292.52</v>
      </c>
      <c r="BN764" s="784">
        <f t="shared" ca="1" si="579"/>
        <v>292.52</v>
      </c>
      <c r="BO764" s="920">
        <f t="shared" ca="1" si="579"/>
        <v>292.52</v>
      </c>
      <c r="BP764" s="920">
        <f t="shared" ca="1" si="579"/>
        <v>292.52</v>
      </c>
      <c r="BQ764" s="920">
        <f t="shared" ca="1" si="579"/>
        <v>292.52</v>
      </c>
      <c r="BR764" s="920">
        <f t="shared" ca="1" si="579"/>
        <v>292.52</v>
      </c>
      <c r="BS764" s="784">
        <f t="shared" ca="1" si="579"/>
        <v>292.52</v>
      </c>
      <c r="BT764" s="784">
        <f t="shared" ca="1" si="579"/>
        <v>292.52</v>
      </c>
      <c r="BU764" s="784">
        <f t="shared" ca="1" si="579"/>
        <v>292.52</v>
      </c>
      <c r="BV764" s="784">
        <f t="shared" ca="1" si="579"/>
        <v>292.52</v>
      </c>
      <c r="BW764" s="787"/>
    </row>
    <row r="765" spans="1:75" hidden="1" outlineLevel="1" x14ac:dyDescent="0.5">
      <c r="A765" s="184"/>
      <c r="B765" s="513"/>
      <c r="C765" s="401"/>
      <c r="D765" s="401"/>
      <c r="E765" s="401"/>
      <c r="F765" s="401"/>
      <c r="G765" s="118"/>
      <c r="H765" s="118"/>
      <c r="I765" s="118"/>
      <c r="J765" s="118"/>
      <c r="K765" s="401"/>
      <c r="L765" s="118"/>
      <c r="M765" s="118"/>
      <c r="N765" s="118"/>
      <c r="O765" s="118"/>
      <c r="P765" s="401"/>
      <c r="Q765" s="118"/>
      <c r="R765" s="118"/>
      <c r="S765" s="118"/>
      <c r="T765" s="118"/>
      <c r="U765" s="401"/>
      <c r="V765" s="118"/>
      <c r="W765" s="118"/>
      <c r="X765" s="118"/>
      <c r="Y765" s="118"/>
      <c r="Z765" s="401"/>
      <c r="AA765" s="118"/>
      <c r="AB765" s="118"/>
      <c r="AC765" s="118"/>
      <c r="AD765" s="118"/>
      <c r="AE765" s="401"/>
      <c r="AF765" s="118"/>
      <c r="AG765" s="118"/>
      <c r="AH765" s="118"/>
      <c r="AI765" s="118"/>
      <c r="AJ765" s="401"/>
      <c r="AK765" s="118"/>
      <c r="AL765" s="118"/>
      <c r="AM765" s="118"/>
      <c r="AN765" s="118"/>
      <c r="AO765" s="401"/>
      <c r="AP765" s="118"/>
      <c r="AQ765" s="118"/>
      <c r="AR765" s="118"/>
      <c r="AS765" s="118"/>
      <c r="AT765" s="401"/>
      <c r="AU765" s="118"/>
      <c r="AV765" s="118"/>
      <c r="AW765" s="118"/>
      <c r="AX765" s="118"/>
      <c r="AY765" s="401"/>
      <c r="AZ765" s="118"/>
      <c r="BA765" s="118"/>
      <c r="BB765" s="118"/>
      <c r="BC765" s="118"/>
      <c r="BD765" s="401"/>
      <c r="BE765" s="118"/>
      <c r="BF765" s="118"/>
      <c r="BG765" s="118"/>
      <c r="BH765" s="118"/>
      <c r="BI765" s="401"/>
      <c r="BJ765" s="971"/>
      <c r="BK765" s="118"/>
      <c r="BL765" s="118"/>
      <c r="BM765" s="118"/>
      <c r="BN765" s="401"/>
      <c r="BO765" s="118"/>
      <c r="BP765" s="118"/>
      <c r="BQ765" s="118"/>
      <c r="BR765" s="118"/>
      <c r="BS765" s="401"/>
      <c r="BT765" s="401"/>
      <c r="BU765" s="401"/>
      <c r="BV765" s="401"/>
      <c r="BW765" s="122"/>
    </row>
    <row r="766" spans="1:75" hidden="1" outlineLevel="1" x14ac:dyDescent="0.5">
      <c r="A766" s="635" t="s">
        <v>1337</v>
      </c>
      <c r="B766" s="522"/>
      <c r="C766" s="397"/>
      <c r="D766" s="397"/>
      <c r="E766" s="397"/>
      <c r="F766" s="397"/>
      <c r="G766" s="295"/>
      <c r="H766" s="295"/>
      <c r="I766" s="295"/>
      <c r="J766" s="295"/>
      <c r="K766" s="397"/>
      <c r="L766" s="295"/>
      <c r="M766" s="295"/>
      <c r="N766" s="295"/>
      <c r="O766" s="295"/>
      <c r="P766" s="397"/>
      <c r="Q766" s="295"/>
      <c r="R766" s="295"/>
      <c r="S766" s="295"/>
      <c r="T766" s="295"/>
      <c r="U766" s="397"/>
      <c r="V766" s="295"/>
      <c r="W766" s="295"/>
      <c r="X766" s="295"/>
      <c r="Y766" s="295"/>
      <c r="Z766" s="397"/>
      <c r="AA766" s="295"/>
      <c r="AB766" s="295"/>
      <c r="AC766" s="295"/>
      <c r="AD766" s="295"/>
      <c r="AE766" s="397"/>
      <c r="AF766" s="295"/>
      <c r="AG766" s="295"/>
      <c r="AH766" s="295"/>
      <c r="AI766" s="295"/>
      <c r="AJ766" s="397"/>
      <c r="AK766" s="295"/>
      <c r="AL766" s="295"/>
      <c r="AM766" s="295"/>
      <c r="AN766" s="295"/>
      <c r="AO766" s="397"/>
      <c r="AP766" s="295"/>
      <c r="AQ766" s="295"/>
      <c r="AR766" s="295"/>
      <c r="AS766" s="295"/>
      <c r="AT766" s="397"/>
      <c r="AU766" s="295"/>
      <c r="AV766" s="295"/>
      <c r="AW766" s="295"/>
      <c r="AX766" s="295"/>
      <c r="AY766" s="397"/>
      <c r="AZ766" s="295"/>
      <c r="BA766" s="295"/>
      <c r="BB766" s="295"/>
      <c r="BC766" s="295"/>
      <c r="BD766" s="397"/>
      <c r="BE766" s="295"/>
      <c r="BF766" s="295"/>
      <c r="BG766" s="295"/>
      <c r="BH766" s="295"/>
      <c r="BI766" s="397"/>
      <c r="BJ766" s="1030"/>
      <c r="BK766" s="295"/>
      <c r="BL766" s="295"/>
      <c r="BM766" s="295"/>
      <c r="BN766" s="397"/>
      <c r="BO766" s="295"/>
      <c r="BP766" s="295"/>
      <c r="BQ766" s="295"/>
      <c r="BR766" s="295"/>
      <c r="BS766" s="397"/>
      <c r="BT766" s="397"/>
      <c r="BU766" s="397"/>
      <c r="BV766" s="397"/>
      <c r="BW766" s="197"/>
    </row>
    <row r="767" spans="1:75" hidden="1" outlineLevel="1" x14ac:dyDescent="0.5">
      <c r="A767" s="541" t="s">
        <v>1338</v>
      </c>
      <c r="B767" s="513"/>
      <c r="C767" s="401"/>
      <c r="D767" s="401"/>
      <c r="E767" s="401"/>
      <c r="F767" s="674">
        <f t="shared" ref="F767:BQ767" si="580">F986</f>
        <v>0</v>
      </c>
      <c r="G767" s="118"/>
      <c r="H767" s="118"/>
      <c r="I767" s="118"/>
      <c r="J767" s="122">
        <f t="shared" si="580"/>
        <v>0</v>
      </c>
      <c r="K767" s="674">
        <f t="shared" si="580"/>
        <v>0</v>
      </c>
      <c r="L767" s="122">
        <f t="shared" si="580"/>
        <v>0</v>
      </c>
      <c r="M767" s="122">
        <f t="shared" si="580"/>
        <v>0</v>
      </c>
      <c r="N767" s="122">
        <f t="shared" si="580"/>
        <v>0</v>
      </c>
      <c r="O767" s="122">
        <f t="shared" si="580"/>
        <v>0</v>
      </c>
      <c r="P767" s="674">
        <f t="shared" si="580"/>
        <v>0</v>
      </c>
      <c r="Q767" s="122">
        <f t="shared" si="580"/>
        <v>0</v>
      </c>
      <c r="R767" s="122">
        <f t="shared" si="580"/>
        <v>0</v>
      </c>
      <c r="S767" s="122">
        <f t="shared" si="580"/>
        <v>0</v>
      </c>
      <c r="T767" s="122">
        <f t="shared" si="580"/>
        <v>0</v>
      </c>
      <c r="U767" s="674">
        <f t="shared" si="580"/>
        <v>0</v>
      </c>
      <c r="V767" s="122">
        <f t="shared" si="580"/>
        <v>0</v>
      </c>
      <c r="W767" s="122">
        <f t="shared" si="580"/>
        <v>0</v>
      </c>
      <c r="X767" s="122">
        <f t="shared" si="580"/>
        <v>0</v>
      </c>
      <c r="Y767" s="122">
        <f t="shared" si="580"/>
        <v>0</v>
      </c>
      <c r="Z767" s="674">
        <f t="shared" si="580"/>
        <v>0</v>
      </c>
      <c r="AA767" s="122">
        <f t="shared" si="580"/>
        <v>0</v>
      </c>
      <c r="AB767" s="122">
        <f t="shared" si="580"/>
        <v>0</v>
      </c>
      <c r="AC767" s="122">
        <f t="shared" si="580"/>
        <v>0</v>
      </c>
      <c r="AD767" s="122">
        <f t="shared" si="580"/>
        <v>0</v>
      </c>
      <c r="AE767" s="674">
        <f t="shared" si="580"/>
        <v>0</v>
      </c>
      <c r="AF767" s="122">
        <f t="shared" si="580"/>
        <v>0</v>
      </c>
      <c r="AG767" s="122">
        <f t="shared" si="580"/>
        <v>0</v>
      </c>
      <c r="AH767" s="122">
        <f t="shared" si="580"/>
        <v>0</v>
      </c>
      <c r="AI767" s="122">
        <f t="shared" si="580"/>
        <v>0</v>
      </c>
      <c r="AJ767" s="674">
        <f t="shared" si="580"/>
        <v>0</v>
      </c>
      <c r="AK767" s="122">
        <f t="shared" si="580"/>
        <v>0</v>
      </c>
      <c r="AL767" s="122">
        <f t="shared" si="580"/>
        <v>0</v>
      </c>
      <c r="AM767" s="122">
        <f t="shared" si="580"/>
        <v>0</v>
      </c>
      <c r="AN767" s="122">
        <f t="shared" si="580"/>
        <v>0</v>
      </c>
      <c r="AO767" s="674">
        <f t="shared" si="580"/>
        <v>0</v>
      </c>
      <c r="AP767" s="122">
        <f t="shared" si="580"/>
        <v>0</v>
      </c>
      <c r="AQ767" s="122">
        <f t="shared" si="580"/>
        <v>0</v>
      </c>
      <c r="AR767" s="122">
        <f t="shared" si="580"/>
        <v>0</v>
      </c>
      <c r="AS767" s="122">
        <f t="shared" si="580"/>
        <v>0</v>
      </c>
      <c r="AT767" s="674">
        <f t="shared" si="580"/>
        <v>0</v>
      </c>
      <c r="AU767" s="122">
        <f t="shared" si="580"/>
        <v>0</v>
      </c>
      <c r="AV767" s="122">
        <f t="shared" si="580"/>
        <v>0</v>
      </c>
      <c r="AW767" s="122">
        <f t="shared" si="580"/>
        <v>0</v>
      </c>
      <c r="AX767" s="122">
        <f t="shared" si="580"/>
        <v>0</v>
      </c>
      <c r="AY767" s="674">
        <f t="shared" si="580"/>
        <v>0</v>
      </c>
      <c r="AZ767" s="122">
        <f t="shared" si="580"/>
        <v>0</v>
      </c>
      <c r="BA767" s="122">
        <f t="shared" si="580"/>
        <v>0</v>
      </c>
      <c r="BB767" s="122">
        <f t="shared" si="580"/>
        <v>0</v>
      </c>
      <c r="BC767" s="122">
        <f t="shared" si="580"/>
        <v>0</v>
      </c>
      <c r="BD767" s="674">
        <f t="shared" si="580"/>
        <v>0</v>
      </c>
      <c r="BE767" s="122">
        <f t="shared" si="580"/>
        <v>0</v>
      </c>
      <c r="BF767" s="122">
        <f t="shared" si="580"/>
        <v>0</v>
      </c>
      <c r="BG767" s="122">
        <f t="shared" si="580"/>
        <v>0</v>
      </c>
      <c r="BH767" s="122">
        <f t="shared" si="580"/>
        <v>0</v>
      </c>
      <c r="BI767" s="674">
        <f t="shared" si="580"/>
        <v>0</v>
      </c>
      <c r="BJ767" s="1274">
        <f>BJ986</f>
        <v>0</v>
      </c>
      <c r="BK767" s="118">
        <f t="shared" si="580"/>
        <v>0</v>
      </c>
      <c r="BL767" s="118">
        <f t="shared" si="580"/>
        <v>0</v>
      </c>
      <c r="BM767" s="118">
        <f t="shared" si="580"/>
        <v>0</v>
      </c>
      <c r="BN767" s="401">
        <f t="shared" si="580"/>
        <v>0</v>
      </c>
      <c r="BO767" s="118">
        <f t="shared" si="580"/>
        <v>0</v>
      </c>
      <c r="BP767" s="118">
        <f t="shared" si="580"/>
        <v>0</v>
      </c>
      <c r="BQ767" s="118">
        <f t="shared" si="580"/>
        <v>0</v>
      </c>
      <c r="BR767" s="118">
        <f t="shared" ref="BR767:BY767" si="581">BR986</f>
        <v>0</v>
      </c>
      <c r="BS767" s="401">
        <f t="shared" si="581"/>
        <v>0</v>
      </c>
      <c r="BT767" s="401">
        <f t="shared" si="581"/>
        <v>0</v>
      </c>
      <c r="BU767" s="401">
        <f t="shared" si="581"/>
        <v>0</v>
      </c>
      <c r="BV767" s="401">
        <f t="shared" si="581"/>
        <v>0</v>
      </c>
      <c r="BW767" s="122"/>
    </row>
    <row r="768" spans="1:75" hidden="1" outlineLevel="1" x14ac:dyDescent="0.5">
      <c r="A768" s="541" t="s">
        <v>1339</v>
      </c>
      <c r="B768" s="513"/>
      <c r="C768" s="401"/>
      <c r="D768" s="401"/>
      <c r="E768" s="401"/>
      <c r="F768" s="401"/>
      <c r="G768" s="118"/>
      <c r="H768" s="118"/>
      <c r="I768" s="118"/>
      <c r="J768" s="118"/>
      <c r="K768" s="401"/>
      <c r="L768" s="118"/>
      <c r="M768" s="118"/>
      <c r="N768" s="118"/>
      <c r="O768" s="118"/>
      <c r="P768" s="401"/>
      <c r="Q768" s="118"/>
      <c r="R768" s="118"/>
      <c r="S768" s="118"/>
      <c r="T768" s="118"/>
      <c r="U768" s="401"/>
      <c r="V768" s="118"/>
      <c r="W768" s="118"/>
      <c r="X768" s="118"/>
      <c r="Y768" s="118"/>
      <c r="Z768" s="401"/>
      <c r="AA768" s="118"/>
      <c r="AB768" s="118"/>
      <c r="AC768" s="118"/>
      <c r="AD768" s="118"/>
      <c r="AE768" s="401"/>
      <c r="AF768" s="118"/>
      <c r="AG768" s="118"/>
      <c r="AH768" s="118"/>
      <c r="AI768" s="118"/>
      <c r="AJ768" s="401"/>
      <c r="AK768" s="118"/>
      <c r="AL768" s="118"/>
      <c r="AM768" s="118"/>
      <c r="AN768" s="118"/>
      <c r="AO768" s="401"/>
      <c r="AP768" s="118"/>
      <c r="AQ768" s="118"/>
      <c r="AR768" s="118"/>
      <c r="AS768" s="118"/>
      <c r="AT768" s="401"/>
      <c r="AU768" s="118"/>
      <c r="AV768" s="118"/>
      <c r="AW768" s="118"/>
      <c r="AX768" s="118"/>
      <c r="AY768" s="401"/>
      <c r="AZ768" s="118"/>
      <c r="BA768" s="118"/>
      <c r="BB768" s="118"/>
      <c r="BC768" s="118"/>
      <c r="BD768" s="401"/>
      <c r="BE768" s="118"/>
      <c r="BF768" s="118"/>
      <c r="BG768" s="118"/>
      <c r="BH768" s="118"/>
      <c r="BI768" s="401"/>
      <c r="BJ768" s="971"/>
      <c r="BK768" s="118"/>
      <c r="BL768" s="118"/>
      <c r="BM768" s="118"/>
      <c r="BN768" s="401"/>
      <c r="BO768" s="118"/>
      <c r="BP768" s="118"/>
      <c r="BQ768" s="118"/>
      <c r="BR768" s="118"/>
      <c r="BS768" s="401"/>
      <c r="BT768" s="401"/>
      <c r="BU768" s="401"/>
      <c r="BV768" s="401"/>
      <c r="BW768" s="122"/>
    </row>
    <row r="769" spans="1:75" hidden="1" outlineLevel="1" x14ac:dyDescent="0.5">
      <c r="A769" s="541" t="s">
        <v>1340</v>
      </c>
      <c r="B769" s="513"/>
      <c r="C769" s="401"/>
      <c r="D769" s="401"/>
      <c r="E769" s="401"/>
      <c r="F769" s="674">
        <f t="shared" ref="F769:BQ769" si="582">F976</f>
        <v>215.798</v>
      </c>
      <c r="G769" s="118"/>
      <c r="H769" s="118"/>
      <c r="I769" s="118"/>
      <c r="J769" s="122">
        <f t="shared" si="582"/>
        <v>241.18600000000001</v>
      </c>
      <c r="K769" s="674">
        <f t="shared" si="582"/>
        <v>241.18600000000001</v>
      </c>
      <c r="L769" s="122">
        <f t="shared" si="582"/>
        <v>388.11</v>
      </c>
      <c r="M769" s="122">
        <f t="shared" si="582"/>
        <v>392.71500000000003</v>
      </c>
      <c r="N769" s="122">
        <f t="shared" si="582"/>
        <v>0</v>
      </c>
      <c r="O769" s="122">
        <f t="shared" si="582"/>
        <v>0</v>
      </c>
      <c r="P769" s="674">
        <f t="shared" si="582"/>
        <v>0</v>
      </c>
      <c r="Q769" s="122">
        <f t="shared" si="582"/>
        <v>0</v>
      </c>
      <c r="R769" s="122">
        <f t="shared" si="582"/>
        <v>0</v>
      </c>
      <c r="S769" s="122">
        <f t="shared" si="582"/>
        <v>0</v>
      </c>
      <c r="T769" s="122">
        <f t="shared" si="582"/>
        <v>0</v>
      </c>
      <c r="U769" s="674">
        <f t="shared" si="582"/>
        <v>0</v>
      </c>
      <c r="V769" s="122">
        <f t="shared" si="582"/>
        <v>0</v>
      </c>
      <c r="W769" s="122">
        <f t="shared" si="582"/>
        <v>0</v>
      </c>
      <c r="X769" s="122">
        <f t="shared" si="582"/>
        <v>0</v>
      </c>
      <c r="Y769" s="122">
        <f t="shared" si="582"/>
        <v>0</v>
      </c>
      <c r="Z769" s="674">
        <f t="shared" si="582"/>
        <v>0</v>
      </c>
      <c r="AA769" s="122">
        <f t="shared" si="582"/>
        <v>0</v>
      </c>
      <c r="AB769" s="122">
        <f t="shared" si="582"/>
        <v>0</v>
      </c>
      <c r="AC769" s="122">
        <f t="shared" si="582"/>
        <v>0</v>
      </c>
      <c r="AD769" s="122">
        <f t="shared" si="582"/>
        <v>0</v>
      </c>
      <c r="AE769" s="674">
        <f t="shared" si="582"/>
        <v>0</v>
      </c>
      <c r="AF769" s="122">
        <f t="shared" si="582"/>
        <v>0</v>
      </c>
      <c r="AG769" s="122">
        <f t="shared" si="582"/>
        <v>0</v>
      </c>
      <c r="AH769" s="122">
        <f t="shared" si="582"/>
        <v>0</v>
      </c>
      <c r="AI769" s="122">
        <f t="shared" si="582"/>
        <v>0</v>
      </c>
      <c r="AJ769" s="674">
        <f t="shared" si="582"/>
        <v>0</v>
      </c>
      <c r="AK769" s="122">
        <f t="shared" si="582"/>
        <v>0</v>
      </c>
      <c r="AL769" s="122">
        <f t="shared" si="582"/>
        <v>0</v>
      </c>
      <c r="AM769" s="122">
        <f t="shared" si="582"/>
        <v>0</v>
      </c>
      <c r="AN769" s="122">
        <f t="shared" si="582"/>
        <v>0</v>
      </c>
      <c r="AO769" s="674">
        <f t="shared" si="582"/>
        <v>0</v>
      </c>
      <c r="AP769" s="122">
        <f t="shared" si="582"/>
        <v>0</v>
      </c>
      <c r="AQ769" s="122">
        <f t="shared" si="582"/>
        <v>0</v>
      </c>
      <c r="AR769" s="122">
        <f t="shared" si="582"/>
        <v>0</v>
      </c>
      <c r="AS769" s="122">
        <f t="shared" si="582"/>
        <v>0</v>
      </c>
      <c r="AT769" s="674">
        <f t="shared" si="582"/>
        <v>0</v>
      </c>
      <c r="AU769" s="122">
        <f t="shared" si="582"/>
        <v>0</v>
      </c>
      <c r="AV769" s="122">
        <f t="shared" si="582"/>
        <v>0</v>
      </c>
      <c r="AW769" s="122">
        <f t="shared" si="582"/>
        <v>0</v>
      </c>
      <c r="AX769" s="122">
        <f t="shared" si="582"/>
        <v>0</v>
      </c>
      <c r="AY769" s="674">
        <f t="shared" si="582"/>
        <v>0</v>
      </c>
      <c r="AZ769" s="122">
        <f t="shared" si="582"/>
        <v>0</v>
      </c>
      <c r="BA769" s="122">
        <f t="shared" si="582"/>
        <v>0</v>
      </c>
      <c r="BB769" s="122">
        <f t="shared" si="582"/>
        <v>0</v>
      </c>
      <c r="BC769" s="122">
        <f t="shared" si="582"/>
        <v>0</v>
      </c>
      <c r="BD769" s="674">
        <f t="shared" si="582"/>
        <v>0</v>
      </c>
      <c r="BE769" s="122">
        <f t="shared" si="582"/>
        <v>0</v>
      </c>
      <c r="BF769" s="122">
        <f t="shared" si="582"/>
        <v>0</v>
      </c>
      <c r="BG769" s="122">
        <f t="shared" si="582"/>
        <v>0</v>
      </c>
      <c r="BH769" s="122">
        <f t="shared" si="582"/>
        <v>0</v>
      </c>
      <c r="BI769" s="674">
        <f t="shared" si="582"/>
        <v>0</v>
      </c>
      <c r="BJ769" s="1274">
        <f>BJ976</f>
        <v>0</v>
      </c>
      <c r="BK769" s="118">
        <f t="shared" si="582"/>
        <v>0</v>
      </c>
      <c r="BL769" s="118">
        <f t="shared" si="582"/>
        <v>0</v>
      </c>
      <c r="BM769" s="118">
        <f t="shared" si="582"/>
        <v>0</v>
      </c>
      <c r="BN769" s="401">
        <f t="shared" si="582"/>
        <v>0</v>
      </c>
      <c r="BO769" s="118">
        <f t="shared" si="582"/>
        <v>0</v>
      </c>
      <c r="BP769" s="118">
        <f t="shared" si="582"/>
        <v>0</v>
      </c>
      <c r="BQ769" s="118">
        <f t="shared" si="582"/>
        <v>0</v>
      </c>
      <c r="BR769" s="118">
        <f t="shared" ref="BR769:BY769" si="583">BR976</f>
        <v>0</v>
      </c>
      <c r="BS769" s="401">
        <f t="shared" si="583"/>
        <v>0</v>
      </c>
      <c r="BT769" s="401">
        <f t="shared" si="583"/>
        <v>0</v>
      </c>
      <c r="BU769" s="401">
        <f t="shared" si="583"/>
        <v>0</v>
      </c>
      <c r="BV769" s="401">
        <f t="shared" si="583"/>
        <v>0</v>
      </c>
      <c r="BW769" s="122"/>
    </row>
    <row r="770" spans="1:75" collapsed="1" x14ac:dyDescent="0.5">
      <c r="A770" s="496"/>
      <c r="B770" s="513"/>
      <c r="C770" s="401"/>
      <c r="D770" s="401"/>
      <c r="E770" s="401"/>
      <c r="F770" s="401"/>
      <c r="G770" s="118"/>
      <c r="H770" s="118"/>
      <c r="I770" s="118"/>
      <c r="J770" s="118"/>
      <c r="K770" s="401"/>
      <c r="L770" s="118"/>
      <c r="M770" s="118"/>
      <c r="N770" s="118"/>
      <c r="O770" s="118"/>
      <c r="P770" s="401"/>
      <c r="Q770" s="118"/>
      <c r="R770" s="118"/>
      <c r="S770" s="118"/>
      <c r="T770" s="118"/>
      <c r="U770" s="401"/>
      <c r="V770" s="118"/>
      <c r="W770" s="118"/>
      <c r="X770" s="118"/>
      <c r="Y770" s="118"/>
      <c r="Z770" s="401"/>
      <c r="AA770" s="118"/>
      <c r="AB770" s="118"/>
      <c r="AC770" s="118"/>
      <c r="AD770" s="118"/>
      <c r="AE770" s="401"/>
      <c r="AF770" s="118"/>
      <c r="AG770" s="118"/>
      <c r="AH770" s="118"/>
      <c r="AI770" s="118"/>
      <c r="AJ770" s="401"/>
      <c r="AK770" s="118"/>
      <c r="AL770" s="118"/>
      <c r="AM770" s="118"/>
      <c r="AN770" s="118"/>
      <c r="AO770" s="401"/>
      <c r="AP770" s="118"/>
      <c r="AQ770" s="118"/>
      <c r="AR770" s="118"/>
      <c r="AS770" s="118"/>
      <c r="AT770" s="401"/>
      <c r="AU770" s="118"/>
      <c r="AV770" s="118"/>
      <c r="AW770" s="118"/>
      <c r="AX770" s="118"/>
      <c r="AY770" s="401"/>
      <c r="AZ770" s="118"/>
      <c r="BA770" s="118"/>
      <c r="BB770" s="118"/>
      <c r="BC770" s="118"/>
      <c r="BD770" s="401"/>
      <c r="BE770" s="118"/>
      <c r="BF770" s="118"/>
      <c r="BG770" s="118"/>
      <c r="BH770" s="118"/>
      <c r="BI770" s="401"/>
      <c r="BJ770" s="971"/>
      <c r="BK770" s="118"/>
      <c r="BL770" s="118"/>
      <c r="BM770" s="118"/>
      <c r="BN770" s="401"/>
      <c r="BO770" s="118"/>
      <c r="BP770" s="118"/>
      <c r="BQ770" s="118"/>
      <c r="BR770" s="118"/>
      <c r="BS770" s="401"/>
      <c r="BT770" s="401"/>
      <c r="BU770" s="401"/>
      <c r="BV770" s="401"/>
      <c r="BW770" s="122"/>
    </row>
    <row r="771" spans="1:75" x14ac:dyDescent="0.5">
      <c r="A771" s="239" t="s">
        <v>1341</v>
      </c>
      <c r="B771" s="239"/>
      <c r="C771" s="239"/>
      <c r="D771" s="239"/>
      <c r="E771" s="239"/>
      <c r="F771" s="239"/>
      <c r="G771" s="239"/>
      <c r="H771" s="239"/>
      <c r="I771" s="240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  <c r="AK771" s="239"/>
      <c r="AL771" s="239"/>
      <c r="AM771" s="239"/>
      <c r="AN771" s="239"/>
      <c r="AO771" s="239"/>
      <c r="AP771" s="239"/>
      <c r="AQ771" s="239"/>
      <c r="AR771" s="239"/>
      <c r="AS771" s="239"/>
      <c r="AT771" s="239"/>
      <c r="AU771" s="239"/>
      <c r="AV771" s="239"/>
      <c r="AW771" s="239"/>
      <c r="AX771" s="239"/>
      <c r="AY771" s="239"/>
      <c r="AZ771" s="239"/>
      <c r="BA771" s="239"/>
      <c r="BB771" s="239"/>
      <c r="BC771" s="239"/>
      <c r="BD771" s="239"/>
      <c r="BE771" s="239"/>
      <c r="BF771" s="239"/>
      <c r="BG771" s="239"/>
      <c r="BH771" s="239"/>
      <c r="BI771" s="239"/>
      <c r="BJ771" s="241"/>
      <c r="BK771" s="239"/>
      <c r="BL771" s="239"/>
      <c r="BM771" s="239"/>
      <c r="BN771" s="239"/>
      <c r="BO771" s="239"/>
      <c r="BP771" s="239"/>
      <c r="BQ771" s="239"/>
      <c r="BR771" s="239"/>
      <c r="BS771" s="239"/>
      <c r="BT771" s="239"/>
      <c r="BU771" s="239"/>
      <c r="BV771" s="239"/>
      <c r="BW771" s="197"/>
    </row>
    <row r="772" spans="1:75" hidden="1" outlineLevel="1" x14ac:dyDescent="0.5">
      <c r="A772" s="206" t="s">
        <v>1342</v>
      </c>
      <c r="B772" s="522"/>
      <c r="C772" s="397"/>
      <c r="D772" s="397"/>
      <c r="E772" s="397"/>
      <c r="F772" s="397"/>
      <c r="G772" s="295"/>
      <c r="H772" s="295"/>
      <c r="I772" s="295"/>
      <c r="J772" s="295"/>
      <c r="K772" s="397"/>
      <c r="L772" s="295"/>
      <c r="M772" s="295"/>
      <c r="N772" s="295"/>
      <c r="O772" s="295"/>
      <c r="P772" s="397"/>
      <c r="Q772" s="295"/>
      <c r="R772" s="295"/>
      <c r="S772" s="295"/>
      <c r="T772" s="295"/>
      <c r="U772" s="397"/>
      <c r="V772" s="295"/>
      <c r="W772" s="295"/>
      <c r="X772" s="295"/>
      <c r="Y772" s="295"/>
      <c r="Z772" s="397"/>
      <c r="AA772" s="295"/>
      <c r="AB772" s="295"/>
      <c r="AC772" s="295"/>
      <c r="AD772" s="295"/>
      <c r="AE772" s="397"/>
      <c r="AF772" s="295"/>
      <c r="AG772" s="295"/>
      <c r="AH772" s="295"/>
      <c r="AI772" s="295"/>
      <c r="AJ772" s="397"/>
      <c r="AK772" s="295"/>
      <c r="AL772" s="295"/>
      <c r="AM772" s="295"/>
      <c r="AN772" s="295"/>
      <c r="AO772" s="397"/>
      <c r="AP772" s="295"/>
      <c r="AQ772" s="295"/>
      <c r="AR772" s="295"/>
      <c r="AS772" s="295"/>
      <c r="AT772" s="397"/>
      <c r="AU772" s="295"/>
      <c r="AV772" s="295"/>
      <c r="AW772" s="295"/>
      <c r="AX772" s="295"/>
      <c r="AY772" s="397"/>
      <c r="AZ772" s="295"/>
      <c r="BA772" s="295"/>
      <c r="BB772" s="295"/>
      <c r="BC772" s="295"/>
      <c r="BD772" s="397"/>
      <c r="BE772" s="295"/>
      <c r="BF772" s="295"/>
      <c r="BG772" s="295"/>
      <c r="BH772" s="295"/>
      <c r="BI772" s="397"/>
      <c r="BJ772" s="1030"/>
      <c r="BK772" s="295"/>
      <c r="BL772" s="295"/>
      <c r="BM772" s="295"/>
      <c r="BN772" s="397"/>
      <c r="BO772" s="295"/>
      <c r="BP772" s="295"/>
      <c r="BQ772" s="295"/>
      <c r="BR772" s="295"/>
      <c r="BS772" s="397"/>
      <c r="BT772" s="397"/>
      <c r="BU772" s="397"/>
      <c r="BV772" s="397"/>
      <c r="BW772" s="197"/>
    </row>
    <row r="773" spans="1:75" hidden="1" outlineLevel="1" x14ac:dyDescent="0.5">
      <c r="A773" s="464" t="s">
        <v>2639</v>
      </c>
      <c r="B773" s="513"/>
      <c r="C773" s="401"/>
      <c r="D773" s="401"/>
      <c r="E773" s="401"/>
      <c r="F773" s="403">
        <v>-21.055</v>
      </c>
      <c r="G773" s="302">
        <v>-5.7430000000000003</v>
      </c>
      <c r="H773" s="302">
        <v>-8.3379999999999992</v>
      </c>
      <c r="I773" s="302">
        <v>-11.369</v>
      </c>
      <c r="J773" s="302">
        <v>-15.526</v>
      </c>
      <c r="K773" s="403">
        <v>-15.526</v>
      </c>
      <c r="L773" s="302">
        <v>-28.026</v>
      </c>
      <c r="M773" s="302">
        <v>-51.401000000000003</v>
      </c>
      <c r="N773" s="302">
        <v>-75.543999999999997</v>
      </c>
      <c r="O773" s="122">
        <f>P773</f>
        <v>-148.09800000000001</v>
      </c>
      <c r="P773" s="403">
        <v>-148.09800000000001</v>
      </c>
      <c r="Q773" s="302">
        <v>-27.135999999999999</v>
      </c>
      <c r="R773" s="302">
        <v>-46.47</v>
      </c>
      <c r="S773" s="302">
        <v>-61.948</v>
      </c>
      <c r="T773" s="302">
        <v>-77.442999999999998</v>
      </c>
      <c r="U773" s="403">
        <v>-77.442999999999998</v>
      </c>
      <c r="V773" s="302">
        <v>-41.204999999999998</v>
      </c>
      <c r="W773" s="302">
        <v>-89.478999999999999</v>
      </c>
      <c r="X773" s="302">
        <v>-150.41900000000001</v>
      </c>
      <c r="Y773" s="122">
        <f>Z773</f>
        <v>-194.375</v>
      </c>
      <c r="Z773" s="403">
        <v>-194.375</v>
      </c>
      <c r="AA773" s="302">
        <v>-56.539000000000001</v>
      </c>
      <c r="AB773" s="302">
        <v>-95.414000000000001</v>
      </c>
      <c r="AC773" s="302">
        <v>-171.84299999999999</v>
      </c>
      <c r="AD773" s="122">
        <f>AE773</f>
        <v>-244.614</v>
      </c>
      <c r="AE773" s="403">
        <v>-244.614</v>
      </c>
      <c r="AF773" s="302">
        <v>-107.77500000000001</v>
      </c>
      <c r="AG773" s="302">
        <v>-208.50899999999999</v>
      </c>
      <c r="AH773" s="302">
        <v>-360.23500000000001</v>
      </c>
      <c r="AI773" s="122">
        <f>AJ773</f>
        <v>-504.08</v>
      </c>
      <c r="AJ773" s="403">
        <v>-504.08</v>
      </c>
      <c r="AK773" s="302">
        <v>-200.38900000000001</v>
      </c>
      <c r="AL773" s="302">
        <v>-382.327</v>
      </c>
      <c r="AM773" s="302">
        <v>-654.36199999999997</v>
      </c>
      <c r="AN773" s="122">
        <f>AO773</f>
        <v>-984.58399999999995</v>
      </c>
      <c r="AO773" s="403">
        <v>-984.58399999999995</v>
      </c>
      <c r="AP773" s="302">
        <v>-285.86500000000001</v>
      </c>
      <c r="AQ773" s="302">
        <v>-11.988</v>
      </c>
      <c r="AR773" s="302">
        <v>161.178</v>
      </c>
      <c r="AS773" s="122">
        <f>AT773</f>
        <v>184.99600000000001</v>
      </c>
      <c r="AT773" s="403">
        <v>184.99600000000001</v>
      </c>
      <c r="AU773" s="302">
        <v>18.234000000000002</v>
      </c>
      <c r="AV773" s="302">
        <v>148.66200000000001</v>
      </c>
      <c r="AW773" s="302">
        <v>70.641000000000005</v>
      </c>
      <c r="AX773" s="122">
        <f>AY773</f>
        <v>-131</v>
      </c>
      <c r="AY773" s="403">
        <v>-131</v>
      </c>
      <c r="AZ773" s="302">
        <v>-319</v>
      </c>
      <c r="BA773" s="302">
        <v>-697</v>
      </c>
      <c r="BB773" s="302">
        <v>-980</v>
      </c>
      <c r="BC773" s="122">
        <f t="shared" ref="BC773:BC781" si="584">BD773</f>
        <v>-1331</v>
      </c>
      <c r="BD773" s="403">
        <v>-1331</v>
      </c>
      <c r="BE773" s="302">
        <v>-355</v>
      </c>
      <c r="BF773" s="302">
        <v>-401</v>
      </c>
      <c r="BG773" s="302">
        <v>-564</v>
      </c>
      <c r="BH773" s="122">
        <f t="shared" ref="BH773:BH781" si="585">BI773</f>
        <v>-738</v>
      </c>
      <c r="BI773" s="403">
        <v>-738</v>
      </c>
      <c r="BJ773" s="1207">
        <v>-248</v>
      </c>
      <c r="BK773" s="118"/>
      <c r="BL773" s="118"/>
      <c r="BM773" s="118">
        <f t="shared" ref="BM773:BM781" si="586">BN773</f>
        <v>0</v>
      </c>
      <c r="BN773" s="401"/>
      <c r="BO773" s="118"/>
      <c r="BP773" s="118"/>
      <c r="BQ773" s="118"/>
      <c r="BR773" s="118">
        <f t="shared" ref="BR773:BR781" si="587">BS773</f>
        <v>0</v>
      </c>
      <c r="BS773" s="401"/>
      <c r="BT773" s="401"/>
      <c r="BU773" s="401"/>
      <c r="BV773" s="401"/>
      <c r="BW773" s="122"/>
    </row>
    <row r="774" spans="1:75" hidden="1" outlineLevel="1" x14ac:dyDescent="0.5">
      <c r="A774" s="464" t="s">
        <v>1128</v>
      </c>
      <c r="B774" s="513"/>
      <c r="C774" s="401"/>
      <c r="D774" s="401"/>
      <c r="E774" s="401"/>
      <c r="F774" s="403">
        <v>9.3350000000000009</v>
      </c>
      <c r="G774" s="302">
        <v>2.8839999999999999</v>
      </c>
      <c r="H774" s="302">
        <v>5.8630000000000004</v>
      </c>
      <c r="I774" s="302">
        <v>9.3520000000000003</v>
      </c>
      <c r="J774" s="302">
        <v>13.090999999999999</v>
      </c>
      <c r="K774" s="403">
        <v>13.090999999999999</v>
      </c>
      <c r="L774" s="302">
        <v>4.1980000000000004</v>
      </c>
      <c r="M774" s="302">
        <v>8.891</v>
      </c>
      <c r="N774" s="302">
        <v>14.438000000000001</v>
      </c>
      <c r="O774" s="122">
        <f>P774</f>
        <v>22.003</v>
      </c>
      <c r="P774" s="403">
        <v>22.003</v>
      </c>
      <c r="Q774" s="302">
        <v>6.7439999999999998</v>
      </c>
      <c r="R774" s="302">
        <v>14.144</v>
      </c>
      <c r="S774" s="302">
        <v>23.350999999999999</v>
      </c>
      <c r="T774" s="302">
        <v>32.445999999999998</v>
      </c>
      <c r="U774" s="403">
        <v>32.445999999999998</v>
      </c>
      <c r="V774" s="302">
        <v>10.487</v>
      </c>
      <c r="W774" s="302">
        <v>23.065000000000001</v>
      </c>
      <c r="X774" s="302">
        <v>38.527999999999999</v>
      </c>
      <c r="Y774" s="122">
        <f>Z774</f>
        <v>55.572000000000003</v>
      </c>
      <c r="Z774" s="403">
        <v>55.572000000000003</v>
      </c>
      <c r="AA774" s="302">
        <v>20.352</v>
      </c>
      <c r="AB774" s="302">
        <v>39.674999999999997</v>
      </c>
      <c r="AC774" s="302">
        <v>62.588000000000001</v>
      </c>
      <c r="AD774" s="122">
        <f>AE774</f>
        <v>87.02</v>
      </c>
      <c r="AE774" s="403">
        <v>87.02</v>
      </c>
      <c r="AF774" s="302">
        <v>25.962</v>
      </c>
      <c r="AG774" s="302">
        <v>54.881999999999998</v>
      </c>
      <c r="AH774" s="302">
        <v>87.426000000000002</v>
      </c>
      <c r="AI774" s="122">
        <f>AJ774</f>
        <v>123.542</v>
      </c>
      <c r="AJ774" s="403">
        <v>123.542</v>
      </c>
      <c r="AK774" s="302">
        <v>39.582999999999998</v>
      </c>
      <c r="AL774" s="302">
        <v>83.921999999999997</v>
      </c>
      <c r="AM774" s="302">
        <v>134.172</v>
      </c>
      <c r="AN774" s="122">
        <f>AO774</f>
        <v>192.41900000000001</v>
      </c>
      <c r="AO774" s="403">
        <v>192.41900000000001</v>
      </c>
      <c r="AP774" s="302">
        <v>66.843000000000004</v>
      </c>
      <c r="AQ774" s="302">
        <v>135.95699999999999</v>
      </c>
      <c r="AR774" s="302">
        <v>208.53200000000001</v>
      </c>
      <c r="AS774" s="122">
        <f>AT774</f>
        <v>285.71100000000001</v>
      </c>
      <c r="AT774" s="403">
        <v>285.71100000000001</v>
      </c>
      <c r="AU774" s="302">
        <v>80.311999999999998</v>
      </c>
      <c r="AV774" s="302">
        <v>158.23699999999999</v>
      </c>
      <c r="AW774" s="302">
        <v>240.154</v>
      </c>
      <c r="AX774" s="122">
        <f>AY774</f>
        <v>322</v>
      </c>
      <c r="AY774" s="403">
        <v>322</v>
      </c>
      <c r="AZ774" s="302">
        <v>85</v>
      </c>
      <c r="BA774" s="302">
        <v>176</v>
      </c>
      <c r="BB774" s="302">
        <v>270</v>
      </c>
      <c r="BC774" s="122">
        <f t="shared" si="584"/>
        <v>371</v>
      </c>
      <c r="BD774" s="403">
        <v>371</v>
      </c>
      <c r="BE774" s="302">
        <v>104</v>
      </c>
      <c r="BF774" s="302">
        <v>206</v>
      </c>
      <c r="BG774" s="302">
        <v>312</v>
      </c>
      <c r="BH774" s="122">
        <f t="shared" si="585"/>
        <v>417</v>
      </c>
      <c r="BI774" s="403">
        <v>417</v>
      </c>
      <c r="BJ774" s="1207">
        <v>104</v>
      </c>
      <c r="BK774" s="118"/>
      <c r="BL774" s="118"/>
      <c r="BM774" s="118">
        <f t="shared" si="586"/>
        <v>0</v>
      </c>
      <c r="BN774" s="401"/>
      <c r="BO774" s="118"/>
      <c r="BP774" s="118"/>
      <c r="BQ774" s="118"/>
      <c r="BR774" s="118">
        <f t="shared" si="587"/>
        <v>0</v>
      </c>
      <c r="BS774" s="401"/>
      <c r="BT774" s="401"/>
      <c r="BU774" s="401"/>
      <c r="BV774" s="401"/>
      <c r="BW774" s="122"/>
    </row>
    <row r="775" spans="1:75" hidden="1" outlineLevel="1" x14ac:dyDescent="0.5">
      <c r="A775" s="464" t="s">
        <v>2640</v>
      </c>
      <c r="B775" s="513"/>
      <c r="C775" s="401"/>
      <c r="D775" s="401"/>
      <c r="E775" s="401"/>
      <c r="F775" s="401"/>
      <c r="G775" s="118"/>
      <c r="H775" s="118"/>
      <c r="I775" s="118"/>
      <c r="J775" s="302">
        <v>0</v>
      </c>
      <c r="K775" s="403">
        <v>0</v>
      </c>
      <c r="L775" s="302">
        <v>4.5540000000000003</v>
      </c>
      <c r="M775" s="302">
        <v>5.5279999999999996</v>
      </c>
      <c r="N775" s="302">
        <v>5.5279999999999996</v>
      </c>
      <c r="O775" s="122">
        <f>P775</f>
        <v>60.808999999999997</v>
      </c>
      <c r="P775" s="403">
        <v>60.808999999999997</v>
      </c>
      <c r="Q775" s="302">
        <v>7.6420000000000003</v>
      </c>
      <c r="R775" s="302">
        <v>14.234</v>
      </c>
      <c r="S775" s="302">
        <v>21.741</v>
      </c>
      <c r="T775" s="302">
        <v>31.015000000000001</v>
      </c>
      <c r="U775" s="403">
        <v>31.015000000000001</v>
      </c>
      <c r="V775" s="302">
        <v>9.7149999999999999</v>
      </c>
      <c r="W775" s="302">
        <v>20.462</v>
      </c>
      <c r="X775" s="302">
        <v>35.188000000000002</v>
      </c>
      <c r="Y775" s="122">
        <f>Z775</f>
        <v>49.402000000000001</v>
      </c>
      <c r="Z775" s="403">
        <v>49.402000000000001</v>
      </c>
      <c r="AA775" s="302">
        <v>13.629</v>
      </c>
      <c r="AB775" s="302">
        <v>28.462</v>
      </c>
      <c r="AC775" s="302">
        <v>46.74</v>
      </c>
      <c r="AD775" s="122">
        <f>AE775</f>
        <v>67.84</v>
      </c>
      <c r="AE775" s="403">
        <v>67.84</v>
      </c>
      <c r="AF775" s="302">
        <v>24.4</v>
      </c>
      <c r="AG775" s="302">
        <v>54.213000000000001</v>
      </c>
      <c r="AH775" s="302">
        <v>88.147999999999996</v>
      </c>
      <c r="AI775" s="122">
        <f>AJ775</f>
        <v>127.56399999999999</v>
      </c>
      <c r="AJ775" s="403">
        <v>127.56399999999999</v>
      </c>
      <c r="AK775" s="302">
        <v>47.06</v>
      </c>
      <c r="AL775" s="302">
        <v>100.247</v>
      </c>
      <c r="AM775" s="302">
        <v>162.01400000000001</v>
      </c>
      <c r="AN775" s="122">
        <f>AO775</f>
        <v>227.45099999999999</v>
      </c>
      <c r="AO775" s="403">
        <v>227.45099999999999</v>
      </c>
      <c r="AP775" s="302">
        <v>59.448999999999998</v>
      </c>
      <c r="AQ775" s="302">
        <v>127.081</v>
      </c>
      <c r="AR775" s="302">
        <v>197.19900000000001</v>
      </c>
      <c r="AS775" s="122">
        <f>AT775</f>
        <v>276.20800000000003</v>
      </c>
      <c r="AT775" s="403">
        <v>276.20800000000003</v>
      </c>
      <c r="AU775" s="302">
        <v>74.524000000000001</v>
      </c>
      <c r="AV775" s="302">
        <v>153.88300000000001</v>
      </c>
      <c r="AW775" s="302">
        <v>237.07300000000001</v>
      </c>
      <c r="AX775" s="122">
        <f>AY775</f>
        <v>344</v>
      </c>
      <c r="AY775" s="403">
        <v>344</v>
      </c>
      <c r="AZ775" s="302">
        <v>104</v>
      </c>
      <c r="BA775" s="302">
        <v>233</v>
      </c>
      <c r="BB775" s="302">
        <v>355</v>
      </c>
      <c r="BC775" s="122">
        <f t="shared" si="584"/>
        <v>513</v>
      </c>
      <c r="BD775" s="403">
        <v>513</v>
      </c>
      <c r="BE775" s="302">
        <v>144</v>
      </c>
      <c r="BF775" s="302">
        <v>308</v>
      </c>
      <c r="BG775" s="302">
        <v>447</v>
      </c>
      <c r="BH775" s="122">
        <f t="shared" si="585"/>
        <v>605</v>
      </c>
      <c r="BI775" s="403">
        <v>605</v>
      </c>
      <c r="BJ775" s="1207">
        <v>119</v>
      </c>
      <c r="BK775" s="118"/>
      <c r="BL775" s="118"/>
      <c r="BM775" s="118">
        <f t="shared" si="586"/>
        <v>0</v>
      </c>
      <c r="BN775" s="401"/>
      <c r="BO775" s="118"/>
      <c r="BP775" s="118"/>
      <c r="BQ775" s="118"/>
      <c r="BR775" s="118">
        <f t="shared" si="587"/>
        <v>0</v>
      </c>
      <c r="BS775" s="401"/>
      <c r="BT775" s="401"/>
      <c r="BU775" s="401"/>
      <c r="BV775" s="401"/>
      <c r="BW775" s="122"/>
    </row>
    <row r="776" spans="1:75" hidden="1" outlineLevel="1" x14ac:dyDescent="0.5">
      <c r="A776" s="464" t="s">
        <v>2641</v>
      </c>
      <c r="B776" s="513"/>
      <c r="C776" s="401"/>
      <c r="D776" s="401"/>
      <c r="E776" s="401"/>
      <c r="F776" s="401"/>
      <c r="G776" s="118"/>
      <c r="H776" s="118"/>
      <c r="I776" s="118"/>
      <c r="J776" s="302">
        <v>0</v>
      </c>
      <c r="K776" s="401"/>
      <c r="L776" s="118"/>
      <c r="M776" s="118"/>
      <c r="N776" s="302">
        <v>0</v>
      </c>
      <c r="O776" s="122">
        <f>P776</f>
        <v>0</v>
      </c>
      <c r="P776" s="403">
        <v>0</v>
      </c>
      <c r="Q776" s="118"/>
      <c r="R776" s="118"/>
      <c r="S776" s="302">
        <v>-2.9969999999999999</v>
      </c>
      <c r="T776" s="302">
        <v>-2.9969999999999999</v>
      </c>
      <c r="U776" s="403">
        <v>-2.9969999999999999</v>
      </c>
      <c r="V776" s="118"/>
      <c r="W776" s="118"/>
      <c r="X776" s="118"/>
      <c r="Y776" s="122">
        <f>Z776</f>
        <v>0</v>
      </c>
      <c r="Z776" s="401"/>
      <c r="AA776" s="118"/>
      <c r="AB776" s="118"/>
      <c r="AC776" s="118"/>
      <c r="AD776" s="122">
        <f>AE776</f>
        <v>0</v>
      </c>
      <c r="AE776" s="401"/>
      <c r="AF776" s="118"/>
      <c r="AG776" s="118"/>
      <c r="AH776" s="118"/>
      <c r="AI776" s="122">
        <f>AJ776</f>
        <v>0</v>
      </c>
      <c r="AJ776" s="401"/>
      <c r="AK776" s="118"/>
      <c r="AL776" s="118"/>
      <c r="AM776" s="118"/>
      <c r="AN776" s="122">
        <f>AO776</f>
        <v>0</v>
      </c>
      <c r="AO776" s="401"/>
      <c r="AP776" s="118"/>
      <c r="AQ776" s="118"/>
      <c r="AR776" s="118"/>
      <c r="AS776" s="122">
        <f>AT776</f>
        <v>0</v>
      </c>
      <c r="AT776" s="401"/>
      <c r="AU776" s="118"/>
      <c r="AV776" s="118"/>
      <c r="AW776" s="118"/>
      <c r="AX776" s="122">
        <f>AY776</f>
        <v>0</v>
      </c>
      <c r="AY776" s="401"/>
      <c r="AZ776" s="118"/>
      <c r="BA776" s="118"/>
      <c r="BB776" s="118"/>
      <c r="BC776" s="122">
        <f t="shared" si="584"/>
        <v>0</v>
      </c>
      <c r="BD776" s="401"/>
      <c r="BE776" s="118"/>
      <c r="BF776" s="118"/>
      <c r="BG776" s="118"/>
      <c r="BH776" s="122">
        <f t="shared" si="585"/>
        <v>0</v>
      </c>
      <c r="BI776" s="401"/>
      <c r="BJ776" s="971"/>
      <c r="BK776" s="118"/>
      <c r="BL776" s="118"/>
      <c r="BM776" s="118">
        <f t="shared" si="586"/>
        <v>0</v>
      </c>
      <c r="BN776" s="401"/>
      <c r="BO776" s="118"/>
      <c r="BP776" s="118"/>
      <c r="BQ776" s="118"/>
      <c r="BR776" s="118">
        <f t="shared" si="587"/>
        <v>0</v>
      </c>
      <c r="BS776" s="401"/>
      <c r="BT776" s="401"/>
      <c r="BU776" s="401"/>
      <c r="BV776" s="401"/>
      <c r="BW776" s="122"/>
    </row>
    <row r="777" spans="1:75" hidden="1" outlineLevel="1" x14ac:dyDescent="0.5">
      <c r="A777" s="464" t="s">
        <v>2642</v>
      </c>
      <c r="B777" s="513"/>
      <c r="C777" s="401"/>
      <c r="D777" s="401"/>
      <c r="E777" s="401"/>
      <c r="F777" s="401"/>
      <c r="G777" s="118"/>
      <c r="H777" s="118"/>
      <c r="I777" s="118"/>
      <c r="J777" s="118"/>
      <c r="K777" s="401"/>
      <c r="L777" s="118"/>
      <c r="M777" s="118"/>
      <c r="N777" s="118"/>
      <c r="O777" s="118"/>
      <c r="P777" s="401"/>
      <c r="Q777" s="118"/>
      <c r="R777" s="118"/>
      <c r="S777" s="118"/>
      <c r="T777" s="118"/>
      <c r="U777" s="401"/>
      <c r="V777" s="118"/>
      <c r="W777" s="118"/>
      <c r="X777" s="118"/>
      <c r="Y777" s="118"/>
      <c r="Z777" s="401"/>
      <c r="AA777" s="118"/>
      <c r="AB777" s="118"/>
      <c r="AC777" s="118"/>
      <c r="AD777" s="118"/>
      <c r="AE777" s="401"/>
      <c r="AF777" s="118"/>
      <c r="AG777" s="118"/>
      <c r="AH777" s="118"/>
      <c r="AI777" s="118"/>
      <c r="AJ777" s="401"/>
      <c r="AK777" s="118"/>
      <c r="AL777" s="118"/>
      <c r="AM777" s="118"/>
      <c r="AN777" s="118"/>
      <c r="AO777" s="401"/>
      <c r="AP777" s="118"/>
      <c r="AQ777" s="118"/>
      <c r="AR777" s="118"/>
      <c r="AS777" s="118"/>
      <c r="AT777" s="401"/>
      <c r="AU777" s="118"/>
      <c r="AV777" s="118"/>
      <c r="AW777" s="118"/>
      <c r="AX777" s="118"/>
      <c r="AY777" s="401"/>
      <c r="AZ777" s="118"/>
      <c r="BA777" s="118"/>
      <c r="BB777" s="118"/>
      <c r="BC777" s="118">
        <f t="shared" si="584"/>
        <v>0</v>
      </c>
      <c r="BD777" s="401"/>
      <c r="BE777" s="118"/>
      <c r="BF777" s="118"/>
      <c r="BG777" s="118"/>
      <c r="BH777" s="118">
        <f t="shared" si="585"/>
        <v>0</v>
      </c>
      <c r="BI777" s="401"/>
      <c r="BJ777" s="971"/>
      <c r="BK777" s="118"/>
      <c r="BL777" s="118"/>
      <c r="BM777" s="118">
        <f t="shared" si="586"/>
        <v>0</v>
      </c>
      <c r="BN777" s="401"/>
      <c r="BO777" s="118"/>
      <c r="BP777" s="118"/>
      <c r="BQ777" s="118"/>
      <c r="BR777" s="118">
        <f t="shared" si="587"/>
        <v>0</v>
      </c>
      <c r="BS777" s="401"/>
      <c r="BT777" s="401"/>
      <c r="BU777" s="401"/>
      <c r="BV777" s="401"/>
      <c r="BW777" s="122"/>
    </row>
    <row r="778" spans="1:75" hidden="1" outlineLevel="1" x14ac:dyDescent="0.5">
      <c r="A778" s="464" t="s">
        <v>2643</v>
      </c>
      <c r="B778" s="513"/>
      <c r="C778" s="401"/>
      <c r="D778" s="401"/>
      <c r="E778" s="401"/>
      <c r="F778" s="401"/>
      <c r="G778" s="118"/>
      <c r="H778" s="118"/>
      <c r="I778" s="118"/>
      <c r="J778" s="118"/>
      <c r="K778" s="401"/>
      <c r="L778" s="118"/>
      <c r="M778" s="118"/>
      <c r="N778" s="118"/>
      <c r="O778" s="118"/>
      <c r="P778" s="401"/>
      <c r="Q778" s="118"/>
      <c r="R778" s="118"/>
      <c r="S778" s="118"/>
      <c r="T778" s="118"/>
      <c r="U778" s="401"/>
      <c r="V778" s="118"/>
      <c r="W778" s="118"/>
      <c r="X778" s="118"/>
      <c r="Y778" s="118"/>
      <c r="Z778" s="401"/>
      <c r="AA778" s="118"/>
      <c r="AB778" s="118"/>
      <c r="AC778" s="118"/>
      <c r="AD778" s="118"/>
      <c r="AE778" s="401"/>
      <c r="AF778" s="118"/>
      <c r="AG778" s="118"/>
      <c r="AH778" s="118"/>
      <c r="AI778" s="118"/>
      <c r="AJ778" s="401"/>
      <c r="AK778" s="118"/>
      <c r="AL778" s="118"/>
      <c r="AM778" s="118"/>
      <c r="AN778" s="118"/>
      <c r="AO778" s="401"/>
      <c r="AP778" s="118"/>
      <c r="AQ778" s="118"/>
      <c r="AR778" s="118"/>
      <c r="AS778" s="118"/>
      <c r="AT778" s="401"/>
      <c r="AU778" s="302">
        <v>12.212</v>
      </c>
      <c r="AV778" s="302">
        <v>12.212</v>
      </c>
      <c r="AW778" s="302">
        <v>12.212</v>
      </c>
      <c r="AX778" s="118">
        <f>AY778</f>
        <v>12</v>
      </c>
      <c r="AY778" s="403">
        <v>12</v>
      </c>
      <c r="AZ778" s="118"/>
      <c r="BA778" s="302">
        <v>40</v>
      </c>
      <c r="BB778" s="302">
        <v>40</v>
      </c>
      <c r="BC778" s="118">
        <f t="shared" si="584"/>
        <v>39</v>
      </c>
      <c r="BD778" s="403">
        <v>39</v>
      </c>
      <c r="BE778" s="302">
        <v>13</v>
      </c>
      <c r="BF778" s="302">
        <v>14</v>
      </c>
      <c r="BG778" s="302">
        <v>14</v>
      </c>
      <c r="BH778" s="118">
        <f t="shared" si="585"/>
        <v>14</v>
      </c>
      <c r="BI778" s="403">
        <v>14</v>
      </c>
      <c r="BJ778" s="971"/>
      <c r="BK778" s="118"/>
      <c r="BL778" s="118"/>
      <c r="BM778" s="118">
        <f t="shared" si="586"/>
        <v>0</v>
      </c>
      <c r="BN778" s="401"/>
      <c r="BO778" s="118"/>
      <c r="BP778" s="118"/>
      <c r="BQ778" s="118"/>
      <c r="BR778" s="118">
        <f t="shared" si="587"/>
        <v>0</v>
      </c>
      <c r="BS778" s="401"/>
      <c r="BT778" s="401"/>
      <c r="BU778" s="401"/>
      <c r="BV778" s="401"/>
      <c r="BW778" s="122"/>
    </row>
    <row r="779" spans="1:75" hidden="1" outlineLevel="1" x14ac:dyDescent="0.5">
      <c r="A779" s="464" t="s">
        <v>2644</v>
      </c>
      <c r="B779" s="513"/>
      <c r="C779" s="401"/>
      <c r="D779" s="401"/>
      <c r="E779" s="401"/>
      <c r="F779" s="401"/>
      <c r="G779" s="118"/>
      <c r="H779" s="118"/>
      <c r="I779" s="118"/>
      <c r="J779" s="118"/>
      <c r="K779" s="401"/>
      <c r="L779" s="118"/>
      <c r="M779" s="118"/>
      <c r="N779" s="118"/>
      <c r="O779" s="118"/>
      <c r="P779" s="401"/>
      <c r="Q779" s="118"/>
      <c r="R779" s="118"/>
      <c r="S779" s="118"/>
      <c r="T779" s="118"/>
      <c r="U779" s="401"/>
      <c r="V779" s="118"/>
      <c r="W779" s="118"/>
      <c r="X779" s="118"/>
      <c r="Y779" s="118"/>
      <c r="Z779" s="401"/>
      <c r="AA779" s="118"/>
      <c r="AB779" s="118"/>
      <c r="AC779" s="302">
        <v>0.874</v>
      </c>
      <c r="AD779" s="122">
        <f>AE779</f>
        <v>5.83</v>
      </c>
      <c r="AE779" s="403">
        <v>5.83</v>
      </c>
      <c r="AF779" s="302">
        <v>4.2809999999999997</v>
      </c>
      <c r="AG779" s="302">
        <v>9.3529999999999998</v>
      </c>
      <c r="AH779" s="302">
        <v>13.699</v>
      </c>
      <c r="AI779" s="122">
        <f>AJ779</f>
        <v>22.585000000000001</v>
      </c>
      <c r="AJ779" s="403">
        <v>22.585000000000001</v>
      </c>
      <c r="AK779" s="302">
        <v>12.456</v>
      </c>
      <c r="AL779" s="302">
        <v>23.015000000000001</v>
      </c>
      <c r="AM779" s="302">
        <v>40.737000000000002</v>
      </c>
      <c r="AN779" s="122">
        <f>AO779</f>
        <v>62.110999999999997</v>
      </c>
      <c r="AO779" s="403">
        <v>62.110999999999997</v>
      </c>
      <c r="AP779" s="302">
        <v>19.527000000000001</v>
      </c>
      <c r="AQ779" s="302">
        <v>46.488</v>
      </c>
      <c r="AR779" s="302">
        <v>78.224999999999994</v>
      </c>
      <c r="AS779" s="122">
        <f>AT779</f>
        <v>134.28800000000001</v>
      </c>
      <c r="AT779" s="403">
        <v>134.28800000000001</v>
      </c>
      <c r="AU779" s="302">
        <v>2.0720000000000001</v>
      </c>
      <c r="AV779" s="302">
        <v>3.9689999999999999</v>
      </c>
      <c r="AW779" s="302">
        <v>5.8730000000000002</v>
      </c>
      <c r="AX779" s="122">
        <f>AY779</f>
        <v>7</v>
      </c>
      <c r="AY779" s="403">
        <v>7</v>
      </c>
      <c r="AZ779" s="302">
        <v>2</v>
      </c>
      <c r="BA779" s="302">
        <v>4</v>
      </c>
      <c r="BB779" s="302">
        <v>7</v>
      </c>
      <c r="BC779" s="122">
        <f t="shared" si="584"/>
        <v>8</v>
      </c>
      <c r="BD779" s="403">
        <v>8</v>
      </c>
      <c r="BE779" s="302">
        <v>1</v>
      </c>
      <c r="BF779" s="302">
        <v>3</v>
      </c>
      <c r="BG779" s="302">
        <v>6</v>
      </c>
      <c r="BH779" s="122">
        <f t="shared" si="585"/>
        <v>8</v>
      </c>
      <c r="BI779" s="403">
        <v>8</v>
      </c>
      <c r="BJ779" s="1207">
        <v>3</v>
      </c>
      <c r="BK779" s="118"/>
      <c r="BL779" s="118"/>
      <c r="BM779" s="118">
        <f t="shared" si="586"/>
        <v>0</v>
      </c>
      <c r="BN779" s="401"/>
      <c r="BO779" s="118"/>
      <c r="BP779" s="118"/>
      <c r="BQ779" s="118"/>
      <c r="BR779" s="118">
        <f t="shared" si="587"/>
        <v>0</v>
      </c>
      <c r="BS779" s="401"/>
      <c r="BT779" s="401"/>
      <c r="BU779" s="401"/>
      <c r="BV779" s="401"/>
      <c r="BW779" s="122"/>
    </row>
    <row r="780" spans="1:75" hidden="1" outlineLevel="1" x14ac:dyDescent="0.5">
      <c r="A780" s="464" t="s">
        <v>2298</v>
      </c>
      <c r="B780" s="513"/>
      <c r="C780" s="401"/>
      <c r="D780" s="401"/>
      <c r="E780" s="401"/>
      <c r="F780" s="401"/>
      <c r="G780" s="118"/>
      <c r="H780" s="118"/>
      <c r="I780" s="118"/>
      <c r="J780" s="118"/>
      <c r="K780" s="401"/>
      <c r="L780" s="118"/>
      <c r="M780" s="118"/>
      <c r="N780" s="118"/>
      <c r="O780" s="118"/>
      <c r="P780" s="401"/>
      <c r="Q780" s="118"/>
      <c r="R780" s="118"/>
      <c r="S780" s="118"/>
      <c r="T780" s="118"/>
      <c r="U780" s="401"/>
      <c r="V780" s="118"/>
      <c r="W780" s="118"/>
      <c r="X780" s="118"/>
      <c r="Y780" s="118"/>
      <c r="Z780" s="401"/>
      <c r="AA780" s="118"/>
      <c r="AB780" s="118"/>
      <c r="AC780" s="118"/>
      <c r="AD780" s="118"/>
      <c r="AE780" s="401"/>
      <c r="AF780" s="118"/>
      <c r="AG780" s="118"/>
      <c r="AH780" s="118"/>
      <c r="AI780" s="118"/>
      <c r="AJ780" s="401"/>
      <c r="AK780" s="118"/>
      <c r="AL780" s="118"/>
      <c r="AM780" s="118"/>
      <c r="AN780" s="118"/>
      <c r="AO780" s="401"/>
      <c r="AP780" s="118"/>
      <c r="AQ780" s="118"/>
      <c r="AR780" s="118"/>
      <c r="AS780" s="118"/>
      <c r="AT780" s="401"/>
      <c r="AU780" s="118"/>
      <c r="AV780" s="118"/>
      <c r="AW780" s="118"/>
      <c r="AX780" s="118"/>
      <c r="AY780" s="401"/>
      <c r="AZ780" s="118"/>
      <c r="BA780" s="118"/>
      <c r="BB780" s="302">
        <v>-96</v>
      </c>
      <c r="BC780" s="118">
        <f t="shared" si="584"/>
        <v>-96</v>
      </c>
      <c r="BD780" s="403">
        <v>-96</v>
      </c>
      <c r="BE780" s="118"/>
      <c r="BF780" s="302">
        <v>-100</v>
      </c>
      <c r="BG780" s="302">
        <v>-100</v>
      </c>
      <c r="BH780" s="118">
        <f t="shared" si="585"/>
        <v>-100</v>
      </c>
      <c r="BI780" s="403">
        <v>-100</v>
      </c>
      <c r="BJ780" s="971"/>
      <c r="BK780" s="118"/>
      <c r="BL780" s="118"/>
      <c r="BM780" s="118">
        <f t="shared" si="586"/>
        <v>0</v>
      </c>
      <c r="BN780" s="401"/>
      <c r="BO780" s="118"/>
      <c r="BP780" s="118"/>
      <c r="BQ780" s="118"/>
      <c r="BR780" s="118">
        <f t="shared" si="587"/>
        <v>0</v>
      </c>
      <c r="BS780" s="401"/>
      <c r="BT780" s="401"/>
      <c r="BU780" s="401"/>
      <c r="BV780" s="401"/>
      <c r="BW780" s="122"/>
    </row>
    <row r="781" spans="1:75" hidden="1" outlineLevel="1" x14ac:dyDescent="0.5">
      <c r="A781" s="464" t="s">
        <v>2645</v>
      </c>
      <c r="B781" s="513"/>
      <c r="C781" s="401"/>
      <c r="D781" s="401"/>
      <c r="E781" s="401"/>
      <c r="F781" s="403">
        <v>0.11</v>
      </c>
      <c r="G781" s="302">
        <v>1E-3</v>
      </c>
      <c r="H781" s="302">
        <v>1.0999999999999999E-2</v>
      </c>
      <c r="I781" s="302">
        <v>1.0999999999999999E-2</v>
      </c>
      <c r="J781" s="302">
        <v>0.121</v>
      </c>
      <c r="K781" s="403">
        <v>0.121</v>
      </c>
      <c r="L781" s="302">
        <v>7.4999999999999997E-2</v>
      </c>
      <c r="M781" s="302">
        <v>0.11899999999999999</v>
      </c>
      <c r="N781" s="302">
        <v>0.88800000000000001</v>
      </c>
      <c r="O781" s="122">
        <f>P781</f>
        <v>0.56999999999999995</v>
      </c>
      <c r="P781" s="403">
        <v>0.56999999999999995</v>
      </c>
      <c r="Q781" s="302">
        <v>0.23100000000000001</v>
      </c>
      <c r="R781" s="302">
        <v>0.749</v>
      </c>
      <c r="S781" s="302">
        <v>1.395</v>
      </c>
      <c r="T781" s="302">
        <v>3.0270000000000001</v>
      </c>
      <c r="U781" s="403">
        <v>3.0270000000000001</v>
      </c>
      <c r="V781" s="302">
        <v>-0.156</v>
      </c>
      <c r="W781" s="302">
        <v>0.40799999999999997</v>
      </c>
      <c r="X781" s="302">
        <v>-0.13400000000000001</v>
      </c>
      <c r="Y781" s="122">
        <f>Z781</f>
        <v>0.33100000000000002</v>
      </c>
      <c r="Z781" s="403">
        <v>0.33100000000000002</v>
      </c>
      <c r="AA781" s="302">
        <v>-0.246</v>
      </c>
      <c r="AB781" s="302">
        <v>0.86799999999999999</v>
      </c>
      <c r="AC781" s="302">
        <v>0.91300000000000003</v>
      </c>
      <c r="AD781" s="122">
        <f>AE781</f>
        <v>1.198</v>
      </c>
      <c r="AE781" s="403">
        <v>1.198</v>
      </c>
      <c r="AF781" s="302">
        <v>0.111</v>
      </c>
      <c r="AG781" s="302">
        <v>0.13300000000000001</v>
      </c>
      <c r="AH781" s="302">
        <v>0.17699999999999999</v>
      </c>
      <c r="AI781" s="122">
        <f>AJ781</f>
        <v>-5.6000000000000001E-2</v>
      </c>
      <c r="AJ781" s="403">
        <v>-5.6000000000000001E-2</v>
      </c>
      <c r="AK781" s="357">
        <v>-1.3740000000000001</v>
      </c>
      <c r="AL781" s="357">
        <v>-1.595</v>
      </c>
      <c r="AM781" s="357">
        <v>-1.659</v>
      </c>
      <c r="AN781" s="122">
        <f>AO781</f>
        <v>-1.6910000000000001</v>
      </c>
      <c r="AO781" s="403">
        <v>-1.6910000000000001</v>
      </c>
      <c r="AP781" s="357">
        <v>-0.63300000000000001</v>
      </c>
      <c r="AQ781" s="357">
        <v>-0.53100000000000003</v>
      </c>
      <c r="AR781" s="357">
        <v>12.065</v>
      </c>
      <c r="AS781" s="122">
        <f>AT781</f>
        <v>12.638</v>
      </c>
      <c r="AT781" s="403">
        <v>12.638</v>
      </c>
      <c r="AU781" s="357">
        <v>-1.7</v>
      </c>
      <c r="AV781" s="357">
        <v>0.498</v>
      </c>
      <c r="AW781" s="357">
        <v>2.4830000000000001</v>
      </c>
      <c r="AX781" s="122">
        <f>AY781</f>
        <v>6</v>
      </c>
      <c r="AY781" s="403">
        <v>6</v>
      </c>
      <c r="AZ781" s="357">
        <v>4</v>
      </c>
      <c r="BA781" s="357">
        <v>32</v>
      </c>
      <c r="BB781" s="357">
        <v>20</v>
      </c>
      <c r="BC781" s="122">
        <f t="shared" si="584"/>
        <v>41</v>
      </c>
      <c r="BD781" s="403">
        <v>41</v>
      </c>
      <c r="BE781" s="723"/>
      <c r="BF781" s="357">
        <v>-3</v>
      </c>
      <c r="BG781" s="723"/>
      <c r="BH781" s="122">
        <f t="shared" si="585"/>
        <v>-3</v>
      </c>
      <c r="BI781" s="403">
        <v>-3</v>
      </c>
      <c r="BJ781" s="1208">
        <v>-1</v>
      </c>
      <c r="BK781" s="118"/>
      <c r="BL781" s="118"/>
      <c r="BM781" s="118">
        <f t="shared" si="586"/>
        <v>0</v>
      </c>
      <c r="BN781" s="401"/>
      <c r="BO781" s="118"/>
      <c r="BP781" s="118"/>
      <c r="BQ781" s="118"/>
      <c r="BR781" s="118">
        <f t="shared" si="587"/>
        <v>0</v>
      </c>
      <c r="BS781" s="401"/>
      <c r="BT781" s="401"/>
      <c r="BU781" s="401"/>
      <c r="BV781" s="401"/>
      <c r="BW781" s="122"/>
    </row>
    <row r="782" spans="1:75" hidden="1" outlineLevel="1" x14ac:dyDescent="0.5">
      <c r="A782" s="516" t="s">
        <v>1364</v>
      </c>
      <c r="B782" s="517"/>
      <c r="C782" s="518"/>
      <c r="D782" s="518"/>
      <c r="E782" s="518"/>
      <c r="F782" s="519">
        <f t="shared" ref="F782:AH782" si="588">SUM(F773:F781)</f>
        <v>-11.61</v>
      </c>
      <c r="G782" s="520">
        <f t="shared" si="588"/>
        <v>-2.8580000000000005</v>
      </c>
      <c r="H782" s="520">
        <f t="shared" si="588"/>
        <v>-2.4639999999999986</v>
      </c>
      <c r="I782" s="520">
        <f t="shared" si="588"/>
        <v>-2.0059999999999993</v>
      </c>
      <c r="J782" s="520">
        <f t="shared" si="588"/>
        <v>-2.3140000000000005</v>
      </c>
      <c r="K782" s="519">
        <f t="shared" si="588"/>
        <v>-2.3140000000000005</v>
      </c>
      <c r="L782" s="520">
        <f t="shared" si="588"/>
        <v>-19.199000000000002</v>
      </c>
      <c r="M782" s="520">
        <f t="shared" si="588"/>
        <v>-36.863000000000007</v>
      </c>
      <c r="N782" s="520">
        <f t="shared" si="588"/>
        <v>-54.69</v>
      </c>
      <c r="O782" s="520">
        <f t="shared" si="588"/>
        <v>-64.716000000000022</v>
      </c>
      <c r="P782" s="519">
        <f t="shared" si="588"/>
        <v>-64.716000000000022</v>
      </c>
      <c r="Q782" s="520">
        <f t="shared" si="588"/>
        <v>-12.519</v>
      </c>
      <c r="R782" s="520">
        <f t="shared" si="588"/>
        <v>-17.343</v>
      </c>
      <c r="S782" s="520">
        <f t="shared" si="588"/>
        <v>-18.458000000000002</v>
      </c>
      <c r="T782" s="520">
        <f t="shared" si="588"/>
        <v>-13.951999999999998</v>
      </c>
      <c r="U782" s="519">
        <f t="shared" si="588"/>
        <v>-13.951999999999998</v>
      </c>
      <c r="V782" s="520">
        <f t="shared" si="588"/>
        <v>-21.158999999999995</v>
      </c>
      <c r="W782" s="520">
        <f t="shared" si="588"/>
        <v>-45.543999999999997</v>
      </c>
      <c r="X782" s="520">
        <f t="shared" si="588"/>
        <v>-76.837000000000018</v>
      </c>
      <c r="Y782" s="520">
        <f t="shared" si="588"/>
        <v>-89.07</v>
      </c>
      <c r="Z782" s="519">
        <f t="shared" si="588"/>
        <v>-89.07</v>
      </c>
      <c r="AA782" s="520">
        <f t="shared" si="588"/>
        <v>-22.803999999999998</v>
      </c>
      <c r="AB782" s="520">
        <f t="shared" si="588"/>
        <v>-26.409000000000006</v>
      </c>
      <c r="AC782" s="520">
        <f t="shared" si="588"/>
        <v>-60.727999999999994</v>
      </c>
      <c r="AD782" s="520">
        <f t="shared" si="588"/>
        <v>-82.725999999999999</v>
      </c>
      <c r="AE782" s="519">
        <f t="shared" si="588"/>
        <v>-82.725999999999999</v>
      </c>
      <c r="AF782" s="520">
        <f t="shared" si="588"/>
        <v>-53.021000000000008</v>
      </c>
      <c r="AG782" s="520">
        <f t="shared" si="588"/>
        <v>-89.927999999999997</v>
      </c>
      <c r="AH782" s="520">
        <f t="shared" si="588"/>
        <v>-170.78500000000003</v>
      </c>
      <c r="AI782" s="520">
        <f t="shared" ref="AI782:BV782" si="589">SUM(AI773:AI781)</f>
        <v>-230.44500000000002</v>
      </c>
      <c r="AJ782" s="519">
        <f t="shared" si="589"/>
        <v>-230.44500000000002</v>
      </c>
      <c r="AK782" s="520">
        <f t="shared" si="589"/>
        <v>-102.664</v>
      </c>
      <c r="AL782" s="520">
        <f t="shared" si="589"/>
        <v>-176.73799999999997</v>
      </c>
      <c r="AM782" s="520">
        <f t="shared" si="589"/>
        <v>-319.0979999999999</v>
      </c>
      <c r="AN782" s="520">
        <f t="shared" si="589"/>
        <v>-504.29399999999993</v>
      </c>
      <c r="AO782" s="519">
        <f t="shared" si="589"/>
        <v>-504.29399999999993</v>
      </c>
      <c r="AP782" s="520">
        <f t="shared" si="589"/>
        <v>-140.679</v>
      </c>
      <c r="AQ782" s="520">
        <f t="shared" si="589"/>
        <v>297.00700000000001</v>
      </c>
      <c r="AR782" s="520">
        <f t="shared" si="589"/>
        <v>657.19900000000018</v>
      </c>
      <c r="AS782" s="520">
        <f t="shared" si="589"/>
        <v>893.84100000000001</v>
      </c>
      <c r="AT782" s="519">
        <f t="shared" si="589"/>
        <v>893.84100000000001</v>
      </c>
      <c r="AU782" s="520">
        <f t="shared" si="589"/>
        <v>185.654</v>
      </c>
      <c r="AV782" s="520">
        <f t="shared" si="589"/>
        <v>477.46100000000001</v>
      </c>
      <c r="AW782" s="520">
        <f t="shared" si="589"/>
        <v>568.43600000000004</v>
      </c>
      <c r="AX782" s="520">
        <f t="shared" si="589"/>
        <v>560</v>
      </c>
      <c r="AY782" s="519">
        <f t="shared" si="589"/>
        <v>560</v>
      </c>
      <c r="AZ782" s="520">
        <f t="shared" si="589"/>
        <v>-124</v>
      </c>
      <c r="BA782" s="520">
        <f t="shared" si="589"/>
        <v>-212</v>
      </c>
      <c r="BB782" s="520">
        <f t="shared" si="589"/>
        <v>-384</v>
      </c>
      <c r="BC782" s="520">
        <f t="shared" si="589"/>
        <v>-455</v>
      </c>
      <c r="BD782" s="519">
        <f t="shared" si="589"/>
        <v>-455</v>
      </c>
      <c r="BE782" s="520">
        <f t="shared" si="589"/>
        <v>-93</v>
      </c>
      <c r="BF782" s="520">
        <f t="shared" si="589"/>
        <v>27</v>
      </c>
      <c r="BG782" s="520">
        <f t="shared" si="589"/>
        <v>115</v>
      </c>
      <c r="BH782" s="520">
        <f t="shared" si="589"/>
        <v>203</v>
      </c>
      <c r="BI782" s="519">
        <f t="shared" si="589"/>
        <v>203</v>
      </c>
      <c r="BJ782" s="1270">
        <f>SUM(BJ773:BJ781)</f>
        <v>-23</v>
      </c>
      <c r="BK782" s="327">
        <f t="shared" si="589"/>
        <v>0</v>
      </c>
      <c r="BL782" s="327">
        <f t="shared" si="589"/>
        <v>0</v>
      </c>
      <c r="BM782" s="327">
        <f t="shared" si="589"/>
        <v>0</v>
      </c>
      <c r="BN782" s="518">
        <f t="shared" si="589"/>
        <v>0</v>
      </c>
      <c r="BO782" s="327">
        <f t="shared" si="589"/>
        <v>0</v>
      </c>
      <c r="BP782" s="327">
        <f t="shared" si="589"/>
        <v>0</v>
      </c>
      <c r="BQ782" s="327">
        <f t="shared" si="589"/>
        <v>0</v>
      </c>
      <c r="BR782" s="327">
        <f t="shared" si="589"/>
        <v>0</v>
      </c>
      <c r="BS782" s="518">
        <f t="shared" si="589"/>
        <v>0</v>
      </c>
      <c r="BT782" s="518">
        <f t="shared" si="589"/>
        <v>0</v>
      </c>
      <c r="BU782" s="518">
        <f t="shared" si="589"/>
        <v>0</v>
      </c>
      <c r="BV782" s="518">
        <f t="shared" si="589"/>
        <v>0</v>
      </c>
      <c r="BW782" s="197"/>
    </row>
    <row r="783" spans="1:75" hidden="1" outlineLevel="1" x14ac:dyDescent="0.5">
      <c r="A783" s="464" t="s">
        <v>1365</v>
      </c>
      <c r="B783" s="513"/>
      <c r="C783" s="401"/>
      <c r="D783" s="401"/>
      <c r="E783" s="401"/>
      <c r="F783" s="403">
        <v>-8.234</v>
      </c>
      <c r="G783" s="302">
        <v>3.8279999999999998</v>
      </c>
      <c r="H783" s="302">
        <v>4.476</v>
      </c>
      <c r="I783" s="302">
        <v>-6.84</v>
      </c>
      <c r="J783" s="302">
        <v>8.1120000000000001</v>
      </c>
      <c r="K783" s="403">
        <v>8.1120000000000001</v>
      </c>
      <c r="L783" s="302">
        <v>1.7410000000000001</v>
      </c>
      <c r="M783" s="302">
        <v>1.04</v>
      </c>
      <c r="N783" s="302">
        <v>2.3759999999999999</v>
      </c>
      <c r="O783" s="122">
        <f t="shared" ref="O783:O789" si="590">P783</f>
        <v>1.7410000000000001</v>
      </c>
      <c r="P783" s="403">
        <v>1.7410000000000001</v>
      </c>
      <c r="Q783" s="302">
        <v>-2.1280000000000001</v>
      </c>
      <c r="R783" s="302">
        <v>-1.1990000000000001</v>
      </c>
      <c r="S783" s="302">
        <v>-3.8319999999999999</v>
      </c>
      <c r="T783" s="302">
        <v>-4.0330000000000004</v>
      </c>
      <c r="U783" s="403">
        <v>-4.0330000000000004</v>
      </c>
      <c r="V783" s="302">
        <v>-1.9410000000000001</v>
      </c>
      <c r="W783" s="302">
        <v>-4.218</v>
      </c>
      <c r="X783" s="302">
        <v>-6.7729999999999997</v>
      </c>
      <c r="Y783" s="122">
        <f t="shared" ref="Y783:Y789" si="591">Z783</f>
        <v>-9.2170000000000005</v>
      </c>
      <c r="Z783" s="403">
        <v>-9.2170000000000005</v>
      </c>
      <c r="AA783" s="302">
        <v>-2.6509999999999998</v>
      </c>
      <c r="AB783" s="302">
        <v>-4.7229999999999999</v>
      </c>
      <c r="AC783" s="302">
        <v>-8.6969999999999992</v>
      </c>
      <c r="AD783" s="122">
        <f t="shared" ref="AD783:AD789" si="592">AE783</f>
        <v>-18.172000000000001</v>
      </c>
      <c r="AE783" s="403">
        <v>-18.172000000000001</v>
      </c>
      <c r="AF783" s="302">
        <v>6.01</v>
      </c>
      <c r="AG783" s="302">
        <v>3.0579999999999998</v>
      </c>
      <c r="AH783" s="302">
        <v>-3.157</v>
      </c>
      <c r="AI783" s="122">
        <f t="shared" ref="AI783:AI789" si="593">AJ783</f>
        <v>-12.792</v>
      </c>
      <c r="AJ783" s="403">
        <v>-12.792</v>
      </c>
      <c r="AK783" s="302">
        <v>-11.57</v>
      </c>
      <c r="AL783" s="302">
        <v>-27.652999999999999</v>
      </c>
      <c r="AM783" s="302">
        <v>-25.309000000000001</v>
      </c>
      <c r="AN783" s="122">
        <f t="shared" ref="AN783:AN789" si="594">AO783</f>
        <v>-49.186999999999998</v>
      </c>
      <c r="AO783" s="403">
        <v>-49.186999999999998</v>
      </c>
      <c r="AP783" s="302">
        <v>-16.216000000000001</v>
      </c>
      <c r="AQ783" s="302">
        <v>-24.693000000000001</v>
      </c>
      <c r="AR783" s="302">
        <v>-14.891</v>
      </c>
      <c r="AS783" s="122">
        <f t="shared" ref="AS783:AS789" si="595">AT783</f>
        <v>-14.726000000000001</v>
      </c>
      <c r="AT783" s="403">
        <v>-14.726000000000001</v>
      </c>
      <c r="AU783" s="302">
        <v>2.528</v>
      </c>
      <c r="AV783" s="302">
        <v>-19.658999999999999</v>
      </c>
      <c r="AW783" s="302">
        <v>-57.567999999999998</v>
      </c>
      <c r="AX783" s="122">
        <f t="shared" ref="AX783:AX789" si="596">AY783</f>
        <v>-118</v>
      </c>
      <c r="AY783" s="403">
        <v>-118</v>
      </c>
      <c r="AZ783" s="302">
        <v>-45</v>
      </c>
      <c r="BA783" s="302">
        <v>-86</v>
      </c>
      <c r="BB783" s="302">
        <v>-113</v>
      </c>
      <c r="BC783" s="122">
        <f t="shared" ref="BC783:BC789" si="597">BD783</f>
        <v>-48</v>
      </c>
      <c r="BD783" s="403">
        <v>-48</v>
      </c>
      <c r="BE783" s="302">
        <v>91</v>
      </c>
      <c r="BF783" s="302">
        <v>144</v>
      </c>
      <c r="BG783" s="302">
        <v>140</v>
      </c>
      <c r="BH783" s="122">
        <f t="shared" ref="BH783:BH789" si="598">BI783</f>
        <v>132</v>
      </c>
      <c r="BI783" s="403">
        <v>132</v>
      </c>
      <c r="BJ783" s="1207">
        <v>9</v>
      </c>
      <c r="BK783" s="118"/>
      <c r="BL783" s="118"/>
      <c r="BM783" s="118">
        <f t="shared" ref="BM783:BM789" si="599">BN783</f>
        <v>0</v>
      </c>
      <c r="BN783" s="401"/>
      <c r="BO783" s="118"/>
      <c r="BP783" s="118"/>
      <c r="BQ783" s="118"/>
      <c r="BR783" s="118">
        <f t="shared" ref="BR783:BR789" si="600">BS783</f>
        <v>0</v>
      </c>
      <c r="BS783" s="401"/>
      <c r="BT783" s="401"/>
      <c r="BU783" s="401"/>
      <c r="BV783" s="401"/>
      <c r="BW783" s="122"/>
    </row>
    <row r="784" spans="1:75" hidden="1" outlineLevel="1" x14ac:dyDescent="0.5">
      <c r="A784" s="464" t="s">
        <v>1472</v>
      </c>
      <c r="B784" s="513"/>
      <c r="C784" s="401"/>
      <c r="D784" s="401"/>
      <c r="E784" s="401"/>
      <c r="F784" s="403">
        <v>-2.4969999999999999</v>
      </c>
      <c r="G784" s="302">
        <v>-1.5880000000000001</v>
      </c>
      <c r="H784" s="302">
        <v>-4.2380000000000004</v>
      </c>
      <c r="I784" s="302">
        <v>-8.1150000000000002</v>
      </c>
      <c r="J784" s="302">
        <v>-6.63</v>
      </c>
      <c r="K784" s="403">
        <v>-6.63</v>
      </c>
      <c r="L784" s="302">
        <v>-0.63</v>
      </c>
      <c r="M784" s="302">
        <v>-4.84</v>
      </c>
      <c r="N784" s="302">
        <v>-6.1550000000000002</v>
      </c>
      <c r="O784" s="122">
        <f t="shared" si="590"/>
        <v>-4.835</v>
      </c>
      <c r="P784" s="403">
        <v>-4.835</v>
      </c>
      <c r="Q784" s="302">
        <v>-0.24</v>
      </c>
      <c r="R784" s="302">
        <v>-1.548</v>
      </c>
      <c r="S784" s="302">
        <v>-2.778</v>
      </c>
      <c r="T784" s="302">
        <v>-0.13100000000000001</v>
      </c>
      <c r="U784" s="403">
        <v>-0.13100000000000001</v>
      </c>
      <c r="V784" s="302">
        <v>2.1419999999999999</v>
      </c>
      <c r="W784" s="302">
        <v>2.508</v>
      </c>
      <c r="X784" s="302">
        <v>0.71599999999999997</v>
      </c>
      <c r="Y784" s="122">
        <f t="shared" si="591"/>
        <v>1.351</v>
      </c>
      <c r="Z784" s="403">
        <v>1.351</v>
      </c>
      <c r="AA784" s="302">
        <v>4.0940000000000003</v>
      </c>
      <c r="AB784" s="302">
        <v>3.9489999999999998</v>
      </c>
      <c r="AC784" s="302">
        <v>-3.7999999999999999E-2</v>
      </c>
      <c r="AD784" s="122">
        <f t="shared" si="592"/>
        <v>-9.4540000000000006</v>
      </c>
      <c r="AE784" s="403">
        <v>-9.4540000000000006</v>
      </c>
      <c r="AF784" s="302">
        <v>-6.4909999999999997</v>
      </c>
      <c r="AG784" s="302">
        <v>-2.7410000000000001</v>
      </c>
      <c r="AH784" s="302">
        <v>-7.7569999999999997</v>
      </c>
      <c r="AI784" s="122">
        <f t="shared" si="593"/>
        <v>-18.318999999999999</v>
      </c>
      <c r="AJ784" s="403">
        <v>-18.318999999999999</v>
      </c>
      <c r="AK784" s="302">
        <v>2.427</v>
      </c>
      <c r="AL784" s="302">
        <v>0.54</v>
      </c>
      <c r="AM784" s="302">
        <v>-22.716000000000001</v>
      </c>
      <c r="AN784" s="122">
        <f t="shared" si="594"/>
        <v>-15.631</v>
      </c>
      <c r="AO784" s="403">
        <v>-15.631</v>
      </c>
      <c r="AP784" s="302">
        <v>5.0229999999999997</v>
      </c>
      <c r="AQ784" s="302">
        <v>18.827999999999999</v>
      </c>
      <c r="AR784" s="302">
        <v>7.6020000000000003</v>
      </c>
      <c r="AS784" s="122">
        <f t="shared" si="595"/>
        <v>9.9469999999999992</v>
      </c>
      <c r="AT784" s="403">
        <v>9.9469999999999992</v>
      </c>
      <c r="AU784" s="302">
        <v>-7.734</v>
      </c>
      <c r="AV784" s="302">
        <v>-7.4580000000000002</v>
      </c>
      <c r="AW784" s="302">
        <v>-14.823</v>
      </c>
      <c r="AX784" s="122">
        <f t="shared" si="596"/>
        <v>-17</v>
      </c>
      <c r="AY784" s="403">
        <v>-17</v>
      </c>
      <c r="AZ784" s="302">
        <v>-11</v>
      </c>
      <c r="BA784" s="302">
        <v>-29</v>
      </c>
      <c r="BB784" s="302">
        <v>-35</v>
      </c>
      <c r="BC784" s="122">
        <f t="shared" si="597"/>
        <v>-21</v>
      </c>
      <c r="BD784" s="403">
        <v>-21</v>
      </c>
      <c r="BE784" s="302">
        <v>8</v>
      </c>
      <c r="BF784" s="302">
        <v>13</v>
      </c>
      <c r="BG784" s="302">
        <v>11</v>
      </c>
      <c r="BH784" s="122">
        <f t="shared" si="598"/>
        <v>16</v>
      </c>
      <c r="BI784" s="403">
        <v>16</v>
      </c>
      <c r="BJ784" s="1207">
        <v>-7</v>
      </c>
      <c r="BK784" s="118"/>
      <c r="BL784" s="118"/>
      <c r="BM784" s="118">
        <f t="shared" si="599"/>
        <v>0</v>
      </c>
      <c r="BN784" s="401"/>
      <c r="BO784" s="118"/>
      <c r="BP784" s="118"/>
      <c r="BQ784" s="118"/>
      <c r="BR784" s="118">
        <f t="shared" si="600"/>
        <v>0</v>
      </c>
      <c r="BS784" s="401"/>
      <c r="BT784" s="401"/>
      <c r="BU784" s="401"/>
      <c r="BV784" s="401"/>
      <c r="BW784" s="122"/>
    </row>
    <row r="785" spans="1:75" hidden="1" outlineLevel="1" x14ac:dyDescent="0.5">
      <c r="A785" s="464" t="s">
        <v>2646</v>
      </c>
      <c r="B785" s="513"/>
      <c r="C785" s="401"/>
      <c r="D785" s="401"/>
      <c r="E785" s="401"/>
      <c r="F785" s="403">
        <v>-2.431</v>
      </c>
      <c r="G785" s="302">
        <v>-1.4770000000000001</v>
      </c>
      <c r="H785" s="302">
        <v>-3.1680000000000001</v>
      </c>
      <c r="I785" s="302">
        <v>-8.07</v>
      </c>
      <c r="J785" s="302">
        <v>-9.1590000000000007</v>
      </c>
      <c r="K785" s="403">
        <v>-9.1590000000000007</v>
      </c>
      <c r="L785" s="302">
        <v>-9.5909999999999993</v>
      </c>
      <c r="M785" s="302">
        <v>-13.202999999999999</v>
      </c>
      <c r="N785" s="302">
        <v>-12.721</v>
      </c>
      <c r="O785" s="122">
        <f t="shared" si="590"/>
        <v>-20.143000000000001</v>
      </c>
      <c r="P785" s="403">
        <v>-20.143000000000001</v>
      </c>
      <c r="Q785" s="302">
        <v>-15.327</v>
      </c>
      <c r="R785" s="302">
        <v>-19.533000000000001</v>
      </c>
      <c r="S785" s="302">
        <v>-28.419</v>
      </c>
      <c r="T785" s="302">
        <v>-29.513000000000002</v>
      </c>
      <c r="U785" s="403">
        <v>-29.513000000000002</v>
      </c>
      <c r="V785" s="302">
        <v>-8.6430000000000007</v>
      </c>
      <c r="W785" s="302">
        <v>-11.65</v>
      </c>
      <c r="X785" s="302">
        <v>-12.493</v>
      </c>
      <c r="Y785" s="122">
        <f t="shared" si="591"/>
        <v>-16.178999999999998</v>
      </c>
      <c r="Z785" s="403">
        <v>-16.178999999999998</v>
      </c>
      <c r="AA785" s="302">
        <v>-28.2</v>
      </c>
      <c r="AB785" s="302">
        <v>-31.22</v>
      </c>
      <c r="AC785" s="302">
        <v>-27.776</v>
      </c>
      <c r="AD785" s="122">
        <f t="shared" si="592"/>
        <v>-39.124000000000002</v>
      </c>
      <c r="AE785" s="403">
        <v>-39.124000000000002</v>
      </c>
      <c r="AF785" s="302">
        <v>-17.218</v>
      </c>
      <c r="AG785" s="302">
        <v>-22.353999999999999</v>
      </c>
      <c r="AH785" s="302">
        <v>-37.375999999999998</v>
      </c>
      <c r="AI785" s="122">
        <f t="shared" si="593"/>
        <v>-65.194999999999993</v>
      </c>
      <c r="AJ785" s="403">
        <v>-65.194999999999993</v>
      </c>
      <c r="AK785" s="302">
        <v>-10.535</v>
      </c>
      <c r="AL785" s="302">
        <v>-22.431999999999999</v>
      </c>
      <c r="AM785" s="302">
        <v>-29.648</v>
      </c>
      <c r="AN785" s="122">
        <f t="shared" si="594"/>
        <v>-32.590000000000003</v>
      </c>
      <c r="AO785" s="403">
        <v>-32.590000000000003</v>
      </c>
      <c r="AP785" s="302">
        <v>7.8019999999999996</v>
      </c>
      <c r="AQ785" s="302">
        <v>-114.29600000000001</v>
      </c>
      <c r="AR785" s="302">
        <v>-93.055000000000007</v>
      </c>
      <c r="AS785" s="122">
        <f t="shared" si="595"/>
        <v>-61.259</v>
      </c>
      <c r="AT785" s="403">
        <v>-61.259</v>
      </c>
      <c r="AU785" s="302">
        <v>-64.27</v>
      </c>
      <c r="AV785" s="302">
        <v>-51.781999999999996</v>
      </c>
      <c r="AW785" s="302">
        <v>-37.981999999999999</v>
      </c>
      <c r="AX785" s="122">
        <f t="shared" si="596"/>
        <v>-28</v>
      </c>
      <c r="AY785" s="403">
        <v>-28</v>
      </c>
      <c r="AZ785" s="302">
        <v>-20</v>
      </c>
      <c r="BA785" s="302">
        <v>4</v>
      </c>
      <c r="BB785" s="302">
        <v>39</v>
      </c>
      <c r="BC785" s="122">
        <f t="shared" si="597"/>
        <v>26</v>
      </c>
      <c r="BD785" s="403">
        <v>26</v>
      </c>
      <c r="BE785" s="302">
        <v>19</v>
      </c>
      <c r="BF785" s="302">
        <v>-11</v>
      </c>
      <c r="BG785" s="302">
        <v>17</v>
      </c>
      <c r="BH785" s="122">
        <f t="shared" si="598"/>
        <v>16</v>
      </c>
      <c r="BI785" s="403">
        <v>16</v>
      </c>
      <c r="BJ785" s="1207">
        <v>34</v>
      </c>
      <c r="BK785" s="118"/>
      <c r="BL785" s="118"/>
      <c r="BM785" s="118">
        <f t="shared" si="599"/>
        <v>0</v>
      </c>
      <c r="BN785" s="401"/>
      <c r="BO785" s="118"/>
      <c r="BP785" s="118"/>
      <c r="BQ785" s="118"/>
      <c r="BR785" s="118">
        <f t="shared" si="600"/>
        <v>0</v>
      </c>
      <c r="BS785" s="401"/>
      <c r="BT785" s="401"/>
      <c r="BU785" s="401"/>
      <c r="BV785" s="401"/>
      <c r="BW785" s="122"/>
    </row>
    <row r="786" spans="1:75" hidden="1" outlineLevel="1" x14ac:dyDescent="0.5">
      <c r="A786" s="464" t="s">
        <v>2647</v>
      </c>
      <c r="B786" s="513"/>
      <c r="C786" s="401"/>
      <c r="D786" s="401"/>
      <c r="E786" s="401"/>
      <c r="F786" s="403">
        <v>-6.9779999999999998</v>
      </c>
      <c r="G786" s="302">
        <v>-0.26300000000000001</v>
      </c>
      <c r="H786" s="302">
        <v>0.216</v>
      </c>
      <c r="I786" s="302">
        <v>-0.24099999999999999</v>
      </c>
      <c r="J786" s="302">
        <v>0</v>
      </c>
      <c r="K786" s="401"/>
      <c r="L786" s="118"/>
      <c r="M786" s="118"/>
      <c r="N786" s="118"/>
      <c r="O786" s="122">
        <f t="shared" si="590"/>
        <v>0</v>
      </c>
      <c r="P786" s="401"/>
      <c r="Q786" s="118"/>
      <c r="R786" s="118"/>
      <c r="S786" s="118"/>
      <c r="T786" s="302">
        <v>0</v>
      </c>
      <c r="U786" s="401"/>
      <c r="V786" s="118"/>
      <c r="W786" s="118"/>
      <c r="X786" s="118"/>
      <c r="Y786" s="122">
        <f t="shared" si="591"/>
        <v>0</v>
      </c>
      <c r="Z786" s="401"/>
      <c r="AA786" s="118"/>
      <c r="AB786" s="118"/>
      <c r="AC786" s="118"/>
      <c r="AD786" s="122">
        <f t="shared" si="592"/>
        <v>0</v>
      </c>
      <c r="AE786" s="401"/>
      <c r="AF786" s="118"/>
      <c r="AG786" s="118"/>
      <c r="AH786" s="118"/>
      <c r="AI786" s="122">
        <f t="shared" si="593"/>
        <v>0</v>
      </c>
      <c r="AJ786" s="401"/>
      <c r="AK786" s="118"/>
      <c r="AL786" s="118"/>
      <c r="AM786" s="118"/>
      <c r="AN786" s="122">
        <f t="shared" si="594"/>
        <v>0</v>
      </c>
      <c r="AO786" s="401"/>
      <c r="AP786" s="118"/>
      <c r="AQ786" s="118"/>
      <c r="AR786" s="118"/>
      <c r="AS786" s="122">
        <f t="shared" si="595"/>
        <v>0</v>
      </c>
      <c r="AT786" s="401"/>
      <c r="AU786" s="118"/>
      <c r="AV786" s="118"/>
      <c r="AW786" s="118"/>
      <c r="AX786" s="122">
        <f t="shared" si="596"/>
        <v>0</v>
      </c>
      <c r="AY786" s="401"/>
      <c r="AZ786" s="118"/>
      <c r="BA786" s="118"/>
      <c r="BB786" s="118"/>
      <c r="BC786" s="122">
        <f t="shared" si="597"/>
        <v>0</v>
      </c>
      <c r="BD786" s="401"/>
      <c r="BE786" s="118"/>
      <c r="BF786" s="118"/>
      <c r="BG786" s="118"/>
      <c r="BH786" s="122">
        <f t="shared" si="598"/>
        <v>0</v>
      </c>
      <c r="BI786" s="401"/>
      <c r="BJ786" s="971"/>
      <c r="BK786" s="118"/>
      <c r="BL786" s="118"/>
      <c r="BM786" s="118">
        <f t="shared" si="599"/>
        <v>0</v>
      </c>
      <c r="BN786" s="401"/>
      <c r="BO786" s="118"/>
      <c r="BP786" s="118"/>
      <c r="BQ786" s="118"/>
      <c r="BR786" s="118">
        <f t="shared" si="600"/>
        <v>0</v>
      </c>
      <c r="BS786" s="401"/>
      <c r="BT786" s="401"/>
      <c r="BU786" s="401"/>
      <c r="BV786" s="401"/>
      <c r="BW786" s="122"/>
    </row>
    <row r="787" spans="1:75" hidden="1" outlineLevel="1" x14ac:dyDescent="0.5">
      <c r="A787" s="464" t="s">
        <v>1370</v>
      </c>
      <c r="B787" s="513"/>
      <c r="C787" s="401"/>
      <c r="D787" s="401"/>
      <c r="E787" s="401"/>
      <c r="F787" s="403">
        <v>32.917000000000002</v>
      </c>
      <c r="G787" s="302">
        <v>-17.777000000000001</v>
      </c>
      <c r="H787" s="302">
        <v>-3.1859999999999999</v>
      </c>
      <c r="I787" s="302">
        <v>9.0950000000000006</v>
      </c>
      <c r="J787" s="302">
        <v>40.853000000000002</v>
      </c>
      <c r="K787" s="403">
        <v>40.853000000000002</v>
      </c>
      <c r="L787" s="302">
        <v>-6.4779999999999998</v>
      </c>
      <c r="M787" s="302">
        <v>-3.306</v>
      </c>
      <c r="N787" s="302">
        <v>-1.1080000000000001</v>
      </c>
      <c r="O787" s="122">
        <f t="shared" si="590"/>
        <v>59.521000000000001</v>
      </c>
      <c r="P787" s="403">
        <v>59.521000000000001</v>
      </c>
      <c r="Q787" s="302">
        <v>-16.8</v>
      </c>
      <c r="R787" s="302">
        <v>2.4380000000000002</v>
      </c>
      <c r="S787" s="302">
        <v>60.34</v>
      </c>
      <c r="T787" s="302">
        <v>135.85499999999999</v>
      </c>
      <c r="U787" s="403">
        <v>135.85499999999999</v>
      </c>
      <c r="V787" s="302">
        <v>-29.097000000000001</v>
      </c>
      <c r="W787" s="302">
        <v>9.7479999999999993</v>
      </c>
      <c r="X787" s="302">
        <v>53.442999999999998</v>
      </c>
      <c r="Y787" s="122">
        <f t="shared" si="591"/>
        <v>126.01300000000001</v>
      </c>
      <c r="Z787" s="403">
        <v>126.01300000000001</v>
      </c>
      <c r="AA787" s="302">
        <v>-22.411999999999999</v>
      </c>
      <c r="AB787" s="302">
        <v>-0.13700000000000001</v>
      </c>
      <c r="AC787" s="302">
        <v>44.692</v>
      </c>
      <c r="AD787" s="122">
        <f t="shared" si="592"/>
        <v>104.184</v>
      </c>
      <c r="AE787" s="403">
        <v>104.184</v>
      </c>
      <c r="AF787" s="302">
        <v>34.058</v>
      </c>
      <c r="AG787" s="302">
        <v>95.742999999999995</v>
      </c>
      <c r="AH787" s="302">
        <v>187.733</v>
      </c>
      <c r="AI787" s="122">
        <f t="shared" si="593"/>
        <v>285.06400000000002</v>
      </c>
      <c r="AJ787" s="403">
        <v>285.06400000000002</v>
      </c>
      <c r="AK787" s="302">
        <v>46.631</v>
      </c>
      <c r="AL787" s="302">
        <v>128.61099999999999</v>
      </c>
      <c r="AM787" s="302">
        <v>215.786</v>
      </c>
      <c r="AN787" s="122">
        <f t="shared" si="594"/>
        <v>330.32499999999999</v>
      </c>
      <c r="AO787" s="403">
        <v>330.32499999999999</v>
      </c>
      <c r="AP787" s="302">
        <v>-114.623</v>
      </c>
      <c r="AQ787" s="302">
        <v>369.666</v>
      </c>
      <c r="AR787" s="302">
        <v>356.21499999999997</v>
      </c>
      <c r="AS787" s="122">
        <f t="shared" si="595"/>
        <v>531.52599999999995</v>
      </c>
      <c r="AT787" s="403">
        <v>531.52599999999995</v>
      </c>
      <c r="AU787" s="302">
        <v>58.415999999999997</v>
      </c>
      <c r="AV787" s="302">
        <v>56.707000000000001</v>
      </c>
      <c r="AW787" s="302">
        <v>-133.23400000000001</v>
      </c>
      <c r="AX787" s="122">
        <f t="shared" si="596"/>
        <v>9</v>
      </c>
      <c r="AY787" s="403">
        <v>9</v>
      </c>
      <c r="AZ787" s="302">
        <v>-26</v>
      </c>
      <c r="BA787" s="302">
        <v>-18</v>
      </c>
      <c r="BB787" s="302">
        <v>-294</v>
      </c>
      <c r="BC787" s="122">
        <f t="shared" si="597"/>
        <v>-177</v>
      </c>
      <c r="BD787" s="403">
        <v>-177</v>
      </c>
      <c r="BE787" s="302">
        <v>-171</v>
      </c>
      <c r="BF787" s="302">
        <v>-118</v>
      </c>
      <c r="BG787" s="302">
        <v>-106</v>
      </c>
      <c r="BH787" s="122">
        <f t="shared" si="598"/>
        <v>-18</v>
      </c>
      <c r="BI787" s="403">
        <v>-18</v>
      </c>
      <c r="BJ787" s="1207">
        <v>-152</v>
      </c>
      <c r="BK787" s="118"/>
      <c r="BL787" s="118"/>
      <c r="BM787" s="118">
        <f t="shared" si="599"/>
        <v>0</v>
      </c>
      <c r="BN787" s="401"/>
      <c r="BO787" s="118"/>
      <c r="BP787" s="118"/>
      <c r="BQ787" s="118"/>
      <c r="BR787" s="118">
        <f t="shared" si="600"/>
        <v>0</v>
      </c>
      <c r="BS787" s="401"/>
      <c r="BT787" s="401"/>
      <c r="BU787" s="401"/>
      <c r="BV787" s="401"/>
      <c r="BW787" s="122"/>
    </row>
    <row r="788" spans="1:75" hidden="1" outlineLevel="1" x14ac:dyDescent="0.5">
      <c r="A788" s="464" t="s">
        <v>2648</v>
      </c>
      <c r="B788" s="513"/>
      <c r="C788" s="401"/>
      <c r="D788" s="401"/>
      <c r="E788" s="401"/>
      <c r="F788" s="403">
        <v>3.0409999999999999</v>
      </c>
      <c r="G788" s="302">
        <v>-0.34300000000000003</v>
      </c>
      <c r="H788" s="302">
        <v>2.4079999999999999</v>
      </c>
      <c r="I788" s="302">
        <v>9.4830000000000005</v>
      </c>
      <c r="J788" s="302">
        <v>4.1950000000000003</v>
      </c>
      <c r="K788" s="403">
        <v>4.1950000000000003</v>
      </c>
      <c r="L788" s="302">
        <v>10.721</v>
      </c>
      <c r="M788" s="302">
        <v>19.486999999999998</v>
      </c>
      <c r="N788" s="302">
        <v>24.577999999999999</v>
      </c>
      <c r="O788" s="122">
        <f t="shared" si="590"/>
        <v>32.616</v>
      </c>
      <c r="P788" s="403">
        <v>32.616</v>
      </c>
      <c r="Q788" s="302">
        <v>12.151</v>
      </c>
      <c r="R788" s="302">
        <v>30.582999999999998</v>
      </c>
      <c r="S788" s="302">
        <v>37.927</v>
      </c>
      <c r="T788" s="302">
        <v>47.030999999999999</v>
      </c>
      <c r="U788" s="403">
        <v>47.030999999999999</v>
      </c>
      <c r="V788" s="302">
        <v>7.9260000000000002</v>
      </c>
      <c r="W788" s="302">
        <v>22.861999999999998</v>
      </c>
      <c r="X788" s="302">
        <v>33.555999999999997</v>
      </c>
      <c r="Y788" s="122">
        <f t="shared" si="591"/>
        <v>51.914000000000001</v>
      </c>
      <c r="Z788" s="403">
        <v>51.914000000000001</v>
      </c>
      <c r="AA788" s="302">
        <v>25.93</v>
      </c>
      <c r="AB788" s="302">
        <v>30.66</v>
      </c>
      <c r="AC788" s="302">
        <v>50.45</v>
      </c>
      <c r="AD788" s="122">
        <f t="shared" si="592"/>
        <v>81.353999999999999</v>
      </c>
      <c r="AE788" s="403">
        <v>81.353999999999999</v>
      </c>
      <c r="AF788" s="302">
        <v>23.821000000000002</v>
      </c>
      <c r="AG788" s="302">
        <v>52.210999999999999</v>
      </c>
      <c r="AH788" s="302">
        <v>80.509</v>
      </c>
      <c r="AI788" s="122">
        <f t="shared" si="593"/>
        <v>134.70500000000001</v>
      </c>
      <c r="AJ788" s="403">
        <v>134.70500000000001</v>
      </c>
      <c r="AK788" s="302">
        <v>-4.9329999999999998</v>
      </c>
      <c r="AL788" s="302">
        <v>14.914</v>
      </c>
      <c r="AM788" s="302">
        <v>22.382000000000001</v>
      </c>
      <c r="AN788" s="122">
        <f t="shared" si="594"/>
        <v>75.888000000000005</v>
      </c>
      <c r="AO788" s="403">
        <v>75.888000000000005</v>
      </c>
      <c r="AP788" s="302">
        <v>2.379</v>
      </c>
      <c r="AQ788" s="302">
        <v>331.51100000000002</v>
      </c>
      <c r="AR788" s="302">
        <v>296.30599999999998</v>
      </c>
      <c r="AS788" s="122">
        <f t="shared" si="595"/>
        <v>57.933999999999997</v>
      </c>
      <c r="AT788" s="403">
        <v>57.933999999999997</v>
      </c>
      <c r="AU788" s="302">
        <v>5.4320000000000004</v>
      </c>
      <c r="AV788" s="302">
        <v>0.77600000000000002</v>
      </c>
      <c r="AW788" s="302">
        <v>-4.4749999999999996</v>
      </c>
      <c r="AX788" s="122">
        <f t="shared" si="596"/>
        <v>4</v>
      </c>
      <c r="AY788" s="403">
        <v>4</v>
      </c>
      <c r="AZ788" s="118"/>
      <c r="BA788" s="118"/>
      <c r="BB788" s="302">
        <v>15</v>
      </c>
      <c r="BC788" s="122">
        <f t="shared" si="597"/>
        <v>0</v>
      </c>
      <c r="BD788" s="403">
        <v>0</v>
      </c>
      <c r="BE788" s="302">
        <v>-1</v>
      </c>
      <c r="BF788" s="302">
        <v>12</v>
      </c>
      <c r="BG788" s="302">
        <v>12</v>
      </c>
      <c r="BH788" s="122">
        <f t="shared" si="598"/>
        <v>0</v>
      </c>
      <c r="BI788" s="403">
        <v>0</v>
      </c>
      <c r="BJ788" s="971"/>
      <c r="BK788" s="118"/>
      <c r="BL788" s="118"/>
      <c r="BM788" s="118">
        <f t="shared" si="599"/>
        <v>0</v>
      </c>
      <c r="BN788" s="401"/>
      <c r="BO788" s="118"/>
      <c r="BP788" s="118"/>
      <c r="BQ788" s="118"/>
      <c r="BR788" s="118">
        <f t="shared" si="600"/>
        <v>0</v>
      </c>
      <c r="BS788" s="401"/>
      <c r="BT788" s="401"/>
      <c r="BU788" s="401"/>
      <c r="BV788" s="401"/>
      <c r="BW788" s="122"/>
    </row>
    <row r="789" spans="1:75" hidden="1" outlineLevel="1" x14ac:dyDescent="0.5">
      <c r="A789" s="464" t="s">
        <v>1369</v>
      </c>
      <c r="B789" s="513"/>
      <c r="C789" s="401"/>
      <c r="D789" s="401"/>
      <c r="E789" s="401"/>
      <c r="F789" s="403">
        <v>-0.26300000000000001</v>
      </c>
      <c r="G789" s="302">
        <v>2.7E-2</v>
      </c>
      <c r="H789" s="302">
        <v>4.9000000000000002E-2</v>
      </c>
      <c r="I789" s="302">
        <v>0.26900000000000002</v>
      </c>
      <c r="J789" s="302">
        <v>-0.64400000000000002</v>
      </c>
      <c r="K789" s="403">
        <v>-0.64400000000000002</v>
      </c>
      <c r="L789" s="302">
        <v>-0.996</v>
      </c>
      <c r="M789" s="302">
        <v>-2.0859999999999999</v>
      </c>
      <c r="N789" s="302">
        <v>-3.117</v>
      </c>
      <c r="O789" s="122">
        <f t="shared" si="590"/>
        <v>-5.8999999999999997E-2</v>
      </c>
      <c r="P789" s="403">
        <v>-5.8999999999999997E-2</v>
      </c>
      <c r="Q789" s="302">
        <v>-0.33900000000000002</v>
      </c>
      <c r="R789" s="302">
        <v>-0.14699999999999999</v>
      </c>
      <c r="S789" s="302">
        <v>-2.5000000000000001E-2</v>
      </c>
      <c r="T789" s="302">
        <v>-0.13600000000000001</v>
      </c>
      <c r="U789" s="403">
        <v>-0.13600000000000001</v>
      </c>
      <c r="V789" s="302">
        <v>-0.432</v>
      </c>
      <c r="W789" s="302">
        <v>-7.0000000000000001E-3</v>
      </c>
      <c r="X789" s="302">
        <v>-2.2919999999999998</v>
      </c>
      <c r="Y789" s="122">
        <f t="shared" si="591"/>
        <v>-1.998</v>
      </c>
      <c r="Z789" s="403">
        <v>-1.998</v>
      </c>
      <c r="AA789" s="302">
        <v>-5.5E-2</v>
      </c>
      <c r="AB789" s="302">
        <v>-0.11700000000000001</v>
      </c>
      <c r="AC789" s="302">
        <v>-1.1479999999999999</v>
      </c>
      <c r="AD789" s="122">
        <f t="shared" si="592"/>
        <v>-2.4279999999999999</v>
      </c>
      <c r="AE789" s="403">
        <v>-2.4279999999999999</v>
      </c>
      <c r="AF789" s="302">
        <v>-0.23599999999999999</v>
      </c>
      <c r="AG789" s="302">
        <v>-1.462</v>
      </c>
      <c r="AH789" s="302">
        <v>-6.8360000000000003</v>
      </c>
      <c r="AI789" s="122">
        <f t="shared" si="593"/>
        <v>-8.157</v>
      </c>
      <c r="AJ789" s="403">
        <v>-8.157</v>
      </c>
      <c r="AK789" s="357">
        <v>-0.70399999999999996</v>
      </c>
      <c r="AL789" s="357">
        <v>-1.3240000000000001</v>
      </c>
      <c r="AM789" s="357">
        <v>-1.92</v>
      </c>
      <c r="AN789" s="122">
        <f t="shared" si="594"/>
        <v>-1.329</v>
      </c>
      <c r="AO789" s="403">
        <v>-1.329</v>
      </c>
      <c r="AP789" s="357">
        <v>2.4E-2</v>
      </c>
      <c r="AQ789" s="357">
        <v>0.93799999999999994</v>
      </c>
      <c r="AR789" s="357">
        <v>0.61199999999999999</v>
      </c>
      <c r="AS789" s="122">
        <f t="shared" si="595"/>
        <v>-0.53200000000000003</v>
      </c>
      <c r="AT789" s="403">
        <v>-0.53200000000000003</v>
      </c>
      <c r="AU789" s="357">
        <v>-3.43</v>
      </c>
      <c r="AV789" s="357">
        <v>-4.01</v>
      </c>
      <c r="AW789" s="357">
        <v>0.83299999999999996</v>
      </c>
      <c r="AX789" s="122">
        <f t="shared" si="596"/>
        <v>0</v>
      </c>
      <c r="AY789" s="401"/>
      <c r="AZ789" s="723"/>
      <c r="BA789" s="723"/>
      <c r="BB789" s="723"/>
      <c r="BC789" s="122">
        <f t="shared" si="597"/>
        <v>1</v>
      </c>
      <c r="BD789" s="403">
        <v>1</v>
      </c>
      <c r="BE789" s="723"/>
      <c r="BF789" s="357">
        <v>3</v>
      </c>
      <c r="BG789" s="357">
        <v>2</v>
      </c>
      <c r="BH789" s="122">
        <f t="shared" si="598"/>
        <v>0</v>
      </c>
      <c r="BI789" s="403">
        <v>0</v>
      </c>
      <c r="BJ789" s="1049"/>
      <c r="BK789" s="118"/>
      <c r="BL789" s="118"/>
      <c r="BM789" s="118">
        <f t="shared" si="599"/>
        <v>0</v>
      </c>
      <c r="BN789" s="401"/>
      <c r="BO789" s="118"/>
      <c r="BP789" s="118"/>
      <c r="BQ789" s="118"/>
      <c r="BR789" s="118">
        <f t="shared" si="600"/>
        <v>0</v>
      </c>
      <c r="BS789" s="401"/>
      <c r="BT789" s="401"/>
      <c r="BU789" s="401"/>
      <c r="BV789" s="401"/>
      <c r="BW789" s="122"/>
    </row>
    <row r="790" spans="1:75" hidden="1" outlineLevel="1" x14ac:dyDescent="0.5">
      <c r="A790" s="516" t="s">
        <v>1376</v>
      </c>
      <c r="B790" s="517"/>
      <c r="C790" s="518"/>
      <c r="D790" s="518"/>
      <c r="E790" s="518"/>
      <c r="F790" s="519">
        <f t="shared" ref="F790:BQ790" si="601">SUM(F782:F789)</f>
        <v>3.9450000000000021</v>
      </c>
      <c r="G790" s="520">
        <f t="shared" si="601"/>
        <v>-20.451000000000001</v>
      </c>
      <c r="H790" s="520">
        <f t="shared" si="601"/>
        <v>-5.9069999999999991</v>
      </c>
      <c r="I790" s="520">
        <f t="shared" si="601"/>
        <v>-6.4249999999999989</v>
      </c>
      <c r="J790" s="520">
        <f t="shared" si="601"/>
        <v>34.413000000000004</v>
      </c>
      <c r="K790" s="519">
        <f t="shared" si="601"/>
        <v>34.413000000000004</v>
      </c>
      <c r="L790" s="520">
        <f t="shared" si="601"/>
        <v>-24.432000000000002</v>
      </c>
      <c r="M790" s="520">
        <f t="shared" si="601"/>
        <v>-39.771000000000015</v>
      </c>
      <c r="N790" s="520">
        <f t="shared" si="601"/>
        <v>-50.836999999999996</v>
      </c>
      <c r="O790" s="520">
        <f t="shared" si="601"/>
        <v>4.1249999999999831</v>
      </c>
      <c r="P790" s="519">
        <f t="shared" si="601"/>
        <v>4.1249999999999831</v>
      </c>
      <c r="Q790" s="520">
        <f t="shared" si="601"/>
        <v>-35.201999999999998</v>
      </c>
      <c r="R790" s="520">
        <f t="shared" si="601"/>
        <v>-6.7490000000000041</v>
      </c>
      <c r="S790" s="520">
        <f t="shared" si="601"/>
        <v>44.755000000000003</v>
      </c>
      <c r="T790" s="520">
        <f t="shared" si="601"/>
        <v>135.12099999999998</v>
      </c>
      <c r="U790" s="519">
        <f t="shared" si="601"/>
        <v>135.12099999999998</v>
      </c>
      <c r="V790" s="520">
        <f t="shared" si="601"/>
        <v>-51.203999999999994</v>
      </c>
      <c r="W790" s="520">
        <f t="shared" si="601"/>
        <v>-26.301000000000002</v>
      </c>
      <c r="X790" s="520">
        <f t="shared" si="601"/>
        <v>-10.680000000000019</v>
      </c>
      <c r="Y790" s="520">
        <f t="shared" si="601"/>
        <v>62.814000000000014</v>
      </c>
      <c r="Z790" s="519">
        <f t="shared" si="601"/>
        <v>62.814000000000014</v>
      </c>
      <c r="AA790" s="520">
        <f t="shared" si="601"/>
        <v>-46.097999999999985</v>
      </c>
      <c r="AB790" s="520">
        <f t="shared" si="601"/>
        <v>-27.997000000000007</v>
      </c>
      <c r="AC790" s="520">
        <f t="shared" si="601"/>
        <v>-3.2449999999999868</v>
      </c>
      <c r="AD790" s="520">
        <f t="shared" si="601"/>
        <v>33.634</v>
      </c>
      <c r="AE790" s="519">
        <f t="shared" si="601"/>
        <v>33.634</v>
      </c>
      <c r="AF790" s="520">
        <f t="shared" si="601"/>
        <v>-13.077000000000012</v>
      </c>
      <c r="AG790" s="520">
        <f t="shared" si="601"/>
        <v>34.526999999999987</v>
      </c>
      <c r="AH790" s="520">
        <f t="shared" si="601"/>
        <v>42.33099999999996</v>
      </c>
      <c r="AI790" s="520">
        <f t="shared" si="601"/>
        <v>84.861000000000004</v>
      </c>
      <c r="AJ790" s="519">
        <f t="shared" si="601"/>
        <v>84.861000000000004</v>
      </c>
      <c r="AK790" s="520">
        <f t="shared" si="601"/>
        <v>-81.347999999999999</v>
      </c>
      <c r="AL790" s="520">
        <f t="shared" si="601"/>
        <v>-84.081999999999965</v>
      </c>
      <c r="AM790" s="520">
        <f t="shared" si="601"/>
        <v>-160.52299999999994</v>
      </c>
      <c r="AN790" s="520">
        <f t="shared" si="601"/>
        <v>-196.8179999999999</v>
      </c>
      <c r="AO790" s="519">
        <f t="shared" si="601"/>
        <v>-196.8179999999999</v>
      </c>
      <c r="AP790" s="520">
        <f t="shared" si="601"/>
        <v>-256.29000000000002</v>
      </c>
      <c r="AQ790" s="520">
        <f t="shared" si="601"/>
        <v>878.9609999999999</v>
      </c>
      <c r="AR790" s="520">
        <f t="shared" si="601"/>
        <v>1209.9880000000003</v>
      </c>
      <c r="AS790" s="520">
        <f t="shared" si="601"/>
        <v>1416.731</v>
      </c>
      <c r="AT790" s="519">
        <f t="shared" si="601"/>
        <v>1416.731</v>
      </c>
      <c r="AU790" s="520">
        <f t="shared" si="601"/>
        <v>176.59599999999998</v>
      </c>
      <c r="AV790" s="520">
        <f t="shared" si="601"/>
        <v>452.03500000000003</v>
      </c>
      <c r="AW790" s="520">
        <f t="shared" si="601"/>
        <v>321.18700000000007</v>
      </c>
      <c r="AX790" s="520">
        <f t="shared" si="601"/>
        <v>410</v>
      </c>
      <c r="AY790" s="519">
        <f t="shared" si="601"/>
        <v>410</v>
      </c>
      <c r="AZ790" s="520">
        <f t="shared" si="601"/>
        <v>-226</v>
      </c>
      <c r="BA790" s="520">
        <f t="shared" si="601"/>
        <v>-341</v>
      </c>
      <c r="BB790" s="520">
        <f t="shared" si="601"/>
        <v>-772</v>
      </c>
      <c r="BC790" s="520">
        <f t="shared" si="601"/>
        <v>-674</v>
      </c>
      <c r="BD790" s="519">
        <f t="shared" si="601"/>
        <v>-674</v>
      </c>
      <c r="BE790" s="520">
        <f t="shared" si="601"/>
        <v>-147</v>
      </c>
      <c r="BF790" s="520">
        <f t="shared" si="601"/>
        <v>70</v>
      </c>
      <c r="BG790" s="520">
        <f t="shared" si="601"/>
        <v>191</v>
      </c>
      <c r="BH790" s="520">
        <f t="shared" si="601"/>
        <v>349</v>
      </c>
      <c r="BI790" s="519">
        <f t="shared" si="601"/>
        <v>349</v>
      </c>
      <c r="BJ790" s="1270">
        <f>SUM(BJ782:BJ789)</f>
        <v>-139</v>
      </c>
      <c r="BK790" s="327">
        <f t="shared" si="601"/>
        <v>0</v>
      </c>
      <c r="BL790" s="327">
        <f t="shared" si="601"/>
        <v>0</v>
      </c>
      <c r="BM790" s="327">
        <f t="shared" si="601"/>
        <v>0</v>
      </c>
      <c r="BN790" s="518">
        <f t="shared" si="601"/>
        <v>0</v>
      </c>
      <c r="BO790" s="327">
        <f t="shared" si="601"/>
        <v>0</v>
      </c>
      <c r="BP790" s="327">
        <f t="shared" si="601"/>
        <v>0</v>
      </c>
      <c r="BQ790" s="327">
        <f t="shared" si="601"/>
        <v>0</v>
      </c>
      <c r="BR790" s="327">
        <f t="shared" ref="BR790:BY790" si="602">SUM(BR782:BR789)</f>
        <v>0</v>
      </c>
      <c r="BS790" s="518">
        <f t="shared" si="602"/>
        <v>0</v>
      </c>
      <c r="BT790" s="518">
        <f t="shared" si="602"/>
        <v>0</v>
      </c>
      <c r="BU790" s="518">
        <f t="shared" si="602"/>
        <v>0</v>
      </c>
      <c r="BV790" s="518">
        <f t="shared" si="602"/>
        <v>0</v>
      </c>
      <c r="BW790" s="197"/>
    </row>
    <row r="791" spans="1:75" hidden="1" outlineLevel="1" x14ac:dyDescent="0.5">
      <c r="A791" s="206"/>
      <c r="B791" s="522"/>
      <c r="C791" s="397"/>
      <c r="D791" s="397"/>
      <c r="E791" s="397"/>
      <c r="F791" s="397"/>
      <c r="G791" s="295"/>
      <c r="H791" s="295"/>
      <c r="I791" s="295"/>
      <c r="J791" s="295"/>
      <c r="K791" s="397"/>
      <c r="L791" s="295"/>
      <c r="M791" s="295"/>
      <c r="N791" s="295"/>
      <c r="O791" s="295"/>
      <c r="P791" s="397"/>
      <c r="Q791" s="295"/>
      <c r="R791" s="295"/>
      <c r="S791" s="295"/>
      <c r="T791" s="295"/>
      <c r="U791" s="397"/>
      <c r="V791" s="295"/>
      <c r="W791" s="295"/>
      <c r="X791" s="295"/>
      <c r="Y791" s="295"/>
      <c r="Z791" s="397"/>
      <c r="AA791" s="295"/>
      <c r="AB791" s="295"/>
      <c r="AC791" s="295"/>
      <c r="AD791" s="295"/>
      <c r="AE791" s="397"/>
      <c r="AF791" s="295"/>
      <c r="AG791" s="295"/>
      <c r="AH791" s="295"/>
      <c r="AI791" s="295"/>
      <c r="AJ791" s="397"/>
      <c r="AK791" s="295"/>
      <c r="AL791" s="295"/>
      <c r="AM791" s="295"/>
      <c r="AN791" s="295"/>
      <c r="AO791" s="397"/>
      <c r="AP791" s="295"/>
      <c r="AQ791" s="295"/>
      <c r="AR791" s="295"/>
      <c r="AS791" s="295"/>
      <c r="AT791" s="397"/>
      <c r="AU791" s="295"/>
      <c r="AV791" s="295"/>
      <c r="AW791" s="295"/>
      <c r="AX791" s="295"/>
      <c r="AY791" s="397"/>
      <c r="AZ791" s="295"/>
      <c r="BA791" s="295"/>
      <c r="BB791" s="295"/>
      <c r="BC791" s="295"/>
      <c r="BD791" s="397"/>
      <c r="BE791" s="295"/>
      <c r="BF791" s="295"/>
      <c r="BG791" s="295"/>
      <c r="BH791" s="295"/>
      <c r="BI791" s="397"/>
      <c r="BJ791" s="1030"/>
      <c r="BK791" s="295"/>
      <c r="BL791" s="295"/>
      <c r="BM791" s="295"/>
      <c r="BN791" s="397"/>
      <c r="BO791" s="295"/>
      <c r="BP791" s="295"/>
      <c r="BQ791" s="295"/>
      <c r="BR791" s="295"/>
      <c r="BS791" s="397"/>
      <c r="BT791" s="397"/>
      <c r="BU791" s="397"/>
      <c r="BV791" s="397"/>
      <c r="BW791" s="197"/>
    </row>
    <row r="792" spans="1:75" hidden="1" outlineLevel="1" x14ac:dyDescent="0.5">
      <c r="A792" s="463" t="s">
        <v>1377</v>
      </c>
      <c r="B792" s="522"/>
      <c r="C792" s="397"/>
      <c r="D792" s="397"/>
      <c r="E792" s="397"/>
      <c r="F792" s="397"/>
      <c r="G792" s="295"/>
      <c r="H792" s="295"/>
      <c r="I792" s="295"/>
      <c r="J792" s="295"/>
      <c r="K792" s="397"/>
      <c r="L792" s="295"/>
      <c r="M792" s="295"/>
      <c r="N792" s="295"/>
      <c r="O792" s="295"/>
      <c r="P792" s="397"/>
      <c r="Q792" s="295"/>
      <c r="R792" s="295"/>
      <c r="S792" s="295"/>
      <c r="T792" s="295"/>
      <c r="U792" s="397"/>
      <c r="V792" s="295"/>
      <c r="W792" s="295"/>
      <c r="X792" s="295"/>
      <c r="Y792" s="295"/>
      <c r="Z792" s="397"/>
      <c r="AA792" s="295"/>
      <c r="AB792" s="295"/>
      <c r="AC792" s="295"/>
      <c r="AD792" s="295"/>
      <c r="AE792" s="397"/>
      <c r="AF792" s="295"/>
      <c r="AG792" s="295"/>
      <c r="AH792" s="295"/>
      <c r="AI792" s="295"/>
      <c r="AJ792" s="397"/>
      <c r="AK792" s="295"/>
      <c r="AL792" s="295"/>
      <c r="AM792" s="295"/>
      <c r="AN792" s="295"/>
      <c r="AO792" s="397"/>
      <c r="AP792" s="295"/>
      <c r="AQ792" s="295"/>
      <c r="AR792" s="295"/>
      <c r="AS792" s="295"/>
      <c r="AT792" s="397"/>
      <c r="AU792" s="295"/>
      <c r="AV792" s="295"/>
      <c r="AW792" s="295"/>
      <c r="AX792" s="295"/>
      <c r="AY792" s="397"/>
      <c r="AZ792" s="295"/>
      <c r="BA792" s="295"/>
      <c r="BB792" s="295"/>
      <c r="BC792" s="295"/>
      <c r="BD792" s="397"/>
      <c r="BE792" s="295"/>
      <c r="BF792" s="295"/>
      <c r="BG792" s="295"/>
      <c r="BH792" s="295"/>
      <c r="BI792" s="397"/>
      <c r="BJ792" s="1030"/>
      <c r="BK792" s="295"/>
      <c r="BL792" s="295"/>
      <c r="BM792" s="295"/>
      <c r="BN792" s="397"/>
      <c r="BO792" s="295"/>
      <c r="BP792" s="295"/>
      <c r="BQ792" s="295"/>
      <c r="BR792" s="295"/>
      <c r="BS792" s="397"/>
      <c r="BT792" s="397"/>
      <c r="BU792" s="397"/>
      <c r="BV792" s="397"/>
      <c r="BW792" s="197"/>
    </row>
    <row r="793" spans="1:75" hidden="1" outlineLevel="1" x14ac:dyDescent="0.5">
      <c r="A793" s="464" t="s">
        <v>2649</v>
      </c>
      <c r="B793" s="513"/>
      <c r="C793" s="401"/>
      <c r="D793" s="401"/>
      <c r="E793" s="401"/>
      <c r="F793" s="403">
        <v>-66.064999999999998</v>
      </c>
      <c r="G793" s="118"/>
      <c r="H793" s="302">
        <v>-40</v>
      </c>
      <c r="I793" s="302">
        <v>-40</v>
      </c>
      <c r="J793" s="302">
        <v>-93</v>
      </c>
      <c r="K793" s="403">
        <v>-93</v>
      </c>
      <c r="L793" s="302">
        <v>-10</v>
      </c>
      <c r="M793" s="302">
        <v>-65</v>
      </c>
      <c r="N793" s="302">
        <v>-110</v>
      </c>
      <c r="O793" s="122">
        <f t="shared" ref="O793:O799" si="603">P793</f>
        <v>-135</v>
      </c>
      <c r="P793" s="403">
        <v>-135</v>
      </c>
      <c r="Q793" s="302">
        <v>-104.233</v>
      </c>
      <c r="R793" s="302">
        <v>-108.31100000000001</v>
      </c>
      <c r="S793" s="302">
        <v>-141.309</v>
      </c>
      <c r="T793" s="302">
        <v>-207.303</v>
      </c>
      <c r="U793" s="403">
        <v>-207.303</v>
      </c>
      <c r="V793" s="302">
        <v>-28.489000000000001</v>
      </c>
      <c r="W793" s="302">
        <v>-69.055000000000007</v>
      </c>
      <c r="X793" s="302">
        <v>-76.457999999999998</v>
      </c>
      <c r="Y793" s="122">
        <f t="shared" ref="Y793:Y799" si="604">Z793</f>
        <v>-88.111999999999995</v>
      </c>
      <c r="Z793" s="403">
        <v>-88.111999999999995</v>
      </c>
      <c r="AA793" s="302">
        <v>-16.225000000000001</v>
      </c>
      <c r="AB793" s="302">
        <v>-25.334</v>
      </c>
      <c r="AC793" s="302">
        <v>-47.639000000000003</v>
      </c>
      <c r="AD793" s="122">
        <f t="shared" ref="AD793:AD799" si="605">AE793</f>
        <v>-54.551000000000002</v>
      </c>
      <c r="AE793" s="403">
        <v>-54.551000000000002</v>
      </c>
      <c r="AF793" s="118"/>
      <c r="AG793" s="118"/>
      <c r="AH793" s="118"/>
      <c r="AI793" s="122">
        <f t="shared" ref="AI793:AI799" si="606">AJ793</f>
        <v>-99.001999999999995</v>
      </c>
      <c r="AJ793" s="403">
        <v>-99.001999999999995</v>
      </c>
      <c r="AK793" s="118"/>
      <c r="AL793" s="118"/>
      <c r="AM793" s="118"/>
      <c r="AN793" s="122">
        <f t="shared" ref="AN793:AN799" si="607">AO793</f>
        <v>-553.85799999999995</v>
      </c>
      <c r="AO793" s="403">
        <v>-553.85799999999995</v>
      </c>
      <c r="AP793" s="118"/>
      <c r="AQ793" s="118"/>
      <c r="AR793" s="302">
        <v>-19.994</v>
      </c>
      <c r="AS793" s="122">
        <f t="shared" ref="AS793:AS799" si="608">AT793</f>
        <v>-481.67</v>
      </c>
      <c r="AT793" s="403">
        <v>-481.67</v>
      </c>
      <c r="AU793" s="302">
        <v>-340.32799999999997</v>
      </c>
      <c r="AV793" s="302">
        <v>-612.62699999999995</v>
      </c>
      <c r="AW793" s="302">
        <v>-774.70799999999997</v>
      </c>
      <c r="AX793" s="122">
        <f t="shared" ref="AX793:AX799" si="609">AY793</f>
        <v>-989</v>
      </c>
      <c r="AY793" s="403">
        <v>-989</v>
      </c>
      <c r="AZ793" s="302">
        <v>-226</v>
      </c>
      <c r="BA793" s="302">
        <v>-402</v>
      </c>
      <c r="BB793" s="302">
        <v>-420</v>
      </c>
      <c r="BC793" s="122">
        <f t="shared" ref="BC793:BC799" si="610">BD793</f>
        <v>-430</v>
      </c>
      <c r="BD793" s="403">
        <v>-430</v>
      </c>
      <c r="BE793" s="118"/>
      <c r="BF793" s="118"/>
      <c r="BG793" s="302">
        <v>-4</v>
      </c>
      <c r="BH793" s="122">
        <f t="shared" ref="BH793:BH799" si="611">BI793</f>
        <v>-36</v>
      </c>
      <c r="BI793" s="403">
        <v>-36</v>
      </c>
      <c r="BJ793" s="1207">
        <v>-36</v>
      </c>
      <c r="BK793" s="118"/>
      <c r="BL793" s="118"/>
      <c r="BM793" s="118">
        <f t="shared" ref="BM793:BM799" si="612">BN793</f>
        <v>0</v>
      </c>
      <c r="BN793" s="401"/>
      <c r="BO793" s="118"/>
      <c r="BP793" s="118"/>
      <c r="BQ793" s="118"/>
      <c r="BR793" s="118">
        <f t="shared" ref="BR793:BR799" si="613">BS793</f>
        <v>0</v>
      </c>
      <c r="BS793" s="401"/>
      <c r="BT793" s="401"/>
      <c r="BU793" s="401"/>
      <c r="BV793" s="401"/>
      <c r="BW793" s="122"/>
    </row>
    <row r="794" spans="1:75" hidden="1" outlineLevel="1" x14ac:dyDescent="0.5">
      <c r="A794" s="464" t="s">
        <v>2650</v>
      </c>
      <c r="B794" s="513"/>
      <c r="C794" s="401"/>
      <c r="D794" s="401"/>
      <c r="E794" s="401"/>
      <c r="F794" s="403">
        <v>58.064999999999998</v>
      </c>
      <c r="G794" s="302">
        <v>2.984</v>
      </c>
      <c r="H794" s="302">
        <v>22.997</v>
      </c>
      <c r="I794" s="302">
        <v>22.963000000000001</v>
      </c>
      <c r="J794" s="302">
        <v>65.998000000000005</v>
      </c>
      <c r="K794" s="403">
        <v>65.998000000000005</v>
      </c>
      <c r="L794" s="302">
        <v>9.9789999999999992</v>
      </c>
      <c r="M794" s="302">
        <v>50.002000000000002</v>
      </c>
      <c r="N794" s="302">
        <v>59.963999999999999</v>
      </c>
      <c r="O794" s="122">
        <f t="shared" si="603"/>
        <v>125.01900000000001</v>
      </c>
      <c r="P794" s="403">
        <v>125.01900000000001</v>
      </c>
      <c r="Q794" s="302">
        <v>10</v>
      </c>
      <c r="R794" s="302">
        <v>37</v>
      </c>
      <c r="S794" s="302">
        <v>78.715000000000003</v>
      </c>
      <c r="T794" s="302">
        <v>133.596</v>
      </c>
      <c r="U794" s="403">
        <v>133.596</v>
      </c>
      <c r="V794" s="302">
        <v>29.62</v>
      </c>
      <c r="W794" s="302">
        <v>67.894999999999996</v>
      </c>
      <c r="X794" s="302">
        <v>82.06</v>
      </c>
      <c r="Y794" s="122">
        <f t="shared" si="604"/>
        <v>119.81</v>
      </c>
      <c r="Z794" s="403">
        <v>119.81</v>
      </c>
      <c r="AA794" s="302">
        <v>18.274999999999999</v>
      </c>
      <c r="AB794" s="302">
        <v>46.034999999999997</v>
      </c>
      <c r="AC794" s="302">
        <v>60.54</v>
      </c>
      <c r="AD794" s="122">
        <f t="shared" si="605"/>
        <v>71.094999999999999</v>
      </c>
      <c r="AE794" s="403">
        <v>71.094999999999999</v>
      </c>
      <c r="AF794" s="302">
        <v>11.39</v>
      </c>
      <c r="AG794" s="302">
        <v>26.646000000000001</v>
      </c>
      <c r="AH794" s="302">
        <v>45.954999999999998</v>
      </c>
      <c r="AI794" s="122">
        <f t="shared" si="606"/>
        <v>61.067999999999998</v>
      </c>
      <c r="AJ794" s="403">
        <v>61.067999999999998</v>
      </c>
      <c r="AK794" s="302">
        <v>37.936</v>
      </c>
      <c r="AL794" s="302">
        <v>82.164000000000001</v>
      </c>
      <c r="AM794" s="302">
        <v>115.468</v>
      </c>
      <c r="AN794" s="122">
        <f t="shared" si="607"/>
        <v>115.468</v>
      </c>
      <c r="AO794" s="403">
        <v>115.468</v>
      </c>
      <c r="AP794" s="302">
        <v>294.81</v>
      </c>
      <c r="AQ794" s="302">
        <v>368.31</v>
      </c>
      <c r="AR794" s="302">
        <v>466.31</v>
      </c>
      <c r="AS794" s="122">
        <f t="shared" si="608"/>
        <v>580.15300000000002</v>
      </c>
      <c r="AT794" s="403">
        <v>580.15300000000002</v>
      </c>
      <c r="AU794" s="302">
        <v>193.40299999999999</v>
      </c>
      <c r="AV794" s="302">
        <v>550.13099999999997</v>
      </c>
      <c r="AW794" s="302">
        <v>701.09100000000001</v>
      </c>
      <c r="AX794" s="122">
        <f t="shared" si="609"/>
        <v>749</v>
      </c>
      <c r="AY794" s="403">
        <v>749</v>
      </c>
      <c r="AZ794" s="302">
        <v>130</v>
      </c>
      <c r="BA794" s="302">
        <v>447</v>
      </c>
      <c r="BB794" s="302">
        <v>550</v>
      </c>
      <c r="BC794" s="122">
        <f t="shared" si="610"/>
        <v>889</v>
      </c>
      <c r="BD794" s="403">
        <v>889</v>
      </c>
      <c r="BE794" s="302">
        <v>151</v>
      </c>
      <c r="BF794" s="302">
        <v>225</v>
      </c>
      <c r="BG794" s="302">
        <v>229</v>
      </c>
      <c r="BH794" s="122">
        <f t="shared" si="611"/>
        <v>233</v>
      </c>
      <c r="BI794" s="403">
        <v>233</v>
      </c>
      <c r="BJ794" s="1207">
        <v>15</v>
      </c>
      <c r="BK794" s="118"/>
      <c r="BL794" s="118"/>
      <c r="BM794" s="118">
        <f t="shared" si="612"/>
        <v>0</v>
      </c>
      <c r="BN794" s="401"/>
      <c r="BO794" s="118"/>
      <c r="BP794" s="118"/>
      <c r="BQ794" s="118"/>
      <c r="BR794" s="118">
        <f t="shared" si="613"/>
        <v>0</v>
      </c>
      <c r="BS794" s="401"/>
      <c r="BT794" s="401"/>
      <c r="BU794" s="401"/>
      <c r="BV794" s="401"/>
      <c r="BW794" s="122"/>
    </row>
    <row r="795" spans="1:75" hidden="1" outlineLevel="1" x14ac:dyDescent="0.5">
      <c r="A795" s="464" t="s">
        <v>2313</v>
      </c>
      <c r="B795" s="513"/>
      <c r="C795" s="401"/>
      <c r="D795" s="401"/>
      <c r="E795" s="401"/>
      <c r="F795" s="403">
        <v>-8.0310000000000006</v>
      </c>
      <c r="G795" s="302">
        <v>-2.2360000000000002</v>
      </c>
      <c r="H795" s="302">
        <v>-3.3010000000000002</v>
      </c>
      <c r="I795" s="302">
        <v>-4.4210000000000003</v>
      </c>
      <c r="J795" s="302">
        <v>-6.7389999999999999</v>
      </c>
      <c r="K795" s="403">
        <v>-6.7389999999999999</v>
      </c>
      <c r="L795" s="302">
        <v>-11.356999999999999</v>
      </c>
      <c r="M795" s="302">
        <v>-24.331</v>
      </c>
      <c r="N795" s="302">
        <v>-31.167999999999999</v>
      </c>
      <c r="O795" s="122">
        <f t="shared" si="603"/>
        <v>-31.855</v>
      </c>
      <c r="P795" s="403">
        <v>-31.855</v>
      </c>
      <c r="Q795" s="302">
        <v>-12.051</v>
      </c>
      <c r="R795" s="302">
        <v>-25.204000000000001</v>
      </c>
      <c r="S795" s="302">
        <v>-36.695</v>
      </c>
      <c r="T795" s="302">
        <v>-44.648000000000003</v>
      </c>
      <c r="U795" s="403">
        <v>-44.648000000000003</v>
      </c>
      <c r="V795" s="302">
        <v>-23.927</v>
      </c>
      <c r="W795" s="302">
        <v>-61.436</v>
      </c>
      <c r="X795" s="302">
        <v>-81.843999999999994</v>
      </c>
      <c r="Y795" s="122">
        <f t="shared" si="604"/>
        <v>-96.706999999999994</v>
      </c>
      <c r="Z795" s="403">
        <v>-96.706999999999994</v>
      </c>
      <c r="AA795" s="302">
        <v>-11.952</v>
      </c>
      <c r="AB795" s="302">
        <v>-45.548000000000002</v>
      </c>
      <c r="AC795" s="302">
        <v>-76.528000000000006</v>
      </c>
      <c r="AD795" s="122">
        <f t="shared" si="605"/>
        <v>-100.45099999999999</v>
      </c>
      <c r="AE795" s="403">
        <v>-100.45099999999999</v>
      </c>
      <c r="AF795" s="302">
        <v>-21.363</v>
      </c>
      <c r="AG795" s="302">
        <v>-61.093000000000004</v>
      </c>
      <c r="AH795" s="302">
        <v>-110.504</v>
      </c>
      <c r="AI795" s="122">
        <f t="shared" si="606"/>
        <v>-159.20500000000001</v>
      </c>
      <c r="AJ795" s="403">
        <v>-159.20500000000001</v>
      </c>
      <c r="AK795" s="302">
        <v>-60.625999999999998</v>
      </c>
      <c r="AL795" s="302">
        <v>-115.34</v>
      </c>
      <c r="AM795" s="302">
        <v>-183.96799999999999</v>
      </c>
      <c r="AN795" s="122">
        <f t="shared" si="607"/>
        <v>-271.74200000000002</v>
      </c>
      <c r="AO795" s="403">
        <v>-271.74200000000002</v>
      </c>
      <c r="AP795" s="302">
        <v>-59.963999999999999</v>
      </c>
      <c r="AQ795" s="302">
        <v>-104.81</v>
      </c>
      <c r="AR795" s="302">
        <v>-146.303</v>
      </c>
      <c r="AS795" s="122">
        <f t="shared" si="608"/>
        <v>-186.04</v>
      </c>
      <c r="AT795" s="403">
        <v>-186.04</v>
      </c>
      <c r="AU795" s="302">
        <v>-24.448</v>
      </c>
      <c r="AV795" s="302">
        <v>-49.072000000000003</v>
      </c>
      <c r="AW795" s="302">
        <v>-77.593000000000004</v>
      </c>
      <c r="AX795" s="122">
        <f t="shared" si="609"/>
        <v>-101</v>
      </c>
      <c r="AY795" s="403">
        <v>-101</v>
      </c>
      <c r="AZ795" s="302">
        <v>-40</v>
      </c>
      <c r="BA795" s="302">
        <v>-93</v>
      </c>
      <c r="BB795" s="302">
        <v>-136</v>
      </c>
      <c r="BC795" s="122">
        <f t="shared" si="610"/>
        <v>-186</v>
      </c>
      <c r="BD795" s="403">
        <v>-186</v>
      </c>
      <c r="BE795" s="302">
        <v>-34</v>
      </c>
      <c r="BF795" s="302">
        <v>-71</v>
      </c>
      <c r="BG795" s="302">
        <v>-101</v>
      </c>
      <c r="BH795" s="122">
        <f t="shared" si="611"/>
        <v>-148</v>
      </c>
      <c r="BI795" s="403">
        <v>-148</v>
      </c>
      <c r="BJ795" s="1207">
        <v>-13</v>
      </c>
      <c r="BK795" s="118"/>
      <c r="BL795" s="118"/>
      <c r="BM795" s="118">
        <f t="shared" si="612"/>
        <v>0</v>
      </c>
      <c r="BN795" s="401"/>
      <c r="BO795" s="118"/>
      <c r="BP795" s="118"/>
      <c r="BQ795" s="118"/>
      <c r="BR795" s="118">
        <f t="shared" si="613"/>
        <v>0</v>
      </c>
      <c r="BS795" s="401"/>
      <c r="BT795" s="401"/>
      <c r="BU795" s="401"/>
      <c r="BV795" s="401"/>
      <c r="BW795" s="122"/>
    </row>
    <row r="796" spans="1:75" hidden="1" outlineLevel="1" x14ac:dyDescent="0.5">
      <c r="A796" s="464" t="s">
        <v>2314</v>
      </c>
      <c r="B796" s="513"/>
      <c r="C796" s="401"/>
      <c r="D796" s="401"/>
      <c r="E796" s="401"/>
      <c r="F796" s="403">
        <v>-6.9489999999999998</v>
      </c>
      <c r="G796" s="302">
        <v>-1.996</v>
      </c>
      <c r="H796" s="302">
        <v>-4.0670000000000002</v>
      </c>
      <c r="I796" s="302">
        <v>-6.4119999999999999</v>
      </c>
      <c r="J796" s="302">
        <v>-9.0399999999999991</v>
      </c>
      <c r="K796" s="403">
        <v>-9.0399999999999991</v>
      </c>
      <c r="L796" s="302">
        <v>-2.7170000000000001</v>
      </c>
      <c r="M796" s="302">
        <v>-6.1479999999999997</v>
      </c>
      <c r="N796" s="302">
        <v>-10.643000000000001</v>
      </c>
      <c r="O796" s="122">
        <f t="shared" si="603"/>
        <v>-14.13</v>
      </c>
      <c r="P796" s="403">
        <v>-14.13</v>
      </c>
      <c r="Q796" s="302">
        <v>-4.1150000000000002</v>
      </c>
      <c r="R796" s="302">
        <v>-8.4260000000000002</v>
      </c>
      <c r="S796" s="302">
        <v>-13.106999999999999</v>
      </c>
      <c r="T796" s="302">
        <v>-17.536000000000001</v>
      </c>
      <c r="U796" s="403">
        <v>-17.536000000000001</v>
      </c>
      <c r="V796" s="302">
        <v>-5.4509999999999996</v>
      </c>
      <c r="W796" s="302">
        <v>-12.263</v>
      </c>
      <c r="X796" s="302">
        <v>-21.443999999999999</v>
      </c>
      <c r="Y796" s="122">
        <f t="shared" si="604"/>
        <v>-31.379000000000001</v>
      </c>
      <c r="Z796" s="403">
        <v>-31.379000000000001</v>
      </c>
      <c r="AA796" s="302">
        <v>-10.92</v>
      </c>
      <c r="AB796" s="302">
        <v>-22.65</v>
      </c>
      <c r="AC796" s="302">
        <v>-34.884999999999998</v>
      </c>
      <c r="AD796" s="122">
        <f t="shared" si="605"/>
        <v>-46.427999999999997</v>
      </c>
      <c r="AE796" s="403">
        <v>-46.427999999999997</v>
      </c>
      <c r="AF796" s="302">
        <v>-13.154</v>
      </c>
      <c r="AG796" s="302">
        <v>-28.573</v>
      </c>
      <c r="AH796" s="302">
        <v>-45.768999999999998</v>
      </c>
      <c r="AI796" s="122">
        <f t="shared" si="606"/>
        <v>-62.75</v>
      </c>
      <c r="AJ796" s="403">
        <v>-62.75</v>
      </c>
      <c r="AK796" s="302">
        <v>-24.843</v>
      </c>
      <c r="AL796" s="302">
        <v>-58.866</v>
      </c>
      <c r="AM796" s="302">
        <v>-94.697000000000003</v>
      </c>
      <c r="AN796" s="122">
        <f t="shared" si="607"/>
        <v>-129.13800000000001</v>
      </c>
      <c r="AO796" s="403">
        <v>-129.13800000000001</v>
      </c>
      <c r="AP796" s="302">
        <v>-38.369</v>
      </c>
      <c r="AQ796" s="302">
        <v>-75.171999999999997</v>
      </c>
      <c r="AR796" s="302">
        <v>-109.678</v>
      </c>
      <c r="AS796" s="122">
        <f t="shared" si="608"/>
        <v>-148.39400000000001</v>
      </c>
      <c r="AT796" s="403">
        <v>-148.39400000000001</v>
      </c>
      <c r="AU796" s="302">
        <v>-40.957999999999998</v>
      </c>
      <c r="AV796" s="302">
        <v>-84.835999999999999</v>
      </c>
      <c r="AW796" s="302">
        <v>-128.63399999999999</v>
      </c>
      <c r="AX796" s="122">
        <f t="shared" si="609"/>
        <v>-179</v>
      </c>
      <c r="AY796" s="403">
        <v>-179</v>
      </c>
      <c r="AZ796" s="302">
        <v>-65</v>
      </c>
      <c r="BA796" s="302">
        <v>-141</v>
      </c>
      <c r="BB796" s="302">
        <v>-205</v>
      </c>
      <c r="BC796" s="122">
        <f t="shared" si="610"/>
        <v>-272</v>
      </c>
      <c r="BD796" s="403">
        <v>-272</v>
      </c>
      <c r="BE796" s="302">
        <v>-53</v>
      </c>
      <c r="BF796" s="302">
        <v>-105</v>
      </c>
      <c r="BG796" s="302">
        <v>-154</v>
      </c>
      <c r="BH796" s="122">
        <f t="shared" si="611"/>
        <v>-203</v>
      </c>
      <c r="BI796" s="403">
        <v>-203</v>
      </c>
      <c r="BJ796" s="1207">
        <v>-41</v>
      </c>
      <c r="BK796" s="118"/>
      <c r="BL796" s="118"/>
      <c r="BM796" s="118">
        <f t="shared" si="612"/>
        <v>0</v>
      </c>
      <c r="BN796" s="401"/>
      <c r="BO796" s="118"/>
      <c r="BP796" s="118"/>
      <c r="BQ796" s="118"/>
      <c r="BR796" s="118">
        <f t="shared" si="613"/>
        <v>0</v>
      </c>
      <c r="BS796" s="401"/>
      <c r="BT796" s="401"/>
      <c r="BU796" s="401"/>
      <c r="BV796" s="401"/>
      <c r="BW796" s="122"/>
    </row>
    <row r="797" spans="1:75" hidden="1" outlineLevel="1" x14ac:dyDescent="0.5">
      <c r="A797" s="464" t="s">
        <v>2651</v>
      </c>
      <c r="B797" s="513"/>
      <c r="C797" s="401"/>
      <c r="D797" s="401"/>
      <c r="E797" s="401"/>
      <c r="F797" s="403">
        <v>0</v>
      </c>
      <c r="G797" s="118"/>
      <c r="H797" s="118"/>
      <c r="I797" s="118"/>
      <c r="J797" s="302">
        <v>0</v>
      </c>
      <c r="K797" s="401"/>
      <c r="L797" s="118"/>
      <c r="M797" s="118"/>
      <c r="N797" s="302">
        <v>0</v>
      </c>
      <c r="O797" s="122">
        <f t="shared" si="603"/>
        <v>0</v>
      </c>
      <c r="P797" s="403">
        <v>0</v>
      </c>
      <c r="Q797" s="118"/>
      <c r="R797" s="118"/>
      <c r="S797" s="302">
        <v>2.86</v>
      </c>
      <c r="T797" s="302">
        <v>2.86</v>
      </c>
      <c r="U797" s="403">
        <v>2.86</v>
      </c>
      <c r="V797" s="118"/>
      <c r="W797" s="118"/>
      <c r="X797" s="302">
        <v>1.508</v>
      </c>
      <c r="Y797" s="122">
        <f t="shared" si="604"/>
        <v>1.508</v>
      </c>
      <c r="Z797" s="403">
        <v>1.508</v>
      </c>
      <c r="AA797" s="302">
        <v>0</v>
      </c>
      <c r="AB797" s="118"/>
      <c r="AC797" s="118"/>
      <c r="AD797" s="122">
        <f t="shared" si="605"/>
        <v>0</v>
      </c>
      <c r="AE797" s="403">
        <v>0</v>
      </c>
      <c r="AF797" s="118"/>
      <c r="AG797" s="118"/>
      <c r="AH797" s="118"/>
      <c r="AI797" s="122">
        <f t="shared" si="606"/>
        <v>0</v>
      </c>
      <c r="AJ797" s="401"/>
      <c r="AK797" s="118"/>
      <c r="AL797" s="118"/>
      <c r="AM797" s="118"/>
      <c r="AN797" s="122">
        <f t="shared" si="607"/>
        <v>0</v>
      </c>
      <c r="AO797" s="401"/>
      <c r="AP797" s="118"/>
      <c r="AQ797" s="118"/>
      <c r="AR797" s="118"/>
      <c r="AS797" s="122">
        <f t="shared" si="608"/>
        <v>0</v>
      </c>
      <c r="AT797" s="401"/>
      <c r="AU797" s="118"/>
      <c r="AV797" s="118"/>
      <c r="AW797" s="118"/>
      <c r="AX797" s="122">
        <f t="shared" si="609"/>
        <v>0</v>
      </c>
      <c r="AY797" s="401"/>
      <c r="AZ797" s="118"/>
      <c r="BA797" s="118"/>
      <c r="BB797" s="118"/>
      <c r="BC797" s="122">
        <f t="shared" si="610"/>
        <v>0</v>
      </c>
      <c r="BD797" s="401"/>
      <c r="BE797" s="118"/>
      <c r="BF797" s="118"/>
      <c r="BG797" s="118"/>
      <c r="BH797" s="122">
        <f t="shared" si="611"/>
        <v>0</v>
      </c>
      <c r="BI797" s="401"/>
      <c r="BJ797" s="971"/>
      <c r="BK797" s="118"/>
      <c r="BL797" s="118"/>
      <c r="BM797" s="118">
        <f t="shared" si="612"/>
        <v>0</v>
      </c>
      <c r="BN797" s="401"/>
      <c r="BO797" s="118"/>
      <c r="BP797" s="118"/>
      <c r="BQ797" s="118"/>
      <c r="BR797" s="118">
        <f t="shared" si="613"/>
        <v>0</v>
      </c>
      <c r="BS797" s="401"/>
      <c r="BT797" s="401"/>
      <c r="BU797" s="401"/>
      <c r="BV797" s="401"/>
      <c r="BW797" s="122"/>
    </row>
    <row r="798" spans="1:75" hidden="1" outlineLevel="1" x14ac:dyDescent="0.5">
      <c r="A798" s="464" t="s">
        <v>2652</v>
      </c>
      <c r="B798" s="513"/>
      <c r="C798" s="401"/>
      <c r="D798" s="401"/>
      <c r="E798" s="401"/>
      <c r="F798" s="403">
        <v>0</v>
      </c>
      <c r="G798" s="118"/>
      <c r="H798" s="118"/>
      <c r="I798" s="302">
        <v>-3.7410000000000001</v>
      </c>
      <c r="J798" s="302">
        <v>-3.7410000000000001</v>
      </c>
      <c r="K798" s="403">
        <v>-3.7410000000000001</v>
      </c>
      <c r="L798" s="118"/>
      <c r="M798" s="118"/>
      <c r="N798" s="118"/>
      <c r="O798" s="122">
        <f t="shared" si="603"/>
        <v>0</v>
      </c>
      <c r="P798" s="403">
        <v>0</v>
      </c>
      <c r="Q798" s="118"/>
      <c r="R798" s="118"/>
      <c r="S798" s="118"/>
      <c r="T798" s="302">
        <v>0</v>
      </c>
      <c r="U798" s="403">
        <v>0</v>
      </c>
      <c r="V798" s="118"/>
      <c r="W798" s="118"/>
      <c r="X798" s="118"/>
      <c r="Y798" s="122">
        <f t="shared" si="604"/>
        <v>0</v>
      </c>
      <c r="Z798" s="401"/>
      <c r="AA798" s="302">
        <v>0</v>
      </c>
      <c r="AB798" s="118"/>
      <c r="AC798" s="118"/>
      <c r="AD798" s="122">
        <f t="shared" si="605"/>
        <v>0</v>
      </c>
      <c r="AE798" s="401"/>
      <c r="AF798" s="118"/>
      <c r="AG798" s="118"/>
      <c r="AH798" s="118"/>
      <c r="AI798" s="122">
        <f t="shared" si="606"/>
        <v>0</v>
      </c>
      <c r="AJ798" s="401"/>
      <c r="AK798" s="118"/>
      <c r="AL798" s="118"/>
      <c r="AM798" s="118"/>
      <c r="AN798" s="122">
        <f t="shared" si="607"/>
        <v>0</v>
      </c>
      <c r="AO798" s="401"/>
      <c r="AP798" s="118"/>
      <c r="AQ798" s="118"/>
      <c r="AR798" s="118"/>
      <c r="AS798" s="122">
        <f t="shared" si="608"/>
        <v>0</v>
      </c>
      <c r="AT798" s="401"/>
      <c r="AU798" s="118"/>
      <c r="AV798" s="118"/>
      <c r="AW798" s="118"/>
      <c r="AX798" s="122">
        <f t="shared" si="609"/>
        <v>0</v>
      </c>
      <c r="AY798" s="401"/>
      <c r="AZ798" s="118"/>
      <c r="BA798" s="118"/>
      <c r="BB798" s="118"/>
      <c r="BC798" s="122">
        <f t="shared" si="610"/>
        <v>0</v>
      </c>
      <c r="BD798" s="401"/>
      <c r="BE798" s="118"/>
      <c r="BF798" s="118"/>
      <c r="BG798" s="118"/>
      <c r="BH798" s="122">
        <f t="shared" si="611"/>
        <v>0</v>
      </c>
      <c r="BI798" s="401"/>
      <c r="BJ798" s="971"/>
      <c r="BK798" s="118"/>
      <c r="BL798" s="118"/>
      <c r="BM798" s="118">
        <f t="shared" si="612"/>
        <v>0</v>
      </c>
      <c r="BN798" s="401"/>
      <c r="BO798" s="118"/>
      <c r="BP798" s="118"/>
      <c r="BQ798" s="118"/>
      <c r="BR798" s="118">
        <f t="shared" si="613"/>
        <v>0</v>
      </c>
      <c r="BS798" s="401"/>
      <c r="BT798" s="401"/>
      <c r="BU798" s="401"/>
      <c r="BV798" s="401"/>
      <c r="BW798" s="122"/>
    </row>
    <row r="799" spans="1:75" hidden="1" outlineLevel="1" x14ac:dyDescent="0.5">
      <c r="A799" s="464" t="s">
        <v>2653</v>
      </c>
      <c r="B799" s="513"/>
      <c r="C799" s="401"/>
      <c r="D799" s="401"/>
      <c r="E799" s="401"/>
      <c r="F799" s="403">
        <v>-0.1</v>
      </c>
      <c r="G799" s="118"/>
      <c r="H799" s="118"/>
      <c r="I799" s="302">
        <v>-8.5999999999999993E-2</v>
      </c>
      <c r="J799" s="302">
        <v>-0.46899999999999997</v>
      </c>
      <c r="K799" s="403">
        <v>-0.46899999999999997</v>
      </c>
      <c r="L799" s="302">
        <v>-3.407</v>
      </c>
      <c r="M799" s="302">
        <v>-3.012</v>
      </c>
      <c r="N799" s="302">
        <v>-3.0150000000000001</v>
      </c>
      <c r="O799" s="122">
        <f t="shared" si="603"/>
        <v>0.53100000000000003</v>
      </c>
      <c r="P799" s="403">
        <v>0.53100000000000003</v>
      </c>
      <c r="Q799" s="302">
        <v>0.30199999999999999</v>
      </c>
      <c r="R799" s="302">
        <v>0.30199999999999999</v>
      </c>
      <c r="S799" s="302">
        <v>0.30199999999999999</v>
      </c>
      <c r="T799" s="302">
        <v>-4.6970000000000001</v>
      </c>
      <c r="U799" s="403">
        <v>-4.6970000000000001</v>
      </c>
      <c r="V799" s="302">
        <v>0</v>
      </c>
      <c r="W799" s="118"/>
      <c r="X799" s="302">
        <v>-1</v>
      </c>
      <c r="Y799" s="122">
        <f t="shared" si="604"/>
        <v>-1</v>
      </c>
      <c r="Z799" s="403">
        <v>-1</v>
      </c>
      <c r="AA799" s="302">
        <v>0</v>
      </c>
      <c r="AB799" s="118"/>
      <c r="AC799" s="118"/>
      <c r="AD799" s="122">
        <f t="shared" si="605"/>
        <v>0</v>
      </c>
      <c r="AE799" s="403">
        <v>0</v>
      </c>
      <c r="AF799" s="302">
        <v>-0.26700000000000002</v>
      </c>
      <c r="AG799" s="302">
        <v>-0.26700000000000002</v>
      </c>
      <c r="AH799" s="302">
        <v>-0.39900000000000002</v>
      </c>
      <c r="AI799" s="122">
        <f t="shared" si="606"/>
        <v>-0.39800000000000002</v>
      </c>
      <c r="AJ799" s="403">
        <v>-0.39800000000000002</v>
      </c>
      <c r="AK799" s="357">
        <v>2.8380000000000001</v>
      </c>
      <c r="AL799" s="357">
        <v>2.7730000000000001</v>
      </c>
      <c r="AM799" s="357">
        <v>-15.977</v>
      </c>
      <c r="AN799" s="122">
        <f t="shared" si="607"/>
        <v>-15.567</v>
      </c>
      <c r="AO799" s="403">
        <v>-15.567</v>
      </c>
      <c r="AP799" s="357">
        <v>-0.124</v>
      </c>
      <c r="AQ799" s="357">
        <v>-0.124</v>
      </c>
      <c r="AR799" s="357">
        <v>-0.124</v>
      </c>
      <c r="AS799" s="122">
        <f t="shared" si="608"/>
        <v>-0.124</v>
      </c>
      <c r="AT799" s="403">
        <v>-0.124</v>
      </c>
      <c r="AU799" s="723"/>
      <c r="AV799" s="723"/>
      <c r="AW799" s="357">
        <v>5.2</v>
      </c>
      <c r="AX799" s="122">
        <f t="shared" si="609"/>
        <v>5</v>
      </c>
      <c r="AY799" s="403">
        <v>5</v>
      </c>
      <c r="AZ799" s="723"/>
      <c r="BA799" s="723"/>
      <c r="BB799" s="723"/>
      <c r="BC799" s="122">
        <f t="shared" si="610"/>
        <v>0</v>
      </c>
      <c r="BD799" s="403">
        <v>0</v>
      </c>
      <c r="BE799" s="723"/>
      <c r="BF799" s="723"/>
      <c r="BG799" s="723"/>
      <c r="BH799" s="122">
        <f t="shared" si="611"/>
        <v>2</v>
      </c>
      <c r="BI799" s="403">
        <v>2</v>
      </c>
      <c r="BJ799" s="1049"/>
      <c r="BK799" s="118"/>
      <c r="BL799" s="118"/>
      <c r="BM799" s="118">
        <f t="shared" si="612"/>
        <v>0</v>
      </c>
      <c r="BN799" s="401"/>
      <c r="BO799" s="118"/>
      <c r="BP799" s="118"/>
      <c r="BQ799" s="118"/>
      <c r="BR799" s="118">
        <f t="shared" si="613"/>
        <v>0</v>
      </c>
      <c r="BS799" s="401"/>
      <c r="BT799" s="401"/>
      <c r="BU799" s="401"/>
      <c r="BV799" s="401"/>
      <c r="BW799" s="122"/>
    </row>
    <row r="800" spans="1:75" hidden="1" outlineLevel="1" x14ac:dyDescent="0.5">
      <c r="A800" s="516" t="s">
        <v>1388</v>
      </c>
      <c r="B800" s="517"/>
      <c r="C800" s="518"/>
      <c r="D800" s="518"/>
      <c r="E800" s="518"/>
      <c r="F800" s="519">
        <f t="shared" ref="F800:BQ800" si="614">SUM(F793:F799)</f>
        <v>-23.08</v>
      </c>
      <c r="G800" s="520">
        <f t="shared" si="614"/>
        <v>-1.2480000000000002</v>
      </c>
      <c r="H800" s="520">
        <f t="shared" si="614"/>
        <v>-24.371000000000002</v>
      </c>
      <c r="I800" s="520">
        <f t="shared" si="614"/>
        <v>-31.696999999999996</v>
      </c>
      <c r="J800" s="520">
        <f t="shared" si="614"/>
        <v>-46.990999999999993</v>
      </c>
      <c r="K800" s="519">
        <f t="shared" si="614"/>
        <v>-46.990999999999993</v>
      </c>
      <c r="L800" s="520">
        <f t="shared" si="614"/>
        <v>-17.502000000000002</v>
      </c>
      <c r="M800" s="520">
        <f t="shared" si="614"/>
        <v>-48.48899999999999</v>
      </c>
      <c r="N800" s="520">
        <f t="shared" si="614"/>
        <v>-94.862000000000009</v>
      </c>
      <c r="O800" s="520">
        <f t="shared" si="614"/>
        <v>-55.435000000000002</v>
      </c>
      <c r="P800" s="519">
        <f t="shared" si="614"/>
        <v>-55.435000000000002</v>
      </c>
      <c r="Q800" s="520">
        <f t="shared" si="614"/>
        <v>-110.09699999999999</v>
      </c>
      <c r="R800" s="520">
        <f t="shared" si="614"/>
        <v>-104.63900000000001</v>
      </c>
      <c r="S800" s="520">
        <f t="shared" si="614"/>
        <v>-109.23399999999998</v>
      </c>
      <c r="T800" s="520">
        <f t="shared" si="614"/>
        <v>-137.72799999999998</v>
      </c>
      <c r="U800" s="519">
        <f t="shared" si="614"/>
        <v>-137.72799999999998</v>
      </c>
      <c r="V800" s="520">
        <f t="shared" si="614"/>
        <v>-28.247</v>
      </c>
      <c r="W800" s="520">
        <f t="shared" si="614"/>
        <v>-74.859000000000009</v>
      </c>
      <c r="X800" s="520">
        <f t="shared" si="614"/>
        <v>-97.177999999999997</v>
      </c>
      <c r="Y800" s="520">
        <f t="shared" si="614"/>
        <v>-95.88</v>
      </c>
      <c r="Z800" s="519">
        <f t="shared" si="614"/>
        <v>-95.88</v>
      </c>
      <c r="AA800" s="520">
        <f t="shared" si="614"/>
        <v>-20.822000000000003</v>
      </c>
      <c r="AB800" s="520">
        <f t="shared" si="614"/>
        <v>-47.497</v>
      </c>
      <c r="AC800" s="520">
        <f t="shared" si="614"/>
        <v>-98.512</v>
      </c>
      <c r="AD800" s="520">
        <f t="shared" si="614"/>
        <v>-130.33499999999998</v>
      </c>
      <c r="AE800" s="519">
        <f t="shared" si="614"/>
        <v>-130.33499999999998</v>
      </c>
      <c r="AF800" s="520">
        <f t="shared" si="614"/>
        <v>-23.393999999999998</v>
      </c>
      <c r="AG800" s="520">
        <f t="shared" si="614"/>
        <v>-63.287000000000006</v>
      </c>
      <c r="AH800" s="520">
        <f t="shared" si="614"/>
        <v>-110.71700000000001</v>
      </c>
      <c r="AI800" s="520">
        <f t="shared" si="614"/>
        <v>-260.28700000000003</v>
      </c>
      <c r="AJ800" s="519">
        <f t="shared" si="614"/>
        <v>-260.28700000000003</v>
      </c>
      <c r="AK800" s="520">
        <f t="shared" si="614"/>
        <v>-44.695</v>
      </c>
      <c r="AL800" s="520">
        <f t="shared" si="614"/>
        <v>-89.269000000000005</v>
      </c>
      <c r="AM800" s="520">
        <f t="shared" si="614"/>
        <v>-179.17400000000001</v>
      </c>
      <c r="AN800" s="520">
        <f t="shared" si="614"/>
        <v>-854.83699999999999</v>
      </c>
      <c r="AO800" s="519">
        <f t="shared" si="614"/>
        <v>-854.83699999999999</v>
      </c>
      <c r="AP800" s="520">
        <f t="shared" si="614"/>
        <v>196.35300000000001</v>
      </c>
      <c r="AQ800" s="520">
        <f t="shared" si="614"/>
        <v>188.20400000000001</v>
      </c>
      <c r="AR800" s="520">
        <f t="shared" si="614"/>
        <v>190.21100000000004</v>
      </c>
      <c r="AS800" s="520">
        <f t="shared" si="614"/>
        <v>-236.07499999999999</v>
      </c>
      <c r="AT800" s="519">
        <f t="shared" si="614"/>
        <v>-236.07499999999999</v>
      </c>
      <c r="AU800" s="520">
        <f t="shared" si="614"/>
        <v>-212.33099999999999</v>
      </c>
      <c r="AV800" s="520">
        <f t="shared" si="614"/>
        <v>-196.404</v>
      </c>
      <c r="AW800" s="520">
        <f t="shared" si="614"/>
        <v>-274.64399999999995</v>
      </c>
      <c r="AX800" s="520">
        <f t="shared" si="614"/>
        <v>-515</v>
      </c>
      <c r="AY800" s="519">
        <f t="shared" si="614"/>
        <v>-515</v>
      </c>
      <c r="AZ800" s="520">
        <f t="shared" si="614"/>
        <v>-201</v>
      </c>
      <c r="BA800" s="520">
        <f t="shared" si="614"/>
        <v>-189</v>
      </c>
      <c r="BB800" s="520">
        <f t="shared" si="614"/>
        <v>-211</v>
      </c>
      <c r="BC800" s="520">
        <f t="shared" si="614"/>
        <v>1</v>
      </c>
      <c r="BD800" s="519">
        <f t="shared" si="614"/>
        <v>1</v>
      </c>
      <c r="BE800" s="520">
        <f t="shared" si="614"/>
        <v>64</v>
      </c>
      <c r="BF800" s="520">
        <f t="shared" si="614"/>
        <v>49</v>
      </c>
      <c r="BG800" s="520">
        <f t="shared" si="614"/>
        <v>-30</v>
      </c>
      <c r="BH800" s="520">
        <f t="shared" si="614"/>
        <v>-152</v>
      </c>
      <c r="BI800" s="519">
        <f t="shared" si="614"/>
        <v>-152</v>
      </c>
      <c r="BJ800" s="1270">
        <f>SUM(BJ793:BJ799)</f>
        <v>-75</v>
      </c>
      <c r="BK800" s="327">
        <f t="shared" si="614"/>
        <v>0</v>
      </c>
      <c r="BL800" s="327">
        <f t="shared" si="614"/>
        <v>0</v>
      </c>
      <c r="BM800" s="327">
        <f t="shared" si="614"/>
        <v>0</v>
      </c>
      <c r="BN800" s="518">
        <f t="shared" si="614"/>
        <v>0</v>
      </c>
      <c r="BO800" s="327">
        <f t="shared" si="614"/>
        <v>0</v>
      </c>
      <c r="BP800" s="327">
        <f t="shared" si="614"/>
        <v>0</v>
      </c>
      <c r="BQ800" s="327">
        <f t="shared" si="614"/>
        <v>0</v>
      </c>
      <c r="BR800" s="327">
        <f t="shared" ref="BR800:BY800" si="615">SUM(BR793:BR799)</f>
        <v>0</v>
      </c>
      <c r="BS800" s="518">
        <f t="shared" si="615"/>
        <v>0</v>
      </c>
      <c r="BT800" s="518">
        <f t="shared" si="615"/>
        <v>0</v>
      </c>
      <c r="BU800" s="518">
        <f t="shared" si="615"/>
        <v>0</v>
      </c>
      <c r="BV800" s="518">
        <f t="shared" si="615"/>
        <v>0</v>
      </c>
      <c r="BW800" s="197"/>
    </row>
    <row r="801" spans="1:75" hidden="1" outlineLevel="1" x14ac:dyDescent="0.5">
      <c r="A801" s="206"/>
      <c r="B801" s="522"/>
      <c r="C801" s="397"/>
      <c r="D801" s="397"/>
      <c r="E801" s="397"/>
      <c r="F801" s="397"/>
      <c r="G801" s="295"/>
      <c r="H801" s="295"/>
      <c r="I801" s="295"/>
      <c r="J801" s="295"/>
      <c r="K801" s="397"/>
      <c r="L801" s="295"/>
      <c r="M801" s="295"/>
      <c r="N801" s="295"/>
      <c r="O801" s="295"/>
      <c r="P801" s="397"/>
      <c r="Q801" s="295"/>
      <c r="R801" s="295"/>
      <c r="S801" s="295"/>
      <c r="T801" s="295"/>
      <c r="U801" s="397"/>
      <c r="V801" s="295"/>
      <c r="W801" s="295"/>
      <c r="X801" s="295"/>
      <c r="Y801" s="295"/>
      <c r="Z801" s="397"/>
      <c r="AA801" s="295"/>
      <c r="AB801" s="295"/>
      <c r="AC801" s="295"/>
      <c r="AD801" s="295"/>
      <c r="AE801" s="397"/>
      <c r="AF801" s="295"/>
      <c r="AG801" s="295"/>
      <c r="AH801" s="295"/>
      <c r="AI801" s="295"/>
      <c r="AJ801" s="397"/>
      <c r="AK801" s="295"/>
      <c r="AL801" s="295"/>
      <c r="AM801" s="295"/>
      <c r="AN801" s="295"/>
      <c r="AO801" s="397"/>
      <c r="AP801" s="295"/>
      <c r="AQ801" s="295"/>
      <c r="AR801" s="295"/>
      <c r="AS801" s="295"/>
      <c r="AT801" s="397"/>
      <c r="AU801" s="295"/>
      <c r="AV801" s="295"/>
      <c r="AW801" s="295"/>
      <c r="AX801" s="295"/>
      <c r="AY801" s="397"/>
      <c r="AZ801" s="295"/>
      <c r="BA801" s="295"/>
      <c r="BB801" s="295"/>
      <c r="BC801" s="295"/>
      <c r="BD801" s="397"/>
      <c r="BE801" s="295"/>
      <c r="BF801" s="295"/>
      <c r="BG801" s="295"/>
      <c r="BH801" s="295"/>
      <c r="BI801" s="397"/>
      <c r="BJ801" s="1030"/>
      <c r="BK801" s="295"/>
      <c r="BL801" s="295"/>
      <c r="BM801" s="295"/>
      <c r="BN801" s="397"/>
      <c r="BO801" s="295"/>
      <c r="BP801" s="295"/>
      <c r="BQ801" s="295"/>
      <c r="BR801" s="295"/>
      <c r="BS801" s="397"/>
      <c r="BT801" s="397"/>
      <c r="BU801" s="397"/>
      <c r="BV801" s="397"/>
      <c r="BW801" s="197"/>
    </row>
    <row r="802" spans="1:75" hidden="1" outlineLevel="1" x14ac:dyDescent="0.5">
      <c r="A802" s="463" t="s">
        <v>1389</v>
      </c>
      <c r="B802" s="522"/>
      <c r="C802" s="397"/>
      <c r="D802" s="397"/>
      <c r="E802" s="397"/>
      <c r="F802" s="397"/>
      <c r="G802" s="295"/>
      <c r="H802" s="295"/>
      <c r="I802" s="295"/>
      <c r="J802" s="295"/>
      <c r="K802" s="397"/>
      <c r="L802" s="295"/>
      <c r="M802" s="295"/>
      <c r="N802" s="295"/>
      <c r="O802" s="295"/>
      <c r="P802" s="397"/>
      <c r="Q802" s="295"/>
      <c r="R802" s="295"/>
      <c r="S802" s="295"/>
      <c r="T802" s="295"/>
      <c r="U802" s="397"/>
      <c r="V802" s="295"/>
      <c r="W802" s="295"/>
      <c r="X802" s="295"/>
      <c r="Y802" s="295"/>
      <c r="Z802" s="397"/>
      <c r="AA802" s="295"/>
      <c r="AB802" s="295"/>
      <c r="AC802" s="295"/>
      <c r="AD802" s="295"/>
      <c r="AE802" s="397"/>
      <c r="AF802" s="295"/>
      <c r="AG802" s="295"/>
      <c r="AH802" s="295"/>
      <c r="AI802" s="295"/>
      <c r="AJ802" s="397"/>
      <c r="AK802" s="295"/>
      <c r="AL802" s="295"/>
      <c r="AM802" s="295"/>
      <c r="AN802" s="295"/>
      <c r="AO802" s="397"/>
      <c r="AP802" s="295"/>
      <c r="AQ802" s="295"/>
      <c r="AR802" s="295"/>
      <c r="AS802" s="295"/>
      <c r="AT802" s="397"/>
      <c r="AU802" s="295"/>
      <c r="AV802" s="295"/>
      <c r="AW802" s="295"/>
      <c r="AX802" s="295"/>
      <c r="AY802" s="397"/>
      <c r="AZ802" s="295"/>
      <c r="BA802" s="295"/>
      <c r="BB802" s="295"/>
      <c r="BC802" s="295"/>
      <c r="BD802" s="397"/>
      <c r="BE802" s="295"/>
      <c r="BF802" s="295"/>
      <c r="BG802" s="295"/>
      <c r="BH802" s="295"/>
      <c r="BI802" s="397"/>
      <c r="BJ802" s="1030"/>
      <c r="BK802" s="295"/>
      <c r="BL802" s="295"/>
      <c r="BM802" s="295"/>
      <c r="BN802" s="397"/>
      <c r="BO802" s="295"/>
      <c r="BP802" s="295"/>
      <c r="BQ802" s="295"/>
      <c r="BR802" s="295"/>
      <c r="BS802" s="397"/>
      <c r="BT802" s="397"/>
      <c r="BU802" s="397"/>
      <c r="BV802" s="397"/>
      <c r="BW802" s="197"/>
    </row>
    <row r="803" spans="1:75" hidden="1" outlineLevel="1" x14ac:dyDescent="0.5">
      <c r="A803" s="464" t="s">
        <v>2654</v>
      </c>
      <c r="B803" s="513"/>
      <c r="C803" s="401"/>
      <c r="D803" s="401"/>
      <c r="E803" s="401"/>
      <c r="F803" s="401"/>
      <c r="G803" s="118"/>
      <c r="H803" s="118"/>
      <c r="I803" s="118"/>
      <c r="J803" s="118"/>
      <c r="K803" s="401"/>
      <c r="L803" s="118"/>
      <c r="M803" s="118"/>
      <c r="N803" s="302">
        <v>0</v>
      </c>
      <c r="O803" s="122">
        <f>P803</f>
        <v>-27.984999999999999</v>
      </c>
      <c r="P803" s="403">
        <v>-27.984999999999999</v>
      </c>
      <c r="Q803" s="302">
        <v>-4.2510000000000003</v>
      </c>
      <c r="R803" s="302">
        <v>-7.8369999999999997</v>
      </c>
      <c r="S803" s="302">
        <v>-12.898999999999999</v>
      </c>
      <c r="T803" s="302">
        <v>-19.111000000000001</v>
      </c>
      <c r="U803" s="403">
        <v>-19.111000000000001</v>
      </c>
      <c r="V803" s="302">
        <v>-6.6210000000000004</v>
      </c>
      <c r="W803" s="302">
        <v>-12.374000000000001</v>
      </c>
      <c r="X803" s="302">
        <v>-18.425999999999998</v>
      </c>
      <c r="Y803" s="122">
        <f>Z803</f>
        <v>-21.091999999999999</v>
      </c>
      <c r="Z803" s="403">
        <v>-21.091999999999999</v>
      </c>
      <c r="AA803" s="302">
        <v>-0.59199999999999997</v>
      </c>
      <c r="AB803" s="302">
        <v>-1.252</v>
      </c>
      <c r="AC803" s="302">
        <v>-1.2769999999999999</v>
      </c>
      <c r="AD803" s="122">
        <f>AE803</f>
        <v>-1.5620000000000001</v>
      </c>
      <c r="AE803" s="403">
        <v>-1.5620000000000001</v>
      </c>
      <c r="AF803" s="302">
        <v>-0.39100000000000001</v>
      </c>
      <c r="AG803" s="302">
        <v>-0.63500000000000001</v>
      </c>
      <c r="AH803" s="302">
        <v>-1.097</v>
      </c>
      <c r="AI803" s="122">
        <f>AJ803</f>
        <v>-1.284</v>
      </c>
      <c r="AJ803" s="403">
        <v>-1.284</v>
      </c>
      <c r="AK803" s="302">
        <v>-0.16500000000000001</v>
      </c>
      <c r="AL803" s="302">
        <v>-0.42399999999999999</v>
      </c>
      <c r="AM803" s="302">
        <v>-1.51</v>
      </c>
      <c r="AN803" s="122">
        <f>AO803</f>
        <v>-2.2360000000000002</v>
      </c>
      <c r="AO803" s="403">
        <v>-2.2360000000000002</v>
      </c>
      <c r="AP803" s="118"/>
      <c r="AQ803" s="118"/>
      <c r="AR803" s="118"/>
      <c r="AS803" s="122">
        <f>AT803</f>
        <v>0</v>
      </c>
      <c r="AT803" s="401"/>
      <c r="AU803" s="118"/>
      <c r="AV803" s="118"/>
      <c r="AW803" s="118"/>
      <c r="AX803" s="118"/>
      <c r="AY803" s="401"/>
      <c r="AZ803" s="118"/>
      <c r="BA803" s="118"/>
      <c r="BB803" s="118"/>
      <c r="BC803" s="118"/>
      <c r="BD803" s="401"/>
      <c r="BE803" s="118"/>
      <c r="BF803" s="118"/>
      <c r="BG803" s="118"/>
      <c r="BH803" s="118"/>
      <c r="BI803" s="401"/>
      <c r="BJ803" s="971"/>
      <c r="BK803" s="118"/>
      <c r="BL803" s="118"/>
      <c r="BM803" s="118">
        <f t="shared" ref="BM803:BM820" si="616">BN803</f>
        <v>0</v>
      </c>
      <c r="BN803" s="401"/>
      <c r="BO803" s="118"/>
      <c r="BP803" s="118"/>
      <c r="BQ803" s="118"/>
      <c r="BR803" s="118">
        <f t="shared" ref="BR803:BR820" si="617">BS803</f>
        <v>0</v>
      </c>
      <c r="BS803" s="401"/>
      <c r="BT803" s="401"/>
      <c r="BU803" s="401"/>
      <c r="BV803" s="401"/>
      <c r="BW803" s="122"/>
    </row>
    <row r="804" spans="1:75" hidden="1" outlineLevel="1" x14ac:dyDescent="0.5">
      <c r="A804" s="464" t="s">
        <v>2655</v>
      </c>
      <c r="B804" s="513"/>
      <c r="C804" s="401"/>
      <c r="D804" s="401"/>
      <c r="E804" s="401"/>
      <c r="F804" s="403">
        <f>36.164+8.08</f>
        <v>44.244</v>
      </c>
      <c r="G804" s="118"/>
      <c r="H804" s="118"/>
      <c r="I804" s="118"/>
      <c r="J804" s="118"/>
      <c r="K804" s="401"/>
      <c r="L804" s="118"/>
      <c r="M804" s="118"/>
      <c r="N804" s="118"/>
      <c r="O804" s="118"/>
      <c r="P804" s="401"/>
      <c r="Q804" s="118"/>
      <c r="R804" s="118"/>
      <c r="S804" s="118"/>
      <c r="T804" s="118"/>
      <c r="U804" s="401"/>
      <c r="V804" s="118"/>
      <c r="W804" s="118"/>
      <c r="X804" s="118"/>
      <c r="Y804" s="118"/>
      <c r="Z804" s="401"/>
      <c r="AA804" s="118"/>
      <c r="AB804" s="118"/>
      <c r="AC804" s="118"/>
      <c r="AD804" s="118"/>
      <c r="AE804" s="401"/>
      <c r="AF804" s="118"/>
      <c r="AG804" s="118"/>
      <c r="AH804" s="118"/>
      <c r="AI804" s="118"/>
      <c r="AJ804" s="401"/>
      <c r="AK804" s="118"/>
      <c r="AL804" s="118"/>
      <c r="AM804" s="118"/>
      <c r="AN804" s="118"/>
      <c r="AO804" s="401"/>
      <c r="AP804" s="118"/>
      <c r="AQ804" s="118"/>
      <c r="AR804" s="118"/>
      <c r="AS804" s="118"/>
      <c r="AT804" s="401"/>
      <c r="AU804" s="118"/>
      <c r="AV804" s="118"/>
      <c r="AW804" s="118"/>
      <c r="AX804" s="118"/>
      <c r="AY804" s="401"/>
      <c r="AZ804" s="118"/>
      <c r="BA804" s="118"/>
      <c r="BB804" s="118"/>
      <c r="BC804" s="118"/>
      <c r="BD804" s="401"/>
      <c r="BE804" s="118"/>
      <c r="BF804" s="118"/>
      <c r="BG804" s="118"/>
      <c r="BH804" s="118"/>
      <c r="BI804" s="401"/>
      <c r="BJ804" s="971"/>
      <c r="BK804" s="118"/>
      <c r="BL804" s="118"/>
      <c r="BM804" s="118">
        <f t="shared" si="616"/>
        <v>0</v>
      </c>
      <c r="BN804" s="401"/>
      <c r="BO804" s="118"/>
      <c r="BP804" s="118"/>
      <c r="BQ804" s="118"/>
      <c r="BR804" s="118">
        <f t="shared" si="617"/>
        <v>0</v>
      </c>
      <c r="BS804" s="401"/>
      <c r="BT804" s="401"/>
      <c r="BU804" s="401"/>
      <c r="BV804" s="401"/>
      <c r="BW804" s="122"/>
    </row>
    <row r="805" spans="1:75" hidden="1" outlineLevel="1" x14ac:dyDescent="0.5">
      <c r="A805" s="464" t="s">
        <v>2656</v>
      </c>
      <c r="B805" s="513"/>
      <c r="C805" s="401"/>
      <c r="D805" s="401"/>
      <c r="E805" s="401"/>
      <c r="F805" s="401"/>
      <c r="G805" s="118"/>
      <c r="H805" s="118"/>
      <c r="I805" s="118"/>
      <c r="J805" s="118"/>
      <c r="K805" s="401"/>
      <c r="L805" s="118"/>
      <c r="M805" s="118"/>
      <c r="N805" s="302">
        <v>0</v>
      </c>
      <c r="O805" s="122">
        <f>P805</f>
        <v>1.2E-2</v>
      </c>
      <c r="P805" s="403">
        <v>1.2E-2</v>
      </c>
      <c r="Q805" s="302">
        <v>1.4999999999999999E-2</v>
      </c>
      <c r="R805" s="302">
        <v>0.27200000000000002</v>
      </c>
      <c r="S805" s="302">
        <v>0.374</v>
      </c>
      <c r="T805" s="302">
        <v>0.495</v>
      </c>
      <c r="U805" s="403">
        <v>0.495</v>
      </c>
      <c r="V805" s="302">
        <v>5.0999999999999997E-2</v>
      </c>
      <c r="W805" s="302">
        <v>0.13</v>
      </c>
      <c r="X805" s="302">
        <v>0.16600000000000001</v>
      </c>
      <c r="Y805" s="122">
        <f>Z805</f>
        <v>0.20899999999999999</v>
      </c>
      <c r="Z805" s="403">
        <v>0.20899999999999999</v>
      </c>
      <c r="AA805" s="302">
        <v>5.3999999999999999E-2</v>
      </c>
      <c r="AB805" s="302">
        <v>0.16200000000000001</v>
      </c>
      <c r="AC805" s="302">
        <v>0.21299999999999999</v>
      </c>
      <c r="AD805" s="122">
        <f>AE805</f>
        <v>0.24399999999999999</v>
      </c>
      <c r="AE805" s="403">
        <v>0.24399999999999999</v>
      </c>
      <c r="AF805" s="302">
        <v>2.9000000000000001E-2</v>
      </c>
      <c r="AG805" s="302">
        <v>7.3999999999999996E-2</v>
      </c>
      <c r="AH805" s="302">
        <v>0.104</v>
      </c>
      <c r="AI805" s="122">
        <f>AJ805</f>
        <v>0.13800000000000001</v>
      </c>
      <c r="AJ805" s="403">
        <v>0.13800000000000001</v>
      </c>
      <c r="AK805" s="302">
        <v>6.7000000000000004E-2</v>
      </c>
      <c r="AL805" s="302">
        <v>0.08</v>
      </c>
      <c r="AM805" s="302">
        <v>0.09</v>
      </c>
      <c r="AN805" s="122">
        <f>AO805</f>
        <v>0.113</v>
      </c>
      <c r="AO805" s="403">
        <v>0.113</v>
      </c>
      <c r="AP805" s="302">
        <v>0.125</v>
      </c>
      <c r="AQ805" s="302">
        <v>0.22</v>
      </c>
      <c r="AR805" s="118"/>
      <c r="AS805" s="122">
        <f t="shared" ref="AS805:AS819" si="618">AT805</f>
        <v>0</v>
      </c>
      <c r="AT805" s="401"/>
      <c r="AU805" s="118"/>
      <c r="AV805" s="118"/>
      <c r="AW805" s="118"/>
      <c r="AX805" s="118"/>
      <c r="AY805" s="401"/>
      <c r="AZ805" s="118"/>
      <c r="BA805" s="118"/>
      <c r="BB805" s="118"/>
      <c r="BC805" s="118"/>
      <c r="BD805" s="401"/>
      <c r="BE805" s="118"/>
      <c r="BF805" s="118"/>
      <c r="BG805" s="118"/>
      <c r="BH805" s="118"/>
      <c r="BI805" s="401"/>
      <c r="BJ805" s="971"/>
      <c r="BK805" s="118"/>
      <c r="BL805" s="118"/>
      <c r="BM805" s="118">
        <f t="shared" si="616"/>
        <v>0</v>
      </c>
      <c r="BN805" s="401"/>
      <c r="BO805" s="118"/>
      <c r="BP805" s="118"/>
      <c r="BQ805" s="118"/>
      <c r="BR805" s="118">
        <f t="shared" si="617"/>
        <v>0</v>
      </c>
      <c r="BS805" s="401"/>
      <c r="BT805" s="401"/>
      <c r="BU805" s="401"/>
      <c r="BV805" s="401"/>
      <c r="BW805" s="122"/>
    </row>
    <row r="806" spans="1:75" hidden="1" outlineLevel="1" x14ac:dyDescent="0.5">
      <c r="A806" s="464" t="s">
        <v>2657</v>
      </c>
      <c r="B806" s="513"/>
      <c r="C806" s="401"/>
      <c r="D806" s="401"/>
      <c r="E806" s="401"/>
      <c r="F806" s="401"/>
      <c r="G806" s="118"/>
      <c r="H806" s="118"/>
      <c r="I806" s="118"/>
      <c r="J806" s="118"/>
      <c r="K806" s="401"/>
      <c r="L806" s="118"/>
      <c r="M806" s="118"/>
      <c r="N806" s="118"/>
      <c r="O806" s="118"/>
      <c r="P806" s="401"/>
      <c r="Q806" s="118"/>
      <c r="R806" s="118"/>
      <c r="S806" s="118"/>
      <c r="T806" s="118"/>
      <c r="U806" s="401"/>
      <c r="V806" s="118"/>
      <c r="W806" s="118"/>
      <c r="X806" s="118"/>
      <c r="Y806" s="118"/>
      <c r="Z806" s="401"/>
      <c r="AA806" s="118"/>
      <c r="AB806" s="118"/>
      <c r="AC806" s="118"/>
      <c r="AD806" s="118"/>
      <c r="AE806" s="401"/>
      <c r="AF806" s="118"/>
      <c r="AG806" s="118"/>
      <c r="AH806" s="118"/>
      <c r="AI806" s="118"/>
      <c r="AJ806" s="401"/>
      <c r="AK806" s="302">
        <v>-0.79100000000000004</v>
      </c>
      <c r="AL806" s="302">
        <v>-0.79100000000000004</v>
      </c>
      <c r="AM806" s="302">
        <v>-0.79100000000000004</v>
      </c>
      <c r="AN806" s="122">
        <f>AO806</f>
        <v>-0.79100000000000004</v>
      </c>
      <c r="AO806" s="403">
        <v>-0.79100000000000004</v>
      </c>
      <c r="AP806" s="118"/>
      <c r="AQ806" s="118"/>
      <c r="AR806" s="118"/>
      <c r="AS806" s="122">
        <f t="shared" si="618"/>
        <v>0</v>
      </c>
      <c r="AT806" s="401"/>
      <c r="AU806" s="118"/>
      <c r="AV806" s="118"/>
      <c r="AW806" s="118"/>
      <c r="AX806" s="118"/>
      <c r="AY806" s="401"/>
      <c r="AZ806" s="118"/>
      <c r="BA806" s="118"/>
      <c r="BB806" s="118"/>
      <c r="BC806" s="118"/>
      <c r="BD806" s="401"/>
      <c r="BE806" s="118"/>
      <c r="BF806" s="118"/>
      <c r="BG806" s="118"/>
      <c r="BH806" s="118"/>
      <c r="BI806" s="401"/>
      <c r="BJ806" s="971"/>
      <c r="BK806" s="118"/>
      <c r="BL806" s="118"/>
      <c r="BM806" s="118">
        <f t="shared" si="616"/>
        <v>0</v>
      </c>
      <c r="BN806" s="401"/>
      <c r="BO806" s="118"/>
      <c r="BP806" s="118"/>
      <c r="BQ806" s="118"/>
      <c r="BR806" s="118">
        <f t="shared" si="617"/>
        <v>0</v>
      </c>
      <c r="BS806" s="401"/>
      <c r="BT806" s="401"/>
      <c r="BU806" s="401"/>
      <c r="BV806" s="401"/>
      <c r="BW806" s="122"/>
    </row>
    <row r="807" spans="1:75" hidden="1" outlineLevel="1" x14ac:dyDescent="0.5">
      <c r="A807" s="464" t="s">
        <v>2658</v>
      </c>
      <c r="B807" s="513"/>
      <c r="C807" s="401"/>
      <c r="D807" s="401"/>
      <c r="E807" s="401"/>
      <c r="F807" s="401"/>
      <c r="G807" s="118"/>
      <c r="H807" s="118"/>
      <c r="I807" s="118"/>
      <c r="J807" s="118"/>
      <c r="K807" s="401"/>
      <c r="L807" s="118"/>
      <c r="M807" s="118"/>
      <c r="N807" s="118"/>
      <c r="O807" s="118"/>
      <c r="P807" s="401"/>
      <c r="Q807" s="118"/>
      <c r="R807" s="118"/>
      <c r="S807" s="118"/>
      <c r="T807" s="118"/>
      <c r="U807" s="401"/>
      <c r="V807" s="118"/>
      <c r="W807" s="118"/>
      <c r="X807" s="118"/>
      <c r="Y807" s="118"/>
      <c r="Z807" s="401"/>
      <c r="AA807" s="118"/>
      <c r="AB807" s="118"/>
      <c r="AC807" s="302">
        <v>420.44900000000001</v>
      </c>
      <c r="AD807" s="122">
        <f>AE807</f>
        <v>420.44900000000001</v>
      </c>
      <c r="AE807" s="403">
        <v>420.44900000000001</v>
      </c>
      <c r="AF807" s="118"/>
      <c r="AG807" s="118"/>
      <c r="AH807" s="118"/>
      <c r="AI807" s="122">
        <f>AJ807</f>
        <v>562.04700000000003</v>
      </c>
      <c r="AJ807" s="403">
        <v>562.04700000000003</v>
      </c>
      <c r="AK807" s="118"/>
      <c r="AL807" s="118"/>
      <c r="AM807" s="302">
        <v>935.14599999999996</v>
      </c>
      <c r="AN807" s="122">
        <f>AO807</f>
        <v>935.14599999999996</v>
      </c>
      <c r="AO807" s="403">
        <v>935.14599999999996</v>
      </c>
      <c r="AP807" s="118"/>
      <c r="AQ807" s="302">
        <v>527.423</v>
      </c>
      <c r="AR807" s="302">
        <v>2027.758</v>
      </c>
      <c r="AS807" s="122">
        <f t="shared" si="618"/>
        <v>2027.758</v>
      </c>
      <c r="AT807" s="403">
        <v>2027.758</v>
      </c>
      <c r="AU807" s="118"/>
      <c r="AV807" s="118"/>
      <c r="AW807" s="118"/>
      <c r="AX807" s="118"/>
      <c r="AY807" s="401"/>
      <c r="AZ807" s="118"/>
      <c r="BA807" s="118"/>
      <c r="BB807" s="302">
        <v>678</v>
      </c>
      <c r="BC807" s="118">
        <f>BD807</f>
        <v>678</v>
      </c>
      <c r="BD807" s="403">
        <v>678</v>
      </c>
      <c r="BE807" s="118"/>
      <c r="BF807" s="302">
        <v>678</v>
      </c>
      <c r="BG807" s="302">
        <v>678</v>
      </c>
      <c r="BH807" s="118">
        <f>BI807</f>
        <v>678</v>
      </c>
      <c r="BI807" s="403">
        <v>678</v>
      </c>
      <c r="BJ807" s="971"/>
      <c r="BK807" s="118"/>
      <c r="BL807" s="118"/>
      <c r="BM807" s="118">
        <f t="shared" si="616"/>
        <v>0</v>
      </c>
      <c r="BN807" s="401"/>
      <c r="BO807" s="118"/>
      <c r="BP807" s="118"/>
      <c r="BQ807" s="118"/>
      <c r="BR807" s="118">
        <f t="shared" si="617"/>
        <v>0</v>
      </c>
      <c r="BS807" s="401"/>
      <c r="BT807" s="401"/>
      <c r="BU807" s="401"/>
      <c r="BV807" s="401"/>
      <c r="BW807" s="122"/>
    </row>
    <row r="808" spans="1:75" hidden="1" outlineLevel="1" x14ac:dyDescent="0.5">
      <c r="A808" s="464" t="s">
        <v>2659</v>
      </c>
      <c r="B808" s="513"/>
      <c r="C808" s="401"/>
      <c r="D808" s="401"/>
      <c r="E808" s="401"/>
      <c r="F808" s="401"/>
      <c r="G808" s="118"/>
      <c r="H808" s="118"/>
      <c r="I808" s="118"/>
      <c r="J808" s="118"/>
      <c r="K808" s="401"/>
      <c r="L808" s="118"/>
      <c r="M808" s="118"/>
      <c r="N808" s="118"/>
      <c r="O808" s="118"/>
      <c r="P808" s="401"/>
      <c r="Q808" s="118"/>
      <c r="R808" s="118"/>
      <c r="S808" s="118"/>
      <c r="T808" s="118"/>
      <c r="U808" s="401"/>
      <c r="V808" s="118"/>
      <c r="W808" s="118"/>
      <c r="X808" s="118"/>
      <c r="Y808" s="118"/>
      <c r="Z808" s="401"/>
      <c r="AA808" s="118"/>
      <c r="AB808" s="118"/>
      <c r="AC808" s="118"/>
      <c r="AD808" s="118"/>
      <c r="AE808" s="401"/>
      <c r="AF808" s="118"/>
      <c r="AG808" s="118"/>
      <c r="AH808" s="118"/>
      <c r="AI808" s="118"/>
      <c r="AJ808" s="401"/>
      <c r="AK808" s="118"/>
      <c r="AL808" s="118"/>
      <c r="AM808" s="118"/>
      <c r="AN808" s="118"/>
      <c r="AO808" s="401"/>
      <c r="AP808" s="302">
        <v>100</v>
      </c>
      <c r="AQ808" s="302">
        <v>200</v>
      </c>
      <c r="AR808" s="302">
        <v>200</v>
      </c>
      <c r="AS808" s="122">
        <f t="shared" si="618"/>
        <v>200</v>
      </c>
      <c r="AT808" s="403">
        <v>200</v>
      </c>
      <c r="AU808" s="118"/>
      <c r="AV808" s="118"/>
      <c r="AW808" s="118"/>
      <c r="AX808" s="118"/>
      <c r="AY808" s="401"/>
      <c r="AZ808" s="118"/>
      <c r="BA808" s="118"/>
      <c r="BB808" s="118"/>
      <c r="BC808" s="118"/>
      <c r="BD808" s="401"/>
      <c r="BE808" s="118"/>
      <c r="BF808" s="118"/>
      <c r="BG808" s="118"/>
      <c r="BH808" s="118"/>
      <c r="BI808" s="401"/>
      <c r="BJ808" s="971"/>
      <c r="BK808" s="118"/>
      <c r="BL808" s="118"/>
      <c r="BM808" s="118">
        <f t="shared" si="616"/>
        <v>0</v>
      </c>
      <c r="BN808" s="401"/>
      <c r="BO808" s="118"/>
      <c r="BP808" s="118"/>
      <c r="BQ808" s="118"/>
      <c r="BR808" s="118">
        <f t="shared" si="617"/>
        <v>0</v>
      </c>
      <c r="BS808" s="401"/>
      <c r="BT808" s="401"/>
      <c r="BU808" s="401"/>
      <c r="BV808" s="401"/>
      <c r="BW808" s="122"/>
    </row>
    <row r="809" spans="1:75" hidden="1" outlineLevel="1" x14ac:dyDescent="0.5">
      <c r="A809" s="464" t="s">
        <v>2660</v>
      </c>
      <c r="B809" s="513"/>
      <c r="C809" s="401"/>
      <c r="D809" s="401"/>
      <c r="E809" s="401"/>
      <c r="F809" s="401"/>
      <c r="G809" s="118"/>
      <c r="H809" s="118"/>
      <c r="I809" s="118"/>
      <c r="J809" s="118"/>
      <c r="K809" s="401"/>
      <c r="L809" s="118"/>
      <c r="M809" s="118"/>
      <c r="N809" s="118"/>
      <c r="O809" s="118"/>
      <c r="P809" s="401"/>
      <c r="Q809" s="118"/>
      <c r="R809" s="118"/>
      <c r="S809" s="118"/>
      <c r="T809" s="118"/>
      <c r="U809" s="401"/>
      <c r="V809" s="118"/>
      <c r="W809" s="118"/>
      <c r="X809" s="118"/>
      <c r="Y809" s="118"/>
      <c r="Z809" s="401"/>
      <c r="AA809" s="118"/>
      <c r="AB809" s="118"/>
      <c r="AC809" s="118"/>
      <c r="AD809" s="118"/>
      <c r="AE809" s="401"/>
      <c r="AF809" s="118"/>
      <c r="AG809" s="118"/>
      <c r="AH809" s="118"/>
      <c r="AI809" s="118"/>
      <c r="AJ809" s="401"/>
      <c r="AK809" s="118"/>
      <c r="AL809" s="118"/>
      <c r="AM809" s="118"/>
      <c r="AN809" s="118"/>
      <c r="AO809" s="401"/>
      <c r="AP809" s="118"/>
      <c r="AQ809" s="302">
        <v>-200</v>
      </c>
      <c r="AR809" s="302">
        <v>-200</v>
      </c>
      <c r="AS809" s="122">
        <f t="shared" si="618"/>
        <v>-200</v>
      </c>
      <c r="AT809" s="403">
        <v>-200</v>
      </c>
      <c r="AU809" s="118"/>
      <c r="AV809" s="118"/>
      <c r="AW809" s="118"/>
      <c r="AX809" s="118"/>
      <c r="AY809" s="401"/>
      <c r="AZ809" s="118"/>
      <c r="BA809" s="118"/>
      <c r="BB809" s="118"/>
      <c r="BC809" s="118"/>
      <c r="BD809" s="401"/>
      <c r="BE809" s="118"/>
      <c r="BF809" s="118"/>
      <c r="BG809" s="118"/>
      <c r="BH809" s="118"/>
      <c r="BI809" s="401"/>
      <c r="BJ809" s="971"/>
      <c r="BK809" s="118"/>
      <c r="BL809" s="118"/>
      <c r="BM809" s="118">
        <f t="shared" si="616"/>
        <v>0</v>
      </c>
      <c r="BN809" s="401"/>
      <c r="BO809" s="118"/>
      <c r="BP809" s="118"/>
      <c r="BQ809" s="118"/>
      <c r="BR809" s="118">
        <f t="shared" si="617"/>
        <v>0</v>
      </c>
      <c r="BS809" s="401"/>
      <c r="BT809" s="401"/>
      <c r="BU809" s="401"/>
      <c r="BV809" s="401"/>
      <c r="BW809" s="122"/>
    </row>
    <row r="810" spans="1:75" hidden="1" outlineLevel="1" x14ac:dyDescent="0.5">
      <c r="A810" s="464" t="s">
        <v>2661</v>
      </c>
      <c r="B810" s="513"/>
      <c r="C810" s="401"/>
      <c r="D810" s="401"/>
      <c r="E810" s="401"/>
      <c r="F810" s="401"/>
      <c r="G810" s="118"/>
      <c r="H810" s="118"/>
      <c r="I810" s="118"/>
      <c r="J810" s="118"/>
      <c r="K810" s="401"/>
      <c r="L810" s="118"/>
      <c r="M810" s="118"/>
      <c r="N810" s="118"/>
      <c r="O810" s="118"/>
      <c r="P810" s="401"/>
      <c r="Q810" s="118"/>
      <c r="R810" s="118"/>
      <c r="S810" s="118"/>
      <c r="T810" s="118"/>
      <c r="U810" s="401"/>
      <c r="V810" s="118"/>
      <c r="W810" s="118"/>
      <c r="X810" s="118"/>
      <c r="Y810" s="118"/>
      <c r="Z810" s="401"/>
      <c r="AA810" s="118"/>
      <c r="AB810" s="118"/>
      <c r="AC810" s="302">
        <v>-44.16</v>
      </c>
      <c r="AD810" s="122">
        <f>AE810</f>
        <v>-44.16</v>
      </c>
      <c r="AE810" s="403">
        <v>-44.16</v>
      </c>
      <c r="AF810" s="118"/>
      <c r="AG810" s="118"/>
      <c r="AH810" s="118"/>
      <c r="AI810" s="122">
        <f t="shared" ref="AI810:AI820" si="619">AJ810</f>
        <v>-93.438000000000002</v>
      </c>
      <c r="AJ810" s="403">
        <v>-93.438000000000002</v>
      </c>
      <c r="AK810" s="118"/>
      <c r="AL810" s="118"/>
      <c r="AM810" s="302">
        <v>-145.72800000000001</v>
      </c>
      <c r="AN810" s="122">
        <f t="shared" ref="AN810:AN820" si="620">AO810</f>
        <v>-145.72800000000001</v>
      </c>
      <c r="AO810" s="403">
        <v>-145.72800000000001</v>
      </c>
      <c r="AP810" s="118"/>
      <c r="AQ810" s="118"/>
      <c r="AR810" s="302">
        <v>-255.024</v>
      </c>
      <c r="AS810" s="122">
        <f t="shared" si="618"/>
        <v>-255.024</v>
      </c>
      <c r="AT810" s="403">
        <v>-255.024</v>
      </c>
      <c r="AU810" s="118"/>
      <c r="AV810" s="118"/>
      <c r="AW810" s="118"/>
      <c r="AX810" s="118"/>
      <c r="AY810" s="401"/>
      <c r="AZ810" s="118"/>
      <c r="BA810" s="118"/>
      <c r="BB810" s="302">
        <v>-80</v>
      </c>
      <c r="BC810" s="118">
        <f t="shared" ref="BC810:BC812" si="621">BD810</f>
        <v>-80</v>
      </c>
      <c r="BD810" s="403">
        <v>-80</v>
      </c>
      <c r="BE810" s="118"/>
      <c r="BF810" s="302">
        <v>-87</v>
      </c>
      <c r="BG810" s="302">
        <v>-87</v>
      </c>
      <c r="BH810" s="118">
        <f>BI810</f>
        <v>-87</v>
      </c>
      <c r="BI810" s="403">
        <v>-87</v>
      </c>
      <c r="BJ810" s="971"/>
      <c r="BK810" s="118"/>
      <c r="BL810" s="118"/>
      <c r="BM810" s="118">
        <f t="shared" si="616"/>
        <v>0</v>
      </c>
      <c r="BN810" s="401"/>
      <c r="BO810" s="118"/>
      <c r="BP810" s="118"/>
      <c r="BQ810" s="118"/>
      <c r="BR810" s="118">
        <f t="shared" si="617"/>
        <v>0</v>
      </c>
      <c r="BS810" s="401"/>
      <c r="BT810" s="401"/>
      <c r="BU810" s="401"/>
      <c r="BV810" s="401"/>
      <c r="BW810" s="122"/>
    </row>
    <row r="811" spans="1:75" hidden="1" outlineLevel="1" x14ac:dyDescent="0.5">
      <c r="A811" s="464" t="s">
        <v>2662</v>
      </c>
      <c r="B811" s="513"/>
      <c r="C811" s="401"/>
      <c r="D811" s="401"/>
      <c r="E811" s="401"/>
      <c r="F811" s="401"/>
      <c r="G811" s="118"/>
      <c r="H811" s="118"/>
      <c r="I811" s="118"/>
      <c r="J811" s="118"/>
      <c r="K811" s="401"/>
      <c r="L811" s="118"/>
      <c r="M811" s="118"/>
      <c r="N811" s="118"/>
      <c r="O811" s="118"/>
      <c r="P811" s="401"/>
      <c r="Q811" s="118"/>
      <c r="R811" s="118"/>
      <c r="S811" s="118"/>
      <c r="T811" s="118"/>
      <c r="U811" s="401"/>
      <c r="V811" s="118"/>
      <c r="W811" s="118"/>
      <c r="X811" s="118"/>
      <c r="Y811" s="118"/>
      <c r="Z811" s="401"/>
      <c r="AA811" s="118"/>
      <c r="AB811" s="118"/>
      <c r="AC811" s="118"/>
      <c r="AD811" s="118"/>
      <c r="AE811" s="401"/>
      <c r="AF811" s="118"/>
      <c r="AG811" s="118"/>
      <c r="AH811" s="118"/>
      <c r="AI811" s="118"/>
      <c r="AJ811" s="401"/>
      <c r="AK811" s="118"/>
      <c r="AL811" s="118"/>
      <c r="AM811" s="118"/>
      <c r="AN811" s="118"/>
      <c r="AO811" s="401"/>
      <c r="AP811" s="118"/>
      <c r="AQ811" s="118"/>
      <c r="AR811" s="118"/>
      <c r="AS811" s="118"/>
      <c r="AT811" s="401"/>
      <c r="AU811" s="118"/>
      <c r="AV811" s="118"/>
      <c r="AW811" s="118"/>
      <c r="AX811" s="118"/>
      <c r="AY811" s="401"/>
      <c r="AZ811" s="118"/>
      <c r="BA811" s="118"/>
      <c r="BB811" s="302">
        <v>-3</v>
      </c>
      <c r="BC811" s="118">
        <f t="shared" si="621"/>
        <v>-3</v>
      </c>
      <c r="BD811" s="403">
        <v>-3</v>
      </c>
      <c r="BE811" s="118"/>
      <c r="BF811" s="118"/>
      <c r="BG811" s="118"/>
      <c r="BH811" s="118">
        <f>BI811</f>
        <v>0</v>
      </c>
      <c r="BI811" s="401"/>
      <c r="BJ811" s="971"/>
      <c r="BK811" s="118"/>
      <c r="BL811" s="118"/>
      <c r="BM811" s="118">
        <f t="shared" si="616"/>
        <v>0</v>
      </c>
      <c r="BN811" s="401"/>
      <c r="BO811" s="118"/>
      <c r="BP811" s="118"/>
      <c r="BQ811" s="118"/>
      <c r="BR811" s="118">
        <f t="shared" si="617"/>
        <v>0</v>
      </c>
      <c r="BS811" s="401"/>
      <c r="BT811" s="401"/>
      <c r="BU811" s="401"/>
      <c r="BV811" s="401"/>
      <c r="BW811" s="122"/>
    </row>
    <row r="812" spans="1:75" hidden="1" outlineLevel="1" x14ac:dyDescent="0.5">
      <c r="A812" s="464" t="s">
        <v>2663</v>
      </c>
      <c r="B812" s="513"/>
      <c r="C812" s="401"/>
      <c r="D812" s="401"/>
      <c r="E812" s="401"/>
      <c r="F812" s="401"/>
      <c r="G812" s="118"/>
      <c r="H812" s="118"/>
      <c r="I812" s="118"/>
      <c r="J812" s="118"/>
      <c r="K812" s="401"/>
      <c r="L812" s="118"/>
      <c r="M812" s="118"/>
      <c r="N812" s="118"/>
      <c r="O812" s="118"/>
      <c r="P812" s="401"/>
      <c r="Q812" s="118"/>
      <c r="R812" s="118"/>
      <c r="S812" s="118"/>
      <c r="T812" s="118"/>
      <c r="U812" s="401"/>
      <c r="V812" s="118"/>
      <c r="W812" s="118"/>
      <c r="X812" s="118"/>
      <c r="Y812" s="118"/>
      <c r="Z812" s="401"/>
      <c r="AA812" s="118"/>
      <c r="AB812" s="118"/>
      <c r="AC812" s="118"/>
      <c r="AD812" s="118"/>
      <c r="AE812" s="401"/>
      <c r="AF812" s="118"/>
      <c r="AG812" s="118"/>
      <c r="AH812" s="118"/>
      <c r="AI812" s="118"/>
      <c r="AJ812" s="401"/>
      <c r="AK812" s="118"/>
      <c r="AL812" s="118"/>
      <c r="AM812" s="118"/>
      <c r="AN812" s="118"/>
      <c r="AO812" s="401"/>
      <c r="AP812" s="118"/>
      <c r="AQ812" s="118"/>
      <c r="AR812" s="302">
        <v>-1040.3489999999999</v>
      </c>
      <c r="AS812" s="122">
        <f t="shared" si="618"/>
        <v>-1040.3489999999999</v>
      </c>
      <c r="AT812" s="403">
        <v>-1040.3489999999999</v>
      </c>
      <c r="AU812" s="118"/>
      <c r="AV812" s="118"/>
      <c r="AW812" s="118"/>
      <c r="AX812" s="118"/>
      <c r="AY812" s="401"/>
      <c r="AZ812" s="118"/>
      <c r="BA812" s="118"/>
      <c r="BB812" s="302">
        <v>-504</v>
      </c>
      <c r="BC812" s="118">
        <f t="shared" si="621"/>
        <v>-504</v>
      </c>
      <c r="BD812" s="403">
        <v>-504</v>
      </c>
      <c r="BE812" s="118"/>
      <c r="BF812" s="302">
        <v>-514</v>
      </c>
      <c r="BG812" s="302">
        <v>-514</v>
      </c>
      <c r="BH812" s="118">
        <f>BI812</f>
        <v>-514</v>
      </c>
      <c r="BI812" s="403">
        <v>-514</v>
      </c>
      <c r="BJ812" s="971"/>
      <c r="BK812" s="118"/>
      <c r="BL812" s="118"/>
      <c r="BM812" s="118">
        <f t="shared" si="616"/>
        <v>0</v>
      </c>
      <c r="BN812" s="401"/>
      <c r="BO812" s="118"/>
      <c r="BP812" s="118"/>
      <c r="BQ812" s="118"/>
      <c r="BR812" s="118">
        <f t="shared" si="617"/>
        <v>0</v>
      </c>
      <c r="BS812" s="401"/>
      <c r="BT812" s="401"/>
      <c r="BU812" s="401"/>
      <c r="BV812" s="401"/>
      <c r="BW812" s="122"/>
    </row>
    <row r="813" spans="1:75" hidden="1" outlineLevel="1" x14ac:dyDescent="0.5">
      <c r="A813" s="464" t="s">
        <v>2664</v>
      </c>
      <c r="B813" s="513"/>
      <c r="C813" s="401"/>
      <c r="D813" s="401"/>
      <c r="E813" s="401"/>
      <c r="F813" s="401"/>
      <c r="G813" s="118"/>
      <c r="H813" s="118"/>
      <c r="I813" s="118"/>
      <c r="J813" s="118"/>
      <c r="K813" s="401"/>
      <c r="L813" s="302">
        <v>154.774</v>
      </c>
      <c r="M813" s="302">
        <v>154.774</v>
      </c>
      <c r="N813" s="302">
        <v>154.774</v>
      </c>
      <c r="O813" s="122">
        <f>P813</f>
        <v>154.774</v>
      </c>
      <c r="P813" s="403">
        <v>154.774</v>
      </c>
      <c r="Q813" s="118"/>
      <c r="R813" s="118"/>
      <c r="S813" s="302">
        <v>0</v>
      </c>
      <c r="T813" s="302">
        <v>0</v>
      </c>
      <c r="U813" s="401"/>
      <c r="V813" s="118"/>
      <c r="W813" s="118"/>
      <c r="X813" s="118"/>
      <c r="Y813" s="122">
        <f>Z813</f>
        <v>0</v>
      </c>
      <c r="Z813" s="401"/>
      <c r="AA813" s="118"/>
      <c r="AB813" s="118"/>
      <c r="AC813" s="118"/>
      <c r="AD813" s="122">
        <f>AE813</f>
        <v>0</v>
      </c>
      <c r="AE813" s="401"/>
      <c r="AF813" s="118"/>
      <c r="AG813" s="118"/>
      <c r="AH813" s="118"/>
      <c r="AI813" s="122">
        <f t="shared" si="619"/>
        <v>0</v>
      </c>
      <c r="AJ813" s="401"/>
      <c r="AK813" s="118"/>
      <c r="AL813" s="118"/>
      <c r="AM813" s="118"/>
      <c r="AN813" s="122">
        <f t="shared" si="620"/>
        <v>0</v>
      </c>
      <c r="AO813" s="401"/>
      <c r="AP813" s="118"/>
      <c r="AQ813" s="118"/>
      <c r="AR813" s="118"/>
      <c r="AS813" s="122">
        <f t="shared" si="618"/>
        <v>0</v>
      </c>
      <c r="AT813" s="401"/>
      <c r="AU813" s="118"/>
      <c r="AV813" s="118"/>
      <c r="AW813" s="118"/>
      <c r="AX813" s="118"/>
      <c r="AY813" s="401"/>
      <c r="AZ813" s="118"/>
      <c r="BA813" s="118"/>
      <c r="BB813" s="118"/>
      <c r="BC813" s="118"/>
      <c r="BD813" s="401"/>
      <c r="BE813" s="118"/>
      <c r="BF813" s="118"/>
      <c r="BG813" s="118"/>
      <c r="BH813" s="118"/>
      <c r="BI813" s="401"/>
      <c r="BJ813" s="971"/>
      <c r="BK813" s="118"/>
      <c r="BL813" s="118"/>
      <c r="BM813" s="118">
        <f t="shared" si="616"/>
        <v>0</v>
      </c>
      <c r="BN813" s="401"/>
      <c r="BO813" s="118"/>
      <c r="BP813" s="118"/>
      <c r="BQ813" s="118"/>
      <c r="BR813" s="118">
        <f t="shared" si="617"/>
        <v>0</v>
      </c>
      <c r="BS813" s="401"/>
      <c r="BT813" s="401"/>
      <c r="BU813" s="401"/>
      <c r="BV813" s="401"/>
      <c r="BW813" s="122"/>
    </row>
    <row r="814" spans="1:75" hidden="1" outlineLevel="1" x14ac:dyDescent="0.5">
      <c r="A814" s="464" t="s">
        <v>2665</v>
      </c>
      <c r="B814" s="513"/>
      <c r="C814" s="401"/>
      <c r="D814" s="401"/>
      <c r="E814" s="401"/>
      <c r="F814" s="401"/>
      <c r="G814" s="118"/>
      <c r="H814" s="118"/>
      <c r="I814" s="118"/>
      <c r="J814" s="118"/>
      <c r="K814" s="401"/>
      <c r="L814" s="302">
        <v>-23.5</v>
      </c>
      <c r="M814" s="302">
        <v>-23.5</v>
      </c>
      <c r="N814" s="302">
        <v>-23.5</v>
      </c>
      <c r="O814" s="122">
        <f>P814</f>
        <v>-23.5</v>
      </c>
      <c r="P814" s="403">
        <v>-23.5</v>
      </c>
      <c r="Q814" s="118"/>
      <c r="R814" s="118"/>
      <c r="S814" s="302">
        <v>0</v>
      </c>
      <c r="T814" s="302">
        <v>0</v>
      </c>
      <c r="U814" s="403">
        <v>0</v>
      </c>
      <c r="V814" s="118"/>
      <c r="W814" s="118"/>
      <c r="X814" s="118"/>
      <c r="Y814" s="122">
        <f>Z814</f>
        <v>0</v>
      </c>
      <c r="Z814" s="401"/>
      <c r="AA814" s="118"/>
      <c r="AB814" s="118"/>
      <c r="AC814" s="118"/>
      <c r="AD814" s="122">
        <f>AE814</f>
        <v>0</v>
      </c>
      <c r="AE814" s="401"/>
      <c r="AF814" s="118"/>
      <c r="AG814" s="118"/>
      <c r="AH814" s="118"/>
      <c r="AI814" s="122">
        <f t="shared" si="619"/>
        <v>0</v>
      </c>
      <c r="AJ814" s="401"/>
      <c r="AK814" s="118"/>
      <c r="AL814" s="118"/>
      <c r="AM814" s="118"/>
      <c r="AN814" s="122">
        <f t="shared" si="620"/>
        <v>0</v>
      </c>
      <c r="AO814" s="401"/>
      <c r="AP814" s="118"/>
      <c r="AQ814" s="118"/>
      <c r="AR814" s="302">
        <v>-280.23599999999999</v>
      </c>
      <c r="AS814" s="122">
        <f t="shared" si="618"/>
        <v>-380.23700000000002</v>
      </c>
      <c r="AT814" s="403">
        <v>-380.23700000000002</v>
      </c>
      <c r="AU814" s="302">
        <v>-0.188</v>
      </c>
      <c r="AV814" s="302">
        <v>-300.20800000000003</v>
      </c>
      <c r="AW814" s="302">
        <v>-300.20800000000003</v>
      </c>
      <c r="AX814" s="122">
        <f t="shared" ref="AX814:AX819" si="622">AY814</f>
        <v>-300</v>
      </c>
      <c r="AY814" s="403">
        <v>-300</v>
      </c>
      <c r="AZ814" s="302">
        <v>-75</v>
      </c>
      <c r="BA814" s="302">
        <v>-75</v>
      </c>
      <c r="BB814" s="302">
        <v>-75</v>
      </c>
      <c r="BC814" s="122">
        <f>BD814</f>
        <v>-75</v>
      </c>
      <c r="BD814" s="403">
        <v>-75</v>
      </c>
      <c r="BE814" s="118"/>
      <c r="BF814" s="118"/>
      <c r="BG814" s="118"/>
      <c r="BH814" s="122">
        <f>BI814</f>
        <v>0</v>
      </c>
      <c r="BI814" s="401"/>
      <c r="BJ814" s="971"/>
      <c r="BK814" s="118"/>
      <c r="BL814" s="118"/>
      <c r="BM814" s="118">
        <f t="shared" si="616"/>
        <v>0</v>
      </c>
      <c r="BN814" s="401"/>
      <c r="BO814" s="118"/>
      <c r="BP814" s="118"/>
      <c r="BQ814" s="118"/>
      <c r="BR814" s="118">
        <f t="shared" si="617"/>
        <v>0</v>
      </c>
      <c r="BS814" s="401"/>
      <c r="BT814" s="401"/>
      <c r="BU814" s="401"/>
      <c r="BV814" s="401"/>
      <c r="BW814" s="122"/>
    </row>
    <row r="815" spans="1:75" hidden="1" outlineLevel="1" x14ac:dyDescent="0.5">
      <c r="A815" s="464" t="s">
        <v>2666</v>
      </c>
      <c r="B815" s="513"/>
      <c r="C815" s="401"/>
      <c r="D815" s="401"/>
      <c r="E815" s="401"/>
      <c r="F815" s="401"/>
      <c r="G815" s="118"/>
      <c r="H815" s="118"/>
      <c r="I815" s="118"/>
      <c r="J815" s="118"/>
      <c r="K815" s="401"/>
      <c r="L815" s="302">
        <v>-15</v>
      </c>
      <c r="M815" s="302">
        <v>-15</v>
      </c>
      <c r="N815" s="302">
        <v>-15</v>
      </c>
      <c r="O815" s="122">
        <f>P815</f>
        <v>-39.515999999999998</v>
      </c>
      <c r="P815" s="403">
        <v>-39.515999999999998</v>
      </c>
      <c r="Q815" s="118"/>
      <c r="R815" s="118"/>
      <c r="S815" s="302">
        <v>0</v>
      </c>
      <c r="T815" s="302">
        <v>0</v>
      </c>
      <c r="U815" s="403">
        <v>0</v>
      </c>
      <c r="V815" s="118"/>
      <c r="W815" s="118"/>
      <c r="X815" s="118"/>
      <c r="Y815" s="122">
        <f>Z815</f>
        <v>0</v>
      </c>
      <c r="Z815" s="401"/>
      <c r="AA815" s="118"/>
      <c r="AB815" s="118"/>
      <c r="AC815" s="118"/>
      <c r="AD815" s="122">
        <f>AE815</f>
        <v>0</v>
      </c>
      <c r="AE815" s="401"/>
      <c r="AF815" s="118"/>
      <c r="AG815" s="118"/>
      <c r="AH815" s="118"/>
      <c r="AI815" s="122">
        <f t="shared" si="619"/>
        <v>0</v>
      </c>
      <c r="AJ815" s="401"/>
      <c r="AK815" s="118"/>
      <c r="AL815" s="118"/>
      <c r="AM815" s="118"/>
      <c r="AN815" s="122">
        <f t="shared" si="620"/>
        <v>0</v>
      </c>
      <c r="AO815" s="401"/>
      <c r="AP815" s="118"/>
      <c r="AQ815" s="118"/>
      <c r="AR815" s="118"/>
      <c r="AS815" s="122">
        <f t="shared" si="618"/>
        <v>0</v>
      </c>
      <c r="AT815" s="401"/>
      <c r="AU815" s="118"/>
      <c r="AV815" s="118"/>
      <c r="AW815" s="118"/>
      <c r="AX815" s="118"/>
      <c r="AY815" s="401"/>
      <c r="AZ815" s="118"/>
      <c r="BA815" s="118"/>
      <c r="BB815" s="118"/>
      <c r="BC815" s="118"/>
      <c r="BD815" s="401"/>
      <c r="BE815" s="118"/>
      <c r="BF815" s="118"/>
      <c r="BG815" s="118"/>
      <c r="BH815" s="118"/>
      <c r="BI815" s="401"/>
      <c r="BJ815" s="971"/>
      <c r="BK815" s="118"/>
      <c r="BL815" s="118"/>
      <c r="BM815" s="118">
        <f t="shared" si="616"/>
        <v>0</v>
      </c>
      <c r="BN815" s="401"/>
      <c r="BO815" s="118"/>
      <c r="BP815" s="118"/>
      <c r="BQ815" s="118"/>
      <c r="BR815" s="118">
        <f t="shared" si="617"/>
        <v>0</v>
      </c>
      <c r="BS815" s="401"/>
      <c r="BT815" s="401"/>
      <c r="BU815" s="401"/>
      <c r="BV815" s="401"/>
      <c r="BW815" s="122"/>
    </row>
    <row r="816" spans="1:75" hidden="1" outlineLevel="1" x14ac:dyDescent="0.5">
      <c r="A816" s="464" t="s">
        <v>2667</v>
      </c>
      <c r="B816" s="513"/>
      <c r="C816" s="401"/>
      <c r="D816" s="401"/>
      <c r="E816" s="401"/>
      <c r="F816" s="401"/>
      <c r="G816" s="118"/>
      <c r="H816" s="118"/>
      <c r="I816" s="118"/>
      <c r="J816" s="118"/>
      <c r="K816" s="401"/>
      <c r="L816" s="302">
        <v>-4.5540000000000003</v>
      </c>
      <c r="M816" s="302">
        <v>-5.5279999999999996</v>
      </c>
      <c r="N816" s="302">
        <v>-5.5279999999999996</v>
      </c>
      <c r="O816" s="122">
        <f>P816</f>
        <v>-5.5279999999999996</v>
      </c>
      <c r="P816" s="403">
        <v>-5.5279999999999996</v>
      </c>
      <c r="Q816" s="118"/>
      <c r="R816" s="118"/>
      <c r="S816" s="302">
        <v>0</v>
      </c>
      <c r="T816" s="118"/>
      <c r="U816" s="403">
        <v>0</v>
      </c>
      <c r="V816" s="118"/>
      <c r="W816" s="118"/>
      <c r="X816" s="118"/>
      <c r="Y816" s="122">
        <f>Z816</f>
        <v>0</v>
      </c>
      <c r="Z816" s="401"/>
      <c r="AA816" s="118"/>
      <c r="AB816" s="118"/>
      <c r="AC816" s="118"/>
      <c r="AD816" s="122">
        <f>AE816</f>
        <v>0</v>
      </c>
      <c r="AE816" s="401"/>
      <c r="AF816" s="118"/>
      <c r="AG816" s="118"/>
      <c r="AH816" s="118"/>
      <c r="AI816" s="122">
        <f t="shared" si="619"/>
        <v>0</v>
      </c>
      <c r="AJ816" s="401"/>
      <c r="AK816" s="118"/>
      <c r="AL816" s="118"/>
      <c r="AM816" s="118"/>
      <c r="AN816" s="122">
        <f t="shared" si="620"/>
        <v>0</v>
      </c>
      <c r="AO816" s="401"/>
      <c r="AP816" s="118"/>
      <c r="AQ816" s="118"/>
      <c r="AR816" s="118"/>
      <c r="AS816" s="122">
        <f t="shared" si="618"/>
        <v>0</v>
      </c>
      <c r="AT816" s="401"/>
      <c r="AU816" s="118"/>
      <c r="AV816" s="118"/>
      <c r="AW816" s="118"/>
      <c r="AX816" s="118"/>
      <c r="AY816" s="401"/>
      <c r="AZ816" s="118"/>
      <c r="BA816" s="118"/>
      <c r="BB816" s="118"/>
      <c r="BC816" s="118"/>
      <c r="BD816" s="401"/>
      <c r="BE816" s="118"/>
      <c r="BF816" s="118"/>
      <c r="BG816" s="118"/>
      <c r="BH816" s="118"/>
      <c r="BI816" s="401"/>
      <c r="BJ816" s="971"/>
      <c r="BK816" s="118"/>
      <c r="BL816" s="118"/>
      <c r="BM816" s="118">
        <f t="shared" si="616"/>
        <v>0</v>
      </c>
      <c r="BN816" s="401"/>
      <c r="BO816" s="118"/>
      <c r="BP816" s="118"/>
      <c r="BQ816" s="118"/>
      <c r="BR816" s="118">
        <f t="shared" si="617"/>
        <v>0</v>
      </c>
      <c r="BS816" s="401"/>
      <c r="BT816" s="401"/>
      <c r="BU816" s="401"/>
      <c r="BV816" s="401"/>
      <c r="BW816" s="122"/>
    </row>
    <row r="817" spans="1:75" hidden="1" outlineLevel="1" x14ac:dyDescent="0.5">
      <c r="A817" s="464" t="s">
        <v>2668</v>
      </c>
      <c r="B817" s="513"/>
      <c r="C817" s="401"/>
      <c r="D817" s="401"/>
      <c r="E817" s="401"/>
      <c r="F817" s="401"/>
      <c r="G817" s="118"/>
      <c r="H817" s="118"/>
      <c r="I817" s="118"/>
      <c r="J817" s="118"/>
      <c r="K817" s="401"/>
      <c r="L817" s="118"/>
      <c r="M817" s="118"/>
      <c r="N817" s="118"/>
      <c r="O817" s="118"/>
      <c r="P817" s="401"/>
      <c r="Q817" s="118"/>
      <c r="R817" s="118"/>
      <c r="S817" s="118"/>
      <c r="T817" s="118"/>
      <c r="U817" s="401"/>
      <c r="V817" s="118"/>
      <c r="W817" s="118"/>
      <c r="X817" s="118"/>
      <c r="Y817" s="118"/>
      <c r="Z817" s="401"/>
      <c r="AA817" s="118"/>
      <c r="AB817" s="118"/>
      <c r="AC817" s="118"/>
      <c r="AD817" s="118"/>
      <c r="AE817" s="401"/>
      <c r="AF817" s="118"/>
      <c r="AG817" s="118"/>
      <c r="AH817" s="118"/>
      <c r="AI817" s="122">
        <f t="shared" si="619"/>
        <v>0</v>
      </c>
      <c r="AJ817" s="401"/>
      <c r="AK817" s="118"/>
      <c r="AL817" s="118"/>
      <c r="AM817" s="118"/>
      <c r="AN817" s="122">
        <f t="shared" si="620"/>
        <v>0</v>
      </c>
      <c r="AO817" s="401"/>
      <c r="AP817" s="118"/>
      <c r="AQ817" s="118"/>
      <c r="AR817" s="118"/>
      <c r="AS817" s="122">
        <f t="shared" si="618"/>
        <v>0</v>
      </c>
      <c r="AT817" s="401"/>
      <c r="AU817" s="118"/>
      <c r="AV817" s="118"/>
      <c r="AW817" s="118"/>
      <c r="AX817" s="118"/>
      <c r="AY817" s="401"/>
      <c r="AZ817" s="118"/>
      <c r="BA817" s="118"/>
      <c r="BB817" s="118"/>
      <c r="BC817" s="118"/>
      <c r="BD817" s="401"/>
      <c r="BE817" s="118"/>
      <c r="BF817" s="118"/>
      <c r="BG817" s="118"/>
      <c r="BH817" s="118"/>
      <c r="BI817" s="401"/>
      <c r="BJ817" s="971"/>
      <c r="BK817" s="118"/>
      <c r="BL817" s="118"/>
      <c r="BM817" s="118">
        <f t="shared" si="616"/>
        <v>0</v>
      </c>
      <c r="BN817" s="401"/>
      <c r="BO817" s="118"/>
      <c r="BP817" s="118"/>
      <c r="BQ817" s="118"/>
      <c r="BR817" s="118">
        <f t="shared" si="617"/>
        <v>0</v>
      </c>
      <c r="BS817" s="401"/>
      <c r="BT817" s="401"/>
      <c r="BU817" s="401"/>
      <c r="BV817" s="401"/>
      <c r="BW817" s="122"/>
    </row>
    <row r="818" spans="1:75" hidden="1" outlineLevel="1" x14ac:dyDescent="0.5">
      <c r="A818" s="464" t="s">
        <v>1542</v>
      </c>
      <c r="B818" s="513"/>
      <c r="C818" s="401"/>
      <c r="D818" s="401"/>
      <c r="E818" s="401"/>
      <c r="F818" s="403">
        <v>0.7</v>
      </c>
      <c r="G818" s="118"/>
      <c r="H818" s="118"/>
      <c r="I818" s="118"/>
      <c r="J818" s="118"/>
      <c r="K818" s="401"/>
      <c r="L818" s="118"/>
      <c r="M818" s="118"/>
      <c r="N818" s="118"/>
      <c r="O818" s="118"/>
      <c r="P818" s="401"/>
      <c r="Q818" s="118"/>
      <c r="R818" s="118"/>
      <c r="S818" s="118"/>
      <c r="T818" s="118"/>
      <c r="U818" s="401"/>
      <c r="V818" s="118"/>
      <c r="W818" s="118"/>
      <c r="X818" s="118"/>
      <c r="Y818" s="118"/>
      <c r="Z818" s="401"/>
      <c r="AA818" s="118"/>
      <c r="AB818" s="118"/>
      <c r="AC818" s="118"/>
      <c r="AD818" s="118"/>
      <c r="AE818" s="401"/>
      <c r="AF818" s="118"/>
      <c r="AG818" s="118"/>
      <c r="AH818" s="118"/>
      <c r="AI818" s="122">
        <f t="shared" si="619"/>
        <v>0</v>
      </c>
      <c r="AJ818" s="401"/>
      <c r="AK818" s="118"/>
      <c r="AL818" s="118"/>
      <c r="AM818" s="118"/>
      <c r="AN818" s="122">
        <f t="shared" si="620"/>
        <v>0</v>
      </c>
      <c r="AO818" s="401"/>
      <c r="AP818" s="118"/>
      <c r="AQ818" s="118"/>
      <c r="AR818" s="118"/>
      <c r="AS818" s="122">
        <f t="shared" si="618"/>
        <v>0</v>
      </c>
      <c r="AT818" s="401"/>
      <c r="AU818" s="118"/>
      <c r="AV818" s="118"/>
      <c r="AW818" s="118"/>
      <c r="AX818" s="118"/>
      <c r="AY818" s="401"/>
      <c r="AZ818" s="118"/>
      <c r="BA818" s="118"/>
      <c r="BB818" s="118"/>
      <c r="BC818" s="118"/>
      <c r="BD818" s="401"/>
      <c r="BE818" s="118"/>
      <c r="BF818" s="118"/>
      <c r="BG818" s="118"/>
      <c r="BH818" s="118"/>
      <c r="BI818" s="401"/>
      <c r="BJ818" s="971"/>
      <c r="BK818" s="118"/>
      <c r="BL818" s="118"/>
      <c r="BM818" s="118">
        <f t="shared" si="616"/>
        <v>0</v>
      </c>
      <c r="BN818" s="401"/>
      <c r="BO818" s="118"/>
      <c r="BP818" s="118"/>
      <c r="BQ818" s="118"/>
      <c r="BR818" s="118">
        <f t="shared" si="617"/>
        <v>0</v>
      </c>
      <c r="BS818" s="401"/>
      <c r="BT818" s="401"/>
      <c r="BU818" s="401"/>
      <c r="BV818" s="401"/>
      <c r="BW818" s="122"/>
    </row>
    <row r="819" spans="1:75" hidden="1" outlineLevel="1" x14ac:dyDescent="0.5">
      <c r="A819" s="464" t="s">
        <v>1422</v>
      </c>
      <c r="B819" s="513"/>
      <c r="C819" s="401"/>
      <c r="D819" s="401"/>
      <c r="E819" s="401"/>
      <c r="F819" s="401"/>
      <c r="G819" s="118"/>
      <c r="H819" s="118"/>
      <c r="I819" s="118"/>
      <c r="J819" s="118"/>
      <c r="K819" s="401"/>
      <c r="L819" s="118"/>
      <c r="M819" s="118"/>
      <c r="N819" s="118"/>
      <c r="O819" s="118"/>
      <c r="P819" s="401"/>
      <c r="Q819" s="118"/>
      <c r="R819" s="118"/>
      <c r="S819" s="118"/>
      <c r="T819" s="118"/>
      <c r="U819" s="401"/>
      <c r="V819" s="118"/>
      <c r="W819" s="118"/>
      <c r="X819" s="118"/>
      <c r="Y819" s="118"/>
      <c r="Z819" s="401"/>
      <c r="AA819" s="118"/>
      <c r="AB819" s="118"/>
      <c r="AC819" s="118"/>
      <c r="AD819" s="118"/>
      <c r="AE819" s="401"/>
      <c r="AF819" s="118"/>
      <c r="AG819" s="118"/>
      <c r="AH819" s="118"/>
      <c r="AI819" s="118"/>
      <c r="AJ819" s="401"/>
      <c r="AK819" s="118"/>
      <c r="AL819" s="118"/>
      <c r="AM819" s="118"/>
      <c r="AN819" s="118"/>
      <c r="AO819" s="401"/>
      <c r="AP819" s="118"/>
      <c r="AQ819" s="118"/>
      <c r="AR819" s="302">
        <v>0.38</v>
      </c>
      <c r="AS819" s="122">
        <f t="shared" si="618"/>
        <v>0.44</v>
      </c>
      <c r="AT819" s="403">
        <v>0.44</v>
      </c>
      <c r="AU819" s="302">
        <v>4.4999999999999998E-2</v>
      </c>
      <c r="AV819" s="302">
        <v>5.6000000000000001E-2</v>
      </c>
      <c r="AW819" s="302">
        <v>-2.448</v>
      </c>
      <c r="AX819" s="122">
        <f t="shared" si="622"/>
        <v>-3</v>
      </c>
      <c r="AY819" s="403">
        <v>-3</v>
      </c>
      <c r="AZ819" s="118"/>
      <c r="BA819" s="118"/>
      <c r="BB819" s="118"/>
      <c r="BC819" s="122">
        <f>BD819</f>
        <v>0</v>
      </c>
      <c r="BD819" s="403">
        <v>0</v>
      </c>
      <c r="BE819" s="118"/>
      <c r="BF819" s="118"/>
      <c r="BG819" s="118"/>
      <c r="BH819" s="122">
        <f>BI819</f>
        <v>0</v>
      </c>
      <c r="BI819" s="401"/>
      <c r="BJ819" s="971"/>
      <c r="BK819" s="118"/>
      <c r="BL819" s="118"/>
      <c r="BM819" s="118">
        <f t="shared" si="616"/>
        <v>0</v>
      </c>
      <c r="BN819" s="401"/>
      <c r="BO819" s="118"/>
      <c r="BP819" s="118"/>
      <c r="BQ819" s="118"/>
      <c r="BR819" s="118">
        <f t="shared" si="617"/>
        <v>0</v>
      </c>
      <c r="BS819" s="401"/>
      <c r="BT819" s="401"/>
      <c r="BU819" s="401"/>
      <c r="BV819" s="401"/>
      <c r="BW819" s="122"/>
    </row>
    <row r="820" spans="1:75" hidden="1" outlineLevel="1" x14ac:dyDescent="0.5">
      <c r="A820" s="464" t="s">
        <v>2669</v>
      </c>
      <c r="B820" s="513"/>
      <c r="C820" s="401"/>
      <c r="D820" s="401"/>
      <c r="E820" s="401"/>
      <c r="F820" s="401"/>
      <c r="G820" s="118"/>
      <c r="H820" s="118"/>
      <c r="I820" s="118"/>
      <c r="J820" s="118"/>
      <c r="K820" s="401"/>
      <c r="L820" s="118"/>
      <c r="M820" s="118"/>
      <c r="N820" s="118"/>
      <c r="O820" s="122">
        <f>P820</f>
        <v>282.89299999999997</v>
      </c>
      <c r="P820" s="403">
        <v>282.89299999999997</v>
      </c>
      <c r="Q820" s="118"/>
      <c r="R820" s="118"/>
      <c r="S820" s="118"/>
      <c r="T820" s="118"/>
      <c r="U820" s="403">
        <v>0</v>
      </c>
      <c r="V820" s="118"/>
      <c r="W820" s="118"/>
      <c r="X820" s="118"/>
      <c r="Y820" s="122">
        <f>Z820</f>
        <v>0</v>
      </c>
      <c r="Z820" s="401"/>
      <c r="AA820" s="118"/>
      <c r="AB820" s="118"/>
      <c r="AC820" s="118"/>
      <c r="AD820" s="122">
        <f>AE820</f>
        <v>0</v>
      </c>
      <c r="AE820" s="401"/>
      <c r="AF820" s="118"/>
      <c r="AG820" s="118"/>
      <c r="AH820" s="118"/>
      <c r="AI820" s="122">
        <f t="shared" si="619"/>
        <v>0</v>
      </c>
      <c r="AJ820" s="401"/>
      <c r="AK820" s="118"/>
      <c r="AL820" s="723"/>
      <c r="AM820" s="723"/>
      <c r="AN820" s="122">
        <f t="shared" si="620"/>
        <v>0</v>
      </c>
      <c r="AO820" s="401"/>
      <c r="AP820" s="118"/>
      <c r="AQ820" s="723"/>
      <c r="AR820" s="723"/>
      <c r="AS820" s="122">
        <f>AT820</f>
        <v>0</v>
      </c>
      <c r="AT820" s="401"/>
      <c r="AU820" s="118"/>
      <c r="AV820" s="723"/>
      <c r="AW820" s="723"/>
      <c r="AX820" s="118"/>
      <c r="AY820" s="401"/>
      <c r="AZ820" s="118"/>
      <c r="BA820" s="723"/>
      <c r="BB820" s="723"/>
      <c r="BC820" s="118"/>
      <c r="BD820" s="401"/>
      <c r="BE820" s="118"/>
      <c r="BF820" s="723"/>
      <c r="BG820" s="723"/>
      <c r="BH820" s="118"/>
      <c r="BI820" s="401"/>
      <c r="BJ820" s="971"/>
      <c r="BK820" s="118"/>
      <c r="BL820" s="118"/>
      <c r="BM820" s="118">
        <f t="shared" si="616"/>
        <v>0</v>
      </c>
      <c r="BN820" s="401"/>
      <c r="BO820" s="118"/>
      <c r="BP820" s="118"/>
      <c r="BQ820" s="118"/>
      <c r="BR820" s="118">
        <f t="shared" si="617"/>
        <v>0</v>
      </c>
      <c r="BS820" s="401"/>
      <c r="BT820" s="401"/>
      <c r="BU820" s="401"/>
      <c r="BV820" s="401"/>
      <c r="BW820" s="122"/>
    </row>
    <row r="821" spans="1:75" hidden="1" outlineLevel="1" x14ac:dyDescent="0.5">
      <c r="A821" s="516" t="s">
        <v>1425</v>
      </c>
      <c r="B821" s="517"/>
      <c r="C821" s="518"/>
      <c r="D821" s="518"/>
      <c r="E821" s="518"/>
      <c r="F821" s="519">
        <f t="shared" ref="F821:AH821" si="623">SUM(F803:F820)</f>
        <v>44.944000000000003</v>
      </c>
      <c r="G821" s="520">
        <f t="shared" si="623"/>
        <v>0</v>
      </c>
      <c r="H821" s="520">
        <f t="shared" si="623"/>
        <v>0</v>
      </c>
      <c r="I821" s="520">
        <f t="shared" si="623"/>
        <v>0</v>
      </c>
      <c r="J821" s="520">
        <f t="shared" si="623"/>
        <v>0</v>
      </c>
      <c r="K821" s="519">
        <f t="shared" si="623"/>
        <v>0</v>
      </c>
      <c r="L821" s="520">
        <f t="shared" si="623"/>
        <v>111.72</v>
      </c>
      <c r="M821" s="520">
        <f t="shared" si="623"/>
        <v>110.746</v>
      </c>
      <c r="N821" s="520">
        <f t="shared" si="623"/>
        <v>110.746</v>
      </c>
      <c r="O821" s="520">
        <f t="shared" si="623"/>
        <v>341.15</v>
      </c>
      <c r="P821" s="519">
        <f t="shared" si="623"/>
        <v>341.15</v>
      </c>
      <c r="Q821" s="520">
        <f t="shared" si="623"/>
        <v>-4.2360000000000007</v>
      </c>
      <c r="R821" s="520">
        <f t="shared" si="623"/>
        <v>-7.5649999999999995</v>
      </c>
      <c r="S821" s="520">
        <f t="shared" si="623"/>
        <v>-12.524999999999999</v>
      </c>
      <c r="T821" s="520">
        <f t="shared" si="623"/>
        <v>-18.616</v>
      </c>
      <c r="U821" s="519">
        <f t="shared" si="623"/>
        <v>-18.616</v>
      </c>
      <c r="V821" s="520">
        <f t="shared" si="623"/>
        <v>-6.57</v>
      </c>
      <c r="W821" s="520">
        <f t="shared" si="623"/>
        <v>-12.244</v>
      </c>
      <c r="X821" s="520">
        <f t="shared" si="623"/>
        <v>-18.259999999999998</v>
      </c>
      <c r="Y821" s="520">
        <f t="shared" si="623"/>
        <v>-20.882999999999999</v>
      </c>
      <c r="Z821" s="519">
        <f t="shared" si="623"/>
        <v>-20.882999999999999</v>
      </c>
      <c r="AA821" s="520">
        <f t="shared" si="623"/>
        <v>-0.53799999999999992</v>
      </c>
      <c r="AB821" s="520">
        <f t="shared" si="623"/>
        <v>-1.0900000000000001</v>
      </c>
      <c r="AC821" s="520">
        <f t="shared" si="623"/>
        <v>375.22500000000002</v>
      </c>
      <c r="AD821" s="520">
        <f t="shared" si="623"/>
        <v>374.971</v>
      </c>
      <c r="AE821" s="519">
        <f t="shared" si="623"/>
        <v>374.971</v>
      </c>
      <c r="AF821" s="520">
        <f t="shared" si="623"/>
        <v>-0.36199999999999999</v>
      </c>
      <c r="AG821" s="520">
        <f t="shared" si="623"/>
        <v>-0.56100000000000005</v>
      </c>
      <c r="AH821" s="520">
        <f t="shared" si="623"/>
        <v>-0.99299999999999999</v>
      </c>
      <c r="AI821" s="520">
        <f t="shared" ref="AI821:BV821" si="624">SUM(AI803:AI820)</f>
        <v>467.46300000000008</v>
      </c>
      <c r="AJ821" s="519">
        <f t="shared" si="624"/>
        <v>467.46300000000008</v>
      </c>
      <c r="AK821" s="520">
        <f t="shared" si="624"/>
        <v>-0.88900000000000001</v>
      </c>
      <c r="AL821" s="520">
        <f t="shared" si="624"/>
        <v>-1.135</v>
      </c>
      <c r="AM821" s="520">
        <f t="shared" si="624"/>
        <v>787.20699999999988</v>
      </c>
      <c r="AN821" s="520">
        <f t="shared" si="624"/>
        <v>786.50399999999991</v>
      </c>
      <c r="AO821" s="519">
        <f t="shared" si="624"/>
        <v>786.50399999999991</v>
      </c>
      <c r="AP821" s="520">
        <f t="shared" si="624"/>
        <v>100.125</v>
      </c>
      <c r="AQ821" s="520">
        <f t="shared" si="624"/>
        <v>527.64300000000003</v>
      </c>
      <c r="AR821" s="520">
        <f t="shared" si="624"/>
        <v>452.529</v>
      </c>
      <c r="AS821" s="520">
        <f t="shared" si="624"/>
        <v>352.58799999999997</v>
      </c>
      <c r="AT821" s="519">
        <f t="shared" si="624"/>
        <v>352.58799999999997</v>
      </c>
      <c r="AU821" s="520">
        <f t="shared" si="624"/>
        <v>-0.14300000000000002</v>
      </c>
      <c r="AV821" s="520">
        <f t="shared" si="624"/>
        <v>-300.15200000000004</v>
      </c>
      <c r="AW821" s="520">
        <f t="shared" si="624"/>
        <v>-302.65600000000001</v>
      </c>
      <c r="AX821" s="520">
        <f t="shared" si="624"/>
        <v>-303</v>
      </c>
      <c r="AY821" s="519">
        <f t="shared" si="624"/>
        <v>-303</v>
      </c>
      <c r="AZ821" s="520">
        <f t="shared" si="624"/>
        <v>-75</v>
      </c>
      <c r="BA821" s="520">
        <f t="shared" si="624"/>
        <v>-75</v>
      </c>
      <c r="BB821" s="520">
        <f t="shared" si="624"/>
        <v>16</v>
      </c>
      <c r="BC821" s="520">
        <f t="shared" si="624"/>
        <v>16</v>
      </c>
      <c r="BD821" s="519">
        <f t="shared" si="624"/>
        <v>16</v>
      </c>
      <c r="BE821" s="520">
        <f t="shared" si="624"/>
        <v>0</v>
      </c>
      <c r="BF821" s="520">
        <f t="shared" si="624"/>
        <v>77</v>
      </c>
      <c r="BG821" s="520">
        <f t="shared" si="624"/>
        <v>77</v>
      </c>
      <c r="BH821" s="520">
        <f t="shared" si="624"/>
        <v>77</v>
      </c>
      <c r="BI821" s="519">
        <f t="shared" si="624"/>
        <v>77</v>
      </c>
      <c r="BJ821" s="1270">
        <f>SUM(BJ803:BJ820)</f>
        <v>0</v>
      </c>
      <c r="BK821" s="327">
        <f t="shared" si="624"/>
        <v>0</v>
      </c>
      <c r="BL821" s="327">
        <f t="shared" si="624"/>
        <v>0</v>
      </c>
      <c r="BM821" s="327">
        <f t="shared" si="624"/>
        <v>0</v>
      </c>
      <c r="BN821" s="518">
        <f t="shared" si="624"/>
        <v>0</v>
      </c>
      <c r="BO821" s="327">
        <f t="shared" si="624"/>
        <v>0</v>
      </c>
      <c r="BP821" s="327">
        <f t="shared" si="624"/>
        <v>0</v>
      </c>
      <c r="BQ821" s="327">
        <f t="shared" si="624"/>
        <v>0</v>
      </c>
      <c r="BR821" s="327">
        <f t="shared" si="624"/>
        <v>0</v>
      </c>
      <c r="BS821" s="518">
        <f t="shared" si="624"/>
        <v>0</v>
      </c>
      <c r="BT821" s="518">
        <f t="shared" si="624"/>
        <v>0</v>
      </c>
      <c r="BU821" s="518">
        <f t="shared" si="624"/>
        <v>0</v>
      </c>
      <c r="BV821" s="518">
        <f t="shared" si="624"/>
        <v>0</v>
      </c>
      <c r="BW821" s="197"/>
    </row>
    <row r="822" spans="1:75" hidden="1" outlineLevel="1" x14ac:dyDescent="0.5">
      <c r="A822" s="206"/>
      <c r="B822" s="522"/>
      <c r="C822" s="397"/>
      <c r="D822" s="397"/>
      <c r="E822" s="397"/>
      <c r="F822" s="397"/>
      <c r="G822" s="295"/>
      <c r="H822" s="295"/>
      <c r="I822" s="295"/>
      <c r="J822" s="295"/>
      <c r="K822" s="397"/>
      <c r="L822" s="295"/>
      <c r="M822" s="295"/>
      <c r="N822" s="295"/>
      <c r="O822" s="295"/>
      <c r="P822" s="397"/>
      <c r="Q822" s="295"/>
      <c r="R822" s="295"/>
      <c r="S822" s="295"/>
      <c r="T822" s="295"/>
      <c r="U822" s="397"/>
      <c r="V822" s="295"/>
      <c r="W822" s="295"/>
      <c r="X822" s="295"/>
      <c r="Y822" s="295"/>
      <c r="Z822" s="397"/>
      <c r="AA822" s="295"/>
      <c r="AB822" s="295"/>
      <c r="AC822" s="295"/>
      <c r="AD822" s="295"/>
      <c r="AE822" s="397"/>
      <c r="AF822" s="295"/>
      <c r="AG822" s="295"/>
      <c r="AH822" s="295"/>
      <c r="AI822" s="295"/>
      <c r="AJ822" s="397"/>
      <c r="AK822" s="295"/>
      <c r="AL822" s="295"/>
      <c r="AM822" s="295"/>
      <c r="AN822" s="295"/>
      <c r="AO822" s="397"/>
      <c r="AP822" s="295"/>
      <c r="AQ822" s="295"/>
      <c r="AR822" s="295"/>
      <c r="AS822" s="295"/>
      <c r="AT822" s="397"/>
      <c r="AU822" s="295"/>
      <c r="AV822" s="295"/>
      <c r="AW822" s="295"/>
      <c r="AX822" s="295"/>
      <c r="AY822" s="397"/>
      <c r="AZ822" s="295"/>
      <c r="BA822" s="295"/>
      <c r="BB822" s="295"/>
      <c r="BC822" s="295"/>
      <c r="BD822" s="397"/>
      <c r="BE822" s="295"/>
      <c r="BF822" s="295"/>
      <c r="BG822" s="295"/>
      <c r="BH822" s="295"/>
      <c r="BI822" s="397"/>
      <c r="BJ822" s="1030"/>
      <c r="BK822" s="295"/>
      <c r="BL822" s="295"/>
      <c r="BM822" s="295"/>
      <c r="BN822" s="397"/>
      <c r="BO822" s="295"/>
      <c r="BP822" s="295"/>
      <c r="BQ822" s="295"/>
      <c r="BR822" s="295"/>
      <c r="BS822" s="397"/>
      <c r="BT822" s="397"/>
      <c r="BU822" s="397"/>
      <c r="BV822" s="397"/>
      <c r="BW822" s="197"/>
    </row>
    <row r="823" spans="1:75" hidden="1" outlineLevel="1" x14ac:dyDescent="0.5">
      <c r="A823" s="944" t="s">
        <v>1426</v>
      </c>
      <c r="B823" s="513"/>
      <c r="C823" s="401"/>
      <c r="D823" s="401"/>
      <c r="E823" s="401"/>
      <c r="F823" s="403">
        <v>2.5000000000000001E-2</v>
      </c>
      <c r="G823" s="302">
        <v>-1.6E-2</v>
      </c>
      <c r="H823" s="302">
        <v>-6.5000000000000002E-2</v>
      </c>
      <c r="I823" s="302">
        <v>5.0000000000000001E-3</v>
      </c>
      <c r="J823" s="122">
        <f>K823</f>
        <v>6.0000000000000001E-3</v>
      </c>
      <c r="K823" s="403">
        <v>6.0000000000000001E-3</v>
      </c>
      <c r="L823" s="302">
        <v>0.02</v>
      </c>
      <c r="M823" s="302">
        <v>6.0000000000000001E-3</v>
      </c>
      <c r="N823" s="302">
        <v>-2.9000000000000001E-2</v>
      </c>
      <c r="O823" s="122">
        <f>P823</f>
        <v>0.73</v>
      </c>
      <c r="P823" s="403">
        <v>0.73</v>
      </c>
      <c r="Q823" s="302">
        <v>-0.24199999999999999</v>
      </c>
      <c r="R823" s="302">
        <v>-0.33200000000000002</v>
      </c>
      <c r="S823" s="302">
        <v>-0.16500000000000001</v>
      </c>
      <c r="T823" s="122">
        <f>U823</f>
        <v>-0.46</v>
      </c>
      <c r="U823" s="403">
        <v>-0.46</v>
      </c>
      <c r="V823" s="302">
        <v>0.64300000000000002</v>
      </c>
      <c r="W823" s="302">
        <v>-0.47299999999999998</v>
      </c>
      <c r="X823" s="302">
        <v>0.28599999999999998</v>
      </c>
      <c r="Y823" s="122">
        <f>Z823</f>
        <v>-0.38700000000000001</v>
      </c>
      <c r="Z823" s="403">
        <v>-0.38700000000000001</v>
      </c>
      <c r="AA823" s="302">
        <v>2.5999999999999999E-2</v>
      </c>
      <c r="AB823" s="302">
        <v>0.55400000000000005</v>
      </c>
      <c r="AC823" s="302">
        <v>0.41299999999999998</v>
      </c>
      <c r="AD823" s="122">
        <f>AE823</f>
        <v>0.85</v>
      </c>
      <c r="AE823" s="403">
        <v>0.85</v>
      </c>
      <c r="AF823" s="302">
        <v>-0.10100000000000001</v>
      </c>
      <c r="AG823" s="302">
        <v>-0.187</v>
      </c>
      <c r="AH823" s="302">
        <v>-0.94499999999999995</v>
      </c>
      <c r="AI823" s="122">
        <f>AJ823</f>
        <v>-1.536</v>
      </c>
      <c r="AJ823" s="403">
        <v>-1.536</v>
      </c>
      <c r="AK823" s="302">
        <v>-0.16900000000000001</v>
      </c>
      <c r="AL823" s="302">
        <v>0.13600000000000001</v>
      </c>
      <c r="AM823" s="302">
        <v>-1.5860000000000001</v>
      </c>
      <c r="AN823" s="122">
        <f>AO823</f>
        <v>-1.5569999999999999</v>
      </c>
      <c r="AO823" s="403">
        <v>-1.5569999999999999</v>
      </c>
      <c r="AP823" s="302">
        <v>1.54</v>
      </c>
      <c r="AQ823" s="302">
        <v>3.91</v>
      </c>
      <c r="AR823" s="302">
        <v>7.4580000000000002</v>
      </c>
      <c r="AS823" s="122">
        <f>AT823</f>
        <v>13.443</v>
      </c>
      <c r="AT823" s="403">
        <v>13.443</v>
      </c>
      <c r="AU823" s="302">
        <v>-7.0780000000000003</v>
      </c>
      <c r="AV823" s="302">
        <v>-6.468</v>
      </c>
      <c r="AW823" s="302">
        <v>-8.5060000000000002</v>
      </c>
      <c r="AX823" s="122">
        <f>AY823</f>
        <v>-16</v>
      </c>
      <c r="AY823" s="403">
        <v>-16</v>
      </c>
      <c r="AZ823" s="302">
        <v>-4</v>
      </c>
      <c r="BA823" s="302">
        <v>-7</v>
      </c>
      <c r="BB823" s="302">
        <v>-8</v>
      </c>
      <c r="BC823" s="122">
        <f>BD823</f>
        <v>1</v>
      </c>
      <c r="BD823" s="403">
        <v>1</v>
      </c>
      <c r="BE823" s="302">
        <v>3</v>
      </c>
      <c r="BF823" s="302">
        <v>3</v>
      </c>
      <c r="BG823" s="302">
        <v>3</v>
      </c>
      <c r="BH823" s="122">
        <f>BI823</f>
        <v>2</v>
      </c>
      <c r="BI823" s="403">
        <v>2</v>
      </c>
      <c r="BJ823" s="1207">
        <v>-1</v>
      </c>
      <c r="BK823" s="118"/>
      <c r="BL823" s="118"/>
      <c r="BM823" s="118">
        <f>BN823</f>
        <v>0</v>
      </c>
      <c r="BN823" s="401"/>
      <c r="BO823" s="118"/>
      <c r="BP823" s="118"/>
      <c r="BQ823" s="118"/>
      <c r="BR823" s="118">
        <f>BS823</f>
        <v>0</v>
      </c>
      <c r="BS823" s="401"/>
      <c r="BT823" s="401"/>
      <c r="BU823" s="401"/>
      <c r="BV823" s="401"/>
      <c r="BW823" s="122"/>
    </row>
    <row r="824" spans="1:75" hidden="1" outlineLevel="1" x14ac:dyDescent="0.5">
      <c r="A824" s="463" t="s">
        <v>1427</v>
      </c>
      <c r="B824" s="522"/>
      <c r="C824" s="397"/>
      <c r="D824" s="397"/>
      <c r="E824" s="397"/>
      <c r="F824" s="672">
        <f t="shared" ref="F824:BQ824" si="625">F821+F800+F790+F823</f>
        <v>25.834000000000003</v>
      </c>
      <c r="G824" s="197">
        <f t="shared" si="625"/>
        <v>-21.715</v>
      </c>
      <c r="H824" s="197">
        <f t="shared" si="625"/>
        <v>-30.343000000000004</v>
      </c>
      <c r="I824" s="197">
        <f t="shared" si="625"/>
        <v>-38.11699999999999</v>
      </c>
      <c r="J824" s="197">
        <f t="shared" si="625"/>
        <v>-12.571999999999989</v>
      </c>
      <c r="K824" s="672">
        <f t="shared" si="625"/>
        <v>-12.571999999999989</v>
      </c>
      <c r="L824" s="197">
        <f t="shared" si="625"/>
        <v>69.805999999999983</v>
      </c>
      <c r="M824" s="197">
        <f t="shared" si="625"/>
        <v>22.49199999999999</v>
      </c>
      <c r="N824" s="197">
        <f t="shared" si="625"/>
        <v>-34.982000000000014</v>
      </c>
      <c r="O824" s="197">
        <f t="shared" si="625"/>
        <v>290.57</v>
      </c>
      <c r="P824" s="672">
        <f t="shared" si="625"/>
        <v>290.57</v>
      </c>
      <c r="Q824" s="197">
        <f t="shared" si="625"/>
        <v>-149.77699999999999</v>
      </c>
      <c r="R824" s="197">
        <f t="shared" si="625"/>
        <v>-119.28500000000001</v>
      </c>
      <c r="S824" s="197">
        <f t="shared" si="625"/>
        <v>-77.168999999999997</v>
      </c>
      <c r="T824" s="197">
        <f t="shared" si="625"/>
        <v>-21.683000000000014</v>
      </c>
      <c r="U824" s="672">
        <f t="shared" si="625"/>
        <v>-21.683000000000014</v>
      </c>
      <c r="V824" s="197">
        <f t="shared" si="625"/>
        <v>-85.377999999999986</v>
      </c>
      <c r="W824" s="197">
        <f t="shared" si="625"/>
        <v>-113.87700000000001</v>
      </c>
      <c r="X824" s="197">
        <f t="shared" si="625"/>
        <v>-125.83200000000001</v>
      </c>
      <c r="Y824" s="197">
        <f t="shared" si="625"/>
        <v>-54.335999999999977</v>
      </c>
      <c r="Z824" s="672">
        <f t="shared" si="625"/>
        <v>-54.335999999999977</v>
      </c>
      <c r="AA824" s="197">
        <f t="shared" si="625"/>
        <v>-67.431999999999988</v>
      </c>
      <c r="AB824" s="197">
        <f t="shared" si="625"/>
        <v>-76.03</v>
      </c>
      <c r="AC824" s="197">
        <f t="shared" si="625"/>
        <v>273.88100000000003</v>
      </c>
      <c r="AD824" s="197">
        <f t="shared" si="625"/>
        <v>279.12000000000006</v>
      </c>
      <c r="AE824" s="672">
        <f t="shared" si="625"/>
        <v>279.12000000000006</v>
      </c>
      <c r="AF824" s="197">
        <f t="shared" si="625"/>
        <v>-36.934000000000012</v>
      </c>
      <c r="AG824" s="197">
        <f t="shared" si="625"/>
        <v>-29.50800000000002</v>
      </c>
      <c r="AH824" s="197">
        <f t="shared" si="625"/>
        <v>-70.324000000000041</v>
      </c>
      <c r="AI824" s="197">
        <f t="shared" si="625"/>
        <v>290.50100000000003</v>
      </c>
      <c r="AJ824" s="672">
        <f t="shared" si="625"/>
        <v>290.50100000000003</v>
      </c>
      <c r="AK824" s="197">
        <f t="shared" si="625"/>
        <v>-127.101</v>
      </c>
      <c r="AL824" s="197">
        <f t="shared" si="625"/>
        <v>-174.35</v>
      </c>
      <c r="AM824" s="197">
        <f t="shared" si="625"/>
        <v>445.92399999999998</v>
      </c>
      <c r="AN824" s="197">
        <f t="shared" si="625"/>
        <v>-266.70799999999997</v>
      </c>
      <c r="AO824" s="672">
        <f t="shared" si="625"/>
        <v>-266.70799999999997</v>
      </c>
      <c r="AP824" s="197">
        <f t="shared" si="625"/>
        <v>41.727999999999987</v>
      </c>
      <c r="AQ824" s="197">
        <f t="shared" si="625"/>
        <v>1598.7180000000001</v>
      </c>
      <c r="AR824" s="197">
        <f t="shared" si="625"/>
        <v>1860.1860000000004</v>
      </c>
      <c r="AS824" s="197">
        <f t="shared" si="625"/>
        <v>1546.6869999999999</v>
      </c>
      <c r="AT824" s="672">
        <f t="shared" si="625"/>
        <v>1546.6869999999999</v>
      </c>
      <c r="AU824" s="197">
        <f t="shared" si="625"/>
        <v>-42.956000000000017</v>
      </c>
      <c r="AV824" s="197">
        <f t="shared" si="625"/>
        <v>-50.989000000000019</v>
      </c>
      <c r="AW824" s="197">
        <f t="shared" si="625"/>
        <v>-264.61899999999991</v>
      </c>
      <c r="AX824" s="197">
        <f t="shared" si="625"/>
        <v>-424</v>
      </c>
      <c r="AY824" s="672">
        <f t="shared" si="625"/>
        <v>-424</v>
      </c>
      <c r="AZ824" s="197">
        <f t="shared" si="625"/>
        <v>-506</v>
      </c>
      <c r="BA824" s="197">
        <f t="shared" si="625"/>
        <v>-612</v>
      </c>
      <c r="BB824" s="197">
        <f t="shared" si="625"/>
        <v>-975</v>
      </c>
      <c r="BC824" s="197">
        <f t="shared" si="625"/>
        <v>-656</v>
      </c>
      <c r="BD824" s="672">
        <f t="shared" si="625"/>
        <v>-656</v>
      </c>
      <c r="BE824" s="197">
        <f t="shared" si="625"/>
        <v>-80</v>
      </c>
      <c r="BF824" s="197">
        <f t="shared" si="625"/>
        <v>199</v>
      </c>
      <c r="BG824" s="197">
        <f t="shared" si="625"/>
        <v>241</v>
      </c>
      <c r="BH824" s="197">
        <f t="shared" si="625"/>
        <v>276</v>
      </c>
      <c r="BI824" s="672">
        <f t="shared" si="625"/>
        <v>276</v>
      </c>
      <c r="BJ824" s="1273">
        <f>BJ821+BJ800+BJ790+BJ823</f>
        <v>-215</v>
      </c>
      <c r="BK824" s="295">
        <f t="shared" si="625"/>
        <v>0</v>
      </c>
      <c r="BL824" s="295">
        <f t="shared" si="625"/>
        <v>0</v>
      </c>
      <c r="BM824" s="295">
        <f t="shared" si="625"/>
        <v>0</v>
      </c>
      <c r="BN824" s="397">
        <f t="shared" si="625"/>
        <v>0</v>
      </c>
      <c r="BO824" s="295">
        <f t="shared" si="625"/>
        <v>0</v>
      </c>
      <c r="BP824" s="295">
        <f t="shared" si="625"/>
        <v>0</v>
      </c>
      <c r="BQ824" s="295">
        <f t="shared" si="625"/>
        <v>0</v>
      </c>
      <c r="BR824" s="295">
        <f t="shared" ref="BR824:BY824" si="626">BR821+BR800+BR790+BR823</f>
        <v>0</v>
      </c>
      <c r="BS824" s="397">
        <f t="shared" si="626"/>
        <v>0</v>
      </c>
      <c r="BT824" s="397">
        <f t="shared" si="626"/>
        <v>0</v>
      </c>
      <c r="BU824" s="397">
        <f t="shared" si="626"/>
        <v>0</v>
      </c>
      <c r="BV824" s="397">
        <f t="shared" si="626"/>
        <v>0</v>
      </c>
      <c r="BW824" s="197"/>
    </row>
    <row r="825" spans="1:75" hidden="1" outlineLevel="1" x14ac:dyDescent="0.5">
      <c r="A825" s="206"/>
      <c r="B825" s="522"/>
      <c r="C825" s="397"/>
      <c r="D825" s="397"/>
      <c r="E825" s="397"/>
      <c r="F825" s="397"/>
      <c r="G825" s="295"/>
      <c r="H825" s="295"/>
      <c r="I825" s="295"/>
      <c r="J825" s="295"/>
      <c r="K825" s="397"/>
      <c r="L825" s="295"/>
      <c r="M825" s="295"/>
      <c r="N825" s="295"/>
      <c r="O825" s="295"/>
      <c r="P825" s="397"/>
      <c r="Q825" s="295"/>
      <c r="R825" s="295"/>
      <c r="S825" s="295"/>
      <c r="T825" s="295"/>
      <c r="U825" s="397"/>
      <c r="V825" s="295"/>
      <c r="W825" s="295"/>
      <c r="X825" s="295"/>
      <c r="Y825" s="295"/>
      <c r="Z825" s="397"/>
      <c r="AA825" s="295"/>
      <c r="AB825" s="295"/>
      <c r="AC825" s="295"/>
      <c r="AD825" s="295"/>
      <c r="AE825" s="397"/>
      <c r="AF825" s="295"/>
      <c r="AG825" s="295"/>
      <c r="AH825" s="295"/>
      <c r="AI825" s="295"/>
      <c r="AJ825" s="397"/>
      <c r="AK825" s="295"/>
      <c r="AL825" s="295"/>
      <c r="AM825" s="295"/>
      <c r="AN825" s="295"/>
      <c r="AO825" s="397"/>
      <c r="AP825" s="295"/>
      <c r="AQ825" s="295"/>
      <c r="AR825" s="295"/>
      <c r="AS825" s="295"/>
      <c r="AT825" s="397"/>
      <c r="AU825" s="295"/>
      <c r="AV825" s="295"/>
      <c r="AW825" s="295"/>
      <c r="AX825" s="295"/>
      <c r="AY825" s="397"/>
      <c r="AZ825" s="295"/>
      <c r="BA825" s="295"/>
      <c r="BB825" s="295"/>
      <c r="BC825" s="295"/>
      <c r="BD825" s="397"/>
      <c r="BE825" s="295"/>
      <c r="BF825" s="295"/>
      <c r="BG825" s="295"/>
      <c r="BH825" s="295"/>
      <c r="BI825" s="397"/>
      <c r="BJ825" s="1030"/>
      <c r="BK825" s="295"/>
      <c r="BL825" s="295"/>
      <c r="BM825" s="295"/>
      <c r="BN825" s="397"/>
      <c r="BO825" s="295"/>
      <c r="BP825" s="295"/>
      <c r="BQ825" s="295"/>
      <c r="BR825" s="295"/>
      <c r="BS825" s="397"/>
      <c r="BT825" s="397"/>
      <c r="BU825" s="397"/>
      <c r="BV825" s="397"/>
      <c r="BW825" s="197"/>
    </row>
    <row r="826" spans="1:75" hidden="1" outlineLevel="1" x14ac:dyDescent="0.5">
      <c r="A826" s="463" t="s">
        <v>1428</v>
      </c>
      <c r="B826" s="522"/>
      <c r="C826" s="397"/>
      <c r="D826" s="397"/>
      <c r="E826" s="397"/>
      <c r="F826" s="671">
        <v>52.027000000000001</v>
      </c>
      <c r="G826" s="197">
        <f>F827</f>
        <v>77.861000000000004</v>
      </c>
      <c r="H826" s="197">
        <f>G826</f>
        <v>77.861000000000004</v>
      </c>
      <c r="I826" s="197">
        <f>H826</f>
        <v>77.861000000000004</v>
      </c>
      <c r="J826" s="197">
        <f>I826</f>
        <v>77.861000000000004</v>
      </c>
      <c r="K826" s="672">
        <f>J826</f>
        <v>77.861000000000004</v>
      </c>
      <c r="L826" s="197">
        <f>K827</f>
        <v>65.289000000000016</v>
      </c>
      <c r="M826" s="197">
        <f>L826</f>
        <v>65.289000000000016</v>
      </c>
      <c r="N826" s="197">
        <f>M826</f>
        <v>65.289000000000016</v>
      </c>
      <c r="O826" s="197">
        <f>N826</f>
        <v>65.289000000000016</v>
      </c>
      <c r="P826" s="672">
        <f>O826</f>
        <v>65.289000000000016</v>
      </c>
      <c r="Q826" s="197">
        <f>P827</f>
        <v>355.85900000000004</v>
      </c>
      <c r="R826" s="197">
        <f>Q826</f>
        <v>355.85900000000004</v>
      </c>
      <c r="S826" s="197">
        <f>R826</f>
        <v>355.85900000000004</v>
      </c>
      <c r="T826" s="197">
        <f>S826</f>
        <v>355.85900000000004</v>
      </c>
      <c r="U826" s="672">
        <f>T826</f>
        <v>355.85900000000004</v>
      </c>
      <c r="V826" s="197">
        <f>U827</f>
        <v>334.17600000000004</v>
      </c>
      <c r="W826" s="197">
        <f>V826</f>
        <v>334.17600000000004</v>
      </c>
      <c r="X826" s="197">
        <f>W826</f>
        <v>334.17600000000004</v>
      </c>
      <c r="Y826" s="197">
        <f>X826</f>
        <v>334.17600000000004</v>
      </c>
      <c r="Z826" s="672">
        <f>Y826</f>
        <v>334.17600000000004</v>
      </c>
      <c r="AA826" s="197">
        <f>Z827</f>
        <v>279.84000000000009</v>
      </c>
      <c r="AB826" s="197">
        <f>AA826</f>
        <v>279.84000000000009</v>
      </c>
      <c r="AC826" s="197">
        <f>AB826</f>
        <v>279.84000000000009</v>
      </c>
      <c r="AD826" s="197">
        <f>AC826</f>
        <v>279.84000000000009</v>
      </c>
      <c r="AE826" s="672">
        <f>AD826</f>
        <v>279.84000000000009</v>
      </c>
      <c r="AF826" s="197">
        <f>AE827</f>
        <v>558.96000000000015</v>
      </c>
      <c r="AG826" s="197">
        <f>AF826</f>
        <v>558.96000000000015</v>
      </c>
      <c r="AH826" s="197">
        <f>AG826</f>
        <v>558.96000000000015</v>
      </c>
      <c r="AI826" s="197">
        <f>AH826</f>
        <v>558.96000000000015</v>
      </c>
      <c r="AJ826" s="672">
        <f>AI826</f>
        <v>558.96000000000015</v>
      </c>
      <c r="AK826" s="197">
        <f>AJ827</f>
        <v>849.46100000000024</v>
      </c>
      <c r="AL826" s="197">
        <f>AK826</f>
        <v>849.46100000000024</v>
      </c>
      <c r="AM826" s="197">
        <f>AL826</f>
        <v>849.46100000000024</v>
      </c>
      <c r="AN826" s="197">
        <f>AM826</f>
        <v>849.46100000000024</v>
      </c>
      <c r="AO826" s="672">
        <f>AN826</f>
        <v>849.46100000000024</v>
      </c>
      <c r="AP826" s="197">
        <f>AO827</f>
        <v>582.75300000000027</v>
      </c>
      <c r="AQ826" s="197">
        <f>AP826</f>
        <v>582.75300000000027</v>
      </c>
      <c r="AR826" s="197">
        <f>AQ826</f>
        <v>582.75300000000027</v>
      </c>
      <c r="AS826" s="197">
        <f>AR826</f>
        <v>582.75300000000027</v>
      </c>
      <c r="AT826" s="672">
        <f>AS826</f>
        <v>582.75300000000027</v>
      </c>
      <c r="AU826" s="197">
        <f>AT827</f>
        <v>2129.44</v>
      </c>
      <c r="AV826" s="197">
        <f>AU826</f>
        <v>2129.44</v>
      </c>
      <c r="AW826" s="197">
        <f>AV826</f>
        <v>2129.44</v>
      </c>
      <c r="AX826" s="638">
        <v>2130</v>
      </c>
      <c r="AY826" s="672">
        <f>AX826</f>
        <v>2130</v>
      </c>
      <c r="AZ826" s="197">
        <f>AY827</f>
        <v>1706</v>
      </c>
      <c r="BA826" s="197">
        <f>AZ826</f>
        <v>1706</v>
      </c>
      <c r="BB826" s="197">
        <f>BA826</f>
        <v>1706</v>
      </c>
      <c r="BC826" s="197">
        <f>BB826</f>
        <v>1706</v>
      </c>
      <c r="BD826" s="672">
        <f>BC826</f>
        <v>1706</v>
      </c>
      <c r="BE826" s="197">
        <f>BD827</f>
        <v>1050</v>
      </c>
      <c r="BF826" s="197">
        <f>BE826</f>
        <v>1050</v>
      </c>
      <c r="BG826" s="197">
        <f>BF826</f>
        <v>1050</v>
      </c>
      <c r="BH826" s="197">
        <f>BG826</f>
        <v>1050</v>
      </c>
      <c r="BI826" s="672">
        <f>BH826</f>
        <v>1050</v>
      </c>
      <c r="BJ826" s="1273">
        <f>BI827</f>
        <v>1326</v>
      </c>
      <c r="BK826" s="295"/>
      <c r="BL826" s="295"/>
      <c r="BM826" s="295"/>
      <c r="BN826" s="397"/>
      <c r="BO826" s="295"/>
      <c r="BP826" s="295"/>
      <c r="BQ826" s="295"/>
      <c r="BR826" s="295"/>
      <c r="BS826" s="397"/>
      <c r="BT826" s="397"/>
      <c r="BU826" s="397"/>
      <c r="BV826" s="397"/>
      <c r="BW826" s="197"/>
    </row>
    <row r="827" spans="1:75" hidden="1" outlineLevel="1" x14ac:dyDescent="0.5">
      <c r="A827" s="463" t="s">
        <v>1429</v>
      </c>
      <c r="B827" s="522"/>
      <c r="C827" s="397"/>
      <c r="D827" s="397"/>
      <c r="E827" s="397"/>
      <c r="F827" s="672">
        <f t="shared" ref="F827:BJ827" si="627">F824+F826</f>
        <v>77.861000000000004</v>
      </c>
      <c r="G827" s="197">
        <f t="shared" si="627"/>
        <v>56.146000000000001</v>
      </c>
      <c r="H827" s="197">
        <f t="shared" si="627"/>
        <v>47.518000000000001</v>
      </c>
      <c r="I827" s="197">
        <f t="shared" si="627"/>
        <v>39.744000000000014</v>
      </c>
      <c r="J827" s="197">
        <f t="shared" si="627"/>
        <v>65.289000000000016</v>
      </c>
      <c r="K827" s="672">
        <f t="shared" si="627"/>
        <v>65.289000000000016</v>
      </c>
      <c r="L827" s="197">
        <f t="shared" si="627"/>
        <v>135.095</v>
      </c>
      <c r="M827" s="197">
        <f t="shared" si="627"/>
        <v>87.781000000000006</v>
      </c>
      <c r="N827" s="197">
        <f t="shared" si="627"/>
        <v>30.307000000000002</v>
      </c>
      <c r="O827" s="197">
        <f t="shared" si="627"/>
        <v>355.85900000000004</v>
      </c>
      <c r="P827" s="672">
        <f t="shared" si="627"/>
        <v>355.85900000000004</v>
      </c>
      <c r="Q827" s="197">
        <f t="shared" si="627"/>
        <v>206.08200000000005</v>
      </c>
      <c r="R827" s="197">
        <f t="shared" si="627"/>
        <v>236.57400000000001</v>
      </c>
      <c r="S827" s="197">
        <f t="shared" si="627"/>
        <v>278.69000000000005</v>
      </c>
      <c r="T827" s="197">
        <f t="shared" si="627"/>
        <v>334.17600000000004</v>
      </c>
      <c r="U827" s="672">
        <f t="shared" si="627"/>
        <v>334.17600000000004</v>
      </c>
      <c r="V827" s="197">
        <f t="shared" si="627"/>
        <v>248.79800000000006</v>
      </c>
      <c r="W827" s="197">
        <f t="shared" si="627"/>
        <v>220.29900000000004</v>
      </c>
      <c r="X827" s="197">
        <f t="shared" si="627"/>
        <v>208.34400000000005</v>
      </c>
      <c r="Y827" s="197">
        <f t="shared" si="627"/>
        <v>279.84000000000009</v>
      </c>
      <c r="Z827" s="672">
        <f t="shared" si="627"/>
        <v>279.84000000000009</v>
      </c>
      <c r="AA827" s="197">
        <f t="shared" si="627"/>
        <v>212.4080000000001</v>
      </c>
      <c r="AB827" s="197">
        <f t="shared" si="627"/>
        <v>203.81000000000009</v>
      </c>
      <c r="AC827" s="197">
        <f t="shared" si="627"/>
        <v>553.72100000000012</v>
      </c>
      <c r="AD827" s="197">
        <f t="shared" si="627"/>
        <v>558.96000000000015</v>
      </c>
      <c r="AE827" s="672">
        <f t="shared" si="627"/>
        <v>558.96000000000015</v>
      </c>
      <c r="AF827" s="197">
        <f t="shared" si="627"/>
        <v>522.02600000000018</v>
      </c>
      <c r="AG827" s="197">
        <f t="shared" si="627"/>
        <v>529.45200000000011</v>
      </c>
      <c r="AH827" s="197">
        <f t="shared" si="627"/>
        <v>488.63600000000008</v>
      </c>
      <c r="AI827" s="197">
        <f t="shared" si="627"/>
        <v>849.46100000000024</v>
      </c>
      <c r="AJ827" s="672">
        <f t="shared" si="627"/>
        <v>849.46100000000024</v>
      </c>
      <c r="AK827" s="197">
        <f t="shared" si="627"/>
        <v>722.36000000000024</v>
      </c>
      <c r="AL827" s="197">
        <f t="shared" si="627"/>
        <v>675.11100000000022</v>
      </c>
      <c r="AM827" s="197">
        <f t="shared" si="627"/>
        <v>1295.3850000000002</v>
      </c>
      <c r="AN827" s="197">
        <f t="shared" si="627"/>
        <v>582.75300000000027</v>
      </c>
      <c r="AO827" s="672">
        <f t="shared" si="627"/>
        <v>582.75300000000027</v>
      </c>
      <c r="AP827" s="197">
        <f t="shared" si="627"/>
        <v>624.48100000000022</v>
      </c>
      <c r="AQ827" s="197">
        <f t="shared" si="627"/>
        <v>2181.4710000000005</v>
      </c>
      <c r="AR827" s="197">
        <f t="shared" si="627"/>
        <v>2442.9390000000008</v>
      </c>
      <c r="AS827" s="197">
        <f t="shared" si="627"/>
        <v>2129.44</v>
      </c>
      <c r="AT827" s="672">
        <f t="shared" si="627"/>
        <v>2129.44</v>
      </c>
      <c r="AU827" s="197">
        <f t="shared" si="627"/>
        <v>2086.4839999999999</v>
      </c>
      <c r="AV827" s="197">
        <f t="shared" si="627"/>
        <v>2078.451</v>
      </c>
      <c r="AW827" s="197">
        <f t="shared" si="627"/>
        <v>1864.8210000000001</v>
      </c>
      <c r="AX827" s="197">
        <f t="shared" si="627"/>
        <v>1706</v>
      </c>
      <c r="AY827" s="672">
        <f t="shared" si="627"/>
        <v>1706</v>
      </c>
      <c r="AZ827" s="197">
        <f t="shared" si="627"/>
        <v>1200</v>
      </c>
      <c r="BA827" s="197">
        <f t="shared" si="627"/>
        <v>1094</v>
      </c>
      <c r="BB827" s="197">
        <f t="shared" si="627"/>
        <v>731</v>
      </c>
      <c r="BC827" s="197">
        <f t="shared" si="627"/>
        <v>1050</v>
      </c>
      <c r="BD827" s="672">
        <f t="shared" si="627"/>
        <v>1050</v>
      </c>
      <c r="BE827" s="197">
        <f t="shared" si="627"/>
        <v>970</v>
      </c>
      <c r="BF827" s="197">
        <f t="shared" si="627"/>
        <v>1249</v>
      </c>
      <c r="BG827" s="197">
        <f t="shared" si="627"/>
        <v>1291</v>
      </c>
      <c r="BH827" s="197">
        <f t="shared" si="627"/>
        <v>1326</v>
      </c>
      <c r="BI827" s="672">
        <f t="shared" si="627"/>
        <v>1326</v>
      </c>
      <c r="BJ827" s="1273">
        <f t="shared" si="627"/>
        <v>1111</v>
      </c>
      <c r="BK827" s="295"/>
      <c r="BL827" s="295"/>
      <c r="BM827" s="295"/>
      <c r="BN827" s="397"/>
      <c r="BO827" s="295"/>
      <c r="BP827" s="295"/>
      <c r="BQ827" s="295"/>
      <c r="BR827" s="295"/>
      <c r="BS827" s="397"/>
      <c r="BT827" s="397"/>
      <c r="BU827" s="397"/>
      <c r="BV827" s="397"/>
      <c r="BW827" s="197"/>
    </row>
    <row r="828" spans="1:75" hidden="1" outlineLevel="1" x14ac:dyDescent="0.5">
      <c r="A828" s="206"/>
      <c r="B828" s="522"/>
      <c r="C828" s="397"/>
      <c r="D828" s="397"/>
      <c r="E828" s="397"/>
      <c r="F828" s="397"/>
      <c r="G828" s="295"/>
      <c r="H828" s="295"/>
      <c r="I828" s="295"/>
      <c r="J828" s="295"/>
      <c r="K828" s="397"/>
      <c r="L828" s="295"/>
      <c r="M828" s="295"/>
      <c r="N828" s="295"/>
      <c r="O828" s="295"/>
      <c r="P828" s="397"/>
      <c r="Q828" s="295"/>
      <c r="R828" s="295"/>
      <c r="S828" s="295"/>
      <c r="T828" s="295"/>
      <c r="U828" s="397"/>
      <c r="V828" s="295"/>
      <c r="W828" s="295"/>
      <c r="X828" s="295"/>
      <c r="Y828" s="295"/>
      <c r="Z828" s="397"/>
      <c r="AA828" s="295"/>
      <c r="AB828" s="295"/>
      <c r="AC828" s="295"/>
      <c r="AD828" s="295"/>
      <c r="AE828" s="397"/>
      <c r="AF828" s="295"/>
      <c r="AG828" s="295"/>
      <c r="AH828" s="295"/>
      <c r="AI828" s="295"/>
      <c r="AJ828" s="397"/>
      <c r="AK828" s="295"/>
      <c r="AL828" s="295"/>
      <c r="AM828" s="295"/>
      <c r="AN828" s="295"/>
      <c r="AO828" s="397"/>
      <c r="AP828" s="295"/>
      <c r="AQ828" s="295"/>
      <c r="AR828" s="295"/>
      <c r="AS828" s="295"/>
      <c r="AT828" s="397"/>
      <c r="AU828" s="295"/>
      <c r="AV828" s="295"/>
      <c r="AW828" s="295"/>
      <c r="AX828" s="295"/>
      <c r="AY828" s="397"/>
      <c r="AZ828" s="295"/>
      <c r="BA828" s="295"/>
      <c r="BB828" s="295"/>
      <c r="BC828" s="295"/>
      <c r="BD828" s="397"/>
      <c r="BE828" s="295"/>
      <c r="BF828" s="295"/>
      <c r="BG828" s="295"/>
      <c r="BH828" s="295"/>
      <c r="BI828" s="397"/>
      <c r="BJ828" s="1030"/>
      <c r="BK828" s="295"/>
      <c r="BL828" s="295"/>
      <c r="BM828" s="295"/>
      <c r="BN828" s="397"/>
      <c r="BO828" s="295"/>
      <c r="BP828" s="295"/>
      <c r="BQ828" s="295"/>
      <c r="BR828" s="295"/>
      <c r="BS828" s="397"/>
      <c r="BT828" s="397"/>
      <c r="BU828" s="397"/>
      <c r="BV828" s="397"/>
      <c r="BW828" s="197"/>
    </row>
    <row r="829" spans="1:75" s="123" customFormat="1" hidden="1" outlineLevel="1" x14ac:dyDescent="0.5">
      <c r="A829" s="464" t="s">
        <v>2670</v>
      </c>
      <c r="B829" s="513"/>
      <c r="C829" s="401"/>
      <c r="D829" s="401"/>
      <c r="E829" s="401"/>
      <c r="F829" s="401"/>
      <c r="G829" s="118"/>
      <c r="H829" s="118"/>
      <c r="I829" s="118"/>
      <c r="J829" s="118"/>
      <c r="K829" s="401"/>
      <c r="L829" s="118"/>
      <c r="M829" s="118"/>
      <c r="N829" s="118"/>
      <c r="O829" s="118"/>
      <c r="P829" s="401"/>
      <c r="Q829" s="118"/>
      <c r="R829" s="118"/>
      <c r="S829" s="118"/>
      <c r="T829" s="118"/>
      <c r="U829" s="401"/>
      <c r="V829" s="118"/>
      <c r="W829" s="118"/>
      <c r="X829" s="118"/>
      <c r="Y829" s="118"/>
      <c r="Z829" s="401"/>
      <c r="AA829" s="118"/>
      <c r="AB829" s="118"/>
      <c r="AC829" s="118"/>
      <c r="AD829" s="118">
        <f>AE829</f>
        <v>0</v>
      </c>
      <c r="AE829" s="403">
        <v>0</v>
      </c>
      <c r="AF829" s="302">
        <v>0.746</v>
      </c>
      <c r="AG829" s="302">
        <v>0.746</v>
      </c>
      <c r="AH829" s="302">
        <v>1.554</v>
      </c>
      <c r="AI829" s="122">
        <f>AJ829</f>
        <v>1.554</v>
      </c>
      <c r="AJ829" s="403">
        <v>1.554</v>
      </c>
      <c r="AK829" s="302">
        <v>0.80900000000000005</v>
      </c>
      <c r="AL829" s="302">
        <v>3.72</v>
      </c>
      <c r="AM829" s="302">
        <v>4.5279999999999996</v>
      </c>
      <c r="AN829" s="122">
        <f>AO829</f>
        <v>7.7629999999999999</v>
      </c>
      <c r="AO829" s="403">
        <v>7.7629999999999999</v>
      </c>
      <c r="AP829" s="302">
        <v>5.4470000000000001</v>
      </c>
      <c r="AQ829" s="302">
        <v>8.6809999999999992</v>
      </c>
      <c r="AR829" s="302">
        <v>14.173</v>
      </c>
      <c r="AS829" s="122">
        <f>AT829</f>
        <v>17.407</v>
      </c>
      <c r="AT829" s="403">
        <v>17.407</v>
      </c>
      <c r="AU829" s="302">
        <v>10.775</v>
      </c>
      <c r="AV829" s="302">
        <v>13.994</v>
      </c>
      <c r="AW829" s="302">
        <v>18.742999999999999</v>
      </c>
      <c r="AX829" s="122">
        <f>AY829</f>
        <v>27</v>
      </c>
      <c r="AY829" s="403">
        <v>27</v>
      </c>
      <c r="AZ829" s="302">
        <v>9</v>
      </c>
      <c r="BA829" s="302">
        <v>13</v>
      </c>
      <c r="BB829" s="302">
        <v>26</v>
      </c>
      <c r="BC829" s="118">
        <f>BD829</f>
        <v>27</v>
      </c>
      <c r="BD829" s="403">
        <v>27</v>
      </c>
      <c r="BE829" s="302">
        <v>20</v>
      </c>
      <c r="BF829" s="302">
        <v>22</v>
      </c>
      <c r="BG829" s="302">
        <v>40</v>
      </c>
      <c r="BH829" s="118">
        <f>BI829</f>
        <v>53</v>
      </c>
      <c r="BI829" s="403">
        <v>53</v>
      </c>
      <c r="BJ829" s="1207">
        <v>18</v>
      </c>
      <c r="BK829" s="118"/>
      <c r="BL829" s="118"/>
      <c r="BM829" s="118"/>
      <c r="BN829" s="401"/>
      <c r="BO829" s="118"/>
      <c r="BP829" s="118"/>
      <c r="BQ829" s="118"/>
      <c r="BR829" s="118"/>
      <c r="BS829" s="401"/>
      <c r="BT829" s="401"/>
      <c r="BU829" s="401"/>
      <c r="BV829" s="401"/>
      <c r="BW829" s="122"/>
    </row>
    <row r="830" spans="1:75" s="123" customFormat="1" hidden="1" outlineLevel="1" x14ac:dyDescent="0.5">
      <c r="A830" s="464" t="s">
        <v>2671</v>
      </c>
      <c r="B830" s="513"/>
      <c r="C830" s="401"/>
      <c r="D830" s="401"/>
      <c r="E830" s="401"/>
      <c r="F830" s="401"/>
      <c r="G830" s="118"/>
      <c r="H830" s="118"/>
      <c r="I830" s="118"/>
      <c r="J830" s="118"/>
      <c r="K830" s="401"/>
      <c r="L830" s="118"/>
      <c r="M830" s="118"/>
      <c r="N830" s="118"/>
      <c r="O830" s="118"/>
      <c r="P830" s="401"/>
      <c r="Q830" s="118"/>
      <c r="R830" s="118"/>
      <c r="S830" s="118"/>
      <c r="T830" s="118"/>
      <c r="U830" s="401"/>
      <c r="V830" s="118"/>
      <c r="W830" s="118"/>
      <c r="X830" s="118"/>
      <c r="Y830" s="118"/>
      <c r="Z830" s="401"/>
      <c r="AA830" s="118"/>
      <c r="AB830" s="118"/>
      <c r="AC830" s="118"/>
      <c r="AD830" s="118">
        <f>AE830</f>
        <v>0</v>
      </c>
      <c r="AE830" s="403">
        <v>0</v>
      </c>
      <c r="AF830" s="118"/>
      <c r="AG830" s="118"/>
      <c r="AH830" s="118"/>
      <c r="AI830" s="122">
        <f>AJ830</f>
        <v>9.0579999999999998</v>
      </c>
      <c r="AJ830" s="403">
        <v>9.0579999999999998</v>
      </c>
      <c r="AK830" s="118"/>
      <c r="AL830" s="118"/>
      <c r="AM830" s="118"/>
      <c r="AN830" s="122">
        <f>AO830</f>
        <v>0</v>
      </c>
      <c r="AO830" s="403">
        <v>0</v>
      </c>
      <c r="AP830" s="118"/>
      <c r="AQ830" s="118"/>
      <c r="AR830" s="118"/>
      <c r="AS830" s="122">
        <f>AT830</f>
        <v>0</v>
      </c>
      <c r="AT830" s="403">
        <v>0</v>
      </c>
      <c r="AU830" s="118"/>
      <c r="AV830" s="118"/>
      <c r="AW830" s="118"/>
      <c r="AX830" s="122">
        <f>AY830</f>
        <v>0</v>
      </c>
      <c r="AY830" s="403">
        <v>0</v>
      </c>
      <c r="AZ830" s="118"/>
      <c r="BA830" s="118"/>
      <c r="BB830" s="118"/>
      <c r="BC830" s="118">
        <f>BD830</f>
        <v>0</v>
      </c>
      <c r="BD830" s="401"/>
      <c r="BE830" s="118"/>
      <c r="BF830" s="118"/>
      <c r="BG830" s="118"/>
      <c r="BH830" s="118">
        <f>BI830</f>
        <v>0</v>
      </c>
      <c r="BI830" s="401"/>
      <c r="BJ830" s="971"/>
      <c r="BK830" s="118"/>
      <c r="BL830" s="118"/>
      <c r="BM830" s="118"/>
      <c r="BN830" s="401"/>
      <c r="BO830" s="118"/>
      <c r="BP830" s="118"/>
      <c r="BQ830" s="118"/>
      <c r="BR830" s="118"/>
      <c r="BS830" s="401"/>
      <c r="BT830" s="401"/>
      <c r="BU830" s="401"/>
      <c r="BV830" s="401"/>
      <c r="BW830" s="122"/>
    </row>
    <row r="831" spans="1:75" s="123" customFormat="1" hidden="1" outlineLevel="1" x14ac:dyDescent="0.5">
      <c r="A831" s="516" t="s">
        <v>2672</v>
      </c>
      <c r="B831" s="517"/>
      <c r="C831" s="518"/>
      <c r="D831" s="518"/>
      <c r="E831" s="518"/>
      <c r="F831" s="518"/>
      <c r="G831" s="327"/>
      <c r="H831" s="327"/>
      <c r="I831" s="327"/>
      <c r="J831" s="327"/>
      <c r="K831" s="518"/>
      <c r="L831" s="327"/>
      <c r="M831" s="327"/>
      <c r="N831" s="327"/>
      <c r="O831" s="327"/>
      <c r="P831" s="518"/>
      <c r="Q831" s="327"/>
      <c r="R831" s="327"/>
      <c r="S831" s="327"/>
      <c r="T831" s="327"/>
      <c r="U831" s="518"/>
      <c r="V831" s="327"/>
      <c r="W831" s="327"/>
      <c r="X831" s="327"/>
      <c r="Y831" s="327"/>
      <c r="Z831" s="518"/>
      <c r="AA831" s="327"/>
      <c r="AB831" s="327"/>
      <c r="AC831" s="327"/>
      <c r="AD831" s="327">
        <f t="shared" ref="AD831" si="628">SUM(AD829:AD830)</f>
        <v>0</v>
      </c>
      <c r="AE831" s="518">
        <f>SUM(AE829:AE830)</f>
        <v>0</v>
      </c>
      <c r="AF831" s="327"/>
      <c r="AG831" s="327"/>
      <c r="AH831" s="327"/>
      <c r="AI831" s="520">
        <f t="shared" ref="AI831:AS831" si="629">SUM(AI829:AI830)</f>
        <v>10.612</v>
      </c>
      <c r="AJ831" s="519">
        <f t="shared" si="629"/>
        <v>10.612</v>
      </c>
      <c r="AK831" s="327"/>
      <c r="AL831" s="327"/>
      <c r="AM831" s="327"/>
      <c r="AN831" s="520">
        <f t="shared" si="629"/>
        <v>7.7629999999999999</v>
      </c>
      <c r="AO831" s="519">
        <f t="shared" si="629"/>
        <v>7.7629999999999999</v>
      </c>
      <c r="AP831" s="327"/>
      <c r="AQ831" s="327"/>
      <c r="AR831" s="327"/>
      <c r="AS831" s="520">
        <f t="shared" si="629"/>
        <v>17.407</v>
      </c>
      <c r="AT831" s="519">
        <f>SUM(AT829:AT830)</f>
        <v>17.407</v>
      </c>
      <c r="AU831" s="327"/>
      <c r="AV831" s="327"/>
      <c r="AW831" s="327"/>
      <c r="AX831" s="520">
        <f t="shared" ref="AX831:AY831" si="630">SUM(AX829:AX830)</f>
        <v>27</v>
      </c>
      <c r="AY831" s="518">
        <f t="shared" si="630"/>
        <v>27</v>
      </c>
      <c r="AZ831" s="327"/>
      <c r="BA831" s="327"/>
      <c r="BB831" s="327"/>
      <c r="BC831" s="327">
        <f t="shared" ref="BC831:BD831" si="631">SUM(BC829:BC830)</f>
        <v>27</v>
      </c>
      <c r="BD831" s="518">
        <f t="shared" si="631"/>
        <v>27</v>
      </c>
      <c r="BE831" s="327"/>
      <c r="BF831" s="327"/>
      <c r="BG831" s="327"/>
      <c r="BH831" s="327">
        <f t="shared" ref="BH831:BI831" si="632">SUM(BH829:BH830)</f>
        <v>53</v>
      </c>
      <c r="BI831" s="518">
        <f t="shared" si="632"/>
        <v>53</v>
      </c>
      <c r="BJ831" s="1026"/>
      <c r="BK831" s="327"/>
      <c r="BL831" s="327"/>
      <c r="BM831" s="327"/>
      <c r="BN831" s="518"/>
      <c r="BO831" s="327"/>
      <c r="BP831" s="327"/>
      <c r="BQ831" s="327"/>
      <c r="BR831" s="327"/>
      <c r="BS831" s="518"/>
      <c r="BT831" s="518"/>
      <c r="BU831" s="518"/>
      <c r="BV831" s="518"/>
      <c r="BW831" s="197"/>
    </row>
    <row r="832" spans="1:75" s="123" customFormat="1" hidden="1" outlineLevel="1" x14ac:dyDescent="0.5">
      <c r="A832" s="463" t="s">
        <v>2673</v>
      </c>
      <c r="B832" s="522"/>
      <c r="C832" s="397"/>
      <c r="D832" s="397"/>
      <c r="E832" s="397"/>
      <c r="F832" s="671">
        <v>1.7000000000000001E-2</v>
      </c>
      <c r="G832" s="295"/>
      <c r="H832" s="638">
        <v>2E-3</v>
      </c>
      <c r="I832" s="638">
        <v>1.9E-2</v>
      </c>
      <c r="J832" s="197">
        <f>K832</f>
        <v>3.0000000000000001E-3</v>
      </c>
      <c r="K832" s="671">
        <v>3.0000000000000001E-3</v>
      </c>
      <c r="L832" s="295"/>
      <c r="M832" s="638">
        <v>6.0000000000000001E-3</v>
      </c>
      <c r="N832" s="638">
        <v>2.7E-2</v>
      </c>
      <c r="O832" s="197">
        <f>P832</f>
        <v>3.6999999999999998E-2</v>
      </c>
      <c r="P832" s="671">
        <v>3.6999999999999998E-2</v>
      </c>
      <c r="Q832" s="295"/>
      <c r="R832" s="295"/>
      <c r="S832" s="295"/>
      <c r="T832" s="295"/>
      <c r="U832" s="397"/>
      <c r="V832" s="295"/>
      <c r="W832" s="295"/>
      <c r="X832" s="295"/>
      <c r="Y832" s="295"/>
      <c r="Z832" s="397"/>
      <c r="AA832" s="295"/>
      <c r="AB832" s="295"/>
      <c r="AC832" s="295"/>
      <c r="AD832" s="295"/>
      <c r="AE832" s="397"/>
      <c r="AF832" s="295"/>
      <c r="AG832" s="295"/>
      <c r="AH832" s="295"/>
      <c r="AI832" s="295"/>
      <c r="AJ832" s="397"/>
      <c r="AK832" s="295"/>
      <c r="AL832" s="295"/>
      <c r="AM832" s="295"/>
      <c r="AN832" s="295"/>
      <c r="AO832" s="397"/>
      <c r="AP832" s="295"/>
      <c r="AQ832" s="295"/>
      <c r="AR832" s="295"/>
      <c r="AS832" s="295"/>
      <c r="AT832" s="397"/>
      <c r="AU832" s="295"/>
      <c r="AV832" s="295"/>
      <c r="AW832" s="295"/>
      <c r="AX832" s="295"/>
      <c r="AY832" s="397"/>
      <c r="AZ832" s="295"/>
      <c r="BA832" s="295"/>
      <c r="BB832" s="295"/>
      <c r="BC832" s="295"/>
      <c r="BD832" s="397"/>
      <c r="BE832" s="295"/>
      <c r="BF832" s="295"/>
      <c r="BG832" s="295"/>
      <c r="BH832" s="295"/>
      <c r="BI832" s="397"/>
      <c r="BJ832" s="1030"/>
      <c r="BK832" s="295"/>
      <c r="BL832" s="295"/>
      <c r="BM832" s="295"/>
      <c r="BN832" s="397"/>
      <c r="BO832" s="295"/>
      <c r="BP832" s="295"/>
      <c r="BQ832" s="295"/>
      <c r="BR832" s="295"/>
      <c r="BS832" s="397"/>
      <c r="BT832" s="397"/>
      <c r="BU832" s="397"/>
      <c r="BV832" s="397"/>
      <c r="BW832" s="197"/>
    </row>
    <row r="833" spans="1:75" collapsed="1" x14ac:dyDescent="0.5">
      <c r="A833" s="206"/>
      <c r="B833" s="522"/>
      <c r="C833" s="397"/>
      <c r="D833" s="397"/>
      <c r="E833" s="397"/>
      <c r="F833" s="397"/>
      <c r="G833" s="295"/>
      <c r="H833" s="295"/>
      <c r="I833" s="295"/>
      <c r="J833" s="295"/>
      <c r="K833" s="397"/>
      <c r="L833" s="295"/>
      <c r="M833" s="295"/>
      <c r="N833" s="295"/>
      <c r="O833" s="295"/>
      <c r="P833" s="397"/>
      <c r="Q833" s="295"/>
      <c r="R833" s="295"/>
      <c r="S833" s="295"/>
      <c r="T833" s="295"/>
      <c r="U833" s="397"/>
      <c r="V833" s="295"/>
      <c r="W833" s="295"/>
      <c r="X833" s="295"/>
      <c r="Y833" s="295"/>
      <c r="Z833" s="397"/>
      <c r="AA833" s="295"/>
      <c r="AB833" s="295"/>
      <c r="AC833" s="295"/>
      <c r="AD833" s="295"/>
      <c r="AE833" s="397"/>
      <c r="AF833" s="295"/>
      <c r="AG833" s="295"/>
      <c r="AH833" s="295"/>
      <c r="AI833" s="295"/>
      <c r="AJ833" s="397"/>
      <c r="AK833" s="295"/>
      <c r="AL833" s="295"/>
      <c r="AM833" s="295"/>
      <c r="AN833" s="295"/>
      <c r="AO833" s="397"/>
      <c r="AP833" s="295"/>
      <c r="AQ833" s="295"/>
      <c r="AR833" s="295"/>
      <c r="AS833" s="295"/>
      <c r="AT833" s="397"/>
      <c r="AU833" s="295"/>
      <c r="AV833" s="295"/>
      <c r="AW833" s="295"/>
      <c r="AX833" s="295"/>
      <c r="AY833" s="397"/>
      <c r="AZ833" s="295"/>
      <c r="BA833" s="295"/>
      <c r="BB833" s="295"/>
      <c r="BC833" s="295"/>
      <c r="BD833" s="397"/>
      <c r="BE833" s="295"/>
      <c r="BF833" s="295"/>
      <c r="BG833" s="295"/>
      <c r="BH833" s="295"/>
      <c r="BI833" s="397"/>
      <c r="BJ833" s="1030"/>
      <c r="BK833" s="295"/>
      <c r="BL833" s="295"/>
      <c r="BM833" s="295"/>
      <c r="BN833" s="397"/>
      <c r="BO833" s="295"/>
      <c r="BP833" s="295"/>
      <c r="BQ833" s="295"/>
      <c r="BR833" s="295"/>
      <c r="BS833" s="397"/>
      <c r="BT833" s="397"/>
      <c r="BU833" s="397"/>
      <c r="BV833" s="397"/>
      <c r="BW833" s="197"/>
    </row>
    <row r="834" spans="1:75" x14ac:dyDescent="0.5">
      <c r="A834" s="239" t="s">
        <v>1432</v>
      </c>
      <c r="B834" s="239"/>
      <c r="C834" s="239"/>
      <c r="D834" s="239"/>
      <c r="E834" s="239"/>
      <c r="F834" s="239"/>
      <c r="G834" s="239"/>
      <c r="H834" s="239"/>
      <c r="I834" s="240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  <c r="AK834" s="239"/>
      <c r="AL834" s="239"/>
      <c r="AM834" s="239"/>
      <c r="AN834" s="239"/>
      <c r="AO834" s="239"/>
      <c r="AP834" s="239"/>
      <c r="AQ834" s="239"/>
      <c r="AR834" s="239"/>
      <c r="AS834" s="239"/>
      <c r="AT834" s="239"/>
      <c r="AU834" s="239"/>
      <c r="AV834" s="239"/>
      <c r="AW834" s="239"/>
      <c r="AX834" s="239"/>
      <c r="AY834" s="239"/>
      <c r="AZ834" s="239"/>
      <c r="BA834" s="239"/>
      <c r="BB834" s="239"/>
      <c r="BC834" s="239"/>
      <c r="BD834" s="239"/>
      <c r="BE834" s="239"/>
      <c r="BF834" s="239"/>
      <c r="BG834" s="239"/>
      <c r="BH834" s="239"/>
      <c r="BI834" s="239"/>
      <c r="BJ834" s="241"/>
      <c r="BK834" s="239"/>
      <c r="BL834" s="239"/>
      <c r="BM834" s="239"/>
      <c r="BN834" s="239"/>
      <c r="BO834" s="239"/>
      <c r="BP834" s="239"/>
      <c r="BQ834" s="239"/>
      <c r="BR834" s="239"/>
      <c r="BS834" s="239"/>
      <c r="BT834" s="239"/>
      <c r="BU834" s="239"/>
      <c r="BV834" s="239"/>
      <c r="BW834" s="197"/>
    </row>
    <row r="835" spans="1:75" x14ac:dyDescent="0.5">
      <c r="A835" s="463" t="str">
        <f t="shared" ref="A835:A853" si="633">A772</f>
        <v>CFO</v>
      </c>
      <c r="B835" s="522"/>
      <c r="C835" s="397"/>
      <c r="D835" s="397"/>
      <c r="E835" s="397"/>
      <c r="F835" s="397"/>
      <c r="G835" s="295"/>
      <c r="H835" s="295"/>
      <c r="I835" s="295"/>
      <c r="J835" s="295"/>
      <c r="K835" s="397"/>
      <c r="L835" s="295"/>
      <c r="M835" s="295"/>
      <c r="N835" s="295"/>
      <c r="O835" s="295"/>
      <c r="P835" s="397"/>
      <c r="Q835" s="295"/>
      <c r="R835" s="295"/>
      <c r="S835" s="295"/>
      <c r="T835" s="295"/>
      <c r="U835" s="397"/>
      <c r="V835" s="295"/>
      <c r="W835" s="295"/>
      <c r="X835" s="295"/>
      <c r="Y835" s="295"/>
      <c r="Z835" s="397"/>
      <c r="AA835" s="295"/>
      <c r="AB835" s="295"/>
      <c r="AC835" s="295"/>
      <c r="AD835" s="295"/>
      <c r="AE835" s="397"/>
      <c r="AF835" s="295"/>
      <c r="AG835" s="295"/>
      <c r="AH835" s="295"/>
      <c r="AI835" s="295"/>
      <c r="AJ835" s="397"/>
      <c r="AK835" s="295"/>
      <c r="AL835" s="295"/>
      <c r="AM835" s="295"/>
      <c r="AN835" s="295"/>
      <c r="AO835" s="397"/>
      <c r="AP835" s="295"/>
      <c r="AQ835" s="295"/>
      <c r="AR835" s="295"/>
      <c r="AS835" s="295"/>
      <c r="AT835" s="397"/>
      <c r="AU835" s="295"/>
      <c r="AV835" s="295"/>
      <c r="AW835" s="295"/>
      <c r="AX835" s="295"/>
      <c r="AY835" s="397"/>
      <c r="AZ835" s="295"/>
      <c r="BA835" s="295"/>
      <c r="BB835" s="295"/>
      <c r="BC835" s="295"/>
      <c r="BD835" s="397"/>
      <c r="BE835" s="295"/>
      <c r="BF835" s="295"/>
      <c r="BG835" s="295"/>
      <c r="BH835" s="295"/>
      <c r="BI835" s="397"/>
      <c r="BJ835" s="1030"/>
      <c r="BK835" s="295"/>
      <c r="BL835" s="295"/>
      <c r="BM835" s="295"/>
      <c r="BN835" s="397"/>
      <c r="BO835" s="295"/>
      <c r="BP835" s="295"/>
      <c r="BQ835" s="295"/>
      <c r="BR835" s="295"/>
      <c r="BS835" s="397"/>
      <c r="BT835" s="397"/>
      <c r="BU835" s="397"/>
      <c r="BV835" s="397"/>
      <c r="BW835" s="197"/>
    </row>
    <row r="836" spans="1:75" s="123" customFormat="1" x14ac:dyDescent="0.5">
      <c r="A836" s="464" t="str">
        <f t="shared" si="633"/>
        <v>Net loss</v>
      </c>
      <c r="B836" s="513"/>
      <c r="C836" s="401"/>
      <c r="D836" s="401"/>
      <c r="E836" s="401"/>
      <c r="F836" s="674">
        <f t="shared" ref="F836:G844" si="634">F773</f>
        <v>-21.055</v>
      </c>
      <c r="G836" s="122">
        <f t="shared" si="634"/>
        <v>-5.7430000000000003</v>
      </c>
      <c r="H836" s="122">
        <f t="shared" ref="H836:J844" si="635">H773-G773</f>
        <v>-2.5949999999999989</v>
      </c>
      <c r="I836" s="122">
        <f t="shared" si="635"/>
        <v>-3.0310000000000006</v>
      </c>
      <c r="J836" s="122">
        <f t="shared" si="635"/>
        <v>-4.157</v>
      </c>
      <c r="K836" s="674">
        <f t="shared" ref="K836:L844" si="636">K773</f>
        <v>-15.526</v>
      </c>
      <c r="L836" s="122">
        <f t="shared" si="636"/>
        <v>-28.026</v>
      </c>
      <c r="M836" s="122">
        <f t="shared" ref="M836:O844" si="637">M773-L773</f>
        <v>-23.375000000000004</v>
      </c>
      <c r="N836" s="122">
        <f t="shared" si="637"/>
        <v>-24.142999999999994</v>
      </c>
      <c r="O836" s="122">
        <f t="shared" si="637"/>
        <v>-72.554000000000016</v>
      </c>
      <c r="P836" s="674">
        <f t="shared" ref="P836:Q844" si="638">P773</f>
        <v>-148.09800000000001</v>
      </c>
      <c r="Q836" s="122">
        <f t="shared" si="638"/>
        <v>-27.135999999999999</v>
      </c>
      <c r="R836" s="122">
        <f t="shared" ref="R836:T844" si="639">R773-Q773</f>
        <v>-19.334</v>
      </c>
      <c r="S836" s="122">
        <f t="shared" si="639"/>
        <v>-15.478000000000002</v>
      </c>
      <c r="T836" s="122">
        <f t="shared" si="639"/>
        <v>-15.494999999999997</v>
      </c>
      <c r="U836" s="674">
        <f t="shared" ref="U836:V844" si="640">U773</f>
        <v>-77.442999999999998</v>
      </c>
      <c r="V836" s="122">
        <f t="shared" si="640"/>
        <v>-41.204999999999998</v>
      </c>
      <c r="W836" s="122">
        <f t="shared" ref="W836:Y844" si="641">W773-V773</f>
        <v>-48.274000000000001</v>
      </c>
      <c r="X836" s="122">
        <f t="shared" si="641"/>
        <v>-60.940000000000012</v>
      </c>
      <c r="Y836" s="122">
        <f t="shared" si="641"/>
        <v>-43.955999999999989</v>
      </c>
      <c r="Z836" s="674">
        <f t="shared" ref="Z836:AA844" si="642">Z773</f>
        <v>-194.375</v>
      </c>
      <c r="AA836" s="122">
        <f t="shared" si="642"/>
        <v>-56.539000000000001</v>
      </c>
      <c r="AB836" s="122">
        <f t="shared" ref="AB836:AD844" si="643">AB773-AA773</f>
        <v>-38.875</v>
      </c>
      <c r="AC836" s="122">
        <f t="shared" si="643"/>
        <v>-76.428999999999988</v>
      </c>
      <c r="AD836" s="122">
        <f t="shared" si="643"/>
        <v>-72.771000000000015</v>
      </c>
      <c r="AE836" s="674">
        <f t="shared" ref="AE836:AF844" si="644">AE773</f>
        <v>-244.614</v>
      </c>
      <c r="AF836" s="122">
        <f t="shared" si="644"/>
        <v>-107.77500000000001</v>
      </c>
      <c r="AG836" s="122">
        <f t="shared" ref="AG836:AI844" si="645">AG773-AF773</f>
        <v>-100.73399999999998</v>
      </c>
      <c r="AH836" s="122">
        <f t="shared" si="645"/>
        <v>-151.72600000000003</v>
      </c>
      <c r="AI836" s="122">
        <f t="shared" si="645"/>
        <v>-143.84499999999997</v>
      </c>
      <c r="AJ836" s="674">
        <f t="shared" ref="AJ836:AK844" si="646">AJ773</f>
        <v>-504.08</v>
      </c>
      <c r="AK836" s="122">
        <f t="shared" si="646"/>
        <v>-200.38900000000001</v>
      </c>
      <c r="AL836" s="122">
        <f t="shared" ref="AL836:AN844" si="647">AL773-AK773</f>
        <v>-181.93799999999999</v>
      </c>
      <c r="AM836" s="122">
        <f t="shared" si="647"/>
        <v>-272.03499999999997</v>
      </c>
      <c r="AN836" s="122">
        <f t="shared" si="647"/>
        <v>-330.22199999999998</v>
      </c>
      <c r="AO836" s="674">
        <f t="shared" ref="AO836:AP844" si="648">AO773</f>
        <v>-984.58399999999995</v>
      </c>
      <c r="AP836" s="122">
        <f t="shared" si="648"/>
        <v>-285.86500000000001</v>
      </c>
      <c r="AQ836" s="122">
        <f t="shared" ref="AQ836:AS844" si="649">AQ773-AP773</f>
        <v>273.87700000000001</v>
      </c>
      <c r="AR836" s="122">
        <f t="shared" si="649"/>
        <v>173.166</v>
      </c>
      <c r="AS836" s="122">
        <f t="shared" si="649"/>
        <v>23.818000000000012</v>
      </c>
      <c r="AT836" s="674">
        <f t="shared" ref="AT836:AU844" si="650">AT773</f>
        <v>184.99600000000001</v>
      </c>
      <c r="AU836" s="122">
        <f t="shared" si="650"/>
        <v>18.234000000000002</v>
      </c>
      <c r="AV836" s="122">
        <f t="shared" ref="AV836:AX844" si="651">AV773-AU773</f>
        <v>130.428</v>
      </c>
      <c r="AW836" s="122">
        <f t="shared" si="651"/>
        <v>-78.021000000000001</v>
      </c>
      <c r="AX836" s="122">
        <f t="shared" si="651"/>
        <v>-201.64100000000002</v>
      </c>
      <c r="AY836" s="674">
        <f t="shared" ref="AY836:AZ844" si="652">AY773</f>
        <v>-131</v>
      </c>
      <c r="AZ836" s="122">
        <f t="shared" si="652"/>
        <v>-319</v>
      </c>
      <c r="BA836" s="122">
        <f t="shared" ref="BA836:BC844" si="653">BA773-AZ773</f>
        <v>-378</v>
      </c>
      <c r="BB836" s="122">
        <f t="shared" si="653"/>
        <v>-283</v>
      </c>
      <c r="BC836" s="122">
        <f t="shared" si="653"/>
        <v>-351</v>
      </c>
      <c r="BD836" s="674">
        <f t="shared" ref="BD836:BE844" si="654">BD773</f>
        <v>-1331</v>
      </c>
      <c r="BE836" s="122">
        <f t="shared" si="654"/>
        <v>-355</v>
      </c>
      <c r="BF836" s="122">
        <f t="shared" ref="BF836:BH844" si="655">BF773-BE773</f>
        <v>-46</v>
      </c>
      <c r="BG836" s="122">
        <f t="shared" si="655"/>
        <v>-163</v>
      </c>
      <c r="BH836" s="122">
        <f t="shared" si="655"/>
        <v>-174</v>
      </c>
      <c r="BI836" s="674">
        <f t="shared" ref="BI836:BJ844" si="656">BI773</f>
        <v>-738</v>
      </c>
      <c r="BJ836" s="1274">
        <f t="shared" si="656"/>
        <v>-248</v>
      </c>
      <c r="BK836" s="118">
        <f>BK259</f>
        <v>-187.93980845535782</v>
      </c>
      <c r="BL836" s="118">
        <f ca="1">BL259</f>
        <v>-139.56603385580547</v>
      </c>
      <c r="BM836" s="118">
        <f ca="1">BM259</f>
        <v>-158.94862604388916</v>
      </c>
      <c r="BN836" s="401">
        <f t="shared" ref="BN836:BN844" ca="1" si="657">SUM(BJ836,BK836,BL836,BM836)</f>
        <v>-734.45446835505243</v>
      </c>
      <c r="BO836" s="118">
        <f ca="1">BO259</f>
        <v>-93.871633875770726</v>
      </c>
      <c r="BP836" s="118">
        <f ca="1">BP259</f>
        <v>-193.1792925608932</v>
      </c>
      <c r="BQ836" s="118">
        <f ca="1">BQ259</f>
        <v>-142.33343670693029</v>
      </c>
      <c r="BR836" s="118">
        <f ca="1">BR259</f>
        <v>-161.99559856114644</v>
      </c>
      <c r="BS836" s="401">
        <f t="shared" ref="BS836:BS844" ca="1" si="658">SUM(BO836,BP836,BQ836,BR836)</f>
        <v>-591.37996170474071</v>
      </c>
      <c r="BT836" s="401">
        <f ca="1">BT259</f>
        <v>-405.78563618227997</v>
      </c>
      <c r="BU836" s="401">
        <f ca="1">BU259</f>
        <v>-191.32036764284052</v>
      </c>
      <c r="BV836" s="401">
        <f ca="1">BV259</f>
        <v>57.672150303346697</v>
      </c>
      <c r="BW836" s="122"/>
    </row>
    <row r="837" spans="1:75" s="123" customFormat="1" x14ac:dyDescent="0.5">
      <c r="A837" s="464" t="str">
        <f t="shared" si="633"/>
        <v>Depreciation and amortization</v>
      </c>
      <c r="B837" s="513"/>
      <c r="C837" s="401"/>
      <c r="D837" s="401"/>
      <c r="E837" s="401"/>
      <c r="F837" s="674">
        <f t="shared" si="634"/>
        <v>9.3350000000000009</v>
      </c>
      <c r="G837" s="122">
        <f t="shared" si="634"/>
        <v>2.8839999999999999</v>
      </c>
      <c r="H837" s="122">
        <f t="shared" si="635"/>
        <v>2.9790000000000005</v>
      </c>
      <c r="I837" s="122">
        <f t="shared" si="635"/>
        <v>3.4889999999999999</v>
      </c>
      <c r="J837" s="122">
        <f t="shared" si="635"/>
        <v>3.738999999999999</v>
      </c>
      <c r="K837" s="674">
        <f t="shared" si="636"/>
        <v>13.090999999999999</v>
      </c>
      <c r="L837" s="122">
        <f t="shared" si="636"/>
        <v>4.1980000000000004</v>
      </c>
      <c r="M837" s="122">
        <f t="shared" si="637"/>
        <v>4.6929999999999996</v>
      </c>
      <c r="N837" s="122">
        <f t="shared" si="637"/>
        <v>5.5470000000000006</v>
      </c>
      <c r="O837" s="122">
        <f t="shared" si="637"/>
        <v>7.5649999999999995</v>
      </c>
      <c r="P837" s="674">
        <f t="shared" si="638"/>
        <v>22.003</v>
      </c>
      <c r="Q837" s="122">
        <f t="shared" si="638"/>
        <v>6.7439999999999998</v>
      </c>
      <c r="R837" s="122">
        <f t="shared" si="639"/>
        <v>7.4</v>
      </c>
      <c r="S837" s="122">
        <f t="shared" si="639"/>
        <v>9.206999999999999</v>
      </c>
      <c r="T837" s="122">
        <f t="shared" si="639"/>
        <v>9.0949999999999989</v>
      </c>
      <c r="U837" s="674">
        <f t="shared" si="640"/>
        <v>32.445999999999998</v>
      </c>
      <c r="V837" s="122">
        <f t="shared" si="640"/>
        <v>10.487</v>
      </c>
      <c r="W837" s="122">
        <f t="shared" si="641"/>
        <v>12.578000000000001</v>
      </c>
      <c r="X837" s="122">
        <f t="shared" si="641"/>
        <v>15.462999999999997</v>
      </c>
      <c r="Y837" s="122">
        <f t="shared" si="641"/>
        <v>17.044000000000004</v>
      </c>
      <c r="Z837" s="674">
        <f t="shared" si="642"/>
        <v>55.572000000000003</v>
      </c>
      <c r="AA837" s="122">
        <f t="shared" si="642"/>
        <v>20.352</v>
      </c>
      <c r="AB837" s="122">
        <f t="shared" si="643"/>
        <v>19.322999999999997</v>
      </c>
      <c r="AC837" s="122">
        <f t="shared" si="643"/>
        <v>22.913000000000004</v>
      </c>
      <c r="AD837" s="122">
        <f t="shared" si="643"/>
        <v>24.431999999999995</v>
      </c>
      <c r="AE837" s="674">
        <f t="shared" si="644"/>
        <v>87.02</v>
      </c>
      <c r="AF837" s="122">
        <f t="shared" si="644"/>
        <v>25.962</v>
      </c>
      <c r="AG837" s="122">
        <f t="shared" si="645"/>
        <v>28.919999999999998</v>
      </c>
      <c r="AH837" s="122">
        <f t="shared" si="645"/>
        <v>32.544000000000004</v>
      </c>
      <c r="AI837" s="122">
        <f t="shared" si="645"/>
        <v>36.116</v>
      </c>
      <c r="AJ837" s="674">
        <f t="shared" si="646"/>
        <v>123.542</v>
      </c>
      <c r="AK837" s="122">
        <f t="shared" si="646"/>
        <v>39.582999999999998</v>
      </c>
      <c r="AL837" s="122">
        <f t="shared" si="647"/>
        <v>44.338999999999999</v>
      </c>
      <c r="AM837" s="122">
        <f t="shared" si="647"/>
        <v>50.25</v>
      </c>
      <c r="AN837" s="122">
        <f t="shared" si="647"/>
        <v>58.247000000000014</v>
      </c>
      <c r="AO837" s="674">
        <f t="shared" si="648"/>
        <v>192.41900000000001</v>
      </c>
      <c r="AP837" s="122">
        <f t="shared" si="648"/>
        <v>66.843000000000004</v>
      </c>
      <c r="AQ837" s="122">
        <f t="shared" si="649"/>
        <v>69.11399999999999</v>
      </c>
      <c r="AR837" s="122">
        <f t="shared" si="649"/>
        <v>72.575000000000017</v>
      </c>
      <c r="AS837" s="122">
        <f t="shared" si="649"/>
        <v>77.179000000000002</v>
      </c>
      <c r="AT837" s="674">
        <f t="shared" si="650"/>
        <v>285.71100000000001</v>
      </c>
      <c r="AU837" s="122">
        <f t="shared" si="650"/>
        <v>80.311999999999998</v>
      </c>
      <c r="AV837" s="122">
        <f t="shared" si="651"/>
        <v>77.924999999999997</v>
      </c>
      <c r="AW837" s="122">
        <f t="shared" si="651"/>
        <v>81.917000000000002</v>
      </c>
      <c r="AX837" s="122">
        <f t="shared" si="651"/>
        <v>81.846000000000004</v>
      </c>
      <c r="AY837" s="674">
        <f t="shared" si="652"/>
        <v>322</v>
      </c>
      <c r="AZ837" s="122">
        <f t="shared" si="652"/>
        <v>85</v>
      </c>
      <c r="BA837" s="122">
        <f t="shared" si="653"/>
        <v>91</v>
      </c>
      <c r="BB837" s="122">
        <f t="shared" si="653"/>
        <v>94</v>
      </c>
      <c r="BC837" s="122">
        <f t="shared" si="653"/>
        <v>101</v>
      </c>
      <c r="BD837" s="674">
        <f t="shared" si="654"/>
        <v>371</v>
      </c>
      <c r="BE837" s="122">
        <f t="shared" si="654"/>
        <v>104</v>
      </c>
      <c r="BF837" s="122">
        <f t="shared" si="655"/>
        <v>102</v>
      </c>
      <c r="BG837" s="122">
        <f t="shared" si="655"/>
        <v>106</v>
      </c>
      <c r="BH837" s="122">
        <f t="shared" si="655"/>
        <v>105</v>
      </c>
      <c r="BI837" s="674">
        <f t="shared" si="656"/>
        <v>417</v>
      </c>
      <c r="BJ837" s="1274">
        <f t="shared" si="656"/>
        <v>104</v>
      </c>
      <c r="BK837" s="118">
        <f t="shared" ref="BK837:BM838" si="659">BK242</f>
        <v>105.07857021857923</v>
      </c>
      <c r="BL837" s="118">
        <f t="shared" si="659"/>
        <v>97.507028696407787</v>
      </c>
      <c r="BM837" s="118">
        <f t="shared" si="659"/>
        <v>97.127508206673753</v>
      </c>
      <c r="BN837" s="401">
        <f t="shared" si="657"/>
        <v>403.71310712166076</v>
      </c>
      <c r="BO837" s="118">
        <f t="shared" ref="BO837:BR838" si="660">BO242</f>
        <v>94.956027591867411</v>
      </c>
      <c r="BP837" s="118">
        <f t="shared" si="660"/>
        <v>95.984947677028302</v>
      </c>
      <c r="BQ837" s="118">
        <f t="shared" si="660"/>
        <v>96.871430783817445</v>
      </c>
      <c r="BR837" s="118">
        <f t="shared" si="660"/>
        <v>96.581016926011245</v>
      </c>
      <c r="BS837" s="401">
        <f t="shared" si="658"/>
        <v>384.3934229787244</v>
      </c>
      <c r="BT837" s="401">
        <f t="shared" ref="BT837:BV838" si="661">BT242</f>
        <v>389.92123207235119</v>
      </c>
      <c r="BU837" s="401">
        <f t="shared" si="661"/>
        <v>383.88007251962307</v>
      </c>
      <c r="BV837" s="401">
        <f t="shared" si="661"/>
        <v>381.25811070353592</v>
      </c>
      <c r="BW837" s="122"/>
    </row>
    <row r="838" spans="1:75" s="123" customFormat="1" x14ac:dyDescent="0.5">
      <c r="A838" s="464" t="str">
        <f t="shared" si="633"/>
        <v>Equity based compensation</v>
      </c>
      <c r="B838" s="513"/>
      <c r="C838" s="401"/>
      <c r="D838" s="401"/>
      <c r="E838" s="401"/>
      <c r="F838" s="674">
        <f t="shared" si="634"/>
        <v>0</v>
      </c>
      <c r="G838" s="122">
        <f t="shared" si="634"/>
        <v>0</v>
      </c>
      <c r="H838" s="122">
        <f t="shared" si="635"/>
        <v>0</v>
      </c>
      <c r="I838" s="122">
        <f t="shared" si="635"/>
        <v>0</v>
      </c>
      <c r="J838" s="122">
        <f t="shared" si="635"/>
        <v>0</v>
      </c>
      <c r="K838" s="674">
        <f t="shared" si="636"/>
        <v>0</v>
      </c>
      <c r="L838" s="122">
        <f t="shared" si="636"/>
        <v>4.5540000000000003</v>
      </c>
      <c r="M838" s="122">
        <f t="shared" si="637"/>
        <v>0.97399999999999931</v>
      </c>
      <c r="N838" s="122">
        <f t="shared" si="637"/>
        <v>0</v>
      </c>
      <c r="O838" s="122">
        <f t="shared" si="637"/>
        <v>55.280999999999999</v>
      </c>
      <c r="P838" s="674">
        <f t="shared" si="638"/>
        <v>60.808999999999997</v>
      </c>
      <c r="Q838" s="122">
        <f t="shared" si="638"/>
        <v>7.6420000000000003</v>
      </c>
      <c r="R838" s="122">
        <f t="shared" si="639"/>
        <v>6.5919999999999996</v>
      </c>
      <c r="S838" s="122">
        <f t="shared" si="639"/>
        <v>7.5069999999999997</v>
      </c>
      <c r="T838" s="122">
        <f t="shared" si="639"/>
        <v>9.2740000000000009</v>
      </c>
      <c r="U838" s="674">
        <f t="shared" si="640"/>
        <v>31.015000000000001</v>
      </c>
      <c r="V838" s="122">
        <f t="shared" si="640"/>
        <v>9.7149999999999999</v>
      </c>
      <c r="W838" s="122">
        <f t="shared" si="641"/>
        <v>10.747</v>
      </c>
      <c r="X838" s="122">
        <f t="shared" si="641"/>
        <v>14.726000000000003</v>
      </c>
      <c r="Y838" s="122">
        <f t="shared" si="641"/>
        <v>14.213999999999999</v>
      </c>
      <c r="Z838" s="674">
        <f t="shared" si="642"/>
        <v>49.402000000000001</v>
      </c>
      <c r="AA838" s="122">
        <f t="shared" si="642"/>
        <v>13.629</v>
      </c>
      <c r="AB838" s="122">
        <f t="shared" si="643"/>
        <v>14.833</v>
      </c>
      <c r="AC838" s="122">
        <f t="shared" si="643"/>
        <v>18.278000000000002</v>
      </c>
      <c r="AD838" s="122">
        <f t="shared" si="643"/>
        <v>21.1</v>
      </c>
      <c r="AE838" s="674">
        <f t="shared" si="644"/>
        <v>67.84</v>
      </c>
      <c r="AF838" s="122">
        <f t="shared" si="644"/>
        <v>24.4</v>
      </c>
      <c r="AG838" s="122">
        <f t="shared" si="645"/>
        <v>29.813000000000002</v>
      </c>
      <c r="AH838" s="122">
        <f t="shared" si="645"/>
        <v>33.934999999999995</v>
      </c>
      <c r="AI838" s="122">
        <f t="shared" si="645"/>
        <v>39.415999999999997</v>
      </c>
      <c r="AJ838" s="674">
        <f t="shared" si="646"/>
        <v>127.56399999999999</v>
      </c>
      <c r="AK838" s="122">
        <f t="shared" si="646"/>
        <v>47.06</v>
      </c>
      <c r="AL838" s="122">
        <f t="shared" si="647"/>
        <v>53.186999999999998</v>
      </c>
      <c r="AM838" s="122">
        <f t="shared" si="647"/>
        <v>61.76700000000001</v>
      </c>
      <c r="AN838" s="122">
        <f t="shared" si="647"/>
        <v>65.436999999999983</v>
      </c>
      <c r="AO838" s="674">
        <f t="shared" si="648"/>
        <v>227.45099999999999</v>
      </c>
      <c r="AP838" s="122">
        <f t="shared" si="648"/>
        <v>59.448999999999998</v>
      </c>
      <c r="AQ838" s="122">
        <f t="shared" si="649"/>
        <v>67.632000000000005</v>
      </c>
      <c r="AR838" s="122">
        <f t="shared" si="649"/>
        <v>70.118000000000009</v>
      </c>
      <c r="AS838" s="122">
        <f t="shared" si="649"/>
        <v>79.009000000000015</v>
      </c>
      <c r="AT838" s="674">
        <f t="shared" si="650"/>
        <v>276.20800000000003</v>
      </c>
      <c r="AU838" s="122">
        <f t="shared" si="650"/>
        <v>74.524000000000001</v>
      </c>
      <c r="AV838" s="122">
        <f t="shared" si="651"/>
        <v>79.359000000000009</v>
      </c>
      <c r="AW838" s="122">
        <f t="shared" si="651"/>
        <v>83.19</v>
      </c>
      <c r="AX838" s="122">
        <f t="shared" si="651"/>
        <v>106.92699999999999</v>
      </c>
      <c r="AY838" s="674">
        <f t="shared" si="652"/>
        <v>344</v>
      </c>
      <c r="AZ838" s="122">
        <f t="shared" si="652"/>
        <v>104</v>
      </c>
      <c r="BA838" s="122">
        <f t="shared" si="653"/>
        <v>129</v>
      </c>
      <c r="BB838" s="122">
        <f t="shared" si="653"/>
        <v>122</v>
      </c>
      <c r="BC838" s="122">
        <f t="shared" si="653"/>
        <v>158</v>
      </c>
      <c r="BD838" s="674">
        <f t="shared" si="654"/>
        <v>513</v>
      </c>
      <c r="BE838" s="122">
        <f t="shared" si="654"/>
        <v>144</v>
      </c>
      <c r="BF838" s="122">
        <f t="shared" si="655"/>
        <v>164</v>
      </c>
      <c r="BG838" s="122">
        <f t="shared" si="655"/>
        <v>139</v>
      </c>
      <c r="BH838" s="122">
        <f t="shared" si="655"/>
        <v>158</v>
      </c>
      <c r="BI838" s="674">
        <f t="shared" si="656"/>
        <v>605</v>
      </c>
      <c r="BJ838" s="1274">
        <f t="shared" si="656"/>
        <v>119</v>
      </c>
      <c r="BK838" s="118">
        <f t="shared" si="659"/>
        <v>109.40393305800001</v>
      </c>
      <c r="BL838" s="118">
        <f t="shared" si="659"/>
        <v>101.57211571200004</v>
      </c>
      <c r="BM838" s="118">
        <f t="shared" si="659"/>
        <v>107.437353372</v>
      </c>
      <c r="BN838" s="401">
        <f t="shared" si="657"/>
        <v>437.41340214200005</v>
      </c>
      <c r="BO838" s="118">
        <f t="shared" si="660"/>
        <v>98.455781316000014</v>
      </c>
      <c r="BP838" s="118">
        <f t="shared" si="660"/>
        <v>116.0891697914422</v>
      </c>
      <c r="BQ838" s="118">
        <f t="shared" si="660"/>
        <v>107.77878141469752</v>
      </c>
      <c r="BR838" s="118">
        <f t="shared" si="660"/>
        <v>114.00242028714946</v>
      </c>
      <c r="BS838" s="401">
        <f t="shared" si="658"/>
        <v>436.32615280928917</v>
      </c>
      <c r="BT838" s="401">
        <f t="shared" si="661"/>
        <v>467.52739967052872</v>
      </c>
      <c r="BU838" s="401">
        <f t="shared" si="661"/>
        <v>500.95981649356861</v>
      </c>
      <c r="BV838" s="401">
        <f t="shared" si="661"/>
        <v>536.78295201120716</v>
      </c>
      <c r="BW838" s="122"/>
    </row>
    <row r="839" spans="1:75" s="123" customFormat="1" x14ac:dyDescent="0.5">
      <c r="A839" s="464" t="str">
        <f t="shared" si="633"/>
        <v>Gain on sale of a business</v>
      </c>
      <c r="B839" s="513"/>
      <c r="C839" s="401"/>
      <c r="D839" s="401"/>
      <c r="E839" s="401"/>
      <c r="F839" s="674">
        <f t="shared" si="634"/>
        <v>0</v>
      </c>
      <c r="G839" s="122">
        <f t="shared" si="634"/>
        <v>0</v>
      </c>
      <c r="H839" s="122">
        <f t="shared" si="635"/>
        <v>0</v>
      </c>
      <c r="I839" s="122">
        <f t="shared" si="635"/>
        <v>0</v>
      </c>
      <c r="J839" s="122">
        <f t="shared" si="635"/>
        <v>0</v>
      </c>
      <c r="K839" s="674">
        <f t="shared" si="636"/>
        <v>0</v>
      </c>
      <c r="L839" s="122">
        <f t="shared" si="636"/>
        <v>0</v>
      </c>
      <c r="M839" s="122">
        <f t="shared" si="637"/>
        <v>0</v>
      </c>
      <c r="N839" s="122">
        <f t="shared" si="637"/>
        <v>0</v>
      </c>
      <c r="O839" s="122">
        <f t="shared" si="637"/>
        <v>0</v>
      </c>
      <c r="P839" s="674">
        <f t="shared" si="638"/>
        <v>0</v>
      </c>
      <c r="Q839" s="122">
        <f t="shared" si="638"/>
        <v>0</v>
      </c>
      <c r="R839" s="122">
        <f t="shared" si="639"/>
        <v>0</v>
      </c>
      <c r="S839" s="122">
        <f t="shared" si="639"/>
        <v>-2.9969999999999999</v>
      </c>
      <c r="T839" s="122">
        <f t="shared" si="639"/>
        <v>0</v>
      </c>
      <c r="U839" s="674">
        <f t="shared" si="640"/>
        <v>-2.9969999999999999</v>
      </c>
      <c r="V839" s="122">
        <f t="shared" si="640"/>
        <v>0</v>
      </c>
      <c r="W839" s="122">
        <f t="shared" si="641"/>
        <v>0</v>
      </c>
      <c r="X839" s="122">
        <f t="shared" si="641"/>
        <v>0</v>
      </c>
      <c r="Y839" s="122">
        <f t="shared" si="641"/>
        <v>0</v>
      </c>
      <c r="Z839" s="674">
        <f t="shared" si="642"/>
        <v>0</v>
      </c>
      <c r="AA839" s="122">
        <f t="shared" si="642"/>
        <v>0</v>
      </c>
      <c r="AB839" s="122">
        <f t="shared" si="643"/>
        <v>0</v>
      </c>
      <c r="AC839" s="122">
        <f t="shared" si="643"/>
        <v>0</v>
      </c>
      <c r="AD839" s="122">
        <f t="shared" si="643"/>
        <v>0</v>
      </c>
      <c r="AE839" s="674">
        <f t="shared" si="644"/>
        <v>0</v>
      </c>
      <c r="AF839" s="122">
        <f t="shared" si="644"/>
        <v>0</v>
      </c>
      <c r="AG839" s="122">
        <f t="shared" si="645"/>
        <v>0</v>
      </c>
      <c r="AH839" s="122">
        <f t="shared" si="645"/>
        <v>0</v>
      </c>
      <c r="AI839" s="122">
        <f t="shared" si="645"/>
        <v>0</v>
      </c>
      <c r="AJ839" s="674">
        <f t="shared" si="646"/>
        <v>0</v>
      </c>
      <c r="AK839" s="122">
        <f t="shared" si="646"/>
        <v>0</v>
      </c>
      <c r="AL839" s="122">
        <f t="shared" si="647"/>
        <v>0</v>
      </c>
      <c r="AM839" s="122">
        <f t="shared" si="647"/>
        <v>0</v>
      </c>
      <c r="AN839" s="122">
        <f t="shared" si="647"/>
        <v>0</v>
      </c>
      <c r="AO839" s="674">
        <f t="shared" si="648"/>
        <v>0</v>
      </c>
      <c r="AP839" s="122">
        <f t="shared" si="648"/>
        <v>0</v>
      </c>
      <c r="AQ839" s="122">
        <f t="shared" si="649"/>
        <v>0</v>
      </c>
      <c r="AR839" s="122">
        <f t="shared" si="649"/>
        <v>0</v>
      </c>
      <c r="AS839" s="122">
        <f t="shared" si="649"/>
        <v>0</v>
      </c>
      <c r="AT839" s="674">
        <f t="shared" si="650"/>
        <v>0</v>
      </c>
      <c r="AU839" s="122">
        <f t="shared" si="650"/>
        <v>0</v>
      </c>
      <c r="AV839" s="122">
        <f t="shared" si="651"/>
        <v>0</v>
      </c>
      <c r="AW839" s="122">
        <f t="shared" si="651"/>
        <v>0</v>
      </c>
      <c r="AX839" s="122">
        <f t="shared" si="651"/>
        <v>0</v>
      </c>
      <c r="AY839" s="674">
        <f t="shared" si="652"/>
        <v>0</v>
      </c>
      <c r="AZ839" s="122">
        <f t="shared" si="652"/>
        <v>0</v>
      </c>
      <c r="BA839" s="122">
        <f t="shared" si="653"/>
        <v>0</v>
      </c>
      <c r="BB839" s="122">
        <f t="shared" si="653"/>
        <v>0</v>
      </c>
      <c r="BC839" s="122">
        <f t="shared" si="653"/>
        <v>0</v>
      </c>
      <c r="BD839" s="674">
        <f t="shared" si="654"/>
        <v>0</v>
      </c>
      <c r="BE839" s="122">
        <f t="shared" si="654"/>
        <v>0</v>
      </c>
      <c r="BF839" s="122">
        <f t="shared" si="655"/>
        <v>0</v>
      </c>
      <c r="BG839" s="122">
        <f t="shared" si="655"/>
        <v>0</v>
      </c>
      <c r="BH839" s="122">
        <f t="shared" si="655"/>
        <v>0</v>
      </c>
      <c r="BI839" s="674">
        <f t="shared" si="656"/>
        <v>0</v>
      </c>
      <c r="BJ839" s="1274">
        <f t="shared" si="656"/>
        <v>0</v>
      </c>
      <c r="BK839" s="118"/>
      <c r="BL839" s="118"/>
      <c r="BM839" s="118"/>
      <c r="BN839" s="401">
        <f t="shared" si="657"/>
        <v>0</v>
      </c>
      <c r="BO839" s="118"/>
      <c r="BP839" s="118"/>
      <c r="BQ839" s="118"/>
      <c r="BR839" s="118"/>
      <c r="BS839" s="401">
        <f t="shared" si="658"/>
        <v>0</v>
      </c>
      <c r="BT839" s="401"/>
      <c r="BU839" s="401"/>
      <c r="BV839" s="401"/>
      <c r="BW839" s="122"/>
    </row>
    <row r="840" spans="1:75" s="123" customFormat="1" x14ac:dyDescent="0.5">
      <c r="A840" s="464" t="str">
        <f t="shared" si="633"/>
        <v>Deferred taxes</v>
      </c>
      <c r="B840" s="513"/>
      <c r="C840" s="401"/>
      <c r="D840" s="401"/>
      <c r="E840" s="401"/>
      <c r="F840" s="674">
        <f t="shared" si="634"/>
        <v>0</v>
      </c>
      <c r="G840" s="122">
        <f t="shared" si="634"/>
        <v>0</v>
      </c>
      <c r="H840" s="122">
        <f t="shared" si="635"/>
        <v>0</v>
      </c>
      <c r="I840" s="122">
        <f t="shared" si="635"/>
        <v>0</v>
      </c>
      <c r="J840" s="122">
        <f t="shared" si="635"/>
        <v>0</v>
      </c>
      <c r="K840" s="674">
        <f t="shared" si="636"/>
        <v>0</v>
      </c>
      <c r="L840" s="122">
        <f t="shared" si="636"/>
        <v>0</v>
      </c>
      <c r="M840" s="122">
        <f t="shared" si="637"/>
        <v>0</v>
      </c>
      <c r="N840" s="122">
        <f t="shared" si="637"/>
        <v>0</v>
      </c>
      <c r="O840" s="122">
        <f t="shared" si="637"/>
        <v>0</v>
      </c>
      <c r="P840" s="674">
        <f t="shared" si="638"/>
        <v>0</v>
      </c>
      <c r="Q840" s="122">
        <f t="shared" si="638"/>
        <v>0</v>
      </c>
      <c r="R840" s="122">
        <f t="shared" si="639"/>
        <v>0</v>
      </c>
      <c r="S840" s="122">
        <f t="shared" si="639"/>
        <v>0</v>
      </c>
      <c r="T840" s="122">
        <f t="shared" si="639"/>
        <v>0</v>
      </c>
      <c r="U840" s="674">
        <f t="shared" si="640"/>
        <v>0</v>
      </c>
      <c r="V840" s="122">
        <f t="shared" si="640"/>
        <v>0</v>
      </c>
      <c r="W840" s="122">
        <f t="shared" si="641"/>
        <v>0</v>
      </c>
      <c r="X840" s="122">
        <f t="shared" si="641"/>
        <v>0</v>
      </c>
      <c r="Y840" s="122">
        <f t="shared" si="641"/>
        <v>0</v>
      </c>
      <c r="Z840" s="674">
        <f t="shared" si="642"/>
        <v>0</v>
      </c>
      <c r="AA840" s="122">
        <f t="shared" si="642"/>
        <v>0</v>
      </c>
      <c r="AB840" s="122">
        <f t="shared" si="643"/>
        <v>0</v>
      </c>
      <c r="AC840" s="122">
        <f t="shared" si="643"/>
        <v>0</v>
      </c>
      <c r="AD840" s="122">
        <f t="shared" si="643"/>
        <v>0</v>
      </c>
      <c r="AE840" s="674">
        <f t="shared" si="644"/>
        <v>0</v>
      </c>
      <c r="AF840" s="122">
        <f t="shared" si="644"/>
        <v>0</v>
      </c>
      <c r="AG840" s="122">
        <f t="shared" si="645"/>
        <v>0</v>
      </c>
      <c r="AH840" s="122">
        <f t="shared" si="645"/>
        <v>0</v>
      </c>
      <c r="AI840" s="122">
        <f t="shared" si="645"/>
        <v>0</v>
      </c>
      <c r="AJ840" s="674">
        <f t="shared" si="646"/>
        <v>0</v>
      </c>
      <c r="AK840" s="122">
        <f t="shared" si="646"/>
        <v>0</v>
      </c>
      <c r="AL840" s="122">
        <f t="shared" si="647"/>
        <v>0</v>
      </c>
      <c r="AM840" s="122">
        <f t="shared" si="647"/>
        <v>0</v>
      </c>
      <c r="AN840" s="122">
        <f t="shared" si="647"/>
        <v>0</v>
      </c>
      <c r="AO840" s="674">
        <f t="shared" si="648"/>
        <v>0</v>
      </c>
      <c r="AP840" s="122">
        <f t="shared" si="648"/>
        <v>0</v>
      </c>
      <c r="AQ840" s="122">
        <f t="shared" si="649"/>
        <v>0</v>
      </c>
      <c r="AR840" s="122">
        <f t="shared" si="649"/>
        <v>0</v>
      </c>
      <c r="AS840" s="122">
        <f t="shared" si="649"/>
        <v>0</v>
      </c>
      <c r="AT840" s="674">
        <f t="shared" si="650"/>
        <v>0</v>
      </c>
      <c r="AU840" s="122">
        <f t="shared" si="650"/>
        <v>0</v>
      </c>
      <c r="AV840" s="122">
        <f t="shared" si="651"/>
        <v>0</v>
      </c>
      <c r="AW840" s="122">
        <f t="shared" si="651"/>
        <v>0</v>
      </c>
      <c r="AX840" s="122">
        <f t="shared" si="651"/>
        <v>0</v>
      </c>
      <c r="AY840" s="674">
        <f t="shared" si="652"/>
        <v>0</v>
      </c>
      <c r="AZ840" s="122">
        <f t="shared" si="652"/>
        <v>0</v>
      </c>
      <c r="BA840" s="122">
        <f t="shared" si="653"/>
        <v>0</v>
      </c>
      <c r="BB840" s="122">
        <f t="shared" si="653"/>
        <v>0</v>
      </c>
      <c r="BC840" s="122">
        <f t="shared" si="653"/>
        <v>0</v>
      </c>
      <c r="BD840" s="674">
        <f t="shared" si="654"/>
        <v>0</v>
      </c>
      <c r="BE840" s="122">
        <f t="shared" si="654"/>
        <v>0</v>
      </c>
      <c r="BF840" s="122">
        <f t="shared" si="655"/>
        <v>0</v>
      </c>
      <c r="BG840" s="122">
        <f t="shared" si="655"/>
        <v>0</v>
      </c>
      <c r="BH840" s="122">
        <f t="shared" si="655"/>
        <v>0</v>
      </c>
      <c r="BI840" s="674">
        <f t="shared" si="656"/>
        <v>0</v>
      </c>
      <c r="BJ840" s="1274">
        <f t="shared" si="656"/>
        <v>0</v>
      </c>
      <c r="BK840" s="118">
        <f>BK254</f>
        <v>0</v>
      </c>
      <c r="BL840" s="118">
        <f ca="1">BL254</f>
        <v>0</v>
      </c>
      <c r="BM840" s="118">
        <f ca="1">BM254</f>
        <v>0</v>
      </c>
      <c r="BN840" s="401">
        <f t="shared" ca="1" si="657"/>
        <v>0</v>
      </c>
      <c r="BO840" s="118">
        <f ca="1">BO254</f>
        <v>0</v>
      </c>
      <c r="BP840" s="118">
        <f ca="1">BP254</f>
        <v>0</v>
      </c>
      <c r="BQ840" s="118">
        <f ca="1">BQ254</f>
        <v>0</v>
      </c>
      <c r="BR840" s="118">
        <f ca="1">BR254</f>
        <v>0</v>
      </c>
      <c r="BS840" s="401">
        <f t="shared" ca="1" si="658"/>
        <v>0</v>
      </c>
      <c r="BT840" s="401">
        <f ca="1">BT254</f>
        <v>0</v>
      </c>
      <c r="BU840" s="401">
        <f ca="1">BU254</f>
        <v>0</v>
      </c>
      <c r="BV840" s="401">
        <f ca="1">BV254</f>
        <v>0</v>
      </c>
      <c r="BW840" s="122"/>
    </row>
    <row r="841" spans="1:75" s="123" customFormat="1" x14ac:dyDescent="0.5">
      <c r="A841" s="464" t="str">
        <f t="shared" si="633"/>
        <v>Loss on impairment</v>
      </c>
      <c r="B841" s="513"/>
      <c r="C841" s="401"/>
      <c r="D841" s="401"/>
      <c r="E841" s="401"/>
      <c r="F841" s="674">
        <f t="shared" si="634"/>
        <v>0</v>
      </c>
      <c r="G841" s="122">
        <f t="shared" si="634"/>
        <v>0</v>
      </c>
      <c r="H841" s="122">
        <f t="shared" si="635"/>
        <v>0</v>
      </c>
      <c r="I841" s="122">
        <f t="shared" si="635"/>
        <v>0</v>
      </c>
      <c r="J841" s="122">
        <f t="shared" si="635"/>
        <v>0</v>
      </c>
      <c r="K841" s="674">
        <f t="shared" si="636"/>
        <v>0</v>
      </c>
      <c r="L841" s="122">
        <f t="shared" si="636"/>
        <v>0</v>
      </c>
      <c r="M841" s="122">
        <f t="shared" si="637"/>
        <v>0</v>
      </c>
      <c r="N841" s="122">
        <f t="shared" si="637"/>
        <v>0</v>
      </c>
      <c r="O841" s="122">
        <f t="shared" si="637"/>
        <v>0</v>
      </c>
      <c r="P841" s="674">
        <f t="shared" si="638"/>
        <v>0</v>
      </c>
      <c r="Q841" s="122">
        <f t="shared" si="638"/>
        <v>0</v>
      </c>
      <c r="R841" s="122">
        <f t="shared" si="639"/>
        <v>0</v>
      </c>
      <c r="S841" s="122">
        <f t="shared" si="639"/>
        <v>0</v>
      </c>
      <c r="T841" s="122">
        <f t="shared" si="639"/>
        <v>0</v>
      </c>
      <c r="U841" s="674">
        <f t="shared" si="640"/>
        <v>0</v>
      </c>
      <c r="V841" s="122">
        <f t="shared" si="640"/>
        <v>0</v>
      </c>
      <c r="W841" s="122">
        <f t="shared" si="641"/>
        <v>0</v>
      </c>
      <c r="X841" s="122">
        <f t="shared" si="641"/>
        <v>0</v>
      </c>
      <c r="Y841" s="122">
        <f t="shared" si="641"/>
        <v>0</v>
      </c>
      <c r="Z841" s="674">
        <f t="shared" si="642"/>
        <v>0</v>
      </c>
      <c r="AA841" s="122">
        <f t="shared" si="642"/>
        <v>0</v>
      </c>
      <c r="AB841" s="122">
        <f t="shared" si="643"/>
        <v>0</v>
      </c>
      <c r="AC841" s="122">
        <f t="shared" si="643"/>
        <v>0</v>
      </c>
      <c r="AD841" s="122">
        <f t="shared" si="643"/>
        <v>0</v>
      </c>
      <c r="AE841" s="674">
        <f t="shared" si="644"/>
        <v>0</v>
      </c>
      <c r="AF841" s="122">
        <f t="shared" si="644"/>
        <v>0</v>
      </c>
      <c r="AG841" s="122">
        <f t="shared" si="645"/>
        <v>0</v>
      </c>
      <c r="AH841" s="122">
        <f t="shared" si="645"/>
        <v>0</v>
      </c>
      <c r="AI841" s="122">
        <f t="shared" si="645"/>
        <v>0</v>
      </c>
      <c r="AJ841" s="674">
        <f t="shared" si="646"/>
        <v>0</v>
      </c>
      <c r="AK841" s="122">
        <f t="shared" si="646"/>
        <v>0</v>
      </c>
      <c r="AL841" s="122">
        <f t="shared" si="647"/>
        <v>0</v>
      </c>
      <c r="AM841" s="122">
        <f t="shared" si="647"/>
        <v>0</v>
      </c>
      <c r="AN841" s="122">
        <f t="shared" si="647"/>
        <v>0</v>
      </c>
      <c r="AO841" s="674">
        <f t="shared" si="648"/>
        <v>0</v>
      </c>
      <c r="AP841" s="122">
        <f t="shared" si="648"/>
        <v>0</v>
      </c>
      <c r="AQ841" s="122">
        <f t="shared" si="649"/>
        <v>0</v>
      </c>
      <c r="AR841" s="122">
        <f t="shared" si="649"/>
        <v>0</v>
      </c>
      <c r="AS841" s="122">
        <f t="shared" si="649"/>
        <v>0</v>
      </c>
      <c r="AT841" s="674">
        <f t="shared" si="650"/>
        <v>0</v>
      </c>
      <c r="AU841" s="122">
        <f t="shared" si="650"/>
        <v>12.212</v>
      </c>
      <c r="AV841" s="122">
        <f t="shared" si="651"/>
        <v>0</v>
      </c>
      <c r="AW841" s="122">
        <f t="shared" si="651"/>
        <v>0</v>
      </c>
      <c r="AX841" s="122">
        <f t="shared" si="651"/>
        <v>-0.21199999999999974</v>
      </c>
      <c r="AY841" s="674">
        <f t="shared" si="652"/>
        <v>12</v>
      </c>
      <c r="AZ841" s="122">
        <f t="shared" si="652"/>
        <v>0</v>
      </c>
      <c r="BA841" s="122">
        <f t="shared" si="653"/>
        <v>40</v>
      </c>
      <c r="BB841" s="122">
        <f t="shared" si="653"/>
        <v>0</v>
      </c>
      <c r="BC841" s="122">
        <f t="shared" si="653"/>
        <v>-1</v>
      </c>
      <c r="BD841" s="674">
        <f t="shared" si="654"/>
        <v>39</v>
      </c>
      <c r="BE841" s="122">
        <f t="shared" si="654"/>
        <v>13</v>
      </c>
      <c r="BF841" s="122">
        <f t="shared" si="655"/>
        <v>1</v>
      </c>
      <c r="BG841" s="122">
        <f t="shared" si="655"/>
        <v>0</v>
      </c>
      <c r="BH841" s="122">
        <f t="shared" si="655"/>
        <v>0</v>
      </c>
      <c r="BI841" s="674">
        <f t="shared" si="656"/>
        <v>14</v>
      </c>
      <c r="BJ841" s="1274">
        <f t="shared" si="656"/>
        <v>0</v>
      </c>
      <c r="BK841" s="118"/>
      <c r="BL841" s="118"/>
      <c r="BM841" s="118"/>
      <c r="BN841" s="401">
        <f t="shared" si="657"/>
        <v>0</v>
      </c>
      <c r="BO841" s="118"/>
      <c r="BP841" s="118"/>
      <c r="BQ841" s="118"/>
      <c r="BR841" s="118"/>
      <c r="BS841" s="401">
        <f t="shared" si="658"/>
        <v>0</v>
      </c>
      <c r="BT841" s="401"/>
      <c r="BU841" s="401"/>
      <c r="BV841" s="401"/>
      <c r="BW841" s="122"/>
    </row>
    <row r="842" spans="1:75" s="123" customFormat="1" x14ac:dyDescent="0.5">
      <c r="A842" s="464" t="str">
        <f t="shared" si="633"/>
        <v>Amortization of discount and issuance costs on convertible notes</v>
      </c>
      <c r="B842" s="513"/>
      <c r="C842" s="401"/>
      <c r="D842" s="401"/>
      <c r="E842" s="401"/>
      <c r="F842" s="674">
        <f t="shared" si="634"/>
        <v>0</v>
      </c>
      <c r="G842" s="122">
        <f t="shared" si="634"/>
        <v>0</v>
      </c>
      <c r="H842" s="122">
        <f t="shared" si="635"/>
        <v>0</v>
      </c>
      <c r="I842" s="122">
        <f t="shared" si="635"/>
        <v>0</v>
      </c>
      <c r="J842" s="122">
        <f t="shared" si="635"/>
        <v>0</v>
      </c>
      <c r="K842" s="674">
        <f t="shared" si="636"/>
        <v>0</v>
      </c>
      <c r="L842" s="122">
        <f t="shared" si="636"/>
        <v>0</v>
      </c>
      <c r="M842" s="122">
        <f t="shared" si="637"/>
        <v>0</v>
      </c>
      <c r="N842" s="122">
        <f t="shared" si="637"/>
        <v>0</v>
      </c>
      <c r="O842" s="122">
        <f t="shared" si="637"/>
        <v>0</v>
      </c>
      <c r="P842" s="674">
        <f t="shared" si="638"/>
        <v>0</v>
      </c>
      <c r="Q842" s="122">
        <f t="shared" si="638"/>
        <v>0</v>
      </c>
      <c r="R842" s="122">
        <f t="shared" si="639"/>
        <v>0</v>
      </c>
      <c r="S842" s="122">
        <f t="shared" si="639"/>
        <v>0</v>
      </c>
      <c r="T842" s="122">
        <f t="shared" si="639"/>
        <v>0</v>
      </c>
      <c r="U842" s="674">
        <f t="shared" si="640"/>
        <v>0</v>
      </c>
      <c r="V842" s="122">
        <f t="shared" si="640"/>
        <v>0</v>
      </c>
      <c r="W842" s="122">
        <f t="shared" si="641"/>
        <v>0</v>
      </c>
      <c r="X842" s="122">
        <f t="shared" si="641"/>
        <v>0</v>
      </c>
      <c r="Y842" s="122">
        <f t="shared" si="641"/>
        <v>0</v>
      </c>
      <c r="Z842" s="674">
        <f t="shared" si="642"/>
        <v>0</v>
      </c>
      <c r="AA842" s="122">
        <f t="shared" si="642"/>
        <v>0</v>
      </c>
      <c r="AB842" s="122">
        <f t="shared" si="643"/>
        <v>0</v>
      </c>
      <c r="AC842" s="122">
        <f t="shared" si="643"/>
        <v>0.874</v>
      </c>
      <c r="AD842" s="122">
        <f t="shared" si="643"/>
        <v>4.9560000000000004</v>
      </c>
      <c r="AE842" s="674">
        <f t="shared" si="644"/>
        <v>5.83</v>
      </c>
      <c r="AF842" s="122">
        <f t="shared" si="644"/>
        <v>4.2809999999999997</v>
      </c>
      <c r="AG842" s="122">
        <f t="shared" si="645"/>
        <v>5.0720000000000001</v>
      </c>
      <c r="AH842" s="122">
        <f t="shared" si="645"/>
        <v>4.3460000000000001</v>
      </c>
      <c r="AI842" s="122">
        <f t="shared" si="645"/>
        <v>8.886000000000001</v>
      </c>
      <c r="AJ842" s="674">
        <f t="shared" si="646"/>
        <v>22.585000000000001</v>
      </c>
      <c r="AK842" s="122">
        <f t="shared" si="646"/>
        <v>12.456</v>
      </c>
      <c r="AL842" s="122">
        <f t="shared" si="647"/>
        <v>10.559000000000001</v>
      </c>
      <c r="AM842" s="122">
        <f t="shared" si="647"/>
        <v>17.722000000000001</v>
      </c>
      <c r="AN842" s="122">
        <f t="shared" si="647"/>
        <v>21.373999999999995</v>
      </c>
      <c r="AO842" s="674">
        <f t="shared" si="648"/>
        <v>62.110999999999997</v>
      </c>
      <c r="AP842" s="122">
        <f t="shared" si="648"/>
        <v>19.527000000000001</v>
      </c>
      <c r="AQ842" s="122">
        <f t="shared" si="649"/>
        <v>26.960999999999999</v>
      </c>
      <c r="AR842" s="122">
        <f t="shared" si="649"/>
        <v>31.736999999999995</v>
      </c>
      <c r="AS842" s="122">
        <f t="shared" si="649"/>
        <v>56.063000000000017</v>
      </c>
      <c r="AT842" s="674">
        <f t="shared" si="650"/>
        <v>134.28800000000001</v>
      </c>
      <c r="AU842" s="122">
        <f t="shared" si="650"/>
        <v>2.0720000000000001</v>
      </c>
      <c r="AV842" s="122">
        <f t="shared" si="651"/>
        <v>1.8969999999999998</v>
      </c>
      <c r="AW842" s="122">
        <f t="shared" si="651"/>
        <v>1.9040000000000004</v>
      </c>
      <c r="AX842" s="122">
        <f t="shared" si="651"/>
        <v>1.1269999999999998</v>
      </c>
      <c r="AY842" s="674">
        <f t="shared" si="652"/>
        <v>7</v>
      </c>
      <c r="AZ842" s="122">
        <f t="shared" si="652"/>
        <v>2</v>
      </c>
      <c r="BA842" s="122">
        <f t="shared" si="653"/>
        <v>2</v>
      </c>
      <c r="BB842" s="122">
        <f t="shared" si="653"/>
        <v>3</v>
      </c>
      <c r="BC842" s="122">
        <f t="shared" si="653"/>
        <v>1</v>
      </c>
      <c r="BD842" s="674">
        <f t="shared" si="654"/>
        <v>8</v>
      </c>
      <c r="BE842" s="122">
        <f t="shared" si="654"/>
        <v>1</v>
      </c>
      <c r="BF842" s="122">
        <f t="shared" si="655"/>
        <v>2</v>
      </c>
      <c r="BG842" s="122">
        <f t="shared" si="655"/>
        <v>3</v>
      </c>
      <c r="BH842" s="122">
        <f t="shared" si="655"/>
        <v>2</v>
      </c>
      <c r="BI842" s="674">
        <f t="shared" si="656"/>
        <v>8</v>
      </c>
      <c r="BJ842" s="1274">
        <f t="shared" si="656"/>
        <v>3</v>
      </c>
      <c r="BK842" s="118">
        <f>BK224</f>
        <v>2.1369328365866536</v>
      </c>
      <c r="BL842" s="118">
        <f>BL224</f>
        <v>2.1604156150106832</v>
      </c>
      <c r="BM842" s="118">
        <f>BM224</f>
        <v>2.1604156150106832</v>
      </c>
      <c r="BN842" s="401">
        <f t="shared" si="657"/>
        <v>9.4577640666080196</v>
      </c>
      <c r="BO842" s="118">
        <f>BO224</f>
        <v>2.1134500581626248</v>
      </c>
      <c r="BP842" s="118">
        <f>BP224</f>
        <v>2.1369328365866544</v>
      </c>
      <c r="BQ842" s="118">
        <f>BQ224</f>
        <v>2.1604156150106832</v>
      </c>
      <c r="BR842" s="118">
        <f>BR224</f>
        <v>1.6631478554478418</v>
      </c>
      <c r="BS842" s="401">
        <f t="shared" si="658"/>
        <v>8.073946365207803</v>
      </c>
      <c r="BT842" s="401">
        <f>BT224</f>
        <v>5.7808308547799108</v>
      </c>
      <c r="BU842" s="401">
        <f>BU224</f>
        <v>3.7939675891439095</v>
      </c>
      <c r="BV842" s="401">
        <f>BV224</f>
        <v>1.8934911242603554</v>
      </c>
      <c r="BW842" s="122"/>
    </row>
    <row r="843" spans="1:75" s="123" customFormat="1" x14ac:dyDescent="0.5">
      <c r="A843" s="464" t="str">
        <f t="shared" si="633"/>
        <v>Gain on debt extinguishment</v>
      </c>
      <c r="B843" s="513"/>
      <c r="C843" s="401"/>
      <c r="D843" s="401"/>
      <c r="E843" s="401"/>
      <c r="F843" s="674">
        <f t="shared" si="634"/>
        <v>0</v>
      </c>
      <c r="G843" s="122">
        <f t="shared" si="634"/>
        <v>0</v>
      </c>
      <c r="H843" s="122">
        <f t="shared" si="635"/>
        <v>0</v>
      </c>
      <c r="I843" s="122">
        <f t="shared" si="635"/>
        <v>0</v>
      </c>
      <c r="J843" s="122">
        <f t="shared" si="635"/>
        <v>0</v>
      </c>
      <c r="K843" s="674">
        <f t="shared" si="636"/>
        <v>0</v>
      </c>
      <c r="L843" s="122">
        <f t="shared" si="636"/>
        <v>0</v>
      </c>
      <c r="M843" s="122">
        <f t="shared" si="637"/>
        <v>0</v>
      </c>
      <c r="N843" s="122">
        <f t="shared" si="637"/>
        <v>0</v>
      </c>
      <c r="O843" s="122">
        <f t="shared" si="637"/>
        <v>0</v>
      </c>
      <c r="P843" s="674">
        <f t="shared" si="638"/>
        <v>0</v>
      </c>
      <c r="Q843" s="122">
        <f t="shared" si="638"/>
        <v>0</v>
      </c>
      <c r="R843" s="122">
        <f t="shared" si="639"/>
        <v>0</v>
      </c>
      <c r="S843" s="122">
        <f t="shared" si="639"/>
        <v>0</v>
      </c>
      <c r="T843" s="122">
        <f t="shared" si="639"/>
        <v>0</v>
      </c>
      <c r="U843" s="674">
        <f t="shared" si="640"/>
        <v>0</v>
      </c>
      <c r="V843" s="122">
        <f t="shared" si="640"/>
        <v>0</v>
      </c>
      <c r="W843" s="122">
        <f t="shared" si="641"/>
        <v>0</v>
      </c>
      <c r="X843" s="122">
        <f t="shared" si="641"/>
        <v>0</v>
      </c>
      <c r="Y843" s="122">
        <f t="shared" si="641"/>
        <v>0</v>
      </c>
      <c r="Z843" s="674">
        <f t="shared" si="642"/>
        <v>0</v>
      </c>
      <c r="AA843" s="122">
        <f t="shared" si="642"/>
        <v>0</v>
      </c>
      <c r="AB843" s="122">
        <f t="shared" si="643"/>
        <v>0</v>
      </c>
      <c r="AC843" s="122">
        <f t="shared" si="643"/>
        <v>0</v>
      </c>
      <c r="AD843" s="122">
        <f t="shared" si="643"/>
        <v>0</v>
      </c>
      <c r="AE843" s="674">
        <f t="shared" si="644"/>
        <v>0</v>
      </c>
      <c r="AF843" s="122">
        <f t="shared" si="644"/>
        <v>0</v>
      </c>
      <c r="AG843" s="122">
        <f t="shared" si="645"/>
        <v>0</v>
      </c>
      <c r="AH843" s="122">
        <f t="shared" si="645"/>
        <v>0</v>
      </c>
      <c r="AI843" s="122">
        <f t="shared" si="645"/>
        <v>0</v>
      </c>
      <c r="AJ843" s="674">
        <f t="shared" si="646"/>
        <v>0</v>
      </c>
      <c r="AK843" s="122">
        <f t="shared" si="646"/>
        <v>0</v>
      </c>
      <c r="AL843" s="122">
        <f t="shared" si="647"/>
        <v>0</v>
      </c>
      <c r="AM843" s="122">
        <f t="shared" si="647"/>
        <v>0</v>
      </c>
      <c r="AN843" s="122">
        <f t="shared" si="647"/>
        <v>0</v>
      </c>
      <c r="AO843" s="674">
        <f t="shared" si="648"/>
        <v>0</v>
      </c>
      <c r="AP843" s="122">
        <f t="shared" si="648"/>
        <v>0</v>
      </c>
      <c r="AQ843" s="122">
        <f t="shared" si="649"/>
        <v>0</v>
      </c>
      <c r="AR843" s="122">
        <f t="shared" si="649"/>
        <v>0</v>
      </c>
      <c r="AS843" s="122">
        <f t="shared" si="649"/>
        <v>0</v>
      </c>
      <c r="AT843" s="674">
        <f t="shared" si="650"/>
        <v>0</v>
      </c>
      <c r="AU843" s="122">
        <f t="shared" si="650"/>
        <v>0</v>
      </c>
      <c r="AV843" s="122">
        <f t="shared" si="651"/>
        <v>0</v>
      </c>
      <c r="AW843" s="122">
        <f t="shared" si="651"/>
        <v>0</v>
      </c>
      <c r="AX843" s="122">
        <f t="shared" si="651"/>
        <v>0</v>
      </c>
      <c r="AY843" s="674">
        <f t="shared" si="652"/>
        <v>0</v>
      </c>
      <c r="AZ843" s="122">
        <f t="shared" si="652"/>
        <v>0</v>
      </c>
      <c r="BA843" s="122">
        <f t="shared" si="653"/>
        <v>0</v>
      </c>
      <c r="BB843" s="122">
        <f t="shared" si="653"/>
        <v>-96</v>
      </c>
      <c r="BC843" s="122">
        <f t="shared" si="653"/>
        <v>0</v>
      </c>
      <c r="BD843" s="674">
        <f t="shared" si="654"/>
        <v>-96</v>
      </c>
      <c r="BE843" s="122">
        <f t="shared" si="654"/>
        <v>0</v>
      </c>
      <c r="BF843" s="122">
        <f t="shared" si="655"/>
        <v>-100</v>
      </c>
      <c r="BG843" s="122">
        <f t="shared" si="655"/>
        <v>0</v>
      </c>
      <c r="BH843" s="122">
        <f t="shared" si="655"/>
        <v>0</v>
      </c>
      <c r="BI843" s="674">
        <f t="shared" si="656"/>
        <v>-100</v>
      </c>
      <c r="BJ843" s="1274">
        <f t="shared" si="656"/>
        <v>0</v>
      </c>
      <c r="BK843" s="118"/>
      <c r="BL843" s="118"/>
      <c r="BM843" s="118"/>
      <c r="BN843" s="401">
        <f t="shared" si="657"/>
        <v>0</v>
      </c>
      <c r="BO843" s="118"/>
      <c r="BP843" s="118"/>
      <c r="BQ843" s="118"/>
      <c r="BR843" s="118"/>
      <c r="BS843" s="401">
        <f t="shared" si="658"/>
        <v>0</v>
      </c>
      <c r="BT843" s="401"/>
      <c r="BU843" s="401"/>
      <c r="BV843" s="401"/>
      <c r="BW843" s="122"/>
    </row>
    <row r="844" spans="1:75" s="123" customFormat="1" x14ac:dyDescent="0.5">
      <c r="A844" s="1292" t="str">
        <f t="shared" si="633"/>
        <v>Other non-cash adjustments</v>
      </c>
      <c r="B844" s="677"/>
      <c r="C844" s="406"/>
      <c r="D844" s="406"/>
      <c r="E844" s="406"/>
      <c r="F844" s="1293">
        <f t="shared" si="634"/>
        <v>0.11</v>
      </c>
      <c r="G844" s="431">
        <f t="shared" si="634"/>
        <v>1E-3</v>
      </c>
      <c r="H844" s="431">
        <f t="shared" si="635"/>
        <v>9.9999999999999985E-3</v>
      </c>
      <c r="I844" s="431">
        <f t="shared" si="635"/>
        <v>0</v>
      </c>
      <c r="J844" s="431">
        <f t="shared" si="635"/>
        <v>0.11</v>
      </c>
      <c r="K844" s="1293">
        <f t="shared" si="636"/>
        <v>0.121</v>
      </c>
      <c r="L844" s="431">
        <f t="shared" si="636"/>
        <v>7.4999999999999997E-2</v>
      </c>
      <c r="M844" s="431">
        <f t="shared" si="637"/>
        <v>4.3999999999999997E-2</v>
      </c>
      <c r="N844" s="431">
        <f t="shared" si="637"/>
        <v>0.76900000000000002</v>
      </c>
      <c r="O844" s="431">
        <f t="shared" si="637"/>
        <v>-0.31800000000000006</v>
      </c>
      <c r="P844" s="1293">
        <f t="shared" si="638"/>
        <v>0.56999999999999995</v>
      </c>
      <c r="Q844" s="431">
        <f t="shared" si="638"/>
        <v>0.23100000000000001</v>
      </c>
      <c r="R844" s="431">
        <f t="shared" si="639"/>
        <v>0.51800000000000002</v>
      </c>
      <c r="S844" s="431">
        <f t="shared" si="639"/>
        <v>0.64600000000000002</v>
      </c>
      <c r="T844" s="431">
        <f t="shared" si="639"/>
        <v>1.6320000000000001</v>
      </c>
      <c r="U844" s="1293">
        <f t="shared" si="640"/>
        <v>3.0270000000000001</v>
      </c>
      <c r="V844" s="431">
        <f t="shared" si="640"/>
        <v>-0.156</v>
      </c>
      <c r="W844" s="431">
        <f t="shared" si="641"/>
        <v>0.56399999999999995</v>
      </c>
      <c r="X844" s="431">
        <f t="shared" si="641"/>
        <v>-0.54200000000000004</v>
      </c>
      <c r="Y844" s="431">
        <f t="shared" si="641"/>
        <v>0.46500000000000002</v>
      </c>
      <c r="Z844" s="1293">
        <f t="shared" si="642"/>
        <v>0.33100000000000002</v>
      </c>
      <c r="AA844" s="431">
        <f t="shared" si="642"/>
        <v>-0.246</v>
      </c>
      <c r="AB844" s="431">
        <f t="shared" si="643"/>
        <v>1.1139999999999999</v>
      </c>
      <c r="AC844" s="431">
        <f t="shared" si="643"/>
        <v>4.500000000000004E-2</v>
      </c>
      <c r="AD844" s="431">
        <f t="shared" si="643"/>
        <v>0.28499999999999992</v>
      </c>
      <c r="AE844" s="1293">
        <f t="shared" si="644"/>
        <v>1.198</v>
      </c>
      <c r="AF844" s="431">
        <f t="shared" si="644"/>
        <v>0.111</v>
      </c>
      <c r="AG844" s="431">
        <f t="shared" si="645"/>
        <v>2.2000000000000006E-2</v>
      </c>
      <c r="AH844" s="431">
        <f t="shared" si="645"/>
        <v>4.3999999999999984E-2</v>
      </c>
      <c r="AI844" s="431">
        <f t="shared" si="645"/>
        <v>-0.23299999999999998</v>
      </c>
      <c r="AJ844" s="1293">
        <f t="shared" si="646"/>
        <v>-5.6000000000000001E-2</v>
      </c>
      <c r="AK844" s="431">
        <f t="shared" si="646"/>
        <v>-1.3740000000000001</v>
      </c>
      <c r="AL844" s="431">
        <f t="shared" si="647"/>
        <v>-0.22099999999999986</v>
      </c>
      <c r="AM844" s="431">
        <f t="shared" si="647"/>
        <v>-6.4000000000000057E-2</v>
      </c>
      <c r="AN844" s="431">
        <f t="shared" si="647"/>
        <v>-3.2000000000000028E-2</v>
      </c>
      <c r="AO844" s="1293">
        <f t="shared" si="648"/>
        <v>-1.6910000000000001</v>
      </c>
      <c r="AP844" s="431">
        <f t="shared" si="648"/>
        <v>-0.63300000000000001</v>
      </c>
      <c r="AQ844" s="431">
        <f t="shared" si="649"/>
        <v>0.10199999999999998</v>
      </c>
      <c r="AR844" s="431">
        <f t="shared" si="649"/>
        <v>12.596</v>
      </c>
      <c r="AS844" s="431">
        <f t="shared" si="649"/>
        <v>0.5730000000000004</v>
      </c>
      <c r="AT844" s="1293">
        <f t="shared" si="650"/>
        <v>12.638</v>
      </c>
      <c r="AU844" s="431">
        <f t="shared" si="650"/>
        <v>-1.7</v>
      </c>
      <c r="AV844" s="431">
        <f t="shared" si="651"/>
        <v>2.198</v>
      </c>
      <c r="AW844" s="431">
        <f t="shared" si="651"/>
        <v>1.9850000000000001</v>
      </c>
      <c r="AX844" s="431">
        <f t="shared" si="651"/>
        <v>3.5169999999999999</v>
      </c>
      <c r="AY844" s="1293">
        <f t="shared" si="652"/>
        <v>6</v>
      </c>
      <c r="AZ844" s="431">
        <f t="shared" si="652"/>
        <v>4</v>
      </c>
      <c r="BA844" s="431">
        <f t="shared" si="653"/>
        <v>28</v>
      </c>
      <c r="BB844" s="431">
        <f t="shared" si="653"/>
        <v>-12</v>
      </c>
      <c r="BC844" s="431">
        <f t="shared" si="653"/>
        <v>21</v>
      </c>
      <c r="BD844" s="1293">
        <f t="shared" si="654"/>
        <v>41</v>
      </c>
      <c r="BE844" s="431">
        <f t="shared" si="654"/>
        <v>0</v>
      </c>
      <c r="BF844" s="431">
        <f t="shared" si="655"/>
        <v>-3</v>
      </c>
      <c r="BG844" s="431">
        <f t="shared" si="655"/>
        <v>3</v>
      </c>
      <c r="BH844" s="431">
        <f t="shared" si="655"/>
        <v>-3</v>
      </c>
      <c r="BI844" s="1293">
        <f t="shared" si="656"/>
        <v>-3</v>
      </c>
      <c r="BJ844" s="1294">
        <f t="shared" si="656"/>
        <v>-1</v>
      </c>
      <c r="BK844" s="723"/>
      <c r="BL844" s="723"/>
      <c r="BM844" s="723"/>
      <c r="BN844" s="406">
        <f t="shared" si="657"/>
        <v>-1</v>
      </c>
      <c r="BO844" s="723"/>
      <c r="BP844" s="723"/>
      <c r="BQ844" s="723"/>
      <c r="BR844" s="723"/>
      <c r="BS844" s="406">
        <f t="shared" si="658"/>
        <v>0</v>
      </c>
      <c r="BT844" s="406"/>
      <c r="BU844" s="406"/>
      <c r="BV844" s="406"/>
      <c r="BW844" s="122"/>
    </row>
    <row r="845" spans="1:75" s="123" customFormat="1" x14ac:dyDescent="0.5">
      <c r="A845" s="516" t="str">
        <f t="shared" si="633"/>
        <v>CFO before WC</v>
      </c>
      <c r="B845" s="517"/>
      <c r="C845" s="518"/>
      <c r="D845" s="518"/>
      <c r="E845" s="518"/>
      <c r="F845" s="519">
        <f t="shared" ref="F845:BQ845" si="662">SUM(F836:F844)</f>
        <v>-11.61</v>
      </c>
      <c r="G845" s="520">
        <f t="shared" si="662"/>
        <v>-2.8580000000000005</v>
      </c>
      <c r="H845" s="520">
        <f t="shared" si="662"/>
        <v>0.39400000000000168</v>
      </c>
      <c r="I845" s="520">
        <f t="shared" si="662"/>
        <v>0.4579999999999993</v>
      </c>
      <c r="J845" s="520">
        <f t="shared" si="662"/>
        <v>-0.30800000000000105</v>
      </c>
      <c r="K845" s="519">
        <f t="shared" si="662"/>
        <v>-2.3140000000000005</v>
      </c>
      <c r="L845" s="520">
        <f t="shared" si="662"/>
        <v>-19.199000000000002</v>
      </c>
      <c r="M845" s="520">
        <f t="shared" si="662"/>
        <v>-17.664000000000001</v>
      </c>
      <c r="N845" s="520">
        <f t="shared" si="662"/>
        <v>-17.826999999999995</v>
      </c>
      <c r="O845" s="520">
        <f t="shared" si="662"/>
        <v>-10.026000000000019</v>
      </c>
      <c r="P845" s="519">
        <f t="shared" si="662"/>
        <v>-64.716000000000022</v>
      </c>
      <c r="Q845" s="520">
        <f t="shared" si="662"/>
        <v>-12.519</v>
      </c>
      <c r="R845" s="520">
        <f t="shared" si="662"/>
        <v>-4.8239999999999998</v>
      </c>
      <c r="S845" s="520">
        <f t="shared" si="662"/>
        <v>-1.1150000000000029</v>
      </c>
      <c r="T845" s="520">
        <f t="shared" si="662"/>
        <v>4.506000000000002</v>
      </c>
      <c r="U845" s="519">
        <f t="shared" si="662"/>
        <v>-13.951999999999998</v>
      </c>
      <c r="V845" s="520">
        <f t="shared" si="662"/>
        <v>-21.158999999999995</v>
      </c>
      <c r="W845" s="520">
        <f t="shared" si="662"/>
        <v>-24.384999999999998</v>
      </c>
      <c r="X845" s="520">
        <f t="shared" si="662"/>
        <v>-31.293000000000017</v>
      </c>
      <c r="Y845" s="520">
        <f t="shared" si="662"/>
        <v>-12.232999999999986</v>
      </c>
      <c r="Z845" s="519">
        <f t="shared" si="662"/>
        <v>-89.07</v>
      </c>
      <c r="AA845" s="520">
        <f t="shared" si="662"/>
        <v>-22.803999999999998</v>
      </c>
      <c r="AB845" s="520">
        <f t="shared" si="662"/>
        <v>-3.6050000000000031</v>
      </c>
      <c r="AC845" s="520">
        <f t="shared" si="662"/>
        <v>-34.318999999999981</v>
      </c>
      <c r="AD845" s="520">
        <f t="shared" si="662"/>
        <v>-21.998000000000019</v>
      </c>
      <c r="AE845" s="519">
        <f t="shared" si="662"/>
        <v>-82.725999999999999</v>
      </c>
      <c r="AF845" s="520">
        <f t="shared" si="662"/>
        <v>-53.021000000000008</v>
      </c>
      <c r="AG845" s="520">
        <f t="shared" si="662"/>
        <v>-36.906999999999975</v>
      </c>
      <c r="AH845" s="520">
        <f t="shared" si="662"/>
        <v>-80.857000000000014</v>
      </c>
      <c r="AI845" s="520">
        <f t="shared" si="662"/>
        <v>-59.659999999999968</v>
      </c>
      <c r="AJ845" s="519">
        <f t="shared" si="662"/>
        <v>-230.44500000000002</v>
      </c>
      <c r="AK845" s="520">
        <f t="shared" si="662"/>
        <v>-102.664</v>
      </c>
      <c r="AL845" s="520">
        <f t="shared" si="662"/>
        <v>-74.073999999999998</v>
      </c>
      <c r="AM845" s="520">
        <f t="shared" si="662"/>
        <v>-142.35999999999996</v>
      </c>
      <c r="AN845" s="520">
        <f t="shared" si="662"/>
        <v>-185.196</v>
      </c>
      <c r="AO845" s="519">
        <f t="shared" si="662"/>
        <v>-504.29399999999993</v>
      </c>
      <c r="AP845" s="520">
        <f t="shared" si="662"/>
        <v>-140.679</v>
      </c>
      <c r="AQ845" s="520">
        <f t="shared" si="662"/>
        <v>437.68599999999998</v>
      </c>
      <c r="AR845" s="520">
        <f t="shared" si="662"/>
        <v>360.19200000000001</v>
      </c>
      <c r="AS845" s="520">
        <f t="shared" si="662"/>
        <v>236.64200000000005</v>
      </c>
      <c r="AT845" s="519">
        <f t="shared" si="662"/>
        <v>893.84100000000001</v>
      </c>
      <c r="AU845" s="520">
        <f t="shared" si="662"/>
        <v>185.654</v>
      </c>
      <c r="AV845" s="520">
        <f t="shared" si="662"/>
        <v>291.80699999999996</v>
      </c>
      <c r="AW845" s="520">
        <f t="shared" si="662"/>
        <v>90.974999999999994</v>
      </c>
      <c r="AX845" s="520">
        <f t="shared" si="662"/>
        <v>-8.4360000000000248</v>
      </c>
      <c r="AY845" s="519">
        <f t="shared" si="662"/>
        <v>560</v>
      </c>
      <c r="AZ845" s="520">
        <f t="shared" si="662"/>
        <v>-124</v>
      </c>
      <c r="BA845" s="520">
        <f t="shared" si="662"/>
        <v>-88</v>
      </c>
      <c r="BB845" s="520">
        <f t="shared" si="662"/>
        <v>-172</v>
      </c>
      <c r="BC845" s="520">
        <f t="shared" si="662"/>
        <v>-71</v>
      </c>
      <c r="BD845" s="519">
        <f t="shared" si="662"/>
        <v>-455</v>
      </c>
      <c r="BE845" s="520">
        <f t="shared" si="662"/>
        <v>-93</v>
      </c>
      <c r="BF845" s="520">
        <f t="shared" si="662"/>
        <v>120</v>
      </c>
      <c r="BG845" s="520">
        <f t="shared" si="662"/>
        <v>88</v>
      </c>
      <c r="BH845" s="520">
        <f t="shared" si="662"/>
        <v>88</v>
      </c>
      <c r="BI845" s="519">
        <f t="shared" si="662"/>
        <v>203</v>
      </c>
      <c r="BJ845" s="1270">
        <f>SUM(BJ836:BJ844)</f>
        <v>-23</v>
      </c>
      <c r="BK845" s="327">
        <f t="shared" si="662"/>
        <v>28.679627657808069</v>
      </c>
      <c r="BL845" s="327">
        <f t="shared" ca="1" si="662"/>
        <v>61.673526167613041</v>
      </c>
      <c r="BM845" s="327">
        <f t="shared" ca="1" si="662"/>
        <v>47.776651149795278</v>
      </c>
      <c r="BN845" s="518">
        <f t="shared" ca="1" si="662"/>
        <v>115.1298049752164</v>
      </c>
      <c r="BO845" s="327">
        <f t="shared" ca="1" si="662"/>
        <v>101.65362509025933</v>
      </c>
      <c r="BP845" s="327">
        <f t="shared" ca="1" si="662"/>
        <v>21.031757744163958</v>
      </c>
      <c r="BQ845" s="327">
        <f t="shared" ca="1" si="662"/>
        <v>64.477191106595356</v>
      </c>
      <c r="BR845" s="327">
        <f t="shared" ref="BR845:BY845" ca="1" si="663">SUM(BR836:BR844)</f>
        <v>50.250986507462109</v>
      </c>
      <c r="BS845" s="518">
        <f t="shared" ca="1" si="663"/>
        <v>237.41356044848067</v>
      </c>
      <c r="BT845" s="518">
        <f t="shared" ca="1" si="663"/>
        <v>457.44382641537987</v>
      </c>
      <c r="BU845" s="518">
        <f t="shared" ca="1" si="663"/>
        <v>697.31348895949509</v>
      </c>
      <c r="BV845" s="518">
        <f t="shared" ca="1" si="663"/>
        <v>977.60670414235017</v>
      </c>
      <c r="BW845" s="197"/>
    </row>
    <row r="846" spans="1:75" s="123" customFormat="1" x14ac:dyDescent="0.5">
      <c r="A846" s="464" t="str">
        <f t="shared" si="633"/>
        <v>Accounts receivable</v>
      </c>
      <c r="B846" s="513"/>
      <c r="C846" s="401"/>
      <c r="D846" s="401"/>
      <c r="E846" s="401"/>
      <c r="F846" s="674">
        <f t="shared" ref="F846:G852" si="664">F783</f>
        <v>-8.234</v>
      </c>
      <c r="G846" s="122">
        <f t="shared" si="664"/>
        <v>3.8279999999999998</v>
      </c>
      <c r="H846" s="122">
        <f t="shared" ref="H846:J852" si="665">H783-G783</f>
        <v>0.64800000000000013</v>
      </c>
      <c r="I846" s="122">
        <f t="shared" si="665"/>
        <v>-11.315999999999999</v>
      </c>
      <c r="J846" s="122">
        <f t="shared" si="665"/>
        <v>14.952</v>
      </c>
      <c r="K846" s="674">
        <f t="shared" ref="K846:L852" si="666">K783</f>
        <v>8.1120000000000001</v>
      </c>
      <c r="L846" s="122">
        <f t="shared" si="666"/>
        <v>1.7410000000000001</v>
      </c>
      <c r="M846" s="122">
        <f t="shared" ref="M846:O852" si="667">M783-L783</f>
        <v>-0.70100000000000007</v>
      </c>
      <c r="N846" s="122">
        <f t="shared" si="667"/>
        <v>1.3359999999999999</v>
      </c>
      <c r="O846" s="122">
        <f t="shared" si="667"/>
        <v>-0.63499999999999979</v>
      </c>
      <c r="P846" s="674">
        <f t="shared" ref="P846:Q852" si="668">P783</f>
        <v>1.7410000000000001</v>
      </c>
      <c r="Q846" s="122">
        <f t="shared" si="668"/>
        <v>-2.1280000000000001</v>
      </c>
      <c r="R846" s="122">
        <f t="shared" ref="R846:T852" si="669">R783-Q783</f>
        <v>0.92900000000000005</v>
      </c>
      <c r="S846" s="122">
        <f t="shared" si="669"/>
        <v>-2.633</v>
      </c>
      <c r="T846" s="122">
        <f t="shared" si="669"/>
        <v>-0.20100000000000051</v>
      </c>
      <c r="U846" s="674">
        <f t="shared" ref="U846:V852" si="670">U783</f>
        <v>-4.0330000000000004</v>
      </c>
      <c r="V846" s="122">
        <f t="shared" si="670"/>
        <v>-1.9410000000000001</v>
      </c>
      <c r="W846" s="122">
        <f t="shared" ref="W846:Y852" si="671">W783-V783</f>
        <v>-2.2770000000000001</v>
      </c>
      <c r="X846" s="122">
        <f t="shared" si="671"/>
        <v>-2.5549999999999997</v>
      </c>
      <c r="Y846" s="122">
        <f t="shared" si="671"/>
        <v>-2.4440000000000008</v>
      </c>
      <c r="Z846" s="674">
        <f t="shared" ref="Z846:AA852" si="672">Z783</f>
        <v>-9.2170000000000005</v>
      </c>
      <c r="AA846" s="122">
        <f t="shared" si="672"/>
        <v>-2.6509999999999998</v>
      </c>
      <c r="AB846" s="122">
        <f t="shared" ref="AB846:AD852" si="673">AB783-AA783</f>
        <v>-2.0720000000000001</v>
      </c>
      <c r="AC846" s="122">
        <f t="shared" si="673"/>
        <v>-3.9739999999999993</v>
      </c>
      <c r="AD846" s="122">
        <f t="shared" si="673"/>
        <v>-9.4750000000000014</v>
      </c>
      <c r="AE846" s="674">
        <f t="shared" ref="AE846:AF852" si="674">AE783</f>
        <v>-18.172000000000001</v>
      </c>
      <c r="AF846" s="122">
        <f t="shared" si="674"/>
        <v>6.01</v>
      </c>
      <c r="AG846" s="122">
        <f t="shared" ref="AG846:AI852" si="675">AG783-AF783</f>
        <v>-2.952</v>
      </c>
      <c r="AH846" s="122">
        <f t="shared" si="675"/>
        <v>-6.2149999999999999</v>
      </c>
      <c r="AI846" s="122">
        <f t="shared" si="675"/>
        <v>-9.6349999999999998</v>
      </c>
      <c r="AJ846" s="674">
        <f t="shared" ref="AJ846:AK852" si="676">AJ783</f>
        <v>-12.792</v>
      </c>
      <c r="AK846" s="122">
        <f t="shared" si="676"/>
        <v>-11.57</v>
      </c>
      <c r="AL846" s="122">
        <f t="shared" ref="AL846:AN852" si="677">AL783-AK783</f>
        <v>-16.082999999999998</v>
      </c>
      <c r="AM846" s="122">
        <f t="shared" si="677"/>
        <v>2.3439999999999976</v>
      </c>
      <c r="AN846" s="122">
        <f t="shared" si="677"/>
        <v>-23.877999999999997</v>
      </c>
      <c r="AO846" s="674">
        <f t="shared" ref="AO846:AP852" si="678">AO783</f>
        <v>-49.186999999999998</v>
      </c>
      <c r="AP846" s="122">
        <f t="shared" si="678"/>
        <v>-16.216000000000001</v>
      </c>
      <c r="AQ846" s="122">
        <f t="shared" ref="AQ846:AS852" si="679">AQ783-AP783</f>
        <v>-8.4770000000000003</v>
      </c>
      <c r="AR846" s="122">
        <f t="shared" si="679"/>
        <v>9.8020000000000014</v>
      </c>
      <c r="AS846" s="122">
        <f t="shared" si="679"/>
        <v>0.16499999999999915</v>
      </c>
      <c r="AT846" s="674">
        <f t="shared" ref="AT846:AU852" si="680">AT783</f>
        <v>-14.726000000000001</v>
      </c>
      <c r="AU846" s="122">
        <f t="shared" si="680"/>
        <v>2.528</v>
      </c>
      <c r="AV846" s="122">
        <f t="shared" ref="AV846:AX852" si="681">AV783-AU783</f>
        <v>-22.186999999999998</v>
      </c>
      <c r="AW846" s="122">
        <f t="shared" si="681"/>
        <v>-37.908999999999999</v>
      </c>
      <c r="AX846" s="122">
        <f t="shared" si="681"/>
        <v>-60.432000000000002</v>
      </c>
      <c r="AY846" s="674">
        <f t="shared" ref="AY846:AZ852" si="682">AY783</f>
        <v>-118</v>
      </c>
      <c r="AZ846" s="122">
        <f t="shared" si="682"/>
        <v>-45</v>
      </c>
      <c r="BA846" s="122">
        <f t="shared" ref="BA846:BC852" si="683">BA783-AZ783</f>
        <v>-41</v>
      </c>
      <c r="BB846" s="122">
        <f t="shared" si="683"/>
        <v>-27</v>
      </c>
      <c r="BC846" s="122">
        <f t="shared" si="683"/>
        <v>65</v>
      </c>
      <c r="BD846" s="674">
        <f t="shared" ref="BD846:BE852" si="684">BD783</f>
        <v>-48</v>
      </c>
      <c r="BE846" s="122">
        <f t="shared" si="684"/>
        <v>91</v>
      </c>
      <c r="BF846" s="122">
        <f t="shared" ref="BF846:BH852" si="685">BF783-BE783</f>
        <v>53</v>
      </c>
      <c r="BG846" s="122">
        <f t="shared" si="685"/>
        <v>-4</v>
      </c>
      <c r="BH846" s="122">
        <f t="shared" si="685"/>
        <v>-8</v>
      </c>
      <c r="BI846" s="674">
        <f t="shared" ref="BI846:BJ852" si="686">BI783</f>
        <v>132</v>
      </c>
      <c r="BJ846" s="1274">
        <f t="shared" si="686"/>
        <v>9</v>
      </c>
      <c r="BK846" s="118">
        <f t="shared" ref="BK846:BM847" si="687">BJ938-BK938</f>
        <v>-16.278952577486137</v>
      </c>
      <c r="BL846" s="118">
        <f t="shared" si="687"/>
        <v>-3.3615381197615761</v>
      </c>
      <c r="BM846" s="118">
        <f t="shared" si="687"/>
        <v>-8.422077728979076</v>
      </c>
      <c r="BN846" s="401">
        <f t="shared" ref="BN846:BN852" si="688">SUM(BJ846,BK846,BL846,BM846)</f>
        <v>-19.06256842622679</v>
      </c>
      <c r="BO846" s="118">
        <f t="shared" ref="BO846:BR847" si="689">BN938-BO938</f>
        <v>25.200635654776704</v>
      </c>
      <c r="BP846" s="118">
        <f t="shared" si="689"/>
        <v>-18.292351023881565</v>
      </c>
      <c r="BQ846" s="118">
        <f t="shared" si="689"/>
        <v>-5.0020311191226483</v>
      </c>
      <c r="BR846" s="118">
        <f t="shared" si="689"/>
        <v>-10.526022818025524</v>
      </c>
      <c r="BS846" s="401">
        <f t="shared" ref="BS846:BS852" si="690">SUM(BO846,BP846,BQ846,BR846)</f>
        <v>-8.6197693062530334</v>
      </c>
      <c r="BT846" s="401">
        <f t="shared" ref="BT846:BV847" si="691">BS938-BT938</f>
        <v>-10.703634288911928</v>
      </c>
      <c r="BU846" s="401">
        <f t="shared" si="691"/>
        <v>-11.469040473277715</v>
      </c>
      <c r="BV846" s="401">
        <f t="shared" si="691"/>
        <v>-12.289180088481316</v>
      </c>
      <c r="BW846" s="122"/>
    </row>
    <row r="847" spans="1:75" s="123" customFormat="1" x14ac:dyDescent="0.5">
      <c r="A847" s="464" t="str">
        <f t="shared" si="633"/>
        <v>Inventories</v>
      </c>
      <c r="B847" s="513"/>
      <c r="C847" s="401"/>
      <c r="D847" s="401"/>
      <c r="E847" s="401"/>
      <c r="F847" s="674">
        <f t="shared" si="664"/>
        <v>-2.4969999999999999</v>
      </c>
      <c r="G847" s="122">
        <f t="shared" si="664"/>
        <v>-1.5880000000000001</v>
      </c>
      <c r="H847" s="122">
        <f t="shared" si="665"/>
        <v>-2.6500000000000004</v>
      </c>
      <c r="I847" s="122">
        <f t="shared" si="665"/>
        <v>-3.8769999999999998</v>
      </c>
      <c r="J847" s="122">
        <f t="shared" si="665"/>
        <v>1.4850000000000003</v>
      </c>
      <c r="K847" s="674">
        <f t="shared" si="666"/>
        <v>-6.63</v>
      </c>
      <c r="L847" s="122">
        <f t="shared" si="666"/>
        <v>-0.63</v>
      </c>
      <c r="M847" s="122">
        <f t="shared" si="667"/>
        <v>-4.21</v>
      </c>
      <c r="N847" s="122">
        <f t="shared" si="667"/>
        <v>-1.3150000000000004</v>
      </c>
      <c r="O847" s="122">
        <f t="shared" si="667"/>
        <v>1.3200000000000003</v>
      </c>
      <c r="P847" s="674">
        <f t="shared" si="668"/>
        <v>-4.835</v>
      </c>
      <c r="Q847" s="122">
        <f t="shared" si="668"/>
        <v>-0.24</v>
      </c>
      <c r="R847" s="122">
        <f t="shared" si="669"/>
        <v>-1.3080000000000001</v>
      </c>
      <c r="S847" s="122">
        <f t="shared" si="669"/>
        <v>-1.23</v>
      </c>
      <c r="T847" s="122">
        <f t="shared" si="669"/>
        <v>2.6470000000000002</v>
      </c>
      <c r="U847" s="674">
        <f t="shared" si="670"/>
        <v>-0.13100000000000001</v>
      </c>
      <c r="V847" s="122">
        <f t="shared" si="670"/>
        <v>2.1419999999999999</v>
      </c>
      <c r="W847" s="122">
        <f t="shared" si="671"/>
        <v>0.3660000000000001</v>
      </c>
      <c r="X847" s="122">
        <f t="shared" si="671"/>
        <v>-1.792</v>
      </c>
      <c r="Y847" s="122">
        <f t="shared" si="671"/>
        <v>0.63500000000000001</v>
      </c>
      <c r="Z847" s="674">
        <f t="shared" si="672"/>
        <v>1.351</v>
      </c>
      <c r="AA847" s="122">
        <f t="shared" si="672"/>
        <v>4.0940000000000003</v>
      </c>
      <c r="AB847" s="122">
        <f t="shared" si="673"/>
        <v>-0.14500000000000046</v>
      </c>
      <c r="AC847" s="122">
        <f t="shared" si="673"/>
        <v>-3.9869999999999997</v>
      </c>
      <c r="AD847" s="122">
        <f t="shared" si="673"/>
        <v>-9.4160000000000004</v>
      </c>
      <c r="AE847" s="674">
        <f t="shared" si="674"/>
        <v>-9.4540000000000006</v>
      </c>
      <c r="AF847" s="122">
        <f t="shared" si="674"/>
        <v>-6.4909999999999997</v>
      </c>
      <c r="AG847" s="122">
        <f t="shared" si="675"/>
        <v>3.7499999999999996</v>
      </c>
      <c r="AH847" s="122">
        <f t="shared" si="675"/>
        <v>-5.016</v>
      </c>
      <c r="AI847" s="122">
        <f t="shared" si="675"/>
        <v>-10.561999999999999</v>
      </c>
      <c r="AJ847" s="674">
        <f t="shared" si="676"/>
        <v>-18.318999999999999</v>
      </c>
      <c r="AK847" s="122">
        <f t="shared" si="676"/>
        <v>2.427</v>
      </c>
      <c r="AL847" s="122">
        <f t="shared" si="677"/>
        <v>-1.887</v>
      </c>
      <c r="AM847" s="122">
        <f t="shared" si="677"/>
        <v>-23.256</v>
      </c>
      <c r="AN847" s="122">
        <f t="shared" si="677"/>
        <v>7.0850000000000009</v>
      </c>
      <c r="AO847" s="674">
        <f t="shared" si="678"/>
        <v>-15.631</v>
      </c>
      <c r="AP847" s="122">
        <f t="shared" si="678"/>
        <v>5.0229999999999997</v>
      </c>
      <c r="AQ847" s="122">
        <f t="shared" si="679"/>
        <v>13.805</v>
      </c>
      <c r="AR847" s="122">
        <f t="shared" si="679"/>
        <v>-11.225999999999999</v>
      </c>
      <c r="AS847" s="122">
        <f t="shared" si="679"/>
        <v>2.3449999999999989</v>
      </c>
      <c r="AT847" s="674">
        <f t="shared" si="680"/>
        <v>9.9469999999999992</v>
      </c>
      <c r="AU847" s="122">
        <f t="shared" si="680"/>
        <v>-7.734</v>
      </c>
      <c r="AV847" s="122">
        <f t="shared" si="681"/>
        <v>0.2759999999999998</v>
      </c>
      <c r="AW847" s="122">
        <f t="shared" si="681"/>
        <v>-7.3650000000000002</v>
      </c>
      <c r="AX847" s="122">
        <f t="shared" si="681"/>
        <v>-2.1769999999999996</v>
      </c>
      <c r="AY847" s="674">
        <f t="shared" si="682"/>
        <v>-17</v>
      </c>
      <c r="AZ847" s="122">
        <f t="shared" si="682"/>
        <v>-11</v>
      </c>
      <c r="BA847" s="122">
        <f t="shared" si="683"/>
        <v>-18</v>
      </c>
      <c r="BB847" s="122">
        <f t="shared" si="683"/>
        <v>-6</v>
      </c>
      <c r="BC847" s="122">
        <f t="shared" si="683"/>
        <v>14</v>
      </c>
      <c r="BD847" s="674">
        <f t="shared" si="684"/>
        <v>-21</v>
      </c>
      <c r="BE847" s="122">
        <f t="shared" si="684"/>
        <v>8</v>
      </c>
      <c r="BF847" s="122">
        <f t="shared" si="685"/>
        <v>5</v>
      </c>
      <c r="BG847" s="122">
        <f t="shared" si="685"/>
        <v>-2</v>
      </c>
      <c r="BH847" s="122">
        <f t="shared" si="685"/>
        <v>5</v>
      </c>
      <c r="BI847" s="674">
        <f t="shared" si="686"/>
        <v>16</v>
      </c>
      <c r="BJ847" s="1274">
        <f t="shared" si="686"/>
        <v>-7</v>
      </c>
      <c r="BK847" s="118">
        <f t="shared" si="687"/>
        <v>3.2306300901060041</v>
      </c>
      <c r="BL847" s="118">
        <f t="shared" si="687"/>
        <v>-1.6139540680042472</v>
      </c>
      <c r="BM847" s="118">
        <f t="shared" si="687"/>
        <v>3.8140908924195998</v>
      </c>
      <c r="BN847" s="401">
        <f t="shared" si="688"/>
        <v>-1.5692330854786434</v>
      </c>
      <c r="BO847" s="118">
        <f t="shared" si="689"/>
        <v>-7.4822408480386713</v>
      </c>
      <c r="BP847" s="118">
        <f t="shared" si="689"/>
        <v>2.3492875878881279</v>
      </c>
      <c r="BQ847" s="118">
        <f t="shared" si="689"/>
        <v>-2.5807597016578541</v>
      </c>
      <c r="BR847" s="118">
        <f t="shared" si="689"/>
        <v>3.0959794048871316</v>
      </c>
      <c r="BS847" s="401">
        <f t="shared" si="690"/>
        <v>-4.6177335569212659</v>
      </c>
      <c r="BT847" s="401">
        <f t="shared" si="691"/>
        <v>-5.734089797631384</v>
      </c>
      <c r="BU847" s="401">
        <f t="shared" si="691"/>
        <v>-6.1441288249701955</v>
      </c>
      <c r="BV847" s="401">
        <f t="shared" si="691"/>
        <v>-6.5834893331149971</v>
      </c>
      <c r="BW847" s="122"/>
    </row>
    <row r="848" spans="1:75" s="123" customFormat="1" x14ac:dyDescent="0.5">
      <c r="A848" s="464" t="str">
        <f t="shared" si="633"/>
        <v>Prepaid expenses and other current assets</v>
      </c>
      <c r="B848" s="513"/>
      <c r="C848" s="401"/>
      <c r="D848" s="401"/>
      <c r="E848" s="401"/>
      <c r="F848" s="674">
        <f t="shared" si="664"/>
        <v>-2.431</v>
      </c>
      <c r="G848" s="122">
        <f t="shared" si="664"/>
        <v>-1.4770000000000001</v>
      </c>
      <c r="H848" s="122">
        <f t="shared" si="665"/>
        <v>-1.6910000000000001</v>
      </c>
      <c r="I848" s="122">
        <f t="shared" si="665"/>
        <v>-4.9020000000000001</v>
      </c>
      <c r="J848" s="122">
        <f t="shared" si="665"/>
        <v>-1.0890000000000004</v>
      </c>
      <c r="K848" s="674">
        <f t="shared" si="666"/>
        <v>-9.1590000000000007</v>
      </c>
      <c r="L848" s="122">
        <f t="shared" si="666"/>
        <v>-9.5909999999999993</v>
      </c>
      <c r="M848" s="122">
        <f t="shared" si="667"/>
        <v>-3.6120000000000001</v>
      </c>
      <c r="N848" s="122">
        <f t="shared" si="667"/>
        <v>0.48199999999999932</v>
      </c>
      <c r="O848" s="122">
        <f t="shared" si="667"/>
        <v>-7.4220000000000006</v>
      </c>
      <c r="P848" s="674">
        <f t="shared" si="668"/>
        <v>-20.143000000000001</v>
      </c>
      <c r="Q848" s="122">
        <f t="shared" si="668"/>
        <v>-15.327</v>
      </c>
      <c r="R848" s="122">
        <f t="shared" si="669"/>
        <v>-4.2060000000000013</v>
      </c>
      <c r="S848" s="122">
        <f t="shared" si="669"/>
        <v>-8.8859999999999992</v>
      </c>
      <c r="T848" s="122">
        <f t="shared" si="669"/>
        <v>-1.0940000000000012</v>
      </c>
      <c r="U848" s="674">
        <f t="shared" si="670"/>
        <v>-29.513000000000002</v>
      </c>
      <c r="V848" s="122">
        <f t="shared" si="670"/>
        <v>-8.6430000000000007</v>
      </c>
      <c r="W848" s="122">
        <f t="shared" si="671"/>
        <v>-3.0069999999999997</v>
      </c>
      <c r="X848" s="122">
        <f t="shared" si="671"/>
        <v>-0.84299999999999997</v>
      </c>
      <c r="Y848" s="122">
        <f t="shared" si="671"/>
        <v>-3.6859999999999982</v>
      </c>
      <c r="Z848" s="674">
        <f t="shared" si="672"/>
        <v>-16.178999999999998</v>
      </c>
      <c r="AA848" s="122">
        <f t="shared" si="672"/>
        <v>-28.2</v>
      </c>
      <c r="AB848" s="122">
        <f t="shared" si="673"/>
        <v>-3.0199999999999996</v>
      </c>
      <c r="AC848" s="122">
        <f t="shared" si="673"/>
        <v>3.4439999999999991</v>
      </c>
      <c r="AD848" s="122">
        <f t="shared" si="673"/>
        <v>-11.348000000000003</v>
      </c>
      <c r="AE848" s="674">
        <f t="shared" si="674"/>
        <v>-39.124000000000002</v>
      </c>
      <c r="AF848" s="122">
        <f t="shared" si="674"/>
        <v>-17.218</v>
      </c>
      <c r="AG848" s="122">
        <f t="shared" si="675"/>
        <v>-5.1359999999999992</v>
      </c>
      <c r="AH848" s="122">
        <f t="shared" si="675"/>
        <v>-15.021999999999998</v>
      </c>
      <c r="AI848" s="122">
        <f t="shared" si="675"/>
        <v>-27.818999999999996</v>
      </c>
      <c r="AJ848" s="674">
        <f t="shared" si="676"/>
        <v>-65.194999999999993</v>
      </c>
      <c r="AK848" s="122">
        <f t="shared" si="676"/>
        <v>-10.535</v>
      </c>
      <c r="AL848" s="122">
        <f t="shared" si="677"/>
        <v>-11.896999999999998</v>
      </c>
      <c r="AM848" s="122">
        <f t="shared" si="677"/>
        <v>-7.2160000000000011</v>
      </c>
      <c r="AN848" s="122">
        <f t="shared" si="677"/>
        <v>-2.9420000000000037</v>
      </c>
      <c r="AO848" s="674">
        <f t="shared" si="678"/>
        <v>-32.590000000000003</v>
      </c>
      <c r="AP848" s="122">
        <f t="shared" si="678"/>
        <v>7.8019999999999996</v>
      </c>
      <c r="AQ848" s="122">
        <f t="shared" si="679"/>
        <v>-122.09800000000001</v>
      </c>
      <c r="AR848" s="122">
        <f t="shared" si="679"/>
        <v>21.241</v>
      </c>
      <c r="AS848" s="122">
        <f t="shared" si="679"/>
        <v>31.796000000000006</v>
      </c>
      <c r="AT848" s="674">
        <f t="shared" si="680"/>
        <v>-61.259</v>
      </c>
      <c r="AU848" s="122">
        <f t="shared" si="680"/>
        <v>-64.27</v>
      </c>
      <c r="AV848" s="122">
        <f t="shared" si="681"/>
        <v>12.488</v>
      </c>
      <c r="AW848" s="122">
        <f t="shared" si="681"/>
        <v>13.799999999999997</v>
      </c>
      <c r="AX848" s="122">
        <f t="shared" si="681"/>
        <v>9.9819999999999993</v>
      </c>
      <c r="AY848" s="674">
        <f t="shared" si="682"/>
        <v>-28</v>
      </c>
      <c r="AZ848" s="122">
        <f t="shared" si="682"/>
        <v>-20</v>
      </c>
      <c r="BA848" s="122">
        <f t="shared" si="683"/>
        <v>24</v>
      </c>
      <c r="BB848" s="122">
        <f t="shared" si="683"/>
        <v>35</v>
      </c>
      <c r="BC848" s="122">
        <f t="shared" si="683"/>
        <v>-13</v>
      </c>
      <c r="BD848" s="674">
        <f t="shared" si="684"/>
        <v>26</v>
      </c>
      <c r="BE848" s="122">
        <f t="shared" si="684"/>
        <v>19</v>
      </c>
      <c r="BF848" s="122">
        <f t="shared" si="685"/>
        <v>-30</v>
      </c>
      <c r="BG848" s="122">
        <f t="shared" si="685"/>
        <v>28</v>
      </c>
      <c r="BH848" s="122">
        <f t="shared" si="685"/>
        <v>-1</v>
      </c>
      <c r="BI848" s="674">
        <f t="shared" si="686"/>
        <v>16</v>
      </c>
      <c r="BJ848" s="1274">
        <f t="shared" si="686"/>
        <v>34</v>
      </c>
      <c r="BK848" s="118">
        <f>+BJ942-BK942</f>
        <v>-86.157414175668862</v>
      </c>
      <c r="BL848" s="118">
        <f>+BK942-BL942</f>
        <v>35.789093140639636</v>
      </c>
      <c r="BM848" s="118">
        <f>+BL942-BM942</f>
        <v>-3.7947646897895879</v>
      </c>
      <c r="BN848" s="401">
        <f t="shared" si="688"/>
        <v>-20.163085724818814</v>
      </c>
      <c r="BO848" s="118">
        <f>+BN942-BO942</f>
        <v>48.261932311120859</v>
      </c>
      <c r="BP848" s="118">
        <f>+BO942-BP942</f>
        <v>-92.292234706026989</v>
      </c>
      <c r="BQ848" s="118">
        <f>+BP942-BQ942</f>
        <v>33.904897166118019</v>
      </c>
      <c r="BR848" s="118">
        <f>+BQ942-BR942</f>
        <v>-7.4219822875127193</v>
      </c>
      <c r="BS848" s="401">
        <f t="shared" si="690"/>
        <v>-17.54738751630083</v>
      </c>
      <c r="BT848" s="401">
        <f>+BS942-BT942</f>
        <v>-21.789541230999248</v>
      </c>
      <c r="BU848" s="401">
        <f>+BT942-BU942</f>
        <v>-23.347689534886797</v>
      </c>
      <c r="BV848" s="401">
        <f>+BU942-BV942</f>
        <v>-25.017259465836958</v>
      </c>
      <c r="BW848" s="122"/>
    </row>
    <row r="849" spans="1:75" s="123" customFormat="1" x14ac:dyDescent="0.5">
      <c r="A849" s="464" t="str">
        <f t="shared" si="633"/>
        <v>Due to related party</v>
      </c>
      <c r="B849" s="513"/>
      <c r="C849" s="401"/>
      <c r="D849" s="401"/>
      <c r="E849" s="401"/>
      <c r="F849" s="674">
        <f t="shared" si="664"/>
        <v>-6.9779999999999998</v>
      </c>
      <c r="G849" s="122">
        <f t="shared" si="664"/>
        <v>-0.26300000000000001</v>
      </c>
      <c r="H849" s="122">
        <f t="shared" si="665"/>
        <v>0.47899999999999998</v>
      </c>
      <c r="I849" s="122">
        <f t="shared" si="665"/>
        <v>-0.45699999999999996</v>
      </c>
      <c r="J849" s="122">
        <f t="shared" si="665"/>
        <v>0.24099999999999999</v>
      </c>
      <c r="K849" s="674">
        <f t="shared" si="666"/>
        <v>0</v>
      </c>
      <c r="L849" s="122">
        <f t="shared" si="666"/>
        <v>0</v>
      </c>
      <c r="M849" s="122">
        <f t="shared" si="667"/>
        <v>0</v>
      </c>
      <c r="N849" s="122">
        <f t="shared" si="667"/>
        <v>0</v>
      </c>
      <c r="O849" s="122">
        <f t="shared" si="667"/>
        <v>0</v>
      </c>
      <c r="P849" s="674">
        <f t="shared" si="668"/>
        <v>0</v>
      </c>
      <c r="Q849" s="122">
        <f t="shared" si="668"/>
        <v>0</v>
      </c>
      <c r="R849" s="122">
        <f t="shared" si="669"/>
        <v>0</v>
      </c>
      <c r="S849" s="122">
        <f t="shared" si="669"/>
        <v>0</v>
      </c>
      <c r="T849" s="122">
        <f t="shared" si="669"/>
        <v>0</v>
      </c>
      <c r="U849" s="674">
        <f t="shared" si="670"/>
        <v>0</v>
      </c>
      <c r="V849" s="122">
        <f t="shared" si="670"/>
        <v>0</v>
      </c>
      <c r="W849" s="122">
        <f t="shared" si="671"/>
        <v>0</v>
      </c>
      <c r="X849" s="122">
        <f t="shared" si="671"/>
        <v>0</v>
      </c>
      <c r="Y849" s="122">
        <f t="shared" si="671"/>
        <v>0</v>
      </c>
      <c r="Z849" s="674">
        <f t="shared" si="672"/>
        <v>0</v>
      </c>
      <c r="AA849" s="122">
        <f t="shared" si="672"/>
        <v>0</v>
      </c>
      <c r="AB849" s="122">
        <f t="shared" si="673"/>
        <v>0</v>
      </c>
      <c r="AC849" s="122">
        <f t="shared" si="673"/>
        <v>0</v>
      </c>
      <c r="AD849" s="122">
        <f t="shared" si="673"/>
        <v>0</v>
      </c>
      <c r="AE849" s="674">
        <f t="shared" si="674"/>
        <v>0</v>
      </c>
      <c r="AF849" s="122">
        <f t="shared" si="674"/>
        <v>0</v>
      </c>
      <c r="AG849" s="122">
        <f t="shared" si="675"/>
        <v>0</v>
      </c>
      <c r="AH849" s="122">
        <f t="shared" si="675"/>
        <v>0</v>
      </c>
      <c r="AI849" s="122">
        <f t="shared" si="675"/>
        <v>0</v>
      </c>
      <c r="AJ849" s="674">
        <f t="shared" si="676"/>
        <v>0</v>
      </c>
      <c r="AK849" s="122">
        <f t="shared" si="676"/>
        <v>0</v>
      </c>
      <c r="AL849" s="122">
        <f t="shared" si="677"/>
        <v>0</v>
      </c>
      <c r="AM849" s="122">
        <f t="shared" si="677"/>
        <v>0</v>
      </c>
      <c r="AN849" s="122">
        <f t="shared" si="677"/>
        <v>0</v>
      </c>
      <c r="AO849" s="674">
        <f t="shared" si="678"/>
        <v>0</v>
      </c>
      <c r="AP849" s="122">
        <f t="shared" si="678"/>
        <v>0</v>
      </c>
      <c r="AQ849" s="122">
        <f t="shared" si="679"/>
        <v>0</v>
      </c>
      <c r="AR849" s="122">
        <f t="shared" si="679"/>
        <v>0</v>
      </c>
      <c r="AS849" s="122">
        <f t="shared" si="679"/>
        <v>0</v>
      </c>
      <c r="AT849" s="674">
        <f t="shared" si="680"/>
        <v>0</v>
      </c>
      <c r="AU849" s="122">
        <f t="shared" si="680"/>
        <v>0</v>
      </c>
      <c r="AV849" s="122">
        <f t="shared" si="681"/>
        <v>0</v>
      </c>
      <c r="AW849" s="122">
        <f t="shared" si="681"/>
        <v>0</v>
      </c>
      <c r="AX849" s="122">
        <f t="shared" si="681"/>
        <v>0</v>
      </c>
      <c r="AY849" s="674">
        <f t="shared" si="682"/>
        <v>0</v>
      </c>
      <c r="AZ849" s="122">
        <f t="shared" si="682"/>
        <v>0</v>
      </c>
      <c r="BA849" s="122">
        <f t="shared" si="683"/>
        <v>0</v>
      </c>
      <c r="BB849" s="122">
        <f t="shared" si="683"/>
        <v>0</v>
      </c>
      <c r="BC849" s="122">
        <f t="shared" si="683"/>
        <v>0</v>
      </c>
      <c r="BD849" s="674">
        <f t="shared" si="684"/>
        <v>0</v>
      </c>
      <c r="BE849" s="122">
        <f t="shared" si="684"/>
        <v>0</v>
      </c>
      <c r="BF849" s="122">
        <f t="shared" si="685"/>
        <v>0</v>
      </c>
      <c r="BG849" s="122">
        <f t="shared" si="685"/>
        <v>0</v>
      </c>
      <c r="BH849" s="122">
        <f t="shared" si="685"/>
        <v>0</v>
      </c>
      <c r="BI849" s="674">
        <f t="shared" si="686"/>
        <v>0</v>
      </c>
      <c r="BJ849" s="1274">
        <f t="shared" si="686"/>
        <v>0</v>
      </c>
      <c r="BK849" s="118"/>
      <c r="BL849" s="118"/>
      <c r="BM849" s="118"/>
      <c r="BN849" s="401">
        <f t="shared" si="688"/>
        <v>0</v>
      </c>
      <c r="BO849" s="118"/>
      <c r="BP849" s="118"/>
      <c r="BQ849" s="118"/>
      <c r="BR849" s="118"/>
      <c r="BS849" s="401">
        <f t="shared" si="690"/>
        <v>0</v>
      </c>
      <c r="BT849" s="401"/>
      <c r="BU849" s="401"/>
      <c r="BV849" s="401"/>
      <c r="BW849" s="122"/>
    </row>
    <row r="850" spans="1:75" s="123" customFormat="1" x14ac:dyDescent="0.5">
      <c r="A850" s="464" t="str">
        <f t="shared" si="633"/>
        <v>Accounts payable and accrued expenses</v>
      </c>
      <c r="B850" s="513"/>
      <c r="C850" s="401"/>
      <c r="D850" s="401"/>
      <c r="E850" s="401"/>
      <c r="F850" s="674">
        <f t="shared" si="664"/>
        <v>32.917000000000002</v>
      </c>
      <c r="G850" s="122">
        <f t="shared" si="664"/>
        <v>-17.777000000000001</v>
      </c>
      <c r="H850" s="122">
        <f t="shared" si="665"/>
        <v>14.591000000000001</v>
      </c>
      <c r="I850" s="122">
        <f t="shared" si="665"/>
        <v>12.281000000000001</v>
      </c>
      <c r="J850" s="122">
        <f t="shared" si="665"/>
        <v>31.758000000000003</v>
      </c>
      <c r="K850" s="674">
        <f t="shared" si="666"/>
        <v>40.853000000000002</v>
      </c>
      <c r="L850" s="122">
        <f t="shared" si="666"/>
        <v>-6.4779999999999998</v>
      </c>
      <c r="M850" s="122">
        <f t="shared" si="667"/>
        <v>3.1719999999999997</v>
      </c>
      <c r="N850" s="122">
        <f t="shared" si="667"/>
        <v>2.198</v>
      </c>
      <c r="O850" s="122">
        <f t="shared" si="667"/>
        <v>60.628999999999998</v>
      </c>
      <c r="P850" s="674">
        <f t="shared" si="668"/>
        <v>59.521000000000001</v>
      </c>
      <c r="Q850" s="122">
        <f t="shared" si="668"/>
        <v>-16.8</v>
      </c>
      <c r="R850" s="122">
        <f t="shared" si="669"/>
        <v>19.238</v>
      </c>
      <c r="S850" s="122">
        <f t="shared" si="669"/>
        <v>57.902000000000001</v>
      </c>
      <c r="T850" s="122">
        <f t="shared" si="669"/>
        <v>75.514999999999986</v>
      </c>
      <c r="U850" s="674">
        <f t="shared" si="670"/>
        <v>135.85499999999999</v>
      </c>
      <c r="V850" s="122">
        <f t="shared" si="670"/>
        <v>-29.097000000000001</v>
      </c>
      <c r="W850" s="122">
        <f t="shared" si="671"/>
        <v>38.844999999999999</v>
      </c>
      <c r="X850" s="122">
        <f t="shared" si="671"/>
        <v>43.695</v>
      </c>
      <c r="Y850" s="122">
        <f t="shared" si="671"/>
        <v>72.570000000000007</v>
      </c>
      <c r="Z850" s="674">
        <f t="shared" si="672"/>
        <v>126.01300000000001</v>
      </c>
      <c r="AA850" s="122">
        <f t="shared" si="672"/>
        <v>-22.411999999999999</v>
      </c>
      <c r="AB850" s="122">
        <f t="shared" si="673"/>
        <v>22.274999999999999</v>
      </c>
      <c r="AC850" s="122">
        <f t="shared" si="673"/>
        <v>44.829000000000001</v>
      </c>
      <c r="AD850" s="122">
        <f t="shared" si="673"/>
        <v>59.491999999999997</v>
      </c>
      <c r="AE850" s="674">
        <f t="shared" si="674"/>
        <v>104.184</v>
      </c>
      <c r="AF850" s="122">
        <f t="shared" si="674"/>
        <v>34.058</v>
      </c>
      <c r="AG850" s="122">
        <f t="shared" si="675"/>
        <v>61.684999999999995</v>
      </c>
      <c r="AH850" s="122">
        <f t="shared" si="675"/>
        <v>91.990000000000009</v>
      </c>
      <c r="AI850" s="122">
        <f t="shared" si="675"/>
        <v>97.331000000000017</v>
      </c>
      <c r="AJ850" s="674">
        <f t="shared" si="676"/>
        <v>285.06400000000002</v>
      </c>
      <c r="AK850" s="122">
        <f t="shared" si="676"/>
        <v>46.631</v>
      </c>
      <c r="AL850" s="122">
        <f t="shared" si="677"/>
        <v>81.97999999999999</v>
      </c>
      <c r="AM850" s="122">
        <f t="shared" si="677"/>
        <v>87.175000000000011</v>
      </c>
      <c r="AN850" s="122">
        <f t="shared" si="677"/>
        <v>114.53899999999999</v>
      </c>
      <c r="AO850" s="674">
        <f t="shared" si="678"/>
        <v>330.32499999999999</v>
      </c>
      <c r="AP850" s="122">
        <f t="shared" si="678"/>
        <v>-114.623</v>
      </c>
      <c r="AQ850" s="122">
        <f t="shared" si="679"/>
        <v>484.28899999999999</v>
      </c>
      <c r="AR850" s="122">
        <f t="shared" si="679"/>
        <v>-13.451000000000022</v>
      </c>
      <c r="AS850" s="122">
        <f t="shared" si="679"/>
        <v>175.31099999999998</v>
      </c>
      <c r="AT850" s="674">
        <f t="shared" si="680"/>
        <v>531.52599999999995</v>
      </c>
      <c r="AU850" s="122">
        <f t="shared" si="680"/>
        <v>58.415999999999997</v>
      </c>
      <c r="AV850" s="122">
        <f t="shared" si="681"/>
        <v>-1.7089999999999961</v>
      </c>
      <c r="AW850" s="122">
        <f t="shared" si="681"/>
        <v>-189.941</v>
      </c>
      <c r="AX850" s="122">
        <f t="shared" si="681"/>
        <v>142.23400000000001</v>
      </c>
      <c r="AY850" s="674">
        <f t="shared" si="682"/>
        <v>9</v>
      </c>
      <c r="AZ850" s="122">
        <f t="shared" si="682"/>
        <v>-26</v>
      </c>
      <c r="BA850" s="122">
        <f t="shared" si="683"/>
        <v>8</v>
      </c>
      <c r="BB850" s="122">
        <f t="shared" si="683"/>
        <v>-276</v>
      </c>
      <c r="BC850" s="122">
        <f t="shared" si="683"/>
        <v>117</v>
      </c>
      <c r="BD850" s="674">
        <f t="shared" si="684"/>
        <v>-177</v>
      </c>
      <c r="BE850" s="122">
        <f t="shared" si="684"/>
        <v>-171</v>
      </c>
      <c r="BF850" s="122">
        <f t="shared" si="685"/>
        <v>53</v>
      </c>
      <c r="BG850" s="122">
        <f t="shared" si="685"/>
        <v>12</v>
      </c>
      <c r="BH850" s="122">
        <f t="shared" si="685"/>
        <v>88</v>
      </c>
      <c r="BI850" s="674">
        <f t="shared" si="686"/>
        <v>-18</v>
      </c>
      <c r="BJ850" s="1274">
        <f t="shared" si="686"/>
        <v>-152</v>
      </c>
      <c r="BK850" s="118">
        <f>BK958-BJ958</f>
        <v>60.030965980817882</v>
      </c>
      <c r="BL850" s="118">
        <f>BL958-BK958</f>
        <v>63.660667260633318</v>
      </c>
      <c r="BM850" s="118">
        <f>BM958-BL958</f>
        <v>64.674148458290801</v>
      </c>
      <c r="BN850" s="401">
        <f t="shared" si="688"/>
        <v>36.365781699742001</v>
      </c>
      <c r="BO850" s="118">
        <f>BO958-BN958</f>
        <v>-161.64596688664619</v>
      </c>
      <c r="BP850" s="118">
        <f>BP958-BO958</f>
        <v>75.360882921639586</v>
      </c>
      <c r="BQ850" s="118">
        <f>BQ958-BP958</f>
        <v>79.512918891437948</v>
      </c>
      <c r="BR850" s="118">
        <f>BR958-BQ958</f>
        <v>82.749274530113325</v>
      </c>
      <c r="BS850" s="401">
        <f t="shared" si="690"/>
        <v>75.977109456544667</v>
      </c>
      <c r="BT850" s="401">
        <f>BT958-BS958</f>
        <v>94.34489080369508</v>
      </c>
      <c r="BU850" s="401">
        <f>BU958-BT958</f>
        <v>101.0913996001766</v>
      </c>
      <c r="BV850" s="401">
        <f>BV958-BU958</f>
        <v>108.32034449418529</v>
      </c>
      <c r="BW850" s="122"/>
    </row>
    <row r="851" spans="1:75" s="123" customFormat="1" x14ac:dyDescent="0.5">
      <c r="A851" s="464" t="str">
        <f t="shared" si="633"/>
        <v>Deferred revenue and other liabilities</v>
      </c>
      <c r="B851" s="513"/>
      <c r="C851" s="401"/>
      <c r="D851" s="401"/>
      <c r="E851" s="401"/>
      <c r="F851" s="674">
        <f t="shared" si="664"/>
        <v>3.0409999999999999</v>
      </c>
      <c r="G851" s="122">
        <f t="shared" si="664"/>
        <v>-0.34300000000000003</v>
      </c>
      <c r="H851" s="122">
        <f t="shared" si="665"/>
        <v>2.7509999999999999</v>
      </c>
      <c r="I851" s="122">
        <f t="shared" si="665"/>
        <v>7.0750000000000011</v>
      </c>
      <c r="J851" s="122">
        <f t="shared" si="665"/>
        <v>-5.2880000000000003</v>
      </c>
      <c r="K851" s="674">
        <f t="shared" si="666"/>
        <v>4.1950000000000003</v>
      </c>
      <c r="L851" s="122">
        <f t="shared" si="666"/>
        <v>10.721</v>
      </c>
      <c r="M851" s="122">
        <f t="shared" si="667"/>
        <v>8.7659999999999982</v>
      </c>
      <c r="N851" s="122">
        <f t="shared" si="667"/>
        <v>5.0910000000000011</v>
      </c>
      <c r="O851" s="122">
        <f t="shared" si="667"/>
        <v>8.0380000000000003</v>
      </c>
      <c r="P851" s="674">
        <f t="shared" si="668"/>
        <v>32.616</v>
      </c>
      <c r="Q851" s="122">
        <f t="shared" si="668"/>
        <v>12.151</v>
      </c>
      <c r="R851" s="122">
        <f t="shared" si="669"/>
        <v>18.431999999999999</v>
      </c>
      <c r="S851" s="122">
        <f t="shared" si="669"/>
        <v>7.3440000000000012</v>
      </c>
      <c r="T851" s="122">
        <f t="shared" si="669"/>
        <v>9.1039999999999992</v>
      </c>
      <c r="U851" s="674">
        <f t="shared" si="670"/>
        <v>47.030999999999999</v>
      </c>
      <c r="V851" s="122">
        <f t="shared" si="670"/>
        <v>7.9260000000000002</v>
      </c>
      <c r="W851" s="122">
        <f t="shared" si="671"/>
        <v>14.935999999999998</v>
      </c>
      <c r="X851" s="122">
        <f t="shared" si="671"/>
        <v>10.693999999999999</v>
      </c>
      <c r="Y851" s="122">
        <f t="shared" si="671"/>
        <v>18.358000000000004</v>
      </c>
      <c r="Z851" s="674">
        <f t="shared" si="672"/>
        <v>51.914000000000001</v>
      </c>
      <c r="AA851" s="122">
        <f t="shared" si="672"/>
        <v>25.93</v>
      </c>
      <c r="AB851" s="122">
        <f t="shared" si="673"/>
        <v>4.7300000000000004</v>
      </c>
      <c r="AC851" s="122">
        <f t="shared" si="673"/>
        <v>19.790000000000003</v>
      </c>
      <c r="AD851" s="122">
        <f t="shared" si="673"/>
        <v>30.903999999999996</v>
      </c>
      <c r="AE851" s="674">
        <f t="shared" si="674"/>
        <v>81.353999999999999</v>
      </c>
      <c r="AF851" s="122">
        <f t="shared" si="674"/>
        <v>23.821000000000002</v>
      </c>
      <c r="AG851" s="122">
        <f t="shared" si="675"/>
        <v>28.389999999999997</v>
      </c>
      <c r="AH851" s="122">
        <f t="shared" si="675"/>
        <v>28.298000000000002</v>
      </c>
      <c r="AI851" s="122">
        <f t="shared" si="675"/>
        <v>54.196000000000012</v>
      </c>
      <c r="AJ851" s="674">
        <f t="shared" si="676"/>
        <v>134.70500000000001</v>
      </c>
      <c r="AK851" s="122">
        <f t="shared" si="676"/>
        <v>-4.9329999999999998</v>
      </c>
      <c r="AL851" s="122">
        <f t="shared" si="677"/>
        <v>19.847000000000001</v>
      </c>
      <c r="AM851" s="122">
        <f t="shared" si="677"/>
        <v>7.4680000000000017</v>
      </c>
      <c r="AN851" s="122">
        <f t="shared" si="677"/>
        <v>53.506</v>
      </c>
      <c r="AO851" s="674">
        <f t="shared" si="678"/>
        <v>75.888000000000005</v>
      </c>
      <c r="AP851" s="122">
        <f t="shared" si="678"/>
        <v>2.379</v>
      </c>
      <c r="AQ851" s="122">
        <f t="shared" si="679"/>
        <v>329.13200000000001</v>
      </c>
      <c r="AR851" s="122">
        <f t="shared" si="679"/>
        <v>-35.205000000000041</v>
      </c>
      <c r="AS851" s="122">
        <f t="shared" si="679"/>
        <v>-238.37199999999999</v>
      </c>
      <c r="AT851" s="674">
        <f t="shared" si="680"/>
        <v>57.933999999999997</v>
      </c>
      <c r="AU851" s="122">
        <f t="shared" si="680"/>
        <v>5.4320000000000004</v>
      </c>
      <c r="AV851" s="122">
        <f t="shared" si="681"/>
        <v>-4.6560000000000006</v>
      </c>
      <c r="AW851" s="122">
        <f t="shared" si="681"/>
        <v>-5.2509999999999994</v>
      </c>
      <c r="AX851" s="122">
        <f t="shared" si="681"/>
        <v>8.4749999999999996</v>
      </c>
      <c r="AY851" s="674">
        <f t="shared" si="682"/>
        <v>4</v>
      </c>
      <c r="AZ851" s="122">
        <f t="shared" si="682"/>
        <v>0</v>
      </c>
      <c r="BA851" s="122">
        <f t="shared" si="683"/>
        <v>0</v>
      </c>
      <c r="BB851" s="122">
        <f t="shared" si="683"/>
        <v>15</v>
      </c>
      <c r="BC851" s="122">
        <f t="shared" si="683"/>
        <v>-15</v>
      </c>
      <c r="BD851" s="674">
        <f t="shared" si="684"/>
        <v>0</v>
      </c>
      <c r="BE851" s="122">
        <f t="shared" si="684"/>
        <v>-1</v>
      </c>
      <c r="BF851" s="122">
        <f t="shared" si="685"/>
        <v>13</v>
      </c>
      <c r="BG851" s="122">
        <f t="shared" si="685"/>
        <v>0</v>
      </c>
      <c r="BH851" s="122">
        <f t="shared" si="685"/>
        <v>-12</v>
      </c>
      <c r="BI851" s="674">
        <f t="shared" si="686"/>
        <v>0</v>
      </c>
      <c r="BJ851" s="1274">
        <f t="shared" si="686"/>
        <v>0</v>
      </c>
      <c r="BK851" s="118">
        <f>+BK960-BJ960</f>
        <v>21.138248840484607</v>
      </c>
      <c r="BL851" s="118">
        <f>+BL960-BK960</f>
        <v>-1.0998775585830174</v>
      </c>
      <c r="BM851" s="118">
        <f>+BM960-BL960</f>
        <v>-18.558365259657137</v>
      </c>
      <c r="BN851" s="401">
        <f t="shared" si="688"/>
        <v>1.4800060222444529</v>
      </c>
      <c r="BO851" s="118">
        <f>+BO960-BN960</f>
        <v>3.458727521408349</v>
      </c>
      <c r="BP851" s="118">
        <f>+BP960-BO960</f>
        <v>24.350459676667271</v>
      </c>
      <c r="BQ851" s="118">
        <f>+BQ960-BP960</f>
        <v>1.3127112622042887</v>
      </c>
      <c r="BR851" s="118">
        <f>+BR960-BQ960</f>
        <v>-17.115791212284591</v>
      </c>
      <c r="BS851" s="401">
        <f t="shared" si="690"/>
        <v>12.006107247995317</v>
      </c>
      <c r="BT851" s="401">
        <f>+BT960-BS960</f>
        <v>14.908633473841576</v>
      </c>
      <c r="BU851" s="401">
        <f>+BU960-BT960</f>
        <v>15.974734944922545</v>
      </c>
      <c r="BV851" s="401">
        <f>+BV960-BU960</f>
        <v>17.117072266098972</v>
      </c>
      <c r="BW851" s="122"/>
    </row>
    <row r="852" spans="1:75" s="123" customFormat="1" x14ac:dyDescent="0.5">
      <c r="A852" s="1292" t="str">
        <f t="shared" si="633"/>
        <v>Other assets</v>
      </c>
      <c r="B852" s="677"/>
      <c r="C852" s="406"/>
      <c r="D852" s="406"/>
      <c r="E852" s="406"/>
      <c r="F852" s="1293">
        <f t="shared" si="664"/>
        <v>-0.26300000000000001</v>
      </c>
      <c r="G852" s="431">
        <f t="shared" si="664"/>
        <v>2.7E-2</v>
      </c>
      <c r="H852" s="431">
        <f t="shared" si="665"/>
        <v>2.2000000000000002E-2</v>
      </c>
      <c r="I852" s="431">
        <f t="shared" si="665"/>
        <v>0.22000000000000003</v>
      </c>
      <c r="J852" s="431">
        <f t="shared" si="665"/>
        <v>-0.91300000000000003</v>
      </c>
      <c r="K852" s="1293">
        <f t="shared" si="666"/>
        <v>-0.64400000000000002</v>
      </c>
      <c r="L852" s="431">
        <f t="shared" si="666"/>
        <v>-0.996</v>
      </c>
      <c r="M852" s="431">
        <f t="shared" si="667"/>
        <v>-1.0899999999999999</v>
      </c>
      <c r="N852" s="431">
        <f t="shared" si="667"/>
        <v>-1.0310000000000001</v>
      </c>
      <c r="O852" s="431">
        <f t="shared" si="667"/>
        <v>3.0579999999999998</v>
      </c>
      <c r="P852" s="1293">
        <f t="shared" si="668"/>
        <v>-5.8999999999999997E-2</v>
      </c>
      <c r="Q852" s="431">
        <f t="shared" si="668"/>
        <v>-0.33900000000000002</v>
      </c>
      <c r="R852" s="431">
        <f t="shared" si="669"/>
        <v>0.19200000000000003</v>
      </c>
      <c r="S852" s="431">
        <f t="shared" si="669"/>
        <v>0.122</v>
      </c>
      <c r="T852" s="431">
        <f t="shared" si="669"/>
        <v>-0.11100000000000002</v>
      </c>
      <c r="U852" s="1293">
        <f t="shared" si="670"/>
        <v>-0.13600000000000001</v>
      </c>
      <c r="V852" s="431">
        <f t="shared" si="670"/>
        <v>-0.432</v>
      </c>
      <c r="W852" s="431">
        <f t="shared" si="671"/>
        <v>0.42499999999999999</v>
      </c>
      <c r="X852" s="431">
        <f t="shared" si="671"/>
        <v>-2.2849999999999997</v>
      </c>
      <c r="Y852" s="431">
        <f t="shared" si="671"/>
        <v>0.29399999999999982</v>
      </c>
      <c r="Z852" s="1293">
        <f t="shared" si="672"/>
        <v>-1.998</v>
      </c>
      <c r="AA852" s="431">
        <f t="shared" si="672"/>
        <v>-5.5E-2</v>
      </c>
      <c r="AB852" s="431">
        <f t="shared" si="673"/>
        <v>-6.2000000000000006E-2</v>
      </c>
      <c r="AC852" s="431">
        <f t="shared" si="673"/>
        <v>-1.0309999999999999</v>
      </c>
      <c r="AD852" s="431">
        <f t="shared" si="673"/>
        <v>-1.28</v>
      </c>
      <c r="AE852" s="1293">
        <f t="shared" si="674"/>
        <v>-2.4279999999999999</v>
      </c>
      <c r="AF852" s="431">
        <f t="shared" si="674"/>
        <v>-0.23599999999999999</v>
      </c>
      <c r="AG852" s="431">
        <f t="shared" si="675"/>
        <v>-1.226</v>
      </c>
      <c r="AH852" s="431">
        <f t="shared" si="675"/>
        <v>-5.3740000000000006</v>
      </c>
      <c r="AI852" s="431">
        <f t="shared" si="675"/>
        <v>-1.3209999999999997</v>
      </c>
      <c r="AJ852" s="1293">
        <f t="shared" si="676"/>
        <v>-8.157</v>
      </c>
      <c r="AK852" s="431">
        <f t="shared" si="676"/>
        <v>-0.70399999999999996</v>
      </c>
      <c r="AL852" s="431">
        <f t="shared" si="677"/>
        <v>-0.62000000000000011</v>
      </c>
      <c r="AM852" s="431">
        <f t="shared" si="677"/>
        <v>-0.59599999999999986</v>
      </c>
      <c r="AN852" s="431">
        <f t="shared" si="677"/>
        <v>0.59099999999999997</v>
      </c>
      <c r="AO852" s="1293">
        <f t="shared" si="678"/>
        <v>-1.329</v>
      </c>
      <c r="AP852" s="431">
        <f t="shared" si="678"/>
        <v>2.4E-2</v>
      </c>
      <c r="AQ852" s="431">
        <f t="shared" si="679"/>
        <v>0.91399999999999992</v>
      </c>
      <c r="AR852" s="431">
        <f t="shared" si="679"/>
        <v>-0.32599999999999996</v>
      </c>
      <c r="AS852" s="431">
        <f t="shared" si="679"/>
        <v>-1.1440000000000001</v>
      </c>
      <c r="AT852" s="1293">
        <f t="shared" si="680"/>
        <v>-0.53200000000000003</v>
      </c>
      <c r="AU852" s="431">
        <f t="shared" si="680"/>
        <v>-3.43</v>
      </c>
      <c r="AV852" s="431">
        <f t="shared" si="681"/>
        <v>-0.57999999999999963</v>
      </c>
      <c r="AW852" s="431">
        <f t="shared" si="681"/>
        <v>4.843</v>
      </c>
      <c r="AX852" s="431">
        <f t="shared" si="681"/>
        <v>-0.83299999999999996</v>
      </c>
      <c r="AY852" s="1293">
        <f t="shared" si="682"/>
        <v>0</v>
      </c>
      <c r="AZ852" s="431">
        <f t="shared" si="682"/>
        <v>0</v>
      </c>
      <c r="BA852" s="431">
        <f t="shared" si="683"/>
        <v>0</v>
      </c>
      <c r="BB852" s="431">
        <f t="shared" si="683"/>
        <v>0</v>
      </c>
      <c r="BC852" s="431">
        <f t="shared" si="683"/>
        <v>1</v>
      </c>
      <c r="BD852" s="1293">
        <f t="shared" si="684"/>
        <v>1</v>
      </c>
      <c r="BE852" s="431">
        <f t="shared" si="684"/>
        <v>0</v>
      </c>
      <c r="BF852" s="431">
        <f t="shared" si="685"/>
        <v>3</v>
      </c>
      <c r="BG852" s="431">
        <f t="shared" si="685"/>
        <v>-1</v>
      </c>
      <c r="BH852" s="431">
        <f t="shared" si="685"/>
        <v>-2</v>
      </c>
      <c r="BI852" s="1293">
        <f t="shared" si="686"/>
        <v>0</v>
      </c>
      <c r="BJ852" s="1294">
        <f t="shared" si="686"/>
        <v>0</v>
      </c>
      <c r="BK852" s="723"/>
      <c r="BL852" s="723"/>
      <c r="BM852" s="723"/>
      <c r="BN852" s="406">
        <f t="shared" si="688"/>
        <v>0</v>
      </c>
      <c r="BO852" s="723"/>
      <c r="BP852" s="723"/>
      <c r="BQ852" s="723"/>
      <c r="BR852" s="723"/>
      <c r="BS852" s="406">
        <f t="shared" si="690"/>
        <v>0</v>
      </c>
      <c r="BT852" s="406"/>
      <c r="BU852" s="406"/>
      <c r="BV852" s="406"/>
      <c r="BW852" s="122"/>
    </row>
    <row r="853" spans="1:75" s="123" customFormat="1" x14ac:dyDescent="0.5">
      <c r="A853" s="516" t="str">
        <f t="shared" si="633"/>
        <v>Net CFO</v>
      </c>
      <c r="B853" s="517"/>
      <c r="C853" s="518"/>
      <c r="D853" s="518"/>
      <c r="E853" s="518"/>
      <c r="F853" s="519">
        <f t="shared" ref="F853:BQ853" si="692">SUM(F845:F852)</f>
        <v>3.9450000000000021</v>
      </c>
      <c r="G853" s="520">
        <f t="shared" si="692"/>
        <v>-20.451000000000001</v>
      </c>
      <c r="H853" s="520">
        <f t="shared" si="692"/>
        <v>14.544000000000002</v>
      </c>
      <c r="I853" s="520">
        <f t="shared" si="692"/>
        <v>-0.51799999999999957</v>
      </c>
      <c r="J853" s="520">
        <f t="shared" si="692"/>
        <v>40.838000000000008</v>
      </c>
      <c r="K853" s="519">
        <f t="shared" si="692"/>
        <v>34.413000000000004</v>
      </c>
      <c r="L853" s="520">
        <f t="shared" si="692"/>
        <v>-24.432000000000002</v>
      </c>
      <c r="M853" s="520">
        <f t="shared" si="692"/>
        <v>-15.339000000000006</v>
      </c>
      <c r="N853" s="520">
        <f t="shared" si="692"/>
        <v>-11.065999999999997</v>
      </c>
      <c r="O853" s="520">
        <f t="shared" si="692"/>
        <v>54.961999999999982</v>
      </c>
      <c r="P853" s="519">
        <f t="shared" si="692"/>
        <v>4.1249999999999831</v>
      </c>
      <c r="Q853" s="520">
        <f t="shared" si="692"/>
        <v>-35.201999999999998</v>
      </c>
      <c r="R853" s="520">
        <f t="shared" si="692"/>
        <v>28.452999999999996</v>
      </c>
      <c r="S853" s="520">
        <f t="shared" si="692"/>
        <v>51.503999999999998</v>
      </c>
      <c r="T853" s="520">
        <f t="shared" si="692"/>
        <v>90.365999999999985</v>
      </c>
      <c r="U853" s="519">
        <f t="shared" si="692"/>
        <v>135.12099999999998</v>
      </c>
      <c r="V853" s="520">
        <f t="shared" si="692"/>
        <v>-51.203999999999994</v>
      </c>
      <c r="W853" s="520">
        <f t="shared" si="692"/>
        <v>24.903000000000002</v>
      </c>
      <c r="X853" s="520">
        <f t="shared" si="692"/>
        <v>15.620999999999981</v>
      </c>
      <c r="Y853" s="520">
        <f t="shared" si="692"/>
        <v>73.494000000000014</v>
      </c>
      <c r="Z853" s="519">
        <f t="shared" si="692"/>
        <v>62.814000000000014</v>
      </c>
      <c r="AA853" s="520">
        <f t="shared" si="692"/>
        <v>-46.097999999999985</v>
      </c>
      <c r="AB853" s="520">
        <f t="shared" si="692"/>
        <v>18.100999999999996</v>
      </c>
      <c r="AC853" s="520">
        <f t="shared" si="692"/>
        <v>24.75200000000002</v>
      </c>
      <c r="AD853" s="520">
        <f t="shared" si="692"/>
        <v>36.878999999999969</v>
      </c>
      <c r="AE853" s="519">
        <f t="shared" si="692"/>
        <v>33.634</v>
      </c>
      <c r="AF853" s="520">
        <f t="shared" si="692"/>
        <v>-13.077000000000012</v>
      </c>
      <c r="AG853" s="520">
        <f t="shared" si="692"/>
        <v>47.604000000000013</v>
      </c>
      <c r="AH853" s="520">
        <f t="shared" si="692"/>
        <v>7.8039999999999967</v>
      </c>
      <c r="AI853" s="520">
        <f t="shared" si="692"/>
        <v>42.530000000000072</v>
      </c>
      <c r="AJ853" s="519">
        <f t="shared" si="692"/>
        <v>84.861000000000004</v>
      </c>
      <c r="AK853" s="520">
        <f t="shared" si="692"/>
        <v>-81.347999999999999</v>
      </c>
      <c r="AL853" s="520">
        <f t="shared" si="692"/>
        <v>-2.7340000000000115</v>
      </c>
      <c r="AM853" s="520">
        <f t="shared" si="692"/>
        <v>-76.44099999999996</v>
      </c>
      <c r="AN853" s="520">
        <f t="shared" si="692"/>
        <v>-36.294999999999995</v>
      </c>
      <c r="AO853" s="519">
        <f t="shared" si="692"/>
        <v>-196.8179999999999</v>
      </c>
      <c r="AP853" s="520">
        <f t="shared" si="692"/>
        <v>-256.29000000000002</v>
      </c>
      <c r="AQ853" s="520">
        <f t="shared" si="692"/>
        <v>1135.251</v>
      </c>
      <c r="AR853" s="520">
        <f t="shared" si="692"/>
        <v>331.02699999999993</v>
      </c>
      <c r="AS853" s="520">
        <f t="shared" si="692"/>
        <v>206.74300000000002</v>
      </c>
      <c r="AT853" s="519">
        <f t="shared" si="692"/>
        <v>1416.731</v>
      </c>
      <c r="AU853" s="520">
        <f t="shared" si="692"/>
        <v>176.59599999999998</v>
      </c>
      <c r="AV853" s="520">
        <f t="shared" si="692"/>
        <v>275.43899999999996</v>
      </c>
      <c r="AW853" s="520">
        <f t="shared" si="692"/>
        <v>-130.84800000000001</v>
      </c>
      <c r="AX853" s="520">
        <f t="shared" si="692"/>
        <v>88.812999999999988</v>
      </c>
      <c r="AY853" s="519">
        <f t="shared" si="692"/>
        <v>410</v>
      </c>
      <c r="AZ853" s="520">
        <f t="shared" si="692"/>
        <v>-226</v>
      </c>
      <c r="BA853" s="520">
        <f t="shared" si="692"/>
        <v>-115</v>
      </c>
      <c r="BB853" s="520">
        <f t="shared" si="692"/>
        <v>-431</v>
      </c>
      <c r="BC853" s="520">
        <f t="shared" si="692"/>
        <v>98</v>
      </c>
      <c r="BD853" s="519">
        <f t="shared" si="692"/>
        <v>-674</v>
      </c>
      <c r="BE853" s="520">
        <f t="shared" si="692"/>
        <v>-147</v>
      </c>
      <c r="BF853" s="520">
        <f t="shared" si="692"/>
        <v>217</v>
      </c>
      <c r="BG853" s="520">
        <f t="shared" si="692"/>
        <v>121</v>
      </c>
      <c r="BH853" s="520">
        <f t="shared" si="692"/>
        <v>158</v>
      </c>
      <c r="BI853" s="519">
        <f t="shared" si="692"/>
        <v>349</v>
      </c>
      <c r="BJ853" s="1270">
        <f>SUM(BJ845:BJ852)</f>
        <v>-139</v>
      </c>
      <c r="BK853" s="327">
        <f t="shared" si="692"/>
        <v>10.643105816061563</v>
      </c>
      <c r="BL853" s="327">
        <f t="shared" ca="1" si="692"/>
        <v>155.04791682253716</v>
      </c>
      <c r="BM853" s="327">
        <f t="shared" ca="1" si="692"/>
        <v>85.489682822079885</v>
      </c>
      <c r="BN853" s="518">
        <f t="shared" ca="1" si="692"/>
        <v>112.18070546067861</v>
      </c>
      <c r="BO853" s="327">
        <f t="shared" ca="1" si="692"/>
        <v>9.4467128428803733</v>
      </c>
      <c r="BP853" s="327">
        <f t="shared" ca="1" si="692"/>
        <v>12.507802200450385</v>
      </c>
      <c r="BQ853" s="327">
        <f t="shared" ca="1" si="692"/>
        <v>171.62492760557512</v>
      </c>
      <c r="BR853" s="327">
        <f t="shared" ref="BR853:BY853" ca="1" si="693">SUM(BR845:BR852)</f>
        <v>101.03244412463974</v>
      </c>
      <c r="BS853" s="518">
        <f t="shared" ca="1" si="693"/>
        <v>294.61188677354551</v>
      </c>
      <c r="BT853" s="518">
        <f t="shared" ca="1" si="693"/>
        <v>528.47008537537386</v>
      </c>
      <c r="BU853" s="518">
        <f t="shared" ca="1" si="693"/>
        <v>773.41876467145971</v>
      </c>
      <c r="BV853" s="518">
        <f t="shared" ca="1" si="693"/>
        <v>1059.1541920152013</v>
      </c>
      <c r="BW853" s="197"/>
    </row>
    <row r="854" spans="1:75" s="123" customFormat="1" x14ac:dyDescent="0.5">
      <c r="A854" s="206"/>
      <c r="B854" s="522"/>
      <c r="C854" s="397"/>
      <c r="D854" s="397"/>
      <c r="E854" s="397"/>
      <c r="F854" s="397"/>
      <c r="G854" s="295"/>
      <c r="H854" s="295"/>
      <c r="I854" s="295"/>
      <c r="J854" s="295"/>
      <c r="K854" s="397"/>
      <c r="L854" s="295"/>
      <c r="M854" s="295"/>
      <c r="N854" s="295"/>
      <c r="O854" s="295"/>
      <c r="P854" s="397"/>
      <c r="Q854" s="295"/>
      <c r="R854" s="295"/>
      <c r="S854" s="295"/>
      <c r="T854" s="295"/>
      <c r="U854" s="397"/>
      <c r="V854" s="295"/>
      <c r="W854" s="295"/>
      <c r="X854" s="295"/>
      <c r="Y854" s="295"/>
      <c r="Z854" s="397"/>
      <c r="AA854" s="295"/>
      <c r="AB854" s="295"/>
      <c r="AC854" s="295"/>
      <c r="AD854" s="295"/>
      <c r="AE854" s="397"/>
      <c r="AF854" s="295"/>
      <c r="AG854" s="295"/>
      <c r="AH854" s="295"/>
      <c r="AI854" s="295"/>
      <c r="AJ854" s="397"/>
      <c r="AK854" s="295"/>
      <c r="AL854" s="295"/>
      <c r="AM854" s="295"/>
      <c r="AN854" s="295"/>
      <c r="AO854" s="397"/>
      <c r="AP854" s="295"/>
      <c r="AQ854" s="295"/>
      <c r="AR854" s="295"/>
      <c r="AS854" s="295"/>
      <c r="AT854" s="397"/>
      <c r="AU854" s="295"/>
      <c r="AV854" s="295"/>
      <c r="AW854" s="295"/>
      <c r="AX854" s="295"/>
      <c r="AY854" s="397"/>
      <c r="AZ854" s="295"/>
      <c r="BA854" s="295"/>
      <c r="BB854" s="295"/>
      <c r="BC854" s="295"/>
      <c r="BD854" s="397"/>
      <c r="BE854" s="295"/>
      <c r="BF854" s="295"/>
      <c r="BG854" s="295"/>
      <c r="BH854" s="295"/>
      <c r="BI854" s="397"/>
      <c r="BJ854" s="1030"/>
      <c r="BK854" s="295"/>
      <c r="BL854" s="295"/>
      <c r="BM854" s="295"/>
      <c r="BN854" s="397"/>
      <c r="BO854" s="295"/>
      <c r="BP854" s="295"/>
      <c r="BQ854" s="295"/>
      <c r="BR854" s="295"/>
      <c r="BS854" s="397"/>
      <c r="BT854" s="397"/>
      <c r="BU854" s="397"/>
      <c r="BV854" s="397"/>
      <c r="BW854" s="197"/>
    </row>
    <row r="855" spans="1:75" s="123" customFormat="1" x14ac:dyDescent="0.5">
      <c r="A855" s="463" t="str">
        <f t="shared" ref="A855:A863" si="694">A792</f>
        <v>CFI</v>
      </c>
      <c r="B855" s="522"/>
      <c r="C855" s="397"/>
      <c r="D855" s="397"/>
      <c r="E855" s="397"/>
      <c r="F855" s="397"/>
      <c r="G855" s="295"/>
      <c r="H855" s="295"/>
      <c r="I855" s="295"/>
      <c r="J855" s="295"/>
      <c r="K855" s="397"/>
      <c r="L855" s="295"/>
      <c r="M855" s="295"/>
      <c r="N855" s="295"/>
      <c r="O855" s="295"/>
      <c r="P855" s="397"/>
      <c r="Q855" s="295"/>
      <c r="R855" s="295"/>
      <c r="S855" s="295"/>
      <c r="T855" s="295"/>
      <c r="U855" s="397"/>
      <c r="V855" s="295"/>
      <c r="W855" s="295"/>
      <c r="X855" s="295"/>
      <c r="Y855" s="295"/>
      <c r="Z855" s="397"/>
      <c r="AA855" s="295"/>
      <c r="AB855" s="295"/>
      <c r="AC855" s="295"/>
      <c r="AD855" s="295"/>
      <c r="AE855" s="397"/>
      <c r="AF855" s="295"/>
      <c r="AG855" s="295"/>
      <c r="AH855" s="295"/>
      <c r="AI855" s="295"/>
      <c r="AJ855" s="397"/>
      <c r="AK855" s="295"/>
      <c r="AL855" s="295"/>
      <c r="AM855" s="295"/>
      <c r="AN855" s="295"/>
      <c r="AO855" s="397"/>
      <c r="AP855" s="295"/>
      <c r="AQ855" s="295"/>
      <c r="AR855" s="295"/>
      <c r="AS855" s="295"/>
      <c r="AT855" s="397"/>
      <c r="AU855" s="295"/>
      <c r="AV855" s="295"/>
      <c r="AW855" s="295"/>
      <c r="AX855" s="295"/>
      <c r="AY855" s="397"/>
      <c r="AZ855" s="295"/>
      <c r="BA855" s="295"/>
      <c r="BB855" s="295"/>
      <c r="BC855" s="295"/>
      <c r="BD855" s="397"/>
      <c r="BE855" s="295"/>
      <c r="BF855" s="295"/>
      <c r="BG855" s="295"/>
      <c r="BH855" s="295"/>
      <c r="BI855" s="397"/>
      <c r="BJ855" s="1030"/>
      <c r="BK855" s="295"/>
      <c r="BL855" s="295"/>
      <c r="BM855" s="295"/>
      <c r="BN855" s="397"/>
      <c r="BO855" s="295"/>
      <c r="BP855" s="295"/>
      <c r="BQ855" s="295"/>
      <c r="BR855" s="295"/>
      <c r="BS855" s="397"/>
      <c r="BT855" s="397"/>
      <c r="BU855" s="397"/>
      <c r="BV855" s="397"/>
      <c r="BW855" s="197"/>
    </row>
    <row r="856" spans="1:75" s="123" customFormat="1" x14ac:dyDescent="0.5">
      <c r="A856" s="464" t="str">
        <f t="shared" si="694"/>
        <v>Purchase of short-term and long-term investments</v>
      </c>
      <c r="B856" s="118"/>
      <c r="C856" s="401"/>
      <c r="D856" s="401"/>
      <c r="E856" s="401"/>
      <c r="F856" s="674">
        <f t="shared" ref="F856:G862" si="695">F793</f>
        <v>-66.064999999999998</v>
      </c>
      <c r="G856" s="122">
        <f t="shared" si="695"/>
        <v>0</v>
      </c>
      <c r="H856" s="122">
        <f t="shared" ref="H856:J862" si="696">H793-G793</f>
        <v>-40</v>
      </c>
      <c r="I856" s="122">
        <f t="shared" si="696"/>
        <v>0</v>
      </c>
      <c r="J856" s="122">
        <f t="shared" si="696"/>
        <v>-53</v>
      </c>
      <c r="K856" s="674">
        <f t="shared" ref="K856:L862" si="697">K793</f>
        <v>-93</v>
      </c>
      <c r="L856" s="122">
        <f t="shared" si="697"/>
        <v>-10</v>
      </c>
      <c r="M856" s="122">
        <f t="shared" ref="M856:O862" si="698">M793-L793</f>
        <v>-55</v>
      </c>
      <c r="N856" s="122">
        <f t="shared" si="698"/>
        <v>-45</v>
      </c>
      <c r="O856" s="122">
        <f t="shared" si="698"/>
        <v>-25</v>
      </c>
      <c r="P856" s="674">
        <f t="shared" ref="P856:Q862" si="699">P793</f>
        <v>-135</v>
      </c>
      <c r="Q856" s="122">
        <f t="shared" si="699"/>
        <v>-104.233</v>
      </c>
      <c r="R856" s="122">
        <f t="shared" ref="R856:T862" si="700">R793-Q793</f>
        <v>-4.078000000000003</v>
      </c>
      <c r="S856" s="122">
        <f t="shared" si="700"/>
        <v>-32.99799999999999</v>
      </c>
      <c r="T856" s="122">
        <f t="shared" si="700"/>
        <v>-65.994</v>
      </c>
      <c r="U856" s="674">
        <f t="shared" ref="U856:V862" si="701">U793</f>
        <v>-207.303</v>
      </c>
      <c r="V856" s="122">
        <f t="shared" si="701"/>
        <v>-28.489000000000001</v>
      </c>
      <c r="W856" s="122">
        <f t="shared" ref="W856:Y862" si="702">W793-V793</f>
        <v>-40.566000000000003</v>
      </c>
      <c r="X856" s="122">
        <f t="shared" si="702"/>
        <v>-7.4029999999999916</v>
      </c>
      <c r="Y856" s="122">
        <f t="shared" si="702"/>
        <v>-11.653999999999996</v>
      </c>
      <c r="Z856" s="674">
        <f t="shared" ref="Z856:AA862" si="703">Z793</f>
        <v>-88.111999999999995</v>
      </c>
      <c r="AA856" s="122">
        <f t="shared" si="703"/>
        <v>-16.225000000000001</v>
      </c>
      <c r="AB856" s="122">
        <f t="shared" ref="AB856:AD862" si="704">AB793-AA793</f>
        <v>-9.1089999999999982</v>
      </c>
      <c r="AC856" s="122">
        <f t="shared" si="704"/>
        <v>-22.305000000000003</v>
      </c>
      <c r="AD856" s="122">
        <f t="shared" si="704"/>
        <v>-6.911999999999999</v>
      </c>
      <c r="AE856" s="674">
        <f t="shared" ref="AE856:AF862" si="705">AE793</f>
        <v>-54.551000000000002</v>
      </c>
      <c r="AF856" s="122">
        <f t="shared" si="705"/>
        <v>0</v>
      </c>
      <c r="AG856" s="122">
        <f t="shared" ref="AG856:AI862" si="706">AG793-AF793</f>
        <v>0</v>
      </c>
      <c r="AH856" s="122">
        <f t="shared" si="706"/>
        <v>0</v>
      </c>
      <c r="AI856" s="122">
        <f t="shared" si="706"/>
        <v>-99.001999999999995</v>
      </c>
      <c r="AJ856" s="674">
        <f t="shared" ref="AJ856:AK862" si="707">AJ793</f>
        <v>-99.001999999999995</v>
      </c>
      <c r="AK856" s="122">
        <f t="shared" si="707"/>
        <v>0</v>
      </c>
      <c r="AL856" s="122">
        <f t="shared" ref="AL856:AN862" si="708">AL793-AK793</f>
        <v>0</v>
      </c>
      <c r="AM856" s="122">
        <f t="shared" si="708"/>
        <v>0</v>
      </c>
      <c r="AN856" s="122">
        <f t="shared" si="708"/>
        <v>-553.85799999999995</v>
      </c>
      <c r="AO856" s="674">
        <f t="shared" ref="AO856:AP862" si="709">AO793</f>
        <v>-553.85799999999995</v>
      </c>
      <c r="AP856" s="122">
        <f t="shared" si="709"/>
        <v>0</v>
      </c>
      <c r="AQ856" s="122">
        <f t="shared" ref="AQ856:AS862" si="710">AQ793-AP793</f>
        <v>0</v>
      </c>
      <c r="AR856" s="122">
        <f t="shared" si="710"/>
        <v>-19.994</v>
      </c>
      <c r="AS856" s="122">
        <f t="shared" si="710"/>
        <v>-461.67600000000004</v>
      </c>
      <c r="AT856" s="674">
        <f t="shared" ref="AT856:AU862" si="711">AT793</f>
        <v>-481.67</v>
      </c>
      <c r="AU856" s="122">
        <f t="shared" si="711"/>
        <v>-340.32799999999997</v>
      </c>
      <c r="AV856" s="122">
        <f t="shared" ref="AV856:AX862" si="712">AV793-AU793</f>
        <v>-272.29899999999998</v>
      </c>
      <c r="AW856" s="122">
        <f t="shared" si="712"/>
        <v>-162.08100000000002</v>
      </c>
      <c r="AX856" s="122">
        <f t="shared" si="712"/>
        <v>-214.29200000000003</v>
      </c>
      <c r="AY856" s="674">
        <f t="shared" ref="AY856:AZ862" si="713">AY793</f>
        <v>-989</v>
      </c>
      <c r="AZ856" s="122">
        <f t="shared" si="713"/>
        <v>-226</v>
      </c>
      <c r="BA856" s="122">
        <f t="shared" ref="BA856:BC862" si="714">BA793-AZ793</f>
        <v>-176</v>
      </c>
      <c r="BB856" s="122">
        <f t="shared" si="714"/>
        <v>-18</v>
      </c>
      <c r="BC856" s="122">
        <f t="shared" si="714"/>
        <v>-10</v>
      </c>
      <c r="BD856" s="674">
        <f t="shared" ref="BD856:BE862" si="715">BD793</f>
        <v>-430</v>
      </c>
      <c r="BE856" s="122">
        <f t="shared" si="715"/>
        <v>0</v>
      </c>
      <c r="BF856" s="122">
        <f t="shared" ref="BF856:BH862" si="716">BF793-BE793</f>
        <v>0</v>
      </c>
      <c r="BG856" s="122">
        <f t="shared" si="716"/>
        <v>-4</v>
      </c>
      <c r="BH856" s="122">
        <f t="shared" si="716"/>
        <v>-32</v>
      </c>
      <c r="BI856" s="674">
        <f t="shared" ref="BI856:BJ862" si="717">BI793</f>
        <v>-36</v>
      </c>
      <c r="BJ856" s="1274">
        <f t="shared" si="717"/>
        <v>-36</v>
      </c>
      <c r="BK856" s="118"/>
      <c r="BL856" s="118"/>
      <c r="BM856" s="118"/>
      <c r="BN856" s="401">
        <f t="shared" ref="BN856:BN862" si="718">SUM(BJ856,BK856,BL856,BM856)</f>
        <v>-36</v>
      </c>
      <c r="BO856" s="118"/>
      <c r="BP856" s="118"/>
      <c r="BQ856" s="118"/>
      <c r="BR856" s="118"/>
      <c r="BS856" s="401">
        <f t="shared" ref="BS856:BS862" si="719">SUM(BO856,BP856,BQ856,BR856)</f>
        <v>0</v>
      </c>
      <c r="BT856" s="401"/>
      <c r="BU856" s="401"/>
      <c r="BV856" s="401"/>
      <c r="BW856" s="122"/>
    </row>
    <row r="857" spans="1:75" s="123" customFormat="1" x14ac:dyDescent="0.5">
      <c r="A857" s="464" t="str">
        <f t="shared" si="694"/>
        <v>Sale and maturities of short-term investments</v>
      </c>
      <c r="B857" s="118"/>
      <c r="C857" s="401"/>
      <c r="D857" s="401"/>
      <c r="E857" s="401"/>
      <c r="F857" s="674">
        <f t="shared" si="695"/>
        <v>58.064999999999998</v>
      </c>
      <c r="G857" s="122">
        <f t="shared" si="695"/>
        <v>2.984</v>
      </c>
      <c r="H857" s="122">
        <f t="shared" si="696"/>
        <v>20.012999999999998</v>
      </c>
      <c r="I857" s="122">
        <f t="shared" si="696"/>
        <v>-3.399999999999892E-2</v>
      </c>
      <c r="J857" s="122">
        <f t="shared" si="696"/>
        <v>43.035000000000004</v>
      </c>
      <c r="K857" s="674">
        <f t="shared" si="697"/>
        <v>65.998000000000005</v>
      </c>
      <c r="L857" s="122">
        <f t="shared" si="697"/>
        <v>9.9789999999999992</v>
      </c>
      <c r="M857" s="122">
        <f t="shared" si="698"/>
        <v>40.023000000000003</v>
      </c>
      <c r="N857" s="122">
        <f t="shared" si="698"/>
        <v>9.9619999999999962</v>
      </c>
      <c r="O857" s="122">
        <f t="shared" si="698"/>
        <v>65.055000000000007</v>
      </c>
      <c r="P857" s="674">
        <f t="shared" si="699"/>
        <v>125.01900000000001</v>
      </c>
      <c r="Q857" s="122">
        <f t="shared" si="699"/>
        <v>10</v>
      </c>
      <c r="R857" s="122">
        <f t="shared" si="700"/>
        <v>27</v>
      </c>
      <c r="S857" s="122">
        <f t="shared" si="700"/>
        <v>41.715000000000003</v>
      </c>
      <c r="T857" s="122">
        <f t="shared" si="700"/>
        <v>54.881</v>
      </c>
      <c r="U857" s="674">
        <f t="shared" si="701"/>
        <v>133.596</v>
      </c>
      <c r="V857" s="122">
        <f t="shared" si="701"/>
        <v>29.62</v>
      </c>
      <c r="W857" s="122">
        <f t="shared" si="702"/>
        <v>38.274999999999991</v>
      </c>
      <c r="X857" s="122">
        <f t="shared" si="702"/>
        <v>14.165000000000006</v>
      </c>
      <c r="Y857" s="122">
        <f t="shared" si="702"/>
        <v>37.75</v>
      </c>
      <c r="Z857" s="674">
        <f t="shared" si="703"/>
        <v>119.81</v>
      </c>
      <c r="AA857" s="122">
        <f t="shared" si="703"/>
        <v>18.274999999999999</v>
      </c>
      <c r="AB857" s="122">
        <f t="shared" si="704"/>
        <v>27.759999999999998</v>
      </c>
      <c r="AC857" s="122">
        <f t="shared" si="704"/>
        <v>14.505000000000003</v>
      </c>
      <c r="AD857" s="122">
        <f t="shared" si="704"/>
        <v>10.555</v>
      </c>
      <c r="AE857" s="674">
        <f t="shared" si="705"/>
        <v>71.094999999999999</v>
      </c>
      <c r="AF857" s="122">
        <f t="shared" si="705"/>
        <v>11.39</v>
      </c>
      <c r="AG857" s="122">
        <f t="shared" si="706"/>
        <v>15.256</v>
      </c>
      <c r="AH857" s="122">
        <f t="shared" si="706"/>
        <v>19.308999999999997</v>
      </c>
      <c r="AI857" s="122">
        <f t="shared" si="706"/>
        <v>15.113</v>
      </c>
      <c r="AJ857" s="674">
        <f t="shared" si="707"/>
        <v>61.067999999999998</v>
      </c>
      <c r="AK857" s="122">
        <f t="shared" si="707"/>
        <v>37.936</v>
      </c>
      <c r="AL857" s="122">
        <f t="shared" si="708"/>
        <v>44.228000000000002</v>
      </c>
      <c r="AM857" s="122">
        <f t="shared" si="708"/>
        <v>33.304000000000002</v>
      </c>
      <c r="AN857" s="122">
        <f t="shared" si="708"/>
        <v>0</v>
      </c>
      <c r="AO857" s="674">
        <f t="shared" si="709"/>
        <v>115.468</v>
      </c>
      <c r="AP857" s="122">
        <f t="shared" si="709"/>
        <v>294.81</v>
      </c>
      <c r="AQ857" s="122">
        <f t="shared" si="710"/>
        <v>73.5</v>
      </c>
      <c r="AR857" s="122">
        <f t="shared" si="710"/>
        <v>98</v>
      </c>
      <c r="AS857" s="122">
        <f t="shared" si="710"/>
        <v>113.84300000000002</v>
      </c>
      <c r="AT857" s="674">
        <f t="shared" si="711"/>
        <v>580.15300000000002</v>
      </c>
      <c r="AU857" s="122">
        <f t="shared" si="711"/>
        <v>193.40299999999999</v>
      </c>
      <c r="AV857" s="122">
        <f t="shared" si="712"/>
        <v>356.72799999999995</v>
      </c>
      <c r="AW857" s="122">
        <f t="shared" si="712"/>
        <v>150.96000000000004</v>
      </c>
      <c r="AX857" s="122">
        <f t="shared" si="712"/>
        <v>47.908999999999992</v>
      </c>
      <c r="AY857" s="674">
        <f t="shared" si="713"/>
        <v>749</v>
      </c>
      <c r="AZ857" s="122">
        <f t="shared" si="713"/>
        <v>130</v>
      </c>
      <c r="BA857" s="122">
        <f t="shared" si="714"/>
        <v>317</v>
      </c>
      <c r="BB857" s="122">
        <f t="shared" si="714"/>
        <v>103</v>
      </c>
      <c r="BC857" s="122">
        <f t="shared" si="714"/>
        <v>339</v>
      </c>
      <c r="BD857" s="674">
        <f t="shared" si="715"/>
        <v>889</v>
      </c>
      <c r="BE857" s="122">
        <f t="shared" si="715"/>
        <v>151</v>
      </c>
      <c r="BF857" s="122">
        <f t="shared" si="716"/>
        <v>74</v>
      </c>
      <c r="BG857" s="122">
        <f t="shared" si="716"/>
        <v>4</v>
      </c>
      <c r="BH857" s="122">
        <f t="shared" si="716"/>
        <v>4</v>
      </c>
      <c r="BI857" s="674">
        <f t="shared" si="717"/>
        <v>233</v>
      </c>
      <c r="BJ857" s="1274">
        <f t="shared" si="717"/>
        <v>15</v>
      </c>
      <c r="BK857" s="118"/>
      <c r="BL857" s="118"/>
      <c r="BM857" s="118"/>
      <c r="BN857" s="401">
        <f t="shared" si="718"/>
        <v>15</v>
      </c>
      <c r="BO857" s="118"/>
      <c r="BP857" s="118"/>
      <c r="BQ857" s="118"/>
      <c r="BR857" s="118"/>
      <c r="BS857" s="401">
        <f t="shared" si="719"/>
        <v>0</v>
      </c>
      <c r="BT857" s="401"/>
      <c r="BU857" s="401"/>
      <c r="BV857" s="401"/>
      <c r="BW857" s="122"/>
    </row>
    <row r="858" spans="1:75" s="123" customFormat="1" x14ac:dyDescent="0.5">
      <c r="A858" s="464" t="str">
        <f t="shared" si="694"/>
        <v>Purchase of property and equipment</v>
      </c>
      <c r="B858" s="118"/>
      <c r="C858" s="401"/>
      <c r="D858" s="401"/>
      <c r="E858" s="401"/>
      <c r="F858" s="674">
        <f t="shared" si="695"/>
        <v>-8.0310000000000006</v>
      </c>
      <c r="G858" s="122">
        <f t="shared" si="695"/>
        <v>-2.2360000000000002</v>
      </c>
      <c r="H858" s="122">
        <f t="shared" si="696"/>
        <v>-1.0649999999999999</v>
      </c>
      <c r="I858" s="122">
        <f t="shared" si="696"/>
        <v>-1.1200000000000001</v>
      </c>
      <c r="J858" s="122">
        <f t="shared" si="696"/>
        <v>-2.3179999999999996</v>
      </c>
      <c r="K858" s="674">
        <f t="shared" si="697"/>
        <v>-6.7389999999999999</v>
      </c>
      <c r="L858" s="122">
        <f t="shared" si="697"/>
        <v>-11.356999999999999</v>
      </c>
      <c r="M858" s="122">
        <f t="shared" si="698"/>
        <v>-12.974</v>
      </c>
      <c r="N858" s="122">
        <f t="shared" si="698"/>
        <v>-6.8369999999999997</v>
      </c>
      <c r="O858" s="122">
        <f t="shared" si="698"/>
        <v>-0.68700000000000117</v>
      </c>
      <c r="P858" s="674">
        <f t="shared" si="699"/>
        <v>-31.855</v>
      </c>
      <c r="Q858" s="122">
        <f t="shared" si="699"/>
        <v>-12.051</v>
      </c>
      <c r="R858" s="122">
        <f t="shared" si="700"/>
        <v>-13.153</v>
      </c>
      <c r="S858" s="122">
        <f t="shared" si="700"/>
        <v>-11.491</v>
      </c>
      <c r="T858" s="122">
        <f t="shared" si="700"/>
        <v>-7.953000000000003</v>
      </c>
      <c r="U858" s="674">
        <f t="shared" si="701"/>
        <v>-44.648000000000003</v>
      </c>
      <c r="V858" s="122">
        <f t="shared" si="701"/>
        <v>-23.927</v>
      </c>
      <c r="W858" s="122">
        <f t="shared" si="702"/>
        <v>-37.509</v>
      </c>
      <c r="X858" s="122">
        <f t="shared" si="702"/>
        <v>-20.407999999999994</v>
      </c>
      <c r="Y858" s="122">
        <f t="shared" si="702"/>
        <v>-14.863</v>
      </c>
      <c r="Z858" s="674">
        <f t="shared" si="703"/>
        <v>-96.706999999999994</v>
      </c>
      <c r="AA858" s="122">
        <f t="shared" si="703"/>
        <v>-11.952</v>
      </c>
      <c r="AB858" s="122">
        <f t="shared" si="704"/>
        <v>-33.596000000000004</v>
      </c>
      <c r="AC858" s="122">
        <f t="shared" si="704"/>
        <v>-30.980000000000004</v>
      </c>
      <c r="AD858" s="122">
        <f t="shared" si="704"/>
        <v>-23.922999999999988</v>
      </c>
      <c r="AE858" s="674">
        <f t="shared" si="705"/>
        <v>-100.45099999999999</v>
      </c>
      <c r="AF858" s="122">
        <f t="shared" si="705"/>
        <v>-21.363</v>
      </c>
      <c r="AG858" s="122">
        <f t="shared" si="706"/>
        <v>-39.730000000000004</v>
      </c>
      <c r="AH858" s="122">
        <f t="shared" si="706"/>
        <v>-49.411000000000001</v>
      </c>
      <c r="AI858" s="122">
        <f t="shared" si="706"/>
        <v>-48.701000000000008</v>
      </c>
      <c r="AJ858" s="674">
        <f t="shared" si="707"/>
        <v>-159.20500000000001</v>
      </c>
      <c r="AK858" s="122">
        <f t="shared" si="707"/>
        <v>-60.625999999999998</v>
      </c>
      <c r="AL858" s="122">
        <f t="shared" si="708"/>
        <v>-54.714000000000006</v>
      </c>
      <c r="AM858" s="122">
        <f t="shared" si="708"/>
        <v>-68.627999999999986</v>
      </c>
      <c r="AN858" s="122">
        <f t="shared" si="708"/>
        <v>-87.774000000000029</v>
      </c>
      <c r="AO858" s="674">
        <f t="shared" si="709"/>
        <v>-271.74200000000002</v>
      </c>
      <c r="AP858" s="122">
        <f t="shared" si="709"/>
        <v>-59.963999999999999</v>
      </c>
      <c r="AQ858" s="122">
        <f t="shared" si="710"/>
        <v>-44.846000000000004</v>
      </c>
      <c r="AR858" s="122">
        <f t="shared" si="710"/>
        <v>-41.492999999999995</v>
      </c>
      <c r="AS858" s="122">
        <f t="shared" si="710"/>
        <v>-39.736999999999995</v>
      </c>
      <c r="AT858" s="674">
        <f t="shared" si="711"/>
        <v>-186.04</v>
      </c>
      <c r="AU858" s="122">
        <f t="shared" si="711"/>
        <v>-24.448</v>
      </c>
      <c r="AV858" s="122">
        <f t="shared" si="712"/>
        <v>-24.624000000000002</v>
      </c>
      <c r="AW858" s="122">
        <f t="shared" si="712"/>
        <v>-28.521000000000001</v>
      </c>
      <c r="AX858" s="122">
        <f t="shared" si="712"/>
        <v>-23.406999999999996</v>
      </c>
      <c r="AY858" s="674">
        <f t="shared" si="713"/>
        <v>-101</v>
      </c>
      <c r="AZ858" s="122">
        <f t="shared" si="713"/>
        <v>-40</v>
      </c>
      <c r="BA858" s="122">
        <f t="shared" si="714"/>
        <v>-53</v>
      </c>
      <c r="BB858" s="122">
        <f t="shared" si="714"/>
        <v>-43</v>
      </c>
      <c r="BC858" s="122">
        <f t="shared" si="714"/>
        <v>-50</v>
      </c>
      <c r="BD858" s="674">
        <f t="shared" si="715"/>
        <v>-186</v>
      </c>
      <c r="BE858" s="122">
        <f t="shared" si="715"/>
        <v>-34</v>
      </c>
      <c r="BF858" s="122">
        <f t="shared" si="716"/>
        <v>-37</v>
      </c>
      <c r="BG858" s="122">
        <f t="shared" si="716"/>
        <v>-30</v>
      </c>
      <c r="BH858" s="122">
        <f t="shared" si="716"/>
        <v>-47</v>
      </c>
      <c r="BI858" s="674">
        <f t="shared" si="717"/>
        <v>-148</v>
      </c>
      <c r="BJ858" s="1274">
        <f t="shared" si="717"/>
        <v>-13</v>
      </c>
      <c r="BK858" s="118">
        <f t="shared" ref="BK858:BM859" si="720">BK220</f>
        <v>-40</v>
      </c>
      <c r="BL858" s="118">
        <f t="shared" si="720"/>
        <v>-40</v>
      </c>
      <c r="BM858" s="118">
        <f t="shared" si="720"/>
        <v>-40</v>
      </c>
      <c r="BN858" s="401">
        <f t="shared" si="718"/>
        <v>-133</v>
      </c>
      <c r="BO858" s="118">
        <f t="shared" ref="BO858:BR859" si="721">BO220</f>
        <v>-40</v>
      </c>
      <c r="BP858" s="118">
        <f t="shared" si="721"/>
        <v>-40</v>
      </c>
      <c r="BQ858" s="118">
        <f t="shared" si="721"/>
        <v>-40</v>
      </c>
      <c r="BR858" s="118">
        <f t="shared" si="721"/>
        <v>-40</v>
      </c>
      <c r="BS858" s="401">
        <f t="shared" si="719"/>
        <v>-160</v>
      </c>
      <c r="BT858" s="401">
        <f t="shared" ref="BT858:BV859" si="722">BT220</f>
        <v>-160</v>
      </c>
      <c r="BU858" s="401">
        <f t="shared" si="722"/>
        <v>-160</v>
      </c>
      <c r="BV858" s="401">
        <f t="shared" si="722"/>
        <v>-160</v>
      </c>
      <c r="BW858" s="122"/>
    </row>
    <row r="859" spans="1:75" s="123" customFormat="1" x14ac:dyDescent="0.5">
      <c r="A859" s="464" t="str">
        <f t="shared" si="694"/>
        <v>Site and software development costs</v>
      </c>
      <c r="B859" s="118"/>
      <c r="C859" s="401"/>
      <c r="D859" s="401"/>
      <c r="E859" s="401"/>
      <c r="F859" s="674">
        <f t="shared" si="695"/>
        <v>-6.9489999999999998</v>
      </c>
      <c r="G859" s="122">
        <f t="shared" si="695"/>
        <v>-1.996</v>
      </c>
      <c r="H859" s="122">
        <f t="shared" si="696"/>
        <v>-2.0710000000000002</v>
      </c>
      <c r="I859" s="122">
        <f t="shared" si="696"/>
        <v>-2.3449999999999998</v>
      </c>
      <c r="J859" s="122">
        <f t="shared" si="696"/>
        <v>-2.6279999999999992</v>
      </c>
      <c r="K859" s="674">
        <f t="shared" si="697"/>
        <v>-9.0399999999999991</v>
      </c>
      <c r="L859" s="122">
        <f t="shared" si="697"/>
        <v>-2.7170000000000001</v>
      </c>
      <c r="M859" s="122">
        <f t="shared" si="698"/>
        <v>-3.4309999999999996</v>
      </c>
      <c r="N859" s="122">
        <f t="shared" si="698"/>
        <v>-4.495000000000001</v>
      </c>
      <c r="O859" s="122">
        <f t="shared" si="698"/>
        <v>-3.4870000000000001</v>
      </c>
      <c r="P859" s="674">
        <f t="shared" si="699"/>
        <v>-14.13</v>
      </c>
      <c r="Q859" s="122">
        <f t="shared" si="699"/>
        <v>-4.1150000000000002</v>
      </c>
      <c r="R859" s="122">
        <f t="shared" si="700"/>
        <v>-4.3109999999999999</v>
      </c>
      <c r="S859" s="122">
        <f t="shared" si="700"/>
        <v>-4.6809999999999992</v>
      </c>
      <c r="T859" s="122">
        <f t="shared" si="700"/>
        <v>-4.429000000000002</v>
      </c>
      <c r="U859" s="674">
        <f t="shared" si="701"/>
        <v>-17.536000000000001</v>
      </c>
      <c r="V859" s="122">
        <f t="shared" si="701"/>
        <v>-5.4509999999999996</v>
      </c>
      <c r="W859" s="122">
        <f t="shared" si="702"/>
        <v>-6.8120000000000003</v>
      </c>
      <c r="X859" s="122">
        <f t="shared" si="702"/>
        <v>-9.1809999999999992</v>
      </c>
      <c r="Y859" s="122">
        <f t="shared" si="702"/>
        <v>-9.9350000000000023</v>
      </c>
      <c r="Z859" s="674">
        <f t="shared" si="703"/>
        <v>-31.379000000000001</v>
      </c>
      <c r="AA859" s="122">
        <f t="shared" si="703"/>
        <v>-10.92</v>
      </c>
      <c r="AB859" s="122">
        <f t="shared" si="704"/>
        <v>-11.729999999999999</v>
      </c>
      <c r="AC859" s="122">
        <f t="shared" si="704"/>
        <v>-12.234999999999999</v>
      </c>
      <c r="AD859" s="122">
        <f t="shared" si="704"/>
        <v>-11.542999999999999</v>
      </c>
      <c r="AE859" s="674">
        <f t="shared" si="705"/>
        <v>-46.427999999999997</v>
      </c>
      <c r="AF859" s="122">
        <f t="shared" si="705"/>
        <v>-13.154</v>
      </c>
      <c r="AG859" s="122">
        <f t="shared" si="706"/>
        <v>-15.419</v>
      </c>
      <c r="AH859" s="122">
        <f t="shared" si="706"/>
        <v>-17.195999999999998</v>
      </c>
      <c r="AI859" s="122">
        <f t="shared" si="706"/>
        <v>-16.981000000000002</v>
      </c>
      <c r="AJ859" s="674">
        <f t="shared" si="707"/>
        <v>-62.75</v>
      </c>
      <c r="AK859" s="122">
        <f t="shared" si="707"/>
        <v>-24.843</v>
      </c>
      <c r="AL859" s="122">
        <f t="shared" si="708"/>
        <v>-34.022999999999996</v>
      </c>
      <c r="AM859" s="122">
        <f t="shared" si="708"/>
        <v>-35.831000000000003</v>
      </c>
      <c r="AN859" s="122">
        <f t="shared" si="708"/>
        <v>-34.441000000000003</v>
      </c>
      <c r="AO859" s="674">
        <f t="shared" si="709"/>
        <v>-129.13800000000001</v>
      </c>
      <c r="AP859" s="122">
        <f t="shared" si="709"/>
        <v>-38.369</v>
      </c>
      <c r="AQ859" s="122">
        <f t="shared" si="710"/>
        <v>-36.802999999999997</v>
      </c>
      <c r="AR859" s="122">
        <f t="shared" si="710"/>
        <v>-34.506</v>
      </c>
      <c r="AS859" s="122">
        <f t="shared" si="710"/>
        <v>-38.716000000000008</v>
      </c>
      <c r="AT859" s="674">
        <f t="shared" si="711"/>
        <v>-148.39400000000001</v>
      </c>
      <c r="AU859" s="122">
        <f t="shared" si="711"/>
        <v>-40.957999999999998</v>
      </c>
      <c r="AV859" s="122">
        <f t="shared" si="712"/>
        <v>-43.878</v>
      </c>
      <c r="AW859" s="122">
        <f t="shared" si="712"/>
        <v>-43.797999999999988</v>
      </c>
      <c r="AX859" s="122">
        <f t="shared" si="712"/>
        <v>-50.366000000000014</v>
      </c>
      <c r="AY859" s="674">
        <f t="shared" si="713"/>
        <v>-179</v>
      </c>
      <c r="AZ859" s="122">
        <f t="shared" si="713"/>
        <v>-65</v>
      </c>
      <c r="BA859" s="122">
        <f t="shared" si="714"/>
        <v>-76</v>
      </c>
      <c r="BB859" s="122">
        <f t="shared" si="714"/>
        <v>-64</v>
      </c>
      <c r="BC859" s="122">
        <f t="shared" si="714"/>
        <v>-67</v>
      </c>
      <c r="BD859" s="674">
        <f t="shared" si="715"/>
        <v>-272</v>
      </c>
      <c r="BE859" s="122">
        <f t="shared" si="715"/>
        <v>-53</v>
      </c>
      <c r="BF859" s="122">
        <f t="shared" si="716"/>
        <v>-52</v>
      </c>
      <c r="BG859" s="122">
        <f t="shared" si="716"/>
        <v>-49</v>
      </c>
      <c r="BH859" s="122">
        <f t="shared" si="716"/>
        <v>-49</v>
      </c>
      <c r="BI859" s="674">
        <f t="shared" si="717"/>
        <v>-203</v>
      </c>
      <c r="BJ859" s="1274">
        <f t="shared" si="717"/>
        <v>-41</v>
      </c>
      <c r="BK859" s="118">
        <f t="shared" si="720"/>
        <v>-55</v>
      </c>
      <c r="BL859" s="118">
        <f t="shared" si="720"/>
        <v>-55</v>
      </c>
      <c r="BM859" s="118">
        <f t="shared" si="720"/>
        <v>-55</v>
      </c>
      <c r="BN859" s="401">
        <f t="shared" si="718"/>
        <v>-206</v>
      </c>
      <c r="BO859" s="118">
        <f t="shared" si="721"/>
        <v>-55</v>
      </c>
      <c r="BP859" s="118">
        <f t="shared" si="721"/>
        <v>-55</v>
      </c>
      <c r="BQ859" s="118">
        <f t="shared" si="721"/>
        <v>-55</v>
      </c>
      <c r="BR859" s="118">
        <f t="shared" si="721"/>
        <v>-55</v>
      </c>
      <c r="BS859" s="401">
        <f t="shared" si="719"/>
        <v>-220</v>
      </c>
      <c r="BT859" s="401">
        <f t="shared" si="722"/>
        <v>-220</v>
      </c>
      <c r="BU859" s="401">
        <f t="shared" si="722"/>
        <v>-220</v>
      </c>
      <c r="BV859" s="401">
        <f t="shared" si="722"/>
        <v>-220</v>
      </c>
      <c r="BW859" s="122"/>
    </row>
    <row r="860" spans="1:75" s="123" customFormat="1" x14ac:dyDescent="0.5">
      <c r="A860" s="464" t="str">
        <f t="shared" si="694"/>
        <v>Cash received from the sale of a business (net of cash sold)</v>
      </c>
      <c r="B860" s="118"/>
      <c r="C860" s="401"/>
      <c r="D860" s="401"/>
      <c r="E860" s="401"/>
      <c r="F860" s="674">
        <f t="shared" si="695"/>
        <v>0</v>
      </c>
      <c r="G860" s="122">
        <f t="shared" si="695"/>
        <v>0</v>
      </c>
      <c r="H860" s="122">
        <f t="shared" si="696"/>
        <v>0</v>
      </c>
      <c r="I860" s="122">
        <f t="shared" si="696"/>
        <v>0</v>
      </c>
      <c r="J860" s="122">
        <f t="shared" si="696"/>
        <v>0</v>
      </c>
      <c r="K860" s="674">
        <f t="shared" si="697"/>
        <v>0</v>
      </c>
      <c r="L860" s="122">
        <f t="shared" si="697"/>
        <v>0</v>
      </c>
      <c r="M860" s="122">
        <f t="shared" si="698"/>
        <v>0</v>
      </c>
      <c r="N860" s="122">
        <f t="shared" si="698"/>
        <v>0</v>
      </c>
      <c r="O860" s="122">
        <f t="shared" si="698"/>
        <v>0</v>
      </c>
      <c r="P860" s="674">
        <f t="shared" si="699"/>
        <v>0</v>
      </c>
      <c r="Q860" s="122">
        <f t="shared" si="699"/>
        <v>0</v>
      </c>
      <c r="R860" s="122">
        <f t="shared" si="700"/>
        <v>0</v>
      </c>
      <c r="S860" s="122">
        <f t="shared" si="700"/>
        <v>2.86</v>
      </c>
      <c r="T860" s="122">
        <f t="shared" si="700"/>
        <v>0</v>
      </c>
      <c r="U860" s="674">
        <f t="shared" si="701"/>
        <v>2.86</v>
      </c>
      <c r="V860" s="122">
        <f t="shared" si="701"/>
        <v>0</v>
      </c>
      <c r="W860" s="122">
        <f t="shared" si="702"/>
        <v>0</v>
      </c>
      <c r="X860" s="122">
        <f t="shared" si="702"/>
        <v>1.508</v>
      </c>
      <c r="Y860" s="122">
        <f t="shared" si="702"/>
        <v>0</v>
      </c>
      <c r="Z860" s="674">
        <f t="shared" si="703"/>
        <v>1.508</v>
      </c>
      <c r="AA860" s="122">
        <f t="shared" si="703"/>
        <v>0</v>
      </c>
      <c r="AB860" s="122">
        <f t="shared" si="704"/>
        <v>0</v>
      </c>
      <c r="AC860" s="122">
        <f t="shared" si="704"/>
        <v>0</v>
      </c>
      <c r="AD860" s="122">
        <f t="shared" si="704"/>
        <v>0</v>
      </c>
      <c r="AE860" s="674">
        <f t="shared" si="705"/>
        <v>0</v>
      </c>
      <c r="AF860" s="122">
        <f t="shared" si="705"/>
        <v>0</v>
      </c>
      <c r="AG860" s="122">
        <f t="shared" si="706"/>
        <v>0</v>
      </c>
      <c r="AH860" s="122">
        <f t="shared" si="706"/>
        <v>0</v>
      </c>
      <c r="AI860" s="122">
        <f t="shared" si="706"/>
        <v>0</v>
      </c>
      <c r="AJ860" s="674">
        <f t="shared" si="707"/>
        <v>0</v>
      </c>
      <c r="AK860" s="122">
        <f t="shared" si="707"/>
        <v>0</v>
      </c>
      <c r="AL860" s="122">
        <f t="shared" si="708"/>
        <v>0</v>
      </c>
      <c r="AM860" s="122">
        <f t="shared" si="708"/>
        <v>0</v>
      </c>
      <c r="AN860" s="122">
        <f t="shared" si="708"/>
        <v>0</v>
      </c>
      <c r="AO860" s="674">
        <f t="shared" si="709"/>
        <v>0</v>
      </c>
      <c r="AP860" s="122">
        <f t="shared" si="709"/>
        <v>0</v>
      </c>
      <c r="AQ860" s="122">
        <f t="shared" si="710"/>
        <v>0</v>
      </c>
      <c r="AR860" s="122">
        <f t="shared" si="710"/>
        <v>0</v>
      </c>
      <c r="AS860" s="122">
        <f t="shared" si="710"/>
        <v>0</v>
      </c>
      <c r="AT860" s="674">
        <f t="shared" si="711"/>
        <v>0</v>
      </c>
      <c r="AU860" s="122">
        <f t="shared" si="711"/>
        <v>0</v>
      </c>
      <c r="AV860" s="122">
        <f t="shared" si="712"/>
        <v>0</v>
      </c>
      <c r="AW860" s="122">
        <f t="shared" si="712"/>
        <v>0</v>
      </c>
      <c r="AX860" s="122">
        <f t="shared" si="712"/>
        <v>0</v>
      </c>
      <c r="AY860" s="674">
        <f t="shared" si="713"/>
        <v>0</v>
      </c>
      <c r="AZ860" s="122">
        <f t="shared" si="713"/>
        <v>0</v>
      </c>
      <c r="BA860" s="122">
        <f t="shared" si="714"/>
        <v>0</v>
      </c>
      <c r="BB860" s="122">
        <f t="shared" si="714"/>
        <v>0</v>
      </c>
      <c r="BC860" s="122">
        <f t="shared" si="714"/>
        <v>0</v>
      </c>
      <c r="BD860" s="674">
        <f t="shared" si="715"/>
        <v>0</v>
      </c>
      <c r="BE860" s="122">
        <f t="shared" si="715"/>
        <v>0</v>
      </c>
      <c r="BF860" s="122">
        <f t="shared" si="716"/>
        <v>0</v>
      </c>
      <c r="BG860" s="122">
        <f t="shared" si="716"/>
        <v>0</v>
      </c>
      <c r="BH860" s="122">
        <f t="shared" si="716"/>
        <v>0</v>
      </c>
      <c r="BI860" s="674">
        <f t="shared" si="717"/>
        <v>0</v>
      </c>
      <c r="BJ860" s="1274">
        <f t="shared" si="717"/>
        <v>0</v>
      </c>
      <c r="BK860" s="118">
        <f>BK705</f>
        <v>0</v>
      </c>
      <c r="BL860" s="118">
        <f>BL705</f>
        <v>0</v>
      </c>
      <c r="BM860" s="118">
        <f>BM705</f>
        <v>0</v>
      </c>
      <c r="BN860" s="401">
        <f t="shared" si="718"/>
        <v>0</v>
      </c>
      <c r="BO860" s="118">
        <f>BO705</f>
        <v>0</v>
      </c>
      <c r="BP860" s="118">
        <f>BP705</f>
        <v>0</v>
      </c>
      <c r="BQ860" s="118">
        <f>BQ705</f>
        <v>0</v>
      </c>
      <c r="BR860" s="118">
        <f>BR705</f>
        <v>0</v>
      </c>
      <c r="BS860" s="401">
        <f t="shared" si="719"/>
        <v>0</v>
      </c>
      <c r="BT860" s="401">
        <f>BT705</f>
        <v>0</v>
      </c>
      <c r="BU860" s="401">
        <f>BU705</f>
        <v>0</v>
      </c>
      <c r="BV860" s="401">
        <f>BV705</f>
        <v>0</v>
      </c>
      <c r="BW860" s="122"/>
    </row>
    <row r="861" spans="1:75" s="123" customFormat="1" x14ac:dyDescent="0.5">
      <c r="A861" s="464" t="str">
        <f t="shared" si="694"/>
        <v>Cash paid for acquisition</v>
      </c>
      <c r="B861" s="118"/>
      <c r="C861" s="401"/>
      <c r="D861" s="401"/>
      <c r="E861" s="401"/>
      <c r="F861" s="674">
        <f t="shared" si="695"/>
        <v>0</v>
      </c>
      <c r="G861" s="122">
        <f t="shared" si="695"/>
        <v>0</v>
      </c>
      <c r="H861" s="122">
        <f t="shared" si="696"/>
        <v>0</v>
      </c>
      <c r="I861" s="122">
        <f t="shared" si="696"/>
        <v>-3.7410000000000001</v>
      </c>
      <c r="J861" s="122">
        <f t="shared" si="696"/>
        <v>0</v>
      </c>
      <c r="K861" s="674">
        <f t="shared" si="697"/>
        <v>-3.7410000000000001</v>
      </c>
      <c r="L861" s="122">
        <f t="shared" si="697"/>
        <v>0</v>
      </c>
      <c r="M861" s="122">
        <f t="shared" si="698"/>
        <v>0</v>
      </c>
      <c r="N861" s="122">
        <f t="shared" si="698"/>
        <v>0</v>
      </c>
      <c r="O861" s="122">
        <f t="shared" si="698"/>
        <v>0</v>
      </c>
      <c r="P861" s="674">
        <f t="shared" si="699"/>
        <v>0</v>
      </c>
      <c r="Q861" s="122">
        <f t="shared" si="699"/>
        <v>0</v>
      </c>
      <c r="R861" s="122">
        <f t="shared" si="700"/>
        <v>0</v>
      </c>
      <c r="S861" s="122">
        <f t="shared" si="700"/>
        <v>0</v>
      </c>
      <c r="T861" s="122">
        <f t="shared" si="700"/>
        <v>0</v>
      </c>
      <c r="U861" s="674">
        <f t="shared" si="701"/>
        <v>0</v>
      </c>
      <c r="V861" s="122">
        <f t="shared" si="701"/>
        <v>0</v>
      </c>
      <c r="W861" s="122">
        <f t="shared" si="702"/>
        <v>0</v>
      </c>
      <c r="X861" s="122">
        <f t="shared" si="702"/>
        <v>0</v>
      </c>
      <c r="Y861" s="122">
        <f t="shared" si="702"/>
        <v>0</v>
      </c>
      <c r="Z861" s="674">
        <f t="shared" si="703"/>
        <v>0</v>
      </c>
      <c r="AA861" s="122">
        <f t="shared" si="703"/>
        <v>0</v>
      </c>
      <c r="AB861" s="122">
        <f t="shared" si="704"/>
        <v>0</v>
      </c>
      <c r="AC861" s="122">
        <f t="shared" si="704"/>
        <v>0</v>
      </c>
      <c r="AD861" s="122">
        <f t="shared" si="704"/>
        <v>0</v>
      </c>
      <c r="AE861" s="674">
        <f t="shared" si="705"/>
        <v>0</v>
      </c>
      <c r="AF861" s="122">
        <f t="shared" si="705"/>
        <v>0</v>
      </c>
      <c r="AG861" s="122">
        <f t="shared" si="706"/>
        <v>0</v>
      </c>
      <c r="AH861" s="122">
        <f t="shared" si="706"/>
        <v>0</v>
      </c>
      <c r="AI861" s="122">
        <f t="shared" si="706"/>
        <v>0</v>
      </c>
      <c r="AJ861" s="674">
        <f t="shared" si="707"/>
        <v>0</v>
      </c>
      <c r="AK861" s="122">
        <f t="shared" si="707"/>
        <v>0</v>
      </c>
      <c r="AL861" s="122">
        <f t="shared" si="708"/>
        <v>0</v>
      </c>
      <c r="AM861" s="122">
        <f t="shared" si="708"/>
        <v>0</v>
      </c>
      <c r="AN861" s="122">
        <f t="shared" si="708"/>
        <v>0</v>
      </c>
      <c r="AO861" s="674">
        <f t="shared" si="709"/>
        <v>0</v>
      </c>
      <c r="AP861" s="122">
        <f t="shared" si="709"/>
        <v>0</v>
      </c>
      <c r="AQ861" s="122">
        <f t="shared" si="710"/>
        <v>0</v>
      </c>
      <c r="AR861" s="122">
        <f t="shared" si="710"/>
        <v>0</v>
      </c>
      <c r="AS861" s="122">
        <f t="shared" si="710"/>
        <v>0</v>
      </c>
      <c r="AT861" s="674">
        <f t="shared" si="711"/>
        <v>0</v>
      </c>
      <c r="AU861" s="122">
        <f t="shared" si="711"/>
        <v>0</v>
      </c>
      <c r="AV861" s="122">
        <f t="shared" si="712"/>
        <v>0</v>
      </c>
      <c r="AW861" s="122">
        <f t="shared" si="712"/>
        <v>0</v>
      </c>
      <c r="AX861" s="122">
        <f t="shared" si="712"/>
        <v>0</v>
      </c>
      <c r="AY861" s="674">
        <f t="shared" si="713"/>
        <v>0</v>
      </c>
      <c r="AZ861" s="122">
        <f t="shared" si="713"/>
        <v>0</v>
      </c>
      <c r="BA861" s="122">
        <f t="shared" si="714"/>
        <v>0</v>
      </c>
      <c r="BB861" s="122">
        <f t="shared" si="714"/>
        <v>0</v>
      </c>
      <c r="BC861" s="122">
        <f t="shared" si="714"/>
        <v>0</v>
      </c>
      <c r="BD861" s="674">
        <f t="shared" si="715"/>
        <v>0</v>
      </c>
      <c r="BE861" s="122">
        <f t="shared" si="715"/>
        <v>0</v>
      </c>
      <c r="BF861" s="122">
        <f t="shared" si="716"/>
        <v>0</v>
      </c>
      <c r="BG861" s="122">
        <f t="shared" si="716"/>
        <v>0</v>
      </c>
      <c r="BH861" s="122">
        <f t="shared" si="716"/>
        <v>0</v>
      </c>
      <c r="BI861" s="674">
        <f t="shared" si="717"/>
        <v>0</v>
      </c>
      <c r="BJ861" s="1274">
        <f t="shared" si="717"/>
        <v>0</v>
      </c>
      <c r="BK861" s="118">
        <f>BK704</f>
        <v>0</v>
      </c>
      <c r="BL861" s="118">
        <f>BL704</f>
        <v>0</v>
      </c>
      <c r="BM861" s="118">
        <f>BM704</f>
        <v>0</v>
      </c>
      <c r="BN861" s="401">
        <f t="shared" si="718"/>
        <v>0</v>
      </c>
      <c r="BO861" s="118">
        <f>BO704</f>
        <v>0</v>
      </c>
      <c r="BP861" s="118">
        <f>BP704</f>
        <v>0</v>
      </c>
      <c r="BQ861" s="118">
        <f>BQ704</f>
        <v>0</v>
      </c>
      <c r="BR861" s="118">
        <f>BR704</f>
        <v>0</v>
      </c>
      <c r="BS861" s="401">
        <f t="shared" si="719"/>
        <v>0</v>
      </c>
      <c r="BT861" s="401">
        <f>BT704</f>
        <v>0</v>
      </c>
      <c r="BU861" s="401">
        <f>BU704</f>
        <v>0</v>
      </c>
      <c r="BV861" s="401">
        <f>BV704</f>
        <v>0</v>
      </c>
      <c r="BW861" s="122"/>
    </row>
    <row r="862" spans="1:75" s="123" customFormat="1" x14ac:dyDescent="0.5">
      <c r="A862" s="1292" t="str">
        <f t="shared" si="694"/>
        <v>Other investing activities, net</v>
      </c>
      <c r="B862" s="723"/>
      <c r="C862" s="406"/>
      <c r="D862" s="406"/>
      <c r="E862" s="406"/>
      <c r="F862" s="1293">
        <f t="shared" si="695"/>
        <v>-0.1</v>
      </c>
      <c r="G862" s="431">
        <f t="shared" si="695"/>
        <v>0</v>
      </c>
      <c r="H862" s="431">
        <f t="shared" si="696"/>
        <v>0</v>
      </c>
      <c r="I862" s="431">
        <f t="shared" si="696"/>
        <v>-8.5999999999999993E-2</v>
      </c>
      <c r="J862" s="431">
        <f t="shared" si="696"/>
        <v>-0.38300000000000001</v>
      </c>
      <c r="K862" s="1293">
        <f t="shared" si="697"/>
        <v>-0.46899999999999997</v>
      </c>
      <c r="L862" s="431">
        <f t="shared" si="697"/>
        <v>-3.407</v>
      </c>
      <c r="M862" s="431">
        <f t="shared" si="698"/>
        <v>0.39500000000000002</v>
      </c>
      <c r="N862" s="431">
        <f t="shared" si="698"/>
        <v>-3.0000000000001137E-3</v>
      </c>
      <c r="O862" s="431">
        <f t="shared" si="698"/>
        <v>3.5460000000000003</v>
      </c>
      <c r="P862" s="1293">
        <f t="shared" si="699"/>
        <v>0.53100000000000003</v>
      </c>
      <c r="Q862" s="431">
        <f t="shared" si="699"/>
        <v>0.30199999999999999</v>
      </c>
      <c r="R862" s="431">
        <f t="shared" si="700"/>
        <v>0</v>
      </c>
      <c r="S862" s="431">
        <f t="shared" si="700"/>
        <v>0</v>
      </c>
      <c r="T862" s="431">
        <f t="shared" si="700"/>
        <v>-4.9989999999999997</v>
      </c>
      <c r="U862" s="1293">
        <f t="shared" si="701"/>
        <v>-4.6970000000000001</v>
      </c>
      <c r="V862" s="431">
        <f t="shared" si="701"/>
        <v>0</v>
      </c>
      <c r="W862" s="431">
        <f t="shared" si="702"/>
        <v>0</v>
      </c>
      <c r="X862" s="431">
        <f t="shared" si="702"/>
        <v>-1</v>
      </c>
      <c r="Y862" s="431">
        <f t="shared" si="702"/>
        <v>0</v>
      </c>
      <c r="Z862" s="1293">
        <f t="shared" si="703"/>
        <v>-1</v>
      </c>
      <c r="AA862" s="431">
        <f t="shared" si="703"/>
        <v>0</v>
      </c>
      <c r="AB862" s="431">
        <f t="shared" si="704"/>
        <v>0</v>
      </c>
      <c r="AC862" s="431">
        <f t="shared" si="704"/>
        <v>0</v>
      </c>
      <c r="AD862" s="431">
        <f t="shared" si="704"/>
        <v>0</v>
      </c>
      <c r="AE862" s="1293">
        <f t="shared" si="705"/>
        <v>0</v>
      </c>
      <c r="AF862" s="431">
        <f t="shared" si="705"/>
        <v>-0.26700000000000002</v>
      </c>
      <c r="AG862" s="431">
        <f t="shared" si="706"/>
        <v>0</v>
      </c>
      <c r="AH862" s="431">
        <f t="shared" si="706"/>
        <v>-0.13200000000000001</v>
      </c>
      <c r="AI862" s="431">
        <f t="shared" si="706"/>
        <v>1.0000000000000009E-3</v>
      </c>
      <c r="AJ862" s="1293">
        <f t="shared" si="707"/>
        <v>-0.39800000000000002</v>
      </c>
      <c r="AK862" s="431">
        <f t="shared" si="707"/>
        <v>2.8380000000000001</v>
      </c>
      <c r="AL862" s="431">
        <f t="shared" si="708"/>
        <v>-6.4999999999999947E-2</v>
      </c>
      <c r="AM862" s="431">
        <f t="shared" si="708"/>
        <v>-18.75</v>
      </c>
      <c r="AN862" s="431">
        <f t="shared" si="708"/>
        <v>0.41000000000000014</v>
      </c>
      <c r="AO862" s="1293">
        <f t="shared" si="709"/>
        <v>-15.567</v>
      </c>
      <c r="AP862" s="431">
        <f t="shared" si="709"/>
        <v>-0.124</v>
      </c>
      <c r="AQ862" s="431">
        <f t="shared" si="710"/>
        <v>0</v>
      </c>
      <c r="AR862" s="431">
        <f t="shared" si="710"/>
        <v>0</v>
      </c>
      <c r="AS862" s="431">
        <f t="shared" si="710"/>
        <v>0</v>
      </c>
      <c r="AT862" s="1293">
        <f t="shared" si="711"/>
        <v>-0.124</v>
      </c>
      <c r="AU862" s="431">
        <f t="shared" si="711"/>
        <v>0</v>
      </c>
      <c r="AV862" s="431">
        <f t="shared" si="712"/>
        <v>0</v>
      </c>
      <c r="AW862" s="431">
        <f t="shared" si="712"/>
        <v>5.2</v>
      </c>
      <c r="AX862" s="431">
        <f t="shared" si="712"/>
        <v>-0.20000000000000018</v>
      </c>
      <c r="AY862" s="1293">
        <f t="shared" si="713"/>
        <v>5</v>
      </c>
      <c r="AZ862" s="431">
        <f t="shared" si="713"/>
        <v>0</v>
      </c>
      <c r="BA862" s="431">
        <f t="shared" si="714"/>
        <v>0</v>
      </c>
      <c r="BB862" s="431">
        <f t="shared" si="714"/>
        <v>0</v>
      </c>
      <c r="BC862" s="431">
        <f t="shared" si="714"/>
        <v>0</v>
      </c>
      <c r="BD862" s="1293">
        <f t="shared" si="715"/>
        <v>0</v>
      </c>
      <c r="BE862" s="431">
        <f t="shared" si="715"/>
        <v>0</v>
      </c>
      <c r="BF862" s="431">
        <f t="shared" si="716"/>
        <v>0</v>
      </c>
      <c r="BG862" s="431">
        <f t="shared" si="716"/>
        <v>0</v>
      </c>
      <c r="BH862" s="431">
        <f t="shared" si="716"/>
        <v>2</v>
      </c>
      <c r="BI862" s="1293">
        <f t="shared" si="717"/>
        <v>2</v>
      </c>
      <c r="BJ862" s="1294">
        <f t="shared" si="717"/>
        <v>0</v>
      </c>
      <c r="BK862" s="723"/>
      <c r="BL862" s="723"/>
      <c r="BM862" s="723"/>
      <c r="BN862" s="406">
        <f t="shared" si="718"/>
        <v>0</v>
      </c>
      <c r="BO862" s="723"/>
      <c r="BP862" s="723"/>
      <c r="BQ862" s="723"/>
      <c r="BR862" s="723"/>
      <c r="BS862" s="406">
        <f t="shared" si="719"/>
        <v>0</v>
      </c>
      <c r="BT862" s="406"/>
      <c r="BU862" s="406"/>
      <c r="BV862" s="406"/>
      <c r="BW862" s="122"/>
    </row>
    <row r="863" spans="1:75" s="123" customFormat="1" x14ac:dyDescent="0.5">
      <c r="A863" s="516" t="str">
        <f t="shared" si="694"/>
        <v>Net CFI</v>
      </c>
      <c r="B863" s="517"/>
      <c r="C863" s="518"/>
      <c r="D863" s="518"/>
      <c r="E863" s="518"/>
      <c r="F863" s="519">
        <f t="shared" ref="F863:BQ863" si="723">SUM(F856:F862)</f>
        <v>-23.08</v>
      </c>
      <c r="G863" s="520">
        <f t="shared" si="723"/>
        <v>-1.2480000000000002</v>
      </c>
      <c r="H863" s="520">
        <f t="shared" si="723"/>
        <v>-23.123000000000005</v>
      </c>
      <c r="I863" s="520">
        <f t="shared" si="723"/>
        <v>-7.3259999999999987</v>
      </c>
      <c r="J863" s="520">
        <f t="shared" si="723"/>
        <v>-15.293999999999993</v>
      </c>
      <c r="K863" s="519">
        <f t="shared" si="723"/>
        <v>-46.990999999999993</v>
      </c>
      <c r="L863" s="520">
        <f t="shared" si="723"/>
        <v>-17.502000000000002</v>
      </c>
      <c r="M863" s="520">
        <f t="shared" si="723"/>
        <v>-30.986999999999998</v>
      </c>
      <c r="N863" s="520">
        <f t="shared" si="723"/>
        <v>-46.373000000000005</v>
      </c>
      <c r="O863" s="520">
        <f t="shared" si="723"/>
        <v>39.427000000000007</v>
      </c>
      <c r="P863" s="519">
        <f t="shared" si="723"/>
        <v>-55.435000000000002</v>
      </c>
      <c r="Q863" s="520">
        <f t="shared" si="723"/>
        <v>-110.09699999999999</v>
      </c>
      <c r="R863" s="520">
        <f t="shared" si="723"/>
        <v>5.4579999999999966</v>
      </c>
      <c r="S863" s="520">
        <f t="shared" si="723"/>
        <v>-4.5949999999999864</v>
      </c>
      <c r="T863" s="520">
        <f t="shared" si="723"/>
        <v>-28.494000000000003</v>
      </c>
      <c r="U863" s="519">
        <f t="shared" si="723"/>
        <v>-137.72799999999998</v>
      </c>
      <c r="V863" s="520">
        <f t="shared" si="723"/>
        <v>-28.247</v>
      </c>
      <c r="W863" s="520">
        <f t="shared" si="723"/>
        <v>-46.612000000000009</v>
      </c>
      <c r="X863" s="520">
        <f t="shared" si="723"/>
        <v>-22.318999999999978</v>
      </c>
      <c r="Y863" s="520">
        <f t="shared" si="723"/>
        <v>1.2980000000000018</v>
      </c>
      <c r="Z863" s="519">
        <f t="shared" si="723"/>
        <v>-95.88</v>
      </c>
      <c r="AA863" s="520">
        <f t="shared" si="723"/>
        <v>-20.822000000000003</v>
      </c>
      <c r="AB863" s="520">
        <f t="shared" si="723"/>
        <v>-26.675000000000004</v>
      </c>
      <c r="AC863" s="520">
        <f t="shared" si="723"/>
        <v>-51.015000000000001</v>
      </c>
      <c r="AD863" s="520">
        <f t="shared" si="723"/>
        <v>-31.822999999999986</v>
      </c>
      <c r="AE863" s="519">
        <f t="shared" si="723"/>
        <v>-130.33499999999998</v>
      </c>
      <c r="AF863" s="520">
        <f t="shared" si="723"/>
        <v>-23.393999999999998</v>
      </c>
      <c r="AG863" s="520">
        <f t="shared" si="723"/>
        <v>-39.893000000000001</v>
      </c>
      <c r="AH863" s="520">
        <f t="shared" si="723"/>
        <v>-47.43</v>
      </c>
      <c r="AI863" s="520">
        <f t="shared" si="723"/>
        <v>-149.57</v>
      </c>
      <c r="AJ863" s="519">
        <f t="shared" si="723"/>
        <v>-260.28700000000003</v>
      </c>
      <c r="AK863" s="520">
        <f t="shared" si="723"/>
        <v>-44.695</v>
      </c>
      <c r="AL863" s="520">
        <f t="shared" si="723"/>
        <v>-44.573999999999998</v>
      </c>
      <c r="AM863" s="520">
        <f t="shared" si="723"/>
        <v>-89.904999999999987</v>
      </c>
      <c r="AN863" s="520">
        <f t="shared" si="723"/>
        <v>-675.66300000000001</v>
      </c>
      <c r="AO863" s="519">
        <f t="shared" si="723"/>
        <v>-854.83699999999999</v>
      </c>
      <c r="AP863" s="520">
        <f t="shared" si="723"/>
        <v>196.35300000000001</v>
      </c>
      <c r="AQ863" s="520">
        <f t="shared" si="723"/>
        <v>-8.1490000000000009</v>
      </c>
      <c r="AR863" s="520">
        <f t="shared" si="723"/>
        <v>2.007000000000005</v>
      </c>
      <c r="AS863" s="520">
        <f t="shared" si="723"/>
        <v>-426.28600000000006</v>
      </c>
      <c r="AT863" s="519">
        <f t="shared" si="723"/>
        <v>-236.07499999999999</v>
      </c>
      <c r="AU863" s="520">
        <f t="shared" si="723"/>
        <v>-212.33099999999999</v>
      </c>
      <c r="AV863" s="520">
        <f t="shared" si="723"/>
        <v>15.926999999999971</v>
      </c>
      <c r="AW863" s="520">
        <f t="shared" si="723"/>
        <v>-78.239999999999966</v>
      </c>
      <c r="AX863" s="520">
        <f t="shared" si="723"/>
        <v>-240.35600000000002</v>
      </c>
      <c r="AY863" s="519">
        <f t="shared" si="723"/>
        <v>-515</v>
      </c>
      <c r="AZ863" s="520">
        <f t="shared" si="723"/>
        <v>-201</v>
      </c>
      <c r="BA863" s="520">
        <f t="shared" si="723"/>
        <v>12</v>
      </c>
      <c r="BB863" s="520">
        <f t="shared" si="723"/>
        <v>-22</v>
      </c>
      <c r="BC863" s="520">
        <f t="shared" si="723"/>
        <v>212</v>
      </c>
      <c r="BD863" s="519">
        <f t="shared" si="723"/>
        <v>1</v>
      </c>
      <c r="BE863" s="520">
        <f t="shared" si="723"/>
        <v>64</v>
      </c>
      <c r="BF863" s="520">
        <f t="shared" si="723"/>
        <v>-15</v>
      </c>
      <c r="BG863" s="520">
        <f t="shared" si="723"/>
        <v>-79</v>
      </c>
      <c r="BH863" s="520">
        <f t="shared" si="723"/>
        <v>-122</v>
      </c>
      <c r="BI863" s="519">
        <f t="shared" si="723"/>
        <v>-152</v>
      </c>
      <c r="BJ863" s="1270">
        <f>SUM(BJ856:BJ862)</f>
        <v>-75</v>
      </c>
      <c r="BK863" s="327">
        <f t="shared" si="723"/>
        <v>-95</v>
      </c>
      <c r="BL863" s="327">
        <f t="shared" si="723"/>
        <v>-95</v>
      </c>
      <c r="BM863" s="327">
        <f t="shared" si="723"/>
        <v>-95</v>
      </c>
      <c r="BN863" s="518">
        <f t="shared" si="723"/>
        <v>-360</v>
      </c>
      <c r="BO863" s="327">
        <f t="shared" si="723"/>
        <v>-95</v>
      </c>
      <c r="BP863" s="327">
        <f t="shared" si="723"/>
        <v>-95</v>
      </c>
      <c r="BQ863" s="327">
        <f t="shared" si="723"/>
        <v>-95</v>
      </c>
      <c r="BR863" s="327">
        <f t="shared" ref="BR863:BY863" si="724">SUM(BR856:BR862)</f>
        <v>-95</v>
      </c>
      <c r="BS863" s="518">
        <f t="shared" si="724"/>
        <v>-380</v>
      </c>
      <c r="BT863" s="518">
        <f t="shared" si="724"/>
        <v>-380</v>
      </c>
      <c r="BU863" s="518">
        <f t="shared" si="724"/>
        <v>-380</v>
      </c>
      <c r="BV863" s="518">
        <f t="shared" si="724"/>
        <v>-380</v>
      </c>
      <c r="BW863" s="197"/>
    </row>
    <row r="864" spans="1:75" s="123" customFormat="1" x14ac:dyDescent="0.5">
      <c r="A864" s="206"/>
      <c r="B864" s="522"/>
      <c r="C864" s="397"/>
      <c r="D864" s="397"/>
      <c r="E864" s="397"/>
      <c r="F864" s="397"/>
      <c r="G864" s="295"/>
      <c r="H864" s="295"/>
      <c r="I864" s="295"/>
      <c r="J864" s="295"/>
      <c r="K864" s="397"/>
      <c r="L864" s="295"/>
      <c r="M864" s="295"/>
      <c r="N864" s="295"/>
      <c r="O864" s="295"/>
      <c r="P864" s="397"/>
      <c r="Q864" s="295"/>
      <c r="R864" s="295"/>
      <c r="S864" s="295"/>
      <c r="T864" s="295"/>
      <c r="U864" s="397"/>
      <c r="V864" s="295"/>
      <c r="W864" s="295"/>
      <c r="X864" s="295"/>
      <c r="Y864" s="295"/>
      <c r="Z864" s="397"/>
      <c r="AA864" s="295"/>
      <c r="AB864" s="295"/>
      <c r="AC864" s="295"/>
      <c r="AD864" s="295"/>
      <c r="AE864" s="397"/>
      <c r="AF864" s="295"/>
      <c r="AG864" s="295"/>
      <c r="AH864" s="295"/>
      <c r="AI864" s="295"/>
      <c r="AJ864" s="397"/>
      <c r="AK864" s="295"/>
      <c r="AL864" s="295"/>
      <c r="AM864" s="295"/>
      <c r="AN864" s="295"/>
      <c r="AO864" s="397"/>
      <c r="AP864" s="295"/>
      <c r="AQ864" s="295"/>
      <c r="AR864" s="295"/>
      <c r="AS864" s="295"/>
      <c r="AT864" s="397"/>
      <c r="AU864" s="295"/>
      <c r="AV864" s="295"/>
      <c r="AW864" s="295"/>
      <c r="AX864" s="295"/>
      <c r="AY864" s="397"/>
      <c r="AZ864" s="295"/>
      <c r="BA864" s="295"/>
      <c r="BB864" s="295"/>
      <c r="BC864" s="295"/>
      <c r="BD864" s="397"/>
      <c r="BE864" s="295"/>
      <c r="BF864" s="295"/>
      <c r="BG864" s="295"/>
      <c r="BH864" s="295"/>
      <c r="BI864" s="397"/>
      <c r="BJ864" s="1030"/>
      <c r="BK864" s="295"/>
      <c r="BL864" s="295"/>
      <c r="BM864" s="295"/>
      <c r="BN864" s="397"/>
      <c r="BO864" s="295"/>
      <c r="BP864" s="295"/>
      <c r="BQ864" s="295"/>
      <c r="BR864" s="295"/>
      <c r="BS864" s="397"/>
      <c r="BT864" s="397"/>
      <c r="BU864" s="397"/>
      <c r="BV864" s="397"/>
      <c r="BW864" s="197"/>
    </row>
    <row r="865" spans="1:75" s="123" customFormat="1" x14ac:dyDescent="0.5">
      <c r="A865" s="463" t="str">
        <f>A802</f>
        <v>CFF</v>
      </c>
      <c r="B865" s="522"/>
      <c r="C865" s="397"/>
      <c r="D865" s="397"/>
      <c r="E865" s="397"/>
      <c r="F865" s="397"/>
      <c r="G865" s="295"/>
      <c r="H865" s="295"/>
      <c r="I865" s="295"/>
      <c r="J865" s="295"/>
      <c r="K865" s="397"/>
      <c r="L865" s="295"/>
      <c r="M865" s="295"/>
      <c r="N865" s="295"/>
      <c r="O865" s="295"/>
      <c r="P865" s="397"/>
      <c r="Q865" s="295"/>
      <c r="R865" s="295"/>
      <c r="S865" s="295"/>
      <c r="T865" s="295"/>
      <c r="U865" s="397"/>
      <c r="V865" s="295"/>
      <c r="W865" s="295"/>
      <c r="X865" s="295"/>
      <c r="Y865" s="295"/>
      <c r="Z865" s="397"/>
      <c r="AA865" s="295"/>
      <c r="AB865" s="295"/>
      <c r="AC865" s="295"/>
      <c r="AD865" s="295"/>
      <c r="AE865" s="397"/>
      <c r="AF865" s="295"/>
      <c r="AG865" s="295"/>
      <c r="AH865" s="295"/>
      <c r="AI865" s="295"/>
      <c r="AJ865" s="397"/>
      <c r="AK865" s="295"/>
      <c r="AL865" s="295"/>
      <c r="AM865" s="295"/>
      <c r="AN865" s="295"/>
      <c r="AO865" s="397"/>
      <c r="AP865" s="295"/>
      <c r="AQ865" s="295"/>
      <c r="AR865" s="295"/>
      <c r="AS865" s="295"/>
      <c r="AT865" s="397"/>
      <c r="AU865" s="295"/>
      <c r="AV865" s="295"/>
      <c r="AW865" s="295"/>
      <c r="AX865" s="295"/>
      <c r="AY865" s="397"/>
      <c r="AZ865" s="295"/>
      <c r="BA865" s="295"/>
      <c r="BB865" s="295"/>
      <c r="BC865" s="295"/>
      <c r="BD865" s="397"/>
      <c r="BE865" s="295"/>
      <c r="BF865" s="295"/>
      <c r="BG865" s="295"/>
      <c r="BH865" s="295"/>
      <c r="BI865" s="397"/>
      <c r="BJ865" s="1030"/>
      <c r="BK865" s="295"/>
      <c r="BL865" s="295"/>
      <c r="BM865" s="295"/>
      <c r="BN865" s="397"/>
      <c r="BO865" s="295"/>
      <c r="BP865" s="295"/>
      <c r="BQ865" s="295"/>
      <c r="BR865" s="295"/>
      <c r="BS865" s="397"/>
      <c r="BT865" s="397"/>
      <c r="BU865" s="397"/>
      <c r="BV865" s="397"/>
      <c r="BW865" s="197"/>
    </row>
    <row r="866" spans="1:75" s="123" customFormat="1" x14ac:dyDescent="0.5">
      <c r="A866" s="464" t="str">
        <f>A803</f>
        <v>Taxes paid related to net share settlement of equity awards</v>
      </c>
      <c r="B866" s="118"/>
      <c r="C866" s="401"/>
      <c r="D866" s="401"/>
      <c r="E866" s="401"/>
      <c r="F866" s="674">
        <f t="shared" ref="F866:G881" si="725">F803</f>
        <v>0</v>
      </c>
      <c r="G866" s="122">
        <f t="shared" si="725"/>
        <v>0</v>
      </c>
      <c r="H866" s="122">
        <f t="shared" ref="H866:J881" si="726">H803-G803</f>
        <v>0</v>
      </c>
      <c r="I866" s="122">
        <f t="shared" si="726"/>
        <v>0</v>
      </c>
      <c r="J866" s="122">
        <f t="shared" si="726"/>
        <v>0</v>
      </c>
      <c r="K866" s="674">
        <f t="shared" ref="K866:L881" si="727">K803</f>
        <v>0</v>
      </c>
      <c r="L866" s="122">
        <f t="shared" si="727"/>
        <v>0</v>
      </c>
      <c r="M866" s="122">
        <f t="shared" ref="M866:O881" si="728">M803-L803</f>
        <v>0</v>
      </c>
      <c r="N866" s="122">
        <f t="shared" si="728"/>
        <v>0</v>
      </c>
      <c r="O866" s="122">
        <f t="shared" si="728"/>
        <v>-27.984999999999999</v>
      </c>
      <c r="P866" s="674">
        <f t="shared" ref="P866:Q881" si="729">P803</f>
        <v>-27.984999999999999</v>
      </c>
      <c r="Q866" s="122">
        <f t="shared" si="729"/>
        <v>-4.2510000000000003</v>
      </c>
      <c r="R866" s="122">
        <f t="shared" ref="R866:T881" si="730">R803-Q803</f>
        <v>-3.5859999999999994</v>
      </c>
      <c r="S866" s="122">
        <f t="shared" si="730"/>
        <v>-5.0619999999999994</v>
      </c>
      <c r="T866" s="122">
        <f t="shared" si="730"/>
        <v>-6.2120000000000015</v>
      </c>
      <c r="U866" s="674">
        <f t="shared" ref="U866:V881" si="731">U803</f>
        <v>-19.111000000000001</v>
      </c>
      <c r="V866" s="122">
        <f t="shared" si="731"/>
        <v>-6.6210000000000004</v>
      </c>
      <c r="W866" s="122">
        <f t="shared" ref="W866:Y881" si="732">W803-V803</f>
        <v>-5.7530000000000001</v>
      </c>
      <c r="X866" s="122">
        <f t="shared" si="732"/>
        <v>-6.0519999999999978</v>
      </c>
      <c r="Y866" s="122">
        <f t="shared" si="732"/>
        <v>-2.6660000000000004</v>
      </c>
      <c r="Z866" s="674">
        <f t="shared" ref="Z866:AA881" si="733">Z803</f>
        <v>-21.091999999999999</v>
      </c>
      <c r="AA866" s="122">
        <f t="shared" si="733"/>
        <v>-0.59199999999999997</v>
      </c>
      <c r="AB866" s="122">
        <f t="shared" ref="AB866:AD881" si="734">AB803-AA803</f>
        <v>-0.66</v>
      </c>
      <c r="AC866" s="122">
        <f t="shared" si="734"/>
        <v>-2.4999999999999911E-2</v>
      </c>
      <c r="AD866" s="122">
        <f t="shared" si="734"/>
        <v>-0.28500000000000014</v>
      </c>
      <c r="AE866" s="674">
        <f t="shared" ref="AE866:AF881" si="735">AE803</f>
        <v>-1.5620000000000001</v>
      </c>
      <c r="AF866" s="122">
        <f t="shared" si="735"/>
        <v>-0.39100000000000001</v>
      </c>
      <c r="AG866" s="122">
        <f t="shared" ref="AG866:AI881" si="736">AG803-AF803</f>
        <v>-0.24399999999999999</v>
      </c>
      <c r="AH866" s="122">
        <f t="shared" si="736"/>
        <v>-0.46199999999999997</v>
      </c>
      <c r="AI866" s="122">
        <f t="shared" si="736"/>
        <v>-0.18700000000000006</v>
      </c>
      <c r="AJ866" s="674">
        <f t="shared" ref="AJ866:AK881" si="737">AJ803</f>
        <v>-1.284</v>
      </c>
      <c r="AK866" s="122">
        <f t="shared" si="737"/>
        <v>-0.16500000000000001</v>
      </c>
      <c r="AL866" s="122">
        <f t="shared" ref="AL866:AN881" si="738">AL803-AK803</f>
        <v>-0.25900000000000001</v>
      </c>
      <c r="AM866" s="122">
        <f t="shared" si="738"/>
        <v>-1.0860000000000001</v>
      </c>
      <c r="AN866" s="122">
        <f t="shared" si="738"/>
        <v>-0.7260000000000002</v>
      </c>
      <c r="AO866" s="674">
        <f t="shared" ref="AO866:AP881" si="739">AO803</f>
        <v>-2.2360000000000002</v>
      </c>
      <c r="AP866" s="122">
        <f t="shared" si="739"/>
        <v>0</v>
      </c>
      <c r="AQ866" s="122">
        <f t="shared" ref="AQ866:AS881" si="740">AQ803-AP803</f>
        <v>0</v>
      </c>
      <c r="AR866" s="122">
        <f t="shared" si="740"/>
        <v>0</v>
      </c>
      <c r="AS866" s="122">
        <f t="shared" si="740"/>
        <v>0</v>
      </c>
      <c r="AT866" s="674">
        <f t="shared" ref="AT866:AU881" si="741">AT803</f>
        <v>0</v>
      </c>
      <c r="AU866" s="122">
        <f t="shared" si="741"/>
        <v>0</v>
      </c>
      <c r="AV866" s="122">
        <f t="shared" ref="AV866:AX881" si="742">AV803-AU803</f>
        <v>0</v>
      </c>
      <c r="AW866" s="122">
        <f t="shared" si="742"/>
        <v>0</v>
      </c>
      <c r="AX866" s="122">
        <f t="shared" si="742"/>
        <v>0</v>
      </c>
      <c r="AY866" s="674">
        <f t="shared" ref="AY866:AZ881" si="743">AY803</f>
        <v>0</v>
      </c>
      <c r="AZ866" s="122">
        <f t="shared" si="743"/>
        <v>0</v>
      </c>
      <c r="BA866" s="122">
        <f t="shared" ref="BA866:BC881" si="744">BA803-AZ803</f>
        <v>0</v>
      </c>
      <c r="BB866" s="122">
        <f t="shared" si="744"/>
        <v>0</v>
      </c>
      <c r="BC866" s="122">
        <f t="shared" si="744"/>
        <v>0</v>
      </c>
      <c r="BD866" s="674">
        <f t="shared" ref="BD866:BE881" si="745">BD803</f>
        <v>0</v>
      </c>
      <c r="BE866" s="122">
        <f t="shared" si="745"/>
        <v>0</v>
      </c>
      <c r="BF866" s="122">
        <f t="shared" ref="BF866:BH881" si="746">BF803-BE803</f>
        <v>0</v>
      </c>
      <c r="BG866" s="122">
        <f t="shared" si="746"/>
        <v>0</v>
      </c>
      <c r="BH866" s="122">
        <f t="shared" si="746"/>
        <v>0</v>
      </c>
      <c r="BI866" s="674">
        <f t="shared" ref="BI866:BJ881" si="747">BI803</f>
        <v>0</v>
      </c>
      <c r="BJ866" s="1274">
        <f t="shared" si="747"/>
        <v>0</v>
      </c>
      <c r="BK866" s="118"/>
      <c r="BL866" s="118"/>
      <c r="BM866" s="118"/>
      <c r="BN866" s="401">
        <f t="shared" ref="BN866:BN883" si="748">SUM(BJ866,BK866,BL866,BM866)</f>
        <v>0</v>
      </c>
      <c r="BO866" s="118"/>
      <c r="BP866" s="118"/>
      <c r="BQ866" s="118"/>
      <c r="BR866" s="118"/>
      <c r="BS866" s="401">
        <f t="shared" ref="BS866:BS883" si="749">SUM(BO866,BP866,BQ866,BR866)</f>
        <v>0</v>
      </c>
      <c r="BT866" s="401"/>
      <c r="BU866" s="401"/>
      <c r="BV866" s="401"/>
      <c r="BW866" s="122"/>
    </row>
    <row r="867" spans="1:75" s="123" customFormat="1" x14ac:dyDescent="0.5">
      <c r="A867" s="464" t="s">
        <v>2655</v>
      </c>
      <c r="B867" s="118"/>
      <c r="C867" s="401"/>
      <c r="D867" s="401"/>
      <c r="E867" s="401"/>
      <c r="F867" s="674">
        <f t="shared" si="725"/>
        <v>44.244</v>
      </c>
      <c r="G867" s="122">
        <f t="shared" si="725"/>
        <v>0</v>
      </c>
      <c r="H867" s="122">
        <f t="shared" si="726"/>
        <v>0</v>
      </c>
      <c r="I867" s="122">
        <f t="shared" si="726"/>
        <v>0</v>
      </c>
      <c r="J867" s="122">
        <f t="shared" si="726"/>
        <v>0</v>
      </c>
      <c r="K867" s="674">
        <f t="shared" si="727"/>
        <v>0</v>
      </c>
      <c r="L867" s="122">
        <f t="shared" si="727"/>
        <v>0</v>
      </c>
      <c r="M867" s="122">
        <f t="shared" si="728"/>
        <v>0</v>
      </c>
      <c r="N867" s="122">
        <f t="shared" si="728"/>
        <v>0</v>
      </c>
      <c r="O867" s="122">
        <f t="shared" si="728"/>
        <v>0</v>
      </c>
      <c r="P867" s="674">
        <f t="shared" si="729"/>
        <v>0</v>
      </c>
      <c r="Q867" s="122">
        <f t="shared" si="729"/>
        <v>0</v>
      </c>
      <c r="R867" s="122">
        <f t="shared" si="730"/>
        <v>0</v>
      </c>
      <c r="S867" s="122">
        <f t="shared" si="730"/>
        <v>0</v>
      </c>
      <c r="T867" s="122">
        <f t="shared" si="730"/>
        <v>0</v>
      </c>
      <c r="U867" s="674">
        <f t="shared" si="731"/>
        <v>0</v>
      </c>
      <c r="V867" s="122">
        <f t="shared" si="731"/>
        <v>0</v>
      </c>
      <c r="W867" s="122">
        <f t="shared" si="732"/>
        <v>0</v>
      </c>
      <c r="X867" s="122">
        <f t="shared" si="732"/>
        <v>0</v>
      </c>
      <c r="Y867" s="122">
        <f t="shared" si="732"/>
        <v>0</v>
      </c>
      <c r="Z867" s="674">
        <f t="shared" si="733"/>
        <v>0</v>
      </c>
      <c r="AA867" s="122">
        <f t="shared" si="733"/>
        <v>0</v>
      </c>
      <c r="AB867" s="122">
        <f t="shared" si="734"/>
        <v>0</v>
      </c>
      <c r="AC867" s="122">
        <f t="shared" si="734"/>
        <v>0</v>
      </c>
      <c r="AD867" s="122">
        <f t="shared" si="734"/>
        <v>0</v>
      </c>
      <c r="AE867" s="674">
        <f t="shared" si="735"/>
        <v>0</v>
      </c>
      <c r="AF867" s="122">
        <f t="shared" si="735"/>
        <v>0</v>
      </c>
      <c r="AG867" s="122">
        <f t="shared" si="736"/>
        <v>0</v>
      </c>
      <c r="AH867" s="122">
        <f t="shared" si="736"/>
        <v>0</v>
      </c>
      <c r="AI867" s="122">
        <f t="shared" si="736"/>
        <v>0</v>
      </c>
      <c r="AJ867" s="674">
        <f t="shared" si="737"/>
        <v>0</v>
      </c>
      <c r="AK867" s="122">
        <f t="shared" si="737"/>
        <v>0</v>
      </c>
      <c r="AL867" s="122">
        <f t="shared" si="738"/>
        <v>0</v>
      </c>
      <c r="AM867" s="122">
        <f t="shared" si="738"/>
        <v>0</v>
      </c>
      <c r="AN867" s="122">
        <f t="shared" si="738"/>
        <v>0</v>
      </c>
      <c r="AO867" s="674">
        <f t="shared" si="739"/>
        <v>0</v>
      </c>
      <c r="AP867" s="122">
        <f t="shared" si="739"/>
        <v>0</v>
      </c>
      <c r="AQ867" s="122">
        <f t="shared" si="740"/>
        <v>0</v>
      </c>
      <c r="AR867" s="122">
        <f t="shared" si="740"/>
        <v>0</v>
      </c>
      <c r="AS867" s="122">
        <f t="shared" si="740"/>
        <v>0</v>
      </c>
      <c r="AT867" s="674">
        <f t="shared" si="741"/>
        <v>0</v>
      </c>
      <c r="AU867" s="122">
        <f t="shared" si="741"/>
        <v>0</v>
      </c>
      <c r="AV867" s="122">
        <f t="shared" si="742"/>
        <v>0</v>
      </c>
      <c r="AW867" s="122">
        <f t="shared" si="742"/>
        <v>0</v>
      </c>
      <c r="AX867" s="122">
        <f t="shared" si="742"/>
        <v>0</v>
      </c>
      <c r="AY867" s="674">
        <f t="shared" si="743"/>
        <v>0</v>
      </c>
      <c r="AZ867" s="122">
        <f t="shared" si="743"/>
        <v>0</v>
      </c>
      <c r="BA867" s="122">
        <f t="shared" si="744"/>
        <v>0</v>
      </c>
      <c r="BB867" s="122">
        <f t="shared" si="744"/>
        <v>0</v>
      </c>
      <c r="BC867" s="122">
        <f t="shared" si="744"/>
        <v>0</v>
      </c>
      <c r="BD867" s="674">
        <f t="shared" si="745"/>
        <v>0</v>
      </c>
      <c r="BE867" s="122">
        <f t="shared" si="745"/>
        <v>0</v>
      </c>
      <c r="BF867" s="122">
        <f t="shared" si="746"/>
        <v>0</v>
      </c>
      <c r="BG867" s="122">
        <f t="shared" si="746"/>
        <v>0</v>
      </c>
      <c r="BH867" s="122">
        <f t="shared" si="746"/>
        <v>0</v>
      </c>
      <c r="BI867" s="674">
        <f t="shared" si="747"/>
        <v>0</v>
      </c>
      <c r="BJ867" s="1274">
        <f t="shared" si="747"/>
        <v>0</v>
      </c>
      <c r="BK867" s="118"/>
      <c r="BL867" s="118"/>
      <c r="BM867" s="118"/>
      <c r="BN867" s="401">
        <f t="shared" si="748"/>
        <v>0</v>
      </c>
      <c r="BO867" s="118"/>
      <c r="BP867" s="118"/>
      <c r="BQ867" s="118"/>
      <c r="BR867" s="118"/>
      <c r="BS867" s="401">
        <f t="shared" si="749"/>
        <v>0</v>
      </c>
      <c r="BT867" s="401"/>
      <c r="BU867" s="401"/>
      <c r="BV867" s="401"/>
      <c r="BW867" s="122"/>
    </row>
    <row r="868" spans="1:75" s="123" customFormat="1" x14ac:dyDescent="0.5">
      <c r="A868" s="464" t="str">
        <f t="shared" ref="A868:A879" si="750">A805</f>
        <v>Net proceeds from exercise of stock options</v>
      </c>
      <c r="B868" s="118"/>
      <c r="C868" s="401"/>
      <c r="D868" s="401"/>
      <c r="E868" s="401"/>
      <c r="F868" s="674">
        <f t="shared" si="725"/>
        <v>0</v>
      </c>
      <c r="G868" s="122">
        <f t="shared" si="725"/>
        <v>0</v>
      </c>
      <c r="H868" s="122">
        <f t="shared" si="726"/>
        <v>0</v>
      </c>
      <c r="I868" s="122">
        <f t="shared" si="726"/>
        <v>0</v>
      </c>
      <c r="J868" s="122">
        <f t="shared" si="726"/>
        <v>0</v>
      </c>
      <c r="K868" s="674">
        <f t="shared" si="727"/>
        <v>0</v>
      </c>
      <c r="L868" s="122">
        <f t="shared" si="727"/>
        <v>0</v>
      </c>
      <c r="M868" s="122">
        <f t="shared" si="728"/>
        <v>0</v>
      </c>
      <c r="N868" s="122">
        <f t="shared" si="728"/>
        <v>0</v>
      </c>
      <c r="O868" s="122">
        <f t="shared" si="728"/>
        <v>1.2E-2</v>
      </c>
      <c r="P868" s="674">
        <f t="shared" si="729"/>
        <v>1.2E-2</v>
      </c>
      <c r="Q868" s="122">
        <f t="shared" si="729"/>
        <v>1.4999999999999999E-2</v>
      </c>
      <c r="R868" s="122">
        <f t="shared" si="730"/>
        <v>0.25700000000000001</v>
      </c>
      <c r="S868" s="122">
        <f t="shared" si="730"/>
        <v>0.10199999999999998</v>
      </c>
      <c r="T868" s="122">
        <f t="shared" si="730"/>
        <v>0.121</v>
      </c>
      <c r="U868" s="674">
        <f t="shared" si="731"/>
        <v>0.495</v>
      </c>
      <c r="V868" s="122">
        <f t="shared" si="731"/>
        <v>5.0999999999999997E-2</v>
      </c>
      <c r="W868" s="122">
        <f t="shared" si="732"/>
        <v>7.9000000000000015E-2</v>
      </c>
      <c r="X868" s="122">
        <f t="shared" si="732"/>
        <v>3.6000000000000004E-2</v>
      </c>
      <c r="Y868" s="122">
        <f t="shared" si="732"/>
        <v>4.2999999999999983E-2</v>
      </c>
      <c r="Z868" s="674">
        <f t="shared" si="733"/>
        <v>0.20899999999999999</v>
      </c>
      <c r="AA868" s="122">
        <f t="shared" si="733"/>
        <v>5.3999999999999999E-2</v>
      </c>
      <c r="AB868" s="122">
        <f t="shared" si="734"/>
        <v>0.10800000000000001</v>
      </c>
      <c r="AC868" s="122">
        <f t="shared" si="734"/>
        <v>5.099999999999999E-2</v>
      </c>
      <c r="AD868" s="122">
        <f t="shared" si="734"/>
        <v>3.1E-2</v>
      </c>
      <c r="AE868" s="674">
        <f t="shared" si="735"/>
        <v>0.24399999999999999</v>
      </c>
      <c r="AF868" s="122">
        <f t="shared" si="735"/>
        <v>2.9000000000000001E-2</v>
      </c>
      <c r="AG868" s="122">
        <f t="shared" si="736"/>
        <v>4.4999999999999998E-2</v>
      </c>
      <c r="AH868" s="122">
        <f t="shared" si="736"/>
        <v>0.03</v>
      </c>
      <c r="AI868" s="122">
        <f t="shared" si="736"/>
        <v>3.4000000000000016E-2</v>
      </c>
      <c r="AJ868" s="674">
        <f t="shared" si="737"/>
        <v>0.13800000000000001</v>
      </c>
      <c r="AK868" s="122">
        <f t="shared" si="737"/>
        <v>6.7000000000000004E-2</v>
      </c>
      <c r="AL868" s="122">
        <f t="shared" si="738"/>
        <v>1.2999999999999998E-2</v>
      </c>
      <c r="AM868" s="122">
        <f t="shared" si="738"/>
        <v>9.999999999999995E-3</v>
      </c>
      <c r="AN868" s="122">
        <f t="shared" si="738"/>
        <v>2.3000000000000007E-2</v>
      </c>
      <c r="AO868" s="674">
        <f t="shared" si="739"/>
        <v>0.113</v>
      </c>
      <c r="AP868" s="122">
        <f t="shared" si="739"/>
        <v>0.125</v>
      </c>
      <c r="AQ868" s="122">
        <f t="shared" si="740"/>
        <v>9.5000000000000001E-2</v>
      </c>
      <c r="AR868" s="122">
        <f t="shared" si="740"/>
        <v>-0.22</v>
      </c>
      <c r="AS868" s="122">
        <f t="shared" si="740"/>
        <v>0</v>
      </c>
      <c r="AT868" s="674">
        <f t="shared" si="741"/>
        <v>0</v>
      </c>
      <c r="AU868" s="122">
        <f t="shared" si="741"/>
        <v>0</v>
      </c>
      <c r="AV868" s="122">
        <f t="shared" si="742"/>
        <v>0</v>
      </c>
      <c r="AW868" s="122">
        <f t="shared" si="742"/>
        <v>0</v>
      </c>
      <c r="AX868" s="122">
        <f t="shared" si="742"/>
        <v>0</v>
      </c>
      <c r="AY868" s="674">
        <f t="shared" si="743"/>
        <v>0</v>
      </c>
      <c r="AZ868" s="122">
        <f t="shared" si="743"/>
        <v>0</v>
      </c>
      <c r="BA868" s="122">
        <f t="shared" si="744"/>
        <v>0</v>
      </c>
      <c r="BB868" s="122">
        <f t="shared" si="744"/>
        <v>0</v>
      </c>
      <c r="BC868" s="122">
        <f t="shared" si="744"/>
        <v>0</v>
      </c>
      <c r="BD868" s="674">
        <f t="shared" si="745"/>
        <v>0</v>
      </c>
      <c r="BE868" s="122">
        <f t="shared" si="745"/>
        <v>0</v>
      </c>
      <c r="BF868" s="122">
        <f t="shared" si="746"/>
        <v>0</v>
      </c>
      <c r="BG868" s="122">
        <f t="shared" si="746"/>
        <v>0</v>
      </c>
      <c r="BH868" s="122">
        <f t="shared" si="746"/>
        <v>0</v>
      </c>
      <c r="BI868" s="674">
        <f t="shared" si="747"/>
        <v>0</v>
      </c>
      <c r="BJ868" s="1274">
        <f t="shared" si="747"/>
        <v>0</v>
      </c>
      <c r="BK868" s="118"/>
      <c r="BL868" s="118"/>
      <c r="BM868" s="118"/>
      <c r="BN868" s="401">
        <f t="shared" si="748"/>
        <v>0</v>
      </c>
      <c r="BO868" s="118"/>
      <c r="BP868" s="118"/>
      <c r="BQ868" s="118"/>
      <c r="BR868" s="118"/>
      <c r="BS868" s="401">
        <f t="shared" si="749"/>
        <v>0</v>
      </c>
      <c r="BT868" s="401"/>
      <c r="BU868" s="401"/>
      <c r="BV868" s="401"/>
      <c r="BW868" s="122"/>
    </row>
    <row r="869" spans="1:75" s="123" customFormat="1" x14ac:dyDescent="0.5">
      <c r="A869" s="464" t="str">
        <f t="shared" si="750"/>
        <v>Deferred financing costs</v>
      </c>
      <c r="B869" s="118"/>
      <c r="C869" s="401"/>
      <c r="D869" s="401"/>
      <c r="E869" s="401"/>
      <c r="F869" s="674">
        <f t="shared" si="725"/>
        <v>0</v>
      </c>
      <c r="G869" s="122">
        <f t="shared" si="725"/>
        <v>0</v>
      </c>
      <c r="H869" s="122">
        <f t="shared" si="726"/>
        <v>0</v>
      </c>
      <c r="I869" s="122">
        <f t="shared" si="726"/>
        <v>0</v>
      </c>
      <c r="J869" s="122">
        <f t="shared" si="726"/>
        <v>0</v>
      </c>
      <c r="K869" s="674">
        <f t="shared" si="727"/>
        <v>0</v>
      </c>
      <c r="L869" s="122">
        <f t="shared" si="727"/>
        <v>0</v>
      </c>
      <c r="M869" s="122">
        <f t="shared" si="728"/>
        <v>0</v>
      </c>
      <c r="N869" s="122">
        <f t="shared" si="728"/>
        <v>0</v>
      </c>
      <c r="O869" s="122">
        <f t="shared" si="728"/>
        <v>0</v>
      </c>
      <c r="P869" s="674">
        <f t="shared" si="729"/>
        <v>0</v>
      </c>
      <c r="Q869" s="122">
        <f t="shared" si="729"/>
        <v>0</v>
      </c>
      <c r="R869" s="122">
        <f t="shared" si="730"/>
        <v>0</v>
      </c>
      <c r="S869" s="122">
        <f t="shared" si="730"/>
        <v>0</v>
      </c>
      <c r="T869" s="122">
        <f t="shared" si="730"/>
        <v>0</v>
      </c>
      <c r="U869" s="674">
        <f t="shared" si="731"/>
        <v>0</v>
      </c>
      <c r="V869" s="122">
        <f t="shared" si="731"/>
        <v>0</v>
      </c>
      <c r="W869" s="122">
        <f t="shared" si="732"/>
        <v>0</v>
      </c>
      <c r="X869" s="122">
        <f t="shared" si="732"/>
        <v>0</v>
      </c>
      <c r="Y869" s="122">
        <f t="shared" si="732"/>
        <v>0</v>
      </c>
      <c r="Z869" s="674">
        <f t="shared" si="733"/>
        <v>0</v>
      </c>
      <c r="AA869" s="122">
        <f t="shared" si="733"/>
        <v>0</v>
      </c>
      <c r="AB869" s="122">
        <f t="shared" si="734"/>
        <v>0</v>
      </c>
      <c r="AC869" s="122">
        <f t="shared" si="734"/>
        <v>0</v>
      </c>
      <c r="AD869" s="122">
        <f t="shared" si="734"/>
        <v>0</v>
      </c>
      <c r="AE869" s="674">
        <f t="shared" si="735"/>
        <v>0</v>
      </c>
      <c r="AF869" s="122">
        <f t="shared" si="735"/>
        <v>0</v>
      </c>
      <c r="AG869" s="122">
        <f t="shared" si="736"/>
        <v>0</v>
      </c>
      <c r="AH869" s="122">
        <f t="shared" si="736"/>
        <v>0</v>
      </c>
      <c r="AI869" s="122">
        <f t="shared" si="736"/>
        <v>0</v>
      </c>
      <c r="AJ869" s="674">
        <f t="shared" si="737"/>
        <v>0</v>
      </c>
      <c r="AK869" s="122">
        <f t="shared" si="737"/>
        <v>-0.79100000000000004</v>
      </c>
      <c r="AL869" s="122">
        <f t="shared" si="738"/>
        <v>0</v>
      </c>
      <c r="AM869" s="122">
        <f t="shared" si="738"/>
        <v>0</v>
      </c>
      <c r="AN869" s="122">
        <f t="shared" si="738"/>
        <v>0</v>
      </c>
      <c r="AO869" s="674">
        <f t="shared" si="739"/>
        <v>-0.79100000000000004</v>
      </c>
      <c r="AP869" s="122">
        <f t="shared" si="739"/>
        <v>0</v>
      </c>
      <c r="AQ869" s="122">
        <f t="shared" si="740"/>
        <v>0</v>
      </c>
      <c r="AR869" s="122">
        <f t="shared" si="740"/>
        <v>0</v>
      </c>
      <c r="AS869" s="122">
        <f t="shared" si="740"/>
        <v>0</v>
      </c>
      <c r="AT869" s="674">
        <f t="shared" si="741"/>
        <v>0</v>
      </c>
      <c r="AU869" s="122">
        <f t="shared" si="741"/>
        <v>0</v>
      </c>
      <c r="AV869" s="122">
        <f t="shared" si="742"/>
        <v>0</v>
      </c>
      <c r="AW869" s="122">
        <f t="shared" si="742"/>
        <v>0</v>
      </c>
      <c r="AX869" s="122">
        <f t="shared" si="742"/>
        <v>0</v>
      </c>
      <c r="AY869" s="674">
        <f t="shared" si="743"/>
        <v>0</v>
      </c>
      <c r="AZ869" s="122">
        <f t="shared" si="743"/>
        <v>0</v>
      </c>
      <c r="BA869" s="122">
        <f t="shared" si="744"/>
        <v>0</v>
      </c>
      <c r="BB869" s="122">
        <f t="shared" si="744"/>
        <v>0</v>
      </c>
      <c r="BC869" s="122">
        <f t="shared" si="744"/>
        <v>0</v>
      </c>
      <c r="BD869" s="674">
        <f t="shared" si="745"/>
        <v>0</v>
      </c>
      <c r="BE869" s="122">
        <f t="shared" si="745"/>
        <v>0</v>
      </c>
      <c r="BF869" s="122">
        <f t="shared" si="746"/>
        <v>0</v>
      </c>
      <c r="BG869" s="122">
        <f t="shared" si="746"/>
        <v>0</v>
      </c>
      <c r="BH869" s="122">
        <f t="shared" si="746"/>
        <v>0</v>
      </c>
      <c r="BI869" s="674">
        <f t="shared" si="747"/>
        <v>0</v>
      </c>
      <c r="BJ869" s="1274">
        <f t="shared" si="747"/>
        <v>0</v>
      </c>
      <c r="BK869" s="118"/>
      <c r="BL869" s="118"/>
      <c r="BM869" s="118"/>
      <c r="BN869" s="401">
        <f t="shared" si="748"/>
        <v>0</v>
      </c>
      <c r="BO869" s="118"/>
      <c r="BP869" s="118"/>
      <c r="BQ869" s="118"/>
      <c r="BR869" s="118"/>
      <c r="BS869" s="401">
        <f t="shared" si="749"/>
        <v>0</v>
      </c>
      <c r="BT869" s="401"/>
      <c r="BU869" s="401"/>
      <c r="BV869" s="401"/>
      <c r="BW869" s="122"/>
    </row>
    <row r="870" spans="1:75" s="123" customFormat="1" x14ac:dyDescent="0.5">
      <c r="A870" s="464" t="str">
        <f t="shared" si="750"/>
        <v>Proceeds from issuance of convertible notes, net of issuance costs</v>
      </c>
      <c r="B870" s="118"/>
      <c r="C870" s="401"/>
      <c r="D870" s="401"/>
      <c r="E870" s="401"/>
      <c r="F870" s="674">
        <f t="shared" si="725"/>
        <v>0</v>
      </c>
      <c r="G870" s="122">
        <f t="shared" si="725"/>
        <v>0</v>
      </c>
      <c r="H870" s="122">
        <f t="shared" si="726"/>
        <v>0</v>
      </c>
      <c r="I870" s="122">
        <f t="shared" si="726"/>
        <v>0</v>
      </c>
      <c r="J870" s="122">
        <f t="shared" si="726"/>
        <v>0</v>
      </c>
      <c r="K870" s="674">
        <f t="shared" si="727"/>
        <v>0</v>
      </c>
      <c r="L870" s="122">
        <f t="shared" si="727"/>
        <v>0</v>
      </c>
      <c r="M870" s="122">
        <f t="shared" si="728"/>
        <v>0</v>
      </c>
      <c r="N870" s="122">
        <f t="shared" si="728"/>
        <v>0</v>
      </c>
      <c r="O870" s="122">
        <f t="shared" si="728"/>
        <v>0</v>
      </c>
      <c r="P870" s="674">
        <f t="shared" si="729"/>
        <v>0</v>
      </c>
      <c r="Q870" s="122">
        <f t="shared" si="729"/>
        <v>0</v>
      </c>
      <c r="R870" s="122">
        <f t="shared" si="730"/>
        <v>0</v>
      </c>
      <c r="S870" s="122">
        <f t="shared" si="730"/>
        <v>0</v>
      </c>
      <c r="T870" s="122">
        <f t="shared" si="730"/>
        <v>0</v>
      </c>
      <c r="U870" s="674">
        <f t="shared" si="731"/>
        <v>0</v>
      </c>
      <c r="V870" s="122">
        <f t="shared" si="731"/>
        <v>0</v>
      </c>
      <c r="W870" s="122">
        <f t="shared" si="732"/>
        <v>0</v>
      </c>
      <c r="X870" s="122">
        <f t="shared" si="732"/>
        <v>0</v>
      </c>
      <c r="Y870" s="122">
        <f t="shared" si="732"/>
        <v>0</v>
      </c>
      <c r="Z870" s="674">
        <f t="shared" si="733"/>
        <v>0</v>
      </c>
      <c r="AA870" s="122">
        <f t="shared" si="733"/>
        <v>0</v>
      </c>
      <c r="AB870" s="122">
        <f t="shared" si="734"/>
        <v>0</v>
      </c>
      <c r="AC870" s="122">
        <f t="shared" si="734"/>
        <v>420.44900000000001</v>
      </c>
      <c r="AD870" s="122">
        <f t="shared" si="734"/>
        <v>0</v>
      </c>
      <c r="AE870" s="674">
        <f t="shared" si="735"/>
        <v>420.44900000000001</v>
      </c>
      <c r="AF870" s="122">
        <f t="shared" si="735"/>
        <v>0</v>
      </c>
      <c r="AG870" s="122">
        <f t="shared" si="736"/>
        <v>0</v>
      </c>
      <c r="AH870" s="122">
        <f t="shared" si="736"/>
        <v>0</v>
      </c>
      <c r="AI870" s="122">
        <f t="shared" si="736"/>
        <v>562.04700000000003</v>
      </c>
      <c r="AJ870" s="674">
        <f t="shared" si="737"/>
        <v>562.04700000000003</v>
      </c>
      <c r="AK870" s="122">
        <f t="shared" si="737"/>
        <v>0</v>
      </c>
      <c r="AL870" s="122">
        <f t="shared" si="738"/>
        <v>0</v>
      </c>
      <c r="AM870" s="122">
        <f t="shared" si="738"/>
        <v>935.14599999999996</v>
      </c>
      <c r="AN870" s="122">
        <f t="shared" si="738"/>
        <v>0</v>
      </c>
      <c r="AO870" s="674">
        <f t="shared" si="739"/>
        <v>935.14599999999996</v>
      </c>
      <c r="AP870" s="122">
        <f t="shared" si="739"/>
        <v>0</v>
      </c>
      <c r="AQ870" s="122">
        <f t="shared" si="740"/>
        <v>527.423</v>
      </c>
      <c r="AR870" s="122">
        <f t="shared" si="740"/>
        <v>1500.335</v>
      </c>
      <c r="AS870" s="122">
        <f t="shared" si="740"/>
        <v>0</v>
      </c>
      <c r="AT870" s="674">
        <f t="shared" si="741"/>
        <v>2027.758</v>
      </c>
      <c r="AU870" s="122">
        <f t="shared" si="741"/>
        <v>0</v>
      </c>
      <c r="AV870" s="122">
        <f t="shared" si="742"/>
        <v>0</v>
      </c>
      <c r="AW870" s="122">
        <f t="shared" si="742"/>
        <v>0</v>
      </c>
      <c r="AX870" s="122">
        <f t="shared" si="742"/>
        <v>0</v>
      </c>
      <c r="AY870" s="674">
        <f t="shared" si="743"/>
        <v>0</v>
      </c>
      <c r="AZ870" s="122">
        <f t="shared" si="743"/>
        <v>0</v>
      </c>
      <c r="BA870" s="122">
        <f t="shared" si="744"/>
        <v>0</v>
      </c>
      <c r="BB870" s="122">
        <f t="shared" si="744"/>
        <v>678</v>
      </c>
      <c r="BC870" s="122">
        <f t="shared" si="744"/>
        <v>0</v>
      </c>
      <c r="BD870" s="674">
        <f t="shared" si="745"/>
        <v>678</v>
      </c>
      <c r="BE870" s="122">
        <f t="shared" si="745"/>
        <v>0</v>
      </c>
      <c r="BF870" s="122">
        <f t="shared" si="746"/>
        <v>678</v>
      </c>
      <c r="BG870" s="122">
        <f t="shared" si="746"/>
        <v>0</v>
      </c>
      <c r="BH870" s="122">
        <f t="shared" si="746"/>
        <v>0</v>
      </c>
      <c r="BI870" s="674">
        <f t="shared" si="747"/>
        <v>678</v>
      </c>
      <c r="BJ870" s="1274">
        <f t="shared" si="747"/>
        <v>0</v>
      </c>
      <c r="BK870" s="118"/>
      <c r="BL870" s="118"/>
      <c r="BM870" s="118"/>
      <c r="BN870" s="401">
        <f t="shared" si="748"/>
        <v>0</v>
      </c>
      <c r="BO870" s="118"/>
      <c r="BP870" s="118"/>
      <c r="BQ870" s="118"/>
      <c r="BR870" s="118"/>
      <c r="BS870" s="401">
        <f t="shared" si="749"/>
        <v>0</v>
      </c>
      <c r="BT870" s="401"/>
      <c r="BU870" s="401"/>
      <c r="BV870" s="401"/>
      <c r="BW870" s="122"/>
    </row>
    <row r="871" spans="1:75" s="123" customFormat="1" x14ac:dyDescent="0.5">
      <c r="A871" s="184" t="str">
        <f t="shared" si="750"/>
        <v>Proceeds from borrowings</v>
      </c>
      <c r="B871" s="118"/>
      <c r="C871" s="401"/>
      <c r="D871" s="401"/>
      <c r="E871" s="401"/>
      <c r="F871" s="401">
        <f t="shared" si="725"/>
        <v>0</v>
      </c>
      <c r="G871" s="118">
        <f t="shared" si="725"/>
        <v>0</v>
      </c>
      <c r="H871" s="118">
        <f t="shared" si="726"/>
        <v>0</v>
      </c>
      <c r="I871" s="118">
        <f t="shared" si="726"/>
        <v>0</v>
      </c>
      <c r="J871" s="118">
        <f t="shared" si="726"/>
        <v>0</v>
      </c>
      <c r="K871" s="401">
        <f t="shared" si="727"/>
        <v>0</v>
      </c>
      <c r="L871" s="118">
        <f t="shared" si="727"/>
        <v>0</v>
      </c>
      <c r="M871" s="118">
        <f t="shared" si="728"/>
        <v>0</v>
      </c>
      <c r="N871" s="118">
        <f t="shared" si="728"/>
        <v>0</v>
      </c>
      <c r="O871" s="118">
        <f t="shared" si="728"/>
        <v>0</v>
      </c>
      <c r="P871" s="401">
        <f t="shared" si="729"/>
        <v>0</v>
      </c>
      <c r="Q871" s="118">
        <f t="shared" si="729"/>
        <v>0</v>
      </c>
      <c r="R871" s="118">
        <f t="shared" si="730"/>
        <v>0</v>
      </c>
      <c r="S871" s="118">
        <f t="shared" si="730"/>
        <v>0</v>
      </c>
      <c r="T871" s="118">
        <f t="shared" si="730"/>
        <v>0</v>
      </c>
      <c r="U871" s="401">
        <f t="shared" si="731"/>
        <v>0</v>
      </c>
      <c r="V871" s="118">
        <f t="shared" si="731"/>
        <v>0</v>
      </c>
      <c r="W871" s="118">
        <f t="shared" si="732"/>
        <v>0</v>
      </c>
      <c r="X871" s="118">
        <f t="shared" si="732"/>
        <v>0</v>
      </c>
      <c r="Y871" s="118">
        <f t="shared" si="732"/>
        <v>0</v>
      </c>
      <c r="Z871" s="401">
        <f t="shared" si="733"/>
        <v>0</v>
      </c>
      <c r="AA871" s="118">
        <f t="shared" si="733"/>
        <v>0</v>
      </c>
      <c r="AB871" s="118">
        <f t="shared" si="734"/>
        <v>0</v>
      </c>
      <c r="AC871" s="118">
        <f t="shared" si="734"/>
        <v>0</v>
      </c>
      <c r="AD871" s="118">
        <f t="shared" si="734"/>
        <v>0</v>
      </c>
      <c r="AE871" s="401">
        <f t="shared" si="735"/>
        <v>0</v>
      </c>
      <c r="AF871" s="118">
        <f t="shared" si="735"/>
        <v>0</v>
      </c>
      <c r="AG871" s="118">
        <f t="shared" si="736"/>
        <v>0</v>
      </c>
      <c r="AH871" s="118">
        <f t="shared" si="736"/>
        <v>0</v>
      </c>
      <c r="AI871" s="118">
        <f t="shared" si="736"/>
        <v>0</v>
      </c>
      <c r="AJ871" s="401">
        <f t="shared" si="737"/>
        <v>0</v>
      </c>
      <c r="AK871" s="118">
        <f t="shared" si="737"/>
        <v>0</v>
      </c>
      <c r="AL871" s="118">
        <f t="shared" si="738"/>
        <v>0</v>
      </c>
      <c r="AM871" s="118">
        <f t="shared" si="738"/>
        <v>0</v>
      </c>
      <c r="AN871" s="118">
        <f t="shared" si="738"/>
        <v>0</v>
      </c>
      <c r="AO871" s="401">
        <f t="shared" si="739"/>
        <v>0</v>
      </c>
      <c r="AP871" s="118">
        <f t="shared" si="739"/>
        <v>100</v>
      </c>
      <c r="AQ871" s="118">
        <f t="shared" si="740"/>
        <v>100</v>
      </c>
      <c r="AR871" s="118">
        <f t="shared" si="740"/>
        <v>0</v>
      </c>
      <c r="AS871" s="118">
        <f t="shared" si="740"/>
        <v>0</v>
      </c>
      <c r="AT871" s="401">
        <f t="shared" si="741"/>
        <v>200</v>
      </c>
      <c r="AU871" s="118">
        <f t="shared" si="741"/>
        <v>0</v>
      </c>
      <c r="AV871" s="118">
        <f t="shared" si="742"/>
        <v>0</v>
      </c>
      <c r="AW871" s="118">
        <f t="shared" si="742"/>
        <v>0</v>
      </c>
      <c r="AX871" s="118">
        <f t="shared" si="742"/>
        <v>0</v>
      </c>
      <c r="AY871" s="401">
        <f t="shared" si="743"/>
        <v>0</v>
      </c>
      <c r="AZ871" s="118">
        <f t="shared" si="743"/>
        <v>0</v>
      </c>
      <c r="BA871" s="118">
        <f t="shared" si="744"/>
        <v>0</v>
      </c>
      <c r="BB871" s="118">
        <f t="shared" si="744"/>
        <v>0</v>
      </c>
      <c r="BC871" s="118">
        <f t="shared" si="744"/>
        <v>0</v>
      </c>
      <c r="BD871" s="401">
        <f t="shared" si="745"/>
        <v>0</v>
      </c>
      <c r="BE871" s="118">
        <f t="shared" si="745"/>
        <v>0</v>
      </c>
      <c r="BF871" s="118">
        <f t="shared" si="746"/>
        <v>0</v>
      </c>
      <c r="BG871" s="118">
        <f t="shared" si="746"/>
        <v>0</v>
      </c>
      <c r="BH871" s="118">
        <f t="shared" si="746"/>
        <v>0</v>
      </c>
      <c r="BI871" s="401">
        <f t="shared" si="747"/>
        <v>0</v>
      </c>
      <c r="BJ871" s="971">
        <f t="shared" si="747"/>
        <v>0</v>
      </c>
      <c r="BK871" s="118">
        <f>BK710</f>
        <v>0</v>
      </c>
      <c r="BL871" s="118">
        <f>BL710</f>
        <v>0</v>
      </c>
      <c r="BM871" s="118">
        <f>BM710</f>
        <v>0</v>
      </c>
      <c r="BN871" s="401">
        <f t="shared" si="748"/>
        <v>0</v>
      </c>
      <c r="BO871" s="118">
        <f>BO710</f>
        <v>0</v>
      </c>
      <c r="BP871" s="118">
        <f>BP710</f>
        <v>0</v>
      </c>
      <c r="BQ871" s="118">
        <f>BQ710</f>
        <v>0</v>
      </c>
      <c r="BR871" s="118">
        <f>BR710</f>
        <v>0</v>
      </c>
      <c r="BS871" s="401">
        <f t="shared" si="749"/>
        <v>0</v>
      </c>
      <c r="BT871" s="401">
        <f>BT710</f>
        <v>1000</v>
      </c>
      <c r="BU871" s="401">
        <f>BU710</f>
        <v>1000</v>
      </c>
      <c r="BV871" s="401">
        <f>BV710</f>
        <v>1000</v>
      </c>
      <c r="BW871" s="122"/>
    </row>
    <row r="872" spans="1:75" s="123" customFormat="1" x14ac:dyDescent="0.5">
      <c r="A872" s="184" t="str">
        <f t="shared" si="750"/>
        <v>Repayment of borrowings</v>
      </c>
      <c r="B872" s="118"/>
      <c r="C872" s="401"/>
      <c r="D872" s="401"/>
      <c r="E872" s="401"/>
      <c r="F872" s="401">
        <f t="shared" si="725"/>
        <v>0</v>
      </c>
      <c r="G872" s="118">
        <f t="shared" si="725"/>
        <v>0</v>
      </c>
      <c r="H872" s="118">
        <f t="shared" si="726"/>
        <v>0</v>
      </c>
      <c r="I872" s="118">
        <f t="shared" si="726"/>
        <v>0</v>
      </c>
      <c r="J872" s="118">
        <f t="shared" si="726"/>
        <v>0</v>
      </c>
      <c r="K872" s="401">
        <f t="shared" si="727"/>
        <v>0</v>
      </c>
      <c r="L872" s="118">
        <f t="shared" si="727"/>
        <v>0</v>
      </c>
      <c r="M872" s="118">
        <f t="shared" si="728"/>
        <v>0</v>
      </c>
      <c r="N872" s="118">
        <f t="shared" si="728"/>
        <v>0</v>
      </c>
      <c r="O872" s="118">
        <f t="shared" si="728"/>
        <v>0</v>
      </c>
      <c r="P872" s="401">
        <f t="shared" si="729"/>
        <v>0</v>
      </c>
      <c r="Q872" s="118">
        <f t="shared" si="729"/>
        <v>0</v>
      </c>
      <c r="R872" s="118">
        <f t="shared" si="730"/>
        <v>0</v>
      </c>
      <c r="S872" s="118">
        <f t="shared" si="730"/>
        <v>0</v>
      </c>
      <c r="T872" s="118">
        <f t="shared" si="730"/>
        <v>0</v>
      </c>
      <c r="U872" s="401">
        <f t="shared" si="731"/>
        <v>0</v>
      </c>
      <c r="V872" s="118">
        <f t="shared" si="731"/>
        <v>0</v>
      </c>
      <c r="W872" s="118">
        <f t="shared" si="732"/>
        <v>0</v>
      </c>
      <c r="X872" s="118">
        <f t="shared" si="732"/>
        <v>0</v>
      </c>
      <c r="Y872" s="118">
        <f t="shared" si="732"/>
        <v>0</v>
      </c>
      <c r="Z872" s="401">
        <f t="shared" si="733"/>
        <v>0</v>
      </c>
      <c r="AA872" s="118">
        <f t="shared" si="733"/>
        <v>0</v>
      </c>
      <c r="AB872" s="118">
        <f t="shared" si="734"/>
        <v>0</v>
      </c>
      <c r="AC872" s="118">
        <f t="shared" si="734"/>
        <v>0</v>
      </c>
      <c r="AD872" s="118">
        <f t="shared" si="734"/>
        <v>0</v>
      </c>
      <c r="AE872" s="401">
        <f t="shared" si="735"/>
        <v>0</v>
      </c>
      <c r="AF872" s="118">
        <f t="shared" si="735"/>
        <v>0</v>
      </c>
      <c r="AG872" s="118">
        <f t="shared" si="736"/>
        <v>0</v>
      </c>
      <c r="AH872" s="118">
        <f t="shared" si="736"/>
        <v>0</v>
      </c>
      <c r="AI872" s="118">
        <f t="shared" si="736"/>
        <v>0</v>
      </c>
      <c r="AJ872" s="401">
        <f t="shared" si="737"/>
        <v>0</v>
      </c>
      <c r="AK872" s="118">
        <f t="shared" si="737"/>
        <v>0</v>
      </c>
      <c r="AL872" s="118">
        <f t="shared" si="738"/>
        <v>0</v>
      </c>
      <c r="AM872" s="118">
        <f t="shared" si="738"/>
        <v>0</v>
      </c>
      <c r="AN872" s="118">
        <f t="shared" si="738"/>
        <v>0</v>
      </c>
      <c r="AO872" s="401">
        <f t="shared" si="739"/>
        <v>0</v>
      </c>
      <c r="AP872" s="118">
        <f t="shared" si="739"/>
        <v>0</v>
      </c>
      <c r="AQ872" s="118">
        <f t="shared" si="740"/>
        <v>-200</v>
      </c>
      <c r="AR872" s="118">
        <f t="shared" si="740"/>
        <v>0</v>
      </c>
      <c r="AS872" s="118">
        <f t="shared" si="740"/>
        <v>0</v>
      </c>
      <c r="AT872" s="401">
        <f t="shared" si="741"/>
        <v>-200</v>
      </c>
      <c r="AU872" s="118">
        <f t="shared" si="741"/>
        <v>0</v>
      </c>
      <c r="AV872" s="118">
        <f t="shared" si="742"/>
        <v>0</v>
      </c>
      <c r="AW872" s="118">
        <f t="shared" si="742"/>
        <v>0</v>
      </c>
      <c r="AX872" s="118">
        <f t="shared" si="742"/>
        <v>0</v>
      </c>
      <c r="AY872" s="401">
        <f t="shared" si="743"/>
        <v>0</v>
      </c>
      <c r="AZ872" s="118">
        <f t="shared" si="743"/>
        <v>0</v>
      </c>
      <c r="BA872" s="118">
        <f t="shared" si="744"/>
        <v>0</v>
      </c>
      <c r="BB872" s="118">
        <f t="shared" si="744"/>
        <v>0</v>
      </c>
      <c r="BC872" s="118">
        <f t="shared" si="744"/>
        <v>0</v>
      </c>
      <c r="BD872" s="401">
        <f t="shared" si="745"/>
        <v>0</v>
      </c>
      <c r="BE872" s="118">
        <f t="shared" si="745"/>
        <v>0</v>
      </c>
      <c r="BF872" s="118">
        <f t="shared" si="746"/>
        <v>0</v>
      </c>
      <c r="BG872" s="118">
        <f t="shared" si="746"/>
        <v>0</v>
      </c>
      <c r="BH872" s="118">
        <f t="shared" si="746"/>
        <v>0</v>
      </c>
      <c r="BI872" s="401">
        <f t="shared" si="747"/>
        <v>0</v>
      </c>
      <c r="BJ872" s="971">
        <f t="shared" si="747"/>
        <v>0</v>
      </c>
      <c r="BK872" s="118"/>
      <c r="BL872" s="118"/>
      <c r="BM872" s="118"/>
      <c r="BN872" s="401">
        <f t="shared" si="748"/>
        <v>0</v>
      </c>
      <c r="BO872" s="118"/>
      <c r="BP872" s="118"/>
      <c r="BQ872" s="118"/>
      <c r="BR872" s="118"/>
      <c r="BS872" s="401">
        <f t="shared" si="749"/>
        <v>0</v>
      </c>
      <c r="BT872" s="401"/>
      <c r="BU872" s="401"/>
      <c r="BV872" s="401"/>
      <c r="BW872" s="122"/>
    </row>
    <row r="873" spans="1:75" s="123" customFormat="1" x14ac:dyDescent="0.5">
      <c r="A873" s="464" t="str">
        <f t="shared" si="750"/>
        <v>Premiums paid for capped call confirmations</v>
      </c>
      <c r="B873" s="118"/>
      <c r="C873" s="401"/>
      <c r="D873" s="401"/>
      <c r="E873" s="401"/>
      <c r="F873" s="674">
        <f t="shared" si="725"/>
        <v>0</v>
      </c>
      <c r="G873" s="122">
        <f t="shared" si="725"/>
        <v>0</v>
      </c>
      <c r="H873" s="122">
        <f t="shared" si="726"/>
        <v>0</v>
      </c>
      <c r="I873" s="122">
        <f t="shared" si="726"/>
        <v>0</v>
      </c>
      <c r="J873" s="122">
        <f t="shared" si="726"/>
        <v>0</v>
      </c>
      <c r="K873" s="674">
        <f t="shared" si="727"/>
        <v>0</v>
      </c>
      <c r="L873" s="122">
        <f t="shared" si="727"/>
        <v>0</v>
      </c>
      <c r="M873" s="122">
        <f t="shared" si="728"/>
        <v>0</v>
      </c>
      <c r="N873" s="122">
        <f t="shared" si="728"/>
        <v>0</v>
      </c>
      <c r="O873" s="122">
        <f t="shared" si="728"/>
        <v>0</v>
      </c>
      <c r="P873" s="674">
        <f t="shared" si="729"/>
        <v>0</v>
      </c>
      <c r="Q873" s="122">
        <f t="shared" si="729"/>
        <v>0</v>
      </c>
      <c r="R873" s="122">
        <f t="shared" si="730"/>
        <v>0</v>
      </c>
      <c r="S873" s="122">
        <f t="shared" si="730"/>
        <v>0</v>
      </c>
      <c r="T873" s="122">
        <f t="shared" si="730"/>
        <v>0</v>
      </c>
      <c r="U873" s="674">
        <f t="shared" si="731"/>
        <v>0</v>
      </c>
      <c r="V873" s="122">
        <f t="shared" si="731"/>
        <v>0</v>
      </c>
      <c r="W873" s="122">
        <f t="shared" si="732"/>
        <v>0</v>
      </c>
      <c r="X873" s="122">
        <f t="shared" si="732"/>
        <v>0</v>
      </c>
      <c r="Y873" s="122">
        <f t="shared" si="732"/>
        <v>0</v>
      </c>
      <c r="Z873" s="674">
        <f t="shared" si="733"/>
        <v>0</v>
      </c>
      <c r="AA873" s="122">
        <f t="shared" si="733"/>
        <v>0</v>
      </c>
      <c r="AB873" s="122">
        <f t="shared" si="734"/>
        <v>0</v>
      </c>
      <c r="AC873" s="122">
        <f t="shared" si="734"/>
        <v>-44.16</v>
      </c>
      <c r="AD873" s="122">
        <f t="shared" si="734"/>
        <v>0</v>
      </c>
      <c r="AE873" s="674">
        <f t="shared" si="735"/>
        <v>-44.16</v>
      </c>
      <c r="AF873" s="122">
        <f t="shared" si="735"/>
        <v>0</v>
      </c>
      <c r="AG873" s="122">
        <f t="shared" si="736"/>
        <v>0</v>
      </c>
      <c r="AH873" s="122">
        <f t="shared" si="736"/>
        <v>0</v>
      </c>
      <c r="AI873" s="122">
        <f t="shared" si="736"/>
        <v>-93.438000000000002</v>
      </c>
      <c r="AJ873" s="674">
        <f t="shared" si="737"/>
        <v>-93.438000000000002</v>
      </c>
      <c r="AK873" s="122">
        <f t="shared" si="737"/>
        <v>0</v>
      </c>
      <c r="AL873" s="122">
        <f t="shared" si="738"/>
        <v>0</v>
      </c>
      <c r="AM873" s="122">
        <f t="shared" si="738"/>
        <v>-145.72800000000001</v>
      </c>
      <c r="AN873" s="122">
        <f t="shared" si="738"/>
        <v>0</v>
      </c>
      <c r="AO873" s="674">
        <f t="shared" si="739"/>
        <v>-145.72800000000001</v>
      </c>
      <c r="AP873" s="122">
        <f t="shared" si="739"/>
        <v>0</v>
      </c>
      <c r="AQ873" s="122">
        <f t="shared" si="740"/>
        <v>0</v>
      </c>
      <c r="AR873" s="122">
        <f t="shared" si="740"/>
        <v>-255.024</v>
      </c>
      <c r="AS873" s="122">
        <f t="shared" si="740"/>
        <v>0</v>
      </c>
      <c r="AT873" s="674">
        <f t="shared" si="741"/>
        <v>-255.024</v>
      </c>
      <c r="AU873" s="122">
        <f t="shared" si="741"/>
        <v>0</v>
      </c>
      <c r="AV873" s="122">
        <f t="shared" si="742"/>
        <v>0</v>
      </c>
      <c r="AW873" s="122">
        <f t="shared" si="742"/>
        <v>0</v>
      </c>
      <c r="AX873" s="122">
        <f t="shared" si="742"/>
        <v>0</v>
      </c>
      <c r="AY873" s="674">
        <f t="shared" si="743"/>
        <v>0</v>
      </c>
      <c r="AZ873" s="122">
        <f t="shared" si="743"/>
        <v>0</v>
      </c>
      <c r="BA873" s="122">
        <f t="shared" si="744"/>
        <v>0</v>
      </c>
      <c r="BB873" s="122">
        <f t="shared" si="744"/>
        <v>-80</v>
      </c>
      <c r="BC873" s="122">
        <f t="shared" si="744"/>
        <v>0</v>
      </c>
      <c r="BD873" s="674">
        <f t="shared" si="745"/>
        <v>-80</v>
      </c>
      <c r="BE873" s="122">
        <f t="shared" si="745"/>
        <v>0</v>
      </c>
      <c r="BF873" s="122">
        <f t="shared" si="746"/>
        <v>-87</v>
      </c>
      <c r="BG873" s="122">
        <f t="shared" si="746"/>
        <v>0</v>
      </c>
      <c r="BH873" s="122">
        <f t="shared" si="746"/>
        <v>0</v>
      </c>
      <c r="BI873" s="674">
        <f t="shared" si="747"/>
        <v>-87</v>
      </c>
      <c r="BJ873" s="1274">
        <f t="shared" si="747"/>
        <v>0</v>
      </c>
      <c r="BK873" s="118">
        <f>BK391+BK408+BK442+BK425+BK459</f>
        <v>0</v>
      </c>
      <c r="BL873" s="118">
        <f>BL391+BL408+BL442+BL425+BL459</f>
        <v>0</v>
      </c>
      <c r="BM873" s="118">
        <f>BM391+BM408+BM442+BM425+BM459</f>
        <v>0</v>
      </c>
      <c r="BN873" s="401">
        <f t="shared" si="748"/>
        <v>0</v>
      </c>
      <c r="BO873" s="118">
        <f>BO391+BO408+BO442+BO425+BO459</f>
        <v>0</v>
      </c>
      <c r="BP873" s="118">
        <f>BP391+BP408+BP442+BP425+BP459</f>
        <v>0</v>
      </c>
      <c r="BQ873" s="118">
        <f>BQ391+BQ408+BQ442+BQ425+BQ459</f>
        <v>0</v>
      </c>
      <c r="BR873" s="118">
        <f>BR391+BR408+BR442+BR425+BR459</f>
        <v>0</v>
      </c>
      <c r="BS873" s="401">
        <f t="shared" si="749"/>
        <v>0</v>
      </c>
      <c r="BT873" s="401">
        <f>BT391+BT408+BT442+BT425+BT459</f>
        <v>0</v>
      </c>
      <c r="BU873" s="401">
        <f>BU391+BU408+BU442+BU425+BU459</f>
        <v>-690</v>
      </c>
      <c r="BV873" s="401">
        <f>BV391+BV408+BV442+BV425+BV459</f>
        <v>-690</v>
      </c>
      <c r="BW873" s="122"/>
    </row>
    <row r="874" spans="1:75" s="123" customFormat="1" x14ac:dyDescent="0.5">
      <c r="A874" s="464" t="str">
        <f t="shared" si="750"/>
        <v>Payment of principal upon maturity of convertible debt</v>
      </c>
      <c r="B874" s="118"/>
      <c r="C874" s="401"/>
      <c r="D874" s="401"/>
      <c r="E874" s="401"/>
      <c r="F874" s="674">
        <f t="shared" si="725"/>
        <v>0</v>
      </c>
      <c r="G874" s="122">
        <f t="shared" si="725"/>
        <v>0</v>
      </c>
      <c r="H874" s="122">
        <f t="shared" si="726"/>
        <v>0</v>
      </c>
      <c r="I874" s="122">
        <f t="shared" si="726"/>
        <v>0</v>
      </c>
      <c r="J874" s="122">
        <f t="shared" si="726"/>
        <v>0</v>
      </c>
      <c r="K874" s="674">
        <f t="shared" si="727"/>
        <v>0</v>
      </c>
      <c r="L874" s="122">
        <f t="shared" si="727"/>
        <v>0</v>
      </c>
      <c r="M874" s="122">
        <f t="shared" si="728"/>
        <v>0</v>
      </c>
      <c r="N874" s="122">
        <f t="shared" si="728"/>
        <v>0</v>
      </c>
      <c r="O874" s="122">
        <f t="shared" si="728"/>
        <v>0</v>
      </c>
      <c r="P874" s="674">
        <f t="shared" si="729"/>
        <v>0</v>
      </c>
      <c r="Q874" s="122">
        <f t="shared" si="729"/>
        <v>0</v>
      </c>
      <c r="R874" s="122">
        <f t="shared" si="730"/>
        <v>0</v>
      </c>
      <c r="S874" s="122">
        <f t="shared" si="730"/>
        <v>0</v>
      </c>
      <c r="T874" s="122">
        <f t="shared" si="730"/>
        <v>0</v>
      </c>
      <c r="U874" s="674">
        <f t="shared" si="731"/>
        <v>0</v>
      </c>
      <c r="V874" s="122">
        <f t="shared" si="731"/>
        <v>0</v>
      </c>
      <c r="W874" s="122">
        <f t="shared" si="732"/>
        <v>0</v>
      </c>
      <c r="X874" s="122">
        <f t="shared" si="732"/>
        <v>0</v>
      </c>
      <c r="Y874" s="122">
        <f t="shared" si="732"/>
        <v>0</v>
      </c>
      <c r="Z874" s="674">
        <f t="shared" si="733"/>
        <v>0</v>
      </c>
      <c r="AA874" s="122">
        <f t="shared" si="733"/>
        <v>0</v>
      </c>
      <c r="AB874" s="122">
        <f t="shared" si="734"/>
        <v>0</v>
      </c>
      <c r="AC874" s="122">
        <f t="shared" si="734"/>
        <v>0</v>
      </c>
      <c r="AD874" s="122">
        <f t="shared" si="734"/>
        <v>0</v>
      </c>
      <c r="AE874" s="674">
        <f t="shared" si="735"/>
        <v>0</v>
      </c>
      <c r="AF874" s="122">
        <f t="shared" si="735"/>
        <v>0</v>
      </c>
      <c r="AG874" s="122">
        <f t="shared" si="736"/>
        <v>0</v>
      </c>
      <c r="AH874" s="122">
        <f t="shared" si="736"/>
        <v>0</v>
      </c>
      <c r="AI874" s="122">
        <f t="shared" si="736"/>
        <v>0</v>
      </c>
      <c r="AJ874" s="674">
        <f t="shared" si="737"/>
        <v>0</v>
      </c>
      <c r="AK874" s="122">
        <f t="shared" si="737"/>
        <v>0</v>
      </c>
      <c r="AL874" s="122">
        <f t="shared" si="738"/>
        <v>0</v>
      </c>
      <c r="AM874" s="122">
        <f t="shared" si="738"/>
        <v>0</v>
      </c>
      <c r="AN874" s="122">
        <f t="shared" si="738"/>
        <v>0</v>
      </c>
      <c r="AO874" s="674">
        <f t="shared" si="739"/>
        <v>0</v>
      </c>
      <c r="AP874" s="122">
        <f t="shared" si="739"/>
        <v>0</v>
      </c>
      <c r="AQ874" s="122">
        <f t="shared" si="740"/>
        <v>0</v>
      </c>
      <c r="AR874" s="122">
        <f t="shared" si="740"/>
        <v>0</v>
      </c>
      <c r="AS874" s="122">
        <f t="shared" si="740"/>
        <v>0</v>
      </c>
      <c r="AT874" s="674">
        <f t="shared" si="741"/>
        <v>0</v>
      </c>
      <c r="AU874" s="122">
        <f t="shared" si="741"/>
        <v>0</v>
      </c>
      <c r="AV874" s="122">
        <f t="shared" si="742"/>
        <v>0</v>
      </c>
      <c r="AW874" s="122">
        <f t="shared" si="742"/>
        <v>0</v>
      </c>
      <c r="AX874" s="122">
        <f t="shared" si="742"/>
        <v>0</v>
      </c>
      <c r="AY874" s="674">
        <f t="shared" si="743"/>
        <v>0</v>
      </c>
      <c r="AZ874" s="122">
        <f t="shared" si="743"/>
        <v>0</v>
      </c>
      <c r="BA874" s="122">
        <f t="shared" si="744"/>
        <v>0</v>
      </c>
      <c r="BB874" s="122">
        <f t="shared" si="744"/>
        <v>-3</v>
      </c>
      <c r="BC874" s="122">
        <f t="shared" si="744"/>
        <v>0</v>
      </c>
      <c r="BD874" s="674">
        <f t="shared" si="745"/>
        <v>-3</v>
      </c>
      <c r="BE874" s="122">
        <f t="shared" si="745"/>
        <v>0</v>
      </c>
      <c r="BF874" s="122">
        <f t="shared" si="746"/>
        <v>0</v>
      </c>
      <c r="BG874" s="122">
        <f t="shared" si="746"/>
        <v>0</v>
      </c>
      <c r="BH874" s="122">
        <f t="shared" si="746"/>
        <v>0</v>
      </c>
      <c r="BI874" s="674">
        <f t="shared" si="747"/>
        <v>0</v>
      </c>
      <c r="BJ874" s="1274">
        <f t="shared" si="747"/>
        <v>0</v>
      </c>
      <c r="BK874" s="118"/>
      <c r="BL874" s="118"/>
      <c r="BM874" s="118"/>
      <c r="BN874" s="401">
        <f t="shared" si="748"/>
        <v>0</v>
      </c>
      <c r="BO874" s="118"/>
      <c r="BP874" s="118"/>
      <c r="BQ874" s="118"/>
      <c r="BR874" s="118"/>
      <c r="BS874" s="401">
        <f t="shared" si="749"/>
        <v>0</v>
      </c>
      <c r="BT874" s="401"/>
      <c r="BU874" s="401"/>
      <c r="BV874" s="401"/>
      <c r="BW874" s="122"/>
    </row>
    <row r="875" spans="1:75" s="123" customFormat="1" x14ac:dyDescent="0.5">
      <c r="A875" s="464" t="str">
        <f t="shared" si="750"/>
        <v>Payments to extinguish convertible debt</v>
      </c>
      <c r="B875" s="118"/>
      <c r="C875" s="401"/>
      <c r="D875" s="401"/>
      <c r="E875" s="401"/>
      <c r="F875" s="674">
        <f t="shared" si="725"/>
        <v>0</v>
      </c>
      <c r="G875" s="122">
        <f t="shared" si="725"/>
        <v>0</v>
      </c>
      <c r="H875" s="122">
        <f t="shared" si="726"/>
        <v>0</v>
      </c>
      <c r="I875" s="122">
        <f t="shared" si="726"/>
        <v>0</v>
      </c>
      <c r="J875" s="122">
        <f t="shared" si="726"/>
        <v>0</v>
      </c>
      <c r="K875" s="674">
        <f t="shared" si="727"/>
        <v>0</v>
      </c>
      <c r="L875" s="122">
        <f t="shared" si="727"/>
        <v>0</v>
      </c>
      <c r="M875" s="122">
        <f t="shared" si="728"/>
        <v>0</v>
      </c>
      <c r="N875" s="122">
        <f t="shared" si="728"/>
        <v>0</v>
      </c>
      <c r="O875" s="122">
        <f t="shared" si="728"/>
        <v>0</v>
      </c>
      <c r="P875" s="674">
        <f t="shared" si="729"/>
        <v>0</v>
      </c>
      <c r="Q875" s="122">
        <f t="shared" si="729"/>
        <v>0</v>
      </c>
      <c r="R875" s="122">
        <f t="shared" si="730"/>
        <v>0</v>
      </c>
      <c r="S875" s="122">
        <f t="shared" si="730"/>
        <v>0</v>
      </c>
      <c r="T875" s="122">
        <f t="shared" si="730"/>
        <v>0</v>
      </c>
      <c r="U875" s="674">
        <f t="shared" si="731"/>
        <v>0</v>
      </c>
      <c r="V875" s="122">
        <f t="shared" si="731"/>
        <v>0</v>
      </c>
      <c r="W875" s="122">
        <f t="shared" si="732"/>
        <v>0</v>
      </c>
      <c r="X875" s="122">
        <f t="shared" si="732"/>
        <v>0</v>
      </c>
      <c r="Y875" s="122">
        <f t="shared" si="732"/>
        <v>0</v>
      </c>
      <c r="Z875" s="674">
        <f t="shared" si="733"/>
        <v>0</v>
      </c>
      <c r="AA875" s="122">
        <f t="shared" si="733"/>
        <v>0</v>
      </c>
      <c r="AB875" s="122">
        <f t="shared" si="734"/>
        <v>0</v>
      </c>
      <c r="AC875" s="122">
        <f t="shared" si="734"/>
        <v>0</v>
      </c>
      <c r="AD875" s="122">
        <f t="shared" si="734"/>
        <v>0</v>
      </c>
      <c r="AE875" s="674">
        <f t="shared" si="735"/>
        <v>0</v>
      </c>
      <c r="AF875" s="122">
        <f t="shared" si="735"/>
        <v>0</v>
      </c>
      <c r="AG875" s="122">
        <f t="shared" si="736"/>
        <v>0</v>
      </c>
      <c r="AH875" s="122">
        <f t="shared" si="736"/>
        <v>0</v>
      </c>
      <c r="AI875" s="122">
        <f t="shared" si="736"/>
        <v>0</v>
      </c>
      <c r="AJ875" s="674">
        <f t="shared" si="737"/>
        <v>0</v>
      </c>
      <c r="AK875" s="122">
        <f t="shared" si="737"/>
        <v>0</v>
      </c>
      <c r="AL875" s="122">
        <f t="shared" si="738"/>
        <v>0</v>
      </c>
      <c r="AM875" s="122">
        <f t="shared" si="738"/>
        <v>0</v>
      </c>
      <c r="AN875" s="122">
        <f t="shared" si="738"/>
        <v>0</v>
      </c>
      <c r="AO875" s="674">
        <f t="shared" si="739"/>
        <v>0</v>
      </c>
      <c r="AP875" s="122">
        <f t="shared" si="739"/>
        <v>0</v>
      </c>
      <c r="AQ875" s="122">
        <f t="shared" si="740"/>
        <v>0</v>
      </c>
      <c r="AR875" s="122">
        <f t="shared" si="740"/>
        <v>-1040.3489999999999</v>
      </c>
      <c r="AS875" s="122">
        <f t="shared" si="740"/>
        <v>0</v>
      </c>
      <c r="AT875" s="674">
        <f t="shared" si="741"/>
        <v>-1040.3489999999999</v>
      </c>
      <c r="AU875" s="122">
        <f t="shared" si="741"/>
        <v>0</v>
      </c>
      <c r="AV875" s="122">
        <f t="shared" si="742"/>
        <v>0</v>
      </c>
      <c r="AW875" s="122">
        <f t="shared" si="742"/>
        <v>0</v>
      </c>
      <c r="AX875" s="122">
        <f t="shared" si="742"/>
        <v>0</v>
      </c>
      <c r="AY875" s="674">
        <f t="shared" si="743"/>
        <v>0</v>
      </c>
      <c r="AZ875" s="122">
        <f t="shared" si="743"/>
        <v>0</v>
      </c>
      <c r="BA875" s="122">
        <f t="shared" si="744"/>
        <v>0</v>
      </c>
      <c r="BB875" s="122">
        <f t="shared" si="744"/>
        <v>-504</v>
      </c>
      <c r="BC875" s="122">
        <f t="shared" si="744"/>
        <v>0</v>
      </c>
      <c r="BD875" s="674">
        <f t="shared" si="745"/>
        <v>-504</v>
      </c>
      <c r="BE875" s="122">
        <f t="shared" si="745"/>
        <v>0</v>
      </c>
      <c r="BF875" s="122">
        <f t="shared" si="746"/>
        <v>-514</v>
      </c>
      <c r="BG875" s="122">
        <f t="shared" si="746"/>
        <v>0</v>
      </c>
      <c r="BH875" s="122">
        <f t="shared" si="746"/>
        <v>0</v>
      </c>
      <c r="BI875" s="674">
        <f t="shared" si="747"/>
        <v>-514</v>
      </c>
      <c r="BJ875" s="1274">
        <f t="shared" si="747"/>
        <v>0</v>
      </c>
      <c r="BK875" s="118">
        <f>BK392+BK409+BK426+BK443+BK470+BK460</f>
        <v>0</v>
      </c>
      <c r="BL875" s="118">
        <f>BL392+BL409+BL426+BL443+BL470+BL460</f>
        <v>0</v>
      </c>
      <c r="BM875" s="118">
        <f>BM392+BM409+BM426+BM443+BM470+BM460</f>
        <v>-117</v>
      </c>
      <c r="BN875" s="401">
        <f t="shared" si="748"/>
        <v>-117</v>
      </c>
      <c r="BO875" s="118">
        <f>BO392+BO409+BO426+BO443+BO470+BO460</f>
        <v>0</v>
      </c>
      <c r="BP875" s="118">
        <f>BP392+BP409+BP426+BP443+BP470+BP460</f>
        <v>-38</v>
      </c>
      <c r="BQ875" s="118">
        <f>BQ392+BQ409+BQ426+BQ443+BQ470+BQ460</f>
        <v>0</v>
      </c>
      <c r="BR875" s="118">
        <f>BR392+BR409+BR426+BR443+BR470+BR460</f>
        <v>-754</v>
      </c>
      <c r="BS875" s="401">
        <f t="shared" si="749"/>
        <v>-792</v>
      </c>
      <c r="BT875" s="401">
        <f>BT392+BT409+BT426+BT443+BT470+BT460</f>
        <v>-949</v>
      </c>
      <c r="BU875" s="401">
        <f>BU392+BU409+BU426+BU443+BU470+BU460</f>
        <v>0</v>
      </c>
      <c r="BV875" s="401">
        <f>BV392+BV409+BV426+BV443+BV470+BV460</f>
        <v>0</v>
      </c>
      <c r="BW875" s="122"/>
    </row>
    <row r="876" spans="1:75" s="123" customFormat="1" x14ac:dyDescent="0.5">
      <c r="A876" s="464" t="str">
        <f t="shared" si="750"/>
        <v>Net proceeds from issuance of Series B convertible redeemable preferred units</v>
      </c>
      <c r="B876" s="118"/>
      <c r="C876" s="401"/>
      <c r="D876" s="401"/>
      <c r="E876" s="401"/>
      <c r="F876" s="674">
        <f t="shared" si="725"/>
        <v>0</v>
      </c>
      <c r="G876" s="122">
        <f t="shared" si="725"/>
        <v>0</v>
      </c>
      <c r="H876" s="122">
        <f t="shared" si="726"/>
        <v>0</v>
      </c>
      <c r="I876" s="122">
        <f t="shared" si="726"/>
        <v>0</v>
      </c>
      <c r="J876" s="122">
        <f t="shared" si="726"/>
        <v>0</v>
      </c>
      <c r="K876" s="674">
        <f t="shared" si="727"/>
        <v>0</v>
      </c>
      <c r="L876" s="122">
        <f t="shared" si="727"/>
        <v>154.774</v>
      </c>
      <c r="M876" s="122">
        <f t="shared" si="728"/>
        <v>0</v>
      </c>
      <c r="N876" s="122">
        <f t="shared" si="728"/>
        <v>0</v>
      </c>
      <c r="O876" s="122">
        <f t="shared" si="728"/>
        <v>0</v>
      </c>
      <c r="P876" s="674">
        <f t="shared" si="729"/>
        <v>154.774</v>
      </c>
      <c r="Q876" s="122">
        <f t="shared" si="729"/>
        <v>0</v>
      </c>
      <c r="R876" s="122">
        <f t="shared" si="730"/>
        <v>0</v>
      </c>
      <c r="S876" s="122">
        <f t="shared" si="730"/>
        <v>0</v>
      </c>
      <c r="T876" s="122">
        <f t="shared" si="730"/>
        <v>0</v>
      </c>
      <c r="U876" s="674">
        <f t="shared" si="731"/>
        <v>0</v>
      </c>
      <c r="V876" s="122">
        <f t="shared" si="731"/>
        <v>0</v>
      </c>
      <c r="W876" s="122">
        <f t="shared" si="732"/>
        <v>0</v>
      </c>
      <c r="X876" s="122">
        <f t="shared" si="732"/>
        <v>0</v>
      </c>
      <c r="Y876" s="122">
        <f t="shared" si="732"/>
        <v>0</v>
      </c>
      <c r="Z876" s="674">
        <f t="shared" si="733"/>
        <v>0</v>
      </c>
      <c r="AA876" s="122">
        <f t="shared" si="733"/>
        <v>0</v>
      </c>
      <c r="AB876" s="122">
        <f t="shared" si="734"/>
        <v>0</v>
      </c>
      <c r="AC876" s="122">
        <f t="shared" si="734"/>
        <v>0</v>
      </c>
      <c r="AD876" s="122">
        <f t="shared" si="734"/>
        <v>0</v>
      </c>
      <c r="AE876" s="674">
        <f t="shared" si="735"/>
        <v>0</v>
      </c>
      <c r="AF876" s="122">
        <f t="shared" si="735"/>
        <v>0</v>
      </c>
      <c r="AG876" s="122">
        <f t="shared" si="736"/>
        <v>0</v>
      </c>
      <c r="AH876" s="122">
        <f t="shared" si="736"/>
        <v>0</v>
      </c>
      <c r="AI876" s="122">
        <f t="shared" si="736"/>
        <v>0</v>
      </c>
      <c r="AJ876" s="674">
        <f t="shared" si="737"/>
        <v>0</v>
      </c>
      <c r="AK876" s="122">
        <f t="shared" si="737"/>
        <v>0</v>
      </c>
      <c r="AL876" s="122">
        <f t="shared" si="738"/>
        <v>0</v>
      </c>
      <c r="AM876" s="122">
        <f t="shared" si="738"/>
        <v>0</v>
      </c>
      <c r="AN876" s="122">
        <f t="shared" si="738"/>
        <v>0</v>
      </c>
      <c r="AO876" s="674">
        <f t="shared" si="739"/>
        <v>0</v>
      </c>
      <c r="AP876" s="122">
        <f t="shared" si="739"/>
        <v>0</v>
      </c>
      <c r="AQ876" s="122">
        <f t="shared" si="740"/>
        <v>0</v>
      </c>
      <c r="AR876" s="122">
        <f t="shared" si="740"/>
        <v>0</v>
      </c>
      <c r="AS876" s="122">
        <f t="shared" si="740"/>
        <v>0</v>
      </c>
      <c r="AT876" s="674">
        <f t="shared" si="741"/>
        <v>0</v>
      </c>
      <c r="AU876" s="122">
        <f t="shared" si="741"/>
        <v>0</v>
      </c>
      <c r="AV876" s="122">
        <f t="shared" si="742"/>
        <v>0</v>
      </c>
      <c r="AW876" s="122">
        <f t="shared" si="742"/>
        <v>0</v>
      </c>
      <c r="AX876" s="122">
        <f t="shared" si="742"/>
        <v>0</v>
      </c>
      <c r="AY876" s="674">
        <f t="shared" si="743"/>
        <v>0</v>
      </c>
      <c r="AZ876" s="122">
        <f t="shared" si="743"/>
        <v>0</v>
      </c>
      <c r="BA876" s="122">
        <f t="shared" si="744"/>
        <v>0</v>
      </c>
      <c r="BB876" s="122">
        <f t="shared" si="744"/>
        <v>0</v>
      </c>
      <c r="BC876" s="122">
        <f t="shared" si="744"/>
        <v>0</v>
      </c>
      <c r="BD876" s="674">
        <f t="shared" si="745"/>
        <v>0</v>
      </c>
      <c r="BE876" s="122">
        <f t="shared" si="745"/>
        <v>0</v>
      </c>
      <c r="BF876" s="122">
        <f t="shared" si="746"/>
        <v>0</v>
      </c>
      <c r="BG876" s="122">
        <f t="shared" si="746"/>
        <v>0</v>
      </c>
      <c r="BH876" s="122">
        <f t="shared" si="746"/>
        <v>0</v>
      </c>
      <c r="BI876" s="674">
        <f t="shared" si="747"/>
        <v>0</v>
      </c>
      <c r="BJ876" s="1274">
        <f t="shared" si="747"/>
        <v>0</v>
      </c>
      <c r="BK876" s="118"/>
      <c r="BL876" s="118"/>
      <c r="BM876" s="118"/>
      <c r="BN876" s="401">
        <f t="shared" si="748"/>
        <v>0</v>
      </c>
      <c r="BO876" s="118"/>
      <c r="BP876" s="118"/>
      <c r="BQ876" s="118"/>
      <c r="BR876" s="118"/>
      <c r="BS876" s="401">
        <f t="shared" si="749"/>
        <v>0</v>
      </c>
      <c r="BT876" s="401"/>
      <c r="BU876" s="401"/>
      <c r="BV876" s="401"/>
      <c r="BW876" s="122"/>
    </row>
    <row r="877" spans="1:75" s="123" customFormat="1" x14ac:dyDescent="0.5">
      <c r="A877" s="184" t="str">
        <f t="shared" si="750"/>
        <v>Repurchase of common units</v>
      </c>
      <c r="B877" s="118"/>
      <c r="C877" s="401"/>
      <c r="D877" s="401"/>
      <c r="E877" s="401"/>
      <c r="F877" s="401">
        <f t="shared" si="725"/>
        <v>0</v>
      </c>
      <c r="G877" s="118">
        <f t="shared" si="725"/>
        <v>0</v>
      </c>
      <c r="H877" s="118">
        <f t="shared" si="726"/>
        <v>0</v>
      </c>
      <c r="I877" s="118">
        <f t="shared" si="726"/>
        <v>0</v>
      </c>
      <c r="J877" s="118">
        <f t="shared" si="726"/>
        <v>0</v>
      </c>
      <c r="K877" s="401">
        <f t="shared" si="727"/>
        <v>0</v>
      </c>
      <c r="L877" s="118">
        <f t="shared" si="727"/>
        <v>-23.5</v>
      </c>
      <c r="M877" s="118">
        <f t="shared" si="728"/>
        <v>0</v>
      </c>
      <c r="N877" s="118">
        <f t="shared" si="728"/>
        <v>0</v>
      </c>
      <c r="O877" s="118">
        <f t="shared" si="728"/>
        <v>0</v>
      </c>
      <c r="P877" s="401">
        <f t="shared" si="729"/>
        <v>-23.5</v>
      </c>
      <c r="Q877" s="118">
        <f t="shared" si="729"/>
        <v>0</v>
      </c>
      <c r="R877" s="118">
        <f t="shared" si="730"/>
        <v>0</v>
      </c>
      <c r="S877" s="118">
        <f t="shared" si="730"/>
        <v>0</v>
      </c>
      <c r="T877" s="118">
        <f t="shared" si="730"/>
        <v>0</v>
      </c>
      <c r="U877" s="401">
        <f t="shared" si="731"/>
        <v>0</v>
      </c>
      <c r="V877" s="118">
        <f t="shared" si="731"/>
        <v>0</v>
      </c>
      <c r="W877" s="118">
        <f t="shared" si="732"/>
        <v>0</v>
      </c>
      <c r="X877" s="118">
        <f t="shared" si="732"/>
        <v>0</v>
      </c>
      <c r="Y877" s="118">
        <f t="shared" si="732"/>
        <v>0</v>
      </c>
      <c r="Z877" s="401">
        <f t="shared" si="733"/>
        <v>0</v>
      </c>
      <c r="AA877" s="118">
        <f t="shared" si="733"/>
        <v>0</v>
      </c>
      <c r="AB877" s="118">
        <f t="shared" si="734"/>
        <v>0</v>
      </c>
      <c r="AC877" s="118">
        <f t="shared" si="734"/>
        <v>0</v>
      </c>
      <c r="AD877" s="118">
        <f t="shared" si="734"/>
        <v>0</v>
      </c>
      <c r="AE877" s="401">
        <f t="shared" si="735"/>
        <v>0</v>
      </c>
      <c r="AF877" s="118">
        <f t="shared" si="735"/>
        <v>0</v>
      </c>
      <c r="AG877" s="118">
        <f t="shared" si="736"/>
        <v>0</v>
      </c>
      <c r="AH877" s="118">
        <f t="shared" si="736"/>
        <v>0</v>
      </c>
      <c r="AI877" s="118">
        <f t="shared" si="736"/>
        <v>0</v>
      </c>
      <c r="AJ877" s="401">
        <f t="shared" si="737"/>
        <v>0</v>
      </c>
      <c r="AK877" s="118">
        <f t="shared" si="737"/>
        <v>0</v>
      </c>
      <c r="AL877" s="118">
        <f t="shared" si="738"/>
        <v>0</v>
      </c>
      <c r="AM877" s="118">
        <f t="shared" si="738"/>
        <v>0</v>
      </c>
      <c r="AN877" s="118">
        <f t="shared" si="738"/>
        <v>0</v>
      </c>
      <c r="AO877" s="401">
        <f t="shared" si="739"/>
        <v>0</v>
      </c>
      <c r="AP877" s="118">
        <f t="shared" si="739"/>
        <v>0</v>
      </c>
      <c r="AQ877" s="118">
        <f t="shared" si="740"/>
        <v>0</v>
      </c>
      <c r="AR877" s="118">
        <f t="shared" si="740"/>
        <v>-280.23599999999999</v>
      </c>
      <c r="AS877" s="118">
        <f t="shared" si="740"/>
        <v>-100.00100000000003</v>
      </c>
      <c r="AT877" s="401">
        <f t="shared" si="741"/>
        <v>-380.23700000000002</v>
      </c>
      <c r="AU877" s="118">
        <f t="shared" si="741"/>
        <v>-0.188</v>
      </c>
      <c r="AV877" s="118">
        <f t="shared" si="742"/>
        <v>-300.02000000000004</v>
      </c>
      <c r="AW877" s="118">
        <f t="shared" si="742"/>
        <v>0</v>
      </c>
      <c r="AX877" s="118">
        <f t="shared" si="742"/>
        <v>0.20800000000002683</v>
      </c>
      <c r="AY877" s="401">
        <f t="shared" si="743"/>
        <v>-300</v>
      </c>
      <c r="AZ877" s="118">
        <f t="shared" si="743"/>
        <v>-75</v>
      </c>
      <c r="BA877" s="118">
        <f t="shared" si="744"/>
        <v>0</v>
      </c>
      <c r="BB877" s="118">
        <f t="shared" si="744"/>
        <v>0</v>
      </c>
      <c r="BC877" s="118">
        <f t="shared" si="744"/>
        <v>0</v>
      </c>
      <c r="BD877" s="401">
        <f t="shared" si="745"/>
        <v>-75</v>
      </c>
      <c r="BE877" s="118">
        <f t="shared" si="745"/>
        <v>0</v>
      </c>
      <c r="BF877" s="118">
        <f t="shared" si="746"/>
        <v>0</v>
      </c>
      <c r="BG877" s="118">
        <f t="shared" si="746"/>
        <v>0</v>
      </c>
      <c r="BH877" s="118">
        <f t="shared" si="746"/>
        <v>0</v>
      </c>
      <c r="BI877" s="401">
        <f t="shared" si="747"/>
        <v>0</v>
      </c>
      <c r="BJ877" s="971">
        <f t="shared" si="747"/>
        <v>0</v>
      </c>
      <c r="BK877" s="118">
        <f>BK712</f>
        <v>0</v>
      </c>
      <c r="BL877" s="118">
        <f>BL712</f>
        <v>0</v>
      </c>
      <c r="BM877" s="118">
        <f>BM712</f>
        <v>0</v>
      </c>
      <c r="BN877" s="401">
        <f t="shared" si="748"/>
        <v>0</v>
      </c>
      <c r="BO877" s="118">
        <f>BO712</f>
        <v>0</v>
      </c>
      <c r="BP877" s="118">
        <f>BP712</f>
        <v>0</v>
      </c>
      <c r="BQ877" s="118">
        <f>BQ712</f>
        <v>0</v>
      </c>
      <c r="BR877" s="118">
        <f>BR712</f>
        <v>0</v>
      </c>
      <c r="BS877" s="401">
        <f t="shared" si="749"/>
        <v>0</v>
      </c>
      <c r="BT877" s="401">
        <f>BT712</f>
        <v>0</v>
      </c>
      <c r="BU877" s="401">
        <f>BU712</f>
        <v>0</v>
      </c>
      <c r="BV877" s="401">
        <f>BV712</f>
        <v>0</v>
      </c>
      <c r="BW877" s="122"/>
    </row>
    <row r="878" spans="1:75" s="123" customFormat="1" x14ac:dyDescent="0.5">
      <c r="A878" s="464" t="str">
        <f t="shared" si="750"/>
        <v>Dividends paid to Series A convertible redeemable preferred holders</v>
      </c>
      <c r="B878" s="118"/>
      <c r="C878" s="401"/>
      <c r="D878" s="401"/>
      <c r="E878" s="401"/>
      <c r="F878" s="674">
        <f t="shared" si="725"/>
        <v>0</v>
      </c>
      <c r="G878" s="122">
        <f t="shared" si="725"/>
        <v>0</v>
      </c>
      <c r="H878" s="122">
        <f t="shared" si="726"/>
        <v>0</v>
      </c>
      <c r="I878" s="122">
        <f t="shared" si="726"/>
        <v>0</v>
      </c>
      <c r="J878" s="122">
        <f t="shared" si="726"/>
        <v>0</v>
      </c>
      <c r="K878" s="674">
        <f t="shared" si="727"/>
        <v>0</v>
      </c>
      <c r="L878" s="122">
        <f t="shared" si="727"/>
        <v>-15</v>
      </c>
      <c r="M878" s="122">
        <f t="shared" si="728"/>
        <v>0</v>
      </c>
      <c r="N878" s="122">
        <f t="shared" si="728"/>
        <v>0</v>
      </c>
      <c r="O878" s="122">
        <f t="shared" si="728"/>
        <v>-24.515999999999998</v>
      </c>
      <c r="P878" s="674">
        <f t="shared" si="729"/>
        <v>-39.515999999999998</v>
      </c>
      <c r="Q878" s="122">
        <f t="shared" si="729"/>
        <v>0</v>
      </c>
      <c r="R878" s="122">
        <f t="shared" si="730"/>
        <v>0</v>
      </c>
      <c r="S878" s="122">
        <f t="shared" si="730"/>
        <v>0</v>
      </c>
      <c r="T878" s="122">
        <f t="shared" si="730"/>
        <v>0</v>
      </c>
      <c r="U878" s="674">
        <f t="shared" si="731"/>
        <v>0</v>
      </c>
      <c r="V878" s="122">
        <f t="shared" si="731"/>
        <v>0</v>
      </c>
      <c r="W878" s="122">
        <f t="shared" si="732"/>
        <v>0</v>
      </c>
      <c r="X878" s="122">
        <f t="shared" si="732"/>
        <v>0</v>
      </c>
      <c r="Y878" s="122">
        <f t="shared" si="732"/>
        <v>0</v>
      </c>
      <c r="Z878" s="674">
        <f t="shared" si="733"/>
        <v>0</v>
      </c>
      <c r="AA878" s="122">
        <f t="shared" si="733"/>
        <v>0</v>
      </c>
      <c r="AB878" s="122">
        <f t="shared" si="734"/>
        <v>0</v>
      </c>
      <c r="AC878" s="122">
        <f t="shared" si="734"/>
        <v>0</v>
      </c>
      <c r="AD878" s="122">
        <f t="shared" si="734"/>
        <v>0</v>
      </c>
      <c r="AE878" s="674">
        <f t="shared" si="735"/>
        <v>0</v>
      </c>
      <c r="AF878" s="122">
        <f t="shared" si="735"/>
        <v>0</v>
      </c>
      <c r="AG878" s="122">
        <f t="shared" si="736"/>
        <v>0</v>
      </c>
      <c r="AH878" s="122">
        <f t="shared" si="736"/>
        <v>0</v>
      </c>
      <c r="AI878" s="122">
        <f t="shared" si="736"/>
        <v>0</v>
      </c>
      <c r="AJ878" s="674">
        <f t="shared" si="737"/>
        <v>0</v>
      </c>
      <c r="AK878" s="122">
        <f t="shared" si="737"/>
        <v>0</v>
      </c>
      <c r="AL878" s="122">
        <f t="shared" si="738"/>
        <v>0</v>
      </c>
      <c r="AM878" s="122">
        <f t="shared" si="738"/>
        <v>0</v>
      </c>
      <c r="AN878" s="122">
        <f t="shared" si="738"/>
        <v>0</v>
      </c>
      <c r="AO878" s="674">
        <f t="shared" si="739"/>
        <v>0</v>
      </c>
      <c r="AP878" s="122">
        <f t="shared" si="739"/>
        <v>0</v>
      </c>
      <c r="AQ878" s="122">
        <f t="shared" si="740"/>
        <v>0</v>
      </c>
      <c r="AR878" s="122">
        <f t="shared" si="740"/>
        <v>0</v>
      </c>
      <c r="AS878" s="122">
        <f t="shared" si="740"/>
        <v>0</v>
      </c>
      <c r="AT878" s="674">
        <f t="shared" si="741"/>
        <v>0</v>
      </c>
      <c r="AU878" s="122">
        <f t="shared" si="741"/>
        <v>0</v>
      </c>
      <c r="AV878" s="122">
        <f t="shared" si="742"/>
        <v>0</v>
      </c>
      <c r="AW878" s="122">
        <f t="shared" si="742"/>
        <v>0</v>
      </c>
      <c r="AX878" s="122">
        <f t="shared" si="742"/>
        <v>0</v>
      </c>
      <c r="AY878" s="674">
        <f t="shared" si="743"/>
        <v>0</v>
      </c>
      <c r="AZ878" s="122">
        <f t="shared" si="743"/>
        <v>0</v>
      </c>
      <c r="BA878" s="122">
        <f t="shared" si="744"/>
        <v>0</v>
      </c>
      <c r="BB878" s="122">
        <f t="shared" si="744"/>
        <v>0</v>
      </c>
      <c r="BC878" s="122">
        <f t="shared" si="744"/>
        <v>0</v>
      </c>
      <c r="BD878" s="674">
        <f t="shared" si="745"/>
        <v>0</v>
      </c>
      <c r="BE878" s="122">
        <f t="shared" si="745"/>
        <v>0</v>
      </c>
      <c r="BF878" s="122">
        <f t="shared" si="746"/>
        <v>0</v>
      </c>
      <c r="BG878" s="122">
        <f t="shared" si="746"/>
        <v>0</v>
      </c>
      <c r="BH878" s="122">
        <f t="shared" si="746"/>
        <v>0</v>
      </c>
      <c r="BI878" s="674">
        <f t="shared" si="747"/>
        <v>0</v>
      </c>
      <c r="BJ878" s="1274">
        <f t="shared" si="747"/>
        <v>0</v>
      </c>
      <c r="BK878" s="118"/>
      <c r="BL878" s="118"/>
      <c r="BM878" s="118"/>
      <c r="BN878" s="401">
        <f t="shared" si="748"/>
        <v>0</v>
      </c>
      <c r="BO878" s="118"/>
      <c r="BP878" s="118"/>
      <c r="BQ878" s="118"/>
      <c r="BR878" s="118"/>
      <c r="BS878" s="401">
        <f t="shared" si="749"/>
        <v>0</v>
      </c>
      <c r="BT878" s="401"/>
      <c r="BU878" s="401"/>
      <c r="BV878" s="401"/>
      <c r="BW878" s="122"/>
    </row>
    <row r="879" spans="1:75" s="123" customFormat="1" x14ac:dyDescent="0.5">
      <c r="A879" s="464" t="str">
        <f t="shared" si="750"/>
        <v>Repurchase of employee equity</v>
      </c>
      <c r="B879" s="118"/>
      <c r="C879" s="401"/>
      <c r="D879" s="401"/>
      <c r="E879" s="401"/>
      <c r="F879" s="674">
        <f t="shared" si="725"/>
        <v>0</v>
      </c>
      <c r="G879" s="122">
        <f t="shared" si="725"/>
        <v>0</v>
      </c>
      <c r="H879" s="122">
        <f t="shared" si="726"/>
        <v>0</v>
      </c>
      <c r="I879" s="122">
        <f t="shared" si="726"/>
        <v>0</v>
      </c>
      <c r="J879" s="122">
        <f t="shared" si="726"/>
        <v>0</v>
      </c>
      <c r="K879" s="674">
        <f t="shared" si="727"/>
        <v>0</v>
      </c>
      <c r="L879" s="122">
        <f t="shared" si="727"/>
        <v>-4.5540000000000003</v>
      </c>
      <c r="M879" s="122">
        <f t="shared" si="728"/>
        <v>-0.97399999999999931</v>
      </c>
      <c r="N879" s="122">
        <f t="shared" si="728"/>
        <v>0</v>
      </c>
      <c r="O879" s="122">
        <f t="shared" si="728"/>
        <v>0</v>
      </c>
      <c r="P879" s="674">
        <f t="shared" si="729"/>
        <v>-5.5279999999999996</v>
      </c>
      <c r="Q879" s="122">
        <f t="shared" si="729"/>
        <v>0</v>
      </c>
      <c r="R879" s="122">
        <f t="shared" si="730"/>
        <v>0</v>
      </c>
      <c r="S879" s="122">
        <f t="shared" si="730"/>
        <v>0</v>
      </c>
      <c r="T879" s="122">
        <f t="shared" si="730"/>
        <v>0</v>
      </c>
      <c r="U879" s="674">
        <f t="shared" si="731"/>
        <v>0</v>
      </c>
      <c r="V879" s="122">
        <f t="shared" si="731"/>
        <v>0</v>
      </c>
      <c r="W879" s="122">
        <f t="shared" si="732"/>
        <v>0</v>
      </c>
      <c r="X879" s="122">
        <f t="shared" si="732"/>
        <v>0</v>
      </c>
      <c r="Y879" s="122">
        <f t="shared" si="732"/>
        <v>0</v>
      </c>
      <c r="Z879" s="674">
        <f t="shared" si="733"/>
        <v>0</v>
      </c>
      <c r="AA879" s="122">
        <f t="shared" si="733"/>
        <v>0</v>
      </c>
      <c r="AB879" s="122">
        <f t="shared" si="734"/>
        <v>0</v>
      </c>
      <c r="AC879" s="122">
        <f t="shared" si="734"/>
        <v>0</v>
      </c>
      <c r="AD879" s="122">
        <f t="shared" si="734"/>
        <v>0</v>
      </c>
      <c r="AE879" s="674">
        <f t="shared" si="735"/>
        <v>0</v>
      </c>
      <c r="AF879" s="122">
        <f t="shared" si="735"/>
        <v>0</v>
      </c>
      <c r="AG879" s="122">
        <f t="shared" si="736"/>
        <v>0</v>
      </c>
      <c r="AH879" s="122">
        <f t="shared" si="736"/>
        <v>0</v>
      </c>
      <c r="AI879" s="122">
        <f t="shared" si="736"/>
        <v>0</v>
      </c>
      <c r="AJ879" s="674">
        <f t="shared" si="737"/>
        <v>0</v>
      </c>
      <c r="AK879" s="122">
        <f t="shared" si="737"/>
        <v>0</v>
      </c>
      <c r="AL879" s="122">
        <f t="shared" si="738"/>
        <v>0</v>
      </c>
      <c r="AM879" s="122">
        <f t="shared" si="738"/>
        <v>0</v>
      </c>
      <c r="AN879" s="122">
        <f t="shared" si="738"/>
        <v>0</v>
      </c>
      <c r="AO879" s="674">
        <f t="shared" si="739"/>
        <v>0</v>
      </c>
      <c r="AP879" s="122">
        <f t="shared" si="739"/>
        <v>0</v>
      </c>
      <c r="AQ879" s="122">
        <f t="shared" si="740"/>
        <v>0</v>
      </c>
      <c r="AR879" s="122">
        <f t="shared" si="740"/>
        <v>0</v>
      </c>
      <c r="AS879" s="122">
        <f t="shared" si="740"/>
        <v>0</v>
      </c>
      <c r="AT879" s="674">
        <f t="shared" si="741"/>
        <v>0</v>
      </c>
      <c r="AU879" s="122">
        <f t="shared" si="741"/>
        <v>0</v>
      </c>
      <c r="AV879" s="122">
        <f t="shared" si="742"/>
        <v>0</v>
      </c>
      <c r="AW879" s="122">
        <f t="shared" si="742"/>
        <v>0</v>
      </c>
      <c r="AX879" s="122">
        <f t="shared" si="742"/>
        <v>0</v>
      </c>
      <c r="AY879" s="674">
        <f t="shared" si="743"/>
        <v>0</v>
      </c>
      <c r="AZ879" s="122">
        <f t="shared" si="743"/>
        <v>0</v>
      </c>
      <c r="BA879" s="122">
        <f t="shared" si="744"/>
        <v>0</v>
      </c>
      <c r="BB879" s="122">
        <f t="shared" si="744"/>
        <v>0</v>
      </c>
      <c r="BC879" s="122">
        <f t="shared" si="744"/>
        <v>0</v>
      </c>
      <c r="BD879" s="674">
        <f t="shared" si="745"/>
        <v>0</v>
      </c>
      <c r="BE879" s="122">
        <f t="shared" si="745"/>
        <v>0</v>
      </c>
      <c r="BF879" s="122">
        <f t="shared" si="746"/>
        <v>0</v>
      </c>
      <c r="BG879" s="122">
        <f t="shared" si="746"/>
        <v>0</v>
      </c>
      <c r="BH879" s="122">
        <f t="shared" si="746"/>
        <v>0</v>
      </c>
      <c r="BI879" s="674">
        <f t="shared" si="747"/>
        <v>0</v>
      </c>
      <c r="BJ879" s="1274">
        <f t="shared" si="747"/>
        <v>0</v>
      </c>
      <c r="BK879" s="118"/>
      <c r="BL879" s="118"/>
      <c r="BM879" s="118"/>
      <c r="BN879" s="401">
        <f t="shared" si="748"/>
        <v>0</v>
      </c>
      <c r="BO879" s="118"/>
      <c r="BP879" s="118"/>
      <c r="BQ879" s="118"/>
      <c r="BR879" s="118"/>
      <c r="BS879" s="401">
        <f t="shared" si="749"/>
        <v>0</v>
      </c>
      <c r="BT879" s="401"/>
      <c r="BU879" s="401"/>
      <c r="BV879" s="401"/>
      <c r="BW879" s="122"/>
    </row>
    <row r="880" spans="1:75" s="123" customFormat="1" x14ac:dyDescent="0.5">
      <c r="A880" s="464" t="s">
        <v>2668</v>
      </c>
      <c r="B880" s="118"/>
      <c r="C880" s="401"/>
      <c r="D880" s="401"/>
      <c r="E880" s="401"/>
      <c r="F880" s="674">
        <f t="shared" si="725"/>
        <v>0</v>
      </c>
      <c r="G880" s="122">
        <f t="shared" si="725"/>
        <v>0</v>
      </c>
      <c r="H880" s="122">
        <f t="shared" si="726"/>
        <v>0</v>
      </c>
      <c r="I880" s="122">
        <f t="shared" si="726"/>
        <v>0</v>
      </c>
      <c r="J880" s="122">
        <f t="shared" si="726"/>
        <v>0</v>
      </c>
      <c r="K880" s="674">
        <f t="shared" si="727"/>
        <v>0</v>
      </c>
      <c r="L880" s="122">
        <f t="shared" si="727"/>
        <v>0</v>
      </c>
      <c r="M880" s="122">
        <f t="shared" si="728"/>
        <v>0</v>
      </c>
      <c r="N880" s="122">
        <f t="shared" si="728"/>
        <v>0</v>
      </c>
      <c r="O880" s="122">
        <f t="shared" si="728"/>
        <v>0</v>
      </c>
      <c r="P880" s="674">
        <f t="shared" si="729"/>
        <v>0</v>
      </c>
      <c r="Q880" s="122">
        <f t="shared" si="729"/>
        <v>0</v>
      </c>
      <c r="R880" s="122">
        <f t="shared" si="730"/>
        <v>0</v>
      </c>
      <c r="S880" s="122">
        <f t="shared" si="730"/>
        <v>0</v>
      </c>
      <c r="T880" s="122">
        <f t="shared" si="730"/>
        <v>0</v>
      </c>
      <c r="U880" s="674">
        <f t="shared" si="731"/>
        <v>0</v>
      </c>
      <c r="V880" s="122">
        <f t="shared" si="731"/>
        <v>0</v>
      </c>
      <c r="W880" s="122">
        <f t="shared" si="732"/>
        <v>0</v>
      </c>
      <c r="X880" s="122">
        <f t="shared" si="732"/>
        <v>0</v>
      </c>
      <c r="Y880" s="122">
        <f t="shared" si="732"/>
        <v>0</v>
      </c>
      <c r="Z880" s="674">
        <f t="shared" si="733"/>
        <v>0</v>
      </c>
      <c r="AA880" s="122">
        <f t="shared" si="733"/>
        <v>0</v>
      </c>
      <c r="AB880" s="122">
        <f t="shared" si="734"/>
        <v>0</v>
      </c>
      <c r="AC880" s="122">
        <f t="shared" si="734"/>
        <v>0</v>
      </c>
      <c r="AD880" s="122">
        <f t="shared" si="734"/>
        <v>0</v>
      </c>
      <c r="AE880" s="674">
        <f t="shared" si="735"/>
        <v>0</v>
      </c>
      <c r="AF880" s="122">
        <f t="shared" si="735"/>
        <v>0</v>
      </c>
      <c r="AG880" s="122">
        <f t="shared" si="736"/>
        <v>0</v>
      </c>
      <c r="AH880" s="122">
        <f t="shared" si="736"/>
        <v>0</v>
      </c>
      <c r="AI880" s="122">
        <f t="shared" si="736"/>
        <v>0</v>
      </c>
      <c r="AJ880" s="674">
        <f t="shared" si="737"/>
        <v>0</v>
      </c>
      <c r="AK880" s="122">
        <f t="shared" si="737"/>
        <v>0</v>
      </c>
      <c r="AL880" s="122">
        <f t="shared" si="738"/>
        <v>0</v>
      </c>
      <c r="AM880" s="122">
        <f t="shared" si="738"/>
        <v>0</v>
      </c>
      <c r="AN880" s="122">
        <f t="shared" si="738"/>
        <v>0</v>
      </c>
      <c r="AO880" s="674">
        <f t="shared" si="739"/>
        <v>0</v>
      </c>
      <c r="AP880" s="122">
        <f t="shared" si="739"/>
        <v>0</v>
      </c>
      <c r="AQ880" s="122">
        <f t="shared" si="740"/>
        <v>0</v>
      </c>
      <c r="AR880" s="122">
        <f t="shared" si="740"/>
        <v>0</v>
      </c>
      <c r="AS880" s="122">
        <f t="shared" si="740"/>
        <v>0</v>
      </c>
      <c r="AT880" s="674">
        <f t="shared" si="741"/>
        <v>0</v>
      </c>
      <c r="AU880" s="122">
        <f t="shared" si="741"/>
        <v>0</v>
      </c>
      <c r="AV880" s="122">
        <f t="shared" si="742"/>
        <v>0</v>
      </c>
      <c r="AW880" s="122">
        <f t="shared" si="742"/>
        <v>0</v>
      </c>
      <c r="AX880" s="122">
        <f t="shared" si="742"/>
        <v>0</v>
      </c>
      <c r="AY880" s="674">
        <f t="shared" si="743"/>
        <v>0</v>
      </c>
      <c r="AZ880" s="122">
        <f t="shared" si="743"/>
        <v>0</v>
      </c>
      <c r="BA880" s="122">
        <f t="shared" si="744"/>
        <v>0</v>
      </c>
      <c r="BB880" s="122">
        <f t="shared" si="744"/>
        <v>0</v>
      </c>
      <c r="BC880" s="122">
        <f t="shared" si="744"/>
        <v>0</v>
      </c>
      <c r="BD880" s="674">
        <f t="shared" si="745"/>
        <v>0</v>
      </c>
      <c r="BE880" s="122">
        <f t="shared" si="745"/>
        <v>0</v>
      </c>
      <c r="BF880" s="122">
        <f t="shared" si="746"/>
        <v>0</v>
      </c>
      <c r="BG880" s="122">
        <f t="shared" si="746"/>
        <v>0</v>
      </c>
      <c r="BH880" s="122">
        <f t="shared" si="746"/>
        <v>0</v>
      </c>
      <c r="BI880" s="674">
        <f t="shared" si="747"/>
        <v>0</v>
      </c>
      <c r="BJ880" s="1274">
        <f t="shared" si="747"/>
        <v>0</v>
      </c>
      <c r="BK880" s="118">
        <f ca="1">BK706</f>
        <v>0</v>
      </c>
      <c r="BL880" s="118">
        <f ca="1">BL706</f>
        <v>0</v>
      </c>
      <c r="BM880" s="118">
        <f ca="1">BM706</f>
        <v>0</v>
      </c>
      <c r="BN880" s="401">
        <f t="shared" ca="1" si="748"/>
        <v>0</v>
      </c>
      <c r="BO880" s="118">
        <f ca="1">BO706</f>
        <v>0</v>
      </c>
      <c r="BP880" s="118">
        <f ca="1">BP706</f>
        <v>0</v>
      </c>
      <c r="BQ880" s="118">
        <f ca="1">BQ706</f>
        <v>0</v>
      </c>
      <c r="BR880" s="118">
        <f ca="1">BR706</f>
        <v>0</v>
      </c>
      <c r="BS880" s="401">
        <f t="shared" ca="1" si="749"/>
        <v>0</v>
      </c>
      <c r="BT880" s="401">
        <f ca="1">BT706</f>
        <v>0</v>
      </c>
      <c r="BU880" s="401">
        <f ca="1">BU706</f>
        <v>0</v>
      </c>
      <c r="BV880" s="401">
        <f ca="1">BV706</f>
        <v>0</v>
      </c>
      <c r="BW880" s="122"/>
    </row>
    <row r="881" spans="1:75" s="123" customFormat="1" x14ac:dyDescent="0.5">
      <c r="A881" s="464" t="s">
        <v>1542</v>
      </c>
      <c r="B881" s="118"/>
      <c r="C881" s="401"/>
      <c r="D881" s="401"/>
      <c r="E881" s="401"/>
      <c r="F881" s="674">
        <f t="shared" si="725"/>
        <v>0.7</v>
      </c>
      <c r="G881" s="122">
        <f t="shared" si="725"/>
        <v>0</v>
      </c>
      <c r="H881" s="122">
        <f t="shared" si="726"/>
        <v>0</v>
      </c>
      <c r="I881" s="122">
        <f t="shared" si="726"/>
        <v>0</v>
      </c>
      <c r="J881" s="122">
        <f t="shared" si="726"/>
        <v>0</v>
      </c>
      <c r="K881" s="674">
        <f t="shared" si="727"/>
        <v>0</v>
      </c>
      <c r="L881" s="122">
        <f t="shared" si="727"/>
        <v>0</v>
      </c>
      <c r="M881" s="122">
        <f t="shared" si="728"/>
        <v>0</v>
      </c>
      <c r="N881" s="122">
        <f t="shared" si="728"/>
        <v>0</v>
      </c>
      <c r="O881" s="122">
        <f t="shared" si="728"/>
        <v>0</v>
      </c>
      <c r="P881" s="674">
        <f t="shared" si="729"/>
        <v>0</v>
      </c>
      <c r="Q881" s="122">
        <f t="shared" si="729"/>
        <v>0</v>
      </c>
      <c r="R881" s="122">
        <f t="shared" si="730"/>
        <v>0</v>
      </c>
      <c r="S881" s="122">
        <f t="shared" si="730"/>
        <v>0</v>
      </c>
      <c r="T881" s="122">
        <f t="shared" si="730"/>
        <v>0</v>
      </c>
      <c r="U881" s="674">
        <f t="shared" si="731"/>
        <v>0</v>
      </c>
      <c r="V881" s="122">
        <f t="shared" si="731"/>
        <v>0</v>
      </c>
      <c r="W881" s="122">
        <f t="shared" si="732"/>
        <v>0</v>
      </c>
      <c r="X881" s="122">
        <f t="shared" si="732"/>
        <v>0</v>
      </c>
      <c r="Y881" s="122">
        <f t="shared" si="732"/>
        <v>0</v>
      </c>
      <c r="Z881" s="674">
        <f t="shared" si="733"/>
        <v>0</v>
      </c>
      <c r="AA881" s="122">
        <f t="shared" si="733"/>
        <v>0</v>
      </c>
      <c r="AB881" s="122">
        <f t="shared" si="734"/>
        <v>0</v>
      </c>
      <c r="AC881" s="122">
        <f t="shared" si="734"/>
        <v>0</v>
      </c>
      <c r="AD881" s="122">
        <f t="shared" si="734"/>
        <v>0</v>
      </c>
      <c r="AE881" s="674">
        <f t="shared" si="735"/>
        <v>0</v>
      </c>
      <c r="AF881" s="122">
        <f t="shared" si="735"/>
        <v>0</v>
      </c>
      <c r="AG881" s="122">
        <f t="shared" si="736"/>
        <v>0</v>
      </c>
      <c r="AH881" s="122">
        <f t="shared" si="736"/>
        <v>0</v>
      </c>
      <c r="AI881" s="122">
        <f t="shared" si="736"/>
        <v>0</v>
      </c>
      <c r="AJ881" s="674">
        <f t="shared" si="737"/>
        <v>0</v>
      </c>
      <c r="AK881" s="122">
        <f t="shared" si="737"/>
        <v>0</v>
      </c>
      <c r="AL881" s="122">
        <f t="shared" si="738"/>
        <v>0</v>
      </c>
      <c r="AM881" s="122">
        <f t="shared" si="738"/>
        <v>0</v>
      </c>
      <c r="AN881" s="122">
        <f t="shared" si="738"/>
        <v>0</v>
      </c>
      <c r="AO881" s="674">
        <f t="shared" si="739"/>
        <v>0</v>
      </c>
      <c r="AP881" s="122">
        <f t="shared" si="739"/>
        <v>0</v>
      </c>
      <c r="AQ881" s="122">
        <f t="shared" si="740"/>
        <v>0</v>
      </c>
      <c r="AR881" s="122">
        <f t="shared" si="740"/>
        <v>0</v>
      </c>
      <c r="AS881" s="122">
        <f t="shared" si="740"/>
        <v>0</v>
      </c>
      <c r="AT881" s="674">
        <f t="shared" si="741"/>
        <v>0</v>
      </c>
      <c r="AU881" s="122">
        <f t="shared" si="741"/>
        <v>0</v>
      </c>
      <c r="AV881" s="122">
        <f t="shared" si="742"/>
        <v>0</v>
      </c>
      <c r="AW881" s="122">
        <f t="shared" si="742"/>
        <v>0</v>
      </c>
      <c r="AX881" s="122">
        <f t="shared" si="742"/>
        <v>0</v>
      </c>
      <c r="AY881" s="674">
        <f t="shared" si="743"/>
        <v>0</v>
      </c>
      <c r="AZ881" s="122">
        <f t="shared" si="743"/>
        <v>0</v>
      </c>
      <c r="BA881" s="122">
        <f t="shared" si="744"/>
        <v>0</v>
      </c>
      <c r="BB881" s="122">
        <f t="shared" si="744"/>
        <v>0</v>
      </c>
      <c r="BC881" s="122">
        <f t="shared" si="744"/>
        <v>0</v>
      </c>
      <c r="BD881" s="674">
        <f t="shared" si="745"/>
        <v>0</v>
      </c>
      <c r="BE881" s="122">
        <f t="shared" si="745"/>
        <v>0</v>
      </c>
      <c r="BF881" s="122">
        <f t="shared" si="746"/>
        <v>0</v>
      </c>
      <c r="BG881" s="122">
        <f t="shared" si="746"/>
        <v>0</v>
      </c>
      <c r="BH881" s="122">
        <f t="shared" si="746"/>
        <v>0</v>
      </c>
      <c r="BI881" s="674">
        <f t="shared" si="747"/>
        <v>0</v>
      </c>
      <c r="BJ881" s="1274">
        <f t="shared" si="747"/>
        <v>0</v>
      </c>
      <c r="BK881" s="118"/>
      <c r="BL881" s="118"/>
      <c r="BM881" s="118"/>
      <c r="BN881" s="401">
        <f t="shared" si="748"/>
        <v>0</v>
      </c>
      <c r="BO881" s="118"/>
      <c r="BP881" s="118"/>
      <c r="BQ881" s="118"/>
      <c r="BR881" s="118"/>
      <c r="BS881" s="401">
        <f t="shared" si="749"/>
        <v>0</v>
      </c>
      <c r="BT881" s="401"/>
      <c r="BU881" s="401"/>
      <c r="BV881" s="401"/>
      <c r="BW881" s="122"/>
    </row>
    <row r="882" spans="1:75" s="123" customFormat="1" x14ac:dyDescent="0.5">
      <c r="A882" s="464" t="str">
        <f>A819</f>
        <v>Other financing activities</v>
      </c>
      <c r="B882" s="118"/>
      <c r="C882" s="401"/>
      <c r="D882" s="401"/>
      <c r="E882" s="401"/>
      <c r="F882" s="674">
        <f t="shared" ref="F882:G883" si="751">F819</f>
        <v>0</v>
      </c>
      <c r="G882" s="122">
        <f t="shared" si="751"/>
        <v>0</v>
      </c>
      <c r="H882" s="122">
        <f t="shared" ref="H882:J883" si="752">H819-G819</f>
        <v>0</v>
      </c>
      <c r="I882" s="122">
        <f t="shared" si="752"/>
        <v>0</v>
      </c>
      <c r="J882" s="122">
        <f t="shared" si="752"/>
        <v>0</v>
      </c>
      <c r="K882" s="674">
        <f t="shared" ref="K882:L883" si="753">K819</f>
        <v>0</v>
      </c>
      <c r="L882" s="122">
        <f t="shared" si="753"/>
        <v>0</v>
      </c>
      <c r="M882" s="122">
        <f t="shared" ref="M882:O883" si="754">M819-L819</f>
        <v>0</v>
      </c>
      <c r="N882" s="122">
        <f t="shared" si="754"/>
        <v>0</v>
      </c>
      <c r="O882" s="122">
        <f t="shared" si="754"/>
        <v>0</v>
      </c>
      <c r="P882" s="674">
        <f t="shared" ref="P882:Q883" si="755">P819</f>
        <v>0</v>
      </c>
      <c r="Q882" s="122">
        <f t="shared" si="755"/>
        <v>0</v>
      </c>
      <c r="R882" s="122">
        <f t="shared" ref="R882:T883" si="756">R819-Q819</f>
        <v>0</v>
      </c>
      <c r="S882" s="122">
        <f t="shared" si="756"/>
        <v>0</v>
      </c>
      <c r="T882" s="122">
        <f t="shared" si="756"/>
        <v>0</v>
      </c>
      <c r="U882" s="674">
        <f t="shared" ref="U882:V883" si="757">U819</f>
        <v>0</v>
      </c>
      <c r="V882" s="122">
        <f t="shared" si="757"/>
        <v>0</v>
      </c>
      <c r="W882" s="122">
        <f t="shared" ref="W882:Y883" si="758">W819-V819</f>
        <v>0</v>
      </c>
      <c r="X882" s="122">
        <f t="shared" si="758"/>
        <v>0</v>
      </c>
      <c r="Y882" s="122">
        <f t="shared" si="758"/>
        <v>0</v>
      </c>
      <c r="Z882" s="674">
        <f t="shared" ref="Z882:AA883" si="759">Z819</f>
        <v>0</v>
      </c>
      <c r="AA882" s="122">
        <f t="shared" si="759"/>
        <v>0</v>
      </c>
      <c r="AB882" s="122">
        <f t="shared" ref="AB882:AD883" si="760">AB819-AA819</f>
        <v>0</v>
      </c>
      <c r="AC882" s="122">
        <f t="shared" si="760"/>
        <v>0</v>
      </c>
      <c r="AD882" s="122">
        <f t="shared" si="760"/>
        <v>0</v>
      </c>
      <c r="AE882" s="674">
        <f t="shared" ref="AE882:AF883" si="761">AE819</f>
        <v>0</v>
      </c>
      <c r="AF882" s="122">
        <f t="shared" si="761"/>
        <v>0</v>
      </c>
      <c r="AG882" s="122">
        <f t="shared" ref="AG882:AI883" si="762">AG819-AF819</f>
        <v>0</v>
      </c>
      <c r="AH882" s="122">
        <f t="shared" si="762"/>
        <v>0</v>
      </c>
      <c r="AI882" s="122">
        <f t="shared" si="762"/>
        <v>0</v>
      </c>
      <c r="AJ882" s="674">
        <f t="shared" ref="AJ882:AK883" si="763">AJ819</f>
        <v>0</v>
      </c>
      <c r="AK882" s="122">
        <f t="shared" si="763"/>
        <v>0</v>
      </c>
      <c r="AL882" s="122">
        <f t="shared" ref="AL882:AN883" si="764">AL819-AK819</f>
        <v>0</v>
      </c>
      <c r="AM882" s="122">
        <f t="shared" si="764"/>
        <v>0</v>
      </c>
      <c r="AN882" s="122">
        <f t="shared" si="764"/>
        <v>0</v>
      </c>
      <c r="AO882" s="674">
        <f t="shared" ref="AO882:AP883" si="765">AO819</f>
        <v>0</v>
      </c>
      <c r="AP882" s="122">
        <f t="shared" si="765"/>
        <v>0</v>
      </c>
      <c r="AQ882" s="122">
        <f t="shared" ref="AQ882:AS883" si="766">AQ819-AP819</f>
        <v>0</v>
      </c>
      <c r="AR882" s="122">
        <f t="shared" si="766"/>
        <v>0.38</v>
      </c>
      <c r="AS882" s="122">
        <f t="shared" si="766"/>
        <v>0.06</v>
      </c>
      <c r="AT882" s="674">
        <f t="shared" ref="AT882:AU883" si="767">AT819</f>
        <v>0.44</v>
      </c>
      <c r="AU882" s="122">
        <f t="shared" si="767"/>
        <v>4.4999999999999998E-2</v>
      </c>
      <c r="AV882" s="122">
        <f t="shared" ref="AV882:AX883" si="768">AV819-AU819</f>
        <v>1.1000000000000003E-2</v>
      </c>
      <c r="AW882" s="122">
        <f t="shared" si="768"/>
        <v>-2.504</v>
      </c>
      <c r="AX882" s="122">
        <f t="shared" si="768"/>
        <v>-0.55200000000000005</v>
      </c>
      <c r="AY882" s="674">
        <f t="shared" ref="AY882:AZ883" si="769">AY819</f>
        <v>-3</v>
      </c>
      <c r="AZ882" s="122">
        <f t="shared" si="769"/>
        <v>0</v>
      </c>
      <c r="BA882" s="122">
        <f t="shared" ref="BA882:BC883" si="770">BA819-AZ819</f>
        <v>0</v>
      </c>
      <c r="BB882" s="122">
        <f t="shared" si="770"/>
        <v>0</v>
      </c>
      <c r="BC882" s="122">
        <f t="shared" si="770"/>
        <v>0</v>
      </c>
      <c r="BD882" s="674">
        <f t="shared" ref="BD882:BE883" si="771">BD819</f>
        <v>0</v>
      </c>
      <c r="BE882" s="122">
        <f t="shared" si="771"/>
        <v>0</v>
      </c>
      <c r="BF882" s="122">
        <f t="shared" ref="BF882:BH883" si="772">BF819-BE819</f>
        <v>0</v>
      </c>
      <c r="BG882" s="122">
        <f t="shared" si="772"/>
        <v>0</v>
      </c>
      <c r="BH882" s="122">
        <f t="shared" si="772"/>
        <v>0</v>
      </c>
      <c r="BI882" s="674">
        <f t="shared" ref="BI882:BJ883" si="773">BI819</f>
        <v>0</v>
      </c>
      <c r="BJ882" s="1274">
        <f t="shared" si="773"/>
        <v>0</v>
      </c>
      <c r="BK882" s="118"/>
      <c r="BL882" s="118"/>
      <c r="BM882" s="118"/>
      <c r="BN882" s="401">
        <f t="shared" si="748"/>
        <v>0</v>
      </c>
      <c r="BO882" s="118"/>
      <c r="BP882" s="118"/>
      <c r="BQ882" s="118"/>
      <c r="BR882" s="118"/>
      <c r="BS882" s="401">
        <f t="shared" si="749"/>
        <v>0</v>
      </c>
      <c r="BT882" s="401"/>
      <c r="BU882" s="401"/>
      <c r="BV882" s="401"/>
      <c r="BW882" s="122"/>
    </row>
    <row r="883" spans="1:75" s="123" customFormat="1" x14ac:dyDescent="0.5">
      <c r="A883" s="1292" t="str">
        <f>A820</f>
        <v>Proceeds from initial public offering, net of fees</v>
      </c>
      <c r="B883" s="723"/>
      <c r="C883" s="406"/>
      <c r="D883" s="406"/>
      <c r="E883" s="406"/>
      <c r="F883" s="1293">
        <f t="shared" si="751"/>
        <v>0</v>
      </c>
      <c r="G883" s="431">
        <f t="shared" si="751"/>
        <v>0</v>
      </c>
      <c r="H883" s="431">
        <f t="shared" si="752"/>
        <v>0</v>
      </c>
      <c r="I883" s="431">
        <f t="shared" si="752"/>
        <v>0</v>
      </c>
      <c r="J883" s="431">
        <f t="shared" si="752"/>
        <v>0</v>
      </c>
      <c r="K883" s="1293">
        <f t="shared" si="753"/>
        <v>0</v>
      </c>
      <c r="L883" s="431">
        <f t="shared" si="753"/>
        <v>0</v>
      </c>
      <c r="M883" s="431">
        <f t="shared" si="754"/>
        <v>0</v>
      </c>
      <c r="N883" s="431">
        <f t="shared" si="754"/>
        <v>0</v>
      </c>
      <c r="O883" s="431">
        <f t="shared" si="754"/>
        <v>282.89299999999997</v>
      </c>
      <c r="P883" s="1293">
        <f t="shared" si="755"/>
        <v>282.89299999999997</v>
      </c>
      <c r="Q883" s="431">
        <f t="shared" si="755"/>
        <v>0</v>
      </c>
      <c r="R883" s="431">
        <f t="shared" si="756"/>
        <v>0</v>
      </c>
      <c r="S883" s="431">
        <f t="shared" si="756"/>
        <v>0</v>
      </c>
      <c r="T883" s="431">
        <f t="shared" si="756"/>
        <v>0</v>
      </c>
      <c r="U883" s="1293">
        <f t="shared" si="757"/>
        <v>0</v>
      </c>
      <c r="V883" s="431">
        <f t="shared" si="757"/>
        <v>0</v>
      </c>
      <c r="W883" s="431">
        <f t="shared" si="758"/>
        <v>0</v>
      </c>
      <c r="X883" s="431">
        <f t="shared" si="758"/>
        <v>0</v>
      </c>
      <c r="Y883" s="431">
        <f t="shared" si="758"/>
        <v>0</v>
      </c>
      <c r="Z883" s="1293">
        <f t="shared" si="759"/>
        <v>0</v>
      </c>
      <c r="AA883" s="431">
        <f t="shared" si="759"/>
        <v>0</v>
      </c>
      <c r="AB883" s="431">
        <f t="shared" si="760"/>
        <v>0</v>
      </c>
      <c r="AC883" s="431">
        <f t="shared" si="760"/>
        <v>0</v>
      </c>
      <c r="AD883" s="431">
        <f t="shared" si="760"/>
        <v>0</v>
      </c>
      <c r="AE883" s="1293">
        <f t="shared" si="761"/>
        <v>0</v>
      </c>
      <c r="AF883" s="431">
        <f t="shared" si="761"/>
        <v>0</v>
      </c>
      <c r="AG883" s="431">
        <f t="shared" si="762"/>
        <v>0</v>
      </c>
      <c r="AH883" s="431">
        <f t="shared" si="762"/>
        <v>0</v>
      </c>
      <c r="AI883" s="431">
        <f t="shared" si="762"/>
        <v>0</v>
      </c>
      <c r="AJ883" s="1293">
        <f t="shared" si="763"/>
        <v>0</v>
      </c>
      <c r="AK883" s="431">
        <f t="shared" si="763"/>
        <v>0</v>
      </c>
      <c r="AL883" s="431">
        <f t="shared" si="764"/>
        <v>0</v>
      </c>
      <c r="AM883" s="431">
        <f t="shared" si="764"/>
        <v>0</v>
      </c>
      <c r="AN883" s="431">
        <f t="shared" si="764"/>
        <v>0</v>
      </c>
      <c r="AO883" s="1293">
        <f t="shared" si="765"/>
        <v>0</v>
      </c>
      <c r="AP883" s="431">
        <f t="shared" si="765"/>
        <v>0</v>
      </c>
      <c r="AQ883" s="431">
        <f t="shared" si="766"/>
        <v>0</v>
      </c>
      <c r="AR883" s="431">
        <f t="shared" si="766"/>
        <v>0</v>
      </c>
      <c r="AS883" s="431">
        <f t="shared" si="766"/>
        <v>0</v>
      </c>
      <c r="AT883" s="1293">
        <f t="shared" si="767"/>
        <v>0</v>
      </c>
      <c r="AU883" s="431">
        <f t="shared" si="767"/>
        <v>0</v>
      </c>
      <c r="AV883" s="431">
        <f t="shared" si="768"/>
        <v>0</v>
      </c>
      <c r="AW883" s="431">
        <f t="shared" si="768"/>
        <v>0</v>
      </c>
      <c r="AX883" s="431">
        <f t="shared" si="768"/>
        <v>0</v>
      </c>
      <c r="AY883" s="1293">
        <f t="shared" si="769"/>
        <v>0</v>
      </c>
      <c r="AZ883" s="431">
        <f t="shared" si="769"/>
        <v>0</v>
      </c>
      <c r="BA883" s="431">
        <f t="shared" si="770"/>
        <v>0</v>
      </c>
      <c r="BB883" s="431">
        <f t="shared" si="770"/>
        <v>0</v>
      </c>
      <c r="BC883" s="431">
        <f t="shared" si="770"/>
        <v>0</v>
      </c>
      <c r="BD883" s="1293">
        <f t="shared" si="771"/>
        <v>0</v>
      </c>
      <c r="BE883" s="431">
        <f t="shared" si="771"/>
        <v>0</v>
      </c>
      <c r="BF883" s="431">
        <f t="shared" si="772"/>
        <v>0</v>
      </c>
      <c r="BG883" s="431">
        <f t="shared" si="772"/>
        <v>0</v>
      </c>
      <c r="BH883" s="431">
        <f t="shared" si="772"/>
        <v>0</v>
      </c>
      <c r="BI883" s="1293">
        <f t="shared" si="773"/>
        <v>0</v>
      </c>
      <c r="BJ883" s="1294">
        <f t="shared" si="773"/>
        <v>0</v>
      </c>
      <c r="BK883" s="723"/>
      <c r="BL883" s="723"/>
      <c r="BM883" s="723"/>
      <c r="BN883" s="406">
        <f t="shared" si="748"/>
        <v>0</v>
      </c>
      <c r="BO883" s="723"/>
      <c r="BP883" s="723"/>
      <c r="BQ883" s="723"/>
      <c r="BR883" s="723"/>
      <c r="BS883" s="406">
        <f t="shared" si="749"/>
        <v>0</v>
      </c>
      <c r="BT883" s="406"/>
      <c r="BU883" s="406"/>
      <c r="BV883" s="406"/>
      <c r="BW883" s="122"/>
    </row>
    <row r="884" spans="1:75" s="123" customFormat="1" x14ac:dyDescent="0.5">
      <c r="A884" s="516" t="str">
        <f>A821</f>
        <v>Net CFF</v>
      </c>
      <c r="B884" s="517"/>
      <c r="C884" s="518"/>
      <c r="D884" s="518"/>
      <c r="E884" s="518"/>
      <c r="F884" s="519">
        <f t="shared" ref="F884:AH884" si="774">SUM(F866:F883)</f>
        <v>44.944000000000003</v>
      </c>
      <c r="G884" s="520">
        <f t="shared" si="774"/>
        <v>0</v>
      </c>
      <c r="H884" s="520">
        <f t="shared" si="774"/>
        <v>0</v>
      </c>
      <c r="I884" s="520">
        <f t="shared" si="774"/>
        <v>0</v>
      </c>
      <c r="J884" s="520">
        <f t="shared" si="774"/>
        <v>0</v>
      </c>
      <c r="K884" s="519">
        <f t="shared" si="774"/>
        <v>0</v>
      </c>
      <c r="L884" s="520">
        <f t="shared" si="774"/>
        <v>111.72</v>
      </c>
      <c r="M884" s="520">
        <f t="shared" si="774"/>
        <v>-0.97399999999999931</v>
      </c>
      <c r="N884" s="520">
        <f t="shared" si="774"/>
        <v>0</v>
      </c>
      <c r="O884" s="520">
        <f t="shared" si="774"/>
        <v>230.40399999999997</v>
      </c>
      <c r="P884" s="519">
        <f t="shared" si="774"/>
        <v>341.15</v>
      </c>
      <c r="Q884" s="520">
        <f t="shared" si="774"/>
        <v>-4.2360000000000007</v>
      </c>
      <c r="R884" s="520">
        <f t="shared" si="774"/>
        <v>-3.3289999999999993</v>
      </c>
      <c r="S884" s="520">
        <f t="shared" si="774"/>
        <v>-4.9599999999999991</v>
      </c>
      <c r="T884" s="520">
        <f t="shared" si="774"/>
        <v>-6.0910000000000011</v>
      </c>
      <c r="U884" s="519">
        <f t="shared" si="774"/>
        <v>-18.616</v>
      </c>
      <c r="V884" s="520">
        <f t="shared" si="774"/>
        <v>-6.57</v>
      </c>
      <c r="W884" s="520">
        <f t="shared" si="774"/>
        <v>-5.6740000000000004</v>
      </c>
      <c r="X884" s="520">
        <f t="shared" si="774"/>
        <v>-6.0159999999999982</v>
      </c>
      <c r="Y884" s="520">
        <f t="shared" si="774"/>
        <v>-2.6230000000000002</v>
      </c>
      <c r="Z884" s="519">
        <f t="shared" si="774"/>
        <v>-20.882999999999999</v>
      </c>
      <c r="AA884" s="520">
        <f t="shared" si="774"/>
        <v>-0.53799999999999992</v>
      </c>
      <c r="AB884" s="520">
        <f t="shared" si="774"/>
        <v>-0.55200000000000005</v>
      </c>
      <c r="AC884" s="520">
        <f t="shared" si="774"/>
        <v>376.31500000000005</v>
      </c>
      <c r="AD884" s="520">
        <f t="shared" si="774"/>
        <v>-0.25400000000000011</v>
      </c>
      <c r="AE884" s="519">
        <f t="shared" si="774"/>
        <v>374.971</v>
      </c>
      <c r="AF884" s="520">
        <f t="shared" si="774"/>
        <v>-0.36199999999999999</v>
      </c>
      <c r="AG884" s="520">
        <f t="shared" si="774"/>
        <v>-0.19900000000000001</v>
      </c>
      <c r="AH884" s="520">
        <f t="shared" si="774"/>
        <v>-0.43199999999999994</v>
      </c>
      <c r="AI884" s="520">
        <f t="shared" ref="AI884:BV884" si="775">SUM(AI866:AI883)</f>
        <v>468.45600000000002</v>
      </c>
      <c r="AJ884" s="519">
        <f t="shared" si="775"/>
        <v>467.46300000000008</v>
      </c>
      <c r="AK884" s="520">
        <f t="shared" si="775"/>
        <v>-0.88900000000000001</v>
      </c>
      <c r="AL884" s="520">
        <f t="shared" si="775"/>
        <v>-0.246</v>
      </c>
      <c r="AM884" s="520">
        <f t="shared" si="775"/>
        <v>788.34199999999987</v>
      </c>
      <c r="AN884" s="520">
        <f t="shared" si="775"/>
        <v>-0.70300000000000018</v>
      </c>
      <c r="AO884" s="519">
        <f t="shared" si="775"/>
        <v>786.50399999999991</v>
      </c>
      <c r="AP884" s="520">
        <f t="shared" si="775"/>
        <v>100.125</v>
      </c>
      <c r="AQ884" s="520">
        <f t="shared" si="775"/>
        <v>427.51800000000003</v>
      </c>
      <c r="AR884" s="520">
        <f t="shared" si="775"/>
        <v>-75.114000000000033</v>
      </c>
      <c r="AS884" s="520">
        <f t="shared" si="775"/>
        <v>-99.941000000000031</v>
      </c>
      <c r="AT884" s="519">
        <f t="shared" si="775"/>
        <v>352.58799999999997</v>
      </c>
      <c r="AU884" s="520">
        <f t="shared" si="775"/>
        <v>-0.14300000000000002</v>
      </c>
      <c r="AV884" s="520">
        <f t="shared" si="775"/>
        <v>-300.00900000000001</v>
      </c>
      <c r="AW884" s="520">
        <f t="shared" si="775"/>
        <v>-2.504</v>
      </c>
      <c r="AX884" s="520">
        <f t="shared" si="775"/>
        <v>-0.34399999999997322</v>
      </c>
      <c r="AY884" s="519">
        <f t="shared" si="775"/>
        <v>-303</v>
      </c>
      <c r="AZ884" s="520">
        <f t="shared" si="775"/>
        <v>-75</v>
      </c>
      <c r="BA884" s="520">
        <f t="shared" si="775"/>
        <v>0</v>
      </c>
      <c r="BB884" s="520">
        <f t="shared" si="775"/>
        <v>91</v>
      </c>
      <c r="BC884" s="520">
        <f t="shared" si="775"/>
        <v>0</v>
      </c>
      <c r="BD884" s="519">
        <f t="shared" si="775"/>
        <v>16</v>
      </c>
      <c r="BE884" s="520">
        <f t="shared" si="775"/>
        <v>0</v>
      </c>
      <c r="BF884" s="520">
        <f t="shared" si="775"/>
        <v>77</v>
      </c>
      <c r="BG884" s="520">
        <f t="shared" si="775"/>
        <v>0</v>
      </c>
      <c r="BH884" s="520">
        <f t="shared" si="775"/>
        <v>0</v>
      </c>
      <c r="BI884" s="519">
        <f t="shared" si="775"/>
        <v>77</v>
      </c>
      <c r="BJ884" s="1270">
        <f>SUM(BJ866:BJ883)</f>
        <v>0</v>
      </c>
      <c r="BK884" s="327">
        <f t="shared" ca="1" si="775"/>
        <v>0</v>
      </c>
      <c r="BL884" s="327">
        <f t="shared" ca="1" si="775"/>
        <v>0</v>
      </c>
      <c r="BM884" s="327">
        <f t="shared" ca="1" si="775"/>
        <v>-117</v>
      </c>
      <c r="BN884" s="518">
        <f t="shared" ca="1" si="775"/>
        <v>-117</v>
      </c>
      <c r="BO884" s="327">
        <f t="shared" ca="1" si="775"/>
        <v>0</v>
      </c>
      <c r="BP884" s="327">
        <f t="shared" ca="1" si="775"/>
        <v>-38</v>
      </c>
      <c r="BQ884" s="327">
        <f t="shared" ca="1" si="775"/>
        <v>0</v>
      </c>
      <c r="BR884" s="327">
        <f t="shared" ca="1" si="775"/>
        <v>-754</v>
      </c>
      <c r="BS884" s="518">
        <f t="shared" ca="1" si="775"/>
        <v>-792</v>
      </c>
      <c r="BT884" s="518">
        <f t="shared" ca="1" si="775"/>
        <v>51</v>
      </c>
      <c r="BU884" s="518">
        <f t="shared" ca="1" si="775"/>
        <v>310</v>
      </c>
      <c r="BV884" s="518">
        <f t="shared" ca="1" si="775"/>
        <v>310</v>
      </c>
      <c r="BW884" s="197"/>
    </row>
    <row r="885" spans="1:75" s="123" customFormat="1" x14ac:dyDescent="0.5">
      <c r="A885" s="206"/>
      <c r="B885" s="522"/>
      <c r="C885" s="397"/>
      <c r="D885" s="397"/>
      <c r="E885" s="397"/>
      <c r="F885" s="397"/>
      <c r="G885" s="295"/>
      <c r="H885" s="295"/>
      <c r="I885" s="295"/>
      <c r="J885" s="295"/>
      <c r="K885" s="397"/>
      <c r="L885" s="295"/>
      <c r="M885" s="295"/>
      <c r="N885" s="295"/>
      <c r="O885" s="295"/>
      <c r="P885" s="397"/>
      <c r="Q885" s="295"/>
      <c r="R885" s="295"/>
      <c r="S885" s="295"/>
      <c r="T885" s="295"/>
      <c r="U885" s="397"/>
      <c r="V885" s="295"/>
      <c r="W885" s="295"/>
      <c r="X885" s="295"/>
      <c r="Y885" s="295"/>
      <c r="Z885" s="397"/>
      <c r="AA885" s="295"/>
      <c r="AB885" s="295"/>
      <c r="AC885" s="295"/>
      <c r="AD885" s="295"/>
      <c r="AE885" s="397"/>
      <c r="AF885" s="295"/>
      <c r="AG885" s="295"/>
      <c r="AH885" s="295"/>
      <c r="AI885" s="295"/>
      <c r="AJ885" s="397"/>
      <c r="AK885" s="295"/>
      <c r="AL885" s="295"/>
      <c r="AM885" s="295"/>
      <c r="AN885" s="295"/>
      <c r="AO885" s="397"/>
      <c r="AP885" s="295"/>
      <c r="AQ885" s="295"/>
      <c r="AR885" s="295"/>
      <c r="AS885" s="295"/>
      <c r="AT885" s="397"/>
      <c r="AU885" s="295"/>
      <c r="AV885" s="295"/>
      <c r="AW885" s="295"/>
      <c r="AX885" s="295"/>
      <c r="AY885" s="397"/>
      <c r="AZ885" s="295"/>
      <c r="BA885" s="295"/>
      <c r="BB885" s="295"/>
      <c r="BC885" s="295"/>
      <c r="BD885" s="397"/>
      <c r="BE885" s="295"/>
      <c r="BF885" s="295"/>
      <c r="BG885" s="295"/>
      <c r="BH885" s="295"/>
      <c r="BI885" s="397"/>
      <c r="BJ885" s="1030"/>
      <c r="BK885" s="295"/>
      <c r="BL885" s="295"/>
      <c r="BM885" s="295"/>
      <c r="BN885" s="397"/>
      <c r="BO885" s="295"/>
      <c r="BP885" s="295"/>
      <c r="BQ885" s="295"/>
      <c r="BR885" s="295"/>
      <c r="BS885" s="397"/>
      <c r="BT885" s="397"/>
      <c r="BU885" s="397"/>
      <c r="BV885" s="397"/>
      <c r="BW885" s="197"/>
    </row>
    <row r="886" spans="1:75" s="198" customFormat="1" ht="14.25" x14ac:dyDescent="0.45">
      <c r="A886" s="463" t="str">
        <f>A823</f>
        <v>FX</v>
      </c>
      <c r="B886" s="522"/>
      <c r="C886" s="397"/>
      <c r="D886" s="397"/>
      <c r="E886" s="397"/>
      <c r="F886" s="672">
        <f>F823</f>
        <v>2.5000000000000001E-2</v>
      </c>
      <c r="G886" s="197">
        <f>G823</f>
        <v>-1.6E-2</v>
      </c>
      <c r="H886" s="197">
        <f>H823-G823</f>
        <v>-4.9000000000000002E-2</v>
      </c>
      <c r="I886" s="197">
        <f>I823-H823</f>
        <v>7.0000000000000007E-2</v>
      </c>
      <c r="J886" s="197">
        <f>J823-I823</f>
        <v>1E-3</v>
      </c>
      <c r="K886" s="672">
        <f>K823</f>
        <v>6.0000000000000001E-3</v>
      </c>
      <c r="L886" s="197">
        <f>L823</f>
        <v>0.02</v>
      </c>
      <c r="M886" s="197">
        <f>M823-L823</f>
        <v>-1.4E-2</v>
      </c>
      <c r="N886" s="197">
        <f>N823-M823</f>
        <v>-3.5000000000000003E-2</v>
      </c>
      <c r="O886" s="197">
        <f>O823-N823</f>
        <v>0.75900000000000001</v>
      </c>
      <c r="P886" s="672">
        <f>P823</f>
        <v>0.73</v>
      </c>
      <c r="Q886" s="197">
        <f>Q823</f>
        <v>-0.24199999999999999</v>
      </c>
      <c r="R886" s="197">
        <f>R823-Q823</f>
        <v>-9.0000000000000024E-2</v>
      </c>
      <c r="S886" s="197">
        <f>S823-R823</f>
        <v>0.16700000000000001</v>
      </c>
      <c r="T886" s="197">
        <f>T823-S823</f>
        <v>-0.29500000000000004</v>
      </c>
      <c r="U886" s="672">
        <f>U823</f>
        <v>-0.46</v>
      </c>
      <c r="V886" s="197">
        <f>V823</f>
        <v>0.64300000000000002</v>
      </c>
      <c r="W886" s="197">
        <f>W823-V823</f>
        <v>-1.1160000000000001</v>
      </c>
      <c r="X886" s="197">
        <f>X823-W823</f>
        <v>0.7589999999999999</v>
      </c>
      <c r="Y886" s="197">
        <f>Y823-X823</f>
        <v>-0.67300000000000004</v>
      </c>
      <c r="Z886" s="672">
        <f>Z823</f>
        <v>-0.38700000000000001</v>
      </c>
      <c r="AA886" s="197">
        <f>AA823</f>
        <v>2.5999999999999999E-2</v>
      </c>
      <c r="AB886" s="197">
        <f>AB823-AA823</f>
        <v>0.52800000000000002</v>
      </c>
      <c r="AC886" s="197">
        <f>AC823-AB823</f>
        <v>-0.14100000000000007</v>
      </c>
      <c r="AD886" s="197">
        <f>AD823-AC823</f>
        <v>0.437</v>
      </c>
      <c r="AE886" s="672">
        <f>AE823</f>
        <v>0.85</v>
      </c>
      <c r="AF886" s="197">
        <f>AF823</f>
        <v>-0.10100000000000001</v>
      </c>
      <c r="AG886" s="197">
        <f>AG823-AF823</f>
        <v>-8.5999999999999993E-2</v>
      </c>
      <c r="AH886" s="197">
        <f>AH823-AG823</f>
        <v>-0.75800000000000001</v>
      </c>
      <c r="AI886" s="197">
        <f>AI823-AH823</f>
        <v>-0.59100000000000008</v>
      </c>
      <c r="AJ886" s="672">
        <f>AJ823</f>
        <v>-1.536</v>
      </c>
      <c r="AK886" s="197">
        <f>AK823</f>
        <v>-0.16900000000000001</v>
      </c>
      <c r="AL886" s="197">
        <f>AL823-AK823</f>
        <v>0.30500000000000005</v>
      </c>
      <c r="AM886" s="197">
        <f>AM823-AL823</f>
        <v>-1.722</v>
      </c>
      <c r="AN886" s="197">
        <f>AN823-AM823</f>
        <v>2.9000000000000137E-2</v>
      </c>
      <c r="AO886" s="672">
        <f>AO823</f>
        <v>-1.5569999999999999</v>
      </c>
      <c r="AP886" s="197">
        <f>AP823</f>
        <v>1.54</v>
      </c>
      <c r="AQ886" s="197">
        <f>AQ823-AP823</f>
        <v>2.37</v>
      </c>
      <c r="AR886" s="197">
        <f>AR823-AQ823</f>
        <v>3.548</v>
      </c>
      <c r="AS886" s="197">
        <f>AS823-AR823</f>
        <v>5.9849999999999994</v>
      </c>
      <c r="AT886" s="672">
        <f>AT823</f>
        <v>13.443</v>
      </c>
      <c r="AU886" s="197">
        <f>AU823</f>
        <v>-7.0780000000000003</v>
      </c>
      <c r="AV886" s="197">
        <f>AV823-AU823</f>
        <v>0.61000000000000032</v>
      </c>
      <c r="AW886" s="197">
        <f>AW823-AV823</f>
        <v>-2.0380000000000003</v>
      </c>
      <c r="AX886" s="197">
        <f>AX823-AW823</f>
        <v>-7.4939999999999998</v>
      </c>
      <c r="AY886" s="672">
        <f>AY823</f>
        <v>-16</v>
      </c>
      <c r="AZ886" s="197">
        <f>AZ823</f>
        <v>-4</v>
      </c>
      <c r="BA886" s="197">
        <f>BA823-AZ823</f>
        <v>-3</v>
      </c>
      <c r="BB886" s="197">
        <f>BB823-BA823</f>
        <v>-1</v>
      </c>
      <c r="BC886" s="197">
        <f>BC823-BB823</f>
        <v>9</v>
      </c>
      <c r="BD886" s="672">
        <f>BD823</f>
        <v>1</v>
      </c>
      <c r="BE886" s="197">
        <f>BE823</f>
        <v>3</v>
      </c>
      <c r="BF886" s="197">
        <f>BF823-BE823</f>
        <v>0</v>
      </c>
      <c r="BG886" s="197">
        <f>BG823-BF823</f>
        <v>0</v>
      </c>
      <c r="BH886" s="197">
        <f>BH823-BG823</f>
        <v>-1</v>
      </c>
      <c r="BI886" s="672">
        <f>BI823</f>
        <v>2</v>
      </c>
      <c r="BJ886" s="1273">
        <f>BJ823</f>
        <v>-1</v>
      </c>
      <c r="BK886" s="638">
        <v>0</v>
      </c>
      <c r="BL886" s="638">
        <v>0</v>
      </c>
      <c r="BM886" s="638">
        <v>0</v>
      </c>
      <c r="BN886" s="397">
        <f>SUM(BJ886,BK886,BL886,BM886)</f>
        <v>-1</v>
      </c>
      <c r="BO886" s="638">
        <v>0</v>
      </c>
      <c r="BP886" s="638">
        <v>0</v>
      </c>
      <c r="BQ886" s="638">
        <v>0</v>
      </c>
      <c r="BR886" s="638">
        <v>0</v>
      </c>
      <c r="BS886" s="397">
        <f>SUM(BO886,BP886,BQ886,BR886)</f>
        <v>0</v>
      </c>
      <c r="BT886" s="671">
        <v>0</v>
      </c>
      <c r="BU886" s="671">
        <v>0</v>
      </c>
      <c r="BV886" s="671">
        <v>0</v>
      </c>
      <c r="BW886" s="197"/>
    </row>
    <row r="887" spans="1:75" s="123" customFormat="1" x14ac:dyDescent="0.5">
      <c r="A887" s="463" t="str">
        <f>A824</f>
        <v>Net Change in Cash Balance</v>
      </c>
      <c r="B887" s="522"/>
      <c r="C887" s="397"/>
      <c r="D887" s="397"/>
      <c r="E887" s="397"/>
      <c r="F887" s="672">
        <f t="shared" ref="F887:BQ887" si="776">F884+F863+F853+F886</f>
        <v>25.834000000000003</v>
      </c>
      <c r="G887" s="197">
        <f t="shared" si="776"/>
        <v>-21.715</v>
      </c>
      <c r="H887" s="197">
        <f t="shared" si="776"/>
        <v>-8.6280000000000019</v>
      </c>
      <c r="I887" s="197">
        <f t="shared" si="776"/>
        <v>-7.7739999999999982</v>
      </c>
      <c r="J887" s="197">
        <f t="shared" si="776"/>
        <v>25.545000000000016</v>
      </c>
      <c r="K887" s="672">
        <f t="shared" si="776"/>
        <v>-12.571999999999989</v>
      </c>
      <c r="L887" s="197">
        <f t="shared" si="776"/>
        <v>69.805999999999983</v>
      </c>
      <c r="M887" s="197">
        <f t="shared" si="776"/>
        <v>-47.314000000000007</v>
      </c>
      <c r="N887" s="197">
        <f t="shared" si="776"/>
        <v>-57.473999999999997</v>
      </c>
      <c r="O887" s="197">
        <f t="shared" si="776"/>
        <v>325.55199999999996</v>
      </c>
      <c r="P887" s="672">
        <f t="shared" si="776"/>
        <v>290.57</v>
      </c>
      <c r="Q887" s="197">
        <f t="shared" si="776"/>
        <v>-149.77699999999999</v>
      </c>
      <c r="R887" s="197">
        <f t="shared" si="776"/>
        <v>30.491999999999994</v>
      </c>
      <c r="S887" s="197">
        <f t="shared" si="776"/>
        <v>42.116000000000014</v>
      </c>
      <c r="T887" s="197">
        <f t="shared" si="776"/>
        <v>55.485999999999976</v>
      </c>
      <c r="U887" s="672">
        <f t="shared" si="776"/>
        <v>-21.683000000000014</v>
      </c>
      <c r="V887" s="197">
        <f t="shared" si="776"/>
        <v>-85.377999999999986</v>
      </c>
      <c r="W887" s="197">
        <f t="shared" si="776"/>
        <v>-28.499000000000006</v>
      </c>
      <c r="X887" s="197">
        <f t="shared" si="776"/>
        <v>-11.954999999999995</v>
      </c>
      <c r="Y887" s="197">
        <f t="shared" si="776"/>
        <v>71.496000000000009</v>
      </c>
      <c r="Z887" s="672">
        <f t="shared" si="776"/>
        <v>-54.335999999999977</v>
      </c>
      <c r="AA887" s="197">
        <f t="shared" si="776"/>
        <v>-67.431999999999988</v>
      </c>
      <c r="AB887" s="197">
        <f t="shared" si="776"/>
        <v>-8.5980000000000079</v>
      </c>
      <c r="AC887" s="197">
        <f t="shared" si="776"/>
        <v>349.91100000000006</v>
      </c>
      <c r="AD887" s="197">
        <f t="shared" si="776"/>
        <v>5.2389999999999857</v>
      </c>
      <c r="AE887" s="672">
        <f t="shared" si="776"/>
        <v>279.12000000000006</v>
      </c>
      <c r="AF887" s="197">
        <f t="shared" si="776"/>
        <v>-36.934000000000012</v>
      </c>
      <c r="AG887" s="197">
        <f t="shared" si="776"/>
        <v>7.4260000000000144</v>
      </c>
      <c r="AH887" s="197">
        <f t="shared" si="776"/>
        <v>-40.81600000000001</v>
      </c>
      <c r="AI887" s="197">
        <f t="shared" si="776"/>
        <v>360.8250000000001</v>
      </c>
      <c r="AJ887" s="672">
        <f t="shared" si="776"/>
        <v>290.50100000000003</v>
      </c>
      <c r="AK887" s="197">
        <f t="shared" si="776"/>
        <v>-127.101</v>
      </c>
      <c r="AL887" s="197">
        <f t="shared" si="776"/>
        <v>-47.249000000000009</v>
      </c>
      <c r="AM887" s="197">
        <f t="shared" si="776"/>
        <v>620.274</v>
      </c>
      <c r="AN887" s="197">
        <f t="shared" si="776"/>
        <v>-712.63199999999995</v>
      </c>
      <c r="AO887" s="672">
        <f t="shared" si="776"/>
        <v>-266.70799999999997</v>
      </c>
      <c r="AP887" s="197">
        <f t="shared" si="776"/>
        <v>41.727999999999987</v>
      </c>
      <c r="AQ887" s="197">
        <f t="shared" si="776"/>
        <v>1556.9899999999998</v>
      </c>
      <c r="AR887" s="197">
        <f t="shared" si="776"/>
        <v>261.4679999999999</v>
      </c>
      <c r="AS887" s="197">
        <f t="shared" si="776"/>
        <v>-313.49900000000002</v>
      </c>
      <c r="AT887" s="672">
        <f t="shared" si="776"/>
        <v>1546.6869999999999</v>
      </c>
      <c r="AU887" s="197">
        <f t="shared" si="776"/>
        <v>-42.956000000000017</v>
      </c>
      <c r="AV887" s="197">
        <f t="shared" si="776"/>
        <v>-8.0330000000000865</v>
      </c>
      <c r="AW887" s="197">
        <f t="shared" si="776"/>
        <v>-213.63</v>
      </c>
      <c r="AX887" s="197">
        <f t="shared" si="776"/>
        <v>-159.381</v>
      </c>
      <c r="AY887" s="672">
        <f t="shared" si="776"/>
        <v>-424</v>
      </c>
      <c r="AZ887" s="197">
        <f t="shared" si="776"/>
        <v>-506</v>
      </c>
      <c r="BA887" s="197">
        <f t="shared" si="776"/>
        <v>-106</v>
      </c>
      <c r="BB887" s="197">
        <f t="shared" si="776"/>
        <v>-363</v>
      </c>
      <c r="BC887" s="197">
        <f t="shared" si="776"/>
        <v>319</v>
      </c>
      <c r="BD887" s="672">
        <f t="shared" si="776"/>
        <v>-656</v>
      </c>
      <c r="BE887" s="197">
        <f t="shared" si="776"/>
        <v>-80</v>
      </c>
      <c r="BF887" s="197">
        <f t="shared" si="776"/>
        <v>279</v>
      </c>
      <c r="BG887" s="197">
        <f t="shared" si="776"/>
        <v>42</v>
      </c>
      <c r="BH887" s="197">
        <f t="shared" si="776"/>
        <v>35</v>
      </c>
      <c r="BI887" s="672">
        <f t="shared" si="776"/>
        <v>276</v>
      </c>
      <c r="BJ887" s="1273">
        <f>BJ884+BJ863+BJ853+BJ886</f>
        <v>-215</v>
      </c>
      <c r="BK887" s="295">
        <f t="shared" ca="1" si="776"/>
        <v>-84.356894183938437</v>
      </c>
      <c r="BL887" s="295">
        <f t="shared" ca="1" si="776"/>
        <v>60.047916822537161</v>
      </c>
      <c r="BM887" s="295">
        <f t="shared" ca="1" si="776"/>
        <v>-126.51031717792011</v>
      </c>
      <c r="BN887" s="397">
        <f t="shared" ca="1" si="776"/>
        <v>-365.81929453932139</v>
      </c>
      <c r="BO887" s="295">
        <f t="shared" ca="1" si="776"/>
        <v>-85.553287157119627</v>
      </c>
      <c r="BP887" s="295">
        <f t="shared" ca="1" si="776"/>
        <v>-120.49219779954961</v>
      </c>
      <c r="BQ887" s="295">
        <f t="shared" ca="1" si="776"/>
        <v>76.624927605575124</v>
      </c>
      <c r="BR887" s="295">
        <f t="shared" ref="BR887:BY887" ca="1" si="777">BR884+BR863+BR853+BR886</f>
        <v>-747.96755587536029</v>
      </c>
      <c r="BS887" s="397">
        <f t="shared" ca="1" si="777"/>
        <v>-877.38811322645449</v>
      </c>
      <c r="BT887" s="397">
        <f t="shared" ca="1" si="777"/>
        <v>199.47008537537386</v>
      </c>
      <c r="BU887" s="397">
        <f t="shared" ca="1" si="777"/>
        <v>703.41876467145971</v>
      </c>
      <c r="BV887" s="397">
        <f t="shared" ca="1" si="777"/>
        <v>989.15419201520126</v>
      </c>
      <c r="BW887" s="197"/>
    </row>
    <row r="888" spans="1:75" s="123" customFormat="1" x14ac:dyDescent="0.5">
      <c r="A888" s="206"/>
      <c r="B888" s="522"/>
      <c r="C888" s="397"/>
      <c r="D888" s="397"/>
      <c r="E888" s="397"/>
      <c r="F888" s="397"/>
      <c r="G888" s="295"/>
      <c r="H888" s="295"/>
      <c r="I888" s="295"/>
      <c r="J888" s="295"/>
      <c r="K888" s="397"/>
      <c r="L888" s="295"/>
      <c r="M888" s="295"/>
      <c r="N888" s="295"/>
      <c r="O888" s="295"/>
      <c r="P888" s="397"/>
      <c r="Q888" s="295"/>
      <c r="R888" s="295"/>
      <c r="S888" s="295"/>
      <c r="T888" s="295"/>
      <c r="U888" s="397"/>
      <c r="V888" s="295"/>
      <c r="W888" s="295"/>
      <c r="X888" s="295"/>
      <c r="Y888" s="295"/>
      <c r="Z888" s="397"/>
      <c r="AA888" s="295"/>
      <c r="AB888" s="295"/>
      <c r="AC888" s="295"/>
      <c r="AD888" s="295"/>
      <c r="AE888" s="397"/>
      <c r="AF888" s="295"/>
      <c r="AG888" s="295"/>
      <c r="AH888" s="295"/>
      <c r="AI888" s="295"/>
      <c r="AJ888" s="397"/>
      <c r="AK888" s="295"/>
      <c r="AL888" s="295"/>
      <c r="AM888" s="295"/>
      <c r="AN888" s="295"/>
      <c r="AO888" s="397"/>
      <c r="AP888" s="295"/>
      <c r="AQ888" s="295"/>
      <c r="AR888" s="295"/>
      <c r="AS888" s="295"/>
      <c r="AT888" s="397"/>
      <c r="AU888" s="295"/>
      <c r="AV888" s="295"/>
      <c r="AW888" s="295"/>
      <c r="AX888" s="295"/>
      <c r="AY888" s="397"/>
      <c r="AZ888" s="295"/>
      <c r="BA888" s="295"/>
      <c r="BB888" s="295"/>
      <c r="BC888" s="295"/>
      <c r="BD888" s="397"/>
      <c r="BE888" s="295"/>
      <c r="BF888" s="295"/>
      <c r="BG888" s="295"/>
      <c r="BH888" s="295"/>
      <c r="BI888" s="397"/>
      <c r="BJ888" s="1030"/>
      <c r="BK888" s="295"/>
      <c r="BL888" s="295"/>
      <c r="BM888" s="295"/>
      <c r="BN888" s="397"/>
      <c r="BO888" s="295"/>
      <c r="BP888" s="295"/>
      <c r="BQ888" s="295"/>
      <c r="BR888" s="295"/>
      <c r="BS888" s="397"/>
      <c r="BT888" s="397"/>
      <c r="BU888" s="397"/>
      <c r="BV888" s="397"/>
      <c r="BW888" s="197"/>
    </row>
    <row r="889" spans="1:75" s="123" customFormat="1" x14ac:dyDescent="0.5">
      <c r="A889" s="463" t="str">
        <f>A826</f>
        <v>Beginning Cash Balance</v>
      </c>
      <c r="B889" s="522"/>
      <c r="C889" s="397"/>
      <c r="D889" s="397"/>
      <c r="E889" s="397"/>
      <c r="F889" s="672">
        <f>F826</f>
        <v>52.027000000000001</v>
      </c>
      <c r="G889" s="197">
        <f>F890</f>
        <v>77.861000000000004</v>
      </c>
      <c r="H889" s="197">
        <f>G890</f>
        <v>56.146000000000001</v>
      </c>
      <c r="I889" s="197">
        <f>H890</f>
        <v>47.518000000000001</v>
      </c>
      <c r="J889" s="197">
        <f>I890</f>
        <v>39.744</v>
      </c>
      <c r="K889" s="672">
        <f>F890</f>
        <v>77.861000000000004</v>
      </c>
      <c r="L889" s="197">
        <f>K890</f>
        <v>65.289000000000016</v>
      </c>
      <c r="M889" s="197">
        <f>L890</f>
        <v>135.095</v>
      </c>
      <c r="N889" s="197">
        <f>M890</f>
        <v>87.780999999999992</v>
      </c>
      <c r="O889" s="197">
        <f>N890</f>
        <v>30.306999999999995</v>
      </c>
      <c r="P889" s="672">
        <f>K890</f>
        <v>65.289000000000016</v>
      </c>
      <c r="Q889" s="197">
        <f>P890</f>
        <v>355.85900000000004</v>
      </c>
      <c r="R889" s="197">
        <f>Q890</f>
        <v>206.08200000000005</v>
      </c>
      <c r="S889" s="197">
        <f>R890</f>
        <v>236.57400000000004</v>
      </c>
      <c r="T889" s="197">
        <f>S890</f>
        <v>278.69000000000005</v>
      </c>
      <c r="U889" s="672">
        <f>P890</f>
        <v>355.85900000000004</v>
      </c>
      <c r="V889" s="197">
        <f>U890</f>
        <v>334.17600000000004</v>
      </c>
      <c r="W889" s="197">
        <f>V890</f>
        <v>248.79800000000006</v>
      </c>
      <c r="X889" s="197">
        <f>W890</f>
        <v>220.29900000000006</v>
      </c>
      <c r="Y889" s="197">
        <f>X890</f>
        <v>208.34400000000008</v>
      </c>
      <c r="Z889" s="672">
        <f>U890</f>
        <v>334.17600000000004</v>
      </c>
      <c r="AA889" s="197">
        <f>Z890</f>
        <v>279.84000000000009</v>
      </c>
      <c r="AB889" s="197">
        <f>AA890</f>
        <v>212.4080000000001</v>
      </c>
      <c r="AC889" s="197">
        <f>AB890</f>
        <v>203.81000000000009</v>
      </c>
      <c r="AD889" s="197">
        <f>AC890</f>
        <v>553.72100000000012</v>
      </c>
      <c r="AE889" s="672">
        <f>Z890</f>
        <v>279.84000000000009</v>
      </c>
      <c r="AF889" s="197">
        <f>AE890</f>
        <v>558.96000000000015</v>
      </c>
      <c r="AG889" s="197">
        <f>AF890</f>
        <v>522.02600000000018</v>
      </c>
      <c r="AH889" s="197">
        <f>AG890</f>
        <v>529.45200000000023</v>
      </c>
      <c r="AI889" s="197">
        <f>AH890</f>
        <v>488.63600000000019</v>
      </c>
      <c r="AJ889" s="672">
        <f>AE890</f>
        <v>558.96000000000015</v>
      </c>
      <c r="AK889" s="197">
        <f>AJ890</f>
        <v>849.46100000000024</v>
      </c>
      <c r="AL889" s="197">
        <f>AK890</f>
        <v>722.36000000000024</v>
      </c>
      <c r="AM889" s="197">
        <f>AL890</f>
        <v>675.11100000000022</v>
      </c>
      <c r="AN889" s="197">
        <f>AM890</f>
        <v>1295.3850000000002</v>
      </c>
      <c r="AO889" s="672">
        <f>AJ890</f>
        <v>849.46100000000024</v>
      </c>
      <c r="AP889" s="197">
        <f>AO890</f>
        <v>582.75300000000027</v>
      </c>
      <c r="AQ889" s="197">
        <f>AP890</f>
        <v>624.48100000000022</v>
      </c>
      <c r="AR889" s="197">
        <f>AQ890</f>
        <v>2181.471</v>
      </c>
      <c r="AS889" s="197">
        <f>AR890</f>
        <v>2442.9389999999999</v>
      </c>
      <c r="AT889" s="672">
        <f>AO890</f>
        <v>582.75300000000027</v>
      </c>
      <c r="AU889" s="197">
        <f>AT890</f>
        <v>2129.44</v>
      </c>
      <c r="AV889" s="197">
        <f>AU890</f>
        <v>2086.4839999999999</v>
      </c>
      <c r="AW889" s="197">
        <f>AV890</f>
        <v>2078.451</v>
      </c>
      <c r="AX889" s="197">
        <f>AW890</f>
        <v>1864.8209999999999</v>
      </c>
      <c r="AY889" s="672">
        <f>AY826</f>
        <v>2130</v>
      </c>
      <c r="AZ889" s="197">
        <f>AY890</f>
        <v>1706</v>
      </c>
      <c r="BA889" s="197">
        <f>AZ890</f>
        <v>1200</v>
      </c>
      <c r="BB889" s="197">
        <f>BA890</f>
        <v>1094</v>
      </c>
      <c r="BC889" s="197">
        <f>BB890</f>
        <v>731</v>
      </c>
      <c r="BD889" s="672">
        <f>BD826</f>
        <v>1706</v>
      </c>
      <c r="BE889" s="197">
        <f>BD890</f>
        <v>1050</v>
      </c>
      <c r="BF889" s="197">
        <f>BE890</f>
        <v>970</v>
      </c>
      <c r="BG889" s="197">
        <f>BF890</f>
        <v>1249</v>
      </c>
      <c r="BH889" s="197">
        <f>BG890</f>
        <v>1291</v>
      </c>
      <c r="BI889" s="672">
        <f>BI826</f>
        <v>1050</v>
      </c>
      <c r="BJ889" s="1273">
        <f>BI890</f>
        <v>1326</v>
      </c>
      <c r="BK889" s="295">
        <f>BJ890</f>
        <v>1111</v>
      </c>
      <c r="BL889" s="295">
        <f ca="1">BK890</f>
        <v>1026.6431058160615</v>
      </c>
      <c r="BM889" s="295">
        <f ca="1">BL890</f>
        <v>1086.6910226385987</v>
      </c>
      <c r="BN889" s="397">
        <f>BI890</f>
        <v>1326</v>
      </c>
      <c r="BO889" s="295">
        <f ca="1">BN890</f>
        <v>960.18070546067861</v>
      </c>
      <c r="BP889" s="295">
        <f ca="1">BO890</f>
        <v>874.62741830355901</v>
      </c>
      <c r="BQ889" s="295">
        <f ca="1">BP890</f>
        <v>754.13522050400934</v>
      </c>
      <c r="BR889" s="295">
        <f ca="1">BQ890</f>
        <v>830.76014810958441</v>
      </c>
      <c r="BS889" s="397">
        <f ca="1">BN890</f>
        <v>960.18070546067861</v>
      </c>
      <c r="BT889" s="397">
        <f ca="1">BS890</f>
        <v>82.792592234224117</v>
      </c>
      <c r="BU889" s="397">
        <f ca="1">BT890</f>
        <v>282.26267760959797</v>
      </c>
      <c r="BV889" s="397">
        <f ca="1">BU890</f>
        <v>985.68144228105768</v>
      </c>
      <c r="BW889" s="197"/>
    </row>
    <row r="890" spans="1:75" s="123" customFormat="1" x14ac:dyDescent="0.5">
      <c r="A890" s="463" t="str">
        <f>A827</f>
        <v>Ending Cash Balance</v>
      </c>
      <c r="B890" s="522"/>
      <c r="C890" s="397"/>
      <c r="D890" s="397"/>
      <c r="E890" s="397"/>
      <c r="F890" s="672">
        <f>F889+F887</f>
        <v>77.861000000000004</v>
      </c>
      <c r="G890" s="197">
        <f>G889+G887</f>
        <v>56.146000000000001</v>
      </c>
      <c r="H890" s="197">
        <f t="shared" ref="H890:BS890" si="778">H889+H887</f>
        <v>47.518000000000001</v>
      </c>
      <c r="I890" s="197">
        <f t="shared" si="778"/>
        <v>39.744</v>
      </c>
      <c r="J890" s="197">
        <f t="shared" si="778"/>
        <v>65.289000000000016</v>
      </c>
      <c r="K890" s="672">
        <f t="shared" si="778"/>
        <v>65.289000000000016</v>
      </c>
      <c r="L890" s="197">
        <f t="shared" si="778"/>
        <v>135.095</v>
      </c>
      <c r="M890" s="197">
        <f t="shared" si="778"/>
        <v>87.780999999999992</v>
      </c>
      <c r="N890" s="197">
        <f t="shared" si="778"/>
        <v>30.306999999999995</v>
      </c>
      <c r="O890" s="197">
        <f t="shared" si="778"/>
        <v>355.85899999999998</v>
      </c>
      <c r="P890" s="672">
        <f t="shared" si="778"/>
        <v>355.85900000000004</v>
      </c>
      <c r="Q890" s="197">
        <f t="shared" si="778"/>
        <v>206.08200000000005</v>
      </c>
      <c r="R890" s="197">
        <f t="shared" si="778"/>
        <v>236.57400000000004</v>
      </c>
      <c r="S890" s="197">
        <f t="shared" si="778"/>
        <v>278.69000000000005</v>
      </c>
      <c r="T890" s="197">
        <f t="shared" si="778"/>
        <v>334.17600000000004</v>
      </c>
      <c r="U890" s="672">
        <f t="shared" si="778"/>
        <v>334.17600000000004</v>
      </c>
      <c r="V890" s="197">
        <f t="shared" si="778"/>
        <v>248.79800000000006</v>
      </c>
      <c r="W890" s="197">
        <f t="shared" si="778"/>
        <v>220.29900000000006</v>
      </c>
      <c r="X890" s="197">
        <f t="shared" si="778"/>
        <v>208.34400000000008</v>
      </c>
      <c r="Y890" s="197">
        <f t="shared" si="778"/>
        <v>279.84000000000009</v>
      </c>
      <c r="Z890" s="672">
        <f t="shared" si="778"/>
        <v>279.84000000000009</v>
      </c>
      <c r="AA890" s="197">
        <f t="shared" si="778"/>
        <v>212.4080000000001</v>
      </c>
      <c r="AB890" s="197">
        <f t="shared" si="778"/>
        <v>203.81000000000009</v>
      </c>
      <c r="AC890" s="197">
        <f t="shared" si="778"/>
        <v>553.72100000000012</v>
      </c>
      <c r="AD890" s="197">
        <f t="shared" si="778"/>
        <v>558.96000000000015</v>
      </c>
      <c r="AE890" s="672">
        <f t="shared" si="778"/>
        <v>558.96000000000015</v>
      </c>
      <c r="AF890" s="197">
        <f t="shared" si="778"/>
        <v>522.02600000000018</v>
      </c>
      <c r="AG890" s="197">
        <f t="shared" si="778"/>
        <v>529.45200000000023</v>
      </c>
      <c r="AH890" s="197">
        <f t="shared" si="778"/>
        <v>488.63600000000019</v>
      </c>
      <c r="AI890" s="197">
        <f t="shared" si="778"/>
        <v>849.46100000000024</v>
      </c>
      <c r="AJ890" s="672">
        <f t="shared" si="778"/>
        <v>849.46100000000024</v>
      </c>
      <c r="AK890" s="197">
        <f t="shared" si="778"/>
        <v>722.36000000000024</v>
      </c>
      <c r="AL890" s="197">
        <f t="shared" si="778"/>
        <v>675.11100000000022</v>
      </c>
      <c r="AM890" s="197">
        <f t="shared" si="778"/>
        <v>1295.3850000000002</v>
      </c>
      <c r="AN890" s="197">
        <f t="shared" si="778"/>
        <v>582.75300000000027</v>
      </c>
      <c r="AO890" s="672">
        <f t="shared" si="778"/>
        <v>582.75300000000027</v>
      </c>
      <c r="AP890" s="197">
        <f t="shared" si="778"/>
        <v>624.48100000000022</v>
      </c>
      <c r="AQ890" s="197">
        <f t="shared" si="778"/>
        <v>2181.471</v>
      </c>
      <c r="AR890" s="197">
        <f t="shared" si="778"/>
        <v>2442.9389999999999</v>
      </c>
      <c r="AS890" s="197">
        <f t="shared" si="778"/>
        <v>2129.4399999999996</v>
      </c>
      <c r="AT890" s="672">
        <f t="shared" si="778"/>
        <v>2129.44</v>
      </c>
      <c r="AU890" s="197">
        <f t="shared" si="778"/>
        <v>2086.4839999999999</v>
      </c>
      <c r="AV890" s="197">
        <f t="shared" si="778"/>
        <v>2078.451</v>
      </c>
      <c r="AW890" s="197">
        <f t="shared" si="778"/>
        <v>1864.8209999999999</v>
      </c>
      <c r="AX890" s="197">
        <f t="shared" si="778"/>
        <v>1705.4399999999998</v>
      </c>
      <c r="AY890" s="672">
        <f t="shared" si="778"/>
        <v>1706</v>
      </c>
      <c r="AZ890" s="197">
        <f t="shared" si="778"/>
        <v>1200</v>
      </c>
      <c r="BA890" s="197">
        <f t="shared" si="778"/>
        <v>1094</v>
      </c>
      <c r="BB890" s="197">
        <f t="shared" si="778"/>
        <v>731</v>
      </c>
      <c r="BC890" s="197">
        <f t="shared" si="778"/>
        <v>1050</v>
      </c>
      <c r="BD890" s="672">
        <f t="shared" si="778"/>
        <v>1050</v>
      </c>
      <c r="BE890" s="197">
        <f t="shared" si="778"/>
        <v>970</v>
      </c>
      <c r="BF890" s="197">
        <f t="shared" si="778"/>
        <v>1249</v>
      </c>
      <c r="BG890" s="197">
        <f t="shared" si="778"/>
        <v>1291</v>
      </c>
      <c r="BH890" s="197">
        <f t="shared" si="778"/>
        <v>1326</v>
      </c>
      <c r="BI890" s="672">
        <f t="shared" si="778"/>
        <v>1326</v>
      </c>
      <c r="BJ890" s="1273">
        <f>BJ889+BJ887</f>
        <v>1111</v>
      </c>
      <c r="BK890" s="295">
        <f t="shared" ca="1" si="778"/>
        <v>1026.6431058160615</v>
      </c>
      <c r="BL890" s="295">
        <f t="shared" ca="1" si="778"/>
        <v>1086.6910226385987</v>
      </c>
      <c r="BM890" s="295">
        <f t="shared" ca="1" si="778"/>
        <v>960.18070546067861</v>
      </c>
      <c r="BN890" s="397">
        <f t="shared" ca="1" si="778"/>
        <v>960.18070546067861</v>
      </c>
      <c r="BO890" s="295">
        <f t="shared" ca="1" si="778"/>
        <v>874.62741830355901</v>
      </c>
      <c r="BP890" s="295">
        <f t="shared" ca="1" si="778"/>
        <v>754.13522050400934</v>
      </c>
      <c r="BQ890" s="295">
        <f t="shared" ca="1" si="778"/>
        <v>830.76014810958441</v>
      </c>
      <c r="BR890" s="295">
        <f t="shared" ca="1" si="778"/>
        <v>82.792592234224117</v>
      </c>
      <c r="BS890" s="397">
        <f t="shared" ca="1" si="778"/>
        <v>82.792592234224117</v>
      </c>
      <c r="BT890" s="397">
        <f t="shared" ref="BT890:CA890" ca="1" si="779">BT889+BT887</f>
        <v>282.26267760959797</v>
      </c>
      <c r="BU890" s="397">
        <f t="shared" ca="1" si="779"/>
        <v>985.68144228105768</v>
      </c>
      <c r="BV890" s="397">
        <f t="shared" ca="1" si="779"/>
        <v>1974.8356342962588</v>
      </c>
      <c r="BW890" s="197"/>
    </row>
    <row r="891" spans="1:75" s="123" customFormat="1" x14ac:dyDescent="0.5">
      <c r="A891" s="206"/>
      <c r="B891" s="522"/>
      <c r="C891" s="397"/>
      <c r="D891" s="397"/>
      <c r="E891" s="397"/>
      <c r="F891" s="397"/>
      <c r="G891" s="295"/>
      <c r="H891" s="295"/>
      <c r="I891" s="295"/>
      <c r="J891" s="295"/>
      <c r="K891" s="397"/>
      <c r="L891" s="295"/>
      <c r="M891" s="295"/>
      <c r="N891" s="295"/>
      <c r="O891" s="295"/>
      <c r="P891" s="397"/>
      <c r="Q891" s="295"/>
      <c r="R891" s="295"/>
      <c r="S891" s="295"/>
      <c r="T891" s="295"/>
      <c r="U891" s="397"/>
      <c r="V891" s="295"/>
      <c r="W891" s="295"/>
      <c r="X891" s="295"/>
      <c r="Y891" s="295"/>
      <c r="Z891" s="397"/>
      <c r="AA891" s="295"/>
      <c r="AB891" s="295"/>
      <c r="AC891" s="295"/>
      <c r="AD891" s="295"/>
      <c r="AE891" s="397"/>
      <c r="AF891" s="295"/>
      <c r="AG891" s="295"/>
      <c r="AH891" s="295"/>
      <c r="AI891" s="295"/>
      <c r="AJ891" s="397"/>
      <c r="AK891" s="295"/>
      <c r="AL891" s="295"/>
      <c r="AM891" s="295"/>
      <c r="AN891" s="295"/>
      <c r="AO891" s="397"/>
      <c r="AP891" s="295"/>
      <c r="AQ891" s="295"/>
      <c r="AR891" s="295"/>
      <c r="AS891" s="295"/>
      <c r="AT891" s="397"/>
      <c r="AU891" s="295"/>
      <c r="AV891" s="295"/>
      <c r="AW891" s="295"/>
      <c r="AX891" s="295"/>
      <c r="AY891" s="397"/>
      <c r="AZ891" s="295"/>
      <c r="BA891" s="295"/>
      <c r="BB891" s="295"/>
      <c r="BC891" s="295"/>
      <c r="BD891" s="397"/>
      <c r="BE891" s="295"/>
      <c r="BF891" s="295"/>
      <c r="BG891" s="295"/>
      <c r="BH891" s="295"/>
      <c r="BI891" s="397"/>
      <c r="BJ891" s="1030"/>
      <c r="BK891" s="295"/>
      <c r="BL891" s="295"/>
      <c r="BM891" s="295"/>
      <c r="BN891" s="397"/>
      <c r="BO891" s="295"/>
      <c r="BP891" s="295"/>
      <c r="BQ891" s="295"/>
      <c r="BR891" s="295"/>
      <c r="BS891" s="397"/>
      <c r="BT891" s="397"/>
      <c r="BU891" s="397"/>
      <c r="BV891" s="397"/>
      <c r="BW891" s="197"/>
    </row>
    <row r="892" spans="1:75" s="123" customFormat="1" x14ac:dyDescent="0.5">
      <c r="A892" s="928" t="s">
        <v>2670</v>
      </c>
      <c r="B892" s="513"/>
      <c r="C892" s="401"/>
      <c r="D892" s="401"/>
      <c r="E892" s="401"/>
      <c r="F892" s="401"/>
      <c r="G892" s="118"/>
      <c r="H892" s="118"/>
      <c r="I892" s="118"/>
      <c r="J892" s="118"/>
      <c r="K892" s="401"/>
      <c r="L892" s="118"/>
      <c r="M892" s="118"/>
      <c r="N892" s="118"/>
      <c r="O892" s="118"/>
      <c r="P892" s="401"/>
      <c r="Q892" s="118"/>
      <c r="R892" s="118"/>
      <c r="S892" s="118"/>
      <c r="T892" s="118"/>
      <c r="U892" s="401"/>
      <c r="V892" s="118"/>
      <c r="W892" s="118"/>
      <c r="X892" s="118"/>
      <c r="Y892" s="118"/>
      <c r="Z892" s="401"/>
      <c r="AA892" s="118"/>
      <c r="AB892" s="118"/>
      <c r="AC892" s="118"/>
      <c r="AD892" s="118"/>
      <c r="AE892" s="674">
        <f>AE829</f>
        <v>0</v>
      </c>
      <c r="AF892" s="122">
        <f>AF829</f>
        <v>0.746</v>
      </c>
      <c r="AG892" s="122">
        <f>AG829-AF829</f>
        <v>0</v>
      </c>
      <c r="AH892" s="122">
        <f>AH829-AG829</f>
        <v>0.80800000000000005</v>
      </c>
      <c r="AI892" s="122">
        <f>AI829-AH829</f>
        <v>0</v>
      </c>
      <c r="AJ892" s="674">
        <f>AJ829</f>
        <v>1.554</v>
      </c>
      <c r="AK892" s="122">
        <f>AK829</f>
        <v>0.80900000000000005</v>
      </c>
      <c r="AL892" s="122">
        <f>AL829-AK829</f>
        <v>2.911</v>
      </c>
      <c r="AM892" s="122">
        <f>AM829-AL829</f>
        <v>0.80799999999999939</v>
      </c>
      <c r="AN892" s="122">
        <f>AN829-AM829</f>
        <v>3.2350000000000003</v>
      </c>
      <c r="AO892" s="674">
        <f>AO829</f>
        <v>7.7629999999999999</v>
      </c>
      <c r="AP892" s="122">
        <f>AP829</f>
        <v>5.4470000000000001</v>
      </c>
      <c r="AQ892" s="122">
        <f>AQ829-AP829</f>
        <v>3.2339999999999991</v>
      </c>
      <c r="AR892" s="122">
        <f>AR829-AQ829</f>
        <v>5.4920000000000009</v>
      </c>
      <c r="AS892" s="122">
        <f>AS829-AR829</f>
        <v>3.234</v>
      </c>
      <c r="AT892" s="674">
        <f>AT829</f>
        <v>17.407</v>
      </c>
      <c r="AU892" s="122">
        <f>AU829</f>
        <v>10.775</v>
      </c>
      <c r="AV892" s="122">
        <f>AV829-AU829</f>
        <v>3.2189999999999994</v>
      </c>
      <c r="AW892" s="118">
        <f>AW829-AV829</f>
        <v>4.7489999999999988</v>
      </c>
      <c r="AX892" s="122">
        <f>AX829-AW829</f>
        <v>8.2570000000000014</v>
      </c>
      <c r="AY892" s="674">
        <f>AY829</f>
        <v>27</v>
      </c>
      <c r="AZ892" s="118">
        <f>AZ829</f>
        <v>9</v>
      </c>
      <c r="BA892" s="118">
        <f>BA829-AZ829</f>
        <v>4</v>
      </c>
      <c r="BB892" s="118">
        <f>BB829-BA829</f>
        <v>13</v>
      </c>
      <c r="BC892" s="118">
        <f>BC829-BB829</f>
        <v>1</v>
      </c>
      <c r="BD892" s="401">
        <f>BD829</f>
        <v>27</v>
      </c>
      <c r="BE892" s="118">
        <f>BE829</f>
        <v>20</v>
      </c>
      <c r="BF892" s="118">
        <f>BF829-BE829</f>
        <v>2</v>
      </c>
      <c r="BG892" s="118">
        <f>BG829-BF829</f>
        <v>18</v>
      </c>
      <c r="BH892" s="118">
        <f>BH829-BG829</f>
        <v>13</v>
      </c>
      <c r="BI892" s="401">
        <f>BI829</f>
        <v>53</v>
      </c>
      <c r="BJ892" s="971">
        <f>BJ829</f>
        <v>18</v>
      </c>
      <c r="BK892" s="118"/>
      <c r="BL892" s="118"/>
      <c r="BM892" s="118"/>
      <c r="BN892" s="401"/>
      <c r="BO892" s="118"/>
      <c r="BP892" s="118"/>
      <c r="BQ892" s="118"/>
      <c r="BR892" s="118"/>
      <c r="BS892" s="401"/>
      <c r="BT892" s="401"/>
      <c r="BU892" s="401"/>
      <c r="BV892" s="401"/>
      <c r="BW892" s="122"/>
    </row>
    <row r="893" spans="1:75" s="123" customFormat="1" x14ac:dyDescent="0.5">
      <c r="A893" s="928" t="s">
        <v>2671</v>
      </c>
      <c r="B893" s="513"/>
      <c r="C893" s="401"/>
      <c r="D893" s="401"/>
      <c r="E893" s="401"/>
      <c r="F893" s="401"/>
      <c r="G893" s="118"/>
      <c r="H893" s="118"/>
      <c r="I893" s="118"/>
      <c r="J893" s="118"/>
      <c r="K893" s="401"/>
      <c r="L893" s="118"/>
      <c r="M893" s="118"/>
      <c r="N893" s="118"/>
      <c r="O893" s="118"/>
      <c r="P893" s="401"/>
      <c r="Q893" s="118"/>
      <c r="R893" s="118"/>
      <c r="S893" s="118"/>
      <c r="T893" s="118"/>
      <c r="U893" s="401"/>
      <c r="V893" s="118"/>
      <c r="W893" s="118"/>
      <c r="X893" s="118"/>
      <c r="Y893" s="118"/>
      <c r="Z893" s="401"/>
      <c r="AA893" s="118"/>
      <c r="AB893" s="118"/>
      <c r="AC893" s="118"/>
      <c r="AD893" s="118"/>
      <c r="AE893" s="674">
        <f>AE830</f>
        <v>0</v>
      </c>
      <c r="AF893" s="118"/>
      <c r="AG893" s="118"/>
      <c r="AH893" s="118"/>
      <c r="AI893" s="118"/>
      <c r="AJ893" s="674">
        <f>AJ830</f>
        <v>9.0579999999999998</v>
      </c>
      <c r="AK893" s="118"/>
      <c r="AL893" s="118"/>
      <c r="AM893" s="118"/>
      <c r="AN893" s="118"/>
      <c r="AO893" s="674">
        <f>AO830</f>
        <v>0</v>
      </c>
      <c r="AP893" s="118"/>
      <c r="AQ893" s="118"/>
      <c r="AR893" s="118"/>
      <c r="AS893" s="118"/>
      <c r="AT893" s="674">
        <f>AT830</f>
        <v>0</v>
      </c>
      <c r="AU893" s="118"/>
      <c r="AV893" s="118"/>
      <c r="AW893" s="118"/>
      <c r="AX893" s="118"/>
      <c r="AY893" s="674">
        <f>AY830</f>
        <v>0</v>
      </c>
      <c r="AZ893" s="118"/>
      <c r="BA893" s="118"/>
      <c r="BB893" s="118"/>
      <c r="BC893" s="118"/>
      <c r="BD893" s="401">
        <f>BD830</f>
        <v>0</v>
      </c>
      <c r="BE893" s="118"/>
      <c r="BF893" s="118"/>
      <c r="BG893" s="118"/>
      <c r="BH893" s="118"/>
      <c r="BI893" s="401">
        <f>BI830</f>
        <v>0</v>
      </c>
      <c r="BJ893" s="971"/>
      <c r="BK893" s="118"/>
      <c r="BL893" s="118"/>
      <c r="BM893" s="118"/>
      <c r="BN893" s="401"/>
      <c r="BO893" s="118"/>
      <c r="BP893" s="118"/>
      <c r="BQ893" s="118"/>
      <c r="BR893" s="118"/>
      <c r="BS893" s="401"/>
      <c r="BT893" s="401"/>
      <c r="BU893" s="401"/>
      <c r="BV893" s="401"/>
      <c r="BW893" s="122"/>
    </row>
    <row r="894" spans="1:75" s="123" customFormat="1" x14ac:dyDescent="0.5">
      <c r="A894" s="1576" t="s">
        <v>2672</v>
      </c>
      <c r="B894" s="517"/>
      <c r="C894" s="518"/>
      <c r="D894" s="518"/>
      <c r="E894" s="518"/>
      <c r="F894" s="518"/>
      <c r="G894" s="327"/>
      <c r="H894" s="327"/>
      <c r="I894" s="327"/>
      <c r="J894" s="327"/>
      <c r="K894" s="518"/>
      <c r="L894" s="327"/>
      <c r="M894" s="327"/>
      <c r="N894" s="327"/>
      <c r="O894" s="327"/>
      <c r="P894" s="518"/>
      <c r="Q894" s="327"/>
      <c r="R894" s="327"/>
      <c r="S894" s="327"/>
      <c r="T894" s="327"/>
      <c r="U894" s="518"/>
      <c r="V894" s="327"/>
      <c r="W894" s="327"/>
      <c r="X894" s="327"/>
      <c r="Y894" s="327"/>
      <c r="Z894" s="518"/>
      <c r="AA894" s="327"/>
      <c r="AB894" s="327"/>
      <c r="AC894" s="327"/>
      <c r="AD894" s="327"/>
      <c r="AE894" s="519">
        <f>SUM(AE892:AE893)</f>
        <v>0</v>
      </c>
      <c r="AF894" s="327"/>
      <c r="AG894" s="327"/>
      <c r="AH894" s="327"/>
      <c r="AI894" s="327"/>
      <c r="AJ894" s="519">
        <f>SUM(AJ892:AJ893)</f>
        <v>10.612</v>
      </c>
      <c r="AK894" s="327"/>
      <c r="AL894" s="327"/>
      <c r="AM894" s="327"/>
      <c r="AN894" s="327"/>
      <c r="AO894" s="519">
        <f>SUM(AO892:AO893)</f>
        <v>7.7629999999999999</v>
      </c>
      <c r="AP894" s="327"/>
      <c r="AQ894" s="327"/>
      <c r="AR894" s="327"/>
      <c r="AS894" s="327"/>
      <c r="AT894" s="519">
        <f>SUM(AT892:AT893)</f>
        <v>17.407</v>
      </c>
      <c r="AU894" s="327"/>
      <c r="AV894" s="327"/>
      <c r="AW894" s="327"/>
      <c r="AX894" s="327"/>
      <c r="AY894" s="519">
        <f>SUM(AY892:AY893)</f>
        <v>27</v>
      </c>
      <c r="AZ894" s="327"/>
      <c r="BA894" s="327"/>
      <c r="BB894" s="327"/>
      <c r="BC894" s="327"/>
      <c r="BD894" s="518">
        <f>SUM(BD892:BD893)</f>
        <v>27</v>
      </c>
      <c r="BE894" s="327"/>
      <c r="BF894" s="327"/>
      <c r="BG894" s="327"/>
      <c r="BH894" s="327"/>
      <c r="BI894" s="518">
        <f>SUM(BI892:BI893)</f>
        <v>53</v>
      </c>
      <c r="BJ894" s="1026"/>
      <c r="BK894" s="327"/>
      <c r="BL894" s="327"/>
      <c r="BM894" s="327"/>
      <c r="BN894" s="518"/>
      <c r="BO894" s="327"/>
      <c r="BP894" s="327"/>
      <c r="BQ894" s="327"/>
      <c r="BR894" s="327"/>
      <c r="BS894" s="518"/>
      <c r="BT894" s="518"/>
      <c r="BU894" s="518"/>
      <c r="BV894" s="518"/>
      <c r="BW894" s="197"/>
    </row>
    <row r="895" spans="1:75" s="123" customFormat="1" x14ac:dyDescent="0.5">
      <c r="A895" s="1577" t="s">
        <v>2673</v>
      </c>
      <c r="B895" s="522"/>
      <c r="C895" s="397"/>
      <c r="D895" s="397"/>
      <c r="E895" s="397"/>
      <c r="F895" s="672">
        <f>F832</f>
        <v>1.7000000000000001E-2</v>
      </c>
      <c r="G895" s="295"/>
      <c r="H895" s="295"/>
      <c r="I895" s="197">
        <f>I832-H832</f>
        <v>1.7000000000000001E-2</v>
      </c>
      <c r="J895" s="197">
        <f>J832-I832</f>
        <v>-1.6E-2</v>
      </c>
      <c r="K895" s="672">
        <f>K832</f>
        <v>3.0000000000000001E-3</v>
      </c>
      <c r="L895" s="295"/>
      <c r="M895" s="295"/>
      <c r="N895" s="197">
        <f>N832-M832</f>
        <v>2.0999999999999998E-2</v>
      </c>
      <c r="O895" s="197">
        <f>O832-N832</f>
        <v>9.9999999999999985E-3</v>
      </c>
      <c r="P895" s="672">
        <f>P832</f>
        <v>3.6999999999999998E-2</v>
      </c>
      <c r="Q895" s="295"/>
      <c r="R895" s="295"/>
      <c r="S895" s="295"/>
      <c r="T895" s="295"/>
      <c r="U895" s="397"/>
      <c r="V895" s="295"/>
      <c r="W895" s="295"/>
      <c r="X895" s="295"/>
      <c r="Y895" s="295"/>
      <c r="Z895" s="397"/>
      <c r="AA895" s="295"/>
      <c r="AB895" s="295"/>
      <c r="AC895" s="295"/>
      <c r="AD895" s="295"/>
      <c r="AE895" s="397"/>
      <c r="AF895" s="295"/>
      <c r="AG895" s="295"/>
      <c r="AH895" s="295"/>
      <c r="AI895" s="295"/>
      <c r="AJ895" s="397"/>
      <c r="AK895" s="295"/>
      <c r="AL895" s="295"/>
      <c r="AM895" s="295"/>
      <c r="AN895" s="295"/>
      <c r="AO895" s="397"/>
      <c r="AP895" s="295"/>
      <c r="AQ895" s="295"/>
      <c r="AR895" s="295"/>
      <c r="AS895" s="295"/>
      <c r="AT895" s="397"/>
      <c r="AU895" s="295"/>
      <c r="AV895" s="295"/>
      <c r="AW895" s="295"/>
      <c r="AX895" s="295"/>
      <c r="AY895" s="397"/>
      <c r="AZ895" s="295"/>
      <c r="BA895" s="295"/>
      <c r="BB895" s="295"/>
      <c r="BC895" s="295"/>
      <c r="BD895" s="397"/>
      <c r="BE895" s="295"/>
      <c r="BF895" s="295"/>
      <c r="BG895" s="295"/>
      <c r="BH895" s="295"/>
      <c r="BI895" s="397"/>
      <c r="BJ895" s="1030"/>
      <c r="BK895" s="295"/>
      <c r="BL895" s="295"/>
      <c r="BM895" s="295"/>
      <c r="BN895" s="397"/>
      <c r="BO895" s="295"/>
      <c r="BP895" s="295"/>
      <c r="BQ895" s="295"/>
      <c r="BR895" s="295"/>
      <c r="BS895" s="397"/>
      <c r="BT895" s="397"/>
      <c r="BU895" s="397"/>
      <c r="BV895" s="397"/>
      <c r="BW895" s="197"/>
    </row>
    <row r="896" spans="1:75" x14ac:dyDescent="0.5">
      <c r="A896" s="206"/>
      <c r="B896" s="522"/>
      <c r="C896" s="397"/>
      <c r="D896" s="397"/>
      <c r="E896" s="397"/>
      <c r="F896" s="397"/>
      <c r="G896" s="295"/>
      <c r="H896" s="295"/>
      <c r="I896" s="295"/>
      <c r="J896" s="295"/>
      <c r="K896" s="397"/>
      <c r="L896" s="295"/>
      <c r="M896" s="295"/>
      <c r="N896" s="295"/>
      <c r="O896" s="295"/>
      <c r="P896" s="397"/>
      <c r="Q896" s="295"/>
      <c r="R896" s="295"/>
      <c r="S896" s="295"/>
      <c r="T896" s="295"/>
      <c r="U896" s="397"/>
      <c r="V896" s="295"/>
      <c r="W896" s="295"/>
      <c r="X896" s="295"/>
      <c r="Y896" s="295"/>
      <c r="Z896" s="397"/>
      <c r="AA896" s="295"/>
      <c r="AB896" s="295"/>
      <c r="AC896" s="295"/>
      <c r="AD896" s="295"/>
      <c r="AE896" s="397"/>
      <c r="AF896" s="295"/>
      <c r="AG896" s="295"/>
      <c r="AH896" s="295"/>
      <c r="AI896" s="295"/>
      <c r="AJ896" s="397"/>
      <c r="AK896" s="295"/>
      <c r="AL896" s="295"/>
      <c r="AM896" s="295"/>
      <c r="AN896" s="295"/>
      <c r="AO896" s="397"/>
      <c r="AP896" s="295"/>
      <c r="AQ896" s="295"/>
      <c r="AR896" s="295"/>
      <c r="AS896" s="295"/>
      <c r="AT896" s="397"/>
      <c r="AU896" s="295"/>
      <c r="AV896" s="295"/>
      <c r="AW896" s="295"/>
      <c r="AX896" s="295"/>
      <c r="AY896" s="397"/>
      <c r="AZ896" s="295"/>
      <c r="BA896" s="295"/>
      <c r="BB896" s="295"/>
      <c r="BC896" s="295"/>
      <c r="BD896" s="397"/>
      <c r="BE896" s="295"/>
      <c r="BF896" s="295"/>
      <c r="BG896" s="295"/>
      <c r="BH896" s="295"/>
      <c r="BI896" s="397"/>
      <c r="BJ896" s="1030"/>
      <c r="BK896" s="295"/>
      <c r="BL896" s="295"/>
      <c r="BM896" s="295"/>
      <c r="BN896" s="397"/>
      <c r="BO896" s="295"/>
      <c r="BP896" s="295"/>
      <c r="BQ896" s="295"/>
      <c r="BR896" s="295"/>
      <c r="BS896" s="397"/>
      <c r="BT896" s="397"/>
      <c r="BU896" s="397"/>
      <c r="BV896" s="397"/>
      <c r="BW896" s="197"/>
    </row>
    <row r="897" spans="1:75" x14ac:dyDescent="0.5">
      <c r="A897" s="685" t="s">
        <v>1433</v>
      </c>
      <c r="B897" s="685"/>
      <c r="C897" s="686"/>
      <c r="D897" s="686"/>
      <c r="E897" s="686"/>
      <c r="F897" s="686">
        <f t="shared" ref="F897" si="780">ROUND(F890-F936-F940,6)</f>
        <v>0</v>
      </c>
      <c r="G897" s="686"/>
      <c r="H897" s="686"/>
      <c r="I897" s="686"/>
      <c r="J897" s="686">
        <f t="shared" ref="J897:K897" si="781">ROUND(J890-J936-J940,6)</f>
        <v>0</v>
      </c>
      <c r="K897" s="686">
        <f t="shared" si="781"/>
        <v>0</v>
      </c>
      <c r="L897" s="686"/>
      <c r="M897" s="686"/>
      <c r="N897" s="686">
        <f t="shared" ref="N897:BV897" si="782">ROUND(N890-N936-N940,6)</f>
        <v>0</v>
      </c>
      <c r="O897" s="686">
        <f t="shared" si="782"/>
        <v>0</v>
      </c>
      <c r="P897" s="686">
        <f t="shared" si="782"/>
        <v>0</v>
      </c>
      <c r="Q897" s="686">
        <f t="shared" si="782"/>
        <v>0</v>
      </c>
      <c r="R897" s="686">
        <f t="shared" si="782"/>
        <v>0</v>
      </c>
      <c r="S897" s="686">
        <f t="shared" si="782"/>
        <v>0</v>
      </c>
      <c r="T897" s="686">
        <f t="shared" si="782"/>
        <v>0</v>
      </c>
      <c r="U897" s="686">
        <f t="shared" si="782"/>
        <v>0</v>
      </c>
      <c r="V897" s="686">
        <f t="shared" si="782"/>
        <v>0</v>
      </c>
      <c r="W897" s="686">
        <f t="shared" si="782"/>
        <v>0</v>
      </c>
      <c r="X897" s="686">
        <f t="shared" si="782"/>
        <v>0</v>
      </c>
      <c r="Y897" s="686">
        <f t="shared" si="782"/>
        <v>0</v>
      </c>
      <c r="Z897" s="686">
        <f t="shared" si="782"/>
        <v>0</v>
      </c>
      <c r="AA897" s="686">
        <f t="shared" si="782"/>
        <v>0</v>
      </c>
      <c r="AB897" s="686">
        <f t="shared" si="782"/>
        <v>0</v>
      </c>
      <c r="AC897" s="686">
        <f t="shared" si="782"/>
        <v>0</v>
      </c>
      <c r="AD897" s="686">
        <f t="shared" si="782"/>
        <v>0</v>
      </c>
      <c r="AE897" s="686">
        <f t="shared" si="782"/>
        <v>0</v>
      </c>
      <c r="AF897" s="686">
        <f t="shared" si="782"/>
        <v>0</v>
      </c>
      <c r="AG897" s="686">
        <f t="shared" si="782"/>
        <v>0</v>
      </c>
      <c r="AH897" s="686">
        <f t="shared" si="782"/>
        <v>0</v>
      </c>
      <c r="AI897" s="686">
        <f t="shared" si="782"/>
        <v>0</v>
      </c>
      <c r="AJ897" s="686">
        <f t="shared" si="782"/>
        <v>0</v>
      </c>
      <c r="AK897" s="686">
        <f t="shared" si="782"/>
        <v>0</v>
      </c>
      <c r="AL897" s="686">
        <f t="shared" si="782"/>
        <v>0</v>
      </c>
      <c r="AM897" s="686">
        <f t="shared" si="782"/>
        <v>0</v>
      </c>
      <c r="AN897" s="686">
        <f t="shared" si="782"/>
        <v>0</v>
      </c>
      <c r="AO897" s="686">
        <f t="shared" si="782"/>
        <v>0</v>
      </c>
      <c r="AP897" s="686">
        <f t="shared" si="782"/>
        <v>0</v>
      </c>
      <c r="AQ897" s="686">
        <f t="shared" si="782"/>
        <v>0</v>
      </c>
      <c r="AR897" s="686">
        <f t="shared" si="782"/>
        <v>0</v>
      </c>
      <c r="AS897" s="686">
        <f t="shared" si="782"/>
        <v>0</v>
      </c>
      <c r="AT897" s="686">
        <f t="shared" si="782"/>
        <v>0</v>
      </c>
      <c r="AU897" s="686">
        <f t="shared" si="782"/>
        <v>0</v>
      </c>
      <c r="AV897" s="686">
        <f t="shared" si="782"/>
        <v>0</v>
      </c>
      <c r="AW897" s="686">
        <f t="shared" si="782"/>
        <v>0</v>
      </c>
      <c r="AX897" s="686">
        <f t="shared" si="782"/>
        <v>-0.56000000000000005</v>
      </c>
      <c r="AY897" s="686">
        <f t="shared" si="782"/>
        <v>0</v>
      </c>
      <c r="AZ897" s="686">
        <f t="shared" si="782"/>
        <v>0</v>
      </c>
      <c r="BA897" s="686">
        <f t="shared" si="782"/>
        <v>0</v>
      </c>
      <c r="BB897" s="686">
        <f t="shared" si="782"/>
        <v>0</v>
      </c>
      <c r="BC897" s="686">
        <f t="shared" si="782"/>
        <v>0</v>
      </c>
      <c r="BD897" s="686">
        <f t="shared" si="782"/>
        <v>0</v>
      </c>
      <c r="BE897" s="686">
        <f t="shared" si="782"/>
        <v>0</v>
      </c>
      <c r="BF897" s="686">
        <f t="shared" si="782"/>
        <v>0</v>
      </c>
      <c r="BG897" s="686">
        <f t="shared" si="782"/>
        <v>0</v>
      </c>
      <c r="BH897" s="686">
        <f t="shared" si="782"/>
        <v>0</v>
      </c>
      <c r="BI897" s="686">
        <f t="shared" si="782"/>
        <v>0</v>
      </c>
      <c r="BJ897" s="687">
        <f>ROUND(BJ890-BJ936-BJ940,6)</f>
        <v>0</v>
      </c>
      <c r="BK897" s="686">
        <f t="shared" ca="1" si="782"/>
        <v>0</v>
      </c>
      <c r="BL897" s="686">
        <f t="shared" ca="1" si="782"/>
        <v>0</v>
      </c>
      <c r="BM897" s="686">
        <f t="shared" ca="1" si="782"/>
        <v>0</v>
      </c>
      <c r="BN897" s="686">
        <f t="shared" ca="1" si="782"/>
        <v>0</v>
      </c>
      <c r="BO897" s="686">
        <f t="shared" ca="1" si="782"/>
        <v>0</v>
      </c>
      <c r="BP897" s="686">
        <f t="shared" ca="1" si="782"/>
        <v>0</v>
      </c>
      <c r="BQ897" s="686">
        <f t="shared" ca="1" si="782"/>
        <v>0</v>
      </c>
      <c r="BR897" s="686">
        <f t="shared" ca="1" si="782"/>
        <v>0</v>
      </c>
      <c r="BS897" s="686">
        <f t="shared" ca="1" si="782"/>
        <v>0</v>
      </c>
      <c r="BT897" s="686">
        <f t="shared" ca="1" si="782"/>
        <v>0</v>
      </c>
      <c r="BU897" s="686">
        <f t="shared" ca="1" si="782"/>
        <v>0</v>
      </c>
      <c r="BV897" s="686">
        <f t="shared" ca="1" si="782"/>
        <v>0</v>
      </c>
      <c r="BW897" s="122"/>
    </row>
    <row r="898" spans="1:75" x14ac:dyDescent="0.5">
      <c r="A898" s="206"/>
      <c r="B898" s="522"/>
      <c r="C898" s="397"/>
      <c r="D898" s="397"/>
      <c r="E898" s="397"/>
      <c r="F898" s="397"/>
      <c r="G898" s="295"/>
      <c r="H898" s="295"/>
      <c r="I898" s="295"/>
      <c r="J898" s="295"/>
      <c r="K898" s="397"/>
      <c r="L898" s="295"/>
      <c r="M898" s="295"/>
      <c r="N898" s="295"/>
      <c r="O898" s="295"/>
      <c r="P898" s="397"/>
      <c r="Q898" s="295"/>
      <c r="R898" s="295"/>
      <c r="S898" s="295"/>
      <c r="T898" s="295"/>
      <c r="U898" s="397"/>
      <c r="V898" s="295"/>
      <c r="W898" s="295"/>
      <c r="X898" s="295"/>
      <c r="Y898" s="295"/>
      <c r="Z898" s="397"/>
      <c r="AA898" s="295"/>
      <c r="AB898" s="295"/>
      <c r="AC898" s="295"/>
      <c r="AD898" s="295"/>
      <c r="AE898" s="397"/>
      <c r="AF898" s="295"/>
      <c r="AG898" s="295"/>
      <c r="AH898" s="295"/>
      <c r="AI898" s="295"/>
      <c r="AJ898" s="397"/>
      <c r="AK898" s="295"/>
      <c r="AL898" s="295"/>
      <c r="AM898" s="295"/>
      <c r="AN898" s="295"/>
      <c r="AO898" s="397"/>
      <c r="AP898" s="295"/>
      <c r="AQ898" s="295"/>
      <c r="AR898" s="295"/>
      <c r="AS898" s="295"/>
      <c r="AT898" s="397"/>
      <c r="AU898" s="295"/>
      <c r="AV898" s="295"/>
      <c r="AW898" s="295"/>
      <c r="AX898" s="295"/>
      <c r="AY898" s="397"/>
      <c r="AZ898" s="295"/>
      <c r="BA898" s="295"/>
      <c r="BB898" s="295"/>
      <c r="BC898" s="295"/>
      <c r="BD898" s="397"/>
      <c r="BE898" s="295"/>
      <c r="BF898" s="295"/>
      <c r="BG898" s="295"/>
      <c r="BH898" s="295"/>
      <c r="BI898" s="397"/>
      <c r="BJ898" s="1030"/>
      <c r="BK898" s="295"/>
      <c r="BL898" s="295"/>
      <c r="BM898" s="295"/>
      <c r="BN898" s="397"/>
      <c r="BO898" s="295"/>
      <c r="BP898" s="295"/>
      <c r="BQ898" s="295"/>
      <c r="BR898" s="295"/>
      <c r="BS898" s="397"/>
      <c r="BT898" s="397"/>
      <c r="BU898" s="397"/>
      <c r="BV898" s="397"/>
      <c r="BW898" s="197"/>
    </row>
    <row r="899" spans="1:75" x14ac:dyDescent="0.5">
      <c r="A899" s="482" t="s">
        <v>1434</v>
      </c>
      <c r="B899" s="946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  <c r="AA899" s="239"/>
      <c r="AB899" s="239"/>
      <c r="AC899" s="239"/>
      <c r="AD899" s="239"/>
      <c r="AE899" s="239"/>
      <c r="AF899" s="239"/>
      <c r="AG899" s="239"/>
      <c r="AH899" s="239"/>
      <c r="AI899" s="239"/>
      <c r="AJ899" s="239"/>
      <c r="AK899" s="239"/>
      <c r="AL899" s="239"/>
      <c r="AM899" s="239"/>
      <c r="AN899" s="239"/>
      <c r="AO899" s="239"/>
      <c r="AP899" s="239"/>
      <c r="AQ899" s="239"/>
      <c r="AR899" s="239"/>
      <c r="AS899" s="239"/>
      <c r="AT899" s="239"/>
      <c r="AU899" s="239"/>
      <c r="AV899" s="239"/>
      <c r="AW899" s="239"/>
      <c r="AX899" s="239"/>
      <c r="AY899" s="239"/>
      <c r="AZ899" s="239"/>
      <c r="BA899" s="239"/>
      <c r="BB899" s="239"/>
      <c r="BC899" s="239"/>
      <c r="BD899" s="239"/>
      <c r="BE899" s="239"/>
      <c r="BF899" s="239"/>
      <c r="BG899" s="239"/>
      <c r="BH899" s="239"/>
      <c r="BI899" s="239"/>
      <c r="BJ899" s="241"/>
      <c r="BK899" s="239"/>
      <c r="BL899" s="239"/>
      <c r="BM899" s="239"/>
      <c r="BN899" s="239"/>
      <c r="BO899" s="239"/>
      <c r="BP899" s="239"/>
      <c r="BQ899" s="239"/>
      <c r="BR899" s="239"/>
      <c r="BS899" s="239"/>
      <c r="BT899" s="239"/>
      <c r="BU899" s="239"/>
      <c r="BV899" s="239"/>
      <c r="BW899" s="197"/>
    </row>
    <row r="900" spans="1:75" x14ac:dyDescent="0.5">
      <c r="A900" s="1348" t="s">
        <v>2674</v>
      </c>
      <c r="B900" s="729"/>
      <c r="C900" s="730"/>
      <c r="D900" s="730"/>
      <c r="E900" s="730"/>
      <c r="F900" s="1349">
        <f>F938/F$227</f>
        <v>2.6231722981292054E-2</v>
      </c>
      <c r="G900" s="473"/>
      <c r="H900" s="473"/>
      <c r="I900" s="473"/>
      <c r="J900" s="473"/>
      <c r="K900" s="1349">
        <f>K938/K$227</f>
        <v>8.3955437776998907E-3</v>
      </c>
      <c r="L900" s="161">
        <f>L938/(L$227+J$227+I$227+H$227)</f>
        <v>5.864677807353562E-3</v>
      </c>
      <c r="M900" s="161">
        <f>M938/(M$227+L$227+J$227+I$227)</f>
        <v>6.0057156848837938E-3</v>
      </c>
      <c r="N900" s="161">
        <f>N938/(N$227+M$227+L$227+J$227)</f>
        <v>4.407526137028113E-3</v>
      </c>
      <c r="O900" s="161">
        <f>O938/(O$227+N$227+M$227+L$227)</f>
        <v>4.5104025850846614E-3</v>
      </c>
      <c r="P900" s="1349">
        <f>P938/P$227</f>
        <v>4.5104025850846614E-3</v>
      </c>
      <c r="Q900" s="161">
        <f>Q938/(Q$227+O$227+N$227+M$227)</f>
        <v>5.4335098302284229E-3</v>
      </c>
      <c r="R900" s="161">
        <f>R938/(R$227+Q$227+O$227+N$227)</f>
        <v>4.2530389601006654E-3</v>
      </c>
      <c r="S900" s="161">
        <f>S938/(S$227+R$227+Q$227+O$227)</f>
        <v>5.0653719105609278E-3</v>
      </c>
      <c r="T900" s="161">
        <f>T938/(T$227+S$227+R$227+Q$227)</f>
        <v>4.4028917033537276E-3</v>
      </c>
      <c r="U900" s="1349">
        <f>U938/U$227</f>
        <v>4.4028917033537267E-3</v>
      </c>
      <c r="V900" s="161">
        <f>V938/(V$227+T$227+S$227+R$227)</f>
        <v>4.6073205636369156E-3</v>
      </c>
      <c r="W900" s="161">
        <f>W938/(W$227+V$227+T$227+S$227)</f>
        <v>4.9382190891473551E-3</v>
      </c>
      <c r="X900" s="161">
        <f>X938/(X$227+W$227+V$227+T$227)</f>
        <v>5.3224416067018943E-3</v>
      </c>
      <c r="Y900" s="161">
        <f>Y938/(Y$227+X$227+W$227+V$227)</f>
        <v>5.6541315126199584E-3</v>
      </c>
      <c r="Z900" s="1349">
        <f>Z938/Z$227</f>
        <v>5.6541315126199575E-3</v>
      </c>
      <c r="AA900" s="161">
        <f>AA938/(AA$227+Y$227+X$227+W$227)</f>
        <v>6.0575924840219515E-3</v>
      </c>
      <c r="AB900" s="161">
        <f>AB938/(AB$227+AA$227+Y$227+X$227)</f>
        <v>6.0792439242550135E-3</v>
      </c>
      <c r="AC900" s="161">
        <f>AC938/(AC$227+AB$227+AA$227+Y$227)</f>
        <v>6.4505800857764719E-3</v>
      </c>
      <c r="AD900" s="161">
        <f>AD938/(AD$227+AC$227+AB$227+AA$227)</f>
        <v>8.038306295734177E-3</v>
      </c>
      <c r="AE900" s="1349">
        <f>AE938/AE$227</f>
        <v>8.038306295734177E-3</v>
      </c>
      <c r="AF900" s="161">
        <f>AF938/(AF$227+AD$227+AC$227+AB$227)</f>
        <v>6.1918863188493234E-3</v>
      </c>
      <c r="AG900" s="161">
        <f>AG938/(AG$227+AF$227+AD$227+AC$227)</f>
        <v>6.1127954080395803E-3</v>
      </c>
      <c r="AH900" s="161">
        <f>AH938/(AH$227+AG$227+AF$227+AD$227)</f>
        <v>6.6105368214299173E-3</v>
      </c>
      <c r="AI900" s="161">
        <f>AI938/(AI$227+AH$227+AG$227+AF$227)</f>
        <v>7.4644787108281924E-3</v>
      </c>
      <c r="AJ900" s="1349">
        <f>AJ938/AJ$227</f>
        <v>7.4644787108281924E-3</v>
      </c>
      <c r="AK900" s="161">
        <f>AK938/(AK$227+AI$227+AH$227+AG$227)</f>
        <v>8.278442905165679E-3</v>
      </c>
      <c r="AL900" s="161">
        <f>AL938/(AL$227+AK$227+AI$227+AH$227)</f>
        <v>9.6525494306812839E-3</v>
      </c>
      <c r="AM900" s="161">
        <f>AM938/(AM$227+AL$227+AK$227+AI$227)</f>
        <v>8.7919112139766276E-3</v>
      </c>
      <c r="AN900" s="161">
        <f>AN938/(AN$227+AM$227+AL$227+AK$227)</f>
        <v>1.092575624322276E-2</v>
      </c>
      <c r="AO900" s="1349">
        <f>AO938/AO$227</f>
        <v>1.092575624322276E-2</v>
      </c>
      <c r="AP900" s="161">
        <f>AP938/(AP$227+AN$227+AM$227+AL$227)</f>
        <v>1.1591213935738509E-2</v>
      </c>
      <c r="AQ900" s="161">
        <f>AQ938/(AQ$227+AP$227+AN$227+AM$227)</f>
        <v>1.037014002094527E-2</v>
      </c>
      <c r="AR900" s="161">
        <f>AR938/(AR$227+AQ$227+AP$227+AN$227)</f>
        <v>8.4297146441806615E-3</v>
      </c>
      <c r="AS900" s="161">
        <f>AS938/(AS$227+AR$227+AQ$227+AP$227)</f>
        <v>7.7976517190761277E-3</v>
      </c>
      <c r="AT900" s="1349">
        <f>AT938/AT$227</f>
        <v>7.7976517190761277E-3</v>
      </c>
      <c r="AU900" s="161">
        <f>AU938/(AU$227+AS$227+AR$227+AQ$227)</f>
        <v>6.9996549313913756E-3</v>
      </c>
      <c r="AV900" s="161">
        <f>AV938/(AV$227+AU$227+AS$227+AR$227)</f>
        <v>8.7170814987506361E-3</v>
      </c>
      <c r="AW900" s="161">
        <f>AW938/(AW$227+AV$227+AU$227+AS$227)</f>
        <v>1.1785664381551514E-2</v>
      </c>
      <c r="AX900" s="161">
        <f>AX938/(AX$227+AW$227+AV$227+AU$227)</f>
        <v>1.6486723081412313E-2</v>
      </c>
      <c r="AY900" s="1349">
        <f>AY938/AY$227</f>
        <v>1.6486723081412313E-2</v>
      </c>
      <c r="AZ900" s="161">
        <f>AZ938/(AZ$227+AX$227+AW$227+AV$227)</f>
        <v>2.041822267387667E-2</v>
      </c>
      <c r="BA900" s="161">
        <f>BA938/(BA$227+AZ$227+AX$227+AW$227)</f>
        <v>2.4348103251135823E-2</v>
      </c>
      <c r="BB900" s="161">
        <f>BB938/(BB$227+BA$227+AZ$227+AX$227)</f>
        <v>2.6841789399805464E-2</v>
      </c>
      <c r="BC900" s="161">
        <f>BC938/(BC$227+BB$227+BA$227+AZ$227)</f>
        <v>2.2262236045179244E-2</v>
      </c>
      <c r="BD900" s="1349">
        <f>BD938/BD$227</f>
        <v>2.2262236045179244E-2</v>
      </c>
      <c r="BE900" s="161">
        <f>BE938/(BE$227+BC$227+BB$227+BA$227)</f>
        <v>1.5084590382531878E-2</v>
      </c>
      <c r="BF900" s="161">
        <f>BF938/(BF$227+BE$227+BC$227+BB$227)</f>
        <v>1.076897189971395E-2</v>
      </c>
      <c r="BG900" s="161">
        <f>BG938/(BG$227+BF$227+BE$227+BC$227)</f>
        <v>1.1009174311926606E-2</v>
      </c>
      <c r="BH900" s="161">
        <f>BH938/(BH$227+BG$227+BF$227+BE$227)</f>
        <v>1.166375072898442E-2</v>
      </c>
      <c r="BI900" s="1349">
        <f>BI938/BI$227</f>
        <v>1.166375072898442E-2</v>
      </c>
      <c r="BJ900" s="1350">
        <f>BJ938/(BJ$227+BH$227+BG$227+BF$227)</f>
        <v>9.4497407593243012E-3</v>
      </c>
      <c r="BK900" s="473">
        <f t="shared" ref="BK900:BM904" si="783">BF900+BK906</f>
        <v>1.076897189971395E-2</v>
      </c>
      <c r="BL900" s="473">
        <f t="shared" si="783"/>
        <v>1.1009174311926606E-2</v>
      </c>
      <c r="BM900" s="473">
        <f t="shared" si="783"/>
        <v>1.166375072898442E-2</v>
      </c>
      <c r="BN900" s="730">
        <f>BN938/BN$227</f>
        <v>1.1663750728984422E-2</v>
      </c>
      <c r="BO900" s="473">
        <f t="shared" ref="BO900:BR904" si="784">BJ900+BO906</f>
        <v>9.4497407593243012E-3</v>
      </c>
      <c r="BP900" s="473">
        <f t="shared" si="784"/>
        <v>1.076897189971395E-2</v>
      </c>
      <c r="BQ900" s="473">
        <f t="shared" si="784"/>
        <v>1.1009174311926606E-2</v>
      </c>
      <c r="BR900" s="473">
        <f t="shared" si="784"/>
        <v>1.166375072898442E-2</v>
      </c>
      <c r="BS900" s="730">
        <f>BS938/BS$227</f>
        <v>1.166375072898442E-2</v>
      </c>
      <c r="BT900" s="730">
        <f t="shared" ref="BT900:BV904" si="785">BS900+BT906</f>
        <v>1.166375072898442E-2</v>
      </c>
      <c r="BU900" s="730">
        <f t="shared" si="785"/>
        <v>1.166375072898442E-2</v>
      </c>
      <c r="BV900" s="730">
        <f t="shared" si="785"/>
        <v>1.166375072898442E-2</v>
      </c>
      <c r="BW900" s="161"/>
    </row>
    <row r="901" spans="1:75" x14ac:dyDescent="0.5">
      <c r="A901" s="1348" t="s">
        <v>2675</v>
      </c>
      <c r="B901" s="729"/>
      <c r="C901" s="730"/>
      <c r="D901" s="730"/>
      <c r="E901" s="730"/>
      <c r="F901" s="1349">
        <f>F939/F$227</f>
        <v>1.3159120706522823E-2</v>
      </c>
      <c r="G901" s="473"/>
      <c r="H901" s="473"/>
      <c r="I901" s="473"/>
      <c r="J901" s="473"/>
      <c r="K901" s="1349">
        <f>K939/K$227</f>
        <v>1.6337953120785988E-2</v>
      </c>
      <c r="L901" s="161">
        <f>L939/(L$227+J$227+I$227+H$227)</f>
        <v>1.5366815837685111E-2</v>
      </c>
      <c r="M901" s="161">
        <f>M939/(M$227+L$227+J$227+I$227)</f>
        <v>1.7892460915864866E-2</v>
      </c>
      <c r="N901" s="161">
        <f>N939/(N$227+M$227+L$227+J$227)</f>
        <v>1.7515644893067311E-2</v>
      </c>
      <c r="O901" s="161">
        <f>O939/(O$227+N$227+M$227+L$227)</f>
        <v>1.5010413578669715E-2</v>
      </c>
      <c r="P901" s="1349">
        <f>P939/P$227</f>
        <v>1.5010413578669715E-2</v>
      </c>
      <c r="Q901" s="161">
        <f>Q939/(Q$227+O$227+N$227+M$227)</f>
        <v>1.3662976277042091E-2</v>
      </c>
      <c r="R901" s="161">
        <f>R939/(R$227+Q$227+O$227+N$227)</f>
        <v>1.2836784211255139E-2</v>
      </c>
      <c r="S901" s="161">
        <f>S939/(S$227+R$227+Q$227+O$227)</f>
        <v>1.1753705867575888E-2</v>
      </c>
      <c r="T901" s="161">
        <f>T939/(T$227+S$227+R$227+Q$227)</f>
        <v>8.844896516933088E-3</v>
      </c>
      <c r="U901" s="1349">
        <f>U939/U$227</f>
        <v>8.8448965169330863E-3</v>
      </c>
      <c r="V901" s="161">
        <f>V939/(V$227+T$227+S$227+R$227)</f>
        <v>6.9039847453924866E-3</v>
      </c>
      <c r="W901" s="161">
        <f>W939/(W$227+V$227+T$227+S$227)</f>
        <v>6.0654705411852996E-3</v>
      </c>
      <c r="X901" s="161">
        <f>X939/(X$227+W$227+V$227+T$227)</f>
        <v>6.1194205494275239E-3</v>
      </c>
      <c r="Y901" s="161">
        <f>Y939/(Y$227+X$227+W$227+V$227)</f>
        <v>5.4875812043687659E-3</v>
      </c>
      <c r="Z901" s="1349">
        <f>Z939/Z$227</f>
        <v>5.4875812043687659E-3</v>
      </c>
      <c r="AA901" s="161">
        <f>AA939/(AA$227+Y$227+X$227+W$227)</f>
        <v>4.0227200065000171E-3</v>
      </c>
      <c r="AB901" s="161">
        <f>AB939/(AB$227+AA$227+Y$227+X$227)</f>
        <v>3.7182884981671934E-3</v>
      </c>
      <c r="AC901" s="161">
        <f>AC939/(AC$227+AB$227+AA$227+Y$227)</f>
        <v>4.3626556860781752E-3</v>
      </c>
      <c r="AD901" s="161">
        <f>AD939/(AD$227+AC$227+AB$227+AA$227)</f>
        <v>5.9399753648407766E-3</v>
      </c>
      <c r="AE901" s="1349">
        <f>AE939/AE$227</f>
        <v>5.9399753648407766E-3</v>
      </c>
      <c r="AF901" s="161">
        <f>AF939/(AF$227+AD$227+AC$227+AB$227)</f>
        <v>6.6901107770035995E-3</v>
      </c>
      <c r="AG901" s="161">
        <f>AG939/(AG$227+AF$227+AD$227+AC$227)</f>
        <v>5.3908034052464037E-3</v>
      </c>
      <c r="AH901" s="161">
        <f>AH939/(AH$227+AG$227+AF$227+AD$227)</f>
        <v>5.7578866913403299E-3</v>
      </c>
      <c r="AI901" s="161">
        <f>AI939/(AI$227+AH$227+AG$227+AF$227)</f>
        <v>6.8096791733034141E-3</v>
      </c>
      <c r="AJ901" s="1349">
        <f>AJ939/AJ$227</f>
        <v>6.8096791733034141E-3</v>
      </c>
      <c r="AK901" s="161">
        <f>AK939/(AK$227+AI$227+AH$227+AG$227)</f>
        <v>5.9623751354898969E-3</v>
      </c>
      <c r="AL901" s="161">
        <f>AL939/(AL$227+AK$227+AI$227+AH$227)</f>
        <v>5.6958720755909695E-3</v>
      </c>
      <c r="AM901" s="161">
        <f>AM939/(AM$227+AL$227+AK$227+AI$227)</f>
        <v>7.9722839346895898E-3</v>
      </c>
      <c r="AN901" s="161">
        <f>AN939/(AN$227+AM$227+AL$227+AK$227)</f>
        <v>6.7592434231538157E-3</v>
      </c>
      <c r="AO901" s="1349">
        <f>AO939/AO$227</f>
        <v>6.7592434231538157E-3</v>
      </c>
      <c r="AP901" s="161">
        <f>AP939/(AP$227+AN$227+AM$227+AL$227)</f>
        <v>5.947463129544711E-3</v>
      </c>
      <c r="AQ901" s="161">
        <f>AQ939/(AQ$227+AP$227+AN$227+AM$227)</f>
        <v>3.7338395804252366E-3</v>
      </c>
      <c r="AR901" s="161">
        <f>AR939/(AR$227+AQ$227+AP$227+AN$227)</f>
        <v>4.1698842886130965E-3</v>
      </c>
      <c r="AS901" s="161">
        <f>AS939/(AS$227+AR$227+AQ$227+AP$227)</f>
        <v>3.6869158601008003E-3</v>
      </c>
      <c r="AT901" s="1349">
        <f>AT939/AT$227</f>
        <v>3.6869158601008003E-3</v>
      </c>
      <c r="AU901" s="161">
        <f>AU939/(AU$227+AS$227+AR$227+AQ$227)</f>
        <v>3.8981570903752144E-3</v>
      </c>
      <c r="AV901" s="161">
        <f>AV939/(AV$227+AU$227+AS$227+AR$227)</f>
        <v>4.0358181045989155E-3</v>
      </c>
      <c r="AW901" s="161">
        <f>AW939/(AW$227+AV$227+AU$227+AS$227)</f>
        <v>4.7158372028525634E-3</v>
      </c>
      <c r="AX901" s="161">
        <f>AX939/(AX$227+AW$227+AV$227+AU$227)</f>
        <v>5.0335570469798654E-3</v>
      </c>
      <c r="AY901" s="1349">
        <f>AY939/AY$227</f>
        <v>5.0335570469798654E-3</v>
      </c>
      <c r="AZ901" s="161">
        <f>AZ939/(AZ$227+AX$227+AW$227+AV$227)</f>
        <v>6.0498437552227169E-3</v>
      </c>
      <c r="BA901" s="161">
        <f>BA939/(BA$227+AZ$227+AX$227+AW$227)</f>
        <v>7.7471237617250345E-3</v>
      </c>
      <c r="BB901" s="161">
        <f>BB939/(BB$227+BA$227+AZ$227+AX$227)</f>
        <v>8.3274226149998871E-3</v>
      </c>
      <c r="BC901" s="161">
        <f>BC939/(BC$227+BB$227+BA$227+AZ$227)</f>
        <v>7.3661810443607792E-3</v>
      </c>
      <c r="BD901" s="1349">
        <f>BD939/BD$227</f>
        <v>7.3661810443607792E-3</v>
      </c>
      <c r="BE901" s="161">
        <f>BE939/(BE$227+BC$227+BB$227+BA$227)</f>
        <v>6.9172431035919657E-3</v>
      </c>
      <c r="BF901" s="161">
        <f>BF939/(BF$227+BE$227+BC$227+BB$227)</f>
        <v>6.4782096584216726E-3</v>
      </c>
      <c r="BG901" s="161">
        <f>BG939/(BG$227+BF$227+BE$227+BC$227)</f>
        <v>6.5888240200166802E-3</v>
      </c>
      <c r="BH901" s="161">
        <f>BH939/(BH$227+BG$227+BF$227+BE$227)</f>
        <v>6.2484378905273679E-3</v>
      </c>
      <c r="BI901" s="1349">
        <f>BI939/BI$227</f>
        <v>6.2484378905273679E-3</v>
      </c>
      <c r="BJ901" s="1350">
        <f>BJ939/(BJ$227+BH$227+BG$227+BF$227)</f>
        <v>6.7737079779227292E-3</v>
      </c>
      <c r="BK901" s="473">
        <f t="shared" si="783"/>
        <v>6.4782096584216726E-3</v>
      </c>
      <c r="BL901" s="473">
        <f t="shared" si="783"/>
        <v>6.5888240200166802E-3</v>
      </c>
      <c r="BM901" s="473">
        <f t="shared" si="783"/>
        <v>6.2484378905273679E-3</v>
      </c>
      <c r="BN901" s="730">
        <f>BN939/BN$227</f>
        <v>6.2484378905273696E-3</v>
      </c>
      <c r="BO901" s="473">
        <f t="shared" si="784"/>
        <v>6.7737079779227292E-3</v>
      </c>
      <c r="BP901" s="473">
        <f t="shared" si="784"/>
        <v>6.4782096584216726E-3</v>
      </c>
      <c r="BQ901" s="473">
        <f t="shared" si="784"/>
        <v>6.5888240200166802E-3</v>
      </c>
      <c r="BR901" s="473">
        <f t="shared" si="784"/>
        <v>6.2484378905273679E-3</v>
      </c>
      <c r="BS901" s="730">
        <f>BS939/BS$227</f>
        <v>6.2484378905273679E-3</v>
      </c>
      <c r="BT901" s="730">
        <f t="shared" si="785"/>
        <v>6.2484378905273679E-3</v>
      </c>
      <c r="BU901" s="730">
        <f t="shared" si="785"/>
        <v>6.2484378905273679E-3</v>
      </c>
      <c r="BV901" s="730">
        <f t="shared" si="785"/>
        <v>6.2484378905273679E-3</v>
      </c>
      <c r="BW901" s="161"/>
    </row>
    <row r="902" spans="1:75" x14ac:dyDescent="0.5">
      <c r="A902" s="1348" t="s">
        <v>2139</v>
      </c>
      <c r="B902" s="729"/>
      <c r="C902" s="730"/>
      <c r="D902" s="730"/>
      <c r="E902" s="730"/>
      <c r="F902" s="1349">
        <f>F958/F$227</f>
        <v>0.11081513673239848</v>
      </c>
      <c r="G902" s="473"/>
      <c r="H902" s="473"/>
      <c r="I902" s="473"/>
      <c r="J902" s="473"/>
      <c r="K902" s="1349">
        <f>K958/K$227</f>
        <v>0.11153985999783807</v>
      </c>
      <c r="L902" s="161">
        <f>L958/(L$227+J$227+I$227+H$227)</f>
        <v>7.81704097390509E-2</v>
      </c>
      <c r="M902" s="161">
        <f>M958/(M$227+L$227+J$227+I$227)</f>
        <v>7.3297379151574069E-2</v>
      </c>
      <c r="N902" s="161">
        <f>N958/(N$227+M$227+L$227+J$227)</f>
        <v>7.2728328349914786E-2</v>
      </c>
      <c r="O902" s="161">
        <f>O958/(O$227+N$227+M$227+L$227)</f>
        <v>0.11211409673293396</v>
      </c>
      <c r="P902" s="1349">
        <f>P958/P$227</f>
        <v>0.11211409673293396</v>
      </c>
      <c r="Q902" s="161">
        <f>Q958/(Q$227+O$227+N$227+M$227)</f>
        <v>8.4210526315789486E-2</v>
      </c>
      <c r="R902" s="161">
        <f>R958/(R$227+Q$227+O$227+N$227)</f>
        <v>8.9375831612409903E-2</v>
      </c>
      <c r="S902" s="161">
        <f>S958/(S$227+R$227+Q$227+O$227)</f>
        <v>0.10035471675299185</v>
      </c>
      <c r="T902" s="161">
        <f>T958/(T$227+S$227+R$227+Q$227)</f>
        <v>0.1204119321654218</v>
      </c>
      <c r="U902" s="1349">
        <f>U958/U$227</f>
        <v>0.12041193216542179</v>
      </c>
      <c r="V902" s="161">
        <f>V958/(V$227+T$227+S$227+R$227)</f>
        <v>9.7565668115895857E-2</v>
      </c>
      <c r="W902" s="161">
        <f>W958/(W$227+V$227+T$227+S$227)</f>
        <v>9.2667879574817355E-2</v>
      </c>
      <c r="X902" s="161">
        <f>X958/(X$227+W$227+V$227+T$227)</f>
        <v>9.9600362419716093E-2</v>
      </c>
      <c r="Y902" s="161">
        <f>Y958/(Y$227+X$227+W$227+V$227)</f>
        <v>0.11226407838218415</v>
      </c>
      <c r="Z902" s="1349">
        <f>Z958/Z$227</f>
        <v>0.11226407838218413</v>
      </c>
      <c r="AA902" s="161">
        <f>AA958/(AA$227+Y$227+X$227+W$227)</f>
        <v>0.1009280610111143</v>
      </c>
      <c r="AB902" s="161">
        <f>AB958/(AB$227+AA$227+Y$227+X$227)</f>
        <v>9.4511249400409433E-2</v>
      </c>
      <c r="AC902" s="161">
        <f>AC958/(AC$227+AB$227+AA$227+Y$227)</f>
        <v>8.9456591189184045E-2</v>
      </c>
      <c r="AD902" s="161">
        <f>AD958/(AD$227+AC$227+AB$227+AA$227)</f>
        <v>9.3280193692085914E-2</v>
      </c>
      <c r="AE902" s="1349">
        <f>AE958/AE$227</f>
        <v>9.3280193692085914E-2</v>
      </c>
      <c r="AF902" s="161">
        <f>AF958/(AF$227+AD$227+AC$227+AB$227)</f>
        <v>9.4035461266194942E-2</v>
      </c>
      <c r="AG902" s="161">
        <f>AG958/(AG$227+AF$227+AD$227+AC$227)</f>
        <v>9.5422310904536761E-2</v>
      </c>
      <c r="AH902" s="161">
        <f>AH958/(AH$227+AG$227+AF$227+AD$227)</f>
        <v>9.5408325927043444E-2</v>
      </c>
      <c r="AI902" s="161">
        <f>AI958/(AI$227+AH$227+AG$227+AF$227)</f>
        <v>9.5907554519178886E-2</v>
      </c>
      <c r="AJ902" s="1349">
        <f>AJ958/AJ$227</f>
        <v>9.5907554519178886E-2</v>
      </c>
      <c r="AK902" s="161">
        <f>AK958/(AK$227+AI$227+AH$227+AG$227)</f>
        <v>9.6448040324962639E-2</v>
      </c>
      <c r="AL902" s="161">
        <f>AL958/(AL$227+AK$227+AI$227+AH$227)</f>
        <v>9.7398151211161119E-2</v>
      </c>
      <c r="AM902" s="161">
        <f>AM958/(AM$227+AL$227+AK$227+AI$227)</f>
        <v>9.4618911653473428E-2</v>
      </c>
      <c r="AN902" s="161">
        <f>AN958/(AN$227+AM$227+AL$227+AK$227)</f>
        <v>9.9495050814298616E-2</v>
      </c>
      <c r="AO902" s="1349">
        <f>AO958/AO$227</f>
        <v>9.9495050814298616E-2</v>
      </c>
      <c r="AP902" s="161">
        <f>AP958/(AP$227+AN$227+AM$227+AL$227)</f>
        <v>8.8128086073060621E-2</v>
      </c>
      <c r="AQ902" s="161">
        <f>AQ958/(AQ$227+AP$227+AN$227+AM$227)</f>
        <v>0.1107309474039439</v>
      </c>
      <c r="AR902" s="161">
        <f>AR958/(AR$227+AQ$227+AP$227+AN$227)</f>
        <v>9.5088752551835243E-2</v>
      </c>
      <c r="AS902" s="161">
        <f>AS958/(AS$227+AR$227+AQ$227+AP$227)</f>
        <v>8.176820389962472E-2</v>
      </c>
      <c r="AT902" s="1349">
        <f>AT958/AT$227</f>
        <v>8.176820389962472E-2</v>
      </c>
      <c r="AU902" s="161">
        <f>AU958/(AU$227+AS$227+AR$227+AQ$227)</f>
        <v>7.6782702443683432E-2</v>
      </c>
      <c r="AV902" s="161">
        <f>AV958/(AV$227+AU$227+AS$227+AR$227)</f>
        <v>8.5035160332395568E-2</v>
      </c>
      <c r="AW902" s="161">
        <f>AW958/(AW$227+AV$227+AU$227+AS$227)</f>
        <v>7.5920087650114196E-2</v>
      </c>
      <c r="AX902" s="161">
        <f>AX958/(AX$227+AW$227+AV$227+AU$227)</f>
        <v>8.5059819083746713E-2</v>
      </c>
      <c r="AY902" s="1349">
        <f>AY958/AY$227</f>
        <v>8.5059819083746713E-2</v>
      </c>
      <c r="AZ902" s="161">
        <f>AZ958/(AZ$227+AX$227+AW$227+AV$227)</f>
        <v>8.8781457107893369E-2</v>
      </c>
      <c r="BA902" s="161">
        <f>BA958/(BA$227+AZ$227+AX$227+AW$227)</f>
        <v>9.7550517571109108E-2</v>
      </c>
      <c r="BB902" s="161">
        <f>BB958/(BB$227+BA$227+AZ$227+AX$227)</f>
        <v>8.5376293994561953E-2</v>
      </c>
      <c r="BC902" s="161">
        <f>BC958/(BC$227+BB$227+BA$227+AZ$227)</f>
        <v>9.8543133082337531E-2</v>
      </c>
      <c r="BD902" s="1349">
        <f>BD958/BD$227</f>
        <v>9.8543133082337531E-2</v>
      </c>
      <c r="BE902" s="161">
        <f>BE958/(BE$227+BC$227+BB$227+BA$227)</f>
        <v>8.8174014501208431E-2</v>
      </c>
      <c r="BF902" s="161">
        <f>BF958/(BF$227+BE$227+BC$227+BB$227)</f>
        <v>9.2882382635032817E-2</v>
      </c>
      <c r="BG902" s="161">
        <f>BG958/(BG$227+BF$227+BE$227+BC$227)</f>
        <v>9.7831526271893246E-2</v>
      </c>
      <c r="BH902" s="161">
        <f>BH958/(BH$227+BG$227+BF$227+BE$227)</f>
        <v>0.10280763142547697</v>
      </c>
      <c r="BI902" s="1349">
        <f>BI958/BI$227</f>
        <v>0.10280763142547697</v>
      </c>
      <c r="BJ902" s="1350">
        <f>BJ958/(BJ$227+BH$227+BG$227+BF$227)</f>
        <v>8.8225455761833077E-2</v>
      </c>
      <c r="BK902" s="473">
        <f t="shared" si="783"/>
        <v>9.2882382635032817E-2</v>
      </c>
      <c r="BL902" s="473">
        <f t="shared" si="783"/>
        <v>9.7831526271893246E-2</v>
      </c>
      <c r="BM902" s="473">
        <f t="shared" si="783"/>
        <v>0.10280763142547697</v>
      </c>
      <c r="BN902" s="730">
        <f>BN958/BN$227</f>
        <v>0.10280763142547698</v>
      </c>
      <c r="BO902" s="473">
        <f t="shared" si="784"/>
        <v>8.8225455761833077E-2</v>
      </c>
      <c r="BP902" s="473">
        <f t="shared" si="784"/>
        <v>9.2882382635032817E-2</v>
      </c>
      <c r="BQ902" s="473">
        <f t="shared" si="784"/>
        <v>9.7831526271893246E-2</v>
      </c>
      <c r="BR902" s="473">
        <f t="shared" si="784"/>
        <v>0.10280763142547697</v>
      </c>
      <c r="BS902" s="730">
        <f>BS958/BS$227</f>
        <v>0.10280763142547698</v>
      </c>
      <c r="BT902" s="730">
        <f t="shared" si="785"/>
        <v>0.10280763142547698</v>
      </c>
      <c r="BU902" s="730">
        <f t="shared" si="785"/>
        <v>0.10280763142547698</v>
      </c>
      <c r="BV902" s="730">
        <f t="shared" si="785"/>
        <v>0.10280763142547698</v>
      </c>
      <c r="BW902" s="161"/>
    </row>
    <row r="903" spans="1:75" x14ac:dyDescent="0.5">
      <c r="A903" s="1348" t="s">
        <v>2676</v>
      </c>
      <c r="B903" s="729"/>
      <c r="C903" s="730"/>
      <c r="D903" s="730"/>
      <c r="E903" s="730"/>
      <c r="F903" s="1349">
        <f>F941/F$227</f>
        <v>2.5907278862216068E-2</v>
      </c>
      <c r="G903" s="473"/>
      <c r="H903" s="473"/>
      <c r="I903" s="473"/>
      <c r="J903" s="473"/>
      <c r="K903" s="1349">
        <f>K941/K$227</f>
        <v>2.7479600761265852E-2</v>
      </c>
      <c r="L903" s="161">
        <f>L941/(L$227+J$227+I$227+H$227)</f>
        <v>3.4261702008142152E-2</v>
      </c>
      <c r="M903" s="161">
        <f>M941/(M$227+L$227+J$227+I$227)</f>
        <v>3.4629316241092396E-2</v>
      </c>
      <c r="N903" s="161">
        <f>N941/(N$227+M$227+L$227+J$227)</f>
        <v>3.1384339762703571E-2</v>
      </c>
      <c r="O903" s="161">
        <f>O941/(O$227+N$227+M$227+L$227)</f>
        <v>3.4316665289309461E-2</v>
      </c>
      <c r="P903" s="1349">
        <f>P941/P$227</f>
        <v>3.4316665289309461E-2</v>
      </c>
      <c r="Q903" s="161">
        <f>Q941/(Q$227+O$227+N$227+M$227)</f>
        <v>4.1635515135376881E-2</v>
      </c>
      <c r="R903" s="161">
        <f>R941/(R$227+Q$227+O$227+N$227)</f>
        <v>3.9287628015629794E-2</v>
      </c>
      <c r="S903" s="161">
        <f>S941/(S$227+R$227+Q$227+O$227)</f>
        <v>3.9341975927626525E-2</v>
      </c>
      <c r="T903" s="161">
        <f>T941/(T$227+S$227+R$227+Q$227)</f>
        <v>3.3977736639872705E-2</v>
      </c>
      <c r="U903" s="1349">
        <f>U941/U$227</f>
        <v>3.3977736639872698E-2</v>
      </c>
      <c r="V903" s="161">
        <f>V941/(V$227+T$227+S$227+R$227)</f>
        <v>3.3103213464227781E-2</v>
      </c>
      <c r="W903" s="161">
        <f>W941/(W$227+V$227+T$227+S$227)</f>
        <v>3.0723790967902107E-2</v>
      </c>
      <c r="X903" s="161">
        <f>X941/(X$227+W$227+V$227+T$227)</f>
        <v>2.7878954876449129E-2</v>
      </c>
      <c r="Y903" s="161">
        <f>Y941/(Y$227+X$227+W$227+V$227)</f>
        <v>2.6874356577405958E-2</v>
      </c>
      <c r="Z903" s="1349">
        <f>Z941/Z$227</f>
        <v>2.6874356577405955E-2</v>
      </c>
      <c r="AA903" s="161">
        <f>AA941/(AA$227+Y$227+X$227+W$227)</f>
        <v>3.3237456234102992E-2</v>
      </c>
      <c r="AB903" s="161">
        <f>AB941/(AB$227+AA$227+Y$227+X$227)</f>
        <v>3.1267773009327531E-2</v>
      </c>
      <c r="AC903" s="161">
        <f>AC941/(AC$227+AB$227+AA$227+Y$227)</f>
        <v>2.8136117295036279E-2</v>
      </c>
      <c r="AD903" s="161">
        <f>AD941/(AD$227+AC$227+AB$227+AA$227)</f>
        <v>2.7714660037980083E-2</v>
      </c>
      <c r="AE903" s="1349">
        <f>AE941/AE$227</f>
        <v>2.7714660037980083E-2</v>
      </c>
      <c r="AF903" s="161">
        <f>AF941/(AF$227+AD$227+AC$227+AB$227)</f>
        <v>2.8715194722887083E-2</v>
      </c>
      <c r="AG903" s="161">
        <f>AG941/(AG$227+AF$227+AD$227+AC$227)</f>
        <v>2.6864843202400526E-2</v>
      </c>
      <c r="AH903" s="161">
        <f>AH941/(AH$227+AG$227+AF$227+AD$227)</f>
        <v>2.7038841195283308E-2</v>
      </c>
      <c r="AI903" s="161">
        <f>AI941/(AI$227+AH$227+AG$227+AF$227)</f>
        <v>2.882799585908254E-2</v>
      </c>
      <c r="AJ903" s="1349">
        <f>AJ941/AJ$227</f>
        <v>2.882799585908254E-2</v>
      </c>
      <c r="AK903" s="161">
        <f>AK941/(AK$227+AI$227+AH$227+AG$227)</f>
        <v>2.8406906589774988E-2</v>
      </c>
      <c r="AL903" s="161">
        <f>AL941/(AL$227+AK$227+AI$227+AH$227)</f>
        <v>2.7416137584076586E-2</v>
      </c>
      <c r="AM903" s="161">
        <f>AM941/(AM$227+AL$227+AK$227+AI$227)</f>
        <v>2.6136060916604694E-2</v>
      </c>
      <c r="AN903" s="161">
        <f>AN941/(AN$227+AM$227+AL$227+AK$227)</f>
        <v>2.5059666001866755E-2</v>
      </c>
      <c r="AO903" s="1349">
        <f>AO941/AO$227</f>
        <v>2.5059666001866755E-2</v>
      </c>
      <c r="AP903" s="161">
        <f>AP941/(AP$227+AN$227+AM$227+AL$227)</f>
        <v>2.3170022868307959E-2</v>
      </c>
      <c r="AQ903" s="161">
        <f>AQ941/(AQ$227+AP$227+AN$227+AM$227)</f>
        <v>2.9893115671719844E-2</v>
      </c>
      <c r="AR903" s="161">
        <f>AR941/(AR$227+AQ$227+AP$227+AN$227)</f>
        <v>2.4804280817771186E-2</v>
      </c>
      <c r="AS903" s="161">
        <f>AS941/(AS$227+AR$227+AQ$227+AP$227)</f>
        <v>2.0658167361321429E-2</v>
      </c>
      <c r="AT903" s="1349">
        <f>AT941/AT$227</f>
        <v>2.0658167361321429E-2</v>
      </c>
      <c r="AU903" s="161">
        <f>AU941/(AU$227+AS$227+AR$227+AQ$227)</f>
        <v>2.3227622804241864E-2</v>
      </c>
      <c r="AV903" s="161">
        <f>AV941/(AV$227+AU$227+AS$227+AR$227)</f>
        <v>2.3083998487090251E-2</v>
      </c>
      <c r="AW903" s="161">
        <f>AW941/(AW$227+AV$227+AU$227+AS$227)</f>
        <v>2.3278840819028535E-2</v>
      </c>
      <c r="AX903" s="161">
        <f>AX941/(AX$227+AW$227+AV$227+AU$227)</f>
        <v>2.3198132477385468E-2</v>
      </c>
      <c r="AY903" s="1349">
        <f>AY941/AY$227</f>
        <v>2.3198132477385468E-2</v>
      </c>
      <c r="AZ903" s="161">
        <f>AZ941/(AZ$227+AX$227+AW$227+AV$227)</f>
        <v>2.5938705100517399E-2</v>
      </c>
      <c r="BA903" s="161">
        <f>BA941/(BA$227+AZ$227+AX$227+AW$227)</f>
        <v>2.4980521517399091E-2</v>
      </c>
      <c r="BB903" s="161">
        <f>BB941/(BB$227+BA$227+AZ$227+AX$227)</f>
        <v>2.2718502473931732E-2</v>
      </c>
      <c r="BC903" s="161">
        <f>BC941/(BC$227+BB$227+BA$227+AZ$227)</f>
        <v>2.3981011622196759E-2</v>
      </c>
      <c r="BD903" s="1349">
        <f>BD941/BD$227</f>
        <v>2.3981011622196759E-2</v>
      </c>
      <c r="BE903" s="161">
        <f>BE941/(BE$227+BC$227+BB$227+BA$227)</f>
        <v>2.4585382115176264E-2</v>
      </c>
      <c r="BF903" s="161">
        <f>BF941/(BF$227+BE$227+BC$227+BB$227)</f>
        <v>2.6585899377418811E-2</v>
      </c>
      <c r="BG903" s="161">
        <f>BG941/(BG$227+BF$227+BE$227+BC$227)</f>
        <v>2.3519599666388658E-2</v>
      </c>
      <c r="BH903" s="161">
        <f>BH941/(BH$227+BG$227+BF$227+BE$227)</f>
        <v>2.3744063984003999E-2</v>
      </c>
      <c r="BI903" s="1349">
        <f>BI941/BI$227</f>
        <v>2.3744063984003999E-2</v>
      </c>
      <c r="BJ903" s="1350">
        <f>BJ941/(BJ$227+BH$227+BG$227+BF$227)</f>
        <v>1.9484863689580197E-2</v>
      </c>
      <c r="BK903" s="473">
        <f t="shared" si="783"/>
        <v>2.6585899377418811E-2</v>
      </c>
      <c r="BL903" s="473">
        <f t="shared" si="783"/>
        <v>2.3519599666388658E-2</v>
      </c>
      <c r="BM903" s="473">
        <f t="shared" si="783"/>
        <v>2.3744063984003999E-2</v>
      </c>
      <c r="BN903" s="730">
        <f>BN941/BN$227</f>
        <v>2.3744063984003999E-2</v>
      </c>
      <c r="BO903" s="473">
        <f t="shared" si="784"/>
        <v>1.9484863689580197E-2</v>
      </c>
      <c r="BP903" s="473">
        <f t="shared" si="784"/>
        <v>2.6585899377418811E-2</v>
      </c>
      <c r="BQ903" s="473">
        <f t="shared" si="784"/>
        <v>2.3519599666388658E-2</v>
      </c>
      <c r="BR903" s="473">
        <f t="shared" si="784"/>
        <v>2.3744063984003999E-2</v>
      </c>
      <c r="BS903" s="730">
        <f>BS941/BS$227</f>
        <v>2.3744063984003999E-2</v>
      </c>
      <c r="BT903" s="730">
        <f t="shared" si="785"/>
        <v>2.3744063984003999E-2</v>
      </c>
      <c r="BU903" s="730">
        <f t="shared" si="785"/>
        <v>2.3744063984003999E-2</v>
      </c>
      <c r="BV903" s="730">
        <f t="shared" si="785"/>
        <v>2.3744063984003999E-2</v>
      </c>
      <c r="BW903" s="161"/>
    </row>
    <row r="904" spans="1:75" x14ac:dyDescent="0.5">
      <c r="A904" s="1348" t="s">
        <v>2677</v>
      </c>
      <c r="B904" s="729"/>
      <c r="C904" s="730"/>
      <c r="D904" s="730"/>
      <c r="E904" s="730"/>
      <c r="F904" s="1349">
        <f>F960/F$227</f>
        <v>2.0434988053801152E-2</v>
      </c>
      <c r="G904" s="473"/>
      <c r="H904" s="473"/>
      <c r="I904" s="473"/>
      <c r="J904" s="473"/>
      <c r="K904" s="1349">
        <f>K960/K$227</f>
        <v>1.462805306149635E-2</v>
      </c>
      <c r="L904" s="161">
        <f>L960/(L$227+J$227+I$227+H$227)</f>
        <v>1.6915027707178048E-2</v>
      </c>
      <c r="M904" s="161">
        <f>M960/(M$227+L$227+J$227+I$227)</f>
        <v>1.6293225657516092E-2</v>
      </c>
      <c r="N904" s="161">
        <f>N960/(N$227+M$227+L$227+J$227)</f>
        <v>1.8104531524096662E-2</v>
      </c>
      <c r="O904" s="161">
        <f>O960/(O$227+N$227+M$227+L$227)</f>
        <v>2.0307047039654996E-2</v>
      </c>
      <c r="P904" s="1349">
        <f>P960/P$227</f>
        <v>2.0307047039654996E-2</v>
      </c>
      <c r="Q904" s="161">
        <f>Q960/(Q$227+O$227+N$227+M$227)</f>
        <v>2.17797851312461E-2</v>
      </c>
      <c r="R904" s="161">
        <f>R960/(R$227+Q$227+O$227+N$227)</f>
        <v>2.4034125459832738E-2</v>
      </c>
      <c r="S904" s="161">
        <f>S960/(S$227+R$227+Q$227+O$227)</f>
        <v>2.3467280689044853E-2</v>
      </c>
      <c r="T904" s="161">
        <f>T960/(T$227+S$227+R$227+Q$227)</f>
        <v>2.261626705364941E-2</v>
      </c>
      <c r="U904" s="1349">
        <f>U960/U$227</f>
        <v>2.2616267053649407E-2</v>
      </c>
      <c r="V904" s="161">
        <f>V960/(V$227+T$227+S$227+R$227)</f>
        <v>1.8924839342335503E-2</v>
      </c>
      <c r="W904" s="161">
        <f>W960/(W$227+V$227+T$227+S$227)</f>
        <v>1.8661537957307402E-2</v>
      </c>
      <c r="X904" s="161">
        <f>X960/(X$227+W$227+V$227+T$227)</f>
        <v>1.7662698993586856E-2</v>
      </c>
      <c r="Y904" s="161">
        <f>Y960/(Y$227+X$227+W$227+V$227)</f>
        <v>1.9492598421469904E-2</v>
      </c>
      <c r="Z904" s="1349">
        <f>Z960/Z$227</f>
        <v>1.9492598421469901E-2</v>
      </c>
      <c r="AA904" s="161">
        <f>AA960/(AA$227+Y$227+X$227+W$227)</f>
        <v>2.4576796332165318E-2</v>
      </c>
      <c r="AB904" s="161">
        <f>AB960/(AB$227+AA$227+Y$227+X$227)</f>
        <v>2.2682781285903866E-2</v>
      </c>
      <c r="AC904" s="161">
        <f>AC960/(AC$227+AB$227+AA$227+Y$227)</f>
        <v>2.020866118293527E-2</v>
      </c>
      <c r="AD904" s="161">
        <f>AD960/(AD$227+AC$227+AB$227+AA$227)</f>
        <v>1.9936050261655892E-2</v>
      </c>
      <c r="AE904" s="1349">
        <f>AE960/AE$227</f>
        <v>1.9936050261655892E-2</v>
      </c>
      <c r="AF904" s="161">
        <f>AF960/(AF$227+AD$227+AC$227+AB$227)</f>
        <v>2.1314247573600412E-2</v>
      </c>
      <c r="AG904" s="161">
        <f>AG960/(AG$227+AF$227+AD$227+AC$227)</f>
        <v>2.1348704934524815E-2</v>
      </c>
      <c r="AH904" s="161">
        <f>AH960/(AH$227+AG$227+AF$227+AD$227)</f>
        <v>2.1505319150650865E-2</v>
      </c>
      <c r="AI904" s="161">
        <f>AI960/(AI$227+AH$227+AG$227+AF$227)</f>
        <v>2.1839976374702873E-2</v>
      </c>
      <c r="AJ904" s="1349">
        <f>AJ960/AJ$227</f>
        <v>2.1839976374702873E-2</v>
      </c>
      <c r="AK904" s="161">
        <f>AK960/(AK$227+AI$227+AH$227+AG$227)</f>
        <v>2.0008923821548709E-2</v>
      </c>
      <c r="AL904" s="161">
        <f>AL960/(AL$227+AK$227+AI$227+AH$227)</f>
        <v>1.9457576548856739E-2</v>
      </c>
      <c r="AM904" s="161">
        <f>AM960/(AM$227+AL$227+AK$227+AI$227)</f>
        <v>1.7585332726270862E-2</v>
      </c>
      <c r="AN904" s="161">
        <f>AN960/(AN$227+AM$227+AL$227+AK$227)</f>
        <v>1.8367475956378925E-2</v>
      </c>
      <c r="AO904" s="1349">
        <f>AO960/AO$227</f>
        <v>1.8367475956378925E-2</v>
      </c>
      <c r="AP904" s="161">
        <f>AP960/(AP$227+AN$227+AM$227+AL$227)</f>
        <v>1.7253677373831391E-2</v>
      </c>
      <c r="AQ904" s="161">
        <f>AQ960/(AQ$227+AP$227+AN$227+AM$227)</f>
        <v>2.9090934128379726E-2</v>
      </c>
      <c r="AR904" s="161">
        <f>AR960/(AR$227+AQ$227+AP$227+AN$227)</f>
        <v>2.4460333207895726E-2</v>
      </c>
      <c r="AS904" s="161">
        <f>AS960/(AS$227+AR$227+AQ$227+AP$227)</f>
        <v>2.0680224382113564E-2</v>
      </c>
      <c r="AT904" s="1349">
        <f>AT960/AT$227</f>
        <v>2.0680224382113564E-2</v>
      </c>
      <c r="AU904" s="161">
        <f>AU960/(AU$227+AS$227+AR$227+AQ$227)</f>
        <v>1.96173171474773E-2</v>
      </c>
      <c r="AV904" s="161">
        <f>AV960/(AV$227+AU$227+AS$227+AR$227)</f>
        <v>2.0208055402404692E-2</v>
      </c>
      <c r="AW904" s="161">
        <f>AW960/(AW$227+AV$227+AU$227+AS$227)</f>
        <v>2.1235813945389131E-2</v>
      </c>
      <c r="AX904" s="161">
        <f>AX960/(AX$227+AW$227+AV$227+AU$227)</f>
        <v>2.1812080536912751E-2</v>
      </c>
      <c r="AY904" s="1349">
        <f>AY960/AY$227</f>
        <v>2.1812080536912751E-2</v>
      </c>
      <c r="AZ904" s="161">
        <f>AZ960/(AZ$227+AX$227+AW$227+AV$227)</f>
        <v>2.2611291035144903E-2</v>
      </c>
      <c r="BA904" s="161">
        <f>BA960/(BA$227+AZ$227+AX$227+AW$227)</f>
        <v>2.3636632701589649E-2</v>
      </c>
      <c r="BB904" s="161">
        <f>BB960/(BB$227+BA$227+AZ$227+AX$227)</f>
        <v>2.4173780212475401E-2</v>
      </c>
      <c r="BC904" s="161">
        <f>BC960/(BC$227+BB$227+BA$227+AZ$227)</f>
        <v>1.7515141594368965E-2</v>
      </c>
      <c r="BD904" s="1349">
        <f>BD960/BD$227</f>
        <v>1.7515141594368965E-2</v>
      </c>
      <c r="BE904" s="161">
        <f>BE960/(BE$227+BC$227+BB$227+BA$227)</f>
        <v>1.7834819568297359E-2</v>
      </c>
      <c r="BF904" s="161">
        <f>BF960/(BF$227+BE$227+BC$227+BB$227)</f>
        <v>1.8004374894834259E-2</v>
      </c>
      <c r="BG904" s="161">
        <f>BG960/(BG$227+BF$227+BE$227+BC$227)</f>
        <v>1.7848206839032526E-2</v>
      </c>
      <c r="BH904" s="161">
        <f>BH960/(BH$227+BG$227+BF$227+BE$227)</f>
        <v>1.6245938515371157E-2</v>
      </c>
      <c r="BI904" s="1349">
        <f>BI960/BI$227</f>
        <v>1.6245938515371157E-2</v>
      </c>
      <c r="BJ904" s="1350">
        <f>BJ960/(BJ$227+BH$227+BG$227+BF$227)</f>
        <v>1.6307074761665829E-2</v>
      </c>
      <c r="BK904" s="473">
        <f t="shared" si="783"/>
        <v>1.8004374894834259E-2</v>
      </c>
      <c r="BL904" s="473">
        <f t="shared" si="783"/>
        <v>1.7848206839032526E-2</v>
      </c>
      <c r="BM904" s="473">
        <f t="shared" si="783"/>
        <v>1.6245938515371157E-2</v>
      </c>
      <c r="BN904" s="730">
        <f>BN960/BN$227</f>
        <v>1.6245938515371157E-2</v>
      </c>
      <c r="BO904" s="473">
        <f t="shared" si="784"/>
        <v>1.6307074761665829E-2</v>
      </c>
      <c r="BP904" s="473">
        <f t="shared" si="784"/>
        <v>1.8004374894834259E-2</v>
      </c>
      <c r="BQ904" s="473">
        <f t="shared" si="784"/>
        <v>1.7848206839032526E-2</v>
      </c>
      <c r="BR904" s="473">
        <f t="shared" si="784"/>
        <v>1.6245938515371157E-2</v>
      </c>
      <c r="BS904" s="730">
        <f>BS960/BS$227</f>
        <v>1.6245938515371157E-2</v>
      </c>
      <c r="BT904" s="730">
        <f t="shared" si="785"/>
        <v>1.6245938515371157E-2</v>
      </c>
      <c r="BU904" s="730">
        <f t="shared" si="785"/>
        <v>1.6245938515371157E-2</v>
      </c>
      <c r="BV904" s="730">
        <f t="shared" si="785"/>
        <v>1.6245938515371157E-2</v>
      </c>
      <c r="BW904" s="161"/>
    </row>
    <row r="905" spans="1:75" x14ac:dyDescent="0.5">
      <c r="A905" s="657"/>
      <c r="B905" s="729"/>
      <c r="C905" s="730"/>
      <c r="D905" s="730"/>
      <c r="E905" s="730"/>
      <c r="F905" s="730"/>
      <c r="G905" s="473"/>
      <c r="H905" s="473"/>
      <c r="I905" s="473"/>
      <c r="J905" s="473"/>
      <c r="K905" s="730"/>
      <c r="L905" s="473"/>
      <c r="M905" s="473"/>
      <c r="N905" s="473"/>
      <c r="O905" s="473"/>
      <c r="P905" s="730"/>
      <c r="Q905" s="473"/>
      <c r="R905" s="473"/>
      <c r="S905" s="473"/>
      <c r="T905" s="473"/>
      <c r="U905" s="730"/>
      <c r="V905" s="473"/>
      <c r="W905" s="473"/>
      <c r="X905" s="473"/>
      <c r="Y905" s="473"/>
      <c r="Z905" s="730"/>
      <c r="AA905" s="473"/>
      <c r="AB905" s="473"/>
      <c r="AC905" s="473"/>
      <c r="AD905" s="473"/>
      <c r="AE905" s="730"/>
      <c r="AF905" s="473"/>
      <c r="AG905" s="473"/>
      <c r="AH905" s="473"/>
      <c r="AI905" s="473"/>
      <c r="AJ905" s="730"/>
      <c r="AK905" s="473"/>
      <c r="AL905" s="473"/>
      <c r="AM905" s="473"/>
      <c r="AN905" s="473"/>
      <c r="AO905" s="730"/>
      <c r="AP905" s="473"/>
      <c r="AQ905" s="473"/>
      <c r="AR905" s="473"/>
      <c r="AS905" s="473"/>
      <c r="AT905" s="730"/>
      <c r="AU905" s="473"/>
      <c r="AV905" s="473"/>
      <c r="AW905" s="473"/>
      <c r="AX905" s="473"/>
      <c r="AY905" s="730"/>
      <c r="AZ905" s="473"/>
      <c r="BA905" s="473"/>
      <c r="BB905" s="473"/>
      <c r="BC905" s="473"/>
      <c r="BD905" s="730"/>
      <c r="BE905" s="473"/>
      <c r="BF905" s="473"/>
      <c r="BG905" s="473"/>
      <c r="BH905" s="473"/>
      <c r="BI905" s="730"/>
      <c r="BJ905" s="1246"/>
      <c r="BK905" s="473"/>
      <c r="BL905" s="473"/>
      <c r="BM905" s="473"/>
      <c r="BN905" s="730"/>
      <c r="BO905" s="473"/>
      <c r="BP905" s="473"/>
      <c r="BQ905" s="473"/>
      <c r="BR905" s="473"/>
      <c r="BS905" s="730"/>
      <c r="BT905" s="730"/>
      <c r="BU905" s="730"/>
      <c r="BV905" s="730"/>
      <c r="BW905" s="161"/>
    </row>
    <row r="906" spans="1:75" x14ac:dyDescent="0.5">
      <c r="A906" s="1351" t="s">
        <v>2678</v>
      </c>
      <c r="B906" s="1352"/>
      <c r="C906" s="1138"/>
      <c r="D906" s="1138"/>
      <c r="E906" s="1138"/>
      <c r="F906" s="1138"/>
      <c r="G906" s="1139"/>
      <c r="H906" s="1139"/>
      <c r="I906" s="1139"/>
      <c r="J906" s="1139"/>
      <c r="K906" s="1353">
        <f>K900-F900</f>
        <v>-1.7836179203592165E-2</v>
      </c>
      <c r="L906" s="1139"/>
      <c r="M906" s="1139"/>
      <c r="N906" s="1139"/>
      <c r="O906" s="1139"/>
      <c r="P906" s="1353">
        <f t="shared" ref="P906:BI910" si="786">P900-K900</f>
        <v>-3.8851411926152293E-3</v>
      </c>
      <c r="Q906" s="1143">
        <f t="shared" si="786"/>
        <v>-4.3116797712513914E-4</v>
      </c>
      <c r="R906" s="1143">
        <f t="shared" si="786"/>
        <v>-1.7526767247831284E-3</v>
      </c>
      <c r="S906" s="1143">
        <f t="shared" si="786"/>
        <v>6.5784577353281484E-4</v>
      </c>
      <c r="T906" s="1143">
        <f t="shared" si="786"/>
        <v>-1.0751088173093382E-4</v>
      </c>
      <c r="U906" s="1353">
        <f t="shared" si="786"/>
        <v>-1.0751088173093469E-4</v>
      </c>
      <c r="V906" s="1143">
        <f t="shared" si="786"/>
        <v>-8.2618926659150729E-4</v>
      </c>
      <c r="W906" s="1143">
        <f t="shared" si="786"/>
        <v>6.8518012904668964E-4</v>
      </c>
      <c r="X906" s="1143">
        <f t="shared" si="786"/>
        <v>2.5706969614096645E-4</v>
      </c>
      <c r="Y906" s="1143">
        <f t="shared" si="786"/>
        <v>1.2512398092662308E-3</v>
      </c>
      <c r="Z906" s="1353">
        <f t="shared" si="786"/>
        <v>1.2512398092662308E-3</v>
      </c>
      <c r="AA906" s="1143">
        <f t="shared" si="786"/>
        <v>1.4502719203850359E-3</v>
      </c>
      <c r="AB906" s="1143">
        <f t="shared" si="786"/>
        <v>1.1410248351076584E-3</v>
      </c>
      <c r="AC906" s="1143">
        <f t="shared" si="786"/>
        <v>1.1281384790745776E-3</v>
      </c>
      <c r="AD906" s="1143">
        <f t="shared" si="786"/>
        <v>2.3841747831142186E-3</v>
      </c>
      <c r="AE906" s="1353">
        <f t="shared" si="786"/>
        <v>2.3841747831142195E-3</v>
      </c>
      <c r="AF906" s="1143">
        <f t="shared" si="786"/>
        <v>1.342938348273719E-4</v>
      </c>
      <c r="AG906" s="1143">
        <f t="shared" si="786"/>
        <v>3.3551483784566814E-5</v>
      </c>
      <c r="AH906" s="1143">
        <f t="shared" si="786"/>
        <v>1.5995673565344544E-4</v>
      </c>
      <c r="AI906" s="1143">
        <f t="shared" si="786"/>
        <v>-5.738275849059846E-4</v>
      </c>
      <c r="AJ906" s="1353">
        <f t="shared" si="786"/>
        <v>-5.738275849059846E-4</v>
      </c>
      <c r="AK906" s="1143">
        <f t="shared" si="786"/>
        <v>2.0865565863163555E-3</v>
      </c>
      <c r="AL906" s="1143">
        <f t="shared" si="786"/>
        <v>3.5397540226417036E-3</v>
      </c>
      <c r="AM906" s="1143">
        <f t="shared" si="786"/>
        <v>2.1813743925467102E-3</v>
      </c>
      <c r="AN906" s="1143">
        <f t="shared" si="786"/>
        <v>3.4612775323945673E-3</v>
      </c>
      <c r="AO906" s="1353">
        <f t="shared" si="786"/>
        <v>3.4612775323945673E-3</v>
      </c>
      <c r="AP906" s="1143">
        <f t="shared" si="786"/>
        <v>3.3127710305728298E-3</v>
      </c>
      <c r="AQ906" s="1143">
        <f t="shared" si="786"/>
        <v>7.1759059026398585E-4</v>
      </c>
      <c r="AR906" s="1143">
        <f t="shared" si="786"/>
        <v>-3.6219656979596601E-4</v>
      </c>
      <c r="AS906" s="1143">
        <f t="shared" si="786"/>
        <v>-3.128104524146632E-3</v>
      </c>
      <c r="AT906" s="1353">
        <f t="shared" si="786"/>
        <v>-3.128104524146632E-3</v>
      </c>
      <c r="AU906" s="1143">
        <f t="shared" si="786"/>
        <v>-4.5915590043471332E-3</v>
      </c>
      <c r="AV906" s="1143">
        <f t="shared" si="786"/>
        <v>-1.6530585221946337E-3</v>
      </c>
      <c r="AW906" s="1143">
        <f t="shared" si="786"/>
        <v>3.3559497373708523E-3</v>
      </c>
      <c r="AX906" s="1143">
        <f t="shared" si="786"/>
        <v>8.689071362336185E-3</v>
      </c>
      <c r="AY906" s="1353">
        <f t="shared" si="786"/>
        <v>8.689071362336185E-3</v>
      </c>
      <c r="AZ906" s="1143">
        <f t="shared" si="786"/>
        <v>1.3418567742485295E-2</v>
      </c>
      <c r="BA906" s="1143">
        <f t="shared" si="786"/>
        <v>1.5631021752385187E-2</v>
      </c>
      <c r="BB906" s="1143">
        <f t="shared" si="786"/>
        <v>1.505612501825395E-2</v>
      </c>
      <c r="BC906" s="1143">
        <f t="shared" si="786"/>
        <v>5.7755129637669309E-3</v>
      </c>
      <c r="BD906" s="1353">
        <f t="shared" si="786"/>
        <v>5.7755129637669309E-3</v>
      </c>
      <c r="BE906" s="1143">
        <f t="shared" si="786"/>
        <v>-5.3336322913447917E-3</v>
      </c>
      <c r="BF906" s="1143">
        <f t="shared" si="786"/>
        <v>-1.3579131351421874E-2</v>
      </c>
      <c r="BG906" s="1143">
        <f t="shared" si="786"/>
        <v>-1.5832615087878858E-2</v>
      </c>
      <c r="BH906" s="1143">
        <f t="shared" si="786"/>
        <v>-1.0598485316194823E-2</v>
      </c>
      <c r="BI906" s="1353">
        <f t="shared" si="786"/>
        <v>-1.0598485316194823E-2</v>
      </c>
      <c r="BJ906" s="1354">
        <f>BJ900-BE900</f>
        <v>-5.6348496232075766E-3</v>
      </c>
      <c r="BK906" s="1141">
        <v>0</v>
      </c>
      <c r="BL906" s="1141">
        <v>0</v>
      </c>
      <c r="BM906" s="1141">
        <v>0</v>
      </c>
      <c r="BN906" s="1138">
        <f>BN900-BI900</f>
        <v>0</v>
      </c>
      <c r="BO906" s="1141">
        <v>0</v>
      </c>
      <c r="BP906" s="1141">
        <v>0</v>
      </c>
      <c r="BQ906" s="1141">
        <v>0</v>
      </c>
      <c r="BR906" s="1141">
        <v>0</v>
      </c>
      <c r="BS906" s="1138">
        <f>BS900-BN900</f>
        <v>0</v>
      </c>
      <c r="BT906" s="1142">
        <v>0</v>
      </c>
      <c r="BU906" s="1142">
        <v>0</v>
      </c>
      <c r="BV906" s="1142">
        <v>0</v>
      </c>
      <c r="BW906" s="161"/>
    </row>
    <row r="907" spans="1:75" x14ac:dyDescent="0.5">
      <c r="A907" s="1351" t="s">
        <v>2679</v>
      </c>
      <c r="B907" s="1352"/>
      <c r="C907" s="1138"/>
      <c r="D907" s="1138"/>
      <c r="E907" s="1138"/>
      <c r="F907" s="1138"/>
      <c r="G907" s="1139"/>
      <c r="H907" s="1139"/>
      <c r="I907" s="1139"/>
      <c r="J907" s="1139"/>
      <c r="K907" s="1353">
        <f>K901-F901</f>
        <v>3.1788324142631649E-3</v>
      </c>
      <c r="L907" s="1139"/>
      <c r="M907" s="1139"/>
      <c r="N907" s="1139"/>
      <c r="O907" s="1139"/>
      <c r="P907" s="1353">
        <f t="shared" si="786"/>
        <v>-1.3275395421162729E-3</v>
      </c>
      <c r="Q907" s="1143">
        <f t="shared" si="786"/>
        <v>-1.7038395606430203E-3</v>
      </c>
      <c r="R907" s="1143">
        <f t="shared" si="786"/>
        <v>-5.0556767046097267E-3</v>
      </c>
      <c r="S907" s="1143">
        <f t="shared" si="786"/>
        <v>-5.7619390254914239E-3</v>
      </c>
      <c r="T907" s="1143">
        <f t="shared" si="786"/>
        <v>-6.1655170617366268E-3</v>
      </c>
      <c r="U907" s="1353">
        <f t="shared" si="786"/>
        <v>-6.1655170617366285E-3</v>
      </c>
      <c r="V907" s="1143">
        <f t="shared" si="786"/>
        <v>-6.7589915316496043E-3</v>
      </c>
      <c r="W907" s="1143">
        <f t="shared" si="786"/>
        <v>-6.7713136700698392E-3</v>
      </c>
      <c r="X907" s="1143">
        <f t="shared" si="786"/>
        <v>-5.6342853181483637E-3</v>
      </c>
      <c r="Y907" s="1143">
        <f t="shared" si="786"/>
        <v>-3.3573153125643221E-3</v>
      </c>
      <c r="Z907" s="1353">
        <f t="shared" si="786"/>
        <v>-3.3573153125643204E-3</v>
      </c>
      <c r="AA907" s="1143">
        <f t="shared" si="786"/>
        <v>-2.8812647388924695E-3</v>
      </c>
      <c r="AB907" s="1143">
        <f t="shared" si="786"/>
        <v>-2.3471820430181062E-3</v>
      </c>
      <c r="AC907" s="1143">
        <f t="shared" si="786"/>
        <v>-1.7567648633493487E-3</v>
      </c>
      <c r="AD907" s="1143">
        <f t="shared" si="786"/>
        <v>4.5239416047201074E-4</v>
      </c>
      <c r="AE907" s="1353">
        <f t="shared" si="786"/>
        <v>4.5239416047201074E-4</v>
      </c>
      <c r="AF907" s="1143">
        <f t="shared" si="786"/>
        <v>2.6673907705035823E-3</v>
      </c>
      <c r="AG907" s="1143">
        <f t="shared" si="786"/>
        <v>1.6725149070792103E-3</v>
      </c>
      <c r="AH907" s="1143">
        <f t="shared" si="786"/>
        <v>1.3952310052621547E-3</v>
      </c>
      <c r="AI907" s="1143">
        <f t="shared" si="786"/>
        <v>8.6970380846263743E-4</v>
      </c>
      <c r="AJ907" s="1353">
        <f t="shared" si="786"/>
        <v>8.6970380846263743E-4</v>
      </c>
      <c r="AK907" s="1143">
        <f t="shared" si="786"/>
        <v>-7.2773564151370259E-4</v>
      </c>
      <c r="AL907" s="1143">
        <f t="shared" si="786"/>
        <v>3.050686703445658E-4</v>
      </c>
      <c r="AM907" s="1143">
        <f t="shared" si="786"/>
        <v>2.2143972433492599E-3</v>
      </c>
      <c r="AN907" s="1143">
        <f t="shared" si="786"/>
        <v>-5.0435750149598405E-5</v>
      </c>
      <c r="AO907" s="1353">
        <f t="shared" si="786"/>
        <v>-5.0435750149598405E-5</v>
      </c>
      <c r="AP907" s="1143">
        <f t="shared" si="786"/>
        <v>-1.4912005945185922E-5</v>
      </c>
      <c r="AQ907" s="1143">
        <f t="shared" si="786"/>
        <v>-1.9620324951657329E-3</v>
      </c>
      <c r="AR907" s="1143">
        <f t="shared" si="786"/>
        <v>-3.8023996460764932E-3</v>
      </c>
      <c r="AS907" s="1143">
        <f t="shared" si="786"/>
        <v>-3.0723275630530154E-3</v>
      </c>
      <c r="AT907" s="1353">
        <f t="shared" si="786"/>
        <v>-3.0723275630530154E-3</v>
      </c>
      <c r="AU907" s="1143">
        <f t="shared" si="786"/>
        <v>-2.0493060391694965E-3</v>
      </c>
      <c r="AV907" s="1143">
        <f t="shared" si="786"/>
        <v>3.0197852417367891E-4</v>
      </c>
      <c r="AW907" s="1143">
        <f t="shared" si="786"/>
        <v>5.4595291423946684E-4</v>
      </c>
      <c r="AX907" s="1143">
        <f t="shared" si="786"/>
        <v>1.3466411868790652E-3</v>
      </c>
      <c r="AY907" s="1353">
        <f t="shared" si="786"/>
        <v>1.3466411868790652E-3</v>
      </c>
      <c r="AZ907" s="1143">
        <f t="shared" si="786"/>
        <v>2.1516866648475024E-3</v>
      </c>
      <c r="BA907" s="1143">
        <f t="shared" si="786"/>
        <v>3.711305657126119E-3</v>
      </c>
      <c r="BB907" s="1143">
        <f t="shared" si="786"/>
        <v>3.6115854121473237E-3</v>
      </c>
      <c r="BC907" s="1143">
        <f t="shared" si="786"/>
        <v>2.3326239973809138E-3</v>
      </c>
      <c r="BD907" s="1353">
        <f t="shared" si="786"/>
        <v>2.3326239973809138E-3</v>
      </c>
      <c r="BE907" s="1143">
        <f t="shared" si="786"/>
        <v>8.6739934836924885E-4</v>
      </c>
      <c r="BF907" s="1143">
        <f t="shared" si="786"/>
        <v>-1.2689141033033619E-3</v>
      </c>
      <c r="BG907" s="1143">
        <f t="shared" si="786"/>
        <v>-1.7385985949832069E-3</v>
      </c>
      <c r="BH907" s="1143">
        <f t="shared" si="786"/>
        <v>-1.1177431538334113E-3</v>
      </c>
      <c r="BI907" s="1353">
        <f t="shared" si="786"/>
        <v>-1.1177431538334113E-3</v>
      </c>
      <c r="BJ907" s="1354">
        <f>BJ901-BE901</f>
        <v>-1.4353512566923649E-4</v>
      </c>
      <c r="BK907" s="1141">
        <v>0</v>
      </c>
      <c r="BL907" s="1141">
        <v>0</v>
      </c>
      <c r="BM907" s="1141">
        <v>0</v>
      </c>
      <c r="BN907" s="1138">
        <f>BN901-BI901</f>
        <v>0</v>
      </c>
      <c r="BO907" s="1141">
        <v>0</v>
      </c>
      <c r="BP907" s="1141">
        <v>0</v>
      </c>
      <c r="BQ907" s="1141">
        <v>0</v>
      </c>
      <c r="BR907" s="1141">
        <v>0</v>
      </c>
      <c r="BS907" s="1138">
        <f>BS901-BN901</f>
        <v>0</v>
      </c>
      <c r="BT907" s="1142">
        <v>0</v>
      </c>
      <c r="BU907" s="1142">
        <v>0</v>
      </c>
      <c r="BV907" s="1142">
        <v>0</v>
      </c>
      <c r="BW907" s="161"/>
    </row>
    <row r="908" spans="1:75" x14ac:dyDescent="0.5">
      <c r="A908" s="1351" t="s">
        <v>2145</v>
      </c>
      <c r="B908" s="1352"/>
      <c r="C908" s="1138"/>
      <c r="D908" s="1138"/>
      <c r="E908" s="1138"/>
      <c r="F908" s="1138"/>
      <c r="G908" s="1139"/>
      <c r="H908" s="1139"/>
      <c r="I908" s="1139"/>
      <c r="J908" s="1139"/>
      <c r="K908" s="1353">
        <f>K902-F902</f>
        <v>7.2472326543958354E-4</v>
      </c>
      <c r="L908" s="1139"/>
      <c r="M908" s="1139"/>
      <c r="N908" s="1139"/>
      <c r="O908" s="1139"/>
      <c r="P908" s="1353">
        <f t="shared" si="786"/>
        <v>5.7423673509589268E-4</v>
      </c>
      <c r="Q908" s="1143">
        <f t="shared" si="786"/>
        <v>6.0401165767385856E-3</v>
      </c>
      <c r="R908" s="1143">
        <f t="shared" si="786"/>
        <v>1.6078452460835835E-2</v>
      </c>
      <c r="S908" s="1143">
        <f t="shared" si="786"/>
        <v>2.762638840307706E-2</v>
      </c>
      <c r="T908" s="1143">
        <f t="shared" si="786"/>
        <v>8.2978354324878406E-3</v>
      </c>
      <c r="U908" s="1353">
        <f t="shared" si="786"/>
        <v>8.2978354324878267E-3</v>
      </c>
      <c r="V908" s="1143">
        <f t="shared" si="786"/>
        <v>1.3355141800106371E-2</v>
      </c>
      <c r="W908" s="1143">
        <f t="shared" si="786"/>
        <v>3.2920479624074517E-3</v>
      </c>
      <c r="X908" s="1143">
        <f t="shared" si="786"/>
        <v>-7.5435433327575296E-4</v>
      </c>
      <c r="Y908" s="1143">
        <f t="shared" si="786"/>
        <v>-8.1478537832376519E-3</v>
      </c>
      <c r="Z908" s="1353">
        <f t="shared" si="786"/>
        <v>-8.1478537832376519E-3</v>
      </c>
      <c r="AA908" s="1143">
        <f t="shared" si="786"/>
        <v>3.3623928952184468E-3</v>
      </c>
      <c r="AB908" s="1143">
        <f t="shared" si="786"/>
        <v>1.8433698255920783E-3</v>
      </c>
      <c r="AC908" s="1143">
        <f t="shared" si="786"/>
        <v>-1.0143771230532048E-2</v>
      </c>
      <c r="AD908" s="1143">
        <f t="shared" si="786"/>
        <v>-1.8983884690098235E-2</v>
      </c>
      <c r="AE908" s="1353">
        <f t="shared" si="786"/>
        <v>-1.8983884690098221E-2</v>
      </c>
      <c r="AF908" s="1143">
        <f t="shared" si="786"/>
        <v>-6.8925997449193616E-3</v>
      </c>
      <c r="AG908" s="1143">
        <f t="shared" si="786"/>
        <v>9.1106150412732789E-4</v>
      </c>
      <c r="AH908" s="1143">
        <f t="shared" si="786"/>
        <v>5.9517347378593988E-3</v>
      </c>
      <c r="AI908" s="1143">
        <f t="shared" si="786"/>
        <v>2.6273608270929727E-3</v>
      </c>
      <c r="AJ908" s="1353">
        <f t="shared" si="786"/>
        <v>2.6273608270929727E-3</v>
      </c>
      <c r="AK908" s="1143">
        <f t="shared" si="786"/>
        <v>2.4125790587676971E-3</v>
      </c>
      <c r="AL908" s="1143">
        <f t="shared" si="786"/>
        <v>1.9758403066243574E-3</v>
      </c>
      <c r="AM908" s="1143">
        <f t="shared" si="786"/>
        <v>-7.8941427357001603E-4</v>
      </c>
      <c r="AN908" s="1143">
        <f t="shared" si="786"/>
        <v>3.5874962951197298E-3</v>
      </c>
      <c r="AO908" s="1353">
        <f t="shared" si="786"/>
        <v>3.5874962951197298E-3</v>
      </c>
      <c r="AP908" s="1143">
        <f t="shared" si="786"/>
        <v>-8.3199542519020175E-3</v>
      </c>
      <c r="AQ908" s="1143">
        <f t="shared" si="786"/>
        <v>1.3332796192782784E-2</v>
      </c>
      <c r="AR908" s="1143">
        <f t="shared" si="786"/>
        <v>4.6984089836181464E-4</v>
      </c>
      <c r="AS908" s="1143">
        <f t="shared" si="786"/>
        <v>-1.7726846914673897E-2</v>
      </c>
      <c r="AT908" s="1353">
        <f t="shared" si="786"/>
        <v>-1.7726846914673897E-2</v>
      </c>
      <c r="AU908" s="1143">
        <f t="shared" si="786"/>
        <v>-1.134538362937719E-2</v>
      </c>
      <c r="AV908" s="1143">
        <f t="shared" si="786"/>
        <v>-2.5695787071548334E-2</v>
      </c>
      <c r="AW908" s="1143">
        <f t="shared" si="786"/>
        <v>-1.9168664901721047E-2</v>
      </c>
      <c r="AX908" s="1143">
        <f t="shared" si="786"/>
        <v>3.2916151841219932E-3</v>
      </c>
      <c r="AY908" s="1353">
        <f t="shared" si="786"/>
        <v>3.2916151841219932E-3</v>
      </c>
      <c r="AZ908" s="1143">
        <f t="shared" si="786"/>
        <v>1.1998754664209937E-2</v>
      </c>
      <c r="BA908" s="1143">
        <f t="shared" si="786"/>
        <v>1.251535723871354E-2</v>
      </c>
      <c r="BB908" s="1143">
        <f t="shared" si="786"/>
        <v>9.4562063444477568E-3</v>
      </c>
      <c r="BC908" s="1143">
        <f t="shared" si="786"/>
        <v>1.3483313998590818E-2</v>
      </c>
      <c r="BD908" s="1353">
        <f t="shared" si="786"/>
        <v>1.3483313998590818E-2</v>
      </c>
      <c r="BE908" s="1143">
        <f t="shared" si="786"/>
        <v>-6.074426066849381E-4</v>
      </c>
      <c r="BF908" s="1143">
        <f t="shared" si="786"/>
        <v>-4.6681349360762903E-3</v>
      </c>
      <c r="BG908" s="1143">
        <f t="shared" si="786"/>
        <v>1.2455232277331293E-2</v>
      </c>
      <c r="BH908" s="1143">
        <f t="shared" si="786"/>
        <v>4.264498343139439E-3</v>
      </c>
      <c r="BI908" s="1353">
        <f t="shared" si="786"/>
        <v>4.264498343139439E-3</v>
      </c>
      <c r="BJ908" s="1354">
        <f>BJ902-BE902</f>
        <v>5.1441260624646157E-5</v>
      </c>
      <c r="BK908" s="1141">
        <v>0</v>
      </c>
      <c r="BL908" s="1141">
        <v>0</v>
      </c>
      <c r="BM908" s="1141">
        <v>0</v>
      </c>
      <c r="BN908" s="1138">
        <f>BN902-BI902</f>
        <v>0</v>
      </c>
      <c r="BO908" s="1141">
        <v>0</v>
      </c>
      <c r="BP908" s="1141">
        <v>0</v>
      </c>
      <c r="BQ908" s="1141">
        <v>0</v>
      </c>
      <c r="BR908" s="1141">
        <v>0</v>
      </c>
      <c r="BS908" s="1138">
        <f>BS902-BN902</f>
        <v>0</v>
      </c>
      <c r="BT908" s="1142">
        <v>0</v>
      </c>
      <c r="BU908" s="1142">
        <v>0</v>
      </c>
      <c r="BV908" s="1142">
        <v>0</v>
      </c>
      <c r="BW908" s="161"/>
    </row>
    <row r="909" spans="1:75" x14ac:dyDescent="0.5">
      <c r="A909" s="1351" t="s">
        <v>2680</v>
      </c>
      <c r="B909" s="1352"/>
      <c r="C909" s="1138"/>
      <c r="D909" s="1138"/>
      <c r="E909" s="1138"/>
      <c r="F909" s="1138"/>
      <c r="G909" s="1139"/>
      <c r="H909" s="1139"/>
      <c r="I909" s="1139"/>
      <c r="J909" s="1139"/>
      <c r="K909" s="1353">
        <f>K903-F903</f>
        <v>1.5723218990497841E-3</v>
      </c>
      <c r="L909" s="1139"/>
      <c r="M909" s="1139"/>
      <c r="N909" s="1139"/>
      <c r="O909" s="1139"/>
      <c r="P909" s="1353">
        <f t="shared" si="786"/>
        <v>6.8370645280436092E-3</v>
      </c>
      <c r="Q909" s="1143">
        <f t="shared" si="786"/>
        <v>7.3738131272347296E-3</v>
      </c>
      <c r="R909" s="1143">
        <f t="shared" si="786"/>
        <v>4.6583117745373978E-3</v>
      </c>
      <c r="S909" s="1143">
        <f t="shared" si="786"/>
        <v>7.9576361649229543E-3</v>
      </c>
      <c r="T909" s="1143">
        <f t="shared" si="786"/>
        <v>-3.389286494367566E-4</v>
      </c>
      <c r="U909" s="1353">
        <f t="shared" si="786"/>
        <v>-3.3892864943676354E-4</v>
      </c>
      <c r="V909" s="1143">
        <f t="shared" si="786"/>
        <v>-8.5323016711491007E-3</v>
      </c>
      <c r="W909" s="1143">
        <f t="shared" si="786"/>
        <v>-8.5638370477276876E-3</v>
      </c>
      <c r="X909" s="1143">
        <f t="shared" si="786"/>
        <v>-1.1463021051177396E-2</v>
      </c>
      <c r="Y909" s="1143">
        <f t="shared" si="786"/>
        <v>-7.1033800624667465E-3</v>
      </c>
      <c r="Z909" s="1353">
        <f t="shared" si="786"/>
        <v>-7.103380062466743E-3</v>
      </c>
      <c r="AA909" s="1143">
        <f t="shared" si="786"/>
        <v>1.3424276987521189E-4</v>
      </c>
      <c r="AB909" s="1143">
        <f t="shared" si="786"/>
        <v>5.43982041425424E-4</v>
      </c>
      <c r="AC909" s="1143">
        <f t="shared" si="786"/>
        <v>2.5716241858714933E-4</v>
      </c>
      <c r="AD909" s="1143">
        <f t="shared" si="786"/>
        <v>8.4030346057412456E-4</v>
      </c>
      <c r="AE909" s="1353">
        <f t="shared" si="786"/>
        <v>8.4030346057412802E-4</v>
      </c>
      <c r="AF909" s="1143">
        <f t="shared" si="786"/>
        <v>-4.5222615112159095E-3</v>
      </c>
      <c r="AG909" s="1143">
        <f t="shared" si="786"/>
        <v>-4.4029298069270043E-3</v>
      </c>
      <c r="AH909" s="1143">
        <f t="shared" si="786"/>
        <v>-1.097276099752971E-3</v>
      </c>
      <c r="AI909" s="1143">
        <f t="shared" si="786"/>
        <v>1.1133358211024569E-3</v>
      </c>
      <c r="AJ909" s="1353">
        <f t="shared" si="786"/>
        <v>1.1133358211024569E-3</v>
      </c>
      <c r="AK909" s="1143">
        <f t="shared" si="786"/>
        <v>-3.0828813311209458E-4</v>
      </c>
      <c r="AL909" s="1143">
        <f t="shared" si="786"/>
        <v>5.512943816760596E-4</v>
      </c>
      <c r="AM909" s="1143">
        <f t="shared" si="786"/>
        <v>-9.0278027867861377E-4</v>
      </c>
      <c r="AN909" s="1143">
        <f t="shared" si="786"/>
        <v>-3.7683298572157853E-3</v>
      </c>
      <c r="AO909" s="1353">
        <f t="shared" si="786"/>
        <v>-3.7683298572157853E-3</v>
      </c>
      <c r="AP909" s="1143">
        <f t="shared" si="786"/>
        <v>-5.2368837214670297E-3</v>
      </c>
      <c r="AQ909" s="1143">
        <f t="shared" si="786"/>
        <v>2.4769780876432584E-3</v>
      </c>
      <c r="AR909" s="1143">
        <f t="shared" si="786"/>
        <v>-1.3317800988335085E-3</v>
      </c>
      <c r="AS909" s="1143">
        <f t="shared" si="786"/>
        <v>-4.4014986405453253E-3</v>
      </c>
      <c r="AT909" s="1353">
        <f t="shared" si="786"/>
        <v>-4.4014986405453253E-3</v>
      </c>
      <c r="AU909" s="1143">
        <f t="shared" si="786"/>
        <v>5.7599935933905222E-5</v>
      </c>
      <c r="AV909" s="1143">
        <f t="shared" si="786"/>
        <v>-6.8091171846295928E-3</v>
      </c>
      <c r="AW909" s="1143">
        <f t="shared" si="786"/>
        <v>-1.525439998742651E-3</v>
      </c>
      <c r="AX909" s="1143">
        <f t="shared" si="786"/>
        <v>2.5399651160640385E-3</v>
      </c>
      <c r="AY909" s="1353">
        <f t="shared" si="786"/>
        <v>2.5399651160640385E-3</v>
      </c>
      <c r="AZ909" s="1143">
        <f t="shared" si="786"/>
        <v>2.7110822962755354E-3</v>
      </c>
      <c r="BA909" s="1143">
        <f t="shared" si="786"/>
        <v>1.8965230303088394E-3</v>
      </c>
      <c r="BB909" s="1143">
        <f t="shared" si="786"/>
        <v>-5.6033834509680233E-4</v>
      </c>
      <c r="BC909" s="1143">
        <f t="shared" si="786"/>
        <v>7.8287914481129164E-4</v>
      </c>
      <c r="BD909" s="1353">
        <f t="shared" si="786"/>
        <v>7.8287914481129164E-4</v>
      </c>
      <c r="BE909" s="1143">
        <f t="shared" si="786"/>
        <v>-1.3533229853411356E-3</v>
      </c>
      <c r="BF909" s="1143">
        <f t="shared" si="786"/>
        <v>1.6053778600197202E-3</v>
      </c>
      <c r="BG909" s="1143">
        <f t="shared" si="786"/>
        <v>8.0109719245692601E-4</v>
      </c>
      <c r="BH909" s="1143">
        <f t="shared" si="786"/>
        <v>-2.369476381927603E-4</v>
      </c>
      <c r="BI909" s="1353">
        <f t="shared" si="786"/>
        <v>-2.369476381927603E-4</v>
      </c>
      <c r="BJ909" s="1354">
        <f>BJ903-BE903</f>
        <v>-5.1005184255960671E-3</v>
      </c>
      <c r="BK909" s="1141">
        <v>0</v>
      </c>
      <c r="BL909" s="1141">
        <v>0</v>
      </c>
      <c r="BM909" s="1141">
        <v>0</v>
      </c>
      <c r="BN909" s="1138">
        <f>BN903-BI903</f>
        <v>0</v>
      </c>
      <c r="BO909" s="1141">
        <v>0</v>
      </c>
      <c r="BP909" s="1141">
        <v>0</v>
      </c>
      <c r="BQ909" s="1141">
        <v>0</v>
      </c>
      <c r="BR909" s="1141">
        <v>0</v>
      </c>
      <c r="BS909" s="1138">
        <f>BS903-BN903</f>
        <v>0</v>
      </c>
      <c r="BT909" s="1142">
        <v>0</v>
      </c>
      <c r="BU909" s="1142">
        <v>0</v>
      </c>
      <c r="BV909" s="1142">
        <v>0</v>
      </c>
      <c r="BW909" s="161"/>
    </row>
    <row r="910" spans="1:75" x14ac:dyDescent="0.5">
      <c r="A910" s="1351" t="s">
        <v>2681</v>
      </c>
      <c r="B910" s="1352"/>
      <c r="C910" s="1138"/>
      <c r="D910" s="1138"/>
      <c r="E910" s="1138"/>
      <c r="F910" s="1138"/>
      <c r="G910" s="1139"/>
      <c r="H910" s="1139"/>
      <c r="I910" s="1139"/>
      <c r="J910" s="1139"/>
      <c r="K910" s="1353">
        <f>K904-F904</f>
        <v>-5.8069349923048023E-3</v>
      </c>
      <c r="L910" s="1139"/>
      <c r="M910" s="1139"/>
      <c r="N910" s="1139"/>
      <c r="O910" s="1139"/>
      <c r="P910" s="1353">
        <f t="shared" si="786"/>
        <v>5.6789939781586463E-3</v>
      </c>
      <c r="Q910" s="1143">
        <f t="shared" si="786"/>
        <v>4.8647574240680523E-3</v>
      </c>
      <c r="R910" s="1143">
        <f t="shared" si="786"/>
        <v>7.7408998023166461E-3</v>
      </c>
      <c r="S910" s="1143">
        <f t="shared" si="786"/>
        <v>5.3627491649481905E-3</v>
      </c>
      <c r="T910" s="1143">
        <f t="shared" si="786"/>
        <v>2.309220013994414E-3</v>
      </c>
      <c r="U910" s="1353">
        <f t="shared" si="786"/>
        <v>2.3092200139944105E-3</v>
      </c>
      <c r="V910" s="1143">
        <f t="shared" si="786"/>
        <v>-2.8549457889105977E-3</v>
      </c>
      <c r="W910" s="1143">
        <f t="shared" si="786"/>
        <v>-5.3725875025253354E-3</v>
      </c>
      <c r="X910" s="1143">
        <f t="shared" si="786"/>
        <v>-5.8045816954579964E-3</v>
      </c>
      <c r="Y910" s="1143">
        <f t="shared" si="786"/>
        <v>-3.1236686321795062E-3</v>
      </c>
      <c r="Z910" s="1353">
        <f t="shared" si="786"/>
        <v>-3.1236686321795062E-3</v>
      </c>
      <c r="AA910" s="1143">
        <f t="shared" si="786"/>
        <v>5.651956989829815E-3</v>
      </c>
      <c r="AB910" s="1143">
        <f t="shared" si="786"/>
        <v>4.0212433285964633E-3</v>
      </c>
      <c r="AC910" s="1143">
        <f t="shared" si="786"/>
        <v>2.5459621893484143E-3</v>
      </c>
      <c r="AD910" s="1143">
        <f t="shared" si="786"/>
        <v>4.4345184018598771E-4</v>
      </c>
      <c r="AE910" s="1353">
        <f t="shared" si="786"/>
        <v>4.4345184018599118E-4</v>
      </c>
      <c r="AF910" s="1143">
        <f t="shared" si="786"/>
        <v>-3.2625487585649059E-3</v>
      </c>
      <c r="AG910" s="1143">
        <f t="shared" si="786"/>
        <v>-1.3340763513790509E-3</v>
      </c>
      <c r="AH910" s="1143">
        <f t="shared" si="786"/>
        <v>1.2966579677155948E-3</v>
      </c>
      <c r="AI910" s="1143">
        <f t="shared" si="786"/>
        <v>1.9039261130469817E-3</v>
      </c>
      <c r="AJ910" s="1353">
        <f t="shared" si="786"/>
        <v>1.9039261130469817E-3</v>
      </c>
      <c r="AK910" s="1143">
        <f t="shared" si="786"/>
        <v>-1.3053237520517028E-3</v>
      </c>
      <c r="AL910" s="1143">
        <f t="shared" si="786"/>
        <v>-1.8911283856680762E-3</v>
      </c>
      <c r="AM910" s="1143">
        <f t="shared" si="786"/>
        <v>-3.9199864243800037E-3</v>
      </c>
      <c r="AN910" s="1143">
        <f t="shared" si="786"/>
        <v>-3.4725004183239483E-3</v>
      </c>
      <c r="AO910" s="1353">
        <f t="shared" si="786"/>
        <v>-3.4725004183239483E-3</v>
      </c>
      <c r="AP910" s="1143">
        <f t="shared" si="786"/>
        <v>-2.7552464477173175E-3</v>
      </c>
      <c r="AQ910" s="1143">
        <f t="shared" si="786"/>
        <v>9.6333575795229873E-3</v>
      </c>
      <c r="AR910" s="1143">
        <f t="shared" si="786"/>
        <v>6.8750004816248642E-3</v>
      </c>
      <c r="AS910" s="1143">
        <f t="shared" si="786"/>
        <v>2.3127484257346384E-3</v>
      </c>
      <c r="AT910" s="1353">
        <f t="shared" si="786"/>
        <v>2.3127484257346384E-3</v>
      </c>
      <c r="AU910" s="1143">
        <f t="shared" si="786"/>
        <v>2.3636397736459085E-3</v>
      </c>
      <c r="AV910" s="1143">
        <f t="shared" si="786"/>
        <v>-8.8828787259750339E-3</v>
      </c>
      <c r="AW910" s="1143">
        <f t="shared" si="786"/>
        <v>-3.2245192625065949E-3</v>
      </c>
      <c r="AX910" s="1143">
        <f t="shared" si="786"/>
        <v>1.1318561547991879E-3</v>
      </c>
      <c r="AY910" s="1353">
        <f t="shared" si="786"/>
        <v>1.1318561547991879E-3</v>
      </c>
      <c r="AZ910" s="1143">
        <f t="shared" si="786"/>
        <v>2.9939738876676031E-3</v>
      </c>
      <c r="BA910" s="1143">
        <f t="shared" si="786"/>
        <v>3.4285772991849567E-3</v>
      </c>
      <c r="BB910" s="1143">
        <f t="shared" si="786"/>
        <v>2.93796626708627E-3</v>
      </c>
      <c r="BC910" s="1143">
        <f t="shared" si="786"/>
        <v>-4.2969389425437862E-3</v>
      </c>
      <c r="BD910" s="1353">
        <f t="shared" si="786"/>
        <v>-4.2969389425437862E-3</v>
      </c>
      <c r="BE910" s="1143">
        <f t="shared" si="786"/>
        <v>-4.7764714668475441E-3</v>
      </c>
      <c r="BF910" s="1143">
        <f t="shared" si="786"/>
        <v>-5.6322578067553898E-3</v>
      </c>
      <c r="BG910" s="1143">
        <f t="shared" si="786"/>
        <v>-6.3255733734428748E-3</v>
      </c>
      <c r="BH910" s="1143">
        <f t="shared" si="786"/>
        <v>-1.2692030789978083E-3</v>
      </c>
      <c r="BI910" s="1353">
        <f t="shared" si="786"/>
        <v>-1.2692030789978083E-3</v>
      </c>
      <c r="BJ910" s="1354">
        <f>BJ904-BE904</f>
        <v>-1.52774480663153E-3</v>
      </c>
      <c r="BK910" s="1141">
        <v>0</v>
      </c>
      <c r="BL910" s="1141">
        <v>0</v>
      </c>
      <c r="BM910" s="1141">
        <v>0</v>
      </c>
      <c r="BN910" s="1138">
        <f>BN904-BI904</f>
        <v>0</v>
      </c>
      <c r="BO910" s="1141">
        <v>0</v>
      </c>
      <c r="BP910" s="1141">
        <v>0</v>
      </c>
      <c r="BQ910" s="1141">
        <v>0</v>
      </c>
      <c r="BR910" s="1141">
        <v>0</v>
      </c>
      <c r="BS910" s="1138">
        <f>BS904-BN904</f>
        <v>0</v>
      </c>
      <c r="BT910" s="1142">
        <v>0</v>
      </c>
      <c r="BU910" s="1142">
        <v>0</v>
      </c>
      <c r="BV910" s="1142">
        <v>0</v>
      </c>
      <c r="BW910" s="161"/>
    </row>
    <row r="911" spans="1:75" x14ac:dyDescent="0.5">
      <c r="A911" s="1136"/>
      <c r="B911" s="1352"/>
      <c r="C911" s="1138"/>
      <c r="D911" s="1138"/>
      <c r="E911" s="1138"/>
      <c r="F911" s="1138"/>
      <c r="G911" s="1139"/>
      <c r="H911" s="1139"/>
      <c r="I911" s="1139"/>
      <c r="J911" s="1139"/>
      <c r="K911" s="1138"/>
      <c r="L911" s="1139"/>
      <c r="M911" s="1139"/>
      <c r="N911" s="1139"/>
      <c r="O911" s="1139"/>
      <c r="P911" s="1138"/>
      <c r="Q911" s="1139"/>
      <c r="R911" s="1139"/>
      <c r="S911" s="1139"/>
      <c r="T911" s="1139"/>
      <c r="U911" s="1138"/>
      <c r="V911" s="1139"/>
      <c r="W911" s="1139"/>
      <c r="X911" s="1139"/>
      <c r="Y911" s="1139"/>
      <c r="Z911" s="1138"/>
      <c r="AA911" s="1139"/>
      <c r="AB911" s="1139"/>
      <c r="AC911" s="1139"/>
      <c r="AD911" s="1139"/>
      <c r="AE911" s="1138"/>
      <c r="AF911" s="1139"/>
      <c r="AG911" s="1139"/>
      <c r="AH911" s="1139"/>
      <c r="AI911" s="1139"/>
      <c r="AJ911" s="1138"/>
      <c r="AK911" s="1139"/>
      <c r="AL911" s="1139"/>
      <c r="AM911" s="1139"/>
      <c r="AN911" s="1139"/>
      <c r="AO911" s="1138"/>
      <c r="AP911" s="1139"/>
      <c r="AQ911" s="1139"/>
      <c r="AR911" s="1139"/>
      <c r="AS911" s="1139"/>
      <c r="AT911" s="1138"/>
      <c r="AU911" s="1139"/>
      <c r="AV911" s="1139"/>
      <c r="AW911" s="1139"/>
      <c r="AX911" s="1139"/>
      <c r="AY911" s="1138"/>
      <c r="AZ911" s="1139"/>
      <c r="BA911" s="1139"/>
      <c r="BB911" s="1139"/>
      <c r="BC911" s="1139"/>
      <c r="BD911" s="1138"/>
      <c r="BE911" s="1139"/>
      <c r="BF911" s="1139"/>
      <c r="BG911" s="1139"/>
      <c r="BH911" s="1139"/>
      <c r="BI911" s="1138"/>
      <c r="BJ911" s="1140"/>
      <c r="BK911" s="1139"/>
      <c r="BL911" s="1139"/>
      <c r="BM911" s="1139"/>
      <c r="BN911" s="1138"/>
      <c r="BO911" s="1139"/>
      <c r="BP911" s="1139"/>
      <c r="BQ911" s="1139"/>
      <c r="BR911" s="1139"/>
      <c r="BS911" s="1138"/>
      <c r="BT911" s="1138"/>
      <c r="BU911" s="1138"/>
      <c r="BV911" s="1138"/>
      <c r="BW911" s="161"/>
    </row>
    <row r="912" spans="1:75" x14ac:dyDescent="0.5">
      <c r="A912" s="239" t="s">
        <v>1450</v>
      </c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  <c r="AA912" s="239"/>
      <c r="AB912" s="239"/>
      <c r="AC912" s="239"/>
      <c r="AD912" s="239"/>
      <c r="AE912" s="239"/>
      <c r="AF912" s="239"/>
      <c r="AG912" s="239"/>
      <c r="AH912" s="239"/>
      <c r="AI912" s="239"/>
      <c r="AJ912" s="239"/>
      <c r="AK912" s="239"/>
      <c r="AL912" s="239"/>
      <c r="AM912" s="239"/>
      <c r="AN912" s="239"/>
      <c r="AO912" s="239"/>
      <c r="AP912" s="239"/>
      <c r="AQ912" s="239"/>
      <c r="AR912" s="239"/>
      <c r="AS912" s="239"/>
      <c r="AT912" s="239"/>
      <c r="AU912" s="239"/>
      <c r="AV912" s="239"/>
      <c r="AW912" s="239"/>
      <c r="AX912" s="239"/>
      <c r="AY912" s="239"/>
      <c r="AZ912" s="239"/>
      <c r="BA912" s="239"/>
      <c r="BB912" s="239"/>
      <c r="BC912" s="239"/>
      <c r="BD912" s="239"/>
      <c r="BE912" s="239"/>
      <c r="BF912" s="239"/>
      <c r="BG912" s="239"/>
      <c r="BH912" s="239"/>
      <c r="BI912" s="239"/>
      <c r="BJ912" s="241"/>
      <c r="BK912" s="239"/>
      <c r="BL912" s="239"/>
      <c r="BM912" s="239"/>
      <c r="BN912" s="239"/>
      <c r="BO912" s="239"/>
      <c r="BP912" s="239"/>
      <c r="BQ912" s="239"/>
      <c r="BR912" s="239"/>
      <c r="BS912" s="239"/>
      <c r="BT912" s="239"/>
      <c r="BU912" s="239"/>
      <c r="BV912" s="239"/>
      <c r="BW912" s="197"/>
    </row>
    <row r="913" spans="1:75" s="198" customFormat="1" ht="14.25" x14ac:dyDescent="0.45">
      <c r="A913" s="463" t="s">
        <v>1451</v>
      </c>
      <c r="B913" s="522"/>
      <c r="C913" s="397"/>
      <c r="D913" s="397"/>
      <c r="E913" s="397"/>
      <c r="F913" s="397"/>
      <c r="G913" s="295"/>
      <c r="H913" s="295"/>
      <c r="I913" s="295"/>
      <c r="J913" s="295"/>
      <c r="K913" s="672">
        <f>F917</f>
        <v>18.37</v>
      </c>
      <c r="L913" s="197">
        <f>K917</f>
        <v>22.088000000000001</v>
      </c>
      <c r="M913" s="197">
        <f>L917</f>
        <v>32.182000000000002</v>
      </c>
      <c r="N913" s="197">
        <f>M917</f>
        <v>44.140999999999998</v>
      </c>
      <c r="O913" s="197">
        <f>N917</f>
        <v>50.027000000000001</v>
      </c>
      <c r="P913" s="672">
        <f>K917</f>
        <v>22.088000000000001</v>
      </c>
      <c r="Q913" s="197">
        <f>P917</f>
        <v>60.639000000000003</v>
      </c>
      <c r="R913" s="197">
        <f>Q917</f>
        <v>74.983000000000004</v>
      </c>
      <c r="S913" s="197">
        <f>R917</f>
        <v>76.367000000000004</v>
      </c>
      <c r="T913" s="197">
        <f>S917</f>
        <v>88.641999999999996</v>
      </c>
      <c r="U913" s="672">
        <f>P917</f>
        <v>60.639000000000003</v>
      </c>
      <c r="V913" s="197">
        <f>U917</f>
        <v>112.325</v>
      </c>
      <c r="W913" s="197">
        <f>V917</f>
        <v>162.59399999999999</v>
      </c>
      <c r="X913" s="197">
        <f>W917</f>
        <v>179.142</v>
      </c>
      <c r="Y913" s="197">
        <f>X917</f>
        <v>211.285</v>
      </c>
      <c r="Z913" s="672">
        <f>U917</f>
        <v>112.325</v>
      </c>
      <c r="AA913" s="197">
        <f>Z917</f>
        <v>239.35400000000001</v>
      </c>
      <c r="AB913" s="197">
        <f>AA917</f>
        <v>263.315</v>
      </c>
      <c r="AC913" s="197">
        <f>AB917</f>
        <v>295.36799999999999</v>
      </c>
      <c r="AD913" s="197">
        <f>AC917</f>
        <v>318.87299999999999</v>
      </c>
      <c r="AE913" s="672">
        <f>Z917</f>
        <v>239.35400000000001</v>
      </c>
      <c r="AF913" s="197">
        <f>AE917</f>
        <v>361.14100000000002</v>
      </c>
      <c r="AG913" s="197">
        <f>AF917</f>
        <v>404.30900000000003</v>
      </c>
      <c r="AH913" s="197">
        <f>AG917</f>
        <v>468.42200000000003</v>
      </c>
      <c r="AI913" s="197">
        <f>AH917</f>
        <v>509.661</v>
      </c>
      <c r="AJ913" s="672">
        <f>AE917</f>
        <v>361.14100000000002</v>
      </c>
      <c r="AK913" s="197">
        <f>AJ917</f>
        <v>606.97699999999998</v>
      </c>
      <c r="AL913" s="197">
        <f>AK917</f>
        <v>430.548</v>
      </c>
      <c r="AM913" s="197">
        <f>AL917</f>
        <v>480.49200000000002</v>
      </c>
      <c r="AN913" s="197">
        <f>AM917</f>
        <v>547.05600000000004</v>
      </c>
      <c r="AO913" s="672">
        <f>AJ917</f>
        <v>606.97699999999998</v>
      </c>
      <c r="AP913" s="197">
        <f>AO917</f>
        <v>624.54399999999998</v>
      </c>
      <c r="AQ913" s="197">
        <f>AP917</f>
        <v>661.21600000000001</v>
      </c>
      <c r="AR913" s="197">
        <f>AQ917</f>
        <v>667.45600000000002</v>
      </c>
      <c r="AS913" s="197">
        <f>AR917</f>
        <v>682.05700000000002</v>
      </c>
      <c r="AT913" s="672">
        <f>AO917</f>
        <v>624.54399999999998</v>
      </c>
      <c r="AU913" s="197">
        <f>AT917</f>
        <v>684.30600000000004</v>
      </c>
      <c r="AV913" s="197">
        <f>AU917</f>
        <v>665.17700000000002</v>
      </c>
      <c r="AW913" s="197">
        <f>AV917</f>
        <v>663.98699999999997</v>
      </c>
      <c r="AX913" s="197">
        <f>AW917</f>
        <v>653.673</v>
      </c>
      <c r="AY913" s="672">
        <f>AT917</f>
        <v>684.30600000000004</v>
      </c>
      <c r="AZ913" s="197">
        <f>AY917</f>
        <v>674</v>
      </c>
      <c r="BA913" s="197">
        <f>AZ917</f>
        <v>698</v>
      </c>
      <c r="BB913" s="197">
        <f>BA917</f>
        <v>730</v>
      </c>
      <c r="BC913" s="197">
        <f>BB917</f>
        <v>763</v>
      </c>
      <c r="BD913" s="672">
        <f>AY917</f>
        <v>674</v>
      </c>
      <c r="BE913" s="197">
        <f>BD917</f>
        <v>774</v>
      </c>
      <c r="BF913" s="197">
        <f>BE917</f>
        <v>762</v>
      </c>
      <c r="BG913" s="197">
        <f>BF917</f>
        <v>759</v>
      </c>
      <c r="BH913" s="197">
        <f>BG917</f>
        <v>751</v>
      </c>
      <c r="BI913" s="672">
        <f>BD917</f>
        <v>774</v>
      </c>
      <c r="BJ913" s="1273">
        <f>BI917</f>
        <v>748</v>
      </c>
      <c r="BK913" s="295">
        <f>BJ917</f>
        <v>714</v>
      </c>
      <c r="BL913" s="295">
        <f>BK917</f>
        <v>703.78549180327866</v>
      </c>
      <c r="BM913" s="295">
        <f>BL917</f>
        <v>701.01118610588549</v>
      </c>
      <c r="BN913" s="397">
        <f>BI917</f>
        <v>748</v>
      </c>
      <c r="BO913" s="295">
        <f>BN917</f>
        <v>698.62043196119203</v>
      </c>
      <c r="BP913" s="295">
        <f>BO917</f>
        <v>698.40101721577003</v>
      </c>
      <c r="BQ913" s="295">
        <f>BP917</f>
        <v>697.15897362221028</v>
      </c>
      <c r="BR913" s="295">
        <f>BQ917</f>
        <v>695.03672960773395</v>
      </c>
      <c r="BS913" s="397">
        <f>BN917</f>
        <v>698.62043196119203</v>
      </c>
      <c r="BT913" s="397">
        <f>BS917</f>
        <v>693.20869257170284</v>
      </c>
      <c r="BU913" s="397">
        <f>BT917</f>
        <v>682.33741069368216</v>
      </c>
      <c r="BV913" s="397">
        <f>BU917</f>
        <v>677.56619145634113</v>
      </c>
      <c r="BW913" s="197"/>
    </row>
    <row r="914" spans="1:75" s="123" customFormat="1" x14ac:dyDescent="0.5">
      <c r="A914" s="464" t="s">
        <v>1452</v>
      </c>
      <c r="B914" s="513"/>
      <c r="C914" s="401"/>
      <c r="D914" s="401"/>
      <c r="E914" s="401"/>
      <c r="F914" s="401"/>
      <c r="G914" s="118"/>
      <c r="H914" s="118"/>
      <c r="I914" s="118"/>
      <c r="J914" s="118"/>
      <c r="K914" s="674">
        <f t="shared" ref="K914:AT914" si="787">-K129</f>
        <v>-12.552</v>
      </c>
      <c r="L914" s="122">
        <f t="shared" si="787"/>
        <v>-3.9490000000000003</v>
      </c>
      <c r="M914" s="122">
        <f t="shared" si="787"/>
        <v>-4.4429999999999996</v>
      </c>
      <c r="N914" s="122">
        <f t="shared" si="787"/>
        <v>-5.2980000000000009</v>
      </c>
      <c r="O914" s="122">
        <f t="shared" si="787"/>
        <v>-7.3329999999999993</v>
      </c>
      <c r="P914" s="674">
        <f t="shared" si="787"/>
        <v>-21.023</v>
      </c>
      <c r="Q914" s="122">
        <f t="shared" si="787"/>
        <v>-6.4939999999999998</v>
      </c>
      <c r="R914" s="122">
        <f t="shared" si="787"/>
        <v>-7.1640000000000006</v>
      </c>
      <c r="S914" s="122">
        <f t="shared" si="787"/>
        <v>-8.9989999999999988</v>
      </c>
      <c r="T914" s="122">
        <f t="shared" si="787"/>
        <v>-8.8979999999999997</v>
      </c>
      <c r="U914" s="674">
        <f t="shared" si="787"/>
        <v>-31.555</v>
      </c>
      <c r="V914" s="122">
        <f t="shared" si="787"/>
        <v>-10.3</v>
      </c>
      <c r="W914" s="122">
        <f t="shared" si="787"/>
        <v>-12.4</v>
      </c>
      <c r="X914" s="122">
        <f t="shared" si="787"/>
        <v>-15.2</v>
      </c>
      <c r="Y914" s="122">
        <f t="shared" si="787"/>
        <v>-16.700000000000006</v>
      </c>
      <c r="Z914" s="674">
        <f t="shared" si="787"/>
        <v>-54.6</v>
      </c>
      <c r="AA914" s="122">
        <f t="shared" si="787"/>
        <v>-20.100000000000001</v>
      </c>
      <c r="AB914" s="122">
        <f t="shared" si="787"/>
        <v>-19</v>
      </c>
      <c r="AC914" s="122">
        <f t="shared" si="787"/>
        <v>-22.6</v>
      </c>
      <c r="AD914" s="122">
        <f t="shared" si="787"/>
        <v>-24.200000000000003</v>
      </c>
      <c r="AE914" s="674">
        <f t="shared" si="787"/>
        <v>-85.9</v>
      </c>
      <c r="AF914" s="122">
        <f t="shared" si="787"/>
        <v>-25.7</v>
      </c>
      <c r="AG914" s="122">
        <f t="shared" si="787"/>
        <v>-28.6</v>
      </c>
      <c r="AH914" s="122">
        <f t="shared" si="787"/>
        <v>-32.4</v>
      </c>
      <c r="AI914" s="122">
        <f t="shared" si="787"/>
        <v>-35.899999999999991</v>
      </c>
      <c r="AJ914" s="674">
        <f t="shared" si="787"/>
        <v>-122.6</v>
      </c>
      <c r="AK914" s="122">
        <f t="shared" si="787"/>
        <v>-39.4</v>
      </c>
      <c r="AL914" s="122">
        <f t="shared" si="787"/>
        <v>-44.2</v>
      </c>
      <c r="AM914" s="122">
        <f t="shared" si="787"/>
        <v>-50.1</v>
      </c>
      <c r="AN914" s="122">
        <f t="shared" si="787"/>
        <v>-57.9</v>
      </c>
      <c r="AO914" s="674">
        <f t="shared" si="787"/>
        <v>-191.6</v>
      </c>
      <c r="AP914" s="122">
        <f t="shared" si="787"/>
        <v>-66.400000000000006</v>
      </c>
      <c r="AQ914" s="122">
        <f t="shared" si="787"/>
        <v>-68.7</v>
      </c>
      <c r="AR914" s="122">
        <f t="shared" si="787"/>
        <v>-72.2</v>
      </c>
      <c r="AS914" s="122">
        <f t="shared" si="787"/>
        <v>-76.900000000000006</v>
      </c>
      <c r="AT914" s="674">
        <f t="shared" si="787"/>
        <v>-284.2</v>
      </c>
      <c r="AU914" s="122">
        <f>-AU930-AU920</f>
        <v>-80.062519999999992</v>
      </c>
      <c r="AV914" s="122">
        <f t="shared" ref="AV914:AW914" si="788">-AV930-AV920</f>
        <v>-77.672194520547947</v>
      </c>
      <c r="AW914" s="122">
        <f t="shared" si="788"/>
        <v>-81.66141643835617</v>
      </c>
      <c r="AX914" s="122">
        <f>-AX129</f>
        <v>-82.603869041095876</v>
      </c>
      <c r="AY914" s="674">
        <f>-AY129</f>
        <v>-322</v>
      </c>
      <c r="AZ914" s="122">
        <f t="shared" ref="AZ914:BB914" si="789">-AZ930-AZ920</f>
        <v>-84.768658082191777</v>
      </c>
      <c r="BA914" s="122">
        <f t="shared" si="789"/>
        <v>-90.766087616438355</v>
      </c>
      <c r="BB914" s="122">
        <f t="shared" si="789"/>
        <v>-93.763517150684933</v>
      </c>
      <c r="BC914" s="122">
        <f>-BC129</f>
        <v>-100.70173715068491</v>
      </c>
      <c r="BD914" s="674">
        <f>-BD129</f>
        <v>-370</v>
      </c>
      <c r="BE914" s="122">
        <f>-BE930-BE920</f>
        <v>-103.78345260273973</v>
      </c>
      <c r="BF914" s="122">
        <f>-BF930-BF920</f>
        <v>-101.78104652054795</v>
      </c>
      <c r="BG914" s="122">
        <f>-BG930-BG920</f>
        <v>-105.77864043835616</v>
      </c>
      <c r="BH914" s="122">
        <f>-BH129</f>
        <v>-104.65686043835619</v>
      </c>
      <c r="BI914" s="674">
        <f>-BI129</f>
        <v>-416</v>
      </c>
      <c r="BJ914" s="1274">
        <f>-BJ930-BJ920</f>
        <v>-103.76265658469946</v>
      </c>
      <c r="BK914" s="118">
        <f>-BK925*BK913*BK3/BN3</f>
        <v>-104.7395081967213</v>
      </c>
      <c r="BL914" s="118">
        <f>-BL925*BL913*BL3/BN3</f>
        <v>-97.29930569739318</v>
      </c>
      <c r="BM914" s="118">
        <f>-BM925*BM913*BM3/BN3</f>
        <v>-96.915754144693466</v>
      </c>
      <c r="BN914" s="401">
        <f>IF(OR(ISBLANK(BJ914),ISBLANK(BK914),ISBLANK(BL914),ISBLANK(BM914)),"n/a",SUM(BJ914,BK914,BL914,BM914))</f>
        <v>-402.71722462350738</v>
      </c>
      <c r="BO914" s="118">
        <f>-BO925*BO913*BO3/BS3</f>
        <v>-94.744414745421949</v>
      </c>
      <c r="BP914" s="118">
        <f>-BP925*BP913*BP3/BS3</f>
        <v>-95.76704359355972</v>
      </c>
      <c r="BQ914" s="118">
        <f>-BQ925*BQ913*BQ3/BS3</f>
        <v>-96.647244014476271</v>
      </c>
      <c r="BR914" s="118">
        <f>-BR925*BR913*BR3/BS3</f>
        <v>-96.353037036031068</v>
      </c>
      <c r="BS914" s="401">
        <f>IF(OR(ISBLANK(BO914),ISBLANK(BP914),ISBLANK(BQ914),ISBLANK(BR914)),"n/a",SUM(BO914,BP914,BQ914,BR914))</f>
        <v>-383.51173938948904</v>
      </c>
      <c r="BT914" s="401">
        <f>-BT925*BT913</f>
        <v>-388.97128187802065</v>
      </c>
      <c r="BU914" s="401">
        <f>-BU925*BU913</f>
        <v>-382.87121923734105</v>
      </c>
      <c r="BV914" s="401">
        <f>-BV925*BV913</f>
        <v>-380.19400632475538</v>
      </c>
      <c r="BW914" s="122"/>
    </row>
    <row r="915" spans="1:75" s="123" customFormat="1" x14ac:dyDescent="0.5">
      <c r="A915" s="464" t="s">
        <v>1453</v>
      </c>
      <c r="B915" s="513"/>
      <c r="C915" s="401"/>
      <c r="D915" s="401"/>
      <c r="E915" s="401"/>
      <c r="F915" s="401"/>
      <c r="G915" s="118"/>
      <c r="H915" s="118"/>
      <c r="I915" s="118"/>
      <c r="J915" s="118"/>
      <c r="K915" s="401"/>
      <c r="L915" s="118"/>
      <c r="M915" s="118"/>
      <c r="N915" s="118"/>
      <c r="O915" s="118"/>
      <c r="P915" s="401"/>
      <c r="Q915" s="118"/>
      <c r="R915" s="118"/>
      <c r="S915" s="118"/>
      <c r="T915" s="118"/>
      <c r="U915" s="401"/>
      <c r="V915" s="118"/>
      <c r="W915" s="118"/>
      <c r="X915" s="118"/>
      <c r="Y915" s="118"/>
      <c r="Z915" s="401"/>
      <c r="AA915" s="118"/>
      <c r="AB915" s="118"/>
      <c r="AC915" s="118"/>
      <c r="AD915" s="118"/>
      <c r="AE915" s="401"/>
      <c r="AF915" s="118"/>
      <c r="AG915" s="118"/>
      <c r="AH915" s="118"/>
      <c r="AI915" s="118"/>
      <c r="AJ915" s="401"/>
      <c r="AK915" s="118"/>
      <c r="AL915" s="118"/>
      <c r="AM915" s="118"/>
      <c r="AN915" s="118"/>
      <c r="AO915" s="401"/>
      <c r="AP915" s="118"/>
      <c r="AQ915" s="118"/>
      <c r="AR915" s="118"/>
      <c r="AS915" s="118"/>
      <c r="AT915" s="401"/>
      <c r="AU915" s="118"/>
      <c r="AV915" s="118"/>
      <c r="AW915" s="118"/>
      <c r="AX915" s="118"/>
      <c r="AY915" s="401"/>
      <c r="AZ915" s="118"/>
      <c r="BA915" s="118"/>
      <c r="BB915" s="118"/>
      <c r="BC915" s="118"/>
      <c r="BD915" s="401"/>
      <c r="BE915" s="118"/>
      <c r="BF915" s="118"/>
      <c r="BG915" s="118"/>
      <c r="BH915" s="118"/>
      <c r="BI915" s="401"/>
      <c r="BJ915" s="971"/>
      <c r="BK915" s="118">
        <f>BK931*(1-BK932)</f>
        <v>94.525000000000006</v>
      </c>
      <c r="BL915" s="118">
        <f>BL931*(1-BL932)</f>
        <v>94.525000000000006</v>
      </c>
      <c r="BM915" s="118">
        <f>BM931*(1-BM932)</f>
        <v>94.525000000000006</v>
      </c>
      <c r="BN915" s="401" t="str">
        <f>IF(OR(ISBLANK(BJ915),ISBLANK(BK915),ISBLANK(BL915),ISBLANK(BM915)),"n/a",SUM(BJ915,BK915,BL915,BM915))</f>
        <v>n/a</v>
      </c>
      <c r="BO915" s="118">
        <f>BO931*(1-BO932)</f>
        <v>94.525000000000006</v>
      </c>
      <c r="BP915" s="118">
        <f>BP931*(1-BP932)</f>
        <v>94.525000000000006</v>
      </c>
      <c r="BQ915" s="118">
        <f>BQ931*(1-BQ932)</f>
        <v>94.525000000000006</v>
      </c>
      <c r="BR915" s="118">
        <f>BR931*(1-BR932)</f>
        <v>94.525000000000006</v>
      </c>
      <c r="BS915" s="401">
        <f>IF(OR(ISBLANK(BO915),ISBLANK(BP915),ISBLANK(BQ915),ISBLANK(BR915)),"n/a",SUM(BO915,BP915,BQ915,BR915))</f>
        <v>378.1</v>
      </c>
      <c r="BT915" s="401">
        <f>BT931*(1-BT932)</f>
        <v>378.1</v>
      </c>
      <c r="BU915" s="401">
        <f>BU931*(1-BU932)</f>
        <v>378.1</v>
      </c>
      <c r="BV915" s="401">
        <f>BV931*(1-BV932)</f>
        <v>378.1</v>
      </c>
      <c r="BW915" s="122"/>
    </row>
    <row r="916" spans="1:75" s="123" customFormat="1" x14ac:dyDescent="0.5">
      <c r="A916" s="184" t="s">
        <v>1454</v>
      </c>
      <c r="B916" s="513"/>
      <c r="C916" s="401"/>
      <c r="D916" s="401"/>
      <c r="E916" s="401"/>
      <c r="F916" s="401"/>
      <c r="G916" s="118"/>
      <c r="H916" s="118"/>
      <c r="I916" s="118"/>
      <c r="J916" s="118"/>
      <c r="K916" s="674">
        <f t="shared" ref="K916:BM916" si="790">ROUND(K917-K915-K914-K913,6)</f>
        <v>16.27</v>
      </c>
      <c r="L916" s="122">
        <f t="shared" si="790"/>
        <v>14.042999999999999</v>
      </c>
      <c r="M916" s="122">
        <f t="shared" si="790"/>
        <v>16.402000000000001</v>
      </c>
      <c r="N916" s="122">
        <f t="shared" si="790"/>
        <v>11.183999999999999</v>
      </c>
      <c r="O916" s="122">
        <f t="shared" si="790"/>
        <v>17.945</v>
      </c>
      <c r="P916" s="674">
        <f t="shared" si="790"/>
        <v>59.573999999999998</v>
      </c>
      <c r="Q916" s="122">
        <f t="shared" si="790"/>
        <v>20.838000000000001</v>
      </c>
      <c r="R916" s="122">
        <f t="shared" si="790"/>
        <v>8.548</v>
      </c>
      <c r="S916" s="122">
        <f t="shared" si="790"/>
        <v>21.274000000000001</v>
      </c>
      <c r="T916" s="122">
        <f t="shared" si="790"/>
        <v>32.581000000000003</v>
      </c>
      <c r="U916" s="674">
        <f t="shared" si="790"/>
        <v>83.241</v>
      </c>
      <c r="V916" s="122">
        <f t="shared" si="790"/>
        <v>60.569000000000003</v>
      </c>
      <c r="W916" s="122">
        <f t="shared" si="790"/>
        <v>28.948</v>
      </c>
      <c r="X916" s="122">
        <f t="shared" si="790"/>
        <v>47.343000000000004</v>
      </c>
      <c r="Y916" s="122">
        <f t="shared" si="790"/>
        <v>44.768999999999998</v>
      </c>
      <c r="Z916" s="674">
        <f t="shared" si="790"/>
        <v>181.62899999999999</v>
      </c>
      <c r="AA916" s="122">
        <f t="shared" si="790"/>
        <v>44.061</v>
      </c>
      <c r="AB916" s="122">
        <f t="shared" si="790"/>
        <v>51.052999999999997</v>
      </c>
      <c r="AC916" s="122">
        <f t="shared" si="790"/>
        <v>46.104999999999997</v>
      </c>
      <c r="AD916" s="122">
        <f t="shared" si="790"/>
        <v>66.468000000000004</v>
      </c>
      <c r="AE916" s="674">
        <f t="shared" si="790"/>
        <v>207.68700000000001</v>
      </c>
      <c r="AF916" s="122">
        <f t="shared" si="790"/>
        <v>68.867999999999995</v>
      </c>
      <c r="AG916" s="122">
        <f t="shared" si="790"/>
        <v>92.712999999999994</v>
      </c>
      <c r="AH916" s="122">
        <f t="shared" si="790"/>
        <v>73.638999999999996</v>
      </c>
      <c r="AI916" s="122">
        <f t="shared" si="790"/>
        <v>133.21600000000001</v>
      </c>
      <c r="AJ916" s="674">
        <f t="shared" si="790"/>
        <v>368.43599999999998</v>
      </c>
      <c r="AK916" s="122">
        <f t="shared" si="790"/>
        <v>-137.029</v>
      </c>
      <c r="AL916" s="122">
        <f t="shared" si="790"/>
        <v>94.144000000000005</v>
      </c>
      <c r="AM916" s="122">
        <f t="shared" si="790"/>
        <v>116.664</v>
      </c>
      <c r="AN916" s="122">
        <f t="shared" si="790"/>
        <v>135.38800000000001</v>
      </c>
      <c r="AO916" s="674">
        <f t="shared" si="790"/>
        <v>209.167</v>
      </c>
      <c r="AP916" s="122">
        <f t="shared" si="790"/>
        <v>103.072</v>
      </c>
      <c r="AQ916" s="122">
        <f t="shared" si="790"/>
        <v>74.94</v>
      </c>
      <c r="AR916" s="122">
        <f t="shared" si="790"/>
        <v>86.801000000000002</v>
      </c>
      <c r="AS916" s="122">
        <f t="shared" si="790"/>
        <v>79.149000000000001</v>
      </c>
      <c r="AT916" s="674">
        <f t="shared" si="790"/>
        <v>343.96199999999999</v>
      </c>
      <c r="AU916" s="122">
        <f t="shared" si="790"/>
        <v>60.933520000000001</v>
      </c>
      <c r="AV916" s="122">
        <f t="shared" si="790"/>
        <v>76.482195000000004</v>
      </c>
      <c r="AW916" s="122">
        <f t="shared" si="790"/>
        <v>71.347415999999996</v>
      </c>
      <c r="AX916" s="122">
        <f t="shared" si="790"/>
        <v>102.930869</v>
      </c>
      <c r="AY916" s="674">
        <f t="shared" si="790"/>
        <v>311.69400000000002</v>
      </c>
      <c r="AZ916" s="122">
        <f t="shared" si="790"/>
        <v>108.768658</v>
      </c>
      <c r="BA916" s="122">
        <f t="shared" si="790"/>
        <v>122.766088</v>
      </c>
      <c r="BB916" s="122">
        <f t="shared" si="790"/>
        <v>126.76351699999999</v>
      </c>
      <c r="BC916" s="122">
        <f t="shared" si="790"/>
        <v>111.70173699999999</v>
      </c>
      <c r="BD916" s="674">
        <f t="shared" si="790"/>
        <v>470</v>
      </c>
      <c r="BE916" s="122">
        <f t="shared" si="790"/>
        <v>91.783452999999994</v>
      </c>
      <c r="BF916" s="122">
        <f t="shared" si="790"/>
        <v>98.781047000000001</v>
      </c>
      <c r="BG916" s="122">
        <f t="shared" si="790"/>
        <v>97.778639999999996</v>
      </c>
      <c r="BH916" s="122">
        <f t="shared" si="790"/>
        <v>101.65685999999999</v>
      </c>
      <c r="BI916" s="674">
        <f t="shared" si="790"/>
        <v>390</v>
      </c>
      <c r="BJ916" s="1274">
        <f>ROUND(BJ917-BJ915-BJ914-BJ913,6)</f>
        <v>69.762657000000004</v>
      </c>
      <c r="BK916" s="118">
        <f t="shared" si="790"/>
        <v>0</v>
      </c>
      <c r="BL916" s="118">
        <f t="shared" si="790"/>
        <v>0</v>
      </c>
      <c r="BM916" s="118">
        <f t="shared" si="790"/>
        <v>0</v>
      </c>
      <c r="BN916" s="401">
        <f>ROUND(BN917-BN913-IF(ISNUMBER(BN915),BN915,0)-IF(ISNUMBER(BN914),BN914,0),6)</f>
        <v>353.33765699999998</v>
      </c>
      <c r="BO916" s="118">
        <f>ROUND(BO917-BO915-BO914-BO913,6)</f>
        <v>0</v>
      </c>
      <c r="BP916" s="118">
        <f>ROUND(BP917-BP915-BP914-BP913,6)</f>
        <v>0</v>
      </c>
      <c r="BQ916" s="118">
        <f>ROUND(BQ917-BQ915-BQ914-BQ913,6)</f>
        <v>0</v>
      </c>
      <c r="BR916" s="118">
        <f>ROUND(BR917-BR915-BR914-BR913,6)</f>
        <v>0</v>
      </c>
      <c r="BS916" s="401">
        <f>ROUND(BS917-BS913-IF(ISNUMBER(BS915),BS915,0)-IF(ISNUMBER(BS914),BS914,0),6)</f>
        <v>0</v>
      </c>
      <c r="BT916" s="401">
        <f>ROUND(BT917-BT915-BT914-BT913,6)</f>
        <v>0</v>
      </c>
      <c r="BU916" s="401">
        <f>ROUND(BU917-BU915-BU914-BU913,6)</f>
        <v>0</v>
      </c>
      <c r="BV916" s="401">
        <f>ROUND(BV917-BV915-BV914-BV913,6)</f>
        <v>0</v>
      </c>
      <c r="BW916" s="122"/>
    </row>
    <row r="917" spans="1:75" s="198" customFormat="1" ht="14.25" x14ac:dyDescent="0.45">
      <c r="A917" s="516" t="s">
        <v>1455</v>
      </c>
      <c r="B917" s="517"/>
      <c r="C917" s="518"/>
      <c r="D917" s="518"/>
      <c r="E917" s="518"/>
      <c r="F917" s="519">
        <f>F946</f>
        <v>18.37</v>
      </c>
      <c r="G917" s="327"/>
      <c r="H917" s="327"/>
      <c r="I917" s="327"/>
      <c r="J917" s="520">
        <f>J946</f>
        <v>22.088000000000001</v>
      </c>
      <c r="K917" s="519">
        <f>K946</f>
        <v>22.088000000000001</v>
      </c>
      <c r="L917" s="520">
        <f>L946</f>
        <v>32.182000000000002</v>
      </c>
      <c r="M917" s="520">
        <f>M946</f>
        <v>44.140999999999998</v>
      </c>
      <c r="N917" s="520">
        <f>N946</f>
        <v>50.027000000000001</v>
      </c>
      <c r="O917" s="520">
        <f t="shared" ref="O917:BV917" si="791">O946</f>
        <v>60.639000000000003</v>
      </c>
      <c r="P917" s="519">
        <f t="shared" si="791"/>
        <v>60.639000000000003</v>
      </c>
      <c r="Q917" s="520">
        <f t="shared" si="791"/>
        <v>74.983000000000004</v>
      </c>
      <c r="R917" s="520">
        <f t="shared" si="791"/>
        <v>76.367000000000004</v>
      </c>
      <c r="S917" s="520">
        <f t="shared" si="791"/>
        <v>88.641999999999996</v>
      </c>
      <c r="T917" s="520">
        <f t="shared" si="791"/>
        <v>112.325</v>
      </c>
      <c r="U917" s="519">
        <f t="shared" si="791"/>
        <v>112.325</v>
      </c>
      <c r="V917" s="520">
        <f t="shared" si="791"/>
        <v>162.59399999999999</v>
      </c>
      <c r="W917" s="520">
        <f t="shared" si="791"/>
        <v>179.142</v>
      </c>
      <c r="X917" s="520">
        <f t="shared" si="791"/>
        <v>211.285</v>
      </c>
      <c r="Y917" s="520">
        <f t="shared" si="791"/>
        <v>239.35400000000001</v>
      </c>
      <c r="Z917" s="519">
        <f t="shared" si="791"/>
        <v>239.35400000000001</v>
      </c>
      <c r="AA917" s="520">
        <f t="shared" si="791"/>
        <v>263.315</v>
      </c>
      <c r="AB917" s="520">
        <f t="shared" si="791"/>
        <v>295.36799999999999</v>
      </c>
      <c r="AC917" s="520">
        <f t="shared" si="791"/>
        <v>318.87299999999999</v>
      </c>
      <c r="AD917" s="520">
        <f t="shared" si="791"/>
        <v>361.14100000000002</v>
      </c>
      <c r="AE917" s="519">
        <f t="shared" si="791"/>
        <v>361.14100000000002</v>
      </c>
      <c r="AF917" s="520">
        <f t="shared" si="791"/>
        <v>404.30900000000003</v>
      </c>
      <c r="AG917" s="520">
        <f t="shared" si="791"/>
        <v>468.42200000000003</v>
      </c>
      <c r="AH917" s="520">
        <f t="shared" si="791"/>
        <v>509.661</v>
      </c>
      <c r="AI917" s="520">
        <f t="shared" si="791"/>
        <v>606.97699999999998</v>
      </c>
      <c r="AJ917" s="519">
        <f t="shared" si="791"/>
        <v>606.97699999999998</v>
      </c>
      <c r="AK917" s="520">
        <f t="shared" si="791"/>
        <v>430.548</v>
      </c>
      <c r="AL917" s="520">
        <f t="shared" si="791"/>
        <v>480.49200000000002</v>
      </c>
      <c r="AM917" s="520">
        <f t="shared" si="791"/>
        <v>547.05600000000004</v>
      </c>
      <c r="AN917" s="520">
        <f t="shared" si="791"/>
        <v>624.54399999999998</v>
      </c>
      <c r="AO917" s="519">
        <f t="shared" si="791"/>
        <v>624.54399999999998</v>
      </c>
      <c r="AP917" s="520">
        <f t="shared" si="791"/>
        <v>661.21600000000001</v>
      </c>
      <c r="AQ917" s="520">
        <f t="shared" si="791"/>
        <v>667.45600000000002</v>
      </c>
      <c r="AR917" s="520">
        <f t="shared" si="791"/>
        <v>682.05700000000002</v>
      </c>
      <c r="AS917" s="520">
        <f t="shared" si="791"/>
        <v>684.30600000000004</v>
      </c>
      <c r="AT917" s="519">
        <f t="shared" si="791"/>
        <v>684.30600000000004</v>
      </c>
      <c r="AU917" s="520">
        <f t="shared" si="791"/>
        <v>665.17700000000002</v>
      </c>
      <c r="AV917" s="520">
        <f t="shared" si="791"/>
        <v>663.98699999999997</v>
      </c>
      <c r="AW917" s="520">
        <f t="shared" si="791"/>
        <v>653.673</v>
      </c>
      <c r="AX917" s="520">
        <f t="shared" si="791"/>
        <v>674</v>
      </c>
      <c r="AY917" s="519">
        <f t="shared" si="791"/>
        <v>674</v>
      </c>
      <c r="AZ917" s="520">
        <f t="shared" si="791"/>
        <v>698</v>
      </c>
      <c r="BA917" s="520">
        <f t="shared" si="791"/>
        <v>730</v>
      </c>
      <c r="BB917" s="520">
        <f t="shared" si="791"/>
        <v>763</v>
      </c>
      <c r="BC917" s="520">
        <f t="shared" si="791"/>
        <v>774</v>
      </c>
      <c r="BD917" s="519">
        <f t="shared" si="791"/>
        <v>774</v>
      </c>
      <c r="BE917" s="520">
        <f t="shared" si="791"/>
        <v>762</v>
      </c>
      <c r="BF917" s="520">
        <f t="shared" si="791"/>
        <v>759</v>
      </c>
      <c r="BG917" s="520">
        <f t="shared" si="791"/>
        <v>751</v>
      </c>
      <c r="BH917" s="520">
        <f t="shared" si="791"/>
        <v>748</v>
      </c>
      <c r="BI917" s="519">
        <f t="shared" si="791"/>
        <v>748</v>
      </c>
      <c r="BJ917" s="1270">
        <f>BJ946</f>
        <v>714</v>
      </c>
      <c r="BK917" s="327">
        <f t="shared" si="791"/>
        <v>703.78549180327866</v>
      </c>
      <c r="BL917" s="327">
        <f t="shared" si="791"/>
        <v>701.01118610588549</v>
      </c>
      <c r="BM917" s="327">
        <f t="shared" si="791"/>
        <v>698.62043196119203</v>
      </c>
      <c r="BN917" s="518">
        <f t="shared" si="791"/>
        <v>698.62043196119203</v>
      </c>
      <c r="BO917" s="327">
        <f t="shared" si="791"/>
        <v>698.40101721577003</v>
      </c>
      <c r="BP917" s="327">
        <f t="shared" si="791"/>
        <v>697.15897362221028</v>
      </c>
      <c r="BQ917" s="327">
        <f t="shared" si="791"/>
        <v>695.03672960773395</v>
      </c>
      <c r="BR917" s="327">
        <f t="shared" si="791"/>
        <v>693.20869257170284</v>
      </c>
      <c r="BS917" s="518">
        <f t="shared" si="791"/>
        <v>693.20869257170284</v>
      </c>
      <c r="BT917" s="518">
        <f t="shared" si="791"/>
        <v>682.33741069368216</v>
      </c>
      <c r="BU917" s="518">
        <f t="shared" si="791"/>
        <v>677.56619145634113</v>
      </c>
      <c r="BV917" s="518">
        <f t="shared" si="791"/>
        <v>675.47218513158577</v>
      </c>
      <c r="BW917" s="197"/>
    </row>
    <row r="918" spans="1:75" s="123" customFormat="1" x14ac:dyDescent="0.5">
      <c r="A918" s="184"/>
      <c r="B918" s="522"/>
      <c r="C918" s="397"/>
      <c r="D918" s="397"/>
      <c r="E918" s="397"/>
      <c r="F918" s="397"/>
      <c r="G918" s="295"/>
      <c r="H918" s="295"/>
      <c r="I918" s="295"/>
      <c r="J918" s="295"/>
      <c r="K918" s="397"/>
      <c r="L918" s="295"/>
      <c r="M918" s="295"/>
      <c r="N918" s="295"/>
      <c r="O918" s="295"/>
      <c r="P918" s="397"/>
      <c r="Q918" s="295"/>
      <c r="R918" s="295"/>
      <c r="S918" s="295"/>
      <c r="T918" s="295"/>
      <c r="U918" s="397"/>
      <c r="V918" s="295"/>
      <c r="W918" s="295"/>
      <c r="X918" s="295"/>
      <c r="Y918" s="295"/>
      <c r="Z918" s="397"/>
      <c r="AA918" s="295"/>
      <c r="AB918" s="295"/>
      <c r="AC918" s="295"/>
      <c r="AD918" s="295"/>
      <c r="AE918" s="397"/>
      <c r="AF918" s="295"/>
      <c r="AG918" s="295"/>
      <c r="AH918" s="295"/>
      <c r="AI918" s="295"/>
      <c r="AJ918" s="397"/>
      <c r="AK918" s="295"/>
      <c r="AL918" s="295"/>
      <c r="AM918" s="295"/>
      <c r="AN918" s="295"/>
      <c r="AO918" s="397"/>
      <c r="AP918" s="295"/>
      <c r="AQ918" s="295"/>
      <c r="AR918" s="295"/>
      <c r="AS918" s="295"/>
      <c r="AT918" s="397"/>
      <c r="AU918" s="295"/>
      <c r="AV918" s="295"/>
      <c r="AW918" s="295"/>
      <c r="AX918" s="295"/>
      <c r="AY918" s="397"/>
      <c r="AZ918" s="295"/>
      <c r="BA918" s="295"/>
      <c r="BB918" s="295"/>
      <c r="BC918" s="295"/>
      <c r="BD918" s="397"/>
      <c r="BE918" s="295"/>
      <c r="BF918" s="295"/>
      <c r="BG918" s="295"/>
      <c r="BH918" s="295"/>
      <c r="BI918" s="397"/>
      <c r="BJ918" s="1030"/>
      <c r="BK918" s="295"/>
      <c r="BL918" s="295"/>
      <c r="BM918" s="295"/>
      <c r="BN918" s="397"/>
      <c r="BO918" s="295"/>
      <c r="BP918" s="295"/>
      <c r="BQ918" s="295"/>
      <c r="BR918" s="295"/>
      <c r="BS918" s="397"/>
      <c r="BT918" s="397"/>
      <c r="BU918" s="397"/>
      <c r="BV918" s="397"/>
      <c r="BW918" s="197"/>
    </row>
    <row r="919" spans="1:75" s="198" customFormat="1" ht="14.25" x14ac:dyDescent="0.45">
      <c r="A919" s="463" t="s">
        <v>1456</v>
      </c>
      <c r="B919" s="522"/>
      <c r="C919" s="397"/>
      <c r="D919" s="397"/>
      <c r="E919" s="397"/>
      <c r="F919" s="397"/>
      <c r="G919" s="295"/>
      <c r="H919" s="295"/>
      <c r="I919" s="295"/>
      <c r="J919" s="295"/>
      <c r="K919" s="672">
        <f>F923</f>
        <v>0.78</v>
      </c>
      <c r="L919" s="197">
        <f>K923</f>
        <v>3.919</v>
      </c>
      <c r="M919" s="197">
        <f>L923</f>
        <v>3.661</v>
      </c>
      <c r="N919" s="197">
        <f>M923</f>
        <v>3.4159999999999999</v>
      </c>
      <c r="O919" s="197">
        <f>N923</f>
        <v>3.0990000000000002</v>
      </c>
      <c r="P919" s="672">
        <f>K923</f>
        <v>3.919</v>
      </c>
      <c r="Q919" s="197">
        <f>P923</f>
        <v>2.8540000000000001</v>
      </c>
      <c r="R919" s="197">
        <f>Q923</f>
        <v>2.589</v>
      </c>
      <c r="S919" s="197">
        <f>R923</f>
        <v>2.3519999999999999</v>
      </c>
      <c r="T919" s="197">
        <f>S923</f>
        <v>1.9750000000000001</v>
      </c>
      <c r="U919" s="672">
        <f>P923</f>
        <v>2.8540000000000001</v>
      </c>
      <c r="V919" s="197">
        <f>U923</f>
        <v>1.778</v>
      </c>
      <c r="W919" s="197">
        <f>V923</f>
        <v>1.581</v>
      </c>
      <c r="X919" s="197">
        <f>W923</f>
        <v>1.385</v>
      </c>
      <c r="Y919" s="197">
        <f>X923</f>
        <v>2.6059999999999999</v>
      </c>
      <c r="Z919" s="672">
        <f>U923</f>
        <v>1.778</v>
      </c>
      <c r="AA919" s="197">
        <f>Z923</f>
        <v>2.306</v>
      </c>
      <c r="AB919" s="197">
        <f>AA923</f>
        <v>2.0249999999999999</v>
      </c>
      <c r="AC919" s="197">
        <f>AB923</f>
        <v>1.744</v>
      </c>
      <c r="AD919" s="197">
        <f>AC923</f>
        <v>1.462</v>
      </c>
      <c r="AE919" s="672">
        <f>Z923</f>
        <v>2.306</v>
      </c>
      <c r="AF919" s="197">
        <f>AE923</f>
        <v>1.181</v>
      </c>
      <c r="AG919" s="197">
        <f>AF923</f>
        <v>1.119</v>
      </c>
      <c r="AH919" s="197">
        <f>AG923</f>
        <v>0.81899999999999995</v>
      </c>
      <c r="AI919" s="197">
        <f>AH923</f>
        <v>0.625</v>
      </c>
      <c r="AJ919" s="672">
        <f>AE923</f>
        <v>1.181</v>
      </c>
      <c r="AK919" s="197">
        <f>AJ923</f>
        <v>0.48599999999999999</v>
      </c>
      <c r="AL919" s="197">
        <f>AK923</f>
        <v>0.3</v>
      </c>
      <c r="AM919" s="197">
        <f>AL923</f>
        <v>0.2</v>
      </c>
      <c r="AN919" s="197">
        <f>AM923</f>
        <v>18.8</v>
      </c>
      <c r="AO919" s="672">
        <f>AJ923</f>
        <v>0.48599999999999999</v>
      </c>
      <c r="AP919" s="197">
        <f>AO923</f>
        <v>18.399999999999999</v>
      </c>
      <c r="AQ919" s="197">
        <f>AP923</f>
        <v>18</v>
      </c>
      <c r="AR919" s="197">
        <f>AQ923</f>
        <v>17.600000000000001</v>
      </c>
      <c r="AS919" s="197">
        <f>AR923</f>
        <v>17.2</v>
      </c>
      <c r="AT919" s="672">
        <f>AO923</f>
        <v>18.399999999999999</v>
      </c>
      <c r="AU919" s="197">
        <f>AT923</f>
        <v>16.863000000000003</v>
      </c>
      <c r="AV919" s="197">
        <f>AU923</f>
        <v>16.899999999999999</v>
      </c>
      <c r="AW919" s="197">
        <f>AV923</f>
        <v>16.899999999999999</v>
      </c>
      <c r="AX919" s="197">
        <f>AW923</f>
        <v>16.899999999999999</v>
      </c>
      <c r="AY919" s="672">
        <f>AT923</f>
        <v>16.863000000000003</v>
      </c>
      <c r="AZ919" s="197">
        <f>AY923</f>
        <v>15.636999999999997</v>
      </c>
      <c r="BA919" s="197">
        <f>AZ923</f>
        <v>15.636999999999997</v>
      </c>
      <c r="BB919" s="197">
        <f>BA923</f>
        <v>15.636999999999997</v>
      </c>
      <c r="BC919" s="197">
        <f>BB923</f>
        <v>15.636999999999997</v>
      </c>
      <c r="BD919" s="672">
        <f>AY923</f>
        <v>15.636999999999997</v>
      </c>
      <c r="BE919" s="197">
        <f>BD923</f>
        <v>14.636999999999997</v>
      </c>
      <c r="BF919" s="197">
        <f>BE923</f>
        <v>14.636999999999997</v>
      </c>
      <c r="BG919" s="197">
        <f>BF923</f>
        <v>14.636999999999997</v>
      </c>
      <c r="BH919" s="197">
        <f>BG923</f>
        <v>14.636999999999997</v>
      </c>
      <c r="BI919" s="672">
        <f>BD923</f>
        <v>14.636999999999997</v>
      </c>
      <c r="BJ919" s="1273">
        <f>BI923</f>
        <v>13.636999999999997</v>
      </c>
      <c r="BK919" s="295">
        <f>BJ923</f>
        <v>13.636999999999997</v>
      </c>
      <c r="BL919" s="295">
        <f>BK923</f>
        <v>13.772937978142073</v>
      </c>
      <c r="BM919" s="295">
        <f>BL923</f>
        <v>14.040214979127471</v>
      </c>
      <c r="BN919" s="397">
        <f>BI923</f>
        <v>13.636999999999997</v>
      </c>
      <c r="BO919" s="295">
        <f>BN923</f>
        <v>14.303460917147188</v>
      </c>
      <c r="BP919" s="295">
        <f>BO923</f>
        <v>14.566848070701722</v>
      </c>
      <c r="BQ919" s="295">
        <f>BP923</f>
        <v>14.823943987233143</v>
      </c>
      <c r="BR919" s="295">
        <f>BQ923</f>
        <v>15.074757217891973</v>
      </c>
      <c r="BS919" s="397">
        <f>BN923</f>
        <v>14.303460917147188</v>
      </c>
      <c r="BT919" s="397">
        <f>BS923</f>
        <v>15.321777327911798</v>
      </c>
      <c r="BU919" s="397">
        <f>BT923</f>
        <v>16.271827133581265</v>
      </c>
      <c r="BV919" s="397">
        <f>BU923</f>
        <v>17.162973851299228</v>
      </c>
      <c r="BW919" s="197"/>
    </row>
    <row r="920" spans="1:75" s="123" customFormat="1" x14ac:dyDescent="0.5">
      <c r="A920" s="464" t="s">
        <v>1457</v>
      </c>
      <c r="B920" s="513"/>
      <c r="C920" s="401"/>
      <c r="D920" s="401"/>
      <c r="E920" s="401"/>
      <c r="F920" s="401"/>
      <c r="G920" s="118"/>
      <c r="H920" s="118"/>
      <c r="I920" s="118"/>
      <c r="J920" s="118"/>
      <c r="K920" s="674">
        <f t="shared" ref="K920:AT920" si="792">-K130</f>
        <v>-0.53900000000000003</v>
      </c>
      <c r="L920" s="122">
        <f t="shared" si="792"/>
        <v>-0.249</v>
      </c>
      <c r="M920" s="122">
        <f t="shared" si="792"/>
        <v>-0.25</v>
      </c>
      <c r="N920" s="122">
        <f t="shared" si="792"/>
        <v>-0.249</v>
      </c>
      <c r="O920" s="122">
        <f t="shared" si="792"/>
        <v>-0.23200000000000001</v>
      </c>
      <c r="P920" s="674">
        <f t="shared" si="792"/>
        <v>-0.98</v>
      </c>
      <c r="Q920" s="122">
        <f t="shared" si="792"/>
        <v>-0.25</v>
      </c>
      <c r="R920" s="122">
        <f t="shared" si="792"/>
        <v>-0.23599999999999999</v>
      </c>
      <c r="S920" s="122">
        <f t="shared" si="792"/>
        <v>-0.20799999999999999</v>
      </c>
      <c r="T920" s="122">
        <f t="shared" si="792"/>
        <v>-0.19700000000000001</v>
      </c>
      <c r="U920" s="674">
        <f t="shared" si="792"/>
        <v>-0.89100000000000001</v>
      </c>
      <c r="V920" s="122">
        <f t="shared" si="792"/>
        <v>-0.2</v>
      </c>
      <c r="W920" s="122">
        <f t="shared" si="792"/>
        <v>-0.2</v>
      </c>
      <c r="X920" s="122">
        <f t="shared" si="792"/>
        <v>-0.2</v>
      </c>
      <c r="Y920" s="122">
        <f t="shared" si="792"/>
        <v>-0.29999999999999993</v>
      </c>
      <c r="Z920" s="674">
        <f t="shared" si="792"/>
        <v>-0.9</v>
      </c>
      <c r="AA920" s="122">
        <f t="shared" si="792"/>
        <v>-0.3</v>
      </c>
      <c r="AB920" s="122">
        <f t="shared" si="792"/>
        <v>-0.3</v>
      </c>
      <c r="AC920" s="122">
        <f t="shared" si="792"/>
        <v>-0.3</v>
      </c>
      <c r="AD920" s="122">
        <f t="shared" si="792"/>
        <v>-0.2</v>
      </c>
      <c r="AE920" s="674">
        <f t="shared" si="792"/>
        <v>-1.1000000000000001</v>
      </c>
      <c r="AF920" s="122">
        <f t="shared" si="792"/>
        <v>-0.3</v>
      </c>
      <c r="AG920" s="122">
        <f t="shared" si="792"/>
        <v>-0.3</v>
      </c>
      <c r="AH920" s="122">
        <f t="shared" si="792"/>
        <v>-0.2</v>
      </c>
      <c r="AI920" s="122">
        <f t="shared" si="792"/>
        <v>-9.9999999999999978E-2</v>
      </c>
      <c r="AJ920" s="674">
        <f t="shared" si="792"/>
        <v>-0.9</v>
      </c>
      <c r="AK920" s="122">
        <f t="shared" si="792"/>
        <v>-0.1</v>
      </c>
      <c r="AL920" s="122">
        <f t="shared" si="792"/>
        <v>-0.1</v>
      </c>
      <c r="AM920" s="122">
        <f t="shared" si="792"/>
        <v>-0.1</v>
      </c>
      <c r="AN920" s="122">
        <f t="shared" si="792"/>
        <v>-0.50000000000000011</v>
      </c>
      <c r="AO920" s="674">
        <f t="shared" si="792"/>
        <v>-0.8</v>
      </c>
      <c r="AP920" s="122">
        <f t="shared" si="792"/>
        <v>-0.4</v>
      </c>
      <c r="AQ920" s="122">
        <f t="shared" si="792"/>
        <v>-0.4</v>
      </c>
      <c r="AR920" s="122">
        <f t="shared" si="792"/>
        <v>-0.4</v>
      </c>
      <c r="AS920" s="122">
        <f t="shared" si="792"/>
        <v>-0.30000000000000004</v>
      </c>
      <c r="AT920" s="674">
        <f t="shared" si="792"/>
        <v>-1.5</v>
      </c>
      <c r="AU920" s="122">
        <f>(-AU919*AU926)/(AY3/AU3)</f>
        <v>-0.24948000000000004</v>
      </c>
      <c r="AV920" s="122">
        <f>(-AV919*AV926)/(AY3/AV3)</f>
        <v>-0.25280547945205473</v>
      </c>
      <c r="AW920" s="122">
        <f>(-AW919*AW926)/(AY3/AW3)</f>
        <v>-0.25558356164383556</v>
      </c>
      <c r="AX920" s="122">
        <f>-AX130</f>
        <v>-0.24213095890410968</v>
      </c>
      <c r="AY920" s="674">
        <f>-AY130</f>
        <v>-1</v>
      </c>
      <c r="AZ920" s="122">
        <f>(-AZ919*AZ926)/(BD3/AZ3)</f>
        <v>-0.23134191780821914</v>
      </c>
      <c r="BA920" s="122">
        <f>(-BA919*BA926)/(BD3/BA3)</f>
        <v>-0.23391238356164379</v>
      </c>
      <c r="BB920" s="122">
        <f>(-BB919*BB926)/(BD3/BB3)</f>
        <v>-0.23648284931506844</v>
      </c>
      <c r="BC920" s="122">
        <f>-BC130</f>
        <v>-0.29826284931506863</v>
      </c>
      <c r="BD920" s="674">
        <f>-BD130</f>
        <v>-1</v>
      </c>
      <c r="BE920" s="122">
        <f>(-BE919*BE926)/(BI3/BE3)</f>
        <v>-0.21654739726027392</v>
      </c>
      <c r="BF920" s="122">
        <f>(-BF919*BF926)/(BI3/BF3)</f>
        <v>-0.21895347945205473</v>
      </c>
      <c r="BG920" s="122">
        <f>(-BG919*BG926)/(BI3/BG3)</f>
        <v>-0.22135956164383555</v>
      </c>
      <c r="BH920" s="122">
        <f>-BH130</f>
        <v>-0.34313956164383586</v>
      </c>
      <c r="BI920" s="674">
        <f>-BI130</f>
        <v>-1</v>
      </c>
      <c r="BJ920" s="1274">
        <f>(-BJ919*BJ926)/(BN3/BJ3)</f>
        <v>-0.23734341530054642</v>
      </c>
      <c r="BK920" s="118">
        <f>-BK926*BK919*BK3/BN3</f>
        <v>-0.33906202185792339</v>
      </c>
      <c r="BL920" s="118">
        <f>-BL926*BL919*BL3/BN3</f>
        <v>-0.20772299901460176</v>
      </c>
      <c r="BM920" s="118">
        <f>-BM926*BM919*BM3/BN3</f>
        <v>-0.21175406198028318</v>
      </c>
      <c r="BN920" s="401">
        <f>IF(OR(ISBLANK(BJ920),ISBLANK(BK920),ISBLANK(BL920),ISBLANK(BM920)),"n/a",SUM(BJ920,BK920,BL920,BM920))</f>
        <v>-0.99588249815335472</v>
      </c>
      <c r="BO920" s="118">
        <f>-BO926*BO919*BO3/BS3</f>
        <v>-0.21161284644546524</v>
      </c>
      <c r="BP920" s="118">
        <f>-BP926*BP919*BP3/BS3</f>
        <v>-0.21790408346857917</v>
      </c>
      <c r="BQ920" s="118">
        <f>-BQ926*BQ919*BQ3/BS3</f>
        <v>-0.22418676934116968</v>
      </c>
      <c r="BR920" s="118">
        <f>-BR926*BR919*BR3/BS3</f>
        <v>-0.22797988998017449</v>
      </c>
      <c r="BS920" s="401">
        <f>IF(OR(ISBLANK(BO920),ISBLANK(BP920),ISBLANK(BQ920),ISBLANK(BR920)),"n/a",SUM(BO920,BP920,BQ920,BR920))</f>
        <v>-0.88168358923538859</v>
      </c>
      <c r="BT920" s="401">
        <f>-BT926*BT919</f>
        <v>-0.94995019433053152</v>
      </c>
      <c r="BU920" s="401">
        <f>-BU926*BU919</f>
        <v>-1.0088532822820384</v>
      </c>
      <c r="BV920" s="401">
        <f>-BV926*BV919</f>
        <v>-1.0641043787805522</v>
      </c>
      <c r="BW920" s="122"/>
    </row>
    <row r="921" spans="1:75" s="123" customFormat="1" x14ac:dyDescent="0.5">
      <c r="A921" s="464" t="s">
        <v>1458</v>
      </c>
      <c r="B921" s="513"/>
      <c r="C921" s="401"/>
      <c r="D921" s="401"/>
      <c r="E921" s="401"/>
      <c r="F921" s="401"/>
      <c r="G921" s="118"/>
      <c r="H921" s="118"/>
      <c r="I921" s="118"/>
      <c r="J921" s="118"/>
      <c r="K921" s="401"/>
      <c r="L921" s="118"/>
      <c r="M921" s="118"/>
      <c r="N921" s="118"/>
      <c r="O921" s="118"/>
      <c r="P921" s="401"/>
      <c r="Q921" s="118"/>
      <c r="R921" s="118"/>
      <c r="S921" s="118"/>
      <c r="T921" s="118"/>
      <c r="U921" s="401"/>
      <c r="V921" s="118"/>
      <c r="W921" s="118"/>
      <c r="X921" s="118"/>
      <c r="Y921" s="118"/>
      <c r="Z921" s="401"/>
      <c r="AA921" s="118"/>
      <c r="AB921" s="118"/>
      <c r="AC921" s="118"/>
      <c r="AD921" s="118"/>
      <c r="AE921" s="401"/>
      <c r="AF921" s="118"/>
      <c r="AG921" s="118"/>
      <c r="AH921" s="118"/>
      <c r="AI921" s="118"/>
      <c r="AJ921" s="401"/>
      <c r="AK921" s="118"/>
      <c r="AL921" s="118"/>
      <c r="AM921" s="118"/>
      <c r="AN921" s="118"/>
      <c r="AO921" s="401"/>
      <c r="AP921" s="118"/>
      <c r="AQ921" s="118"/>
      <c r="AR921" s="118"/>
      <c r="AS921" s="118"/>
      <c r="AT921" s="401"/>
      <c r="AU921" s="118"/>
      <c r="AV921" s="118"/>
      <c r="AW921" s="118"/>
      <c r="AX921" s="118"/>
      <c r="AY921" s="401"/>
      <c r="AZ921" s="118"/>
      <c r="BA921" s="118"/>
      <c r="BB921" s="118"/>
      <c r="BC921" s="118"/>
      <c r="BD921" s="401"/>
      <c r="BE921" s="118"/>
      <c r="BF921" s="118"/>
      <c r="BG921" s="118"/>
      <c r="BH921" s="118"/>
      <c r="BI921" s="401"/>
      <c r="BJ921" s="971"/>
      <c r="BK921" s="118">
        <f>BK931*BK932</f>
        <v>0.47500000000000003</v>
      </c>
      <c r="BL921" s="118">
        <f>BL931*BL932</f>
        <v>0.47500000000000003</v>
      </c>
      <c r="BM921" s="118">
        <f>BM931*BM932</f>
        <v>0.47500000000000003</v>
      </c>
      <c r="BN921" s="401" t="str">
        <f>IF(OR(ISBLANK(BJ921),ISBLANK(BK921),ISBLANK(BL921),ISBLANK(BM921)),"n/a",SUM(BJ921,BK921,BL921,BM921))</f>
        <v>n/a</v>
      </c>
      <c r="BO921" s="118">
        <f>BO931*BO932</f>
        <v>0.47500000000000003</v>
      </c>
      <c r="BP921" s="118">
        <f>BP931*BP932</f>
        <v>0.47500000000000003</v>
      </c>
      <c r="BQ921" s="118">
        <f>BQ931*BQ932</f>
        <v>0.47500000000000003</v>
      </c>
      <c r="BR921" s="118">
        <f>BR931*BR932</f>
        <v>0.47500000000000003</v>
      </c>
      <c r="BS921" s="401">
        <f>IF(OR(ISBLANK(BO921),ISBLANK(BP921),ISBLANK(BQ921),ISBLANK(BR921)),"n/a",SUM(BO921,BP921,BQ921,BR921))</f>
        <v>1.9000000000000001</v>
      </c>
      <c r="BT921" s="401">
        <f>BT931*BT932</f>
        <v>1.9000000000000001</v>
      </c>
      <c r="BU921" s="401">
        <f>BU931*BU932</f>
        <v>1.9000000000000001</v>
      </c>
      <c r="BV921" s="401">
        <f>BV931*BV932</f>
        <v>1.9000000000000001</v>
      </c>
      <c r="BW921" s="122"/>
    </row>
    <row r="922" spans="1:75" s="123" customFormat="1" x14ac:dyDescent="0.5">
      <c r="A922" s="184" t="s">
        <v>1459</v>
      </c>
      <c r="B922" s="513"/>
      <c r="C922" s="401"/>
      <c r="D922" s="401"/>
      <c r="E922" s="401"/>
      <c r="F922" s="401"/>
      <c r="G922" s="118"/>
      <c r="H922" s="118"/>
      <c r="I922" s="118"/>
      <c r="J922" s="118"/>
      <c r="K922" s="674">
        <f t="shared" ref="K922:BM922" si="793">ROUND(K923-K921-K920-K919,6)</f>
        <v>3.6779999999999999</v>
      </c>
      <c r="L922" s="122">
        <f t="shared" si="793"/>
        <v>-8.9999999999999993E-3</v>
      </c>
      <c r="M922" s="122">
        <f t="shared" si="793"/>
        <v>5.0000000000000001E-3</v>
      </c>
      <c r="N922" s="122">
        <f t="shared" si="793"/>
        <v>-6.8000000000000005E-2</v>
      </c>
      <c r="O922" s="122">
        <f t="shared" si="793"/>
        <v>-1.2999999999999999E-2</v>
      </c>
      <c r="P922" s="674">
        <f t="shared" si="793"/>
        <v>-8.5000000000000006E-2</v>
      </c>
      <c r="Q922" s="122">
        <f t="shared" si="793"/>
        <v>-1.4999999999999999E-2</v>
      </c>
      <c r="R922" s="122">
        <f t="shared" si="793"/>
        <v>-1E-3</v>
      </c>
      <c r="S922" s="122">
        <f t="shared" si="793"/>
        <v>-0.16900000000000001</v>
      </c>
      <c r="T922" s="122">
        <f t="shared" si="793"/>
        <v>0</v>
      </c>
      <c r="U922" s="674">
        <f t="shared" si="793"/>
        <v>-0.185</v>
      </c>
      <c r="V922" s="122">
        <f t="shared" si="793"/>
        <v>3.0000000000000001E-3</v>
      </c>
      <c r="W922" s="122">
        <f t="shared" si="793"/>
        <v>4.0000000000000001E-3</v>
      </c>
      <c r="X922" s="122">
        <f t="shared" si="793"/>
        <v>1.421</v>
      </c>
      <c r="Y922" s="122">
        <f t="shared" si="793"/>
        <v>0</v>
      </c>
      <c r="Z922" s="674">
        <f t="shared" si="793"/>
        <v>1.4279999999999999</v>
      </c>
      <c r="AA922" s="122">
        <f t="shared" si="793"/>
        <v>1.9E-2</v>
      </c>
      <c r="AB922" s="122">
        <f t="shared" si="793"/>
        <v>1.9E-2</v>
      </c>
      <c r="AC922" s="122">
        <f t="shared" si="793"/>
        <v>1.7999999999999999E-2</v>
      </c>
      <c r="AD922" s="122">
        <f t="shared" si="793"/>
        <v>-8.1000000000000003E-2</v>
      </c>
      <c r="AE922" s="674">
        <f t="shared" si="793"/>
        <v>-2.5000000000000001E-2</v>
      </c>
      <c r="AF922" s="122">
        <f t="shared" si="793"/>
        <v>0.23799999999999999</v>
      </c>
      <c r="AG922" s="122">
        <f t="shared" si="793"/>
        <v>0</v>
      </c>
      <c r="AH922" s="122">
        <f t="shared" si="793"/>
        <v>6.0000000000000001E-3</v>
      </c>
      <c r="AI922" s="122">
        <f t="shared" si="793"/>
        <v>-3.9E-2</v>
      </c>
      <c r="AJ922" s="674">
        <f t="shared" si="793"/>
        <v>0.20499999999999999</v>
      </c>
      <c r="AK922" s="122">
        <f t="shared" si="793"/>
        <v>-8.5999999999999993E-2</v>
      </c>
      <c r="AL922" s="122">
        <f t="shared" si="793"/>
        <v>0</v>
      </c>
      <c r="AM922" s="122">
        <f t="shared" si="793"/>
        <v>18.7</v>
      </c>
      <c r="AN922" s="122">
        <f t="shared" si="793"/>
        <v>0.1</v>
      </c>
      <c r="AO922" s="674">
        <f t="shared" si="793"/>
        <v>18.713999999999999</v>
      </c>
      <c r="AP922" s="122">
        <f t="shared" si="793"/>
        <v>0</v>
      </c>
      <c r="AQ922" s="122">
        <f t="shared" si="793"/>
        <v>0</v>
      </c>
      <c r="AR922" s="122">
        <f t="shared" si="793"/>
        <v>0</v>
      </c>
      <c r="AS922" s="122">
        <f t="shared" si="793"/>
        <v>-3.6999999999999998E-2</v>
      </c>
      <c r="AT922" s="674">
        <f t="shared" si="793"/>
        <v>-3.6999999999999998E-2</v>
      </c>
      <c r="AU922" s="122">
        <f t="shared" si="793"/>
        <v>0.28648000000000001</v>
      </c>
      <c r="AV922" s="122">
        <f t="shared" si="793"/>
        <v>0.252805</v>
      </c>
      <c r="AW922" s="122">
        <f t="shared" si="793"/>
        <v>0.25558399999999998</v>
      </c>
      <c r="AX922" s="122">
        <f t="shared" si="793"/>
        <v>-1.020869</v>
      </c>
      <c r="AY922" s="674">
        <f t="shared" si="793"/>
        <v>-0.22600000000000001</v>
      </c>
      <c r="AZ922" s="122">
        <f t="shared" si="793"/>
        <v>0.23134199999999999</v>
      </c>
      <c r="BA922" s="122">
        <f t="shared" si="793"/>
        <v>0.23391200000000001</v>
      </c>
      <c r="BB922" s="122">
        <f t="shared" si="793"/>
        <v>0.236483</v>
      </c>
      <c r="BC922" s="122">
        <f t="shared" si="793"/>
        <v>-0.70173700000000006</v>
      </c>
      <c r="BD922" s="674">
        <f t="shared" si="793"/>
        <v>0</v>
      </c>
      <c r="BE922" s="122">
        <f t="shared" si="793"/>
        <v>0.21654699999999999</v>
      </c>
      <c r="BF922" s="122">
        <f t="shared" si="793"/>
        <v>0.21895300000000001</v>
      </c>
      <c r="BG922" s="122">
        <f t="shared" si="793"/>
        <v>0.22136</v>
      </c>
      <c r="BH922" s="122">
        <f t="shared" si="793"/>
        <v>-0.65686</v>
      </c>
      <c r="BI922" s="674">
        <f t="shared" si="793"/>
        <v>0</v>
      </c>
      <c r="BJ922" s="1274">
        <f>ROUND(BJ923-BJ921-BJ920-BJ919,6)</f>
        <v>0.237343</v>
      </c>
      <c r="BK922" s="118">
        <f t="shared" si="793"/>
        <v>0</v>
      </c>
      <c r="BL922" s="118">
        <f t="shared" si="793"/>
        <v>0</v>
      </c>
      <c r="BM922" s="118">
        <f t="shared" si="793"/>
        <v>0</v>
      </c>
      <c r="BN922" s="401">
        <f>ROUND(BN923-BN919-IF(ISNUMBER(BN921),BN921,0)-IF(ISNUMBER(BN920),BN920,0),6)</f>
        <v>1.6623429999999999</v>
      </c>
      <c r="BO922" s="118">
        <f>ROUND(BO923-BO921-BO920-BO919,6)</f>
        <v>0</v>
      </c>
      <c r="BP922" s="118">
        <f>ROUND(BP923-BP921-BP920-BP919,6)</f>
        <v>0</v>
      </c>
      <c r="BQ922" s="118">
        <f>ROUND(BQ923-BQ921-BQ920-BQ919,6)</f>
        <v>0</v>
      </c>
      <c r="BR922" s="118">
        <f>ROUND(BR923-BR921-BR920-BR919,6)</f>
        <v>0</v>
      </c>
      <c r="BS922" s="401">
        <f>ROUND(BS923-BS919-IF(ISNUMBER(BS921),BS921,0)-IF(ISNUMBER(BS920),BS920,0),6)</f>
        <v>0</v>
      </c>
      <c r="BT922" s="401">
        <f>ROUND(BT923-BT921-BT920-BT919,6)</f>
        <v>0</v>
      </c>
      <c r="BU922" s="401">
        <f>ROUND(BU923-BU921-BU920-BU919,6)</f>
        <v>0</v>
      </c>
      <c r="BV922" s="401">
        <f>ROUND(BV923-BV921-BV920-BV919,6)</f>
        <v>0</v>
      </c>
      <c r="BW922" s="122"/>
    </row>
    <row r="923" spans="1:75" s="198" customFormat="1" ht="14.25" x14ac:dyDescent="0.45">
      <c r="A923" s="516" t="s">
        <v>1460</v>
      </c>
      <c r="B923" s="517"/>
      <c r="C923" s="518"/>
      <c r="D923" s="518"/>
      <c r="E923" s="518"/>
      <c r="F923" s="519">
        <f>F947</f>
        <v>0.78</v>
      </c>
      <c r="G923" s="327"/>
      <c r="H923" s="327"/>
      <c r="I923" s="327"/>
      <c r="J923" s="520">
        <f>J947</f>
        <v>3.919</v>
      </c>
      <c r="K923" s="519">
        <f>K947</f>
        <v>3.919</v>
      </c>
      <c r="L923" s="520">
        <f>L947</f>
        <v>3.661</v>
      </c>
      <c r="M923" s="520">
        <f>M947</f>
        <v>3.4159999999999999</v>
      </c>
      <c r="N923" s="520">
        <f>N947</f>
        <v>3.0990000000000002</v>
      </c>
      <c r="O923" s="520">
        <f t="shared" ref="O923:BV923" si="794">O947</f>
        <v>2.8540000000000001</v>
      </c>
      <c r="P923" s="519">
        <f t="shared" si="794"/>
        <v>2.8540000000000001</v>
      </c>
      <c r="Q923" s="520">
        <f t="shared" si="794"/>
        <v>2.589</v>
      </c>
      <c r="R923" s="520">
        <f t="shared" si="794"/>
        <v>2.3519999999999999</v>
      </c>
      <c r="S923" s="520">
        <f t="shared" si="794"/>
        <v>1.9750000000000001</v>
      </c>
      <c r="T923" s="520">
        <f t="shared" si="794"/>
        <v>1.778</v>
      </c>
      <c r="U923" s="519">
        <f t="shared" si="794"/>
        <v>1.778</v>
      </c>
      <c r="V923" s="520">
        <f t="shared" si="794"/>
        <v>1.581</v>
      </c>
      <c r="W923" s="520">
        <f t="shared" si="794"/>
        <v>1.385</v>
      </c>
      <c r="X923" s="520">
        <f t="shared" si="794"/>
        <v>2.6059999999999999</v>
      </c>
      <c r="Y923" s="520">
        <f t="shared" si="794"/>
        <v>2.306</v>
      </c>
      <c r="Z923" s="519">
        <f t="shared" si="794"/>
        <v>2.306</v>
      </c>
      <c r="AA923" s="520">
        <f t="shared" si="794"/>
        <v>2.0249999999999999</v>
      </c>
      <c r="AB923" s="520">
        <f t="shared" si="794"/>
        <v>1.744</v>
      </c>
      <c r="AC923" s="520">
        <f t="shared" si="794"/>
        <v>1.462</v>
      </c>
      <c r="AD923" s="520">
        <f t="shared" si="794"/>
        <v>1.181</v>
      </c>
      <c r="AE923" s="519">
        <f t="shared" si="794"/>
        <v>1.181</v>
      </c>
      <c r="AF923" s="520">
        <f t="shared" si="794"/>
        <v>1.119</v>
      </c>
      <c r="AG923" s="520">
        <f t="shared" si="794"/>
        <v>0.81899999999999995</v>
      </c>
      <c r="AH923" s="520">
        <f t="shared" si="794"/>
        <v>0.625</v>
      </c>
      <c r="AI923" s="520">
        <f t="shared" si="794"/>
        <v>0.48599999999999999</v>
      </c>
      <c r="AJ923" s="519">
        <f t="shared" si="794"/>
        <v>0.48599999999999999</v>
      </c>
      <c r="AK923" s="520">
        <f t="shared" si="794"/>
        <v>0.3</v>
      </c>
      <c r="AL923" s="520">
        <f t="shared" si="794"/>
        <v>0.2</v>
      </c>
      <c r="AM923" s="520">
        <f t="shared" si="794"/>
        <v>18.8</v>
      </c>
      <c r="AN923" s="520">
        <f t="shared" si="794"/>
        <v>18.399999999999999</v>
      </c>
      <c r="AO923" s="519">
        <f t="shared" si="794"/>
        <v>18.399999999999999</v>
      </c>
      <c r="AP923" s="520">
        <f t="shared" si="794"/>
        <v>18</v>
      </c>
      <c r="AQ923" s="520">
        <f t="shared" si="794"/>
        <v>17.600000000000001</v>
      </c>
      <c r="AR923" s="520">
        <f t="shared" si="794"/>
        <v>17.2</v>
      </c>
      <c r="AS923" s="520">
        <f t="shared" si="794"/>
        <v>16.863000000000003</v>
      </c>
      <c r="AT923" s="519">
        <f t="shared" si="794"/>
        <v>16.863000000000003</v>
      </c>
      <c r="AU923" s="520">
        <f t="shared" si="794"/>
        <v>16.899999999999999</v>
      </c>
      <c r="AV923" s="520">
        <f t="shared" si="794"/>
        <v>16.899999999999999</v>
      </c>
      <c r="AW923" s="520">
        <f t="shared" si="794"/>
        <v>16.899999999999999</v>
      </c>
      <c r="AX923" s="520">
        <f t="shared" si="794"/>
        <v>15.636999999999997</v>
      </c>
      <c r="AY923" s="519">
        <f t="shared" si="794"/>
        <v>15.636999999999997</v>
      </c>
      <c r="AZ923" s="520">
        <f t="shared" si="794"/>
        <v>15.636999999999997</v>
      </c>
      <c r="BA923" s="520">
        <f t="shared" si="794"/>
        <v>15.636999999999997</v>
      </c>
      <c r="BB923" s="520">
        <f t="shared" si="794"/>
        <v>15.636999999999997</v>
      </c>
      <c r="BC923" s="520">
        <f t="shared" si="794"/>
        <v>14.636999999999997</v>
      </c>
      <c r="BD923" s="519">
        <f t="shared" si="794"/>
        <v>14.636999999999997</v>
      </c>
      <c r="BE923" s="520">
        <f t="shared" si="794"/>
        <v>14.636999999999997</v>
      </c>
      <c r="BF923" s="520">
        <f t="shared" si="794"/>
        <v>14.636999999999997</v>
      </c>
      <c r="BG923" s="520">
        <f t="shared" si="794"/>
        <v>14.636999999999997</v>
      </c>
      <c r="BH923" s="520">
        <f t="shared" si="794"/>
        <v>13.636999999999997</v>
      </c>
      <c r="BI923" s="519">
        <f t="shared" si="794"/>
        <v>13.636999999999997</v>
      </c>
      <c r="BJ923" s="1270">
        <f>BJ947</f>
        <v>13.636999999999997</v>
      </c>
      <c r="BK923" s="327">
        <f t="shared" si="794"/>
        <v>13.772937978142073</v>
      </c>
      <c r="BL923" s="327">
        <f t="shared" si="794"/>
        <v>14.040214979127471</v>
      </c>
      <c r="BM923" s="327">
        <f t="shared" si="794"/>
        <v>14.303460917147188</v>
      </c>
      <c r="BN923" s="518">
        <f t="shared" si="794"/>
        <v>14.303460917147188</v>
      </c>
      <c r="BO923" s="327">
        <f t="shared" si="794"/>
        <v>14.566848070701722</v>
      </c>
      <c r="BP923" s="327">
        <f t="shared" si="794"/>
        <v>14.823943987233143</v>
      </c>
      <c r="BQ923" s="327">
        <f t="shared" si="794"/>
        <v>15.074757217891973</v>
      </c>
      <c r="BR923" s="327">
        <f t="shared" si="794"/>
        <v>15.321777327911798</v>
      </c>
      <c r="BS923" s="518">
        <f t="shared" si="794"/>
        <v>15.321777327911798</v>
      </c>
      <c r="BT923" s="518">
        <f t="shared" si="794"/>
        <v>16.271827133581265</v>
      </c>
      <c r="BU923" s="518">
        <f t="shared" si="794"/>
        <v>17.162973851299228</v>
      </c>
      <c r="BV923" s="518">
        <f t="shared" si="794"/>
        <v>17.998869472518674</v>
      </c>
      <c r="BW923" s="197"/>
    </row>
    <row r="924" spans="1:75" x14ac:dyDescent="0.5">
      <c r="A924" s="184"/>
      <c r="B924" s="729"/>
      <c r="C924" s="730"/>
      <c r="D924" s="730"/>
      <c r="E924" s="730"/>
      <c r="F924" s="730"/>
      <c r="G924" s="473"/>
      <c r="H924" s="473"/>
      <c r="I924" s="473"/>
      <c r="J924" s="473"/>
      <c r="K924" s="730"/>
      <c r="L924" s="473"/>
      <c r="M924" s="473"/>
      <c r="N924" s="473"/>
      <c r="O924" s="473"/>
      <c r="P924" s="730"/>
      <c r="Q924" s="473"/>
      <c r="R924" s="473"/>
      <c r="S924" s="473"/>
      <c r="T924" s="473"/>
      <c r="U924" s="730"/>
      <c r="V924" s="473"/>
      <c r="W924" s="473"/>
      <c r="X924" s="473"/>
      <c r="Y924" s="473"/>
      <c r="Z924" s="730"/>
      <c r="AA924" s="473"/>
      <c r="AB924" s="473"/>
      <c r="AC924" s="473"/>
      <c r="AD924" s="473"/>
      <c r="AE924" s="730"/>
      <c r="AF924" s="473"/>
      <c r="AG924" s="473"/>
      <c r="AH924" s="473"/>
      <c r="AI924" s="473"/>
      <c r="AJ924" s="730"/>
      <c r="AK924" s="473"/>
      <c r="AL924" s="473"/>
      <c r="AM924" s="473"/>
      <c r="AN924" s="473"/>
      <c r="AO924" s="730"/>
      <c r="AP924" s="473"/>
      <c r="AQ924" s="473"/>
      <c r="AR924" s="473"/>
      <c r="AS924" s="473"/>
      <c r="AT924" s="730"/>
      <c r="AU924" s="473"/>
      <c r="AV924" s="473"/>
      <c r="AW924" s="473"/>
      <c r="AX924" s="473"/>
      <c r="AY924" s="730"/>
      <c r="AZ924" s="473"/>
      <c r="BA924" s="473"/>
      <c r="BB924" s="473"/>
      <c r="BC924" s="473"/>
      <c r="BD924" s="730"/>
      <c r="BE924" s="473"/>
      <c r="BF924" s="473"/>
      <c r="BG924" s="473"/>
      <c r="BH924" s="473"/>
      <c r="BI924" s="730"/>
      <c r="BJ924" s="1246"/>
      <c r="BK924" s="473"/>
      <c r="BL924" s="473"/>
      <c r="BM924" s="473"/>
      <c r="BN924" s="730"/>
      <c r="BO924" s="473"/>
      <c r="BP924" s="473"/>
      <c r="BQ924" s="473"/>
      <c r="BR924" s="473"/>
      <c r="BS924" s="730"/>
      <c r="BT924" s="730"/>
      <c r="BU924" s="730"/>
      <c r="BV924" s="730"/>
      <c r="BW924" s="161"/>
    </row>
    <row r="925" spans="1:75" s="177" customFormat="1" ht="14.25" x14ac:dyDescent="0.45">
      <c r="A925" s="962" t="s">
        <v>1461</v>
      </c>
      <c r="B925" s="660"/>
      <c r="C925" s="417"/>
      <c r="D925" s="417"/>
      <c r="E925" s="417"/>
      <c r="F925" s="417"/>
      <c r="G925" s="378"/>
      <c r="H925" s="378"/>
      <c r="I925" s="378"/>
      <c r="J925" s="378"/>
      <c r="K925" s="417">
        <f>IFERROR(-K914/K913,"n/a")</f>
        <v>0.6832879695155144</v>
      </c>
      <c r="L925" s="378">
        <f>IFERROR(-L914/L913*(P3/L3),"n/a")</f>
        <v>0.72507193448428509</v>
      </c>
      <c r="M925" s="378">
        <f>IFERROR(-M914/M913*(P3/M3),"n/a")</f>
        <v>0.5537512950041692</v>
      </c>
      <c r="N925" s="378">
        <f>IFERROR(-N914/N913*(P3/N3),"n/a")</f>
        <v>0.47618402687829425</v>
      </c>
      <c r="O925" s="378">
        <f>IFERROR(-O914/O913*(P3/O3),"n/a")</f>
        <v>0.58154357516506294</v>
      </c>
      <c r="P925" s="417">
        <f>IFERROR(-P914/P913,"n/a")</f>
        <v>0.95178377399492931</v>
      </c>
      <c r="Q925" s="378">
        <f>IFERROR(-Q914/Q913*(U3/Q3),"n/a")</f>
        <v>0.43432077998940899</v>
      </c>
      <c r="R925" s="378">
        <f>IFERROR(-R914/R913*(U3/R3),"n/a")</f>
        <v>0.38321653274375894</v>
      </c>
      <c r="S925" s="378">
        <f>IFERROR(-S914/S913*(U3/S3),"n/a")</f>
        <v>0.46751285696473716</v>
      </c>
      <c r="T925" s="378">
        <f>IFERROR(-T914/T913*(U3/T3),"n/a")</f>
        <v>0.39825193278679361</v>
      </c>
      <c r="U925" s="417">
        <f>IFERROR(-U914/U913,"n/a")</f>
        <v>0.52037467636339652</v>
      </c>
      <c r="V925" s="378">
        <f>IFERROR(-V914/V913*(Z3/V3),"n/a")</f>
        <v>0.36880813377586136</v>
      </c>
      <c r="W925" s="378">
        <f>IFERROR(-W914/W913*(Z3/W3),"n/a")</f>
        <v>0.30673042961319286</v>
      </c>
      <c r="X925" s="378">
        <f>IFERROR(-X914/X913*(Z3/X3),"n/a")</f>
        <v>0.33755102219128569</v>
      </c>
      <c r="Y925" s="378">
        <f>IFERROR(-Y914/Y913*(Z3/Y3),"n/a")</f>
        <v>0.31444237178095541</v>
      </c>
      <c r="Z925" s="417">
        <f>IFERROR(-Z914/Z913,"n/a")</f>
        <v>0.48608947251279766</v>
      </c>
      <c r="AA925" s="378">
        <f>IFERROR(-AA914/AA913*(AE3/AA3),"n/a")</f>
        <v>0.34056947728747655</v>
      </c>
      <c r="AB925" s="378">
        <f>IFERROR(-AB914/AB913*(AE3/AB3),"n/a")</f>
        <v>0.28942062248178496</v>
      </c>
      <c r="AC925" s="378">
        <f>IFERROR(-AC914/AC913*(AE3/AC3),"n/a")</f>
        <v>0.30356383724120717</v>
      </c>
      <c r="AD925" s="378">
        <f>IFERROR(-AD914/AD913*(AE3/AD3),"n/a")</f>
        <v>0.30109438417557272</v>
      </c>
      <c r="AE925" s="417">
        <f>IFERROR(-AE914/AE913,"n/a")</f>
        <v>0.35888265915756579</v>
      </c>
      <c r="AF925" s="378">
        <f>IFERROR(-AF914/AF913*(AJ3/AF3),"n/a")</f>
        <v>0.2886068814611959</v>
      </c>
      <c r="AG925" s="378">
        <f>IFERROR(-AG914/AG913*(AJ3/AG3),"n/a")</f>
        <v>0.28372924103664698</v>
      </c>
      <c r="AH925" s="378">
        <f>IFERROR(-AH914/AH913*(AJ3/AH3),"n/a")</f>
        <v>0.27441810645287701</v>
      </c>
      <c r="AI925" s="378">
        <f>IFERROR(-AI914/AI913*(AJ3/AI3),"n/a")</f>
        <v>0.27945898906545119</v>
      </c>
      <c r="AJ925" s="417">
        <f>IFERROR(-AJ914/AJ913,"n/a")</f>
        <v>0.33947959384284804</v>
      </c>
      <c r="AK925" s="378">
        <f>IFERROR(-AK914/AK913*(AO3/AK3),"n/a")</f>
        <v>0.26325361403955816</v>
      </c>
      <c r="AL925" s="378">
        <f>IFERROR(-AL914/AL913*(AO3/AL3),"n/a")</f>
        <v>0.41176759452073708</v>
      </c>
      <c r="AM925" s="378">
        <f>IFERROR(-AM914/AM913*(AO3/AM3),"n/a")</f>
        <v>0.4136724531268493</v>
      </c>
      <c r="AN925" s="378">
        <f>IFERROR(-AN914/AN913*(AO3/AN3),"n/a")</f>
        <v>0.4199057436930389</v>
      </c>
      <c r="AO925" s="417">
        <f>IFERROR(-AO914/AO913,"n/a")</f>
        <v>0.31566270221112169</v>
      </c>
      <c r="AP925" s="378">
        <f>IFERROR(-AP914/AP913*(AT3/AP3),"n/a")</f>
        <v>0.42760692706893461</v>
      </c>
      <c r="AQ925" s="378">
        <f>IFERROR(-AQ914/AQ913*(AT3/AQ3),"n/a")</f>
        <v>0.41788143376731679</v>
      </c>
      <c r="AR925" s="378">
        <f>IFERROR(-AR914/AR913*(AT3/AR3),"n/a")</f>
        <v>0.43033613419103089</v>
      </c>
      <c r="AS925" s="378">
        <f>IFERROR(-AS914/AS913*(AT3/AS3),"n/a")</f>
        <v>0.4485376748124647</v>
      </c>
      <c r="AT925" s="417">
        <f>IFERROR(-AT914/AT913,"n/a")</f>
        <v>0.4550520059435364</v>
      </c>
      <c r="AU925" s="378">
        <f>IFERROR(-AU914/AU913*(AY3/AU3),"n/a")</f>
        <v>0.47449240219693778</v>
      </c>
      <c r="AV925" s="378">
        <f>IFERROR(-AV914/AV913*(AY3/AV3),"n/a")</f>
        <v>0.46836002850567393</v>
      </c>
      <c r="AW925" s="378">
        <f>IFERROR(-AW914/AW913*(AY3/AW3),"n/a")</f>
        <v>0.48793544674558526</v>
      </c>
      <c r="AX925" s="378">
        <f>IFERROR(-AX914/AX913*(AY3/AX3),"n/a")</f>
        <v>0.50135445664595357</v>
      </c>
      <c r="AY925" s="417">
        <f>IFERROR(-AY914/AY913,"n/a")</f>
        <v>0.47054972483070434</v>
      </c>
      <c r="AZ925" s="378">
        <f>IFERROR(-AZ914/AZ913*(BD3/AZ3),"n/a")</f>
        <v>0.51006528519617544</v>
      </c>
      <c r="BA925" s="378">
        <f>IFERROR(-BA914/BA913*(BD3/BA3),"n/a")</f>
        <v>0.52157848137535812</v>
      </c>
      <c r="BB925" s="378">
        <f>IFERROR(-BB914/BB913*(BD3/BB3),"n/a")</f>
        <v>0.50958433234067901</v>
      </c>
      <c r="BC925" s="378">
        <f>IFERROR(-BC914/BC913*(BD3/BC3),"n/a")</f>
        <v>0.52362148925864704</v>
      </c>
      <c r="BD925" s="417">
        <f>IFERROR(-BD914/BD913,"n/a")</f>
        <v>0.54896142433234418</v>
      </c>
      <c r="BE925" s="378">
        <f>IFERROR(-BE914/BE913*(BI3/BE3),"n/a")</f>
        <v>0.54379787826586279</v>
      </c>
      <c r="BF925" s="378">
        <f>IFERROR(-BF914/BF913*(BI3/BF3),"n/a")</f>
        <v>0.53575152115600932</v>
      </c>
      <c r="BG925" s="378">
        <f>IFERROR(-BG914/BG913*(BI3/BG3),"n/a")</f>
        <v>0.55291865383513772</v>
      </c>
      <c r="BH925" s="378">
        <f>IFERROR(-BH914/BH913*(BI3/BH3),"n/a")</f>
        <v>0.55288244746135606</v>
      </c>
      <c r="BI925" s="417">
        <f>IFERROR(-BI914/BI913,"n/a")</f>
        <v>0.53746770025839796</v>
      </c>
      <c r="BJ925" s="1130">
        <f>IFERROR(-BJ914/BJ913*(BN3/BJ3),"n/a")</f>
        <v>0.5579293105423988</v>
      </c>
      <c r="BK925" s="766">
        <v>0.59</v>
      </c>
      <c r="BL925" s="766">
        <v>0.55000000000000004</v>
      </c>
      <c r="BM925" s="766">
        <v>0.55000000000000004</v>
      </c>
      <c r="BN925" s="417">
        <f>IFERROR(-BN914/BN913,"n/a")</f>
        <v>0.53839201152875316</v>
      </c>
      <c r="BO925" s="766">
        <v>0.55000000000000004</v>
      </c>
      <c r="BP925" s="766">
        <v>0.55000000000000004</v>
      </c>
      <c r="BQ925" s="766">
        <v>0.55000000000000004</v>
      </c>
      <c r="BR925" s="766">
        <v>0.55000000000000004</v>
      </c>
      <c r="BS925" s="417">
        <f>IFERROR(-BS914/BS913,"n/a")</f>
        <v>0.54895580181198145</v>
      </c>
      <c r="BT925" s="767">
        <v>0.56111714415321901</v>
      </c>
      <c r="BU925" s="767">
        <v>0.56111714415321901</v>
      </c>
      <c r="BV925" s="767">
        <v>0.56111714415321901</v>
      </c>
      <c r="BW925" s="176"/>
    </row>
    <row r="926" spans="1:75" s="177" customFormat="1" ht="14.25" x14ac:dyDescent="0.45">
      <c r="A926" s="962" t="s">
        <v>1462</v>
      </c>
      <c r="B926" s="660"/>
      <c r="C926" s="417"/>
      <c r="D926" s="417"/>
      <c r="E926" s="417"/>
      <c r="F926" s="417"/>
      <c r="G926" s="378"/>
      <c r="H926" s="378"/>
      <c r="I926" s="378"/>
      <c r="J926" s="378"/>
      <c r="K926" s="417">
        <f>IFERROR(-K920/K919,"n/a")</f>
        <v>0.69102564102564101</v>
      </c>
      <c r="L926" s="378">
        <f>IFERROR(-L920/L919*(P3/L3),"n/a")</f>
        <v>0.2576762779620651</v>
      </c>
      <c r="M926" s="378">
        <f>IFERROR(-M920/M919*(P3/M3),"n/a")</f>
        <v>0.2738998232032922</v>
      </c>
      <c r="N926" s="378">
        <f>IFERROR(-N920/N919*(P3/N3),"n/a")</f>
        <v>0.28919216474900722</v>
      </c>
      <c r="O926" s="378">
        <f>IFERROR(-O920/O919*(P3/O3),"n/a")</f>
        <v>0.29701025576272849</v>
      </c>
      <c r="P926" s="417">
        <f>IFERROR(-P920/P919,"n/a")</f>
        <v>0.25006379178361826</v>
      </c>
      <c r="Q926" s="378">
        <f>IFERROR(-Q920/Q919*(U3/Q3),"n/a")</f>
        <v>0.35525188818811798</v>
      </c>
      <c r="R926" s="378">
        <f>IFERROR(-R920/R919*(U3/R3),"n/a")</f>
        <v>0.36562124627014542</v>
      </c>
      <c r="S926" s="378">
        <f>IFERROR(-S920/S919*(U3/S3),"n/a")</f>
        <v>0.35085773439810708</v>
      </c>
      <c r="T926" s="378">
        <f>IFERROR(-T920/T919*(U3/T3),"n/a")</f>
        <v>0.39573472757292238</v>
      </c>
      <c r="U926" s="417">
        <f>IFERROR(-U920/U919,"n/a")</f>
        <v>0.31219341275402945</v>
      </c>
      <c r="V926" s="378">
        <f>IFERROR(-V920/V919*(Z3/V3),"n/a")</f>
        <v>0.45241597547559304</v>
      </c>
      <c r="W926" s="378">
        <f>IFERROR(-W920/W919*(Z3/W3),"n/a")</f>
        <v>0.50878912358988271</v>
      </c>
      <c r="X926" s="378">
        <f>IFERROR(-X920/X919*(Z3/X3),"n/a")</f>
        <v>0.57447810390833465</v>
      </c>
      <c r="Y926" s="378">
        <f>IFERROR(-Y920/Y919*(Z3/Y3),"n/a")</f>
        <v>0.45797323901364739</v>
      </c>
      <c r="Z926" s="417">
        <f>IFERROR(-Z920/Z919,"n/a")</f>
        <v>0.50618672665916764</v>
      </c>
      <c r="AA926" s="378">
        <f>IFERROR(-AA920/AA919*(AE3/AA3),"n/a")</f>
        <v>0.52760913558832023</v>
      </c>
      <c r="AB926" s="378">
        <f>IFERROR(-AB920/AB919*(AE3/AB3),"n/a")</f>
        <v>0.59422059422059414</v>
      </c>
      <c r="AC926" s="378">
        <f>IFERROR(-AC920/AC919*(AE3/AC3),"n/a")</f>
        <v>0.68246410051854811</v>
      </c>
      <c r="AD926" s="378">
        <f>IFERROR(-AD920/AD919*(AE3/AD3),"n/a")</f>
        <v>0.54273478855647417</v>
      </c>
      <c r="AE926" s="417">
        <f>IFERROR(-AE920/AE919,"n/a")</f>
        <v>0.47701647875108416</v>
      </c>
      <c r="AF926" s="378">
        <f>IFERROR(-AF920/AF919*(AJ3/AF3),"n/a")</f>
        <v>1.0302003951453569</v>
      </c>
      <c r="AG926" s="378">
        <f>IFERROR(-AG920/AG919*(AJ3/AG3),"n/a")</f>
        <v>1.075332174527885</v>
      </c>
      <c r="AH926" s="378">
        <f>IFERROR(-AH920/AH919*(AJ3/AH3),"n/a")</f>
        <v>0.96883792535966462</v>
      </c>
      <c r="AI926" s="378">
        <f>IFERROR(-AI920/AI919*(AJ3/AI3),"n/a")</f>
        <v>0.63478260869565206</v>
      </c>
      <c r="AJ926" s="417">
        <f>IFERROR(-AJ920/AJ919,"n/a")</f>
        <v>0.76206604572396275</v>
      </c>
      <c r="AK926" s="378">
        <f>IFERROR(-AK920/AK919*(AO3/AK3),"n/a")</f>
        <v>0.83447645176040242</v>
      </c>
      <c r="AL926" s="378">
        <f>IFERROR(-AL920/AL919*(AO3/AL3),"n/a")</f>
        <v>1.3369963369963371</v>
      </c>
      <c r="AM926" s="378">
        <f>IFERROR(-AM920/AM919*(AO3/AM3),"n/a")</f>
        <v>1.9836956521739131</v>
      </c>
      <c r="AN926" s="378">
        <f>IFERROR(-AN920/AN919*(AO3/AN3),"n/a")</f>
        <v>0.10551572617946348</v>
      </c>
      <c r="AO926" s="417">
        <f>IFERROR(-AO920/AO919,"n/a")</f>
        <v>1.6460905349794239</v>
      </c>
      <c r="AP926" s="378">
        <f>IFERROR(-AP920/AP919*(AT3/AP3),"n/a")</f>
        <v>8.7434304825609183E-2</v>
      </c>
      <c r="AQ926" s="378">
        <f>IFERROR(-AQ920/AQ919*(AT3/AQ3),"n/a")</f>
        <v>8.9377289377289379E-2</v>
      </c>
      <c r="AR926" s="378">
        <f>IFERROR(-AR920/AR919*(AT3/AR3),"n/a")</f>
        <v>9.0415019762845855E-2</v>
      </c>
      <c r="AS926" s="378">
        <f>IFERROR(-AS920/AS919*(AT3/AS3),"n/a")</f>
        <v>6.9388270980788688E-2</v>
      </c>
      <c r="AT926" s="417">
        <f>IFERROR(-AT920/AT919,"n/a")</f>
        <v>8.1521739130434784E-2</v>
      </c>
      <c r="AU926" s="766">
        <v>0.06</v>
      </c>
      <c r="AV926" s="766">
        <v>0.06</v>
      </c>
      <c r="AW926" s="766">
        <v>0.06</v>
      </c>
      <c r="AX926" s="378">
        <f>IFERROR(-AX920/AX919*(AY3/AX3),"n/a")</f>
        <v>5.6841908927193235E-2</v>
      </c>
      <c r="AY926" s="417">
        <f>IFERROR(-AY920/AY919,"n/a")</f>
        <v>5.9301429164442851E-2</v>
      </c>
      <c r="AZ926" s="766">
        <v>0.06</v>
      </c>
      <c r="BA926" s="766">
        <v>0.06</v>
      </c>
      <c r="BB926" s="766">
        <v>0.06</v>
      </c>
      <c r="BC926" s="378">
        <f>IFERROR(-BC920/BC919*(BD3/BC3),"n/a")</f>
        <v>7.5674709649076508E-2</v>
      </c>
      <c r="BD926" s="417">
        <f>IFERROR(-BD920/BD919,"n/a")</f>
        <v>6.3950885719767231E-2</v>
      </c>
      <c r="BE926" s="766">
        <v>0.06</v>
      </c>
      <c r="BF926" s="766">
        <v>0.06</v>
      </c>
      <c r="BG926" s="766">
        <v>0.06</v>
      </c>
      <c r="BH926" s="378">
        <f>IFERROR(-BH920/BH919*(BI3/BH3),"n/a")</f>
        <v>9.3008739020528766E-2</v>
      </c>
      <c r="BI926" s="417">
        <f>IFERROR(-BI920/BI919,"n/a")</f>
        <v>6.8320010931201769E-2</v>
      </c>
      <c r="BJ926" s="1249">
        <v>7.0000000000000007E-2</v>
      </c>
      <c r="BK926" s="766">
        <v>0.1</v>
      </c>
      <c r="BL926" s="766">
        <v>0.06</v>
      </c>
      <c r="BM926" s="766">
        <v>0.06</v>
      </c>
      <c r="BN926" s="417">
        <f>IFERROR(-BN920/BN919,"n/a")</f>
        <v>7.3027975225735495E-2</v>
      </c>
      <c r="BO926" s="766">
        <v>0.06</v>
      </c>
      <c r="BP926" s="766">
        <v>0.06</v>
      </c>
      <c r="BQ926" s="766">
        <v>0.06</v>
      </c>
      <c r="BR926" s="766">
        <v>0.06</v>
      </c>
      <c r="BS926" s="417">
        <f>IFERROR(-BS920/BS919,"n/a")</f>
        <v>6.1641276495425945E-2</v>
      </c>
      <c r="BT926" s="767">
        <v>6.2E-2</v>
      </c>
      <c r="BU926" s="767">
        <v>6.2E-2</v>
      </c>
      <c r="BV926" s="767">
        <v>6.2E-2</v>
      </c>
      <c r="BW926" s="176"/>
    </row>
    <row r="927" spans="1:75" s="198" customFormat="1" ht="14.25" x14ac:dyDescent="0.45">
      <c r="A927" s="463" t="s">
        <v>1463</v>
      </c>
      <c r="B927" s="522"/>
      <c r="C927" s="397"/>
      <c r="D927" s="397"/>
      <c r="E927" s="397"/>
      <c r="F927" s="397"/>
      <c r="G927" s="295"/>
      <c r="H927" s="295"/>
      <c r="I927" s="295"/>
      <c r="J927" s="295"/>
      <c r="K927" s="672">
        <f>IFERROR(-K913/K914,"n/a")</f>
        <v>1.4635117909496496</v>
      </c>
      <c r="L927" s="197">
        <f>IFERROR(-L913/L914*L3/P3,"n/a")</f>
        <v>1.379173503262487</v>
      </c>
      <c r="M927" s="197">
        <f>IFERROR(-M913/M914*M3/P3,"n/a")</f>
        <v>1.8058648512821465</v>
      </c>
      <c r="N927" s="197">
        <f>IFERROR(-N913/N914*N3/P3,"n/a")</f>
        <v>2.1000284418519262</v>
      </c>
      <c r="O927" s="197">
        <f>IFERROR(-O913/O914*O3/P3,"n/a")</f>
        <v>1.7195615990016981</v>
      </c>
      <c r="P927" s="672">
        <f>IFERROR(-P913/P914,"n/a")</f>
        <v>1.050658802264187</v>
      </c>
      <c r="Q927" s="197">
        <f>IFERROR(-Q913/Q914*Q3/U3,"n/a")</f>
        <v>2.3024456716632002</v>
      </c>
      <c r="R927" s="197">
        <f>IFERROR(-R913/R914*R3/U3,"n/a")</f>
        <v>2.6094907566753096</v>
      </c>
      <c r="S927" s="197">
        <f>IFERROR(-S913/S914*S3/U3,"n/a")</f>
        <v>2.138978607973185</v>
      </c>
      <c r="T927" s="197">
        <f>IFERROR(-T913/T914*T3/U3,"n/a")</f>
        <v>2.5109733755777039</v>
      </c>
      <c r="U927" s="672">
        <f>IFERROR(-U913/U914,"n/a")</f>
        <v>1.9216922833148471</v>
      </c>
      <c r="V927" s="197">
        <f>IFERROR(-V913/V914*V3/Z3,"n/a")</f>
        <v>2.7114369462570957</v>
      </c>
      <c r="W927" s="197">
        <f>IFERROR(-W913/W914*W3/Z3,"n/a")</f>
        <v>3.2601916975145424</v>
      </c>
      <c r="X927" s="197">
        <f>IFERROR(-X913/X914*X3/Z3,"n/a")</f>
        <v>2.9625150992234688</v>
      </c>
      <c r="Y927" s="197">
        <f>IFERROR(-Y913/Y914*Y3/Z3,"n/a")</f>
        <v>3.1802329766696098</v>
      </c>
      <c r="Z927" s="672">
        <f>IFERROR(-Z913/Z914,"n/a")</f>
        <v>2.057234432234432</v>
      </c>
      <c r="AA927" s="197">
        <f>IFERROR(-AA913/AA914*AA3/AE3,"n/a")</f>
        <v>2.9362584338581068</v>
      </c>
      <c r="AB927" s="197">
        <f>IFERROR(-AB913/AB914*AB3/AE3,"n/a")</f>
        <v>3.4551788031723141</v>
      </c>
      <c r="AC927" s="197">
        <f>IFERROR(-AC913/AC914*AC3/AE3,"n/a")</f>
        <v>3.2942000242453626</v>
      </c>
      <c r="AD927" s="197">
        <f>IFERROR(-AD913/AD914*AD3/AE3,"n/a")</f>
        <v>3.3212177063285404</v>
      </c>
      <c r="AE927" s="672">
        <f>IFERROR(-AE913/AE914,"n/a")</f>
        <v>2.7864260768335272</v>
      </c>
      <c r="AF927" s="197">
        <f>IFERROR(-AF913/AF914*AF3/AJ3,"n/a")</f>
        <v>3.4649208464367574</v>
      </c>
      <c r="AG927" s="197">
        <f>IFERROR(-AG913/AG914*AG3/AJ3,"n/a")</f>
        <v>3.5244869240348691</v>
      </c>
      <c r="AH927" s="197">
        <f>IFERROR(-AH913/AH914*AH3/AJ3,"n/a")</f>
        <v>3.6440744123118556</v>
      </c>
      <c r="AI927" s="197">
        <f>IFERROR(-AI913/AI914*AI3/AJ3,"n/a")</f>
        <v>3.5783425802266575</v>
      </c>
      <c r="AJ927" s="672">
        <f>IFERROR(-AJ913/AJ914,"n/a")</f>
        <v>2.9456851549755303</v>
      </c>
      <c r="AK927" s="197">
        <f>IFERROR(-AK913/AK914*AK3/AO3,"n/a")</f>
        <v>3.7986183158333908</v>
      </c>
      <c r="AL927" s="197">
        <f>IFERROR(-AL913/AL914*AL3/AO3,"n/a")</f>
        <v>2.4285543916196617</v>
      </c>
      <c r="AM927" s="197">
        <f>IFERROR(-AM913/AM914*AM3/AO3,"n/a")</f>
        <v>2.417371503568206</v>
      </c>
      <c r="AN927" s="197">
        <f>IFERROR(-AN913/AN914*AN3/AO3,"n/a")</f>
        <v>2.3814868337000501</v>
      </c>
      <c r="AO927" s="672">
        <f>IFERROR(-AO913/AO914,"n/a")</f>
        <v>3.1679384133611692</v>
      </c>
      <c r="AP927" s="197">
        <f>IFERROR(-AP913/AP914*AP3/AT3,"n/a")</f>
        <v>2.3385963526236089</v>
      </c>
      <c r="AQ927" s="197">
        <f>IFERROR(-AQ913/AQ914*AQ3/AT3,"n/a")</f>
        <v>2.3930232817110908</v>
      </c>
      <c r="AR927" s="197">
        <f>IFERROR(-AR913/AR914*AR3/AT3,"n/a")</f>
        <v>2.3237648910888087</v>
      </c>
      <c r="AS927" s="197">
        <f>IFERROR(-AS913/AS914*AS3/AT3,"n/a")</f>
        <v>2.2294671242902924</v>
      </c>
      <c r="AT927" s="672">
        <f>IFERROR(-AT913/AT914,"n/a")</f>
        <v>2.1975510204081634</v>
      </c>
      <c r="AU927" s="197">
        <f>IFERROR(-AU913/AU914*AU3/AY3,"n/a")</f>
        <v>2.1075153055558316</v>
      </c>
      <c r="AV927" s="197">
        <f>IFERROR(-AV913/AV914*AV3/AY3,"n/a")</f>
        <v>2.1351096146922486</v>
      </c>
      <c r="AW927" s="197">
        <f>IFERROR(-AW913/AW914*AW3/AY3,"n/a")</f>
        <v>2.0494514318846169</v>
      </c>
      <c r="AX927" s="197">
        <f>IFERROR(-AX913/AX914*AX3/AY3,"n/a")</f>
        <v>1.9945968101888838</v>
      </c>
      <c r="AY927" s="672">
        <f>IFERROR(-AY913/AY914,"n/a")</f>
        <v>2.1251739130434784</v>
      </c>
      <c r="AZ927" s="197">
        <f>IFERROR(-AZ913/AZ914*AZ3/BD3,"n/a")</f>
        <v>1.9605333454822191</v>
      </c>
      <c r="BA927" s="197">
        <f>IFERROR(-BA913/BA914*BA3/BD3,"n/a")</f>
        <v>1.9172570106095728</v>
      </c>
      <c r="BB927" s="197">
        <f>IFERROR(-BB913/BB914*BB3/BD3,"n/a")</f>
        <v>1.9623837244106186</v>
      </c>
      <c r="BC927" s="197">
        <f>IFERROR(-BC913/BC914*BC3/BD3,"n/a")</f>
        <v>1.9097764711983429</v>
      </c>
      <c r="BD927" s="672">
        <f>IFERROR(-BD913/BD914,"n/a")</f>
        <v>1.8216216216216217</v>
      </c>
      <c r="BE927" s="197">
        <f>IFERROR(-BE913/BE914*BE3/BI3,"n/a")</f>
        <v>1.8389185393457899</v>
      </c>
      <c r="BF927" s="197">
        <f>IFERROR(-BF913/BF914*BF3/BI3,"n/a")</f>
        <v>1.8665369308560542</v>
      </c>
      <c r="BG927" s="197">
        <f>IFERROR(-BG913/BG914*BG3/BI3,"n/a")</f>
        <v>1.8085843063239593</v>
      </c>
      <c r="BH927" s="197">
        <f>IFERROR(-BH913/BH914*BH3/BI3,"n/a")</f>
        <v>1.8087027443024322</v>
      </c>
      <c r="BI927" s="672">
        <f>IFERROR(-BI913/BI914,"n/a")</f>
        <v>1.8605769230769231</v>
      </c>
      <c r="BJ927" s="1273">
        <f>IFERROR(-BJ913/BJ914*BJ3/BN3,"n/a")</f>
        <v>1.7923417556748114</v>
      </c>
      <c r="BK927" s="295">
        <f>IFERROR(-BK913/BK914*BK3/BN3,"n/a")</f>
        <v>1.6949152542372885</v>
      </c>
      <c r="BL927" s="295">
        <f>IFERROR(-BL913/BL914*BL3/BN3,"n/a")</f>
        <v>1.8181818181818179</v>
      </c>
      <c r="BM927" s="295">
        <f>IFERROR(-BM913/BM914*BM3/BN3,"n/a")</f>
        <v>1.8181818181818179</v>
      </c>
      <c r="BN927" s="397">
        <f>IFERROR(-BN913/BN914,"n/a")</f>
        <v>1.857382685082047</v>
      </c>
      <c r="BO927" s="295">
        <f>IFERROR(-BO913/BO914*BO3/BS3,"n/a")</f>
        <v>1.8181818181818179</v>
      </c>
      <c r="BP927" s="295">
        <f>IFERROR(-BP913/BP914*BP3/BS3,"n/a")</f>
        <v>1.8181818181818179</v>
      </c>
      <c r="BQ927" s="295">
        <f>IFERROR(-BQ913/BQ914*BQ3/BS3,"n/a")</f>
        <v>1.8181818181818186</v>
      </c>
      <c r="BR927" s="295">
        <f>IFERROR(-BR913/BR914*BR3/BS3,"n/a")</f>
        <v>1.8181818181818181</v>
      </c>
      <c r="BS927" s="397">
        <f>IFERROR(-BS913/BS914,"n/a")</f>
        <v>1.8216402790520139</v>
      </c>
      <c r="BT927" s="397">
        <f>IFERROR(-BT913/BT914,"n/a")</f>
        <v>1.7821590561256124</v>
      </c>
      <c r="BU927" s="397">
        <f>IFERROR(-BU913/BU914,"n/a")</f>
        <v>1.7821590561256124</v>
      </c>
      <c r="BV927" s="397">
        <f>IFERROR(-BV913/BV914,"n/a")</f>
        <v>1.7821590561256124</v>
      </c>
      <c r="BW927" s="197"/>
    </row>
    <row r="928" spans="1:75" s="198" customFormat="1" ht="14.25" x14ac:dyDescent="0.45">
      <c r="A928" s="206" t="s">
        <v>1464</v>
      </c>
      <c r="B928" s="522"/>
      <c r="C928" s="397"/>
      <c r="D928" s="397"/>
      <c r="E928" s="397"/>
      <c r="F928" s="397"/>
      <c r="G928" s="295"/>
      <c r="H928" s="295"/>
      <c r="I928" s="295"/>
      <c r="J928" s="295"/>
      <c r="K928" s="672">
        <f>IFERROR(-K919/K920,"n/a")</f>
        <v>1.4471243042671613</v>
      </c>
      <c r="L928" s="197">
        <f>IFERROR(-L919/L920*L3/P3,"n/a")</f>
        <v>3.8808384221818781</v>
      </c>
      <c r="M928" s="197">
        <f>IFERROR(-M919/M920*M3/P3,"n/a")</f>
        <v>3.6509698630136986</v>
      </c>
      <c r="N928" s="197">
        <f>IFERROR(-N919/N920*N3/P3,"n/a")</f>
        <v>3.4579083457116138</v>
      </c>
      <c r="O928" s="197">
        <f>IFERROR(-O919/O920*O3/P3,"n/a")</f>
        <v>3.3668871043930086</v>
      </c>
      <c r="P928" s="672">
        <f>IFERROR(-P919/P920,"n/a")</f>
        <v>3.998979591836735</v>
      </c>
      <c r="Q928" s="197">
        <f>IFERROR(-Q919/Q920*Q3/U3,"n/a")</f>
        <v>2.8149041095890412</v>
      </c>
      <c r="R928" s="197">
        <f>IFERROR(-R919/R920*R3/U3,"n/a")</f>
        <v>2.7350708149524032</v>
      </c>
      <c r="S928" s="197">
        <f>IFERROR(-S919/S920*S3/U3,"n/a")</f>
        <v>2.8501580611169652</v>
      </c>
      <c r="T928" s="197">
        <f>IFERROR(-T919/T920*T3/U3,"n/a")</f>
        <v>2.5269452750156458</v>
      </c>
      <c r="U928" s="672">
        <f>IFERROR(-U919/U920,"n/a")</f>
        <v>3.2031425364758697</v>
      </c>
      <c r="V928" s="197">
        <f>IFERROR(-V919/V920*V3/Z3,"n/a")</f>
        <v>2.2103551912568302</v>
      </c>
      <c r="W928" s="197">
        <f>IFERROR(-W919/W920*W3/Z3,"n/a")</f>
        <v>1.965450819672131</v>
      </c>
      <c r="X928" s="197">
        <f>IFERROR(-X919/X920*X3/Z3,"n/a")</f>
        <v>1.7407103825136612</v>
      </c>
      <c r="Y928" s="197">
        <f>IFERROR(-Y919/Y920*Y3/Z3,"n/a")</f>
        <v>2.1835336976320585</v>
      </c>
      <c r="Z928" s="672">
        <f>IFERROR(-Z919/Z920,"n/a")</f>
        <v>1.9755555555555555</v>
      </c>
      <c r="AA928" s="197">
        <f>IFERROR(-AA919/AA920*AA3/AE3,"n/a")</f>
        <v>1.8953424657534248</v>
      </c>
      <c r="AB928" s="197">
        <f>IFERROR(-AB919/AB920*AB3/AE3,"n/a")</f>
        <v>1.6828767123287671</v>
      </c>
      <c r="AC928" s="197">
        <f>IFERROR(-AC919/AC920*AC3/AE3,"n/a")</f>
        <v>1.4652785388127856</v>
      </c>
      <c r="AD928" s="197">
        <f>IFERROR(-AD919/AD920*AD3/AE3,"n/a")</f>
        <v>1.8425205479452054</v>
      </c>
      <c r="AE928" s="672">
        <f>IFERROR(-AE919/AE920,"n/a")</f>
        <v>2.0963636363636362</v>
      </c>
      <c r="AF928" s="197">
        <f>IFERROR(-AF919/AF920*AF3/AJ3,"n/a")</f>
        <v>0.97068493150684931</v>
      </c>
      <c r="AG928" s="197">
        <f>IFERROR(-AG919/AG920*AG3/AJ3,"n/a")</f>
        <v>0.92994520547945203</v>
      </c>
      <c r="AH928" s="197">
        <f>IFERROR(-AH919/AH920*AH3/AJ3,"n/a")</f>
        <v>1.0321643835616436</v>
      </c>
      <c r="AI928" s="197">
        <f>IFERROR(-AI919/AI920*AI3/AJ3,"n/a")</f>
        <v>1.575342465753425</v>
      </c>
      <c r="AJ928" s="672">
        <f>IFERROR(-AJ919/AJ920,"n/a")</f>
        <v>1.3122222222222222</v>
      </c>
      <c r="AK928" s="197">
        <f>IFERROR(-AK919/AK920*AK3/AO3,"n/a")</f>
        <v>1.1983561643835616</v>
      </c>
      <c r="AL928" s="197">
        <f>IFERROR(-AL919/AL920*AL3/AO3,"n/a")</f>
        <v>0.74794520547945187</v>
      </c>
      <c r="AM928" s="197">
        <f>IFERROR(-AM919/AM920*AM3/AO3,"n/a")</f>
        <v>0.50410958904109593</v>
      </c>
      <c r="AN928" s="197">
        <f>IFERROR(-AN919/AN920*AN3/AO3,"n/a")</f>
        <v>9.4772602739726004</v>
      </c>
      <c r="AO928" s="672">
        <f>IFERROR(-AO919/AO920,"n/a")</f>
        <v>0.60749999999999993</v>
      </c>
      <c r="AP928" s="197">
        <f>IFERROR(-AP919/AP920*AP3/AT3,"n/a")</f>
        <v>11.437158469945352</v>
      </c>
      <c r="AQ928" s="197">
        <f>IFERROR(-AQ919/AQ920*AQ3/AT3,"n/a")</f>
        <v>11.188524590163935</v>
      </c>
      <c r="AR928" s="197">
        <f>IFERROR(-AR919/AR920*AR3/AT3,"n/a")</f>
        <v>11.060109289617486</v>
      </c>
      <c r="AS928" s="197">
        <f>IFERROR(-AS919/AS920*AS3/AT3,"n/a")</f>
        <v>14.411657559198538</v>
      </c>
      <c r="AT928" s="672">
        <f>IFERROR(-AT919/AT920,"n/a")</f>
        <v>12.266666666666666</v>
      </c>
      <c r="AU928" s="197">
        <f>IFERROR(-AU919/AU920*AU3/AY3,"n/a")</f>
        <v>16.666666666666668</v>
      </c>
      <c r="AV928" s="197">
        <f>IFERROR(-AV919/AV920*AV3/AY3,"n/a")</f>
        <v>16.666666666666668</v>
      </c>
      <c r="AW928" s="197">
        <f>IFERROR(-AW919/AW920*AW3/AY3,"n/a")</f>
        <v>16.666666666666668</v>
      </c>
      <c r="AX928" s="197">
        <f>IFERROR(-AX919/AX920*AX3/AY3,"n/a")</f>
        <v>17.592653358648885</v>
      </c>
      <c r="AY928" s="672">
        <f>IFERROR(-AY919/AY920,"n/a")</f>
        <v>16.863000000000003</v>
      </c>
      <c r="AZ928" s="197">
        <f>IFERROR(-AZ919/AZ920*AZ3/BD3,"n/a")</f>
        <v>16.666666666666668</v>
      </c>
      <c r="BA928" s="197">
        <f>IFERROR(-BA919/BA920*BA3/BD3,"n/a")</f>
        <v>16.666666666666664</v>
      </c>
      <c r="BB928" s="197">
        <f>IFERROR(-BB919/BB920*BB3/BD3,"n/a")</f>
        <v>16.666666666666668</v>
      </c>
      <c r="BC928" s="197">
        <f>IFERROR(-BC919/BC920*BC3/BD3,"n/a")</f>
        <v>13.214454401440882</v>
      </c>
      <c r="BD928" s="672">
        <f>IFERROR(-BD919/BD920,"n/a")</f>
        <v>15.636999999999997</v>
      </c>
      <c r="BE928" s="197">
        <f>IFERROR(-BE919/BE920*BE3/BI3,"n/a")</f>
        <v>16.666666666666668</v>
      </c>
      <c r="BF928" s="197">
        <f>IFERROR(-BF919/BF920*BF3/BI3,"n/a")</f>
        <v>16.666666666666668</v>
      </c>
      <c r="BG928" s="197">
        <f>IFERROR(-BG919/BG920*BG3/BI3,"n/a")</f>
        <v>16.666666666666668</v>
      </c>
      <c r="BH928" s="197">
        <f>IFERROR(-BH919/BH920*BH3/BI3,"n/a")</f>
        <v>10.751677858779285</v>
      </c>
      <c r="BI928" s="672">
        <f>IFERROR(-BI919/BI920,"n/a")</f>
        <v>14.636999999999997</v>
      </c>
      <c r="BJ928" s="1273">
        <f>IFERROR(-BJ919/BJ920*BJ3/BN3,"n/a")</f>
        <v>14.285714285714283</v>
      </c>
      <c r="BK928" s="295">
        <f>IFERROR(-BK919/BK920*BK3/BN3,"n/a")</f>
        <v>10.000000000000002</v>
      </c>
      <c r="BL928" s="295">
        <f>IFERROR(-BL919/BL920*BL3/BN3,"n/a")</f>
        <v>16.666666666666668</v>
      </c>
      <c r="BM928" s="295">
        <f>IFERROR(-BM919/BM920*BM3/BN3,"n/a")</f>
        <v>16.666666666666668</v>
      </c>
      <c r="BN928" s="397">
        <f>IFERROR(-BN919/BN920,"n/a")</f>
        <v>13.69338252784522</v>
      </c>
      <c r="BO928" s="295">
        <f>IFERROR(-BO919/BO920*BO3/BS3,"n/a")</f>
        <v>16.666666666666668</v>
      </c>
      <c r="BP928" s="295">
        <f>IFERROR(-BP919/BP920*BP3/BS3,"n/a")</f>
        <v>16.666666666666664</v>
      </c>
      <c r="BQ928" s="295">
        <f>IFERROR(-BQ919/BQ920*BQ3/BS3,"n/a")</f>
        <v>16.666666666666668</v>
      </c>
      <c r="BR928" s="295">
        <f>IFERROR(-BR919/BR920*BR3/BS3,"n/a")</f>
        <v>16.666666666666668</v>
      </c>
      <c r="BS928" s="397">
        <f>IFERROR(-BS919/BS920,"n/a")</f>
        <v>16.222895709731198</v>
      </c>
      <c r="BT928" s="397">
        <f>IFERROR(-BT919/BT920,"n/a")</f>
        <v>16.129032258064516</v>
      </c>
      <c r="BU928" s="397">
        <f>IFERROR(-BU919/BU920,"n/a")</f>
        <v>16.129032258064516</v>
      </c>
      <c r="BV928" s="397">
        <f>IFERROR(-BV919/BV920,"n/a")</f>
        <v>16.129032258064516</v>
      </c>
      <c r="BW928" s="197"/>
    </row>
    <row r="929" spans="1:75" x14ac:dyDescent="0.5">
      <c r="A929" s="1113"/>
      <c r="B929" s="729"/>
      <c r="C929" s="730"/>
      <c r="D929" s="730"/>
      <c r="E929" s="730"/>
      <c r="F929" s="730"/>
      <c r="G929" s="473"/>
      <c r="H929" s="473"/>
      <c r="I929" s="473"/>
      <c r="J929" s="473"/>
      <c r="K929" s="730"/>
      <c r="L929" s="473"/>
      <c r="M929" s="473"/>
      <c r="N929" s="473"/>
      <c r="O929" s="473"/>
      <c r="P929" s="730"/>
      <c r="Q929" s="473"/>
      <c r="R929" s="473"/>
      <c r="S929" s="473"/>
      <c r="T929" s="473"/>
      <c r="U929" s="730"/>
      <c r="V929" s="473"/>
      <c r="W929" s="473"/>
      <c r="X929" s="473"/>
      <c r="Y929" s="473"/>
      <c r="Z929" s="730"/>
      <c r="AA929" s="473"/>
      <c r="AB929" s="473"/>
      <c r="AC929" s="473"/>
      <c r="AD929" s="473"/>
      <c r="AE929" s="730"/>
      <c r="AF929" s="473"/>
      <c r="AG929" s="473"/>
      <c r="AH929" s="473"/>
      <c r="AI929" s="473"/>
      <c r="AJ929" s="730"/>
      <c r="AK929" s="473"/>
      <c r="AL929" s="473"/>
      <c r="AM929" s="473"/>
      <c r="AN929" s="473"/>
      <c r="AO929" s="730"/>
      <c r="AP929" s="473"/>
      <c r="AQ929" s="473"/>
      <c r="AR929" s="473"/>
      <c r="AS929" s="473"/>
      <c r="AT929" s="730"/>
      <c r="AU929" s="473"/>
      <c r="AV929" s="473"/>
      <c r="AW929" s="473"/>
      <c r="AX929" s="473"/>
      <c r="AY929" s="730"/>
      <c r="AZ929" s="473"/>
      <c r="BA929" s="473"/>
      <c r="BB929" s="473"/>
      <c r="BC929" s="473"/>
      <c r="BD929" s="730"/>
      <c r="BE929" s="473"/>
      <c r="BF929" s="473"/>
      <c r="BG929" s="473"/>
      <c r="BH929" s="473"/>
      <c r="BI929" s="730"/>
      <c r="BJ929" s="1246"/>
      <c r="BK929" s="473"/>
      <c r="BL929" s="473"/>
      <c r="BM929" s="473"/>
      <c r="BN929" s="730"/>
      <c r="BO929" s="473"/>
      <c r="BP929" s="473"/>
      <c r="BQ929" s="473"/>
      <c r="BR929" s="473"/>
      <c r="BS929" s="730"/>
      <c r="BT929" s="730"/>
      <c r="BU929" s="730"/>
      <c r="BV929" s="730"/>
      <c r="BW929" s="161"/>
    </row>
    <row r="930" spans="1:75" s="123" customFormat="1" x14ac:dyDescent="0.5">
      <c r="A930" s="463" t="s">
        <v>799</v>
      </c>
      <c r="B930" s="522"/>
      <c r="C930" s="397"/>
      <c r="D930" s="397"/>
      <c r="E930" s="397"/>
      <c r="F930" s="672">
        <f t="shared" ref="F930:BJ930" si="795">F242</f>
        <v>9.3350000000000009</v>
      </c>
      <c r="G930" s="197">
        <f t="shared" si="795"/>
        <v>2.8839999999999999</v>
      </c>
      <c r="H930" s="197">
        <f t="shared" si="795"/>
        <v>2.9790000000000005</v>
      </c>
      <c r="I930" s="197">
        <f t="shared" si="795"/>
        <v>3.4889999999999999</v>
      </c>
      <c r="J930" s="197">
        <f t="shared" si="795"/>
        <v>3.738999999999999</v>
      </c>
      <c r="K930" s="672">
        <f t="shared" si="795"/>
        <v>13.090999999999999</v>
      </c>
      <c r="L930" s="197">
        <f t="shared" si="795"/>
        <v>4.1980000000000004</v>
      </c>
      <c r="M930" s="197">
        <f t="shared" si="795"/>
        <v>4.6929999999999996</v>
      </c>
      <c r="N930" s="197">
        <f t="shared" si="795"/>
        <v>5.5470000000000006</v>
      </c>
      <c r="O930" s="197">
        <f t="shared" si="795"/>
        <v>7.5649999999999995</v>
      </c>
      <c r="P930" s="672">
        <f t="shared" si="795"/>
        <v>22.003</v>
      </c>
      <c r="Q930" s="197">
        <f t="shared" si="795"/>
        <v>6.7439999999999998</v>
      </c>
      <c r="R930" s="197">
        <f t="shared" si="795"/>
        <v>7.4</v>
      </c>
      <c r="S930" s="197">
        <f t="shared" si="795"/>
        <v>9.206999999999999</v>
      </c>
      <c r="T930" s="197">
        <f t="shared" si="795"/>
        <v>9.0949999999999989</v>
      </c>
      <c r="U930" s="672">
        <f t="shared" si="795"/>
        <v>32.445999999999998</v>
      </c>
      <c r="V930" s="197">
        <f t="shared" si="795"/>
        <v>10.487</v>
      </c>
      <c r="W930" s="197">
        <f t="shared" si="795"/>
        <v>12.578000000000001</v>
      </c>
      <c r="X930" s="197">
        <f t="shared" si="795"/>
        <v>15.462999999999997</v>
      </c>
      <c r="Y930" s="197">
        <f t="shared" si="795"/>
        <v>17.044000000000004</v>
      </c>
      <c r="Z930" s="672">
        <f t="shared" si="795"/>
        <v>55.572000000000003</v>
      </c>
      <c r="AA930" s="197">
        <f t="shared" si="795"/>
        <v>20.352</v>
      </c>
      <c r="AB930" s="197">
        <f t="shared" si="795"/>
        <v>19.322999999999997</v>
      </c>
      <c r="AC930" s="197">
        <f t="shared" si="795"/>
        <v>22.913000000000004</v>
      </c>
      <c r="AD930" s="197">
        <f t="shared" si="795"/>
        <v>24.431999999999995</v>
      </c>
      <c r="AE930" s="672">
        <f t="shared" si="795"/>
        <v>87.02</v>
      </c>
      <c r="AF930" s="197">
        <f t="shared" si="795"/>
        <v>25.962</v>
      </c>
      <c r="AG930" s="197">
        <f t="shared" si="795"/>
        <v>28.919999999999998</v>
      </c>
      <c r="AH930" s="197">
        <f t="shared" si="795"/>
        <v>32.544000000000004</v>
      </c>
      <c r="AI930" s="197">
        <f t="shared" si="795"/>
        <v>36.116</v>
      </c>
      <c r="AJ930" s="672">
        <f t="shared" si="795"/>
        <v>123.542</v>
      </c>
      <c r="AK930" s="197">
        <f t="shared" si="795"/>
        <v>39.582999999999998</v>
      </c>
      <c r="AL930" s="197">
        <f t="shared" si="795"/>
        <v>44.338999999999999</v>
      </c>
      <c r="AM930" s="197">
        <f t="shared" si="795"/>
        <v>50.25</v>
      </c>
      <c r="AN930" s="197">
        <f t="shared" si="795"/>
        <v>58.247000000000014</v>
      </c>
      <c r="AO930" s="672">
        <f t="shared" si="795"/>
        <v>192.41900000000001</v>
      </c>
      <c r="AP930" s="197">
        <f t="shared" si="795"/>
        <v>66.843000000000004</v>
      </c>
      <c r="AQ930" s="197">
        <f t="shared" si="795"/>
        <v>69.11399999999999</v>
      </c>
      <c r="AR930" s="197">
        <f t="shared" si="795"/>
        <v>72.575000000000017</v>
      </c>
      <c r="AS930" s="197">
        <f t="shared" si="795"/>
        <v>77.179000000000002</v>
      </c>
      <c r="AT930" s="672">
        <f t="shared" si="795"/>
        <v>285.71100000000001</v>
      </c>
      <c r="AU930" s="197">
        <f t="shared" si="795"/>
        <v>80.311999999999998</v>
      </c>
      <c r="AV930" s="197">
        <f t="shared" si="795"/>
        <v>77.924999999999997</v>
      </c>
      <c r="AW930" s="197">
        <f t="shared" si="795"/>
        <v>81.917000000000002</v>
      </c>
      <c r="AX930" s="197">
        <f t="shared" si="795"/>
        <v>81.846000000000004</v>
      </c>
      <c r="AY930" s="672">
        <f t="shared" si="795"/>
        <v>322</v>
      </c>
      <c r="AZ930" s="197">
        <f t="shared" si="795"/>
        <v>85</v>
      </c>
      <c r="BA930" s="197">
        <f t="shared" si="795"/>
        <v>91</v>
      </c>
      <c r="BB930" s="197">
        <f t="shared" si="795"/>
        <v>94</v>
      </c>
      <c r="BC930" s="197">
        <f t="shared" si="795"/>
        <v>101</v>
      </c>
      <c r="BD930" s="672">
        <f t="shared" si="795"/>
        <v>371</v>
      </c>
      <c r="BE930" s="197">
        <f t="shared" si="795"/>
        <v>104</v>
      </c>
      <c r="BF930" s="197">
        <f t="shared" si="795"/>
        <v>102</v>
      </c>
      <c r="BG930" s="197">
        <f t="shared" si="795"/>
        <v>106</v>
      </c>
      <c r="BH930" s="197">
        <f t="shared" si="795"/>
        <v>105</v>
      </c>
      <c r="BI930" s="672">
        <f t="shared" si="795"/>
        <v>417</v>
      </c>
      <c r="BJ930" s="1273">
        <f t="shared" si="795"/>
        <v>104</v>
      </c>
      <c r="BK930" s="295">
        <f>-BK914-BK920</f>
        <v>105.07857021857923</v>
      </c>
      <c r="BL930" s="295">
        <f>-BL914-BL920</f>
        <v>97.507028696407787</v>
      </c>
      <c r="BM930" s="295">
        <f>-BM914-BM920</f>
        <v>97.127508206673753</v>
      </c>
      <c r="BN930" s="397">
        <f>SUM(BJ930,BK930,BL930,BM930)</f>
        <v>403.71310712166076</v>
      </c>
      <c r="BO930" s="295">
        <f>-BO914-BO920</f>
        <v>94.956027591867411</v>
      </c>
      <c r="BP930" s="295">
        <f>-BP914-BP920</f>
        <v>95.984947677028302</v>
      </c>
      <c r="BQ930" s="295">
        <f>-BQ914-BQ920</f>
        <v>96.871430783817445</v>
      </c>
      <c r="BR930" s="295">
        <f>-BR914-BR920</f>
        <v>96.581016926011245</v>
      </c>
      <c r="BS930" s="397">
        <f>SUM(BO930,BP930,BQ930,BR930)</f>
        <v>384.3934229787244</v>
      </c>
      <c r="BT930" s="397">
        <f>-BT914-BT920</f>
        <v>389.92123207235119</v>
      </c>
      <c r="BU930" s="397">
        <f>-BU914-BU920</f>
        <v>383.88007251962307</v>
      </c>
      <c r="BV930" s="397">
        <f>-BV914-BV920</f>
        <v>381.25811070353592</v>
      </c>
      <c r="BW930" s="197"/>
    </row>
    <row r="931" spans="1:75" s="123" customFormat="1" x14ac:dyDescent="0.5">
      <c r="A931" s="463" t="s">
        <v>1465</v>
      </c>
      <c r="B931" s="522"/>
      <c r="C931" s="397"/>
      <c r="D931" s="397"/>
      <c r="E931" s="397"/>
      <c r="F931" s="672">
        <f t="shared" ref="F931:BQ931" si="796">-F702</f>
        <v>14.98</v>
      </c>
      <c r="G931" s="197">
        <f t="shared" si="796"/>
        <v>4.2320000000000002</v>
      </c>
      <c r="H931" s="197">
        <f t="shared" si="796"/>
        <v>3.1360000000000001</v>
      </c>
      <c r="I931" s="197">
        <f t="shared" si="796"/>
        <v>3.4649999999999999</v>
      </c>
      <c r="J931" s="197">
        <f t="shared" si="796"/>
        <v>4.9459999999999988</v>
      </c>
      <c r="K931" s="672">
        <f t="shared" si="796"/>
        <v>15.779</v>
      </c>
      <c r="L931" s="197">
        <f t="shared" si="796"/>
        <v>14.074</v>
      </c>
      <c r="M931" s="197">
        <f t="shared" si="796"/>
        <v>16.405000000000001</v>
      </c>
      <c r="N931" s="197">
        <f t="shared" si="796"/>
        <v>11.332000000000001</v>
      </c>
      <c r="O931" s="197">
        <f t="shared" si="796"/>
        <v>4.1740000000000013</v>
      </c>
      <c r="P931" s="672">
        <f t="shared" si="796"/>
        <v>45.984999999999999</v>
      </c>
      <c r="Q931" s="197">
        <f t="shared" si="796"/>
        <v>16.166</v>
      </c>
      <c r="R931" s="197">
        <f t="shared" si="796"/>
        <v>17.463999999999999</v>
      </c>
      <c r="S931" s="197">
        <f t="shared" si="796"/>
        <v>16.171999999999997</v>
      </c>
      <c r="T931" s="197">
        <f t="shared" si="796"/>
        <v>12.382000000000005</v>
      </c>
      <c r="U931" s="672">
        <f t="shared" si="796"/>
        <v>62.184000000000005</v>
      </c>
      <c r="V931" s="197">
        <f t="shared" si="796"/>
        <v>29.378</v>
      </c>
      <c r="W931" s="197">
        <f t="shared" si="796"/>
        <v>44.320999999999998</v>
      </c>
      <c r="X931" s="197">
        <f t="shared" si="796"/>
        <v>29.588999999999992</v>
      </c>
      <c r="Y931" s="197">
        <f t="shared" si="796"/>
        <v>24.798000000000002</v>
      </c>
      <c r="Z931" s="672">
        <f t="shared" si="796"/>
        <v>128.08599999999998</v>
      </c>
      <c r="AA931" s="197">
        <f t="shared" si="796"/>
        <v>22.872</v>
      </c>
      <c r="AB931" s="197">
        <f t="shared" si="796"/>
        <v>45.326000000000001</v>
      </c>
      <c r="AC931" s="197">
        <f t="shared" si="796"/>
        <v>43.215000000000003</v>
      </c>
      <c r="AD931" s="197">
        <f t="shared" si="796"/>
        <v>35.465999999999987</v>
      </c>
      <c r="AE931" s="672">
        <f t="shared" si="796"/>
        <v>146.87899999999999</v>
      </c>
      <c r="AF931" s="197">
        <f t="shared" si="796"/>
        <v>34.516999999999996</v>
      </c>
      <c r="AG931" s="197">
        <f t="shared" si="796"/>
        <v>55.149000000000001</v>
      </c>
      <c r="AH931" s="197">
        <f t="shared" si="796"/>
        <v>66.606999999999999</v>
      </c>
      <c r="AI931" s="197">
        <f t="shared" si="796"/>
        <v>65.682000000000016</v>
      </c>
      <c r="AJ931" s="672">
        <f t="shared" si="796"/>
        <v>221.95500000000001</v>
      </c>
      <c r="AK931" s="197">
        <f t="shared" si="796"/>
        <v>85.468999999999994</v>
      </c>
      <c r="AL931" s="197">
        <f t="shared" si="796"/>
        <v>88.736999999999995</v>
      </c>
      <c r="AM931" s="197">
        <f t="shared" si="796"/>
        <v>104.45899999999999</v>
      </c>
      <c r="AN931" s="197">
        <f t="shared" si="796"/>
        <v>122.21500000000003</v>
      </c>
      <c r="AO931" s="672">
        <f t="shared" si="796"/>
        <v>400.88</v>
      </c>
      <c r="AP931" s="197">
        <f t="shared" si="796"/>
        <v>98.332999999999998</v>
      </c>
      <c r="AQ931" s="197">
        <f t="shared" si="796"/>
        <v>81.649000000000001</v>
      </c>
      <c r="AR931" s="197">
        <f t="shared" si="796"/>
        <v>75.998999999999995</v>
      </c>
      <c r="AS931" s="197">
        <f t="shared" si="796"/>
        <v>78.453000000000003</v>
      </c>
      <c r="AT931" s="672">
        <f t="shared" si="796"/>
        <v>334.43399999999997</v>
      </c>
      <c r="AU931" s="197">
        <f t="shared" si="796"/>
        <v>65.406000000000006</v>
      </c>
      <c r="AV931" s="197">
        <f t="shared" si="796"/>
        <v>68.50200000000001</v>
      </c>
      <c r="AW931" s="197">
        <f t="shared" si="796"/>
        <v>72.318999999999988</v>
      </c>
      <c r="AX931" s="197">
        <f t="shared" si="796"/>
        <v>73.77300000000001</v>
      </c>
      <c r="AY931" s="672">
        <f t="shared" si="796"/>
        <v>280</v>
      </c>
      <c r="AZ931" s="197">
        <f t="shared" si="796"/>
        <v>105</v>
      </c>
      <c r="BA931" s="197">
        <f t="shared" si="796"/>
        <v>129</v>
      </c>
      <c r="BB931" s="197">
        <f t="shared" si="796"/>
        <v>107</v>
      </c>
      <c r="BC931" s="197">
        <f t="shared" si="796"/>
        <v>117</v>
      </c>
      <c r="BD931" s="672">
        <f t="shared" si="796"/>
        <v>458</v>
      </c>
      <c r="BE931" s="197">
        <f t="shared" si="796"/>
        <v>87</v>
      </c>
      <c r="BF931" s="197">
        <f t="shared" si="796"/>
        <v>89</v>
      </c>
      <c r="BG931" s="197">
        <f t="shared" si="796"/>
        <v>79</v>
      </c>
      <c r="BH931" s="197">
        <f t="shared" si="796"/>
        <v>96</v>
      </c>
      <c r="BI931" s="672">
        <f t="shared" si="796"/>
        <v>351</v>
      </c>
      <c r="BJ931" s="1273">
        <f>-BJ702</f>
        <v>54</v>
      </c>
      <c r="BK931" s="295">
        <f t="shared" si="796"/>
        <v>95</v>
      </c>
      <c r="BL931" s="295">
        <f t="shared" si="796"/>
        <v>95</v>
      </c>
      <c r="BM931" s="295">
        <f t="shared" si="796"/>
        <v>95</v>
      </c>
      <c r="BN931" s="397">
        <f t="shared" si="796"/>
        <v>339</v>
      </c>
      <c r="BO931" s="295">
        <f t="shared" si="796"/>
        <v>95</v>
      </c>
      <c r="BP931" s="295">
        <f t="shared" si="796"/>
        <v>95</v>
      </c>
      <c r="BQ931" s="295">
        <f t="shared" si="796"/>
        <v>95</v>
      </c>
      <c r="BR931" s="295">
        <f t="shared" ref="BR931:CI931" si="797">-BR702</f>
        <v>95</v>
      </c>
      <c r="BS931" s="397">
        <f t="shared" si="797"/>
        <v>380</v>
      </c>
      <c r="BT931" s="397">
        <f t="shared" si="797"/>
        <v>380</v>
      </c>
      <c r="BU931" s="397">
        <f t="shared" si="797"/>
        <v>380</v>
      </c>
      <c r="BV931" s="397">
        <f t="shared" si="797"/>
        <v>380</v>
      </c>
      <c r="BW931" s="197"/>
    </row>
    <row r="932" spans="1:75" s="177" customFormat="1" ht="14.25" x14ac:dyDescent="0.45">
      <c r="A932" s="962" t="s">
        <v>1466</v>
      </c>
      <c r="B932" s="660"/>
      <c r="C932" s="417"/>
      <c r="D932" s="417"/>
      <c r="E932" s="417"/>
      <c r="F932" s="417"/>
      <c r="G932" s="378"/>
      <c r="H932" s="378"/>
      <c r="I932" s="378"/>
      <c r="J932" s="378"/>
      <c r="K932" s="417"/>
      <c r="L932" s="378"/>
      <c r="M932" s="378"/>
      <c r="N932" s="378"/>
      <c r="O932" s="378"/>
      <c r="P932" s="417"/>
      <c r="Q932" s="378"/>
      <c r="R932" s="378"/>
      <c r="S932" s="378"/>
      <c r="T932" s="378"/>
      <c r="U932" s="417"/>
      <c r="V932" s="378"/>
      <c r="W932" s="378"/>
      <c r="X932" s="378"/>
      <c r="Y932" s="378"/>
      <c r="Z932" s="417"/>
      <c r="AA932" s="378"/>
      <c r="AB932" s="378"/>
      <c r="AC932" s="378"/>
      <c r="AD932" s="378"/>
      <c r="AE932" s="417"/>
      <c r="AF932" s="378"/>
      <c r="AG932" s="378"/>
      <c r="AH932" s="378"/>
      <c r="AI932" s="378"/>
      <c r="AJ932" s="417"/>
      <c r="AK932" s="378"/>
      <c r="AL932" s="378"/>
      <c r="AM932" s="378"/>
      <c r="AN932" s="378"/>
      <c r="AO932" s="417"/>
      <c r="AP932" s="378"/>
      <c r="AQ932" s="378"/>
      <c r="AR932" s="378"/>
      <c r="AS932" s="378"/>
      <c r="AT932" s="417"/>
      <c r="AU932" s="378"/>
      <c r="AV932" s="378"/>
      <c r="AW932" s="378"/>
      <c r="AX932" s="378"/>
      <c r="AY932" s="417"/>
      <c r="AZ932" s="378"/>
      <c r="BA932" s="378"/>
      <c r="BB932" s="378"/>
      <c r="BC932" s="378"/>
      <c r="BD932" s="417"/>
      <c r="BE932" s="378"/>
      <c r="BF932" s="378"/>
      <c r="BG932" s="378"/>
      <c r="BH932" s="378"/>
      <c r="BI932" s="417"/>
      <c r="BJ932" s="1130"/>
      <c r="BK932" s="766">
        <v>5.0000000000000001E-3</v>
      </c>
      <c r="BL932" s="766">
        <v>5.0000000000000001E-3</v>
      </c>
      <c r="BM932" s="766">
        <v>5.0000000000000001E-3</v>
      </c>
      <c r="BN932" s="417">
        <f>AVERAGE(BJ932,BK932,BL932,BM932)</f>
        <v>5.0000000000000001E-3</v>
      </c>
      <c r="BO932" s="766">
        <v>5.0000000000000001E-3</v>
      </c>
      <c r="BP932" s="766">
        <v>5.0000000000000001E-3</v>
      </c>
      <c r="BQ932" s="766">
        <v>5.0000000000000001E-3</v>
      </c>
      <c r="BR932" s="766">
        <v>5.0000000000000001E-3</v>
      </c>
      <c r="BS932" s="417">
        <f>AVERAGE(BO932,BP932,BQ932,BR932)</f>
        <v>5.0000000000000001E-3</v>
      </c>
      <c r="BT932" s="767">
        <v>5.0000000000000001E-3</v>
      </c>
      <c r="BU932" s="767">
        <v>5.0000000000000001E-3</v>
      </c>
      <c r="BV932" s="767">
        <v>5.0000000000000001E-3</v>
      </c>
      <c r="BW932" s="176"/>
    </row>
    <row r="933" spans="1:75" x14ac:dyDescent="0.5">
      <c r="A933" s="1136"/>
      <c r="B933" s="1352"/>
      <c r="C933" s="1138"/>
      <c r="D933" s="1138"/>
      <c r="E933" s="1138"/>
      <c r="F933" s="1138"/>
      <c r="G933" s="1139"/>
      <c r="H933" s="1139"/>
      <c r="I933" s="1139"/>
      <c r="J933" s="1139"/>
      <c r="K933" s="1138"/>
      <c r="L933" s="1139"/>
      <c r="M933" s="1139"/>
      <c r="N933" s="1139"/>
      <c r="O933" s="1139"/>
      <c r="P933" s="1138"/>
      <c r="Q933" s="1139"/>
      <c r="R933" s="1139"/>
      <c r="S933" s="1139"/>
      <c r="T933" s="1139"/>
      <c r="U933" s="1138"/>
      <c r="V933" s="1139"/>
      <c r="W933" s="1139"/>
      <c r="X933" s="1139"/>
      <c r="Y933" s="1139"/>
      <c r="Z933" s="1138"/>
      <c r="AA933" s="1139"/>
      <c r="AB933" s="1139"/>
      <c r="AC933" s="1139"/>
      <c r="AD933" s="1139"/>
      <c r="AE933" s="1138"/>
      <c r="AF933" s="1139"/>
      <c r="AG933" s="1139"/>
      <c r="AH933" s="1139"/>
      <c r="AI933" s="1139"/>
      <c r="AJ933" s="1138"/>
      <c r="AK933" s="1139"/>
      <c r="AL933" s="1139"/>
      <c r="AM933" s="1139"/>
      <c r="AN933" s="1139"/>
      <c r="AO933" s="1138"/>
      <c r="AP933" s="1139"/>
      <c r="AQ933" s="1139"/>
      <c r="AR933" s="1139"/>
      <c r="AS933" s="1139"/>
      <c r="AT933" s="1138"/>
      <c r="AU933" s="1139"/>
      <c r="AV933" s="1139"/>
      <c r="AW933" s="1139"/>
      <c r="AX933" s="1139"/>
      <c r="AY933" s="1138"/>
      <c r="AZ933" s="1139"/>
      <c r="BA933" s="1139"/>
      <c r="BB933" s="1139"/>
      <c r="BC933" s="1139"/>
      <c r="BD933" s="1138"/>
      <c r="BE933" s="1139"/>
      <c r="BF933" s="1139"/>
      <c r="BG933" s="1139"/>
      <c r="BH933" s="1139"/>
      <c r="BI933" s="1138"/>
      <c r="BJ933" s="1140"/>
      <c r="BK933" s="1139"/>
      <c r="BL933" s="1139"/>
      <c r="BM933" s="1139"/>
      <c r="BN933" s="1138"/>
      <c r="BO933" s="1139"/>
      <c r="BP933" s="1139"/>
      <c r="BQ933" s="1139"/>
      <c r="BR933" s="1139"/>
      <c r="BS933" s="1138"/>
      <c r="BT933" s="1138"/>
      <c r="BU933" s="1138"/>
      <c r="BV933" s="1138"/>
      <c r="BW933" s="161"/>
    </row>
    <row r="934" spans="1:75" x14ac:dyDescent="0.5">
      <c r="A934" s="239" t="s">
        <v>1467</v>
      </c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  <c r="AA934" s="239"/>
      <c r="AB934" s="239"/>
      <c r="AC934" s="239"/>
      <c r="AD934" s="239"/>
      <c r="AE934" s="239"/>
      <c r="AF934" s="239"/>
      <c r="AG934" s="239"/>
      <c r="AH934" s="239"/>
      <c r="AI934" s="239"/>
      <c r="AJ934" s="239"/>
      <c r="AK934" s="239"/>
      <c r="AL934" s="239"/>
      <c r="AM934" s="239"/>
      <c r="AN934" s="239"/>
      <c r="AO934" s="239"/>
      <c r="AP934" s="239"/>
      <c r="AQ934" s="239"/>
      <c r="AR934" s="239"/>
      <c r="AS934" s="239"/>
      <c r="AT934" s="239"/>
      <c r="AU934" s="239"/>
      <c r="AV934" s="239"/>
      <c r="AW934" s="239"/>
      <c r="AX934" s="239"/>
      <c r="AY934" s="239"/>
      <c r="AZ934" s="239"/>
      <c r="BA934" s="239"/>
      <c r="BB934" s="239"/>
      <c r="BC934" s="239"/>
      <c r="BD934" s="239"/>
      <c r="BE934" s="239"/>
      <c r="BF934" s="239"/>
      <c r="BG934" s="239"/>
      <c r="BH934" s="239"/>
      <c r="BI934" s="239"/>
      <c r="BJ934" s="241"/>
      <c r="BK934" s="239"/>
      <c r="BL934" s="239"/>
      <c r="BM934" s="239"/>
      <c r="BN934" s="239"/>
      <c r="BO934" s="239"/>
      <c r="BP934" s="239"/>
      <c r="BQ934" s="239"/>
      <c r="BR934" s="239"/>
      <c r="BS934" s="239"/>
      <c r="BT934" s="239"/>
      <c r="BU934" s="239"/>
      <c r="BV934" s="239"/>
      <c r="BW934" s="197"/>
    </row>
    <row r="935" spans="1:75" x14ac:dyDescent="0.5">
      <c r="A935" s="463" t="s">
        <v>1468</v>
      </c>
      <c r="B935" s="522"/>
      <c r="C935" s="397"/>
      <c r="D935" s="397"/>
      <c r="E935" s="397"/>
      <c r="F935" s="397"/>
      <c r="G935" s="295"/>
      <c r="H935" s="295"/>
      <c r="I935" s="295"/>
      <c r="J935" s="295"/>
      <c r="K935" s="397"/>
      <c r="L935" s="295"/>
      <c r="M935" s="295"/>
      <c r="N935" s="295"/>
      <c r="O935" s="295"/>
      <c r="P935" s="397"/>
      <c r="Q935" s="295"/>
      <c r="R935" s="295"/>
      <c r="S935" s="295"/>
      <c r="T935" s="295"/>
      <c r="U935" s="397"/>
      <c r="V935" s="295"/>
      <c r="W935" s="295"/>
      <c r="X935" s="295"/>
      <c r="Y935" s="295"/>
      <c r="Z935" s="397"/>
      <c r="AA935" s="295"/>
      <c r="AB935" s="295"/>
      <c r="AC935" s="295"/>
      <c r="AD935" s="295"/>
      <c r="AE935" s="397"/>
      <c r="AF935" s="295"/>
      <c r="AG935" s="295"/>
      <c r="AH935" s="295"/>
      <c r="AI935" s="295"/>
      <c r="AJ935" s="397"/>
      <c r="AK935" s="295"/>
      <c r="AL935" s="295"/>
      <c r="AM935" s="295"/>
      <c r="AN935" s="295"/>
      <c r="AO935" s="397"/>
      <c r="AP935" s="295"/>
      <c r="AQ935" s="295"/>
      <c r="AR935" s="295"/>
      <c r="AS935" s="295"/>
      <c r="AT935" s="397"/>
      <c r="AU935" s="295"/>
      <c r="AV935" s="295"/>
      <c r="AW935" s="295"/>
      <c r="AX935" s="295"/>
      <c r="AY935" s="397"/>
      <c r="AZ935" s="295"/>
      <c r="BA935" s="295"/>
      <c r="BB935" s="295"/>
      <c r="BC935" s="295"/>
      <c r="BD935" s="397"/>
      <c r="BE935" s="295"/>
      <c r="BF935" s="295"/>
      <c r="BG935" s="295"/>
      <c r="BH935" s="295"/>
      <c r="BI935" s="397"/>
      <c r="BJ935" s="1030"/>
      <c r="BK935" s="295"/>
      <c r="BL935" s="295"/>
      <c r="BM935" s="295"/>
      <c r="BN935" s="397"/>
      <c r="BO935" s="295"/>
      <c r="BP935" s="295"/>
      <c r="BQ935" s="295"/>
      <c r="BR935" s="295"/>
      <c r="BS935" s="397"/>
      <c r="BT935" s="397"/>
      <c r="BU935" s="397"/>
      <c r="BV935" s="397"/>
      <c r="BW935" s="197"/>
    </row>
    <row r="936" spans="1:75" x14ac:dyDescent="0.5">
      <c r="A936" s="464" t="s">
        <v>1469</v>
      </c>
      <c r="B936" s="513"/>
      <c r="C936" s="401"/>
      <c r="D936" s="401"/>
      <c r="E936" s="401"/>
      <c r="F936" s="403">
        <v>77.861000000000004</v>
      </c>
      <c r="G936" s="118"/>
      <c r="H936" s="118"/>
      <c r="I936" s="118"/>
      <c r="J936" s="122">
        <f>K936</f>
        <v>65.289000000000001</v>
      </c>
      <c r="K936" s="403">
        <v>65.289000000000001</v>
      </c>
      <c r="L936" s="302">
        <v>135.095</v>
      </c>
      <c r="M936" s="302">
        <v>87.781000000000006</v>
      </c>
      <c r="N936" s="302">
        <v>30.306999999999999</v>
      </c>
      <c r="O936" s="302">
        <v>355.85899999999998</v>
      </c>
      <c r="P936" s="403">
        <v>355.85899999999998</v>
      </c>
      <c r="Q936" s="302">
        <v>206.08199999999999</v>
      </c>
      <c r="R936" s="302">
        <v>236.57400000000001</v>
      </c>
      <c r="S936" s="302">
        <v>278.69</v>
      </c>
      <c r="T936" s="122">
        <f>U936</f>
        <v>334.17599999999999</v>
      </c>
      <c r="U936" s="403">
        <v>334.17599999999999</v>
      </c>
      <c r="V936" s="302">
        <v>248.798</v>
      </c>
      <c r="W936" s="302">
        <v>220.29900000000001</v>
      </c>
      <c r="X936" s="302">
        <v>208.34399999999999</v>
      </c>
      <c r="Y936" s="122">
        <f>Z936</f>
        <v>279.83999999999997</v>
      </c>
      <c r="Z936" s="403">
        <v>279.83999999999997</v>
      </c>
      <c r="AA936" s="302">
        <v>212.40799999999999</v>
      </c>
      <c r="AB936" s="302">
        <v>203.81</v>
      </c>
      <c r="AC936" s="302">
        <v>553.721</v>
      </c>
      <c r="AD936" s="122">
        <f>AE936</f>
        <v>558.96</v>
      </c>
      <c r="AE936" s="403">
        <v>558.96</v>
      </c>
      <c r="AF936" s="302">
        <v>522.02599999999995</v>
      </c>
      <c r="AG936" s="302">
        <v>529.452</v>
      </c>
      <c r="AH936" s="302">
        <v>488.63600000000002</v>
      </c>
      <c r="AI936" s="122">
        <f>AJ936</f>
        <v>849.46100000000001</v>
      </c>
      <c r="AJ936" s="403">
        <v>849.46100000000001</v>
      </c>
      <c r="AK936" s="302">
        <v>722.36</v>
      </c>
      <c r="AL936" s="302">
        <v>675.11099999999999</v>
      </c>
      <c r="AM936" s="302">
        <v>1295.385</v>
      </c>
      <c r="AN936" s="122">
        <f>AO936</f>
        <v>582.75300000000004</v>
      </c>
      <c r="AO936" s="403">
        <v>582.75300000000004</v>
      </c>
      <c r="AP936" s="302">
        <v>624.48099999999999</v>
      </c>
      <c r="AQ936" s="302">
        <v>2181.471</v>
      </c>
      <c r="AR936" s="302">
        <v>2442.9389999999999</v>
      </c>
      <c r="AS936" s="122">
        <f>AT936</f>
        <v>2129.44</v>
      </c>
      <c r="AT936" s="403">
        <v>2129.44</v>
      </c>
      <c r="AU936" s="302">
        <v>2086.4839999999999</v>
      </c>
      <c r="AV936" s="302">
        <v>2078.451</v>
      </c>
      <c r="AW936" s="302">
        <v>1864.8209999999999</v>
      </c>
      <c r="AX936" s="122">
        <f>AY936</f>
        <v>1706</v>
      </c>
      <c r="AY936" s="403">
        <v>1706</v>
      </c>
      <c r="AZ936" s="302">
        <v>1200</v>
      </c>
      <c r="BA936" s="302">
        <v>1094</v>
      </c>
      <c r="BB936" s="302">
        <v>731</v>
      </c>
      <c r="BC936" s="122">
        <f>BD936</f>
        <v>1050</v>
      </c>
      <c r="BD936" s="403">
        <v>1050</v>
      </c>
      <c r="BE936" s="302">
        <v>970</v>
      </c>
      <c r="BF936" s="302">
        <v>1249</v>
      </c>
      <c r="BG936" s="302">
        <v>1281</v>
      </c>
      <c r="BH936" s="122">
        <f t="shared" ref="BH936:BH942" si="798">BI936</f>
        <v>1322</v>
      </c>
      <c r="BI936" s="403">
        <v>1322</v>
      </c>
      <c r="BJ936" s="1207">
        <v>1107</v>
      </c>
      <c r="BK936" s="118">
        <f ca="1">BJ936+BK887</f>
        <v>1022.6431058160615</v>
      </c>
      <c r="BL936" s="118">
        <f ca="1">BK936+BL887</f>
        <v>1082.6910226385987</v>
      </c>
      <c r="BM936" s="118">
        <f ca="1">BL936+BM887</f>
        <v>956.18070546067861</v>
      </c>
      <c r="BN936" s="401">
        <f ca="1">BM936</f>
        <v>956.18070546067861</v>
      </c>
      <c r="BO936" s="118">
        <f ca="1">BN936+BO887</f>
        <v>870.62741830355901</v>
      </c>
      <c r="BP936" s="118">
        <f ca="1">BO936+BP887</f>
        <v>750.13522050400934</v>
      </c>
      <c r="BQ936" s="118">
        <f ca="1">BP936+BQ887</f>
        <v>826.76014810958441</v>
      </c>
      <c r="BR936" s="118">
        <f ca="1">BQ936+BR887</f>
        <v>78.792592234224117</v>
      </c>
      <c r="BS936" s="401">
        <f t="shared" ref="BS936:BS941" ca="1" si="799">BR936</f>
        <v>78.792592234224117</v>
      </c>
      <c r="BT936" s="401">
        <f ca="1">BS936+BT887</f>
        <v>278.26267760959797</v>
      </c>
      <c r="BU936" s="401">
        <f ca="1">BT936+BU887</f>
        <v>981.68144228105768</v>
      </c>
      <c r="BV936" s="401">
        <f ca="1">BU936+BV887</f>
        <v>1970.8356342962588</v>
      </c>
      <c r="BW936" s="122"/>
    </row>
    <row r="937" spans="1:75" x14ac:dyDescent="0.5">
      <c r="A937" s="464" t="s">
        <v>1470</v>
      </c>
      <c r="B937" s="513"/>
      <c r="C937" s="401"/>
      <c r="D937" s="401"/>
      <c r="E937" s="401"/>
      <c r="F937" s="403">
        <v>23.016999999999999</v>
      </c>
      <c r="G937" s="118"/>
      <c r="H937" s="118"/>
      <c r="I937" s="118"/>
      <c r="J937" s="122">
        <f>K937</f>
        <v>50.018999999999998</v>
      </c>
      <c r="K937" s="403">
        <v>50.018999999999998</v>
      </c>
      <c r="L937" s="302">
        <v>50.039000000000001</v>
      </c>
      <c r="M937" s="302">
        <v>65.016999999999996</v>
      </c>
      <c r="N937" s="302">
        <v>100.054</v>
      </c>
      <c r="O937" s="302">
        <v>60</v>
      </c>
      <c r="P937" s="403">
        <v>60</v>
      </c>
      <c r="Q937" s="302">
        <v>74.212999999999994</v>
      </c>
      <c r="R937" s="302">
        <v>51.424999999999997</v>
      </c>
      <c r="S937" s="302">
        <v>46.654000000000003</v>
      </c>
      <c r="T937" s="122">
        <f>U937</f>
        <v>51.895000000000003</v>
      </c>
      <c r="U937" s="403">
        <v>51.895000000000003</v>
      </c>
      <c r="V937" s="302">
        <v>60.655999999999999</v>
      </c>
      <c r="W937" s="302">
        <v>82.712000000000003</v>
      </c>
      <c r="X937" s="302">
        <v>84.471000000000004</v>
      </c>
      <c r="Y937" s="122">
        <f>Z937</f>
        <v>68.742999999999995</v>
      </c>
      <c r="Z937" s="403">
        <v>68.742999999999995</v>
      </c>
      <c r="AA937" s="302">
        <v>64.277000000000001</v>
      </c>
      <c r="AB937" s="302">
        <v>52.058999999999997</v>
      </c>
      <c r="AC937" s="302">
        <v>56.698999999999998</v>
      </c>
      <c r="AD937" s="122">
        <f>AE937</f>
        <v>61.031999999999996</v>
      </c>
      <c r="AE937" s="403">
        <v>61.031999999999996</v>
      </c>
      <c r="AF937" s="302">
        <v>60.031999999999996</v>
      </c>
      <c r="AG937" s="302">
        <v>45.933999999999997</v>
      </c>
      <c r="AH937" s="302">
        <v>30.056000000000001</v>
      </c>
      <c r="AI937" s="122">
        <f>AJ937</f>
        <v>114.27800000000001</v>
      </c>
      <c r="AJ937" s="403">
        <v>114.27800000000001</v>
      </c>
      <c r="AK937" s="302">
        <v>83.302000000000007</v>
      </c>
      <c r="AL937" s="302">
        <v>39.341999999999999</v>
      </c>
      <c r="AM937" s="302">
        <v>6.0490000000000004</v>
      </c>
      <c r="AN937" s="122">
        <f>AO937</f>
        <v>404.25200000000001</v>
      </c>
      <c r="AO937" s="403">
        <v>404.25200000000001</v>
      </c>
      <c r="AP937" s="302">
        <v>266.49700000000001</v>
      </c>
      <c r="AQ937" s="302">
        <v>192.74600000000001</v>
      </c>
      <c r="AR937" s="302">
        <v>113.985</v>
      </c>
      <c r="AS937" s="122">
        <f>AT937</f>
        <v>461.69799999999998</v>
      </c>
      <c r="AT937" s="403">
        <v>461.69799999999998</v>
      </c>
      <c r="AU937" s="302">
        <v>608.524</v>
      </c>
      <c r="AV937" s="302">
        <v>523.39</v>
      </c>
      <c r="AW937" s="302">
        <v>528.39200000000005</v>
      </c>
      <c r="AX937" s="122">
        <f>AY937</f>
        <v>693</v>
      </c>
      <c r="AY937" s="403">
        <v>693</v>
      </c>
      <c r="AZ937" s="302">
        <v>787</v>
      </c>
      <c r="BA937" s="302">
        <v>644</v>
      </c>
      <c r="BB937" s="302">
        <v>557</v>
      </c>
      <c r="BC937" s="122">
        <f>BD937</f>
        <v>228</v>
      </c>
      <c r="BD937" s="403">
        <v>228</v>
      </c>
      <c r="BE937" s="302">
        <v>78</v>
      </c>
      <c r="BF937" s="302">
        <v>4</v>
      </c>
      <c r="BG937" s="302">
        <v>0</v>
      </c>
      <c r="BH937" s="122">
        <f t="shared" si="798"/>
        <v>29</v>
      </c>
      <c r="BI937" s="403">
        <v>29</v>
      </c>
      <c r="BJ937" s="1207">
        <v>50</v>
      </c>
      <c r="BK937" s="118">
        <f>BJ937</f>
        <v>50</v>
      </c>
      <c r="BL937" s="118">
        <f>BK937</f>
        <v>50</v>
      </c>
      <c r="BM937" s="118">
        <f>BL937</f>
        <v>50</v>
      </c>
      <c r="BN937" s="401">
        <f>BM937</f>
        <v>50</v>
      </c>
      <c r="BO937" s="118">
        <f>BN937</f>
        <v>50</v>
      </c>
      <c r="BP937" s="118">
        <f>BO937</f>
        <v>50</v>
      </c>
      <c r="BQ937" s="118">
        <f>BP937</f>
        <v>50</v>
      </c>
      <c r="BR937" s="118">
        <f>BQ937</f>
        <v>50</v>
      </c>
      <c r="BS937" s="401">
        <f t="shared" si="799"/>
        <v>50</v>
      </c>
      <c r="BT937" s="401">
        <f>BS937</f>
        <v>50</v>
      </c>
      <c r="BU937" s="401">
        <f>BT937</f>
        <v>50</v>
      </c>
      <c r="BV937" s="401">
        <f>BU937</f>
        <v>50</v>
      </c>
      <c r="BW937" s="122"/>
    </row>
    <row r="938" spans="1:75" x14ac:dyDescent="0.5">
      <c r="A938" s="464" t="s">
        <v>1365</v>
      </c>
      <c r="B938" s="513"/>
      <c r="C938" s="401"/>
      <c r="D938" s="401"/>
      <c r="E938" s="401"/>
      <c r="F938" s="403">
        <v>15.766</v>
      </c>
      <c r="G938" s="118"/>
      <c r="H938" s="118"/>
      <c r="I938" s="118"/>
      <c r="J938" s="122">
        <f>K938</f>
        <v>7.6890000000000001</v>
      </c>
      <c r="K938" s="403">
        <v>7.6890000000000001</v>
      </c>
      <c r="L938" s="302">
        <v>5.9509999999999996</v>
      </c>
      <c r="M938" s="302">
        <v>6.6470000000000002</v>
      </c>
      <c r="N938" s="302">
        <v>5.3140000000000001</v>
      </c>
      <c r="O938" s="302">
        <v>5.9489999999999998</v>
      </c>
      <c r="P938" s="403">
        <v>5.9489999999999998</v>
      </c>
      <c r="Q938" s="302">
        <v>7.9580000000000002</v>
      </c>
      <c r="R938" s="302">
        <v>7.0640000000000001</v>
      </c>
      <c r="S938" s="302">
        <v>9.7189999999999994</v>
      </c>
      <c r="T938" s="122">
        <f>U938</f>
        <v>9.9060000000000006</v>
      </c>
      <c r="U938" s="403">
        <v>9.9060000000000006</v>
      </c>
      <c r="V938" s="302">
        <v>11.853999999999999</v>
      </c>
      <c r="W938" s="302">
        <v>14.163</v>
      </c>
      <c r="X938" s="302">
        <v>16.689</v>
      </c>
      <c r="Y938" s="122">
        <f>Z938</f>
        <v>19.113</v>
      </c>
      <c r="Z938" s="403">
        <v>19.113</v>
      </c>
      <c r="AA938" s="302">
        <v>21.77</v>
      </c>
      <c r="AB938" s="302">
        <v>23.89</v>
      </c>
      <c r="AC938" s="302">
        <v>27.521000000000001</v>
      </c>
      <c r="AD938" s="122">
        <f>AE938</f>
        <v>37.948</v>
      </c>
      <c r="AE938" s="403">
        <v>37.948</v>
      </c>
      <c r="AF938" s="302">
        <v>31.977</v>
      </c>
      <c r="AG938" s="302">
        <v>34.823</v>
      </c>
      <c r="AH938" s="302">
        <v>41.012999999999998</v>
      </c>
      <c r="AI938" s="122">
        <f>AJ938</f>
        <v>50.603000000000002</v>
      </c>
      <c r="AJ938" s="403">
        <v>50.603000000000002</v>
      </c>
      <c r="AK938" s="302">
        <v>60.595999999999997</v>
      </c>
      <c r="AL938" s="302">
        <v>77.295000000000002</v>
      </c>
      <c r="AM938" s="302">
        <v>75.677000000000007</v>
      </c>
      <c r="AN938" s="122">
        <f>AO938</f>
        <v>99.72</v>
      </c>
      <c r="AO938" s="403">
        <v>99.72</v>
      </c>
      <c r="AP938" s="302">
        <v>110.259</v>
      </c>
      <c r="AQ938" s="302">
        <v>118.98399999999999</v>
      </c>
      <c r="AR938" s="302">
        <v>109.652</v>
      </c>
      <c r="AS938" s="122">
        <f>AT938</f>
        <v>110.29900000000001</v>
      </c>
      <c r="AT938" s="403">
        <v>110.29900000000001</v>
      </c>
      <c r="AU938" s="302">
        <v>107.04300000000001</v>
      </c>
      <c r="AV938" s="302">
        <v>129.41</v>
      </c>
      <c r="AW938" s="302">
        <v>166.49700000000001</v>
      </c>
      <c r="AX938" s="122">
        <f>AY938</f>
        <v>226</v>
      </c>
      <c r="AY938" s="403">
        <v>226</v>
      </c>
      <c r="AZ938" s="302">
        <v>270</v>
      </c>
      <c r="BA938" s="302">
        <v>308</v>
      </c>
      <c r="BB938" s="302">
        <v>332</v>
      </c>
      <c r="BC938" s="122">
        <f>BD938</f>
        <v>272</v>
      </c>
      <c r="BD938" s="403">
        <v>272</v>
      </c>
      <c r="BE938" s="302">
        <v>181</v>
      </c>
      <c r="BF938" s="302">
        <v>128</v>
      </c>
      <c r="BG938" s="302">
        <v>132</v>
      </c>
      <c r="BH938" s="122">
        <f t="shared" si="798"/>
        <v>140</v>
      </c>
      <c r="BI938" s="403">
        <v>140</v>
      </c>
      <c r="BJ938" s="1207">
        <v>113</v>
      </c>
      <c r="BK938" s="118">
        <f>(BK$227+BJ$227+BH$227+BG$227)*BK900</f>
        <v>129.27895257748614</v>
      </c>
      <c r="BL938" s="118">
        <f>(BL$227+BK$227+BJ$227+BH$227)*BL900</f>
        <v>132.64049069724771</v>
      </c>
      <c r="BM938" s="118">
        <f>(BM$227+BL$227+BK$227+BJ$227)*BM900</f>
        <v>141.06256842622679</v>
      </c>
      <c r="BN938" s="401">
        <f>BM938</f>
        <v>141.06256842622679</v>
      </c>
      <c r="BO938" s="118">
        <f>(BO$227+BM$227+BL$227+BK$227)*BO900</f>
        <v>115.86193277145009</v>
      </c>
      <c r="BP938" s="118">
        <f>(BP$227+BO$227+BM$227+BL$227)*BP900</f>
        <v>134.15428379533165</v>
      </c>
      <c r="BQ938" s="118">
        <f>(BQ$227+BP$227+BO$227+BM$227)*BQ900</f>
        <v>139.1563149144543</v>
      </c>
      <c r="BR938" s="118">
        <f>(BR$227+BQ$227+BP$227+BO$227)*BR900</f>
        <v>149.68233773247982</v>
      </c>
      <c r="BS938" s="401">
        <f t="shared" si="799"/>
        <v>149.68233773247982</v>
      </c>
      <c r="BT938" s="401">
        <f>BT227*BT900</f>
        <v>160.38597202139175</v>
      </c>
      <c r="BU938" s="401">
        <f>BU227*BU900</f>
        <v>171.85501249466947</v>
      </c>
      <c r="BV938" s="401">
        <f>BV227*BV900</f>
        <v>184.14419258315078</v>
      </c>
      <c r="BW938" s="122"/>
    </row>
    <row r="939" spans="1:75" x14ac:dyDescent="0.5">
      <c r="A939" s="464" t="s">
        <v>1472</v>
      </c>
      <c r="B939" s="513"/>
      <c r="C939" s="401"/>
      <c r="D939" s="401"/>
      <c r="E939" s="401"/>
      <c r="F939" s="403">
        <v>7.9089999999999998</v>
      </c>
      <c r="G939" s="118"/>
      <c r="H939" s="118"/>
      <c r="I939" s="118"/>
      <c r="J939" s="122">
        <f>K939</f>
        <v>14.962999999999999</v>
      </c>
      <c r="K939" s="403">
        <v>14.962999999999999</v>
      </c>
      <c r="L939" s="302">
        <v>15.593</v>
      </c>
      <c r="M939" s="302">
        <v>19.803000000000001</v>
      </c>
      <c r="N939" s="302">
        <v>21.117999999999999</v>
      </c>
      <c r="O939" s="302">
        <v>19.797999999999998</v>
      </c>
      <c r="P939" s="403">
        <v>19.797999999999998</v>
      </c>
      <c r="Q939" s="302">
        <v>20.010999999999999</v>
      </c>
      <c r="R939" s="302">
        <v>21.321000000000002</v>
      </c>
      <c r="S939" s="302">
        <v>22.552</v>
      </c>
      <c r="T939" s="122">
        <f>U939</f>
        <v>19.899999999999999</v>
      </c>
      <c r="U939" s="403">
        <v>19.899999999999999</v>
      </c>
      <c r="V939" s="302">
        <v>17.763000000000002</v>
      </c>
      <c r="W939" s="302">
        <v>17.396000000000001</v>
      </c>
      <c r="X939" s="302">
        <v>19.187999999999999</v>
      </c>
      <c r="Y939" s="122">
        <f>Z939</f>
        <v>18.55</v>
      </c>
      <c r="Z939" s="403">
        <v>18.55</v>
      </c>
      <c r="AA939" s="302">
        <v>14.457000000000001</v>
      </c>
      <c r="AB939" s="302">
        <v>14.612</v>
      </c>
      <c r="AC939" s="302">
        <v>18.613</v>
      </c>
      <c r="AD939" s="122">
        <f>AE939</f>
        <v>28.042000000000002</v>
      </c>
      <c r="AE939" s="403">
        <v>28.042000000000002</v>
      </c>
      <c r="AF939" s="302">
        <v>34.549999999999997</v>
      </c>
      <c r="AG939" s="302">
        <v>30.71</v>
      </c>
      <c r="AH939" s="302">
        <v>35.722999999999999</v>
      </c>
      <c r="AI939" s="122">
        <f>AJ939</f>
        <v>46.164000000000001</v>
      </c>
      <c r="AJ939" s="403">
        <v>46.164000000000001</v>
      </c>
      <c r="AK939" s="302">
        <v>43.643000000000001</v>
      </c>
      <c r="AL939" s="302">
        <v>45.610999999999997</v>
      </c>
      <c r="AM939" s="302">
        <v>68.622</v>
      </c>
      <c r="AN939" s="122">
        <f>AO939</f>
        <v>61.692</v>
      </c>
      <c r="AO939" s="403">
        <v>61.692</v>
      </c>
      <c r="AP939" s="302">
        <v>56.573999999999998</v>
      </c>
      <c r="AQ939" s="302">
        <v>42.841000000000001</v>
      </c>
      <c r="AR939" s="302">
        <v>54.241</v>
      </c>
      <c r="AS939" s="122">
        <f>AT939</f>
        <v>52.152000000000001</v>
      </c>
      <c r="AT939" s="403">
        <v>52.152000000000001</v>
      </c>
      <c r="AU939" s="302">
        <v>59.613</v>
      </c>
      <c r="AV939" s="302">
        <v>59.914000000000001</v>
      </c>
      <c r="AW939" s="302">
        <v>66.620999999999995</v>
      </c>
      <c r="AX939" s="122">
        <f>AY939</f>
        <v>69</v>
      </c>
      <c r="AY939" s="403">
        <v>69</v>
      </c>
      <c r="AZ939" s="302">
        <v>80</v>
      </c>
      <c r="BA939" s="302">
        <v>98</v>
      </c>
      <c r="BB939" s="302">
        <v>103</v>
      </c>
      <c r="BC939" s="122">
        <f>BD939</f>
        <v>90</v>
      </c>
      <c r="BD939" s="403">
        <v>90</v>
      </c>
      <c r="BE939" s="302">
        <v>83</v>
      </c>
      <c r="BF939" s="302">
        <v>77</v>
      </c>
      <c r="BG939" s="302">
        <v>79</v>
      </c>
      <c r="BH939" s="122">
        <f t="shared" si="798"/>
        <v>75</v>
      </c>
      <c r="BI939" s="403">
        <v>75</v>
      </c>
      <c r="BJ939" s="1207">
        <v>81</v>
      </c>
      <c r="BK939" s="118">
        <f>(BK$227+BJ$227+BH$227+BG$227)*BK901</f>
        <v>77.769369909893996</v>
      </c>
      <c r="BL939" s="118">
        <f>(BL$227+BK$227+BJ$227+BH$227)*BL901</f>
        <v>79.383323977898243</v>
      </c>
      <c r="BM939" s="118">
        <f>(BM$227+BL$227+BK$227+BJ$227)*BM901</f>
        <v>75.569233085478643</v>
      </c>
      <c r="BN939" s="401">
        <f>BM939</f>
        <v>75.569233085478643</v>
      </c>
      <c r="BO939" s="118">
        <f>(BO$227+BM$227+BL$227+BK$227)*BO901</f>
        <v>83.051473933517315</v>
      </c>
      <c r="BP939" s="118">
        <f>(BP$227+BO$227+BM$227+BL$227)*BP901</f>
        <v>80.702186345629187</v>
      </c>
      <c r="BQ939" s="118">
        <f>(BQ$227+BP$227+BO$227+BM$227)*BQ901</f>
        <v>83.282946047287041</v>
      </c>
      <c r="BR939" s="118">
        <f>(BR$227+BQ$227+BP$227+BO$227)*BR901</f>
        <v>80.186966642399909</v>
      </c>
      <c r="BS939" s="401">
        <f t="shared" si="799"/>
        <v>80.186966642399909</v>
      </c>
      <c r="BT939" s="401">
        <f>BT227*BT901</f>
        <v>85.921056440031293</v>
      </c>
      <c r="BU939" s="401">
        <f>BU227*BU901</f>
        <v>92.065185265001489</v>
      </c>
      <c r="BV939" s="401">
        <f>BV227*BV901</f>
        <v>98.648674598116486</v>
      </c>
      <c r="BW939" s="122"/>
    </row>
    <row r="940" spans="1:75" x14ac:dyDescent="0.5">
      <c r="A940" s="496" t="s">
        <v>1475</v>
      </c>
      <c r="B940" s="513"/>
      <c r="C940" s="401"/>
      <c r="D940" s="401"/>
      <c r="E940" s="401"/>
      <c r="F940" s="401"/>
      <c r="G940" s="118"/>
      <c r="H940" s="118"/>
      <c r="I940" s="118"/>
      <c r="J940" s="118"/>
      <c r="K940" s="401"/>
      <c r="L940" s="118"/>
      <c r="M940" s="118"/>
      <c r="N940" s="118"/>
      <c r="O940" s="118"/>
      <c r="P940" s="401"/>
      <c r="Q940" s="118"/>
      <c r="R940" s="118"/>
      <c r="S940" s="118"/>
      <c r="T940" s="118"/>
      <c r="U940" s="401"/>
      <c r="V940" s="118"/>
      <c r="W940" s="118"/>
      <c r="X940" s="118"/>
      <c r="Y940" s="118"/>
      <c r="Z940" s="401"/>
      <c r="AA940" s="118"/>
      <c r="AB940" s="118"/>
      <c r="AC940" s="118"/>
      <c r="AD940" s="118"/>
      <c r="AE940" s="401"/>
      <c r="AF940" s="118"/>
      <c r="AG940" s="118"/>
      <c r="AH940" s="118"/>
      <c r="AI940" s="118"/>
      <c r="AJ940" s="401"/>
      <c r="AK940" s="118"/>
      <c r="AL940" s="118"/>
      <c r="AM940" s="118"/>
      <c r="AN940" s="118"/>
      <c r="AO940" s="401"/>
      <c r="AP940" s="118"/>
      <c r="AQ940" s="118"/>
      <c r="AR940" s="118"/>
      <c r="AS940" s="118"/>
      <c r="AT940" s="401"/>
      <c r="AU940" s="118"/>
      <c r="AV940" s="118"/>
      <c r="AW940" s="118"/>
      <c r="AX940" s="118"/>
      <c r="AY940" s="401"/>
      <c r="AZ940" s="118"/>
      <c r="BA940" s="118"/>
      <c r="BB940" s="118"/>
      <c r="BC940" s="118"/>
      <c r="BD940" s="401"/>
      <c r="BE940" s="118"/>
      <c r="BF940" s="118"/>
      <c r="BG940" s="302">
        <v>10</v>
      </c>
      <c r="BH940" s="118">
        <f>+BI940</f>
        <v>4</v>
      </c>
      <c r="BI940" s="403">
        <v>4</v>
      </c>
      <c r="BJ940" s="1207">
        <v>4</v>
      </c>
      <c r="BK940" s="118">
        <f>BJ940</f>
        <v>4</v>
      </c>
      <c r="BL940" s="118">
        <f>BK940</f>
        <v>4</v>
      </c>
      <c r="BM940" s="118">
        <f>BL940</f>
        <v>4</v>
      </c>
      <c r="BN940" s="401">
        <f t="shared" ref="BN940" si="800">BM940</f>
        <v>4</v>
      </c>
      <c r="BO940" s="118">
        <f>BN940</f>
        <v>4</v>
      </c>
      <c r="BP940" s="118">
        <f>BO940</f>
        <v>4</v>
      </c>
      <c r="BQ940" s="118">
        <f>BP940</f>
        <v>4</v>
      </c>
      <c r="BR940" s="118">
        <f>BQ940</f>
        <v>4</v>
      </c>
      <c r="BS940" s="401">
        <f t="shared" si="799"/>
        <v>4</v>
      </c>
      <c r="BT940" s="401">
        <f>BS940</f>
        <v>4</v>
      </c>
      <c r="BU940" s="401">
        <f>BT940</f>
        <v>4</v>
      </c>
      <c r="BV940" s="401">
        <f>BU940</f>
        <v>4</v>
      </c>
      <c r="BW940" s="122"/>
    </row>
    <row r="941" spans="1:75" x14ac:dyDescent="0.5">
      <c r="A941" s="676" t="s">
        <v>2646</v>
      </c>
      <c r="B941" s="677"/>
      <c r="C941" s="406"/>
      <c r="D941" s="406"/>
      <c r="E941" s="406"/>
      <c r="F941" s="408">
        <v>15.571</v>
      </c>
      <c r="G941" s="723"/>
      <c r="H941" s="723"/>
      <c r="I941" s="723"/>
      <c r="J941" s="431">
        <f>K941</f>
        <v>25.167000000000002</v>
      </c>
      <c r="K941" s="408">
        <v>25.167000000000002</v>
      </c>
      <c r="L941" s="357">
        <v>34.765999999999998</v>
      </c>
      <c r="M941" s="357">
        <v>38.326999999999998</v>
      </c>
      <c r="N941" s="357">
        <v>37.838999999999999</v>
      </c>
      <c r="O941" s="357">
        <v>45.262</v>
      </c>
      <c r="P941" s="408">
        <v>45.262</v>
      </c>
      <c r="Q941" s="357">
        <v>60.98</v>
      </c>
      <c r="R941" s="357">
        <v>65.254000000000005</v>
      </c>
      <c r="S941" s="357">
        <v>75.486000000000004</v>
      </c>
      <c r="T941" s="431">
        <f>U941</f>
        <v>76.445999999999998</v>
      </c>
      <c r="U941" s="408">
        <v>76.445999999999998</v>
      </c>
      <c r="V941" s="357">
        <v>85.17</v>
      </c>
      <c r="W941" s="357">
        <v>88.117000000000004</v>
      </c>
      <c r="X941" s="357">
        <v>87.417000000000002</v>
      </c>
      <c r="Y941" s="431">
        <f>Z941</f>
        <v>90.844999999999999</v>
      </c>
      <c r="Z941" s="408">
        <v>90.844999999999999</v>
      </c>
      <c r="AA941" s="357">
        <v>119.45</v>
      </c>
      <c r="AB941" s="357">
        <v>122.875</v>
      </c>
      <c r="AC941" s="357">
        <v>120.041</v>
      </c>
      <c r="AD941" s="431">
        <f>AE941</f>
        <v>130.83799999999999</v>
      </c>
      <c r="AE941" s="408">
        <v>130.83799999999999</v>
      </c>
      <c r="AF941" s="357">
        <v>148.29499999999999</v>
      </c>
      <c r="AG941" s="357">
        <v>153.042</v>
      </c>
      <c r="AH941" s="357">
        <v>167.75399999999999</v>
      </c>
      <c r="AI941" s="431">
        <f>AJ941</f>
        <v>195.43</v>
      </c>
      <c r="AJ941" s="408">
        <v>195.43</v>
      </c>
      <c r="AK941" s="357">
        <v>207.93100000000001</v>
      </c>
      <c r="AL941" s="357">
        <v>219.541</v>
      </c>
      <c r="AM941" s="357">
        <v>224.96799999999999</v>
      </c>
      <c r="AN941" s="431">
        <f>AO941</f>
        <v>228.721</v>
      </c>
      <c r="AO941" s="408">
        <v>228.721</v>
      </c>
      <c r="AP941" s="357">
        <v>220.4</v>
      </c>
      <c r="AQ941" s="357">
        <v>342.98500000000001</v>
      </c>
      <c r="AR941" s="357">
        <v>322.649</v>
      </c>
      <c r="AS941" s="431">
        <f>AT941</f>
        <v>292.21300000000002</v>
      </c>
      <c r="AT941" s="408">
        <v>292.21300000000002</v>
      </c>
      <c r="AU941" s="357">
        <v>355.21100000000001</v>
      </c>
      <c r="AV941" s="357">
        <v>342.69499999999999</v>
      </c>
      <c r="AW941" s="357">
        <v>328.86200000000002</v>
      </c>
      <c r="AX941" s="431">
        <f>AY941</f>
        <v>318</v>
      </c>
      <c r="AY941" s="408">
        <v>318</v>
      </c>
      <c r="AZ941" s="357">
        <v>343</v>
      </c>
      <c r="BA941" s="357">
        <v>316</v>
      </c>
      <c r="BB941" s="357">
        <v>281</v>
      </c>
      <c r="BC941" s="431">
        <f>BD941</f>
        <v>293</v>
      </c>
      <c r="BD941" s="408">
        <v>293</v>
      </c>
      <c r="BE941" s="357">
        <v>295</v>
      </c>
      <c r="BF941" s="357">
        <v>316</v>
      </c>
      <c r="BG941" s="431">
        <f>BG942-BG940</f>
        <v>282</v>
      </c>
      <c r="BH941" s="431">
        <f t="shared" si="798"/>
        <v>285</v>
      </c>
      <c r="BI941" s="1293">
        <f>BI942-BI940</f>
        <v>285</v>
      </c>
      <c r="BJ941" s="1294">
        <f>+BJ942-BJ940</f>
        <v>233</v>
      </c>
      <c r="BK941" s="723">
        <f>(BK$227+BJ$227+BH$227+BG$227)*BK903</f>
        <v>319.15741417566886</v>
      </c>
      <c r="BL941" s="723">
        <f>(BL$227+BK$227+BJ$227+BH$227)*BL903</f>
        <v>283.36832103502923</v>
      </c>
      <c r="BM941" s="723">
        <f>(BM$227+BL$227+BK$227+BJ$227)*BM903</f>
        <v>287.16308572481881</v>
      </c>
      <c r="BN941" s="406">
        <f>BM941</f>
        <v>287.16308572481881</v>
      </c>
      <c r="BO941" s="723">
        <f>(BO$227+BM$227+BL$227+BK$227)*BO903</f>
        <v>238.90115341369795</v>
      </c>
      <c r="BP941" s="723">
        <f>(BP$227+BO$227+BM$227+BL$227)*BP903</f>
        <v>331.19338811972494</v>
      </c>
      <c r="BQ941" s="723">
        <f>(BQ$227+BP$227+BO$227+BM$227)*BQ903</f>
        <v>297.28849095360692</v>
      </c>
      <c r="BR941" s="723">
        <f>(BR$227+BQ$227+BP$227+BO$227)*BR903</f>
        <v>304.71047324111964</v>
      </c>
      <c r="BS941" s="406">
        <f t="shared" si="799"/>
        <v>304.71047324111964</v>
      </c>
      <c r="BT941" s="406">
        <f>BT227*BT903</f>
        <v>326.50001447211889</v>
      </c>
      <c r="BU941" s="406">
        <f>BU227*BU903</f>
        <v>349.84770400700569</v>
      </c>
      <c r="BV941" s="406">
        <f>BV227*BV903</f>
        <v>374.86496347284265</v>
      </c>
      <c r="BW941" s="122"/>
    </row>
    <row r="942" spans="1:75" x14ac:dyDescent="0.5">
      <c r="A942" s="1292" t="s">
        <v>2682</v>
      </c>
      <c r="B942" s="677"/>
      <c r="C942" s="406"/>
      <c r="D942" s="406"/>
      <c r="E942" s="406"/>
      <c r="F942" s="408">
        <v>15.571</v>
      </c>
      <c r="G942" s="723"/>
      <c r="H942" s="723"/>
      <c r="I942" s="723"/>
      <c r="J942" s="431">
        <f>K942</f>
        <v>25.167000000000002</v>
      </c>
      <c r="K942" s="408">
        <v>25.167000000000002</v>
      </c>
      <c r="L942" s="357">
        <v>34.765999999999998</v>
      </c>
      <c r="M942" s="357">
        <v>38.326999999999998</v>
      </c>
      <c r="N942" s="357">
        <v>37.838999999999999</v>
      </c>
      <c r="O942" s="357">
        <v>45.262</v>
      </c>
      <c r="P942" s="408">
        <v>45.262</v>
      </c>
      <c r="Q942" s="357">
        <v>60.98</v>
      </c>
      <c r="R942" s="357">
        <v>65.254000000000005</v>
      </c>
      <c r="S942" s="357">
        <v>75.486000000000004</v>
      </c>
      <c r="T942" s="431">
        <f>U942</f>
        <v>76.445999999999998</v>
      </c>
      <c r="U942" s="408">
        <v>76.445999999999998</v>
      </c>
      <c r="V942" s="357">
        <v>85.17</v>
      </c>
      <c r="W942" s="357">
        <v>88.117000000000004</v>
      </c>
      <c r="X942" s="357">
        <v>87.417000000000002</v>
      </c>
      <c r="Y942" s="431">
        <f>Z942</f>
        <v>90.844999999999999</v>
      </c>
      <c r="Z942" s="408">
        <v>90.844999999999999</v>
      </c>
      <c r="AA942" s="357">
        <v>119.45</v>
      </c>
      <c r="AB942" s="357">
        <v>122.875</v>
      </c>
      <c r="AC942" s="357">
        <v>120.041</v>
      </c>
      <c r="AD942" s="431">
        <f>AE942</f>
        <v>130.83799999999999</v>
      </c>
      <c r="AE942" s="408">
        <v>130.83799999999999</v>
      </c>
      <c r="AF942" s="357">
        <v>148.29499999999999</v>
      </c>
      <c r="AG942" s="357">
        <v>153.042</v>
      </c>
      <c r="AH942" s="357">
        <v>167.75399999999999</v>
      </c>
      <c r="AI942" s="431">
        <f>AJ942</f>
        <v>195.43</v>
      </c>
      <c r="AJ942" s="408">
        <v>195.43</v>
      </c>
      <c r="AK942" s="357">
        <v>207.93100000000001</v>
      </c>
      <c r="AL942" s="357">
        <v>219.541</v>
      </c>
      <c r="AM942" s="357">
        <v>224.96799999999999</v>
      </c>
      <c r="AN942" s="431">
        <f>AO942</f>
        <v>228.721</v>
      </c>
      <c r="AO942" s="408">
        <v>228.721</v>
      </c>
      <c r="AP942" s="357">
        <v>220.4</v>
      </c>
      <c r="AQ942" s="357">
        <v>342.98500000000001</v>
      </c>
      <c r="AR942" s="357">
        <v>322.649</v>
      </c>
      <c r="AS942" s="431">
        <f>AT942</f>
        <v>292.21300000000002</v>
      </c>
      <c r="AT942" s="408">
        <v>292.21300000000002</v>
      </c>
      <c r="AU942" s="357">
        <v>355.21100000000001</v>
      </c>
      <c r="AV942" s="357">
        <v>342.69499999999999</v>
      </c>
      <c r="AW942" s="357">
        <v>328.86200000000002</v>
      </c>
      <c r="AX942" s="431">
        <f>AY942</f>
        <v>318</v>
      </c>
      <c r="AY942" s="408">
        <v>318</v>
      </c>
      <c r="AZ942" s="357">
        <v>343</v>
      </c>
      <c r="BA942" s="357">
        <v>316</v>
      </c>
      <c r="BB942" s="357">
        <v>281</v>
      </c>
      <c r="BC942" s="431">
        <f>BD942</f>
        <v>293</v>
      </c>
      <c r="BD942" s="408">
        <v>293</v>
      </c>
      <c r="BE942" s="357">
        <v>295</v>
      </c>
      <c r="BF942" s="357">
        <v>316</v>
      </c>
      <c r="BG942" s="357">
        <v>292</v>
      </c>
      <c r="BH942" s="431">
        <f t="shared" si="798"/>
        <v>289</v>
      </c>
      <c r="BI942" s="408">
        <v>289</v>
      </c>
      <c r="BJ942" s="1208">
        <v>237</v>
      </c>
      <c r="BK942" s="723">
        <f>SUM(BK940:BK941)</f>
        <v>323.15741417566886</v>
      </c>
      <c r="BL942" s="723">
        <f>SUM(BL940:BL941)</f>
        <v>287.36832103502923</v>
      </c>
      <c r="BM942" s="723">
        <f>SUM(BM940:BM941)</f>
        <v>291.16308572481881</v>
      </c>
      <c r="BN942" s="406">
        <f t="shared" ref="BN942:BV942" si="801">SUM(BN940:BN941)</f>
        <v>291.16308572481881</v>
      </c>
      <c r="BO942" s="723">
        <f t="shared" si="801"/>
        <v>242.90115341369795</v>
      </c>
      <c r="BP942" s="723">
        <f t="shared" si="801"/>
        <v>335.19338811972494</v>
      </c>
      <c r="BQ942" s="723">
        <f t="shared" si="801"/>
        <v>301.28849095360692</v>
      </c>
      <c r="BR942" s="723">
        <f t="shared" si="801"/>
        <v>308.71047324111964</v>
      </c>
      <c r="BS942" s="406">
        <f t="shared" si="801"/>
        <v>308.71047324111964</v>
      </c>
      <c r="BT942" s="406">
        <f t="shared" si="801"/>
        <v>330.50001447211889</v>
      </c>
      <c r="BU942" s="406">
        <f t="shared" si="801"/>
        <v>353.84770400700569</v>
      </c>
      <c r="BV942" s="406">
        <f t="shared" si="801"/>
        <v>378.86496347284265</v>
      </c>
      <c r="BW942" s="122"/>
    </row>
    <row r="943" spans="1:75" x14ac:dyDescent="0.5">
      <c r="A943" s="516" t="s">
        <v>1476</v>
      </c>
      <c r="B943" s="517"/>
      <c r="C943" s="518"/>
      <c r="D943" s="518"/>
      <c r="E943" s="518"/>
      <c r="F943" s="519">
        <f t="shared" ref="F943:BQ943" si="802">SUM(F936:F939,F942)</f>
        <v>140.12400000000002</v>
      </c>
      <c r="G943" s="327"/>
      <c r="H943" s="327"/>
      <c r="I943" s="327"/>
      <c r="J943" s="520">
        <f t="shared" si="802"/>
        <v>163.12699999999998</v>
      </c>
      <c r="K943" s="519">
        <f t="shared" si="802"/>
        <v>163.12699999999998</v>
      </c>
      <c r="L943" s="520">
        <f t="shared" si="802"/>
        <v>241.44399999999999</v>
      </c>
      <c r="M943" s="520">
        <f t="shared" si="802"/>
        <v>217.57499999999999</v>
      </c>
      <c r="N943" s="520">
        <f t="shared" si="802"/>
        <v>194.63199999999998</v>
      </c>
      <c r="O943" s="520">
        <f t="shared" si="802"/>
        <v>486.86799999999999</v>
      </c>
      <c r="P943" s="519">
        <f t="shared" si="802"/>
        <v>486.86799999999999</v>
      </c>
      <c r="Q943" s="520">
        <f t="shared" si="802"/>
        <v>369.24400000000003</v>
      </c>
      <c r="R943" s="520">
        <f t="shared" si="802"/>
        <v>381.63800000000009</v>
      </c>
      <c r="S943" s="520">
        <f t="shared" si="802"/>
        <v>433.101</v>
      </c>
      <c r="T943" s="520">
        <f t="shared" si="802"/>
        <v>492.32299999999998</v>
      </c>
      <c r="U943" s="519">
        <f t="shared" si="802"/>
        <v>492.32299999999998</v>
      </c>
      <c r="V943" s="520">
        <f t="shared" si="802"/>
        <v>424.24099999999999</v>
      </c>
      <c r="W943" s="520">
        <f t="shared" si="802"/>
        <v>422.68700000000007</v>
      </c>
      <c r="X943" s="520">
        <f t="shared" si="802"/>
        <v>416.10900000000004</v>
      </c>
      <c r="Y943" s="520">
        <f t="shared" si="802"/>
        <v>477.09100000000001</v>
      </c>
      <c r="Z943" s="519">
        <f t="shared" si="802"/>
        <v>477.09100000000001</v>
      </c>
      <c r="AA943" s="520">
        <f t="shared" si="802"/>
        <v>432.36199999999997</v>
      </c>
      <c r="AB943" s="520">
        <f t="shared" si="802"/>
        <v>417.24600000000004</v>
      </c>
      <c r="AC943" s="520">
        <f t="shared" si="802"/>
        <v>776.5949999999998</v>
      </c>
      <c r="AD943" s="520">
        <f t="shared" si="802"/>
        <v>816.82</v>
      </c>
      <c r="AE943" s="519">
        <f t="shared" si="802"/>
        <v>816.82</v>
      </c>
      <c r="AF943" s="520">
        <f t="shared" si="802"/>
        <v>796.87999999999988</v>
      </c>
      <c r="AG943" s="520">
        <f t="shared" si="802"/>
        <v>793.96100000000001</v>
      </c>
      <c r="AH943" s="520">
        <f t="shared" si="802"/>
        <v>763.18200000000002</v>
      </c>
      <c r="AI943" s="520">
        <f t="shared" si="802"/>
        <v>1255.9360000000001</v>
      </c>
      <c r="AJ943" s="519">
        <f t="shared" si="802"/>
        <v>1255.9360000000001</v>
      </c>
      <c r="AK943" s="520">
        <f t="shared" si="802"/>
        <v>1117.8320000000001</v>
      </c>
      <c r="AL943" s="520">
        <f t="shared" si="802"/>
        <v>1056.8999999999999</v>
      </c>
      <c r="AM943" s="520">
        <f t="shared" si="802"/>
        <v>1670.701</v>
      </c>
      <c r="AN943" s="520">
        <f t="shared" si="802"/>
        <v>1377.1380000000001</v>
      </c>
      <c r="AO943" s="519">
        <f t="shared" si="802"/>
        <v>1377.1380000000001</v>
      </c>
      <c r="AP943" s="520">
        <f t="shared" si="802"/>
        <v>1278.2110000000002</v>
      </c>
      <c r="AQ943" s="520">
        <f t="shared" si="802"/>
        <v>2879.027</v>
      </c>
      <c r="AR943" s="520">
        <f t="shared" si="802"/>
        <v>3043.4659999999999</v>
      </c>
      <c r="AS943" s="520">
        <f t="shared" si="802"/>
        <v>3045.8020000000001</v>
      </c>
      <c r="AT943" s="519">
        <f t="shared" si="802"/>
        <v>3045.8020000000001</v>
      </c>
      <c r="AU943" s="520">
        <f t="shared" si="802"/>
        <v>3216.875</v>
      </c>
      <c r="AV943" s="520">
        <f t="shared" si="802"/>
        <v>3133.86</v>
      </c>
      <c r="AW943" s="520">
        <f t="shared" si="802"/>
        <v>2955.1929999999998</v>
      </c>
      <c r="AX943" s="520">
        <f t="shared" si="802"/>
        <v>3012</v>
      </c>
      <c r="AY943" s="519">
        <f t="shared" si="802"/>
        <v>3012</v>
      </c>
      <c r="AZ943" s="520">
        <f t="shared" si="802"/>
        <v>2680</v>
      </c>
      <c r="BA943" s="520">
        <f t="shared" si="802"/>
        <v>2460</v>
      </c>
      <c r="BB943" s="520">
        <f t="shared" si="802"/>
        <v>2004</v>
      </c>
      <c r="BC943" s="520">
        <f t="shared" si="802"/>
        <v>1933</v>
      </c>
      <c r="BD943" s="519">
        <f t="shared" si="802"/>
        <v>1933</v>
      </c>
      <c r="BE943" s="520">
        <f t="shared" si="802"/>
        <v>1607</v>
      </c>
      <c r="BF943" s="520">
        <f t="shared" si="802"/>
        <v>1774</v>
      </c>
      <c r="BG943" s="520">
        <f t="shared" si="802"/>
        <v>1784</v>
      </c>
      <c r="BH943" s="520">
        <f t="shared" si="802"/>
        <v>1855</v>
      </c>
      <c r="BI943" s="519">
        <f t="shared" si="802"/>
        <v>1855</v>
      </c>
      <c r="BJ943" s="1270">
        <f>SUM(BJ936:BJ939,BJ942)</f>
        <v>1588</v>
      </c>
      <c r="BK943" s="327">
        <f t="shared" ca="1" si="802"/>
        <v>1602.8488424791105</v>
      </c>
      <c r="BL943" s="327">
        <f t="shared" ca="1" si="802"/>
        <v>1632.0831583487738</v>
      </c>
      <c r="BM943" s="327">
        <f t="shared" ca="1" si="802"/>
        <v>1513.9755926972027</v>
      </c>
      <c r="BN943" s="518">
        <f t="shared" ca="1" si="802"/>
        <v>1513.9755926972027</v>
      </c>
      <c r="BO943" s="327">
        <f t="shared" ca="1" si="802"/>
        <v>1362.4419784222246</v>
      </c>
      <c r="BP943" s="327">
        <f t="shared" ca="1" si="802"/>
        <v>1350.1850787646952</v>
      </c>
      <c r="BQ943" s="327">
        <f t="shared" ca="1" si="802"/>
        <v>1400.4879000249325</v>
      </c>
      <c r="BR943" s="327">
        <f t="shared" ref="BR943:BY943" ca="1" si="803">SUM(BR936:BR939,BR942)</f>
        <v>667.37236985022355</v>
      </c>
      <c r="BS943" s="518">
        <f t="shared" ca="1" si="803"/>
        <v>667.37236985022355</v>
      </c>
      <c r="BT943" s="518">
        <f t="shared" ca="1" si="803"/>
        <v>905.06972054313997</v>
      </c>
      <c r="BU943" s="518">
        <f t="shared" ca="1" si="803"/>
        <v>1649.449344047734</v>
      </c>
      <c r="BV943" s="518">
        <f t="shared" ca="1" si="803"/>
        <v>2682.4934649503689</v>
      </c>
      <c r="BW943" s="197"/>
    </row>
    <row r="944" spans="1:75" x14ac:dyDescent="0.5">
      <c r="A944" s="206"/>
      <c r="B944" s="522"/>
      <c r="C944" s="397"/>
      <c r="D944" s="397"/>
      <c r="E944" s="397"/>
      <c r="F944" s="397"/>
      <c r="G944" s="295"/>
      <c r="H944" s="295"/>
      <c r="I944" s="295"/>
      <c r="J944" s="295"/>
      <c r="K944" s="397"/>
      <c r="L944" s="295"/>
      <c r="M944" s="295"/>
      <c r="N944" s="295"/>
      <c r="O944" s="295"/>
      <c r="P944" s="397"/>
      <c r="Q944" s="295"/>
      <c r="R944" s="295"/>
      <c r="S944" s="295"/>
      <c r="T944" s="295"/>
      <c r="U944" s="397"/>
      <c r="V944" s="295"/>
      <c r="W944" s="295"/>
      <c r="X944" s="295"/>
      <c r="Y944" s="295"/>
      <c r="Z944" s="397"/>
      <c r="AA944" s="295"/>
      <c r="AB944" s="295"/>
      <c r="AC944" s="295"/>
      <c r="AD944" s="295"/>
      <c r="AE944" s="397"/>
      <c r="AF944" s="295"/>
      <c r="AG944" s="295"/>
      <c r="AH944" s="295"/>
      <c r="AI944" s="295"/>
      <c r="AJ944" s="397"/>
      <c r="AK944" s="295"/>
      <c r="AL944" s="295"/>
      <c r="AM944" s="295"/>
      <c r="AN944" s="295"/>
      <c r="AO944" s="397"/>
      <c r="AP944" s="295"/>
      <c r="AQ944" s="295"/>
      <c r="AR944" s="295"/>
      <c r="AS944" s="295"/>
      <c r="AT944" s="397"/>
      <c r="AU944" s="295"/>
      <c r="AV944" s="295"/>
      <c r="AW944" s="295"/>
      <c r="AX944" s="295"/>
      <c r="AY944" s="397"/>
      <c r="AZ944" s="295"/>
      <c r="BA944" s="295"/>
      <c r="BB944" s="295"/>
      <c r="BC944" s="295"/>
      <c r="BD944" s="397"/>
      <c r="BE944" s="295"/>
      <c r="BF944" s="295"/>
      <c r="BG944" s="295"/>
      <c r="BH944" s="295"/>
      <c r="BI944" s="397"/>
      <c r="BJ944" s="1030"/>
      <c r="BK944" s="295"/>
      <c r="BL944" s="295"/>
      <c r="BM944" s="295"/>
      <c r="BN944" s="397"/>
      <c r="BO944" s="295"/>
      <c r="BP944" s="295"/>
      <c r="BQ944" s="295"/>
      <c r="BR944" s="295"/>
      <c r="BS944" s="397"/>
      <c r="BT944" s="397"/>
      <c r="BU944" s="397"/>
      <c r="BV944" s="397"/>
      <c r="BW944" s="197"/>
    </row>
    <row r="945" spans="1:75" x14ac:dyDescent="0.5">
      <c r="A945" s="670" t="s">
        <v>1477</v>
      </c>
      <c r="B945" s="522"/>
      <c r="C945" s="397"/>
      <c r="D945" s="397"/>
      <c r="E945" s="397"/>
      <c r="F945" s="397"/>
      <c r="G945" s="295"/>
      <c r="H945" s="295"/>
      <c r="I945" s="295"/>
      <c r="J945" s="295"/>
      <c r="K945" s="397"/>
      <c r="L945" s="295"/>
      <c r="M945" s="295"/>
      <c r="N945" s="295"/>
      <c r="O945" s="295"/>
      <c r="P945" s="397"/>
      <c r="Q945" s="295"/>
      <c r="R945" s="295"/>
      <c r="S945" s="295"/>
      <c r="T945" s="295"/>
      <c r="U945" s="397"/>
      <c r="V945" s="295"/>
      <c r="W945" s="295"/>
      <c r="X945" s="295"/>
      <c r="Y945" s="295"/>
      <c r="Z945" s="397"/>
      <c r="AA945" s="295"/>
      <c r="AB945" s="295"/>
      <c r="AC945" s="295"/>
      <c r="AD945" s="295"/>
      <c r="AE945" s="397"/>
      <c r="AF945" s="295"/>
      <c r="AG945" s="295"/>
      <c r="AH945" s="295"/>
      <c r="AI945" s="295"/>
      <c r="AJ945" s="397"/>
      <c r="AK945" s="295"/>
      <c r="AL945" s="295"/>
      <c r="AM945" s="295"/>
      <c r="AN945" s="295"/>
      <c r="AO945" s="397"/>
      <c r="AP945" s="295"/>
      <c r="AQ945" s="295"/>
      <c r="AR945" s="295"/>
      <c r="AS945" s="295"/>
      <c r="AT945" s="397"/>
      <c r="AU945" s="295"/>
      <c r="AV945" s="295"/>
      <c r="AW945" s="295"/>
      <c r="AX945" s="295"/>
      <c r="AY945" s="397"/>
      <c r="AZ945" s="295"/>
      <c r="BA945" s="295"/>
      <c r="BB945" s="295"/>
      <c r="BC945" s="295"/>
      <c r="BD945" s="397"/>
      <c r="BE945" s="295"/>
      <c r="BF945" s="295"/>
      <c r="BG945" s="295"/>
      <c r="BH945" s="295"/>
      <c r="BI945" s="397"/>
      <c r="BJ945" s="1030"/>
      <c r="BK945" s="295"/>
      <c r="BL945" s="295"/>
      <c r="BM945" s="295"/>
      <c r="BN945" s="397">
        <f t="shared" ref="BN945:BR953" si="804">BM945</f>
        <v>0</v>
      </c>
      <c r="BO945" s="295"/>
      <c r="BP945" s="295"/>
      <c r="BQ945" s="295"/>
      <c r="BR945" s="295"/>
      <c r="BS945" s="397">
        <f t="shared" ref="BS945:BV953" si="805">BR945</f>
        <v>0</v>
      </c>
      <c r="BT945" s="397"/>
      <c r="BU945" s="397"/>
      <c r="BV945" s="397"/>
      <c r="BW945" s="197"/>
    </row>
    <row r="946" spans="1:75" x14ac:dyDescent="0.5">
      <c r="A946" s="464" t="s">
        <v>2153</v>
      </c>
      <c r="B946" s="513"/>
      <c r="C946" s="401"/>
      <c r="D946" s="401"/>
      <c r="E946" s="401"/>
      <c r="F946" s="403">
        <v>18.37</v>
      </c>
      <c r="G946" s="118"/>
      <c r="H946" s="118"/>
      <c r="I946" s="118"/>
      <c r="J946" s="122">
        <f>K946</f>
        <v>22.088000000000001</v>
      </c>
      <c r="K946" s="403">
        <v>22.088000000000001</v>
      </c>
      <c r="L946" s="302">
        <v>32.182000000000002</v>
      </c>
      <c r="M946" s="302">
        <v>44.140999999999998</v>
      </c>
      <c r="N946" s="302">
        <v>50.027000000000001</v>
      </c>
      <c r="O946" s="302">
        <v>60.639000000000003</v>
      </c>
      <c r="P946" s="403">
        <v>60.639000000000003</v>
      </c>
      <c r="Q946" s="302">
        <v>74.983000000000004</v>
      </c>
      <c r="R946" s="302">
        <v>76.367000000000004</v>
      </c>
      <c r="S946" s="302">
        <v>88.641999999999996</v>
      </c>
      <c r="T946" s="122">
        <f>U946</f>
        <v>112.325</v>
      </c>
      <c r="U946" s="403">
        <v>112.325</v>
      </c>
      <c r="V946" s="302">
        <v>162.59399999999999</v>
      </c>
      <c r="W946" s="302">
        <v>179.142</v>
      </c>
      <c r="X946" s="302">
        <v>211.285</v>
      </c>
      <c r="Y946" s="122">
        <f>Z946</f>
        <v>239.35400000000001</v>
      </c>
      <c r="Z946" s="403">
        <v>239.35400000000001</v>
      </c>
      <c r="AA946" s="302">
        <v>263.315</v>
      </c>
      <c r="AB946" s="302">
        <v>295.36799999999999</v>
      </c>
      <c r="AC946" s="302">
        <v>318.87299999999999</v>
      </c>
      <c r="AD946" s="122">
        <f>AE946</f>
        <v>361.14100000000002</v>
      </c>
      <c r="AE946" s="403">
        <v>361.14100000000002</v>
      </c>
      <c r="AF946" s="302">
        <v>404.30900000000003</v>
      </c>
      <c r="AG946" s="302">
        <v>468.42200000000003</v>
      </c>
      <c r="AH946" s="302">
        <v>509.661</v>
      </c>
      <c r="AI946" s="122">
        <f>AJ946</f>
        <v>606.97699999999998</v>
      </c>
      <c r="AJ946" s="403">
        <v>606.97699999999998</v>
      </c>
      <c r="AK946" s="302">
        <v>430.548</v>
      </c>
      <c r="AL946" s="302">
        <v>480.49200000000002</v>
      </c>
      <c r="AM946" s="302">
        <v>547.05600000000004</v>
      </c>
      <c r="AN946" s="122">
        <f t="shared" ref="AN946:AN953" si="806">AO946</f>
        <v>624.54399999999998</v>
      </c>
      <c r="AO946" s="403">
        <v>624.54399999999998</v>
      </c>
      <c r="AP946" s="302">
        <v>661.21600000000001</v>
      </c>
      <c r="AQ946" s="302">
        <v>667.45600000000002</v>
      </c>
      <c r="AR946" s="302">
        <v>682.05700000000002</v>
      </c>
      <c r="AS946" s="122">
        <f t="shared" ref="AS946:AS953" si="807">AT946</f>
        <v>684.30600000000004</v>
      </c>
      <c r="AT946" s="403">
        <v>684.30600000000004</v>
      </c>
      <c r="AU946" s="302">
        <v>665.17700000000002</v>
      </c>
      <c r="AV946" s="302">
        <v>663.98699999999997</v>
      </c>
      <c r="AW946" s="302">
        <v>653.673</v>
      </c>
      <c r="AX946" s="122">
        <f t="shared" ref="AX946:AX953" si="808">AY946</f>
        <v>674</v>
      </c>
      <c r="AY946" s="403">
        <v>674</v>
      </c>
      <c r="AZ946" s="302">
        <v>698</v>
      </c>
      <c r="BA946" s="302">
        <v>730</v>
      </c>
      <c r="BB946" s="302">
        <v>763</v>
      </c>
      <c r="BC946" s="122">
        <f t="shared" ref="BC946:BC953" si="809">BD946</f>
        <v>774</v>
      </c>
      <c r="BD946" s="403">
        <v>774</v>
      </c>
      <c r="BE946" s="302">
        <v>762</v>
      </c>
      <c r="BF946" s="302">
        <v>759</v>
      </c>
      <c r="BG946" s="302">
        <v>751</v>
      </c>
      <c r="BH946" s="122">
        <f t="shared" ref="BH946:BH953" si="810">BI946</f>
        <v>748</v>
      </c>
      <c r="BI946" s="403">
        <v>748</v>
      </c>
      <c r="BJ946" s="1207">
        <v>714</v>
      </c>
      <c r="BK946" s="118">
        <f>BJ946-BK860-BK861+BK914+BK915</f>
        <v>703.78549180327866</v>
      </c>
      <c r="BL946" s="118">
        <f>BK946-BL860-BL861+BL914+BL915</f>
        <v>701.01118610588549</v>
      </c>
      <c r="BM946" s="118">
        <f>BL946-BM860-BM861+BM914+BM915</f>
        <v>698.62043196119203</v>
      </c>
      <c r="BN946" s="401">
        <f t="shared" si="804"/>
        <v>698.62043196119203</v>
      </c>
      <c r="BO946" s="118">
        <f>BN946-BO860-BO861+BO914+BO915</f>
        <v>698.40101721577003</v>
      </c>
      <c r="BP946" s="118">
        <f>BO946-BP860-BP861+BP914+BP915</f>
        <v>697.15897362221028</v>
      </c>
      <c r="BQ946" s="118">
        <f>BP946-BQ860-BQ861+BQ914+BQ915</f>
        <v>695.03672960773395</v>
      </c>
      <c r="BR946" s="118">
        <f>BQ946-BR860-BR861+BR914+BR915</f>
        <v>693.20869257170284</v>
      </c>
      <c r="BS946" s="401">
        <f t="shared" si="805"/>
        <v>693.20869257170284</v>
      </c>
      <c r="BT946" s="401">
        <f>BS946-BT860-BT861+BT914+BT915</f>
        <v>682.33741069368216</v>
      </c>
      <c r="BU946" s="401">
        <f>BT946-BU860-BU861+BU914+BU915</f>
        <v>677.56619145634113</v>
      </c>
      <c r="BV946" s="401">
        <f>BU946-BV860-BV861+BV914+BV915</f>
        <v>675.47218513158577</v>
      </c>
      <c r="BW946" s="122"/>
    </row>
    <row r="947" spans="1:75" hidden="1" outlineLevel="1" x14ac:dyDescent="0.5">
      <c r="A947" s="541" t="s">
        <v>2683</v>
      </c>
      <c r="B947" s="513"/>
      <c r="C947" s="401"/>
      <c r="D947" s="401"/>
      <c r="E947" s="401"/>
      <c r="F947" s="403">
        <v>0.78</v>
      </c>
      <c r="G947" s="118"/>
      <c r="H947" s="118"/>
      <c r="I947" s="118"/>
      <c r="J947" s="122">
        <f>K947</f>
        <v>3.919</v>
      </c>
      <c r="K947" s="403">
        <v>3.919</v>
      </c>
      <c r="L947" s="302">
        <v>3.661</v>
      </c>
      <c r="M947" s="302">
        <v>3.4159999999999999</v>
      </c>
      <c r="N947" s="302">
        <v>3.0990000000000002</v>
      </c>
      <c r="O947" s="122">
        <f>P947</f>
        <v>2.8540000000000001</v>
      </c>
      <c r="P947" s="403">
        <v>2.8540000000000001</v>
      </c>
      <c r="Q947" s="302">
        <v>2.589</v>
      </c>
      <c r="R947" s="302">
        <v>2.3519999999999999</v>
      </c>
      <c r="S947" s="302">
        <v>1.9750000000000001</v>
      </c>
      <c r="T947" s="122">
        <f>U947</f>
        <v>1.778</v>
      </c>
      <c r="U947" s="403">
        <v>1.778</v>
      </c>
      <c r="V947" s="302">
        <v>1.581</v>
      </c>
      <c r="W947" s="302">
        <v>1.385</v>
      </c>
      <c r="X947" s="302">
        <v>2.6059999999999999</v>
      </c>
      <c r="Y947" s="122">
        <f>Z947</f>
        <v>2.306</v>
      </c>
      <c r="Z947" s="403">
        <v>2.306</v>
      </c>
      <c r="AA947" s="302">
        <v>2.0249999999999999</v>
      </c>
      <c r="AB947" s="302">
        <v>1.744</v>
      </c>
      <c r="AC947" s="302">
        <v>1.462</v>
      </c>
      <c r="AD947" s="122">
        <f>AE947</f>
        <v>1.181</v>
      </c>
      <c r="AE947" s="403">
        <v>1.181</v>
      </c>
      <c r="AF947" s="302">
        <v>1.119</v>
      </c>
      <c r="AG947" s="302">
        <v>0.81899999999999995</v>
      </c>
      <c r="AH947" s="302">
        <v>0.625</v>
      </c>
      <c r="AI947" s="122">
        <f>AJ947</f>
        <v>0.48599999999999999</v>
      </c>
      <c r="AJ947" s="403">
        <v>0.48599999999999999</v>
      </c>
      <c r="AK947" s="302">
        <v>0.3</v>
      </c>
      <c r="AL947" s="302">
        <v>0.2</v>
      </c>
      <c r="AM947" s="302">
        <v>18.8</v>
      </c>
      <c r="AN947" s="122">
        <f t="shared" si="806"/>
        <v>18.399999999999999</v>
      </c>
      <c r="AO947" s="403">
        <v>18.399999999999999</v>
      </c>
      <c r="AP947" s="302">
        <v>18</v>
      </c>
      <c r="AQ947" s="302">
        <v>17.600000000000001</v>
      </c>
      <c r="AR947" s="302">
        <v>17.2</v>
      </c>
      <c r="AS947" s="122">
        <f t="shared" si="807"/>
        <v>16.863000000000003</v>
      </c>
      <c r="AT947" s="674">
        <f>AT949-AT948</f>
        <v>16.863000000000003</v>
      </c>
      <c r="AU947" s="302">
        <v>16.899999999999999</v>
      </c>
      <c r="AV947" s="302">
        <v>16.899999999999999</v>
      </c>
      <c r="AW947" s="302">
        <v>16.899999999999999</v>
      </c>
      <c r="AX947" s="122">
        <f t="shared" si="808"/>
        <v>15.636999999999997</v>
      </c>
      <c r="AY947" s="674">
        <f>AY949-AY948</f>
        <v>15.636999999999997</v>
      </c>
      <c r="AZ947" s="118">
        <f>AY947</f>
        <v>15.636999999999997</v>
      </c>
      <c r="BA947" s="118">
        <f>AZ947</f>
        <v>15.636999999999997</v>
      </c>
      <c r="BB947" s="118">
        <f>BA947</f>
        <v>15.636999999999997</v>
      </c>
      <c r="BC947" s="122">
        <f t="shared" si="809"/>
        <v>14.636999999999997</v>
      </c>
      <c r="BD947" s="674">
        <f>BD949-BD948</f>
        <v>14.636999999999997</v>
      </c>
      <c r="BE947" s="118">
        <f>BD947</f>
        <v>14.636999999999997</v>
      </c>
      <c r="BF947" s="118">
        <f>BE947</f>
        <v>14.636999999999997</v>
      </c>
      <c r="BG947" s="118">
        <f>BF947</f>
        <v>14.636999999999997</v>
      </c>
      <c r="BH947" s="122">
        <f t="shared" si="810"/>
        <v>13.636999999999997</v>
      </c>
      <c r="BI947" s="674">
        <f>BI949-BI948</f>
        <v>13.636999999999997</v>
      </c>
      <c r="BJ947" s="971">
        <f>BI947</f>
        <v>13.636999999999997</v>
      </c>
      <c r="BK947" s="118">
        <f>BJ947+BK920+BK921</f>
        <v>13.772937978142073</v>
      </c>
      <c r="BL947" s="118">
        <f>BK947+BL920+BL921</f>
        <v>14.040214979127471</v>
      </c>
      <c r="BM947" s="118">
        <f>BL947+BM920+BM921</f>
        <v>14.303460917147188</v>
      </c>
      <c r="BN947" s="401">
        <f t="shared" si="804"/>
        <v>14.303460917147188</v>
      </c>
      <c r="BO947" s="118">
        <f>BN947+BO920+BO921</f>
        <v>14.566848070701722</v>
      </c>
      <c r="BP947" s="118">
        <f>BO947+BP920+BP921</f>
        <v>14.823943987233143</v>
      </c>
      <c r="BQ947" s="118">
        <f>BP947+BQ920+BQ921</f>
        <v>15.074757217891973</v>
      </c>
      <c r="BR947" s="118">
        <f>BQ947+BR920+BR921</f>
        <v>15.321777327911798</v>
      </c>
      <c r="BS947" s="401">
        <f t="shared" si="805"/>
        <v>15.321777327911798</v>
      </c>
      <c r="BT947" s="401">
        <f>BS947+BT920+BT921</f>
        <v>16.271827133581265</v>
      </c>
      <c r="BU947" s="401">
        <f>BT947+BU920+BU921</f>
        <v>17.162973851299228</v>
      </c>
      <c r="BV947" s="401">
        <f>BU947+BV920+BV921</f>
        <v>17.998869472518674</v>
      </c>
      <c r="BW947" s="122"/>
    </row>
    <row r="948" spans="1:75" hidden="1" outlineLevel="1" x14ac:dyDescent="0.5">
      <c r="A948" s="676" t="s">
        <v>1480</v>
      </c>
      <c r="B948" s="677"/>
      <c r="C948" s="406"/>
      <c r="D948" s="406"/>
      <c r="E948" s="406"/>
      <c r="F948" s="408">
        <v>3.42</v>
      </c>
      <c r="G948" s="723"/>
      <c r="H948" s="723"/>
      <c r="I948" s="723"/>
      <c r="J948" s="431">
        <f>K948</f>
        <v>5.165</v>
      </c>
      <c r="K948" s="408">
        <v>5.165</v>
      </c>
      <c r="L948" s="357">
        <v>5.165</v>
      </c>
      <c r="M948" s="357">
        <v>5.165</v>
      </c>
      <c r="N948" s="431">
        <f t="shared" ref="N948:S948" si="811">N949-N947</f>
        <v>4.6289999999999996</v>
      </c>
      <c r="O948" s="431">
        <f t="shared" si="811"/>
        <v>3.6239999999999997</v>
      </c>
      <c r="P948" s="1293">
        <f t="shared" si="811"/>
        <v>3.6239999999999997</v>
      </c>
      <c r="Q948" s="431">
        <f t="shared" si="811"/>
        <v>3.5260000000000002</v>
      </c>
      <c r="R948" s="431">
        <f t="shared" si="811"/>
        <v>3.52</v>
      </c>
      <c r="S948" s="431">
        <f t="shared" si="811"/>
        <v>1.9239999999999999</v>
      </c>
      <c r="T948" s="431">
        <f>U948</f>
        <v>1.9239999999999999</v>
      </c>
      <c r="U948" s="1293">
        <f>U949-U947</f>
        <v>1.9239999999999999</v>
      </c>
      <c r="V948" s="431">
        <f>V949-V947</f>
        <v>1.9239999999999999</v>
      </c>
      <c r="W948" s="431">
        <f>W949-W947</f>
        <v>1.9240000000000002</v>
      </c>
      <c r="X948" s="431">
        <f>X949-X947</f>
        <v>1.9240000000000004</v>
      </c>
      <c r="Y948" s="431">
        <f>Z948</f>
        <v>1.9240000000000004</v>
      </c>
      <c r="Z948" s="1293">
        <f>Z949-Z947</f>
        <v>1.9240000000000004</v>
      </c>
      <c r="AA948" s="431">
        <f>AA949-AA947</f>
        <v>1.9239999999999999</v>
      </c>
      <c r="AB948" s="431">
        <f>AB949-AB947</f>
        <v>1.9240000000000002</v>
      </c>
      <c r="AC948" s="431">
        <f>AC949-AC947</f>
        <v>1.9240000000000002</v>
      </c>
      <c r="AD948" s="431">
        <f>AE948</f>
        <v>1.9239999999999999</v>
      </c>
      <c r="AE948" s="1293">
        <f>AE949-AE947</f>
        <v>1.9239999999999999</v>
      </c>
      <c r="AF948" s="431">
        <f>AF949-AF947</f>
        <v>2.0990000000000002</v>
      </c>
      <c r="AG948" s="431">
        <f>AG949-AG947</f>
        <v>2.0990000000000002</v>
      </c>
      <c r="AH948" s="431">
        <f>AH949-AH947</f>
        <v>2.0990000000000002</v>
      </c>
      <c r="AI948" s="431">
        <f>AJ948</f>
        <v>2.0990000000000002</v>
      </c>
      <c r="AJ948" s="1293">
        <f>AJ949-AJ947</f>
        <v>2.0990000000000002</v>
      </c>
      <c r="AK948" s="431">
        <f>AK949-AK947</f>
        <v>0.39999999999999997</v>
      </c>
      <c r="AL948" s="431">
        <f>AL949-AL947</f>
        <v>0.36000000000000004</v>
      </c>
      <c r="AM948" s="431">
        <f>AM949-AM947</f>
        <v>0.41099999999999781</v>
      </c>
      <c r="AN948" s="431">
        <f t="shared" si="806"/>
        <v>0.40900000000000247</v>
      </c>
      <c r="AO948" s="1293">
        <f>AO949-AO947</f>
        <v>0.40900000000000247</v>
      </c>
      <c r="AP948" s="431">
        <f>AP949-AP947</f>
        <v>0.40800000000000125</v>
      </c>
      <c r="AQ948" s="431">
        <f>AQ949-AQ947</f>
        <v>0.40700000000000003</v>
      </c>
      <c r="AR948" s="431">
        <f>AR949-AR947</f>
        <v>0.40500000000000114</v>
      </c>
      <c r="AS948" s="431">
        <f t="shared" si="807"/>
        <v>0.4</v>
      </c>
      <c r="AT948" s="408">
        <v>0.4</v>
      </c>
      <c r="AU948" s="431">
        <f>AU949-AU947</f>
        <v>0.3630000000000031</v>
      </c>
      <c r="AV948" s="431">
        <f>AV949-AV947</f>
        <v>0.3630000000000031</v>
      </c>
      <c r="AW948" s="431">
        <f>AW949-AW947</f>
        <v>0.3630000000000031</v>
      </c>
      <c r="AX948" s="431">
        <f t="shared" si="808"/>
        <v>0.3630000000000031</v>
      </c>
      <c r="AY948" s="1293">
        <f>AW948</f>
        <v>0.3630000000000031</v>
      </c>
      <c r="AZ948" s="431">
        <f>AZ949-AZ947</f>
        <v>0.3630000000000031</v>
      </c>
      <c r="BA948" s="431">
        <f>BA949-BA947</f>
        <v>0.3630000000000031</v>
      </c>
      <c r="BB948" s="431">
        <f>BB949-BB947</f>
        <v>0.3630000000000031</v>
      </c>
      <c r="BC948" s="431">
        <f t="shared" si="809"/>
        <v>0.3630000000000031</v>
      </c>
      <c r="BD948" s="1293">
        <f>BB948</f>
        <v>0.3630000000000031</v>
      </c>
      <c r="BE948" s="431">
        <f>BE949-BE947</f>
        <v>0.3630000000000031</v>
      </c>
      <c r="BF948" s="431">
        <f>BF949-BF947</f>
        <v>0.3630000000000031</v>
      </c>
      <c r="BG948" s="431">
        <f>BG949-BG947</f>
        <v>0.3630000000000031</v>
      </c>
      <c r="BH948" s="431">
        <f t="shared" si="810"/>
        <v>0.3630000000000031</v>
      </c>
      <c r="BI948" s="1293">
        <f>BG948</f>
        <v>0.3630000000000031</v>
      </c>
      <c r="BJ948" s="1294">
        <f>BJ949-BJ947</f>
        <v>0.3630000000000031</v>
      </c>
      <c r="BK948" s="723">
        <f>BJ948</f>
        <v>0.3630000000000031</v>
      </c>
      <c r="BL948" s="723">
        <f>BK948</f>
        <v>0.3630000000000031</v>
      </c>
      <c r="BM948" s="723">
        <f>BL948</f>
        <v>0.3630000000000031</v>
      </c>
      <c r="BN948" s="406">
        <f t="shared" si="804"/>
        <v>0.3630000000000031</v>
      </c>
      <c r="BO948" s="723">
        <f>BN948</f>
        <v>0.3630000000000031</v>
      </c>
      <c r="BP948" s="723">
        <f>BO948</f>
        <v>0.3630000000000031</v>
      </c>
      <c r="BQ948" s="723">
        <f>BP948</f>
        <v>0.3630000000000031</v>
      </c>
      <c r="BR948" s="723">
        <f>BQ948</f>
        <v>0.3630000000000031</v>
      </c>
      <c r="BS948" s="406">
        <f t="shared" si="805"/>
        <v>0.3630000000000031</v>
      </c>
      <c r="BT948" s="406">
        <f>BS948</f>
        <v>0.3630000000000031</v>
      </c>
      <c r="BU948" s="406">
        <f>BT948</f>
        <v>0.3630000000000031</v>
      </c>
      <c r="BV948" s="406">
        <f>BU948</f>
        <v>0.3630000000000031</v>
      </c>
      <c r="BW948" s="122"/>
    </row>
    <row r="949" spans="1:75" collapsed="1" x14ac:dyDescent="0.5">
      <c r="A949" s="464" t="s">
        <v>2684</v>
      </c>
      <c r="B949" s="513"/>
      <c r="C949" s="401"/>
      <c r="D949" s="401"/>
      <c r="E949" s="401"/>
      <c r="F949" s="674">
        <f>SUM(F947:F948)</f>
        <v>4.2</v>
      </c>
      <c r="G949" s="118"/>
      <c r="H949" s="118"/>
      <c r="I949" s="118"/>
      <c r="J949" s="122">
        <f>SUM(J947:J948)</f>
        <v>9.0839999999999996</v>
      </c>
      <c r="K949" s="674">
        <f>SUM(K947:K948)</f>
        <v>9.0839999999999996</v>
      </c>
      <c r="L949" s="122">
        <f>SUM(L947:L948)</f>
        <v>8.8260000000000005</v>
      </c>
      <c r="M949" s="122">
        <f>SUM(M947:M948)</f>
        <v>8.5809999999999995</v>
      </c>
      <c r="N949" s="302">
        <f>3.099+4.629</f>
        <v>7.7279999999999998</v>
      </c>
      <c r="O949" s="302">
        <v>6.4779999999999998</v>
      </c>
      <c r="P949" s="403">
        <v>6.4779999999999998</v>
      </c>
      <c r="Q949" s="302">
        <v>6.1150000000000002</v>
      </c>
      <c r="R949" s="302">
        <v>5.8719999999999999</v>
      </c>
      <c r="S949" s="302">
        <v>3.899</v>
      </c>
      <c r="T949" s="122">
        <f>U949</f>
        <v>3.702</v>
      </c>
      <c r="U949" s="403">
        <v>3.702</v>
      </c>
      <c r="V949" s="302">
        <v>3.5049999999999999</v>
      </c>
      <c r="W949" s="302">
        <v>3.3090000000000002</v>
      </c>
      <c r="X949" s="302">
        <v>4.53</v>
      </c>
      <c r="Y949" s="122">
        <f>Z949</f>
        <v>4.2300000000000004</v>
      </c>
      <c r="Z949" s="403">
        <v>4.2300000000000004</v>
      </c>
      <c r="AA949" s="302">
        <v>3.9489999999999998</v>
      </c>
      <c r="AB949" s="302">
        <v>3.6680000000000001</v>
      </c>
      <c r="AC949" s="302">
        <v>3.3860000000000001</v>
      </c>
      <c r="AD949" s="122">
        <f>AE949</f>
        <v>3.105</v>
      </c>
      <c r="AE949" s="403">
        <v>3.105</v>
      </c>
      <c r="AF949" s="302">
        <v>3.218</v>
      </c>
      <c r="AG949" s="302">
        <v>2.9180000000000001</v>
      </c>
      <c r="AH949" s="302">
        <v>2.7240000000000002</v>
      </c>
      <c r="AI949" s="122">
        <f>AJ949</f>
        <v>2.585</v>
      </c>
      <c r="AJ949" s="403">
        <v>2.585</v>
      </c>
      <c r="AK949" s="302">
        <v>0.7</v>
      </c>
      <c r="AL949" s="302">
        <v>0.56000000000000005</v>
      </c>
      <c r="AM949" s="302">
        <v>19.210999999999999</v>
      </c>
      <c r="AN949" s="122">
        <f t="shared" si="806"/>
        <v>18.809000000000001</v>
      </c>
      <c r="AO949" s="403">
        <v>18.809000000000001</v>
      </c>
      <c r="AP949" s="302">
        <v>18.408000000000001</v>
      </c>
      <c r="AQ949" s="302">
        <v>18.007000000000001</v>
      </c>
      <c r="AR949" s="302">
        <v>17.605</v>
      </c>
      <c r="AS949" s="122">
        <f t="shared" si="807"/>
        <v>17.263000000000002</v>
      </c>
      <c r="AT949" s="403">
        <v>17.263000000000002</v>
      </c>
      <c r="AU949" s="122">
        <f>AT949</f>
        <v>17.263000000000002</v>
      </c>
      <c r="AV949" s="122">
        <f>AU949</f>
        <v>17.263000000000002</v>
      </c>
      <c r="AW949" s="122">
        <f>AV949</f>
        <v>17.263000000000002</v>
      </c>
      <c r="AX949" s="122">
        <f t="shared" si="808"/>
        <v>16</v>
      </c>
      <c r="AY949" s="403">
        <v>16</v>
      </c>
      <c r="AZ949" s="122">
        <f>AY949</f>
        <v>16</v>
      </c>
      <c r="BA949" s="122">
        <f>AZ949</f>
        <v>16</v>
      </c>
      <c r="BB949" s="122">
        <f>BA949</f>
        <v>16</v>
      </c>
      <c r="BC949" s="122">
        <f t="shared" si="809"/>
        <v>15</v>
      </c>
      <c r="BD949" s="403">
        <v>15</v>
      </c>
      <c r="BE949" s="122">
        <f>BD949</f>
        <v>15</v>
      </c>
      <c r="BF949" s="122">
        <f>BE949</f>
        <v>15</v>
      </c>
      <c r="BG949" s="122">
        <f>BF949</f>
        <v>15</v>
      </c>
      <c r="BH949" s="122">
        <f t="shared" si="810"/>
        <v>14</v>
      </c>
      <c r="BI949" s="403">
        <v>14</v>
      </c>
      <c r="BJ949" s="1274">
        <f>BI949</f>
        <v>14</v>
      </c>
      <c r="BK949" s="118">
        <f>SUM(BK947:BK948)</f>
        <v>14.135937978142076</v>
      </c>
      <c r="BL949" s="118">
        <f>SUM(BL947:BL948)</f>
        <v>14.403214979127474</v>
      </c>
      <c r="BM949" s="118">
        <f>SUM(BM947:BM948)</f>
        <v>14.666460917147191</v>
      </c>
      <c r="BN949" s="401">
        <f t="shared" si="804"/>
        <v>14.666460917147191</v>
      </c>
      <c r="BO949" s="118">
        <f>SUM(BO947:BO948)</f>
        <v>14.929848070701725</v>
      </c>
      <c r="BP949" s="118">
        <f>SUM(BP947:BP948)</f>
        <v>15.186943987233146</v>
      </c>
      <c r="BQ949" s="118">
        <f>SUM(BQ947:BQ948)</f>
        <v>15.437757217891976</v>
      </c>
      <c r="BR949" s="118">
        <f>SUM(BR947:BR948)</f>
        <v>15.684777327911801</v>
      </c>
      <c r="BS949" s="401">
        <f t="shared" si="805"/>
        <v>15.684777327911801</v>
      </c>
      <c r="BT949" s="401">
        <f>SUM(BT947:BT948)</f>
        <v>16.634827133581268</v>
      </c>
      <c r="BU949" s="401">
        <f>SUM(BU947:BU948)</f>
        <v>17.525973851299231</v>
      </c>
      <c r="BV949" s="401">
        <f>SUM(BV947:BV948)</f>
        <v>18.361869472518677</v>
      </c>
      <c r="BW949" s="122"/>
    </row>
    <row r="950" spans="1:75" x14ac:dyDescent="0.5">
      <c r="A950" s="464" t="s">
        <v>2154</v>
      </c>
      <c r="B950" s="513"/>
      <c r="C950" s="401"/>
      <c r="D950" s="401"/>
      <c r="E950" s="401"/>
      <c r="F950" s="401"/>
      <c r="G950" s="118"/>
      <c r="H950" s="118"/>
      <c r="I950" s="118"/>
      <c r="J950" s="118"/>
      <c r="K950" s="401"/>
      <c r="L950" s="118"/>
      <c r="M950" s="118"/>
      <c r="N950" s="118"/>
      <c r="O950" s="118"/>
      <c r="P950" s="401"/>
      <c r="Q950" s="118"/>
      <c r="R950" s="118"/>
      <c r="S950" s="118"/>
      <c r="T950" s="118"/>
      <c r="U950" s="401"/>
      <c r="V950" s="118"/>
      <c r="W950" s="118"/>
      <c r="X950" s="118"/>
      <c r="Y950" s="118"/>
      <c r="Z950" s="401"/>
      <c r="AA950" s="118"/>
      <c r="AB950" s="118"/>
      <c r="AC950" s="118"/>
      <c r="AD950" s="118"/>
      <c r="AE950" s="401"/>
      <c r="AF950" s="118"/>
      <c r="AG950" s="118"/>
      <c r="AH950" s="118"/>
      <c r="AI950" s="118"/>
      <c r="AJ950" s="401"/>
      <c r="AK950" s="302">
        <v>552.03300000000002</v>
      </c>
      <c r="AL950" s="302">
        <v>630.73099999999999</v>
      </c>
      <c r="AM950" s="302">
        <v>756.71600000000001</v>
      </c>
      <c r="AN950" s="122">
        <f t="shared" si="806"/>
        <v>763.4</v>
      </c>
      <c r="AO950" s="403">
        <v>763.4</v>
      </c>
      <c r="AP950" s="302">
        <v>780.11800000000005</v>
      </c>
      <c r="AQ950" s="302">
        <v>802.45600000000002</v>
      </c>
      <c r="AR950" s="302">
        <v>802.36900000000003</v>
      </c>
      <c r="AS950" s="122">
        <f t="shared" si="807"/>
        <v>808.375</v>
      </c>
      <c r="AT950" s="403">
        <v>808.375</v>
      </c>
      <c r="AU950" s="302">
        <v>858.29700000000003</v>
      </c>
      <c r="AV950" s="302">
        <v>842.67</v>
      </c>
      <c r="AW950" s="302">
        <v>816.95100000000002</v>
      </c>
      <c r="AX950" s="122">
        <f t="shared" si="808"/>
        <v>849</v>
      </c>
      <c r="AY950" s="403">
        <v>849</v>
      </c>
      <c r="AZ950" s="302">
        <v>844</v>
      </c>
      <c r="BA950" s="302">
        <v>876</v>
      </c>
      <c r="BB950" s="302">
        <v>852</v>
      </c>
      <c r="BC950" s="122">
        <f t="shared" si="809"/>
        <v>839</v>
      </c>
      <c r="BD950" s="403">
        <v>839</v>
      </c>
      <c r="BE950" s="302">
        <v>809</v>
      </c>
      <c r="BF950" s="302">
        <v>806</v>
      </c>
      <c r="BG950" s="302">
        <v>778</v>
      </c>
      <c r="BH950" s="122">
        <f t="shared" si="810"/>
        <v>820</v>
      </c>
      <c r="BI950" s="403">
        <v>820</v>
      </c>
      <c r="BJ950" s="1207">
        <v>887</v>
      </c>
      <c r="BK950" s="118">
        <f t="shared" ref="BK950:BM952" si="812">BJ950</f>
        <v>887</v>
      </c>
      <c r="BL950" s="118">
        <f t="shared" si="812"/>
        <v>887</v>
      </c>
      <c r="BM950" s="118">
        <f t="shared" si="812"/>
        <v>887</v>
      </c>
      <c r="BN950" s="401">
        <f t="shared" si="804"/>
        <v>887</v>
      </c>
      <c r="BO950" s="118">
        <f t="shared" si="804"/>
        <v>887</v>
      </c>
      <c r="BP950" s="118">
        <f t="shared" si="804"/>
        <v>887</v>
      </c>
      <c r="BQ950" s="118">
        <f t="shared" si="804"/>
        <v>887</v>
      </c>
      <c r="BR950" s="118">
        <f t="shared" si="804"/>
        <v>887</v>
      </c>
      <c r="BS950" s="401">
        <f t="shared" si="805"/>
        <v>887</v>
      </c>
      <c r="BT950" s="401">
        <f t="shared" si="805"/>
        <v>887</v>
      </c>
      <c r="BU950" s="401">
        <f t="shared" si="805"/>
        <v>887</v>
      </c>
      <c r="BV950" s="401">
        <f t="shared" si="805"/>
        <v>887</v>
      </c>
      <c r="BW950" s="122"/>
    </row>
    <row r="951" spans="1:75" x14ac:dyDescent="0.5">
      <c r="A951" s="464" t="s">
        <v>1475</v>
      </c>
      <c r="B951" s="513"/>
      <c r="C951" s="401"/>
      <c r="D951" s="401"/>
      <c r="E951" s="401"/>
      <c r="F951" s="403">
        <v>0.26800000000000002</v>
      </c>
      <c r="G951" s="118"/>
      <c r="H951" s="118"/>
      <c r="I951" s="118"/>
      <c r="J951" s="122">
        <f>K951</f>
        <v>0.82599999999999996</v>
      </c>
      <c r="K951" s="403">
        <v>0.82599999999999996</v>
      </c>
      <c r="L951" s="302">
        <v>4.24</v>
      </c>
      <c r="M951" s="302">
        <v>3.8439999999999999</v>
      </c>
      <c r="N951" s="302">
        <v>3.8490000000000002</v>
      </c>
      <c r="O951" s="302">
        <v>0</v>
      </c>
      <c r="P951" s="401"/>
      <c r="Q951" s="118"/>
      <c r="R951" s="118"/>
      <c r="S951" s="118"/>
      <c r="T951" s="122">
        <f>U951</f>
        <v>0</v>
      </c>
      <c r="U951" s="401"/>
      <c r="V951" s="118"/>
      <c r="W951" s="118"/>
      <c r="X951" s="118"/>
      <c r="Y951" s="122">
        <f>Z951</f>
        <v>0</v>
      </c>
      <c r="Z951" s="401"/>
      <c r="AA951" s="302">
        <v>0</v>
      </c>
      <c r="AB951" s="118"/>
      <c r="AC951" s="118"/>
      <c r="AD951" s="122">
        <f>AE951</f>
        <v>0</v>
      </c>
      <c r="AE951" s="401"/>
      <c r="AF951" s="118"/>
      <c r="AG951" s="118"/>
      <c r="AH951" s="302">
        <v>0</v>
      </c>
      <c r="AI951" s="122">
        <f>AJ951</f>
        <v>0</v>
      </c>
      <c r="AJ951" s="401"/>
      <c r="AK951" s="118"/>
      <c r="AL951" s="118"/>
      <c r="AM951" s="118"/>
      <c r="AN951" s="122">
        <f t="shared" si="806"/>
        <v>0</v>
      </c>
      <c r="AO951" s="401"/>
      <c r="AP951" s="118"/>
      <c r="AQ951" s="118"/>
      <c r="AR951" s="118"/>
      <c r="AS951" s="122">
        <f t="shared" si="807"/>
        <v>0</v>
      </c>
      <c r="AT951" s="401"/>
      <c r="AU951" s="118"/>
      <c r="AV951" s="118"/>
      <c r="AW951" s="118"/>
      <c r="AX951" s="122">
        <f t="shared" si="808"/>
        <v>0</v>
      </c>
      <c r="AY951" s="401"/>
      <c r="AZ951" s="118"/>
      <c r="BA951" s="118"/>
      <c r="BB951" s="118"/>
      <c r="BC951" s="122">
        <f t="shared" si="809"/>
        <v>0</v>
      </c>
      <c r="BD951" s="401"/>
      <c r="BE951" s="118"/>
      <c r="BF951" s="118"/>
      <c r="BG951" s="118"/>
      <c r="BH951" s="122">
        <f t="shared" si="810"/>
        <v>0</v>
      </c>
      <c r="BI951" s="401"/>
      <c r="BJ951" s="971"/>
      <c r="BK951" s="118">
        <f t="shared" si="812"/>
        <v>0</v>
      </c>
      <c r="BL951" s="118">
        <f t="shared" si="812"/>
        <v>0</v>
      </c>
      <c r="BM951" s="118">
        <f t="shared" si="812"/>
        <v>0</v>
      </c>
      <c r="BN951" s="401">
        <f t="shared" si="804"/>
        <v>0</v>
      </c>
      <c r="BO951" s="118">
        <f t="shared" si="804"/>
        <v>0</v>
      </c>
      <c r="BP951" s="118">
        <f t="shared" si="804"/>
        <v>0</v>
      </c>
      <c r="BQ951" s="118">
        <f t="shared" si="804"/>
        <v>0</v>
      </c>
      <c r="BR951" s="118">
        <f t="shared" si="804"/>
        <v>0</v>
      </c>
      <c r="BS951" s="401">
        <f t="shared" si="805"/>
        <v>0</v>
      </c>
      <c r="BT951" s="401">
        <f t="shared" si="805"/>
        <v>0</v>
      </c>
      <c r="BU951" s="401">
        <f t="shared" si="805"/>
        <v>0</v>
      </c>
      <c r="BV951" s="401">
        <f t="shared" si="805"/>
        <v>0</v>
      </c>
      <c r="BW951" s="122"/>
    </row>
    <row r="952" spans="1:75" x14ac:dyDescent="0.5">
      <c r="A952" s="464" t="s">
        <v>1478</v>
      </c>
      <c r="B952" s="513"/>
      <c r="C952" s="401"/>
      <c r="D952" s="401"/>
      <c r="E952" s="401"/>
      <c r="F952" s="401"/>
      <c r="G952" s="118"/>
      <c r="H952" s="118"/>
      <c r="I952" s="118"/>
      <c r="J952" s="122">
        <f>K952</f>
        <v>0</v>
      </c>
      <c r="K952" s="401"/>
      <c r="L952" s="118"/>
      <c r="M952" s="118"/>
      <c r="N952" s="118"/>
      <c r="O952" s="302">
        <v>0</v>
      </c>
      <c r="P952" s="403">
        <v>0</v>
      </c>
      <c r="Q952" s="302">
        <v>79.307000000000002</v>
      </c>
      <c r="R952" s="302">
        <v>78.73</v>
      </c>
      <c r="S952" s="302">
        <v>74.459999999999994</v>
      </c>
      <c r="T952" s="122">
        <f>U952</f>
        <v>79.882999999999996</v>
      </c>
      <c r="U952" s="403">
        <v>79.882999999999996</v>
      </c>
      <c r="V952" s="302">
        <v>70.314999999999998</v>
      </c>
      <c r="W952" s="302">
        <v>50.527000000000001</v>
      </c>
      <c r="X952" s="302">
        <v>41.718000000000004</v>
      </c>
      <c r="Y952" s="122">
        <f>Z952</f>
        <v>30.966999999999999</v>
      </c>
      <c r="Z952" s="403">
        <v>30.966999999999999</v>
      </c>
      <c r="AA952" s="302">
        <v>33.241999999999997</v>
      </c>
      <c r="AB952" s="302">
        <v>26.797999999999998</v>
      </c>
      <c r="AC952" s="302">
        <v>29.809000000000001</v>
      </c>
      <c r="AD952" s="122">
        <f>AE952</f>
        <v>21.561</v>
      </c>
      <c r="AE952" s="403">
        <v>21.561</v>
      </c>
      <c r="AF952" s="302">
        <v>10.962</v>
      </c>
      <c r="AG952" s="302">
        <v>9.7669999999999995</v>
      </c>
      <c r="AH952" s="302">
        <v>6.5209999999999999</v>
      </c>
      <c r="AI952" s="122">
        <f>AJ952</f>
        <v>6.5259999999999998</v>
      </c>
      <c r="AJ952" s="403">
        <v>6.5259999999999998</v>
      </c>
      <c r="AK952" s="118"/>
      <c r="AL952" s="118"/>
      <c r="AM952" s="118"/>
      <c r="AN952" s="122">
        <f t="shared" si="806"/>
        <v>155.69</v>
      </c>
      <c r="AO952" s="403">
        <v>155.69</v>
      </c>
      <c r="AP952" s="118"/>
      <c r="AQ952" s="118"/>
      <c r="AR952" s="118"/>
      <c r="AS952" s="122">
        <f t="shared" si="807"/>
        <v>0</v>
      </c>
      <c r="AT952" s="401"/>
      <c r="AU952" s="118"/>
      <c r="AV952" s="118"/>
      <c r="AW952" s="118"/>
      <c r="AX952" s="122">
        <f t="shared" si="808"/>
        <v>0</v>
      </c>
      <c r="AY952" s="401"/>
      <c r="AZ952" s="118"/>
      <c r="BA952" s="118"/>
      <c r="BB952" s="118"/>
      <c r="BC952" s="122">
        <f t="shared" si="809"/>
        <v>11</v>
      </c>
      <c r="BD952" s="403">
        <v>11</v>
      </c>
      <c r="BE952" s="118"/>
      <c r="BF952" s="118"/>
      <c r="BG952" s="118"/>
      <c r="BH952" s="122">
        <f t="shared" si="810"/>
        <v>14</v>
      </c>
      <c r="BI952" s="403">
        <v>14</v>
      </c>
      <c r="BJ952" s="971">
        <f>+BI952</f>
        <v>14</v>
      </c>
      <c r="BK952" s="118">
        <f t="shared" si="812"/>
        <v>14</v>
      </c>
      <c r="BL952" s="118">
        <f t="shared" si="812"/>
        <v>14</v>
      </c>
      <c r="BM952" s="118">
        <f t="shared" si="812"/>
        <v>14</v>
      </c>
      <c r="BN952" s="401">
        <f t="shared" si="804"/>
        <v>14</v>
      </c>
      <c r="BO952" s="118">
        <f t="shared" si="804"/>
        <v>14</v>
      </c>
      <c r="BP952" s="118">
        <f t="shared" si="804"/>
        <v>14</v>
      </c>
      <c r="BQ952" s="118">
        <f t="shared" si="804"/>
        <v>14</v>
      </c>
      <c r="BR952" s="118">
        <f t="shared" si="804"/>
        <v>14</v>
      </c>
      <c r="BS952" s="401">
        <f t="shared" si="805"/>
        <v>14</v>
      </c>
      <c r="BT952" s="401">
        <f t="shared" si="805"/>
        <v>14</v>
      </c>
      <c r="BU952" s="401">
        <f t="shared" si="805"/>
        <v>14</v>
      </c>
      <c r="BV952" s="401">
        <f t="shared" si="805"/>
        <v>14</v>
      </c>
      <c r="BW952" s="122"/>
    </row>
    <row r="953" spans="1:75" x14ac:dyDescent="0.5">
      <c r="A953" s="1292" t="s">
        <v>2685</v>
      </c>
      <c r="B953" s="677"/>
      <c r="C953" s="406"/>
      <c r="D953" s="406"/>
      <c r="E953" s="406"/>
      <c r="F953" s="408">
        <v>0.61499999999999999</v>
      </c>
      <c r="G953" s="723"/>
      <c r="H953" s="723"/>
      <c r="I953" s="723"/>
      <c r="J953" s="431">
        <f>K953</f>
        <v>1.175</v>
      </c>
      <c r="K953" s="408">
        <v>1.175</v>
      </c>
      <c r="L953" s="357">
        <v>2.173</v>
      </c>
      <c r="M953" s="357">
        <v>2.8769999999999998</v>
      </c>
      <c r="N953" s="357">
        <v>4.2919999999999998</v>
      </c>
      <c r="O953" s="357">
        <v>1.538</v>
      </c>
      <c r="P953" s="408">
        <v>1.538</v>
      </c>
      <c r="Q953" s="357">
        <v>1.5589999999999999</v>
      </c>
      <c r="R953" s="357">
        <v>1.3779999999999999</v>
      </c>
      <c r="S953" s="357">
        <v>1.242</v>
      </c>
      <c r="T953" s="431">
        <f>U953</f>
        <v>6.3479999999999999</v>
      </c>
      <c r="U953" s="408">
        <v>6.3479999999999999</v>
      </c>
      <c r="V953" s="357">
        <v>6.7720000000000002</v>
      </c>
      <c r="W953" s="357">
        <v>8.3030000000000008</v>
      </c>
      <c r="X953" s="357">
        <v>10.477</v>
      </c>
      <c r="Y953" s="431">
        <f>Z953</f>
        <v>10.041</v>
      </c>
      <c r="Z953" s="408">
        <v>10.041</v>
      </c>
      <c r="AA953" s="357">
        <v>9.2550000000000008</v>
      </c>
      <c r="AB953" s="357">
        <v>8.3979999999999997</v>
      </c>
      <c r="AC953" s="357">
        <v>9.4770000000000003</v>
      </c>
      <c r="AD953" s="431">
        <f>AE953</f>
        <v>10.776</v>
      </c>
      <c r="AE953" s="408">
        <v>10.776</v>
      </c>
      <c r="AF953" s="357">
        <v>11.077</v>
      </c>
      <c r="AG953" s="357">
        <v>12.2</v>
      </c>
      <c r="AH953" s="357">
        <v>17.55</v>
      </c>
      <c r="AI953" s="431">
        <f>AJ953</f>
        <v>18.826000000000001</v>
      </c>
      <c r="AJ953" s="408">
        <v>18.826000000000001</v>
      </c>
      <c r="AK953" s="357">
        <v>12.752000000000001</v>
      </c>
      <c r="AL953" s="357">
        <v>13.417</v>
      </c>
      <c r="AM953" s="357">
        <v>13.951000000000001</v>
      </c>
      <c r="AN953" s="431">
        <f t="shared" si="806"/>
        <v>13.467000000000001</v>
      </c>
      <c r="AO953" s="408">
        <v>13.467000000000001</v>
      </c>
      <c r="AP953" s="357">
        <v>13.468</v>
      </c>
      <c r="AQ953" s="357">
        <v>12.55</v>
      </c>
      <c r="AR953" s="357">
        <v>12.943</v>
      </c>
      <c r="AS953" s="431">
        <f t="shared" si="807"/>
        <v>14.183</v>
      </c>
      <c r="AT953" s="408">
        <v>14.183</v>
      </c>
      <c r="AU953" s="431">
        <f>34.584-AU949</f>
        <v>17.321000000000002</v>
      </c>
      <c r="AV953" s="431">
        <f>40.707-AV949</f>
        <v>23.443999999999999</v>
      </c>
      <c r="AW953" s="431">
        <f>40.4-AW947-AW948</f>
        <v>23.136999999999997</v>
      </c>
      <c r="AX953" s="431">
        <f t="shared" si="808"/>
        <v>19</v>
      </c>
      <c r="AY953" s="408">
        <v>19</v>
      </c>
      <c r="AZ953" s="431">
        <f>34-AZ949</f>
        <v>18</v>
      </c>
      <c r="BA953" s="431">
        <f>32-BA949</f>
        <v>16</v>
      </c>
      <c r="BB953" s="431">
        <f>34-BB949</f>
        <v>18</v>
      </c>
      <c r="BC953" s="431">
        <f t="shared" si="809"/>
        <v>8</v>
      </c>
      <c r="BD953" s="408">
        <v>8</v>
      </c>
      <c r="BE953" s="431">
        <f>34-BE949</f>
        <v>19</v>
      </c>
      <c r="BF953" s="431">
        <f>43-BF949</f>
        <v>28</v>
      </c>
      <c r="BG953" s="431">
        <f>47-BG949</f>
        <v>32</v>
      </c>
      <c r="BH953" s="431">
        <f t="shared" si="810"/>
        <v>23</v>
      </c>
      <c r="BI953" s="408">
        <v>23</v>
      </c>
      <c r="BJ953" s="1294">
        <f>51-BJ952-BJ949</f>
        <v>23</v>
      </c>
      <c r="BK953" s="723">
        <f>BJ953-BK840</f>
        <v>23</v>
      </c>
      <c r="BL953" s="723">
        <f ca="1">BK953-BL840</f>
        <v>23</v>
      </c>
      <c r="BM953" s="723">
        <f ca="1">BL953-BM840</f>
        <v>23</v>
      </c>
      <c r="BN953" s="406">
        <f t="shared" ca="1" si="804"/>
        <v>23</v>
      </c>
      <c r="BO953" s="723">
        <f ca="1">BN953-BO840</f>
        <v>23</v>
      </c>
      <c r="BP953" s="723">
        <f ca="1">BO953-BP840</f>
        <v>23</v>
      </c>
      <c r="BQ953" s="723">
        <f ca="1">BP953-BQ840</f>
        <v>23</v>
      </c>
      <c r="BR953" s="723">
        <f ca="1">BQ953-BR840</f>
        <v>23</v>
      </c>
      <c r="BS953" s="406">
        <f t="shared" ca="1" si="805"/>
        <v>23</v>
      </c>
      <c r="BT953" s="406">
        <f ca="1">BS953-BT840</f>
        <v>23</v>
      </c>
      <c r="BU953" s="406">
        <f ca="1">BT953-BU840</f>
        <v>23</v>
      </c>
      <c r="BV953" s="406">
        <f ca="1">BU953-BV840</f>
        <v>23</v>
      </c>
      <c r="BW953" s="122"/>
    </row>
    <row r="954" spans="1:75" x14ac:dyDescent="0.5">
      <c r="A954" s="516" t="s">
        <v>1486</v>
      </c>
      <c r="B954" s="517"/>
      <c r="C954" s="518"/>
      <c r="D954" s="518"/>
      <c r="E954" s="518"/>
      <c r="F954" s="519">
        <f t="shared" ref="F954:AH954" si="813">SUM(F949:F953)+F946</f>
        <v>23.453000000000003</v>
      </c>
      <c r="G954" s="327"/>
      <c r="H954" s="327"/>
      <c r="I954" s="327"/>
      <c r="J954" s="520">
        <f t="shared" si="813"/>
        <v>33.173000000000002</v>
      </c>
      <c r="K954" s="519">
        <f t="shared" si="813"/>
        <v>33.173000000000002</v>
      </c>
      <c r="L954" s="520">
        <f t="shared" si="813"/>
        <v>47.421000000000006</v>
      </c>
      <c r="M954" s="520">
        <f t="shared" si="813"/>
        <v>59.442999999999998</v>
      </c>
      <c r="N954" s="520">
        <f t="shared" si="813"/>
        <v>65.896000000000001</v>
      </c>
      <c r="O954" s="520">
        <f t="shared" si="813"/>
        <v>68.655000000000001</v>
      </c>
      <c r="P954" s="519">
        <f t="shared" si="813"/>
        <v>68.655000000000001</v>
      </c>
      <c r="Q954" s="520">
        <f t="shared" si="813"/>
        <v>161.964</v>
      </c>
      <c r="R954" s="520">
        <f t="shared" si="813"/>
        <v>162.34700000000001</v>
      </c>
      <c r="S954" s="520">
        <f t="shared" si="813"/>
        <v>168.24299999999999</v>
      </c>
      <c r="T954" s="520">
        <f t="shared" si="813"/>
        <v>202.25799999999998</v>
      </c>
      <c r="U954" s="519">
        <f t="shared" si="813"/>
        <v>202.25799999999998</v>
      </c>
      <c r="V954" s="520">
        <f t="shared" si="813"/>
        <v>243.18599999999998</v>
      </c>
      <c r="W954" s="520">
        <f t="shared" si="813"/>
        <v>241.28100000000001</v>
      </c>
      <c r="X954" s="520">
        <f t="shared" si="813"/>
        <v>268.01</v>
      </c>
      <c r="Y954" s="520">
        <f t="shared" si="813"/>
        <v>284.59199999999998</v>
      </c>
      <c r="Z954" s="519">
        <f t="shared" si="813"/>
        <v>284.59199999999998</v>
      </c>
      <c r="AA954" s="520">
        <f t="shared" si="813"/>
        <v>309.76099999999997</v>
      </c>
      <c r="AB954" s="520">
        <f t="shared" si="813"/>
        <v>334.23199999999997</v>
      </c>
      <c r="AC954" s="520">
        <f t="shared" si="813"/>
        <v>361.54499999999996</v>
      </c>
      <c r="AD954" s="520">
        <f t="shared" si="813"/>
        <v>396.58300000000003</v>
      </c>
      <c r="AE954" s="519">
        <f t="shared" si="813"/>
        <v>396.58300000000003</v>
      </c>
      <c r="AF954" s="520">
        <f t="shared" si="813"/>
        <v>429.56600000000003</v>
      </c>
      <c r="AG954" s="520">
        <f t="shared" si="813"/>
        <v>493.30700000000002</v>
      </c>
      <c r="AH954" s="520">
        <f t="shared" si="813"/>
        <v>536.45600000000002</v>
      </c>
      <c r="AI954" s="520">
        <f t="shared" ref="AI954:AQ954" si="814">SUM(AI949:AI953)+AI946</f>
        <v>634.91399999999999</v>
      </c>
      <c r="AJ954" s="519">
        <f t="shared" si="814"/>
        <v>634.91399999999999</v>
      </c>
      <c r="AK954" s="520">
        <f t="shared" si="814"/>
        <v>996.03300000000002</v>
      </c>
      <c r="AL954" s="520">
        <f t="shared" si="814"/>
        <v>1125.2</v>
      </c>
      <c r="AM954" s="520">
        <f t="shared" si="814"/>
        <v>1336.9340000000002</v>
      </c>
      <c r="AN954" s="520">
        <f t="shared" si="814"/>
        <v>1575.9099999999999</v>
      </c>
      <c r="AO954" s="519">
        <f t="shared" si="814"/>
        <v>1575.9099999999999</v>
      </c>
      <c r="AP954" s="520">
        <f t="shared" si="814"/>
        <v>1473.21</v>
      </c>
      <c r="AQ954" s="520">
        <f t="shared" si="814"/>
        <v>1500.4690000000001</v>
      </c>
      <c r="AR954" s="520">
        <f t="shared" ref="AR954:BN954" si="815">SUM(AR949:AR953)+AR946</f>
        <v>1514.9740000000002</v>
      </c>
      <c r="AS954" s="520">
        <f t="shared" si="815"/>
        <v>1524.127</v>
      </c>
      <c r="AT954" s="519">
        <f t="shared" si="815"/>
        <v>1524.127</v>
      </c>
      <c r="AU954" s="520">
        <f t="shared" si="815"/>
        <v>1558.058</v>
      </c>
      <c r="AV954" s="520">
        <f t="shared" si="815"/>
        <v>1547.364</v>
      </c>
      <c r="AW954" s="520">
        <f t="shared" si="815"/>
        <v>1511.0239999999999</v>
      </c>
      <c r="AX954" s="520">
        <f t="shared" si="815"/>
        <v>1558</v>
      </c>
      <c r="AY954" s="519">
        <f t="shared" si="815"/>
        <v>1558</v>
      </c>
      <c r="AZ954" s="520">
        <f t="shared" si="815"/>
        <v>1576</v>
      </c>
      <c r="BA954" s="520">
        <f t="shared" si="815"/>
        <v>1638</v>
      </c>
      <c r="BB954" s="520">
        <f t="shared" si="815"/>
        <v>1649</v>
      </c>
      <c r="BC954" s="520">
        <f t="shared" si="815"/>
        <v>1647</v>
      </c>
      <c r="BD954" s="519">
        <f t="shared" si="815"/>
        <v>1647</v>
      </c>
      <c r="BE954" s="520">
        <f t="shared" si="815"/>
        <v>1605</v>
      </c>
      <c r="BF954" s="520">
        <f t="shared" si="815"/>
        <v>1608</v>
      </c>
      <c r="BG954" s="520">
        <f t="shared" si="815"/>
        <v>1576</v>
      </c>
      <c r="BH954" s="197">
        <f t="shared" si="815"/>
        <v>1619</v>
      </c>
      <c r="BI954" s="672">
        <f t="shared" si="815"/>
        <v>1619</v>
      </c>
      <c r="BJ954" s="1270">
        <f>SUM(BJ949:BJ953)+BJ946</f>
        <v>1652</v>
      </c>
      <c r="BK954" s="327">
        <f t="shared" si="815"/>
        <v>1641.9214297814208</v>
      </c>
      <c r="BL954" s="327">
        <f t="shared" ca="1" si="815"/>
        <v>1639.414401085013</v>
      </c>
      <c r="BM954" s="327">
        <f t="shared" ca="1" si="815"/>
        <v>1637.2868928783391</v>
      </c>
      <c r="BN954" s="518">
        <f t="shared" ca="1" si="815"/>
        <v>1637.2868928783391</v>
      </c>
      <c r="BO954" s="327">
        <f t="shared" ref="BO954:BV954" ca="1" si="816">SUM(BO949:BO953)+BO946</f>
        <v>1637.3308652864716</v>
      </c>
      <c r="BP954" s="327">
        <f t="shared" ca="1" si="816"/>
        <v>1636.3459176094434</v>
      </c>
      <c r="BQ954" s="327">
        <f t="shared" ca="1" si="816"/>
        <v>1634.4744868256259</v>
      </c>
      <c r="BR954" s="327">
        <f t="shared" ca="1" si="816"/>
        <v>1632.8934698996145</v>
      </c>
      <c r="BS954" s="518">
        <f t="shared" ca="1" si="816"/>
        <v>1632.8934698996145</v>
      </c>
      <c r="BT954" s="518">
        <f t="shared" ca="1" si="816"/>
        <v>1622.9722378272634</v>
      </c>
      <c r="BU954" s="518">
        <f t="shared" ca="1" si="816"/>
        <v>1619.0921653076402</v>
      </c>
      <c r="BV954" s="518">
        <f t="shared" ca="1" si="816"/>
        <v>1617.8340546041045</v>
      </c>
      <c r="BW954" s="197"/>
    </row>
    <row r="955" spans="1:75" x14ac:dyDescent="0.5">
      <c r="A955" s="463" t="s">
        <v>1487</v>
      </c>
      <c r="B955" s="522"/>
      <c r="C955" s="397"/>
      <c r="D955" s="397"/>
      <c r="E955" s="397"/>
      <c r="F955" s="672">
        <f t="shared" ref="F955:BQ955" si="817">F943+F954</f>
        <v>163.57700000000003</v>
      </c>
      <c r="G955" s="295"/>
      <c r="H955" s="295"/>
      <c r="I955" s="295"/>
      <c r="J955" s="197">
        <f t="shared" si="817"/>
        <v>196.29999999999998</v>
      </c>
      <c r="K955" s="672">
        <f t="shared" si="817"/>
        <v>196.29999999999998</v>
      </c>
      <c r="L955" s="197">
        <f t="shared" si="817"/>
        <v>288.86500000000001</v>
      </c>
      <c r="M955" s="197">
        <f t="shared" si="817"/>
        <v>277.01799999999997</v>
      </c>
      <c r="N955" s="197">
        <f t="shared" si="817"/>
        <v>260.52799999999996</v>
      </c>
      <c r="O955" s="197">
        <f t="shared" si="817"/>
        <v>555.52300000000002</v>
      </c>
      <c r="P955" s="672">
        <f t="shared" si="817"/>
        <v>555.52300000000002</v>
      </c>
      <c r="Q955" s="197">
        <f t="shared" si="817"/>
        <v>531.20800000000008</v>
      </c>
      <c r="R955" s="197">
        <f t="shared" si="817"/>
        <v>543.98500000000013</v>
      </c>
      <c r="S955" s="197">
        <f t="shared" si="817"/>
        <v>601.34400000000005</v>
      </c>
      <c r="T955" s="197">
        <f t="shared" si="817"/>
        <v>694.5809999999999</v>
      </c>
      <c r="U955" s="672">
        <f t="shared" si="817"/>
        <v>694.5809999999999</v>
      </c>
      <c r="V955" s="197">
        <f t="shared" si="817"/>
        <v>667.42699999999991</v>
      </c>
      <c r="W955" s="197">
        <f t="shared" si="817"/>
        <v>663.96800000000007</v>
      </c>
      <c r="X955" s="197">
        <f t="shared" si="817"/>
        <v>684.11900000000003</v>
      </c>
      <c r="Y955" s="197">
        <f t="shared" si="817"/>
        <v>761.68299999999999</v>
      </c>
      <c r="Z955" s="672">
        <f t="shared" si="817"/>
        <v>761.68299999999999</v>
      </c>
      <c r="AA955" s="197">
        <f t="shared" si="817"/>
        <v>742.12299999999993</v>
      </c>
      <c r="AB955" s="197">
        <f t="shared" si="817"/>
        <v>751.47800000000007</v>
      </c>
      <c r="AC955" s="197">
        <f t="shared" si="817"/>
        <v>1138.1399999999999</v>
      </c>
      <c r="AD955" s="197">
        <f t="shared" si="817"/>
        <v>1213.403</v>
      </c>
      <c r="AE955" s="672">
        <f t="shared" si="817"/>
        <v>1213.403</v>
      </c>
      <c r="AF955" s="197">
        <f t="shared" si="817"/>
        <v>1226.4459999999999</v>
      </c>
      <c r="AG955" s="197">
        <f t="shared" si="817"/>
        <v>1287.268</v>
      </c>
      <c r="AH955" s="197">
        <f t="shared" si="817"/>
        <v>1299.6379999999999</v>
      </c>
      <c r="AI955" s="197">
        <f t="shared" si="817"/>
        <v>1890.8500000000001</v>
      </c>
      <c r="AJ955" s="672">
        <f t="shared" si="817"/>
        <v>1890.8500000000001</v>
      </c>
      <c r="AK955" s="197">
        <f t="shared" si="817"/>
        <v>2113.8650000000002</v>
      </c>
      <c r="AL955" s="197">
        <f t="shared" si="817"/>
        <v>2182.1</v>
      </c>
      <c r="AM955" s="197">
        <f t="shared" si="817"/>
        <v>3007.6350000000002</v>
      </c>
      <c r="AN955" s="197">
        <f t="shared" si="817"/>
        <v>2953.0479999999998</v>
      </c>
      <c r="AO955" s="672">
        <f t="shared" si="817"/>
        <v>2953.0479999999998</v>
      </c>
      <c r="AP955" s="197">
        <f t="shared" si="817"/>
        <v>2751.4210000000003</v>
      </c>
      <c r="AQ955" s="197">
        <f t="shared" si="817"/>
        <v>4379.4960000000001</v>
      </c>
      <c r="AR955" s="197">
        <f t="shared" si="817"/>
        <v>4558.4400000000005</v>
      </c>
      <c r="AS955" s="197">
        <f t="shared" si="817"/>
        <v>4569.9290000000001</v>
      </c>
      <c r="AT955" s="672">
        <f t="shared" si="817"/>
        <v>4569.9290000000001</v>
      </c>
      <c r="AU955" s="197">
        <f t="shared" si="817"/>
        <v>4774.933</v>
      </c>
      <c r="AV955" s="197">
        <f t="shared" si="817"/>
        <v>4681.2240000000002</v>
      </c>
      <c r="AW955" s="197">
        <f t="shared" si="817"/>
        <v>4466.2169999999996</v>
      </c>
      <c r="AX955" s="197">
        <f t="shared" si="817"/>
        <v>4570</v>
      </c>
      <c r="AY955" s="672">
        <f t="shared" si="817"/>
        <v>4570</v>
      </c>
      <c r="AZ955" s="197">
        <f t="shared" si="817"/>
        <v>4256</v>
      </c>
      <c r="BA955" s="197">
        <f t="shared" si="817"/>
        <v>4098</v>
      </c>
      <c r="BB955" s="197">
        <f t="shared" si="817"/>
        <v>3653</v>
      </c>
      <c r="BC955" s="197">
        <f t="shared" si="817"/>
        <v>3580</v>
      </c>
      <c r="BD955" s="672">
        <f t="shared" si="817"/>
        <v>3580</v>
      </c>
      <c r="BE955" s="197">
        <f t="shared" si="817"/>
        <v>3212</v>
      </c>
      <c r="BF955" s="197">
        <f t="shared" si="817"/>
        <v>3382</v>
      </c>
      <c r="BG955" s="197">
        <f t="shared" si="817"/>
        <v>3360</v>
      </c>
      <c r="BH955" s="197">
        <f t="shared" si="817"/>
        <v>3474</v>
      </c>
      <c r="BI955" s="672">
        <f t="shared" si="817"/>
        <v>3474</v>
      </c>
      <c r="BJ955" s="1273">
        <f>BJ943+BJ954</f>
        <v>3240</v>
      </c>
      <c r="BK955" s="295">
        <f t="shared" ca="1" si="817"/>
        <v>3244.7702722605313</v>
      </c>
      <c r="BL955" s="295">
        <f t="shared" ca="1" si="817"/>
        <v>3271.4975594337866</v>
      </c>
      <c r="BM955" s="295">
        <f t="shared" ca="1" si="817"/>
        <v>3151.2624855755421</v>
      </c>
      <c r="BN955" s="397">
        <f t="shared" ca="1" si="817"/>
        <v>3151.2624855755421</v>
      </c>
      <c r="BO955" s="295">
        <f t="shared" ca="1" si="817"/>
        <v>2999.7728437086962</v>
      </c>
      <c r="BP955" s="295">
        <f t="shared" ca="1" si="817"/>
        <v>2986.5309963741383</v>
      </c>
      <c r="BQ955" s="295">
        <f t="shared" ca="1" si="817"/>
        <v>3034.9623868505587</v>
      </c>
      <c r="BR955" s="295">
        <f t="shared" ref="BR955:BY955" ca="1" si="818">BR943+BR954</f>
        <v>2300.2658397498381</v>
      </c>
      <c r="BS955" s="397">
        <f t="shared" ca="1" si="818"/>
        <v>2300.2658397498381</v>
      </c>
      <c r="BT955" s="397">
        <f t="shared" ca="1" si="818"/>
        <v>2528.0419583704033</v>
      </c>
      <c r="BU955" s="397">
        <f t="shared" ca="1" si="818"/>
        <v>3268.5415093553743</v>
      </c>
      <c r="BV955" s="397">
        <f t="shared" ca="1" si="818"/>
        <v>4300.3275195544738</v>
      </c>
      <c r="BW955" s="197"/>
    </row>
    <row r="956" spans="1:75" x14ac:dyDescent="0.5">
      <c r="A956" s="206"/>
      <c r="B956" s="522"/>
      <c r="C956" s="397"/>
      <c r="D956" s="397"/>
      <c r="E956" s="397"/>
      <c r="F956" s="397"/>
      <c r="G956" s="295"/>
      <c r="H956" s="295"/>
      <c r="I956" s="295"/>
      <c r="J956" s="295"/>
      <c r="K956" s="397"/>
      <c r="L956" s="295"/>
      <c r="M956" s="295"/>
      <c r="N956" s="295"/>
      <c r="O956" s="295"/>
      <c r="P956" s="397"/>
      <c r="Q956" s="295"/>
      <c r="R956" s="295"/>
      <c r="S956" s="295"/>
      <c r="T956" s="295"/>
      <c r="U956" s="397"/>
      <c r="V956" s="295"/>
      <c r="W956" s="295"/>
      <c r="X956" s="295"/>
      <c r="Y956" s="295"/>
      <c r="Z956" s="397"/>
      <c r="AA956" s="295"/>
      <c r="AB956" s="295"/>
      <c r="AC956" s="295"/>
      <c r="AD956" s="295"/>
      <c r="AE956" s="397"/>
      <c r="AF956" s="295"/>
      <c r="AG956" s="295"/>
      <c r="AH956" s="295"/>
      <c r="AI956" s="295"/>
      <c r="AJ956" s="397"/>
      <c r="AK956" s="295"/>
      <c r="AL956" s="295"/>
      <c r="AM956" s="295"/>
      <c r="AN956" s="295"/>
      <c r="AO956" s="397"/>
      <c r="AP956" s="295"/>
      <c r="AQ956" s="295"/>
      <c r="AR956" s="295"/>
      <c r="AS956" s="295"/>
      <c r="AT956" s="397"/>
      <c r="AU956" s="295"/>
      <c r="AV956" s="295"/>
      <c r="AW956" s="295"/>
      <c r="AX956" s="295"/>
      <c r="AY956" s="397"/>
      <c r="AZ956" s="295"/>
      <c r="BA956" s="295"/>
      <c r="BB956" s="295"/>
      <c r="BC956" s="295"/>
      <c r="BD956" s="397"/>
      <c r="BE956" s="295"/>
      <c r="BF956" s="295"/>
      <c r="BG956" s="295"/>
      <c r="BH956" s="295"/>
      <c r="BI956" s="397"/>
      <c r="BJ956" s="1030"/>
      <c r="BK956" s="295"/>
      <c r="BL956" s="295"/>
      <c r="BM956" s="295"/>
      <c r="BN956" s="397"/>
      <c r="BO956" s="295"/>
      <c r="BP956" s="295"/>
      <c r="BQ956" s="295"/>
      <c r="BR956" s="295"/>
      <c r="BS956" s="397"/>
      <c r="BT956" s="397"/>
      <c r="BU956" s="397"/>
      <c r="BV956" s="397"/>
      <c r="BW956" s="197"/>
    </row>
    <row r="957" spans="1:75" x14ac:dyDescent="0.5">
      <c r="A957" s="463" t="s">
        <v>1488</v>
      </c>
      <c r="B957" s="522"/>
      <c r="C957" s="397"/>
      <c r="D957" s="397"/>
      <c r="E957" s="397"/>
      <c r="F957" s="397"/>
      <c r="G957" s="295"/>
      <c r="H957" s="295"/>
      <c r="I957" s="295"/>
      <c r="J957" s="295"/>
      <c r="K957" s="397"/>
      <c r="L957" s="295"/>
      <c r="M957" s="295"/>
      <c r="N957" s="295"/>
      <c r="O957" s="295"/>
      <c r="P957" s="397"/>
      <c r="Q957" s="295"/>
      <c r="R957" s="295"/>
      <c r="S957" s="295"/>
      <c r="T957" s="295"/>
      <c r="U957" s="397"/>
      <c r="V957" s="295"/>
      <c r="W957" s="295"/>
      <c r="X957" s="295"/>
      <c r="Y957" s="295"/>
      <c r="Z957" s="397"/>
      <c r="AA957" s="295"/>
      <c r="AB957" s="295"/>
      <c r="AC957" s="295"/>
      <c r="AD957" s="295"/>
      <c r="AE957" s="397"/>
      <c r="AF957" s="295"/>
      <c r="AG957" s="295"/>
      <c r="AH957" s="295"/>
      <c r="AI957" s="295"/>
      <c r="AJ957" s="397"/>
      <c r="AK957" s="295"/>
      <c r="AL957" s="295"/>
      <c r="AM957" s="295"/>
      <c r="AN957" s="295"/>
      <c r="AO957" s="397"/>
      <c r="AP957" s="295"/>
      <c r="AQ957" s="295"/>
      <c r="AR957" s="295"/>
      <c r="AS957" s="295"/>
      <c r="AT957" s="397"/>
      <c r="AU957" s="295"/>
      <c r="AV957" s="295"/>
      <c r="AW957" s="295"/>
      <c r="AX957" s="295"/>
      <c r="AY957" s="397"/>
      <c r="AZ957" s="295"/>
      <c r="BA957" s="295"/>
      <c r="BB957" s="295"/>
      <c r="BC957" s="295"/>
      <c r="BD957" s="397"/>
      <c r="BE957" s="295"/>
      <c r="BF957" s="295"/>
      <c r="BG957" s="295"/>
      <c r="BH957" s="295"/>
      <c r="BI957" s="397"/>
      <c r="BJ957" s="1030"/>
      <c r="BK957" s="295"/>
      <c r="BL957" s="295"/>
      <c r="BM957" s="295"/>
      <c r="BN957" s="397"/>
      <c r="BO957" s="295"/>
      <c r="BP957" s="295"/>
      <c r="BQ957" s="295"/>
      <c r="BR957" s="295"/>
      <c r="BS957" s="397"/>
      <c r="BT957" s="397"/>
      <c r="BU957" s="397"/>
      <c r="BV957" s="397"/>
      <c r="BW957" s="197"/>
    </row>
    <row r="958" spans="1:75" x14ac:dyDescent="0.5">
      <c r="A958" s="464" t="s">
        <v>1489</v>
      </c>
      <c r="B958" s="513"/>
      <c r="C958" s="401"/>
      <c r="D958" s="401"/>
      <c r="E958" s="401"/>
      <c r="F958" s="403">
        <v>66.602999999999994</v>
      </c>
      <c r="G958" s="118"/>
      <c r="H958" s="118"/>
      <c r="I958" s="118"/>
      <c r="J958" s="122">
        <f>K958</f>
        <v>102.15300000000001</v>
      </c>
      <c r="K958" s="403">
        <v>102.15300000000001</v>
      </c>
      <c r="L958" s="302">
        <v>79.320999999999998</v>
      </c>
      <c r="M958" s="302">
        <v>81.123999999999995</v>
      </c>
      <c r="N958" s="302">
        <v>87.686000000000007</v>
      </c>
      <c r="O958" s="302">
        <v>147.87299999999999</v>
      </c>
      <c r="P958" s="403">
        <v>147.87299999999999</v>
      </c>
      <c r="Q958" s="302">
        <v>123.336</v>
      </c>
      <c r="R958" s="302">
        <v>148.447</v>
      </c>
      <c r="S958" s="302">
        <v>192.55199999999999</v>
      </c>
      <c r="T958" s="122">
        <f>U958</f>
        <v>270.91300000000001</v>
      </c>
      <c r="U958" s="403">
        <v>270.91300000000001</v>
      </c>
      <c r="V958" s="302">
        <v>251.023</v>
      </c>
      <c r="W958" s="302">
        <v>265.77499999999998</v>
      </c>
      <c r="X958" s="302">
        <v>312.30599999999998</v>
      </c>
      <c r="Y958" s="122">
        <f>Z958</f>
        <v>379.49299999999999</v>
      </c>
      <c r="Z958" s="403">
        <v>379.49299999999999</v>
      </c>
      <c r="AA958" s="302">
        <v>362.71899999999999</v>
      </c>
      <c r="AB958" s="302">
        <v>371.40699999999998</v>
      </c>
      <c r="AC958" s="302">
        <v>381.661</v>
      </c>
      <c r="AD958" s="122">
        <f>AE958</f>
        <v>440.36599999999999</v>
      </c>
      <c r="AE958" s="403">
        <v>440.36599999999999</v>
      </c>
      <c r="AF958" s="302">
        <v>485.63099999999997</v>
      </c>
      <c r="AG958" s="302">
        <v>543.596</v>
      </c>
      <c r="AH958" s="302">
        <v>591.93100000000004</v>
      </c>
      <c r="AI958" s="122">
        <f>AJ958</f>
        <v>650.17399999999998</v>
      </c>
      <c r="AJ958" s="403">
        <v>650.17399999999998</v>
      </c>
      <c r="AK958" s="302">
        <v>705.97400000000005</v>
      </c>
      <c r="AL958" s="302">
        <v>779.93799999999999</v>
      </c>
      <c r="AM958" s="302">
        <v>814.43899999999996</v>
      </c>
      <c r="AN958" s="122">
        <f>AO958</f>
        <v>908.09699999999998</v>
      </c>
      <c r="AO958" s="403">
        <v>908.09699999999998</v>
      </c>
      <c r="AP958" s="302">
        <v>838.3</v>
      </c>
      <c r="AQ958" s="302">
        <v>1270.4949999999999</v>
      </c>
      <c r="AR958" s="302">
        <v>1236.895</v>
      </c>
      <c r="AS958" s="122">
        <f>AT958</f>
        <v>1156.624</v>
      </c>
      <c r="AT958" s="403">
        <v>1156.624</v>
      </c>
      <c r="AU958" s="302">
        <v>1174.2080000000001</v>
      </c>
      <c r="AV958" s="302">
        <v>1262.395</v>
      </c>
      <c r="AW958" s="302">
        <v>1072.529</v>
      </c>
      <c r="AX958" s="122">
        <f>AY958</f>
        <v>1166</v>
      </c>
      <c r="AY958" s="403">
        <v>1166</v>
      </c>
      <c r="AZ958" s="302">
        <v>1174</v>
      </c>
      <c r="BA958" s="302">
        <v>1234</v>
      </c>
      <c r="BB958" s="302">
        <v>1056</v>
      </c>
      <c r="BC958" s="122">
        <f>BD958</f>
        <v>1204</v>
      </c>
      <c r="BD958" s="403">
        <v>1204</v>
      </c>
      <c r="BE958" s="302">
        <v>1058</v>
      </c>
      <c r="BF958" s="302">
        <v>1104</v>
      </c>
      <c r="BG958" s="302">
        <v>1173</v>
      </c>
      <c r="BH958" s="122">
        <f>BI958</f>
        <v>1234</v>
      </c>
      <c r="BI958" s="403">
        <v>1234</v>
      </c>
      <c r="BJ958" s="1207">
        <v>1055</v>
      </c>
      <c r="BK958" s="118">
        <f>(BK$227+BJ$227+BH$227+BG$227)*BK902</f>
        <v>1115.0309659808179</v>
      </c>
      <c r="BL958" s="118">
        <f>(BL$227+BK$227+BJ$227+BH$227)*BL902</f>
        <v>1178.6916332414512</v>
      </c>
      <c r="BM958" s="118">
        <f>(BM$227+BL$227+BK$227+BJ$227)*BM902</f>
        <v>1243.365781699742</v>
      </c>
      <c r="BN958" s="401">
        <f t="shared" ref="BN958:BN965" si="819">BM958</f>
        <v>1243.365781699742</v>
      </c>
      <c r="BO958" s="118">
        <f>(BO$227+BM$227+BL$227+BK$227)*BO902</f>
        <v>1081.7198148130958</v>
      </c>
      <c r="BP958" s="118">
        <f>(BP$227+BO$227+BM$227+BL$227)*BP902</f>
        <v>1157.0806977347354</v>
      </c>
      <c r="BQ958" s="118">
        <f>(BQ$227+BP$227+BO$227+BM$227)*BQ902</f>
        <v>1236.5936166261733</v>
      </c>
      <c r="BR958" s="118">
        <f>(BR$227+BQ$227+BP$227+BO$227)*BR902</f>
        <v>1319.3428911562867</v>
      </c>
      <c r="BS958" s="401">
        <f>BR958</f>
        <v>1319.3428911562867</v>
      </c>
      <c r="BT958" s="401">
        <f>BT227*BT902</f>
        <v>1413.6877819599817</v>
      </c>
      <c r="BU958" s="401">
        <f>BU227*BU902</f>
        <v>1514.7791815601583</v>
      </c>
      <c r="BV958" s="401">
        <f>BV227*BV902</f>
        <v>1623.0995260543436</v>
      </c>
      <c r="BW958" s="122"/>
    </row>
    <row r="959" spans="1:75" x14ac:dyDescent="0.5">
      <c r="A959" s="464" t="s">
        <v>1501</v>
      </c>
      <c r="B959" s="513"/>
      <c r="C959" s="401"/>
      <c r="D959" s="401"/>
      <c r="E959" s="401"/>
      <c r="F959" s="403">
        <v>12.596</v>
      </c>
      <c r="G959" s="118"/>
      <c r="H959" s="118"/>
      <c r="I959" s="118"/>
      <c r="J959" s="122">
        <f>K959</f>
        <v>19.239000000000001</v>
      </c>
      <c r="K959" s="403">
        <v>19.239000000000001</v>
      </c>
      <c r="L959" s="302">
        <v>36.691000000000003</v>
      </c>
      <c r="M959" s="302">
        <v>36.972000000000001</v>
      </c>
      <c r="N959" s="302">
        <v>32.697000000000003</v>
      </c>
      <c r="O959" s="302">
        <v>42.335000000000001</v>
      </c>
      <c r="P959" s="403">
        <v>42.335000000000001</v>
      </c>
      <c r="Q959" s="302">
        <v>47.726999999999997</v>
      </c>
      <c r="R959" s="302">
        <v>42.341000000000001</v>
      </c>
      <c r="S959" s="302">
        <v>52.082999999999998</v>
      </c>
      <c r="T959" s="122">
        <f>U959</f>
        <v>51.56</v>
      </c>
      <c r="U959" s="403">
        <v>51.56</v>
      </c>
      <c r="V959" s="302">
        <v>60.6</v>
      </c>
      <c r="W959" s="302">
        <v>73.5</v>
      </c>
      <c r="X959" s="302">
        <v>68.289000000000001</v>
      </c>
      <c r="Y959" s="122">
        <f>Z959</f>
        <v>67.807000000000002</v>
      </c>
      <c r="Z959" s="403">
        <v>67.807000000000002</v>
      </c>
      <c r="AA959" s="302">
        <v>70.629000000000005</v>
      </c>
      <c r="AB959" s="302">
        <v>89.051000000000002</v>
      </c>
      <c r="AC959" s="302">
        <v>121.218</v>
      </c>
      <c r="AD959" s="122">
        <f>AE959</f>
        <v>120.247</v>
      </c>
      <c r="AE959" s="403">
        <v>120.247</v>
      </c>
      <c r="AF959" s="302">
        <v>114.517</v>
      </c>
      <c r="AG959" s="302">
        <v>129.458</v>
      </c>
      <c r="AH959" s="302">
        <v>167.745</v>
      </c>
      <c r="AI959" s="122">
        <f>AJ959</f>
        <v>212.99700000000001</v>
      </c>
      <c r="AJ959" s="403">
        <v>212.99700000000001</v>
      </c>
      <c r="AK959" s="302">
        <v>207.20599999999999</v>
      </c>
      <c r="AL959" s="302">
        <v>218.607</v>
      </c>
      <c r="AM959" s="302">
        <v>267.351</v>
      </c>
      <c r="AN959" s="122">
        <f>AO959</f>
        <v>298.91800000000001</v>
      </c>
      <c r="AO959" s="403">
        <v>298.91800000000001</v>
      </c>
      <c r="AP959" s="302">
        <v>255.34700000000001</v>
      </c>
      <c r="AQ959" s="302">
        <v>299.714</v>
      </c>
      <c r="AR959" s="302">
        <v>328.69400000000002</v>
      </c>
      <c r="AS959" s="122">
        <f>AT959</f>
        <v>0</v>
      </c>
      <c r="AT959" s="401"/>
      <c r="AU959" s="118"/>
      <c r="AV959" s="118"/>
      <c r="AW959" s="118"/>
      <c r="AX959" s="122">
        <f>AY959</f>
        <v>0</v>
      </c>
      <c r="AY959" s="401"/>
      <c r="AZ959" s="118"/>
      <c r="BA959" s="118"/>
      <c r="BB959" s="118"/>
      <c r="BC959" s="122">
        <f>BD959</f>
        <v>0</v>
      </c>
      <c r="BD959" s="401"/>
      <c r="BE959" s="118"/>
      <c r="BF959" s="118"/>
      <c r="BG959" s="118"/>
      <c r="BH959" s="122">
        <f>BI959</f>
        <v>0</v>
      </c>
      <c r="BI959" s="401"/>
      <c r="BJ959" s="971"/>
      <c r="BK959" s="118">
        <f>BJ959</f>
        <v>0</v>
      </c>
      <c r="BL959" s="118">
        <f>BK959</f>
        <v>0</v>
      </c>
      <c r="BM959" s="118">
        <f>BL959</f>
        <v>0</v>
      </c>
      <c r="BN959" s="401">
        <f t="shared" si="819"/>
        <v>0</v>
      </c>
      <c r="BO959" s="118">
        <f>BN959</f>
        <v>0</v>
      </c>
      <c r="BP959" s="118">
        <f>BO959</f>
        <v>0</v>
      </c>
      <c r="BQ959" s="118">
        <f>BP959</f>
        <v>0</v>
      </c>
      <c r="BR959" s="118">
        <f>BQ959</f>
        <v>0</v>
      </c>
      <c r="BS959" s="401">
        <f>BR959</f>
        <v>0</v>
      </c>
      <c r="BT959" s="401">
        <f>BS959</f>
        <v>0</v>
      </c>
      <c r="BU959" s="401">
        <f>BT959</f>
        <v>0</v>
      </c>
      <c r="BV959" s="401">
        <f>BU959</f>
        <v>0</v>
      </c>
      <c r="BW959" s="122"/>
    </row>
    <row r="960" spans="1:75" x14ac:dyDescent="0.5">
      <c r="A960" s="464" t="s">
        <v>2686</v>
      </c>
      <c r="B960" s="513"/>
      <c r="C960" s="401"/>
      <c r="D960" s="401"/>
      <c r="E960" s="401"/>
      <c r="F960" s="403">
        <v>12.282</v>
      </c>
      <c r="G960" s="118"/>
      <c r="H960" s="118"/>
      <c r="I960" s="118"/>
      <c r="J960" s="122">
        <f>K960</f>
        <v>13.397</v>
      </c>
      <c r="K960" s="403">
        <v>13.397</v>
      </c>
      <c r="L960" s="302">
        <v>17.164000000000001</v>
      </c>
      <c r="M960" s="302">
        <v>18.033000000000001</v>
      </c>
      <c r="N960" s="302">
        <v>21.827999999999999</v>
      </c>
      <c r="O960" s="302">
        <v>26.783999999999999</v>
      </c>
      <c r="P960" s="403">
        <v>26.783999999999999</v>
      </c>
      <c r="Q960" s="302">
        <v>31.899000000000001</v>
      </c>
      <c r="R960" s="302">
        <v>39.918999999999997</v>
      </c>
      <c r="S960" s="302">
        <v>45.027000000000001</v>
      </c>
      <c r="T960" s="122">
        <f>U960</f>
        <v>50.884</v>
      </c>
      <c r="U960" s="403">
        <v>50.884</v>
      </c>
      <c r="V960" s="302">
        <v>48.691000000000003</v>
      </c>
      <c r="W960" s="302">
        <v>53.521999999999998</v>
      </c>
      <c r="X960" s="302">
        <v>55.383000000000003</v>
      </c>
      <c r="Y960" s="122">
        <f>Z960</f>
        <v>65.891999999999996</v>
      </c>
      <c r="Z960" s="403">
        <v>65.891999999999996</v>
      </c>
      <c r="AA960" s="302">
        <v>88.325000000000003</v>
      </c>
      <c r="AB960" s="302">
        <v>89.138000000000005</v>
      </c>
      <c r="AC960" s="302">
        <v>86.218999999999994</v>
      </c>
      <c r="AD960" s="122">
        <f>AE960</f>
        <v>94.116</v>
      </c>
      <c r="AE960" s="403">
        <v>94.116</v>
      </c>
      <c r="AF960" s="302">
        <v>110.074</v>
      </c>
      <c r="AG960" s="302">
        <v>121.61799999999999</v>
      </c>
      <c r="AH960" s="302">
        <v>133.423</v>
      </c>
      <c r="AI960" s="122">
        <f>AJ960</f>
        <v>148.05699999999999</v>
      </c>
      <c r="AJ960" s="403">
        <v>148.05699999999999</v>
      </c>
      <c r="AK960" s="302">
        <v>146.46</v>
      </c>
      <c r="AL960" s="302">
        <v>155.81100000000001</v>
      </c>
      <c r="AM960" s="302">
        <v>151.36699999999999</v>
      </c>
      <c r="AN960" s="122">
        <f>AO960</f>
        <v>167.64099999999999</v>
      </c>
      <c r="AO960" s="403">
        <v>167.64099999999999</v>
      </c>
      <c r="AP960" s="302">
        <v>164.12200000000001</v>
      </c>
      <c r="AQ960" s="302">
        <v>333.78100000000001</v>
      </c>
      <c r="AR960" s="302">
        <v>318.17500000000001</v>
      </c>
      <c r="AS960" s="122">
        <f>AT960</f>
        <v>292.52499999999998</v>
      </c>
      <c r="AT960" s="403">
        <v>292.52499999999998</v>
      </c>
      <c r="AU960" s="302">
        <v>300</v>
      </c>
      <c r="AV960" s="302">
        <v>300</v>
      </c>
      <c r="AW960" s="118">
        <f>AV960</f>
        <v>300</v>
      </c>
      <c r="AX960" s="122">
        <f>AY960</f>
        <v>299</v>
      </c>
      <c r="AY960" s="403">
        <v>299</v>
      </c>
      <c r="AZ960" s="118">
        <f>AY960</f>
        <v>299</v>
      </c>
      <c r="BA960" s="118">
        <f>AZ960</f>
        <v>299</v>
      </c>
      <c r="BB960" s="118">
        <f>BA960</f>
        <v>299</v>
      </c>
      <c r="BC960" s="122">
        <f>BD960</f>
        <v>214</v>
      </c>
      <c r="BD960" s="403">
        <v>214</v>
      </c>
      <c r="BE960" s="118">
        <f>BD960</f>
        <v>214</v>
      </c>
      <c r="BF960" s="118">
        <f>BE960</f>
        <v>214</v>
      </c>
      <c r="BG960" s="118">
        <f>BF960</f>
        <v>214</v>
      </c>
      <c r="BH960" s="122">
        <f>BI960</f>
        <v>195</v>
      </c>
      <c r="BI960" s="403">
        <v>195</v>
      </c>
      <c r="BJ960" s="971">
        <f>BI960</f>
        <v>195</v>
      </c>
      <c r="BK960" s="118">
        <f>(BK$227+BJ$227+BH$227+BG$227)*BK904</f>
        <v>216.13824884048461</v>
      </c>
      <c r="BL960" s="118">
        <f>(BL$227+BK$227+BJ$227+BH$227)*BL904</f>
        <v>215.03837128190159</v>
      </c>
      <c r="BM960" s="118">
        <f>(BM$227+BL$227+BK$227+BJ$227)*BM904</f>
        <v>196.48000602224445</v>
      </c>
      <c r="BN960" s="401">
        <f t="shared" si="819"/>
        <v>196.48000602224445</v>
      </c>
      <c r="BO960" s="118">
        <f>(BO$227+BM$227+BL$227+BK$227)*BO904</f>
        <v>199.9387335436528</v>
      </c>
      <c r="BP960" s="118">
        <f>(BP$227+BO$227+BM$227+BL$227)*BP904</f>
        <v>224.28919322032007</v>
      </c>
      <c r="BQ960" s="118">
        <f>(BQ$227+BP$227+BO$227+BM$227)*BQ904</f>
        <v>225.60190448252436</v>
      </c>
      <c r="BR960" s="118">
        <f>(BR$227+BQ$227+BP$227+BO$227)*BR904</f>
        <v>208.48611327023977</v>
      </c>
      <c r="BS960" s="401">
        <f>BR960</f>
        <v>208.48611327023977</v>
      </c>
      <c r="BT960" s="401">
        <f>BT227*BT904</f>
        <v>223.39474674408135</v>
      </c>
      <c r="BU960" s="401">
        <f>BU227*BU904</f>
        <v>239.36948168900389</v>
      </c>
      <c r="BV960" s="401">
        <f>BV227*BV904</f>
        <v>256.48655395510286</v>
      </c>
      <c r="BW960" s="122"/>
    </row>
    <row r="961" spans="1:75" x14ac:dyDescent="0.5">
      <c r="A961" s="464" t="s">
        <v>2647</v>
      </c>
      <c r="B961" s="513"/>
      <c r="C961" s="401"/>
      <c r="D961" s="401"/>
      <c r="E961" s="401"/>
      <c r="F961" s="403">
        <v>1.39</v>
      </c>
      <c r="G961" s="118"/>
      <c r="H961" s="118"/>
      <c r="I961" s="118"/>
      <c r="J961" s="122">
        <f>K961</f>
        <v>1.8779999999999999</v>
      </c>
      <c r="K961" s="403">
        <v>1.8779999999999999</v>
      </c>
      <c r="L961" s="302">
        <v>0.90800000000000003</v>
      </c>
      <c r="M961" s="302">
        <v>1.4850000000000001</v>
      </c>
      <c r="N961" s="302">
        <v>1.7869999999999999</v>
      </c>
      <c r="O961" s="302">
        <v>0</v>
      </c>
      <c r="P961" s="401"/>
      <c r="Q961" s="118"/>
      <c r="R961" s="118"/>
      <c r="S961" s="118"/>
      <c r="T961" s="122">
        <f>U961</f>
        <v>0</v>
      </c>
      <c r="U961" s="401"/>
      <c r="V961" s="118"/>
      <c r="W961" s="118"/>
      <c r="X961" s="118"/>
      <c r="Y961" s="122">
        <f>Z961</f>
        <v>0</v>
      </c>
      <c r="Z961" s="401"/>
      <c r="AA961" s="302">
        <v>0</v>
      </c>
      <c r="AB961" s="118"/>
      <c r="AC961" s="118"/>
      <c r="AD961" s="122">
        <f>AE961</f>
        <v>0</v>
      </c>
      <c r="AE961" s="401"/>
      <c r="AF961" s="118"/>
      <c r="AG961" s="118"/>
      <c r="AH961" s="302">
        <v>0</v>
      </c>
      <c r="AI961" s="122">
        <f>AJ961</f>
        <v>0</v>
      </c>
      <c r="AJ961" s="401"/>
      <c r="AK961" s="118"/>
      <c r="AL961" s="118"/>
      <c r="AM961" s="118"/>
      <c r="AN961" s="122">
        <f>AO961</f>
        <v>0</v>
      </c>
      <c r="AO961" s="401"/>
      <c r="AP961" s="118"/>
      <c r="AQ961" s="118"/>
      <c r="AR961" s="118"/>
      <c r="AS961" s="122">
        <f>AT961</f>
        <v>0</v>
      </c>
      <c r="AT961" s="401"/>
      <c r="AU961" s="118"/>
      <c r="AV961" s="118"/>
      <c r="AW961" s="118"/>
      <c r="AX961" s="122">
        <f>AY961</f>
        <v>0</v>
      </c>
      <c r="AY961" s="401"/>
      <c r="AZ961" s="118"/>
      <c r="BA961" s="118"/>
      <c r="BB961" s="118"/>
      <c r="BC961" s="122">
        <f>BD961</f>
        <v>0</v>
      </c>
      <c r="BD961" s="401"/>
      <c r="BE961" s="118"/>
      <c r="BF961" s="118"/>
      <c r="BG961" s="118"/>
      <c r="BH961" s="122">
        <f>BI961</f>
        <v>0</v>
      </c>
      <c r="BI961" s="401"/>
      <c r="BJ961" s="971"/>
      <c r="BK961" s="118">
        <f>BJ961</f>
        <v>0</v>
      </c>
      <c r="BL961" s="118">
        <f>BK961</f>
        <v>0</v>
      </c>
      <c r="BM961" s="118">
        <f>BL961</f>
        <v>0</v>
      </c>
      <c r="BN961" s="401">
        <f t="shared" si="819"/>
        <v>0</v>
      </c>
      <c r="BO961" s="118">
        <f>BN961</f>
        <v>0</v>
      </c>
      <c r="BP961" s="118">
        <f>BO961</f>
        <v>0</v>
      </c>
      <c r="BQ961" s="118">
        <f>BP961</f>
        <v>0</v>
      </c>
      <c r="BR961" s="118">
        <f>BQ961</f>
        <v>0</v>
      </c>
      <c r="BS961" s="401">
        <f>BR961</f>
        <v>0</v>
      </c>
      <c r="BT961" s="401">
        <f>BS961</f>
        <v>0</v>
      </c>
      <c r="BU961" s="401">
        <f>BT961</f>
        <v>0</v>
      </c>
      <c r="BV961" s="401">
        <f>BU961</f>
        <v>0</v>
      </c>
      <c r="BW961" s="122"/>
    </row>
    <row r="962" spans="1:75" hidden="1" outlineLevel="1" x14ac:dyDescent="0.5">
      <c r="A962" s="541" t="s">
        <v>2687</v>
      </c>
      <c r="B962" s="513"/>
      <c r="C962" s="401"/>
      <c r="D962" s="401"/>
      <c r="E962" s="401"/>
      <c r="F962" s="401"/>
      <c r="G962" s="118"/>
      <c r="H962" s="118"/>
      <c r="I962" s="118"/>
      <c r="J962" s="118"/>
      <c r="K962" s="401"/>
      <c r="L962" s="118"/>
      <c r="M962" s="118"/>
      <c r="N962" s="118"/>
      <c r="O962" s="118"/>
      <c r="P962" s="401"/>
      <c r="Q962" s="118"/>
      <c r="R962" s="118"/>
      <c r="S962" s="118"/>
      <c r="T962" s="118"/>
      <c r="U962" s="401"/>
      <c r="V962" s="118"/>
      <c r="W962" s="118"/>
      <c r="X962" s="118"/>
      <c r="Y962" s="118"/>
      <c r="Z962" s="401"/>
      <c r="AA962" s="118"/>
      <c r="AB962" s="118"/>
      <c r="AC962" s="118"/>
      <c r="AD962" s="118"/>
      <c r="AE962" s="401"/>
      <c r="AF962" s="118"/>
      <c r="AG962" s="118"/>
      <c r="AH962" s="118"/>
      <c r="AI962" s="118"/>
      <c r="AJ962" s="401"/>
      <c r="AK962" s="118"/>
      <c r="AL962" s="118"/>
      <c r="AM962" s="118"/>
      <c r="AN962" s="118">
        <f>AO962</f>
        <v>91.103999999999999</v>
      </c>
      <c r="AO962" s="403">
        <v>91.103999999999999</v>
      </c>
      <c r="AP962" s="118"/>
      <c r="AQ962" s="118"/>
      <c r="AR962" s="118"/>
      <c r="AS962" s="118">
        <f>AT962</f>
        <v>97.286000000000001</v>
      </c>
      <c r="AT962" s="403">
        <v>97.286000000000001</v>
      </c>
      <c r="AU962" s="118"/>
      <c r="AV962" s="118"/>
      <c r="AW962" s="118"/>
      <c r="AX962" s="118">
        <f>AY962</f>
        <v>110</v>
      </c>
      <c r="AY962" s="403">
        <v>110</v>
      </c>
      <c r="AZ962" s="118"/>
      <c r="BA962" s="118"/>
      <c r="BB962" s="118"/>
      <c r="BC962" s="118">
        <f>+BD962</f>
        <v>125</v>
      </c>
      <c r="BD962" s="403">
        <v>125</v>
      </c>
      <c r="BE962" s="118"/>
      <c r="BF962" s="118"/>
      <c r="BG962" s="118"/>
      <c r="BH962" s="118">
        <f>+BI962</f>
        <v>133</v>
      </c>
      <c r="BI962" s="403">
        <v>133</v>
      </c>
      <c r="BJ962" s="971">
        <f>BI962</f>
        <v>133</v>
      </c>
      <c r="BK962" s="118">
        <f>+BJ962</f>
        <v>133</v>
      </c>
      <c r="BL962" s="118">
        <f>+BK962</f>
        <v>133</v>
      </c>
      <c r="BM962" s="118">
        <f>+BL962</f>
        <v>133</v>
      </c>
      <c r="BN962" s="401">
        <f t="shared" ref="BN962:BV962" si="820">+BM962</f>
        <v>133</v>
      </c>
      <c r="BO962" s="118">
        <f t="shared" si="820"/>
        <v>133</v>
      </c>
      <c r="BP962" s="118">
        <f t="shared" si="820"/>
        <v>133</v>
      </c>
      <c r="BQ962" s="118">
        <f t="shared" si="820"/>
        <v>133</v>
      </c>
      <c r="BR962" s="118">
        <f t="shared" si="820"/>
        <v>133</v>
      </c>
      <c r="BS962" s="401">
        <f t="shared" si="820"/>
        <v>133</v>
      </c>
      <c r="BT962" s="401">
        <f t="shared" si="820"/>
        <v>133</v>
      </c>
      <c r="BU962" s="401">
        <f t="shared" si="820"/>
        <v>133</v>
      </c>
      <c r="BV962" s="401">
        <f t="shared" si="820"/>
        <v>133</v>
      </c>
      <c r="BW962" s="122"/>
    </row>
    <row r="963" spans="1:75" hidden="1" outlineLevel="1" x14ac:dyDescent="0.5">
      <c r="A963" s="541" t="s">
        <v>2688</v>
      </c>
      <c r="B963" s="513"/>
      <c r="C963" s="401"/>
      <c r="D963" s="401"/>
      <c r="E963" s="401"/>
      <c r="F963" s="401"/>
      <c r="G963" s="118"/>
      <c r="H963" s="118"/>
      <c r="I963" s="118"/>
      <c r="J963" s="118"/>
      <c r="K963" s="401"/>
      <c r="L963" s="118"/>
      <c r="M963" s="118"/>
      <c r="N963" s="118"/>
      <c r="O963" s="118"/>
      <c r="P963" s="401"/>
      <c r="Q963" s="118"/>
      <c r="R963" s="118"/>
      <c r="S963" s="118"/>
      <c r="T963" s="118"/>
      <c r="U963" s="401"/>
      <c r="V963" s="118"/>
      <c r="W963" s="118"/>
      <c r="X963" s="118"/>
      <c r="Y963" s="118"/>
      <c r="Z963" s="401"/>
      <c r="AA963" s="118"/>
      <c r="AB963" s="118"/>
      <c r="AC963" s="118"/>
      <c r="AD963" s="118"/>
      <c r="AE963" s="401"/>
      <c r="AF963" s="118"/>
      <c r="AG963" s="118"/>
      <c r="AH963" s="118"/>
      <c r="AI963" s="118"/>
      <c r="AJ963" s="401"/>
      <c r="AK963" s="118"/>
      <c r="AL963" s="118"/>
      <c r="AM963" s="118"/>
      <c r="AN963" s="118"/>
      <c r="AO963" s="401"/>
      <c r="AP963" s="118"/>
      <c r="AQ963" s="118"/>
      <c r="AR963" s="118"/>
      <c r="AS963" s="118"/>
      <c r="AT963" s="401"/>
      <c r="AU963" s="118"/>
      <c r="AV963" s="118"/>
      <c r="AW963" s="118"/>
      <c r="AX963" s="118"/>
      <c r="AY963" s="401"/>
      <c r="AZ963" s="118"/>
      <c r="BA963" s="302">
        <v>3</v>
      </c>
      <c r="BB963" s="118"/>
      <c r="BC963" s="118">
        <f t="shared" ref="BC963:BC964" si="821">BD963</f>
        <v>0</v>
      </c>
      <c r="BD963" s="401"/>
      <c r="BE963" s="118"/>
      <c r="BF963" s="118"/>
      <c r="BG963" s="118"/>
      <c r="BH963" s="118">
        <f>BI963</f>
        <v>117</v>
      </c>
      <c r="BI963" s="403">
        <v>117</v>
      </c>
      <c r="BJ963" s="1207">
        <v>117</v>
      </c>
      <c r="BK963" s="118">
        <f>IF(BK367+BK380+BK397+BK414+BK431+BK465+BK448&gt;BJ963,BJ963,BK367+BK380+BK397+BK414+BK431+BK465+BK448)</f>
        <v>117</v>
      </c>
      <c r="BL963" s="118">
        <f>IF(BL367+BL380+BL397+BL414+BL431+BL465+BL448&gt;BK963,BK963,BL367+BL380+BL397+BL414+BL431+BL465+BL448)</f>
        <v>117</v>
      </c>
      <c r="BM963" s="118">
        <f>IF(BM367+BM380+BM397+BM414+BM431+BM465+BM448&gt;BL963,BL963,BM367+BM380+BM397+BM414+BM431+BM465+BM448)</f>
        <v>117</v>
      </c>
      <c r="BN963" s="401">
        <f t="shared" si="819"/>
        <v>117</v>
      </c>
      <c r="BO963" s="118">
        <f>IF(BO367+BO380+BO397+BO414+BO431+BO465+BO448&gt;BN963,BN963,BO367+BO380+BO397+BO414+BO431+BO465+BO448)</f>
        <v>117</v>
      </c>
      <c r="BP963" s="118">
        <f>IF(BP367+BP380+BP397+BP414+BP431+BP465+BP448&gt;BO963,BO963,BP367+BP380+BP397+BP414+BP431+BP465+BP448)</f>
        <v>117</v>
      </c>
      <c r="BQ963" s="118">
        <f>IF(BQ367+BQ380+BQ397+BQ414+BQ431+BQ465+BQ448&gt;BP963,BP963,BQ367+BQ380+BQ397+BQ414+BQ431+BQ465+BQ448)</f>
        <v>117</v>
      </c>
      <c r="BR963" s="118">
        <f>IF(BR367+BR380+BR397+BR414+BR431+BR465+BR448&gt;BQ963,BQ963,BR367+BR380+BR397+BR414+BR431+BR465+BR448)</f>
        <v>117</v>
      </c>
      <c r="BS963" s="401">
        <f>BR963</f>
        <v>117</v>
      </c>
      <c r="BT963" s="401">
        <f>IF(BT367+BT380+BT397+BT414+BT431+BT465+BT448&gt;BS963,BS963,BT367+BT380+BT397+BT414+BT431+BT465+BT448)</f>
        <v>117</v>
      </c>
      <c r="BU963" s="401">
        <f>IF(BU367+BU380+BU397+BU414+BU431+BU465+BU448&gt;BT963,BT963,BU367+BU380+BU397+BU414+BU431+BU465+BU448)</f>
        <v>117</v>
      </c>
      <c r="BV963" s="401">
        <f>IF(BV367+BV380+BV397+BV414+BV431+BV465+BV448&gt;BU963,BU963,BV367+BV380+BV397+BV414+BV431+BV465+BV448)</f>
        <v>0</v>
      </c>
      <c r="BW963" s="122"/>
    </row>
    <row r="964" spans="1:75" hidden="1" outlineLevel="1" x14ac:dyDescent="0.5">
      <c r="A964" s="541" t="s">
        <v>2689</v>
      </c>
      <c r="B964" s="513"/>
      <c r="C964" s="401"/>
      <c r="D964" s="401"/>
      <c r="E964" s="401"/>
      <c r="F964" s="401"/>
      <c r="G964" s="118"/>
      <c r="H964" s="118"/>
      <c r="I964" s="118"/>
      <c r="J964" s="118"/>
      <c r="K964" s="401"/>
      <c r="L964" s="118"/>
      <c r="M964" s="118"/>
      <c r="N964" s="118"/>
      <c r="O964" s="118"/>
      <c r="P964" s="401"/>
      <c r="Q964" s="118"/>
      <c r="R964" s="118"/>
      <c r="S964" s="118"/>
      <c r="T964" s="118"/>
      <c r="U964" s="401"/>
      <c r="V964" s="118"/>
      <c r="W964" s="118"/>
      <c r="X964" s="118"/>
      <c r="Y964" s="118"/>
      <c r="Z964" s="401"/>
      <c r="AA964" s="118"/>
      <c r="AB964" s="118"/>
      <c r="AC964" s="118"/>
      <c r="AD964" s="118"/>
      <c r="AE964" s="401"/>
      <c r="AF964" s="118"/>
      <c r="AG964" s="118"/>
      <c r="AH964" s="118"/>
      <c r="AI964" s="118"/>
      <c r="AJ964" s="401"/>
      <c r="AK964" s="118"/>
      <c r="AL964" s="118"/>
      <c r="AM964" s="118"/>
      <c r="AN964" s="118"/>
      <c r="AO964" s="401"/>
      <c r="AP964" s="118"/>
      <c r="AQ964" s="118"/>
      <c r="AR964" s="118"/>
      <c r="AS964" s="118"/>
      <c r="AT964" s="401"/>
      <c r="AU964" s="118"/>
      <c r="AV964" s="118"/>
      <c r="AW964" s="118"/>
      <c r="AX964" s="118"/>
      <c r="AY964" s="401"/>
      <c r="AZ964" s="118"/>
      <c r="BA964" s="118"/>
      <c r="BB964" s="118"/>
      <c r="BC964" s="118">
        <f t="shared" si="821"/>
        <v>0</v>
      </c>
      <c r="BD964" s="401"/>
      <c r="BE964" s="118"/>
      <c r="BF964" s="118"/>
      <c r="BG964" s="118"/>
      <c r="BH964" s="118">
        <f>BI964</f>
        <v>0</v>
      </c>
      <c r="BI964" s="401"/>
      <c r="BJ964" s="971"/>
      <c r="BK964" s="118">
        <f>IF(BJ974+BK710&lt;0,BJ964+BJ974+BK710,BJ964)</f>
        <v>0</v>
      </c>
      <c r="BL964" s="118">
        <f>IF(BK974+BL710&lt;0,BK964+BK974+BL710,BK964)</f>
        <v>0</v>
      </c>
      <c r="BM964" s="118">
        <f>IF(BL974+BM710&lt;0,BL964+BL974+BM710,BL964)</f>
        <v>0</v>
      </c>
      <c r="BN964" s="401">
        <f t="shared" si="819"/>
        <v>0</v>
      </c>
      <c r="BO964" s="118">
        <f>IF(BN974+BO710&lt;0,BN964+BN974+BO710,BN964)</f>
        <v>0</v>
      </c>
      <c r="BP964" s="118">
        <f>IF(BO974+BP710&lt;0,BO964+BO974+BP710,BO964)</f>
        <v>0</v>
      </c>
      <c r="BQ964" s="118">
        <f>IF(BP974+BQ710&lt;0,BP964+BP974+BQ710,BP964)</f>
        <v>0</v>
      </c>
      <c r="BR964" s="118">
        <f>IF(BQ974+BR710&lt;0,BQ964+BQ974+BR710,BQ964)</f>
        <v>0</v>
      </c>
      <c r="BS964" s="401">
        <f>BR964</f>
        <v>0</v>
      </c>
      <c r="BT964" s="401">
        <f>IF(BS974+BT710&lt;0,BS964+BS974+BT710,BS964)</f>
        <v>0</v>
      </c>
      <c r="BU964" s="401">
        <f>IF(BT974+BU710&lt;0,BT964+BT974+BU710,BT964)</f>
        <v>0</v>
      </c>
      <c r="BV964" s="401">
        <f>IF(BU974+BV710&lt;0,BU964+BU974+BV710,BU964)</f>
        <v>0</v>
      </c>
      <c r="BW964" s="122"/>
    </row>
    <row r="965" spans="1:75" hidden="1" outlineLevel="1" x14ac:dyDescent="0.5">
      <c r="A965" s="541" t="s">
        <v>2690</v>
      </c>
      <c r="B965" s="513"/>
      <c r="C965" s="401"/>
      <c r="D965" s="401"/>
      <c r="E965" s="401"/>
      <c r="F965" s="674">
        <f t="shared" ref="F965:BC965" si="822">F966-SUM(F962:F964)</f>
        <v>5.2220000000000004</v>
      </c>
      <c r="G965" s="118"/>
      <c r="H965" s="118"/>
      <c r="I965" s="118"/>
      <c r="J965" s="122">
        <f t="shared" si="822"/>
        <v>8.3420000000000005</v>
      </c>
      <c r="K965" s="674">
        <f t="shared" si="822"/>
        <v>8.3420000000000005</v>
      </c>
      <c r="L965" s="122">
        <f t="shared" si="822"/>
        <v>8.69</v>
      </c>
      <c r="M965" s="122">
        <f t="shared" si="822"/>
        <v>11.255000000000001</v>
      </c>
      <c r="N965" s="122">
        <f t="shared" si="822"/>
        <v>12.587</v>
      </c>
      <c r="O965" s="122">
        <f t="shared" si="822"/>
        <v>15.6</v>
      </c>
      <c r="P965" s="401">
        <f t="shared" si="822"/>
        <v>15.6</v>
      </c>
      <c r="Q965" s="118">
        <f t="shared" si="822"/>
        <v>17.247</v>
      </c>
      <c r="R965" s="118">
        <f t="shared" si="822"/>
        <v>21.742999999999999</v>
      </c>
      <c r="S965" s="118">
        <f t="shared" si="822"/>
        <v>24.07</v>
      </c>
      <c r="T965" s="122">
        <f t="shared" si="822"/>
        <v>23.669</v>
      </c>
      <c r="U965" s="401">
        <f t="shared" si="822"/>
        <v>23.669</v>
      </c>
      <c r="V965" s="118">
        <f t="shared" si="822"/>
        <v>27.812999999999999</v>
      </c>
      <c r="W965" s="118">
        <f t="shared" si="822"/>
        <v>32.344000000000001</v>
      </c>
      <c r="X965" s="118">
        <f t="shared" si="822"/>
        <v>37.014000000000003</v>
      </c>
      <c r="Y965" s="122">
        <f t="shared" si="822"/>
        <v>44.027999999999999</v>
      </c>
      <c r="Z965" s="401">
        <f t="shared" si="822"/>
        <v>44.027999999999999</v>
      </c>
      <c r="AA965" s="122">
        <f t="shared" si="822"/>
        <v>44.911000000000001</v>
      </c>
      <c r="AB965" s="118">
        <f t="shared" si="822"/>
        <v>48.951000000000001</v>
      </c>
      <c r="AC965" s="118">
        <f t="shared" si="822"/>
        <v>61.151000000000003</v>
      </c>
      <c r="AD965" s="122">
        <f t="shared" si="822"/>
        <v>85.025999999999996</v>
      </c>
      <c r="AE965" s="401">
        <f t="shared" si="822"/>
        <v>85.025999999999996</v>
      </c>
      <c r="AF965" s="118">
        <f t="shared" si="822"/>
        <v>89.43</v>
      </c>
      <c r="AG965" s="118">
        <f t="shared" si="822"/>
        <v>95.626000000000005</v>
      </c>
      <c r="AH965" s="122">
        <f t="shared" si="822"/>
        <v>109.212</v>
      </c>
      <c r="AI965" s="122">
        <f t="shared" si="822"/>
        <v>127.995</v>
      </c>
      <c r="AJ965" s="401">
        <f t="shared" si="822"/>
        <v>127.995</v>
      </c>
      <c r="AK965" s="118">
        <f t="shared" si="822"/>
        <v>170.173</v>
      </c>
      <c r="AL965" s="118">
        <f t="shared" si="822"/>
        <v>179.155</v>
      </c>
      <c r="AM965" s="118">
        <f t="shared" si="822"/>
        <v>200.50200000000001</v>
      </c>
      <c r="AN965" s="122">
        <f t="shared" si="822"/>
        <v>145.75900000000001</v>
      </c>
      <c r="AO965" s="401">
        <f t="shared" si="822"/>
        <v>145.75900000000001</v>
      </c>
      <c r="AP965" s="118">
        <f t="shared" si="822"/>
        <v>236.15799999999999</v>
      </c>
      <c r="AQ965" s="118">
        <f t="shared" si="822"/>
        <v>379.43099999999998</v>
      </c>
      <c r="AR965" s="118">
        <f t="shared" si="822"/>
        <v>333.589</v>
      </c>
      <c r="AS965" s="122">
        <f t="shared" si="822"/>
        <v>619.15900000000011</v>
      </c>
      <c r="AT965" s="401">
        <f t="shared" si="822"/>
        <v>619.15900000000011</v>
      </c>
      <c r="AU965" s="118">
        <f t="shared" si="822"/>
        <v>745.81400000000008</v>
      </c>
      <c r="AV965" s="118">
        <f t="shared" si="822"/>
        <v>663.23500000000001</v>
      </c>
      <c r="AW965" s="118">
        <f t="shared" si="822"/>
        <v>657.96299999999997</v>
      </c>
      <c r="AX965" s="122">
        <f t="shared" si="822"/>
        <v>642</v>
      </c>
      <c r="AY965" s="401">
        <f t="shared" si="822"/>
        <v>642</v>
      </c>
      <c r="AZ965" s="118">
        <f t="shared" si="822"/>
        <v>726</v>
      </c>
      <c r="BA965" s="118">
        <f t="shared" si="822"/>
        <v>682</v>
      </c>
      <c r="BB965" s="118">
        <f t="shared" si="822"/>
        <v>606</v>
      </c>
      <c r="BC965" s="122">
        <f t="shared" si="822"/>
        <v>529</v>
      </c>
      <c r="BD965" s="401">
        <f t="shared" ref="BD965:BI965" si="823">BD966-SUM(BD962:BD964)</f>
        <v>529</v>
      </c>
      <c r="BE965" s="118">
        <f t="shared" si="823"/>
        <v>637</v>
      </c>
      <c r="BF965" s="118">
        <f t="shared" si="823"/>
        <v>656</v>
      </c>
      <c r="BG965" s="118">
        <f t="shared" si="823"/>
        <v>609</v>
      </c>
      <c r="BH965" s="122">
        <f t="shared" si="823"/>
        <v>504</v>
      </c>
      <c r="BI965" s="401">
        <f t="shared" si="823"/>
        <v>504</v>
      </c>
      <c r="BJ965" s="971">
        <f>BJ966-SUM(BJ962:BJ964)</f>
        <v>525</v>
      </c>
      <c r="BK965" s="118">
        <f>BJ965</f>
        <v>525</v>
      </c>
      <c r="BL965" s="118">
        <f>BK965</f>
        <v>525</v>
      </c>
      <c r="BM965" s="118">
        <f>BL965</f>
        <v>525</v>
      </c>
      <c r="BN965" s="401">
        <f t="shared" si="819"/>
        <v>525</v>
      </c>
      <c r="BO965" s="118">
        <f>BN965</f>
        <v>525</v>
      </c>
      <c r="BP965" s="118">
        <f>BO965</f>
        <v>525</v>
      </c>
      <c r="BQ965" s="118">
        <f>BP965</f>
        <v>525</v>
      </c>
      <c r="BR965" s="118">
        <f>BQ965</f>
        <v>525</v>
      </c>
      <c r="BS965" s="401">
        <f>BR965</f>
        <v>525</v>
      </c>
      <c r="BT965" s="401">
        <f>BS965</f>
        <v>525</v>
      </c>
      <c r="BU965" s="401">
        <f>BT965</f>
        <v>525</v>
      </c>
      <c r="BV965" s="401">
        <f>BU965</f>
        <v>525</v>
      </c>
      <c r="BW965" s="122"/>
    </row>
    <row r="966" spans="1:75" collapsed="1" x14ac:dyDescent="0.5">
      <c r="A966" s="544" t="s">
        <v>1372</v>
      </c>
      <c r="B966" s="725"/>
      <c r="C966" s="726"/>
      <c r="D966" s="726"/>
      <c r="E966" s="726"/>
      <c r="F966" s="1483">
        <v>5.2220000000000004</v>
      </c>
      <c r="G966" s="727"/>
      <c r="H966" s="727"/>
      <c r="I966" s="727"/>
      <c r="J966" s="1480">
        <f>K966</f>
        <v>8.3420000000000005</v>
      </c>
      <c r="K966" s="1483">
        <v>8.3420000000000005</v>
      </c>
      <c r="L966" s="1482">
        <v>8.69</v>
      </c>
      <c r="M966" s="1482">
        <v>11.255000000000001</v>
      </c>
      <c r="N966" s="1482">
        <v>12.587</v>
      </c>
      <c r="O966" s="1482">
        <v>15.6</v>
      </c>
      <c r="P966" s="1483">
        <v>15.6</v>
      </c>
      <c r="Q966" s="1482">
        <v>17.247</v>
      </c>
      <c r="R966" s="1482">
        <v>21.742999999999999</v>
      </c>
      <c r="S966" s="1482">
        <v>24.07</v>
      </c>
      <c r="T966" s="1480">
        <f>U966</f>
        <v>23.669</v>
      </c>
      <c r="U966" s="1483">
        <v>23.669</v>
      </c>
      <c r="V966" s="1482">
        <v>27.812999999999999</v>
      </c>
      <c r="W966" s="1482">
        <v>32.344000000000001</v>
      </c>
      <c r="X966" s="1482">
        <v>37.014000000000003</v>
      </c>
      <c r="Y966" s="1480">
        <f>Z966</f>
        <v>44.027999999999999</v>
      </c>
      <c r="Z966" s="1483">
        <v>44.027999999999999</v>
      </c>
      <c r="AA966" s="1482">
        <v>44.911000000000001</v>
      </c>
      <c r="AB966" s="1482">
        <v>48.951000000000001</v>
      </c>
      <c r="AC966" s="1482">
        <v>61.151000000000003</v>
      </c>
      <c r="AD966" s="1480">
        <f>AE966</f>
        <v>85.025999999999996</v>
      </c>
      <c r="AE966" s="1483">
        <v>85.025999999999996</v>
      </c>
      <c r="AF966" s="1482">
        <v>89.43</v>
      </c>
      <c r="AG966" s="1482">
        <v>95.626000000000005</v>
      </c>
      <c r="AH966" s="1482">
        <v>109.212</v>
      </c>
      <c r="AI966" s="1480">
        <f>AJ966</f>
        <v>127.995</v>
      </c>
      <c r="AJ966" s="1483">
        <v>127.995</v>
      </c>
      <c r="AK966" s="1482">
        <v>170.173</v>
      </c>
      <c r="AL966" s="1482">
        <v>179.155</v>
      </c>
      <c r="AM966" s="1482">
        <v>200.50200000000001</v>
      </c>
      <c r="AN966" s="1480">
        <f>AO966</f>
        <v>236.863</v>
      </c>
      <c r="AO966" s="1483">
        <v>236.863</v>
      </c>
      <c r="AP966" s="1482">
        <v>236.15799999999999</v>
      </c>
      <c r="AQ966" s="1482">
        <v>379.43099999999998</v>
      </c>
      <c r="AR966" s="1482">
        <v>333.589</v>
      </c>
      <c r="AS966" s="1480">
        <f>AT966</f>
        <v>716.44500000000005</v>
      </c>
      <c r="AT966" s="1479">
        <f>1008.97-AT960</f>
        <v>716.44500000000005</v>
      </c>
      <c r="AU966" s="1480">
        <f>1045.814-AU960</f>
        <v>745.81400000000008</v>
      </c>
      <c r="AV966" s="1480">
        <f>963.235-AV960</f>
        <v>663.23500000000001</v>
      </c>
      <c r="AW966" s="1480">
        <f>957.963-AW960</f>
        <v>657.96299999999997</v>
      </c>
      <c r="AX966" s="1480">
        <f>AY966</f>
        <v>752</v>
      </c>
      <c r="AY966" s="1479">
        <f>1051-AY960</f>
        <v>752</v>
      </c>
      <c r="AZ966" s="1480">
        <f>1025-AZ960</f>
        <v>726</v>
      </c>
      <c r="BA966" s="1480">
        <f>984-BA960</f>
        <v>685</v>
      </c>
      <c r="BB966" s="1480">
        <f>905-BB960</f>
        <v>606</v>
      </c>
      <c r="BC966" s="1480">
        <f>BD966</f>
        <v>654</v>
      </c>
      <c r="BD966" s="1479">
        <f>868-BD960</f>
        <v>654</v>
      </c>
      <c r="BE966" s="1480">
        <f>851-BE960</f>
        <v>637</v>
      </c>
      <c r="BF966" s="1480">
        <f>870-BF960</f>
        <v>656</v>
      </c>
      <c r="BG966" s="1480">
        <f>823-BG960</f>
        <v>609</v>
      </c>
      <c r="BH966" s="1484">
        <f>BI966</f>
        <v>754</v>
      </c>
      <c r="BI966" s="1479">
        <f>949-BI960</f>
        <v>754</v>
      </c>
      <c r="BJ966" s="1481">
        <f>970-BJ960</f>
        <v>775</v>
      </c>
      <c r="BK966" s="727">
        <f>SUM(BK962:BK965)</f>
        <v>775</v>
      </c>
      <c r="BL966" s="727">
        <f>SUM(BL962:BL965)</f>
        <v>775</v>
      </c>
      <c r="BM966" s="727">
        <f>SUM(BM962:BM965)</f>
        <v>775</v>
      </c>
      <c r="BN966" s="726">
        <f t="shared" ref="BN966:BV966" si="824">SUM(BN962:BN965)</f>
        <v>775</v>
      </c>
      <c r="BO966" s="727">
        <f t="shared" si="824"/>
        <v>775</v>
      </c>
      <c r="BP966" s="727">
        <f t="shared" si="824"/>
        <v>775</v>
      </c>
      <c r="BQ966" s="727">
        <f t="shared" si="824"/>
        <v>775</v>
      </c>
      <c r="BR966" s="727">
        <f t="shared" si="824"/>
        <v>775</v>
      </c>
      <c r="BS966" s="726">
        <f t="shared" si="824"/>
        <v>775</v>
      </c>
      <c r="BT966" s="726">
        <f t="shared" si="824"/>
        <v>775</v>
      </c>
      <c r="BU966" s="726">
        <f t="shared" si="824"/>
        <v>775</v>
      </c>
      <c r="BV966" s="726">
        <f t="shared" si="824"/>
        <v>658</v>
      </c>
      <c r="BW966" s="122"/>
    </row>
    <row r="967" spans="1:75" x14ac:dyDescent="0.5">
      <c r="A967" s="516" t="s">
        <v>1521</v>
      </c>
      <c r="B967" s="517"/>
      <c r="C967" s="518"/>
      <c r="D967" s="518"/>
      <c r="E967" s="518"/>
      <c r="F967" s="519">
        <f t="shared" ref="F967:AK967" si="825">SUM(F958:F961)+F966</f>
        <v>98.092999999999989</v>
      </c>
      <c r="G967" s="327"/>
      <c r="H967" s="327"/>
      <c r="I967" s="327"/>
      <c r="J967" s="520">
        <f t="shared" si="825"/>
        <v>145.00900000000001</v>
      </c>
      <c r="K967" s="519">
        <f t="shared" si="825"/>
        <v>145.00900000000001</v>
      </c>
      <c r="L967" s="520">
        <f t="shared" si="825"/>
        <v>142.77399999999997</v>
      </c>
      <c r="M967" s="520">
        <f t="shared" si="825"/>
        <v>148.86900000000003</v>
      </c>
      <c r="N967" s="520">
        <f t="shared" si="825"/>
        <v>156.58500000000001</v>
      </c>
      <c r="O967" s="520">
        <f t="shared" si="825"/>
        <v>232.59199999999998</v>
      </c>
      <c r="P967" s="519">
        <f t="shared" si="825"/>
        <v>232.59199999999998</v>
      </c>
      <c r="Q967" s="520">
        <f t="shared" si="825"/>
        <v>220.209</v>
      </c>
      <c r="R967" s="520">
        <f t="shared" si="825"/>
        <v>252.45</v>
      </c>
      <c r="S967" s="520">
        <f t="shared" si="825"/>
        <v>313.73199999999997</v>
      </c>
      <c r="T967" s="520">
        <f t="shared" si="825"/>
        <v>397.02600000000001</v>
      </c>
      <c r="U967" s="519">
        <f t="shared" si="825"/>
        <v>397.02600000000001</v>
      </c>
      <c r="V967" s="520">
        <f t="shared" si="825"/>
        <v>388.12699999999995</v>
      </c>
      <c r="W967" s="520">
        <f t="shared" si="825"/>
        <v>425.14099999999996</v>
      </c>
      <c r="X967" s="520">
        <f t="shared" si="825"/>
        <v>472.99199999999996</v>
      </c>
      <c r="Y967" s="520">
        <f t="shared" si="825"/>
        <v>557.22</v>
      </c>
      <c r="Z967" s="519">
        <f t="shared" si="825"/>
        <v>557.22</v>
      </c>
      <c r="AA967" s="520">
        <f t="shared" si="825"/>
        <v>566.58400000000006</v>
      </c>
      <c r="AB967" s="520">
        <f t="shared" si="825"/>
        <v>598.54700000000003</v>
      </c>
      <c r="AC967" s="520">
        <f t="shared" si="825"/>
        <v>650.24899999999991</v>
      </c>
      <c r="AD967" s="520">
        <f t="shared" si="825"/>
        <v>739.75499999999988</v>
      </c>
      <c r="AE967" s="519">
        <f t="shared" si="825"/>
        <v>739.75499999999988</v>
      </c>
      <c r="AF967" s="520">
        <f t="shared" si="825"/>
        <v>799.65199999999982</v>
      </c>
      <c r="AG967" s="520">
        <f t="shared" si="825"/>
        <v>890.298</v>
      </c>
      <c r="AH967" s="520">
        <f t="shared" si="825"/>
        <v>1002.311</v>
      </c>
      <c r="AI967" s="520">
        <f t="shared" si="825"/>
        <v>1139.223</v>
      </c>
      <c r="AJ967" s="519">
        <f t="shared" si="825"/>
        <v>1139.223</v>
      </c>
      <c r="AK967" s="520">
        <f t="shared" si="825"/>
        <v>1229.8130000000001</v>
      </c>
      <c r="AL967" s="520">
        <f t="shared" ref="AL967:BN967" si="826">SUM(AL958:AL961)+AL966</f>
        <v>1333.511</v>
      </c>
      <c r="AM967" s="520">
        <f t="shared" si="826"/>
        <v>1433.6589999999999</v>
      </c>
      <c r="AN967" s="520">
        <f t="shared" si="826"/>
        <v>1611.519</v>
      </c>
      <c r="AO967" s="519">
        <f t="shared" si="826"/>
        <v>1611.519</v>
      </c>
      <c r="AP967" s="520">
        <f t="shared" si="826"/>
        <v>1493.9269999999999</v>
      </c>
      <c r="AQ967" s="520">
        <f t="shared" si="826"/>
        <v>2283.4209999999998</v>
      </c>
      <c r="AR967" s="520">
        <f t="shared" si="826"/>
        <v>2217.3530000000001</v>
      </c>
      <c r="AS967" s="520">
        <f t="shared" si="826"/>
        <v>2165.5940000000001</v>
      </c>
      <c r="AT967" s="519">
        <f t="shared" si="826"/>
        <v>2165.5940000000001</v>
      </c>
      <c r="AU967" s="520">
        <f t="shared" si="826"/>
        <v>2220.0219999999999</v>
      </c>
      <c r="AV967" s="520">
        <f t="shared" si="826"/>
        <v>2225.63</v>
      </c>
      <c r="AW967" s="520">
        <f t="shared" si="826"/>
        <v>2030.492</v>
      </c>
      <c r="AX967" s="520">
        <f t="shared" si="826"/>
        <v>2217</v>
      </c>
      <c r="AY967" s="519">
        <f t="shared" si="826"/>
        <v>2217</v>
      </c>
      <c r="AZ967" s="520">
        <f t="shared" si="826"/>
        <v>2199</v>
      </c>
      <c r="BA967" s="520">
        <f t="shared" si="826"/>
        <v>2218</v>
      </c>
      <c r="BB967" s="520">
        <f t="shared" si="826"/>
        <v>1961</v>
      </c>
      <c r="BC967" s="520">
        <f t="shared" si="826"/>
        <v>2072</v>
      </c>
      <c r="BD967" s="519">
        <f t="shared" si="826"/>
        <v>2072</v>
      </c>
      <c r="BE967" s="520">
        <f t="shared" ref="BE967:BM967" si="827">SUM(BE958:BE961)+BE966</f>
        <v>1909</v>
      </c>
      <c r="BF967" s="520">
        <f t="shared" si="827"/>
        <v>1974</v>
      </c>
      <c r="BG967" s="520">
        <f t="shared" si="827"/>
        <v>1996</v>
      </c>
      <c r="BH967" s="520">
        <f t="shared" si="827"/>
        <v>2183</v>
      </c>
      <c r="BI967" s="519">
        <f t="shared" si="827"/>
        <v>2183</v>
      </c>
      <c r="BJ967" s="1270">
        <f>SUM(BJ958:BJ961)+BJ966</f>
        <v>2025</v>
      </c>
      <c r="BK967" s="327">
        <f t="shared" si="827"/>
        <v>2106.1692148213024</v>
      </c>
      <c r="BL967" s="327">
        <f t="shared" si="827"/>
        <v>2168.7300045233528</v>
      </c>
      <c r="BM967" s="327">
        <f t="shared" si="827"/>
        <v>2214.8457877219862</v>
      </c>
      <c r="BN967" s="518">
        <f t="shared" si="826"/>
        <v>2214.8457877219862</v>
      </c>
      <c r="BO967" s="327">
        <f t="shared" ref="BO967:BV967" si="828">SUM(BO958:BO961)+BO966</f>
        <v>2056.6585483567487</v>
      </c>
      <c r="BP967" s="327">
        <f t="shared" si="828"/>
        <v>2156.3698909550558</v>
      </c>
      <c r="BQ967" s="327">
        <f t="shared" si="828"/>
        <v>2237.1955211086979</v>
      </c>
      <c r="BR967" s="327">
        <f t="shared" si="828"/>
        <v>2302.8290044265264</v>
      </c>
      <c r="BS967" s="518">
        <f t="shared" si="828"/>
        <v>2302.8290044265264</v>
      </c>
      <c r="BT967" s="518">
        <f t="shared" si="828"/>
        <v>2412.0825287040634</v>
      </c>
      <c r="BU967" s="518">
        <f t="shared" si="828"/>
        <v>2529.1486632491624</v>
      </c>
      <c r="BV967" s="518">
        <f t="shared" si="828"/>
        <v>2537.5860800094465</v>
      </c>
      <c r="BW967" s="197"/>
    </row>
    <row r="968" spans="1:75" x14ac:dyDescent="0.5">
      <c r="A968" s="206"/>
      <c r="B968" s="522"/>
      <c r="C968" s="397"/>
      <c r="D968" s="397"/>
      <c r="E968" s="397"/>
      <c r="F968" s="397"/>
      <c r="G968" s="295"/>
      <c r="H968" s="295"/>
      <c r="I968" s="295"/>
      <c r="J968" s="295"/>
      <c r="K968" s="397"/>
      <c r="L968" s="295"/>
      <c r="M968" s="295"/>
      <c r="N968" s="295"/>
      <c r="O968" s="295"/>
      <c r="P968" s="397"/>
      <c r="Q968" s="295"/>
      <c r="R968" s="295"/>
      <c r="S968" s="295"/>
      <c r="T968" s="295"/>
      <c r="U968" s="397"/>
      <c r="V968" s="295"/>
      <c r="W968" s="295"/>
      <c r="X968" s="295"/>
      <c r="Y968" s="295"/>
      <c r="Z968" s="397"/>
      <c r="AA968" s="295"/>
      <c r="AB968" s="295"/>
      <c r="AC968" s="295"/>
      <c r="AD968" s="295"/>
      <c r="AE968" s="397"/>
      <c r="AF968" s="295"/>
      <c r="AG968" s="295"/>
      <c r="AH968" s="295"/>
      <c r="AI968" s="295"/>
      <c r="AJ968" s="397"/>
      <c r="AK968" s="295"/>
      <c r="AL968" s="295"/>
      <c r="AM968" s="295"/>
      <c r="AN968" s="295"/>
      <c r="AO968" s="397"/>
      <c r="AP968" s="295"/>
      <c r="AQ968" s="295"/>
      <c r="AR968" s="295"/>
      <c r="AS968" s="295"/>
      <c r="AT968" s="397"/>
      <c r="AU968" s="295"/>
      <c r="AV968" s="295"/>
      <c r="AW968" s="295"/>
      <c r="AX968" s="295"/>
      <c r="AY968" s="397"/>
      <c r="AZ968" s="295"/>
      <c r="BA968" s="295"/>
      <c r="BB968" s="295"/>
      <c r="BC968" s="295"/>
      <c r="BD968" s="397"/>
      <c r="BE968" s="295"/>
      <c r="BF968" s="295"/>
      <c r="BG968" s="295"/>
      <c r="BH968" s="295"/>
      <c r="BI968" s="397"/>
      <c r="BJ968" s="1030"/>
      <c r="BK968" s="295"/>
      <c r="BL968" s="295"/>
      <c r="BM968" s="295"/>
      <c r="BN968" s="397"/>
      <c r="BO968" s="295"/>
      <c r="BP968" s="295"/>
      <c r="BQ968" s="295"/>
      <c r="BR968" s="295"/>
      <c r="BS968" s="397"/>
      <c r="BT968" s="397"/>
      <c r="BU968" s="397"/>
      <c r="BV968" s="397"/>
      <c r="BW968" s="197"/>
    </row>
    <row r="969" spans="1:75" x14ac:dyDescent="0.5">
      <c r="A969" s="670" t="s">
        <v>1522</v>
      </c>
      <c r="B969" s="522"/>
      <c r="C969" s="397"/>
      <c r="D969" s="397"/>
      <c r="E969" s="397"/>
      <c r="F969" s="397"/>
      <c r="G969" s="295"/>
      <c r="H969" s="295"/>
      <c r="I969" s="295"/>
      <c r="J969" s="295"/>
      <c r="K969" s="397"/>
      <c r="L969" s="295"/>
      <c r="M969" s="295"/>
      <c r="N969" s="295"/>
      <c r="O969" s="295"/>
      <c r="P969" s="397"/>
      <c r="Q969" s="295"/>
      <c r="R969" s="295"/>
      <c r="S969" s="295"/>
      <c r="T969" s="295"/>
      <c r="U969" s="397"/>
      <c r="V969" s="295"/>
      <c r="W969" s="295"/>
      <c r="X969" s="295"/>
      <c r="Y969" s="295"/>
      <c r="Z969" s="397"/>
      <c r="AA969" s="295"/>
      <c r="AB969" s="295"/>
      <c r="AC969" s="295"/>
      <c r="AD969" s="295"/>
      <c r="AE969" s="397"/>
      <c r="AF969" s="295"/>
      <c r="AG969" s="295"/>
      <c r="AH969" s="295"/>
      <c r="AI969" s="295"/>
      <c r="AJ969" s="397"/>
      <c r="AK969" s="295"/>
      <c r="AL969" s="295"/>
      <c r="AM969" s="295"/>
      <c r="AN969" s="295"/>
      <c r="AO969" s="397"/>
      <c r="AP969" s="295"/>
      <c r="AQ969" s="295"/>
      <c r="AR969" s="295"/>
      <c r="AS969" s="295"/>
      <c r="AT969" s="397"/>
      <c r="AU969" s="295"/>
      <c r="AV969" s="295"/>
      <c r="AW969" s="295"/>
      <c r="AX969" s="295"/>
      <c r="AY969" s="397"/>
      <c r="AZ969" s="295"/>
      <c r="BA969" s="295"/>
      <c r="BB969" s="295"/>
      <c r="BC969" s="295"/>
      <c r="BD969" s="397"/>
      <c r="BE969" s="295"/>
      <c r="BF969" s="295"/>
      <c r="BG969" s="295"/>
      <c r="BH969" s="295"/>
      <c r="BI969" s="397"/>
      <c r="BJ969" s="1030"/>
      <c r="BK969" s="295"/>
      <c r="BL969" s="295"/>
      <c r="BM969" s="295"/>
      <c r="BN969" s="397"/>
      <c r="BO969" s="295"/>
      <c r="BP969" s="295"/>
      <c r="BQ969" s="295"/>
      <c r="BR969" s="295"/>
      <c r="BS969" s="397"/>
      <c r="BT969" s="397"/>
      <c r="BU969" s="397"/>
      <c r="BV969" s="397"/>
      <c r="BW969" s="197"/>
    </row>
    <row r="970" spans="1:75" x14ac:dyDescent="0.5">
      <c r="A970" s="464" t="s">
        <v>2160</v>
      </c>
      <c r="B970" s="513"/>
      <c r="C970" s="401"/>
      <c r="D970" s="401"/>
      <c r="E970" s="401"/>
      <c r="F970" s="403">
        <v>0.47699999999999998</v>
      </c>
      <c r="G970" s="118"/>
      <c r="H970" s="118"/>
      <c r="I970" s="118"/>
      <c r="J970" s="122">
        <f>K970</f>
        <v>0.94399999999999995</v>
      </c>
      <c r="K970" s="403">
        <v>0.94399999999999995</v>
      </c>
      <c r="L970" s="302">
        <v>7.5739999999999998</v>
      </c>
      <c r="M970" s="302">
        <v>12.888999999999999</v>
      </c>
      <c r="N970" s="302">
        <v>12.85</v>
      </c>
      <c r="O970" s="302">
        <v>17.391999999999999</v>
      </c>
      <c r="P970" s="403">
        <v>17.391999999999999</v>
      </c>
      <c r="Q970" s="302">
        <v>28.425000000000001</v>
      </c>
      <c r="R970" s="302">
        <v>24.687999999999999</v>
      </c>
      <c r="S970" s="302">
        <v>32.915999999999997</v>
      </c>
      <c r="T970" s="122">
        <f>U970</f>
        <v>55.01</v>
      </c>
      <c r="U970" s="403">
        <v>55.01</v>
      </c>
      <c r="V970" s="302">
        <v>74.293999999999997</v>
      </c>
      <c r="W970" s="302">
        <v>46.887</v>
      </c>
      <c r="X970" s="302">
        <v>71.722999999999999</v>
      </c>
      <c r="Y970" s="122">
        <f>Z970</f>
        <v>96.179000000000002</v>
      </c>
      <c r="Z970" s="403">
        <v>96.179000000000002</v>
      </c>
      <c r="AA970" s="302">
        <v>97.534999999999997</v>
      </c>
      <c r="AB970" s="302">
        <v>82.724999999999994</v>
      </c>
      <c r="AC970" s="302">
        <v>82.724999999999994</v>
      </c>
      <c r="AD970" s="122">
        <f>AE970</f>
        <v>106.492</v>
      </c>
      <c r="AE970" s="403">
        <v>106.492</v>
      </c>
      <c r="AF970" s="302">
        <v>134.232</v>
      </c>
      <c r="AG970" s="302">
        <v>141.02500000000001</v>
      </c>
      <c r="AH970" s="302">
        <v>78.852000000000004</v>
      </c>
      <c r="AI970" s="122">
        <f>AJ970</f>
        <v>160.38800000000001</v>
      </c>
      <c r="AJ970" s="403">
        <v>160.38800000000001</v>
      </c>
      <c r="AK970" s="302">
        <v>5.4130000000000003</v>
      </c>
      <c r="AL970" s="302">
        <v>6.8529999999999998</v>
      </c>
      <c r="AM970" s="302">
        <v>6.617</v>
      </c>
      <c r="AN970" s="122">
        <f>AO970</f>
        <v>6.94</v>
      </c>
      <c r="AO970" s="403">
        <v>6.94</v>
      </c>
      <c r="AP970" s="302">
        <v>12.92</v>
      </c>
      <c r="AQ970" s="302">
        <v>32.119</v>
      </c>
      <c r="AR970" s="302">
        <v>70.826999999999998</v>
      </c>
      <c r="AS970" s="122">
        <f>AT970</f>
        <v>67.031000000000006</v>
      </c>
      <c r="AT970" s="403">
        <v>67.031000000000006</v>
      </c>
      <c r="AU970" s="302">
        <v>43.593000000000004</v>
      </c>
      <c r="AV970" s="302">
        <v>50.058</v>
      </c>
      <c r="AW970" s="302">
        <v>48.735999999999997</v>
      </c>
      <c r="AX970" s="122">
        <f>AY970</f>
        <v>28</v>
      </c>
      <c r="AY970" s="403">
        <v>28</v>
      </c>
      <c r="AZ970" s="302">
        <v>26</v>
      </c>
      <c r="BA970" s="302">
        <v>32</v>
      </c>
      <c r="BB970" s="302">
        <v>27</v>
      </c>
      <c r="BC970" s="122">
        <f>BD970</f>
        <v>28</v>
      </c>
      <c r="BD970" s="403">
        <v>28</v>
      </c>
      <c r="BE970" s="302">
        <v>43</v>
      </c>
      <c r="BF970" s="302">
        <v>40</v>
      </c>
      <c r="BG970" s="302">
        <v>38</v>
      </c>
      <c r="BH970" s="122">
        <f>BI970</f>
        <v>44</v>
      </c>
      <c r="BI970" s="403">
        <v>44</v>
      </c>
      <c r="BJ970" s="1207">
        <v>40</v>
      </c>
      <c r="BK970" s="118">
        <f t="shared" ref="BK970:BV971" si="829">BJ970</f>
        <v>40</v>
      </c>
      <c r="BL970" s="118">
        <f t="shared" si="829"/>
        <v>40</v>
      </c>
      <c r="BM970" s="118">
        <f t="shared" si="829"/>
        <v>40</v>
      </c>
      <c r="BN970" s="401">
        <f t="shared" si="829"/>
        <v>40</v>
      </c>
      <c r="BO970" s="118">
        <f t="shared" si="829"/>
        <v>40</v>
      </c>
      <c r="BP970" s="118">
        <f t="shared" si="829"/>
        <v>40</v>
      </c>
      <c r="BQ970" s="118">
        <f t="shared" si="829"/>
        <v>40</v>
      </c>
      <c r="BR970" s="118">
        <f t="shared" si="829"/>
        <v>40</v>
      </c>
      <c r="BS970" s="401">
        <f t="shared" si="829"/>
        <v>40</v>
      </c>
      <c r="BT970" s="401">
        <f t="shared" si="829"/>
        <v>40</v>
      </c>
      <c r="BU970" s="401">
        <f t="shared" si="829"/>
        <v>40</v>
      </c>
      <c r="BV970" s="401">
        <f t="shared" si="829"/>
        <v>40</v>
      </c>
      <c r="BW970" s="122"/>
    </row>
    <row r="971" spans="1:75" x14ac:dyDescent="0.5">
      <c r="A971" s="464" t="s">
        <v>1508</v>
      </c>
      <c r="B971" s="513"/>
      <c r="C971" s="401"/>
      <c r="D971" s="401"/>
      <c r="E971" s="401"/>
      <c r="F971" s="401"/>
      <c r="G971" s="118"/>
      <c r="H971" s="118"/>
      <c r="I971" s="118"/>
      <c r="J971" s="118"/>
      <c r="K971" s="401"/>
      <c r="L971" s="118"/>
      <c r="M971" s="118"/>
      <c r="N971" s="118"/>
      <c r="O971" s="118"/>
      <c r="P971" s="401"/>
      <c r="Q971" s="118"/>
      <c r="R971" s="118"/>
      <c r="S971" s="118"/>
      <c r="T971" s="118"/>
      <c r="U971" s="401"/>
      <c r="V971" s="118"/>
      <c r="W971" s="118"/>
      <c r="X971" s="118"/>
      <c r="Y971" s="118"/>
      <c r="Z971" s="401"/>
      <c r="AA971" s="118"/>
      <c r="AB971" s="118"/>
      <c r="AC971" s="118"/>
      <c r="AD971" s="118"/>
      <c r="AE971" s="401"/>
      <c r="AF971" s="118"/>
      <c r="AG971" s="118"/>
      <c r="AH971" s="118"/>
      <c r="AI971" s="118"/>
      <c r="AJ971" s="401"/>
      <c r="AK971" s="302">
        <v>607.63</v>
      </c>
      <c r="AL971" s="302">
        <v>685.48900000000003</v>
      </c>
      <c r="AM971" s="302">
        <v>813.86099999999999</v>
      </c>
      <c r="AN971" s="122">
        <f>AO971</f>
        <v>822.60199999999998</v>
      </c>
      <c r="AO971" s="403">
        <v>822.60199999999998</v>
      </c>
      <c r="AP971" s="302">
        <v>838.90599999999995</v>
      </c>
      <c r="AQ971" s="302">
        <v>863.13499999999999</v>
      </c>
      <c r="AR971" s="302">
        <v>867.71100000000001</v>
      </c>
      <c r="AS971" s="122">
        <f>AT971</f>
        <v>869.95799999999997</v>
      </c>
      <c r="AT971" s="403">
        <v>869.95799999999997</v>
      </c>
      <c r="AU971" s="302">
        <v>920.93600000000004</v>
      </c>
      <c r="AV971" s="302">
        <v>899.43100000000004</v>
      </c>
      <c r="AW971" s="302">
        <v>867.59500000000003</v>
      </c>
      <c r="AX971" s="122">
        <f>AY971</f>
        <v>892</v>
      </c>
      <c r="AY971" s="403">
        <v>892</v>
      </c>
      <c r="AZ971" s="302">
        <v>881</v>
      </c>
      <c r="BA971" s="302">
        <v>939</v>
      </c>
      <c r="BB971" s="302">
        <v>909</v>
      </c>
      <c r="BC971" s="122">
        <f>BD971</f>
        <v>893</v>
      </c>
      <c r="BD971" s="403">
        <v>893</v>
      </c>
      <c r="BE971" s="302">
        <v>867</v>
      </c>
      <c r="BF971" s="302">
        <v>861</v>
      </c>
      <c r="BG971" s="302">
        <v>827</v>
      </c>
      <c r="BH971" s="122">
        <f>BI971</f>
        <v>862</v>
      </c>
      <c r="BI971" s="403">
        <v>862</v>
      </c>
      <c r="BJ971" s="1207">
        <v>905</v>
      </c>
      <c r="BK971" s="118">
        <f t="shared" si="829"/>
        <v>905</v>
      </c>
      <c r="BL971" s="118">
        <f t="shared" si="829"/>
        <v>905</v>
      </c>
      <c r="BM971" s="118">
        <f t="shared" si="829"/>
        <v>905</v>
      </c>
      <c r="BN971" s="401">
        <f t="shared" si="829"/>
        <v>905</v>
      </c>
      <c r="BO971" s="118">
        <f t="shared" si="829"/>
        <v>905</v>
      </c>
      <c r="BP971" s="118">
        <f t="shared" si="829"/>
        <v>905</v>
      </c>
      <c r="BQ971" s="118">
        <f t="shared" si="829"/>
        <v>905</v>
      </c>
      <c r="BR971" s="118">
        <f t="shared" si="829"/>
        <v>905</v>
      </c>
      <c r="BS971" s="401">
        <f t="shared" si="829"/>
        <v>905</v>
      </c>
      <c r="BT971" s="401">
        <f t="shared" si="829"/>
        <v>905</v>
      </c>
      <c r="BU971" s="401">
        <f t="shared" si="829"/>
        <v>905</v>
      </c>
      <c r="BV971" s="401">
        <f t="shared" si="829"/>
        <v>905</v>
      </c>
      <c r="BW971" s="122"/>
    </row>
    <row r="972" spans="1:75" x14ac:dyDescent="0.5">
      <c r="A972" s="541" t="s">
        <v>2691</v>
      </c>
      <c r="B972" s="513"/>
      <c r="C972" s="401"/>
      <c r="D972" s="401"/>
      <c r="E972" s="401"/>
      <c r="F972" s="401"/>
      <c r="G972" s="118"/>
      <c r="H972" s="118"/>
      <c r="I972" s="118"/>
      <c r="J972" s="118"/>
      <c r="K972" s="401"/>
      <c r="L972" s="118"/>
      <c r="M972" s="118"/>
      <c r="N972" s="118"/>
      <c r="O972" s="118"/>
      <c r="P972" s="401"/>
      <c r="Q972" s="118"/>
      <c r="R972" s="118"/>
      <c r="S972" s="118"/>
      <c r="T972" s="118"/>
      <c r="U972" s="401"/>
      <c r="V972" s="118"/>
      <c r="W972" s="118"/>
      <c r="X972" s="118"/>
      <c r="Y972" s="118"/>
      <c r="Z972" s="401"/>
      <c r="AA972" s="118"/>
      <c r="AB972" s="118"/>
      <c r="AC972" s="118"/>
      <c r="AD972" s="118"/>
      <c r="AE972" s="401"/>
      <c r="AF972" s="118"/>
      <c r="AG972" s="118"/>
      <c r="AH972" s="118"/>
      <c r="AI972" s="118"/>
      <c r="AJ972" s="401"/>
      <c r="AK972" s="118"/>
      <c r="AL972" s="118"/>
      <c r="AM972" s="118"/>
      <c r="AN972" s="118"/>
      <c r="AO972" s="674">
        <f t="shared" ref="AO972:BG972" si="830">AO367+AO380+AO397+AO414+AO431+AO465+AO448-AO963</f>
        <v>1456.1949999999999</v>
      </c>
      <c r="AP972" s="118">
        <f t="shared" si="830"/>
        <v>0</v>
      </c>
      <c r="AQ972" s="118">
        <f t="shared" si="830"/>
        <v>0</v>
      </c>
      <c r="AR972" s="118">
        <f t="shared" si="830"/>
        <v>0</v>
      </c>
      <c r="AS972" s="118">
        <f t="shared" si="830"/>
        <v>0</v>
      </c>
      <c r="AT972" s="674">
        <f t="shared" si="830"/>
        <v>2659.2429999999999</v>
      </c>
      <c r="AU972" s="122">
        <f t="shared" si="830"/>
        <v>3060.0909999999999</v>
      </c>
      <c r="AV972" s="122">
        <f t="shared" si="830"/>
        <v>3047.9830000000002</v>
      </c>
      <c r="AW972" s="122">
        <f t="shared" si="830"/>
        <v>3049.4749999999999</v>
      </c>
      <c r="AX972" s="122">
        <f t="shared" si="830"/>
        <v>3052</v>
      </c>
      <c r="AY972" s="674">
        <f t="shared" si="830"/>
        <v>3052</v>
      </c>
      <c r="AZ972" s="122">
        <f t="shared" si="830"/>
        <v>3054</v>
      </c>
      <c r="BA972" s="122">
        <f t="shared" si="830"/>
        <v>3054</v>
      </c>
      <c r="BB972" s="122">
        <f t="shared" si="830"/>
        <v>3134</v>
      </c>
      <c r="BC972" s="122">
        <f t="shared" si="830"/>
        <v>3137</v>
      </c>
      <c r="BD972" s="674">
        <f t="shared" si="830"/>
        <v>3137</v>
      </c>
      <c r="BE972" s="122">
        <f t="shared" si="830"/>
        <v>3138</v>
      </c>
      <c r="BF972" s="122">
        <f t="shared" si="830"/>
        <v>3205</v>
      </c>
      <c r="BG972" s="122">
        <f t="shared" si="830"/>
        <v>3207</v>
      </c>
      <c r="BH972" s="122">
        <f>BH367+BH380+BH397+BH414+BH431+BH465+BH448-BH963</f>
        <v>3092</v>
      </c>
      <c r="BI972" s="674">
        <f>BI367+BI380+BI397+BI414+BI431+BI465+BI448-BI963</f>
        <v>3092</v>
      </c>
      <c r="BJ972" s="1274">
        <f>BJ367+BJ380+BJ397+BJ414+BJ431+BJ465+BJ448-BJ963</f>
        <v>3095</v>
      </c>
      <c r="BK972" s="118">
        <f>IF(BJ972=0,0,MAX(BJ972+BK380+BK397+BK414+BK431+BK465+BK448-BK367-BJ380-BJ397-BJ414-BJ431-BJ465-BJ448,0))</f>
        <v>3097.1369328365872</v>
      </c>
      <c r="BL972" s="118">
        <f>IF(BK972=0,0,MAX(BK972+BL380+BL397+BL414+BL431+BL465+BL448-BL367-BK380-BK397-BK414-BK431-BK465-BK448,0))</f>
        <v>3099.2973484515969</v>
      </c>
      <c r="BM972" s="118">
        <f>IF(BL972=0,0,MAX(BL972+BM380+BM397+BM414+BM431+BM465+BM448-BM367-BL380-BL397-BL414-BL431-BL465-BL448,0))</f>
        <v>2984.4577640666066</v>
      </c>
      <c r="BN972" s="401">
        <f>BM972</f>
        <v>2984.4577640666066</v>
      </c>
      <c r="BO972" s="118">
        <f>IF(BN972=0,0,MAX(BN972+BO380+BO397+BO414+BO431+BO465+BO448-BO367-BN380-BN397-BN414-BN431-BN465-BN448,0))</f>
        <v>2986.5712141247704</v>
      </c>
      <c r="BP972" s="118">
        <f>IF(BO972=0,0,MAX(BO972+BP380+BP397+BP414+BP431+BP465+BP448-BP367-BO380-BO397-BO414-BO431-BO465-BO448,0))</f>
        <v>2950.7081469613563</v>
      </c>
      <c r="BQ972" s="118">
        <f>IF(BP972=0,0,MAX(BP972+BQ380+BQ397+BQ414+BQ431+BQ465+BQ448-BQ367-BP380-BP397-BP414-BP431-BP465-BP448,0))</f>
        <v>2952.8685625763665</v>
      </c>
      <c r="BR972" s="118">
        <f>IF(BQ972=0,0,MAX(BQ972+BR380+BR397+BR414+BR431+BR465+BR448-BR367-BQ380-BQ397-BQ414-BQ431-BQ465-BQ448,0))</f>
        <v>2200.5317104318142</v>
      </c>
      <c r="BS972" s="401">
        <f>BR972</f>
        <v>2200.5317104318142</v>
      </c>
      <c r="BT972" s="401">
        <f>IF(BS972=0,0,MAX(BS972+BT380+BT397+BT414+BT431+BT465+BT448-BT367-BS380-BS397-BS414-BS431-BS465-BS448,0))</f>
        <v>1257.3125412865938</v>
      </c>
      <c r="BU972" s="401">
        <f>IF(BT972=0,0,MAX(BT972+BU380+BU397+BU414+BU431+BU465+BU448-BU367-BT380-BT397-BT414-BT431-BT465-BT448,0))</f>
        <v>571.10650887573775</v>
      </c>
      <c r="BV972" s="401">
        <f>IF(BU972=0,0,MAX(BU972+BV380+BV397+BV414+BV431+BV465+BV448-BV367-BU380-BU397-BU414-BU431-BU465-BU448,0))</f>
        <v>0</v>
      </c>
      <c r="BW972" s="122"/>
    </row>
    <row r="973" spans="1:75" x14ac:dyDescent="0.5">
      <c r="A973" s="541" t="s">
        <v>2692</v>
      </c>
      <c r="B973" s="513"/>
      <c r="C973" s="401"/>
      <c r="D973" s="401"/>
      <c r="E973" s="401"/>
      <c r="F973" s="401"/>
      <c r="G973" s="118"/>
      <c r="H973" s="118"/>
      <c r="I973" s="118"/>
      <c r="J973" s="118"/>
      <c r="K973" s="401"/>
      <c r="L973" s="118"/>
      <c r="M973" s="118"/>
      <c r="N973" s="118"/>
      <c r="O973" s="118"/>
      <c r="P973" s="401"/>
      <c r="Q973" s="118"/>
      <c r="R973" s="118"/>
      <c r="S973" s="118"/>
      <c r="T973" s="118"/>
      <c r="U973" s="401"/>
      <c r="V973" s="118"/>
      <c r="W973" s="118"/>
      <c r="X973" s="118"/>
      <c r="Y973" s="118"/>
      <c r="Z973" s="401"/>
      <c r="AA973" s="118"/>
      <c r="AB973" s="118"/>
      <c r="AC973" s="118"/>
      <c r="AD973" s="118"/>
      <c r="AE973" s="401"/>
      <c r="AF973" s="118"/>
      <c r="AG973" s="118"/>
      <c r="AH973" s="118"/>
      <c r="AI973" s="118"/>
      <c r="AJ973" s="401"/>
      <c r="AK973" s="118"/>
      <c r="AL973" s="118"/>
      <c r="AM973" s="118"/>
      <c r="AN973" s="118"/>
      <c r="AO973" s="674">
        <f t="shared" ref="AO973" si="831">AO974-AO972</f>
        <v>0</v>
      </c>
      <c r="AP973" s="118"/>
      <c r="AQ973" s="118"/>
      <c r="AR973" s="118"/>
      <c r="AS973" s="118"/>
      <c r="AT973" s="674">
        <f t="shared" ref="AT973:BG973" si="832">AT974-AT972</f>
        <v>0</v>
      </c>
      <c r="AU973" s="122">
        <f t="shared" si="832"/>
        <v>0</v>
      </c>
      <c r="AV973" s="122">
        <f t="shared" si="832"/>
        <v>0</v>
      </c>
      <c r="AW973" s="122">
        <f t="shared" si="832"/>
        <v>0</v>
      </c>
      <c r="AX973" s="122">
        <f t="shared" si="832"/>
        <v>0</v>
      </c>
      <c r="AY973" s="674">
        <f t="shared" si="832"/>
        <v>0</v>
      </c>
      <c r="AZ973" s="122">
        <f t="shared" si="832"/>
        <v>0</v>
      </c>
      <c r="BA973" s="122">
        <f t="shared" si="832"/>
        <v>0</v>
      </c>
      <c r="BB973" s="122">
        <f t="shared" si="832"/>
        <v>0</v>
      </c>
      <c r="BC973" s="122">
        <f t="shared" si="832"/>
        <v>0</v>
      </c>
      <c r="BD973" s="674">
        <f t="shared" si="832"/>
        <v>0</v>
      </c>
      <c r="BE973" s="122">
        <f t="shared" si="832"/>
        <v>0</v>
      </c>
      <c r="BF973" s="122">
        <f t="shared" si="832"/>
        <v>0</v>
      </c>
      <c r="BG973" s="122">
        <f t="shared" si="832"/>
        <v>0</v>
      </c>
      <c r="BH973" s="122">
        <f>BH974-BH972</f>
        <v>0</v>
      </c>
      <c r="BI973" s="674">
        <f>BI974-BI972</f>
        <v>0</v>
      </c>
      <c r="BJ973" s="1274">
        <f>BJ974-BJ972</f>
        <v>0</v>
      </c>
      <c r="BK973" s="118">
        <f>MAX(BJ973+BK871,0)</f>
        <v>0</v>
      </c>
      <c r="BL973" s="118">
        <f>MAX(BK973+BL871,0)</f>
        <v>0</v>
      </c>
      <c r="BM973" s="118">
        <f>MAX(BL973+BM871,0)</f>
        <v>0</v>
      </c>
      <c r="BN973" s="401">
        <f>BM973</f>
        <v>0</v>
      </c>
      <c r="BO973" s="118">
        <f>MAX(BN973+BO871,0)</f>
        <v>0</v>
      </c>
      <c r="BP973" s="118">
        <f>MAX(BO973+BP871,0)</f>
        <v>0</v>
      </c>
      <c r="BQ973" s="118">
        <f>MAX(BP973+BQ871,0)</f>
        <v>0</v>
      </c>
      <c r="BR973" s="118">
        <f>MAX(BQ973+BR871,0)</f>
        <v>0</v>
      </c>
      <c r="BS973" s="401">
        <f>BR973</f>
        <v>0</v>
      </c>
      <c r="BT973" s="401">
        <f>MAX(BS973+BT871,0)</f>
        <v>1000</v>
      </c>
      <c r="BU973" s="401">
        <f>MAX(BT973+BU871,0)</f>
        <v>2000</v>
      </c>
      <c r="BV973" s="401">
        <f>MAX(BU973+BV871,0)</f>
        <v>3000</v>
      </c>
      <c r="BW973" s="122"/>
    </row>
    <row r="974" spans="1:75" x14ac:dyDescent="0.5">
      <c r="A974" s="1578" t="s">
        <v>2161</v>
      </c>
      <c r="B974" s="880"/>
      <c r="C974" s="1250"/>
      <c r="D974" s="1250"/>
      <c r="E974" s="1250"/>
      <c r="F974" s="1250"/>
      <c r="G974" s="321"/>
      <c r="H974" s="321"/>
      <c r="I974" s="321"/>
      <c r="J974" s="321"/>
      <c r="K974" s="1250"/>
      <c r="L974" s="321"/>
      <c r="M974" s="321"/>
      <c r="N974" s="321"/>
      <c r="O974" s="321"/>
      <c r="P974" s="1250"/>
      <c r="Q974" s="321"/>
      <c r="R974" s="321"/>
      <c r="S974" s="321"/>
      <c r="T974" s="321"/>
      <c r="U974" s="1250"/>
      <c r="V974" s="321"/>
      <c r="W974" s="321"/>
      <c r="X974" s="321"/>
      <c r="Y974" s="321"/>
      <c r="Z974" s="1250"/>
      <c r="AA974" s="321"/>
      <c r="AB974" s="321"/>
      <c r="AC974" s="1579">
        <v>327.95</v>
      </c>
      <c r="AD974" s="1484">
        <f>AE974</f>
        <v>332.90499999999997</v>
      </c>
      <c r="AE974" s="1580">
        <v>332.90499999999997</v>
      </c>
      <c r="AF974" s="1579">
        <v>337.18599999999998</v>
      </c>
      <c r="AG974" s="1579">
        <v>342.28100000000001</v>
      </c>
      <c r="AH974" s="1579">
        <v>346.64100000000002</v>
      </c>
      <c r="AI974" s="1484">
        <f>AJ974</f>
        <v>738.904</v>
      </c>
      <c r="AJ974" s="1580">
        <v>738.904</v>
      </c>
      <c r="AK974" s="1579">
        <v>750.15599999999995</v>
      </c>
      <c r="AL974" s="1579">
        <v>761.60400000000004</v>
      </c>
      <c r="AM974" s="1579">
        <v>1435.9269999999999</v>
      </c>
      <c r="AN974" s="1484">
        <f>AO974</f>
        <v>1456.1949999999999</v>
      </c>
      <c r="AO974" s="1580">
        <v>1456.1949999999999</v>
      </c>
      <c r="AP974" s="1579">
        <v>1577.069</v>
      </c>
      <c r="AQ974" s="1579">
        <v>1988.213</v>
      </c>
      <c r="AR974" s="1579">
        <v>2862.1350000000002</v>
      </c>
      <c r="AS974" s="1484">
        <f>AT974</f>
        <v>2659.2429999999999</v>
      </c>
      <c r="AT974" s="1580">
        <v>2659.2429999999999</v>
      </c>
      <c r="AU974" s="1579">
        <v>3060.0909999999999</v>
      </c>
      <c r="AV974" s="1579">
        <v>3047.9830000000002</v>
      </c>
      <c r="AW974" s="1579">
        <v>3049.4749999999999</v>
      </c>
      <c r="AX974" s="1484">
        <f>AY974</f>
        <v>3052</v>
      </c>
      <c r="AY974" s="1580">
        <v>3052</v>
      </c>
      <c r="AZ974" s="1579">
        <v>3054</v>
      </c>
      <c r="BA974" s="1579">
        <v>3054</v>
      </c>
      <c r="BB974" s="1579">
        <v>3134</v>
      </c>
      <c r="BC974" s="1484">
        <f>BD974</f>
        <v>3137</v>
      </c>
      <c r="BD974" s="1580">
        <v>3137</v>
      </c>
      <c r="BE974" s="1579">
        <v>3138</v>
      </c>
      <c r="BF974" s="1579">
        <v>3205</v>
      </c>
      <c r="BG974" s="1579">
        <v>3207</v>
      </c>
      <c r="BH974" s="1484">
        <f>BI974</f>
        <v>3092</v>
      </c>
      <c r="BI974" s="1580">
        <v>3092</v>
      </c>
      <c r="BJ974" s="1581">
        <v>3095</v>
      </c>
      <c r="BK974" s="321">
        <f t="shared" ref="BK974:BV974" si="833">SUM(BK972:BK973)</f>
        <v>3097.1369328365872</v>
      </c>
      <c r="BL974" s="321">
        <f t="shared" si="833"/>
        <v>3099.2973484515969</v>
      </c>
      <c r="BM974" s="321">
        <f t="shared" si="833"/>
        <v>2984.4577640666066</v>
      </c>
      <c r="BN974" s="1250">
        <f t="shared" si="833"/>
        <v>2984.4577640666066</v>
      </c>
      <c r="BO974" s="321">
        <f t="shared" si="833"/>
        <v>2986.5712141247704</v>
      </c>
      <c r="BP974" s="321">
        <f t="shared" si="833"/>
        <v>2950.7081469613563</v>
      </c>
      <c r="BQ974" s="321">
        <f t="shared" si="833"/>
        <v>2952.8685625763665</v>
      </c>
      <c r="BR974" s="321">
        <f t="shared" si="833"/>
        <v>2200.5317104318142</v>
      </c>
      <c r="BS974" s="1250">
        <f t="shared" si="833"/>
        <v>2200.5317104318142</v>
      </c>
      <c r="BT974" s="1250">
        <f t="shared" si="833"/>
        <v>2257.3125412865938</v>
      </c>
      <c r="BU974" s="1250">
        <f t="shared" si="833"/>
        <v>2571.1065088757377</v>
      </c>
      <c r="BV974" s="1250">
        <f t="shared" si="833"/>
        <v>3000</v>
      </c>
      <c r="BW974" s="122"/>
    </row>
    <row r="975" spans="1:75" x14ac:dyDescent="0.5">
      <c r="A975" s="464" t="s">
        <v>2693</v>
      </c>
      <c r="B975" s="513"/>
      <c r="C975" s="401"/>
      <c r="D975" s="401"/>
      <c r="E975" s="401"/>
      <c r="F975" s="401"/>
      <c r="G975" s="118"/>
      <c r="H975" s="118"/>
      <c r="I975" s="118"/>
      <c r="J975" s="118"/>
      <c r="K975" s="401"/>
      <c r="L975" s="118"/>
      <c r="M975" s="118"/>
      <c r="N975" s="118"/>
      <c r="O975" s="118"/>
      <c r="P975" s="401"/>
      <c r="Q975" s="118"/>
      <c r="R975" s="118"/>
      <c r="S975" s="118"/>
      <c r="T975" s="122">
        <f>U975</f>
        <v>0</v>
      </c>
      <c r="U975" s="401"/>
      <c r="V975" s="118"/>
      <c r="W975" s="302">
        <v>29.856000000000002</v>
      </c>
      <c r="X975" s="302">
        <v>28.9</v>
      </c>
      <c r="Y975" s="122">
        <f>Z975</f>
        <v>28.9</v>
      </c>
      <c r="Z975" s="403">
        <v>28.9</v>
      </c>
      <c r="AA975" s="302">
        <v>41.542000000000002</v>
      </c>
      <c r="AB975" s="302">
        <v>58.265999999999998</v>
      </c>
      <c r="AC975" s="302">
        <v>74.186999999999998</v>
      </c>
      <c r="AD975" s="122">
        <f>AE975</f>
        <v>82.58</v>
      </c>
      <c r="AE975" s="403">
        <v>82.58</v>
      </c>
      <c r="AF975" s="302">
        <v>82.58</v>
      </c>
      <c r="AG975" s="302">
        <v>109.142</v>
      </c>
      <c r="AH975" s="302">
        <v>184.05500000000001</v>
      </c>
      <c r="AI975" s="122">
        <f>AJ975</f>
        <v>183.05600000000001</v>
      </c>
      <c r="AJ975" s="403">
        <v>183.05600000000001</v>
      </c>
      <c r="AK975" s="118"/>
      <c r="AL975" s="118"/>
      <c r="AM975" s="118"/>
      <c r="AN975" s="122">
        <f>AO975</f>
        <v>0</v>
      </c>
      <c r="AO975" s="401"/>
      <c r="AP975" s="118"/>
      <c r="AQ975" s="118"/>
      <c r="AR975" s="118"/>
      <c r="AS975" s="122">
        <f>AT975</f>
        <v>0</v>
      </c>
      <c r="AT975" s="401"/>
      <c r="AU975" s="118"/>
      <c r="AV975" s="118"/>
      <c r="AW975" s="118"/>
      <c r="AX975" s="122">
        <f>AY975</f>
        <v>0</v>
      </c>
      <c r="AY975" s="401"/>
      <c r="AZ975" s="118"/>
      <c r="BA975" s="118"/>
      <c r="BB975" s="118"/>
      <c r="BC975" s="122">
        <f>BD975</f>
        <v>0</v>
      </c>
      <c r="BD975" s="401"/>
      <c r="BE975" s="118"/>
      <c r="BF975" s="118"/>
      <c r="BG975" s="118"/>
      <c r="BH975" s="122">
        <f>BI975</f>
        <v>0</v>
      </c>
      <c r="BI975" s="401"/>
      <c r="BJ975" s="971"/>
      <c r="BK975" s="118"/>
      <c r="BL975" s="118"/>
      <c r="BM975" s="118"/>
      <c r="BN975" s="401"/>
      <c r="BO975" s="118"/>
      <c r="BP975" s="118"/>
      <c r="BQ975" s="118"/>
      <c r="BR975" s="118"/>
      <c r="BS975" s="401"/>
      <c r="BT975" s="401"/>
      <c r="BU975" s="401"/>
      <c r="BV975" s="401"/>
      <c r="BW975" s="122"/>
    </row>
    <row r="976" spans="1:75" x14ac:dyDescent="0.5">
      <c r="A976" s="430" t="s">
        <v>2694</v>
      </c>
      <c r="B976" s="677"/>
      <c r="C976" s="406"/>
      <c r="D976" s="406"/>
      <c r="E976" s="406"/>
      <c r="F976" s="408">
        <v>215.798</v>
      </c>
      <c r="G976" s="723"/>
      <c r="H976" s="723"/>
      <c r="I976" s="723"/>
      <c r="J976" s="431">
        <f>K976</f>
        <v>241.18600000000001</v>
      </c>
      <c r="K976" s="408">
        <v>241.18600000000001</v>
      </c>
      <c r="L976" s="357">
        <f>230.881+157.229</f>
        <v>388.11</v>
      </c>
      <c r="M976" s="357">
        <f>235.486+157.229</f>
        <v>392.71500000000003</v>
      </c>
      <c r="N976" s="723"/>
      <c r="O976" s="723"/>
      <c r="P976" s="406"/>
      <c r="Q976" s="723"/>
      <c r="R976" s="723"/>
      <c r="S976" s="723"/>
      <c r="T976" s="723"/>
      <c r="U976" s="406"/>
      <c r="V976" s="723"/>
      <c r="W976" s="723"/>
      <c r="X976" s="723"/>
      <c r="Y976" s="723"/>
      <c r="Z976" s="406"/>
      <c r="AA976" s="723"/>
      <c r="AB976" s="723"/>
      <c r="AC976" s="723"/>
      <c r="AD976" s="723"/>
      <c r="AE976" s="406"/>
      <c r="AF976" s="723"/>
      <c r="AG976" s="723"/>
      <c r="AH976" s="723"/>
      <c r="AI976" s="723"/>
      <c r="AJ976" s="406"/>
      <c r="AK976" s="723"/>
      <c r="AL976" s="723"/>
      <c r="AM976" s="723"/>
      <c r="AN976" s="723"/>
      <c r="AO976" s="406"/>
      <c r="AP976" s="723"/>
      <c r="AQ976" s="723"/>
      <c r="AR976" s="723"/>
      <c r="AS976" s="723"/>
      <c r="AT976" s="406"/>
      <c r="AU976" s="723"/>
      <c r="AV976" s="723"/>
      <c r="AW976" s="723"/>
      <c r="AX976" s="723"/>
      <c r="AY976" s="406"/>
      <c r="AZ976" s="723"/>
      <c r="BA976" s="723"/>
      <c r="BB976" s="723"/>
      <c r="BC976" s="723"/>
      <c r="BD976" s="406"/>
      <c r="BE976" s="723"/>
      <c r="BF976" s="723"/>
      <c r="BG976" s="723"/>
      <c r="BH976" s="723"/>
      <c r="BI976" s="406"/>
      <c r="BJ976" s="1049"/>
      <c r="BK976" s="723"/>
      <c r="BL976" s="723"/>
      <c r="BM976" s="723"/>
      <c r="BN976" s="406"/>
      <c r="BO976" s="723"/>
      <c r="BP976" s="723"/>
      <c r="BQ976" s="723"/>
      <c r="BR976" s="723"/>
      <c r="BS976" s="406"/>
      <c r="BT976" s="406"/>
      <c r="BU976" s="406"/>
      <c r="BV976" s="406"/>
      <c r="BW976" s="122"/>
    </row>
    <row r="977" spans="1:75" x14ac:dyDescent="0.5">
      <c r="A977" s="516" t="s">
        <v>1538</v>
      </c>
      <c r="B977" s="517"/>
      <c r="C977" s="518"/>
      <c r="D977" s="518"/>
      <c r="E977" s="518"/>
      <c r="F977" s="519">
        <f t="shared" ref="F977:BB977" si="834">SUM(F970:F971)+SUM(F974:F976)</f>
        <v>216.27500000000001</v>
      </c>
      <c r="G977" s="327"/>
      <c r="H977" s="327"/>
      <c r="I977" s="327"/>
      <c r="J977" s="520">
        <f t="shared" si="834"/>
        <v>242.13</v>
      </c>
      <c r="K977" s="519">
        <f t="shared" si="834"/>
        <v>242.13</v>
      </c>
      <c r="L977" s="520">
        <f t="shared" si="834"/>
        <v>395.68400000000003</v>
      </c>
      <c r="M977" s="520">
        <f t="shared" si="834"/>
        <v>405.60400000000004</v>
      </c>
      <c r="N977" s="520">
        <f t="shared" si="834"/>
        <v>12.85</v>
      </c>
      <c r="O977" s="520">
        <f t="shared" si="834"/>
        <v>17.391999999999999</v>
      </c>
      <c r="P977" s="519">
        <f t="shared" si="834"/>
        <v>17.391999999999999</v>
      </c>
      <c r="Q977" s="520">
        <f t="shared" si="834"/>
        <v>28.425000000000001</v>
      </c>
      <c r="R977" s="520">
        <f t="shared" si="834"/>
        <v>24.687999999999999</v>
      </c>
      <c r="S977" s="520">
        <f t="shared" si="834"/>
        <v>32.915999999999997</v>
      </c>
      <c r="T977" s="520">
        <f t="shared" si="834"/>
        <v>55.01</v>
      </c>
      <c r="U977" s="519">
        <f t="shared" si="834"/>
        <v>55.01</v>
      </c>
      <c r="V977" s="520">
        <f t="shared" si="834"/>
        <v>74.293999999999997</v>
      </c>
      <c r="W977" s="520">
        <f t="shared" si="834"/>
        <v>76.742999999999995</v>
      </c>
      <c r="X977" s="520">
        <f t="shared" si="834"/>
        <v>100.62299999999999</v>
      </c>
      <c r="Y977" s="520">
        <f t="shared" si="834"/>
        <v>125.07900000000001</v>
      </c>
      <c r="Z977" s="519">
        <f t="shared" si="834"/>
        <v>125.07900000000001</v>
      </c>
      <c r="AA977" s="520">
        <f t="shared" si="834"/>
        <v>139.077</v>
      </c>
      <c r="AB977" s="520">
        <f t="shared" si="834"/>
        <v>140.99099999999999</v>
      </c>
      <c r="AC977" s="520">
        <f t="shared" si="834"/>
        <v>484.86199999999997</v>
      </c>
      <c r="AD977" s="520">
        <f t="shared" si="834"/>
        <v>521.97699999999998</v>
      </c>
      <c r="AE977" s="519">
        <f t="shared" si="834"/>
        <v>521.97699999999998</v>
      </c>
      <c r="AF977" s="520">
        <f t="shared" si="834"/>
        <v>553.99799999999993</v>
      </c>
      <c r="AG977" s="520">
        <f t="shared" si="834"/>
        <v>592.44799999999998</v>
      </c>
      <c r="AH977" s="520">
        <f t="shared" si="834"/>
        <v>609.548</v>
      </c>
      <c r="AI977" s="520">
        <f t="shared" si="834"/>
        <v>1082.348</v>
      </c>
      <c r="AJ977" s="519">
        <f t="shared" si="834"/>
        <v>1082.348</v>
      </c>
      <c r="AK977" s="520">
        <f t="shared" si="834"/>
        <v>1363.1990000000001</v>
      </c>
      <c r="AL977" s="520">
        <f t="shared" si="834"/>
        <v>1453.9459999999999</v>
      </c>
      <c r="AM977" s="520">
        <f t="shared" si="834"/>
        <v>2256.4049999999997</v>
      </c>
      <c r="AN977" s="520">
        <f t="shared" si="834"/>
        <v>2285.7370000000001</v>
      </c>
      <c r="AO977" s="519">
        <f t="shared" si="834"/>
        <v>2285.7370000000001</v>
      </c>
      <c r="AP977" s="520">
        <f t="shared" si="834"/>
        <v>2428.895</v>
      </c>
      <c r="AQ977" s="520">
        <f t="shared" si="834"/>
        <v>2883.4670000000001</v>
      </c>
      <c r="AR977" s="520">
        <f t="shared" si="834"/>
        <v>3800.6730000000002</v>
      </c>
      <c r="AS977" s="520">
        <f t="shared" si="834"/>
        <v>3596.232</v>
      </c>
      <c r="AT977" s="519">
        <f t="shared" si="834"/>
        <v>3596.232</v>
      </c>
      <c r="AU977" s="520">
        <f t="shared" si="834"/>
        <v>4024.62</v>
      </c>
      <c r="AV977" s="520">
        <f t="shared" si="834"/>
        <v>3997.4720000000002</v>
      </c>
      <c r="AW977" s="520">
        <f t="shared" si="834"/>
        <v>3965.806</v>
      </c>
      <c r="AX977" s="520">
        <f t="shared" si="834"/>
        <v>3972</v>
      </c>
      <c r="AY977" s="519">
        <f t="shared" si="834"/>
        <v>3972</v>
      </c>
      <c r="AZ977" s="520">
        <f t="shared" si="834"/>
        <v>3961</v>
      </c>
      <c r="BA977" s="520">
        <f t="shared" si="834"/>
        <v>4025</v>
      </c>
      <c r="BB977" s="520">
        <f t="shared" si="834"/>
        <v>4070</v>
      </c>
      <c r="BC977" s="520">
        <f t="shared" ref="BC977:BD977" si="835">SUM(BC970:BC971)+SUM(BC974:BC976)</f>
        <v>4058</v>
      </c>
      <c r="BD977" s="519">
        <f t="shared" si="835"/>
        <v>4058</v>
      </c>
      <c r="BE977" s="520">
        <f t="shared" ref="BE977:BV977" si="836">SUM(BE970:BE971)+SUM(BE974:BE976)</f>
        <v>4048</v>
      </c>
      <c r="BF977" s="520">
        <f t="shared" si="836"/>
        <v>4106</v>
      </c>
      <c r="BG977" s="520">
        <f t="shared" si="836"/>
        <v>4072</v>
      </c>
      <c r="BH977" s="520">
        <f t="shared" si="836"/>
        <v>3998</v>
      </c>
      <c r="BI977" s="519">
        <f t="shared" si="836"/>
        <v>3998</v>
      </c>
      <c r="BJ977" s="1270">
        <f>SUM(BJ970:BJ971)+SUM(BJ974:BJ976)</f>
        <v>4040</v>
      </c>
      <c r="BK977" s="327">
        <f t="shared" si="836"/>
        <v>4042.1369328365872</v>
      </c>
      <c r="BL977" s="327">
        <f t="shared" si="836"/>
        <v>4044.2973484515969</v>
      </c>
      <c r="BM977" s="327">
        <f t="shared" si="836"/>
        <v>3929.4577640666066</v>
      </c>
      <c r="BN977" s="518">
        <f t="shared" si="836"/>
        <v>3929.4577640666066</v>
      </c>
      <c r="BO977" s="327">
        <f t="shared" si="836"/>
        <v>3931.5712141247704</v>
      </c>
      <c r="BP977" s="327">
        <f t="shared" si="836"/>
        <v>3895.7081469613563</v>
      </c>
      <c r="BQ977" s="327">
        <f t="shared" si="836"/>
        <v>3897.8685625763665</v>
      </c>
      <c r="BR977" s="327">
        <f t="shared" si="836"/>
        <v>3145.5317104318142</v>
      </c>
      <c r="BS977" s="518">
        <f t="shared" si="836"/>
        <v>3145.5317104318142</v>
      </c>
      <c r="BT977" s="518">
        <f t="shared" si="836"/>
        <v>3202.3125412865938</v>
      </c>
      <c r="BU977" s="518">
        <f t="shared" si="836"/>
        <v>3516.1065088757377</v>
      </c>
      <c r="BV977" s="518">
        <f t="shared" si="836"/>
        <v>3945</v>
      </c>
      <c r="BW977" s="197"/>
    </row>
    <row r="978" spans="1:75" x14ac:dyDescent="0.5">
      <c r="A978" s="463" t="s">
        <v>1539</v>
      </c>
      <c r="B978" s="522"/>
      <c r="C978" s="397"/>
      <c r="D978" s="397"/>
      <c r="E978" s="397"/>
      <c r="F978" s="672">
        <f t="shared" ref="F978:BQ978" si="837">F967+F977</f>
        <v>314.36799999999999</v>
      </c>
      <c r="G978" s="295"/>
      <c r="H978" s="295"/>
      <c r="I978" s="295"/>
      <c r="J978" s="197">
        <f t="shared" si="837"/>
        <v>387.13900000000001</v>
      </c>
      <c r="K978" s="672">
        <f t="shared" si="837"/>
        <v>387.13900000000001</v>
      </c>
      <c r="L978" s="197">
        <f t="shared" si="837"/>
        <v>538.45799999999997</v>
      </c>
      <c r="M978" s="197">
        <f t="shared" si="837"/>
        <v>554.47300000000007</v>
      </c>
      <c r="N978" s="197">
        <f t="shared" si="837"/>
        <v>169.435</v>
      </c>
      <c r="O978" s="197">
        <f t="shared" si="837"/>
        <v>249.98399999999998</v>
      </c>
      <c r="P978" s="672">
        <f t="shared" si="837"/>
        <v>249.98399999999998</v>
      </c>
      <c r="Q978" s="197">
        <f t="shared" si="837"/>
        <v>248.63400000000001</v>
      </c>
      <c r="R978" s="197">
        <f t="shared" si="837"/>
        <v>277.13799999999998</v>
      </c>
      <c r="S978" s="197">
        <f t="shared" si="837"/>
        <v>346.64799999999997</v>
      </c>
      <c r="T978" s="197">
        <f t="shared" si="837"/>
        <v>452.036</v>
      </c>
      <c r="U978" s="672">
        <f t="shared" si="837"/>
        <v>452.036</v>
      </c>
      <c r="V978" s="197">
        <f t="shared" si="837"/>
        <v>462.42099999999994</v>
      </c>
      <c r="W978" s="197">
        <f t="shared" si="837"/>
        <v>501.88399999999996</v>
      </c>
      <c r="X978" s="197">
        <f t="shared" si="837"/>
        <v>573.61500000000001</v>
      </c>
      <c r="Y978" s="197">
        <f t="shared" si="837"/>
        <v>682.29899999999998</v>
      </c>
      <c r="Z978" s="672">
        <f t="shared" si="837"/>
        <v>682.29899999999998</v>
      </c>
      <c r="AA978" s="197">
        <f t="shared" si="837"/>
        <v>705.66100000000006</v>
      </c>
      <c r="AB978" s="197">
        <f t="shared" si="837"/>
        <v>739.53800000000001</v>
      </c>
      <c r="AC978" s="197">
        <f t="shared" si="837"/>
        <v>1135.1109999999999</v>
      </c>
      <c r="AD978" s="197">
        <f t="shared" si="837"/>
        <v>1261.732</v>
      </c>
      <c r="AE978" s="672">
        <f t="shared" si="837"/>
        <v>1261.732</v>
      </c>
      <c r="AF978" s="197">
        <f t="shared" si="837"/>
        <v>1353.6499999999996</v>
      </c>
      <c r="AG978" s="197">
        <f t="shared" si="837"/>
        <v>1482.7460000000001</v>
      </c>
      <c r="AH978" s="197">
        <f t="shared" si="837"/>
        <v>1611.8589999999999</v>
      </c>
      <c r="AI978" s="197">
        <f t="shared" si="837"/>
        <v>2221.5709999999999</v>
      </c>
      <c r="AJ978" s="672">
        <f t="shared" si="837"/>
        <v>2221.5709999999999</v>
      </c>
      <c r="AK978" s="197">
        <f t="shared" si="837"/>
        <v>2593.0120000000002</v>
      </c>
      <c r="AL978" s="197">
        <f t="shared" si="837"/>
        <v>2787.4569999999999</v>
      </c>
      <c r="AM978" s="197">
        <f t="shared" si="837"/>
        <v>3690.0639999999994</v>
      </c>
      <c r="AN978" s="197">
        <f t="shared" si="837"/>
        <v>3897.2560000000003</v>
      </c>
      <c r="AO978" s="672">
        <f t="shared" si="837"/>
        <v>3897.2560000000003</v>
      </c>
      <c r="AP978" s="197">
        <f t="shared" si="837"/>
        <v>3922.8220000000001</v>
      </c>
      <c r="AQ978" s="197">
        <f t="shared" si="837"/>
        <v>5166.8879999999999</v>
      </c>
      <c r="AR978" s="197">
        <f t="shared" si="837"/>
        <v>6018.0259999999998</v>
      </c>
      <c r="AS978" s="197">
        <f t="shared" si="837"/>
        <v>5761.826</v>
      </c>
      <c r="AT978" s="672">
        <f t="shared" si="837"/>
        <v>5761.826</v>
      </c>
      <c r="AU978" s="197">
        <f t="shared" si="837"/>
        <v>6244.6419999999998</v>
      </c>
      <c r="AV978" s="197">
        <f t="shared" si="837"/>
        <v>6223.1020000000008</v>
      </c>
      <c r="AW978" s="197">
        <f t="shared" si="837"/>
        <v>5996.2979999999998</v>
      </c>
      <c r="AX978" s="197">
        <f t="shared" si="837"/>
        <v>6189</v>
      </c>
      <c r="AY978" s="672">
        <f t="shared" si="837"/>
        <v>6189</v>
      </c>
      <c r="AZ978" s="197">
        <f t="shared" si="837"/>
        <v>6160</v>
      </c>
      <c r="BA978" s="197">
        <f t="shared" si="837"/>
        <v>6243</v>
      </c>
      <c r="BB978" s="197">
        <f t="shared" si="837"/>
        <v>6031</v>
      </c>
      <c r="BC978" s="197">
        <f t="shared" si="837"/>
        <v>6130</v>
      </c>
      <c r="BD978" s="672">
        <f t="shared" si="837"/>
        <v>6130</v>
      </c>
      <c r="BE978" s="197">
        <f t="shared" si="837"/>
        <v>5957</v>
      </c>
      <c r="BF978" s="197">
        <f t="shared" si="837"/>
        <v>6080</v>
      </c>
      <c r="BG978" s="197">
        <f t="shared" si="837"/>
        <v>6068</v>
      </c>
      <c r="BH978" s="197">
        <f t="shared" si="837"/>
        <v>6181</v>
      </c>
      <c r="BI978" s="672">
        <f t="shared" si="837"/>
        <v>6181</v>
      </c>
      <c r="BJ978" s="1273">
        <f>BJ967+BJ977</f>
        <v>6065</v>
      </c>
      <c r="BK978" s="295">
        <f t="shared" si="837"/>
        <v>6148.3061476578896</v>
      </c>
      <c r="BL978" s="295">
        <f t="shared" si="837"/>
        <v>6213.0273529749502</v>
      </c>
      <c r="BM978" s="295">
        <f t="shared" si="837"/>
        <v>6144.3035517885928</v>
      </c>
      <c r="BN978" s="397">
        <f t="shared" si="837"/>
        <v>6144.3035517885928</v>
      </c>
      <c r="BO978" s="295">
        <f t="shared" si="837"/>
        <v>5988.2297624815192</v>
      </c>
      <c r="BP978" s="295">
        <f t="shared" si="837"/>
        <v>6052.0780379164116</v>
      </c>
      <c r="BQ978" s="295">
        <f t="shared" si="837"/>
        <v>6135.0640836850644</v>
      </c>
      <c r="BR978" s="295">
        <f t="shared" ref="BR978:BY978" si="838">BR967+BR977</f>
        <v>5448.3607148583405</v>
      </c>
      <c r="BS978" s="397">
        <f t="shared" si="838"/>
        <v>5448.3607148583405</v>
      </c>
      <c r="BT978" s="397">
        <f t="shared" si="838"/>
        <v>5614.3950699906572</v>
      </c>
      <c r="BU978" s="397">
        <f t="shared" si="838"/>
        <v>6045.2551721249001</v>
      </c>
      <c r="BV978" s="397">
        <f t="shared" si="838"/>
        <v>6482.586080009447</v>
      </c>
      <c r="BW978" s="197"/>
    </row>
    <row r="979" spans="1:75" x14ac:dyDescent="0.5">
      <c r="A979" s="206"/>
      <c r="B979" s="522"/>
      <c r="C979" s="397"/>
      <c r="D979" s="397"/>
      <c r="E979" s="397"/>
      <c r="F979" s="397"/>
      <c r="G979" s="295"/>
      <c r="H979" s="295"/>
      <c r="I979" s="295"/>
      <c r="J979" s="295"/>
      <c r="K979" s="397"/>
      <c r="L979" s="295"/>
      <c r="M979" s="295"/>
      <c r="N979" s="295"/>
      <c r="O979" s="295"/>
      <c r="P979" s="397"/>
      <c r="Q979" s="295"/>
      <c r="R979" s="295"/>
      <c r="S979" s="295"/>
      <c r="T979" s="295"/>
      <c r="U979" s="397"/>
      <c r="V979" s="295"/>
      <c r="W979" s="295"/>
      <c r="X979" s="295"/>
      <c r="Y979" s="295"/>
      <c r="Z979" s="397"/>
      <c r="AA979" s="295"/>
      <c r="AB979" s="295"/>
      <c r="AC979" s="295"/>
      <c r="AD979" s="295"/>
      <c r="AE979" s="397"/>
      <c r="AF979" s="295"/>
      <c r="AG979" s="295"/>
      <c r="AH979" s="295"/>
      <c r="AI979" s="295"/>
      <c r="AJ979" s="397"/>
      <c r="AK979" s="295"/>
      <c r="AL979" s="295"/>
      <c r="AM979" s="295"/>
      <c r="AN979" s="295"/>
      <c r="AO979" s="397"/>
      <c r="AP979" s="295"/>
      <c r="AQ979" s="295"/>
      <c r="AR979" s="295"/>
      <c r="AS979" s="295"/>
      <c r="AT979" s="397"/>
      <c r="AU979" s="295"/>
      <c r="AV979" s="295"/>
      <c r="AW979" s="295"/>
      <c r="AX979" s="295"/>
      <c r="AY979" s="397"/>
      <c r="AZ979" s="295"/>
      <c r="BA979" s="295"/>
      <c r="BB979" s="295"/>
      <c r="BC979" s="295"/>
      <c r="BD979" s="397"/>
      <c r="BE979" s="295"/>
      <c r="BF979" s="295"/>
      <c r="BG979" s="295"/>
      <c r="BH979" s="295"/>
      <c r="BI979" s="397"/>
      <c r="BJ979" s="1030"/>
      <c r="BK979" s="295"/>
      <c r="BL979" s="295"/>
      <c r="BM979" s="295"/>
      <c r="BN979" s="397"/>
      <c r="BO979" s="295"/>
      <c r="BP979" s="295"/>
      <c r="BQ979" s="295"/>
      <c r="BR979" s="295"/>
      <c r="BS979" s="397"/>
      <c r="BT979" s="397"/>
      <c r="BU979" s="397"/>
      <c r="BV979" s="397"/>
      <c r="BW979" s="197"/>
    </row>
    <row r="980" spans="1:75" x14ac:dyDescent="0.5">
      <c r="A980" s="670" t="s">
        <v>1540</v>
      </c>
      <c r="B980" s="522"/>
      <c r="C980" s="397"/>
      <c r="D980" s="397"/>
      <c r="E980" s="397"/>
      <c r="F980" s="397"/>
      <c r="G980" s="295"/>
      <c r="H980" s="295"/>
      <c r="I980" s="295"/>
      <c r="J980" s="295"/>
      <c r="K980" s="397"/>
      <c r="L980" s="295"/>
      <c r="M980" s="295"/>
      <c r="N980" s="295"/>
      <c r="O980" s="295"/>
      <c r="P980" s="397"/>
      <c r="Q980" s="295"/>
      <c r="R980" s="295"/>
      <c r="S980" s="295"/>
      <c r="T980" s="295"/>
      <c r="U980" s="397"/>
      <c r="V980" s="295"/>
      <c r="W980" s="295"/>
      <c r="X980" s="295"/>
      <c r="Y980" s="295"/>
      <c r="Z980" s="397"/>
      <c r="AA980" s="295"/>
      <c r="AB980" s="295"/>
      <c r="AC980" s="295"/>
      <c r="AD980" s="295"/>
      <c r="AE980" s="397"/>
      <c r="AF980" s="295"/>
      <c r="AG980" s="295"/>
      <c r="AH980" s="295"/>
      <c r="AI980" s="295"/>
      <c r="AJ980" s="397"/>
      <c r="AK980" s="295"/>
      <c r="AL980" s="295"/>
      <c r="AM980" s="295"/>
      <c r="AN980" s="295"/>
      <c r="AO980" s="397"/>
      <c r="AP980" s="295"/>
      <c r="AQ980" s="295"/>
      <c r="AR980" s="295"/>
      <c r="AS980" s="295"/>
      <c r="AT980" s="397"/>
      <c r="AU980" s="295"/>
      <c r="AV980" s="295"/>
      <c r="AW980" s="295"/>
      <c r="AX980" s="295"/>
      <c r="AY980" s="397"/>
      <c r="AZ980" s="295"/>
      <c r="BA980" s="295"/>
      <c r="BB980" s="295"/>
      <c r="BC980" s="295"/>
      <c r="BD980" s="397"/>
      <c r="BE980" s="295"/>
      <c r="BF980" s="295"/>
      <c r="BG980" s="295"/>
      <c r="BH980" s="295"/>
      <c r="BI980" s="397"/>
      <c r="BJ980" s="1030"/>
      <c r="BK980" s="295"/>
      <c r="BL980" s="295"/>
      <c r="BM980" s="295"/>
      <c r="BN980" s="397"/>
      <c r="BO980" s="295"/>
      <c r="BP980" s="295"/>
      <c r="BQ980" s="295"/>
      <c r="BR980" s="295"/>
      <c r="BS980" s="397"/>
      <c r="BT980" s="397"/>
      <c r="BU980" s="397"/>
      <c r="BV980" s="397"/>
      <c r="BW980" s="197"/>
    </row>
    <row r="981" spans="1:75" x14ac:dyDescent="0.5">
      <c r="A981" s="428" t="s">
        <v>2164</v>
      </c>
      <c r="B981" s="513"/>
      <c r="C981" s="401"/>
      <c r="D981" s="401"/>
      <c r="E981" s="401"/>
      <c r="F981" s="401"/>
      <c r="G981" s="118"/>
      <c r="H981" s="118"/>
      <c r="I981" s="118"/>
      <c r="J981" s="118"/>
      <c r="K981" s="401"/>
      <c r="L981" s="118"/>
      <c r="M981" s="118"/>
      <c r="N981" s="118"/>
      <c r="O981" s="302">
        <f>0.037+0.046</f>
        <v>8.299999999999999E-2</v>
      </c>
      <c r="P981" s="403">
        <f>0.037+0.046</f>
        <v>8.299999999999999E-2</v>
      </c>
      <c r="Q981" s="302">
        <f>0.037+0.046</f>
        <v>8.299999999999999E-2</v>
      </c>
      <c r="R981" s="302">
        <f>0.046+0.038</f>
        <v>8.3999999999999991E-2</v>
      </c>
      <c r="S981" s="302">
        <f>0.046+0.038</f>
        <v>8.3999999999999991E-2</v>
      </c>
      <c r="T981" s="122">
        <f>U981</f>
        <v>8.3999999999999991E-2</v>
      </c>
      <c r="U981" s="403">
        <f>0.046+0.038</f>
        <v>8.3999999999999991E-2</v>
      </c>
      <c r="V981" s="302">
        <f>0.047+0.038</f>
        <v>8.4999999999999992E-2</v>
      </c>
      <c r="W981" s="302">
        <f>0.048+0.037</f>
        <v>8.4999999999999992E-2</v>
      </c>
      <c r="X981" s="302">
        <f>0.049+0.036</f>
        <v>8.4999999999999992E-2</v>
      </c>
      <c r="Y981" s="122">
        <f>Z981</f>
        <v>8.5999999999999993E-2</v>
      </c>
      <c r="Z981" s="403">
        <v>8.5999999999999993E-2</v>
      </c>
      <c r="AA981" s="302">
        <f>0.051+0.035</f>
        <v>8.5999999999999993E-2</v>
      </c>
      <c r="AB981" s="302">
        <v>8.6999999999999994E-2</v>
      </c>
      <c r="AC981" s="302">
        <f>0.056+0.031</f>
        <v>8.6999999999999994E-2</v>
      </c>
      <c r="AD981" s="122">
        <f>AE981</f>
        <v>8.7999999999999995E-2</v>
      </c>
      <c r="AE981" s="403">
        <f>0.057+0.031</f>
        <v>8.7999999999999995E-2</v>
      </c>
      <c r="AF981" s="302">
        <f>0.058+0.031</f>
        <v>8.8999999999999996E-2</v>
      </c>
      <c r="AG981" s="302">
        <v>8.8999999999999996E-2</v>
      </c>
      <c r="AH981" s="302">
        <f>0.061+0.029</f>
        <v>0.09</v>
      </c>
      <c r="AI981" s="122">
        <f>AJ981</f>
        <v>9.0999999999999998E-2</v>
      </c>
      <c r="AJ981" s="403">
        <f>0.063+0.028</f>
        <v>9.0999999999999998E-2</v>
      </c>
      <c r="AK981" s="302">
        <f>0.064+0.028</f>
        <v>9.1999999999999998E-2</v>
      </c>
      <c r="AL981" s="302">
        <f>0.065+0.028</f>
        <v>9.2999999999999999E-2</v>
      </c>
      <c r="AM981" s="302">
        <f>0.066+0.027</f>
        <v>9.2999999999999999E-2</v>
      </c>
      <c r="AN981" s="122">
        <f>AO981</f>
        <v>9.4E-2</v>
      </c>
      <c r="AO981" s="403">
        <f>0.067+0.027</f>
        <v>9.4E-2</v>
      </c>
      <c r="AP981" s="302">
        <f>0.067+0.027</f>
        <v>9.4E-2</v>
      </c>
      <c r="AQ981" s="302">
        <f>0.068+0.027</f>
        <v>9.5000000000000001E-2</v>
      </c>
      <c r="AR981" s="302">
        <f>0.069+0.027</f>
        <v>9.6000000000000002E-2</v>
      </c>
      <c r="AS981" s="122">
        <f>AT981</f>
        <v>9.9999999999999992E-2</v>
      </c>
      <c r="AT981" s="403">
        <f>0.073+0.027</f>
        <v>9.9999999999999992E-2</v>
      </c>
      <c r="AU981" s="302">
        <f>0.077+0.027</f>
        <v>0.104</v>
      </c>
      <c r="AV981" s="302">
        <f>0.077+0.027</f>
        <v>0.104</v>
      </c>
      <c r="AW981" s="302">
        <f>0.078+0.026</f>
        <v>0.104</v>
      </c>
      <c r="AX981" s="122">
        <f>AY981</f>
        <v>0</v>
      </c>
      <c r="AY981" s="401"/>
      <c r="AZ981" s="118"/>
      <c r="BA981" s="118"/>
      <c r="BB981" s="118"/>
      <c r="BC981" s="122">
        <f>BD981</f>
        <v>0</v>
      </c>
      <c r="BD981" s="401"/>
      <c r="BE981" s="118"/>
      <c r="BF981" s="118"/>
      <c r="BG981" s="118"/>
      <c r="BH981" s="122">
        <f>BI981</f>
        <v>0</v>
      </c>
      <c r="BI981" s="401"/>
      <c r="BJ981" s="971"/>
      <c r="BK981" s="118">
        <f>BJ981</f>
        <v>0</v>
      </c>
      <c r="BL981" s="118">
        <f>BK981</f>
        <v>0</v>
      </c>
      <c r="BM981" s="118">
        <f>BL981</f>
        <v>0</v>
      </c>
      <c r="BN981" s="401">
        <f t="shared" ref="BN981:BV981" si="839">BM981</f>
        <v>0</v>
      </c>
      <c r="BO981" s="118">
        <f t="shared" si="839"/>
        <v>0</v>
      </c>
      <c r="BP981" s="118">
        <f t="shared" si="839"/>
        <v>0</v>
      </c>
      <c r="BQ981" s="118">
        <f t="shared" si="839"/>
        <v>0</v>
      </c>
      <c r="BR981" s="118">
        <f t="shared" si="839"/>
        <v>0</v>
      </c>
      <c r="BS981" s="401">
        <f t="shared" si="839"/>
        <v>0</v>
      </c>
      <c r="BT981" s="401">
        <f t="shared" si="839"/>
        <v>0</v>
      </c>
      <c r="BU981" s="401">
        <f t="shared" si="839"/>
        <v>0</v>
      </c>
      <c r="BV981" s="401">
        <f t="shared" si="839"/>
        <v>0</v>
      </c>
      <c r="BW981" s="122"/>
    </row>
    <row r="982" spans="1:75" x14ac:dyDescent="0.5">
      <c r="A982" s="464" t="s">
        <v>1542</v>
      </c>
      <c r="B982" s="513"/>
      <c r="C982" s="401"/>
      <c r="D982" s="401"/>
      <c r="E982" s="401"/>
      <c r="F982" s="401"/>
      <c r="G982" s="118"/>
      <c r="H982" s="118"/>
      <c r="I982" s="118"/>
      <c r="J982" s="122">
        <f>K982</f>
        <v>0</v>
      </c>
      <c r="K982" s="401"/>
      <c r="L982" s="118"/>
      <c r="M982" s="118"/>
      <c r="N982" s="302">
        <v>397.46300000000002</v>
      </c>
      <c r="O982" s="302">
        <v>363.94400000000002</v>
      </c>
      <c r="P982" s="403">
        <v>363.94400000000002</v>
      </c>
      <c r="Q982" s="302">
        <v>367.92500000000001</v>
      </c>
      <c r="R982" s="302">
        <v>371.77100000000002</v>
      </c>
      <c r="S982" s="302">
        <v>374.79399999999998</v>
      </c>
      <c r="T982" s="122">
        <f>U982</f>
        <v>378.16199999999998</v>
      </c>
      <c r="U982" s="403">
        <v>378.16199999999998</v>
      </c>
      <c r="V982" s="302">
        <v>381.66300000000001</v>
      </c>
      <c r="W982" s="302">
        <v>387.18599999999998</v>
      </c>
      <c r="X982" s="302">
        <v>396.94900000000001</v>
      </c>
      <c r="Y982" s="122">
        <f>Z982</f>
        <v>409.22500000000002</v>
      </c>
      <c r="Z982" s="403">
        <v>409.22500000000002</v>
      </c>
      <c r="AA982" s="302">
        <v>431.81200000000001</v>
      </c>
      <c r="AB982" s="302">
        <v>446.96600000000001</v>
      </c>
      <c r="AC982" s="302">
        <v>515.38</v>
      </c>
      <c r="AD982" s="122">
        <f>AE982</f>
        <v>537.21199999999999</v>
      </c>
      <c r="AE982" s="403">
        <v>537.21199999999999</v>
      </c>
      <c r="AF982" s="302">
        <v>562.34900000000005</v>
      </c>
      <c r="AG982" s="302">
        <v>593.46</v>
      </c>
      <c r="AH982" s="302">
        <v>628.6</v>
      </c>
      <c r="AI982" s="122">
        <f>AJ982</f>
        <v>753.65700000000004</v>
      </c>
      <c r="AJ982" s="403">
        <v>753.65700000000004</v>
      </c>
      <c r="AK982" s="302">
        <v>802.97299999999996</v>
      </c>
      <c r="AL982" s="302">
        <v>859.09199999999998</v>
      </c>
      <c r="AM982" s="302">
        <v>1054.135</v>
      </c>
      <c r="AN982" s="122">
        <f>AO982</f>
        <v>1122.548</v>
      </c>
      <c r="AO982" s="403">
        <v>1122.548</v>
      </c>
      <c r="AP982" s="302">
        <v>1184.674</v>
      </c>
      <c r="AQ982" s="302">
        <v>1295.971</v>
      </c>
      <c r="AR982" s="302">
        <v>452.11099999999999</v>
      </c>
      <c r="AS982" s="122">
        <f>AT982</f>
        <v>698.48199999999997</v>
      </c>
      <c r="AT982" s="403">
        <v>698.48199999999997</v>
      </c>
      <c r="AU982" s="302">
        <v>331.51299999999998</v>
      </c>
      <c r="AV982" s="302">
        <v>131.70599999999999</v>
      </c>
      <c r="AW982" s="302">
        <v>221.733</v>
      </c>
      <c r="AX982" s="122">
        <f>AY982</f>
        <v>337</v>
      </c>
      <c r="AY982" s="403">
        <v>337</v>
      </c>
      <c r="AZ982" s="302">
        <v>374</v>
      </c>
      <c r="BA982" s="302">
        <v>513</v>
      </c>
      <c r="BB982" s="302">
        <v>565</v>
      </c>
      <c r="BC982" s="122">
        <f>BD982</f>
        <v>737</v>
      </c>
      <c r="BD982" s="403">
        <v>737</v>
      </c>
      <c r="BE982" s="302">
        <v>894</v>
      </c>
      <c r="BF982" s="302">
        <v>988</v>
      </c>
      <c r="BG982" s="302">
        <v>1142</v>
      </c>
      <c r="BH982" s="122">
        <f>BI982</f>
        <v>1316</v>
      </c>
      <c r="BI982" s="403">
        <v>1316</v>
      </c>
      <c r="BJ982" s="1207">
        <v>1446</v>
      </c>
      <c r="BK982" s="118">
        <f>BJ982+BK838+BK877+BK873+BK875-(+BK378+BK395+BK412+BK429+BK446+BK463-BJ378-BJ395-BJ412-BJ429-BJ446-BJ463)</f>
        <v>1555.4039330579999</v>
      </c>
      <c r="BL982" s="118">
        <f>BK982+BL838+BL877+BL873+BL875-(+BL378+BL395+BL412+BL429+BL446+BL463-BK378-BK395-BK412-BK429-BK446-BK463)</f>
        <v>1656.97604877</v>
      </c>
      <c r="BM982" s="118">
        <f>BL982+BM838+BM877+BM873+BM875-(+BM378+BM395+BM412+BM429+BM446+BM463-BL378-BL395-BL412-BL429-BL446-BL463)</f>
        <v>1764.413402142</v>
      </c>
      <c r="BN982" s="401">
        <f>BM982</f>
        <v>1764.413402142</v>
      </c>
      <c r="BO982" s="118">
        <f>BN982+BO838+BO877+BO873+BO875-(+BO378+BO395+BO412+BO429+BO446+BO463-BN378-BN395-BN412-BN429-BN446-BN463)</f>
        <v>1862.869183458</v>
      </c>
      <c r="BP982" s="118">
        <f>BO982+BP838+BP877+BP873+BP875-(+BP378+BP395+BP412+BP429+BP446+BP463-BO378-BO395-BO412-BO429-BO446-BO463)</f>
        <v>1978.9583532494421</v>
      </c>
      <c r="BQ982" s="118">
        <f>BP982+BQ838+BQ877+BQ873+BQ875-(+BQ378+BQ395+BQ412+BQ429+BQ446+BQ463-BP378-BP395-BP412-BP429-BP446-BP463)</f>
        <v>2086.7371346641398</v>
      </c>
      <c r="BR982" s="118">
        <f>BQ982+BR838+BR877+BR873+BR875-(+BR378+BR395+BR412+BR429+BR446+BR463-BQ378-BQ395-BQ412-BQ429-BQ446-BQ463)</f>
        <v>2200.7395549512894</v>
      </c>
      <c r="BS982" s="401">
        <f>BR982</f>
        <v>2200.7395549512894</v>
      </c>
      <c r="BT982" s="401">
        <f>BS982+BT838+BT877+BT873+BT875-(+BT378+BT395+BT412+BT429+BT446+BT463-BS378-BS395-BS412-BS429-BS446-BS463)</f>
        <v>2668.2669546218181</v>
      </c>
      <c r="BU982" s="401">
        <f>BT982+BU838+BU877+BU873+BU875-(+BU378+BU395+BU412+BU429+BU446+BU463-BT378-BT395-BT412-BT429-BT446-BT463)</f>
        <v>3169.2267711153868</v>
      </c>
      <c r="BV982" s="401">
        <f>BU982+BV838+BV877+BV873+BV875-(+BV378+BV395+BV412+BV429+BV446+BV463-BU378-BU395-BU412-BU429-BU446-BU463)</f>
        <v>3706.0097231265941</v>
      </c>
      <c r="BW982" s="122"/>
    </row>
    <row r="983" spans="1:75" x14ac:dyDescent="0.5">
      <c r="A983" s="464" t="s">
        <v>2695</v>
      </c>
      <c r="B983" s="513"/>
      <c r="C983" s="401"/>
      <c r="D983" s="401"/>
      <c r="E983" s="401"/>
      <c r="F983" s="403">
        <v>-150.85300000000001</v>
      </c>
      <c r="G983" s="118"/>
      <c r="H983" s="118"/>
      <c r="I983" s="118"/>
      <c r="J983" s="122">
        <f>K983</f>
        <v>-190.511</v>
      </c>
      <c r="K983" s="403">
        <v>-190.511</v>
      </c>
      <c r="L983" s="302">
        <v>-249.14599999999999</v>
      </c>
      <c r="M983" s="302">
        <v>-277.13400000000001</v>
      </c>
      <c r="N983" s="302">
        <v>-305.983</v>
      </c>
      <c r="O983" s="302">
        <v>-58.122</v>
      </c>
      <c r="P983" s="403">
        <v>-58.122</v>
      </c>
      <c r="Q983" s="302">
        <v>-85.257999999999996</v>
      </c>
      <c r="R983" s="302">
        <v>-104.592</v>
      </c>
      <c r="S983" s="302">
        <v>-120.07</v>
      </c>
      <c r="T983" s="122">
        <f>U983</f>
        <v>-135.565</v>
      </c>
      <c r="U983" s="403">
        <v>-135.565</v>
      </c>
      <c r="V983" s="302">
        <v>-176.77</v>
      </c>
      <c r="W983" s="302">
        <v>-225.04400000000001</v>
      </c>
      <c r="X983" s="302">
        <v>-285.98399999999998</v>
      </c>
      <c r="Y983" s="122">
        <f>Z983</f>
        <v>-329.94</v>
      </c>
      <c r="Z983" s="403">
        <v>-329.94</v>
      </c>
      <c r="AA983" s="302">
        <v>-395.19099999999997</v>
      </c>
      <c r="AB983" s="302">
        <v>-434.06599999999997</v>
      </c>
      <c r="AC983" s="302">
        <v>-510.495</v>
      </c>
      <c r="AD983" s="122">
        <f>AE983</f>
        <v>-583.26599999999996</v>
      </c>
      <c r="AE983" s="403">
        <v>-583.26599999999996</v>
      </c>
      <c r="AF983" s="302">
        <v>-686.38400000000001</v>
      </c>
      <c r="AG983" s="302">
        <v>-787.11800000000005</v>
      </c>
      <c r="AH983" s="302">
        <v>-938.84400000000005</v>
      </c>
      <c r="AI983" s="122">
        <f>AJ983</f>
        <v>-1082.6890000000001</v>
      </c>
      <c r="AJ983" s="403">
        <v>-1082.6890000000001</v>
      </c>
      <c r="AK983" s="302">
        <v>-1281.2280000000001</v>
      </c>
      <c r="AL983" s="302">
        <v>-1463.1659999999999</v>
      </c>
      <c r="AM983" s="302">
        <v>-1735.201</v>
      </c>
      <c r="AN983" s="122">
        <f>AO983</f>
        <v>-2065.4229999999998</v>
      </c>
      <c r="AO983" s="403">
        <v>-2065.4229999999998</v>
      </c>
      <c r="AP983" s="302">
        <v>-2356.8110000000001</v>
      </c>
      <c r="AQ983" s="302">
        <v>-2082.9340000000002</v>
      </c>
      <c r="AR983" s="302">
        <v>-1909.768</v>
      </c>
      <c r="AS983" s="122">
        <f>AT983</f>
        <v>-1885.95</v>
      </c>
      <c r="AT983" s="403">
        <v>-1885.95</v>
      </c>
      <c r="AU983" s="302">
        <v>-1799.4369999999999</v>
      </c>
      <c r="AV983" s="302">
        <v>-1669.009</v>
      </c>
      <c r="AW983" s="302">
        <v>-1747.03</v>
      </c>
      <c r="AX983" s="122">
        <f>AY983</f>
        <v>-1949</v>
      </c>
      <c r="AY983" s="403">
        <v>-1949</v>
      </c>
      <c r="AZ983" s="302">
        <v>-2268</v>
      </c>
      <c r="BA983" s="302">
        <v>-2646</v>
      </c>
      <c r="BB983" s="302">
        <v>-2929</v>
      </c>
      <c r="BC983" s="122">
        <f>BD983</f>
        <v>-3280</v>
      </c>
      <c r="BD983" s="403">
        <v>-3280</v>
      </c>
      <c r="BE983" s="302">
        <v>-3635</v>
      </c>
      <c r="BF983" s="302">
        <v>-3681</v>
      </c>
      <c r="BG983" s="302">
        <v>-3844</v>
      </c>
      <c r="BH983" s="122">
        <f>BI983</f>
        <v>-4018</v>
      </c>
      <c r="BI983" s="403">
        <v>-4018</v>
      </c>
      <c r="BJ983" s="1207">
        <v>-4266</v>
      </c>
      <c r="BK983" s="118">
        <f ca="1">BJ983+BK836+BK880</f>
        <v>-4453.9398084553577</v>
      </c>
      <c r="BL983" s="118">
        <f ca="1">BK983+BL836+BL880</f>
        <v>-4593.5058423111632</v>
      </c>
      <c r="BM983" s="118">
        <f ca="1">BL983+BM836+BM880</f>
        <v>-4752.4544683550521</v>
      </c>
      <c r="BN983" s="401">
        <f ca="1">BM983</f>
        <v>-4752.4544683550521</v>
      </c>
      <c r="BO983" s="118">
        <f ca="1">BN983+BO836+BO880</f>
        <v>-4846.3261022308225</v>
      </c>
      <c r="BP983" s="118">
        <f ca="1">BO983+BP836+BP880</f>
        <v>-5039.5053947917158</v>
      </c>
      <c r="BQ983" s="118">
        <f ca="1">BP983+BQ836+BQ880</f>
        <v>-5181.838831498646</v>
      </c>
      <c r="BR983" s="118">
        <f ca="1">BQ983+BR836+BR880</f>
        <v>-5343.8344300597928</v>
      </c>
      <c r="BS983" s="401">
        <f ca="1">BR983</f>
        <v>-5343.8344300597928</v>
      </c>
      <c r="BT983" s="401">
        <f ca="1">BS983+BT836+BT880</f>
        <v>-5749.6200662420724</v>
      </c>
      <c r="BU983" s="401">
        <f ca="1">BT983+BU836+BU880</f>
        <v>-5940.9404338849126</v>
      </c>
      <c r="BV983" s="401">
        <f ca="1">BU983+BV836+BV880</f>
        <v>-5883.2682835815658</v>
      </c>
      <c r="BW983" s="122"/>
    </row>
    <row r="984" spans="1:75" x14ac:dyDescent="0.5">
      <c r="A984" s="1292" t="s">
        <v>1543</v>
      </c>
      <c r="B984" s="677"/>
      <c r="C984" s="406"/>
      <c r="D984" s="406"/>
      <c r="E984" s="406"/>
      <c r="F984" s="408">
        <v>6.2E-2</v>
      </c>
      <c r="G984" s="723"/>
      <c r="H984" s="723"/>
      <c r="I984" s="723"/>
      <c r="J984" s="431">
        <f>K984</f>
        <v>-0.32800000000000001</v>
      </c>
      <c r="K984" s="408">
        <v>-0.32800000000000001</v>
      </c>
      <c r="L984" s="357">
        <v>-0.44700000000000001</v>
      </c>
      <c r="M984" s="357">
        <v>-0.32100000000000001</v>
      </c>
      <c r="N984" s="357">
        <v>-0.38700000000000001</v>
      </c>
      <c r="O984" s="357">
        <v>-0.36599999999999999</v>
      </c>
      <c r="P984" s="408">
        <v>-0.36599999999999999</v>
      </c>
      <c r="Q984" s="357">
        <v>-0.17599999999999999</v>
      </c>
      <c r="R984" s="357">
        <v>-0.41599999999999998</v>
      </c>
      <c r="S984" s="357">
        <v>-0.112</v>
      </c>
      <c r="T984" s="431">
        <f>U984</f>
        <v>-0.13600000000000001</v>
      </c>
      <c r="U984" s="408">
        <v>-0.13600000000000001</v>
      </c>
      <c r="V984" s="357">
        <v>2.8000000000000001E-2</v>
      </c>
      <c r="W984" s="357">
        <v>-0.14299999999999999</v>
      </c>
      <c r="X984" s="357">
        <v>-0.54600000000000004</v>
      </c>
      <c r="Y984" s="431">
        <f>Z984</f>
        <v>1.2999999999999999E-2</v>
      </c>
      <c r="Z984" s="408">
        <v>1.2999999999999999E-2</v>
      </c>
      <c r="AA984" s="357">
        <v>-0.245</v>
      </c>
      <c r="AB984" s="357">
        <v>-1.0469999999999999</v>
      </c>
      <c r="AC984" s="357">
        <v>-1.9430000000000001</v>
      </c>
      <c r="AD984" s="431">
        <f>AE984</f>
        <v>-2.363</v>
      </c>
      <c r="AE984" s="408">
        <v>-2.363</v>
      </c>
      <c r="AF984" s="357">
        <v>-3.258</v>
      </c>
      <c r="AG984" s="357">
        <v>-1.909</v>
      </c>
      <c r="AH984" s="357">
        <v>-2.0670000000000002</v>
      </c>
      <c r="AI984" s="431">
        <f>AJ984</f>
        <v>-1.78</v>
      </c>
      <c r="AJ984" s="408">
        <v>-1.78</v>
      </c>
      <c r="AK984" s="357">
        <v>-0.98399999999999999</v>
      </c>
      <c r="AL984" s="357">
        <v>-1.3759999999999999</v>
      </c>
      <c r="AM984" s="357">
        <v>-1.456</v>
      </c>
      <c r="AN984" s="431">
        <f>AO984</f>
        <v>-1.427</v>
      </c>
      <c r="AO984" s="408">
        <v>-1.427</v>
      </c>
      <c r="AP984" s="357">
        <v>0.64200000000000002</v>
      </c>
      <c r="AQ984" s="357">
        <v>-0.52400000000000002</v>
      </c>
      <c r="AR984" s="357">
        <v>-2.0249999999999999</v>
      </c>
      <c r="AS984" s="431">
        <f>AT984</f>
        <v>-4.5289999999999999</v>
      </c>
      <c r="AT984" s="408">
        <v>-4.5289999999999999</v>
      </c>
      <c r="AU984" s="357">
        <v>-1.889</v>
      </c>
      <c r="AV984" s="357">
        <v>-4.6790000000000003</v>
      </c>
      <c r="AW984" s="357">
        <v>-4.8879999999999999</v>
      </c>
      <c r="AX984" s="431">
        <f>AY984</f>
        <v>-7</v>
      </c>
      <c r="AY984" s="408">
        <v>-7</v>
      </c>
      <c r="AZ984" s="357">
        <v>-10</v>
      </c>
      <c r="BA984" s="357">
        <v>-12</v>
      </c>
      <c r="BB984" s="357">
        <v>-14</v>
      </c>
      <c r="BC984" s="431">
        <f>BD984</f>
        <v>-7</v>
      </c>
      <c r="BD984" s="408">
        <v>-7</v>
      </c>
      <c r="BE984" s="357">
        <v>-4</v>
      </c>
      <c r="BF984" s="357">
        <v>-5</v>
      </c>
      <c r="BG984" s="357">
        <v>-6</v>
      </c>
      <c r="BH984" s="431">
        <f>BI984</f>
        <v>-5</v>
      </c>
      <c r="BI984" s="408">
        <v>-5</v>
      </c>
      <c r="BJ984" s="1208">
        <v>-5</v>
      </c>
      <c r="BK984" s="723">
        <f>BJ984+BK886</f>
        <v>-5</v>
      </c>
      <c r="BL984" s="723">
        <f>BK984+BL886</f>
        <v>-5</v>
      </c>
      <c r="BM984" s="723">
        <f>BL984+BM886</f>
        <v>-5</v>
      </c>
      <c r="BN984" s="406">
        <f>BM984</f>
        <v>-5</v>
      </c>
      <c r="BO984" s="723">
        <f>BN984+BO886</f>
        <v>-5</v>
      </c>
      <c r="BP984" s="723">
        <f>BO984+BP886</f>
        <v>-5</v>
      </c>
      <c r="BQ984" s="723">
        <f>BP984+BQ886</f>
        <v>-5</v>
      </c>
      <c r="BR984" s="723">
        <f>BQ984+BR886</f>
        <v>-5</v>
      </c>
      <c r="BS984" s="406">
        <f>BR984</f>
        <v>-5</v>
      </c>
      <c r="BT984" s="406">
        <f>BS984+BT886</f>
        <v>-5</v>
      </c>
      <c r="BU984" s="406">
        <f>BT984+BU886</f>
        <v>-5</v>
      </c>
      <c r="BV984" s="406">
        <f>BU984+BV886</f>
        <v>-5</v>
      </c>
      <c r="BW984" s="122"/>
    </row>
    <row r="985" spans="1:75" x14ac:dyDescent="0.5">
      <c r="A985" s="516" t="s">
        <v>1546</v>
      </c>
      <c r="B985" s="517"/>
      <c r="C985" s="518"/>
      <c r="D985" s="518"/>
      <c r="E985" s="518"/>
      <c r="F985" s="519">
        <f>SUM(F981:F984)</f>
        <v>-150.791</v>
      </c>
      <c r="G985" s="327"/>
      <c r="H985" s="327"/>
      <c r="I985" s="327"/>
      <c r="J985" s="520">
        <f t="shared" ref="J985:BU985" si="840">SUM(J981:J984)</f>
        <v>-190.839</v>
      </c>
      <c r="K985" s="519">
        <f t="shared" si="840"/>
        <v>-190.839</v>
      </c>
      <c r="L985" s="520">
        <f t="shared" si="840"/>
        <v>-249.59299999999999</v>
      </c>
      <c r="M985" s="520">
        <f t="shared" si="840"/>
        <v>-277.45500000000004</v>
      </c>
      <c r="N985" s="520">
        <f t="shared" si="840"/>
        <v>91.093000000000018</v>
      </c>
      <c r="O985" s="520">
        <f t="shared" si="840"/>
        <v>305.53900000000004</v>
      </c>
      <c r="P985" s="519">
        <f t="shared" si="840"/>
        <v>305.53900000000004</v>
      </c>
      <c r="Q985" s="520">
        <f t="shared" si="840"/>
        <v>282.57400000000007</v>
      </c>
      <c r="R985" s="520">
        <f t="shared" si="840"/>
        <v>266.84700000000004</v>
      </c>
      <c r="S985" s="520">
        <f t="shared" si="840"/>
        <v>254.696</v>
      </c>
      <c r="T985" s="520">
        <f t="shared" si="840"/>
        <v>242.54499999999999</v>
      </c>
      <c r="U985" s="519">
        <f t="shared" si="840"/>
        <v>242.54499999999999</v>
      </c>
      <c r="V985" s="520">
        <f t="shared" si="840"/>
        <v>205.00599999999997</v>
      </c>
      <c r="W985" s="520">
        <f t="shared" si="840"/>
        <v>162.08399999999995</v>
      </c>
      <c r="X985" s="520">
        <f t="shared" si="840"/>
        <v>110.504</v>
      </c>
      <c r="Y985" s="520">
        <f t="shared" si="840"/>
        <v>79.384000000000043</v>
      </c>
      <c r="Z985" s="519">
        <f t="shared" si="840"/>
        <v>79.384000000000043</v>
      </c>
      <c r="AA985" s="520">
        <f t="shared" si="840"/>
        <v>36.462000000000053</v>
      </c>
      <c r="AB985" s="520">
        <f t="shared" si="840"/>
        <v>11.940000000000023</v>
      </c>
      <c r="AC985" s="520">
        <f t="shared" si="840"/>
        <v>3.0289999999999799</v>
      </c>
      <c r="AD985" s="520">
        <f t="shared" si="840"/>
        <v>-48.329000000000008</v>
      </c>
      <c r="AE985" s="519">
        <f t="shared" si="840"/>
        <v>-48.329000000000008</v>
      </c>
      <c r="AF985" s="520">
        <f t="shared" si="840"/>
        <v>-127.20399999999991</v>
      </c>
      <c r="AG985" s="520">
        <f t="shared" si="840"/>
        <v>-195.47799999999995</v>
      </c>
      <c r="AH985" s="520">
        <f t="shared" si="840"/>
        <v>-312.221</v>
      </c>
      <c r="AI985" s="520">
        <f t="shared" si="840"/>
        <v>-330.721</v>
      </c>
      <c r="AJ985" s="519">
        <f t="shared" si="840"/>
        <v>-330.721</v>
      </c>
      <c r="AK985" s="520">
        <f t="shared" si="840"/>
        <v>-479.14700000000011</v>
      </c>
      <c r="AL985" s="520">
        <f t="shared" si="840"/>
        <v>-605.35699999999997</v>
      </c>
      <c r="AM985" s="520">
        <f t="shared" si="840"/>
        <v>-682.42899999999997</v>
      </c>
      <c r="AN985" s="520">
        <f t="shared" si="840"/>
        <v>-944.20799999999974</v>
      </c>
      <c r="AO985" s="519">
        <f t="shared" si="840"/>
        <v>-944.20799999999974</v>
      </c>
      <c r="AP985" s="520">
        <f t="shared" si="840"/>
        <v>-1171.4010000000001</v>
      </c>
      <c r="AQ985" s="520">
        <f t="shared" si="840"/>
        <v>-787.39200000000017</v>
      </c>
      <c r="AR985" s="520">
        <f t="shared" si="840"/>
        <v>-1459.5860000000002</v>
      </c>
      <c r="AS985" s="520">
        <f t="shared" si="840"/>
        <v>-1191.8969999999999</v>
      </c>
      <c r="AT985" s="519">
        <f t="shared" si="840"/>
        <v>-1191.8969999999999</v>
      </c>
      <c r="AU985" s="520">
        <f t="shared" si="840"/>
        <v>-1469.7089999999998</v>
      </c>
      <c r="AV985" s="520">
        <f t="shared" si="840"/>
        <v>-1541.8780000000002</v>
      </c>
      <c r="AW985" s="520">
        <f t="shared" si="840"/>
        <v>-1530.0809999999999</v>
      </c>
      <c r="AX985" s="520">
        <f t="shared" si="840"/>
        <v>-1619</v>
      </c>
      <c r="AY985" s="519">
        <f t="shared" si="840"/>
        <v>-1619</v>
      </c>
      <c r="AZ985" s="520">
        <f t="shared" si="840"/>
        <v>-1904</v>
      </c>
      <c r="BA985" s="520">
        <f t="shared" si="840"/>
        <v>-2145</v>
      </c>
      <c r="BB985" s="520">
        <f t="shared" si="840"/>
        <v>-2378</v>
      </c>
      <c r="BC985" s="520">
        <f t="shared" si="840"/>
        <v>-2550</v>
      </c>
      <c r="BD985" s="519">
        <f t="shared" si="840"/>
        <v>-2550</v>
      </c>
      <c r="BE985" s="520">
        <f t="shared" si="840"/>
        <v>-2745</v>
      </c>
      <c r="BF985" s="520">
        <f t="shared" si="840"/>
        <v>-2698</v>
      </c>
      <c r="BG985" s="520">
        <f t="shared" si="840"/>
        <v>-2708</v>
      </c>
      <c r="BH985" s="520">
        <f t="shared" si="840"/>
        <v>-2707</v>
      </c>
      <c r="BI985" s="519">
        <f t="shared" si="840"/>
        <v>-2707</v>
      </c>
      <c r="BJ985" s="1270">
        <f>SUM(BJ981:BJ984)</f>
        <v>-2825</v>
      </c>
      <c r="BK985" s="327">
        <f t="shared" ca="1" si="840"/>
        <v>-2903.5358753973578</v>
      </c>
      <c r="BL985" s="327">
        <f t="shared" ca="1" si="840"/>
        <v>-2941.5297935411631</v>
      </c>
      <c r="BM985" s="327">
        <f t="shared" ca="1" si="840"/>
        <v>-2993.0410662130521</v>
      </c>
      <c r="BN985" s="518">
        <f t="shared" ca="1" si="840"/>
        <v>-2993.0410662130521</v>
      </c>
      <c r="BO985" s="327">
        <f t="shared" ca="1" si="840"/>
        <v>-2988.4569187728225</v>
      </c>
      <c r="BP985" s="327">
        <f t="shared" ca="1" si="840"/>
        <v>-3065.5470415422737</v>
      </c>
      <c r="BQ985" s="327">
        <f t="shared" ca="1" si="840"/>
        <v>-3100.1016968345061</v>
      </c>
      <c r="BR985" s="327">
        <f t="shared" ca="1" si="840"/>
        <v>-3148.0948751085034</v>
      </c>
      <c r="BS985" s="518">
        <f t="shared" ca="1" si="840"/>
        <v>-3148.0948751085034</v>
      </c>
      <c r="BT985" s="518">
        <f t="shared" ca="1" si="840"/>
        <v>-3086.3531116202544</v>
      </c>
      <c r="BU985" s="518">
        <f t="shared" ca="1" si="840"/>
        <v>-2776.7136627695259</v>
      </c>
      <c r="BV985" s="518">
        <f t="shared" ref="BV985:CC985" ca="1" si="841">SUM(BV981:BV984)</f>
        <v>-2182.2585604549718</v>
      </c>
      <c r="BW985" s="197"/>
    </row>
    <row r="986" spans="1:75" x14ac:dyDescent="0.5">
      <c r="A986" s="464" t="s">
        <v>1547</v>
      </c>
      <c r="B986" s="513"/>
      <c r="C986" s="401"/>
      <c r="D986" s="401"/>
      <c r="E986" s="401"/>
      <c r="F986" s="401"/>
      <c r="G986" s="118"/>
      <c r="H986" s="118"/>
      <c r="I986" s="118"/>
      <c r="J986" s="118"/>
      <c r="K986" s="401"/>
      <c r="L986" s="118"/>
      <c r="M986" s="118"/>
      <c r="N986" s="118"/>
      <c r="O986" s="118"/>
      <c r="P986" s="401"/>
      <c r="Q986" s="118"/>
      <c r="R986" s="118"/>
      <c r="S986" s="118"/>
      <c r="T986" s="118"/>
      <c r="U986" s="401"/>
      <c r="V986" s="118"/>
      <c r="W986" s="118"/>
      <c r="X986" s="118"/>
      <c r="Y986" s="118"/>
      <c r="Z986" s="401"/>
      <c r="AA986" s="118"/>
      <c r="AB986" s="118"/>
      <c r="AC986" s="118"/>
      <c r="AD986" s="118"/>
      <c r="AE986" s="401"/>
      <c r="AF986" s="118"/>
      <c r="AG986" s="118"/>
      <c r="AH986" s="118"/>
      <c r="AI986" s="118"/>
      <c r="AJ986" s="401"/>
      <c r="AK986" s="118"/>
      <c r="AL986" s="118"/>
      <c r="AM986" s="118"/>
      <c r="AN986" s="118"/>
      <c r="AO986" s="401"/>
      <c r="AP986" s="118"/>
      <c r="AQ986" s="118"/>
      <c r="AR986" s="118"/>
      <c r="AS986" s="118"/>
      <c r="AT986" s="401"/>
      <c r="AU986" s="118"/>
      <c r="AV986" s="118"/>
      <c r="AW986" s="118"/>
      <c r="AX986" s="118"/>
      <c r="AY986" s="401"/>
      <c r="AZ986" s="118"/>
      <c r="BA986" s="118"/>
      <c r="BB986" s="118"/>
      <c r="BC986" s="118"/>
      <c r="BD986" s="401"/>
      <c r="BE986" s="118"/>
      <c r="BF986" s="118"/>
      <c r="BG986" s="118"/>
      <c r="BH986" s="118"/>
      <c r="BI986" s="401"/>
      <c r="BJ986" s="971"/>
      <c r="BK986" s="118"/>
      <c r="BL986" s="118"/>
      <c r="BM986" s="118"/>
      <c r="BN986" s="401"/>
      <c r="BO986" s="118"/>
      <c r="BP986" s="118"/>
      <c r="BQ986" s="118"/>
      <c r="BR986" s="118"/>
      <c r="BS986" s="401"/>
      <c r="BT986" s="401"/>
      <c r="BU986" s="401"/>
      <c r="BV986" s="401"/>
      <c r="BW986" s="122"/>
    </row>
    <row r="987" spans="1:75" x14ac:dyDescent="0.5">
      <c r="A987" s="463" t="s">
        <v>1548</v>
      </c>
      <c r="B987" s="522"/>
      <c r="C987" s="397"/>
      <c r="D987" s="397"/>
      <c r="E987" s="397"/>
      <c r="F987" s="672">
        <f t="shared" ref="F987:BQ987" si="842">F985+F978+F986</f>
        <v>163.577</v>
      </c>
      <c r="G987" s="295"/>
      <c r="H987" s="295"/>
      <c r="I987" s="295"/>
      <c r="J987" s="197">
        <f t="shared" si="842"/>
        <v>196.3</v>
      </c>
      <c r="K987" s="672">
        <f t="shared" si="842"/>
        <v>196.3</v>
      </c>
      <c r="L987" s="197">
        <f t="shared" si="842"/>
        <v>288.86500000000001</v>
      </c>
      <c r="M987" s="197">
        <f t="shared" si="842"/>
        <v>277.01800000000003</v>
      </c>
      <c r="N987" s="197">
        <f t="shared" si="842"/>
        <v>260.52800000000002</v>
      </c>
      <c r="O987" s="197">
        <f t="shared" si="842"/>
        <v>555.52300000000002</v>
      </c>
      <c r="P987" s="672">
        <f t="shared" si="842"/>
        <v>555.52300000000002</v>
      </c>
      <c r="Q987" s="197">
        <f t="shared" si="842"/>
        <v>531.20800000000008</v>
      </c>
      <c r="R987" s="197">
        <f t="shared" si="842"/>
        <v>543.98500000000001</v>
      </c>
      <c r="S987" s="197">
        <f t="shared" si="842"/>
        <v>601.34399999999994</v>
      </c>
      <c r="T987" s="197">
        <f t="shared" si="842"/>
        <v>694.58100000000002</v>
      </c>
      <c r="U987" s="672">
        <f t="shared" si="842"/>
        <v>694.58100000000002</v>
      </c>
      <c r="V987" s="197">
        <f t="shared" si="842"/>
        <v>667.42699999999991</v>
      </c>
      <c r="W987" s="197">
        <f t="shared" si="842"/>
        <v>663.96799999999985</v>
      </c>
      <c r="X987" s="197">
        <f t="shared" si="842"/>
        <v>684.11900000000003</v>
      </c>
      <c r="Y987" s="197">
        <f t="shared" si="842"/>
        <v>761.68299999999999</v>
      </c>
      <c r="Z987" s="672">
        <f t="shared" si="842"/>
        <v>761.68299999999999</v>
      </c>
      <c r="AA987" s="197">
        <f t="shared" si="842"/>
        <v>742.12300000000016</v>
      </c>
      <c r="AB987" s="197">
        <f t="shared" si="842"/>
        <v>751.47800000000007</v>
      </c>
      <c r="AC987" s="197">
        <f t="shared" si="842"/>
        <v>1138.1399999999999</v>
      </c>
      <c r="AD987" s="197">
        <f t="shared" si="842"/>
        <v>1213.403</v>
      </c>
      <c r="AE987" s="672">
        <f t="shared" si="842"/>
        <v>1213.403</v>
      </c>
      <c r="AF987" s="197">
        <f t="shared" si="842"/>
        <v>1226.4459999999997</v>
      </c>
      <c r="AG987" s="197">
        <f t="shared" si="842"/>
        <v>1287.268</v>
      </c>
      <c r="AH987" s="197">
        <f t="shared" si="842"/>
        <v>1299.6379999999999</v>
      </c>
      <c r="AI987" s="197">
        <f t="shared" si="842"/>
        <v>1890.85</v>
      </c>
      <c r="AJ987" s="672">
        <f t="shared" si="842"/>
        <v>1890.85</v>
      </c>
      <c r="AK987" s="197">
        <f t="shared" si="842"/>
        <v>2113.8650000000002</v>
      </c>
      <c r="AL987" s="197">
        <f t="shared" si="842"/>
        <v>2182.1</v>
      </c>
      <c r="AM987" s="197">
        <f t="shared" si="842"/>
        <v>3007.6349999999993</v>
      </c>
      <c r="AN987" s="197">
        <f t="shared" si="842"/>
        <v>2953.0480000000007</v>
      </c>
      <c r="AO987" s="672">
        <f t="shared" si="842"/>
        <v>2953.0480000000007</v>
      </c>
      <c r="AP987" s="197">
        <f t="shared" si="842"/>
        <v>2751.4210000000003</v>
      </c>
      <c r="AQ987" s="197">
        <f t="shared" si="842"/>
        <v>4379.4960000000001</v>
      </c>
      <c r="AR987" s="197">
        <f t="shared" si="842"/>
        <v>4558.4399999999996</v>
      </c>
      <c r="AS987" s="197">
        <f t="shared" si="842"/>
        <v>4569.9290000000001</v>
      </c>
      <c r="AT987" s="672">
        <f t="shared" si="842"/>
        <v>4569.9290000000001</v>
      </c>
      <c r="AU987" s="197">
        <f t="shared" si="842"/>
        <v>4774.933</v>
      </c>
      <c r="AV987" s="197">
        <f t="shared" si="842"/>
        <v>4681.2240000000002</v>
      </c>
      <c r="AW987" s="197">
        <f t="shared" si="842"/>
        <v>4466.2169999999996</v>
      </c>
      <c r="AX987" s="197">
        <f t="shared" si="842"/>
        <v>4570</v>
      </c>
      <c r="AY987" s="672">
        <f t="shared" si="842"/>
        <v>4570</v>
      </c>
      <c r="AZ987" s="197">
        <f t="shared" si="842"/>
        <v>4256</v>
      </c>
      <c r="BA987" s="197">
        <f t="shared" si="842"/>
        <v>4098</v>
      </c>
      <c r="BB987" s="197">
        <f t="shared" si="842"/>
        <v>3653</v>
      </c>
      <c r="BC987" s="197">
        <f t="shared" si="842"/>
        <v>3580</v>
      </c>
      <c r="BD987" s="672">
        <f t="shared" si="842"/>
        <v>3580</v>
      </c>
      <c r="BE987" s="197">
        <f t="shared" si="842"/>
        <v>3212</v>
      </c>
      <c r="BF987" s="197">
        <f t="shared" si="842"/>
        <v>3382</v>
      </c>
      <c r="BG987" s="197">
        <f t="shared" si="842"/>
        <v>3360</v>
      </c>
      <c r="BH987" s="197">
        <f t="shared" si="842"/>
        <v>3474</v>
      </c>
      <c r="BI987" s="672">
        <f t="shared" si="842"/>
        <v>3474</v>
      </c>
      <c r="BJ987" s="1273">
        <f>BJ985+BJ978+BJ986</f>
        <v>3240</v>
      </c>
      <c r="BK987" s="295">
        <f t="shared" ca="1" si="842"/>
        <v>3244.7702722605318</v>
      </c>
      <c r="BL987" s="295">
        <f t="shared" ca="1" si="842"/>
        <v>3271.497559433787</v>
      </c>
      <c r="BM987" s="295">
        <f t="shared" ca="1" si="842"/>
        <v>3151.2624855755407</v>
      </c>
      <c r="BN987" s="397">
        <f t="shared" ca="1" si="842"/>
        <v>3151.2624855755407</v>
      </c>
      <c r="BO987" s="295">
        <f t="shared" ca="1" si="842"/>
        <v>2999.7728437086967</v>
      </c>
      <c r="BP987" s="295">
        <f t="shared" ca="1" si="842"/>
        <v>2986.5309963741379</v>
      </c>
      <c r="BQ987" s="295">
        <f t="shared" ca="1" si="842"/>
        <v>3034.9623868505582</v>
      </c>
      <c r="BR987" s="295">
        <f t="shared" ref="BR987:BY987" ca="1" si="843">BR985+BR978+BR986</f>
        <v>2300.2658397498371</v>
      </c>
      <c r="BS987" s="397">
        <f t="shared" ca="1" si="843"/>
        <v>2300.2658397498371</v>
      </c>
      <c r="BT987" s="397">
        <f t="shared" ca="1" si="843"/>
        <v>2528.0419583704029</v>
      </c>
      <c r="BU987" s="397">
        <f t="shared" ca="1" si="843"/>
        <v>3268.5415093553743</v>
      </c>
      <c r="BV987" s="397">
        <f t="shared" ca="1" si="843"/>
        <v>4300.3275195544757</v>
      </c>
      <c r="BW987" s="197"/>
    </row>
    <row r="988" spans="1:75" x14ac:dyDescent="0.5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  <c r="AI988" s="118"/>
      <c r="AJ988" s="118"/>
      <c r="AK988" s="118"/>
      <c r="AL988" s="118"/>
      <c r="AM988" s="118"/>
      <c r="AN988" s="118"/>
      <c r="AO988" s="118"/>
      <c r="AP988" s="118"/>
      <c r="AQ988" s="118"/>
      <c r="AR988" s="118"/>
      <c r="AS988" s="118"/>
      <c r="AT988" s="118"/>
      <c r="AU988" s="118"/>
      <c r="AV988" s="118"/>
      <c r="AW988" s="118"/>
      <c r="AX988" s="118"/>
      <c r="AY988" s="118"/>
      <c r="AZ988" s="118"/>
      <c r="BA988" s="118"/>
      <c r="BB988" s="118"/>
      <c r="BC988" s="118"/>
      <c r="BD988" s="118"/>
      <c r="BE988" s="118"/>
      <c r="BF988" s="118"/>
      <c r="BG988" s="118"/>
      <c r="BH988" s="118"/>
      <c r="BI988" s="118"/>
      <c r="BJ988" s="971"/>
      <c r="BK988" s="118"/>
      <c r="BL988" s="118"/>
      <c r="BM988" s="118"/>
      <c r="BN988" s="118"/>
      <c r="BO988" s="118"/>
      <c r="BP988" s="118"/>
      <c r="BQ988" s="118"/>
      <c r="BR988" s="118"/>
      <c r="BS988" s="118"/>
      <c r="BT988" s="118"/>
      <c r="BU988" s="118"/>
      <c r="BV988" s="118"/>
      <c r="BW988" s="122"/>
    </row>
    <row r="989" spans="1:75" x14ac:dyDescent="0.5">
      <c r="A989" s="685" t="s">
        <v>1549</v>
      </c>
      <c r="B989" s="685"/>
      <c r="C989" s="686"/>
      <c r="D989" s="686"/>
      <c r="E989" s="686"/>
      <c r="F989" s="686">
        <f>ROUND(F955-F987,6)</f>
        <v>0</v>
      </c>
      <c r="G989" s="686"/>
      <c r="H989" s="686"/>
      <c r="I989" s="686"/>
      <c r="J989" s="686">
        <f t="shared" ref="J989:BU989" si="844">ROUND(J955-J987,6)</f>
        <v>0</v>
      </c>
      <c r="K989" s="686">
        <f t="shared" si="844"/>
        <v>0</v>
      </c>
      <c r="L989" s="686">
        <f t="shared" si="844"/>
        <v>0</v>
      </c>
      <c r="M989" s="686">
        <f t="shared" si="844"/>
        <v>0</v>
      </c>
      <c r="N989" s="686">
        <f t="shared" si="844"/>
        <v>0</v>
      </c>
      <c r="O989" s="686">
        <f t="shared" si="844"/>
        <v>0</v>
      </c>
      <c r="P989" s="686">
        <f t="shared" si="844"/>
        <v>0</v>
      </c>
      <c r="Q989" s="686">
        <f t="shared" si="844"/>
        <v>0</v>
      </c>
      <c r="R989" s="686">
        <f t="shared" si="844"/>
        <v>0</v>
      </c>
      <c r="S989" s="686">
        <f t="shared" si="844"/>
        <v>0</v>
      </c>
      <c r="T989" s="686">
        <f t="shared" si="844"/>
        <v>0</v>
      </c>
      <c r="U989" s="686">
        <f t="shared" si="844"/>
        <v>0</v>
      </c>
      <c r="V989" s="686">
        <f t="shared" si="844"/>
        <v>0</v>
      </c>
      <c r="W989" s="686">
        <f t="shared" si="844"/>
        <v>0</v>
      </c>
      <c r="X989" s="686">
        <f t="shared" si="844"/>
        <v>0</v>
      </c>
      <c r="Y989" s="686">
        <f t="shared" si="844"/>
        <v>0</v>
      </c>
      <c r="Z989" s="686">
        <f t="shared" si="844"/>
        <v>0</v>
      </c>
      <c r="AA989" s="686">
        <f t="shared" si="844"/>
        <v>0</v>
      </c>
      <c r="AB989" s="686">
        <f t="shared" si="844"/>
        <v>0</v>
      </c>
      <c r="AC989" s="686">
        <f t="shared" si="844"/>
        <v>0</v>
      </c>
      <c r="AD989" s="686">
        <f t="shared" si="844"/>
        <v>0</v>
      </c>
      <c r="AE989" s="686">
        <f t="shared" si="844"/>
        <v>0</v>
      </c>
      <c r="AF989" s="686">
        <f t="shared" si="844"/>
        <v>0</v>
      </c>
      <c r="AG989" s="686">
        <f t="shared" si="844"/>
        <v>0</v>
      </c>
      <c r="AH989" s="686">
        <f t="shared" si="844"/>
        <v>0</v>
      </c>
      <c r="AI989" s="686">
        <f t="shared" si="844"/>
        <v>0</v>
      </c>
      <c r="AJ989" s="686">
        <f t="shared" si="844"/>
        <v>0</v>
      </c>
      <c r="AK989" s="686">
        <f t="shared" si="844"/>
        <v>0</v>
      </c>
      <c r="AL989" s="686">
        <f t="shared" si="844"/>
        <v>0</v>
      </c>
      <c r="AM989" s="686">
        <f t="shared" si="844"/>
        <v>0</v>
      </c>
      <c r="AN989" s="686">
        <f t="shared" si="844"/>
        <v>0</v>
      </c>
      <c r="AO989" s="686">
        <f t="shared" si="844"/>
        <v>0</v>
      </c>
      <c r="AP989" s="686">
        <f t="shared" si="844"/>
        <v>0</v>
      </c>
      <c r="AQ989" s="686">
        <f t="shared" si="844"/>
        <v>0</v>
      </c>
      <c r="AR989" s="686">
        <f t="shared" si="844"/>
        <v>0</v>
      </c>
      <c r="AS989" s="686">
        <f t="shared" si="844"/>
        <v>0</v>
      </c>
      <c r="AT989" s="686">
        <f t="shared" si="844"/>
        <v>0</v>
      </c>
      <c r="AU989" s="686">
        <f t="shared" si="844"/>
        <v>0</v>
      </c>
      <c r="AV989" s="686">
        <f t="shared" si="844"/>
        <v>0</v>
      </c>
      <c r="AW989" s="686">
        <f t="shared" si="844"/>
        <v>0</v>
      </c>
      <c r="AX989" s="686">
        <f t="shared" si="844"/>
        <v>0</v>
      </c>
      <c r="AY989" s="686">
        <f t="shared" si="844"/>
        <v>0</v>
      </c>
      <c r="AZ989" s="686">
        <f t="shared" si="844"/>
        <v>0</v>
      </c>
      <c r="BA989" s="686">
        <f t="shared" si="844"/>
        <v>0</v>
      </c>
      <c r="BB989" s="686">
        <f t="shared" si="844"/>
        <v>0</v>
      </c>
      <c r="BC989" s="686">
        <f t="shared" si="844"/>
        <v>0</v>
      </c>
      <c r="BD989" s="686">
        <f t="shared" si="844"/>
        <v>0</v>
      </c>
      <c r="BE989" s="686">
        <f t="shared" si="844"/>
        <v>0</v>
      </c>
      <c r="BF989" s="686">
        <f t="shared" si="844"/>
        <v>0</v>
      </c>
      <c r="BG989" s="686">
        <f t="shared" si="844"/>
        <v>0</v>
      </c>
      <c r="BH989" s="686">
        <f t="shared" si="844"/>
        <v>0</v>
      </c>
      <c r="BI989" s="686">
        <f t="shared" si="844"/>
        <v>0</v>
      </c>
      <c r="BJ989" s="687">
        <f>ROUND(BJ955-BJ987,6)</f>
        <v>0</v>
      </c>
      <c r="BK989" s="686">
        <f t="shared" ca="1" si="844"/>
        <v>0</v>
      </c>
      <c r="BL989" s="686">
        <f t="shared" ca="1" si="844"/>
        <v>0</v>
      </c>
      <c r="BM989" s="686">
        <f t="shared" ca="1" si="844"/>
        <v>0</v>
      </c>
      <c r="BN989" s="686">
        <f t="shared" ca="1" si="844"/>
        <v>0</v>
      </c>
      <c r="BO989" s="686">
        <f t="shared" ca="1" si="844"/>
        <v>0</v>
      </c>
      <c r="BP989" s="686">
        <f t="shared" ca="1" si="844"/>
        <v>0</v>
      </c>
      <c r="BQ989" s="686">
        <f t="shared" ca="1" si="844"/>
        <v>0</v>
      </c>
      <c r="BR989" s="686">
        <f t="shared" ca="1" si="844"/>
        <v>0</v>
      </c>
      <c r="BS989" s="686">
        <f t="shared" ca="1" si="844"/>
        <v>0</v>
      </c>
      <c r="BT989" s="686">
        <f t="shared" ca="1" si="844"/>
        <v>0</v>
      </c>
      <c r="BU989" s="686">
        <f t="shared" ca="1" si="844"/>
        <v>0</v>
      </c>
      <c r="BV989" s="686">
        <f t="shared" ref="BV989:CC989" ca="1" si="845">ROUND(BV955-BV987,6)</f>
        <v>0</v>
      </c>
      <c r="BW989" s="122"/>
    </row>
    <row r="990" spans="1:75" x14ac:dyDescent="0.5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  <c r="AH990" s="118"/>
      <c r="AI990" s="118"/>
      <c r="AJ990" s="118"/>
      <c r="AK990" s="118"/>
      <c r="AL990" s="118"/>
      <c r="AM990" s="118"/>
      <c r="AN990" s="118"/>
      <c r="AO990" s="118"/>
      <c r="AP990" s="118"/>
      <c r="AQ990" s="118"/>
      <c r="AR990" s="118"/>
      <c r="AS990" s="118"/>
      <c r="AT990" s="118"/>
      <c r="AU990" s="118"/>
      <c r="AV990" s="118"/>
      <c r="AW990" s="118"/>
      <c r="AX990" s="118"/>
      <c r="AY990" s="118"/>
      <c r="AZ990" s="118"/>
      <c r="BA990" s="118"/>
      <c r="BB990" s="118"/>
      <c r="BC990" s="118"/>
      <c r="BD990" s="118"/>
      <c r="BE990" s="118"/>
      <c r="BF990" s="118"/>
      <c r="BG990" s="118"/>
      <c r="BH990" s="118"/>
      <c r="BI990" s="118"/>
      <c r="BJ990" s="971"/>
      <c r="BK990" s="118"/>
      <c r="BL990" s="118"/>
      <c r="BM990" s="118"/>
      <c r="BN990" s="118"/>
      <c r="BO990" s="118"/>
      <c r="BP990" s="118"/>
      <c r="BQ990" s="118"/>
      <c r="BR990" s="118"/>
      <c r="BS990" s="118"/>
      <c r="BT990" s="118"/>
      <c r="BU990" s="118"/>
      <c r="BV990" s="118"/>
      <c r="BW990" s="122"/>
    </row>
    <row r="991" spans="1:75" x14ac:dyDescent="0.5">
      <c r="A991" s="511" t="s">
        <v>1550</v>
      </c>
      <c r="B991" s="511"/>
      <c r="C991" s="511"/>
      <c r="D991" s="511"/>
      <c r="E991" s="511"/>
      <c r="F991" s="511"/>
      <c r="G991" s="511"/>
      <c r="H991" s="511"/>
      <c r="I991" s="511"/>
      <c r="J991" s="511"/>
      <c r="K991" s="511"/>
      <c r="L991" s="511"/>
      <c r="M991" s="511"/>
      <c r="N991" s="511"/>
      <c r="O991" s="511"/>
      <c r="P991" s="511"/>
      <c r="Q991" s="511"/>
      <c r="R991" s="511"/>
      <c r="S991" s="511"/>
      <c r="T991" s="511"/>
      <c r="U991" s="511"/>
      <c r="V991" s="511"/>
      <c r="W991" s="511"/>
      <c r="X991" s="511"/>
      <c r="Y991" s="511"/>
      <c r="Z991" s="511"/>
      <c r="AA991" s="511"/>
      <c r="AB991" s="511"/>
      <c r="AC991" s="511"/>
      <c r="AD991" s="511"/>
      <c r="AE991" s="511"/>
      <c r="AF991" s="511"/>
      <c r="AG991" s="511"/>
      <c r="AH991" s="511"/>
      <c r="AI991" s="511"/>
      <c r="AJ991" s="511"/>
      <c r="AK991" s="511"/>
      <c r="AL991" s="511"/>
      <c r="AM991" s="511"/>
      <c r="AN991" s="511"/>
      <c r="AO991" s="511"/>
      <c r="AP991" s="511"/>
      <c r="AQ991" s="511"/>
      <c r="AR991" s="511"/>
      <c r="AS991" s="511"/>
      <c r="AT991" s="511"/>
      <c r="AU991" s="511"/>
      <c r="AV991" s="511"/>
      <c r="AW991" s="511"/>
      <c r="AX991" s="511"/>
      <c r="AY991" s="511"/>
      <c r="AZ991" s="511"/>
      <c r="BA991" s="511"/>
      <c r="BB991" s="511"/>
      <c r="BC991" s="511"/>
      <c r="BD991" s="511"/>
      <c r="BE991" s="511"/>
      <c r="BF991" s="511"/>
      <c r="BG991" s="511"/>
      <c r="BH991" s="511"/>
      <c r="BI991" s="511"/>
      <c r="BJ991" s="512"/>
      <c r="BK991" s="511"/>
      <c r="BL991" s="511"/>
      <c r="BM991" s="511"/>
      <c r="BN991" s="511"/>
      <c r="BO991" s="511"/>
      <c r="BP991" s="511"/>
      <c r="BQ991" s="511"/>
      <c r="BR991" s="511"/>
      <c r="BS991" s="511"/>
      <c r="BT991" s="511"/>
      <c r="BU991" s="511"/>
      <c r="BV991" s="511"/>
      <c r="BW991" s="197"/>
    </row>
    <row r="992" spans="1:75" x14ac:dyDescent="0.5">
      <c r="A992" s="122" t="s">
        <v>1551</v>
      </c>
      <c r="B992" s="187"/>
      <c r="C992" s="686"/>
      <c r="D992" s="686"/>
      <c r="E992" s="686"/>
      <c r="F992" s="686">
        <f t="shared" ref="F992:AK992" si="846">IF(ISBLANK(INDEX(MO_IS_FirstRow,0,COLUMN())),0,ROUND(F836-F255,6))</f>
        <v>0</v>
      </c>
      <c r="G992" s="686">
        <f t="shared" si="846"/>
        <v>0</v>
      </c>
      <c r="H992" s="686">
        <f t="shared" si="846"/>
        <v>0</v>
      </c>
      <c r="I992" s="686">
        <f t="shared" si="846"/>
        <v>0</v>
      </c>
      <c r="J992" s="686">
        <f t="shared" si="846"/>
        <v>0</v>
      </c>
      <c r="K992" s="686">
        <f t="shared" si="846"/>
        <v>0</v>
      </c>
      <c r="L992" s="686">
        <f t="shared" si="846"/>
        <v>0</v>
      </c>
      <c r="M992" s="686">
        <f t="shared" si="846"/>
        <v>0</v>
      </c>
      <c r="N992" s="686">
        <f t="shared" si="846"/>
        <v>0</v>
      </c>
      <c r="O992" s="686">
        <f t="shared" si="846"/>
        <v>0</v>
      </c>
      <c r="P992" s="686">
        <f t="shared" si="846"/>
        <v>0</v>
      </c>
      <c r="Q992" s="686">
        <f t="shared" si="846"/>
        <v>0</v>
      </c>
      <c r="R992" s="686">
        <f t="shared" si="846"/>
        <v>0</v>
      </c>
      <c r="S992" s="686">
        <f t="shared" si="846"/>
        <v>0</v>
      </c>
      <c r="T992" s="686">
        <f t="shared" si="846"/>
        <v>0</v>
      </c>
      <c r="U992" s="686">
        <f t="shared" si="846"/>
        <v>0</v>
      </c>
      <c r="V992" s="686">
        <f t="shared" si="846"/>
        <v>0</v>
      </c>
      <c r="W992" s="686">
        <f t="shared" si="846"/>
        <v>0</v>
      </c>
      <c r="X992" s="686">
        <f t="shared" si="846"/>
        <v>0</v>
      </c>
      <c r="Y992" s="686">
        <f t="shared" si="846"/>
        <v>0</v>
      </c>
      <c r="Z992" s="686">
        <f t="shared" si="846"/>
        <v>0</v>
      </c>
      <c r="AA992" s="686">
        <f t="shared" si="846"/>
        <v>0</v>
      </c>
      <c r="AB992" s="686">
        <f t="shared" si="846"/>
        <v>0</v>
      </c>
      <c r="AC992" s="686">
        <f t="shared" si="846"/>
        <v>0</v>
      </c>
      <c r="AD992" s="686">
        <f t="shared" si="846"/>
        <v>0</v>
      </c>
      <c r="AE992" s="686">
        <f t="shared" si="846"/>
        <v>0</v>
      </c>
      <c r="AF992" s="686">
        <f t="shared" si="846"/>
        <v>0</v>
      </c>
      <c r="AG992" s="686">
        <f t="shared" si="846"/>
        <v>0</v>
      </c>
      <c r="AH992" s="686">
        <f t="shared" si="846"/>
        <v>0</v>
      </c>
      <c r="AI992" s="686">
        <f t="shared" si="846"/>
        <v>0</v>
      </c>
      <c r="AJ992" s="686">
        <f t="shared" si="846"/>
        <v>0</v>
      </c>
      <c r="AK992" s="686">
        <f t="shared" si="846"/>
        <v>0</v>
      </c>
      <c r="AL992" s="686">
        <f t="shared" ref="AL992:BV992" si="847">IF(ISBLANK(INDEX(MO_IS_FirstRow,0,COLUMN())),0,ROUND(AL836-AL255,6))</f>
        <v>0</v>
      </c>
      <c r="AM992" s="686">
        <f t="shared" si="847"/>
        <v>0</v>
      </c>
      <c r="AN992" s="686">
        <f t="shared" si="847"/>
        <v>0</v>
      </c>
      <c r="AO992" s="686">
        <f t="shared" si="847"/>
        <v>0</v>
      </c>
      <c r="AP992" s="686">
        <f t="shared" si="847"/>
        <v>0</v>
      </c>
      <c r="AQ992" s="686">
        <f t="shared" si="847"/>
        <v>0</v>
      </c>
      <c r="AR992" s="686">
        <f t="shared" si="847"/>
        <v>0</v>
      </c>
      <c r="AS992" s="686">
        <f t="shared" si="847"/>
        <v>0</v>
      </c>
      <c r="AT992" s="686">
        <f t="shared" si="847"/>
        <v>0</v>
      </c>
      <c r="AU992" s="686">
        <f t="shared" si="847"/>
        <v>0</v>
      </c>
      <c r="AV992" s="686">
        <f t="shared" si="847"/>
        <v>0</v>
      </c>
      <c r="AW992" s="686">
        <f t="shared" si="847"/>
        <v>0</v>
      </c>
      <c r="AX992" s="686">
        <f t="shared" si="847"/>
        <v>0.21199999999999999</v>
      </c>
      <c r="AY992" s="686">
        <f t="shared" si="847"/>
        <v>0</v>
      </c>
      <c r="AZ992" s="686">
        <f t="shared" si="847"/>
        <v>0</v>
      </c>
      <c r="BA992" s="686">
        <f t="shared" si="847"/>
        <v>0</v>
      </c>
      <c r="BB992" s="686">
        <f t="shared" si="847"/>
        <v>0</v>
      </c>
      <c r="BC992" s="686">
        <f t="shared" si="847"/>
        <v>0</v>
      </c>
      <c r="BD992" s="686">
        <f t="shared" si="847"/>
        <v>0</v>
      </c>
      <c r="BE992" s="686">
        <f t="shared" si="847"/>
        <v>0</v>
      </c>
      <c r="BF992" s="686">
        <f t="shared" si="847"/>
        <v>0</v>
      </c>
      <c r="BG992" s="686">
        <f t="shared" si="847"/>
        <v>0</v>
      </c>
      <c r="BH992" s="686">
        <f t="shared" si="847"/>
        <v>0</v>
      </c>
      <c r="BI992" s="686">
        <f t="shared" si="847"/>
        <v>0</v>
      </c>
      <c r="BJ992" s="687">
        <f t="shared" si="847"/>
        <v>0</v>
      </c>
      <c r="BK992" s="686">
        <f t="shared" si="847"/>
        <v>0</v>
      </c>
      <c r="BL992" s="686">
        <f t="shared" si="847"/>
        <v>0</v>
      </c>
      <c r="BM992" s="686">
        <f t="shared" si="847"/>
        <v>0</v>
      </c>
      <c r="BN992" s="686">
        <f t="shared" si="847"/>
        <v>0</v>
      </c>
      <c r="BO992" s="686">
        <f t="shared" si="847"/>
        <v>0</v>
      </c>
      <c r="BP992" s="686">
        <f t="shared" si="847"/>
        <v>0</v>
      </c>
      <c r="BQ992" s="686">
        <f t="shared" si="847"/>
        <v>0</v>
      </c>
      <c r="BR992" s="686">
        <f t="shared" si="847"/>
        <v>0</v>
      </c>
      <c r="BS992" s="686">
        <f t="shared" si="847"/>
        <v>0</v>
      </c>
      <c r="BT992" s="686">
        <f t="shared" si="847"/>
        <v>0</v>
      </c>
      <c r="BU992" s="686">
        <f t="shared" si="847"/>
        <v>0</v>
      </c>
      <c r="BV992" s="686">
        <f t="shared" si="847"/>
        <v>0</v>
      </c>
      <c r="BW992" s="122"/>
    </row>
    <row r="993" spans="1:75" x14ac:dyDescent="0.5">
      <c r="A993" s="122" t="s">
        <v>1552</v>
      </c>
      <c r="B993" s="187"/>
      <c r="C993" s="686"/>
      <c r="D993" s="686"/>
      <c r="E993" s="686"/>
      <c r="F993" s="686">
        <f t="shared" ref="F993:AK993" si="848">IF(ISBLANK(INDEX(MO_IS_FirstRow,0,COLUMN())),0,ROUND(F193-F259+F260,6))</f>
        <v>0</v>
      </c>
      <c r="G993" s="686">
        <f t="shared" si="848"/>
        <v>0</v>
      </c>
      <c r="H993" s="686">
        <f t="shared" si="848"/>
        <v>0</v>
      </c>
      <c r="I993" s="686">
        <f t="shared" si="848"/>
        <v>0</v>
      </c>
      <c r="J993" s="686">
        <f t="shared" si="848"/>
        <v>0</v>
      </c>
      <c r="K993" s="686">
        <f t="shared" si="848"/>
        <v>0</v>
      </c>
      <c r="L993" s="686">
        <f t="shared" si="848"/>
        <v>0</v>
      </c>
      <c r="M993" s="686">
        <f t="shared" si="848"/>
        <v>0</v>
      </c>
      <c r="N993" s="686">
        <f t="shared" si="848"/>
        <v>0</v>
      </c>
      <c r="O993" s="686">
        <f t="shared" si="848"/>
        <v>0</v>
      </c>
      <c r="P993" s="686">
        <f t="shared" si="848"/>
        <v>0</v>
      </c>
      <c r="Q993" s="686">
        <f t="shared" si="848"/>
        <v>0</v>
      </c>
      <c r="R993" s="686">
        <f t="shared" si="848"/>
        <v>0</v>
      </c>
      <c r="S993" s="686">
        <f t="shared" si="848"/>
        <v>0</v>
      </c>
      <c r="T993" s="686">
        <f t="shared" si="848"/>
        <v>0</v>
      </c>
      <c r="U993" s="686">
        <f t="shared" si="848"/>
        <v>0</v>
      </c>
      <c r="V993" s="686">
        <f t="shared" si="848"/>
        <v>0</v>
      </c>
      <c r="W993" s="686">
        <f t="shared" si="848"/>
        <v>0</v>
      </c>
      <c r="X993" s="686">
        <f t="shared" si="848"/>
        <v>0</v>
      </c>
      <c r="Y993" s="686">
        <f t="shared" si="848"/>
        <v>0</v>
      </c>
      <c r="Z993" s="686">
        <f t="shared" si="848"/>
        <v>0</v>
      </c>
      <c r="AA993" s="686">
        <f t="shared" si="848"/>
        <v>0</v>
      </c>
      <c r="AB993" s="686">
        <f t="shared" si="848"/>
        <v>0</v>
      </c>
      <c r="AC993" s="686">
        <f t="shared" si="848"/>
        <v>0</v>
      </c>
      <c r="AD993" s="686">
        <f t="shared" si="848"/>
        <v>0</v>
      </c>
      <c r="AE993" s="686">
        <f t="shared" si="848"/>
        <v>0</v>
      </c>
      <c r="AF993" s="686">
        <f t="shared" si="848"/>
        <v>0</v>
      </c>
      <c r="AG993" s="686">
        <f t="shared" si="848"/>
        <v>0</v>
      </c>
      <c r="AH993" s="686">
        <f t="shared" si="848"/>
        <v>0</v>
      </c>
      <c r="AI993" s="686">
        <f t="shared" si="848"/>
        <v>0</v>
      </c>
      <c r="AJ993" s="686">
        <f t="shared" si="848"/>
        <v>0</v>
      </c>
      <c r="AK993" s="686">
        <f t="shared" si="848"/>
        <v>0</v>
      </c>
      <c r="AL993" s="686">
        <f t="shared" ref="AL993:BV993" si="849">IF(ISBLANK(INDEX(MO_IS_FirstRow,0,COLUMN())),0,ROUND(AL193-AL259+AL260,6))</f>
        <v>0</v>
      </c>
      <c r="AM993" s="686">
        <f t="shared" si="849"/>
        <v>0</v>
      </c>
      <c r="AN993" s="686">
        <f t="shared" si="849"/>
        <v>0</v>
      </c>
      <c r="AO993" s="686">
        <f t="shared" si="849"/>
        <v>0</v>
      </c>
      <c r="AP993" s="686">
        <f t="shared" si="849"/>
        <v>0</v>
      </c>
      <c r="AQ993" s="686">
        <f t="shared" si="849"/>
        <v>0</v>
      </c>
      <c r="AR993" s="686">
        <f t="shared" si="849"/>
        <v>0</v>
      </c>
      <c r="AS993" s="686">
        <f t="shared" si="849"/>
        <v>0</v>
      </c>
      <c r="AT993" s="686">
        <f t="shared" si="849"/>
        <v>0</v>
      </c>
      <c r="AU993" s="686">
        <f t="shared" si="849"/>
        <v>0</v>
      </c>
      <c r="AV993" s="686">
        <f t="shared" si="849"/>
        <v>0</v>
      </c>
      <c r="AW993" s="686">
        <f t="shared" si="849"/>
        <v>0</v>
      </c>
      <c r="AX993" s="686">
        <f t="shared" si="849"/>
        <v>0</v>
      </c>
      <c r="AY993" s="686">
        <f t="shared" si="849"/>
        <v>0</v>
      </c>
      <c r="AZ993" s="686">
        <f t="shared" si="849"/>
        <v>0</v>
      </c>
      <c r="BA993" s="686">
        <f t="shared" si="849"/>
        <v>0</v>
      </c>
      <c r="BB993" s="686">
        <f t="shared" si="849"/>
        <v>0</v>
      </c>
      <c r="BC993" s="686">
        <f t="shared" si="849"/>
        <v>0</v>
      </c>
      <c r="BD993" s="686">
        <f t="shared" si="849"/>
        <v>0</v>
      </c>
      <c r="BE993" s="686">
        <f t="shared" si="849"/>
        <v>0</v>
      </c>
      <c r="BF993" s="686">
        <f t="shared" si="849"/>
        <v>0</v>
      </c>
      <c r="BG993" s="686">
        <f t="shared" si="849"/>
        <v>0</v>
      </c>
      <c r="BH993" s="686">
        <f t="shared" si="849"/>
        <v>0</v>
      </c>
      <c r="BI993" s="686">
        <f t="shared" si="849"/>
        <v>0</v>
      </c>
      <c r="BJ993" s="687">
        <f t="shared" si="849"/>
        <v>0</v>
      </c>
      <c r="BK993" s="686">
        <f t="shared" si="849"/>
        <v>0</v>
      </c>
      <c r="BL993" s="686">
        <f t="shared" si="849"/>
        <v>0</v>
      </c>
      <c r="BM993" s="686">
        <f t="shared" si="849"/>
        <v>0</v>
      </c>
      <c r="BN993" s="686">
        <f t="shared" si="849"/>
        <v>0</v>
      </c>
      <c r="BO993" s="686">
        <f t="shared" si="849"/>
        <v>0</v>
      </c>
      <c r="BP993" s="686">
        <f t="shared" si="849"/>
        <v>0</v>
      </c>
      <c r="BQ993" s="686">
        <f t="shared" si="849"/>
        <v>0</v>
      </c>
      <c r="BR993" s="686">
        <f t="shared" si="849"/>
        <v>0</v>
      </c>
      <c r="BS993" s="686">
        <f t="shared" si="849"/>
        <v>0</v>
      </c>
      <c r="BT993" s="686">
        <f t="shared" si="849"/>
        <v>0</v>
      </c>
      <c r="BU993" s="686">
        <f t="shared" si="849"/>
        <v>0</v>
      </c>
      <c r="BV993" s="686">
        <f t="shared" si="849"/>
        <v>0</v>
      </c>
      <c r="BW993" s="122"/>
    </row>
    <row r="994" spans="1:75" x14ac:dyDescent="0.5">
      <c r="A994" s="122" t="s">
        <v>1553</v>
      </c>
      <c r="B994" s="187"/>
      <c r="C994" s="686"/>
      <c r="D994" s="686"/>
      <c r="E994" s="686"/>
      <c r="F994" s="686">
        <f t="shared" ref="F994:BQ994" si="850">IF(F728&lt;0,F728,0)</f>
        <v>0</v>
      </c>
      <c r="G994" s="686">
        <f t="shared" si="850"/>
        <v>0</v>
      </c>
      <c r="H994" s="686">
        <f t="shared" si="850"/>
        <v>0</v>
      </c>
      <c r="I994" s="686">
        <f t="shared" si="850"/>
        <v>0</v>
      </c>
      <c r="J994" s="686">
        <f t="shared" si="850"/>
        <v>0</v>
      </c>
      <c r="K994" s="686">
        <f t="shared" si="850"/>
        <v>0</v>
      </c>
      <c r="L994" s="686">
        <f t="shared" si="850"/>
        <v>0</v>
      </c>
      <c r="M994" s="686">
        <f t="shared" si="850"/>
        <v>0</v>
      </c>
      <c r="N994" s="686">
        <f t="shared" si="850"/>
        <v>0</v>
      </c>
      <c r="O994" s="686">
        <f t="shared" si="850"/>
        <v>0</v>
      </c>
      <c r="P994" s="686">
        <f t="shared" si="850"/>
        <v>0</v>
      </c>
      <c r="Q994" s="686">
        <f t="shared" si="850"/>
        <v>0</v>
      </c>
      <c r="R994" s="686">
        <f t="shared" si="850"/>
        <v>0</v>
      </c>
      <c r="S994" s="686">
        <f t="shared" si="850"/>
        <v>0</v>
      </c>
      <c r="T994" s="686">
        <f t="shared" si="850"/>
        <v>0</v>
      </c>
      <c r="U994" s="686">
        <f t="shared" si="850"/>
        <v>0</v>
      </c>
      <c r="V994" s="686">
        <f t="shared" si="850"/>
        <v>0</v>
      </c>
      <c r="W994" s="686">
        <f t="shared" si="850"/>
        <v>0</v>
      </c>
      <c r="X994" s="686">
        <f t="shared" si="850"/>
        <v>0</v>
      </c>
      <c r="Y994" s="686">
        <f t="shared" si="850"/>
        <v>0</v>
      </c>
      <c r="Z994" s="686">
        <f t="shared" si="850"/>
        <v>0</v>
      </c>
      <c r="AA994" s="686">
        <f t="shared" si="850"/>
        <v>0</v>
      </c>
      <c r="AB994" s="686">
        <f t="shared" si="850"/>
        <v>0</v>
      </c>
      <c r="AC994" s="686">
        <f t="shared" si="850"/>
        <v>0</v>
      </c>
      <c r="AD994" s="686">
        <f t="shared" si="850"/>
        <v>0</v>
      </c>
      <c r="AE994" s="686">
        <f t="shared" si="850"/>
        <v>0</v>
      </c>
      <c r="AF994" s="686">
        <f t="shared" si="850"/>
        <v>0</v>
      </c>
      <c r="AG994" s="686">
        <f t="shared" si="850"/>
        <v>0</v>
      </c>
      <c r="AH994" s="686">
        <f t="shared" si="850"/>
        <v>0</v>
      </c>
      <c r="AI994" s="686">
        <f t="shared" si="850"/>
        <v>0</v>
      </c>
      <c r="AJ994" s="686">
        <f t="shared" si="850"/>
        <v>0</v>
      </c>
      <c r="AK994" s="686">
        <f t="shared" si="850"/>
        <v>0</v>
      </c>
      <c r="AL994" s="686">
        <f t="shared" si="850"/>
        <v>0</v>
      </c>
      <c r="AM994" s="686">
        <f t="shared" si="850"/>
        <v>0</v>
      </c>
      <c r="AN994" s="686">
        <f t="shared" si="850"/>
        <v>0</v>
      </c>
      <c r="AO994" s="686">
        <f t="shared" si="850"/>
        <v>0</v>
      </c>
      <c r="AP994" s="686">
        <f t="shared" si="850"/>
        <v>0</v>
      </c>
      <c r="AQ994" s="686">
        <f t="shared" si="850"/>
        <v>0</v>
      </c>
      <c r="AR994" s="686">
        <f t="shared" si="850"/>
        <v>0</v>
      </c>
      <c r="AS994" s="686">
        <f t="shared" si="850"/>
        <v>0</v>
      </c>
      <c r="AT994" s="686">
        <f t="shared" si="850"/>
        <v>0</v>
      </c>
      <c r="AU994" s="686">
        <f t="shared" si="850"/>
        <v>0</v>
      </c>
      <c r="AV994" s="686">
        <f t="shared" si="850"/>
        <v>0</v>
      </c>
      <c r="AW994" s="686">
        <f t="shared" si="850"/>
        <v>0</v>
      </c>
      <c r="AX994" s="686">
        <f t="shared" si="850"/>
        <v>0</v>
      </c>
      <c r="AY994" s="686">
        <f t="shared" si="850"/>
        <v>0</v>
      </c>
      <c r="AZ994" s="686">
        <f t="shared" si="850"/>
        <v>0</v>
      </c>
      <c r="BA994" s="686">
        <f t="shared" si="850"/>
        <v>0</v>
      </c>
      <c r="BB994" s="686">
        <f t="shared" si="850"/>
        <v>0</v>
      </c>
      <c r="BC994" s="686">
        <f t="shared" si="850"/>
        <v>0</v>
      </c>
      <c r="BD994" s="686">
        <f t="shared" si="850"/>
        <v>0</v>
      </c>
      <c r="BE994" s="686">
        <f t="shared" si="850"/>
        <v>0</v>
      </c>
      <c r="BF994" s="686">
        <f t="shared" si="850"/>
        <v>0</v>
      </c>
      <c r="BG994" s="686">
        <f t="shared" si="850"/>
        <v>0</v>
      </c>
      <c r="BH994" s="686">
        <f t="shared" si="850"/>
        <v>0</v>
      </c>
      <c r="BI994" s="686">
        <f t="shared" si="850"/>
        <v>0</v>
      </c>
      <c r="BJ994" s="687">
        <f>IF(BJ728&lt;0,BJ728,0)</f>
        <v>0</v>
      </c>
      <c r="BK994" s="686">
        <f t="shared" ca="1" si="850"/>
        <v>0</v>
      </c>
      <c r="BL994" s="686">
        <f t="shared" ca="1" si="850"/>
        <v>0</v>
      </c>
      <c r="BM994" s="686">
        <f t="shared" ca="1" si="850"/>
        <v>0</v>
      </c>
      <c r="BN994" s="686">
        <f t="shared" ca="1" si="850"/>
        <v>0</v>
      </c>
      <c r="BO994" s="686">
        <f t="shared" ca="1" si="850"/>
        <v>0</v>
      </c>
      <c r="BP994" s="686">
        <f t="shared" ca="1" si="850"/>
        <v>0</v>
      </c>
      <c r="BQ994" s="686">
        <f t="shared" ca="1" si="850"/>
        <v>0</v>
      </c>
      <c r="BR994" s="686">
        <f t="shared" ref="BR994:BY994" ca="1" si="851">IF(BR728&lt;0,BR728,0)</f>
        <v>0</v>
      </c>
      <c r="BS994" s="686">
        <f t="shared" ca="1" si="851"/>
        <v>0</v>
      </c>
      <c r="BT994" s="686">
        <f t="shared" ca="1" si="851"/>
        <v>0</v>
      </c>
      <c r="BU994" s="686">
        <f t="shared" ca="1" si="851"/>
        <v>0</v>
      </c>
      <c r="BV994" s="686">
        <f t="shared" ca="1" si="851"/>
        <v>0</v>
      </c>
      <c r="BW994" s="122"/>
    </row>
    <row r="995" spans="1:75" x14ac:dyDescent="0.5">
      <c r="A995" s="122" t="s">
        <v>1554</v>
      </c>
      <c r="B995" s="187"/>
      <c r="C995" s="686"/>
      <c r="D995" s="686"/>
      <c r="E995" s="686"/>
      <c r="F995" s="686">
        <f t="shared" ref="F995:BQ995" si="852">IF(F731&lt;0,F731,0)</f>
        <v>0</v>
      </c>
      <c r="G995" s="686">
        <f t="shared" si="852"/>
        <v>0</v>
      </c>
      <c r="H995" s="686">
        <f t="shared" si="852"/>
        <v>0</v>
      </c>
      <c r="I995" s="686">
        <f t="shared" si="852"/>
        <v>0</v>
      </c>
      <c r="J995" s="686">
        <f t="shared" si="852"/>
        <v>0</v>
      </c>
      <c r="K995" s="686">
        <f t="shared" si="852"/>
        <v>0</v>
      </c>
      <c r="L995" s="686">
        <f t="shared" si="852"/>
        <v>0</v>
      </c>
      <c r="M995" s="686">
        <f t="shared" si="852"/>
        <v>0</v>
      </c>
      <c r="N995" s="686">
        <f t="shared" si="852"/>
        <v>0</v>
      </c>
      <c r="O995" s="686">
        <f t="shared" si="852"/>
        <v>0</v>
      </c>
      <c r="P995" s="686">
        <f t="shared" si="852"/>
        <v>0</v>
      </c>
      <c r="Q995" s="686">
        <f t="shared" si="852"/>
        <v>0</v>
      </c>
      <c r="R995" s="686">
        <f t="shared" si="852"/>
        <v>0</v>
      </c>
      <c r="S995" s="686">
        <f t="shared" si="852"/>
        <v>0</v>
      </c>
      <c r="T995" s="686">
        <f t="shared" si="852"/>
        <v>0</v>
      </c>
      <c r="U995" s="686">
        <f t="shared" si="852"/>
        <v>0</v>
      </c>
      <c r="V995" s="686">
        <f t="shared" si="852"/>
        <v>0</v>
      </c>
      <c r="W995" s="686">
        <f t="shared" si="852"/>
        <v>0</v>
      </c>
      <c r="X995" s="686">
        <f t="shared" si="852"/>
        <v>0</v>
      </c>
      <c r="Y995" s="686">
        <f t="shared" si="852"/>
        <v>0</v>
      </c>
      <c r="Z995" s="686">
        <f t="shared" si="852"/>
        <v>0</v>
      </c>
      <c r="AA995" s="686">
        <f t="shared" si="852"/>
        <v>0</v>
      </c>
      <c r="AB995" s="686">
        <f t="shared" si="852"/>
        <v>0</v>
      </c>
      <c r="AC995" s="686">
        <f t="shared" si="852"/>
        <v>0</v>
      </c>
      <c r="AD995" s="686">
        <f t="shared" si="852"/>
        <v>0</v>
      </c>
      <c r="AE995" s="686">
        <f t="shared" si="852"/>
        <v>0</v>
      </c>
      <c r="AF995" s="686">
        <f t="shared" si="852"/>
        <v>0</v>
      </c>
      <c r="AG995" s="686">
        <f t="shared" si="852"/>
        <v>0</v>
      </c>
      <c r="AH995" s="686">
        <f t="shared" si="852"/>
        <v>0</v>
      </c>
      <c r="AI995" s="686">
        <f t="shared" si="852"/>
        <v>0</v>
      </c>
      <c r="AJ995" s="686">
        <f t="shared" si="852"/>
        <v>0</v>
      </c>
      <c r="AK995" s="686">
        <f t="shared" si="852"/>
        <v>0</v>
      </c>
      <c r="AL995" s="686">
        <f t="shared" si="852"/>
        <v>0</v>
      </c>
      <c r="AM995" s="686">
        <f t="shared" si="852"/>
        <v>0</v>
      </c>
      <c r="AN995" s="686">
        <f t="shared" si="852"/>
        <v>0</v>
      </c>
      <c r="AO995" s="686">
        <f t="shared" si="852"/>
        <v>0</v>
      </c>
      <c r="AP995" s="686">
        <f t="shared" si="852"/>
        <v>0</v>
      </c>
      <c r="AQ995" s="686">
        <f t="shared" si="852"/>
        <v>0</v>
      </c>
      <c r="AR995" s="686">
        <f t="shared" si="852"/>
        <v>0</v>
      </c>
      <c r="AS995" s="686">
        <f t="shared" si="852"/>
        <v>0</v>
      </c>
      <c r="AT995" s="686">
        <f t="shared" si="852"/>
        <v>0</v>
      </c>
      <c r="AU995" s="686">
        <f t="shared" si="852"/>
        <v>0</v>
      </c>
      <c r="AV995" s="686">
        <f t="shared" si="852"/>
        <v>0</v>
      </c>
      <c r="AW995" s="686">
        <f t="shared" si="852"/>
        <v>0</v>
      </c>
      <c r="AX995" s="686">
        <f t="shared" si="852"/>
        <v>0</v>
      </c>
      <c r="AY995" s="686">
        <f t="shared" si="852"/>
        <v>0</v>
      </c>
      <c r="AZ995" s="686">
        <f t="shared" si="852"/>
        <v>0</v>
      </c>
      <c r="BA995" s="686">
        <f t="shared" si="852"/>
        <v>0</v>
      </c>
      <c r="BB995" s="686">
        <f t="shared" si="852"/>
        <v>0</v>
      </c>
      <c r="BC995" s="686">
        <f t="shared" si="852"/>
        <v>0</v>
      </c>
      <c r="BD995" s="686">
        <f t="shared" si="852"/>
        <v>0</v>
      </c>
      <c r="BE995" s="686">
        <f t="shared" si="852"/>
        <v>0</v>
      </c>
      <c r="BF995" s="686">
        <f t="shared" si="852"/>
        <v>0</v>
      </c>
      <c r="BG995" s="686">
        <f t="shared" si="852"/>
        <v>0</v>
      </c>
      <c r="BH995" s="686">
        <f t="shared" si="852"/>
        <v>0</v>
      </c>
      <c r="BI995" s="686">
        <f t="shared" si="852"/>
        <v>0</v>
      </c>
      <c r="BJ995" s="687">
        <f>IF(BJ731&lt;0,BJ731,0)</f>
        <v>0</v>
      </c>
      <c r="BK995" s="686">
        <f t="shared" si="852"/>
        <v>0</v>
      </c>
      <c r="BL995" s="686">
        <f t="shared" si="852"/>
        <v>0</v>
      </c>
      <c r="BM995" s="686">
        <f t="shared" si="852"/>
        <v>0</v>
      </c>
      <c r="BN995" s="686">
        <f t="shared" si="852"/>
        <v>0</v>
      </c>
      <c r="BO995" s="686">
        <f t="shared" si="852"/>
        <v>0</v>
      </c>
      <c r="BP995" s="686">
        <f t="shared" si="852"/>
        <v>0</v>
      </c>
      <c r="BQ995" s="686">
        <f t="shared" si="852"/>
        <v>0</v>
      </c>
      <c r="BR995" s="686">
        <f t="shared" ref="BR995:BY995" si="853">IF(BR731&lt;0,BR731,0)</f>
        <v>0</v>
      </c>
      <c r="BS995" s="686">
        <f t="shared" si="853"/>
        <v>0</v>
      </c>
      <c r="BT995" s="686">
        <f t="shared" si="853"/>
        <v>0</v>
      </c>
      <c r="BU995" s="686">
        <f t="shared" si="853"/>
        <v>0</v>
      </c>
      <c r="BV995" s="686">
        <f t="shared" si="853"/>
        <v>0</v>
      </c>
      <c r="BW995" s="122"/>
    </row>
    <row r="996" spans="1:75" x14ac:dyDescent="0.5">
      <c r="A996" s="122" t="s">
        <v>1555</v>
      </c>
      <c r="B996" s="187"/>
      <c r="C996" s="686"/>
      <c r="D996" s="686"/>
      <c r="E996" s="686">
        <f t="shared" ref="E996:BP996" si="854">IF(ISBLANK(E32),0,ROUND(E227-E32,6))</f>
        <v>0</v>
      </c>
      <c r="F996" s="686">
        <f t="shared" si="854"/>
        <v>0</v>
      </c>
      <c r="G996" s="686">
        <f t="shared" si="854"/>
        <v>0</v>
      </c>
      <c r="H996" s="686">
        <f t="shared" si="854"/>
        <v>1E-3</v>
      </c>
      <c r="I996" s="686">
        <f t="shared" si="854"/>
        <v>0</v>
      </c>
      <c r="J996" s="686">
        <f t="shared" si="854"/>
        <v>-1E-3</v>
      </c>
      <c r="K996" s="686">
        <f t="shared" si="854"/>
        <v>0</v>
      </c>
      <c r="L996" s="686">
        <f t="shared" si="854"/>
        <v>0</v>
      </c>
      <c r="M996" s="686">
        <f t="shared" si="854"/>
        <v>0</v>
      </c>
      <c r="N996" s="686">
        <f t="shared" si="854"/>
        <v>0</v>
      </c>
      <c r="O996" s="686">
        <f t="shared" si="854"/>
        <v>0</v>
      </c>
      <c r="P996" s="686">
        <f t="shared" si="854"/>
        <v>0</v>
      </c>
      <c r="Q996" s="686">
        <f t="shared" si="854"/>
        <v>0</v>
      </c>
      <c r="R996" s="686">
        <f t="shared" si="854"/>
        <v>0</v>
      </c>
      <c r="S996" s="686">
        <f t="shared" si="854"/>
        <v>0</v>
      </c>
      <c r="T996" s="686">
        <f t="shared" si="854"/>
        <v>0</v>
      </c>
      <c r="U996" s="686">
        <f t="shared" si="854"/>
        <v>0</v>
      </c>
      <c r="V996" s="686">
        <f t="shared" si="854"/>
        <v>0</v>
      </c>
      <c r="W996" s="686">
        <f t="shared" si="854"/>
        <v>0</v>
      </c>
      <c r="X996" s="686">
        <f t="shared" si="854"/>
        <v>0</v>
      </c>
      <c r="Y996" s="686">
        <f t="shared" si="854"/>
        <v>0</v>
      </c>
      <c r="Z996" s="686">
        <f t="shared" si="854"/>
        <v>0</v>
      </c>
      <c r="AA996" s="686">
        <f t="shared" si="854"/>
        <v>0</v>
      </c>
      <c r="AB996" s="686">
        <f t="shared" si="854"/>
        <v>0</v>
      </c>
      <c r="AC996" s="686">
        <f t="shared" si="854"/>
        <v>0</v>
      </c>
      <c r="AD996" s="686">
        <f t="shared" si="854"/>
        <v>0</v>
      </c>
      <c r="AE996" s="686">
        <f t="shared" si="854"/>
        <v>0</v>
      </c>
      <c r="AF996" s="686">
        <f t="shared" si="854"/>
        <v>0</v>
      </c>
      <c r="AG996" s="686">
        <f t="shared" si="854"/>
        <v>0</v>
      </c>
      <c r="AH996" s="686">
        <f t="shared" si="854"/>
        <v>0</v>
      </c>
      <c r="AI996" s="686">
        <f t="shared" si="854"/>
        <v>0</v>
      </c>
      <c r="AJ996" s="686">
        <f t="shared" si="854"/>
        <v>0</v>
      </c>
      <c r="AK996" s="686">
        <f t="shared" si="854"/>
        <v>0</v>
      </c>
      <c r="AL996" s="686">
        <f t="shared" si="854"/>
        <v>0</v>
      </c>
      <c r="AM996" s="686">
        <f t="shared" si="854"/>
        <v>0</v>
      </c>
      <c r="AN996" s="686">
        <f t="shared" si="854"/>
        <v>0</v>
      </c>
      <c r="AO996" s="686">
        <f t="shared" si="854"/>
        <v>0</v>
      </c>
      <c r="AP996" s="686">
        <f t="shared" si="854"/>
        <v>0</v>
      </c>
      <c r="AQ996" s="686">
        <f t="shared" si="854"/>
        <v>0</v>
      </c>
      <c r="AR996" s="686">
        <f t="shared" si="854"/>
        <v>0</v>
      </c>
      <c r="AS996" s="686">
        <f t="shared" si="854"/>
        <v>0</v>
      </c>
      <c r="AT996" s="686">
        <f t="shared" si="854"/>
        <v>0</v>
      </c>
      <c r="AU996" s="686">
        <f t="shared" si="854"/>
        <v>0</v>
      </c>
      <c r="AV996" s="686">
        <f t="shared" si="854"/>
        <v>0</v>
      </c>
      <c r="AW996" s="686">
        <f t="shared" si="854"/>
        <v>0</v>
      </c>
      <c r="AX996" s="686">
        <f t="shared" si="854"/>
        <v>0</v>
      </c>
      <c r="AY996" s="686">
        <f t="shared" si="854"/>
        <v>0</v>
      </c>
      <c r="AZ996" s="686">
        <f t="shared" si="854"/>
        <v>0</v>
      </c>
      <c r="BA996" s="686">
        <f t="shared" si="854"/>
        <v>0</v>
      </c>
      <c r="BB996" s="686">
        <f t="shared" si="854"/>
        <v>0</v>
      </c>
      <c r="BC996" s="686">
        <f t="shared" si="854"/>
        <v>0</v>
      </c>
      <c r="BD996" s="686">
        <f t="shared" si="854"/>
        <v>0</v>
      </c>
      <c r="BE996" s="686">
        <f t="shared" si="854"/>
        <v>0</v>
      </c>
      <c r="BF996" s="686">
        <f t="shared" si="854"/>
        <v>0</v>
      </c>
      <c r="BG996" s="686">
        <f t="shared" si="854"/>
        <v>0</v>
      </c>
      <c r="BH996" s="686">
        <f t="shared" si="854"/>
        <v>0</v>
      </c>
      <c r="BI996" s="686">
        <f t="shared" si="854"/>
        <v>0</v>
      </c>
      <c r="BJ996" s="687">
        <f t="shared" si="854"/>
        <v>0</v>
      </c>
      <c r="BK996" s="686">
        <f t="shared" si="854"/>
        <v>0</v>
      </c>
      <c r="BL996" s="686">
        <f t="shared" si="854"/>
        <v>0</v>
      </c>
      <c r="BM996" s="686">
        <f t="shared" si="854"/>
        <v>0</v>
      </c>
      <c r="BN996" s="686">
        <f t="shared" si="854"/>
        <v>0</v>
      </c>
      <c r="BO996" s="686">
        <f t="shared" si="854"/>
        <v>0</v>
      </c>
      <c r="BP996" s="686">
        <f t="shared" si="854"/>
        <v>0</v>
      </c>
      <c r="BQ996" s="686">
        <f t="shared" ref="BQ996:BV996" si="855">IF(ISBLANK(BQ32),0,ROUND(BQ227-BQ32,6))</f>
        <v>0</v>
      </c>
      <c r="BR996" s="686">
        <f t="shared" si="855"/>
        <v>0</v>
      </c>
      <c r="BS996" s="686">
        <f t="shared" si="855"/>
        <v>0</v>
      </c>
      <c r="BT996" s="686">
        <f t="shared" si="855"/>
        <v>0</v>
      </c>
      <c r="BU996" s="686">
        <f t="shared" si="855"/>
        <v>0</v>
      </c>
      <c r="BV996" s="686">
        <f t="shared" si="855"/>
        <v>0</v>
      </c>
      <c r="BW996" s="122"/>
    </row>
    <row r="997" spans="1:75" x14ac:dyDescent="0.5">
      <c r="A997" s="122" t="s">
        <v>2696</v>
      </c>
      <c r="B997" s="187"/>
      <c r="C997" s="686"/>
      <c r="D997" s="686"/>
      <c r="E997" s="686">
        <f t="shared" ref="E997:BP997" si="856">IF(ISBLANK(E85),0,ROUND(E235-E85,6))</f>
        <v>0</v>
      </c>
      <c r="F997" s="686">
        <f t="shared" si="856"/>
        <v>0</v>
      </c>
      <c r="G997" s="686">
        <f t="shared" si="856"/>
        <v>0</v>
      </c>
      <c r="H997" s="686">
        <f t="shared" si="856"/>
        <v>0</v>
      </c>
      <c r="I997" s="686">
        <f t="shared" si="856"/>
        <v>0</v>
      </c>
      <c r="J997" s="686">
        <f t="shared" si="856"/>
        <v>0</v>
      </c>
      <c r="K997" s="686">
        <f t="shared" si="856"/>
        <v>0</v>
      </c>
      <c r="L997" s="686">
        <f t="shared" si="856"/>
        <v>0</v>
      </c>
      <c r="M997" s="686">
        <f t="shared" si="856"/>
        <v>0</v>
      </c>
      <c r="N997" s="686">
        <f t="shared" si="856"/>
        <v>0</v>
      </c>
      <c r="O997" s="686">
        <f t="shared" si="856"/>
        <v>0</v>
      </c>
      <c r="P997" s="686">
        <f t="shared" si="856"/>
        <v>0</v>
      </c>
      <c r="Q997" s="686">
        <f t="shared" si="856"/>
        <v>0</v>
      </c>
      <c r="R997" s="686">
        <f t="shared" si="856"/>
        <v>0</v>
      </c>
      <c r="S997" s="686">
        <f t="shared" si="856"/>
        <v>0</v>
      </c>
      <c r="T997" s="686">
        <f t="shared" si="856"/>
        <v>0</v>
      </c>
      <c r="U997" s="686">
        <f t="shared" si="856"/>
        <v>0</v>
      </c>
      <c r="V997" s="686">
        <f t="shared" si="856"/>
        <v>0</v>
      </c>
      <c r="W997" s="686">
        <f t="shared" si="856"/>
        <v>0</v>
      </c>
      <c r="X997" s="686">
        <f t="shared" si="856"/>
        <v>0</v>
      </c>
      <c r="Y997" s="686">
        <f t="shared" si="856"/>
        <v>0</v>
      </c>
      <c r="Z997" s="686">
        <f t="shared" si="856"/>
        <v>0</v>
      </c>
      <c r="AA997" s="686">
        <f t="shared" si="856"/>
        <v>0</v>
      </c>
      <c r="AB997" s="686">
        <f t="shared" si="856"/>
        <v>0</v>
      </c>
      <c r="AC997" s="686">
        <f t="shared" si="856"/>
        <v>0</v>
      </c>
      <c r="AD997" s="686">
        <f t="shared" si="856"/>
        <v>0</v>
      </c>
      <c r="AE997" s="686">
        <f t="shared" si="856"/>
        <v>0</v>
      </c>
      <c r="AF997" s="686">
        <f t="shared" si="856"/>
        <v>0</v>
      </c>
      <c r="AG997" s="686">
        <f t="shared" si="856"/>
        <v>0</v>
      </c>
      <c r="AH997" s="686">
        <f t="shared" si="856"/>
        <v>0</v>
      </c>
      <c r="AI997" s="686">
        <f t="shared" si="856"/>
        <v>0</v>
      </c>
      <c r="AJ997" s="686">
        <f t="shared" si="856"/>
        <v>0</v>
      </c>
      <c r="AK997" s="686">
        <f t="shared" si="856"/>
        <v>0</v>
      </c>
      <c r="AL997" s="686">
        <f t="shared" si="856"/>
        <v>0</v>
      </c>
      <c r="AM997" s="686">
        <f t="shared" si="856"/>
        <v>0</v>
      </c>
      <c r="AN997" s="686">
        <f t="shared" si="856"/>
        <v>0</v>
      </c>
      <c r="AO997" s="686">
        <f t="shared" si="856"/>
        <v>0</v>
      </c>
      <c r="AP997" s="686">
        <f t="shared" si="856"/>
        <v>0</v>
      </c>
      <c r="AQ997" s="686">
        <f t="shared" si="856"/>
        <v>0</v>
      </c>
      <c r="AR997" s="686">
        <f t="shared" si="856"/>
        <v>0</v>
      </c>
      <c r="AS997" s="686">
        <f t="shared" si="856"/>
        <v>0</v>
      </c>
      <c r="AT997" s="686">
        <f t="shared" si="856"/>
        <v>0</v>
      </c>
      <c r="AU997" s="686">
        <f t="shared" si="856"/>
        <v>0</v>
      </c>
      <c r="AV997" s="686">
        <f t="shared" si="856"/>
        <v>0</v>
      </c>
      <c r="AW997" s="686">
        <f t="shared" si="856"/>
        <v>0</v>
      </c>
      <c r="AX997" s="686">
        <f t="shared" si="856"/>
        <v>0</v>
      </c>
      <c r="AY997" s="686">
        <f t="shared" si="856"/>
        <v>0</v>
      </c>
      <c r="AZ997" s="686">
        <f t="shared" si="856"/>
        <v>0</v>
      </c>
      <c r="BA997" s="686">
        <f t="shared" si="856"/>
        <v>0</v>
      </c>
      <c r="BB997" s="686">
        <f t="shared" si="856"/>
        <v>0</v>
      </c>
      <c r="BC997" s="686">
        <f t="shared" si="856"/>
        <v>0</v>
      </c>
      <c r="BD997" s="686">
        <f t="shared" si="856"/>
        <v>0</v>
      </c>
      <c r="BE997" s="686">
        <f t="shared" si="856"/>
        <v>0</v>
      </c>
      <c r="BF997" s="686">
        <f t="shared" si="856"/>
        <v>0</v>
      </c>
      <c r="BG997" s="686">
        <f t="shared" si="856"/>
        <v>0</v>
      </c>
      <c r="BH997" s="686">
        <f t="shared" si="856"/>
        <v>0</v>
      </c>
      <c r="BI997" s="686">
        <f t="shared" si="856"/>
        <v>0</v>
      </c>
      <c r="BJ997" s="687">
        <f t="shared" si="856"/>
        <v>0</v>
      </c>
      <c r="BK997" s="686">
        <f t="shared" si="856"/>
        <v>0</v>
      </c>
      <c r="BL997" s="686">
        <f t="shared" si="856"/>
        <v>0</v>
      </c>
      <c r="BM997" s="686">
        <f t="shared" si="856"/>
        <v>0</v>
      </c>
      <c r="BN997" s="686">
        <f t="shared" si="856"/>
        <v>0</v>
      </c>
      <c r="BO997" s="686">
        <f t="shared" si="856"/>
        <v>0</v>
      </c>
      <c r="BP997" s="686">
        <f t="shared" si="856"/>
        <v>0</v>
      </c>
      <c r="BQ997" s="686">
        <f t="shared" ref="BQ997:BV997" si="857">IF(ISBLANK(BQ85),0,ROUND(BQ235-BQ85,6))</f>
        <v>0</v>
      </c>
      <c r="BR997" s="686">
        <f t="shared" si="857"/>
        <v>0</v>
      </c>
      <c r="BS997" s="686">
        <f t="shared" si="857"/>
        <v>0</v>
      </c>
      <c r="BT997" s="686">
        <f t="shared" si="857"/>
        <v>0</v>
      </c>
      <c r="BU997" s="686">
        <f t="shared" si="857"/>
        <v>0</v>
      </c>
      <c r="BV997" s="686">
        <f t="shared" si="857"/>
        <v>0</v>
      </c>
      <c r="BW997" s="122"/>
    </row>
    <row r="998" spans="1:75" x14ac:dyDescent="0.5">
      <c r="A998" s="122" t="s">
        <v>2697</v>
      </c>
      <c r="B998" s="187"/>
      <c r="C998" s="686"/>
      <c r="D998" s="686"/>
      <c r="E998" s="686">
        <f t="shared" ref="E998:BP998" si="858">IF(ISBLANK(E119),0,ROUND(E245-E119,6))</f>
        <v>0</v>
      </c>
      <c r="F998" s="686">
        <f t="shared" si="858"/>
        <v>0</v>
      </c>
      <c r="G998" s="686">
        <f t="shared" si="858"/>
        <v>0</v>
      </c>
      <c r="H998" s="686">
        <f t="shared" si="858"/>
        <v>0</v>
      </c>
      <c r="I998" s="686">
        <f t="shared" si="858"/>
        <v>0</v>
      </c>
      <c r="J998" s="686">
        <f t="shared" si="858"/>
        <v>0</v>
      </c>
      <c r="K998" s="686">
        <f t="shared" si="858"/>
        <v>0</v>
      </c>
      <c r="L998" s="686">
        <f t="shared" si="858"/>
        <v>0</v>
      </c>
      <c r="M998" s="686">
        <f t="shared" si="858"/>
        <v>0</v>
      </c>
      <c r="N998" s="686">
        <f t="shared" si="858"/>
        <v>0</v>
      </c>
      <c r="O998" s="686">
        <f t="shared" si="858"/>
        <v>0</v>
      </c>
      <c r="P998" s="686">
        <f t="shared" si="858"/>
        <v>0</v>
      </c>
      <c r="Q998" s="686">
        <f t="shared" si="858"/>
        <v>0</v>
      </c>
      <c r="R998" s="686">
        <f t="shared" si="858"/>
        <v>0</v>
      </c>
      <c r="S998" s="686">
        <f t="shared" si="858"/>
        <v>0</v>
      </c>
      <c r="T998" s="686">
        <f t="shared" si="858"/>
        <v>0</v>
      </c>
      <c r="U998" s="686">
        <f t="shared" si="858"/>
        <v>0</v>
      </c>
      <c r="V998" s="686">
        <f t="shared" si="858"/>
        <v>0</v>
      </c>
      <c r="W998" s="686">
        <f t="shared" si="858"/>
        <v>0</v>
      </c>
      <c r="X998" s="686">
        <f t="shared" si="858"/>
        <v>0</v>
      </c>
      <c r="Y998" s="686">
        <f t="shared" si="858"/>
        <v>0</v>
      </c>
      <c r="Z998" s="686">
        <f t="shared" si="858"/>
        <v>0</v>
      </c>
      <c r="AA998" s="686">
        <f t="shared" si="858"/>
        <v>0</v>
      </c>
      <c r="AB998" s="686">
        <f t="shared" si="858"/>
        <v>0</v>
      </c>
      <c r="AC998" s="686">
        <f t="shared" si="858"/>
        <v>0</v>
      </c>
      <c r="AD998" s="686">
        <f t="shared" si="858"/>
        <v>0</v>
      </c>
      <c r="AE998" s="686">
        <f t="shared" si="858"/>
        <v>0</v>
      </c>
      <c r="AF998" s="686">
        <f t="shared" si="858"/>
        <v>0</v>
      </c>
      <c r="AG998" s="686">
        <f t="shared" si="858"/>
        <v>0</v>
      </c>
      <c r="AH998" s="686">
        <f t="shared" si="858"/>
        <v>0</v>
      </c>
      <c r="AI998" s="686">
        <f t="shared" si="858"/>
        <v>0</v>
      </c>
      <c r="AJ998" s="686">
        <f t="shared" si="858"/>
        <v>0</v>
      </c>
      <c r="AK998" s="686">
        <f t="shared" si="858"/>
        <v>0</v>
      </c>
      <c r="AL998" s="686">
        <f t="shared" si="858"/>
        <v>0</v>
      </c>
      <c r="AM998" s="686">
        <f t="shared" si="858"/>
        <v>0</v>
      </c>
      <c r="AN998" s="686">
        <f t="shared" si="858"/>
        <v>0</v>
      </c>
      <c r="AO998" s="686">
        <f t="shared" si="858"/>
        <v>0</v>
      </c>
      <c r="AP998" s="686">
        <f t="shared" si="858"/>
        <v>0</v>
      </c>
      <c r="AQ998" s="686">
        <f t="shared" si="858"/>
        <v>0</v>
      </c>
      <c r="AR998" s="686">
        <f t="shared" si="858"/>
        <v>0</v>
      </c>
      <c r="AS998" s="686">
        <f t="shared" si="858"/>
        <v>0</v>
      </c>
      <c r="AT998" s="686">
        <f t="shared" si="858"/>
        <v>0</v>
      </c>
      <c r="AU998" s="686">
        <f t="shared" si="858"/>
        <v>0</v>
      </c>
      <c r="AV998" s="686">
        <f t="shared" si="858"/>
        <v>0</v>
      </c>
      <c r="AW998" s="686">
        <f t="shared" si="858"/>
        <v>0</v>
      </c>
      <c r="AX998" s="686">
        <f t="shared" si="858"/>
        <v>0</v>
      </c>
      <c r="AY998" s="686">
        <f t="shared" si="858"/>
        <v>0</v>
      </c>
      <c r="AZ998" s="686">
        <f t="shared" si="858"/>
        <v>0</v>
      </c>
      <c r="BA998" s="686">
        <f t="shared" si="858"/>
        <v>0</v>
      </c>
      <c r="BB998" s="686">
        <f t="shared" si="858"/>
        <v>0</v>
      </c>
      <c r="BC998" s="686">
        <f t="shared" si="858"/>
        <v>0</v>
      </c>
      <c r="BD998" s="686">
        <f t="shared" si="858"/>
        <v>0</v>
      </c>
      <c r="BE998" s="686">
        <f t="shared" si="858"/>
        <v>0</v>
      </c>
      <c r="BF998" s="686">
        <f t="shared" si="858"/>
        <v>0</v>
      </c>
      <c r="BG998" s="686">
        <f t="shared" si="858"/>
        <v>0</v>
      </c>
      <c r="BH998" s="686">
        <f t="shared" si="858"/>
        <v>0</v>
      </c>
      <c r="BI998" s="686">
        <f t="shared" si="858"/>
        <v>0</v>
      </c>
      <c r="BJ998" s="687">
        <f t="shared" si="858"/>
        <v>0</v>
      </c>
      <c r="BK998" s="686">
        <f t="shared" si="858"/>
        <v>0</v>
      </c>
      <c r="BL998" s="686">
        <f t="shared" si="858"/>
        <v>0</v>
      </c>
      <c r="BM998" s="686">
        <f t="shared" si="858"/>
        <v>0</v>
      </c>
      <c r="BN998" s="686">
        <f t="shared" si="858"/>
        <v>0</v>
      </c>
      <c r="BO998" s="686">
        <f t="shared" si="858"/>
        <v>0</v>
      </c>
      <c r="BP998" s="686">
        <f t="shared" si="858"/>
        <v>0</v>
      </c>
      <c r="BQ998" s="686">
        <f t="shared" ref="BQ998:BV998" si="859">IF(ISBLANK(BQ119),0,ROUND(BQ245-BQ119,6))</f>
        <v>0</v>
      </c>
      <c r="BR998" s="686">
        <f t="shared" si="859"/>
        <v>0</v>
      </c>
      <c r="BS998" s="686">
        <f t="shared" si="859"/>
        <v>0</v>
      </c>
      <c r="BT998" s="686">
        <f t="shared" si="859"/>
        <v>0</v>
      </c>
      <c r="BU998" s="686">
        <f t="shared" si="859"/>
        <v>0</v>
      </c>
      <c r="BV998" s="686">
        <f t="shared" si="859"/>
        <v>0</v>
      </c>
      <c r="BW998" s="122"/>
    </row>
    <row r="999" spans="1:75" x14ac:dyDescent="0.5">
      <c r="A999" s="122" t="s">
        <v>1562</v>
      </c>
      <c r="B999" s="187"/>
      <c r="C999" s="686"/>
      <c r="D999" s="686"/>
      <c r="E999" s="686"/>
      <c r="F999" s="686"/>
      <c r="G999" s="686"/>
      <c r="H999" s="686"/>
      <c r="I999" s="686"/>
      <c r="J999" s="686"/>
      <c r="K999" s="686">
        <f>IF(ISBLANK(INDEX(MO_IS_FirstRow,0,COLUMN())),0,IF(K887=F887,"CHECK",0))</f>
        <v>0</v>
      </c>
      <c r="L999" s="686">
        <f>IF(ISBLANK(INDEX(MO_IS_FirstRow,0,COLUMN())),0,IF(OR(L887=G887,L887=M887,L887=J887),"CHECK",0))</f>
        <v>0</v>
      </c>
      <c r="M999" s="686">
        <f>IF(ISBLANK(INDEX(MO_IS_FirstRow,0,COLUMN())),0,IF(OR(M887=H887,M887=N887,M887=L887),"CHECK",0))</f>
        <v>0</v>
      </c>
      <c r="N999" s="686">
        <f>IF(ISBLANK(INDEX(MO_IS_FirstRow,0,COLUMN())),0,IF(OR(N887=I887,N887=O887,N887=M887),"CHECK",0))</f>
        <v>0</v>
      </c>
      <c r="O999" s="686">
        <f>IF(ISBLANK(INDEX(MO_IS_FirstRow,0,COLUMN())),0,IF(OR(O887=J887,O887=P887,O887=N887),"CHECK",0))</f>
        <v>0</v>
      </c>
      <c r="P999" s="686">
        <f>IF(ISBLANK(INDEX(MO_IS_FirstRow,0,COLUMN())),0,IF(P887=K887,"CHECK",0))</f>
        <v>0</v>
      </c>
      <c r="Q999" s="686">
        <f>IF(ISBLANK(INDEX(MO_IS_FirstRow,0,COLUMN())),0,IF(OR(Q887=L887,Q887=R887,Q887=O887),"CHECK",0))</f>
        <v>0</v>
      </c>
      <c r="R999" s="686">
        <f>IF(ISBLANK(INDEX(MO_IS_FirstRow,0,COLUMN())),0,IF(OR(R887=M887,R887=S887,R887=Q887),"CHECK",0))</f>
        <v>0</v>
      </c>
      <c r="S999" s="686">
        <f>IF(ISBLANK(INDEX(MO_IS_FirstRow,0,COLUMN())),0,IF(OR(S887=N887,S887=T887,S887=R887),"CHECK",0))</f>
        <v>0</v>
      </c>
      <c r="T999" s="686">
        <f>IF(ISBLANK(INDEX(MO_IS_FirstRow,0,COLUMN())),0,IF(OR(T887=O887,T887=U887,T887=S887),"CHECK",0))</f>
        <v>0</v>
      </c>
      <c r="U999" s="686">
        <f>IF(ISBLANK(INDEX(MO_IS_FirstRow,0,COLUMN())),0,IF(U887=P887,"CHECK",0))</f>
        <v>0</v>
      </c>
      <c r="V999" s="686">
        <f>IF(ISBLANK(INDEX(MO_IS_FirstRow,0,COLUMN())),0,IF(OR(V887=Q887,V887=W887,V887=T887),"CHECK",0))</f>
        <v>0</v>
      </c>
      <c r="W999" s="686">
        <f>IF(ISBLANK(INDEX(MO_IS_FirstRow,0,COLUMN())),0,IF(OR(W887=R887,W887=X887,W887=V887),"CHECK",0))</f>
        <v>0</v>
      </c>
      <c r="X999" s="686">
        <f>IF(ISBLANK(INDEX(MO_IS_FirstRow,0,COLUMN())),0,IF(OR(X887=S887,X887=Y887,X887=W887),"CHECK",0))</f>
        <v>0</v>
      </c>
      <c r="Y999" s="686">
        <f>IF(ISBLANK(INDEX(MO_IS_FirstRow,0,COLUMN())),0,IF(OR(Y887=T887,Y887=Z887,Y887=X887),"CHECK",0))</f>
        <v>0</v>
      </c>
      <c r="Z999" s="686">
        <f>IF(ISBLANK(INDEX(MO_IS_FirstRow,0,COLUMN())),0,IF(Z887=U887,"CHECK",0))</f>
        <v>0</v>
      </c>
      <c r="AA999" s="686">
        <f>IF(ISBLANK(INDEX(MO_IS_FirstRow,0,COLUMN())),0,IF(OR(AA887=V887,AA887=AB887,AA887=Y887),"CHECK",0))</f>
        <v>0</v>
      </c>
      <c r="AB999" s="686">
        <f>IF(ISBLANK(INDEX(MO_IS_FirstRow,0,COLUMN())),0,IF(OR(AB887=W887,AB887=AC887,AB887=AA887),"CHECK",0))</f>
        <v>0</v>
      </c>
      <c r="AC999" s="686">
        <f>IF(ISBLANK(INDEX(MO_IS_FirstRow,0,COLUMN())),0,IF(OR(AC887=X887,AC887=AD887,AC887=AB887),"CHECK",0))</f>
        <v>0</v>
      </c>
      <c r="AD999" s="686">
        <f>IF(ISBLANK(INDEX(MO_IS_FirstRow,0,COLUMN())),0,IF(OR(AD887=Y887,AD887=AE887,AD887=AC887),"CHECK",0))</f>
        <v>0</v>
      </c>
      <c r="AE999" s="686">
        <f>IF(ISBLANK(INDEX(MO_IS_FirstRow,0,COLUMN())),0,IF(AE887=Z887,"CHECK",0))</f>
        <v>0</v>
      </c>
      <c r="AF999" s="686">
        <f>IF(ISBLANK(INDEX(MO_IS_FirstRow,0,COLUMN())),0,IF(OR(AF887=AA887,AF887=AG887,AF887=AD887),"CHECK",0))</f>
        <v>0</v>
      </c>
      <c r="AG999" s="686">
        <f>IF(ISBLANK(INDEX(MO_IS_FirstRow,0,COLUMN())),0,IF(OR(AG887=AB887,AG887=AH887,AG887=AF887),"CHECK",0))</f>
        <v>0</v>
      </c>
      <c r="AH999" s="686">
        <f>IF(ISBLANK(INDEX(MO_IS_FirstRow,0,COLUMN())),0,IF(OR(AH887=AC887,AH887=AI887,AH887=AG887),"CHECK",0))</f>
        <v>0</v>
      </c>
      <c r="AI999" s="686">
        <f>IF(ISBLANK(INDEX(MO_IS_FirstRow,0,COLUMN())),0,IF(OR(AI887=AD887,AI887=AJ887,AI887=AH887),"CHECK",0))</f>
        <v>0</v>
      </c>
      <c r="AJ999" s="686">
        <f>IF(ISBLANK(INDEX(MO_IS_FirstRow,0,COLUMN())),0,IF(AJ887=AE887,"CHECK",0))</f>
        <v>0</v>
      </c>
      <c r="AK999" s="686">
        <f>IF(ISBLANK(INDEX(MO_IS_FirstRow,0,COLUMN())),0,IF(OR(AK887=AF887,AK887=AL887,AK887=AI887),"CHECK",0))</f>
        <v>0</v>
      </c>
      <c r="AL999" s="686">
        <f>IF(ISBLANK(INDEX(MO_IS_FirstRow,0,COLUMN())),0,IF(OR(AL887=AG887,AL887=AM887,AL887=AK887),"CHECK",0))</f>
        <v>0</v>
      </c>
      <c r="AM999" s="686">
        <f>IF(ISBLANK(INDEX(MO_IS_FirstRow,0,COLUMN())),0,IF(OR(AM887=AH887,AM887=AN887,AM887=AL887),"CHECK",0))</f>
        <v>0</v>
      </c>
      <c r="AN999" s="686">
        <f>IF(ISBLANK(INDEX(MO_IS_FirstRow,0,COLUMN())),0,IF(OR(AN887=AI887,AN887=AO887,AN887=AM887),"CHECK",0))</f>
        <v>0</v>
      </c>
      <c r="AO999" s="686">
        <f>IF(ISBLANK(INDEX(MO_IS_FirstRow,0,COLUMN())),0,IF(AO887=AJ887,"CHECK",0))</f>
        <v>0</v>
      </c>
      <c r="AP999" s="686">
        <f>IF(ISBLANK(INDEX(MO_IS_FirstRow,0,COLUMN())),0,IF(OR(AP887=AK887,AP887=AQ887,AP887=AN887),"CHECK",0))</f>
        <v>0</v>
      </c>
      <c r="AQ999" s="686">
        <f>IF(ISBLANK(INDEX(MO_IS_FirstRow,0,COLUMN())),0,IF(OR(AQ887=AL887,AQ887=AR887,AQ887=AP887),"CHECK",0))</f>
        <v>0</v>
      </c>
      <c r="AR999" s="686">
        <f>IF(ISBLANK(INDEX(MO_IS_FirstRow,0,COLUMN())),0,IF(OR(AR887=AM887,AR887=AS887,AR887=AQ887),"CHECK",0))</f>
        <v>0</v>
      </c>
      <c r="AS999" s="686">
        <f>IF(ISBLANK(INDEX(MO_IS_FirstRow,0,COLUMN())),0,IF(OR(AS887=AN887,AS887=AT887,AS887=AR887),"CHECK",0))</f>
        <v>0</v>
      </c>
      <c r="AT999" s="686">
        <f>IF(ISBLANK(INDEX(MO_IS_FirstRow,0,COLUMN())),0,IF(AT887=AO887,"CHECK",0))</f>
        <v>0</v>
      </c>
      <c r="AU999" s="686">
        <f>IF(ISBLANK(INDEX(MO_IS_FirstRow,0,COLUMN())),0,IF(OR(AU887=AP887,AU887=AV887,AU887=AS887),"CHECK",0))</f>
        <v>0</v>
      </c>
      <c r="AV999" s="686">
        <f>IF(ISBLANK(INDEX(MO_IS_FirstRow,0,COLUMN())),0,IF(OR(AV887=AQ887,AV887=AW887,AV887=AU887),"CHECK",0))</f>
        <v>0</v>
      </c>
      <c r="AW999" s="686">
        <f>IF(ISBLANK(INDEX(MO_IS_FirstRow,0,COLUMN())),0,IF(OR(AW887=AR887,AW887=AX887,AW887=AV887),"CHECK",0))</f>
        <v>0</v>
      </c>
      <c r="AX999" s="686">
        <f>IF(ISBLANK(INDEX(MO_IS_FirstRow,0,COLUMN())),0,IF(OR(AX887=AS887,AX887=AY887,AX887=AW887),"CHECK",0))</f>
        <v>0</v>
      </c>
      <c r="AY999" s="686">
        <f>IF(ISBLANK(INDEX(MO_IS_FirstRow,0,COLUMN())),0,IF(AY887=AT887,"CHECK",0))</f>
        <v>0</v>
      </c>
      <c r="AZ999" s="686">
        <f>IF(ISBLANK(INDEX(MO_IS_FirstRow,0,COLUMN())),0,IF(OR(AZ887=AU887,AZ887=BA887,AZ887=AX887),"CHECK",0))</f>
        <v>0</v>
      </c>
      <c r="BA999" s="686">
        <f>IF(ISBLANK(INDEX(MO_IS_FirstRow,0,COLUMN())),0,IF(OR(BA887=AV887,BA887=BB887,BA887=AZ887),"CHECK",0))</f>
        <v>0</v>
      </c>
      <c r="BB999" s="686">
        <f>IF(ISBLANK(INDEX(MO_IS_FirstRow,0,COLUMN())),0,IF(OR(BB887=AW887,BB887=BC887,BB887=BA887),"CHECK",0))</f>
        <v>0</v>
      </c>
      <c r="BC999" s="686">
        <f>IF(ISBLANK(INDEX(MO_IS_FirstRow,0,COLUMN())),0,IF(OR(BC887=AX887,BC887=BD887,BC887=BB887),"CHECK",0))</f>
        <v>0</v>
      </c>
      <c r="BD999" s="686">
        <f>IF(ISBLANK(INDEX(MO_IS_FirstRow,0,COLUMN())),0,IF(BD887=AY887,"CHECK",0))</f>
        <v>0</v>
      </c>
      <c r="BE999" s="686">
        <f>IF(ISBLANK(INDEX(MO_IS_FirstRow,0,COLUMN())),0,IF(OR(BE887=AZ887,BE887=BF887,BE887=BC887),"CHECK",0))</f>
        <v>0</v>
      </c>
      <c r="BF999" s="686">
        <f>IF(ISBLANK(INDEX(MO_IS_FirstRow,0,COLUMN())),0,IF(OR(BF887=BA887,BF887=BG887,BF887=BE887),"CHECK",0))</f>
        <v>0</v>
      </c>
      <c r="BG999" s="686">
        <f>IF(ISBLANK(INDEX(MO_IS_FirstRow,0,COLUMN())),0,IF(OR(BG887=BB887,BG887=BH887,BG887=BF887),"CHECK",0))</f>
        <v>0</v>
      </c>
      <c r="BH999" s="686">
        <f>IF(ISBLANK(INDEX(MO_IS_FirstRow,0,COLUMN())),0,IF(OR(BH887=BC887,BH887=BI887,BH887=BG887),"CHECK",0))</f>
        <v>0</v>
      </c>
      <c r="BI999" s="686">
        <f>IF(ISBLANK(INDEX(MO_IS_FirstRow,0,COLUMN())),0,IF(BI887=BD887,"CHECK",0))</f>
        <v>0</v>
      </c>
      <c r="BJ999" s="687">
        <f ca="1">IF(ISBLANK(INDEX(MO_IS_FirstRow,0,COLUMN())),0,IF(OR(BJ887=BE887,BJ887=BK887,BJ887=BH887),"CHECK",0))</f>
        <v>0</v>
      </c>
      <c r="BK999" s="686"/>
      <c r="BL999" s="686"/>
      <c r="BM999" s="686"/>
      <c r="BN999" s="686"/>
      <c r="BO999" s="686"/>
      <c r="BP999" s="686"/>
      <c r="BQ999" s="686"/>
      <c r="BR999" s="686"/>
      <c r="BS999" s="686"/>
      <c r="BT999" s="686"/>
      <c r="BU999" s="686"/>
      <c r="BV999" s="686"/>
      <c r="BW999" s="122"/>
    </row>
    <row r="1000" spans="1:75" x14ac:dyDescent="0.5">
      <c r="A1000" s="122" t="s">
        <v>1564</v>
      </c>
      <c r="B1000" s="187"/>
      <c r="C1000" s="686"/>
      <c r="D1000" s="686"/>
      <c r="E1000" s="686"/>
      <c r="F1000" s="686"/>
      <c r="G1000" s="686"/>
      <c r="H1000" s="686"/>
      <c r="I1000" s="686"/>
      <c r="J1000" s="686"/>
      <c r="K1000" s="686">
        <f>IF(ISBLANK(INDEX(MO_IS_FirstRow,0,COLUMN())),0,IF(K255=F255,"CHECK",0))</f>
        <v>0</v>
      </c>
      <c r="L1000" s="686">
        <f>IF(ISBLANK(INDEX(MO_IS_FirstRow,0,COLUMN())),0,IF(OR(L255=G255,L255=M255,L255=J255),"CHECK",0))</f>
        <v>0</v>
      </c>
      <c r="M1000" s="686">
        <f>IF(ISBLANK(INDEX(MO_IS_FirstRow,0,COLUMN())),0,IF(OR(M255=H255,M255=N255,M255=L255),"CHECK",0))</f>
        <v>0</v>
      </c>
      <c r="N1000" s="686">
        <f>IF(ISBLANK(INDEX(MO_IS_FirstRow,0,COLUMN())),0,IF(OR(N255=I255,N255=O255,N255=M255),"CHECK",0))</f>
        <v>0</v>
      </c>
      <c r="O1000" s="686">
        <f>IF(ISBLANK(INDEX(MO_IS_FirstRow,0,COLUMN())),0,IF(OR(O255=J255,O255=P255,O255=N255),"CHECK",0))</f>
        <v>0</v>
      </c>
      <c r="P1000" s="686">
        <f>IF(ISBLANK(INDEX(MO_IS_FirstRow,0,COLUMN())),0,IF(P255=K255,"CHECK",0))</f>
        <v>0</v>
      </c>
      <c r="Q1000" s="686">
        <f>IF(ISBLANK(INDEX(MO_IS_FirstRow,0,COLUMN())),0,IF(OR(Q255=L255,Q255=R255,Q255=O255),"CHECK",0))</f>
        <v>0</v>
      </c>
      <c r="R1000" s="686">
        <f>IF(ISBLANK(INDEX(MO_IS_FirstRow,0,COLUMN())),0,IF(OR(R255=M255,R255=S255,R255=Q255),"CHECK",0))</f>
        <v>0</v>
      </c>
      <c r="S1000" s="686">
        <f>IF(ISBLANK(INDEX(MO_IS_FirstRow,0,COLUMN())),0,IF(OR(S255=N255,S255=T255,S255=R255),"CHECK",0))</f>
        <v>0</v>
      </c>
      <c r="T1000" s="686">
        <f>IF(ISBLANK(INDEX(MO_IS_FirstRow,0,COLUMN())),0,IF(OR(T255=O255,T255=U255,T255=S255),"CHECK",0))</f>
        <v>0</v>
      </c>
      <c r="U1000" s="686">
        <f>IF(ISBLANK(INDEX(MO_IS_FirstRow,0,COLUMN())),0,IF(U255=P255,"CHECK",0))</f>
        <v>0</v>
      </c>
      <c r="V1000" s="686">
        <f>IF(ISBLANK(INDEX(MO_IS_FirstRow,0,COLUMN())),0,IF(OR(V255=Q255,V255=W255,V255=T255),"CHECK",0))</f>
        <v>0</v>
      </c>
      <c r="W1000" s="686">
        <f>IF(ISBLANK(INDEX(MO_IS_FirstRow,0,COLUMN())),0,IF(OR(W255=R255,W255=X255,W255=V255),"CHECK",0))</f>
        <v>0</v>
      </c>
      <c r="X1000" s="686">
        <f>IF(ISBLANK(INDEX(MO_IS_FirstRow,0,COLUMN())),0,IF(OR(X255=S255,X255=Y255,X255=W255),"CHECK",0))</f>
        <v>0</v>
      </c>
      <c r="Y1000" s="686">
        <f>IF(ISBLANK(INDEX(MO_IS_FirstRow,0,COLUMN())),0,IF(OR(Y255=T255,Y255=Z255,Y255=X255),"CHECK",0))</f>
        <v>0</v>
      </c>
      <c r="Z1000" s="686">
        <f>IF(ISBLANK(INDEX(MO_IS_FirstRow,0,COLUMN())),0,IF(Z255=U255,"CHECK",0))</f>
        <v>0</v>
      </c>
      <c r="AA1000" s="686">
        <f>IF(ISBLANK(INDEX(MO_IS_FirstRow,0,COLUMN())),0,IF(OR(AA255=V255,AA255=AB255,AA255=Y255),"CHECK",0))</f>
        <v>0</v>
      </c>
      <c r="AB1000" s="686">
        <f>IF(ISBLANK(INDEX(MO_IS_FirstRow,0,COLUMN())),0,IF(OR(AB255=W255,AB255=AC255,AB255=AA255),"CHECK",0))</f>
        <v>0</v>
      </c>
      <c r="AC1000" s="686">
        <f>IF(ISBLANK(INDEX(MO_IS_FirstRow,0,COLUMN())),0,IF(OR(AC255=X255,AC255=AD255,AC255=AB255),"CHECK",0))</f>
        <v>0</v>
      </c>
      <c r="AD1000" s="686">
        <f>IF(ISBLANK(INDEX(MO_IS_FirstRow,0,COLUMN())),0,IF(OR(AD255=Y255,AD255=AE255,AD255=AC255),"CHECK",0))</f>
        <v>0</v>
      </c>
      <c r="AE1000" s="686">
        <f>IF(ISBLANK(INDEX(MO_IS_FirstRow,0,COLUMN())),0,IF(AE255=Z255,"CHECK",0))</f>
        <v>0</v>
      </c>
      <c r="AF1000" s="686">
        <f>IF(ISBLANK(INDEX(MO_IS_FirstRow,0,COLUMN())),0,IF(OR(AF255=AA255,AF255=AG255,AF255=AD255),"CHECK",0))</f>
        <v>0</v>
      </c>
      <c r="AG1000" s="686">
        <f>IF(ISBLANK(INDEX(MO_IS_FirstRow,0,COLUMN())),0,IF(OR(AG255=AB255,AG255=AH255,AG255=AF255),"CHECK",0))</f>
        <v>0</v>
      </c>
      <c r="AH1000" s="686">
        <f>IF(ISBLANK(INDEX(MO_IS_FirstRow,0,COLUMN())),0,IF(OR(AH255=AC255,AH255=AI255,AH255=AG255),"CHECK",0))</f>
        <v>0</v>
      </c>
      <c r="AI1000" s="686">
        <f>IF(ISBLANK(INDEX(MO_IS_FirstRow,0,COLUMN())),0,IF(OR(AI255=AD255,AI255=AJ255,AI255=AH255),"CHECK",0))</f>
        <v>0</v>
      </c>
      <c r="AJ1000" s="686">
        <f>IF(ISBLANK(INDEX(MO_IS_FirstRow,0,COLUMN())),0,IF(AJ255=AE255,"CHECK",0))</f>
        <v>0</v>
      </c>
      <c r="AK1000" s="686">
        <f>IF(ISBLANK(INDEX(MO_IS_FirstRow,0,COLUMN())),0,IF(OR(AK255=AF255,AK255=AL255,AK255=AI255),"CHECK",0))</f>
        <v>0</v>
      </c>
      <c r="AL1000" s="686">
        <f>IF(ISBLANK(INDEX(MO_IS_FirstRow,0,COLUMN())),0,IF(OR(AL255=AG255,AL255=AM255,AL255=AK255),"CHECK",0))</f>
        <v>0</v>
      </c>
      <c r="AM1000" s="686">
        <f>IF(ISBLANK(INDEX(MO_IS_FirstRow,0,COLUMN())),0,IF(OR(AM255=AH255,AM255=AN255,AM255=AL255),"CHECK",0))</f>
        <v>0</v>
      </c>
      <c r="AN1000" s="686">
        <f>IF(ISBLANK(INDEX(MO_IS_FirstRow,0,COLUMN())),0,IF(OR(AN255=AI255,AN255=AO255,AN255=AM255),"CHECK",0))</f>
        <v>0</v>
      </c>
      <c r="AO1000" s="686">
        <f>IF(ISBLANK(INDEX(MO_IS_FirstRow,0,COLUMN())),0,IF(AO255=AJ255,"CHECK",0))</f>
        <v>0</v>
      </c>
      <c r="AP1000" s="686">
        <f>IF(ISBLANK(INDEX(MO_IS_FirstRow,0,COLUMN())),0,IF(OR(AP255=AK255,AP255=AQ255,AP255=AN255),"CHECK",0))</f>
        <v>0</v>
      </c>
      <c r="AQ1000" s="686">
        <f>IF(ISBLANK(INDEX(MO_IS_FirstRow,0,COLUMN())),0,IF(OR(AQ255=AL255,AQ255=AR255,AQ255=AP255),"CHECK",0))</f>
        <v>0</v>
      </c>
      <c r="AR1000" s="686">
        <f>IF(ISBLANK(INDEX(MO_IS_FirstRow,0,COLUMN())),0,IF(OR(AR255=AM255,AR255=AS255,AR255=AQ255),"CHECK",0))</f>
        <v>0</v>
      </c>
      <c r="AS1000" s="686">
        <f>IF(ISBLANK(INDEX(MO_IS_FirstRow,0,COLUMN())),0,IF(OR(AS255=AN255,AS255=AT255,AS255=AR255),"CHECK",0))</f>
        <v>0</v>
      </c>
      <c r="AT1000" s="686">
        <f>IF(ISBLANK(INDEX(MO_IS_FirstRow,0,COLUMN())),0,IF(AT255=AO255,"CHECK",0))</f>
        <v>0</v>
      </c>
      <c r="AU1000" s="686">
        <f>IF(ISBLANK(INDEX(MO_IS_FirstRow,0,COLUMN())),0,IF(OR(AU255=AP255,AU255=AV255,AU255=AS255),"CHECK",0))</f>
        <v>0</v>
      </c>
      <c r="AV1000" s="686">
        <f>IF(ISBLANK(INDEX(MO_IS_FirstRow,0,COLUMN())),0,IF(OR(AV255=AQ255,AV255=AW255,AV255=AU255),"CHECK",0))</f>
        <v>0</v>
      </c>
      <c r="AW1000" s="686">
        <f>IF(ISBLANK(INDEX(MO_IS_FirstRow,0,COLUMN())),0,IF(OR(AW255=AR255,AW255=AX255,AW255=AV255),"CHECK",0))</f>
        <v>0</v>
      </c>
      <c r="AX1000" s="686">
        <f>IF(ISBLANK(INDEX(MO_IS_FirstRow,0,COLUMN())),0,IF(OR(AX255=AS255,AX255=AY255,AX255=AW255),"CHECK",0))</f>
        <v>0</v>
      </c>
      <c r="AY1000" s="686">
        <f>IF(ISBLANK(INDEX(MO_IS_FirstRow,0,COLUMN())),0,IF(AY255=AT255,"CHECK",0))</f>
        <v>0</v>
      </c>
      <c r="AZ1000" s="686">
        <f>IF(ISBLANK(INDEX(MO_IS_FirstRow,0,COLUMN())),0,IF(OR(AZ255=AU255,AZ255=BA255,AZ255=AX255),"CHECK",0))</f>
        <v>0</v>
      </c>
      <c r="BA1000" s="686">
        <f>IF(ISBLANK(INDEX(MO_IS_FirstRow,0,COLUMN())),0,IF(OR(BA255=AV255,BA255=BB255,BA255=AZ255),"CHECK",0))</f>
        <v>0</v>
      </c>
      <c r="BB1000" s="686">
        <f>IF(ISBLANK(INDEX(MO_IS_FirstRow,0,COLUMN())),0,IF(OR(BB255=AW255,BB255=BC255,BB255=BA255),"CHECK",0))</f>
        <v>0</v>
      </c>
      <c r="BC1000" s="686">
        <f>IF(ISBLANK(INDEX(MO_IS_FirstRow,0,COLUMN())),0,IF(OR(BC255=AX255,BC255=BD255,BC255=BB255),"CHECK",0))</f>
        <v>0</v>
      </c>
      <c r="BD1000" s="686">
        <f>IF(ISBLANK(INDEX(MO_IS_FirstRow,0,COLUMN())),0,IF(BD255=AY255,"CHECK",0))</f>
        <v>0</v>
      </c>
      <c r="BE1000" s="686">
        <f>IF(ISBLANK(INDEX(MO_IS_FirstRow,0,COLUMN())),0,IF(OR(BE255=AZ255,BE255=BF255,BE255=BC255),"CHECK",0))</f>
        <v>0</v>
      </c>
      <c r="BF1000" s="686">
        <f>IF(ISBLANK(INDEX(MO_IS_FirstRow,0,COLUMN())),0,IF(OR(BF255=BA255,BF255=BG255,BF255=BE255),"CHECK",0))</f>
        <v>0</v>
      </c>
      <c r="BG1000" s="686">
        <f>IF(ISBLANK(INDEX(MO_IS_FirstRow,0,COLUMN())),0,IF(OR(BG255=BB255,BG255=BH255,BG255=BF255),"CHECK",0))</f>
        <v>0</v>
      </c>
      <c r="BH1000" s="686">
        <f>IF(ISBLANK(INDEX(MO_IS_FirstRow,0,COLUMN())),0,IF(OR(BH255=BC255,BH255=BI255,BH255=BG255),"CHECK",0))</f>
        <v>0</v>
      </c>
      <c r="BI1000" s="686">
        <f>IF(ISBLANK(INDEX(MO_IS_FirstRow,0,COLUMN())),0,IF(BI255=BD255,"CHECK",0))</f>
        <v>0</v>
      </c>
      <c r="BJ1000" s="687">
        <f>IF(ISBLANK(INDEX(MO_IS_FirstRow,0,COLUMN())),0,IF(OR(BJ255=BE255,BJ255=BK255,BJ255=BH255),"CHECK",0))</f>
        <v>0</v>
      </c>
      <c r="BK1000" s="686"/>
      <c r="BL1000" s="686"/>
      <c r="BM1000" s="686"/>
      <c r="BN1000" s="686"/>
      <c r="BO1000" s="686"/>
      <c r="BP1000" s="686"/>
      <c r="BQ1000" s="686"/>
      <c r="BR1000" s="686"/>
      <c r="BS1000" s="686"/>
      <c r="BT1000" s="686"/>
      <c r="BU1000" s="686"/>
      <c r="BV1000" s="686"/>
      <c r="BW1000" s="122"/>
    </row>
    <row r="1001" spans="1:75" x14ac:dyDescent="0.5">
      <c r="A1001" s="122" t="s">
        <v>1565</v>
      </c>
      <c r="B1001" s="187"/>
      <c r="C1001" s="686"/>
      <c r="D1001" s="686"/>
      <c r="E1001" s="686"/>
      <c r="F1001" s="686"/>
      <c r="G1001" s="686"/>
      <c r="H1001" s="686"/>
      <c r="I1001" s="686"/>
      <c r="J1001" s="686"/>
      <c r="K1001" s="686">
        <f>IF(K955=F955,"CHECK",0)</f>
        <v>0</v>
      </c>
      <c r="L1001" s="686"/>
      <c r="M1001" s="686"/>
      <c r="N1001" s="686">
        <f>IF(OR(N955=I955,N955=O955,N955=M955),"CHECK",0)</f>
        <v>0</v>
      </c>
      <c r="O1001" s="686">
        <f>IF(OR(O955=J955,O955=N955),"CHECK",0)</f>
        <v>0</v>
      </c>
      <c r="P1001" s="686">
        <f>IF(P955=K955,"CHECK",0)</f>
        <v>0</v>
      </c>
      <c r="Q1001" s="686">
        <f>IF(OR(Q955=L955,Q955=R955,Q955=O955),"CHECK",0)</f>
        <v>0</v>
      </c>
      <c r="R1001" s="686">
        <f>IF(OR(R955=M955,R955=S955,R955=Q955),"CHECK",0)</f>
        <v>0</v>
      </c>
      <c r="S1001" s="686">
        <f>IF(OR(S955=N955,S955=T955,S955=R955),"CHECK",0)</f>
        <v>0</v>
      </c>
      <c r="T1001" s="686">
        <f>IF(OR(T955=O955,T955=S955),"CHECK",0)</f>
        <v>0</v>
      </c>
      <c r="U1001" s="686">
        <f>IF(U955=P955,"CHECK",0)</f>
        <v>0</v>
      </c>
      <c r="V1001" s="686">
        <f>IF(OR(V955=Q955,V955=W955,V955=T955),"CHECK",0)</f>
        <v>0</v>
      </c>
      <c r="W1001" s="686">
        <f>IF(OR(W955=R955,W955=X955,W955=V955),"CHECK",0)</f>
        <v>0</v>
      </c>
      <c r="X1001" s="686">
        <f>IF(OR(X955=S955,X955=Y955,X955=W955),"CHECK",0)</f>
        <v>0</v>
      </c>
      <c r="Y1001" s="686">
        <f>IF(OR(Y955=T955,Y955=X955),"CHECK",0)</f>
        <v>0</v>
      </c>
      <c r="Z1001" s="686">
        <f>IF(Z955=U955,"CHECK",0)</f>
        <v>0</v>
      </c>
      <c r="AA1001" s="686">
        <f>IF(OR(AA955=V955,AA955=AB955,AA955=Y955),"CHECK",0)</f>
        <v>0</v>
      </c>
      <c r="AB1001" s="686">
        <f>IF(OR(AB955=W955,AB955=AC955,AB955=AA955),"CHECK",0)</f>
        <v>0</v>
      </c>
      <c r="AC1001" s="686">
        <f>IF(OR(AC955=X955,AC955=AD955,AC955=AB955),"CHECK",0)</f>
        <v>0</v>
      </c>
      <c r="AD1001" s="686">
        <f>IF(OR(AD955=Y955,AD955=AC955),"CHECK",0)</f>
        <v>0</v>
      </c>
      <c r="AE1001" s="686">
        <f>IF(AE955=Z955,"CHECK",0)</f>
        <v>0</v>
      </c>
      <c r="AF1001" s="686">
        <f>IF(OR(AF955=AA955,AF955=AG955,AF955=AD955),"CHECK",0)</f>
        <v>0</v>
      </c>
      <c r="AG1001" s="686">
        <f>IF(OR(AG955=AB955,AG955=AH955,AG955=AF955),"CHECK",0)</f>
        <v>0</v>
      </c>
      <c r="AH1001" s="686">
        <f>IF(OR(AH955=AC955,AH955=AI955,AH955=AG955),"CHECK",0)</f>
        <v>0</v>
      </c>
      <c r="AI1001" s="686">
        <f>IF(OR(AI955=AD955,AI955=AH955),"CHECK",0)</f>
        <v>0</v>
      </c>
      <c r="AJ1001" s="686">
        <f>IF(AJ955=AE955,"CHECK",0)</f>
        <v>0</v>
      </c>
      <c r="AK1001" s="686">
        <f>IF(OR(AK955=AF955,AK955=AL955,AK955=AI955),"CHECK",0)</f>
        <v>0</v>
      </c>
      <c r="AL1001" s="686">
        <f>IF(OR(AL955=AG955,AL955=AM955,AL955=AK955),"CHECK",0)</f>
        <v>0</v>
      </c>
      <c r="AM1001" s="686">
        <f>IF(OR(AM955=AH955,AM955=AN955,AM955=AL955),"CHECK",0)</f>
        <v>0</v>
      </c>
      <c r="AN1001" s="686">
        <f>IF(OR(AN955=AI955,AN955=AM955),"CHECK",0)</f>
        <v>0</v>
      </c>
      <c r="AO1001" s="686">
        <f>IF(AO955=AJ955,"CHECK",0)</f>
        <v>0</v>
      </c>
      <c r="AP1001" s="686">
        <f>IF(OR(AP955=AK955,AP955=AQ955,AP955=AN955),"CHECK",0)</f>
        <v>0</v>
      </c>
      <c r="AQ1001" s="686">
        <f>IF(OR(AQ955=AL955,AQ955=AR955,AQ955=AP955),"CHECK",0)</f>
        <v>0</v>
      </c>
      <c r="AR1001" s="686">
        <f>IF(OR(AR955=AM955,AR955=AS955,AR955=AQ955),"CHECK",0)</f>
        <v>0</v>
      </c>
      <c r="AS1001" s="686">
        <f>IF(OR(AS955=AN955,AS955=AR955),"CHECK",0)</f>
        <v>0</v>
      </c>
      <c r="AT1001" s="686">
        <f>IF(AT955=AO955,"CHECK",0)</f>
        <v>0</v>
      </c>
      <c r="AU1001" s="686">
        <f>IF(OR(AU955=AP955,AU955=AV955,AU955=AS955),"CHECK",0)</f>
        <v>0</v>
      </c>
      <c r="AV1001" s="686">
        <f>IF(OR(AV955=AQ955,AV955=AW955,AV955=AU955),"CHECK",0)</f>
        <v>0</v>
      </c>
      <c r="AW1001" s="686">
        <f>IF(OR(AW955=AR955,AW955=AX955,AW955=AV955),"CHECK",0)</f>
        <v>0</v>
      </c>
      <c r="AX1001" s="686">
        <f>IF(OR(AX955=AS955,AX955=AW955),"CHECK",0)</f>
        <v>0</v>
      </c>
      <c r="AY1001" s="686">
        <f>IF(AY955=AT955,"CHECK",0)</f>
        <v>0</v>
      </c>
      <c r="AZ1001" s="686">
        <f>IF(OR(AZ955=AU955,AZ955=BA955,AZ955=AX955),"CHECK",0)</f>
        <v>0</v>
      </c>
      <c r="BA1001" s="686">
        <f>IF(OR(BA955=AV955,BA955=BB955,BA955=AZ955),"CHECK",0)</f>
        <v>0</v>
      </c>
      <c r="BB1001" s="686">
        <f>IF(OR(BB955=AW955,BB955=BC955,BB955=BA955),"CHECK",0)</f>
        <v>0</v>
      </c>
      <c r="BC1001" s="686">
        <f>IF(OR(BC955=AX955,BC955=BB955),"CHECK",0)</f>
        <v>0</v>
      </c>
      <c r="BD1001" s="686">
        <f>IF(BD955=AY955,"CHECK",0)</f>
        <v>0</v>
      </c>
      <c r="BE1001" s="686">
        <f>IF(OR(BE955=AZ955,BE955=BF955,BE955=BC955),"CHECK",0)</f>
        <v>0</v>
      </c>
      <c r="BF1001" s="686">
        <f>IF(OR(BF955=BA955,BF955=BG955,BF955=BE955),"CHECK",0)</f>
        <v>0</v>
      </c>
      <c r="BG1001" s="686">
        <f>IF(OR(BG955=BB955,BG955=BH955,BG955=BF955),"CHECK",0)</f>
        <v>0</v>
      </c>
      <c r="BH1001" s="686">
        <f>IF(OR(BH955=BC955,BH955=BG955),"CHECK",0)</f>
        <v>0</v>
      </c>
      <c r="BI1001" s="686">
        <f>IF(BI955=BD955,"CHECK",0)</f>
        <v>0</v>
      </c>
      <c r="BJ1001" s="687">
        <f ca="1">IF(OR(BJ955=BE955,BJ955=BK955,BJ955=BH955),"CHECK",0)</f>
        <v>0</v>
      </c>
      <c r="BK1001" s="686"/>
      <c r="BL1001" s="686"/>
      <c r="BM1001" s="686"/>
      <c r="BN1001" s="686"/>
      <c r="BO1001" s="686"/>
      <c r="BP1001" s="686"/>
      <c r="BQ1001" s="686"/>
      <c r="BR1001" s="686"/>
      <c r="BS1001" s="686"/>
      <c r="BT1001" s="686"/>
      <c r="BU1001" s="686"/>
      <c r="BV1001" s="686"/>
      <c r="BW1001" s="122"/>
    </row>
    <row r="1002" spans="1:75" x14ac:dyDescent="0.5">
      <c r="A1002" s="122" t="s">
        <v>1566</v>
      </c>
      <c r="B1002" s="187"/>
      <c r="C1002" s="686"/>
      <c r="D1002" s="686"/>
      <c r="E1002" s="686"/>
      <c r="F1002" s="686">
        <f t="shared" ref="F1002:AK1002" si="860">IF(ISBLANK(INDEX(MO_IS_FirstRow,0,COLUMN())),0,ROUND(F890-F827,6))</f>
        <v>0</v>
      </c>
      <c r="G1002" s="686">
        <f t="shared" si="860"/>
        <v>0</v>
      </c>
      <c r="H1002" s="686">
        <f t="shared" si="860"/>
        <v>0</v>
      </c>
      <c r="I1002" s="686">
        <f t="shared" si="860"/>
        <v>0</v>
      </c>
      <c r="J1002" s="686">
        <f t="shared" si="860"/>
        <v>0</v>
      </c>
      <c r="K1002" s="686">
        <f t="shared" si="860"/>
        <v>0</v>
      </c>
      <c r="L1002" s="686">
        <f t="shared" si="860"/>
        <v>0</v>
      </c>
      <c r="M1002" s="686">
        <f t="shared" si="860"/>
        <v>0</v>
      </c>
      <c r="N1002" s="686">
        <f t="shared" si="860"/>
        <v>0</v>
      </c>
      <c r="O1002" s="686">
        <f t="shared" si="860"/>
        <v>0</v>
      </c>
      <c r="P1002" s="686">
        <f t="shared" si="860"/>
        <v>0</v>
      </c>
      <c r="Q1002" s="686">
        <f t="shared" si="860"/>
        <v>0</v>
      </c>
      <c r="R1002" s="686">
        <f t="shared" si="860"/>
        <v>0</v>
      </c>
      <c r="S1002" s="686">
        <f t="shared" si="860"/>
        <v>0</v>
      </c>
      <c r="T1002" s="686">
        <f t="shared" si="860"/>
        <v>0</v>
      </c>
      <c r="U1002" s="686">
        <f t="shared" si="860"/>
        <v>0</v>
      </c>
      <c r="V1002" s="686">
        <f t="shared" si="860"/>
        <v>0</v>
      </c>
      <c r="W1002" s="686">
        <f t="shared" si="860"/>
        <v>0</v>
      </c>
      <c r="X1002" s="686">
        <f t="shared" si="860"/>
        <v>0</v>
      </c>
      <c r="Y1002" s="686">
        <f t="shared" si="860"/>
        <v>0</v>
      </c>
      <c r="Z1002" s="686">
        <f t="shared" si="860"/>
        <v>0</v>
      </c>
      <c r="AA1002" s="686">
        <f t="shared" si="860"/>
        <v>0</v>
      </c>
      <c r="AB1002" s="686">
        <f t="shared" si="860"/>
        <v>0</v>
      </c>
      <c r="AC1002" s="686">
        <f t="shared" si="860"/>
        <v>0</v>
      </c>
      <c r="AD1002" s="686">
        <f t="shared" si="860"/>
        <v>0</v>
      </c>
      <c r="AE1002" s="686">
        <f t="shared" si="860"/>
        <v>0</v>
      </c>
      <c r="AF1002" s="686">
        <f t="shared" si="860"/>
        <v>0</v>
      </c>
      <c r="AG1002" s="686">
        <f t="shared" si="860"/>
        <v>0</v>
      </c>
      <c r="AH1002" s="686">
        <f t="shared" si="860"/>
        <v>0</v>
      </c>
      <c r="AI1002" s="686">
        <f t="shared" si="860"/>
        <v>0</v>
      </c>
      <c r="AJ1002" s="686">
        <f t="shared" si="860"/>
        <v>0</v>
      </c>
      <c r="AK1002" s="686">
        <f t="shared" si="860"/>
        <v>0</v>
      </c>
      <c r="AL1002" s="686">
        <f t="shared" ref="AL1002:BN1002" si="861">IF(ISBLANK(INDEX(MO_IS_FirstRow,0,COLUMN())),0,ROUND(AL890-AL827,6))</f>
        <v>0</v>
      </c>
      <c r="AM1002" s="686">
        <f t="shared" si="861"/>
        <v>0</v>
      </c>
      <c r="AN1002" s="686">
        <f t="shared" si="861"/>
        <v>0</v>
      </c>
      <c r="AO1002" s="686">
        <f t="shared" si="861"/>
        <v>0</v>
      </c>
      <c r="AP1002" s="686">
        <f t="shared" si="861"/>
        <v>0</v>
      </c>
      <c r="AQ1002" s="686">
        <f t="shared" si="861"/>
        <v>0</v>
      </c>
      <c r="AR1002" s="686">
        <f t="shared" si="861"/>
        <v>0</v>
      </c>
      <c r="AS1002" s="686">
        <f t="shared" si="861"/>
        <v>0</v>
      </c>
      <c r="AT1002" s="686">
        <f t="shared" si="861"/>
        <v>0</v>
      </c>
      <c r="AU1002" s="686">
        <f t="shared" si="861"/>
        <v>0</v>
      </c>
      <c r="AV1002" s="686">
        <f t="shared" si="861"/>
        <v>0</v>
      </c>
      <c r="AW1002" s="686">
        <f t="shared" si="861"/>
        <v>0</v>
      </c>
      <c r="AX1002" s="686">
        <f t="shared" si="861"/>
        <v>-0.56000000000000005</v>
      </c>
      <c r="AY1002" s="686">
        <f t="shared" si="861"/>
        <v>0</v>
      </c>
      <c r="AZ1002" s="686">
        <f t="shared" si="861"/>
        <v>0</v>
      </c>
      <c r="BA1002" s="686">
        <f t="shared" si="861"/>
        <v>0</v>
      </c>
      <c r="BB1002" s="686">
        <f t="shared" si="861"/>
        <v>0</v>
      </c>
      <c r="BC1002" s="686">
        <f t="shared" si="861"/>
        <v>0</v>
      </c>
      <c r="BD1002" s="686">
        <f t="shared" si="861"/>
        <v>0</v>
      </c>
      <c r="BE1002" s="686">
        <f t="shared" ref="BE1002:BM1002" si="862">IF(ISBLANK(INDEX(MO_IS_FirstRow,0,COLUMN())),0,ROUND(BE890-BE827,6))</f>
        <v>0</v>
      </c>
      <c r="BF1002" s="686">
        <f t="shared" si="862"/>
        <v>0</v>
      </c>
      <c r="BG1002" s="686">
        <f t="shared" si="862"/>
        <v>0</v>
      </c>
      <c r="BH1002" s="686">
        <f t="shared" si="862"/>
        <v>0</v>
      </c>
      <c r="BI1002" s="686">
        <f t="shared" si="862"/>
        <v>0</v>
      </c>
      <c r="BJ1002" s="687">
        <f>IF(ISBLANK(INDEX(MO_IS_FirstRow,0,COLUMN())),0,ROUND(BJ890-BJ827,6))</f>
        <v>0</v>
      </c>
      <c r="BK1002" s="686">
        <f t="shared" si="862"/>
        <v>0</v>
      </c>
      <c r="BL1002" s="686">
        <f t="shared" si="862"/>
        <v>0</v>
      </c>
      <c r="BM1002" s="686">
        <f t="shared" si="862"/>
        <v>0</v>
      </c>
      <c r="BN1002" s="686">
        <f t="shared" si="861"/>
        <v>0</v>
      </c>
      <c r="BO1002" s="686">
        <f t="shared" ref="BO1002:BV1002" si="863">IF(ISBLANK(INDEX(MO_IS_FirstRow,0,COLUMN())),0,ROUND(BO890-BO827,6))</f>
        <v>0</v>
      </c>
      <c r="BP1002" s="686">
        <f t="shared" si="863"/>
        <v>0</v>
      </c>
      <c r="BQ1002" s="686">
        <f t="shared" si="863"/>
        <v>0</v>
      </c>
      <c r="BR1002" s="686">
        <f t="shared" si="863"/>
        <v>0</v>
      </c>
      <c r="BS1002" s="686">
        <f t="shared" si="863"/>
        <v>0</v>
      </c>
      <c r="BT1002" s="686">
        <f t="shared" si="863"/>
        <v>0</v>
      </c>
      <c r="BU1002" s="686">
        <f t="shared" si="863"/>
        <v>0</v>
      </c>
      <c r="BV1002" s="686">
        <f t="shared" si="863"/>
        <v>0</v>
      </c>
      <c r="BW1002" s="122"/>
    </row>
    <row r="1003" spans="1:75" x14ac:dyDescent="0.5">
      <c r="A1003" s="122" t="s">
        <v>1567</v>
      </c>
      <c r="B1003" s="187"/>
      <c r="C1003" s="686"/>
      <c r="D1003" s="686"/>
      <c r="E1003" s="686"/>
      <c r="F1003" s="686">
        <f t="shared" ref="F1003:AK1003" si="864">ROUND(INDEX(MO_CFSum_Capex,0,COLUMN())-F858-F859,6)</f>
        <v>-190.42400000000001</v>
      </c>
      <c r="G1003" s="686">
        <f t="shared" si="864"/>
        <v>-43.212000000000003</v>
      </c>
      <c r="H1003" s="686">
        <f t="shared" si="864"/>
        <v>-47.197000000000003</v>
      </c>
      <c r="I1003" s="686">
        <f t="shared" si="864"/>
        <v>-43.994</v>
      </c>
      <c r="J1003" s="686">
        <f t="shared" si="864"/>
        <v>-43.771000000000001</v>
      </c>
      <c r="K1003" s="686">
        <f t="shared" si="864"/>
        <v>-178.17400000000001</v>
      </c>
      <c r="L1003" s="686">
        <f t="shared" si="864"/>
        <v>-24.045000000000002</v>
      </c>
      <c r="M1003" s="686">
        <f t="shared" si="864"/>
        <v>-28.995000000000001</v>
      </c>
      <c r="N1003" s="686">
        <f t="shared" si="864"/>
        <v>-36.819000000000003</v>
      </c>
      <c r="O1003" s="686">
        <f t="shared" si="864"/>
        <v>-68.956000000000003</v>
      </c>
      <c r="P1003" s="686">
        <f t="shared" si="864"/>
        <v>-158.815</v>
      </c>
      <c r="Q1003" s="686">
        <f t="shared" si="864"/>
        <v>-24.218</v>
      </c>
      <c r="R1003" s="686">
        <f t="shared" si="864"/>
        <v>-29.001000000000001</v>
      </c>
      <c r="S1003" s="686">
        <f t="shared" si="864"/>
        <v>-33.048000000000002</v>
      </c>
      <c r="T1003" s="686">
        <f t="shared" si="864"/>
        <v>-54.484000000000002</v>
      </c>
      <c r="U1003" s="686">
        <f t="shared" si="864"/>
        <v>-140.751</v>
      </c>
      <c r="V1003" s="686">
        <f t="shared" si="864"/>
        <v>1.2290000000000001</v>
      </c>
      <c r="W1003" s="686">
        <f t="shared" si="864"/>
        <v>-5.407</v>
      </c>
      <c r="X1003" s="686">
        <f t="shared" si="864"/>
        <v>-19.702999999999999</v>
      </c>
      <c r="Y1003" s="686">
        <f t="shared" si="864"/>
        <v>-45.447000000000003</v>
      </c>
      <c r="Z1003" s="686">
        <f t="shared" si="864"/>
        <v>-69.328000000000003</v>
      </c>
      <c r="AA1003" s="686">
        <f t="shared" si="864"/>
        <v>-9.2810000000000006</v>
      </c>
      <c r="AB1003" s="686">
        <f t="shared" si="864"/>
        <v>-5.2480000000000002</v>
      </c>
      <c r="AC1003" s="686">
        <f t="shared" si="864"/>
        <v>-9.8789999999999996</v>
      </c>
      <c r="AD1003" s="686">
        <f t="shared" si="864"/>
        <v>-18.425000000000001</v>
      </c>
      <c r="AE1003" s="686">
        <f t="shared" si="864"/>
        <v>-42.832999999999998</v>
      </c>
      <c r="AF1003" s="686">
        <f t="shared" si="864"/>
        <v>0.48799999999999999</v>
      </c>
      <c r="AG1003" s="686">
        <f t="shared" si="864"/>
        <v>9.157</v>
      </c>
      <c r="AH1003" s="686">
        <f t="shared" si="864"/>
        <v>18.302</v>
      </c>
      <c r="AI1003" s="686">
        <f t="shared" si="864"/>
        <v>3.9060000000000001</v>
      </c>
      <c r="AJ1003" s="686">
        <f t="shared" si="864"/>
        <v>31.853000000000002</v>
      </c>
      <c r="AK1003" s="686">
        <f t="shared" si="864"/>
        <v>49.320999999999998</v>
      </c>
      <c r="AL1003" s="686">
        <f t="shared" ref="AL1003:BN1003" si="865">ROUND(INDEX(MO_CFSum_Capex,0,COLUMN())-AL858-AL859,6)</f>
        <v>47.695999999999998</v>
      </c>
      <c r="AM1003" s="686">
        <f t="shared" si="865"/>
        <v>60.494</v>
      </c>
      <c r="AN1003" s="686">
        <f t="shared" si="865"/>
        <v>57.093000000000004</v>
      </c>
      <c r="AO1003" s="686">
        <f t="shared" si="865"/>
        <v>214.60400000000001</v>
      </c>
      <c r="AP1003" s="686">
        <f t="shared" si="865"/>
        <v>56.012</v>
      </c>
      <c r="AQ1003" s="686">
        <f t="shared" si="865"/>
        <v>47.847000000000001</v>
      </c>
      <c r="AR1003" s="686">
        <f t="shared" si="865"/>
        <v>27.236999999999998</v>
      </c>
      <c r="AS1003" s="686">
        <f t="shared" si="865"/>
        <v>33.825000000000003</v>
      </c>
      <c r="AT1003" s="686">
        <f t="shared" si="865"/>
        <v>164.92099999999999</v>
      </c>
      <c r="AU1003" s="686">
        <f t="shared" si="865"/>
        <v>23.045999999999999</v>
      </c>
      <c r="AV1003" s="686">
        <f t="shared" si="865"/>
        <v>32.581000000000003</v>
      </c>
      <c r="AW1003" s="686">
        <f t="shared" si="865"/>
        <v>9.59</v>
      </c>
      <c r="AX1003" s="686">
        <f t="shared" si="865"/>
        <v>-11.734</v>
      </c>
      <c r="AY1003" s="686">
        <f t="shared" si="865"/>
        <v>53.482999999999997</v>
      </c>
      <c r="AZ1003" s="686">
        <f t="shared" si="865"/>
        <v>33.814</v>
      </c>
      <c r="BA1003" s="686">
        <f t="shared" si="865"/>
        <v>51.637999999999998</v>
      </c>
      <c r="BB1003" s="686">
        <f t="shared" si="865"/>
        <v>21.17</v>
      </c>
      <c r="BC1003" s="686">
        <f t="shared" si="865"/>
        <v>-2.7389999999999999</v>
      </c>
      <c r="BD1003" s="686">
        <f t="shared" si="865"/>
        <v>103.883</v>
      </c>
      <c r="BE1003" s="686">
        <f t="shared" ref="BE1003:BM1003" si="866">ROUND(INDEX(MO_CFSum_Capex,0,COLUMN())-BE858-BE859,6)</f>
        <v>36.970999999999997</v>
      </c>
      <c r="BF1003" s="686">
        <f t="shared" si="866"/>
        <v>46.149000000000001</v>
      </c>
      <c r="BG1003" s="686">
        <f t="shared" si="866"/>
        <v>37.049999999999997</v>
      </c>
      <c r="BH1003" s="686">
        <f t="shared" si="866"/>
        <v>42.372</v>
      </c>
      <c r="BI1003" s="686">
        <f t="shared" si="866"/>
        <v>162.542</v>
      </c>
      <c r="BJ1003" s="687">
        <f>ROUND(INDEX(MO_CFSum_Capex,0,COLUMN())-BJ858-BJ859,6)</f>
        <v>14.487</v>
      </c>
      <c r="BK1003" s="686">
        <f t="shared" si="866"/>
        <v>45</v>
      </c>
      <c r="BL1003" s="686">
        <f t="shared" si="866"/>
        <v>30</v>
      </c>
      <c r="BM1003" s="686">
        <f t="shared" si="866"/>
        <v>24.5</v>
      </c>
      <c r="BN1003" s="686">
        <f t="shared" si="865"/>
        <v>113.98699999999999</v>
      </c>
      <c r="BO1003" s="686">
        <f t="shared" ref="BO1003:BV1003" si="867">ROUND(INDEX(MO_CFSum_Capex,0,COLUMN())-BO858-BO859,6)</f>
        <v>15</v>
      </c>
      <c r="BP1003" s="686">
        <f t="shared" si="867"/>
        <v>5</v>
      </c>
      <c r="BQ1003" s="686">
        <f t="shared" si="867"/>
        <v>0</v>
      </c>
      <c r="BR1003" s="686">
        <f t="shared" si="867"/>
        <v>-15</v>
      </c>
      <c r="BS1003" s="686">
        <f t="shared" si="867"/>
        <v>5</v>
      </c>
      <c r="BT1003" s="686">
        <f t="shared" si="867"/>
        <v>-20</v>
      </c>
      <c r="BU1003" s="686">
        <f t="shared" si="867"/>
        <v>-20</v>
      </c>
      <c r="BV1003" s="686">
        <f t="shared" si="867"/>
        <v>-20</v>
      </c>
      <c r="BW1003" s="122"/>
    </row>
    <row r="1004" spans="1:75" x14ac:dyDescent="0.5">
      <c r="A1004" s="122" t="s">
        <v>1568</v>
      </c>
      <c r="B1004" s="187"/>
      <c r="C1004" s="686"/>
      <c r="D1004" s="686"/>
      <c r="E1004" s="686"/>
      <c r="F1004" s="686">
        <f t="shared" ref="F1004:AK1004" si="868">IF(ISBLANK(INDEX(MO_IS_FirstRow,0,COLUMN())),0,IF(MOD(F160*1000000,1)=0,"Check",0))</f>
        <v>0</v>
      </c>
      <c r="G1004" s="686">
        <f t="shared" si="868"/>
        <v>0</v>
      </c>
      <c r="H1004" s="686">
        <f t="shared" si="868"/>
        <v>0</v>
      </c>
      <c r="I1004" s="686">
        <f t="shared" si="868"/>
        <v>0</v>
      </c>
      <c r="J1004" s="686">
        <f t="shared" si="868"/>
        <v>0</v>
      </c>
      <c r="K1004" s="686">
        <f t="shared" si="868"/>
        <v>0</v>
      </c>
      <c r="L1004" s="686">
        <f t="shared" si="868"/>
        <v>0</v>
      </c>
      <c r="M1004" s="686">
        <f t="shared" si="868"/>
        <v>0</v>
      </c>
      <c r="N1004" s="686">
        <f t="shared" si="868"/>
        <v>0</v>
      </c>
      <c r="O1004" s="686">
        <f t="shared" si="868"/>
        <v>0</v>
      </c>
      <c r="P1004" s="686">
        <f t="shared" si="868"/>
        <v>0</v>
      </c>
      <c r="Q1004" s="686">
        <f t="shared" si="868"/>
        <v>0</v>
      </c>
      <c r="R1004" s="686">
        <f t="shared" si="868"/>
        <v>0</v>
      </c>
      <c r="S1004" s="686">
        <f t="shared" si="868"/>
        <v>0</v>
      </c>
      <c r="T1004" s="686">
        <f t="shared" si="868"/>
        <v>0</v>
      </c>
      <c r="U1004" s="686">
        <f t="shared" si="868"/>
        <v>0</v>
      </c>
      <c r="V1004" s="686">
        <f t="shared" si="868"/>
        <v>0</v>
      </c>
      <c r="W1004" s="686">
        <f t="shared" si="868"/>
        <v>0</v>
      </c>
      <c r="X1004" s="686">
        <f t="shared" si="868"/>
        <v>0</v>
      </c>
      <c r="Y1004" s="686">
        <f t="shared" si="868"/>
        <v>0</v>
      </c>
      <c r="Z1004" s="686">
        <f t="shared" si="868"/>
        <v>0</v>
      </c>
      <c r="AA1004" s="686">
        <f t="shared" si="868"/>
        <v>0</v>
      </c>
      <c r="AB1004" s="686">
        <f t="shared" si="868"/>
        <v>0</v>
      </c>
      <c r="AC1004" s="686">
        <f t="shared" si="868"/>
        <v>0</v>
      </c>
      <c r="AD1004" s="686">
        <f t="shared" si="868"/>
        <v>0</v>
      </c>
      <c r="AE1004" s="686">
        <f t="shared" si="868"/>
        <v>0</v>
      </c>
      <c r="AF1004" s="686">
        <f t="shared" si="868"/>
        <v>0</v>
      </c>
      <c r="AG1004" s="686">
        <f t="shared" si="868"/>
        <v>0</v>
      </c>
      <c r="AH1004" s="686">
        <f t="shared" si="868"/>
        <v>0</v>
      </c>
      <c r="AI1004" s="686">
        <f t="shared" si="868"/>
        <v>0</v>
      </c>
      <c r="AJ1004" s="686">
        <f t="shared" si="868"/>
        <v>0</v>
      </c>
      <c r="AK1004" s="686">
        <f t="shared" si="868"/>
        <v>0</v>
      </c>
      <c r="AL1004" s="686">
        <f t="shared" ref="AL1004:BV1004" si="869">IF(ISBLANK(INDEX(MO_IS_FirstRow,0,COLUMN())),0,IF(MOD(AL160*1000000,1)=0,"Check",0))</f>
        <v>0</v>
      </c>
      <c r="AM1004" s="686">
        <f t="shared" si="869"/>
        <v>0</v>
      </c>
      <c r="AN1004" s="686">
        <f t="shared" si="869"/>
        <v>0</v>
      </c>
      <c r="AO1004" s="686">
        <f t="shared" si="869"/>
        <v>0</v>
      </c>
      <c r="AP1004" s="686">
        <f t="shared" si="869"/>
        <v>0</v>
      </c>
      <c r="AQ1004" s="686">
        <f t="shared" si="869"/>
        <v>0</v>
      </c>
      <c r="AR1004" s="686">
        <f t="shared" si="869"/>
        <v>0</v>
      </c>
      <c r="AS1004" s="686">
        <f t="shared" si="869"/>
        <v>0</v>
      </c>
      <c r="AT1004" s="686">
        <f t="shared" si="869"/>
        <v>0</v>
      </c>
      <c r="AU1004" s="686">
        <f t="shared" si="869"/>
        <v>0</v>
      </c>
      <c r="AV1004" s="686">
        <f t="shared" si="869"/>
        <v>0</v>
      </c>
      <c r="AW1004" s="686">
        <f t="shared" si="869"/>
        <v>0</v>
      </c>
      <c r="AX1004" s="686">
        <f t="shared" si="869"/>
        <v>0</v>
      </c>
      <c r="AY1004" s="686">
        <f t="shared" si="869"/>
        <v>0</v>
      </c>
      <c r="AZ1004" s="686">
        <f t="shared" si="869"/>
        <v>0</v>
      </c>
      <c r="BA1004" s="686">
        <f t="shared" si="869"/>
        <v>0</v>
      </c>
      <c r="BB1004" s="686">
        <f t="shared" si="869"/>
        <v>0</v>
      </c>
      <c r="BC1004" s="686">
        <f t="shared" si="869"/>
        <v>0</v>
      </c>
      <c r="BD1004" s="686">
        <f t="shared" si="869"/>
        <v>0</v>
      </c>
      <c r="BE1004" s="686">
        <f t="shared" si="869"/>
        <v>0</v>
      </c>
      <c r="BF1004" s="686">
        <f t="shared" si="869"/>
        <v>0</v>
      </c>
      <c r="BG1004" s="686">
        <f t="shared" si="869"/>
        <v>0</v>
      </c>
      <c r="BH1004" s="686">
        <f t="shared" si="869"/>
        <v>0</v>
      </c>
      <c r="BI1004" s="686">
        <f t="shared" si="869"/>
        <v>0</v>
      </c>
      <c r="BJ1004" s="687">
        <f t="shared" si="869"/>
        <v>0</v>
      </c>
      <c r="BK1004" s="686">
        <f t="shared" si="869"/>
        <v>0</v>
      </c>
      <c r="BL1004" s="686">
        <f t="shared" si="869"/>
        <v>0</v>
      </c>
      <c r="BM1004" s="686">
        <f t="shared" si="869"/>
        <v>0</v>
      </c>
      <c r="BN1004" s="686">
        <f t="shared" si="869"/>
        <v>0</v>
      </c>
      <c r="BO1004" s="686">
        <f t="shared" si="869"/>
        <v>0</v>
      </c>
      <c r="BP1004" s="686">
        <f t="shared" si="869"/>
        <v>0</v>
      </c>
      <c r="BQ1004" s="686">
        <f t="shared" si="869"/>
        <v>0</v>
      </c>
      <c r="BR1004" s="686">
        <f t="shared" si="869"/>
        <v>0</v>
      </c>
      <c r="BS1004" s="686">
        <f t="shared" si="869"/>
        <v>0</v>
      </c>
      <c r="BT1004" s="686">
        <f t="shared" si="869"/>
        <v>0</v>
      </c>
      <c r="BU1004" s="686">
        <f t="shared" si="869"/>
        <v>0</v>
      </c>
      <c r="BV1004" s="686">
        <f t="shared" si="869"/>
        <v>0</v>
      </c>
      <c r="BW1004" s="122"/>
    </row>
    <row r="1005" spans="1:75" x14ac:dyDescent="0.5">
      <c r="A1005" s="122" t="s">
        <v>1569</v>
      </c>
      <c r="B1005" s="187"/>
      <c r="C1005" s="686"/>
      <c r="D1005" s="686"/>
      <c r="E1005" s="686"/>
      <c r="F1005" s="686"/>
      <c r="G1005" s="686"/>
      <c r="H1005" s="686"/>
      <c r="I1005" s="686"/>
      <c r="J1005" s="686"/>
      <c r="K1005" s="686">
        <f>IF(ISBLANK(INDEX(MO_IS_FirstRow,0,COLUMN())),0,ROUND(K207-SUM(G207,H207,I207,J207),6)+ROUND(K217-SUM(G217,H217,I217,J217),6))</f>
        <v>0</v>
      </c>
      <c r="L1005" s="686"/>
      <c r="M1005" s="686"/>
      <c r="N1005" s="686"/>
      <c r="O1005" s="686"/>
      <c r="P1005" s="686">
        <f>IF(ISBLANK(INDEX(MO_IS_FirstRow,0,COLUMN())),0,ROUND(P207-SUM(L207,M207,N207,O207),6)+ROUND(P217-SUM(L217,M217,N217,O217),6))</f>
        <v>1E-3</v>
      </c>
      <c r="Q1005" s="686"/>
      <c r="R1005" s="686"/>
      <c r="S1005" s="686"/>
      <c r="T1005" s="686"/>
      <c r="U1005" s="686">
        <f>IF(ISBLANK(INDEX(MO_IS_FirstRow,0,COLUMN())),0,ROUND(U207-SUM(Q207,R207,S207,T207),6)+ROUND(U217-SUM(Q217,R217,S217,T217),6))</f>
        <v>0</v>
      </c>
      <c r="V1005" s="686"/>
      <c r="W1005" s="686"/>
      <c r="X1005" s="686"/>
      <c r="Y1005" s="686"/>
      <c r="Z1005" s="686">
        <f>IF(ISBLANK(INDEX(MO_IS_FirstRow,0,COLUMN())),0,ROUND(Z207-SUM(V207,W207,X207,Y207),6)+ROUND(Z217-SUM(V217,W217,X217,Y217),6))</f>
        <v>0</v>
      </c>
      <c r="AA1005" s="686"/>
      <c r="AB1005" s="686"/>
      <c r="AC1005" s="686"/>
      <c r="AD1005" s="686"/>
      <c r="AE1005" s="686">
        <f>IF(ISBLANK(INDEX(MO_IS_FirstRow,0,COLUMN())),0,ROUND(AE207-SUM(AA207,AB207,AC207,AD207),6)+ROUND(AE217-SUM(AA217,AB217,AC217,AD217),6))</f>
        <v>0</v>
      </c>
      <c r="AF1005" s="686"/>
      <c r="AG1005" s="686"/>
      <c r="AH1005" s="686"/>
      <c r="AI1005" s="686"/>
      <c r="AJ1005" s="686">
        <f>IF(ISBLANK(INDEX(MO_IS_FirstRow,0,COLUMN())),0,ROUND(AJ207-SUM(AF207,AG207,AH207,AI207),6)+ROUND(AJ217-SUM(AF217,AG217,AH217,AI217),6))</f>
        <v>0</v>
      </c>
      <c r="AK1005" s="686"/>
      <c r="AL1005" s="686"/>
      <c r="AM1005" s="686"/>
      <c r="AN1005" s="686"/>
      <c r="AO1005" s="686">
        <f>IF(ISBLANK(INDEX(MO_IS_FirstRow,0,COLUMN())),0,ROUND(AO207-SUM(AK207,AL207,AM207,AN207),6)+ROUND(AO217-SUM(AK217,AL217,AM217,AN217),6))</f>
        <v>0</v>
      </c>
      <c r="AP1005" s="686"/>
      <c r="AQ1005" s="686"/>
      <c r="AR1005" s="686"/>
      <c r="AS1005" s="686"/>
      <c r="AT1005" s="686">
        <f>IF(ISBLANK(INDEX(MO_IS_FirstRow,0,COLUMN())),0,ROUND(AT207-SUM(AP207,AQ207,AR207,AS207),6)+ROUND(AT217-SUM(AP217,AQ217,AR217,AS217),6))</f>
        <v>-53.487000000000002</v>
      </c>
      <c r="AU1005" s="686"/>
      <c r="AV1005" s="686"/>
      <c r="AW1005" s="686"/>
      <c r="AX1005" s="686"/>
      <c r="AY1005" s="686">
        <f>IF(ISBLANK(INDEX(MO_IS_FirstRow,0,COLUMN())),0,ROUND(AY207-SUM(AU207,AV207,AW207,AX207),6)+ROUND(AY217-SUM(AU217,AV217,AW217,AX217),6))</f>
        <v>5.3950000000000005</v>
      </c>
      <c r="AZ1005" s="686"/>
      <c r="BA1005" s="686"/>
      <c r="BB1005" s="686"/>
      <c r="BC1005" s="686"/>
      <c r="BD1005" s="686">
        <f>IF(ISBLANK(INDEX(MO_IS_FirstRow,0,COLUMN())),0,ROUND(BD207-SUM(AZ207,BA207,BB207,BC207),6)+ROUND(BD217-SUM(AZ217,BA217,BB217,BC217),6))</f>
        <v>0</v>
      </c>
      <c r="BE1005" s="686"/>
      <c r="BF1005" s="686"/>
      <c r="BG1005" s="686"/>
      <c r="BH1005" s="686"/>
      <c r="BI1005" s="686">
        <f>IF(ISBLANK(INDEX(MO_IS_FirstRow,0,COLUMN())),0,ROUND(BI207-SUM(BE207,BF207,BG207,BH207),6)+ROUND(BI217-SUM(BE217,BF217,BG217,BH217),6))</f>
        <v>0</v>
      </c>
      <c r="BJ1005" s="687"/>
      <c r="BK1005" s="686"/>
      <c r="BL1005" s="686"/>
      <c r="BM1005" s="686"/>
      <c r="BN1005" s="686">
        <f>IF(ISBLANK(INDEX(MO_IS_FirstRow,0,COLUMN())),0,ROUND(BN207-SUM(BJ207,BK207,BL207,BM207),6)+ROUND(BN217-SUM(BJ217,BK217,BL217,BM217),6))</f>
        <v>0</v>
      </c>
      <c r="BO1005" s="686"/>
      <c r="BP1005" s="686"/>
      <c r="BQ1005" s="686"/>
      <c r="BR1005" s="686"/>
      <c r="BS1005" s="686">
        <f>IF(ISBLANK(INDEX(MO_IS_FirstRow,0,COLUMN())),0,ROUND(BS207-SUM(BO207,BP207,BQ207,BR207),6)+ROUND(BS217-SUM(BO217,BP217,BQ217,BR217),6))</f>
        <v>0</v>
      </c>
      <c r="BT1005" s="686"/>
      <c r="BU1005" s="686"/>
      <c r="BV1005" s="686"/>
      <c r="BW1005" s="122"/>
    </row>
    <row r="1006" spans="1:75" x14ac:dyDescent="0.5">
      <c r="A1006" s="122" t="s">
        <v>1570</v>
      </c>
      <c r="B1006" s="187"/>
      <c r="C1006" s="686"/>
      <c r="D1006" s="686"/>
      <c r="E1006" s="686"/>
      <c r="F1006" s="686">
        <f t="shared" ref="F1006:K1006" si="870">IF(OR(INDEX(MO_CFSum_Acquisition,1,COLUMN())&gt;0,INDEX(MO_CFSum_Divestiture,1,COLUMN())&lt;0,INDEX(MO_CFSum_Capex,1,COLUMN())&gt;0,INDEX(MO_CFSum_Dividend,1,COLUMN())&gt;0),"CHECK",0)</f>
        <v>0</v>
      </c>
      <c r="G1006" s="686">
        <f t="shared" si="870"/>
        <v>0</v>
      </c>
      <c r="H1006" s="686">
        <f t="shared" si="870"/>
        <v>0</v>
      </c>
      <c r="I1006" s="686">
        <f t="shared" si="870"/>
        <v>0</v>
      </c>
      <c r="J1006" s="686">
        <f t="shared" si="870"/>
        <v>0</v>
      </c>
      <c r="K1006" s="686">
        <f t="shared" si="870"/>
        <v>0</v>
      </c>
      <c r="L1006" s="686">
        <f t="shared" ref="L1006:AQ1006" si="871">IF(OR(INDEX(MO_CFSum_Acquisition,1,COLUMN())&gt;0,INDEX(MO_CFSum_Divestiture,1,COLUMN())&lt;0,INDEX(MO_CFSum_Capex,1,COLUMN())&gt;0,INDEX(MO_CFSum_Dividend,1,COLUMN())&gt;0),"CHECK",0)</f>
        <v>0</v>
      </c>
      <c r="M1006" s="686">
        <f t="shared" si="871"/>
        <v>0</v>
      </c>
      <c r="N1006" s="686">
        <f t="shared" si="871"/>
        <v>0</v>
      </c>
      <c r="O1006" s="686">
        <f t="shared" si="871"/>
        <v>0</v>
      </c>
      <c r="P1006" s="686">
        <f t="shared" si="871"/>
        <v>0</v>
      </c>
      <c r="Q1006" s="686">
        <f t="shared" si="871"/>
        <v>0</v>
      </c>
      <c r="R1006" s="686">
        <f t="shared" si="871"/>
        <v>0</v>
      </c>
      <c r="S1006" s="686">
        <f t="shared" si="871"/>
        <v>0</v>
      </c>
      <c r="T1006" s="686">
        <f t="shared" si="871"/>
        <v>0</v>
      </c>
      <c r="U1006" s="686">
        <f t="shared" si="871"/>
        <v>0</v>
      </c>
      <c r="V1006" s="686">
        <f t="shared" si="871"/>
        <v>0</v>
      </c>
      <c r="W1006" s="686">
        <f t="shared" si="871"/>
        <v>0</v>
      </c>
      <c r="X1006" s="686">
        <f t="shared" si="871"/>
        <v>0</v>
      </c>
      <c r="Y1006" s="686">
        <f t="shared" si="871"/>
        <v>0</v>
      </c>
      <c r="Z1006" s="686">
        <f t="shared" si="871"/>
        <v>0</v>
      </c>
      <c r="AA1006" s="686">
        <f t="shared" si="871"/>
        <v>0</v>
      </c>
      <c r="AB1006" s="686">
        <f t="shared" si="871"/>
        <v>0</v>
      </c>
      <c r="AC1006" s="686">
        <f t="shared" si="871"/>
        <v>0</v>
      </c>
      <c r="AD1006" s="686">
        <f t="shared" si="871"/>
        <v>0</v>
      </c>
      <c r="AE1006" s="686">
        <f t="shared" si="871"/>
        <v>0</v>
      </c>
      <c r="AF1006" s="686">
        <f t="shared" si="871"/>
        <v>0</v>
      </c>
      <c r="AG1006" s="686">
        <f t="shared" si="871"/>
        <v>0</v>
      </c>
      <c r="AH1006" s="686">
        <f t="shared" si="871"/>
        <v>0</v>
      </c>
      <c r="AI1006" s="686">
        <f t="shared" si="871"/>
        <v>0</v>
      </c>
      <c r="AJ1006" s="686">
        <f t="shared" si="871"/>
        <v>0</v>
      </c>
      <c r="AK1006" s="686">
        <f t="shared" si="871"/>
        <v>0</v>
      </c>
      <c r="AL1006" s="686">
        <f t="shared" si="871"/>
        <v>0</v>
      </c>
      <c r="AM1006" s="686">
        <f t="shared" si="871"/>
        <v>0</v>
      </c>
      <c r="AN1006" s="686">
        <f t="shared" si="871"/>
        <v>0</v>
      </c>
      <c r="AO1006" s="686">
        <f t="shared" si="871"/>
        <v>0</v>
      </c>
      <c r="AP1006" s="686">
        <f t="shared" si="871"/>
        <v>0</v>
      </c>
      <c r="AQ1006" s="686">
        <f t="shared" si="871"/>
        <v>0</v>
      </c>
      <c r="AR1006" s="686">
        <f t="shared" ref="AR1006:AV1006" si="872">IF(OR(INDEX(MO_CFSum_Acquisition,1,COLUMN())&gt;0,INDEX(MO_CFSum_Divestiture,1,COLUMN())&lt;0,INDEX(MO_CFSum_Capex,1,COLUMN())&gt;0,INDEX(MO_CFSum_Dividend,1,COLUMN())&gt;0),"CHECK",0)</f>
        <v>0</v>
      </c>
      <c r="AS1006" s="686">
        <f t="shared" si="872"/>
        <v>0</v>
      </c>
      <c r="AT1006" s="686">
        <f t="shared" si="872"/>
        <v>0</v>
      </c>
      <c r="AU1006" s="686">
        <f t="shared" si="872"/>
        <v>0</v>
      </c>
      <c r="AV1006" s="686">
        <f t="shared" si="872"/>
        <v>0</v>
      </c>
      <c r="AW1006" s="686">
        <f t="shared" ref="AW1006:BA1006" si="873">IF(OR(INDEX(MO_CFSum_Acquisition,1,COLUMN())&gt;0,INDEX(MO_CFSum_Divestiture,1,COLUMN())&lt;0,INDEX(MO_CFSum_Capex,1,COLUMN())&gt;0,INDEX(MO_CFSum_Dividend,1,COLUMN())&gt;0),"CHECK",0)</f>
        <v>0</v>
      </c>
      <c r="AX1006" s="686">
        <f t="shared" si="873"/>
        <v>0</v>
      </c>
      <c r="AY1006" s="686">
        <f t="shared" si="873"/>
        <v>0</v>
      </c>
      <c r="AZ1006" s="686">
        <f t="shared" si="873"/>
        <v>0</v>
      </c>
      <c r="BA1006" s="686">
        <f t="shared" si="873"/>
        <v>0</v>
      </c>
      <c r="BB1006" s="686">
        <f t="shared" ref="BB1006:BN1006" si="874">IF(OR(INDEX(MO_CFSum_Acquisition,1,COLUMN())&gt;0,INDEX(MO_CFSum_Divestiture,1,COLUMN())&lt;0,INDEX(MO_CFSum_Capex,1,COLUMN())&gt;0,INDEX(MO_CFSum_Dividend,1,COLUMN())&gt;0),"CHECK",0)</f>
        <v>0</v>
      </c>
      <c r="BC1006" s="686">
        <f t="shared" si="874"/>
        <v>0</v>
      </c>
      <c r="BD1006" s="686">
        <f t="shared" si="874"/>
        <v>0</v>
      </c>
      <c r="BE1006" s="686">
        <f t="shared" ref="BE1006:BM1006" si="875">IF(OR(INDEX(MO_CFSum_Acquisition,1,COLUMN())&gt;0,INDEX(MO_CFSum_Divestiture,1,COLUMN())&lt;0,INDEX(MO_CFSum_Capex,1,COLUMN())&gt;0,INDEX(MO_CFSum_Dividend,1,COLUMN())&gt;0),"CHECK",0)</f>
        <v>0</v>
      </c>
      <c r="BF1006" s="686">
        <f t="shared" si="875"/>
        <v>0</v>
      </c>
      <c r="BG1006" s="686">
        <f t="shared" si="875"/>
        <v>0</v>
      </c>
      <c r="BH1006" s="686">
        <f t="shared" si="875"/>
        <v>0</v>
      </c>
      <c r="BI1006" s="686">
        <f t="shared" si="875"/>
        <v>0</v>
      </c>
      <c r="BJ1006" s="687">
        <f>IF(OR(INDEX(MO_CFSum_Acquisition,1,COLUMN())&gt;0,INDEX(MO_CFSum_Divestiture,1,COLUMN())&lt;0,INDEX(MO_CFSum_Capex,1,COLUMN())&gt;0,INDEX(MO_CFSum_Dividend,1,COLUMN())&gt;0),"CHECK",0)</f>
        <v>0</v>
      </c>
      <c r="BK1006" s="686">
        <f t="shared" ca="1" si="875"/>
        <v>0</v>
      </c>
      <c r="BL1006" s="686">
        <f t="shared" ca="1" si="875"/>
        <v>0</v>
      </c>
      <c r="BM1006" s="686">
        <f t="shared" ca="1" si="875"/>
        <v>0</v>
      </c>
      <c r="BN1006" s="686">
        <f t="shared" ca="1" si="874"/>
        <v>0</v>
      </c>
      <c r="BO1006" s="686">
        <f t="shared" ref="BO1006:BV1006" ca="1" si="876">IF(OR(INDEX(MO_CFSum_Acquisition,1,COLUMN())&gt;0,INDEX(MO_CFSum_Divestiture,1,COLUMN())&lt;0,INDEX(MO_CFSum_Capex,1,COLUMN())&gt;0,INDEX(MO_CFSum_Dividend,1,COLUMN())&gt;0),"CHECK",0)</f>
        <v>0</v>
      </c>
      <c r="BP1006" s="686">
        <f t="shared" ca="1" si="876"/>
        <v>0</v>
      </c>
      <c r="BQ1006" s="686">
        <f t="shared" ca="1" si="876"/>
        <v>0</v>
      </c>
      <c r="BR1006" s="686">
        <f t="shared" ca="1" si="876"/>
        <v>0</v>
      </c>
      <c r="BS1006" s="686">
        <f t="shared" ca="1" si="876"/>
        <v>0</v>
      </c>
      <c r="BT1006" s="686">
        <f t="shared" ca="1" si="876"/>
        <v>0</v>
      </c>
      <c r="BU1006" s="686">
        <f t="shared" ca="1" si="876"/>
        <v>0</v>
      </c>
      <c r="BV1006" s="686">
        <f t="shared" ca="1" si="876"/>
        <v>0</v>
      </c>
      <c r="BW1006" s="122"/>
    </row>
    <row r="1007" spans="1:75" x14ac:dyDescent="0.5">
      <c r="A1007" s="122" t="s">
        <v>1571</v>
      </c>
      <c r="B1007" s="187"/>
      <c r="C1007" s="686"/>
      <c r="D1007" s="686"/>
      <c r="E1007" s="686"/>
      <c r="F1007" s="686"/>
      <c r="G1007" s="686"/>
      <c r="H1007" s="686"/>
      <c r="I1007" s="686"/>
      <c r="J1007" s="686"/>
      <c r="K1007" s="686">
        <f>ROUND(K255-SUM(G255,H255,I255,J255),6)</f>
        <v>0</v>
      </c>
      <c r="L1007" s="686"/>
      <c r="M1007" s="686"/>
      <c r="N1007" s="686"/>
      <c r="O1007" s="686"/>
      <c r="P1007" s="686">
        <f>ROUND(P255-SUM(L255,M255,N255,O255),6)</f>
        <v>0</v>
      </c>
      <c r="Q1007" s="686"/>
      <c r="R1007" s="686"/>
      <c r="S1007" s="686"/>
      <c r="T1007" s="686"/>
      <c r="U1007" s="686">
        <f>ROUND(U255-SUM(Q255,R255,S255,T255),6)</f>
        <v>0</v>
      </c>
      <c r="V1007" s="686"/>
      <c r="W1007" s="686"/>
      <c r="X1007" s="686"/>
      <c r="Y1007" s="686"/>
      <c r="Z1007" s="686">
        <f>ROUND(Z255-SUM(V255,W255,X255,Y255),6)</f>
        <v>0</v>
      </c>
      <c r="AA1007" s="686"/>
      <c r="AB1007" s="686"/>
      <c r="AC1007" s="686"/>
      <c r="AD1007" s="686"/>
      <c r="AE1007" s="686">
        <f>ROUND(AE255-SUM(AA255,AB255,AC255,AD255),6)</f>
        <v>0</v>
      </c>
      <c r="AF1007" s="686"/>
      <c r="AG1007" s="686"/>
      <c r="AH1007" s="686"/>
      <c r="AI1007" s="686"/>
      <c r="AJ1007" s="686">
        <f>ROUND(AJ255-SUM(AF255,AG255,AH255,AI255),6)</f>
        <v>0</v>
      </c>
      <c r="AK1007" s="686"/>
      <c r="AL1007" s="686"/>
      <c r="AM1007" s="686"/>
      <c r="AN1007" s="686"/>
      <c r="AO1007" s="686">
        <f>ROUND(AO255-SUM(AK255,AL255,AM255,AN255),6)</f>
        <v>0</v>
      </c>
      <c r="AP1007" s="686"/>
      <c r="AQ1007" s="686"/>
      <c r="AR1007" s="686"/>
      <c r="AS1007" s="686"/>
      <c r="AT1007" s="686">
        <f>ROUND(AT255-SUM(AP255,AQ255,AR255,AS255),6)</f>
        <v>0</v>
      </c>
      <c r="AU1007" s="686"/>
      <c r="AV1007" s="686"/>
      <c r="AW1007" s="686"/>
      <c r="AX1007" s="686"/>
      <c r="AY1007" s="686">
        <f>ROUND(AY255-SUM(AU255,AV255,AW255,AX255),6)</f>
        <v>0.21199999999999999</v>
      </c>
      <c r="AZ1007" s="686"/>
      <c r="BA1007" s="686"/>
      <c r="BB1007" s="686"/>
      <c r="BC1007" s="686"/>
      <c r="BD1007" s="686">
        <f>ROUND(BD255-SUM(AZ255,BA255,BB255,BC255),6)</f>
        <v>0</v>
      </c>
      <c r="BE1007" s="686"/>
      <c r="BF1007" s="686"/>
      <c r="BG1007" s="686"/>
      <c r="BH1007" s="686"/>
      <c r="BI1007" s="686">
        <f>ROUND(BI255-SUM(BE255,BF255,BG255,BH255),6)</f>
        <v>0</v>
      </c>
      <c r="BJ1007" s="687"/>
      <c r="BK1007" s="686"/>
      <c r="BL1007" s="686"/>
      <c r="BM1007" s="686"/>
      <c r="BN1007" s="686">
        <f ca="1">ROUND(BN255-SUM(BJ255,BK255,BL255,BM255),6)</f>
        <v>0</v>
      </c>
      <c r="BO1007" s="686"/>
      <c r="BP1007" s="686"/>
      <c r="BQ1007" s="686"/>
      <c r="BR1007" s="686"/>
      <c r="BS1007" s="686">
        <f ca="1">ROUND(BS255-SUM(BO255,BP255,BQ255,BR255),6)</f>
        <v>0</v>
      </c>
      <c r="BT1007" s="686"/>
      <c r="BU1007" s="686"/>
      <c r="BV1007" s="686"/>
      <c r="BW1007" s="122"/>
    </row>
    <row r="1008" spans="1:75" x14ac:dyDescent="0.5">
      <c r="A1008" s="122" t="s">
        <v>1572</v>
      </c>
      <c r="B1008" s="187"/>
      <c r="C1008" s="686"/>
      <c r="D1008" s="686"/>
      <c r="E1008" s="686"/>
      <c r="F1008" s="686"/>
      <c r="G1008" s="686"/>
      <c r="H1008" s="686"/>
      <c r="I1008" s="686"/>
      <c r="J1008" s="686"/>
      <c r="K1008" s="686">
        <f>ROUND(SUM(G264,H264,I264,J264)-INDEX(MO_RIS_NI_NONGAAP_Diluted,1,COLUMN()),6)</f>
        <v>-321.79129999999998</v>
      </c>
      <c r="L1008" s="686"/>
      <c r="M1008" s="686"/>
      <c r="N1008" s="686"/>
      <c r="O1008" s="686"/>
      <c r="P1008" s="686">
        <f>ROUND(SUM(L264,M264,N264,O264)-INDEX(MO_RIS_NI_NONGAAP_Diluted,1,COLUMN()),6)</f>
        <v>-389.726</v>
      </c>
      <c r="Q1008" s="686"/>
      <c r="R1008" s="686"/>
      <c r="S1008" s="686"/>
      <c r="T1008" s="686"/>
      <c r="U1008" s="686">
        <f>ROUND(SUM(Q264,R264,S264,T264)-INDEX(MO_RIS_NI_NONGAAP_Diluted,1,COLUMN()),6)</f>
        <v>-357.43799999999999</v>
      </c>
      <c r="V1008" s="686"/>
      <c r="W1008" s="686"/>
      <c r="X1008" s="686"/>
      <c r="Y1008" s="686"/>
      <c r="Z1008" s="686">
        <f>ROUND(SUM(V264,W264,X264,Y264)-INDEX(MO_RIS_NI_NONGAAP_Diluted,1,COLUMN()),6)</f>
        <v>-448.99023999999997</v>
      </c>
      <c r="AA1008" s="686"/>
      <c r="AB1008" s="686"/>
      <c r="AC1008" s="686"/>
      <c r="AD1008" s="686"/>
      <c r="AE1008" s="686">
        <f>ROUND(SUM(AA264,AB264,AC264,AD264)-INDEX(MO_RIS_NI_NONGAAP_Diluted,1,COLUMN()),6)</f>
        <v>-482.46699999999998</v>
      </c>
      <c r="AF1008" s="686"/>
      <c r="AG1008" s="686"/>
      <c r="AH1008" s="686"/>
      <c r="AI1008" s="686"/>
      <c r="AJ1008" s="686">
        <f>ROUND(SUM(AF264,AG264,AH264,AI264)-INDEX(MO_RIS_NI_NONGAAP_Diluted,1,COLUMN()),6)</f>
        <v>-733.17</v>
      </c>
      <c r="AK1008" s="686"/>
      <c r="AL1008" s="686"/>
      <c r="AM1008" s="686"/>
      <c r="AN1008" s="686"/>
      <c r="AO1008" s="686">
        <f>ROUND(SUM(AK264,AL264,AM264,AN264)-INDEX(MO_RIS_NI_NONGAAP_Diluted,1,COLUMN()),6)</f>
        <v>-1123.818</v>
      </c>
      <c r="AP1008" s="686"/>
      <c r="AQ1008" s="686"/>
      <c r="AR1008" s="686"/>
      <c r="AS1008" s="686"/>
      <c r="AT1008" s="686">
        <f>ROUND(SUM(AP264,AQ264,AR264,AS264)-INDEX(MO_RIS_NI_NONGAAP_Diluted,1,COLUMN()),6)</f>
        <v>-146.35300000000001</v>
      </c>
      <c r="AU1008" s="686"/>
      <c r="AV1008" s="686"/>
      <c r="AW1008" s="686"/>
      <c r="AX1008" s="686"/>
      <c r="AY1008" s="686">
        <f>ROUND(SUM(AU264,AV264,AW264,AX264)-INDEX(MO_RIS_NI_NONGAAP_Diluted,1,COLUMN()),6)</f>
        <v>-863.3</v>
      </c>
      <c r="AZ1008" s="686"/>
      <c r="BA1008" s="686"/>
      <c r="BB1008" s="686"/>
      <c r="BC1008" s="686"/>
      <c r="BD1008" s="686">
        <f>ROUND(SUM(AZ264,BA264,BB264,BC264)-INDEX(MO_RIS_NI_NONGAAP_Diluted,1,COLUMN()),6)</f>
        <v>-1960.751</v>
      </c>
      <c r="BE1008" s="686"/>
      <c r="BF1008" s="686"/>
      <c r="BG1008" s="686"/>
      <c r="BH1008" s="686"/>
      <c r="BI1008" s="686">
        <f>ROUND(SUM(BE264,BF264,BG264,BH264)-INDEX(MO_RIS_NI_NONGAAP_Diluted,1,COLUMN()),6)</f>
        <v>-1096.145</v>
      </c>
      <c r="BJ1008" s="687"/>
      <c r="BK1008" s="686"/>
      <c r="BL1008" s="686"/>
      <c r="BM1008" s="686"/>
      <c r="BN1008" s="686">
        <f ca="1">ROUND(SUM(BJ264,BK264,BL264,BM264)-INDEX(MO_RIS_NI_NONGAAP_Diluted,1,COLUMN()),6)</f>
        <v>-1113.419472</v>
      </c>
      <c r="BO1008" s="686"/>
      <c r="BP1008" s="686"/>
      <c r="BQ1008" s="686"/>
      <c r="BR1008" s="686"/>
      <c r="BS1008" s="686">
        <f ca="1">ROUND(SUM(BO264,BP264,BQ264,BR264)-INDEX(MO_RIS_NI_NONGAAP_Diluted,1,COLUMN()),6)</f>
        <v>-1205.8246710000001</v>
      </c>
      <c r="BT1008" s="686"/>
      <c r="BU1008" s="686"/>
      <c r="BV1008" s="686"/>
      <c r="BW1008" s="122"/>
    </row>
    <row r="1009" spans="1:75" x14ac:dyDescent="0.5">
      <c r="A1009" s="122" t="s">
        <v>1573</v>
      </c>
      <c r="B1009" s="187"/>
      <c r="C1009" s="686"/>
      <c r="D1009" s="686"/>
      <c r="E1009" s="686"/>
      <c r="F1009" s="686"/>
      <c r="G1009" s="686"/>
      <c r="H1009" s="686"/>
      <c r="I1009" s="686"/>
      <c r="J1009" s="686"/>
      <c r="K1009" s="686">
        <f ca="1">ROUND(SUM(G845,H845,I845,J845)-SUM(OFFSET(INDEX(MO_CFS_CFO_BeforeWC,1,COLUMN()),ROW(INDEX(MO_SubSection_CFS_CFO,1,COLUMN()))-ROW(INDEX(MO_CFS_CFO_BeforeWC,1,COLUMN())),0,ROW(INDEX(MO_CFS_CFO_BeforeWC,1,COLUMN()))-ROW(INDEX(MO_SubSection_CFS_CFO,1,COLUMN())),1)),6)</f>
        <v>-418.911</v>
      </c>
      <c r="L1009" s="686"/>
      <c r="M1009" s="686"/>
      <c r="N1009" s="686"/>
      <c r="O1009" s="686"/>
      <c r="P1009" s="686">
        <f ca="1">ROUND(SUM(L845,M845,N845,O845)-SUM(OFFSET(INDEX(MO_CFS_CFO_BeforeWC,1,COLUMN()),ROW(INDEX(MO_SubSection_CFS_CFO,1,COLUMN()))-ROW(INDEX(MO_CFS_CFO_BeforeWC,1,COLUMN())),0,ROW(INDEX(MO_CFS_CFO_BeforeWC,1,COLUMN()))-ROW(INDEX(MO_SubSection_CFS_CFO,1,COLUMN())),1)),6)</f>
        <v>-559.20500000000004</v>
      </c>
      <c r="Q1009" s="686"/>
      <c r="R1009" s="686"/>
      <c r="S1009" s="686"/>
      <c r="T1009" s="686"/>
      <c r="U1009" s="686">
        <f ca="1">ROUND(SUM(Q845,R845,S845,T845)-SUM(OFFSET(INDEX(MO_CFS_CFO_BeforeWC,1,COLUMN()),ROW(INDEX(MO_SubSection_CFS_CFO,1,COLUMN()))-ROW(INDEX(MO_CFS_CFO_BeforeWC,1,COLUMN())),0,ROW(INDEX(MO_CFS_CFO_BeforeWC,1,COLUMN()))-ROW(INDEX(MO_SubSection_CFS_CFO,1,COLUMN())),1)),6)</f>
        <v>-505.56599999999997</v>
      </c>
      <c r="V1009" s="686"/>
      <c r="W1009" s="686"/>
      <c r="X1009" s="686"/>
      <c r="Y1009" s="686"/>
      <c r="Z1009" s="686">
        <f ca="1">ROUND(SUM(V845,W845,X845,Y845)-SUM(OFFSET(INDEX(MO_CFS_CFO_BeforeWC,1,COLUMN()),ROW(INDEX(MO_SubSection_CFS_CFO,1,COLUMN()))-ROW(INDEX(MO_CFS_CFO_BeforeWC,1,COLUMN())),0,ROW(INDEX(MO_CFS_CFO_BeforeWC,1,COLUMN()))-ROW(INDEX(MO_SubSection_CFS_CFO,1,COLUMN())),1)),6)</f>
        <v>-602.38900000000001</v>
      </c>
      <c r="AA1009" s="686"/>
      <c r="AB1009" s="686"/>
      <c r="AC1009" s="686"/>
      <c r="AD1009" s="686"/>
      <c r="AE1009" s="686">
        <f ca="1">ROUND(SUM(AA845,AB845,AC845,AD845)-SUM(OFFSET(INDEX(MO_CFS_CFO_BeforeWC,1,COLUMN()),ROW(INDEX(MO_SubSection_CFS_CFO,1,COLUMN()))-ROW(INDEX(MO_CFS_CFO_BeforeWC,1,COLUMN())),0,ROW(INDEX(MO_CFS_CFO_BeforeWC,1,COLUMN()))-ROW(INDEX(MO_SubSection_CFS_CFO,1,COLUMN())),1)),6)</f>
        <v>-608.09900000000005</v>
      </c>
      <c r="AF1009" s="686"/>
      <c r="AG1009" s="686"/>
      <c r="AH1009" s="686"/>
      <c r="AI1009" s="686"/>
      <c r="AJ1009" s="686">
        <f ca="1">ROUND(SUM(AF845,AG845,AH845,AI845)-SUM(OFFSET(INDEX(MO_CFS_CFO_BeforeWC,1,COLUMN()),ROW(INDEX(MO_SubSection_CFS_CFO,1,COLUMN()))-ROW(INDEX(MO_CFS_CFO_BeforeWC,1,COLUMN())),0,ROW(INDEX(MO_CFS_CFO_BeforeWC,1,COLUMN()))-ROW(INDEX(MO_SubSection_CFS_CFO,1,COLUMN())),1)),6)</f>
        <v>-819.80899999999997</v>
      </c>
      <c r="AK1009" s="686"/>
      <c r="AL1009" s="686"/>
      <c r="AM1009" s="686"/>
      <c r="AN1009" s="686"/>
      <c r="AO1009" s="686">
        <f ca="1">ROUND(SUM(AK845,AL845,AM845,AN845)-SUM(OFFSET(INDEX(MO_CFS_CFO_BeforeWC,1,COLUMN()),ROW(INDEX(MO_SubSection_CFS_CFO,1,COLUMN()))-ROW(INDEX(MO_CFS_CFO_BeforeWC,1,COLUMN())),0,ROW(INDEX(MO_CFS_CFO_BeforeWC,1,COLUMN()))-ROW(INDEX(MO_SubSection_CFS_CFO,1,COLUMN())),1)),6)</f>
        <v>-1319.546</v>
      </c>
      <c r="AP1009" s="686"/>
      <c r="AQ1009" s="686"/>
      <c r="AR1009" s="686"/>
      <c r="AS1009" s="686"/>
      <c r="AT1009" s="686">
        <f ca="1">ROUND(SUM(AP845,AQ845,AR845,AS845)-SUM(OFFSET(INDEX(MO_CFS_CFO_BeforeWC,1,COLUMN()),ROW(INDEX(MO_SubSection_CFS_CFO,1,COLUMN()))-ROW(INDEX(MO_CFS_CFO_BeforeWC,1,COLUMN())),0,ROW(INDEX(MO_CFS_CFO_BeforeWC,1,COLUMN()))-ROW(INDEX(MO_SubSection_CFS_CFO,1,COLUMN())),1)),6)</f>
        <v>-278.33800000000002</v>
      </c>
      <c r="AU1009" s="686"/>
      <c r="AV1009" s="686"/>
      <c r="AW1009" s="686"/>
      <c r="AX1009" s="686"/>
      <c r="AY1009" s="686">
        <f ca="1">ROUND(SUM(AU845,AV845,AW845,AX845)-SUM(OFFSET(INDEX(MO_CFS_CFO_BeforeWC,1,COLUMN()),ROW(INDEX(MO_SubSection_CFS_CFO,1,COLUMN()))-ROW(INDEX(MO_CFS_CFO_BeforeWC,1,COLUMN())),0,ROW(INDEX(MO_CFS_CFO_BeforeWC,1,COLUMN()))-ROW(INDEX(MO_SubSection_CFS_CFO,1,COLUMN())),1)),6)</f>
        <v>-1074.1079999999999</v>
      </c>
      <c r="AZ1009" s="686"/>
      <c r="BA1009" s="686"/>
      <c r="BB1009" s="686"/>
      <c r="BC1009" s="686"/>
      <c r="BD1009" s="686">
        <f ca="1">ROUND(SUM(AZ845,BA845,BB845,BC845)-SUM(OFFSET(INDEX(MO_CFS_CFO_BeforeWC,1,COLUMN()),ROW(INDEX(MO_SubSection_CFS_CFO,1,COLUMN()))-ROW(INDEX(MO_CFS_CFO_BeforeWC,1,COLUMN())),0,ROW(INDEX(MO_CFS_CFO_BeforeWC,1,COLUMN()))-ROW(INDEX(MO_SubSection_CFS_CFO,1,COLUMN())),1)),6)</f>
        <v>-2117.6289999999999</v>
      </c>
      <c r="BE1009" s="686"/>
      <c r="BF1009" s="686"/>
      <c r="BG1009" s="686"/>
      <c r="BH1009" s="686"/>
      <c r="BI1009" s="686">
        <f ca="1">ROUND(SUM(BE845,BF845,BG845,BH845)-SUM(OFFSET(INDEX(MO_CFS_CFO_BeforeWC,1,COLUMN()),ROW(INDEX(MO_SubSection_CFS_CFO,1,COLUMN()))-ROW(INDEX(MO_CFS_CFO_BeforeWC,1,COLUMN())),0,ROW(INDEX(MO_CFS_CFO_BeforeWC,1,COLUMN()))-ROW(INDEX(MO_SubSection_CFS_CFO,1,COLUMN())),1)),6)</f>
        <v>-1309.3800000000001</v>
      </c>
      <c r="BJ1009" s="687"/>
      <c r="BK1009" s="686"/>
      <c r="BL1009" s="686"/>
      <c r="BM1009" s="686"/>
      <c r="BN1009" s="686">
        <f ca="1">ROUND(SUM(BJ845,BK845,BL845,BM845)-SUM(OFFSET(INDEX(MO_CFS_CFO_BeforeWC,1,COLUMN()),ROW(INDEX(MO_SubSection_CFS_CFO,1,COLUMN()))-ROW(INDEX(MO_CFS_CFO_BeforeWC,1,COLUMN())),0,ROW(INDEX(MO_CFS_CFO_BeforeWC,1,COLUMN()))-ROW(INDEX(MO_SubSection_CFS_CFO,1,COLUMN())),1)),6)</f>
        <v>-1323.736067</v>
      </c>
      <c r="BO1009" s="686"/>
      <c r="BP1009" s="686"/>
      <c r="BQ1009" s="686"/>
      <c r="BR1009" s="686"/>
      <c r="BS1009" s="686">
        <f ca="1">ROUND(SUM(BO845,BP845,BQ845,BR845)-SUM(OFFSET(INDEX(MO_CFS_CFO_BeforeWC,1,COLUMN()),ROW(INDEX(MO_SubSection_CFS_CFO,1,COLUMN()))-ROW(INDEX(MO_CFS_CFO_BeforeWC,1,COLUMN())),0,ROW(INDEX(MO_CFS_CFO_BeforeWC,1,COLUMN()))-ROW(INDEX(MO_SubSection_CFS_CFO,1,COLUMN())),1)),6)</f>
        <v>-1151.66202</v>
      </c>
      <c r="BT1009" s="686"/>
      <c r="BU1009" s="686"/>
      <c r="BV1009" s="686"/>
      <c r="BW1009" s="122"/>
    </row>
    <row r="1010" spans="1:75" x14ac:dyDescent="0.5">
      <c r="A1010" s="122" t="s">
        <v>1574</v>
      </c>
      <c r="B1010" s="187"/>
      <c r="C1010" s="686"/>
      <c r="D1010" s="686"/>
      <c r="E1010" s="686"/>
      <c r="F1010" s="686"/>
      <c r="G1010" s="686"/>
      <c r="H1010" s="686"/>
      <c r="I1010" s="686"/>
      <c r="J1010" s="686"/>
      <c r="K1010" s="686">
        <f ca="1">ROUND(SUM(G853,H853,I853,J853)-SUM(OFFSET(INDEX(MO_CFS_CFO,1,COLUMN()),ROW(INDEX(MO_CFS_CFO_BeforeWC,1,COLUMN()))-ROW(INDEX(MO_CFS_CFO,1,COLUMN())),0,ROW(INDEX(MO_CFS_CFO,1,COLUMN()))-ROW(INDEX(MO_CFS_CFO_BeforeWC,1,COLUMN())),1)),6)</f>
        <v>-419.35599999999999</v>
      </c>
      <c r="L1010" s="686"/>
      <c r="M1010" s="686"/>
      <c r="N1010" s="686"/>
      <c r="O1010" s="686"/>
      <c r="P1010" s="686">
        <f ca="1">ROUND(SUM(L853,M853,N853,O853)-SUM(OFFSET(INDEX(MO_CFS_CFO,1,COLUMN()),ROW(INDEX(MO_CFS_CFO_BeforeWC,1,COLUMN()))-ROW(INDEX(MO_CFS_CFO,1,COLUMN())),0,ROW(INDEX(MO_CFS_CFO,1,COLUMN()))-ROW(INDEX(MO_CFS_CFO_BeforeWC,1,COLUMN())),1)),6)</f>
        <v>-457.572</v>
      </c>
      <c r="Q1010" s="686"/>
      <c r="R1010" s="686"/>
      <c r="S1010" s="686"/>
      <c r="T1010" s="686"/>
      <c r="U1010" s="686">
        <f ca="1">ROUND(SUM(Q853,R853,S853,T853)-SUM(OFFSET(INDEX(MO_CFS_CFO,1,COLUMN()),ROW(INDEX(MO_CFS_CFO_BeforeWC,1,COLUMN()))-ROW(INDEX(MO_CFS_CFO,1,COLUMN())),0,ROW(INDEX(MO_CFS_CFO,1,COLUMN()))-ROW(INDEX(MO_CFS_CFO_BeforeWC,1,COLUMN())),1)),6)</f>
        <v>-408.90499999999997</v>
      </c>
      <c r="V1010" s="686"/>
      <c r="W1010" s="686"/>
      <c r="X1010" s="686"/>
      <c r="Y1010" s="686"/>
      <c r="Z1010" s="686">
        <f ca="1">ROUND(SUM(V853,W853,X853,Y853)-SUM(OFFSET(INDEX(MO_CFS_CFO,1,COLUMN()),ROW(INDEX(MO_CFS_CFO_BeforeWC,1,COLUMN()))-ROW(INDEX(MO_CFS_CFO,1,COLUMN())),0,ROW(INDEX(MO_CFS_CFO,1,COLUMN()))-ROW(INDEX(MO_CFS_CFO_BeforeWC,1,COLUMN())),1)),6)</f>
        <v>-461.89499999999998</v>
      </c>
      <c r="AA1010" s="686"/>
      <c r="AB1010" s="686"/>
      <c r="AC1010" s="686"/>
      <c r="AD1010" s="686"/>
      <c r="AE1010" s="686">
        <f ca="1">ROUND(SUM(AA853,AB853,AC853,AD853)-SUM(OFFSET(INDEX(MO_CFS_CFO,1,COLUMN()),ROW(INDEX(MO_CFS_CFO_BeforeWC,1,COLUMN()))-ROW(INDEX(MO_CFS_CFO,1,COLUMN())),0,ROW(INDEX(MO_CFS_CFO,1,COLUMN()))-ROW(INDEX(MO_CFS_CFO_BeforeWC,1,COLUMN())),1)),6)</f>
        <v>-466.07</v>
      </c>
      <c r="AF1010" s="686"/>
      <c r="AG1010" s="686"/>
      <c r="AH1010" s="686"/>
      <c r="AI1010" s="686"/>
      <c r="AJ1010" s="686">
        <f ca="1">ROUND(SUM(AF853,AG853,AH853,AI853)-SUM(OFFSET(INDEX(MO_CFS_CFO,1,COLUMN()),ROW(INDEX(MO_CFS_CFO_BeforeWC,1,COLUMN()))-ROW(INDEX(MO_CFS_CFO,1,COLUMN())),0,ROW(INDEX(MO_CFS_CFO,1,COLUMN()))-ROW(INDEX(MO_CFS_CFO_BeforeWC,1,COLUMN())),1)),6)</f>
        <v>-501.125</v>
      </c>
      <c r="AK1010" s="686"/>
      <c r="AL1010" s="686"/>
      <c r="AM1010" s="686"/>
      <c r="AN1010" s="686"/>
      <c r="AO1010" s="686">
        <f ca="1">ROUND(SUM(AK853,AL853,AM853,AN853)-SUM(OFFSET(INDEX(MO_CFS_CFO,1,COLUMN()),ROW(INDEX(MO_CFS_CFO_BeforeWC,1,COLUMN()))-ROW(INDEX(MO_CFS_CFO,1,COLUMN())),0,ROW(INDEX(MO_CFS_CFO,1,COLUMN()))-ROW(INDEX(MO_CFS_CFO_BeforeWC,1,COLUMN())),1)),6)</f>
        <v>-804.11199999999997</v>
      </c>
      <c r="AP1010" s="686"/>
      <c r="AQ1010" s="686"/>
      <c r="AR1010" s="686"/>
      <c r="AS1010" s="686"/>
      <c r="AT1010" s="686">
        <f ca="1">ROUND(SUM(AP853,AQ853,AR853,AS853)-SUM(OFFSET(INDEX(MO_CFS_CFO,1,COLUMN()),ROW(INDEX(MO_CFS_CFO_BeforeWC,1,COLUMN()))-ROW(INDEX(MO_CFS_CFO,1,COLUMN())),0,ROW(INDEX(MO_CFS_CFO,1,COLUMN()))-ROW(INDEX(MO_CFS_CFO_BeforeWC,1,COLUMN())),1)),6)</f>
        <v>141.88300000000001</v>
      </c>
      <c r="AU1010" s="686"/>
      <c r="AV1010" s="686"/>
      <c r="AW1010" s="686"/>
      <c r="AX1010" s="686"/>
      <c r="AY1010" s="686">
        <f ca="1">ROUND(SUM(AU853,AV853,AW853,AX853)-SUM(OFFSET(INDEX(MO_CFS_CFO,1,COLUMN()),ROW(INDEX(MO_CFS_CFO_BeforeWC,1,COLUMN()))-ROW(INDEX(MO_CFS_CFO,1,COLUMN())),0,ROW(INDEX(MO_CFS_CFO,1,COLUMN()))-ROW(INDEX(MO_CFS_CFO_BeforeWC,1,COLUMN())),1)),6)</f>
        <v>-961.14700000000005</v>
      </c>
      <c r="AZ1010" s="686"/>
      <c r="BA1010" s="686"/>
      <c r="BB1010" s="686"/>
      <c r="BC1010" s="686"/>
      <c r="BD1010" s="686">
        <f ca="1">ROUND(SUM(AZ853,BA853,BB853,BC853)-SUM(OFFSET(INDEX(MO_CFS_CFO,1,COLUMN()),ROW(INDEX(MO_CFS_CFO_BeforeWC,1,COLUMN()))-ROW(INDEX(MO_CFS_CFO,1,COLUMN())),0,ROW(INDEX(MO_CFS_CFO,1,COLUMN()))-ROW(INDEX(MO_CFS_CFO_BeforeWC,1,COLUMN())),1)),6)</f>
        <v>-1726.8219999999999</v>
      </c>
      <c r="BE1010" s="686"/>
      <c r="BF1010" s="686"/>
      <c r="BG1010" s="686"/>
      <c r="BH1010" s="686"/>
      <c r="BI1010" s="686">
        <f ca="1">ROUND(SUM(BE853,BF853,BG853,BH853)-SUM(OFFSET(INDEX(MO_CFS_CFO,1,COLUMN()),ROW(INDEX(MO_CFS_CFO_BeforeWC,1,COLUMN()))-ROW(INDEX(MO_CFS_CFO,1,COLUMN())),0,ROW(INDEX(MO_CFS_CFO,1,COLUMN()))-ROW(INDEX(MO_CFS_CFO_BeforeWC,1,COLUMN())),1)),6)</f>
        <v>-1331.2729999999999</v>
      </c>
      <c r="BJ1010" s="687"/>
      <c r="BK1010" s="686"/>
      <c r="BL1010" s="686"/>
      <c r="BM1010" s="686"/>
      <c r="BN1010" s="686">
        <f ca="1">ROUND(SUM(BJ853,BK853,BL853,BM853)-SUM(OFFSET(INDEX(MO_CFS_CFO,1,COLUMN()),ROW(INDEX(MO_CFS_CFO_BeforeWC,1,COLUMN()))-ROW(INDEX(MO_CFS_CFO,1,COLUMN())),0,ROW(INDEX(MO_CFS_CFO,1,COLUMN()))-ROW(INDEX(MO_CFS_CFO_BeforeWC,1,COLUMN())),1)),6)</f>
        <v>-1293.3087129999999</v>
      </c>
      <c r="BO1010" s="686"/>
      <c r="BP1010" s="686"/>
      <c r="BQ1010" s="686"/>
      <c r="BR1010" s="686"/>
      <c r="BS1010" s="686">
        <f ca="1">ROUND(SUM(BO853,BP853,BQ853,BR853)-SUM(OFFSET(INDEX(MO_CFS_CFO,1,COLUMN()),ROW(INDEX(MO_CFS_CFO_BeforeWC,1,COLUMN()))-ROW(INDEX(MO_CFS_CFO,1,COLUMN())),0,ROW(INDEX(MO_CFS_CFO,1,COLUMN()))-ROW(INDEX(MO_CFS_CFO_BeforeWC,1,COLUMN())),1)),6)</f>
        <v>-1094.895516</v>
      </c>
      <c r="BT1010" s="686"/>
      <c r="BU1010" s="686"/>
      <c r="BV1010" s="686"/>
      <c r="BW1010" s="122"/>
    </row>
    <row r="1011" spans="1:75" x14ac:dyDescent="0.5">
      <c r="A1011" s="122" t="s">
        <v>1575</v>
      </c>
      <c r="B1011" s="187"/>
      <c r="C1011" s="686"/>
      <c r="D1011" s="686"/>
      <c r="E1011" s="686"/>
      <c r="F1011" s="686"/>
      <c r="G1011" s="686"/>
      <c r="H1011" s="686"/>
      <c r="I1011" s="686"/>
      <c r="J1011" s="686"/>
      <c r="K1011" s="686">
        <f ca="1">ROUND(SUM(G863,H863,I863,J863)-SUM(OFFSET(INDEX(MO_CFS_CFI,1,COLUMN()),ROW(INDEX(MO_SubSection_CFS_CFI,1,COLUMN()))-ROW(INDEX(MO_CFS_CFI,1,COLUMN())),0,ROW(INDEX(MO_CFS_CFI,1,COLUMN()))-ROW(INDEX(MO_SubSection_CFS_CFI,1,COLUMN())),1)),6)</f>
        <v>143.63300000000001</v>
      </c>
      <c r="L1011" s="686"/>
      <c r="M1011" s="686"/>
      <c r="N1011" s="686"/>
      <c r="O1011" s="686"/>
      <c r="P1011" s="686">
        <f ca="1">ROUND(SUM(L863,M863,N863,O863)-SUM(OFFSET(INDEX(MO_CFS_CFI,1,COLUMN()),ROW(INDEX(MO_SubSection_CFS_CFI,1,COLUMN()))-ROW(INDEX(MO_CFS_CFI,1,COLUMN())),0,ROW(INDEX(MO_CFS_CFI,1,COLUMN()))-ROW(INDEX(MO_SubSection_CFS_CFI,1,COLUMN())),1)),6)</f>
        <v>133.16499999999999</v>
      </c>
      <c r="Q1011" s="686"/>
      <c r="R1011" s="686"/>
      <c r="S1011" s="686"/>
      <c r="T1011" s="686"/>
      <c r="U1011" s="686">
        <f ca="1">ROUND(SUM(Q863,R863,S863,T863)-SUM(OFFSET(INDEX(MO_CFS_CFI,1,COLUMN()),ROW(INDEX(MO_SubSection_CFS_CFI,1,COLUMN()))-ROW(INDEX(MO_CFS_CFI,1,COLUMN())),0,ROW(INDEX(MO_CFS_CFI,1,COLUMN()))-ROW(INDEX(MO_SubSection_CFS_CFI,1,COLUMN())),1)),6)</f>
        <v>64.438000000000002</v>
      </c>
      <c r="V1011" s="686"/>
      <c r="W1011" s="686"/>
      <c r="X1011" s="686"/>
      <c r="Y1011" s="686"/>
      <c r="Z1011" s="686">
        <f ca="1">ROUND(SUM(V863,W863,X863,Y863)-SUM(OFFSET(INDEX(MO_CFS_CFI,1,COLUMN()),ROW(INDEX(MO_SubSection_CFS_CFI,1,COLUMN()))-ROW(INDEX(MO_CFS_CFI,1,COLUMN())),0,ROW(INDEX(MO_CFS_CFI,1,COLUMN()))-ROW(INDEX(MO_SubSection_CFS_CFI,1,COLUMN())),1)),6)</f>
        <v>101.095</v>
      </c>
      <c r="AA1011" s="686"/>
      <c r="AB1011" s="686"/>
      <c r="AC1011" s="686"/>
      <c r="AD1011" s="686"/>
      <c r="AE1011" s="686">
        <f ca="1">ROUND(SUM(AA863,AB863,AC863,AD863)-SUM(OFFSET(INDEX(MO_CFS_CFI,1,COLUMN()),ROW(INDEX(MO_SubSection_CFS_CFI,1,COLUMN()))-ROW(INDEX(MO_CFS_CFI,1,COLUMN())),0,ROW(INDEX(MO_CFS_CFI,1,COLUMN()))-ROW(INDEX(MO_SubSection_CFS_CFI,1,COLUMN())),1)),6)</f>
        <v>139.42500000000001</v>
      </c>
      <c r="AF1011" s="686"/>
      <c r="AG1011" s="686"/>
      <c r="AH1011" s="686"/>
      <c r="AI1011" s="686"/>
      <c r="AJ1011" s="686">
        <f ca="1">ROUND(SUM(AF863,AG863,AH863,AI863)-SUM(OFFSET(INDEX(MO_CFS_CFI,1,COLUMN()),ROW(INDEX(MO_SubSection_CFS_CFI,1,COLUMN()))-ROW(INDEX(MO_CFS_CFI,1,COLUMN())),0,ROW(INDEX(MO_CFS_CFI,1,COLUMN()))-ROW(INDEX(MO_SubSection_CFS_CFI,1,COLUMN())),1)),6)</f>
        <v>-72.388000000000005</v>
      </c>
      <c r="AK1011" s="686"/>
      <c r="AL1011" s="686"/>
      <c r="AM1011" s="686"/>
      <c r="AN1011" s="686"/>
      <c r="AO1011" s="686">
        <f ca="1">ROUND(SUM(AK863,AL863,AM863,AN863)-SUM(OFFSET(INDEX(MO_CFS_CFI,1,COLUMN()),ROW(INDEX(MO_SubSection_CFS_CFI,1,COLUMN()))-ROW(INDEX(MO_CFS_CFI,1,COLUMN())),0,ROW(INDEX(MO_CFS_CFI,1,COLUMN()))-ROW(INDEX(MO_SubSection_CFS_CFI,1,COLUMN())),1)),6)</f>
        <v>-669.28899999999999</v>
      </c>
      <c r="AP1011" s="686"/>
      <c r="AQ1011" s="686"/>
      <c r="AR1011" s="686"/>
      <c r="AS1011" s="686"/>
      <c r="AT1011" s="686">
        <f ca="1">ROUND(SUM(AP863,AQ863,AR863,AS863)-SUM(OFFSET(INDEX(MO_CFS_CFI,1,COLUMN()),ROW(INDEX(MO_SubSection_CFS_CFI,1,COLUMN()))-ROW(INDEX(MO_CFS_CFI,1,COLUMN())),0,ROW(INDEX(MO_CFS_CFI,1,COLUMN()))-ROW(INDEX(MO_SubSection_CFS_CFI,1,COLUMN())),1)),6)</f>
        <v>-67.191000000000003</v>
      </c>
      <c r="AU1011" s="686"/>
      <c r="AV1011" s="686"/>
      <c r="AW1011" s="686"/>
      <c r="AX1011" s="686"/>
      <c r="AY1011" s="686">
        <f ca="1">ROUND(SUM(AU863,AV863,AW863,AX863)-SUM(OFFSET(INDEX(MO_CFS_CFI,1,COLUMN()),ROW(INDEX(MO_SubSection_CFS_CFI,1,COLUMN()))-ROW(INDEX(MO_CFS_CFI,1,COLUMN())),0,ROW(INDEX(MO_CFS_CFI,1,COLUMN()))-ROW(INDEX(MO_SubSection_CFS_CFI,1,COLUMN())),1)),6)</f>
        <v>-288.75299999999999</v>
      </c>
      <c r="AZ1011" s="686"/>
      <c r="BA1011" s="686"/>
      <c r="BB1011" s="686"/>
      <c r="BC1011" s="686"/>
      <c r="BD1011" s="686">
        <f ca="1">ROUND(SUM(AZ863,BA863,BB863,BC863)-SUM(OFFSET(INDEX(MO_CFS_CFI,1,COLUMN()),ROW(INDEX(MO_SubSection_CFS_CFI,1,COLUMN()))-ROW(INDEX(MO_CFS_CFI,1,COLUMN())),0,ROW(INDEX(MO_CFS_CFI,1,COLUMN()))-ROW(INDEX(MO_SubSection_CFS_CFI,1,COLUMN())),1)),6)</f>
        <v>354.95499999999998</v>
      </c>
      <c r="BE1011" s="686"/>
      <c r="BF1011" s="686"/>
      <c r="BG1011" s="686"/>
      <c r="BH1011" s="686"/>
      <c r="BI1011" s="686">
        <f ca="1">ROUND(SUM(BE863,BF863,BG863,BH863)-SUM(OFFSET(INDEX(MO_CFS_CFI,1,COLUMN()),ROW(INDEX(MO_SubSection_CFS_CFI,1,COLUMN()))-ROW(INDEX(MO_CFS_CFI,1,COLUMN())),0,ROW(INDEX(MO_CFS_CFI,1,COLUMN()))-ROW(INDEX(MO_SubSection_CFS_CFI,1,COLUMN())),1)),6)</f>
        <v>36.256999999999998</v>
      </c>
      <c r="BJ1011" s="687"/>
      <c r="BK1011" s="686"/>
      <c r="BL1011" s="686"/>
      <c r="BM1011" s="686"/>
      <c r="BN1011" s="686">
        <f ca="1">ROUND(SUM(BJ863,BK863,BL863,BM863)-SUM(OFFSET(INDEX(MO_CFS_CFI,1,COLUMN()),ROW(INDEX(MO_SubSection_CFS_CFI,1,COLUMN()))-ROW(INDEX(MO_CFS_CFI,1,COLUMN())),0,ROW(INDEX(MO_CFS_CFI,1,COLUMN()))-ROW(INDEX(MO_SubSection_CFS_CFI,1,COLUMN())),1)),6)</f>
        <v>-135.018</v>
      </c>
      <c r="BO1011" s="686"/>
      <c r="BP1011" s="686"/>
      <c r="BQ1011" s="686"/>
      <c r="BR1011" s="686"/>
      <c r="BS1011" s="686">
        <f ca="1">ROUND(SUM(BO863,BP863,BQ863,BR863)-SUM(OFFSET(INDEX(MO_CFS_CFI,1,COLUMN()),ROW(INDEX(MO_SubSection_CFS_CFI,1,COLUMN()))-ROW(INDEX(MO_CFS_CFI,1,COLUMN())),0,ROW(INDEX(MO_CFS_CFI,1,COLUMN()))-ROW(INDEX(MO_SubSection_CFS_CFI,1,COLUMN())),1)),6)</f>
        <v>-5</v>
      </c>
      <c r="BT1011" s="686"/>
      <c r="BU1011" s="686"/>
      <c r="BV1011" s="686"/>
      <c r="BW1011" s="122"/>
    </row>
    <row r="1012" spans="1:75" x14ac:dyDescent="0.5">
      <c r="A1012" s="122" t="s">
        <v>1576</v>
      </c>
      <c r="B1012" s="187"/>
      <c r="C1012" s="686"/>
      <c r="D1012" s="686"/>
      <c r="E1012" s="686"/>
      <c r="F1012" s="686"/>
      <c r="G1012" s="686"/>
      <c r="H1012" s="686"/>
      <c r="I1012" s="686"/>
      <c r="J1012" s="686"/>
      <c r="K1012" s="686">
        <f ca="1">ROUND(SUM(G884,H884,I884,J884)-SUM(OFFSET(INDEX(MO_CFS_CFF,1,COLUMN()),ROW(INDEX(MO_SubSection_CFS_CFF,1,COLUMN()))-ROW(INDEX(MO_CFS_CFF,1,COLUMN())),0,ROW(INDEX(MO_CFS_CFF,1,COLUMN()))-ROW(INDEX(MO_SubSection_CFS_CFF,1,COLUMN())),1)),6)</f>
        <v>355.37599999999998</v>
      </c>
      <c r="L1012" s="686"/>
      <c r="M1012" s="686"/>
      <c r="N1012" s="686"/>
      <c r="O1012" s="686"/>
      <c r="P1012" s="686">
        <f ca="1">ROUND(SUM(L884,M884,N884,O884)-SUM(OFFSET(INDEX(MO_CFS_CFF,1,COLUMN()),ROW(INDEX(MO_SubSection_CFS_CFF,1,COLUMN()))-ROW(INDEX(MO_CFS_CFF,1,COLUMN())),0,ROW(INDEX(MO_CFS_CFF,1,COLUMN()))-ROW(INDEX(MO_SubSection_CFS_CFF,1,COLUMN())),1)),6)</f>
        <v>720.17</v>
      </c>
      <c r="Q1012" s="686"/>
      <c r="R1012" s="686"/>
      <c r="S1012" s="686"/>
      <c r="T1012" s="686"/>
      <c r="U1012" s="686">
        <f ca="1">ROUND(SUM(Q884,R884,S884,T884)-SUM(OFFSET(INDEX(MO_CFS_CFF,1,COLUMN()),ROW(INDEX(MO_SubSection_CFS_CFF,1,COLUMN()))-ROW(INDEX(MO_CFS_CFF,1,COLUMN())),0,ROW(INDEX(MO_CFS_CFF,1,COLUMN()))-ROW(INDEX(MO_SubSection_CFS_CFF,1,COLUMN())),1)),6)</f>
        <v>350.767</v>
      </c>
      <c r="V1012" s="686"/>
      <c r="W1012" s="686"/>
      <c r="X1012" s="686"/>
      <c r="Y1012" s="686"/>
      <c r="Z1012" s="686">
        <f ca="1">ROUND(SUM(V884,W884,X884,Y884)-SUM(OFFSET(INDEX(MO_CFS_CFF,1,COLUMN()),ROW(INDEX(MO_SubSection_CFS_CFF,1,COLUMN()))-ROW(INDEX(MO_CFS_CFF,1,COLUMN())),0,ROW(INDEX(MO_CFS_CFF,1,COLUMN()))-ROW(INDEX(MO_SubSection_CFS_CFF,1,COLUMN())),1)),6)</f>
        <v>284.923</v>
      </c>
      <c r="AA1012" s="686"/>
      <c r="AB1012" s="686"/>
      <c r="AC1012" s="686"/>
      <c r="AD1012" s="686"/>
      <c r="AE1012" s="686">
        <f ca="1">ROUND(SUM(AA884,AB884,AC884,AD884)-SUM(OFFSET(INDEX(MO_CFS_CFF,1,COLUMN()),ROW(INDEX(MO_SubSection_CFS_CFF,1,COLUMN()))-ROW(INDEX(MO_CFS_CFF,1,COLUMN())),0,ROW(INDEX(MO_CFS_CFF,1,COLUMN()))-ROW(INDEX(MO_SubSection_CFS_CFF,1,COLUMN())),1)),6)</f>
        <v>426.678</v>
      </c>
      <c r="AF1012" s="686"/>
      <c r="AG1012" s="686"/>
      <c r="AH1012" s="686"/>
      <c r="AI1012" s="686"/>
      <c r="AJ1012" s="686">
        <f ca="1">ROUND(SUM(AF884,AG884,AH884,AI884)-SUM(OFFSET(INDEX(MO_CFS_CFF,1,COLUMN()),ROW(INDEX(MO_SubSection_CFS_CFF,1,COLUMN()))-ROW(INDEX(MO_CFS_CFF,1,COLUMN())),0,ROW(INDEX(MO_CFS_CFF,1,COLUMN()))-ROW(INDEX(MO_SubSection_CFS_CFF,1,COLUMN())),1)),6)</f>
        <v>917.529</v>
      </c>
      <c r="AK1012" s="686"/>
      <c r="AL1012" s="686"/>
      <c r="AM1012" s="686"/>
      <c r="AN1012" s="686"/>
      <c r="AO1012" s="686">
        <f ca="1">ROUND(SUM(AK884,AL884,AM884,AN884)-SUM(OFFSET(INDEX(MO_CFS_CFF,1,COLUMN()),ROW(INDEX(MO_SubSection_CFS_CFF,1,COLUMN()))-ROW(INDEX(MO_CFS_CFF,1,COLUMN())),0,ROW(INDEX(MO_CFS_CFF,1,COLUMN()))-ROW(INDEX(MO_SubSection_CFS_CFF,1,COLUMN())),1)),6)</f>
        <v>1113.73</v>
      </c>
      <c r="AP1012" s="686"/>
      <c r="AQ1012" s="686"/>
      <c r="AR1012" s="686"/>
      <c r="AS1012" s="686"/>
      <c r="AT1012" s="686">
        <f ca="1">ROUND(SUM(AP884,AQ884,AR884,AS884)-SUM(OFFSET(INDEX(MO_CFS_CFF,1,COLUMN()),ROW(INDEX(MO_SubSection_CFS_CFF,1,COLUMN()))-ROW(INDEX(MO_CFS_CFF,1,COLUMN())),0,ROW(INDEX(MO_CFS_CFF,1,COLUMN()))-ROW(INDEX(MO_SubSection_CFS_CFF,1,COLUMN())),1)),6)</f>
        <v>695.60699999999997</v>
      </c>
      <c r="AU1012" s="686"/>
      <c r="AV1012" s="686"/>
      <c r="AW1012" s="686"/>
      <c r="AX1012" s="686"/>
      <c r="AY1012" s="686">
        <f ca="1">ROUND(SUM(AU884,AV884,AW884,AX884)-SUM(OFFSET(INDEX(MO_CFS_CFF,1,COLUMN()),ROW(INDEX(MO_SubSection_CFS_CFF,1,COLUMN()))-ROW(INDEX(MO_CFS_CFF,1,COLUMN())),0,ROW(INDEX(MO_CFS_CFF,1,COLUMN()))-ROW(INDEX(MO_SubSection_CFS_CFF,1,COLUMN())),1)),6)</f>
        <v>1188.9849999999999</v>
      </c>
      <c r="AZ1012" s="686"/>
      <c r="BA1012" s="686"/>
      <c r="BB1012" s="686"/>
      <c r="BC1012" s="686"/>
      <c r="BD1012" s="686">
        <f ca="1">ROUND(SUM(AZ884,BA884,BB884,BC884)-SUM(OFFSET(INDEX(MO_CFS_CFF,1,COLUMN()),ROW(INDEX(MO_SubSection_CFS_CFF,1,COLUMN()))-ROW(INDEX(MO_CFS_CFF,1,COLUMN())),0,ROW(INDEX(MO_CFS_CFF,1,COLUMN()))-ROW(INDEX(MO_SubSection_CFS_CFF,1,COLUMN())),1)),6)</f>
        <v>1194.673</v>
      </c>
      <c r="BE1012" s="686"/>
      <c r="BF1012" s="686"/>
      <c r="BG1012" s="686"/>
      <c r="BH1012" s="686"/>
      <c r="BI1012" s="686">
        <f ca="1">ROUND(SUM(BE884,BF884,BG884,BH884)-SUM(OFFSET(INDEX(MO_CFS_CFF,1,COLUMN()),ROW(INDEX(MO_SubSection_CFS_CFF,1,COLUMN()))-ROW(INDEX(MO_CFS_CFF,1,COLUMN())),0,ROW(INDEX(MO_CFS_CFF,1,COLUMN()))-ROW(INDEX(MO_SubSection_CFS_CFF,1,COLUMN())),1)),6)</f>
        <v>675.30700000000002</v>
      </c>
      <c r="BJ1012" s="687"/>
      <c r="BK1012" s="686"/>
      <c r="BL1012" s="686"/>
      <c r="BM1012" s="686"/>
      <c r="BN1012" s="686">
        <f ca="1">ROUND(SUM(BJ884,BK884,BL884,BM884)-SUM(OFFSET(INDEX(MO_CFS_CFF,1,COLUMN()),ROW(INDEX(MO_SubSection_CFS_CFF,1,COLUMN()))-ROW(INDEX(MO_CFS_CFF,1,COLUMN())),0,ROW(INDEX(MO_CFS_CFF,1,COLUMN()))-ROW(INDEX(MO_SubSection_CFS_CFF,1,COLUMN())),1)),6)</f>
        <v>294.75342999999998</v>
      </c>
      <c r="BO1012" s="686"/>
      <c r="BP1012" s="686"/>
      <c r="BQ1012" s="686"/>
      <c r="BR1012" s="686"/>
      <c r="BS1012" s="686">
        <f ca="1">ROUND(SUM(BO884,BP884,BQ884,BR884)-SUM(OFFSET(INDEX(MO_CFS_CFF,1,COLUMN()),ROW(INDEX(MO_SubSection_CFS_CFF,1,COLUMN()))-ROW(INDEX(MO_CFS_CFF,1,COLUMN())),0,ROW(INDEX(MO_CFS_CFF,1,COLUMN()))-ROW(INDEX(MO_SubSection_CFS_CFF,1,COLUMN())),1)),6)</f>
        <v>-501.19675999999998</v>
      </c>
      <c r="BT1012" s="686"/>
      <c r="BU1012" s="686"/>
      <c r="BV1012" s="686"/>
      <c r="BW1012" s="122"/>
    </row>
    <row r="1013" spans="1:75" x14ac:dyDescent="0.5">
      <c r="A1013" s="122" t="s">
        <v>1577</v>
      </c>
      <c r="B1013" s="187"/>
      <c r="C1013" s="686"/>
      <c r="D1013" s="686"/>
      <c r="E1013" s="686"/>
      <c r="F1013" s="686"/>
      <c r="G1013" s="686"/>
      <c r="H1013" s="686"/>
      <c r="I1013" s="686"/>
      <c r="J1013" s="686"/>
      <c r="K1013" s="686">
        <f>ROUND(SUM(INDEX(MO_CFSum_Acquisition,0,COLUMN()),INDEX(MO_CFSum_Capex,0,COLUMN()),INDEX(MO_CFSum_Divestiture,0,COLUMN()),INDEX(MO_CFSum_Dividend,0,COLUMN()))-SUM(G704,H704,I704,J704,G705,H705,I705,J705,G706,H706,I706,J706)-SUM(G702,H702,I702,J702),6)</f>
        <v>-286.01400000000001</v>
      </c>
      <c r="L1013" s="686"/>
      <c r="M1013" s="686"/>
      <c r="N1013" s="686"/>
      <c r="O1013" s="686"/>
      <c r="P1013" s="686">
        <f>ROUND(SUM(INDEX(MO_CFSum_Acquisition,0,COLUMN()),INDEX(MO_CFSum_Capex,0,COLUMN()),INDEX(MO_CFSum_Divestiture,0,COLUMN()),INDEX(MO_CFSum_Dividend,0,COLUMN()))-SUM(L704,M704,N704,O704,L705,M705,N705,O705,L706,M706,N706,O706)-SUM(L702,M702,N702,O702),6)</f>
        <v>-245.05699999999999</v>
      </c>
      <c r="Q1013" s="686"/>
      <c r="R1013" s="686"/>
      <c r="S1013" s="686"/>
      <c r="T1013" s="686"/>
      <c r="U1013" s="686">
        <f>ROUND(SUM(INDEX(MO_CFSum_Acquisition,0,COLUMN()),INDEX(MO_CFSum_Capex,0,COLUMN()),INDEX(MO_CFSum_Divestiture,0,COLUMN()),INDEX(MO_CFSum_Dividend,0,COLUMN()))-SUM(Q704,R704,S704,T704,Q705,R705,S705,T705,Q706,R706,S706,T706)-SUM(Q702,R702,S702,T702),6)</f>
        <v>-271.24700000000001</v>
      </c>
      <c r="V1013" s="686"/>
      <c r="W1013" s="686"/>
      <c r="X1013" s="686"/>
      <c r="Y1013" s="686"/>
      <c r="Z1013" s="686">
        <f>ROUND(SUM(INDEX(MO_CFSum_Acquisition,0,COLUMN()),INDEX(MO_CFSum_Capex,0,COLUMN()),INDEX(MO_CFSum_Divestiture,0,COLUMN()),INDEX(MO_CFSum_Dividend,0,COLUMN()))-SUM(V704,W704,X704,Y704,V705,W705,X705,Y705,V706,W706,X706,Y706)-SUM(V702,W702,X702,Y702),6)</f>
        <v>-204.375</v>
      </c>
      <c r="AA1013" s="686"/>
      <c r="AB1013" s="686"/>
      <c r="AC1013" s="686"/>
      <c r="AD1013" s="686"/>
      <c r="AE1013" s="686">
        <f>ROUND(SUM(INDEX(MO_CFSum_Acquisition,0,COLUMN()),INDEX(MO_CFSum_Capex,0,COLUMN()),INDEX(MO_CFSum_Divestiture,0,COLUMN()),INDEX(MO_CFSum_Dividend,0,COLUMN()))-SUM(AA704,AB704,AC704,AD704,AA705,AB705,AC705,AD705,AA706,AB706,AC706,AD706)-SUM(AA702,AB702,AC702,AD702),6)</f>
        <v>-258.37099999999998</v>
      </c>
      <c r="AF1013" s="686"/>
      <c r="AG1013" s="686"/>
      <c r="AH1013" s="686"/>
      <c r="AI1013" s="686"/>
      <c r="AJ1013" s="686">
        <f>ROUND(SUM(INDEX(MO_CFSum_Acquisition,0,COLUMN()),INDEX(MO_CFSum_Capex,0,COLUMN()),INDEX(MO_CFSum_Divestiture,0,COLUMN()),INDEX(MO_CFSum_Dividend,0,COLUMN()))-SUM(AF704,AG704,AH704,AI704,AF705,AG705,AH705,AI705,AF706,AG706,AH706,AI706)-SUM(AF702,AG702,AH702,AI702),6)</f>
        <v>-108.47199999999999</v>
      </c>
      <c r="AK1013" s="686"/>
      <c r="AL1013" s="686"/>
      <c r="AM1013" s="686"/>
      <c r="AN1013" s="686"/>
      <c r="AO1013" s="686">
        <f>ROUND(SUM(INDEX(MO_CFSum_Acquisition,0,COLUMN()),INDEX(MO_CFSum_Capex,0,COLUMN()),INDEX(MO_CFSum_Divestiture,0,COLUMN()),INDEX(MO_CFSum_Dividend,0,COLUMN()))-SUM(AK704,AL704,AM704,AN704,AK705,AL705,AM705,AN705,AK706,AL706,AM706,AN706)-SUM(AK702,AL702,AM702,AN702),6)</f>
        <v>63.963999999999999</v>
      </c>
      <c r="AP1013" s="686"/>
      <c r="AQ1013" s="686"/>
      <c r="AR1013" s="686"/>
      <c r="AS1013" s="686"/>
      <c r="AT1013" s="686">
        <f>ROUND(SUM(INDEX(MO_CFSum_Acquisition,0,COLUMN()),INDEX(MO_CFSum_Capex,0,COLUMN()),INDEX(MO_CFSum_Divestiture,0,COLUMN()),INDEX(MO_CFSum_Dividend,0,COLUMN()))-SUM(AP704,AQ704,AR704,AS704,AP705,AQ705,AR705,AS705,AP706,AQ706,AR706,AS706)-SUM(AP702,AQ702,AR702,AS702),6)</f>
        <v>7.2759999999999998</v>
      </c>
      <c r="AU1013" s="686"/>
      <c r="AV1013" s="686"/>
      <c r="AW1013" s="686"/>
      <c r="AX1013" s="686"/>
      <c r="AY1013" s="686">
        <f>ROUND(SUM(INDEX(MO_CFSum_Acquisition,0,COLUMN()),INDEX(MO_CFSum_Capex,0,COLUMN()),INDEX(MO_CFSum_Divestiture,0,COLUMN()),INDEX(MO_CFSum_Dividend,0,COLUMN()))-SUM(AU704,AV704,AW704,AX704,AU705,AV705,AW705,AX705,AU706,AV706,AW706,AX706)-SUM(AU702,AV702,AW702,AX702),6)</f>
        <v>-134.05600000000001</v>
      </c>
      <c r="AZ1013" s="686"/>
      <c r="BA1013" s="686"/>
      <c r="BB1013" s="686"/>
      <c r="BC1013" s="686"/>
      <c r="BD1013" s="686">
        <f>ROUND(SUM(INDEX(MO_CFSum_Acquisition,0,COLUMN()),INDEX(MO_CFSum_Capex,0,COLUMN()),INDEX(MO_CFSum_Divestiture,0,COLUMN()),INDEX(MO_CFSum_Dividend,0,COLUMN()))-SUM(AZ704,BA704,BB704,BC704,AZ705,BA705,BB705,BC705,AZ706,BA706,BB706,BC706)-SUM(AZ702,BA702,BB702,BC702),6)</f>
        <v>-113.462</v>
      </c>
      <c r="BE1013" s="686"/>
      <c r="BF1013" s="686"/>
      <c r="BG1013" s="686"/>
      <c r="BH1013" s="686"/>
      <c r="BI1013" s="686">
        <f>ROUND(SUM(INDEX(MO_CFSum_Acquisition,0,COLUMN()),INDEX(MO_CFSum_Capex,0,COLUMN()),INDEX(MO_CFSum_Divestiture,0,COLUMN()),INDEX(MO_CFSum_Dividend,0,COLUMN()))-SUM(BE704,BF704,BG704,BH704,BE705,BF705,BG705,BH705,BE706,BF706,BG706,BH706)-SUM(BE702,BF702,BG702,BH702),6)</f>
        <v>-69.933000000000007</v>
      </c>
      <c r="BJ1013" s="687"/>
      <c r="BK1013" s="686"/>
      <c r="BL1013" s="686"/>
      <c r="BM1013" s="686"/>
      <c r="BN1013" s="686">
        <f ca="1">ROUND(SUM(INDEX(MO_CFSum_Acquisition,0,COLUMN()),INDEX(MO_CFSum_Capex,0,COLUMN()),INDEX(MO_CFSum_Divestiture,0,COLUMN()),INDEX(MO_CFSum_Dividend,0,COLUMN()))-SUM(BJ704,BK704,BL704,BM704,BJ705,BK705,BL705,BM705,BJ706,BK706,BL706,BM706)-SUM(BJ702,BK702,BL702,BM702),6)</f>
        <v>-166.97743</v>
      </c>
      <c r="BO1013" s="686"/>
      <c r="BP1013" s="686"/>
      <c r="BQ1013" s="686"/>
      <c r="BR1013" s="686"/>
      <c r="BS1013" s="686">
        <f ca="1">ROUND(SUM(INDEX(MO_CFSum_Acquisition,0,COLUMN()),INDEX(MO_CFSum_Capex,0,COLUMN()),INDEX(MO_CFSum_Divestiture,0,COLUMN()),INDEX(MO_CFSum_Dividend,0,COLUMN()))-SUM(BO704,BP704,BQ704,BR704,BO705,BP705,BQ705,BR705,BO706,BP706,BQ706,BR706)-SUM(BO702,BP702,BQ702,BR702),6)</f>
        <v>-285.80324000000002</v>
      </c>
      <c r="BT1013" s="686"/>
      <c r="BU1013" s="686"/>
      <c r="BV1013" s="686"/>
      <c r="BW1013" s="122"/>
    </row>
    <row r="1014" spans="1:75" x14ac:dyDescent="0.5">
      <c r="A1014" s="122" t="s">
        <v>2698</v>
      </c>
      <c r="B1014" s="187"/>
      <c r="C1014" s="686">
        <f t="shared" ref="C1014:BN1014" si="877">ROUND(C963+C972-(C367+C380+C397+C414+C431+C448+C465),3)</f>
        <v>0</v>
      </c>
      <c r="D1014" s="686">
        <f t="shared" si="877"/>
        <v>0</v>
      </c>
      <c r="E1014" s="686">
        <f t="shared" si="877"/>
        <v>0</v>
      </c>
      <c r="F1014" s="686">
        <f t="shared" si="877"/>
        <v>0</v>
      </c>
      <c r="G1014" s="686">
        <f t="shared" si="877"/>
        <v>0</v>
      </c>
      <c r="H1014" s="686">
        <f t="shared" si="877"/>
        <v>0</v>
      </c>
      <c r="I1014" s="686">
        <f t="shared" si="877"/>
        <v>0</v>
      </c>
      <c r="J1014" s="686">
        <f t="shared" si="877"/>
        <v>0</v>
      </c>
      <c r="K1014" s="686">
        <f t="shared" si="877"/>
        <v>0</v>
      </c>
      <c r="L1014" s="686">
        <f t="shared" si="877"/>
        <v>0</v>
      </c>
      <c r="M1014" s="686">
        <f t="shared" si="877"/>
        <v>0</v>
      </c>
      <c r="N1014" s="686">
        <f t="shared" si="877"/>
        <v>0</v>
      </c>
      <c r="O1014" s="686">
        <f t="shared" si="877"/>
        <v>0</v>
      </c>
      <c r="P1014" s="686">
        <f t="shared" si="877"/>
        <v>0</v>
      </c>
      <c r="Q1014" s="686">
        <f t="shared" si="877"/>
        <v>0</v>
      </c>
      <c r="R1014" s="686">
        <f t="shared" si="877"/>
        <v>0</v>
      </c>
      <c r="S1014" s="686">
        <f t="shared" si="877"/>
        <v>0</v>
      </c>
      <c r="T1014" s="686">
        <f t="shared" si="877"/>
        <v>0</v>
      </c>
      <c r="U1014" s="686">
        <f t="shared" si="877"/>
        <v>0</v>
      </c>
      <c r="V1014" s="686">
        <f t="shared" si="877"/>
        <v>0</v>
      </c>
      <c r="W1014" s="686">
        <f t="shared" si="877"/>
        <v>0</v>
      </c>
      <c r="X1014" s="686">
        <f t="shared" si="877"/>
        <v>0</v>
      </c>
      <c r="Y1014" s="686">
        <f t="shared" si="877"/>
        <v>0</v>
      </c>
      <c r="Z1014" s="686">
        <f t="shared" si="877"/>
        <v>0</v>
      </c>
      <c r="AA1014" s="686">
        <f t="shared" si="877"/>
        <v>0</v>
      </c>
      <c r="AB1014" s="686">
        <f t="shared" si="877"/>
        <v>0</v>
      </c>
      <c r="AC1014" s="686">
        <f t="shared" si="877"/>
        <v>0</v>
      </c>
      <c r="AD1014" s="686">
        <f t="shared" si="877"/>
        <v>0</v>
      </c>
      <c r="AE1014" s="686">
        <f t="shared" si="877"/>
        <v>0</v>
      </c>
      <c r="AF1014" s="686">
        <f t="shared" si="877"/>
        <v>0</v>
      </c>
      <c r="AG1014" s="686">
        <f t="shared" si="877"/>
        <v>0</v>
      </c>
      <c r="AH1014" s="686">
        <f t="shared" si="877"/>
        <v>0</v>
      </c>
      <c r="AI1014" s="686">
        <f t="shared" si="877"/>
        <v>0</v>
      </c>
      <c r="AJ1014" s="686">
        <f t="shared" si="877"/>
        <v>0</v>
      </c>
      <c r="AK1014" s="686">
        <f t="shared" si="877"/>
        <v>0</v>
      </c>
      <c r="AL1014" s="686">
        <f t="shared" si="877"/>
        <v>0</v>
      </c>
      <c r="AM1014" s="686">
        <f t="shared" si="877"/>
        <v>0</v>
      </c>
      <c r="AN1014" s="686">
        <f t="shared" si="877"/>
        <v>0</v>
      </c>
      <c r="AO1014" s="686">
        <f t="shared" si="877"/>
        <v>0</v>
      </c>
      <c r="AP1014" s="686">
        <f t="shared" si="877"/>
        <v>0</v>
      </c>
      <c r="AQ1014" s="686">
        <f t="shared" si="877"/>
        <v>0</v>
      </c>
      <c r="AR1014" s="686">
        <f t="shared" si="877"/>
        <v>0</v>
      </c>
      <c r="AS1014" s="686">
        <f t="shared" si="877"/>
        <v>0</v>
      </c>
      <c r="AT1014" s="686">
        <f t="shared" si="877"/>
        <v>0</v>
      </c>
      <c r="AU1014" s="686">
        <f t="shared" si="877"/>
        <v>0</v>
      </c>
      <c r="AV1014" s="686">
        <f t="shared" si="877"/>
        <v>0</v>
      </c>
      <c r="AW1014" s="686">
        <f t="shared" si="877"/>
        <v>0</v>
      </c>
      <c r="AX1014" s="686">
        <f t="shared" si="877"/>
        <v>0</v>
      </c>
      <c r="AY1014" s="686">
        <f t="shared" si="877"/>
        <v>0</v>
      </c>
      <c r="AZ1014" s="686">
        <f t="shared" si="877"/>
        <v>0</v>
      </c>
      <c r="BA1014" s="686">
        <f t="shared" si="877"/>
        <v>0</v>
      </c>
      <c r="BB1014" s="686">
        <f t="shared" si="877"/>
        <v>0</v>
      </c>
      <c r="BC1014" s="686">
        <f t="shared" si="877"/>
        <v>0</v>
      </c>
      <c r="BD1014" s="686">
        <f t="shared" si="877"/>
        <v>0</v>
      </c>
      <c r="BE1014" s="686">
        <f t="shared" si="877"/>
        <v>0</v>
      </c>
      <c r="BF1014" s="686">
        <f t="shared" si="877"/>
        <v>0</v>
      </c>
      <c r="BG1014" s="686">
        <f t="shared" si="877"/>
        <v>0</v>
      </c>
      <c r="BH1014" s="686">
        <f t="shared" si="877"/>
        <v>0</v>
      </c>
      <c r="BI1014" s="686">
        <f t="shared" si="877"/>
        <v>0</v>
      </c>
      <c r="BJ1014" s="687">
        <f>ROUND(BJ963+BJ972-(BJ367+BJ380+BJ397+BJ414+BJ431+BJ448+BJ465),3)</f>
        <v>0</v>
      </c>
      <c r="BK1014" s="686">
        <f t="shared" si="877"/>
        <v>0</v>
      </c>
      <c r="BL1014" s="686">
        <f t="shared" si="877"/>
        <v>0</v>
      </c>
      <c r="BM1014" s="686">
        <f t="shared" si="877"/>
        <v>0</v>
      </c>
      <c r="BN1014" s="686">
        <f t="shared" si="877"/>
        <v>0</v>
      </c>
      <c r="BO1014" s="686">
        <f t="shared" ref="BO1014:BV1014" si="878">ROUND(BO963+BO972-(BO367+BO380+BO397+BO414+BO431+BO448+BO465),3)</f>
        <v>0</v>
      </c>
      <c r="BP1014" s="686">
        <f t="shared" si="878"/>
        <v>0</v>
      </c>
      <c r="BQ1014" s="686">
        <f t="shared" si="878"/>
        <v>0</v>
      </c>
      <c r="BR1014" s="686">
        <f t="shared" si="878"/>
        <v>0</v>
      </c>
      <c r="BS1014" s="686">
        <f t="shared" si="878"/>
        <v>0</v>
      </c>
      <c r="BT1014" s="686">
        <f t="shared" si="878"/>
        <v>0</v>
      </c>
      <c r="BU1014" s="686">
        <f t="shared" si="878"/>
        <v>0</v>
      </c>
      <c r="BV1014" s="686">
        <f t="shared" si="878"/>
        <v>0</v>
      </c>
      <c r="BW1014" s="122"/>
    </row>
    <row r="1015" spans="1:75" x14ac:dyDescent="0.5">
      <c r="A1015" s="118"/>
      <c r="B1015" s="118"/>
      <c r="C1015" s="118"/>
      <c r="D1015" s="118"/>
      <c r="E1015" s="118"/>
      <c r="F1015" s="118"/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  <c r="S1015" s="118"/>
      <c r="T1015" s="118"/>
      <c r="U1015" s="118"/>
      <c r="V1015" s="118"/>
      <c r="W1015" s="118"/>
      <c r="X1015" s="118"/>
      <c r="Y1015" s="118"/>
      <c r="Z1015" s="118"/>
      <c r="AA1015" s="118"/>
      <c r="AB1015" s="118"/>
      <c r="AC1015" s="118"/>
      <c r="AD1015" s="118"/>
      <c r="AE1015" s="118"/>
      <c r="AF1015" s="118"/>
      <c r="AG1015" s="118"/>
      <c r="AH1015" s="118"/>
      <c r="AI1015" s="118"/>
      <c r="AJ1015" s="118"/>
      <c r="AK1015" s="118"/>
      <c r="AL1015" s="118"/>
      <c r="AM1015" s="118"/>
      <c r="AN1015" s="118"/>
      <c r="AO1015" s="118"/>
      <c r="AP1015" s="118"/>
      <c r="AQ1015" s="118"/>
      <c r="AR1015" s="118"/>
      <c r="AS1015" s="118"/>
      <c r="AT1015" s="118"/>
      <c r="AU1015" s="118"/>
      <c r="AV1015" s="118"/>
      <c r="AW1015" s="118"/>
      <c r="AX1015" s="118"/>
      <c r="AY1015" s="118"/>
      <c r="AZ1015" s="118"/>
      <c r="BA1015" s="118"/>
      <c r="BB1015" s="118"/>
      <c r="BC1015" s="118"/>
      <c r="BD1015" s="118"/>
      <c r="BE1015" s="118"/>
      <c r="BF1015" s="118"/>
      <c r="BG1015" s="118"/>
      <c r="BH1015" s="118"/>
      <c r="BI1015" s="118"/>
      <c r="BJ1015" s="971"/>
      <c r="BK1015" s="118"/>
      <c r="BL1015" s="118"/>
      <c r="BM1015" s="118"/>
      <c r="BN1015" s="118"/>
      <c r="BO1015" s="118"/>
      <c r="BP1015" s="118"/>
      <c r="BQ1015" s="118"/>
      <c r="BR1015" s="118"/>
      <c r="BS1015" s="118"/>
      <c r="BT1015" s="118"/>
      <c r="BU1015" s="118"/>
      <c r="BV1015" s="118"/>
      <c r="BW1015" s="122"/>
    </row>
    <row r="1016" spans="1:75" x14ac:dyDescent="0.5">
      <c r="A1016" s="511" t="s">
        <v>1578</v>
      </c>
      <c r="B1016" s="511"/>
      <c r="C1016" s="511"/>
      <c r="D1016" s="511"/>
      <c r="E1016" s="511"/>
      <c r="F1016" s="511"/>
      <c r="G1016" s="511"/>
      <c r="H1016" s="511"/>
      <c r="I1016" s="511"/>
      <c r="J1016" s="511"/>
      <c r="K1016" s="511"/>
      <c r="L1016" s="511"/>
      <c r="M1016" s="511"/>
      <c r="N1016" s="511"/>
      <c r="O1016" s="511"/>
      <c r="P1016" s="511"/>
      <c r="Q1016" s="511"/>
      <c r="R1016" s="511"/>
      <c r="S1016" s="511"/>
      <c r="T1016" s="511"/>
      <c r="U1016" s="511"/>
      <c r="V1016" s="511"/>
      <c r="W1016" s="511"/>
      <c r="X1016" s="511"/>
      <c r="Y1016" s="511"/>
      <c r="Z1016" s="511"/>
      <c r="AA1016" s="511"/>
      <c r="AB1016" s="511"/>
      <c r="AC1016" s="511"/>
      <c r="AD1016" s="511"/>
      <c r="AE1016" s="511"/>
      <c r="AF1016" s="511"/>
      <c r="AG1016" s="511"/>
      <c r="AH1016" s="511"/>
      <c r="AI1016" s="511"/>
      <c r="AJ1016" s="511"/>
      <c r="AK1016" s="511"/>
      <c r="AL1016" s="511"/>
      <c r="AM1016" s="511"/>
      <c r="AN1016" s="511"/>
      <c r="AO1016" s="511"/>
      <c r="AP1016" s="511"/>
      <c r="AQ1016" s="511"/>
      <c r="AR1016" s="511"/>
      <c r="AS1016" s="511"/>
      <c r="AT1016" s="511"/>
      <c r="AU1016" s="511"/>
      <c r="AV1016" s="511"/>
      <c r="AW1016" s="511"/>
      <c r="AX1016" s="511"/>
      <c r="AY1016" s="511"/>
      <c r="AZ1016" s="511"/>
      <c r="BA1016" s="511"/>
      <c r="BB1016" s="511"/>
      <c r="BC1016" s="511"/>
      <c r="BD1016" s="511"/>
      <c r="BE1016" s="511"/>
      <c r="BF1016" s="511"/>
      <c r="BG1016" s="511"/>
      <c r="BH1016" s="511"/>
      <c r="BI1016" s="511"/>
      <c r="BJ1016" s="512"/>
      <c r="BK1016" s="511"/>
      <c r="BL1016" s="511"/>
      <c r="BM1016" s="511"/>
      <c r="BN1016" s="511"/>
      <c r="BO1016" s="511"/>
      <c r="BP1016" s="511"/>
      <c r="BQ1016" s="511"/>
      <c r="BR1016" s="511"/>
      <c r="BS1016" s="511"/>
      <c r="BT1016" s="511"/>
      <c r="BU1016" s="511"/>
      <c r="BV1016" s="511"/>
      <c r="BW1016" s="197"/>
    </row>
    <row r="1017" spans="1:75" x14ac:dyDescent="0.5">
      <c r="A1017" s="972"/>
      <c r="B1017" s="118"/>
      <c r="C1017" s="973"/>
      <c r="D1017" s="973"/>
      <c r="E1017" s="118"/>
      <c r="F1017" s="118"/>
      <c r="G1017" s="118"/>
      <c r="H1017" s="118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18"/>
      <c r="S1017" s="118"/>
      <c r="T1017" s="118"/>
      <c r="U1017" s="118"/>
      <c r="V1017" s="118"/>
      <c r="W1017" s="118"/>
      <c r="X1017" s="118"/>
      <c r="Y1017" s="118"/>
      <c r="Z1017" s="118"/>
      <c r="AA1017" s="118"/>
      <c r="AB1017" s="118"/>
      <c r="AC1017" s="118"/>
      <c r="AD1017" s="118"/>
      <c r="AE1017" s="118"/>
      <c r="AF1017" s="118"/>
      <c r="AG1017" s="118"/>
      <c r="AH1017" s="118"/>
      <c r="AI1017" s="118"/>
      <c r="AJ1017" s="118"/>
      <c r="AK1017" s="118"/>
      <c r="AL1017" s="118"/>
      <c r="AM1017" s="118"/>
      <c r="AN1017" s="118"/>
      <c r="AO1017" s="118"/>
      <c r="AP1017" s="118"/>
      <c r="AQ1017" s="118"/>
      <c r="AR1017" s="118"/>
      <c r="AS1017" s="118"/>
      <c r="AT1017" s="118"/>
      <c r="AU1017" s="118"/>
      <c r="AV1017" s="118"/>
      <c r="AW1017" s="118"/>
      <c r="AX1017" s="118"/>
      <c r="AY1017" s="118"/>
      <c r="AZ1017" s="118"/>
      <c r="BA1017" s="118"/>
      <c r="BB1017" s="118"/>
      <c r="BC1017" s="118"/>
      <c r="BD1017" s="118"/>
      <c r="BE1017" s="118"/>
      <c r="BF1017" s="118"/>
      <c r="BG1017" s="118"/>
      <c r="BH1017" s="118"/>
      <c r="BI1017" s="118"/>
      <c r="BJ1017" s="971"/>
      <c r="BK1017" s="118"/>
      <c r="BL1017" s="118"/>
      <c r="BM1017" s="118"/>
      <c r="BN1017" s="118"/>
      <c r="BO1017" s="118"/>
      <c r="BP1017" s="118"/>
      <c r="BQ1017" s="118"/>
      <c r="BR1017" s="118"/>
      <c r="BS1017" s="118"/>
      <c r="BT1017" s="118"/>
      <c r="BU1017" s="118"/>
      <c r="BV1017" s="118"/>
      <c r="BW1017" s="122"/>
    </row>
    <row r="1018" spans="1:75" x14ac:dyDescent="0.5">
      <c r="A1018" s="1582" t="s">
        <v>1579</v>
      </c>
      <c r="B1018" s="975"/>
      <c r="C1018" s="976"/>
      <c r="D1018" s="976"/>
      <c r="E1018" s="247"/>
      <c r="F1018" s="247"/>
      <c r="G1018" s="247"/>
      <c r="H1018" s="247"/>
      <c r="I1018" s="247"/>
      <c r="J1018" s="247"/>
      <c r="K1018" s="247"/>
      <c r="L1018" s="247"/>
      <c r="M1018" s="247"/>
      <c r="N1018" s="247"/>
      <c r="O1018" s="247"/>
      <c r="P1018" s="247"/>
      <c r="Q1018" s="247"/>
      <c r="R1018" s="247"/>
      <c r="S1018" s="247"/>
      <c r="T1018" s="247"/>
      <c r="U1018" s="247"/>
      <c r="V1018" s="247"/>
      <c r="W1018" s="247"/>
      <c r="X1018" s="247"/>
      <c r="Y1018" s="247"/>
      <c r="Z1018" s="247"/>
      <c r="AA1018" s="247"/>
      <c r="AB1018" s="247"/>
      <c r="AC1018" s="247"/>
      <c r="AD1018" s="247"/>
      <c r="AE1018" s="247"/>
      <c r="AF1018" s="247"/>
      <c r="AG1018" s="247"/>
      <c r="AH1018" s="247"/>
      <c r="AI1018" s="247"/>
      <c r="AJ1018" s="247"/>
      <c r="AK1018" s="247"/>
      <c r="AL1018" s="247"/>
      <c r="AM1018" s="247"/>
      <c r="AN1018" s="247"/>
      <c r="AO1018" s="247"/>
      <c r="AP1018" s="247"/>
      <c r="AQ1018" s="247"/>
      <c r="AR1018" s="247"/>
      <c r="AS1018" s="247"/>
      <c r="AT1018" s="247"/>
      <c r="AU1018" s="247"/>
      <c r="AV1018" s="247"/>
      <c r="AW1018" s="247"/>
      <c r="AX1018" s="247"/>
      <c r="AY1018" s="247"/>
      <c r="AZ1018" s="247"/>
      <c r="BA1018" s="247"/>
      <c r="BB1018" s="247"/>
      <c r="BC1018" s="247"/>
      <c r="BD1018" s="247"/>
      <c r="BE1018" s="247"/>
      <c r="BF1018" s="247"/>
      <c r="BG1018" s="247"/>
      <c r="BH1018" s="247"/>
      <c r="BI1018" s="247"/>
      <c r="BJ1018" s="977"/>
      <c r="BK1018" s="247"/>
      <c r="BL1018" s="247"/>
      <c r="BM1018" s="247"/>
      <c r="BN1018" s="247"/>
      <c r="BO1018" s="247"/>
      <c r="BP1018" s="247"/>
      <c r="BQ1018" s="247"/>
      <c r="BR1018" s="247"/>
      <c r="BS1018" s="247"/>
      <c r="BT1018" s="247"/>
      <c r="BU1018" s="247"/>
      <c r="BV1018" s="247"/>
      <c r="BW1018" s="168"/>
    </row>
    <row r="1019" spans="1:75" x14ac:dyDescent="0.5">
      <c r="A1019" s="978" t="s">
        <v>2699</v>
      </c>
      <c r="B1019" s="979"/>
      <c r="C1019" s="980"/>
      <c r="D1019" s="980"/>
      <c r="E1019" s="487"/>
      <c r="F1019" s="487"/>
      <c r="G1019" s="487"/>
      <c r="H1019" s="487"/>
      <c r="I1019" s="487"/>
      <c r="J1019" s="487"/>
      <c r="K1019" s="487"/>
      <c r="L1019" s="487"/>
      <c r="M1019" s="487"/>
      <c r="N1019" s="487"/>
      <c r="O1019" s="487"/>
      <c r="P1019" s="487"/>
      <c r="Q1019" s="487"/>
      <c r="R1019" s="487"/>
      <c r="S1019" s="487"/>
      <c r="T1019" s="487"/>
      <c r="U1019" s="487"/>
      <c r="V1019" s="487"/>
      <c r="W1019" s="487"/>
      <c r="X1019" s="487"/>
      <c r="Y1019" s="487"/>
      <c r="Z1019" s="487"/>
      <c r="AA1019" s="487"/>
      <c r="AB1019" s="487"/>
      <c r="AC1019" s="487"/>
      <c r="AD1019" s="487"/>
      <c r="AE1019" s="487"/>
      <c r="AF1019" s="487"/>
      <c r="AG1019" s="487"/>
      <c r="AH1019" s="487"/>
      <c r="AI1019" s="487"/>
      <c r="AJ1019" s="487"/>
      <c r="AK1019" s="487"/>
      <c r="AL1019" s="487"/>
      <c r="AM1019" s="487"/>
      <c r="AN1019" s="487"/>
      <c r="AO1019" s="487"/>
      <c r="AP1019" s="487"/>
      <c r="AQ1019" s="487"/>
      <c r="AR1019" s="487"/>
      <c r="AS1019" s="487"/>
      <c r="AT1019" s="487"/>
      <c r="AU1019" s="487"/>
      <c r="AV1019" s="487"/>
      <c r="AW1019" s="487"/>
      <c r="AX1019" s="487"/>
      <c r="AY1019" s="487"/>
      <c r="AZ1019" s="487"/>
      <c r="BA1019" s="487"/>
      <c r="BB1019" s="487"/>
      <c r="BC1019" s="487"/>
      <c r="BD1019" s="487"/>
      <c r="BE1019" s="487"/>
      <c r="BF1019" s="487"/>
      <c r="BG1019" s="487"/>
      <c r="BH1019" s="487"/>
      <c r="BI1019" s="487"/>
      <c r="BJ1019" s="981"/>
      <c r="BK1019" s="487"/>
      <c r="BL1019" s="487"/>
      <c r="BM1019" s="487"/>
      <c r="BN1019" s="487"/>
      <c r="BO1019" s="487"/>
      <c r="BP1019" s="487"/>
      <c r="BQ1019" s="487"/>
      <c r="BR1019" s="487"/>
      <c r="BS1019" s="487"/>
      <c r="BT1019" s="487"/>
      <c r="BU1019" s="487"/>
      <c r="BV1019" s="487"/>
      <c r="BW1019" s="168"/>
    </row>
    <row r="1020" spans="1:75" x14ac:dyDescent="0.5">
      <c r="A1020" s="982" t="s">
        <v>2189</v>
      </c>
      <c r="B1020" s="979"/>
      <c r="C1020" s="980"/>
      <c r="D1020" s="980"/>
      <c r="E1020" s="487"/>
      <c r="F1020" s="487"/>
      <c r="G1020" s="487"/>
      <c r="H1020" s="487"/>
      <c r="I1020" s="487"/>
      <c r="J1020" s="487"/>
      <c r="K1020" s="487"/>
      <c r="L1020" s="487"/>
      <c r="M1020" s="487"/>
      <c r="N1020" s="487"/>
      <c r="O1020" s="487"/>
      <c r="P1020" s="487"/>
      <c r="Q1020" s="487"/>
      <c r="R1020" s="487"/>
      <c r="S1020" s="487"/>
      <c r="T1020" s="487"/>
      <c r="U1020" s="487"/>
      <c r="V1020" s="487"/>
      <c r="W1020" s="487"/>
      <c r="X1020" s="487"/>
      <c r="Y1020" s="487"/>
      <c r="Z1020" s="487"/>
      <c r="AA1020" s="487"/>
      <c r="AB1020" s="487"/>
      <c r="AC1020" s="487"/>
      <c r="AD1020" s="487"/>
      <c r="AE1020" s="487"/>
      <c r="AF1020" s="487"/>
      <c r="AG1020" s="487"/>
      <c r="AH1020" s="487"/>
      <c r="AI1020" s="487"/>
      <c r="AJ1020" s="487"/>
      <c r="AK1020" s="487"/>
      <c r="AL1020" s="487"/>
      <c r="AM1020" s="487"/>
      <c r="AN1020" s="487"/>
      <c r="AO1020" s="487"/>
      <c r="AP1020" s="487"/>
      <c r="AQ1020" s="487"/>
      <c r="AR1020" s="487"/>
      <c r="AS1020" s="487"/>
      <c r="AT1020" s="487"/>
      <c r="AU1020" s="487"/>
      <c r="AV1020" s="487"/>
      <c r="AW1020" s="487"/>
      <c r="AX1020" s="487"/>
      <c r="AY1020" s="487"/>
      <c r="AZ1020" s="487"/>
      <c r="BA1020" s="487"/>
      <c r="BB1020" s="487"/>
      <c r="BC1020" s="487"/>
      <c r="BD1020" s="487"/>
      <c r="BE1020" s="487"/>
      <c r="BF1020" s="487"/>
      <c r="BG1020" s="487"/>
      <c r="BH1020" s="487"/>
      <c r="BI1020" s="487"/>
      <c r="BJ1020" s="981"/>
      <c r="BK1020" s="487"/>
      <c r="BL1020" s="487"/>
      <c r="BM1020" s="487"/>
      <c r="BN1020" s="487"/>
      <c r="BO1020" s="487"/>
      <c r="BP1020" s="487"/>
      <c r="BQ1020" s="487"/>
      <c r="BR1020" s="487"/>
      <c r="BS1020" s="487"/>
      <c r="BT1020" s="487"/>
      <c r="BU1020" s="487"/>
      <c r="BV1020" s="487"/>
      <c r="BW1020" s="223"/>
    </row>
    <row r="1021" spans="1:75" x14ac:dyDescent="0.5">
      <c r="A1021" s="983" t="s">
        <v>2700</v>
      </c>
      <c r="B1021" s="979"/>
      <c r="C1021" s="980"/>
      <c r="D1021" s="980"/>
      <c r="E1021" s="487"/>
      <c r="F1021" s="487"/>
      <c r="G1021" s="487"/>
      <c r="H1021" s="487"/>
      <c r="I1021" s="487"/>
      <c r="J1021" s="487"/>
      <c r="K1021" s="487"/>
      <c r="L1021" s="487"/>
      <c r="M1021" s="487"/>
      <c r="N1021" s="487"/>
      <c r="O1021" s="487"/>
      <c r="P1021" s="487"/>
      <c r="Q1021" s="487"/>
      <c r="R1021" s="487"/>
      <c r="S1021" s="487"/>
      <c r="T1021" s="487"/>
      <c r="U1021" s="487"/>
      <c r="V1021" s="487"/>
      <c r="W1021" s="487"/>
      <c r="X1021" s="487"/>
      <c r="Y1021" s="487"/>
      <c r="Z1021" s="487"/>
      <c r="AA1021" s="487"/>
      <c r="AB1021" s="487"/>
      <c r="AC1021" s="487"/>
      <c r="AD1021" s="487"/>
      <c r="AE1021" s="487"/>
      <c r="AF1021" s="487"/>
      <c r="AG1021" s="487"/>
      <c r="AH1021" s="487"/>
      <c r="AI1021" s="487"/>
      <c r="AJ1021" s="487"/>
      <c r="AK1021" s="487"/>
      <c r="AL1021" s="487"/>
      <c r="AM1021" s="487"/>
      <c r="AN1021" s="487"/>
      <c r="AO1021" s="487"/>
      <c r="AP1021" s="487"/>
      <c r="AQ1021" s="487"/>
      <c r="AR1021" s="487"/>
      <c r="AS1021" s="487"/>
      <c r="AT1021" s="487"/>
      <c r="AU1021" s="487"/>
      <c r="AV1021" s="487"/>
      <c r="AW1021" s="487"/>
      <c r="AX1021" s="487"/>
      <c r="AY1021" s="487"/>
      <c r="AZ1021" s="487"/>
      <c r="BA1021" s="487"/>
      <c r="BB1021" s="487"/>
      <c r="BC1021" s="487"/>
      <c r="BD1021" s="487"/>
      <c r="BE1021" s="487"/>
      <c r="BF1021" s="487"/>
      <c r="BG1021" s="487"/>
      <c r="BH1021" s="487"/>
      <c r="BI1021" s="487"/>
      <c r="BJ1021" s="981"/>
      <c r="BK1021" s="487"/>
      <c r="BL1021" s="487"/>
      <c r="BM1021" s="487"/>
      <c r="BN1021" s="487"/>
      <c r="BO1021" s="487"/>
      <c r="BP1021" s="487"/>
      <c r="BQ1021" s="487"/>
      <c r="BR1021" s="487"/>
      <c r="BS1021" s="487"/>
      <c r="BT1021" s="487"/>
      <c r="BU1021" s="487"/>
      <c r="BV1021" s="487"/>
      <c r="BW1021" s="223"/>
    </row>
    <row r="1022" spans="1:75" x14ac:dyDescent="0.5">
      <c r="A1022" s="984" t="s">
        <v>2701</v>
      </c>
      <c r="B1022" s="979"/>
      <c r="C1022" s="980"/>
      <c r="D1022" s="980"/>
      <c r="E1022" s="487"/>
      <c r="F1022" s="487"/>
      <c r="G1022" s="487"/>
      <c r="H1022" s="487"/>
      <c r="I1022" s="487"/>
      <c r="J1022" s="487"/>
      <c r="K1022" s="487"/>
      <c r="L1022" s="487"/>
      <c r="M1022" s="487"/>
      <c r="N1022" s="487"/>
      <c r="O1022" s="487"/>
      <c r="P1022" s="487"/>
      <c r="Q1022" s="487"/>
      <c r="R1022" s="487"/>
      <c r="S1022" s="487"/>
      <c r="T1022" s="487"/>
      <c r="U1022" s="487"/>
      <c r="V1022" s="487"/>
      <c r="W1022" s="487"/>
      <c r="X1022" s="487"/>
      <c r="Y1022" s="487"/>
      <c r="Z1022" s="487"/>
      <c r="AA1022" s="487"/>
      <c r="AB1022" s="487"/>
      <c r="AC1022" s="487"/>
      <c r="AD1022" s="487"/>
      <c r="AE1022" s="487"/>
      <c r="AF1022" s="487"/>
      <c r="AG1022" s="487"/>
      <c r="AH1022" s="487"/>
      <c r="AI1022" s="487"/>
      <c r="AJ1022" s="487"/>
      <c r="AK1022" s="487"/>
      <c r="AL1022" s="487"/>
      <c r="AM1022" s="487"/>
      <c r="AN1022" s="487"/>
      <c r="AO1022" s="487"/>
      <c r="AP1022" s="487"/>
      <c r="AQ1022" s="487"/>
      <c r="AR1022" s="487"/>
      <c r="AS1022" s="487"/>
      <c r="AT1022" s="487"/>
      <c r="AU1022" s="487"/>
      <c r="AV1022" s="487"/>
      <c r="AW1022" s="487"/>
      <c r="AX1022" s="487"/>
      <c r="AY1022" s="487"/>
      <c r="AZ1022" s="487"/>
      <c r="BA1022" s="487"/>
      <c r="BB1022" s="487"/>
      <c r="BC1022" s="487"/>
      <c r="BD1022" s="487"/>
      <c r="BE1022" s="487"/>
      <c r="BF1022" s="487"/>
      <c r="BG1022" s="487"/>
      <c r="BH1022" s="487"/>
      <c r="BI1022" s="487"/>
      <c r="BJ1022" s="981"/>
      <c r="BK1022" s="487"/>
      <c r="BL1022" s="487"/>
      <c r="BM1022" s="487"/>
      <c r="BN1022" s="487"/>
      <c r="BO1022" s="487"/>
      <c r="BP1022" s="487"/>
      <c r="BQ1022" s="487"/>
      <c r="BR1022" s="487"/>
      <c r="BS1022" s="487"/>
      <c r="BT1022" s="487"/>
      <c r="BU1022" s="487"/>
      <c r="BV1022" s="487"/>
      <c r="BW1022" s="223"/>
    </row>
    <row r="1023" spans="1:75" x14ac:dyDescent="0.5">
      <c r="A1023" s="985" t="s">
        <v>2702</v>
      </c>
      <c r="B1023" s="979"/>
      <c r="C1023" s="980"/>
      <c r="D1023" s="980"/>
      <c r="E1023" s="487"/>
      <c r="F1023" s="487"/>
      <c r="G1023" s="487"/>
      <c r="H1023" s="487"/>
      <c r="I1023" s="487"/>
      <c r="J1023" s="487"/>
      <c r="K1023" s="487"/>
      <c r="L1023" s="487"/>
      <c r="M1023" s="487"/>
      <c r="N1023" s="487"/>
      <c r="O1023" s="487"/>
      <c r="P1023" s="487"/>
      <c r="Q1023" s="487"/>
      <c r="R1023" s="487"/>
      <c r="S1023" s="487"/>
      <c r="T1023" s="487"/>
      <c r="U1023" s="487"/>
      <c r="V1023" s="487"/>
      <c r="W1023" s="487"/>
      <c r="X1023" s="487"/>
      <c r="Y1023" s="487"/>
      <c r="Z1023" s="487"/>
      <c r="AA1023" s="487"/>
      <c r="AB1023" s="487"/>
      <c r="AC1023" s="487"/>
      <c r="AD1023" s="487"/>
      <c r="AE1023" s="487"/>
      <c r="AF1023" s="487"/>
      <c r="AG1023" s="487"/>
      <c r="AH1023" s="487"/>
      <c r="AI1023" s="487"/>
      <c r="AJ1023" s="487"/>
      <c r="AK1023" s="487"/>
      <c r="AL1023" s="487"/>
      <c r="AM1023" s="487"/>
      <c r="AN1023" s="487"/>
      <c r="AO1023" s="487"/>
      <c r="AP1023" s="487"/>
      <c r="AQ1023" s="487"/>
      <c r="AR1023" s="487"/>
      <c r="AS1023" s="487"/>
      <c r="AT1023" s="487"/>
      <c r="AU1023" s="487"/>
      <c r="AV1023" s="487"/>
      <c r="AW1023" s="487"/>
      <c r="AX1023" s="487"/>
      <c r="AY1023" s="487"/>
      <c r="AZ1023" s="487"/>
      <c r="BA1023" s="487"/>
      <c r="BB1023" s="487"/>
      <c r="BC1023" s="487"/>
      <c r="BD1023" s="487"/>
      <c r="BE1023" s="487"/>
      <c r="BF1023" s="487"/>
      <c r="BG1023" s="487"/>
      <c r="BH1023" s="487"/>
      <c r="BI1023" s="487"/>
      <c r="BJ1023" s="981"/>
      <c r="BK1023" s="487"/>
      <c r="BL1023" s="487"/>
      <c r="BM1023" s="487"/>
      <c r="BN1023" s="487"/>
      <c r="BO1023" s="487"/>
      <c r="BP1023" s="487"/>
      <c r="BQ1023" s="487"/>
      <c r="BR1023" s="487"/>
      <c r="BS1023" s="487"/>
      <c r="BT1023" s="487"/>
      <c r="BU1023" s="487"/>
      <c r="BV1023" s="487"/>
      <c r="BW1023" s="223"/>
    </row>
    <row r="1024" spans="1:75" x14ac:dyDescent="0.5">
      <c r="A1024" s="1051"/>
      <c r="B1024" s="987"/>
      <c r="C1024" s="980"/>
      <c r="D1024" s="980"/>
      <c r="E1024" s="487"/>
      <c r="F1024" s="487"/>
      <c r="G1024" s="487"/>
      <c r="H1024" s="487"/>
      <c r="I1024" s="487"/>
      <c r="J1024" s="487"/>
      <c r="K1024" s="487"/>
      <c r="L1024" s="487"/>
      <c r="M1024" s="487"/>
      <c r="N1024" s="487"/>
      <c r="O1024" s="487"/>
      <c r="P1024" s="487"/>
      <c r="Q1024" s="487"/>
      <c r="R1024" s="487"/>
      <c r="S1024" s="487"/>
      <c r="T1024" s="487"/>
      <c r="U1024" s="487"/>
      <c r="V1024" s="487"/>
      <c r="W1024" s="487"/>
      <c r="X1024" s="487"/>
      <c r="Y1024" s="487"/>
      <c r="Z1024" s="487"/>
      <c r="AA1024" s="487"/>
      <c r="AB1024" s="487"/>
      <c r="AC1024" s="487"/>
      <c r="AD1024" s="487"/>
      <c r="AE1024" s="487"/>
      <c r="AF1024" s="487"/>
      <c r="AG1024" s="487"/>
      <c r="AH1024" s="487"/>
      <c r="AI1024" s="487"/>
      <c r="AJ1024" s="487"/>
      <c r="AK1024" s="487"/>
      <c r="AL1024" s="487"/>
      <c r="AM1024" s="487"/>
      <c r="AN1024" s="487"/>
      <c r="AO1024" s="487"/>
      <c r="AP1024" s="487"/>
      <c r="AQ1024" s="487"/>
      <c r="AR1024" s="487"/>
      <c r="AS1024" s="487"/>
      <c r="AT1024" s="487"/>
      <c r="AU1024" s="487"/>
      <c r="AV1024" s="487"/>
      <c r="AW1024" s="487"/>
      <c r="AX1024" s="487"/>
      <c r="AY1024" s="487"/>
      <c r="AZ1024" s="487"/>
      <c r="BA1024" s="487"/>
      <c r="BB1024" s="487"/>
      <c r="BC1024" s="487"/>
      <c r="BD1024" s="487"/>
      <c r="BE1024" s="487"/>
      <c r="BF1024" s="487"/>
      <c r="BG1024" s="487"/>
      <c r="BH1024" s="487"/>
      <c r="BI1024" s="487"/>
      <c r="BJ1024" s="981"/>
      <c r="BK1024" s="487"/>
      <c r="BL1024" s="487"/>
      <c r="BM1024" s="487"/>
      <c r="BN1024" s="487"/>
      <c r="BO1024" s="487"/>
      <c r="BP1024" s="487"/>
      <c r="BQ1024" s="487"/>
      <c r="BR1024" s="487"/>
      <c r="BS1024" s="487"/>
      <c r="BT1024" s="487"/>
      <c r="BU1024" s="487"/>
      <c r="BV1024" s="487"/>
      <c r="BW1024" s="223"/>
    </row>
    <row r="1025" spans="1:75" x14ac:dyDescent="0.5">
      <c r="A1025" s="1583" t="s">
        <v>1584</v>
      </c>
      <c r="B1025" s="989"/>
      <c r="C1025" s="990"/>
      <c r="D1025" s="990"/>
      <c r="E1025" s="990"/>
      <c r="F1025" s="990"/>
      <c r="G1025" s="990"/>
      <c r="H1025" s="990"/>
      <c r="I1025" s="990"/>
      <c r="J1025" s="990"/>
      <c r="K1025" s="990"/>
      <c r="L1025" s="990"/>
      <c r="M1025" s="990"/>
      <c r="N1025" s="990"/>
      <c r="O1025" s="990"/>
      <c r="P1025" s="990"/>
      <c r="Q1025" s="990"/>
      <c r="R1025" s="990"/>
      <c r="S1025" s="990"/>
      <c r="T1025" s="990"/>
      <c r="U1025" s="990"/>
      <c r="V1025" s="990"/>
      <c r="W1025" s="990"/>
      <c r="X1025" s="990"/>
      <c r="Y1025" s="990"/>
      <c r="Z1025" s="990"/>
      <c r="AA1025" s="990"/>
      <c r="AB1025" s="990"/>
      <c r="AC1025" s="990"/>
      <c r="AD1025" s="990"/>
      <c r="AE1025" s="990"/>
      <c r="AF1025" s="990"/>
      <c r="AG1025" s="990"/>
      <c r="AH1025" s="990"/>
      <c r="AI1025" s="990"/>
      <c r="AJ1025" s="990"/>
      <c r="AK1025" s="990"/>
      <c r="AL1025" s="990"/>
      <c r="AM1025" s="990"/>
      <c r="AN1025" s="990"/>
      <c r="AO1025" s="990"/>
      <c r="AP1025" s="990"/>
      <c r="AQ1025" s="990"/>
      <c r="AR1025" s="990"/>
      <c r="AS1025" s="990"/>
      <c r="AT1025" s="990"/>
      <c r="AU1025" s="990"/>
      <c r="AV1025" s="990"/>
      <c r="AW1025" s="990"/>
      <c r="AX1025" s="990"/>
      <c r="AY1025" s="990"/>
      <c r="AZ1025" s="990"/>
      <c r="BA1025" s="990"/>
      <c r="BB1025" s="990"/>
      <c r="BC1025" s="990"/>
      <c r="BD1025" s="990"/>
      <c r="BE1025" s="990"/>
      <c r="BF1025" s="990"/>
      <c r="BG1025" s="990"/>
      <c r="BH1025" s="990"/>
      <c r="BI1025" s="990"/>
      <c r="BJ1025" s="991"/>
      <c r="BK1025" s="990"/>
      <c r="BL1025" s="990"/>
      <c r="BM1025" s="990"/>
      <c r="BN1025" s="990"/>
      <c r="BO1025" s="990"/>
      <c r="BP1025" s="990"/>
      <c r="BQ1025" s="990"/>
      <c r="BR1025" s="990"/>
      <c r="BS1025" s="990"/>
      <c r="BT1025" s="990"/>
      <c r="BU1025" s="990"/>
      <c r="BV1025" s="990"/>
      <c r="BW1025" s="134"/>
    </row>
    <row r="1026" spans="1:75" x14ac:dyDescent="0.5">
      <c r="A1026" s="1037" t="s">
        <v>1585</v>
      </c>
      <c r="B1026" s="993">
        <v>1</v>
      </c>
      <c r="C1026" s="487"/>
      <c r="D1026" s="980"/>
      <c r="E1026" s="487"/>
      <c r="F1026" s="487"/>
      <c r="G1026" s="487"/>
      <c r="H1026" s="487"/>
      <c r="I1026" s="487"/>
      <c r="J1026" s="487"/>
      <c r="K1026" s="487"/>
      <c r="L1026" s="487"/>
      <c r="M1026" s="487"/>
      <c r="N1026" s="487"/>
      <c r="O1026" s="487"/>
      <c r="P1026" s="487"/>
      <c r="Q1026" s="487"/>
      <c r="R1026" s="487"/>
      <c r="S1026" s="487"/>
      <c r="T1026" s="487"/>
      <c r="U1026" s="487"/>
      <c r="V1026" s="487"/>
      <c r="W1026" s="487"/>
      <c r="X1026" s="487"/>
      <c r="Y1026" s="487"/>
      <c r="Z1026" s="487"/>
      <c r="AA1026" s="487"/>
      <c r="AB1026" s="487"/>
      <c r="AC1026" s="487"/>
      <c r="AD1026" s="487"/>
      <c r="AE1026" s="487"/>
      <c r="AF1026" s="487"/>
      <c r="AG1026" s="487"/>
      <c r="AH1026" s="487"/>
      <c r="AI1026" s="487"/>
      <c r="AJ1026" s="487"/>
      <c r="AK1026" s="487"/>
      <c r="AL1026" s="487"/>
      <c r="AM1026" s="487"/>
      <c r="AN1026" s="487"/>
      <c r="AO1026" s="487"/>
      <c r="AP1026" s="487"/>
      <c r="AQ1026" s="487"/>
      <c r="AR1026" s="487"/>
      <c r="AS1026" s="487"/>
      <c r="AT1026" s="487"/>
      <c r="AU1026" s="487"/>
      <c r="AV1026" s="487"/>
      <c r="AW1026" s="487"/>
      <c r="AX1026" s="487"/>
      <c r="AY1026" s="487"/>
      <c r="AZ1026" s="487"/>
      <c r="BA1026" s="487"/>
      <c r="BB1026" s="487"/>
      <c r="BC1026" s="487"/>
      <c r="BD1026" s="487"/>
      <c r="BE1026" s="487"/>
      <c r="BF1026" s="487"/>
      <c r="BG1026" s="487"/>
      <c r="BH1026" s="487"/>
      <c r="BI1026" s="487"/>
      <c r="BJ1026" s="981"/>
      <c r="BK1026" s="487"/>
      <c r="BL1026" s="487"/>
      <c r="BM1026" s="487"/>
      <c r="BN1026" s="487"/>
      <c r="BO1026" s="487"/>
      <c r="BP1026" s="487"/>
      <c r="BQ1026" s="487"/>
      <c r="BR1026" s="487"/>
      <c r="BS1026" s="487"/>
      <c r="BT1026" s="487"/>
      <c r="BU1026" s="487"/>
      <c r="BV1026" s="487"/>
      <c r="BW1026" s="223"/>
    </row>
    <row r="1027" spans="1:75" x14ac:dyDescent="0.5">
      <c r="A1027" s="1037" t="s">
        <v>1586</v>
      </c>
      <c r="B1027" s="993">
        <v>2</v>
      </c>
      <c r="C1027" s="487"/>
      <c r="D1027" s="980"/>
      <c r="E1027" s="487"/>
      <c r="F1027" s="487"/>
      <c r="G1027" s="487"/>
      <c r="H1027" s="487"/>
      <c r="I1027" s="487"/>
      <c r="J1027" s="487"/>
      <c r="K1027" s="487"/>
      <c r="L1027" s="487"/>
      <c r="M1027" s="487"/>
      <c r="N1027" s="487"/>
      <c r="O1027" s="487"/>
      <c r="P1027" s="487"/>
      <c r="Q1027" s="487"/>
      <c r="R1027" s="487"/>
      <c r="S1027" s="487"/>
      <c r="T1027" s="487"/>
      <c r="U1027" s="487"/>
      <c r="V1027" s="487"/>
      <c r="W1027" s="487"/>
      <c r="X1027" s="487"/>
      <c r="Y1027" s="487"/>
      <c r="Z1027" s="487"/>
      <c r="AA1027" s="487"/>
      <c r="AB1027" s="487"/>
      <c r="AC1027" s="487"/>
      <c r="AD1027" s="487"/>
      <c r="AE1027" s="487"/>
      <c r="AF1027" s="487"/>
      <c r="AG1027" s="487"/>
      <c r="AH1027" s="487"/>
      <c r="AI1027" s="487"/>
      <c r="AJ1027" s="487"/>
      <c r="AK1027" s="487"/>
      <c r="AL1027" s="487"/>
      <c r="AM1027" s="487"/>
      <c r="AN1027" s="487"/>
      <c r="AO1027" s="487"/>
      <c r="AP1027" s="487"/>
      <c r="AQ1027" s="487"/>
      <c r="AR1027" s="487"/>
      <c r="AS1027" s="487"/>
      <c r="AT1027" s="487"/>
      <c r="AU1027" s="487"/>
      <c r="AV1027" s="487"/>
      <c r="AW1027" s="487"/>
      <c r="AX1027" s="487"/>
      <c r="AY1027" s="487"/>
      <c r="AZ1027" s="487"/>
      <c r="BA1027" s="487"/>
      <c r="BB1027" s="487"/>
      <c r="BC1027" s="487"/>
      <c r="BD1027" s="487"/>
      <c r="BE1027" s="487"/>
      <c r="BF1027" s="487"/>
      <c r="BG1027" s="487"/>
      <c r="BH1027" s="487"/>
      <c r="BI1027" s="487"/>
      <c r="BJ1027" s="981"/>
      <c r="BK1027" s="487"/>
      <c r="BL1027" s="487"/>
      <c r="BM1027" s="487"/>
      <c r="BN1027" s="487"/>
      <c r="BO1027" s="487"/>
      <c r="BP1027" s="487"/>
      <c r="BQ1027" s="487"/>
      <c r="BR1027" s="487"/>
      <c r="BS1027" s="487"/>
      <c r="BT1027" s="487"/>
      <c r="BU1027" s="487"/>
      <c r="BV1027" s="487"/>
      <c r="BW1027" s="223"/>
    </row>
    <row r="1028" spans="1:75" x14ac:dyDescent="0.5">
      <c r="A1028" s="1047" t="s">
        <v>1587</v>
      </c>
      <c r="B1028" s="995">
        <v>3</v>
      </c>
      <c r="C1028" s="487"/>
      <c r="D1028" s="980"/>
      <c r="E1028" s="487"/>
      <c r="F1028" s="487"/>
      <c r="G1028" s="487"/>
      <c r="H1028" s="487"/>
      <c r="I1028" s="487"/>
      <c r="J1028" s="487"/>
      <c r="K1028" s="487"/>
      <c r="L1028" s="487"/>
      <c r="M1028" s="487"/>
      <c r="N1028" s="487"/>
      <c r="O1028" s="487"/>
      <c r="P1028" s="487"/>
      <c r="Q1028" s="487"/>
      <c r="R1028" s="487"/>
      <c r="S1028" s="487"/>
      <c r="T1028" s="487"/>
      <c r="U1028" s="487"/>
      <c r="V1028" s="487"/>
      <c r="W1028" s="487"/>
      <c r="X1028" s="487"/>
      <c r="Y1028" s="487"/>
      <c r="Z1028" s="487"/>
      <c r="AA1028" s="487"/>
      <c r="AB1028" s="487"/>
      <c r="AC1028" s="487"/>
      <c r="AD1028" s="487"/>
      <c r="AE1028" s="487"/>
      <c r="AF1028" s="487"/>
      <c r="AG1028" s="487"/>
      <c r="AH1028" s="487"/>
      <c r="AI1028" s="487"/>
      <c r="AJ1028" s="487"/>
      <c r="AK1028" s="487"/>
      <c r="AL1028" s="487"/>
      <c r="AM1028" s="487"/>
      <c r="AN1028" s="487"/>
      <c r="AO1028" s="487"/>
      <c r="AP1028" s="487"/>
      <c r="AQ1028" s="487"/>
      <c r="AR1028" s="487"/>
      <c r="AS1028" s="487"/>
      <c r="AT1028" s="487"/>
      <c r="AU1028" s="487"/>
      <c r="AV1028" s="487"/>
      <c r="AW1028" s="487"/>
      <c r="AX1028" s="487"/>
      <c r="AY1028" s="487"/>
      <c r="AZ1028" s="487"/>
      <c r="BA1028" s="487"/>
      <c r="BB1028" s="487"/>
      <c r="BC1028" s="487"/>
      <c r="BD1028" s="487"/>
      <c r="BE1028" s="487"/>
      <c r="BF1028" s="487"/>
      <c r="BG1028" s="487"/>
      <c r="BH1028" s="487"/>
      <c r="BI1028" s="487"/>
      <c r="BJ1028" s="981"/>
      <c r="BK1028" s="487"/>
      <c r="BL1028" s="487"/>
      <c r="BM1028" s="487"/>
      <c r="BN1028" s="487"/>
      <c r="BO1028" s="487"/>
      <c r="BP1028" s="487"/>
      <c r="BQ1028" s="487"/>
      <c r="BR1028" s="487"/>
      <c r="BS1028" s="487"/>
      <c r="BT1028" s="487"/>
      <c r="BU1028" s="487"/>
      <c r="BV1028" s="487"/>
      <c r="BW1028" s="223"/>
    </row>
    <row r="1029" spans="1:75" x14ac:dyDescent="0.5">
      <c r="A1029" s="1584"/>
      <c r="B1029" s="1367"/>
      <c r="C1029" s="980"/>
      <c r="D1029" s="980"/>
      <c r="E1029" s="487"/>
      <c r="F1029" s="487"/>
      <c r="G1029" s="487"/>
      <c r="H1029" s="487"/>
      <c r="I1029" s="487"/>
      <c r="J1029" s="487"/>
      <c r="K1029" s="487"/>
      <c r="L1029" s="487"/>
      <c r="M1029" s="487"/>
      <c r="N1029" s="487"/>
      <c r="O1029" s="487"/>
      <c r="P1029" s="487"/>
      <c r="Q1029" s="487"/>
      <c r="R1029" s="487"/>
      <c r="S1029" s="487"/>
      <c r="T1029" s="487"/>
      <c r="U1029" s="487"/>
      <c r="V1029" s="487"/>
      <c r="W1029" s="487"/>
      <c r="X1029" s="487"/>
      <c r="Y1029" s="487"/>
      <c r="Z1029" s="487"/>
      <c r="AA1029" s="487"/>
      <c r="AB1029" s="487"/>
      <c r="AC1029" s="487"/>
      <c r="AD1029" s="487"/>
      <c r="AE1029" s="487"/>
      <c r="AF1029" s="487"/>
      <c r="AG1029" s="487"/>
      <c r="AH1029" s="487"/>
      <c r="AI1029" s="487"/>
      <c r="AJ1029" s="487"/>
      <c r="AK1029" s="487"/>
      <c r="AL1029" s="487"/>
      <c r="AM1029" s="487"/>
      <c r="AN1029" s="487"/>
      <c r="AO1029" s="487"/>
      <c r="AP1029" s="487"/>
      <c r="AQ1029" s="487"/>
      <c r="AR1029" s="487"/>
      <c r="AS1029" s="487"/>
      <c r="AT1029" s="487"/>
      <c r="AU1029" s="487"/>
      <c r="AV1029" s="487"/>
      <c r="AW1029" s="487"/>
      <c r="AX1029" s="487"/>
      <c r="AY1029" s="487"/>
      <c r="AZ1029" s="487"/>
      <c r="BA1029" s="487"/>
      <c r="BB1029" s="487"/>
      <c r="BC1029" s="487"/>
      <c r="BD1029" s="487"/>
      <c r="BE1029" s="487"/>
      <c r="BF1029" s="487"/>
      <c r="BG1029" s="487"/>
      <c r="BH1029" s="487"/>
      <c r="BI1029" s="487"/>
      <c r="BJ1029" s="981"/>
      <c r="BK1029" s="487"/>
      <c r="BL1029" s="487"/>
      <c r="BM1029" s="487"/>
      <c r="BN1029" s="487"/>
      <c r="BO1029" s="487"/>
      <c r="BP1029" s="487"/>
      <c r="BQ1029" s="487"/>
      <c r="BR1029" s="487"/>
      <c r="BS1029" s="487"/>
      <c r="BT1029" s="487"/>
      <c r="BU1029" s="487"/>
      <c r="BV1029" s="487"/>
      <c r="BW1029" s="223"/>
    </row>
    <row r="1030" spans="1:75" x14ac:dyDescent="0.5">
      <c r="A1030" s="1585" t="s">
        <v>1588</v>
      </c>
      <c r="B1030" s="487"/>
      <c r="C1030" s="980"/>
      <c r="D1030" s="980"/>
      <c r="E1030" s="487"/>
      <c r="F1030" s="487"/>
      <c r="G1030" s="487"/>
      <c r="H1030" s="487"/>
      <c r="I1030" s="487"/>
      <c r="J1030" s="487"/>
      <c r="K1030" s="487"/>
      <c r="L1030" s="487"/>
      <c r="M1030" s="487"/>
      <c r="N1030" s="487"/>
      <c r="O1030" s="487"/>
      <c r="P1030" s="487"/>
      <c r="Q1030" s="487"/>
      <c r="R1030" s="487"/>
      <c r="S1030" s="487"/>
      <c r="T1030" s="487"/>
      <c r="U1030" s="487"/>
      <c r="V1030" s="487"/>
      <c r="W1030" s="487"/>
      <c r="X1030" s="487"/>
      <c r="Y1030" s="487"/>
      <c r="Z1030" s="487"/>
      <c r="AA1030" s="487"/>
      <c r="AB1030" s="487"/>
      <c r="AC1030" s="487"/>
      <c r="AD1030" s="487"/>
      <c r="AE1030" s="487"/>
      <c r="AF1030" s="487"/>
      <c r="AG1030" s="487"/>
      <c r="AH1030" s="487"/>
      <c r="AI1030" s="487"/>
      <c r="AJ1030" s="487"/>
      <c r="AK1030" s="487"/>
      <c r="AL1030" s="487"/>
      <c r="AM1030" s="487"/>
      <c r="AN1030" s="487"/>
      <c r="AO1030" s="487"/>
      <c r="AP1030" s="487"/>
      <c r="AQ1030" s="487"/>
      <c r="AR1030" s="487"/>
      <c r="AS1030" s="487"/>
      <c r="AT1030" s="487"/>
      <c r="AU1030" s="487"/>
      <c r="AV1030" s="487"/>
      <c r="AW1030" s="487"/>
      <c r="AX1030" s="487"/>
      <c r="AY1030" s="487"/>
      <c r="AZ1030" s="487"/>
      <c r="BA1030" s="487"/>
      <c r="BB1030" s="487"/>
      <c r="BC1030" s="487"/>
      <c r="BD1030" s="487"/>
      <c r="BE1030" s="487"/>
      <c r="BF1030" s="487"/>
      <c r="BG1030" s="487"/>
      <c r="BH1030" s="487"/>
      <c r="BI1030" s="487"/>
      <c r="BJ1030" s="981"/>
      <c r="BK1030" s="487"/>
      <c r="BL1030" s="487"/>
      <c r="BM1030" s="487"/>
      <c r="BN1030" s="487"/>
      <c r="BO1030" s="487"/>
      <c r="BP1030" s="487"/>
      <c r="BQ1030" s="487"/>
      <c r="BR1030" s="487"/>
      <c r="BS1030" s="487"/>
      <c r="BT1030" s="487"/>
      <c r="BU1030" s="487"/>
      <c r="BV1030" s="487"/>
      <c r="BW1030" s="223"/>
    </row>
    <row r="1031" spans="1:75" x14ac:dyDescent="0.5">
      <c r="A1031" s="1586" t="str">
        <f>MO_RIS_REV</f>
        <v>Net Revenue</v>
      </c>
      <c r="B1031" s="487"/>
      <c r="C1031" s="980"/>
      <c r="D1031" s="980"/>
      <c r="E1031" s="487"/>
      <c r="F1031" s="487"/>
      <c r="G1031" s="487"/>
      <c r="H1031" s="487"/>
      <c r="I1031" s="487"/>
      <c r="J1031" s="487"/>
      <c r="K1031" s="487"/>
      <c r="L1031" s="487"/>
      <c r="M1031" s="487"/>
      <c r="N1031" s="487"/>
      <c r="O1031" s="487"/>
      <c r="P1031" s="487"/>
      <c r="Q1031" s="487"/>
      <c r="R1031" s="487"/>
      <c r="S1031" s="487"/>
      <c r="T1031" s="487"/>
      <c r="U1031" s="487"/>
      <c r="V1031" s="487"/>
      <c r="W1031" s="487"/>
      <c r="X1031" s="487"/>
      <c r="Y1031" s="487"/>
      <c r="Z1031" s="487"/>
      <c r="AA1031" s="487"/>
      <c r="AB1031" s="487"/>
      <c r="AC1031" s="487"/>
      <c r="AD1031" s="487"/>
      <c r="AE1031" s="487"/>
      <c r="AF1031" s="487"/>
      <c r="AG1031" s="487"/>
      <c r="AH1031" s="487"/>
      <c r="AI1031" s="487"/>
      <c r="AJ1031" s="487"/>
      <c r="AK1031" s="487"/>
      <c r="AL1031" s="487"/>
      <c r="AM1031" s="487"/>
      <c r="AN1031" s="487"/>
      <c r="AO1031" s="487"/>
      <c r="AP1031" s="487"/>
      <c r="AQ1031" s="487"/>
      <c r="AR1031" s="487"/>
      <c r="AS1031" s="487"/>
      <c r="AT1031" s="487"/>
      <c r="AU1031" s="487"/>
      <c r="AV1031" s="487"/>
      <c r="AW1031" s="487"/>
      <c r="AX1031" s="487"/>
      <c r="AY1031" s="487"/>
      <c r="AZ1031" s="487"/>
      <c r="BA1031" s="487"/>
      <c r="BB1031" s="487"/>
      <c r="BC1031" s="487"/>
      <c r="BD1031" s="487"/>
      <c r="BE1031" s="487"/>
      <c r="BF1031" s="487"/>
      <c r="BG1031" s="487"/>
      <c r="BH1031" s="487"/>
      <c r="BI1031" s="487"/>
      <c r="BJ1031" s="981"/>
      <c r="BK1031" s="487"/>
      <c r="BL1031" s="487"/>
      <c r="BM1031" s="487"/>
      <c r="BN1031" s="487"/>
      <c r="BO1031" s="487"/>
      <c r="BP1031" s="487"/>
      <c r="BQ1031" s="487"/>
      <c r="BR1031" s="487"/>
      <c r="BS1031" s="487"/>
      <c r="BT1031" s="487"/>
      <c r="BU1031" s="487"/>
      <c r="BV1031" s="487"/>
      <c r="BW1031" s="223"/>
    </row>
    <row r="1032" spans="1:75" x14ac:dyDescent="0.5">
      <c r="A1032" s="1586" t="str">
        <f>MO_RIS_EBITDA_Adj</f>
        <v>Adjusted EBITDA</v>
      </c>
      <c r="B1032" s="487"/>
      <c r="C1032" s="980"/>
      <c r="D1032" s="980"/>
      <c r="E1032" s="487"/>
      <c r="F1032" s="487"/>
      <c r="G1032" s="487"/>
      <c r="H1032" s="487"/>
      <c r="I1032" s="487"/>
      <c r="J1032" s="487"/>
      <c r="K1032" s="487"/>
      <c r="L1032" s="487"/>
      <c r="M1032" s="487"/>
      <c r="N1032" s="487"/>
      <c r="O1032" s="487"/>
      <c r="P1032" s="487"/>
      <c r="Q1032" s="487"/>
      <c r="R1032" s="487"/>
      <c r="S1032" s="487"/>
      <c r="T1032" s="487"/>
      <c r="U1032" s="487"/>
      <c r="V1032" s="487"/>
      <c r="W1032" s="487"/>
      <c r="X1032" s="487"/>
      <c r="Y1032" s="487"/>
      <c r="Z1032" s="487"/>
      <c r="AA1032" s="487"/>
      <c r="AB1032" s="487"/>
      <c r="AC1032" s="487"/>
      <c r="AD1032" s="487"/>
      <c r="AE1032" s="487"/>
      <c r="AF1032" s="487"/>
      <c r="AG1032" s="487"/>
      <c r="AH1032" s="487"/>
      <c r="AI1032" s="487"/>
      <c r="AJ1032" s="487"/>
      <c r="AK1032" s="487"/>
      <c r="AL1032" s="487"/>
      <c r="AM1032" s="487"/>
      <c r="AN1032" s="487"/>
      <c r="AO1032" s="487"/>
      <c r="AP1032" s="487"/>
      <c r="AQ1032" s="487"/>
      <c r="AR1032" s="487"/>
      <c r="AS1032" s="487"/>
      <c r="AT1032" s="487"/>
      <c r="AU1032" s="487"/>
      <c r="AV1032" s="487"/>
      <c r="AW1032" s="487"/>
      <c r="AX1032" s="487"/>
      <c r="AY1032" s="487"/>
      <c r="AZ1032" s="487"/>
      <c r="BA1032" s="487"/>
      <c r="BB1032" s="487"/>
      <c r="BC1032" s="487"/>
      <c r="BD1032" s="487"/>
      <c r="BE1032" s="487"/>
      <c r="BF1032" s="487"/>
      <c r="BG1032" s="487"/>
      <c r="BH1032" s="487"/>
      <c r="BI1032" s="487"/>
      <c r="BJ1032" s="981"/>
      <c r="BK1032" s="487"/>
      <c r="BL1032" s="487"/>
      <c r="BM1032" s="487"/>
      <c r="BN1032" s="487"/>
      <c r="BO1032" s="487"/>
      <c r="BP1032" s="487"/>
      <c r="BQ1032" s="487"/>
      <c r="BR1032" s="487"/>
      <c r="BS1032" s="487"/>
      <c r="BT1032" s="487"/>
      <c r="BU1032" s="487"/>
      <c r="BV1032" s="487"/>
      <c r="BW1032" s="223"/>
    </row>
    <row r="1033" spans="1:75" x14ac:dyDescent="0.5">
      <c r="A1033" s="1586" t="str">
        <f>MO_RIS_EBIT_Adj</f>
        <v>Adjusted EBIT</v>
      </c>
      <c r="B1033" s="487"/>
      <c r="C1033" s="980"/>
      <c r="D1033" s="980"/>
      <c r="E1033" s="487"/>
      <c r="F1033" s="487"/>
      <c r="G1033" s="487"/>
      <c r="H1033" s="487"/>
      <c r="I1033" s="487"/>
      <c r="J1033" s="487"/>
      <c r="K1033" s="487"/>
      <c r="L1033" s="487"/>
      <c r="M1033" s="487"/>
      <c r="N1033" s="487"/>
      <c r="O1033" s="487"/>
      <c r="P1033" s="487"/>
      <c r="Q1033" s="487"/>
      <c r="R1033" s="487"/>
      <c r="S1033" s="487"/>
      <c r="T1033" s="487"/>
      <c r="U1033" s="487"/>
      <c r="V1033" s="487"/>
      <c r="W1033" s="487"/>
      <c r="X1033" s="487"/>
      <c r="Y1033" s="487"/>
      <c r="Z1033" s="487"/>
      <c r="AA1033" s="487"/>
      <c r="AB1033" s="487"/>
      <c r="AC1033" s="487"/>
      <c r="AD1033" s="487"/>
      <c r="AE1033" s="487"/>
      <c r="AF1033" s="487"/>
      <c r="AG1033" s="487"/>
      <c r="AH1033" s="487"/>
      <c r="AI1033" s="487"/>
      <c r="AJ1033" s="487"/>
      <c r="AK1033" s="487"/>
      <c r="AL1033" s="487"/>
      <c r="AM1033" s="487"/>
      <c r="AN1033" s="487"/>
      <c r="AO1033" s="487"/>
      <c r="AP1033" s="487"/>
      <c r="AQ1033" s="487"/>
      <c r="AR1033" s="487"/>
      <c r="AS1033" s="487"/>
      <c r="AT1033" s="487"/>
      <c r="AU1033" s="487"/>
      <c r="AV1033" s="487"/>
      <c r="AW1033" s="487"/>
      <c r="AX1033" s="487"/>
      <c r="AY1033" s="487"/>
      <c r="AZ1033" s="487"/>
      <c r="BA1033" s="487"/>
      <c r="BB1033" s="487"/>
      <c r="BC1033" s="487"/>
      <c r="BD1033" s="487"/>
      <c r="BE1033" s="487"/>
      <c r="BF1033" s="487"/>
      <c r="BG1033" s="487"/>
      <c r="BH1033" s="487"/>
      <c r="BI1033" s="487"/>
      <c r="BJ1033" s="981"/>
      <c r="BK1033" s="487"/>
      <c r="BL1033" s="487"/>
      <c r="BM1033" s="487"/>
      <c r="BN1033" s="487"/>
      <c r="BO1033" s="487"/>
      <c r="BP1033" s="487"/>
      <c r="BQ1033" s="487"/>
      <c r="BR1033" s="487"/>
      <c r="BS1033" s="487"/>
      <c r="BT1033" s="487"/>
      <c r="BU1033" s="487"/>
      <c r="BV1033" s="487"/>
      <c r="BW1033" s="223"/>
    </row>
    <row r="1034" spans="1:75" x14ac:dyDescent="0.5">
      <c r="A1034" s="1586" t="str">
        <f>MO_RIS_EPS_WAD_Adj</f>
        <v>Adjusted Earnings Per Share - WAD</v>
      </c>
      <c r="B1034" s="487"/>
      <c r="C1034" s="980"/>
      <c r="D1034" s="980"/>
      <c r="E1034" s="487"/>
      <c r="F1034" s="487"/>
      <c r="G1034" s="487"/>
      <c r="H1034" s="487"/>
      <c r="I1034" s="487"/>
      <c r="J1034" s="487"/>
      <c r="K1034" s="487"/>
      <c r="L1034" s="487"/>
      <c r="M1034" s="487"/>
      <c r="N1034" s="487"/>
      <c r="O1034" s="487"/>
      <c r="P1034" s="487"/>
      <c r="Q1034" s="487"/>
      <c r="R1034" s="487"/>
      <c r="S1034" s="487"/>
      <c r="T1034" s="487"/>
      <c r="U1034" s="487"/>
      <c r="V1034" s="487"/>
      <c r="W1034" s="487"/>
      <c r="X1034" s="487"/>
      <c r="Y1034" s="487"/>
      <c r="Z1034" s="487"/>
      <c r="AA1034" s="487"/>
      <c r="AB1034" s="487"/>
      <c r="AC1034" s="487"/>
      <c r="AD1034" s="487"/>
      <c r="AE1034" s="487"/>
      <c r="AF1034" s="487"/>
      <c r="AG1034" s="487"/>
      <c r="AH1034" s="487"/>
      <c r="AI1034" s="487"/>
      <c r="AJ1034" s="487"/>
      <c r="AK1034" s="487"/>
      <c r="AL1034" s="487"/>
      <c r="AM1034" s="487"/>
      <c r="AN1034" s="487"/>
      <c r="AO1034" s="487"/>
      <c r="AP1034" s="487"/>
      <c r="AQ1034" s="487"/>
      <c r="AR1034" s="487"/>
      <c r="AS1034" s="487"/>
      <c r="AT1034" s="487"/>
      <c r="AU1034" s="487"/>
      <c r="AV1034" s="487"/>
      <c r="AW1034" s="487"/>
      <c r="AX1034" s="487"/>
      <c r="AY1034" s="487"/>
      <c r="AZ1034" s="487"/>
      <c r="BA1034" s="487"/>
      <c r="BB1034" s="487"/>
      <c r="BC1034" s="487"/>
      <c r="BD1034" s="487"/>
      <c r="BE1034" s="487"/>
      <c r="BF1034" s="487"/>
      <c r="BG1034" s="487"/>
      <c r="BH1034" s="487"/>
      <c r="BI1034" s="487"/>
      <c r="BJ1034" s="981"/>
      <c r="BK1034" s="487"/>
      <c r="BL1034" s="487"/>
      <c r="BM1034" s="487"/>
      <c r="BN1034" s="487"/>
      <c r="BO1034" s="487"/>
      <c r="BP1034" s="487"/>
      <c r="BQ1034" s="487"/>
      <c r="BR1034" s="487"/>
      <c r="BS1034" s="487"/>
      <c r="BT1034" s="487"/>
      <c r="BU1034" s="487"/>
      <c r="BV1034" s="487"/>
      <c r="BW1034" s="223"/>
    </row>
    <row r="1035" spans="1:75" x14ac:dyDescent="0.5">
      <c r="A1035" s="1586" t="str">
        <f>MO_VA_EV_ToEBITDA</f>
        <v>EV/EBITDA - EoP</v>
      </c>
      <c r="B1035" s="487"/>
      <c r="C1035" s="980"/>
      <c r="D1035" s="980"/>
      <c r="E1035" s="487"/>
      <c r="F1035" s="487"/>
      <c r="G1035" s="487"/>
      <c r="H1035" s="487"/>
      <c r="I1035" s="487"/>
      <c r="J1035" s="487"/>
      <c r="K1035" s="487"/>
      <c r="L1035" s="487"/>
      <c r="M1035" s="487"/>
      <c r="N1035" s="487"/>
      <c r="O1035" s="487"/>
      <c r="P1035" s="487"/>
      <c r="Q1035" s="487"/>
      <c r="R1035" s="487"/>
      <c r="S1035" s="487"/>
      <c r="T1035" s="487"/>
      <c r="U1035" s="487"/>
      <c r="V1035" s="487"/>
      <c r="W1035" s="487"/>
      <c r="X1035" s="487"/>
      <c r="Y1035" s="487"/>
      <c r="Z1035" s="487"/>
      <c r="AA1035" s="487"/>
      <c r="AB1035" s="487"/>
      <c r="AC1035" s="487"/>
      <c r="AD1035" s="487"/>
      <c r="AE1035" s="487"/>
      <c r="AF1035" s="487"/>
      <c r="AG1035" s="487"/>
      <c r="AH1035" s="487"/>
      <c r="AI1035" s="487"/>
      <c r="AJ1035" s="487"/>
      <c r="AK1035" s="487"/>
      <c r="AL1035" s="487"/>
      <c r="AM1035" s="487"/>
      <c r="AN1035" s="487"/>
      <c r="AO1035" s="487"/>
      <c r="AP1035" s="487"/>
      <c r="AQ1035" s="487"/>
      <c r="AR1035" s="487"/>
      <c r="AS1035" s="487"/>
      <c r="AT1035" s="487"/>
      <c r="AU1035" s="487"/>
      <c r="AV1035" s="487"/>
      <c r="AW1035" s="487"/>
      <c r="AX1035" s="487"/>
      <c r="AY1035" s="487"/>
      <c r="AZ1035" s="487"/>
      <c r="BA1035" s="487"/>
      <c r="BB1035" s="487"/>
      <c r="BC1035" s="487"/>
      <c r="BD1035" s="487"/>
      <c r="BE1035" s="487"/>
      <c r="BF1035" s="487"/>
      <c r="BG1035" s="487"/>
      <c r="BH1035" s="487"/>
      <c r="BI1035" s="487"/>
      <c r="BJ1035" s="981"/>
      <c r="BK1035" s="487"/>
      <c r="BL1035" s="487"/>
      <c r="BM1035" s="487"/>
      <c r="BN1035" s="487"/>
      <c r="BO1035" s="487"/>
      <c r="BP1035" s="487"/>
      <c r="BQ1035" s="487"/>
      <c r="BR1035" s="487"/>
      <c r="BS1035" s="487"/>
      <c r="BT1035" s="487"/>
      <c r="BU1035" s="487"/>
      <c r="BV1035" s="487"/>
      <c r="BW1035" s="223"/>
    </row>
    <row r="1036" spans="1:75" x14ac:dyDescent="0.5">
      <c r="A1036" s="1586" t="str">
        <f>MO_VA_P_ToE</f>
        <v>P/E - EoP</v>
      </c>
      <c r="B1036" s="487"/>
      <c r="C1036" s="980"/>
      <c r="D1036" s="980"/>
      <c r="E1036" s="487"/>
      <c r="F1036" s="487"/>
      <c r="G1036" s="487"/>
      <c r="H1036" s="487"/>
      <c r="I1036" s="487"/>
      <c r="J1036" s="487"/>
      <c r="K1036" s="487"/>
      <c r="L1036" s="487"/>
      <c r="M1036" s="487"/>
      <c r="N1036" s="487"/>
      <c r="O1036" s="487"/>
      <c r="P1036" s="487"/>
      <c r="Q1036" s="487"/>
      <c r="R1036" s="487"/>
      <c r="S1036" s="487"/>
      <c r="T1036" s="487"/>
      <c r="U1036" s="487"/>
      <c r="V1036" s="487"/>
      <c r="W1036" s="487"/>
      <c r="X1036" s="487"/>
      <c r="Y1036" s="487"/>
      <c r="Z1036" s="487"/>
      <c r="AA1036" s="487"/>
      <c r="AB1036" s="487"/>
      <c r="AC1036" s="487"/>
      <c r="AD1036" s="487"/>
      <c r="AE1036" s="487"/>
      <c r="AF1036" s="487"/>
      <c r="AG1036" s="487"/>
      <c r="AH1036" s="487"/>
      <c r="AI1036" s="487"/>
      <c r="AJ1036" s="487"/>
      <c r="AK1036" s="487"/>
      <c r="AL1036" s="487"/>
      <c r="AM1036" s="487"/>
      <c r="AN1036" s="487"/>
      <c r="AO1036" s="487"/>
      <c r="AP1036" s="487"/>
      <c r="AQ1036" s="487"/>
      <c r="AR1036" s="487"/>
      <c r="AS1036" s="487"/>
      <c r="AT1036" s="487"/>
      <c r="AU1036" s="487"/>
      <c r="AV1036" s="487"/>
      <c r="AW1036" s="487"/>
      <c r="AX1036" s="487"/>
      <c r="AY1036" s="487"/>
      <c r="AZ1036" s="487"/>
      <c r="BA1036" s="487"/>
      <c r="BB1036" s="487"/>
      <c r="BC1036" s="487"/>
      <c r="BD1036" s="487"/>
      <c r="BE1036" s="487"/>
      <c r="BF1036" s="487"/>
      <c r="BG1036" s="487"/>
      <c r="BH1036" s="487"/>
      <c r="BI1036" s="487"/>
      <c r="BJ1036" s="981"/>
      <c r="BK1036" s="487"/>
      <c r="BL1036" s="487"/>
      <c r="BM1036" s="487"/>
      <c r="BN1036" s="487"/>
      <c r="BO1036" s="487"/>
      <c r="BP1036" s="487"/>
      <c r="BQ1036" s="487"/>
      <c r="BR1036" s="487"/>
      <c r="BS1036" s="487"/>
      <c r="BT1036" s="487"/>
      <c r="BU1036" s="487"/>
      <c r="BV1036" s="487"/>
      <c r="BW1036" s="223"/>
    </row>
    <row r="1037" spans="1:75" x14ac:dyDescent="0.5">
      <c r="A1037" s="1587"/>
      <c r="B1037" s="487"/>
      <c r="C1037" s="980"/>
      <c r="D1037" s="980"/>
      <c r="E1037" s="487"/>
      <c r="F1037" s="487"/>
      <c r="G1037" s="487"/>
      <c r="H1037" s="487"/>
      <c r="I1037" s="487"/>
      <c r="J1037" s="487"/>
      <c r="K1037" s="487"/>
      <c r="L1037" s="487"/>
      <c r="M1037" s="487"/>
      <c r="N1037" s="487"/>
      <c r="O1037" s="487"/>
      <c r="P1037" s="487"/>
      <c r="Q1037" s="487"/>
      <c r="R1037" s="487"/>
      <c r="S1037" s="487"/>
      <c r="T1037" s="487"/>
      <c r="U1037" s="487"/>
      <c r="V1037" s="487"/>
      <c r="W1037" s="487"/>
      <c r="X1037" s="487"/>
      <c r="Y1037" s="487"/>
      <c r="Z1037" s="487"/>
      <c r="AA1037" s="487"/>
      <c r="AB1037" s="487"/>
      <c r="AC1037" s="487"/>
      <c r="AD1037" s="487"/>
      <c r="AE1037" s="487"/>
      <c r="AF1037" s="487"/>
      <c r="AG1037" s="487"/>
      <c r="AH1037" s="487"/>
      <c r="AI1037" s="487"/>
      <c r="AJ1037" s="487"/>
      <c r="AK1037" s="487"/>
      <c r="AL1037" s="487"/>
      <c r="AM1037" s="487"/>
      <c r="AN1037" s="487"/>
      <c r="AO1037" s="487"/>
      <c r="AP1037" s="487"/>
      <c r="AQ1037" s="487"/>
      <c r="AR1037" s="487"/>
      <c r="AS1037" s="487"/>
      <c r="AT1037" s="487"/>
      <c r="AU1037" s="487"/>
      <c r="AV1037" s="487"/>
      <c r="AW1037" s="487"/>
      <c r="AX1037" s="487"/>
      <c r="AY1037" s="487"/>
      <c r="AZ1037" s="487"/>
      <c r="BA1037" s="487"/>
      <c r="BB1037" s="487"/>
      <c r="BC1037" s="487"/>
      <c r="BD1037" s="487"/>
      <c r="BE1037" s="487"/>
      <c r="BF1037" s="487"/>
      <c r="BG1037" s="487"/>
      <c r="BH1037" s="487"/>
      <c r="BI1037" s="487"/>
      <c r="BJ1037" s="981"/>
      <c r="BK1037" s="487"/>
      <c r="BL1037" s="487"/>
      <c r="BM1037" s="487"/>
      <c r="BN1037" s="487"/>
      <c r="BO1037" s="487"/>
      <c r="BP1037" s="487"/>
      <c r="BQ1037" s="487"/>
      <c r="BR1037" s="487"/>
      <c r="BS1037" s="487"/>
      <c r="BT1037" s="487"/>
      <c r="BU1037" s="487"/>
      <c r="BV1037" s="487"/>
      <c r="BW1037" s="223"/>
    </row>
    <row r="1038" spans="1:75" x14ac:dyDescent="0.5">
      <c r="A1038" s="1588"/>
      <c r="B1038" s="487"/>
      <c r="C1038" s="980"/>
      <c r="D1038" s="980"/>
      <c r="E1038" s="487"/>
      <c r="F1038" s="487"/>
      <c r="G1038" s="487"/>
      <c r="H1038" s="487"/>
      <c r="I1038" s="487"/>
      <c r="J1038" s="487"/>
      <c r="K1038" s="487"/>
      <c r="L1038" s="487"/>
      <c r="M1038" s="487"/>
      <c r="N1038" s="487"/>
      <c r="O1038" s="487"/>
      <c r="P1038" s="487"/>
      <c r="Q1038" s="487"/>
      <c r="R1038" s="487"/>
      <c r="S1038" s="487"/>
      <c r="T1038" s="487"/>
      <c r="U1038" s="487"/>
      <c r="V1038" s="487"/>
      <c r="W1038" s="487"/>
      <c r="X1038" s="487"/>
      <c r="Y1038" s="487"/>
      <c r="Z1038" s="487"/>
      <c r="AA1038" s="487"/>
      <c r="AB1038" s="487"/>
      <c r="AC1038" s="487"/>
      <c r="AD1038" s="487"/>
      <c r="AE1038" s="487"/>
      <c r="AF1038" s="487"/>
      <c r="AG1038" s="487"/>
      <c r="AH1038" s="487"/>
      <c r="AI1038" s="487"/>
      <c r="AJ1038" s="487"/>
      <c r="AK1038" s="487"/>
      <c r="AL1038" s="487"/>
      <c r="AM1038" s="487"/>
      <c r="AN1038" s="487"/>
      <c r="AO1038" s="487"/>
      <c r="AP1038" s="487"/>
      <c r="AQ1038" s="487"/>
      <c r="AR1038" s="487"/>
      <c r="AS1038" s="487"/>
      <c r="AT1038" s="487"/>
      <c r="AU1038" s="487"/>
      <c r="AV1038" s="487"/>
      <c r="AW1038" s="487"/>
      <c r="AX1038" s="487"/>
      <c r="AY1038" s="487"/>
      <c r="AZ1038" s="487"/>
      <c r="BA1038" s="487"/>
      <c r="BB1038" s="487"/>
      <c r="BC1038" s="487"/>
      <c r="BD1038" s="487"/>
      <c r="BE1038" s="487"/>
      <c r="BF1038" s="487"/>
      <c r="BG1038" s="487"/>
      <c r="BH1038" s="487"/>
      <c r="BI1038" s="487"/>
      <c r="BJ1038" s="981"/>
      <c r="BK1038" s="487"/>
      <c r="BL1038" s="487"/>
      <c r="BM1038" s="487"/>
      <c r="BN1038" s="487"/>
      <c r="BO1038" s="487"/>
      <c r="BP1038" s="487"/>
      <c r="BQ1038" s="487"/>
      <c r="BR1038" s="487"/>
      <c r="BS1038" s="487"/>
      <c r="BT1038" s="487"/>
      <c r="BU1038" s="487"/>
      <c r="BV1038" s="487"/>
      <c r="BW1038" s="223"/>
    </row>
    <row r="1039" spans="1:75" x14ac:dyDescent="0.5">
      <c r="A1039" s="1589" t="s">
        <v>1589</v>
      </c>
      <c r="B1039" s="487"/>
      <c r="C1039" s="980"/>
      <c r="D1039" s="980"/>
      <c r="E1039" s="487"/>
      <c r="F1039" s="487"/>
      <c r="G1039" s="487"/>
      <c r="H1039" s="487"/>
      <c r="I1039" s="487"/>
      <c r="J1039" s="487"/>
      <c r="K1039" s="487"/>
      <c r="L1039" s="487"/>
      <c r="M1039" s="487"/>
      <c r="N1039" s="487"/>
      <c r="O1039" s="487"/>
      <c r="P1039" s="487"/>
      <c r="Q1039" s="487"/>
      <c r="R1039" s="487"/>
      <c r="S1039" s="487"/>
      <c r="T1039" s="487"/>
      <c r="U1039" s="487"/>
      <c r="V1039" s="487"/>
      <c r="W1039" s="487"/>
      <c r="X1039" s="487"/>
      <c r="Y1039" s="487"/>
      <c r="Z1039" s="487"/>
      <c r="AA1039" s="487"/>
      <c r="AB1039" s="487"/>
      <c r="AC1039" s="487"/>
      <c r="AD1039" s="487"/>
      <c r="AE1039" s="487"/>
      <c r="AF1039" s="487"/>
      <c r="AG1039" s="487"/>
      <c r="AH1039" s="487"/>
      <c r="AI1039" s="487"/>
      <c r="AJ1039" s="487"/>
      <c r="AK1039" s="487"/>
      <c r="AL1039" s="487"/>
      <c r="AM1039" s="487"/>
      <c r="AN1039" s="487"/>
      <c r="AO1039" s="487"/>
      <c r="AP1039" s="487"/>
      <c r="AQ1039" s="487"/>
      <c r="AR1039" s="487"/>
      <c r="AS1039" s="487"/>
      <c r="AT1039" s="487"/>
      <c r="AU1039" s="487"/>
      <c r="AV1039" s="487"/>
      <c r="AW1039" s="487"/>
      <c r="AX1039" s="487"/>
      <c r="AY1039" s="487"/>
      <c r="AZ1039" s="487"/>
      <c r="BA1039" s="487"/>
      <c r="BB1039" s="487"/>
      <c r="BC1039" s="487"/>
      <c r="BD1039" s="487"/>
      <c r="BE1039" s="487"/>
      <c r="BF1039" s="487"/>
      <c r="BG1039" s="487"/>
      <c r="BH1039" s="487"/>
      <c r="BI1039" s="487"/>
      <c r="BJ1039" s="981"/>
      <c r="BK1039" s="487"/>
      <c r="BL1039" s="487"/>
      <c r="BM1039" s="487"/>
      <c r="BN1039" s="487"/>
      <c r="BO1039" s="487"/>
      <c r="BP1039" s="487"/>
      <c r="BQ1039" s="487"/>
      <c r="BR1039" s="487"/>
      <c r="BS1039" s="487"/>
      <c r="BT1039" s="487"/>
      <c r="BU1039" s="487"/>
      <c r="BV1039" s="487"/>
      <c r="BW1039" s="223"/>
    </row>
    <row r="1040" spans="1:75" x14ac:dyDescent="0.5">
      <c r="A1040" s="1590" t="s">
        <v>1590</v>
      </c>
      <c r="B1040" s="487"/>
      <c r="C1040" s="980"/>
      <c r="D1040" s="980"/>
      <c r="E1040" s="487"/>
      <c r="F1040" s="487"/>
      <c r="G1040" s="487"/>
      <c r="H1040" s="487"/>
      <c r="I1040" s="487"/>
      <c r="J1040" s="487"/>
      <c r="K1040" s="487"/>
      <c r="L1040" s="487"/>
      <c r="M1040" s="487"/>
      <c r="N1040" s="487"/>
      <c r="O1040" s="487"/>
      <c r="P1040" s="487"/>
      <c r="Q1040" s="487"/>
      <c r="R1040" s="487"/>
      <c r="S1040" s="487"/>
      <c r="T1040" s="487"/>
      <c r="U1040" s="487"/>
      <c r="V1040" s="487"/>
      <c r="W1040" s="487"/>
      <c r="X1040" s="487"/>
      <c r="Y1040" s="487"/>
      <c r="Z1040" s="487"/>
      <c r="AA1040" s="487"/>
      <c r="AB1040" s="487"/>
      <c r="AC1040" s="487"/>
      <c r="AD1040" s="487"/>
      <c r="AE1040" s="487"/>
      <c r="AF1040" s="487"/>
      <c r="AG1040" s="487"/>
      <c r="AH1040" s="487"/>
      <c r="AI1040" s="487"/>
      <c r="AJ1040" s="487"/>
      <c r="AK1040" s="487"/>
      <c r="AL1040" s="487"/>
      <c r="AM1040" s="487"/>
      <c r="AN1040" s="487"/>
      <c r="AO1040" s="487"/>
      <c r="AP1040" s="487"/>
      <c r="AQ1040" s="487"/>
      <c r="AR1040" s="487"/>
      <c r="AS1040" s="487"/>
      <c r="AT1040" s="487"/>
      <c r="AU1040" s="487"/>
      <c r="AV1040" s="487"/>
      <c r="AW1040" s="487"/>
      <c r="AX1040" s="487"/>
      <c r="AY1040" s="487"/>
      <c r="AZ1040" s="487"/>
      <c r="BA1040" s="487"/>
      <c r="BB1040" s="487"/>
      <c r="BC1040" s="487"/>
      <c r="BD1040" s="487"/>
      <c r="BE1040" s="487"/>
      <c r="BF1040" s="487"/>
      <c r="BG1040" s="487"/>
      <c r="BH1040" s="487"/>
      <c r="BI1040" s="487"/>
      <c r="BJ1040" s="981"/>
      <c r="BK1040" s="487"/>
      <c r="BL1040" s="487"/>
      <c r="BM1040" s="487"/>
      <c r="BN1040" s="487"/>
      <c r="BO1040" s="487"/>
      <c r="BP1040" s="487"/>
      <c r="BQ1040" s="487"/>
      <c r="BR1040" s="487"/>
      <c r="BS1040" s="487"/>
      <c r="BT1040" s="487"/>
      <c r="BU1040" s="487"/>
      <c r="BV1040" s="487"/>
      <c r="BW1040" s="223"/>
    </row>
    <row r="1041" spans="1:75" x14ac:dyDescent="0.5">
      <c r="A1041" s="1590" t="s">
        <v>1591</v>
      </c>
      <c r="B1041" s="487"/>
      <c r="C1041" s="980"/>
      <c r="D1041" s="980"/>
      <c r="E1041" s="487"/>
      <c r="F1041" s="487"/>
      <c r="G1041" s="487"/>
      <c r="H1041" s="487"/>
      <c r="I1041" s="487"/>
      <c r="J1041" s="487"/>
      <c r="K1041" s="487"/>
      <c r="L1041" s="487"/>
      <c r="M1041" s="487"/>
      <c r="N1041" s="487"/>
      <c r="O1041" s="487"/>
      <c r="P1041" s="487"/>
      <c r="Q1041" s="487"/>
      <c r="R1041" s="487"/>
      <c r="S1041" s="487"/>
      <c r="T1041" s="487"/>
      <c r="U1041" s="487"/>
      <c r="V1041" s="487"/>
      <c r="W1041" s="487"/>
      <c r="X1041" s="487"/>
      <c r="Y1041" s="487"/>
      <c r="Z1041" s="487"/>
      <c r="AA1041" s="487"/>
      <c r="AB1041" s="487"/>
      <c r="AC1041" s="487"/>
      <c r="AD1041" s="487"/>
      <c r="AE1041" s="487"/>
      <c r="AF1041" s="487"/>
      <c r="AG1041" s="487"/>
      <c r="AH1041" s="487"/>
      <c r="AI1041" s="487"/>
      <c r="AJ1041" s="487"/>
      <c r="AK1041" s="487"/>
      <c r="AL1041" s="487"/>
      <c r="AM1041" s="487"/>
      <c r="AN1041" s="487"/>
      <c r="AO1041" s="487"/>
      <c r="AP1041" s="487"/>
      <c r="AQ1041" s="487"/>
      <c r="AR1041" s="487"/>
      <c r="AS1041" s="487"/>
      <c r="AT1041" s="487"/>
      <c r="AU1041" s="487"/>
      <c r="AV1041" s="487"/>
      <c r="AW1041" s="487"/>
      <c r="AX1041" s="487"/>
      <c r="AY1041" s="487"/>
      <c r="AZ1041" s="487"/>
      <c r="BA1041" s="487"/>
      <c r="BB1041" s="487"/>
      <c r="BC1041" s="487"/>
      <c r="BD1041" s="487"/>
      <c r="BE1041" s="487"/>
      <c r="BF1041" s="487"/>
      <c r="BG1041" s="487"/>
      <c r="BH1041" s="487"/>
      <c r="BI1041" s="487"/>
      <c r="BJ1041" s="981"/>
      <c r="BK1041" s="487"/>
      <c r="BL1041" s="487"/>
      <c r="BM1041" s="487"/>
      <c r="BN1041" s="487"/>
      <c r="BO1041" s="487"/>
      <c r="BP1041" s="487"/>
      <c r="BQ1041" s="487"/>
      <c r="BR1041" s="487"/>
      <c r="BS1041" s="487"/>
      <c r="BT1041" s="487"/>
      <c r="BU1041" s="487"/>
      <c r="BV1041" s="487"/>
      <c r="BW1041" s="223"/>
    </row>
    <row r="1042" spans="1:75" x14ac:dyDescent="0.5">
      <c r="A1042" s="1590" t="s">
        <v>1592</v>
      </c>
      <c r="B1042" s="487"/>
      <c r="C1042" s="980"/>
      <c r="D1042" s="980"/>
      <c r="E1042" s="487"/>
      <c r="F1042" s="487"/>
      <c r="G1042" s="487"/>
      <c r="H1042" s="487"/>
      <c r="I1042" s="487"/>
      <c r="J1042" s="487"/>
      <c r="K1042" s="487"/>
      <c r="L1042" s="487"/>
      <c r="M1042" s="487"/>
      <c r="N1042" s="487"/>
      <c r="O1042" s="487"/>
      <c r="P1042" s="487"/>
      <c r="Q1042" s="487"/>
      <c r="R1042" s="487"/>
      <c r="S1042" s="487"/>
      <c r="T1042" s="487"/>
      <c r="U1042" s="487"/>
      <c r="V1042" s="487"/>
      <c r="W1042" s="487"/>
      <c r="X1042" s="487"/>
      <c r="Y1042" s="487"/>
      <c r="Z1042" s="487"/>
      <c r="AA1042" s="487"/>
      <c r="AB1042" s="487"/>
      <c r="AC1042" s="487"/>
      <c r="AD1042" s="487"/>
      <c r="AE1042" s="487"/>
      <c r="AF1042" s="487"/>
      <c r="AG1042" s="487"/>
      <c r="AH1042" s="487"/>
      <c r="AI1042" s="487"/>
      <c r="AJ1042" s="487"/>
      <c r="AK1042" s="487"/>
      <c r="AL1042" s="487"/>
      <c r="AM1042" s="487"/>
      <c r="AN1042" s="487"/>
      <c r="AO1042" s="487"/>
      <c r="AP1042" s="487"/>
      <c r="AQ1042" s="487"/>
      <c r="AR1042" s="487"/>
      <c r="AS1042" s="487"/>
      <c r="AT1042" s="487"/>
      <c r="AU1042" s="487"/>
      <c r="AV1042" s="487"/>
      <c r="AW1042" s="487"/>
      <c r="AX1042" s="487"/>
      <c r="AY1042" s="487"/>
      <c r="AZ1042" s="487"/>
      <c r="BA1042" s="487"/>
      <c r="BB1042" s="487"/>
      <c r="BC1042" s="487"/>
      <c r="BD1042" s="487"/>
      <c r="BE1042" s="487"/>
      <c r="BF1042" s="487"/>
      <c r="BG1042" s="487"/>
      <c r="BH1042" s="487"/>
      <c r="BI1042" s="487"/>
      <c r="BJ1042" s="981"/>
      <c r="BK1042" s="487"/>
      <c r="BL1042" s="487"/>
      <c r="BM1042" s="487"/>
      <c r="BN1042" s="487"/>
      <c r="BO1042" s="487"/>
      <c r="BP1042" s="487"/>
      <c r="BQ1042" s="487"/>
      <c r="BR1042" s="487"/>
      <c r="BS1042" s="487"/>
      <c r="BT1042" s="487"/>
      <c r="BU1042" s="487"/>
      <c r="BV1042" s="487"/>
      <c r="BW1042" s="223"/>
    </row>
    <row r="1043" spans="1:75" x14ac:dyDescent="0.5">
      <c r="A1043" s="1590" t="s">
        <v>1593</v>
      </c>
      <c r="B1043" s="487"/>
      <c r="C1043" s="980"/>
      <c r="D1043" s="980"/>
      <c r="E1043" s="487"/>
      <c r="F1043" s="487"/>
      <c r="G1043" s="487"/>
      <c r="H1043" s="487"/>
      <c r="I1043" s="487"/>
      <c r="J1043" s="487"/>
      <c r="K1043" s="487"/>
      <c r="L1043" s="487"/>
      <c r="M1043" s="487"/>
      <c r="N1043" s="487"/>
      <c r="O1043" s="487"/>
      <c r="P1043" s="487"/>
      <c r="Q1043" s="487"/>
      <c r="R1043" s="487"/>
      <c r="S1043" s="487"/>
      <c r="T1043" s="487"/>
      <c r="U1043" s="487"/>
      <c r="V1043" s="487"/>
      <c r="W1043" s="487"/>
      <c r="X1043" s="487"/>
      <c r="Y1043" s="487"/>
      <c r="Z1043" s="487"/>
      <c r="AA1043" s="487"/>
      <c r="AB1043" s="487"/>
      <c r="AC1043" s="487"/>
      <c r="AD1043" s="487"/>
      <c r="AE1043" s="487"/>
      <c r="AF1043" s="487"/>
      <c r="AG1043" s="487"/>
      <c r="AH1043" s="487"/>
      <c r="AI1043" s="487"/>
      <c r="AJ1043" s="487"/>
      <c r="AK1043" s="487"/>
      <c r="AL1043" s="487"/>
      <c r="AM1043" s="487"/>
      <c r="AN1043" s="487"/>
      <c r="AO1043" s="487"/>
      <c r="AP1043" s="487"/>
      <c r="AQ1043" s="487"/>
      <c r="AR1043" s="487"/>
      <c r="AS1043" s="487"/>
      <c r="AT1043" s="487"/>
      <c r="AU1043" s="487"/>
      <c r="AV1043" s="487"/>
      <c r="AW1043" s="487"/>
      <c r="AX1043" s="487"/>
      <c r="AY1043" s="487"/>
      <c r="AZ1043" s="487"/>
      <c r="BA1043" s="487"/>
      <c r="BB1043" s="487"/>
      <c r="BC1043" s="487"/>
      <c r="BD1043" s="487"/>
      <c r="BE1043" s="487"/>
      <c r="BF1043" s="487"/>
      <c r="BG1043" s="487"/>
      <c r="BH1043" s="487"/>
      <c r="BI1043" s="487"/>
      <c r="BJ1043" s="981"/>
      <c r="BK1043" s="487"/>
      <c r="BL1043" s="487"/>
      <c r="BM1043" s="487"/>
      <c r="BN1043" s="487"/>
      <c r="BO1043" s="487"/>
      <c r="BP1043" s="487"/>
      <c r="BQ1043" s="487"/>
      <c r="BR1043" s="487"/>
      <c r="BS1043" s="487"/>
      <c r="BT1043" s="487"/>
      <c r="BU1043" s="487"/>
      <c r="BV1043" s="487"/>
      <c r="BW1043" s="223"/>
    </row>
    <row r="1044" spans="1:75" x14ac:dyDescent="0.5">
      <c r="A1044" s="1590" t="s">
        <v>1594</v>
      </c>
      <c r="B1044" s="487"/>
      <c r="C1044" s="980"/>
      <c r="D1044" s="980"/>
      <c r="E1044" s="487"/>
      <c r="F1044" s="487"/>
      <c r="G1044" s="487"/>
      <c r="H1044" s="487"/>
      <c r="I1044" s="487"/>
      <c r="J1044" s="487"/>
      <c r="K1044" s="487"/>
      <c r="L1044" s="487"/>
      <c r="M1044" s="487"/>
      <c r="N1044" s="487"/>
      <c r="O1044" s="487"/>
      <c r="P1044" s="487"/>
      <c r="Q1044" s="487"/>
      <c r="R1044" s="487"/>
      <c r="S1044" s="487"/>
      <c r="T1044" s="487"/>
      <c r="U1044" s="487"/>
      <c r="V1044" s="487"/>
      <c r="W1044" s="487"/>
      <c r="X1044" s="487"/>
      <c r="Y1044" s="487"/>
      <c r="Z1044" s="487"/>
      <c r="AA1044" s="487"/>
      <c r="AB1044" s="487"/>
      <c r="AC1044" s="487"/>
      <c r="AD1044" s="487"/>
      <c r="AE1044" s="487"/>
      <c r="AF1044" s="487"/>
      <c r="AG1044" s="487"/>
      <c r="AH1044" s="487"/>
      <c r="AI1044" s="487"/>
      <c r="AJ1044" s="487"/>
      <c r="AK1044" s="487"/>
      <c r="AL1044" s="487"/>
      <c r="AM1044" s="487"/>
      <c r="AN1044" s="487"/>
      <c r="AO1044" s="487"/>
      <c r="AP1044" s="487"/>
      <c r="AQ1044" s="487"/>
      <c r="AR1044" s="487"/>
      <c r="AS1044" s="487"/>
      <c r="AT1044" s="487"/>
      <c r="AU1044" s="487"/>
      <c r="AV1044" s="487"/>
      <c r="AW1044" s="487"/>
      <c r="AX1044" s="487"/>
      <c r="AY1044" s="487"/>
      <c r="AZ1044" s="487"/>
      <c r="BA1044" s="487"/>
      <c r="BB1044" s="487"/>
      <c r="BC1044" s="487"/>
      <c r="BD1044" s="487"/>
      <c r="BE1044" s="487"/>
      <c r="BF1044" s="487"/>
      <c r="BG1044" s="487"/>
      <c r="BH1044" s="487"/>
      <c r="BI1044" s="487"/>
      <c r="BJ1044" s="981"/>
      <c r="BK1044" s="487"/>
      <c r="BL1044" s="487"/>
      <c r="BM1044" s="487"/>
      <c r="BN1044" s="487"/>
      <c r="BO1044" s="487"/>
      <c r="BP1044" s="487"/>
      <c r="BQ1044" s="487"/>
      <c r="BR1044" s="487"/>
      <c r="BS1044" s="487"/>
      <c r="BT1044" s="487"/>
      <c r="BU1044" s="487"/>
      <c r="BV1044" s="487"/>
      <c r="BW1044" s="223"/>
    </row>
    <row r="1045" spans="1:75" x14ac:dyDescent="0.5">
      <c r="A1045" s="1590" t="s">
        <v>2703</v>
      </c>
      <c r="B1045" s="487"/>
      <c r="C1045" s="980"/>
      <c r="D1045" s="980"/>
      <c r="E1045" s="487"/>
      <c r="F1045" s="487"/>
      <c r="G1045" s="487"/>
      <c r="H1045" s="487"/>
      <c r="I1045" s="487"/>
      <c r="J1045" s="487"/>
      <c r="K1045" s="487"/>
      <c r="L1045" s="487"/>
      <c r="M1045" s="487"/>
      <c r="N1045" s="487"/>
      <c r="O1045" s="487"/>
      <c r="P1045" s="487"/>
      <c r="Q1045" s="487"/>
      <c r="R1045" s="487"/>
      <c r="S1045" s="487"/>
      <c r="T1045" s="487"/>
      <c r="U1045" s="487"/>
      <c r="V1045" s="487"/>
      <c r="W1045" s="487"/>
      <c r="X1045" s="487"/>
      <c r="Y1045" s="487"/>
      <c r="Z1045" s="487"/>
      <c r="AA1045" s="487"/>
      <c r="AB1045" s="487"/>
      <c r="AC1045" s="487"/>
      <c r="AD1045" s="487"/>
      <c r="AE1045" s="487"/>
      <c r="AF1045" s="487"/>
      <c r="AG1045" s="487"/>
      <c r="AH1045" s="487"/>
      <c r="AI1045" s="487"/>
      <c r="AJ1045" s="487"/>
      <c r="AK1045" s="487"/>
      <c r="AL1045" s="487"/>
      <c r="AM1045" s="487"/>
      <c r="AN1045" s="487"/>
      <c r="AO1045" s="487"/>
      <c r="AP1045" s="487"/>
      <c r="AQ1045" s="487"/>
      <c r="AR1045" s="487"/>
      <c r="AS1045" s="487"/>
      <c r="AT1045" s="487"/>
      <c r="AU1045" s="487"/>
      <c r="AV1045" s="487"/>
      <c r="AW1045" s="487"/>
      <c r="AX1045" s="487"/>
      <c r="AY1045" s="487"/>
      <c r="AZ1045" s="487"/>
      <c r="BA1045" s="487"/>
      <c r="BB1045" s="487"/>
      <c r="BC1045" s="487"/>
      <c r="BD1045" s="487"/>
      <c r="BE1045" s="487"/>
      <c r="BF1045" s="487"/>
      <c r="BG1045" s="487"/>
      <c r="BH1045" s="487"/>
      <c r="BI1045" s="487"/>
      <c r="BJ1045" s="981"/>
      <c r="BK1045" s="487"/>
      <c r="BL1045" s="487"/>
      <c r="BM1045" s="487"/>
      <c r="BN1045" s="487"/>
      <c r="BO1045" s="487"/>
      <c r="BP1045" s="487"/>
      <c r="BQ1045" s="487"/>
      <c r="BR1045" s="487"/>
      <c r="BS1045" s="487"/>
      <c r="BT1045" s="487"/>
      <c r="BU1045" s="487"/>
      <c r="BV1045" s="487"/>
      <c r="BW1045" s="223"/>
    </row>
    <row r="1046" spans="1:75" x14ac:dyDescent="0.5">
      <c r="A1046" s="1590" t="s">
        <v>2704</v>
      </c>
      <c r="B1046" s="487"/>
      <c r="C1046" s="980"/>
      <c r="D1046" s="980"/>
      <c r="E1046" s="487"/>
      <c r="F1046" s="487"/>
      <c r="G1046" s="487"/>
      <c r="H1046" s="487"/>
      <c r="I1046" s="487"/>
      <c r="J1046" s="487"/>
      <c r="K1046" s="487"/>
      <c r="L1046" s="487"/>
      <c r="M1046" s="487"/>
      <c r="N1046" s="487"/>
      <c r="O1046" s="487"/>
      <c r="P1046" s="487"/>
      <c r="Q1046" s="487"/>
      <c r="R1046" s="487"/>
      <c r="S1046" s="487"/>
      <c r="T1046" s="487"/>
      <c r="U1046" s="487"/>
      <c r="V1046" s="487"/>
      <c r="W1046" s="487"/>
      <c r="X1046" s="487"/>
      <c r="Y1046" s="487"/>
      <c r="Z1046" s="487"/>
      <c r="AA1046" s="487"/>
      <c r="AB1046" s="487"/>
      <c r="AC1046" s="487"/>
      <c r="AD1046" s="487"/>
      <c r="AE1046" s="487"/>
      <c r="AF1046" s="487"/>
      <c r="AG1046" s="487"/>
      <c r="AH1046" s="487"/>
      <c r="AI1046" s="487"/>
      <c r="AJ1046" s="487"/>
      <c r="AK1046" s="487"/>
      <c r="AL1046" s="487"/>
      <c r="AM1046" s="487"/>
      <c r="AN1046" s="487"/>
      <c r="AO1046" s="487"/>
      <c r="AP1046" s="487"/>
      <c r="AQ1046" s="487"/>
      <c r="AR1046" s="487"/>
      <c r="AS1046" s="487"/>
      <c r="AT1046" s="487"/>
      <c r="AU1046" s="487"/>
      <c r="AV1046" s="487"/>
      <c r="AW1046" s="487"/>
      <c r="AX1046" s="487"/>
      <c r="AY1046" s="487"/>
      <c r="AZ1046" s="487"/>
      <c r="BA1046" s="487"/>
      <c r="BB1046" s="487"/>
      <c r="BC1046" s="487"/>
      <c r="BD1046" s="487"/>
      <c r="BE1046" s="487"/>
      <c r="BF1046" s="487"/>
      <c r="BG1046" s="487"/>
      <c r="BH1046" s="487"/>
      <c r="BI1046" s="487"/>
      <c r="BJ1046" s="981"/>
      <c r="BK1046" s="487"/>
      <c r="BL1046" s="487"/>
      <c r="BM1046" s="487"/>
      <c r="BN1046" s="487"/>
      <c r="BO1046" s="487"/>
      <c r="BP1046" s="487"/>
      <c r="BQ1046" s="487"/>
      <c r="BR1046" s="487"/>
      <c r="BS1046" s="487"/>
      <c r="BT1046" s="487"/>
      <c r="BU1046" s="487"/>
      <c r="BV1046" s="487"/>
      <c r="BW1046" s="223"/>
    </row>
    <row r="1047" spans="1:75" x14ac:dyDescent="0.5">
      <c r="A1047" s="1590" t="s">
        <v>2705</v>
      </c>
      <c r="B1047" s="487"/>
      <c r="C1047" s="980"/>
      <c r="D1047" s="980"/>
      <c r="E1047" s="487"/>
      <c r="F1047" s="487"/>
      <c r="G1047" s="487"/>
      <c r="H1047" s="487"/>
      <c r="I1047" s="487"/>
      <c r="J1047" s="487"/>
      <c r="K1047" s="487"/>
      <c r="L1047" s="487"/>
      <c r="M1047" s="487"/>
      <c r="N1047" s="487"/>
      <c r="O1047" s="487"/>
      <c r="P1047" s="487"/>
      <c r="Q1047" s="487"/>
      <c r="R1047" s="487"/>
      <c r="S1047" s="487"/>
      <c r="T1047" s="487"/>
      <c r="U1047" s="487"/>
      <c r="V1047" s="487"/>
      <c r="W1047" s="487"/>
      <c r="X1047" s="487"/>
      <c r="Y1047" s="487"/>
      <c r="Z1047" s="487"/>
      <c r="AA1047" s="487"/>
      <c r="AB1047" s="487"/>
      <c r="AC1047" s="487"/>
      <c r="AD1047" s="487"/>
      <c r="AE1047" s="487"/>
      <c r="AF1047" s="487"/>
      <c r="AG1047" s="487"/>
      <c r="AH1047" s="487"/>
      <c r="AI1047" s="487"/>
      <c r="AJ1047" s="487"/>
      <c r="AK1047" s="487"/>
      <c r="AL1047" s="487"/>
      <c r="AM1047" s="487"/>
      <c r="AN1047" s="487"/>
      <c r="AO1047" s="487"/>
      <c r="AP1047" s="487"/>
      <c r="AQ1047" s="487"/>
      <c r="AR1047" s="487"/>
      <c r="AS1047" s="487"/>
      <c r="AT1047" s="487"/>
      <c r="AU1047" s="487"/>
      <c r="AV1047" s="487"/>
      <c r="AW1047" s="487"/>
      <c r="AX1047" s="487"/>
      <c r="AY1047" s="487"/>
      <c r="AZ1047" s="487"/>
      <c r="BA1047" s="487"/>
      <c r="BB1047" s="487"/>
      <c r="BC1047" s="487"/>
      <c r="BD1047" s="487"/>
      <c r="BE1047" s="487"/>
      <c r="BF1047" s="487"/>
      <c r="BG1047" s="487"/>
      <c r="BH1047" s="487"/>
      <c r="BI1047" s="487"/>
      <c r="BJ1047" s="981"/>
      <c r="BK1047" s="487"/>
      <c r="BL1047" s="487"/>
      <c r="BM1047" s="487"/>
      <c r="BN1047" s="487"/>
      <c r="BO1047" s="487"/>
      <c r="BP1047" s="487"/>
      <c r="BQ1047" s="487"/>
      <c r="BR1047" s="487"/>
      <c r="BS1047" s="487"/>
      <c r="BT1047" s="487"/>
      <c r="BU1047" s="487"/>
      <c r="BV1047" s="487"/>
      <c r="BW1047" s="223"/>
    </row>
    <row r="1048" spans="1:75" x14ac:dyDescent="0.5">
      <c r="A1048" s="1590" t="s">
        <v>2706</v>
      </c>
      <c r="B1048" s="487"/>
      <c r="C1048" s="980"/>
      <c r="D1048" s="980"/>
      <c r="E1048" s="487"/>
      <c r="F1048" s="487"/>
      <c r="G1048" s="487"/>
      <c r="H1048" s="487"/>
      <c r="I1048" s="487"/>
      <c r="J1048" s="487"/>
      <c r="K1048" s="487"/>
      <c r="L1048" s="487"/>
      <c r="M1048" s="487"/>
      <c r="N1048" s="487"/>
      <c r="O1048" s="487"/>
      <c r="P1048" s="487"/>
      <c r="Q1048" s="487"/>
      <c r="R1048" s="487"/>
      <c r="S1048" s="487"/>
      <c r="T1048" s="487"/>
      <c r="U1048" s="487"/>
      <c r="V1048" s="487"/>
      <c r="W1048" s="487"/>
      <c r="X1048" s="487"/>
      <c r="Y1048" s="487"/>
      <c r="Z1048" s="487"/>
      <c r="AA1048" s="487"/>
      <c r="AB1048" s="487"/>
      <c r="AC1048" s="487"/>
      <c r="AD1048" s="487"/>
      <c r="AE1048" s="487"/>
      <c r="AF1048" s="487"/>
      <c r="AG1048" s="487"/>
      <c r="AH1048" s="487"/>
      <c r="AI1048" s="487"/>
      <c r="AJ1048" s="487"/>
      <c r="AK1048" s="487"/>
      <c r="AL1048" s="487"/>
      <c r="AM1048" s="487"/>
      <c r="AN1048" s="487"/>
      <c r="AO1048" s="487"/>
      <c r="AP1048" s="487"/>
      <c r="AQ1048" s="487"/>
      <c r="AR1048" s="487"/>
      <c r="AS1048" s="487"/>
      <c r="AT1048" s="487"/>
      <c r="AU1048" s="487"/>
      <c r="AV1048" s="487"/>
      <c r="AW1048" s="487"/>
      <c r="AX1048" s="487"/>
      <c r="AY1048" s="487"/>
      <c r="AZ1048" s="487"/>
      <c r="BA1048" s="487"/>
      <c r="BB1048" s="487"/>
      <c r="BC1048" s="487"/>
      <c r="BD1048" s="487"/>
      <c r="BE1048" s="487"/>
      <c r="BF1048" s="487"/>
      <c r="BG1048" s="487"/>
      <c r="BH1048" s="487"/>
      <c r="BI1048" s="487"/>
      <c r="BJ1048" s="981"/>
      <c r="BK1048" s="487"/>
      <c r="BL1048" s="487"/>
      <c r="BM1048" s="487"/>
      <c r="BN1048" s="487"/>
      <c r="BO1048" s="487"/>
      <c r="BP1048" s="487"/>
      <c r="BQ1048" s="487"/>
      <c r="BR1048" s="487"/>
      <c r="BS1048" s="487"/>
      <c r="BT1048" s="487"/>
      <c r="BU1048" s="487"/>
      <c r="BV1048" s="487"/>
      <c r="BW1048" s="223"/>
    </row>
    <row r="1049" spans="1:75" x14ac:dyDescent="0.5">
      <c r="A1049" s="1590" t="s">
        <v>2707</v>
      </c>
      <c r="B1049" s="487"/>
      <c r="C1049" s="980"/>
      <c r="D1049" s="980"/>
      <c r="E1049" s="487"/>
      <c r="F1049" s="487"/>
      <c r="G1049" s="487"/>
      <c r="H1049" s="487"/>
      <c r="I1049" s="487"/>
      <c r="J1049" s="487"/>
      <c r="K1049" s="487"/>
      <c r="L1049" s="487"/>
      <c r="M1049" s="487"/>
      <c r="N1049" s="487"/>
      <c r="O1049" s="487"/>
      <c r="P1049" s="487"/>
      <c r="Q1049" s="487"/>
      <c r="R1049" s="487"/>
      <c r="S1049" s="487"/>
      <c r="T1049" s="487"/>
      <c r="U1049" s="487"/>
      <c r="V1049" s="487"/>
      <c r="W1049" s="487"/>
      <c r="X1049" s="487"/>
      <c r="Y1049" s="487"/>
      <c r="Z1049" s="487"/>
      <c r="AA1049" s="487"/>
      <c r="AB1049" s="487"/>
      <c r="AC1049" s="487"/>
      <c r="AD1049" s="487"/>
      <c r="AE1049" s="487"/>
      <c r="AF1049" s="487"/>
      <c r="AG1049" s="487"/>
      <c r="AH1049" s="487"/>
      <c r="AI1049" s="487"/>
      <c r="AJ1049" s="487"/>
      <c r="AK1049" s="487"/>
      <c r="AL1049" s="487"/>
      <c r="AM1049" s="487"/>
      <c r="AN1049" s="487"/>
      <c r="AO1049" s="487"/>
      <c r="AP1049" s="487"/>
      <c r="AQ1049" s="487"/>
      <c r="AR1049" s="487"/>
      <c r="AS1049" s="487"/>
      <c r="AT1049" s="487"/>
      <c r="AU1049" s="487"/>
      <c r="AV1049" s="487"/>
      <c r="AW1049" s="487"/>
      <c r="AX1049" s="487"/>
      <c r="AY1049" s="487"/>
      <c r="AZ1049" s="487"/>
      <c r="BA1049" s="487"/>
      <c r="BB1049" s="487"/>
      <c r="BC1049" s="487"/>
      <c r="BD1049" s="487"/>
      <c r="BE1049" s="487"/>
      <c r="BF1049" s="487"/>
      <c r="BG1049" s="487"/>
      <c r="BH1049" s="487"/>
      <c r="BI1049" s="487"/>
      <c r="BJ1049" s="981"/>
      <c r="BK1049" s="487"/>
      <c r="BL1049" s="487"/>
      <c r="BM1049" s="487"/>
      <c r="BN1049" s="487"/>
      <c r="BO1049" s="487"/>
      <c r="BP1049" s="487"/>
      <c r="BQ1049" s="487"/>
      <c r="BR1049" s="487"/>
      <c r="BS1049" s="487"/>
      <c r="BT1049" s="487"/>
      <c r="BU1049" s="487"/>
      <c r="BV1049" s="487"/>
      <c r="BW1049" s="223"/>
    </row>
    <row r="1050" spans="1:75" x14ac:dyDescent="0.5">
      <c r="A1050" s="1590" t="s">
        <v>2708</v>
      </c>
      <c r="B1050" s="487"/>
      <c r="C1050" s="980"/>
      <c r="D1050" s="980"/>
      <c r="E1050" s="487"/>
      <c r="F1050" s="487"/>
      <c r="G1050" s="487"/>
      <c r="H1050" s="487"/>
      <c r="I1050" s="487"/>
      <c r="J1050" s="487"/>
      <c r="K1050" s="487"/>
      <c r="L1050" s="487"/>
      <c r="M1050" s="487"/>
      <c r="N1050" s="487"/>
      <c r="O1050" s="487"/>
      <c r="P1050" s="487"/>
      <c r="Q1050" s="487"/>
      <c r="R1050" s="487"/>
      <c r="S1050" s="487"/>
      <c r="T1050" s="487"/>
      <c r="U1050" s="487"/>
      <c r="V1050" s="487"/>
      <c r="W1050" s="487"/>
      <c r="X1050" s="487"/>
      <c r="Y1050" s="487"/>
      <c r="Z1050" s="487"/>
      <c r="AA1050" s="487"/>
      <c r="AB1050" s="487"/>
      <c r="AC1050" s="487"/>
      <c r="AD1050" s="487"/>
      <c r="AE1050" s="487"/>
      <c r="AF1050" s="487"/>
      <c r="AG1050" s="487"/>
      <c r="AH1050" s="487"/>
      <c r="AI1050" s="487"/>
      <c r="AJ1050" s="487"/>
      <c r="AK1050" s="487"/>
      <c r="AL1050" s="487"/>
      <c r="AM1050" s="487"/>
      <c r="AN1050" s="487"/>
      <c r="AO1050" s="487"/>
      <c r="AP1050" s="487"/>
      <c r="AQ1050" s="487"/>
      <c r="AR1050" s="487"/>
      <c r="AS1050" s="487"/>
      <c r="AT1050" s="487"/>
      <c r="AU1050" s="487"/>
      <c r="AV1050" s="487"/>
      <c r="AW1050" s="487"/>
      <c r="AX1050" s="487"/>
      <c r="AY1050" s="487"/>
      <c r="AZ1050" s="487"/>
      <c r="BA1050" s="487"/>
      <c r="BB1050" s="487"/>
      <c r="BC1050" s="487"/>
      <c r="BD1050" s="487"/>
      <c r="BE1050" s="487"/>
      <c r="BF1050" s="487"/>
      <c r="BG1050" s="487"/>
      <c r="BH1050" s="487"/>
      <c r="BI1050" s="487"/>
      <c r="BJ1050" s="981"/>
      <c r="BK1050" s="487"/>
      <c r="BL1050" s="487"/>
      <c r="BM1050" s="487"/>
      <c r="BN1050" s="487"/>
      <c r="BO1050" s="487"/>
      <c r="BP1050" s="487"/>
      <c r="BQ1050" s="487"/>
      <c r="BR1050" s="487"/>
      <c r="BS1050" s="487"/>
      <c r="BT1050" s="487"/>
      <c r="BU1050" s="487"/>
      <c r="BV1050" s="487"/>
      <c r="BW1050" s="223"/>
    </row>
    <row r="1051" spans="1:75" x14ac:dyDescent="0.5">
      <c r="A1051" s="1590" t="s">
        <v>2709</v>
      </c>
      <c r="B1051" s="487"/>
      <c r="C1051" s="980"/>
      <c r="D1051" s="980"/>
      <c r="E1051" s="487"/>
      <c r="F1051" s="487"/>
      <c r="G1051" s="487"/>
      <c r="H1051" s="487"/>
      <c r="I1051" s="487"/>
      <c r="J1051" s="487"/>
      <c r="K1051" s="487"/>
      <c r="L1051" s="487"/>
      <c r="M1051" s="487"/>
      <c r="N1051" s="487"/>
      <c r="O1051" s="487"/>
      <c r="P1051" s="487"/>
      <c r="Q1051" s="487"/>
      <c r="R1051" s="487"/>
      <c r="S1051" s="487"/>
      <c r="T1051" s="487"/>
      <c r="U1051" s="487"/>
      <c r="V1051" s="487"/>
      <c r="W1051" s="487"/>
      <c r="X1051" s="487"/>
      <c r="Y1051" s="487"/>
      <c r="Z1051" s="487"/>
      <c r="AA1051" s="487"/>
      <c r="AB1051" s="487"/>
      <c r="AC1051" s="487"/>
      <c r="AD1051" s="487"/>
      <c r="AE1051" s="487"/>
      <c r="AF1051" s="487"/>
      <c r="AG1051" s="487"/>
      <c r="AH1051" s="487"/>
      <c r="AI1051" s="487"/>
      <c r="AJ1051" s="487"/>
      <c r="AK1051" s="487"/>
      <c r="AL1051" s="487"/>
      <c r="AM1051" s="487"/>
      <c r="AN1051" s="487"/>
      <c r="AO1051" s="487"/>
      <c r="AP1051" s="487"/>
      <c r="AQ1051" s="487"/>
      <c r="AR1051" s="487"/>
      <c r="AS1051" s="487"/>
      <c r="AT1051" s="487"/>
      <c r="AU1051" s="487"/>
      <c r="AV1051" s="487"/>
      <c r="AW1051" s="487"/>
      <c r="AX1051" s="487"/>
      <c r="AY1051" s="487"/>
      <c r="AZ1051" s="487"/>
      <c r="BA1051" s="487"/>
      <c r="BB1051" s="487"/>
      <c r="BC1051" s="487"/>
      <c r="BD1051" s="487"/>
      <c r="BE1051" s="487"/>
      <c r="BF1051" s="487"/>
      <c r="BG1051" s="487"/>
      <c r="BH1051" s="487"/>
      <c r="BI1051" s="487"/>
      <c r="BJ1051" s="981"/>
      <c r="BK1051" s="487"/>
      <c r="BL1051" s="487"/>
      <c r="BM1051" s="487"/>
      <c r="BN1051" s="487"/>
      <c r="BO1051" s="487"/>
      <c r="BP1051" s="487"/>
      <c r="BQ1051" s="487"/>
      <c r="BR1051" s="487"/>
      <c r="BS1051" s="487"/>
      <c r="BT1051" s="487"/>
      <c r="BU1051" s="487"/>
      <c r="BV1051" s="487"/>
      <c r="BW1051" s="223"/>
    </row>
    <row r="1052" spans="1:75" x14ac:dyDescent="0.5">
      <c r="A1052" s="1590" t="s">
        <v>2710</v>
      </c>
      <c r="B1052" s="487"/>
      <c r="C1052" s="980"/>
      <c r="D1052" s="980"/>
      <c r="E1052" s="487"/>
      <c r="F1052" s="487"/>
      <c r="G1052" s="487"/>
      <c r="H1052" s="487"/>
      <c r="I1052" s="487"/>
      <c r="J1052" s="487"/>
      <c r="K1052" s="487"/>
      <c r="L1052" s="487"/>
      <c r="M1052" s="487"/>
      <c r="N1052" s="487"/>
      <c r="O1052" s="487"/>
      <c r="P1052" s="487"/>
      <c r="Q1052" s="487"/>
      <c r="R1052" s="487"/>
      <c r="S1052" s="487"/>
      <c r="T1052" s="487"/>
      <c r="U1052" s="487"/>
      <c r="V1052" s="487"/>
      <c r="W1052" s="487"/>
      <c r="X1052" s="487"/>
      <c r="Y1052" s="487"/>
      <c r="Z1052" s="487"/>
      <c r="AA1052" s="487"/>
      <c r="AB1052" s="487"/>
      <c r="AC1052" s="487"/>
      <c r="AD1052" s="487"/>
      <c r="AE1052" s="487"/>
      <c r="AF1052" s="487"/>
      <c r="AG1052" s="487"/>
      <c r="AH1052" s="487"/>
      <c r="AI1052" s="487"/>
      <c r="AJ1052" s="487"/>
      <c r="AK1052" s="487"/>
      <c r="AL1052" s="487"/>
      <c r="AM1052" s="487"/>
      <c r="AN1052" s="487"/>
      <c r="AO1052" s="487"/>
      <c r="AP1052" s="487"/>
      <c r="AQ1052" s="487"/>
      <c r="AR1052" s="487"/>
      <c r="AS1052" s="487"/>
      <c r="AT1052" s="487"/>
      <c r="AU1052" s="487"/>
      <c r="AV1052" s="487"/>
      <c r="AW1052" s="487"/>
      <c r="AX1052" s="487"/>
      <c r="AY1052" s="487"/>
      <c r="AZ1052" s="487"/>
      <c r="BA1052" s="487"/>
      <c r="BB1052" s="487"/>
      <c r="BC1052" s="487"/>
      <c r="BD1052" s="487"/>
      <c r="BE1052" s="487"/>
      <c r="BF1052" s="487"/>
      <c r="BG1052" s="487"/>
      <c r="BH1052" s="487"/>
      <c r="BI1052" s="487"/>
      <c r="BJ1052" s="981"/>
      <c r="BK1052" s="487"/>
      <c r="BL1052" s="487"/>
      <c r="BM1052" s="487"/>
      <c r="BN1052" s="487"/>
      <c r="BO1052" s="487"/>
      <c r="BP1052" s="487"/>
      <c r="BQ1052" s="487"/>
      <c r="BR1052" s="487"/>
      <c r="BS1052" s="487"/>
      <c r="BT1052" s="487"/>
      <c r="BU1052" s="487"/>
      <c r="BV1052" s="487"/>
      <c r="BW1052" s="223"/>
    </row>
    <row r="1053" spans="1:75" x14ac:dyDescent="0.5">
      <c r="A1053" s="1590" t="s">
        <v>2711</v>
      </c>
      <c r="B1053" s="487"/>
      <c r="C1053" s="980"/>
      <c r="D1053" s="980"/>
      <c r="E1053" s="487"/>
      <c r="F1053" s="487"/>
      <c r="G1053" s="487"/>
      <c r="H1053" s="487"/>
      <c r="I1053" s="487"/>
      <c r="J1053" s="487"/>
      <c r="K1053" s="487"/>
      <c r="L1053" s="487"/>
      <c r="M1053" s="487"/>
      <c r="N1053" s="487"/>
      <c r="O1053" s="487"/>
      <c r="P1053" s="487"/>
      <c r="Q1053" s="487"/>
      <c r="R1053" s="487"/>
      <c r="S1053" s="487"/>
      <c r="T1053" s="487"/>
      <c r="U1053" s="487"/>
      <c r="V1053" s="487"/>
      <c r="W1053" s="487"/>
      <c r="X1053" s="487"/>
      <c r="Y1053" s="487"/>
      <c r="Z1053" s="487"/>
      <c r="AA1053" s="487"/>
      <c r="AB1053" s="487"/>
      <c r="AC1053" s="487"/>
      <c r="AD1053" s="487"/>
      <c r="AE1053" s="487"/>
      <c r="AF1053" s="487"/>
      <c r="AG1053" s="487"/>
      <c r="AH1053" s="487"/>
      <c r="AI1053" s="487"/>
      <c r="AJ1053" s="487"/>
      <c r="AK1053" s="487"/>
      <c r="AL1053" s="487"/>
      <c r="AM1053" s="487"/>
      <c r="AN1053" s="487"/>
      <c r="AO1053" s="487"/>
      <c r="AP1053" s="487"/>
      <c r="AQ1053" s="487"/>
      <c r="AR1053" s="487"/>
      <c r="AS1053" s="487"/>
      <c r="AT1053" s="487"/>
      <c r="AU1053" s="487"/>
      <c r="AV1053" s="487"/>
      <c r="AW1053" s="487"/>
      <c r="AX1053" s="487"/>
      <c r="AY1053" s="487"/>
      <c r="AZ1053" s="487"/>
      <c r="BA1053" s="487"/>
      <c r="BB1053" s="487"/>
      <c r="BC1053" s="487"/>
      <c r="BD1053" s="487"/>
      <c r="BE1053" s="487"/>
      <c r="BF1053" s="487"/>
      <c r="BG1053" s="487"/>
      <c r="BH1053" s="487"/>
      <c r="BI1053" s="487"/>
      <c r="BJ1053" s="981"/>
      <c r="BK1053" s="487"/>
      <c r="BL1053" s="487"/>
      <c r="BM1053" s="487"/>
      <c r="BN1053" s="487"/>
      <c r="BO1053" s="487"/>
      <c r="BP1053" s="487"/>
      <c r="BQ1053" s="487"/>
      <c r="BR1053" s="487"/>
      <c r="BS1053" s="487"/>
      <c r="BT1053" s="487"/>
      <c r="BU1053" s="487"/>
      <c r="BV1053" s="487"/>
      <c r="BW1053" s="223"/>
    </row>
    <row r="1054" spans="1:75" x14ac:dyDescent="0.5">
      <c r="A1054" s="1590" t="s">
        <v>2712</v>
      </c>
      <c r="B1054" s="487"/>
      <c r="C1054" s="980"/>
      <c r="D1054" s="980"/>
      <c r="E1054" s="487"/>
      <c r="F1054" s="487"/>
      <c r="G1054" s="487"/>
      <c r="H1054" s="487"/>
      <c r="I1054" s="487"/>
      <c r="J1054" s="487"/>
      <c r="K1054" s="487"/>
      <c r="L1054" s="487"/>
      <c r="M1054" s="487"/>
      <c r="N1054" s="487"/>
      <c r="O1054" s="487"/>
      <c r="P1054" s="487"/>
      <c r="Q1054" s="487"/>
      <c r="R1054" s="487"/>
      <c r="S1054" s="487"/>
      <c r="T1054" s="487"/>
      <c r="U1054" s="487"/>
      <c r="V1054" s="487"/>
      <c r="W1054" s="487"/>
      <c r="X1054" s="487"/>
      <c r="Y1054" s="487"/>
      <c r="Z1054" s="487"/>
      <c r="AA1054" s="487"/>
      <c r="AB1054" s="487"/>
      <c r="AC1054" s="487"/>
      <c r="AD1054" s="487"/>
      <c r="AE1054" s="487"/>
      <c r="AF1054" s="487"/>
      <c r="AG1054" s="487"/>
      <c r="AH1054" s="487"/>
      <c r="AI1054" s="487"/>
      <c r="AJ1054" s="487"/>
      <c r="AK1054" s="487"/>
      <c r="AL1054" s="487"/>
      <c r="AM1054" s="487"/>
      <c r="AN1054" s="487"/>
      <c r="AO1054" s="487"/>
      <c r="AP1054" s="487"/>
      <c r="AQ1054" s="487"/>
      <c r="AR1054" s="487"/>
      <c r="AS1054" s="487"/>
      <c r="AT1054" s="487"/>
      <c r="AU1054" s="487"/>
      <c r="AV1054" s="487"/>
      <c r="AW1054" s="487"/>
      <c r="AX1054" s="487"/>
      <c r="AY1054" s="487"/>
      <c r="AZ1054" s="487"/>
      <c r="BA1054" s="487"/>
      <c r="BB1054" s="487"/>
      <c r="BC1054" s="487"/>
      <c r="BD1054" s="487"/>
      <c r="BE1054" s="487"/>
      <c r="BF1054" s="487"/>
      <c r="BG1054" s="487"/>
      <c r="BH1054" s="487"/>
      <c r="BI1054" s="487"/>
      <c r="BJ1054" s="981"/>
      <c r="BK1054" s="487"/>
      <c r="BL1054" s="487"/>
      <c r="BM1054" s="487"/>
      <c r="BN1054" s="487"/>
      <c r="BO1054" s="487"/>
      <c r="BP1054" s="487"/>
      <c r="BQ1054" s="487"/>
      <c r="BR1054" s="487"/>
      <c r="BS1054" s="487"/>
      <c r="BT1054" s="487"/>
      <c r="BU1054" s="487"/>
      <c r="BV1054" s="487"/>
      <c r="BW1054" s="223"/>
    </row>
    <row r="1055" spans="1:75" x14ac:dyDescent="0.5">
      <c r="A1055" s="1590" t="s">
        <v>2713</v>
      </c>
      <c r="B1055" s="487"/>
      <c r="C1055" s="980"/>
      <c r="D1055" s="980"/>
      <c r="E1055" s="487"/>
      <c r="F1055" s="487"/>
      <c r="G1055" s="487"/>
      <c r="H1055" s="487"/>
      <c r="I1055" s="487"/>
      <c r="J1055" s="487"/>
      <c r="K1055" s="487"/>
      <c r="L1055" s="487"/>
      <c r="M1055" s="487"/>
      <c r="N1055" s="487"/>
      <c r="O1055" s="487"/>
      <c r="P1055" s="487"/>
      <c r="Q1055" s="487"/>
      <c r="R1055" s="487"/>
      <c r="S1055" s="487"/>
      <c r="T1055" s="487"/>
      <c r="U1055" s="487"/>
      <c r="V1055" s="487"/>
      <c r="W1055" s="487"/>
      <c r="X1055" s="487"/>
      <c r="Y1055" s="487"/>
      <c r="Z1055" s="487"/>
      <c r="AA1055" s="487"/>
      <c r="AB1055" s="487"/>
      <c r="AC1055" s="487"/>
      <c r="AD1055" s="487"/>
      <c r="AE1055" s="487"/>
      <c r="AF1055" s="487"/>
      <c r="AG1055" s="487"/>
      <c r="AH1055" s="487"/>
      <c r="AI1055" s="487"/>
      <c r="AJ1055" s="487"/>
      <c r="AK1055" s="487"/>
      <c r="AL1055" s="487"/>
      <c r="AM1055" s="487"/>
      <c r="AN1055" s="487"/>
      <c r="AO1055" s="487"/>
      <c r="AP1055" s="487"/>
      <c r="AQ1055" s="487"/>
      <c r="AR1055" s="487"/>
      <c r="AS1055" s="487"/>
      <c r="AT1055" s="487"/>
      <c r="AU1055" s="487"/>
      <c r="AV1055" s="487"/>
      <c r="AW1055" s="487"/>
      <c r="AX1055" s="487"/>
      <c r="AY1055" s="487"/>
      <c r="AZ1055" s="487"/>
      <c r="BA1055" s="487"/>
      <c r="BB1055" s="487"/>
      <c r="BC1055" s="487"/>
      <c r="BD1055" s="487"/>
      <c r="BE1055" s="487"/>
      <c r="BF1055" s="487"/>
      <c r="BG1055" s="487"/>
      <c r="BH1055" s="487"/>
      <c r="BI1055" s="487"/>
      <c r="BJ1055" s="981"/>
      <c r="BK1055" s="487"/>
      <c r="BL1055" s="487"/>
      <c r="BM1055" s="487"/>
      <c r="BN1055" s="487"/>
      <c r="BO1055" s="487"/>
      <c r="BP1055" s="487"/>
      <c r="BQ1055" s="487"/>
      <c r="BR1055" s="487"/>
      <c r="BS1055" s="487"/>
      <c r="BT1055" s="487"/>
      <c r="BU1055" s="487"/>
      <c r="BV1055" s="487"/>
      <c r="BW1055" s="223"/>
    </row>
    <row r="1056" spans="1:75" x14ac:dyDescent="0.5">
      <c r="A1056" s="1590" t="s">
        <v>2714</v>
      </c>
      <c r="B1056" s="487"/>
      <c r="C1056" s="980"/>
      <c r="D1056" s="980"/>
      <c r="E1056" s="487"/>
      <c r="F1056" s="487"/>
      <c r="G1056" s="487"/>
      <c r="H1056" s="487"/>
      <c r="I1056" s="487"/>
      <c r="J1056" s="487"/>
      <c r="K1056" s="487"/>
      <c r="L1056" s="487"/>
      <c r="M1056" s="487"/>
      <c r="N1056" s="487"/>
      <c r="O1056" s="487"/>
      <c r="P1056" s="487"/>
      <c r="Q1056" s="487"/>
      <c r="R1056" s="487"/>
      <c r="S1056" s="487"/>
      <c r="T1056" s="487"/>
      <c r="U1056" s="487"/>
      <c r="V1056" s="487"/>
      <c r="W1056" s="487"/>
      <c r="X1056" s="487"/>
      <c r="Y1056" s="487"/>
      <c r="Z1056" s="487"/>
      <c r="AA1056" s="487"/>
      <c r="AB1056" s="487"/>
      <c r="AC1056" s="487"/>
      <c r="AD1056" s="487"/>
      <c r="AE1056" s="487"/>
      <c r="AF1056" s="487"/>
      <c r="AG1056" s="487"/>
      <c r="AH1056" s="487"/>
      <c r="AI1056" s="487"/>
      <c r="AJ1056" s="487"/>
      <c r="AK1056" s="487"/>
      <c r="AL1056" s="487"/>
      <c r="AM1056" s="487"/>
      <c r="AN1056" s="487"/>
      <c r="AO1056" s="487"/>
      <c r="AP1056" s="487"/>
      <c r="AQ1056" s="487"/>
      <c r="AR1056" s="487"/>
      <c r="AS1056" s="487"/>
      <c r="AT1056" s="487"/>
      <c r="AU1056" s="487"/>
      <c r="AV1056" s="487"/>
      <c r="AW1056" s="487"/>
      <c r="AX1056" s="487"/>
      <c r="AY1056" s="487"/>
      <c r="AZ1056" s="487"/>
      <c r="BA1056" s="487"/>
      <c r="BB1056" s="487"/>
      <c r="BC1056" s="487"/>
      <c r="BD1056" s="487"/>
      <c r="BE1056" s="487"/>
      <c r="BF1056" s="487"/>
      <c r="BG1056" s="487"/>
      <c r="BH1056" s="487"/>
      <c r="BI1056" s="487"/>
      <c r="BJ1056" s="981"/>
      <c r="BK1056" s="487"/>
      <c r="BL1056" s="487"/>
      <c r="BM1056" s="487"/>
      <c r="BN1056" s="487"/>
      <c r="BO1056" s="487"/>
      <c r="BP1056" s="487"/>
      <c r="BQ1056" s="487"/>
      <c r="BR1056" s="487"/>
      <c r="BS1056" s="487"/>
      <c r="BT1056" s="487"/>
      <c r="BU1056" s="487"/>
      <c r="BV1056" s="487"/>
      <c r="BW1056" s="223"/>
    </row>
    <row r="1057" spans="1:75" x14ac:dyDescent="0.5">
      <c r="A1057" s="1590" t="s">
        <v>2715</v>
      </c>
      <c r="B1057" s="487"/>
      <c r="C1057" s="980"/>
      <c r="D1057" s="980"/>
      <c r="E1057" s="487"/>
      <c r="F1057" s="487"/>
      <c r="G1057" s="487"/>
      <c r="H1057" s="487"/>
      <c r="I1057" s="487"/>
      <c r="J1057" s="487"/>
      <c r="K1057" s="487"/>
      <c r="L1057" s="487"/>
      <c r="M1057" s="487"/>
      <c r="N1057" s="487"/>
      <c r="O1057" s="487"/>
      <c r="P1057" s="487"/>
      <c r="Q1057" s="487"/>
      <c r="R1057" s="487"/>
      <c r="S1057" s="487"/>
      <c r="T1057" s="487"/>
      <c r="U1057" s="487"/>
      <c r="V1057" s="487"/>
      <c r="W1057" s="487"/>
      <c r="X1057" s="487"/>
      <c r="Y1057" s="487"/>
      <c r="Z1057" s="487"/>
      <c r="AA1057" s="487"/>
      <c r="AB1057" s="487"/>
      <c r="AC1057" s="487"/>
      <c r="AD1057" s="487"/>
      <c r="AE1057" s="487"/>
      <c r="AF1057" s="487"/>
      <c r="AG1057" s="487"/>
      <c r="AH1057" s="487"/>
      <c r="AI1057" s="487"/>
      <c r="AJ1057" s="487"/>
      <c r="AK1057" s="487"/>
      <c r="AL1057" s="487"/>
      <c r="AM1057" s="487"/>
      <c r="AN1057" s="487"/>
      <c r="AO1057" s="487"/>
      <c r="AP1057" s="487"/>
      <c r="AQ1057" s="487"/>
      <c r="AR1057" s="487"/>
      <c r="AS1057" s="487"/>
      <c r="AT1057" s="487"/>
      <c r="AU1057" s="487"/>
      <c r="AV1057" s="487"/>
      <c r="AW1057" s="487"/>
      <c r="AX1057" s="487"/>
      <c r="AY1057" s="487"/>
      <c r="AZ1057" s="487"/>
      <c r="BA1057" s="487"/>
      <c r="BB1057" s="487"/>
      <c r="BC1057" s="487"/>
      <c r="BD1057" s="487"/>
      <c r="BE1057" s="487"/>
      <c r="BF1057" s="487"/>
      <c r="BG1057" s="487"/>
      <c r="BH1057" s="487"/>
      <c r="BI1057" s="487"/>
      <c r="BJ1057" s="981"/>
      <c r="BK1057" s="487"/>
      <c r="BL1057" s="487"/>
      <c r="BM1057" s="487"/>
      <c r="BN1057" s="487"/>
      <c r="BO1057" s="487"/>
      <c r="BP1057" s="487"/>
      <c r="BQ1057" s="487"/>
      <c r="BR1057" s="487"/>
      <c r="BS1057" s="487"/>
      <c r="BT1057" s="487"/>
      <c r="BU1057" s="487"/>
      <c r="BV1057" s="487"/>
      <c r="BW1057" s="223"/>
    </row>
    <row r="1058" spans="1:75" x14ac:dyDescent="0.5">
      <c r="A1058" s="1590" t="s">
        <v>2716</v>
      </c>
      <c r="B1058" s="487"/>
      <c r="C1058" s="980"/>
      <c r="D1058" s="980"/>
      <c r="E1058" s="487"/>
      <c r="F1058" s="487"/>
      <c r="G1058" s="487"/>
      <c r="H1058" s="487"/>
      <c r="I1058" s="487"/>
      <c r="J1058" s="487"/>
      <c r="K1058" s="487"/>
      <c r="L1058" s="487"/>
      <c r="M1058" s="487"/>
      <c r="N1058" s="487"/>
      <c r="O1058" s="487"/>
      <c r="P1058" s="487"/>
      <c r="Q1058" s="487"/>
      <c r="R1058" s="487"/>
      <c r="S1058" s="487"/>
      <c r="T1058" s="487"/>
      <c r="U1058" s="487"/>
      <c r="V1058" s="487"/>
      <c r="W1058" s="487"/>
      <c r="X1058" s="487"/>
      <c r="Y1058" s="487"/>
      <c r="Z1058" s="487"/>
      <c r="AA1058" s="487"/>
      <c r="AB1058" s="487"/>
      <c r="AC1058" s="487"/>
      <c r="AD1058" s="487"/>
      <c r="AE1058" s="487"/>
      <c r="AF1058" s="487"/>
      <c r="AG1058" s="487"/>
      <c r="AH1058" s="487"/>
      <c r="AI1058" s="487"/>
      <c r="AJ1058" s="487"/>
      <c r="AK1058" s="487"/>
      <c r="AL1058" s="487"/>
      <c r="AM1058" s="487"/>
      <c r="AN1058" s="487"/>
      <c r="AO1058" s="487"/>
      <c r="AP1058" s="487"/>
      <c r="AQ1058" s="487"/>
      <c r="AR1058" s="487"/>
      <c r="AS1058" s="487"/>
      <c r="AT1058" s="487"/>
      <c r="AU1058" s="487"/>
      <c r="AV1058" s="487"/>
      <c r="AW1058" s="487"/>
      <c r="AX1058" s="487"/>
      <c r="AY1058" s="487"/>
      <c r="AZ1058" s="487"/>
      <c r="BA1058" s="487"/>
      <c r="BB1058" s="487"/>
      <c r="BC1058" s="487"/>
      <c r="BD1058" s="487"/>
      <c r="BE1058" s="487"/>
      <c r="BF1058" s="487"/>
      <c r="BG1058" s="487"/>
      <c r="BH1058" s="487"/>
      <c r="BI1058" s="487"/>
      <c r="BJ1058" s="981"/>
      <c r="BK1058" s="487"/>
      <c r="BL1058" s="487"/>
      <c r="BM1058" s="487"/>
      <c r="BN1058" s="487"/>
      <c r="BO1058" s="487"/>
      <c r="BP1058" s="487"/>
      <c r="BQ1058" s="487"/>
      <c r="BR1058" s="487"/>
      <c r="BS1058" s="487"/>
      <c r="BT1058" s="487"/>
      <c r="BU1058" s="487"/>
      <c r="BV1058" s="487"/>
      <c r="BW1058" s="223"/>
    </row>
    <row r="1059" spans="1:75" x14ac:dyDescent="0.5">
      <c r="A1059" s="1590" t="s">
        <v>2717</v>
      </c>
      <c r="B1059" s="487"/>
      <c r="C1059" s="980"/>
      <c r="D1059" s="980"/>
      <c r="E1059" s="487"/>
      <c r="F1059" s="487"/>
      <c r="G1059" s="487"/>
      <c r="H1059" s="487"/>
      <c r="I1059" s="487"/>
      <c r="J1059" s="487"/>
      <c r="K1059" s="487"/>
      <c r="L1059" s="487"/>
      <c r="M1059" s="487"/>
      <c r="N1059" s="487"/>
      <c r="O1059" s="487"/>
      <c r="P1059" s="487"/>
      <c r="Q1059" s="487"/>
      <c r="R1059" s="487"/>
      <c r="S1059" s="487"/>
      <c r="T1059" s="487"/>
      <c r="U1059" s="487"/>
      <c r="V1059" s="487"/>
      <c r="W1059" s="487"/>
      <c r="X1059" s="487"/>
      <c r="Y1059" s="487"/>
      <c r="Z1059" s="487"/>
      <c r="AA1059" s="487"/>
      <c r="AB1059" s="487"/>
      <c r="AC1059" s="487"/>
      <c r="AD1059" s="487"/>
      <c r="AE1059" s="487"/>
      <c r="AF1059" s="487"/>
      <c r="AG1059" s="487"/>
      <c r="AH1059" s="487"/>
      <c r="AI1059" s="487"/>
      <c r="AJ1059" s="487"/>
      <c r="AK1059" s="487"/>
      <c r="AL1059" s="487"/>
      <c r="AM1059" s="487"/>
      <c r="AN1059" s="487"/>
      <c r="AO1059" s="487"/>
      <c r="AP1059" s="487"/>
      <c r="AQ1059" s="487"/>
      <c r="AR1059" s="487"/>
      <c r="AS1059" s="487"/>
      <c r="AT1059" s="487"/>
      <c r="AU1059" s="487"/>
      <c r="AV1059" s="487"/>
      <c r="AW1059" s="487"/>
      <c r="AX1059" s="487"/>
      <c r="AY1059" s="487"/>
      <c r="AZ1059" s="487"/>
      <c r="BA1059" s="487"/>
      <c r="BB1059" s="487"/>
      <c r="BC1059" s="487"/>
      <c r="BD1059" s="487"/>
      <c r="BE1059" s="487"/>
      <c r="BF1059" s="487"/>
      <c r="BG1059" s="487"/>
      <c r="BH1059" s="487"/>
      <c r="BI1059" s="487"/>
      <c r="BJ1059" s="981"/>
      <c r="BK1059" s="487"/>
      <c r="BL1059" s="487"/>
      <c r="BM1059" s="487"/>
      <c r="BN1059" s="487"/>
      <c r="BO1059" s="487"/>
      <c r="BP1059" s="487"/>
      <c r="BQ1059" s="487"/>
      <c r="BR1059" s="487"/>
      <c r="BS1059" s="487"/>
      <c r="BT1059" s="487"/>
      <c r="BU1059" s="487"/>
      <c r="BV1059" s="487"/>
      <c r="BW1059" s="223"/>
    </row>
    <row r="1060" spans="1:75" x14ac:dyDescent="0.5">
      <c r="A1060" s="1590" t="s">
        <v>2718</v>
      </c>
      <c r="B1060" s="487"/>
      <c r="C1060" s="980"/>
      <c r="D1060" s="980"/>
      <c r="E1060" s="487"/>
      <c r="F1060" s="487"/>
      <c r="G1060" s="487"/>
      <c r="H1060" s="487"/>
      <c r="I1060" s="487"/>
      <c r="J1060" s="487"/>
      <c r="K1060" s="487"/>
      <c r="L1060" s="487"/>
      <c r="M1060" s="487"/>
      <c r="N1060" s="487"/>
      <c r="O1060" s="487"/>
      <c r="P1060" s="487"/>
      <c r="Q1060" s="487"/>
      <c r="R1060" s="487"/>
      <c r="S1060" s="487"/>
      <c r="T1060" s="487"/>
      <c r="U1060" s="487"/>
      <c r="V1060" s="487"/>
      <c r="W1060" s="487"/>
      <c r="X1060" s="487"/>
      <c r="Y1060" s="487"/>
      <c r="Z1060" s="487"/>
      <c r="AA1060" s="487"/>
      <c r="AB1060" s="487"/>
      <c r="AC1060" s="487"/>
      <c r="AD1060" s="487"/>
      <c r="AE1060" s="487"/>
      <c r="AF1060" s="487"/>
      <c r="AG1060" s="487"/>
      <c r="AH1060" s="487"/>
      <c r="AI1060" s="487"/>
      <c r="AJ1060" s="487"/>
      <c r="AK1060" s="487"/>
      <c r="AL1060" s="487"/>
      <c r="AM1060" s="487"/>
      <c r="AN1060" s="487"/>
      <c r="AO1060" s="487"/>
      <c r="AP1060" s="487"/>
      <c r="AQ1060" s="487"/>
      <c r="AR1060" s="487"/>
      <c r="AS1060" s="487"/>
      <c r="AT1060" s="487"/>
      <c r="AU1060" s="487"/>
      <c r="AV1060" s="487"/>
      <c r="AW1060" s="487"/>
      <c r="AX1060" s="487"/>
      <c r="AY1060" s="487"/>
      <c r="AZ1060" s="487"/>
      <c r="BA1060" s="487"/>
      <c r="BB1060" s="487"/>
      <c r="BC1060" s="487"/>
      <c r="BD1060" s="487"/>
      <c r="BE1060" s="487"/>
      <c r="BF1060" s="487"/>
      <c r="BG1060" s="487"/>
      <c r="BH1060" s="487"/>
      <c r="BI1060" s="487"/>
      <c r="BJ1060" s="981"/>
      <c r="BK1060" s="487"/>
      <c r="BL1060" s="487"/>
      <c r="BM1060" s="487"/>
      <c r="BN1060" s="487"/>
      <c r="BO1060" s="487"/>
      <c r="BP1060" s="487"/>
      <c r="BQ1060" s="487"/>
      <c r="BR1060" s="487"/>
      <c r="BS1060" s="487"/>
      <c r="BT1060" s="487"/>
      <c r="BU1060" s="487"/>
      <c r="BV1060" s="487"/>
      <c r="BW1060" s="223"/>
    </row>
    <row r="1061" spans="1:75" x14ac:dyDescent="0.5">
      <c r="A1061" s="1590" t="s">
        <v>2719</v>
      </c>
      <c r="B1061" s="487"/>
      <c r="C1061" s="980"/>
      <c r="D1061" s="980"/>
      <c r="E1061" s="487"/>
      <c r="F1061" s="487"/>
      <c r="G1061" s="487"/>
      <c r="H1061" s="487"/>
      <c r="I1061" s="487"/>
      <c r="J1061" s="487"/>
      <c r="K1061" s="487"/>
      <c r="L1061" s="487"/>
      <c r="M1061" s="487"/>
      <c r="N1061" s="487"/>
      <c r="O1061" s="487"/>
      <c r="P1061" s="487"/>
      <c r="Q1061" s="487"/>
      <c r="R1061" s="487"/>
      <c r="S1061" s="487"/>
      <c r="T1061" s="487"/>
      <c r="U1061" s="487"/>
      <c r="V1061" s="487"/>
      <c r="W1061" s="487"/>
      <c r="X1061" s="487"/>
      <c r="Y1061" s="487"/>
      <c r="Z1061" s="487"/>
      <c r="AA1061" s="487"/>
      <c r="AB1061" s="487"/>
      <c r="AC1061" s="487"/>
      <c r="AD1061" s="487"/>
      <c r="AE1061" s="487"/>
      <c r="AF1061" s="487"/>
      <c r="AG1061" s="487"/>
      <c r="AH1061" s="487"/>
      <c r="AI1061" s="487"/>
      <c r="AJ1061" s="487"/>
      <c r="AK1061" s="487"/>
      <c r="AL1061" s="487"/>
      <c r="AM1061" s="487"/>
      <c r="AN1061" s="487"/>
      <c r="AO1061" s="487"/>
      <c r="AP1061" s="487"/>
      <c r="AQ1061" s="487"/>
      <c r="AR1061" s="487"/>
      <c r="AS1061" s="487"/>
      <c r="AT1061" s="487"/>
      <c r="AU1061" s="487"/>
      <c r="AV1061" s="487"/>
      <c r="AW1061" s="487"/>
      <c r="AX1061" s="487"/>
      <c r="AY1061" s="487"/>
      <c r="AZ1061" s="487"/>
      <c r="BA1061" s="487"/>
      <c r="BB1061" s="487"/>
      <c r="BC1061" s="487"/>
      <c r="BD1061" s="487"/>
      <c r="BE1061" s="487"/>
      <c r="BF1061" s="487"/>
      <c r="BG1061" s="487"/>
      <c r="BH1061" s="487"/>
      <c r="BI1061" s="487"/>
      <c r="BJ1061" s="981"/>
      <c r="BK1061" s="487"/>
      <c r="BL1061" s="487"/>
      <c r="BM1061" s="487"/>
      <c r="BN1061" s="487"/>
      <c r="BO1061" s="487"/>
      <c r="BP1061" s="487"/>
      <c r="BQ1061" s="487"/>
      <c r="BR1061" s="487"/>
      <c r="BS1061" s="487"/>
      <c r="BT1061" s="487"/>
      <c r="BU1061" s="487"/>
      <c r="BV1061" s="487"/>
      <c r="BW1061" s="223"/>
    </row>
    <row r="1062" spans="1:75" x14ac:dyDescent="0.5">
      <c r="A1062" s="1587"/>
      <c r="B1062" s="487"/>
      <c r="C1062" s="980"/>
      <c r="D1062" s="980"/>
      <c r="E1062" s="487"/>
      <c r="F1062" s="487"/>
      <c r="G1062" s="487"/>
      <c r="H1062" s="487"/>
      <c r="I1062" s="487"/>
      <c r="J1062" s="487"/>
      <c r="K1062" s="487"/>
      <c r="L1062" s="487"/>
      <c r="M1062" s="487"/>
      <c r="N1062" s="487"/>
      <c r="O1062" s="487"/>
      <c r="P1062" s="487"/>
      <c r="Q1062" s="487"/>
      <c r="R1062" s="487"/>
      <c r="S1062" s="487"/>
      <c r="T1062" s="487"/>
      <c r="U1062" s="487"/>
      <c r="V1062" s="487"/>
      <c r="W1062" s="487"/>
      <c r="X1062" s="487"/>
      <c r="Y1062" s="487"/>
      <c r="Z1062" s="487"/>
      <c r="AA1062" s="487"/>
      <c r="AB1062" s="487"/>
      <c r="AC1062" s="487"/>
      <c r="AD1062" s="487"/>
      <c r="AE1062" s="487"/>
      <c r="AF1062" s="487"/>
      <c r="AG1062" s="487"/>
      <c r="AH1062" s="487"/>
      <c r="AI1062" s="487"/>
      <c r="AJ1062" s="487"/>
      <c r="AK1062" s="487"/>
      <c r="AL1062" s="487"/>
      <c r="AM1062" s="487"/>
      <c r="AN1062" s="487"/>
      <c r="AO1062" s="487"/>
      <c r="AP1062" s="487"/>
      <c r="AQ1062" s="487"/>
      <c r="AR1062" s="487"/>
      <c r="AS1062" s="487"/>
      <c r="AT1062" s="487"/>
      <c r="AU1062" s="487"/>
      <c r="AV1062" s="487"/>
      <c r="AW1062" s="487"/>
      <c r="AX1062" s="487"/>
      <c r="AY1062" s="487"/>
      <c r="AZ1062" s="487"/>
      <c r="BA1062" s="487"/>
      <c r="BB1062" s="487"/>
      <c r="BC1062" s="487"/>
      <c r="BD1062" s="487"/>
      <c r="BE1062" s="487"/>
      <c r="BF1062" s="487"/>
      <c r="BG1062" s="487"/>
      <c r="BH1062" s="487"/>
      <c r="BI1062" s="487"/>
      <c r="BJ1062" s="981"/>
      <c r="BK1062" s="487"/>
      <c r="BL1062" s="487"/>
      <c r="BM1062" s="487"/>
      <c r="BN1062" s="487"/>
      <c r="BO1062" s="487"/>
      <c r="BP1062" s="487"/>
      <c r="BQ1062" s="487"/>
      <c r="BR1062" s="487"/>
      <c r="BS1062" s="487"/>
      <c r="BT1062" s="487"/>
      <c r="BU1062" s="487"/>
      <c r="BV1062" s="487"/>
      <c r="BW1062" s="223"/>
    </row>
    <row r="1063" spans="1:75" x14ac:dyDescent="0.5">
      <c r="A1063" s="972"/>
      <c r="B1063" s="987"/>
      <c r="C1063" s="1003"/>
      <c r="D1063" s="1003"/>
      <c r="E1063" s="987"/>
      <c r="F1063" s="987"/>
      <c r="G1063" s="987"/>
      <c r="H1063" s="987"/>
      <c r="I1063" s="987"/>
      <c r="J1063" s="987"/>
      <c r="K1063" s="987"/>
      <c r="L1063" s="987"/>
      <c r="M1063" s="987"/>
      <c r="N1063" s="987"/>
      <c r="O1063" s="987"/>
      <c r="P1063" s="987"/>
      <c r="Q1063" s="987"/>
      <c r="R1063" s="987"/>
      <c r="S1063" s="987"/>
      <c r="T1063" s="987"/>
      <c r="U1063" s="987"/>
      <c r="V1063" s="987"/>
      <c r="W1063" s="987"/>
      <c r="X1063" s="987"/>
      <c r="Y1063" s="987"/>
      <c r="Z1063" s="987"/>
      <c r="AA1063" s="987"/>
      <c r="AB1063" s="987"/>
      <c r="AC1063" s="987"/>
      <c r="AD1063" s="987"/>
      <c r="AE1063" s="987"/>
      <c r="AF1063" s="987"/>
      <c r="AG1063" s="987"/>
      <c r="AH1063" s="987"/>
      <c r="AI1063" s="987"/>
      <c r="AJ1063" s="987"/>
      <c r="AK1063" s="987"/>
      <c r="AL1063" s="987"/>
      <c r="AM1063" s="987"/>
      <c r="AN1063" s="987"/>
      <c r="AO1063" s="987"/>
      <c r="AP1063" s="987"/>
      <c r="AQ1063" s="987"/>
      <c r="AR1063" s="987"/>
      <c r="AS1063" s="987"/>
      <c r="AT1063" s="987"/>
      <c r="AU1063" s="987"/>
      <c r="AV1063" s="987"/>
      <c r="AW1063" s="987"/>
      <c r="AX1063" s="987"/>
      <c r="AY1063" s="987"/>
      <c r="AZ1063" s="987"/>
      <c r="BA1063" s="987"/>
      <c r="BB1063" s="987"/>
      <c r="BC1063" s="987"/>
      <c r="BD1063" s="987"/>
      <c r="BE1063" s="987"/>
      <c r="BF1063" s="987"/>
      <c r="BG1063" s="987"/>
      <c r="BH1063" s="987"/>
      <c r="BI1063" s="987"/>
      <c r="BJ1063" s="1004"/>
      <c r="BK1063" s="987"/>
      <c r="BL1063" s="987"/>
      <c r="BM1063" s="987"/>
      <c r="BN1063" s="987"/>
      <c r="BO1063" s="987"/>
      <c r="BP1063" s="987"/>
      <c r="BQ1063" s="987"/>
      <c r="BR1063" s="987"/>
      <c r="BS1063" s="987"/>
      <c r="BT1063" s="987"/>
      <c r="BU1063" s="987"/>
      <c r="BV1063" s="987"/>
      <c r="BW1063" s="223"/>
    </row>
    <row r="1064" spans="1:75" x14ac:dyDescent="0.5">
      <c r="A1064" s="1591" t="s">
        <v>1596</v>
      </c>
      <c r="B1064" s="1006"/>
      <c r="C1064" s="1007"/>
      <c r="D1064" s="1007"/>
      <c r="E1064" s="1006"/>
      <c r="F1064" s="1006"/>
      <c r="G1064" s="1006"/>
      <c r="H1064" s="1006"/>
      <c r="I1064" s="1006"/>
      <c r="J1064" s="1006"/>
      <c r="K1064" s="1006"/>
      <c r="L1064" s="1006"/>
      <c r="M1064" s="1006"/>
      <c r="N1064" s="1006"/>
      <c r="O1064" s="1006"/>
      <c r="P1064" s="1006"/>
      <c r="Q1064" s="1006"/>
      <c r="R1064" s="1006"/>
      <c r="S1064" s="1006"/>
      <c r="T1064" s="1006"/>
      <c r="U1064" s="1006"/>
      <c r="V1064" s="1006"/>
      <c r="W1064" s="1006"/>
      <c r="X1064" s="1006"/>
      <c r="Y1064" s="1006"/>
      <c r="Z1064" s="1006"/>
      <c r="AA1064" s="1006"/>
      <c r="AB1064" s="1006"/>
      <c r="AC1064" s="1006"/>
      <c r="AD1064" s="1006"/>
      <c r="AE1064" s="1006"/>
      <c r="AF1064" s="1006"/>
      <c r="AG1064" s="1006"/>
      <c r="AH1064" s="1006"/>
      <c r="AI1064" s="1006"/>
      <c r="AJ1064" s="1006"/>
      <c r="AK1064" s="1006"/>
      <c r="AL1064" s="1006"/>
      <c r="AM1064" s="1006"/>
      <c r="AN1064" s="1006"/>
      <c r="AO1064" s="1006"/>
      <c r="AP1064" s="1006"/>
      <c r="AQ1064" s="1006"/>
      <c r="AR1064" s="1006"/>
      <c r="AS1064" s="1006"/>
      <c r="AT1064" s="1006"/>
      <c r="AU1064" s="1006"/>
      <c r="AV1064" s="1006"/>
      <c r="AW1064" s="1006"/>
      <c r="AX1064" s="1006"/>
      <c r="AY1064" s="1006"/>
      <c r="AZ1064" s="1006"/>
      <c r="BA1064" s="1006"/>
      <c r="BB1064" s="1006"/>
      <c r="BC1064" s="1006"/>
      <c r="BD1064" s="1006"/>
      <c r="BE1064" s="1006"/>
      <c r="BF1064" s="1006"/>
      <c r="BG1064" s="1006"/>
      <c r="BH1064" s="1006"/>
      <c r="BI1064" s="1006"/>
      <c r="BJ1064" s="1008"/>
      <c r="BK1064" s="1006"/>
      <c r="BL1064" s="1006"/>
      <c r="BM1064" s="1006"/>
      <c r="BN1064" s="1006"/>
      <c r="BO1064" s="1006"/>
      <c r="BP1064" s="1006"/>
      <c r="BQ1064" s="1006"/>
      <c r="BR1064" s="1006"/>
      <c r="BS1064" s="1006"/>
      <c r="BT1064" s="1006"/>
      <c r="BU1064" s="1006"/>
      <c r="BV1064" s="1009"/>
      <c r="BW1064" s="223"/>
    </row>
    <row r="1065" spans="1:75" x14ac:dyDescent="0.5">
      <c r="A1065" s="1592" t="s">
        <v>1597</v>
      </c>
      <c r="B1065" s="487"/>
      <c r="C1065" s="1011"/>
      <c r="D1065" s="1011"/>
      <c r="E1065" s="1012"/>
      <c r="F1065" s="1012"/>
      <c r="G1065" s="1012"/>
      <c r="H1065" s="1012"/>
      <c r="I1065" s="1012"/>
      <c r="J1065" s="1012"/>
      <c r="K1065" s="1012"/>
      <c r="L1065" s="1012"/>
      <c r="M1065" s="1012"/>
      <c r="N1065" s="1012"/>
      <c r="O1065" s="1012"/>
      <c r="P1065" s="1012"/>
      <c r="Q1065" s="1012"/>
      <c r="R1065" s="1012"/>
      <c r="S1065" s="1012"/>
      <c r="T1065" s="1012"/>
      <c r="U1065" s="1012"/>
      <c r="V1065" s="1012"/>
      <c r="W1065" s="1012"/>
      <c r="X1065" s="1012"/>
      <c r="Y1065" s="1012"/>
      <c r="Z1065" s="1012"/>
      <c r="AA1065" s="1012"/>
      <c r="AB1065" s="1012"/>
      <c r="AC1065" s="1012"/>
      <c r="AD1065" s="1013">
        <v>43153</v>
      </c>
      <c r="AE1065" s="1013">
        <v>43153</v>
      </c>
      <c r="AF1065" s="1012"/>
      <c r="AG1065" s="1012"/>
      <c r="AH1065" s="1013">
        <v>43405</v>
      </c>
      <c r="AI1065" s="1013">
        <v>43518</v>
      </c>
      <c r="AJ1065" s="1013">
        <v>43518</v>
      </c>
      <c r="AK1065" s="1013">
        <v>43587</v>
      </c>
      <c r="AL1065" s="1013">
        <v>43678</v>
      </c>
      <c r="AM1065" s="1013">
        <v>43769</v>
      </c>
      <c r="AN1065" s="1013">
        <v>43889</v>
      </c>
      <c r="AO1065" s="1013">
        <v>43889</v>
      </c>
      <c r="AP1065" s="1013">
        <v>43956</v>
      </c>
      <c r="AQ1065" s="1013">
        <v>44048</v>
      </c>
      <c r="AR1065" s="1013">
        <v>44138</v>
      </c>
      <c r="AS1065" s="1013">
        <v>44252</v>
      </c>
      <c r="AT1065" s="1013">
        <v>44252</v>
      </c>
      <c r="AU1065" s="1013">
        <v>44322</v>
      </c>
      <c r="AV1065" s="1013">
        <v>44413</v>
      </c>
      <c r="AW1065" s="1013">
        <v>44504</v>
      </c>
      <c r="AX1065" s="1013">
        <v>44616</v>
      </c>
      <c r="AY1065" s="1013">
        <v>44616</v>
      </c>
      <c r="AZ1065" s="1013">
        <v>44686</v>
      </c>
      <c r="BA1065" s="1013">
        <v>44778</v>
      </c>
      <c r="BB1065" s="1013">
        <v>44868</v>
      </c>
      <c r="BC1065" s="1013">
        <v>44980</v>
      </c>
      <c r="BD1065" s="1013">
        <v>44980</v>
      </c>
      <c r="BE1065" s="1013">
        <v>45050</v>
      </c>
      <c r="BF1065" s="1013">
        <v>45141</v>
      </c>
      <c r="BG1065" s="1013">
        <v>45231</v>
      </c>
      <c r="BH1065" s="1013">
        <v>45344</v>
      </c>
      <c r="BI1065" s="1013">
        <v>45344</v>
      </c>
      <c r="BJ1065" s="1014">
        <v>45414</v>
      </c>
      <c r="BK1065" s="1012"/>
      <c r="BL1065" s="1012"/>
      <c r="BM1065" s="1012"/>
      <c r="BN1065" s="1012"/>
      <c r="BO1065" s="1012"/>
      <c r="BP1065" s="1012"/>
      <c r="BQ1065" s="1012"/>
      <c r="BR1065" s="1012"/>
      <c r="BS1065" s="1012"/>
      <c r="BT1065" s="1012"/>
      <c r="BU1065" s="1012"/>
      <c r="BV1065" s="1015"/>
      <c r="BW1065" s="223"/>
    </row>
    <row r="1066" spans="1:75" x14ac:dyDescent="0.5">
      <c r="A1066" s="1592" t="s">
        <v>1598</v>
      </c>
      <c r="B1066" s="487"/>
      <c r="C1066" s="1016"/>
      <c r="D1066" s="1016"/>
      <c r="E1066" s="1017"/>
      <c r="F1066" s="1017"/>
      <c r="G1066" s="1017"/>
      <c r="H1066" s="1017"/>
      <c r="I1066" s="1017"/>
      <c r="J1066" s="1017"/>
      <c r="K1066" s="1017"/>
      <c r="L1066" s="1017"/>
      <c r="M1066" s="1017"/>
      <c r="N1066" s="1017"/>
      <c r="O1066" s="1017"/>
      <c r="P1066" s="1017"/>
      <c r="Q1066" s="1017"/>
      <c r="R1066" s="1017"/>
      <c r="S1066" s="1017"/>
      <c r="T1066" s="1017"/>
      <c r="U1066" s="1017"/>
      <c r="V1066" s="1017"/>
      <c r="W1066" s="1017"/>
      <c r="X1066" s="1017"/>
      <c r="Y1066" s="1017"/>
      <c r="Z1066" s="1017"/>
      <c r="AA1066" s="1017"/>
      <c r="AB1066" s="1017"/>
      <c r="AC1066" s="1017"/>
      <c r="AD1066" s="1017" t="str">
        <f>AF$5</f>
        <v>Q1-2018</v>
      </c>
      <c r="AE1066" s="1017" t="str">
        <f>AF$5</f>
        <v>Q1-2018</v>
      </c>
      <c r="AF1066" s="1017" t="str">
        <f>AG$5</f>
        <v>Q2-2018</v>
      </c>
      <c r="AG1066" s="1017" t="str">
        <f>AH$5</f>
        <v>Q3-2018</v>
      </c>
      <c r="AH1066" s="1017" t="str">
        <f>AI$5</f>
        <v>Q4-2018</v>
      </c>
      <c r="AI1066" s="1017" t="str">
        <f>AK$5</f>
        <v>Q1-2019</v>
      </c>
      <c r="AJ1066" s="1017" t="str">
        <f>AK$5</f>
        <v>Q1-2019</v>
      </c>
      <c r="AK1066" s="1017" t="str">
        <f>AL$5</f>
        <v>Q2-2019</v>
      </c>
      <c r="AL1066" s="1017" t="str">
        <f>AM$5</f>
        <v>Q3-2019</v>
      </c>
      <c r="AM1066" s="1017" t="str">
        <f>AN$5</f>
        <v>Q4-2019</v>
      </c>
      <c r="AN1066" s="1017" t="str">
        <f>AP$5</f>
        <v>Q1-2020</v>
      </c>
      <c r="AO1066" s="1017" t="str">
        <f>AP$5</f>
        <v>Q1-2020</v>
      </c>
      <c r="AP1066" s="1017" t="str">
        <f>AQ$5</f>
        <v>Q2-2020</v>
      </c>
      <c r="AQ1066" s="1017" t="str">
        <f>AR$5</f>
        <v>Q3-2020</v>
      </c>
      <c r="AR1066" s="1017" t="str">
        <f>AS$5</f>
        <v>Q4-2020</v>
      </c>
      <c r="AS1066" s="1017" t="str">
        <f>AU$5</f>
        <v>Q1-2021</v>
      </c>
      <c r="AT1066" s="1017" t="str">
        <f>AU$5</f>
        <v>Q1-2021</v>
      </c>
      <c r="AU1066" s="1017" t="str">
        <f>AV$5</f>
        <v>Q2-2021</v>
      </c>
      <c r="AV1066" s="1017" t="str">
        <f>AW$5</f>
        <v>Q3-2021</v>
      </c>
      <c r="AW1066" s="1017" t="str">
        <f>AX$5</f>
        <v>Q4-2021</v>
      </c>
      <c r="AX1066" s="1017" t="str">
        <f>AZ$5</f>
        <v>Q1-2022</v>
      </c>
      <c r="AY1066" s="1017" t="str">
        <f>AZ$5</f>
        <v>Q1-2022</v>
      </c>
      <c r="AZ1066" s="1017" t="str">
        <f>BA$5</f>
        <v>Q2-2022</v>
      </c>
      <c r="BA1066" s="1017" t="str">
        <f>BB$5</f>
        <v>Q3-2022</v>
      </c>
      <c r="BB1066" s="1017" t="str">
        <f>BC$5</f>
        <v>Q4-2022</v>
      </c>
      <c r="BC1066" s="1017" t="str">
        <f>BE$5</f>
        <v>Q1-2023</v>
      </c>
      <c r="BD1066" s="1017" t="str">
        <f>BE$5</f>
        <v>Q1-2023</v>
      </c>
      <c r="BE1066" s="1017" t="str">
        <f>BF$5</f>
        <v>Q2-2023</v>
      </c>
      <c r="BF1066" s="1017" t="str">
        <f>BG$5</f>
        <v>Q3-2023</v>
      </c>
      <c r="BG1066" s="1017" t="str">
        <f>BH$5</f>
        <v>Q4-2023</v>
      </c>
      <c r="BH1066" s="1017" t="str">
        <f>BJ$5</f>
        <v>Q1-2024</v>
      </c>
      <c r="BI1066" s="1017" t="str">
        <f>BJ$5</f>
        <v>Q1-2024</v>
      </c>
      <c r="BJ1066" s="1018" t="str">
        <f>BK$5</f>
        <v>Q2-2024</v>
      </c>
      <c r="BK1066" s="1017"/>
      <c r="BL1066" s="1017"/>
      <c r="BM1066" s="1017"/>
      <c r="BN1066" s="1017"/>
      <c r="BO1066" s="1017"/>
      <c r="BP1066" s="1017"/>
      <c r="BQ1066" s="1017"/>
      <c r="BR1066" s="1017"/>
      <c r="BS1066" s="1017"/>
      <c r="BT1066" s="1017"/>
      <c r="BU1066" s="1017"/>
      <c r="BV1066" s="1019"/>
      <c r="BW1066" s="223"/>
    </row>
    <row r="1067" spans="1:75" x14ac:dyDescent="0.5">
      <c r="A1067" s="1593" t="s">
        <v>2720</v>
      </c>
      <c r="B1067" s="443" t="s">
        <v>2721</v>
      </c>
      <c r="C1067" s="1594"/>
      <c r="D1067" s="1594"/>
      <c r="E1067" s="214"/>
      <c r="F1067" s="214"/>
      <c r="G1067" s="214"/>
      <c r="H1067" s="214"/>
      <c r="I1067" s="214"/>
      <c r="J1067" s="214"/>
      <c r="K1067" s="214"/>
      <c r="L1067" s="214"/>
      <c r="M1067" s="214"/>
      <c r="N1067" s="214"/>
      <c r="O1067" s="214"/>
      <c r="P1067" s="214"/>
      <c r="Q1067" s="214"/>
      <c r="R1067" s="214"/>
      <c r="S1067" s="214"/>
      <c r="T1067" s="214"/>
      <c r="U1067" s="214"/>
      <c r="V1067" s="214"/>
      <c r="W1067" s="214"/>
      <c r="X1067" s="214"/>
      <c r="Y1067" s="214"/>
      <c r="Z1067" s="214"/>
      <c r="AA1067" s="214"/>
      <c r="AB1067" s="214"/>
      <c r="AC1067" s="214"/>
      <c r="AD1067" s="214" t="str">
        <f t="shared" ref="AD1067:BN1067" si="879">IF(ISBLANK(AD$1066),"N/A",IF(COUNTIFS(GD_Item_FiscalPeriod,AD$1066,GD_Item_Name,$B1067,GD_Update_Date,AD$1065)=0,"NR",SUMIFS(GD_Guidance_Low,GD_Item_Name,$B1067,GD_Item_FiscalPeriod,AD$1066,GD_Update_Date,AD$1065)))</f>
        <v>NR</v>
      </c>
      <c r="AE1067" s="214" t="str">
        <f t="shared" si="879"/>
        <v>NR</v>
      </c>
      <c r="AF1067" s="214" t="str">
        <f t="shared" si="879"/>
        <v>NR</v>
      </c>
      <c r="AG1067" s="214" t="str">
        <f t="shared" si="879"/>
        <v>NR</v>
      </c>
      <c r="AH1067" s="214" t="str">
        <f t="shared" si="879"/>
        <v>NR</v>
      </c>
      <c r="AI1067" s="214" t="str">
        <f t="shared" si="879"/>
        <v>NR</v>
      </c>
      <c r="AJ1067" s="214" t="str">
        <f t="shared" si="879"/>
        <v>NR</v>
      </c>
      <c r="AK1067" s="214" t="str">
        <f t="shared" si="879"/>
        <v>NR</v>
      </c>
      <c r="AL1067" s="214" t="str">
        <f t="shared" si="879"/>
        <v>NR</v>
      </c>
      <c r="AM1067" s="214" t="str">
        <f t="shared" si="879"/>
        <v>NR</v>
      </c>
      <c r="AN1067" s="214">
        <f t="shared" si="879"/>
        <v>0.15</v>
      </c>
      <c r="AO1067" s="214">
        <f t="shared" si="879"/>
        <v>0.15</v>
      </c>
      <c r="AP1067" s="214">
        <f t="shared" si="879"/>
        <v>0.2</v>
      </c>
      <c r="AQ1067" s="214">
        <f t="shared" si="879"/>
        <v>0.2</v>
      </c>
      <c r="AR1067" s="214" t="str">
        <f t="shared" si="879"/>
        <v>NR</v>
      </c>
      <c r="AS1067" s="214" t="str">
        <f t="shared" si="879"/>
        <v>NR</v>
      </c>
      <c r="AT1067" s="214" t="str">
        <f t="shared" si="879"/>
        <v>NR</v>
      </c>
      <c r="AU1067" s="214" t="str">
        <f t="shared" si="879"/>
        <v>NR</v>
      </c>
      <c r="AV1067" s="214" t="str">
        <f t="shared" si="879"/>
        <v>NR</v>
      </c>
      <c r="AW1067" s="214">
        <f t="shared" si="879"/>
        <v>-0.1</v>
      </c>
      <c r="AX1067" s="214" t="str">
        <f t="shared" si="879"/>
        <v>NR</v>
      </c>
      <c r="AY1067" s="214" t="str">
        <f t="shared" si="879"/>
        <v>NR</v>
      </c>
      <c r="AZ1067" s="214" t="str">
        <f t="shared" si="879"/>
        <v>NR</v>
      </c>
      <c r="BA1067" s="214">
        <f t="shared" si="879"/>
        <v>-0.1</v>
      </c>
      <c r="BB1067" s="214">
        <f t="shared" si="879"/>
        <v>-0.09</v>
      </c>
      <c r="BC1067" s="214">
        <f t="shared" si="879"/>
        <v>-0.09</v>
      </c>
      <c r="BD1067" s="214">
        <f t="shared" si="879"/>
        <v>-0.09</v>
      </c>
      <c r="BE1067" s="214">
        <f t="shared" si="879"/>
        <v>0.08</v>
      </c>
      <c r="BF1067" s="214">
        <f t="shared" si="879"/>
        <v>0.04</v>
      </c>
      <c r="BG1067" s="214">
        <f t="shared" si="879"/>
        <v>0</v>
      </c>
      <c r="BH1067" s="214">
        <f t="shared" ref="BH1067:BM1067" si="880">IF(ISBLANK(BH$1066),"N/A",IF(COUNTIFS(GD_Item_FiscalPeriod,BH$1066,GD_Item_Name,$B1067,GD_Update_Date,BH$1065)=0,"NR",SUMIFS(GD_Guidance_Low,GD_Item_Name,$B1067,GD_Item_FiscalPeriod,BH$1066,GD_Update_Date,BH$1065)))</f>
        <v>-7.4999999999999997E-2</v>
      </c>
      <c r="BI1067" s="214">
        <f t="shared" si="880"/>
        <v>-7.4999999999999997E-2</v>
      </c>
      <c r="BJ1067" s="1117">
        <f>IF(ISBLANK(BJ$1066),"N/A",IF(COUNTIFS(GD_Item_FiscalPeriod,BJ$1066,GD_Item_Name,$B1067,GD_Update_Date,BJ$1065)=0,"NR",SUMIFS(GD_Guidance_Low,GD_Item_Name,$B1067,GD_Item_FiscalPeriod,BJ$1066,GD_Update_Date,BJ$1065)))</f>
        <v>0</v>
      </c>
      <c r="BK1067" s="214" t="str">
        <f t="shared" si="880"/>
        <v>N/A</v>
      </c>
      <c r="BL1067" s="214" t="str">
        <f t="shared" si="880"/>
        <v>N/A</v>
      </c>
      <c r="BM1067" s="214" t="str">
        <f t="shared" si="880"/>
        <v>N/A</v>
      </c>
      <c r="BN1067" s="214" t="str">
        <f t="shared" si="879"/>
        <v>N/A</v>
      </c>
      <c r="BO1067" s="214" t="str">
        <f t="shared" ref="BO1067:BV1067" si="881">IF(ISBLANK(BO$1066),"N/A",IF(COUNTIFS(GD_Item_FiscalPeriod,BO$1066,GD_Item_Name,$B1067,GD_Update_Date,BO$1065)=0,"NR",SUMIFS(GD_Guidance_Low,GD_Item_Name,$B1067,GD_Item_FiscalPeriod,BO$1066,GD_Update_Date,BO$1065)))</f>
        <v>N/A</v>
      </c>
      <c r="BP1067" s="214" t="str">
        <f t="shared" si="881"/>
        <v>N/A</v>
      </c>
      <c r="BQ1067" s="214" t="str">
        <f t="shared" si="881"/>
        <v>N/A</v>
      </c>
      <c r="BR1067" s="214" t="str">
        <f t="shared" si="881"/>
        <v>N/A</v>
      </c>
      <c r="BS1067" s="214" t="str">
        <f t="shared" si="881"/>
        <v>N/A</v>
      </c>
      <c r="BT1067" s="214" t="str">
        <f t="shared" si="881"/>
        <v>N/A</v>
      </c>
      <c r="BU1067" s="214" t="str">
        <f t="shared" si="881"/>
        <v>N/A</v>
      </c>
      <c r="BV1067" s="1595" t="str">
        <f t="shared" si="881"/>
        <v>N/A</v>
      </c>
      <c r="BW1067" s="223"/>
    </row>
    <row r="1068" spans="1:75" x14ac:dyDescent="0.5">
      <c r="A1068" s="1593" t="s">
        <v>2722</v>
      </c>
      <c r="B1068" s="443" t="s">
        <v>2721</v>
      </c>
      <c r="C1068" s="1594"/>
      <c r="D1068" s="1594"/>
      <c r="E1068" s="214"/>
      <c r="F1068" s="214"/>
      <c r="G1068" s="214"/>
      <c r="H1068" s="214"/>
      <c r="I1068" s="214"/>
      <c r="J1068" s="214"/>
      <c r="K1068" s="214"/>
      <c r="L1068" s="214"/>
      <c r="M1068" s="214"/>
      <c r="N1068" s="214"/>
      <c r="O1068" s="214"/>
      <c r="P1068" s="214"/>
      <c r="Q1068" s="214"/>
      <c r="R1068" s="214"/>
      <c r="S1068" s="214"/>
      <c r="T1068" s="214"/>
      <c r="U1068" s="214"/>
      <c r="V1068" s="214"/>
      <c r="W1068" s="214"/>
      <c r="X1068" s="214"/>
      <c r="Y1068" s="214"/>
      <c r="Z1068" s="214"/>
      <c r="AA1068" s="214"/>
      <c r="AB1068" s="214"/>
      <c r="AC1068" s="214"/>
      <c r="AD1068" s="214" t="str">
        <f t="shared" ref="AD1068:BN1068" si="882">IF(ISBLANK(AD$1066),"N/A",IF(COUNTIFS(GD_Item_FiscalPeriod,AD$1066,GD_Item_Name,$B1068,GD_Update_Date,AD$1065)=0,"NR",SUMIFS(GD_Guidance_High,GD_Item_Name,$B1068,GD_Item_FiscalPeriod,AD$1066,GD_Update_Date,AD$1065)))</f>
        <v>NR</v>
      </c>
      <c r="AE1068" s="214" t="str">
        <f t="shared" si="882"/>
        <v>NR</v>
      </c>
      <c r="AF1068" s="214" t="str">
        <f t="shared" si="882"/>
        <v>NR</v>
      </c>
      <c r="AG1068" s="214" t="str">
        <f t="shared" si="882"/>
        <v>NR</v>
      </c>
      <c r="AH1068" s="214" t="str">
        <f t="shared" si="882"/>
        <v>NR</v>
      </c>
      <c r="AI1068" s="214" t="str">
        <f t="shared" si="882"/>
        <v>NR</v>
      </c>
      <c r="AJ1068" s="214" t="str">
        <f t="shared" si="882"/>
        <v>NR</v>
      </c>
      <c r="AK1068" s="214" t="str">
        <f t="shared" si="882"/>
        <v>NR</v>
      </c>
      <c r="AL1068" s="214" t="str">
        <f t="shared" si="882"/>
        <v>NR</v>
      </c>
      <c r="AM1068" s="214" t="str">
        <f t="shared" si="882"/>
        <v>NR</v>
      </c>
      <c r="AN1068" s="214">
        <f t="shared" si="882"/>
        <v>0.17</v>
      </c>
      <c r="AO1068" s="214">
        <f t="shared" si="882"/>
        <v>0.17</v>
      </c>
      <c r="AP1068" s="214">
        <f t="shared" si="882"/>
        <v>0.9</v>
      </c>
      <c r="AQ1068" s="214">
        <f t="shared" si="882"/>
        <v>0.7</v>
      </c>
      <c r="AR1068" s="214" t="str">
        <f t="shared" si="882"/>
        <v>NR</v>
      </c>
      <c r="AS1068" s="214" t="str">
        <f t="shared" si="882"/>
        <v>NR</v>
      </c>
      <c r="AT1068" s="214" t="str">
        <f t="shared" si="882"/>
        <v>NR</v>
      </c>
      <c r="AU1068" s="214" t="str">
        <f t="shared" si="882"/>
        <v>NR</v>
      </c>
      <c r="AV1068" s="214" t="str">
        <f t="shared" si="882"/>
        <v>NR</v>
      </c>
      <c r="AW1068" s="214">
        <f t="shared" si="882"/>
        <v>-0.1</v>
      </c>
      <c r="AX1068" s="214" t="str">
        <f t="shared" si="882"/>
        <v>NR</v>
      </c>
      <c r="AY1068" s="214" t="str">
        <f t="shared" si="882"/>
        <v>NR</v>
      </c>
      <c r="AZ1068" s="214" t="str">
        <f t="shared" si="882"/>
        <v>NR</v>
      </c>
      <c r="BA1068" s="214">
        <f t="shared" si="882"/>
        <v>-0.1</v>
      </c>
      <c r="BB1068" s="214">
        <f t="shared" si="882"/>
        <v>-7.0000000000000007E-2</v>
      </c>
      <c r="BC1068" s="214">
        <f t="shared" si="882"/>
        <v>-7.0000000000000007E-2</v>
      </c>
      <c r="BD1068" s="214">
        <f t="shared" si="882"/>
        <v>-7.0000000000000007E-2</v>
      </c>
      <c r="BE1068" s="214">
        <f t="shared" si="882"/>
        <v>0.09</v>
      </c>
      <c r="BF1068" s="214">
        <f t="shared" si="882"/>
        <v>0.06</v>
      </c>
      <c r="BG1068" s="214">
        <f t="shared" si="882"/>
        <v>0.03</v>
      </c>
      <c r="BH1068" s="214">
        <f t="shared" ref="BH1068:BM1068" si="883">IF(ISBLANK(BH$1066),"N/A",IF(COUNTIFS(GD_Item_FiscalPeriod,BH$1066,GD_Item_Name,$B1068,GD_Update_Date,BH$1065)=0,"NR",SUMIFS(GD_Guidance_High,GD_Item_Name,$B1068,GD_Item_FiscalPeriod,BH$1066,GD_Update_Date,BH$1065)))</f>
        <v>-2.5000000000000001E-2</v>
      </c>
      <c r="BI1068" s="214">
        <f t="shared" si="883"/>
        <v>-2.5000000000000001E-2</v>
      </c>
      <c r="BJ1068" s="1117">
        <f>IF(ISBLANK(BJ$1066),"N/A",IF(COUNTIFS(GD_Item_FiscalPeriod,BJ$1066,GD_Item_Name,$B1068,GD_Update_Date,BJ$1065)=0,"NR",SUMIFS(GD_Guidance_High,GD_Item_Name,$B1068,GD_Item_FiscalPeriod,BJ$1066,GD_Update_Date,BJ$1065)))</f>
        <v>0.03</v>
      </c>
      <c r="BK1068" s="214" t="str">
        <f t="shared" si="883"/>
        <v>N/A</v>
      </c>
      <c r="BL1068" s="214" t="str">
        <f t="shared" si="883"/>
        <v>N/A</v>
      </c>
      <c r="BM1068" s="214" t="str">
        <f t="shared" si="883"/>
        <v>N/A</v>
      </c>
      <c r="BN1068" s="214" t="str">
        <f t="shared" si="882"/>
        <v>N/A</v>
      </c>
      <c r="BO1068" s="214" t="str">
        <f t="shared" ref="BO1068:BV1068" si="884">IF(ISBLANK(BO$1066),"N/A",IF(COUNTIFS(GD_Item_FiscalPeriod,BO$1066,GD_Item_Name,$B1068,GD_Update_Date,BO$1065)=0,"NR",SUMIFS(GD_Guidance_High,GD_Item_Name,$B1068,GD_Item_FiscalPeriod,BO$1066,GD_Update_Date,BO$1065)))</f>
        <v>N/A</v>
      </c>
      <c r="BP1068" s="214" t="str">
        <f t="shared" si="884"/>
        <v>N/A</v>
      </c>
      <c r="BQ1068" s="214" t="str">
        <f t="shared" si="884"/>
        <v>N/A</v>
      </c>
      <c r="BR1068" s="214" t="str">
        <f t="shared" si="884"/>
        <v>N/A</v>
      </c>
      <c r="BS1068" s="214" t="str">
        <f t="shared" si="884"/>
        <v>N/A</v>
      </c>
      <c r="BT1068" s="214" t="str">
        <f t="shared" si="884"/>
        <v>N/A</v>
      </c>
      <c r="BU1068" s="214" t="str">
        <f t="shared" si="884"/>
        <v>N/A</v>
      </c>
      <c r="BV1068" s="1595" t="str">
        <f t="shared" si="884"/>
        <v>N/A</v>
      </c>
      <c r="BW1068" s="223"/>
    </row>
    <row r="1069" spans="1:75" x14ac:dyDescent="0.5">
      <c r="A1069" s="1593" t="s">
        <v>2723</v>
      </c>
      <c r="B1069" s="443" t="s">
        <v>2721</v>
      </c>
      <c r="C1069" s="1594"/>
      <c r="D1069" s="1594"/>
      <c r="E1069" s="214"/>
      <c r="F1069" s="214"/>
      <c r="G1069" s="214"/>
      <c r="H1069" s="214"/>
      <c r="I1069" s="214"/>
      <c r="J1069" s="214"/>
      <c r="K1069" s="214"/>
      <c r="L1069" s="214"/>
      <c r="M1069" s="214"/>
      <c r="N1069" s="214"/>
      <c r="O1069" s="214"/>
      <c r="P1069" s="214"/>
      <c r="Q1069" s="214"/>
      <c r="R1069" s="214"/>
      <c r="S1069" s="214"/>
      <c r="T1069" s="214"/>
      <c r="U1069" s="214"/>
      <c r="V1069" s="214"/>
      <c r="W1069" s="214"/>
      <c r="X1069" s="214"/>
      <c r="Y1069" s="214"/>
      <c r="Z1069" s="214"/>
      <c r="AA1069" s="214"/>
      <c r="AB1069" s="214"/>
      <c r="AC1069" s="214"/>
      <c r="AD1069" s="214" t="str">
        <f t="shared" ref="AD1069:BN1069" si="885">IF(ISBLANK(AD$1066),"N/A",IF(COUNTIFS(GD_Item_FiscalPeriod,AD$1066,GD_Item_Name,$B1069,GD_Update_Date,AD$1065)=0,"NR",SUMIFS(GD_Guidance_Mid,GD_Item_Name,$B1069,GD_Item_FiscalPeriod,AD$1066,GD_Update_Date,AD$1065)))</f>
        <v>NR</v>
      </c>
      <c r="AE1069" s="214" t="str">
        <f t="shared" si="885"/>
        <v>NR</v>
      </c>
      <c r="AF1069" s="214" t="str">
        <f t="shared" si="885"/>
        <v>NR</v>
      </c>
      <c r="AG1069" s="214" t="str">
        <f t="shared" si="885"/>
        <v>NR</v>
      </c>
      <c r="AH1069" s="214" t="str">
        <f t="shared" si="885"/>
        <v>NR</v>
      </c>
      <c r="AI1069" s="214" t="str">
        <f t="shared" si="885"/>
        <v>NR</v>
      </c>
      <c r="AJ1069" s="214" t="str">
        <f t="shared" si="885"/>
        <v>NR</v>
      </c>
      <c r="AK1069" s="214" t="str">
        <f t="shared" si="885"/>
        <v>NR</v>
      </c>
      <c r="AL1069" s="214" t="str">
        <f t="shared" si="885"/>
        <v>NR</v>
      </c>
      <c r="AM1069" s="214" t="str">
        <f t="shared" si="885"/>
        <v>NR</v>
      </c>
      <c r="AN1069" s="214">
        <f t="shared" si="885"/>
        <v>0.16</v>
      </c>
      <c r="AO1069" s="214">
        <f t="shared" si="885"/>
        <v>0.16</v>
      </c>
      <c r="AP1069" s="214">
        <f t="shared" si="885"/>
        <v>0.55000000000000004</v>
      </c>
      <c r="AQ1069" s="214">
        <f t="shared" si="885"/>
        <v>0.44999999999999996</v>
      </c>
      <c r="AR1069" s="214" t="str">
        <f t="shared" si="885"/>
        <v>NR</v>
      </c>
      <c r="AS1069" s="214" t="str">
        <f t="shared" si="885"/>
        <v>NR</v>
      </c>
      <c r="AT1069" s="214" t="str">
        <f t="shared" si="885"/>
        <v>NR</v>
      </c>
      <c r="AU1069" s="214" t="str">
        <f t="shared" si="885"/>
        <v>NR</v>
      </c>
      <c r="AV1069" s="214" t="str">
        <f t="shared" si="885"/>
        <v>NR</v>
      </c>
      <c r="AW1069" s="214">
        <f t="shared" si="885"/>
        <v>-0.1</v>
      </c>
      <c r="AX1069" s="214" t="str">
        <f t="shared" si="885"/>
        <v>NR</v>
      </c>
      <c r="AY1069" s="214" t="str">
        <f t="shared" si="885"/>
        <v>NR</v>
      </c>
      <c r="AZ1069" s="214" t="str">
        <f t="shared" si="885"/>
        <v>NR</v>
      </c>
      <c r="BA1069" s="214">
        <f t="shared" si="885"/>
        <v>-0.1</v>
      </c>
      <c r="BB1069" s="214">
        <f t="shared" si="885"/>
        <v>-0.08</v>
      </c>
      <c r="BC1069" s="214">
        <f t="shared" si="885"/>
        <v>-0.08</v>
      </c>
      <c r="BD1069" s="214">
        <f t="shared" si="885"/>
        <v>-0.08</v>
      </c>
      <c r="BE1069" s="214">
        <f t="shared" si="885"/>
        <v>8.4999999999999992E-2</v>
      </c>
      <c r="BF1069" s="214">
        <f t="shared" si="885"/>
        <v>0.05</v>
      </c>
      <c r="BG1069" s="214">
        <f t="shared" si="885"/>
        <v>1.4999999999999999E-2</v>
      </c>
      <c r="BH1069" s="214">
        <f t="shared" ref="BH1069:BM1069" si="886">IF(ISBLANK(BH$1066),"N/A",IF(COUNTIFS(GD_Item_FiscalPeriod,BH$1066,GD_Item_Name,$B1069,GD_Update_Date,BH$1065)=0,"NR",SUMIFS(GD_Guidance_Mid,GD_Item_Name,$B1069,GD_Item_FiscalPeriod,BH$1066,GD_Update_Date,BH$1065)))</f>
        <v>-0.05</v>
      </c>
      <c r="BI1069" s="214">
        <f t="shared" si="886"/>
        <v>-0.05</v>
      </c>
      <c r="BJ1069" s="1117">
        <f>IF(ISBLANK(BJ$1066),"N/A",IF(COUNTIFS(GD_Item_FiscalPeriod,BJ$1066,GD_Item_Name,$B1069,GD_Update_Date,BJ$1065)=0,"NR",SUMIFS(GD_Guidance_Mid,GD_Item_Name,$B1069,GD_Item_FiscalPeriod,BJ$1066,GD_Update_Date,BJ$1065)))</f>
        <v>1.4999999999999999E-2</v>
      </c>
      <c r="BK1069" s="214" t="str">
        <f t="shared" si="886"/>
        <v>N/A</v>
      </c>
      <c r="BL1069" s="214" t="str">
        <f t="shared" si="886"/>
        <v>N/A</v>
      </c>
      <c r="BM1069" s="214" t="str">
        <f t="shared" si="886"/>
        <v>N/A</v>
      </c>
      <c r="BN1069" s="214" t="str">
        <f t="shared" si="885"/>
        <v>N/A</v>
      </c>
      <c r="BO1069" s="214" t="str">
        <f t="shared" ref="BO1069:BV1069" si="887">IF(ISBLANK(BO$1066),"N/A",IF(COUNTIFS(GD_Item_FiscalPeriod,BO$1066,GD_Item_Name,$B1069,GD_Update_Date,BO$1065)=0,"NR",SUMIFS(GD_Guidance_Mid,GD_Item_Name,$B1069,GD_Item_FiscalPeriod,BO$1066,GD_Update_Date,BO$1065)))</f>
        <v>N/A</v>
      </c>
      <c r="BP1069" s="214" t="str">
        <f t="shared" si="887"/>
        <v>N/A</v>
      </c>
      <c r="BQ1069" s="214" t="str">
        <f t="shared" si="887"/>
        <v>N/A</v>
      </c>
      <c r="BR1069" s="214" t="str">
        <f t="shared" si="887"/>
        <v>N/A</v>
      </c>
      <c r="BS1069" s="214" t="str">
        <f t="shared" si="887"/>
        <v>N/A</v>
      </c>
      <c r="BT1069" s="214" t="str">
        <f t="shared" si="887"/>
        <v>N/A</v>
      </c>
      <c r="BU1069" s="214" t="str">
        <f t="shared" si="887"/>
        <v>N/A</v>
      </c>
      <c r="BV1069" s="1595" t="str">
        <f t="shared" si="887"/>
        <v>N/A</v>
      </c>
      <c r="BW1069" s="223"/>
    </row>
    <row r="1070" spans="1:75" x14ac:dyDescent="0.5">
      <c r="A1070" s="1593" t="s">
        <v>2724</v>
      </c>
      <c r="B1070" s="443" t="s">
        <v>2717</v>
      </c>
      <c r="C1070" s="1594"/>
      <c r="D1070" s="1594"/>
      <c r="E1070" s="214"/>
      <c r="F1070" s="214"/>
      <c r="G1070" s="214"/>
      <c r="H1070" s="214"/>
      <c r="I1070" s="214"/>
      <c r="J1070" s="214"/>
      <c r="K1070" s="214"/>
      <c r="L1070" s="214"/>
      <c r="M1070" s="214"/>
      <c r="N1070" s="214"/>
      <c r="O1070" s="214"/>
      <c r="P1070" s="214"/>
      <c r="Q1070" s="214"/>
      <c r="R1070" s="214"/>
      <c r="S1070" s="214"/>
      <c r="T1070" s="214"/>
      <c r="U1070" s="214"/>
      <c r="V1070" s="214"/>
      <c r="W1070" s="214"/>
      <c r="X1070" s="214"/>
      <c r="Y1070" s="214"/>
      <c r="Z1070" s="214"/>
      <c r="AA1070" s="214"/>
      <c r="AB1070" s="214"/>
      <c r="AC1070" s="214"/>
      <c r="AD1070" s="214" t="str">
        <f t="shared" ref="AD1070:BN1070" si="888">IF(ISBLANK(AD$1066),"N/A",IF(COUNTIFS(GD_Item_FiscalPeriod,AD$1066,GD_Item_Name,$B1070,GD_Update_Date,AD$1065)=0,"NR",SUMIFS(GD_Guidance_Low,GD_Item_Name,$B1070,GD_Item_FiscalPeriod,AD$1066,GD_Update_Date,AD$1065)))</f>
        <v>NR</v>
      </c>
      <c r="AE1070" s="214" t="str">
        <f t="shared" si="888"/>
        <v>NR</v>
      </c>
      <c r="AF1070" s="214" t="str">
        <f t="shared" si="888"/>
        <v>NR</v>
      </c>
      <c r="AG1070" s="214" t="str">
        <f t="shared" si="888"/>
        <v>NR</v>
      </c>
      <c r="AH1070" s="214" t="str">
        <f t="shared" si="888"/>
        <v>NR</v>
      </c>
      <c r="AI1070" s="214">
        <f t="shared" si="888"/>
        <v>0.23</v>
      </c>
      <c r="AJ1070" s="214">
        <f t="shared" si="888"/>
        <v>0.23</v>
      </c>
      <c r="AK1070" s="214" t="str">
        <f t="shared" si="888"/>
        <v>NR</v>
      </c>
      <c r="AL1070" s="214" t="str">
        <f t="shared" si="888"/>
        <v>NR</v>
      </c>
      <c r="AM1070" s="214" t="str">
        <f t="shared" si="888"/>
        <v>NR</v>
      </c>
      <c r="AN1070" s="214">
        <f t="shared" si="888"/>
        <v>0.23</v>
      </c>
      <c r="AO1070" s="214">
        <f t="shared" si="888"/>
        <v>0.23</v>
      </c>
      <c r="AP1070" s="214">
        <f t="shared" si="888"/>
        <v>0.26</v>
      </c>
      <c r="AQ1070" s="214">
        <f t="shared" si="888"/>
        <v>0.26</v>
      </c>
      <c r="AR1070" s="214">
        <f t="shared" si="888"/>
        <v>0.26</v>
      </c>
      <c r="AS1070" s="214">
        <f t="shared" si="888"/>
        <v>0.26</v>
      </c>
      <c r="AT1070" s="214">
        <f t="shared" si="888"/>
        <v>0.26</v>
      </c>
      <c r="AU1070" s="214">
        <f t="shared" si="888"/>
        <v>0.27</v>
      </c>
      <c r="AV1070" s="214">
        <f t="shared" si="888"/>
        <v>0.27</v>
      </c>
      <c r="AW1070" s="214">
        <f t="shared" si="888"/>
        <v>0.27</v>
      </c>
      <c r="AX1070" s="214">
        <f t="shared" si="888"/>
        <v>0.27</v>
      </c>
      <c r="AY1070" s="214">
        <f t="shared" si="888"/>
        <v>0.27</v>
      </c>
      <c r="AZ1070" s="214">
        <f t="shared" si="888"/>
        <v>0.27</v>
      </c>
      <c r="BA1070" s="214">
        <f t="shared" si="888"/>
        <v>0.27</v>
      </c>
      <c r="BB1070" s="214">
        <f t="shared" si="888"/>
        <v>0.28000000000000003</v>
      </c>
      <c r="BC1070" s="214">
        <f t="shared" si="888"/>
        <v>0.28000000000000003</v>
      </c>
      <c r="BD1070" s="214">
        <f t="shared" si="888"/>
        <v>0.28000000000000003</v>
      </c>
      <c r="BE1070" s="214">
        <f t="shared" si="888"/>
        <v>0.28999999999999998</v>
      </c>
      <c r="BF1070" s="214">
        <f t="shared" si="888"/>
        <v>0.29499999999999998</v>
      </c>
      <c r="BG1070" s="214">
        <f t="shared" si="888"/>
        <v>0.3</v>
      </c>
      <c r="BH1070" s="214">
        <f t="shared" ref="BH1070:BM1070" si="889">IF(ISBLANK(BH$1066),"N/A",IF(COUNTIFS(GD_Item_FiscalPeriod,BH$1066,GD_Item_Name,$B1070,GD_Update_Date,BH$1065)=0,"NR",SUMIFS(GD_Guidance_Low,GD_Item_Name,$B1070,GD_Item_FiscalPeriod,BH$1066,GD_Update_Date,BH$1065)))</f>
        <v>0.3</v>
      </c>
      <c r="BI1070" s="214">
        <f t="shared" si="889"/>
        <v>0.3</v>
      </c>
      <c r="BJ1070" s="1117">
        <f>IF(ISBLANK(BJ$1066),"N/A",IF(COUNTIFS(GD_Item_FiscalPeriod,BJ$1066,GD_Item_Name,$B1070,GD_Update_Date,BJ$1065)=0,"NR",SUMIFS(GD_Guidance_Low,GD_Item_Name,$B1070,GD_Item_FiscalPeriod,BJ$1066,GD_Update_Date,BJ$1065)))</f>
        <v>0.3</v>
      </c>
      <c r="BK1070" s="214" t="str">
        <f t="shared" si="889"/>
        <v>N/A</v>
      </c>
      <c r="BL1070" s="214" t="str">
        <f t="shared" si="889"/>
        <v>N/A</v>
      </c>
      <c r="BM1070" s="214" t="str">
        <f t="shared" si="889"/>
        <v>N/A</v>
      </c>
      <c r="BN1070" s="214" t="str">
        <f t="shared" si="888"/>
        <v>N/A</v>
      </c>
      <c r="BO1070" s="214" t="str">
        <f t="shared" ref="BO1070:BV1070" si="890">IF(ISBLANK(BO$1066),"N/A",IF(COUNTIFS(GD_Item_FiscalPeriod,BO$1066,GD_Item_Name,$B1070,GD_Update_Date,BO$1065)=0,"NR",SUMIFS(GD_Guidance_Low,GD_Item_Name,$B1070,GD_Item_FiscalPeriod,BO$1066,GD_Update_Date,BO$1065)))</f>
        <v>N/A</v>
      </c>
      <c r="BP1070" s="214" t="str">
        <f t="shared" si="890"/>
        <v>N/A</v>
      </c>
      <c r="BQ1070" s="214" t="str">
        <f t="shared" si="890"/>
        <v>N/A</v>
      </c>
      <c r="BR1070" s="214" t="str">
        <f t="shared" si="890"/>
        <v>N/A</v>
      </c>
      <c r="BS1070" s="214" t="str">
        <f t="shared" si="890"/>
        <v>N/A</v>
      </c>
      <c r="BT1070" s="214" t="str">
        <f t="shared" si="890"/>
        <v>N/A</v>
      </c>
      <c r="BU1070" s="214" t="str">
        <f t="shared" si="890"/>
        <v>N/A</v>
      </c>
      <c r="BV1070" s="1595" t="str">
        <f t="shared" si="890"/>
        <v>N/A</v>
      </c>
      <c r="BW1070" s="223"/>
    </row>
    <row r="1071" spans="1:75" x14ac:dyDescent="0.5">
      <c r="A1071" s="1593" t="s">
        <v>2725</v>
      </c>
      <c r="B1071" s="443" t="s">
        <v>2717</v>
      </c>
      <c r="C1071" s="1594"/>
      <c r="D1071" s="1594"/>
      <c r="E1071" s="214"/>
      <c r="F1071" s="214"/>
      <c r="G1071" s="214"/>
      <c r="H1071" s="214"/>
      <c r="I1071" s="214"/>
      <c r="J1071" s="214"/>
      <c r="K1071" s="214"/>
      <c r="L1071" s="214"/>
      <c r="M1071" s="214"/>
      <c r="N1071" s="214"/>
      <c r="O1071" s="214"/>
      <c r="P1071" s="214"/>
      <c r="Q1071" s="214"/>
      <c r="R1071" s="214"/>
      <c r="S1071" s="214"/>
      <c r="T1071" s="214"/>
      <c r="U1071" s="214"/>
      <c r="V1071" s="214"/>
      <c r="W1071" s="214"/>
      <c r="X1071" s="214"/>
      <c r="Y1071" s="214"/>
      <c r="Z1071" s="214"/>
      <c r="AA1071" s="214"/>
      <c r="AB1071" s="214"/>
      <c r="AC1071" s="214"/>
      <c r="AD1071" s="214" t="str">
        <f t="shared" ref="AD1071:BN1071" si="891">IF(ISBLANK(AD$1066),"N/A",IF(COUNTIFS(GD_Item_FiscalPeriod,AD$1066,GD_Item_Name,$B1071,GD_Update_Date,AD$1065)=0,"NR",SUMIFS(GD_Guidance_High,GD_Item_Name,$B1071,GD_Item_FiscalPeriod,AD$1066,GD_Update_Date,AD$1065)))</f>
        <v>NR</v>
      </c>
      <c r="AE1071" s="214" t="str">
        <f t="shared" si="891"/>
        <v>NR</v>
      </c>
      <c r="AF1071" s="214" t="str">
        <f t="shared" si="891"/>
        <v>NR</v>
      </c>
      <c r="AG1071" s="214" t="str">
        <f t="shared" si="891"/>
        <v>NR</v>
      </c>
      <c r="AH1071" s="214" t="str">
        <f t="shared" si="891"/>
        <v>NR</v>
      </c>
      <c r="AI1071" s="214">
        <f t="shared" si="891"/>
        <v>0.24</v>
      </c>
      <c r="AJ1071" s="214">
        <f t="shared" si="891"/>
        <v>0.24</v>
      </c>
      <c r="AK1071" s="214" t="str">
        <f t="shared" si="891"/>
        <v>NR</v>
      </c>
      <c r="AL1071" s="214" t="str">
        <f t="shared" si="891"/>
        <v>NR</v>
      </c>
      <c r="AM1071" s="214" t="str">
        <f t="shared" si="891"/>
        <v>NR</v>
      </c>
      <c r="AN1071" s="214">
        <f t="shared" si="891"/>
        <v>0.24</v>
      </c>
      <c r="AO1071" s="214">
        <f t="shared" si="891"/>
        <v>0.24</v>
      </c>
      <c r="AP1071" s="214">
        <f t="shared" si="891"/>
        <v>0.26</v>
      </c>
      <c r="AQ1071" s="214">
        <f t="shared" si="891"/>
        <v>0.27</v>
      </c>
      <c r="AR1071" s="214">
        <f t="shared" si="891"/>
        <v>0.28000000000000003</v>
      </c>
      <c r="AS1071" s="214">
        <f t="shared" si="891"/>
        <v>0.28000000000000003</v>
      </c>
      <c r="AT1071" s="214">
        <f t="shared" si="891"/>
        <v>0.28000000000000003</v>
      </c>
      <c r="AU1071" s="214">
        <f t="shared" si="891"/>
        <v>0.28000000000000003</v>
      </c>
      <c r="AV1071" s="214">
        <f t="shared" si="891"/>
        <v>0.28000000000000003</v>
      </c>
      <c r="AW1071" s="214">
        <f t="shared" si="891"/>
        <v>0.28000000000000003</v>
      </c>
      <c r="AX1071" s="214">
        <f t="shared" si="891"/>
        <v>0.28000000000000003</v>
      </c>
      <c r="AY1071" s="214">
        <f t="shared" si="891"/>
        <v>0.28000000000000003</v>
      </c>
      <c r="AZ1071" s="214">
        <f t="shared" si="891"/>
        <v>0.28000000000000003</v>
      </c>
      <c r="BA1071" s="214">
        <f t="shared" si="891"/>
        <v>0.28000000000000003</v>
      </c>
      <c r="BB1071" s="214">
        <f t="shared" si="891"/>
        <v>0.28999999999999998</v>
      </c>
      <c r="BC1071" s="214">
        <f t="shared" si="891"/>
        <v>0.28999999999999998</v>
      </c>
      <c r="BD1071" s="214">
        <f t="shared" si="891"/>
        <v>0.28999999999999998</v>
      </c>
      <c r="BE1071" s="214">
        <f t="shared" si="891"/>
        <v>0.3</v>
      </c>
      <c r="BF1071" s="214">
        <f t="shared" si="891"/>
        <v>0.30499999999999999</v>
      </c>
      <c r="BG1071" s="214">
        <f t="shared" si="891"/>
        <v>0.31</v>
      </c>
      <c r="BH1071" s="214">
        <f t="shared" ref="BH1071:BM1071" si="892">IF(ISBLANK(BH$1066),"N/A",IF(COUNTIFS(GD_Item_FiscalPeriod,BH$1066,GD_Item_Name,$B1071,GD_Update_Date,BH$1065)=0,"NR",SUMIFS(GD_Guidance_High,GD_Item_Name,$B1071,GD_Item_FiscalPeriod,BH$1066,GD_Update_Date,BH$1065)))</f>
        <v>0.31</v>
      </c>
      <c r="BI1071" s="214">
        <f t="shared" si="892"/>
        <v>0.31</v>
      </c>
      <c r="BJ1071" s="1117">
        <f>IF(ISBLANK(BJ$1066),"N/A",IF(COUNTIFS(GD_Item_FiscalPeriod,BJ$1066,GD_Item_Name,$B1071,GD_Update_Date,BJ$1065)=0,"NR",SUMIFS(GD_Guidance_High,GD_Item_Name,$B1071,GD_Item_FiscalPeriod,BJ$1066,GD_Update_Date,BJ$1065)))</f>
        <v>0.31</v>
      </c>
      <c r="BK1071" s="214" t="str">
        <f t="shared" si="892"/>
        <v>N/A</v>
      </c>
      <c r="BL1071" s="214" t="str">
        <f t="shared" si="892"/>
        <v>N/A</v>
      </c>
      <c r="BM1071" s="214" t="str">
        <f t="shared" si="892"/>
        <v>N/A</v>
      </c>
      <c r="BN1071" s="214" t="str">
        <f t="shared" si="891"/>
        <v>N/A</v>
      </c>
      <c r="BO1071" s="214" t="str">
        <f t="shared" ref="BO1071:BV1071" si="893">IF(ISBLANK(BO$1066),"N/A",IF(COUNTIFS(GD_Item_FiscalPeriod,BO$1066,GD_Item_Name,$B1071,GD_Update_Date,BO$1065)=0,"NR",SUMIFS(GD_Guidance_High,GD_Item_Name,$B1071,GD_Item_FiscalPeriod,BO$1066,GD_Update_Date,BO$1065)))</f>
        <v>N/A</v>
      </c>
      <c r="BP1071" s="214" t="str">
        <f t="shared" si="893"/>
        <v>N/A</v>
      </c>
      <c r="BQ1071" s="214" t="str">
        <f t="shared" si="893"/>
        <v>N/A</v>
      </c>
      <c r="BR1071" s="214" t="str">
        <f t="shared" si="893"/>
        <v>N/A</v>
      </c>
      <c r="BS1071" s="214" t="str">
        <f t="shared" si="893"/>
        <v>N/A</v>
      </c>
      <c r="BT1071" s="214" t="str">
        <f t="shared" si="893"/>
        <v>N/A</v>
      </c>
      <c r="BU1071" s="214" t="str">
        <f t="shared" si="893"/>
        <v>N/A</v>
      </c>
      <c r="BV1071" s="1595" t="str">
        <f t="shared" si="893"/>
        <v>N/A</v>
      </c>
      <c r="BW1071" s="223"/>
    </row>
    <row r="1072" spans="1:75" x14ac:dyDescent="0.5">
      <c r="A1072" s="1593" t="s">
        <v>2726</v>
      </c>
      <c r="B1072" s="443" t="s">
        <v>2717</v>
      </c>
      <c r="C1072" s="1594"/>
      <c r="D1072" s="1594"/>
      <c r="E1072" s="214"/>
      <c r="F1072" s="214"/>
      <c r="G1072" s="214"/>
      <c r="H1072" s="214"/>
      <c r="I1072" s="214"/>
      <c r="J1072" s="214"/>
      <c r="K1072" s="214"/>
      <c r="L1072" s="214"/>
      <c r="M1072" s="214"/>
      <c r="N1072" s="214"/>
      <c r="O1072" s="214"/>
      <c r="P1072" s="214"/>
      <c r="Q1072" s="214"/>
      <c r="R1072" s="214"/>
      <c r="S1072" s="214"/>
      <c r="T1072" s="214"/>
      <c r="U1072" s="214"/>
      <c r="V1072" s="214"/>
      <c r="W1072" s="214"/>
      <c r="X1072" s="214"/>
      <c r="Y1072" s="214"/>
      <c r="Z1072" s="214"/>
      <c r="AA1072" s="214"/>
      <c r="AB1072" s="214"/>
      <c r="AC1072" s="214"/>
      <c r="AD1072" s="214" t="str">
        <f t="shared" ref="AD1072:BN1072" si="894">IF(ISBLANK(AD$1066),"N/A",IF(COUNTIFS(GD_Item_FiscalPeriod,AD$1066,GD_Item_Name,$B1072,GD_Update_Date,AD$1065)=0,"NR",SUMIFS(GD_Guidance_Mid,GD_Item_Name,$B1072,GD_Item_FiscalPeriod,AD$1066,GD_Update_Date,AD$1065)))</f>
        <v>NR</v>
      </c>
      <c r="AE1072" s="214" t="str">
        <f t="shared" si="894"/>
        <v>NR</v>
      </c>
      <c r="AF1072" s="214" t="str">
        <f t="shared" si="894"/>
        <v>NR</v>
      </c>
      <c r="AG1072" s="214" t="str">
        <f t="shared" si="894"/>
        <v>NR</v>
      </c>
      <c r="AH1072" s="214" t="str">
        <f t="shared" si="894"/>
        <v>NR</v>
      </c>
      <c r="AI1072" s="214">
        <f t="shared" si="894"/>
        <v>0.23499999999999999</v>
      </c>
      <c r="AJ1072" s="214">
        <f t="shared" si="894"/>
        <v>0.23499999999999999</v>
      </c>
      <c r="AK1072" s="214" t="str">
        <f t="shared" si="894"/>
        <v>NR</v>
      </c>
      <c r="AL1072" s="214" t="str">
        <f t="shared" si="894"/>
        <v>NR</v>
      </c>
      <c r="AM1072" s="214" t="str">
        <f t="shared" si="894"/>
        <v>NR</v>
      </c>
      <c r="AN1072" s="214">
        <f t="shared" si="894"/>
        <v>0.23499999999999999</v>
      </c>
      <c r="AO1072" s="214">
        <f t="shared" si="894"/>
        <v>0.23499999999999999</v>
      </c>
      <c r="AP1072" s="214">
        <f t="shared" si="894"/>
        <v>0.26</v>
      </c>
      <c r="AQ1072" s="214">
        <f t="shared" si="894"/>
        <v>0.26500000000000001</v>
      </c>
      <c r="AR1072" s="214">
        <f t="shared" si="894"/>
        <v>0.27</v>
      </c>
      <c r="AS1072" s="214">
        <f t="shared" si="894"/>
        <v>0.27</v>
      </c>
      <c r="AT1072" s="214">
        <f t="shared" si="894"/>
        <v>0.27</v>
      </c>
      <c r="AU1072" s="214">
        <f t="shared" si="894"/>
        <v>0.27500000000000002</v>
      </c>
      <c r="AV1072" s="214">
        <f t="shared" si="894"/>
        <v>0.27500000000000002</v>
      </c>
      <c r="AW1072" s="214">
        <f t="shared" si="894"/>
        <v>0.27500000000000002</v>
      </c>
      <c r="AX1072" s="214">
        <f t="shared" si="894"/>
        <v>0.27500000000000002</v>
      </c>
      <c r="AY1072" s="214">
        <f t="shared" si="894"/>
        <v>0.27500000000000002</v>
      </c>
      <c r="AZ1072" s="214">
        <f t="shared" si="894"/>
        <v>0.27500000000000002</v>
      </c>
      <c r="BA1072" s="214">
        <f t="shared" si="894"/>
        <v>0.27500000000000002</v>
      </c>
      <c r="BB1072" s="214">
        <f t="shared" si="894"/>
        <v>0.28500000000000003</v>
      </c>
      <c r="BC1072" s="214">
        <f t="shared" si="894"/>
        <v>0.28500000000000003</v>
      </c>
      <c r="BD1072" s="214">
        <f t="shared" si="894"/>
        <v>0.28500000000000003</v>
      </c>
      <c r="BE1072" s="214">
        <f t="shared" si="894"/>
        <v>0.29499999999999998</v>
      </c>
      <c r="BF1072" s="214">
        <f t="shared" si="894"/>
        <v>0.3</v>
      </c>
      <c r="BG1072" s="214">
        <f t="shared" si="894"/>
        <v>0.30499999999999999</v>
      </c>
      <c r="BH1072" s="214">
        <f t="shared" ref="BH1072:BM1072" si="895">IF(ISBLANK(BH$1066),"N/A",IF(COUNTIFS(GD_Item_FiscalPeriod,BH$1066,GD_Item_Name,$B1072,GD_Update_Date,BH$1065)=0,"NR",SUMIFS(GD_Guidance_Mid,GD_Item_Name,$B1072,GD_Item_FiscalPeriod,BH$1066,GD_Update_Date,BH$1065)))</f>
        <v>0.30499999999999999</v>
      </c>
      <c r="BI1072" s="214">
        <f t="shared" si="895"/>
        <v>0.30499999999999999</v>
      </c>
      <c r="BJ1072" s="1117">
        <f>IF(ISBLANK(BJ$1066),"N/A",IF(COUNTIFS(GD_Item_FiscalPeriod,BJ$1066,GD_Item_Name,$B1072,GD_Update_Date,BJ$1065)=0,"NR",SUMIFS(GD_Guidance_Mid,GD_Item_Name,$B1072,GD_Item_FiscalPeriod,BJ$1066,GD_Update_Date,BJ$1065)))</f>
        <v>0.30499999999999999</v>
      </c>
      <c r="BK1072" s="214" t="str">
        <f t="shared" si="895"/>
        <v>N/A</v>
      </c>
      <c r="BL1072" s="214" t="str">
        <f t="shared" si="895"/>
        <v>N/A</v>
      </c>
      <c r="BM1072" s="214" t="str">
        <f t="shared" si="895"/>
        <v>N/A</v>
      </c>
      <c r="BN1072" s="214" t="str">
        <f t="shared" si="894"/>
        <v>N/A</v>
      </c>
      <c r="BO1072" s="214" t="str">
        <f t="shared" ref="BO1072:BV1072" si="896">IF(ISBLANK(BO$1066),"N/A",IF(COUNTIFS(GD_Item_FiscalPeriod,BO$1066,GD_Item_Name,$B1072,GD_Update_Date,BO$1065)=0,"NR",SUMIFS(GD_Guidance_Mid,GD_Item_Name,$B1072,GD_Item_FiscalPeriod,BO$1066,GD_Update_Date,BO$1065)))</f>
        <v>N/A</v>
      </c>
      <c r="BP1072" s="214" t="str">
        <f t="shared" si="896"/>
        <v>N/A</v>
      </c>
      <c r="BQ1072" s="214" t="str">
        <f t="shared" si="896"/>
        <v>N/A</v>
      </c>
      <c r="BR1072" s="214" t="str">
        <f t="shared" si="896"/>
        <v>N/A</v>
      </c>
      <c r="BS1072" s="214" t="str">
        <f t="shared" si="896"/>
        <v>N/A</v>
      </c>
      <c r="BT1072" s="214" t="str">
        <f t="shared" si="896"/>
        <v>N/A</v>
      </c>
      <c r="BU1072" s="214" t="str">
        <f t="shared" si="896"/>
        <v>N/A</v>
      </c>
      <c r="BV1072" s="1595" t="str">
        <f t="shared" si="896"/>
        <v>N/A</v>
      </c>
      <c r="BW1072" s="223"/>
    </row>
    <row r="1073" spans="1:75" x14ac:dyDescent="0.5">
      <c r="A1073" s="1593" t="s">
        <v>2727</v>
      </c>
      <c r="B1073" s="443" t="s">
        <v>1594</v>
      </c>
      <c r="C1073" s="1594"/>
      <c r="D1073" s="1594"/>
      <c r="E1073" s="214"/>
      <c r="F1073" s="214"/>
      <c r="G1073" s="214"/>
      <c r="H1073" s="214"/>
      <c r="I1073" s="214"/>
      <c r="J1073" s="214"/>
      <c r="K1073" s="214"/>
      <c r="L1073" s="214"/>
      <c r="M1073" s="214"/>
      <c r="N1073" s="214"/>
      <c r="O1073" s="214"/>
      <c r="P1073" s="214"/>
      <c r="Q1073" s="214"/>
      <c r="R1073" s="214"/>
      <c r="S1073" s="214"/>
      <c r="T1073" s="214"/>
      <c r="U1073" s="214"/>
      <c r="V1073" s="214"/>
      <c r="W1073" s="214"/>
      <c r="X1073" s="214"/>
      <c r="Y1073" s="214"/>
      <c r="Z1073" s="214"/>
      <c r="AA1073" s="214"/>
      <c r="AB1073" s="214"/>
      <c r="AC1073" s="214"/>
      <c r="AD1073" s="214" t="str">
        <f t="shared" ref="AD1073:BN1073" si="897">IF(ISBLANK(AD$1066),"N/A",IF(COUNTIFS(GD_Item_FiscalPeriod,AD$1066,GD_Item_Name,$B1073,GD_Update_Date,AD$1065)=0,"NR",SUMIFS(GD_Guidance_Low,GD_Item_Name,$B1073,GD_Item_FiscalPeriod,AD$1066,GD_Update_Date,AD$1065)))</f>
        <v>NR</v>
      </c>
      <c r="AE1073" s="214" t="str">
        <f t="shared" si="897"/>
        <v>NR</v>
      </c>
      <c r="AF1073" s="214" t="str">
        <f t="shared" si="897"/>
        <v>NR</v>
      </c>
      <c r="AG1073" s="214" t="str">
        <f t="shared" si="897"/>
        <v>NR</v>
      </c>
      <c r="AH1073" s="214" t="str">
        <f t="shared" si="897"/>
        <v>NR</v>
      </c>
      <c r="AI1073" s="214" t="str">
        <f t="shared" si="897"/>
        <v>NR</v>
      </c>
      <c r="AJ1073" s="214" t="str">
        <f t="shared" si="897"/>
        <v>NR</v>
      </c>
      <c r="AK1073" s="214" t="str">
        <f t="shared" si="897"/>
        <v>NR</v>
      </c>
      <c r="AL1073" s="214" t="str">
        <f t="shared" si="897"/>
        <v>NR</v>
      </c>
      <c r="AM1073" s="214" t="str">
        <f t="shared" si="897"/>
        <v>NR</v>
      </c>
      <c r="AN1073" s="214" t="str">
        <f t="shared" si="897"/>
        <v>NR</v>
      </c>
      <c r="AO1073" s="214" t="str">
        <f t="shared" si="897"/>
        <v>NR</v>
      </c>
      <c r="AP1073" s="214" t="str">
        <f t="shared" si="897"/>
        <v>NR</v>
      </c>
      <c r="AQ1073" s="214" t="str">
        <f t="shared" si="897"/>
        <v>NR</v>
      </c>
      <c r="AR1073" s="214" t="str">
        <f t="shared" si="897"/>
        <v>NR</v>
      </c>
      <c r="AS1073" s="214" t="str">
        <f t="shared" si="897"/>
        <v>NR</v>
      </c>
      <c r="AT1073" s="214" t="str">
        <f t="shared" si="897"/>
        <v>NR</v>
      </c>
      <c r="AU1073" s="214" t="str">
        <f t="shared" si="897"/>
        <v>NR</v>
      </c>
      <c r="AV1073" s="214" t="str">
        <f t="shared" si="897"/>
        <v>NR</v>
      </c>
      <c r="AW1073" s="214" t="str">
        <f t="shared" si="897"/>
        <v>NR</v>
      </c>
      <c r="AX1073" s="214">
        <f t="shared" si="897"/>
        <v>-0.05</v>
      </c>
      <c r="AY1073" s="214">
        <f t="shared" si="897"/>
        <v>-0.05</v>
      </c>
      <c r="AZ1073" s="214">
        <f t="shared" si="897"/>
        <v>-3.7999999999999999E-2</v>
      </c>
      <c r="BA1073" s="214">
        <f t="shared" si="897"/>
        <v>-0.05</v>
      </c>
      <c r="BB1073" s="214">
        <f t="shared" si="897"/>
        <v>-0.03</v>
      </c>
      <c r="BC1073" s="214">
        <f t="shared" si="897"/>
        <v>-0.03</v>
      </c>
      <c r="BD1073" s="214">
        <f t="shared" si="897"/>
        <v>-0.03</v>
      </c>
      <c r="BE1073" s="214">
        <f t="shared" si="897"/>
        <v>5.0000000000000001E-3</v>
      </c>
      <c r="BF1073" s="214">
        <f t="shared" si="897"/>
        <v>0.02</v>
      </c>
      <c r="BG1073" s="214">
        <f t="shared" si="897"/>
        <v>0</v>
      </c>
      <c r="BH1073" s="214">
        <f t="shared" ref="BH1073:BM1073" si="898">IF(ISBLANK(BH$1066),"N/A",IF(COUNTIFS(GD_Item_FiscalPeriod,BH$1066,GD_Item_Name,$B1073,GD_Update_Date,BH$1065)=0,"NR",SUMIFS(GD_Guidance_Low,GD_Item_Name,$B1073,GD_Item_FiscalPeriod,BH$1066,GD_Update_Date,BH$1065)))</f>
        <v>0</v>
      </c>
      <c r="BI1073" s="214">
        <f t="shared" si="898"/>
        <v>0</v>
      </c>
      <c r="BJ1073" s="1117">
        <f>IF(ISBLANK(BJ$1066),"N/A",IF(COUNTIFS(GD_Item_FiscalPeriod,BJ$1066,GD_Item_Name,$B1073,GD_Update_Date,BJ$1065)=0,"NR",SUMIFS(GD_Guidance_Low,GD_Item_Name,$B1073,GD_Item_FiscalPeriod,BJ$1066,GD_Update_Date,BJ$1065)))</f>
        <v>0.04</v>
      </c>
      <c r="BK1073" s="214" t="str">
        <f t="shared" si="898"/>
        <v>N/A</v>
      </c>
      <c r="BL1073" s="214" t="str">
        <f t="shared" si="898"/>
        <v>N/A</v>
      </c>
      <c r="BM1073" s="214" t="str">
        <f t="shared" si="898"/>
        <v>N/A</v>
      </c>
      <c r="BN1073" s="214" t="str">
        <f t="shared" si="897"/>
        <v>N/A</v>
      </c>
      <c r="BO1073" s="214" t="str">
        <f t="shared" ref="BO1073:BV1073" si="899">IF(ISBLANK(BO$1066),"N/A",IF(COUNTIFS(GD_Item_FiscalPeriod,BO$1066,GD_Item_Name,$B1073,GD_Update_Date,BO$1065)=0,"NR",SUMIFS(GD_Guidance_Low,GD_Item_Name,$B1073,GD_Item_FiscalPeriod,BO$1066,GD_Update_Date,BO$1065)))</f>
        <v>N/A</v>
      </c>
      <c r="BP1073" s="214" t="str">
        <f t="shared" si="899"/>
        <v>N/A</v>
      </c>
      <c r="BQ1073" s="214" t="str">
        <f t="shared" si="899"/>
        <v>N/A</v>
      </c>
      <c r="BR1073" s="214" t="str">
        <f t="shared" si="899"/>
        <v>N/A</v>
      </c>
      <c r="BS1073" s="214" t="str">
        <f t="shared" si="899"/>
        <v>N/A</v>
      </c>
      <c r="BT1073" s="214" t="str">
        <f t="shared" si="899"/>
        <v>N/A</v>
      </c>
      <c r="BU1073" s="214" t="str">
        <f t="shared" si="899"/>
        <v>N/A</v>
      </c>
      <c r="BV1073" s="1595" t="str">
        <f t="shared" si="899"/>
        <v>N/A</v>
      </c>
      <c r="BW1073" s="223"/>
    </row>
    <row r="1074" spans="1:75" x14ac:dyDescent="0.5">
      <c r="A1074" s="1593" t="s">
        <v>2728</v>
      </c>
      <c r="B1074" s="443" t="s">
        <v>1594</v>
      </c>
      <c r="C1074" s="1594"/>
      <c r="D1074" s="1594"/>
      <c r="E1074" s="214"/>
      <c r="F1074" s="214"/>
      <c r="G1074" s="214"/>
      <c r="H1074" s="214"/>
      <c r="I1074" s="214"/>
      <c r="J1074" s="214"/>
      <c r="K1074" s="214"/>
      <c r="L1074" s="214"/>
      <c r="M1074" s="214"/>
      <c r="N1074" s="214"/>
      <c r="O1074" s="214"/>
      <c r="P1074" s="214"/>
      <c r="Q1074" s="214"/>
      <c r="R1074" s="214"/>
      <c r="S1074" s="214"/>
      <c r="T1074" s="214"/>
      <c r="U1074" s="214"/>
      <c r="V1074" s="214"/>
      <c r="W1074" s="214"/>
      <c r="X1074" s="214"/>
      <c r="Y1074" s="214"/>
      <c r="Z1074" s="214"/>
      <c r="AA1074" s="214"/>
      <c r="AB1074" s="214"/>
      <c r="AC1074" s="214"/>
      <c r="AD1074" s="214" t="str">
        <f t="shared" ref="AD1074:BN1074" si="900">IF(ISBLANK(AD$1066),"N/A",IF(COUNTIFS(GD_Item_FiscalPeriod,AD$1066,GD_Item_Name,$B1074,GD_Update_Date,AD$1065)=0,"NR",SUMIFS(GD_Guidance_High,GD_Item_Name,$B1074,GD_Item_FiscalPeriod,AD$1066,GD_Update_Date,AD$1065)))</f>
        <v>NR</v>
      </c>
      <c r="AE1074" s="214" t="str">
        <f t="shared" si="900"/>
        <v>NR</v>
      </c>
      <c r="AF1074" s="214" t="str">
        <f t="shared" si="900"/>
        <v>NR</v>
      </c>
      <c r="AG1074" s="214" t="str">
        <f t="shared" si="900"/>
        <v>NR</v>
      </c>
      <c r="AH1074" s="214" t="str">
        <f t="shared" si="900"/>
        <v>NR</v>
      </c>
      <c r="AI1074" s="214" t="str">
        <f t="shared" si="900"/>
        <v>NR</v>
      </c>
      <c r="AJ1074" s="214" t="str">
        <f t="shared" si="900"/>
        <v>NR</v>
      </c>
      <c r="AK1074" s="214" t="str">
        <f t="shared" si="900"/>
        <v>NR</v>
      </c>
      <c r="AL1074" s="214" t="str">
        <f t="shared" si="900"/>
        <v>NR</v>
      </c>
      <c r="AM1074" s="214" t="str">
        <f t="shared" si="900"/>
        <v>NR</v>
      </c>
      <c r="AN1074" s="214" t="str">
        <f t="shared" si="900"/>
        <v>NR</v>
      </c>
      <c r="AO1074" s="214" t="str">
        <f t="shared" si="900"/>
        <v>NR</v>
      </c>
      <c r="AP1074" s="214" t="str">
        <f t="shared" si="900"/>
        <v>NR</v>
      </c>
      <c r="AQ1074" s="214" t="str">
        <f t="shared" si="900"/>
        <v>NR</v>
      </c>
      <c r="AR1074" s="214" t="str">
        <f t="shared" si="900"/>
        <v>NR</v>
      </c>
      <c r="AS1074" s="214" t="str">
        <f t="shared" si="900"/>
        <v>NR</v>
      </c>
      <c r="AT1074" s="214" t="str">
        <f t="shared" si="900"/>
        <v>NR</v>
      </c>
      <c r="AU1074" s="214" t="str">
        <f t="shared" si="900"/>
        <v>NR</v>
      </c>
      <c r="AV1074" s="214" t="str">
        <f t="shared" si="900"/>
        <v>NR</v>
      </c>
      <c r="AW1074" s="214" t="str">
        <f t="shared" si="900"/>
        <v>NR</v>
      </c>
      <c r="AX1074" s="214">
        <f t="shared" si="900"/>
        <v>-0.01</v>
      </c>
      <c r="AY1074" s="214">
        <f t="shared" si="900"/>
        <v>-0.01</v>
      </c>
      <c r="AZ1074" s="214">
        <f t="shared" si="900"/>
        <v>-3.7999999999999999E-2</v>
      </c>
      <c r="BA1074" s="214">
        <f t="shared" si="900"/>
        <v>-0.01</v>
      </c>
      <c r="BB1074" s="214">
        <f t="shared" si="900"/>
        <v>-0.01</v>
      </c>
      <c r="BC1074" s="214">
        <f t="shared" si="900"/>
        <v>-0.01</v>
      </c>
      <c r="BD1074" s="214">
        <f t="shared" si="900"/>
        <v>-0.01</v>
      </c>
      <c r="BE1074" s="214">
        <f t="shared" si="900"/>
        <v>1.4999999999999999E-2</v>
      </c>
      <c r="BF1074" s="214">
        <f t="shared" si="900"/>
        <v>0.04</v>
      </c>
      <c r="BG1074" s="214">
        <f t="shared" si="900"/>
        <v>0.05</v>
      </c>
      <c r="BH1074" s="214">
        <f t="shared" ref="BH1074:BM1074" si="901">IF(ISBLANK(BH$1066),"N/A",IF(COUNTIFS(GD_Item_FiscalPeriod,BH$1066,GD_Item_Name,$B1074,GD_Update_Date,BH$1065)=0,"NR",SUMIFS(GD_Guidance_High,GD_Item_Name,$B1074,GD_Item_FiscalPeriod,BH$1066,GD_Update_Date,BH$1065)))</f>
        <v>0.03</v>
      </c>
      <c r="BI1074" s="214">
        <f t="shared" si="901"/>
        <v>0.03</v>
      </c>
      <c r="BJ1074" s="1117">
        <f>IF(ISBLANK(BJ$1066),"N/A",IF(COUNTIFS(GD_Item_FiscalPeriod,BJ$1066,GD_Item_Name,$B1074,GD_Update_Date,BJ$1065)=0,"NR",SUMIFS(GD_Guidance_High,GD_Item_Name,$B1074,GD_Item_FiscalPeriod,BJ$1066,GD_Update_Date,BJ$1065)))</f>
        <v>0.06</v>
      </c>
      <c r="BK1074" s="214" t="str">
        <f t="shared" si="901"/>
        <v>N/A</v>
      </c>
      <c r="BL1074" s="214" t="str">
        <f t="shared" si="901"/>
        <v>N/A</v>
      </c>
      <c r="BM1074" s="214" t="str">
        <f t="shared" si="901"/>
        <v>N/A</v>
      </c>
      <c r="BN1074" s="214" t="str">
        <f t="shared" si="900"/>
        <v>N/A</v>
      </c>
      <c r="BO1074" s="214" t="str">
        <f t="shared" ref="BO1074:BV1074" si="902">IF(ISBLANK(BO$1066),"N/A",IF(COUNTIFS(GD_Item_FiscalPeriod,BO$1066,GD_Item_Name,$B1074,GD_Update_Date,BO$1065)=0,"NR",SUMIFS(GD_Guidance_High,GD_Item_Name,$B1074,GD_Item_FiscalPeriod,BO$1066,GD_Update_Date,BO$1065)))</f>
        <v>N/A</v>
      </c>
      <c r="BP1074" s="214" t="str">
        <f t="shared" si="902"/>
        <v>N/A</v>
      </c>
      <c r="BQ1074" s="214" t="str">
        <f t="shared" si="902"/>
        <v>N/A</v>
      </c>
      <c r="BR1074" s="214" t="str">
        <f t="shared" si="902"/>
        <v>N/A</v>
      </c>
      <c r="BS1074" s="214" t="str">
        <f t="shared" si="902"/>
        <v>N/A</v>
      </c>
      <c r="BT1074" s="214" t="str">
        <f t="shared" si="902"/>
        <v>N/A</v>
      </c>
      <c r="BU1074" s="214" t="str">
        <f t="shared" si="902"/>
        <v>N/A</v>
      </c>
      <c r="BV1074" s="1595" t="str">
        <f t="shared" si="902"/>
        <v>N/A</v>
      </c>
      <c r="BW1074" s="223"/>
    </row>
    <row r="1075" spans="1:75" x14ac:dyDescent="0.5">
      <c r="A1075" s="1593" t="s">
        <v>2729</v>
      </c>
      <c r="B1075" s="443" t="s">
        <v>1594</v>
      </c>
      <c r="C1075" s="1594"/>
      <c r="D1075" s="1594"/>
      <c r="E1075" s="214"/>
      <c r="F1075" s="214"/>
      <c r="G1075" s="214"/>
      <c r="H1075" s="214"/>
      <c r="I1075" s="214"/>
      <c r="J1075" s="214"/>
      <c r="K1075" s="214"/>
      <c r="L1075" s="214"/>
      <c r="M1075" s="214"/>
      <c r="N1075" s="214"/>
      <c r="O1075" s="214"/>
      <c r="P1075" s="214"/>
      <c r="Q1075" s="214"/>
      <c r="R1075" s="214"/>
      <c r="S1075" s="214"/>
      <c r="T1075" s="214"/>
      <c r="U1075" s="214"/>
      <c r="V1075" s="214"/>
      <c r="W1075" s="214"/>
      <c r="X1075" s="214"/>
      <c r="Y1075" s="214"/>
      <c r="Z1075" s="214"/>
      <c r="AA1075" s="214"/>
      <c r="AB1075" s="214"/>
      <c r="AC1075" s="214"/>
      <c r="AD1075" s="214" t="str">
        <f t="shared" ref="AD1075:BN1075" si="903">IF(ISBLANK(AD$1066),"N/A",IF(COUNTIFS(GD_Item_FiscalPeriod,AD$1066,GD_Item_Name,$B1075,GD_Update_Date,AD$1065)=0,"NR",SUMIFS(GD_Guidance_Mid,GD_Item_Name,$B1075,GD_Item_FiscalPeriod,AD$1066,GD_Update_Date,AD$1065)))</f>
        <v>NR</v>
      </c>
      <c r="AE1075" s="214" t="str">
        <f t="shared" si="903"/>
        <v>NR</v>
      </c>
      <c r="AF1075" s="214" t="str">
        <f t="shared" si="903"/>
        <v>NR</v>
      </c>
      <c r="AG1075" s="214" t="str">
        <f t="shared" si="903"/>
        <v>NR</v>
      </c>
      <c r="AH1075" s="214" t="str">
        <f t="shared" si="903"/>
        <v>NR</v>
      </c>
      <c r="AI1075" s="214" t="str">
        <f t="shared" si="903"/>
        <v>NR</v>
      </c>
      <c r="AJ1075" s="214" t="str">
        <f t="shared" si="903"/>
        <v>NR</v>
      </c>
      <c r="AK1075" s="214" t="str">
        <f t="shared" si="903"/>
        <v>NR</v>
      </c>
      <c r="AL1075" s="214" t="str">
        <f t="shared" si="903"/>
        <v>NR</v>
      </c>
      <c r="AM1075" s="214" t="str">
        <f t="shared" si="903"/>
        <v>NR</v>
      </c>
      <c r="AN1075" s="214" t="str">
        <f t="shared" si="903"/>
        <v>NR</v>
      </c>
      <c r="AO1075" s="214" t="str">
        <f t="shared" si="903"/>
        <v>NR</v>
      </c>
      <c r="AP1075" s="214" t="str">
        <f t="shared" si="903"/>
        <v>NR</v>
      </c>
      <c r="AQ1075" s="214" t="str">
        <f t="shared" si="903"/>
        <v>NR</v>
      </c>
      <c r="AR1075" s="214" t="str">
        <f t="shared" si="903"/>
        <v>NR</v>
      </c>
      <c r="AS1075" s="214" t="str">
        <f t="shared" si="903"/>
        <v>NR</v>
      </c>
      <c r="AT1075" s="214" t="str">
        <f t="shared" si="903"/>
        <v>NR</v>
      </c>
      <c r="AU1075" s="214" t="str">
        <f t="shared" si="903"/>
        <v>NR</v>
      </c>
      <c r="AV1075" s="214" t="str">
        <f t="shared" si="903"/>
        <v>NR</v>
      </c>
      <c r="AW1075" s="214" t="str">
        <f t="shared" si="903"/>
        <v>NR</v>
      </c>
      <c r="AX1075" s="214">
        <f t="shared" si="903"/>
        <v>-3.0000000000000002E-2</v>
      </c>
      <c r="AY1075" s="214">
        <f t="shared" si="903"/>
        <v>-3.0000000000000002E-2</v>
      </c>
      <c r="AZ1075" s="214">
        <f t="shared" si="903"/>
        <v>-3.7999999999999999E-2</v>
      </c>
      <c r="BA1075" s="214">
        <f t="shared" si="903"/>
        <v>-3.0000000000000002E-2</v>
      </c>
      <c r="BB1075" s="214">
        <f t="shared" si="903"/>
        <v>-0.02</v>
      </c>
      <c r="BC1075" s="214">
        <f t="shared" si="903"/>
        <v>-0.02</v>
      </c>
      <c r="BD1075" s="214">
        <f t="shared" si="903"/>
        <v>-0.02</v>
      </c>
      <c r="BE1075" s="214">
        <f t="shared" si="903"/>
        <v>0.01</v>
      </c>
      <c r="BF1075" s="214">
        <f t="shared" si="903"/>
        <v>0.03</v>
      </c>
      <c r="BG1075" s="214">
        <f t="shared" si="903"/>
        <v>2.5000000000000001E-2</v>
      </c>
      <c r="BH1075" s="214">
        <f t="shared" ref="BH1075:BM1075" si="904">IF(ISBLANK(BH$1066),"N/A",IF(COUNTIFS(GD_Item_FiscalPeriod,BH$1066,GD_Item_Name,$B1075,GD_Update_Date,BH$1065)=0,"NR",SUMIFS(GD_Guidance_Mid,GD_Item_Name,$B1075,GD_Item_FiscalPeriod,BH$1066,GD_Update_Date,BH$1065)))</f>
        <v>1.4999999999999999E-2</v>
      </c>
      <c r="BI1075" s="214">
        <f t="shared" si="904"/>
        <v>1.4999999999999999E-2</v>
      </c>
      <c r="BJ1075" s="1117">
        <f>IF(ISBLANK(BJ$1066),"N/A",IF(COUNTIFS(GD_Item_FiscalPeriod,BJ$1066,GD_Item_Name,$B1075,GD_Update_Date,BJ$1065)=0,"NR",SUMIFS(GD_Guidance_Mid,GD_Item_Name,$B1075,GD_Item_FiscalPeriod,BJ$1066,GD_Update_Date,BJ$1065)))</f>
        <v>0.05</v>
      </c>
      <c r="BK1075" s="214" t="str">
        <f t="shared" si="904"/>
        <v>N/A</v>
      </c>
      <c r="BL1075" s="214" t="str">
        <f t="shared" si="904"/>
        <v>N/A</v>
      </c>
      <c r="BM1075" s="214" t="str">
        <f t="shared" si="904"/>
        <v>N/A</v>
      </c>
      <c r="BN1075" s="214" t="str">
        <f t="shared" si="903"/>
        <v>N/A</v>
      </c>
      <c r="BO1075" s="214" t="str">
        <f t="shared" ref="BO1075:BV1075" si="905">IF(ISBLANK(BO$1066),"N/A",IF(COUNTIFS(GD_Item_FiscalPeriod,BO$1066,GD_Item_Name,$B1075,GD_Update_Date,BO$1065)=0,"NR",SUMIFS(GD_Guidance_Mid,GD_Item_Name,$B1075,GD_Item_FiscalPeriod,BO$1066,GD_Update_Date,BO$1065)))</f>
        <v>N/A</v>
      </c>
      <c r="BP1075" s="214" t="str">
        <f t="shared" si="905"/>
        <v>N/A</v>
      </c>
      <c r="BQ1075" s="214" t="str">
        <f t="shared" si="905"/>
        <v>N/A</v>
      </c>
      <c r="BR1075" s="214" t="str">
        <f t="shared" si="905"/>
        <v>N/A</v>
      </c>
      <c r="BS1075" s="214" t="str">
        <f t="shared" si="905"/>
        <v>N/A</v>
      </c>
      <c r="BT1075" s="214" t="str">
        <f t="shared" si="905"/>
        <v>N/A</v>
      </c>
      <c r="BU1075" s="214" t="str">
        <f t="shared" si="905"/>
        <v>N/A</v>
      </c>
      <c r="BV1075" s="1595" t="str">
        <f t="shared" si="905"/>
        <v>N/A</v>
      </c>
      <c r="BW1075" s="223"/>
    </row>
    <row r="1076" spans="1:75" x14ac:dyDescent="0.5">
      <c r="A1076" s="1596"/>
      <c r="B1076" s="1221"/>
      <c r="C1076" s="1021"/>
      <c r="D1076" s="1021"/>
      <c r="E1076" s="1221"/>
      <c r="F1076" s="1221"/>
      <c r="G1076" s="1221"/>
      <c r="H1076" s="1221"/>
      <c r="I1076" s="1221"/>
      <c r="J1076" s="1221"/>
      <c r="K1076" s="1221"/>
      <c r="L1076" s="1221"/>
      <c r="M1076" s="1221"/>
      <c r="N1076" s="1221"/>
      <c r="O1076" s="1221"/>
      <c r="P1076" s="1221"/>
      <c r="Q1076" s="1221"/>
      <c r="R1076" s="1221"/>
      <c r="S1076" s="1221"/>
      <c r="T1076" s="1221"/>
      <c r="U1076" s="1221"/>
      <c r="V1076" s="1221"/>
      <c r="W1076" s="1221"/>
      <c r="X1076" s="1221"/>
      <c r="Y1076" s="1221"/>
      <c r="Z1076" s="1221"/>
      <c r="AA1076" s="1221"/>
      <c r="AB1076" s="1221"/>
      <c r="AC1076" s="1221"/>
      <c r="AD1076" s="1221"/>
      <c r="AE1076" s="1221"/>
      <c r="AF1076" s="1221"/>
      <c r="AG1076" s="1221"/>
      <c r="AH1076" s="1221"/>
      <c r="AI1076" s="1221"/>
      <c r="AJ1076" s="1221"/>
      <c r="AK1076" s="1221"/>
      <c r="AL1076" s="1221"/>
      <c r="AM1076" s="1221"/>
      <c r="AN1076" s="1221"/>
      <c r="AO1076" s="1221"/>
      <c r="AP1076" s="1221"/>
      <c r="AQ1076" s="1221"/>
      <c r="AR1076" s="1221"/>
      <c r="AS1076" s="1221"/>
      <c r="AT1076" s="1221"/>
      <c r="AU1076" s="1221"/>
      <c r="AV1076" s="1221"/>
      <c r="AW1076" s="1221"/>
      <c r="AX1076" s="1221"/>
      <c r="AY1076" s="1221"/>
      <c r="AZ1076" s="1221"/>
      <c r="BA1076" s="1221"/>
      <c r="BB1076" s="1221"/>
      <c r="BC1076" s="1221"/>
      <c r="BD1076" s="1221"/>
      <c r="BE1076" s="1221"/>
      <c r="BF1076" s="1221"/>
      <c r="BG1076" s="1221"/>
      <c r="BH1076" s="1221"/>
      <c r="BI1076" s="1221"/>
      <c r="BJ1076" s="1022"/>
      <c r="BK1076" s="1221"/>
      <c r="BL1076" s="1221"/>
      <c r="BM1076" s="1221"/>
      <c r="BN1076" s="1221"/>
      <c r="BO1076" s="1221"/>
      <c r="BP1076" s="1221"/>
      <c r="BQ1076" s="1221"/>
      <c r="BR1076" s="1221"/>
      <c r="BS1076" s="1221"/>
      <c r="BT1076" s="1221"/>
      <c r="BU1076" s="1221"/>
      <c r="BV1076" s="1023"/>
      <c r="BW1076" s="223"/>
    </row>
    <row r="1077" spans="1:75" x14ac:dyDescent="0.5">
      <c r="A1077" s="972"/>
      <c r="B1077" s="987"/>
      <c r="C1077" s="1003"/>
      <c r="D1077" s="1003"/>
      <c r="E1077" s="987"/>
      <c r="F1077" s="987"/>
      <c r="G1077" s="987"/>
      <c r="H1077" s="987"/>
      <c r="I1077" s="987"/>
      <c r="J1077" s="987"/>
      <c r="K1077" s="987"/>
      <c r="L1077" s="987"/>
      <c r="M1077" s="987"/>
      <c r="N1077" s="987"/>
      <c r="O1077" s="987"/>
      <c r="P1077" s="987"/>
      <c r="Q1077" s="987"/>
      <c r="R1077" s="987"/>
      <c r="S1077" s="987"/>
      <c r="T1077" s="987"/>
      <c r="U1077" s="987"/>
      <c r="V1077" s="987"/>
      <c r="W1077" s="987"/>
      <c r="X1077" s="987"/>
      <c r="Y1077" s="987"/>
      <c r="Z1077" s="987"/>
      <c r="AA1077" s="987"/>
      <c r="AB1077" s="987"/>
      <c r="AC1077" s="987"/>
      <c r="AD1077" s="987"/>
      <c r="AE1077" s="987"/>
      <c r="AF1077" s="987"/>
      <c r="AG1077" s="987"/>
      <c r="AH1077" s="987"/>
      <c r="AI1077" s="987"/>
      <c r="AJ1077" s="987"/>
      <c r="AK1077" s="987"/>
      <c r="AL1077" s="987"/>
      <c r="AM1077" s="987"/>
      <c r="AN1077" s="987"/>
      <c r="AO1077" s="987"/>
      <c r="AP1077" s="987"/>
      <c r="AQ1077" s="987"/>
      <c r="AR1077" s="987"/>
      <c r="AS1077" s="987"/>
      <c r="AT1077" s="987"/>
      <c r="AU1077" s="987"/>
      <c r="AV1077" s="987"/>
      <c r="AW1077" s="987"/>
      <c r="AX1077" s="987"/>
      <c r="AY1077" s="987"/>
      <c r="AZ1077" s="987"/>
      <c r="BA1077" s="987"/>
      <c r="BB1077" s="987"/>
      <c r="BC1077" s="987"/>
      <c r="BD1077" s="987"/>
      <c r="BE1077" s="987"/>
      <c r="BF1077" s="987"/>
      <c r="BG1077" s="987"/>
      <c r="BH1077" s="987"/>
      <c r="BI1077" s="987"/>
      <c r="BJ1077" s="1004"/>
      <c r="BK1077" s="987"/>
      <c r="BL1077" s="987"/>
      <c r="BM1077" s="987"/>
      <c r="BN1077" s="987"/>
      <c r="BO1077" s="987"/>
      <c r="BP1077" s="987"/>
      <c r="BQ1077" s="987"/>
      <c r="BR1077" s="987"/>
      <c r="BS1077" s="987"/>
      <c r="BT1077" s="987"/>
      <c r="BU1077" s="987"/>
      <c r="BV1077" s="987"/>
      <c r="BW1077" s="223"/>
    </row>
    <row r="1078" spans="1:75" x14ac:dyDescent="0.5">
      <c r="A1078" s="1591" t="s">
        <v>1599</v>
      </c>
      <c r="B1078" s="1006"/>
      <c r="C1078" s="1007"/>
      <c r="D1078" s="1007"/>
      <c r="E1078" s="1006"/>
      <c r="F1078" s="1006"/>
      <c r="G1078" s="1006"/>
      <c r="H1078" s="1006"/>
      <c r="I1078" s="1006"/>
      <c r="J1078" s="1006"/>
      <c r="K1078" s="1006"/>
      <c r="L1078" s="1006"/>
      <c r="M1078" s="1006"/>
      <c r="N1078" s="1006"/>
      <c r="O1078" s="1006"/>
      <c r="P1078" s="1006"/>
      <c r="Q1078" s="1006"/>
      <c r="R1078" s="1006"/>
      <c r="S1078" s="1006"/>
      <c r="T1078" s="1006"/>
      <c r="U1078" s="1006"/>
      <c r="V1078" s="1006"/>
      <c r="W1078" s="1006"/>
      <c r="X1078" s="1006"/>
      <c r="Y1078" s="1006"/>
      <c r="Z1078" s="1006"/>
      <c r="AA1078" s="1006"/>
      <c r="AB1078" s="1006"/>
      <c r="AC1078" s="1006"/>
      <c r="AD1078" s="1006"/>
      <c r="AE1078" s="1006"/>
      <c r="AF1078" s="1006"/>
      <c r="AG1078" s="1006"/>
      <c r="AH1078" s="1006"/>
      <c r="AI1078" s="1006"/>
      <c r="AJ1078" s="1006"/>
      <c r="AK1078" s="1006"/>
      <c r="AL1078" s="1006"/>
      <c r="AM1078" s="1006"/>
      <c r="AN1078" s="1006"/>
      <c r="AO1078" s="1006"/>
      <c r="AP1078" s="1006"/>
      <c r="AQ1078" s="1006"/>
      <c r="AR1078" s="1006"/>
      <c r="AS1078" s="1006"/>
      <c r="AT1078" s="1006"/>
      <c r="AU1078" s="1006"/>
      <c r="AV1078" s="1006"/>
      <c r="AW1078" s="1006"/>
      <c r="AX1078" s="1006"/>
      <c r="AY1078" s="1006"/>
      <c r="AZ1078" s="1006"/>
      <c r="BA1078" s="1006"/>
      <c r="BB1078" s="1006"/>
      <c r="BC1078" s="1006"/>
      <c r="BD1078" s="1006"/>
      <c r="BE1078" s="1006"/>
      <c r="BF1078" s="1006"/>
      <c r="BG1078" s="1006"/>
      <c r="BH1078" s="1006"/>
      <c r="BI1078" s="1006"/>
      <c r="BJ1078" s="1008"/>
      <c r="BK1078" s="1006"/>
      <c r="BL1078" s="1006"/>
      <c r="BM1078" s="1006"/>
      <c r="BN1078" s="1006"/>
      <c r="BO1078" s="1006"/>
      <c r="BP1078" s="1006"/>
      <c r="BQ1078" s="1006"/>
      <c r="BR1078" s="1006"/>
      <c r="BS1078" s="1006"/>
      <c r="BT1078" s="1006"/>
      <c r="BU1078" s="1006"/>
      <c r="BV1078" s="1009"/>
      <c r="BW1078" s="223"/>
    </row>
    <row r="1079" spans="1:75" x14ac:dyDescent="0.5">
      <c r="A1079" s="1592" t="s">
        <v>1597</v>
      </c>
      <c r="B1079" s="487"/>
      <c r="C1079" s="1011"/>
      <c r="D1079" s="1011"/>
      <c r="E1079" s="1012"/>
      <c r="F1079" s="1012"/>
      <c r="G1079" s="1012"/>
      <c r="H1079" s="1012"/>
      <c r="I1079" s="1012"/>
      <c r="J1079" s="1012"/>
      <c r="K1079" s="1012"/>
      <c r="L1079" s="1012"/>
      <c r="M1079" s="1012"/>
      <c r="N1079" s="1012"/>
      <c r="O1079" s="1012"/>
      <c r="P1079" s="1012"/>
      <c r="Q1079" s="1012"/>
      <c r="R1079" s="1012"/>
      <c r="S1079" s="1012"/>
      <c r="T1079" s="1012"/>
      <c r="U1079" s="1012"/>
      <c r="V1079" s="1012"/>
      <c r="W1079" s="1012"/>
      <c r="X1079" s="1012"/>
      <c r="Y1079" s="1012"/>
      <c r="Z1079" s="1012"/>
      <c r="AA1079" s="1012"/>
      <c r="AB1079" s="1012"/>
      <c r="AC1079" s="1012"/>
      <c r="AD1079" s="1012">
        <f>AD1065</f>
        <v>43153</v>
      </c>
      <c r="AE1079" s="1012">
        <f>AE1065</f>
        <v>43153</v>
      </c>
      <c r="AF1079" s="1012"/>
      <c r="AG1079" s="1012"/>
      <c r="AH1079" s="1012">
        <f t="shared" ref="AH1079:AQ1079" si="906">AH1065</f>
        <v>43405</v>
      </c>
      <c r="AI1079" s="1012">
        <f t="shared" si="906"/>
        <v>43518</v>
      </c>
      <c r="AJ1079" s="1012">
        <f t="shared" si="906"/>
        <v>43518</v>
      </c>
      <c r="AK1079" s="1012">
        <f t="shared" si="906"/>
        <v>43587</v>
      </c>
      <c r="AL1079" s="1012">
        <f t="shared" si="906"/>
        <v>43678</v>
      </c>
      <c r="AM1079" s="1012">
        <f t="shared" si="906"/>
        <v>43769</v>
      </c>
      <c r="AN1079" s="1012">
        <f t="shared" si="906"/>
        <v>43889</v>
      </c>
      <c r="AO1079" s="1012">
        <f t="shared" si="906"/>
        <v>43889</v>
      </c>
      <c r="AP1079" s="1012">
        <f t="shared" si="906"/>
        <v>43956</v>
      </c>
      <c r="AQ1079" s="1012">
        <f t="shared" si="906"/>
        <v>44048</v>
      </c>
      <c r="AR1079" s="1012"/>
      <c r="AS1079" s="1012">
        <f>AS1065</f>
        <v>44252</v>
      </c>
      <c r="AT1079" s="1012">
        <f>AT1065</f>
        <v>44252</v>
      </c>
      <c r="AU1079" s="1012">
        <f>AU1065</f>
        <v>44322</v>
      </c>
      <c r="AV1079" s="1012">
        <f>AV1065</f>
        <v>44413</v>
      </c>
      <c r="AW1079" s="1013">
        <v>44504</v>
      </c>
      <c r="AX1079" s="1012">
        <f t="shared" ref="AX1079:BJ1079" si="907">AX1065</f>
        <v>44616</v>
      </c>
      <c r="AY1079" s="1012">
        <f t="shared" si="907"/>
        <v>44616</v>
      </c>
      <c r="AZ1079" s="1012">
        <f t="shared" si="907"/>
        <v>44686</v>
      </c>
      <c r="BA1079" s="1012">
        <f t="shared" si="907"/>
        <v>44778</v>
      </c>
      <c r="BB1079" s="1012">
        <f t="shared" si="907"/>
        <v>44868</v>
      </c>
      <c r="BC1079" s="1012">
        <f t="shared" si="907"/>
        <v>44980</v>
      </c>
      <c r="BD1079" s="1012">
        <f t="shared" si="907"/>
        <v>44980</v>
      </c>
      <c r="BE1079" s="1012">
        <f t="shared" si="907"/>
        <v>45050</v>
      </c>
      <c r="BF1079" s="1012">
        <f t="shared" si="907"/>
        <v>45141</v>
      </c>
      <c r="BG1079" s="1012">
        <f t="shared" si="907"/>
        <v>45231</v>
      </c>
      <c r="BH1079" s="1012">
        <f t="shared" si="907"/>
        <v>45344</v>
      </c>
      <c r="BI1079" s="1012">
        <f t="shared" si="907"/>
        <v>45344</v>
      </c>
      <c r="BJ1079" s="1024">
        <f t="shared" si="907"/>
        <v>45414</v>
      </c>
      <c r="BK1079" s="1012"/>
      <c r="BL1079" s="1012"/>
      <c r="BM1079" s="1012"/>
      <c r="BN1079" s="1012"/>
      <c r="BO1079" s="1012"/>
      <c r="BP1079" s="1012"/>
      <c r="BQ1079" s="1012"/>
      <c r="BR1079" s="1012"/>
      <c r="BS1079" s="1012"/>
      <c r="BT1079" s="1012"/>
      <c r="BU1079" s="1012"/>
      <c r="BV1079" s="1015"/>
      <c r="BW1079" s="223"/>
    </row>
    <row r="1080" spans="1:75" x14ac:dyDescent="0.5">
      <c r="A1080" s="1592" t="s">
        <v>1600</v>
      </c>
      <c r="B1080" s="487"/>
      <c r="C1080" s="1016"/>
      <c r="D1080" s="1016"/>
      <c r="E1080" s="1017"/>
      <c r="F1080" s="1017"/>
      <c r="G1080" s="1017"/>
      <c r="H1080" s="1017"/>
      <c r="I1080" s="1017"/>
      <c r="J1080" s="1017"/>
      <c r="K1080" s="1017"/>
      <c r="L1080" s="1017"/>
      <c r="M1080" s="1017"/>
      <c r="N1080" s="1017"/>
      <c r="O1080" s="1017"/>
      <c r="P1080" s="1017"/>
      <c r="Q1080" s="1017"/>
      <c r="R1080" s="1017"/>
      <c r="S1080" s="1017"/>
      <c r="T1080" s="1017"/>
      <c r="U1080" s="1017"/>
      <c r="V1080" s="1017"/>
      <c r="W1080" s="1017"/>
      <c r="X1080" s="1017"/>
      <c r="Y1080" s="1017"/>
      <c r="Z1080" s="1017"/>
      <c r="AA1080" s="1017"/>
      <c r="AB1080" s="1017"/>
      <c r="AC1080" s="1017"/>
      <c r="AD1080" s="1017" t="str">
        <f t="shared" ref="AD1080:BG1080" si="908">IF(AD1081=AE1081,"",AD1081)</f>
        <v/>
      </c>
      <c r="AE1080" s="1017" t="str">
        <f t="shared" si="908"/>
        <v/>
      </c>
      <c r="AF1080" s="1017" t="str">
        <f t="shared" si="908"/>
        <v/>
      </c>
      <c r="AG1080" s="1017" t="str">
        <f t="shared" si="908"/>
        <v/>
      </c>
      <c r="AH1080" s="1017" t="str">
        <f t="shared" si="908"/>
        <v>FY2018</v>
      </c>
      <c r="AI1080" s="1017" t="str">
        <f t="shared" si="908"/>
        <v/>
      </c>
      <c r="AJ1080" s="1017" t="str">
        <f t="shared" si="908"/>
        <v/>
      </c>
      <c r="AK1080" s="1017" t="str">
        <f t="shared" si="908"/>
        <v/>
      </c>
      <c r="AL1080" s="1017" t="str">
        <f t="shared" si="908"/>
        <v/>
      </c>
      <c r="AM1080" s="1017" t="str">
        <f t="shared" si="908"/>
        <v>FY2019</v>
      </c>
      <c r="AN1080" s="1017" t="str">
        <f t="shared" si="908"/>
        <v/>
      </c>
      <c r="AO1080" s="1017" t="str">
        <f t="shared" si="908"/>
        <v/>
      </c>
      <c r="AP1080" s="1017" t="str">
        <f t="shared" si="908"/>
        <v/>
      </c>
      <c r="AQ1080" s="1017" t="str">
        <f t="shared" si="908"/>
        <v/>
      </c>
      <c r="AR1080" s="1017" t="str">
        <f t="shared" si="908"/>
        <v>FY2020</v>
      </c>
      <c r="AS1080" s="1017" t="str">
        <f t="shared" si="908"/>
        <v/>
      </c>
      <c r="AT1080" s="1017" t="str">
        <f t="shared" si="908"/>
        <v/>
      </c>
      <c r="AU1080" s="1017" t="str">
        <f t="shared" si="908"/>
        <v/>
      </c>
      <c r="AV1080" s="1017" t="str">
        <f t="shared" si="908"/>
        <v/>
      </c>
      <c r="AW1080" s="1017" t="str">
        <f t="shared" si="908"/>
        <v>FY2021</v>
      </c>
      <c r="AX1080" s="1017" t="str">
        <f t="shared" si="908"/>
        <v/>
      </c>
      <c r="AY1080" s="1017" t="str">
        <f t="shared" si="908"/>
        <v/>
      </c>
      <c r="AZ1080" s="1017" t="str">
        <f t="shared" si="908"/>
        <v/>
      </c>
      <c r="BA1080" s="1017" t="str">
        <f t="shared" si="908"/>
        <v/>
      </c>
      <c r="BB1080" s="1017" t="str">
        <f t="shared" si="908"/>
        <v>FY2022</v>
      </c>
      <c r="BC1080" s="1017" t="str">
        <f t="shared" si="908"/>
        <v/>
      </c>
      <c r="BD1080" s="1017" t="str">
        <f t="shared" si="908"/>
        <v/>
      </c>
      <c r="BE1080" s="1017" t="str">
        <f t="shared" si="908"/>
        <v/>
      </c>
      <c r="BF1080" s="1017" t="str">
        <f t="shared" si="908"/>
        <v/>
      </c>
      <c r="BG1080" s="1017" t="str">
        <f t="shared" si="908"/>
        <v>FY2023</v>
      </c>
      <c r="BH1080" s="1017" t="str">
        <f>IF(BH1081=BI1081,"",BH1081)</f>
        <v/>
      </c>
      <c r="BI1080" s="1017" t="str">
        <f>IF(BI1081=BJ1081,"",BI1081)</f>
        <v/>
      </c>
      <c r="BJ1080" s="1018" t="str">
        <f>IF(BJ1081=BK1081,"",BJ1081)</f>
        <v>FY2024</v>
      </c>
      <c r="BK1080" s="1017"/>
      <c r="BL1080" s="1017"/>
      <c r="BM1080" s="1017"/>
      <c r="BN1080" s="1017"/>
      <c r="BO1080" s="1017"/>
      <c r="BP1080" s="1017"/>
      <c r="BQ1080" s="1017"/>
      <c r="BR1080" s="1017"/>
      <c r="BS1080" s="1017"/>
      <c r="BT1080" s="1017"/>
      <c r="BU1080" s="1017"/>
      <c r="BV1080" s="1019"/>
      <c r="BW1080" s="223"/>
    </row>
    <row r="1081" spans="1:75" x14ac:dyDescent="0.5">
      <c r="A1081" s="1592" t="s">
        <v>1598</v>
      </c>
      <c r="B1081" s="487"/>
      <c r="C1081" s="1016"/>
      <c r="D1081" s="1016"/>
      <c r="E1081" s="1017"/>
      <c r="F1081" s="1017"/>
      <c r="G1081" s="1017"/>
      <c r="H1081" s="1017"/>
      <c r="I1081" s="1017"/>
      <c r="J1081" s="1017"/>
      <c r="K1081" s="1017"/>
      <c r="L1081" s="1017"/>
      <c r="M1081" s="1017"/>
      <c r="N1081" s="1017"/>
      <c r="O1081" s="1017"/>
      <c r="P1081" s="1017"/>
      <c r="Q1081" s="1017"/>
      <c r="R1081" s="1017"/>
      <c r="S1081" s="1017"/>
      <c r="T1081" s="1017"/>
      <c r="U1081" s="1017"/>
      <c r="V1081" s="1017"/>
      <c r="W1081" s="1017"/>
      <c r="X1081" s="1017"/>
      <c r="Y1081" s="1017"/>
      <c r="Z1081" s="1017"/>
      <c r="AA1081" s="1017"/>
      <c r="AB1081" s="1017"/>
      <c r="AC1081" s="1017"/>
      <c r="AD1081" s="1017" t="str">
        <f>AJ$5</f>
        <v>FY2018</v>
      </c>
      <c r="AE1081" s="1017" t="str">
        <f>AJ$5</f>
        <v>FY2018</v>
      </c>
      <c r="AF1081" s="1017" t="str">
        <f>AJ$5</f>
        <v>FY2018</v>
      </c>
      <c r="AG1081" s="1017" t="str">
        <f>AJ$5</f>
        <v>FY2018</v>
      </c>
      <c r="AH1081" s="1017" t="str">
        <f>AJ$5</f>
        <v>FY2018</v>
      </c>
      <c r="AI1081" s="1017" t="str">
        <f>AO$5</f>
        <v>FY2019</v>
      </c>
      <c r="AJ1081" s="1017" t="str">
        <f>AO$5</f>
        <v>FY2019</v>
      </c>
      <c r="AK1081" s="1017" t="str">
        <f>AO$5</f>
        <v>FY2019</v>
      </c>
      <c r="AL1081" s="1017" t="str">
        <f>AO$5</f>
        <v>FY2019</v>
      </c>
      <c r="AM1081" s="1017" t="str">
        <f>AO$5</f>
        <v>FY2019</v>
      </c>
      <c r="AN1081" s="1017" t="str">
        <f>AT$5</f>
        <v>FY2020</v>
      </c>
      <c r="AO1081" s="1017" t="str">
        <f>AT$5</f>
        <v>FY2020</v>
      </c>
      <c r="AP1081" s="1017" t="str">
        <f>AT$5</f>
        <v>FY2020</v>
      </c>
      <c r="AQ1081" s="1017" t="str">
        <f>AT$5</f>
        <v>FY2020</v>
      </c>
      <c r="AR1081" s="1017" t="str">
        <f>AT$5</f>
        <v>FY2020</v>
      </c>
      <c r="AS1081" s="1017" t="str">
        <f>AY$5</f>
        <v>FY2021</v>
      </c>
      <c r="AT1081" s="1017" t="str">
        <f>AY$5</f>
        <v>FY2021</v>
      </c>
      <c r="AU1081" s="1017" t="str">
        <f>AY$5</f>
        <v>FY2021</v>
      </c>
      <c r="AV1081" s="1017" t="str">
        <f>AY$5</f>
        <v>FY2021</v>
      </c>
      <c r="AW1081" s="1017" t="str">
        <f>AY$5</f>
        <v>FY2021</v>
      </c>
      <c r="AX1081" s="1017" t="str">
        <f>BD$5</f>
        <v>FY2022</v>
      </c>
      <c r="AY1081" s="1017" t="str">
        <f>BD$5</f>
        <v>FY2022</v>
      </c>
      <c r="AZ1081" s="1017" t="str">
        <f>BD$5</f>
        <v>FY2022</v>
      </c>
      <c r="BA1081" s="1017" t="str">
        <f>BD$5</f>
        <v>FY2022</v>
      </c>
      <c r="BB1081" s="1017" t="str">
        <f>BD$5</f>
        <v>FY2022</v>
      </c>
      <c r="BC1081" s="1017" t="str">
        <f>BI$5</f>
        <v>FY2023</v>
      </c>
      <c r="BD1081" s="1017" t="str">
        <f>BI$5</f>
        <v>FY2023</v>
      </c>
      <c r="BE1081" s="1017" t="str">
        <f>BI$5</f>
        <v>FY2023</v>
      </c>
      <c r="BF1081" s="1017" t="str">
        <f>BI$5</f>
        <v>FY2023</v>
      </c>
      <c r="BG1081" s="1017" t="str">
        <f>BI$5</f>
        <v>FY2023</v>
      </c>
      <c r="BH1081" s="1017" t="str">
        <f>BN$5</f>
        <v>FY2024</v>
      </c>
      <c r="BI1081" s="1017" t="str">
        <f>BN$5</f>
        <v>FY2024</v>
      </c>
      <c r="BJ1081" s="1018" t="str">
        <f>BN$5</f>
        <v>FY2024</v>
      </c>
      <c r="BK1081" s="1017"/>
      <c r="BL1081" s="1017"/>
      <c r="BM1081" s="1017"/>
      <c r="BN1081" s="1017"/>
      <c r="BO1081" s="1017"/>
      <c r="BP1081" s="1017"/>
      <c r="BQ1081" s="1017"/>
      <c r="BR1081" s="1017"/>
      <c r="BS1081" s="1017"/>
      <c r="BT1081" s="1017"/>
      <c r="BU1081" s="1017"/>
      <c r="BV1081" s="1019"/>
      <c r="BW1081" s="223"/>
    </row>
    <row r="1082" spans="1:75" x14ac:dyDescent="0.5">
      <c r="A1082" s="1593" t="s">
        <v>2720</v>
      </c>
      <c r="B1082" s="443" t="s">
        <v>2721</v>
      </c>
      <c r="C1082" s="1594"/>
      <c r="D1082" s="1594"/>
      <c r="E1082" s="214"/>
      <c r="F1082" s="214"/>
      <c r="G1082" s="214"/>
      <c r="H1082" s="214"/>
      <c r="I1082" s="214"/>
      <c r="J1082" s="214"/>
      <c r="K1082" s="214"/>
      <c r="L1082" s="214"/>
      <c r="M1082" s="214"/>
      <c r="N1082" s="214"/>
      <c r="O1082" s="214"/>
      <c r="P1082" s="214"/>
      <c r="Q1082" s="214"/>
      <c r="R1082" s="214"/>
      <c r="S1082" s="214"/>
      <c r="T1082" s="214"/>
      <c r="U1082" s="214"/>
      <c r="V1082" s="214"/>
      <c r="W1082" s="214"/>
      <c r="X1082" s="214"/>
      <c r="Y1082" s="214"/>
      <c r="Z1082" s="214"/>
      <c r="AA1082" s="214"/>
      <c r="AB1082" s="214"/>
      <c r="AC1082" s="214"/>
      <c r="AD1082" s="214" t="str">
        <f t="shared" ref="AD1082:BN1082" si="909">IF(ISBLANK(AD$1081),"N/A",IF(COUNTIFS(GD_Item_FiscalPeriod,AD$1081,GD_Item_Name,$B1082,GD_Update_Date,AD$1079)=0,"NR",SUMIFS(GD_Guidance_Low,GD_Item_Name,$B1082,GD_Item_FiscalPeriod,AD$1081,GD_Update_Date,AD$1079)))</f>
        <v>NR</v>
      </c>
      <c r="AE1082" s="214" t="str">
        <f t="shared" si="909"/>
        <v>NR</v>
      </c>
      <c r="AF1082" s="214" t="str">
        <f t="shared" si="909"/>
        <v>NR</v>
      </c>
      <c r="AG1082" s="214" t="str">
        <f t="shared" si="909"/>
        <v>NR</v>
      </c>
      <c r="AH1082" s="214" t="str">
        <f t="shared" si="909"/>
        <v>NR</v>
      </c>
      <c r="AI1082" s="214" t="str">
        <f t="shared" si="909"/>
        <v>NR</v>
      </c>
      <c r="AJ1082" s="214" t="str">
        <f t="shared" si="909"/>
        <v>NR</v>
      </c>
      <c r="AK1082" s="214" t="str">
        <f t="shared" si="909"/>
        <v>NR</v>
      </c>
      <c r="AL1082" s="214" t="str">
        <f t="shared" si="909"/>
        <v>NR</v>
      </c>
      <c r="AM1082" s="214" t="str">
        <f t="shared" si="909"/>
        <v>NR</v>
      </c>
      <c r="AN1082" s="214" t="str">
        <f t="shared" si="909"/>
        <v>NR</v>
      </c>
      <c r="AO1082" s="214" t="str">
        <f t="shared" si="909"/>
        <v>NR</v>
      </c>
      <c r="AP1082" s="214" t="str">
        <f t="shared" si="909"/>
        <v>NR</v>
      </c>
      <c r="AQ1082" s="214" t="str">
        <f t="shared" si="909"/>
        <v>NR</v>
      </c>
      <c r="AR1082" s="214" t="str">
        <f t="shared" si="909"/>
        <v>NR</v>
      </c>
      <c r="AS1082" s="214" t="str">
        <f t="shared" si="909"/>
        <v>NR</v>
      </c>
      <c r="AT1082" s="214" t="str">
        <f t="shared" si="909"/>
        <v>NR</v>
      </c>
      <c r="AU1082" s="214" t="str">
        <f t="shared" si="909"/>
        <v>NR</v>
      </c>
      <c r="AV1082" s="214" t="str">
        <f t="shared" si="909"/>
        <v>NR</v>
      </c>
      <c r="AW1082" s="214" t="str">
        <f t="shared" si="909"/>
        <v>NR</v>
      </c>
      <c r="AX1082" s="214" t="str">
        <f t="shared" si="909"/>
        <v>NR</v>
      </c>
      <c r="AY1082" s="214" t="str">
        <f t="shared" si="909"/>
        <v>NR</v>
      </c>
      <c r="AZ1082" s="214" t="str">
        <f t="shared" si="909"/>
        <v>NR</v>
      </c>
      <c r="BA1082" s="214" t="str">
        <f t="shared" si="909"/>
        <v>NR</v>
      </c>
      <c r="BB1082" s="214" t="str">
        <f t="shared" si="909"/>
        <v>NR</v>
      </c>
      <c r="BC1082" s="214" t="str">
        <f t="shared" si="909"/>
        <v>NR</v>
      </c>
      <c r="BD1082" s="214" t="str">
        <f t="shared" si="909"/>
        <v>NR</v>
      </c>
      <c r="BE1082" s="214" t="str">
        <f t="shared" si="909"/>
        <v>NR</v>
      </c>
      <c r="BF1082" s="214" t="str">
        <f t="shared" si="909"/>
        <v>NR</v>
      </c>
      <c r="BG1082" s="214" t="str">
        <f t="shared" si="909"/>
        <v>NR</v>
      </c>
      <c r="BH1082" s="214" t="str">
        <f t="shared" ref="BH1082:BM1082" si="910">IF(ISBLANK(BH$1081),"N/A",IF(COUNTIFS(GD_Item_FiscalPeriod,BH$1081,GD_Item_Name,$B1082,GD_Update_Date,BH$1079)=0,"NR",SUMIFS(GD_Guidance_Low,GD_Item_Name,$B1082,GD_Item_FiscalPeriod,BH$1081,GD_Update_Date,BH$1079)))</f>
        <v>NR</v>
      </c>
      <c r="BI1082" s="214" t="str">
        <f t="shared" si="910"/>
        <v>NR</v>
      </c>
      <c r="BJ1082" s="1117" t="str">
        <f>IF(ISBLANK(BJ$1081),"N/A",IF(COUNTIFS(GD_Item_FiscalPeriod,BJ$1081,GD_Item_Name,$B1082,GD_Update_Date,BJ$1079)=0,"NR",SUMIFS(GD_Guidance_Low,GD_Item_Name,$B1082,GD_Item_FiscalPeriod,BJ$1081,GD_Update_Date,BJ$1079)))</f>
        <v>NR</v>
      </c>
      <c r="BK1082" s="214" t="str">
        <f t="shared" si="910"/>
        <v>N/A</v>
      </c>
      <c r="BL1082" s="214" t="str">
        <f t="shared" si="910"/>
        <v>N/A</v>
      </c>
      <c r="BM1082" s="214" t="str">
        <f t="shared" si="910"/>
        <v>N/A</v>
      </c>
      <c r="BN1082" s="214" t="str">
        <f t="shared" si="909"/>
        <v>N/A</v>
      </c>
      <c r="BO1082" s="214" t="str">
        <f t="shared" ref="BO1082:BV1082" si="911">IF(ISBLANK(BO$1081),"N/A",IF(COUNTIFS(GD_Item_FiscalPeriod,BO$1081,GD_Item_Name,$B1082,GD_Update_Date,BO$1079)=0,"NR",SUMIFS(GD_Guidance_Low,GD_Item_Name,$B1082,GD_Item_FiscalPeriod,BO$1081,GD_Update_Date,BO$1079)))</f>
        <v>N/A</v>
      </c>
      <c r="BP1082" s="214" t="str">
        <f t="shared" si="911"/>
        <v>N/A</v>
      </c>
      <c r="BQ1082" s="214" t="str">
        <f t="shared" si="911"/>
        <v>N/A</v>
      </c>
      <c r="BR1082" s="214" t="str">
        <f t="shared" si="911"/>
        <v>N/A</v>
      </c>
      <c r="BS1082" s="214" t="str">
        <f t="shared" si="911"/>
        <v>N/A</v>
      </c>
      <c r="BT1082" s="214" t="str">
        <f t="shared" si="911"/>
        <v>N/A</v>
      </c>
      <c r="BU1082" s="214" t="str">
        <f t="shared" si="911"/>
        <v>N/A</v>
      </c>
      <c r="BV1082" s="1595" t="str">
        <f t="shared" si="911"/>
        <v>N/A</v>
      </c>
      <c r="BW1082" s="223"/>
    </row>
    <row r="1083" spans="1:75" x14ac:dyDescent="0.5">
      <c r="A1083" s="1593" t="s">
        <v>2722</v>
      </c>
      <c r="B1083" s="443" t="s">
        <v>2721</v>
      </c>
      <c r="C1083" s="1594"/>
      <c r="D1083" s="1594"/>
      <c r="E1083" s="214"/>
      <c r="F1083" s="214"/>
      <c r="G1083" s="214"/>
      <c r="H1083" s="214"/>
      <c r="I1083" s="214"/>
      <c r="J1083" s="214"/>
      <c r="K1083" s="214"/>
      <c r="L1083" s="214"/>
      <c r="M1083" s="214"/>
      <c r="N1083" s="214"/>
      <c r="O1083" s="214"/>
      <c r="P1083" s="214"/>
      <c r="Q1083" s="214"/>
      <c r="R1083" s="214"/>
      <c r="S1083" s="214"/>
      <c r="T1083" s="214"/>
      <c r="U1083" s="214"/>
      <c r="V1083" s="214"/>
      <c r="W1083" s="214"/>
      <c r="X1083" s="214"/>
      <c r="Y1083" s="214"/>
      <c r="Z1083" s="214"/>
      <c r="AA1083" s="214"/>
      <c r="AB1083" s="214"/>
      <c r="AC1083" s="214"/>
      <c r="AD1083" s="214" t="str">
        <f t="shared" ref="AD1083:BN1083" si="912">IF(ISBLANK(AD$1081),"N/A",IF(COUNTIFS(GD_Item_FiscalPeriod,AD$1081,GD_Item_Name,$B1083,GD_Update_Date,AD$1079)=0,"NR",SUMIFS(GD_Guidance_High,GD_Item_Name,$B1083,GD_Item_FiscalPeriod,AD$1081,GD_Update_Date,AD$1079)))</f>
        <v>NR</v>
      </c>
      <c r="AE1083" s="214" t="str">
        <f t="shared" si="912"/>
        <v>NR</v>
      </c>
      <c r="AF1083" s="214" t="str">
        <f t="shared" si="912"/>
        <v>NR</v>
      </c>
      <c r="AG1083" s="214" t="str">
        <f t="shared" si="912"/>
        <v>NR</v>
      </c>
      <c r="AH1083" s="214" t="str">
        <f t="shared" si="912"/>
        <v>NR</v>
      </c>
      <c r="AI1083" s="214" t="str">
        <f t="shared" si="912"/>
        <v>NR</v>
      </c>
      <c r="AJ1083" s="214" t="str">
        <f t="shared" si="912"/>
        <v>NR</v>
      </c>
      <c r="AK1083" s="214" t="str">
        <f t="shared" si="912"/>
        <v>NR</v>
      </c>
      <c r="AL1083" s="214" t="str">
        <f t="shared" si="912"/>
        <v>NR</v>
      </c>
      <c r="AM1083" s="214" t="str">
        <f t="shared" si="912"/>
        <v>NR</v>
      </c>
      <c r="AN1083" s="214" t="str">
        <f t="shared" si="912"/>
        <v>NR</v>
      </c>
      <c r="AO1083" s="214" t="str">
        <f t="shared" si="912"/>
        <v>NR</v>
      </c>
      <c r="AP1083" s="214" t="str">
        <f t="shared" si="912"/>
        <v>NR</v>
      </c>
      <c r="AQ1083" s="214" t="str">
        <f t="shared" si="912"/>
        <v>NR</v>
      </c>
      <c r="AR1083" s="214" t="str">
        <f t="shared" si="912"/>
        <v>NR</v>
      </c>
      <c r="AS1083" s="214" t="str">
        <f t="shared" si="912"/>
        <v>NR</v>
      </c>
      <c r="AT1083" s="214" t="str">
        <f t="shared" si="912"/>
        <v>NR</v>
      </c>
      <c r="AU1083" s="214" t="str">
        <f t="shared" si="912"/>
        <v>NR</v>
      </c>
      <c r="AV1083" s="214" t="str">
        <f t="shared" si="912"/>
        <v>NR</v>
      </c>
      <c r="AW1083" s="214" t="str">
        <f t="shared" si="912"/>
        <v>NR</v>
      </c>
      <c r="AX1083" s="214" t="str">
        <f t="shared" si="912"/>
        <v>NR</v>
      </c>
      <c r="AY1083" s="214" t="str">
        <f t="shared" si="912"/>
        <v>NR</v>
      </c>
      <c r="AZ1083" s="214" t="str">
        <f t="shared" si="912"/>
        <v>NR</v>
      </c>
      <c r="BA1083" s="214" t="str">
        <f t="shared" si="912"/>
        <v>NR</v>
      </c>
      <c r="BB1083" s="214" t="str">
        <f t="shared" si="912"/>
        <v>NR</v>
      </c>
      <c r="BC1083" s="214" t="str">
        <f t="shared" si="912"/>
        <v>NR</v>
      </c>
      <c r="BD1083" s="214" t="str">
        <f t="shared" si="912"/>
        <v>NR</v>
      </c>
      <c r="BE1083" s="214" t="str">
        <f t="shared" si="912"/>
        <v>NR</v>
      </c>
      <c r="BF1083" s="214" t="str">
        <f t="shared" si="912"/>
        <v>NR</v>
      </c>
      <c r="BG1083" s="214" t="str">
        <f t="shared" si="912"/>
        <v>NR</v>
      </c>
      <c r="BH1083" s="214" t="str">
        <f t="shared" ref="BH1083:BM1083" si="913">IF(ISBLANK(BH$1081),"N/A",IF(COUNTIFS(GD_Item_FiscalPeriod,BH$1081,GD_Item_Name,$B1083,GD_Update_Date,BH$1079)=0,"NR",SUMIFS(GD_Guidance_High,GD_Item_Name,$B1083,GD_Item_FiscalPeriod,BH$1081,GD_Update_Date,BH$1079)))</f>
        <v>NR</v>
      </c>
      <c r="BI1083" s="214" t="str">
        <f t="shared" si="913"/>
        <v>NR</v>
      </c>
      <c r="BJ1083" s="1117" t="str">
        <f>IF(ISBLANK(BJ$1081),"N/A",IF(COUNTIFS(GD_Item_FiscalPeriod,BJ$1081,GD_Item_Name,$B1083,GD_Update_Date,BJ$1079)=0,"NR",SUMIFS(GD_Guidance_High,GD_Item_Name,$B1083,GD_Item_FiscalPeriod,BJ$1081,GD_Update_Date,BJ$1079)))</f>
        <v>NR</v>
      </c>
      <c r="BK1083" s="214" t="str">
        <f t="shared" si="913"/>
        <v>N/A</v>
      </c>
      <c r="BL1083" s="214" t="str">
        <f t="shared" si="913"/>
        <v>N/A</v>
      </c>
      <c r="BM1083" s="214" t="str">
        <f t="shared" si="913"/>
        <v>N/A</v>
      </c>
      <c r="BN1083" s="214" t="str">
        <f t="shared" si="912"/>
        <v>N/A</v>
      </c>
      <c r="BO1083" s="214" t="str">
        <f t="shared" ref="BO1083:BV1083" si="914">IF(ISBLANK(BO$1081),"N/A",IF(COUNTIFS(GD_Item_FiscalPeriod,BO$1081,GD_Item_Name,$B1083,GD_Update_Date,BO$1079)=0,"NR",SUMIFS(GD_Guidance_High,GD_Item_Name,$B1083,GD_Item_FiscalPeriod,BO$1081,GD_Update_Date,BO$1079)))</f>
        <v>N/A</v>
      </c>
      <c r="BP1083" s="214" t="str">
        <f t="shared" si="914"/>
        <v>N/A</v>
      </c>
      <c r="BQ1083" s="214" t="str">
        <f t="shared" si="914"/>
        <v>N/A</v>
      </c>
      <c r="BR1083" s="214" t="str">
        <f t="shared" si="914"/>
        <v>N/A</v>
      </c>
      <c r="BS1083" s="214" t="str">
        <f t="shared" si="914"/>
        <v>N/A</v>
      </c>
      <c r="BT1083" s="214" t="str">
        <f t="shared" si="914"/>
        <v>N/A</v>
      </c>
      <c r="BU1083" s="214" t="str">
        <f t="shared" si="914"/>
        <v>N/A</v>
      </c>
      <c r="BV1083" s="1595" t="str">
        <f t="shared" si="914"/>
        <v>N/A</v>
      </c>
      <c r="BW1083" s="223"/>
    </row>
    <row r="1084" spans="1:75" x14ac:dyDescent="0.5">
      <c r="A1084" s="1593" t="s">
        <v>2723</v>
      </c>
      <c r="B1084" s="443" t="s">
        <v>2721</v>
      </c>
      <c r="C1084" s="1594"/>
      <c r="D1084" s="1594"/>
      <c r="E1084" s="214"/>
      <c r="F1084" s="214"/>
      <c r="G1084" s="214"/>
      <c r="H1084" s="214"/>
      <c r="I1084" s="214"/>
      <c r="J1084" s="214"/>
      <c r="K1084" s="214"/>
      <c r="L1084" s="214"/>
      <c r="M1084" s="214"/>
      <c r="N1084" s="214"/>
      <c r="O1084" s="214"/>
      <c r="P1084" s="214"/>
      <c r="Q1084" s="214"/>
      <c r="R1084" s="214"/>
      <c r="S1084" s="214"/>
      <c r="T1084" s="214"/>
      <c r="U1084" s="214"/>
      <c r="V1084" s="214"/>
      <c r="W1084" s="214"/>
      <c r="X1084" s="214"/>
      <c r="Y1084" s="214"/>
      <c r="Z1084" s="214"/>
      <c r="AA1084" s="214"/>
      <c r="AB1084" s="214"/>
      <c r="AC1084" s="214"/>
      <c r="AD1084" s="214" t="str">
        <f t="shared" ref="AD1084:BN1084" si="915">IF(ISBLANK(AD$1081),"N/A",IF(COUNTIFS(GD_Item_FiscalPeriod,AD$1081,GD_Item_Name,$B1084,GD_Update_Date,AD$1079)=0,"NR",SUMIFS(GD_Guidance_Mid,GD_Item_Name,$B1084,GD_Item_FiscalPeriod,AD$1081,GD_Update_Date,AD$1079)))</f>
        <v>NR</v>
      </c>
      <c r="AE1084" s="214" t="str">
        <f t="shared" si="915"/>
        <v>NR</v>
      </c>
      <c r="AF1084" s="214" t="str">
        <f t="shared" si="915"/>
        <v>NR</v>
      </c>
      <c r="AG1084" s="214" t="str">
        <f t="shared" si="915"/>
        <v>NR</v>
      </c>
      <c r="AH1084" s="214" t="str">
        <f t="shared" si="915"/>
        <v>NR</v>
      </c>
      <c r="AI1084" s="214" t="str">
        <f t="shared" si="915"/>
        <v>NR</v>
      </c>
      <c r="AJ1084" s="214" t="str">
        <f t="shared" si="915"/>
        <v>NR</v>
      </c>
      <c r="AK1084" s="214" t="str">
        <f t="shared" si="915"/>
        <v>NR</v>
      </c>
      <c r="AL1084" s="214" t="str">
        <f t="shared" si="915"/>
        <v>NR</v>
      </c>
      <c r="AM1084" s="214" t="str">
        <f t="shared" si="915"/>
        <v>NR</v>
      </c>
      <c r="AN1084" s="214" t="str">
        <f t="shared" si="915"/>
        <v>NR</v>
      </c>
      <c r="AO1084" s="214" t="str">
        <f t="shared" si="915"/>
        <v>NR</v>
      </c>
      <c r="AP1084" s="214" t="str">
        <f t="shared" si="915"/>
        <v>NR</v>
      </c>
      <c r="AQ1084" s="214" t="str">
        <f t="shared" si="915"/>
        <v>NR</v>
      </c>
      <c r="AR1084" s="214" t="str">
        <f t="shared" si="915"/>
        <v>NR</v>
      </c>
      <c r="AS1084" s="214" t="str">
        <f t="shared" si="915"/>
        <v>NR</v>
      </c>
      <c r="AT1084" s="214" t="str">
        <f t="shared" si="915"/>
        <v>NR</v>
      </c>
      <c r="AU1084" s="214" t="str">
        <f t="shared" si="915"/>
        <v>NR</v>
      </c>
      <c r="AV1084" s="214" t="str">
        <f t="shared" si="915"/>
        <v>NR</v>
      </c>
      <c r="AW1084" s="214" t="str">
        <f t="shared" si="915"/>
        <v>NR</v>
      </c>
      <c r="AX1084" s="214" t="str">
        <f t="shared" si="915"/>
        <v>NR</v>
      </c>
      <c r="AY1084" s="214" t="str">
        <f t="shared" si="915"/>
        <v>NR</v>
      </c>
      <c r="AZ1084" s="214" t="str">
        <f t="shared" si="915"/>
        <v>NR</v>
      </c>
      <c r="BA1084" s="214" t="str">
        <f t="shared" si="915"/>
        <v>NR</v>
      </c>
      <c r="BB1084" s="214" t="str">
        <f t="shared" si="915"/>
        <v>NR</v>
      </c>
      <c r="BC1084" s="214" t="str">
        <f t="shared" si="915"/>
        <v>NR</v>
      </c>
      <c r="BD1084" s="214" t="str">
        <f t="shared" si="915"/>
        <v>NR</v>
      </c>
      <c r="BE1084" s="214" t="str">
        <f t="shared" si="915"/>
        <v>NR</v>
      </c>
      <c r="BF1084" s="214" t="str">
        <f t="shared" si="915"/>
        <v>NR</v>
      </c>
      <c r="BG1084" s="214" t="str">
        <f t="shared" si="915"/>
        <v>NR</v>
      </c>
      <c r="BH1084" s="214" t="str">
        <f t="shared" ref="BH1084:BM1084" si="916">IF(ISBLANK(BH$1081),"N/A",IF(COUNTIFS(GD_Item_FiscalPeriod,BH$1081,GD_Item_Name,$B1084,GD_Update_Date,BH$1079)=0,"NR",SUMIFS(GD_Guidance_Mid,GD_Item_Name,$B1084,GD_Item_FiscalPeriod,BH$1081,GD_Update_Date,BH$1079)))</f>
        <v>NR</v>
      </c>
      <c r="BI1084" s="214" t="str">
        <f t="shared" si="916"/>
        <v>NR</v>
      </c>
      <c r="BJ1084" s="1117" t="str">
        <f>IF(ISBLANK(BJ$1081),"N/A",IF(COUNTIFS(GD_Item_FiscalPeriod,BJ$1081,GD_Item_Name,$B1084,GD_Update_Date,BJ$1079)=0,"NR",SUMIFS(GD_Guidance_Mid,GD_Item_Name,$B1084,GD_Item_FiscalPeriod,BJ$1081,GD_Update_Date,BJ$1079)))</f>
        <v>NR</v>
      </c>
      <c r="BK1084" s="214" t="str">
        <f t="shared" si="916"/>
        <v>N/A</v>
      </c>
      <c r="BL1084" s="214" t="str">
        <f t="shared" si="916"/>
        <v>N/A</v>
      </c>
      <c r="BM1084" s="214" t="str">
        <f t="shared" si="916"/>
        <v>N/A</v>
      </c>
      <c r="BN1084" s="214" t="str">
        <f t="shared" si="915"/>
        <v>N/A</v>
      </c>
      <c r="BO1084" s="214" t="str">
        <f t="shared" ref="BO1084:BV1084" si="917">IF(ISBLANK(BO$1081),"N/A",IF(COUNTIFS(GD_Item_FiscalPeriod,BO$1081,GD_Item_Name,$B1084,GD_Update_Date,BO$1079)=0,"NR",SUMIFS(GD_Guidance_Mid,GD_Item_Name,$B1084,GD_Item_FiscalPeriod,BO$1081,GD_Update_Date,BO$1079)))</f>
        <v>N/A</v>
      </c>
      <c r="BP1084" s="214" t="str">
        <f t="shared" si="917"/>
        <v>N/A</v>
      </c>
      <c r="BQ1084" s="214" t="str">
        <f t="shared" si="917"/>
        <v>N/A</v>
      </c>
      <c r="BR1084" s="214" t="str">
        <f t="shared" si="917"/>
        <v>N/A</v>
      </c>
      <c r="BS1084" s="214" t="str">
        <f t="shared" si="917"/>
        <v>N/A</v>
      </c>
      <c r="BT1084" s="214" t="str">
        <f t="shared" si="917"/>
        <v>N/A</v>
      </c>
      <c r="BU1084" s="214" t="str">
        <f t="shared" si="917"/>
        <v>N/A</v>
      </c>
      <c r="BV1084" s="1595" t="str">
        <f t="shared" si="917"/>
        <v>N/A</v>
      </c>
      <c r="BW1084" s="223"/>
    </row>
    <row r="1085" spans="1:75" x14ac:dyDescent="0.5">
      <c r="A1085" s="1593" t="s">
        <v>2724</v>
      </c>
      <c r="B1085" s="443" t="s">
        <v>2717</v>
      </c>
      <c r="C1085" s="1594"/>
      <c r="D1085" s="1594"/>
      <c r="E1085" s="214"/>
      <c r="F1085" s="214"/>
      <c r="G1085" s="214"/>
      <c r="H1085" s="214"/>
      <c r="I1085" s="214"/>
      <c r="J1085" s="214"/>
      <c r="K1085" s="214"/>
      <c r="L1085" s="214"/>
      <c r="M1085" s="214"/>
      <c r="N1085" s="214"/>
      <c r="O1085" s="214"/>
      <c r="P1085" s="214"/>
      <c r="Q1085" s="214"/>
      <c r="R1085" s="214"/>
      <c r="S1085" s="214"/>
      <c r="T1085" s="214"/>
      <c r="U1085" s="214"/>
      <c r="V1085" s="214"/>
      <c r="W1085" s="214"/>
      <c r="X1085" s="214"/>
      <c r="Y1085" s="214"/>
      <c r="Z1085" s="214"/>
      <c r="AA1085" s="214"/>
      <c r="AB1085" s="214"/>
      <c r="AC1085" s="214"/>
      <c r="AD1085" s="214" t="str">
        <f t="shared" ref="AD1085:BN1085" si="918">IF(ISBLANK(AD$1081),"N/A",IF(COUNTIFS(GD_Item_FiscalPeriod,AD$1081,GD_Item_Name,$B1085,GD_Update_Date,AD$1079)=0,"NR",SUMIFS(GD_Guidance_Low,GD_Item_Name,$B1085,GD_Item_FiscalPeriod,AD$1081,GD_Update_Date,AD$1079)))</f>
        <v>NR</v>
      </c>
      <c r="AE1085" s="214" t="str">
        <f t="shared" si="918"/>
        <v>NR</v>
      </c>
      <c r="AF1085" s="214" t="str">
        <f t="shared" si="918"/>
        <v>NR</v>
      </c>
      <c r="AG1085" s="214" t="str">
        <f t="shared" si="918"/>
        <v>NR</v>
      </c>
      <c r="AH1085" s="214" t="str">
        <f t="shared" si="918"/>
        <v>NR</v>
      </c>
      <c r="AI1085" s="214" t="str">
        <f t="shared" si="918"/>
        <v>NR</v>
      </c>
      <c r="AJ1085" s="214" t="str">
        <f t="shared" si="918"/>
        <v>NR</v>
      </c>
      <c r="AK1085" s="214" t="str">
        <f t="shared" si="918"/>
        <v>NR</v>
      </c>
      <c r="AL1085" s="214" t="str">
        <f t="shared" si="918"/>
        <v>NR</v>
      </c>
      <c r="AM1085" s="214" t="str">
        <f t="shared" si="918"/>
        <v>NR</v>
      </c>
      <c r="AN1085" s="214" t="str">
        <f t="shared" si="918"/>
        <v>NR</v>
      </c>
      <c r="AO1085" s="214" t="str">
        <f t="shared" si="918"/>
        <v>NR</v>
      </c>
      <c r="AP1085" s="214" t="str">
        <f t="shared" si="918"/>
        <v>NR</v>
      </c>
      <c r="AQ1085" s="214" t="str">
        <f t="shared" si="918"/>
        <v>NR</v>
      </c>
      <c r="AR1085" s="214" t="str">
        <f t="shared" si="918"/>
        <v>NR</v>
      </c>
      <c r="AS1085" s="214" t="str">
        <f t="shared" si="918"/>
        <v>NR</v>
      </c>
      <c r="AT1085" s="214" t="str">
        <f t="shared" si="918"/>
        <v>NR</v>
      </c>
      <c r="AU1085" s="214" t="str">
        <f t="shared" si="918"/>
        <v>NR</v>
      </c>
      <c r="AV1085" s="214" t="str">
        <f t="shared" si="918"/>
        <v>NR</v>
      </c>
      <c r="AW1085" s="214" t="str">
        <f t="shared" si="918"/>
        <v>NR</v>
      </c>
      <c r="AX1085" s="214" t="str">
        <f t="shared" si="918"/>
        <v>NR</v>
      </c>
      <c r="AY1085" s="214" t="str">
        <f t="shared" si="918"/>
        <v>NR</v>
      </c>
      <c r="AZ1085" s="214" t="str">
        <f t="shared" si="918"/>
        <v>NR</v>
      </c>
      <c r="BA1085" s="214" t="str">
        <f t="shared" si="918"/>
        <v>NR</v>
      </c>
      <c r="BB1085" s="214" t="str">
        <f t="shared" si="918"/>
        <v>NR</v>
      </c>
      <c r="BC1085" s="214" t="str">
        <f t="shared" si="918"/>
        <v>NR</v>
      </c>
      <c r="BD1085" s="214" t="str">
        <f t="shared" si="918"/>
        <v>NR</v>
      </c>
      <c r="BE1085" s="214" t="str">
        <f t="shared" si="918"/>
        <v>NR</v>
      </c>
      <c r="BF1085" s="214" t="str">
        <f t="shared" si="918"/>
        <v>NR</v>
      </c>
      <c r="BG1085" s="214" t="str">
        <f t="shared" si="918"/>
        <v>NR</v>
      </c>
      <c r="BH1085" s="214" t="str">
        <f t="shared" ref="BH1085:BM1085" si="919">IF(ISBLANK(BH$1081),"N/A",IF(COUNTIFS(GD_Item_FiscalPeriod,BH$1081,GD_Item_Name,$B1085,GD_Update_Date,BH$1079)=0,"NR",SUMIFS(GD_Guidance_Low,GD_Item_Name,$B1085,GD_Item_FiscalPeriod,BH$1081,GD_Update_Date,BH$1079)))</f>
        <v>NR</v>
      </c>
      <c r="BI1085" s="214" t="str">
        <f t="shared" si="919"/>
        <v>NR</v>
      </c>
      <c r="BJ1085" s="1117" t="str">
        <f>IF(ISBLANK(BJ$1081),"N/A",IF(COUNTIFS(GD_Item_FiscalPeriod,BJ$1081,GD_Item_Name,$B1085,GD_Update_Date,BJ$1079)=0,"NR",SUMIFS(GD_Guidance_Low,GD_Item_Name,$B1085,GD_Item_FiscalPeriod,BJ$1081,GD_Update_Date,BJ$1079)))</f>
        <v>NR</v>
      </c>
      <c r="BK1085" s="214" t="str">
        <f t="shared" si="919"/>
        <v>N/A</v>
      </c>
      <c r="BL1085" s="214" t="str">
        <f t="shared" si="919"/>
        <v>N/A</v>
      </c>
      <c r="BM1085" s="214" t="str">
        <f t="shared" si="919"/>
        <v>N/A</v>
      </c>
      <c r="BN1085" s="214" t="str">
        <f t="shared" si="918"/>
        <v>N/A</v>
      </c>
      <c r="BO1085" s="214" t="str">
        <f t="shared" ref="BO1085:BV1085" si="920">IF(ISBLANK(BO$1081),"N/A",IF(COUNTIFS(GD_Item_FiscalPeriod,BO$1081,GD_Item_Name,$B1085,GD_Update_Date,BO$1079)=0,"NR",SUMIFS(GD_Guidance_Low,GD_Item_Name,$B1085,GD_Item_FiscalPeriod,BO$1081,GD_Update_Date,BO$1079)))</f>
        <v>N/A</v>
      </c>
      <c r="BP1085" s="214" t="str">
        <f t="shared" si="920"/>
        <v>N/A</v>
      </c>
      <c r="BQ1085" s="214" t="str">
        <f t="shared" si="920"/>
        <v>N/A</v>
      </c>
      <c r="BR1085" s="214" t="str">
        <f t="shared" si="920"/>
        <v>N/A</v>
      </c>
      <c r="BS1085" s="214" t="str">
        <f t="shared" si="920"/>
        <v>N/A</v>
      </c>
      <c r="BT1085" s="214" t="str">
        <f t="shared" si="920"/>
        <v>N/A</v>
      </c>
      <c r="BU1085" s="214" t="str">
        <f t="shared" si="920"/>
        <v>N/A</v>
      </c>
      <c r="BV1085" s="1595" t="str">
        <f t="shared" si="920"/>
        <v>N/A</v>
      </c>
      <c r="BW1085" s="223"/>
    </row>
    <row r="1086" spans="1:75" x14ac:dyDescent="0.5">
      <c r="A1086" s="1593" t="s">
        <v>2725</v>
      </c>
      <c r="B1086" s="443" t="s">
        <v>2717</v>
      </c>
      <c r="C1086" s="1594"/>
      <c r="D1086" s="1594"/>
      <c r="E1086" s="214"/>
      <c r="F1086" s="214"/>
      <c r="G1086" s="214"/>
      <c r="H1086" s="214"/>
      <c r="I1086" s="214"/>
      <c r="J1086" s="214"/>
      <c r="K1086" s="214"/>
      <c r="L1086" s="214"/>
      <c r="M1086" s="214"/>
      <c r="N1086" s="214"/>
      <c r="O1086" s="214"/>
      <c r="P1086" s="214"/>
      <c r="Q1086" s="214"/>
      <c r="R1086" s="214"/>
      <c r="S1086" s="214"/>
      <c r="T1086" s="214"/>
      <c r="U1086" s="214"/>
      <c r="V1086" s="214"/>
      <c r="W1086" s="214"/>
      <c r="X1086" s="214"/>
      <c r="Y1086" s="214"/>
      <c r="Z1086" s="214"/>
      <c r="AA1086" s="214"/>
      <c r="AB1086" s="214"/>
      <c r="AC1086" s="214"/>
      <c r="AD1086" s="214" t="str">
        <f t="shared" ref="AD1086:BN1086" si="921">IF(ISBLANK(AD$1081),"N/A",IF(COUNTIFS(GD_Item_FiscalPeriod,AD$1081,GD_Item_Name,$B1086,GD_Update_Date,AD$1079)=0,"NR",SUMIFS(GD_Guidance_High,GD_Item_Name,$B1086,GD_Item_FiscalPeriod,AD$1081,GD_Update_Date,AD$1079)))</f>
        <v>NR</v>
      </c>
      <c r="AE1086" s="214" t="str">
        <f t="shared" si="921"/>
        <v>NR</v>
      </c>
      <c r="AF1086" s="214" t="str">
        <f t="shared" si="921"/>
        <v>NR</v>
      </c>
      <c r="AG1086" s="214" t="str">
        <f t="shared" si="921"/>
        <v>NR</v>
      </c>
      <c r="AH1086" s="214" t="str">
        <f t="shared" si="921"/>
        <v>NR</v>
      </c>
      <c r="AI1086" s="214" t="str">
        <f t="shared" si="921"/>
        <v>NR</v>
      </c>
      <c r="AJ1086" s="214" t="str">
        <f t="shared" si="921"/>
        <v>NR</v>
      </c>
      <c r="AK1086" s="214" t="str">
        <f t="shared" si="921"/>
        <v>NR</v>
      </c>
      <c r="AL1086" s="214" t="str">
        <f t="shared" si="921"/>
        <v>NR</v>
      </c>
      <c r="AM1086" s="214" t="str">
        <f t="shared" si="921"/>
        <v>NR</v>
      </c>
      <c r="AN1086" s="214" t="str">
        <f t="shared" si="921"/>
        <v>NR</v>
      </c>
      <c r="AO1086" s="214" t="str">
        <f t="shared" si="921"/>
        <v>NR</v>
      </c>
      <c r="AP1086" s="214" t="str">
        <f t="shared" si="921"/>
        <v>NR</v>
      </c>
      <c r="AQ1086" s="214" t="str">
        <f t="shared" si="921"/>
        <v>NR</v>
      </c>
      <c r="AR1086" s="214" t="str">
        <f t="shared" si="921"/>
        <v>NR</v>
      </c>
      <c r="AS1086" s="214" t="str">
        <f t="shared" si="921"/>
        <v>NR</v>
      </c>
      <c r="AT1086" s="214" t="str">
        <f t="shared" si="921"/>
        <v>NR</v>
      </c>
      <c r="AU1086" s="214" t="str">
        <f t="shared" si="921"/>
        <v>NR</v>
      </c>
      <c r="AV1086" s="214" t="str">
        <f t="shared" si="921"/>
        <v>NR</v>
      </c>
      <c r="AW1086" s="214" t="str">
        <f t="shared" si="921"/>
        <v>NR</v>
      </c>
      <c r="AX1086" s="214" t="str">
        <f t="shared" si="921"/>
        <v>NR</v>
      </c>
      <c r="AY1086" s="214" t="str">
        <f t="shared" si="921"/>
        <v>NR</v>
      </c>
      <c r="AZ1086" s="214" t="str">
        <f t="shared" si="921"/>
        <v>NR</v>
      </c>
      <c r="BA1086" s="214" t="str">
        <f t="shared" si="921"/>
        <v>NR</v>
      </c>
      <c r="BB1086" s="214" t="str">
        <f t="shared" si="921"/>
        <v>NR</v>
      </c>
      <c r="BC1086" s="214" t="str">
        <f t="shared" si="921"/>
        <v>NR</v>
      </c>
      <c r="BD1086" s="214" t="str">
        <f t="shared" si="921"/>
        <v>NR</v>
      </c>
      <c r="BE1086" s="214" t="str">
        <f t="shared" si="921"/>
        <v>NR</v>
      </c>
      <c r="BF1086" s="214" t="str">
        <f t="shared" si="921"/>
        <v>NR</v>
      </c>
      <c r="BG1086" s="214" t="str">
        <f t="shared" si="921"/>
        <v>NR</v>
      </c>
      <c r="BH1086" s="214" t="str">
        <f t="shared" ref="BH1086:BM1086" si="922">IF(ISBLANK(BH$1081),"N/A",IF(COUNTIFS(GD_Item_FiscalPeriod,BH$1081,GD_Item_Name,$B1086,GD_Update_Date,BH$1079)=0,"NR",SUMIFS(GD_Guidance_High,GD_Item_Name,$B1086,GD_Item_FiscalPeriod,BH$1081,GD_Update_Date,BH$1079)))</f>
        <v>NR</v>
      </c>
      <c r="BI1086" s="214" t="str">
        <f t="shared" si="922"/>
        <v>NR</v>
      </c>
      <c r="BJ1086" s="1117" t="str">
        <f>IF(ISBLANK(BJ$1081),"N/A",IF(COUNTIFS(GD_Item_FiscalPeriod,BJ$1081,GD_Item_Name,$B1086,GD_Update_Date,BJ$1079)=0,"NR",SUMIFS(GD_Guidance_High,GD_Item_Name,$B1086,GD_Item_FiscalPeriod,BJ$1081,GD_Update_Date,BJ$1079)))</f>
        <v>NR</v>
      </c>
      <c r="BK1086" s="214" t="str">
        <f t="shared" si="922"/>
        <v>N/A</v>
      </c>
      <c r="BL1086" s="214" t="str">
        <f t="shared" si="922"/>
        <v>N/A</v>
      </c>
      <c r="BM1086" s="214" t="str">
        <f t="shared" si="922"/>
        <v>N/A</v>
      </c>
      <c r="BN1086" s="214" t="str">
        <f t="shared" si="921"/>
        <v>N/A</v>
      </c>
      <c r="BO1086" s="214" t="str">
        <f t="shared" ref="BO1086:BV1086" si="923">IF(ISBLANK(BO$1081),"N/A",IF(COUNTIFS(GD_Item_FiscalPeriod,BO$1081,GD_Item_Name,$B1086,GD_Update_Date,BO$1079)=0,"NR",SUMIFS(GD_Guidance_High,GD_Item_Name,$B1086,GD_Item_FiscalPeriod,BO$1081,GD_Update_Date,BO$1079)))</f>
        <v>N/A</v>
      </c>
      <c r="BP1086" s="214" t="str">
        <f t="shared" si="923"/>
        <v>N/A</v>
      </c>
      <c r="BQ1086" s="214" t="str">
        <f t="shared" si="923"/>
        <v>N/A</v>
      </c>
      <c r="BR1086" s="214" t="str">
        <f t="shared" si="923"/>
        <v>N/A</v>
      </c>
      <c r="BS1086" s="214" t="str">
        <f t="shared" si="923"/>
        <v>N/A</v>
      </c>
      <c r="BT1086" s="214" t="str">
        <f t="shared" si="923"/>
        <v>N/A</v>
      </c>
      <c r="BU1086" s="214" t="str">
        <f t="shared" si="923"/>
        <v>N/A</v>
      </c>
      <c r="BV1086" s="1595" t="str">
        <f t="shared" si="923"/>
        <v>N/A</v>
      </c>
      <c r="BW1086" s="223"/>
    </row>
    <row r="1087" spans="1:75" x14ac:dyDescent="0.5">
      <c r="A1087" s="1593" t="s">
        <v>2726</v>
      </c>
      <c r="B1087" s="443" t="s">
        <v>2717</v>
      </c>
      <c r="C1087" s="1594"/>
      <c r="D1087" s="1594"/>
      <c r="E1087" s="214"/>
      <c r="F1087" s="214"/>
      <c r="G1087" s="214"/>
      <c r="H1087" s="214"/>
      <c r="I1087" s="214"/>
      <c r="J1087" s="214"/>
      <c r="K1087" s="214"/>
      <c r="L1087" s="214"/>
      <c r="M1087" s="214"/>
      <c r="N1087" s="214"/>
      <c r="O1087" s="214"/>
      <c r="P1087" s="214"/>
      <c r="Q1087" s="214"/>
      <c r="R1087" s="214"/>
      <c r="S1087" s="214"/>
      <c r="T1087" s="214"/>
      <c r="U1087" s="214"/>
      <c r="V1087" s="214"/>
      <c r="W1087" s="214"/>
      <c r="X1087" s="214"/>
      <c r="Y1087" s="214"/>
      <c r="Z1087" s="214"/>
      <c r="AA1087" s="214"/>
      <c r="AB1087" s="214"/>
      <c r="AC1087" s="214"/>
      <c r="AD1087" s="214" t="str">
        <f t="shared" ref="AD1087:BN1087" si="924">IF(ISBLANK(AD$1081),"N/A",IF(COUNTIFS(GD_Item_FiscalPeriod,AD$1081,GD_Item_Name,$B1087,GD_Update_Date,AD$1079)=0,"NR",SUMIFS(GD_Guidance_Mid,GD_Item_Name,$B1087,GD_Item_FiscalPeriod,AD$1081,GD_Update_Date,AD$1079)))</f>
        <v>NR</v>
      </c>
      <c r="AE1087" s="214" t="str">
        <f t="shared" si="924"/>
        <v>NR</v>
      </c>
      <c r="AF1087" s="214" t="str">
        <f t="shared" si="924"/>
        <v>NR</v>
      </c>
      <c r="AG1087" s="214" t="str">
        <f t="shared" si="924"/>
        <v>NR</v>
      </c>
      <c r="AH1087" s="214" t="str">
        <f t="shared" si="924"/>
        <v>NR</v>
      </c>
      <c r="AI1087" s="214" t="str">
        <f t="shared" si="924"/>
        <v>NR</v>
      </c>
      <c r="AJ1087" s="214" t="str">
        <f t="shared" si="924"/>
        <v>NR</v>
      </c>
      <c r="AK1087" s="214" t="str">
        <f t="shared" si="924"/>
        <v>NR</v>
      </c>
      <c r="AL1087" s="214" t="str">
        <f t="shared" si="924"/>
        <v>NR</v>
      </c>
      <c r="AM1087" s="214" t="str">
        <f t="shared" si="924"/>
        <v>NR</v>
      </c>
      <c r="AN1087" s="214" t="str">
        <f t="shared" si="924"/>
        <v>NR</v>
      </c>
      <c r="AO1087" s="214" t="str">
        <f t="shared" si="924"/>
        <v>NR</v>
      </c>
      <c r="AP1087" s="214" t="str">
        <f t="shared" si="924"/>
        <v>NR</v>
      </c>
      <c r="AQ1087" s="214" t="str">
        <f t="shared" si="924"/>
        <v>NR</v>
      </c>
      <c r="AR1087" s="214" t="str">
        <f t="shared" si="924"/>
        <v>NR</v>
      </c>
      <c r="AS1087" s="214" t="str">
        <f t="shared" si="924"/>
        <v>NR</v>
      </c>
      <c r="AT1087" s="214" t="str">
        <f t="shared" si="924"/>
        <v>NR</v>
      </c>
      <c r="AU1087" s="214" t="str">
        <f t="shared" si="924"/>
        <v>NR</v>
      </c>
      <c r="AV1087" s="214" t="str">
        <f t="shared" si="924"/>
        <v>NR</v>
      </c>
      <c r="AW1087" s="214" t="str">
        <f t="shared" si="924"/>
        <v>NR</v>
      </c>
      <c r="AX1087" s="214" t="str">
        <f t="shared" si="924"/>
        <v>NR</v>
      </c>
      <c r="AY1087" s="214" t="str">
        <f t="shared" si="924"/>
        <v>NR</v>
      </c>
      <c r="AZ1087" s="214" t="str">
        <f t="shared" si="924"/>
        <v>NR</v>
      </c>
      <c r="BA1087" s="214" t="str">
        <f t="shared" si="924"/>
        <v>NR</v>
      </c>
      <c r="BB1087" s="214" t="str">
        <f t="shared" si="924"/>
        <v>NR</v>
      </c>
      <c r="BC1087" s="214" t="str">
        <f t="shared" si="924"/>
        <v>NR</v>
      </c>
      <c r="BD1087" s="214" t="str">
        <f t="shared" si="924"/>
        <v>NR</v>
      </c>
      <c r="BE1087" s="214" t="str">
        <f t="shared" si="924"/>
        <v>NR</v>
      </c>
      <c r="BF1087" s="214" t="str">
        <f t="shared" si="924"/>
        <v>NR</v>
      </c>
      <c r="BG1087" s="214" t="str">
        <f t="shared" si="924"/>
        <v>NR</v>
      </c>
      <c r="BH1087" s="214" t="str">
        <f t="shared" ref="BH1087:BM1087" si="925">IF(ISBLANK(BH$1081),"N/A",IF(COUNTIFS(GD_Item_FiscalPeriod,BH$1081,GD_Item_Name,$B1087,GD_Update_Date,BH$1079)=0,"NR",SUMIFS(GD_Guidance_Mid,GD_Item_Name,$B1087,GD_Item_FiscalPeriod,BH$1081,GD_Update_Date,BH$1079)))</f>
        <v>NR</v>
      </c>
      <c r="BI1087" s="214" t="str">
        <f t="shared" si="925"/>
        <v>NR</v>
      </c>
      <c r="BJ1087" s="1117" t="str">
        <f>IF(ISBLANK(BJ$1081),"N/A",IF(COUNTIFS(GD_Item_FiscalPeriod,BJ$1081,GD_Item_Name,$B1087,GD_Update_Date,BJ$1079)=0,"NR",SUMIFS(GD_Guidance_Mid,GD_Item_Name,$B1087,GD_Item_FiscalPeriod,BJ$1081,GD_Update_Date,BJ$1079)))</f>
        <v>NR</v>
      </c>
      <c r="BK1087" s="214" t="str">
        <f t="shared" si="925"/>
        <v>N/A</v>
      </c>
      <c r="BL1087" s="214" t="str">
        <f t="shared" si="925"/>
        <v>N/A</v>
      </c>
      <c r="BM1087" s="214" t="str">
        <f t="shared" si="925"/>
        <v>N/A</v>
      </c>
      <c r="BN1087" s="214" t="str">
        <f t="shared" si="924"/>
        <v>N/A</v>
      </c>
      <c r="BO1087" s="214" t="str">
        <f t="shared" ref="BO1087:BV1087" si="926">IF(ISBLANK(BO$1081),"N/A",IF(COUNTIFS(GD_Item_FiscalPeriod,BO$1081,GD_Item_Name,$B1087,GD_Update_Date,BO$1079)=0,"NR",SUMIFS(GD_Guidance_Mid,GD_Item_Name,$B1087,GD_Item_FiscalPeriod,BO$1081,GD_Update_Date,BO$1079)))</f>
        <v>N/A</v>
      </c>
      <c r="BP1087" s="214" t="str">
        <f t="shared" si="926"/>
        <v>N/A</v>
      </c>
      <c r="BQ1087" s="214" t="str">
        <f t="shared" si="926"/>
        <v>N/A</v>
      </c>
      <c r="BR1087" s="214" t="str">
        <f t="shared" si="926"/>
        <v>N/A</v>
      </c>
      <c r="BS1087" s="214" t="str">
        <f t="shared" si="926"/>
        <v>N/A</v>
      </c>
      <c r="BT1087" s="214" t="str">
        <f t="shared" si="926"/>
        <v>N/A</v>
      </c>
      <c r="BU1087" s="214" t="str">
        <f t="shared" si="926"/>
        <v>N/A</v>
      </c>
      <c r="BV1087" s="1595" t="str">
        <f t="shared" si="926"/>
        <v>N/A</v>
      </c>
      <c r="BW1087" s="223"/>
    </row>
    <row r="1088" spans="1:75" x14ac:dyDescent="0.5">
      <c r="A1088" s="1593" t="s">
        <v>2727</v>
      </c>
      <c r="B1088" s="443" t="s">
        <v>1594</v>
      </c>
      <c r="C1088" s="1594"/>
      <c r="D1088" s="1594"/>
      <c r="E1088" s="214"/>
      <c r="F1088" s="214"/>
      <c r="G1088" s="214"/>
      <c r="H1088" s="214"/>
      <c r="I1088" s="214"/>
      <c r="J1088" s="214"/>
      <c r="K1088" s="214"/>
      <c r="L1088" s="214"/>
      <c r="M1088" s="214"/>
      <c r="N1088" s="214"/>
      <c r="O1088" s="214"/>
      <c r="P1088" s="214"/>
      <c r="Q1088" s="214"/>
      <c r="R1088" s="214"/>
      <c r="S1088" s="214"/>
      <c r="T1088" s="214"/>
      <c r="U1088" s="214"/>
      <c r="V1088" s="214"/>
      <c r="W1088" s="214"/>
      <c r="X1088" s="214"/>
      <c r="Y1088" s="214"/>
      <c r="Z1088" s="214"/>
      <c r="AA1088" s="214"/>
      <c r="AB1088" s="214"/>
      <c r="AC1088" s="214"/>
      <c r="AD1088" s="214" t="str">
        <f t="shared" ref="AD1088:BN1088" si="927">IF(ISBLANK(AD$1081),"N/A",IF(COUNTIFS(GD_Item_FiscalPeriod,AD$1081,GD_Item_Name,$B1088,GD_Update_Date,AD$1079)=0,"NR",SUMIFS(GD_Guidance_Low,GD_Item_Name,$B1088,GD_Item_FiscalPeriod,AD$1081,GD_Update_Date,AD$1079)))</f>
        <v>NR</v>
      </c>
      <c r="AE1088" s="214" t="str">
        <f t="shared" si="927"/>
        <v>NR</v>
      </c>
      <c r="AF1088" s="214" t="str">
        <f t="shared" si="927"/>
        <v>NR</v>
      </c>
      <c r="AG1088" s="214" t="str">
        <f t="shared" si="927"/>
        <v>NR</v>
      </c>
      <c r="AH1088" s="214" t="str">
        <f t="shared" si="927"/>
        <v>NR</v>
      </c>
      <c r="AI1088" s="214" t="str">
        <f t="shared" si="927"/>
        <v>NR</v>
      </c>
      <c r="AJ1088" s="214" t="str">
        <f t="shared" si="927"/>
        <v>NR</v>
      </c>
      <c r="AK1088" s="214" t="str">
        <f t="shared" si="927"/>
        <v>NR</v>
      </c>
      <c r="AL1088" s="214" t="str">
        <f t="shared" si="927"/>
        <v>NR</v>
      </c>
      <c r="AM1088" s="214" t="str">
        <f t="shared" si="927"/>
        <v>NR</v>
      </c>
      <c r="AN1088" s="214" t="str">
        <f t="shared" si="927"/>
        <v>NR</v>
      </c>
      <c r="AO1088" s="214" t="str">
        <f t="shared" si="927"/>
        <v>NR</v>
      </c>
      <c r="AP1088" s="214" t="str">
        <f t="shared" si="927"/>
        <v>NR</v>
      </c>
      <c r="AQ1088" s="214" t="str">
        <f t="shared" si="927"/>
        <v>NR</v>
      </c>
      <c r="AR1088" s="214" t="str">
        <f t="shared" si="927"/>
        <v>NR</v>
      </c>
      <c r="AS1088" s="214" t="str">
        <f t="shared" si="927"/>
        <v>NR</v>
      </c>
      <c r="AT1088" s="214" t="str">
        <f t="shared" si="927"/>
        <v>NR</v>
      </c>
      <c r="AU1088" s="214" t="str">
        <f t="shared" si="927"/>
        <v>NR</v>
      </c>
      <c r="AV1088" s="214" t="str">
        <f t="shared" si="927"/>
        <v>NR</v>
      </c>
      <c r="AW1088" s="214" t="str">
        <f t="shared" si="927"/>
        <v>NR</v>
      </c>
      <c r="AX1088" s="214" t="str">
        <f t="shared" si="927"/>
        <v>NR</v>
      </c>
      <c r="AY1088" s="214" t="str">
        <f t="shared" si="927"/>
        <v>NR</v>
      </c>
      <c r="AZ1088" s="214" t="str">
        <f t="shared" si="927"/>
        <v>NR</v>
      </c>
      <c r="BA1088" s="214" t="str">
        <f t="shared" si="927"/>
        <v>NR</v>
      </c>
      <c r="BB1088" s="214" t="str">
        <f t="shared" si="927"/>
        <v>NR</v>
      </c>
      <c r="BC1088" s="214" t="str">
        <f t="shared" si="927"/>
        <v>NR</v>
      </c>
      <c r="BD1088" s="214" t="str">
        <f t="shared" si="927"/>
        <v>NR</v>
      </c>
      <c r="BE1088" s="214" t="str">
        <f t="shared" si="927"/>
        <v>NR</v>
      </c>
      <c r="BF1088" s="214" t="str">
        <f t="shared" si="927"/>
        <v>NR</v>
      </c>
      <c r="BG1088" s="214" t="str">
        <f t="shared" si="927"/>
        <v>NR</v>
      </c>
      <c r="BH1088" s="214" t="str">
        <f t="shared" ref="BH1088:BM1088" si="928">IF(ISBLANK(BH$1081),"N/A",IF(COUNTIFS(GD_Item_FiscalPeriod,BH$1081,GD_Item_Name,$B1088,GD_Update_Date,BH$1079)=0,"NR",SUMIFS(GD_Guidance_Low,GD_Item_Name,$B1088,GD_Item_FiscalPeriod,BH$1081,GD_Update_Date,BH$1079)))</f>
        <v>NR</v>
      </c>
      <c r="BI1088" s="214" t="str">
        <f t="shared" si="928"/>
        <v>NR</v>
      </c>
      <c r="BJ1088" s="1117" t="str">
        <f>IF(ISBLANK(BJ$1081),"N/A",IF(COUNTIFS(GD_Item_FiscalPeriod,BJ$1081,GD_Item_Name,$B1088,GD_Update_Date,BJ$1079)=0,"NR",SUMIFS(GD_Guidance_Low,GD_Item_Name,$B1088,GD_Item_FiscalPeriod,BJ$1081,GD_Update_Date,BJ$1079)))</f>
        <v>NR</v>
      </c>
      <c r="BK1088" s="214" t="str">
        <f t="shared" si="928"/>
        <v>N/A</v>
      </c>
      <c r="BL1088" s="214" t="str">
        <f t="shared" si="928"/>
        <v>N/A</v>
      </c>
      <c r="BM1088" s="214" t="str">
        <f t="shared" si="928"/>
        <v>N/A</v>
      </c>
      <c r="BN1088" s="214" t="str">
        <f t="shared" si="927"/>
        <v>N/A</v>
      </c>
      <c r="BO1088" s="214" t="str">
        <f t="shared" ref="BO1088:BV1088" si="929">IF(ISBLANK(BO$1081),"N/A",IF(COUNTIFS(GD_Item_FiscalPeriod,BO$1081,GD_Item_Name,$B1088,GD_Update_Date,BO$1079)=0,"NR",SUMIFS(GD_Guidance_Low,GD_Item_Name,$B1088,GD_Item_FiscalPeriod,BO$1081,GD_Update_Date,BO$1079)))</f>
        <v>N/A</v>
      </c>
      <c r="BP1088" s="214" t="str">
        <f t="shared" si="929"/>
        <v>N/A</v>
      </c>
      <c r="BQ1088" s="214" t="str">
        <f t="shared" si="929"/>
        <v>N/A</v>
      </c>
      <c r="BR1088" s="214" t="str">
        <f t="shared" si="929"/>
        <v>N/A</v>
      </c>
      <c r="BS1088" s="214" t="str">
        <f t="shared" si="929"/>
        <v>N/A</v>
      </c>
      <c r="BT1088" s="214" t="str">
        <f t="shared" si="929"/>
        <v>N/A</v>
      </c>
      <c r="BU1088" s="214" t="str">
        <f t="shared" si="929"/>
        <v>N/A</v>
      </c>
      <c r="BV1088" s="1595" t="str">
        <f t="shared" si="929"/>
        <v>N/A</v>
      </c>
      <c r="BW1088" s="223"/>
    </row>
    <row r="1089" spans="1:75" x14ac:dyDescent="0.5">
      <c r="A1089" s="1593" t="s">
        <v>2728</v>
      </c>
      <c r="B1089" s="443" t="s">
        <v>1594</v>
      </c>
      <c r="C1089" s="1594"/>
      <c r="D1089" s="1594"/>
      <c r="E1089" s="214"/>
      <c r="F1089" s="214"/>
      <c r="G1089" s="214"/>
      <c r="H1089" s="214"/>
      <c r="I1089" s="214"/>
      <c r="J1089" s="214"/>
      <c r="K1089" s="214"/>
      <c r="L1089" s="214"/>
      <c r="M1089" s="214"/>
      <c r="N1089" s="214"/>
      <c r="O1089" s="214"/>
      <c r="P1089" s="214"/>
      <c r="Q1089" s="214"/>
      <c r="R1089" s="214"/>
      <c r="S1089" s="214"/>
      <c r="T1089" s="214"/>
      <c r="U1089" s="214"/>
      <c r="V1089" s="214"/>
      <c r="W1089" s="214"/>
      <c r="X1089" s="214"/>
      <c r="Y1089" s="214"/>
      <c r="Z1089" s="214"/>
      <c r="AA1089" s="214"/>
      <c r="AB1089" s="214"/>
      <c r="AC1089" s="214"/>
      <c r="AD1089" s="214" t="str">
        <f t="shared" ref="AD1089:BN1089" si="930">IF(ISBLANK(AD$1081),"N/A",IF(COUNTIFS(GD_Item_FiscalPeriod,AD$1081,GD_Item_Name,$B1089,GD_Update_Date,AD$1079)=0,"NR",SUMIFS(GD_Guidance_High,GD_Item_Name,$B1089,GD_Item_FiscalPeriod,AD$1081,GD_Update_Date,AD$1079)))</f>
        <v>NR</v>
      </c>
      <c r="AE1089" s="214" t="str">
        <f t="shared" si="930"/>
        <v>NR</v>
      </c>
      <c r="AF1089" s="214" t="str">
        <f t="shared" si="930"/>
        <v>NR</v>
      </c>
      <c r="AG1089" s="214" t="str">
        <f t="shared" si="930"/>
        <v>NR</v>
      </c>
      <c r="AH1089" s="214" t="str">
        <f t="shared" si="930"/>
        <v>NR</v>
      </c>
      <c r="AI1089" s="214" t="str">
        <f t="shared" si="930"/>
        <v>NR</v>
      </c>
      <c r="AJ1089" s="214" t="str">
        <f t="shared" si="930"/>
        <v>NR</v>
      </c>
      <c r="AK1089" s="214" t="str">
        <f t="shared" si="930"/>
        <v>NR</v>
      </c>
      <c r="AL1089" s="214" t="str">
        <f t="shared" si="930"/>
        <v>NR</v>
      </c>
      <c r="AM1089" s="214" t="str">
        <f t="shared" si="930"/>
        <v>NR</v>
      </c>
      <c r="AN1089" s="214" t="str">
        <f t="shared" si="930"/>
        <v>NR</v>
      </c>
      <c r="AO1089" s="214" t="str">
        <f t="shared" si="930"/>
        <v>NR</v>
      </c>
      <c r="AP1089" s="214" t="str">
        <f t="shared" si="930"/>
        <v>NR</v>
      </c>
      <c r="AQ1089" s="214" t="str">
        <f t="shared" si="930"/>
        <v>NR</v>
      </c>
      <c r="AR1089" s="214" t="str">
        <f t="shared" si="930"/>
        <v>NR</v>
      </c>
      <c r="AS1089" s="214" t="str">
        <f t="shared" si="930"/>
        <v>NR</v>
      </c>
      <c r="AT1089" s="214" t="str">
        <f t="shared" si="930"/>
        <v>NR</v>
      </c>
      <c r="AU1089" s="214" t="str">
        <f t="shared" si="930"/>
        <v>NR</v>
      </c>
      <c r="AV1089" s="214" t="str">
        <f t="shared" si="930"/>
        <v>NR</v>
      </c>
      <c r="AW1089" s="214" t="str">
        <f t="shared" si="930"/>
        <v>NR</v>
      </c>
      <c r="AX1089" s="214" t="str">
        <f t="shared" si="930"/>
        <v>NR</v>
      </c>
      <c r="AY1089" s="214" t="str">
        <f t="shared" si="930"/>
        <v>NR</v>
      </c>
      <c r="AZ1089" s="214" t="str">
        <f t="shared" si="930"/>
        <v>NR</v>
      </c>
      <c r="BA1089" s="214" t="str">
        <f t="shared" si="930"/>
        <v>NR</v>
      </c>
      <c r="BB1089" s="214" t="str">
        <f t="shared" si="930"/>
        <v>NR</v>
      </c>
      <c r="BC1089" s="214" t="str">
        <f t="shared" si="930"/>
        <v>NR</v>
      </c>
      <c r="BD1089" s="214" t="str">
        <f t="shared" si="930"/>
        <v>NR</v>
      </c>
      <c r="BE1089" s="214" t="str">
        <f t="shared" si="930"/>
        <v>NR</v>
      </c>
      <c r="BF1089" s="214" t="str">
        <f t="shared" si="930"/>
        <v>NR</v>
      </c>
      <c r="BG1089" s="214" t="str">
        <f t="shared" si="930"/>
        <v>NR</v>
      </c>
      <c r="BH1089" s="214" t="str">
        <f t="shared" ref="BH1089:BM1089" si="931">IF(ISBLANK(BH$1081),"N/A",IF(COUNTIFS(GD_Item_FiscalPeriod,BH$1081,GD_Item_Name,$B1089,GD_Update_Date,BH$1079)=0,"NR",SUMIFS(GD_Guidance_High,GD_Item_Name,$B1089,GD_Item_FiscalPeriod,BH$1081,GD_Update_Date,BH$1079)))</f>
        <v>NR</v>
      </c>
      <c r="BI1089" s="214" t="str">
        <f t="shared" si="931"/>
        <v>NR</v>
      </c>
      <c r="BJ1089" s="1117" t="str">
        <f>IF(ISBLANK(BJ$1081),"N/A",IF(COUNTIFS(GD_Item_FiscalPeriod,BJ$1081,GD_Item_Name,$B1089,GD_Update_Date,BJ$1079)=0,"NR",SUMIFS(GD_Guidance_High,GD_Item_Name,$B1089,GD_Item_FiscalPeriod,BJ$1081,GD_Update_Date,BJ$1079)))</f>
        <v>NR</v>
      </c>
      <c r="BK1089" s="214" t="str">
        <f t="shared" si="931"/>
        <v>N/A</v>
      </c>
      <c r="BL1089" s="214" t="str">
        <f t="shared" si="931"/>
        <v>N/A</v>
      </c>
      <c r="BM1089" s="214" t="str">
        <f t="shared" si="931"/>
        <v>N/A</v>
      </c>
      <c r="BN1089" s="214" t="str">
        <f t="shared" si="930"/>
        <v>N/A</v>
      </c>
      <c r="BO1089" s="214" t="str">
        <f t="shared" ref="BO1089:BV1089" si="932">IF(ISBLANK(BO$1081),"N/A",IF(COUNTIFS(GD_Item_FiscalPeriod,BO$1081,GD_Item_Name,$B1089,GD_Update_Date,BO$1079)=0,"NR",SUMIFS(GD_Guidance_High,GD_Item_Name,$B1089,GD_Item_FiscalPeriod,BO$1081,GD_Update_Date,BO$1079)))</f>
        <v>N/A</v>
      </c>
      <c r="BP1089" s="214" t="str">
        <f t="shared" si="932"/>
        <v>N/A</v>
      </c>
      <c r="BQ1089" s="214" t="str">
        <f t="shared" si="932"/>
        <v>N/A</v>
      </c>
      <c r="BR1089" s="214" t="str">
        <f t="shared" si="932"/>
        <v>N/A</v>
      </c>
      <c r="BS1089" s="214" t="str">
        <f t="shared" si="932"/>
        <v>N/A</v>
      </c>
      <c r="BT1089" s="214" t="str">
        <f t="shared" si="932"/>
        <v>N/A</v>
      </c>
      <c r="BU1089" s="214" t="str">
        <f t="shared" si="932"/>
        <v>N/A</v>
      </c>
      <c r="BV1089" s="1595" t="str">
        <f t="shared" si="932"/>
        <v>N/A</v>
      </c>
      <c r="BW1089" s="223"/>
    </row>
    <row r="1090" spans="1:75" x14ac:dyDescent="0.5">
      <c r="A1090" s="1593" t="s">
        <v>2729</v>
      </c>
      <c r="B1090" s="443" t="s">
        <v>1594</v>
      </c>
      <c r="C1090" s="1594"/>
      <c r="D1090" s="1594"/>
      <c r="E1090" s="214"/>
      <c r="F1090" s="214"/>
      <c r="G1090" s="214"/>
      <c r="H1090" s="214"/>
      <c r="I1090" s="214"/>
      <c r="J1090" s="214"/>
      <c r="K1090" s="214"/>
      <c r="L1090" s="214"/>
      <c r="M1090" s="214"/>
      <c r="N1090" s="214"/>
      <c r="O1090" s="214"/>
      <c r="P1090" s="214"/>
      <c r="Q1090" s="214"/>
      <c r="R1090" s="214"/>
      <c r="S1090" s="214"/>
      <c r="T1090" s="214"/>
      <c r="U1090" s="214"/>
      <c r="V1090" s="214"/>
      <c r="W1090" s="214"/>
      <c r="X1090" s="214"/>
      <c r="Y1090" s="214"/>
      <c r="Z1090" s="214"/>
      <c r="AA1090" s="214"/>
      <c r="AB1090" s="214"/>
      <c r="AC1090" s="214"/>
      <c r="AD1090" s="214" t="str">
        <f t="shared" ref="AD1090:BN1090" si="933">IF(ISBLANK(AD$1081),"N/A",IF(COUNTIFS(GD_Item_FiscalPeriod,AD$1081,GD_Item_Name,$B1090,GD_Update_Date,AD$1079)=0,"NR",SUMIFS(GD_Guidance_Mid,GD_Item_Name,$B1090,GD_Item_FiscalPeriod,AD$1081,GD_Update_Date,AD$1079)))</f>
        <v>NR</v>
      </c>
      <c r="AE1090" s="214" t="str">
        <f t="shared" si="933"/>
        <v>NR</v>
      </c>
      <c r="AF1090" s="214" t="str">
        <f t="shared" si="933"/>
        <v>NR</v>
      </c>
      <c r="AG1090" s="214" t="str">
        <f t="shared" si="933"/>
        <v>NR</v>
      </c>
      <c r="AH1090" s="214" t="str">
        <f t="shared" si="933"/>
        <v>NR</v>
      </c>
      <c r="AI1090" s="214" t="str">
        <f t="shared" si="933"/>
        <v>NR</v>
      </c>
      <c r="AJ1090" s="214" t="str">
        <f t="shared" si="933"/>
        <v>NR</v>
      </c>
      <c r="AK1090" s="214" t="str">
        <f t="shared" si="933"/>
        <v>NR</v>
      </c>
      <c r="AL1090" s="214" t="str">
        <f t="shared" si="933"/>
        <v>NR</v>
      </c>
      <c r="AM1090" s="214" t="str">
        <f t="shared" si="933"/>
        <v>NR</v>
      </c>
      <c r="AN1090" s="214" t="str">
        <f t="shared" si="933"/>
        <v>NR</v>
      </c>
      <c r="AO1090" s="214" t="str">
        <f t="shared" si="933"/>
        <v>NR</v>
      </c>
      <c r="AP1090" s="214" t="str">
        <f t="shared" si="933"/>
        <v>NR</v>
      </c>
      <c r="AQ1090" s="214" t="str">
        <f t="shared" si="933"/>
        <v>NR</v>
      </c>
      <c r="AR1090" s="214" t="str">
        <f t="shared" si="933"/>
        <v>NR</v>
      </c>
      <c r="AS1090" s="214" t="str">
        <f t="shared" si="933"/>
        <v>NR</v>
      </c>
      <c r="AT1090" s="214" t="str">
        <f t="shared" si="933"/>
        <v>NR</v>
      </c>
      <c r="AU1090" s="214" t="str">
        <f t="shared" si="933"/>
        <v>NR</v>
      </c>
      <c r="AV1090" s="214" t="str">
        <f t="shared" si="933"/>
        <v>NR</v>
      </c>
      <c r="AW1090" s="214" t="str">
        <f t="shared" si="933"/>
        <v>NR</v>
      </c>
      <c r="AX1090" s="214" t="str">
        <f t="shared" si="933"/>
        <v>NR</v>
      </c>
      <c r="AY1090" s="214" t="str">
        <f t="shared" si="933"/>
        <v>NR</v>
      </c>
      <c r="AZ1090" s="214" t="str">
        <f t="shared" si="933"/>
        <v>NR</v>
      </c>
      <c r="BA1090" s="214" t="str">
        <f t="shared" si="933"/>
        <v>NR</v>
      </c>
      <c r="BB1090" s="214" t="str">
        <f t="shared" si="933"/>
        <v>NR</v>
      </c>
      <c r="BC1090" s="214" t="str">
        <f t="shared" si="933"/>
        <v>NR</v>
      </c>
      <c r="BD1090" s="214" t="str">
        <f t="shared" si="933"/>
        <v>NR</v>
      </c>
      <c r="BE1090" s="214" t="str">
        <f t="shared" si="933"/>
        <v>NR</v>
      </c>
      <c r="BF1090" s="214" t="str">
        <f t="shared" si="933"/>
        <v>NR</v>
      </c>
      <c r="BG1090" s="214" t="str">
        <f t="shared" si="933"/>
        <v>NR</v>
      </c>
      <c r="BH1090" s="214" t="str">
        <f t="shared" ref="BH1090:BM1090" si="934">IF(ISBLANK(BH$1081),"N/A",IF(COUNTIFS(GD_Item_FiscalPeriod,BH$1081,GD_Item_Name,$B1090,GD_Update_Date,BH$1079)=0,"NR",SUMIFS(GD_Guidance_Mid,GD_Item_Name,$B1090,GD_Item_FiscalPeriod,BH$1081,GD_Update_Date,BH$1079)))</f>
        <v>NR</v>
      </c>
      <c r="BI1090" s="214" t="str">
        <f t="shared" si="934"/>
        <v>NR</v>
      </c>
      <c r="BJ1090" s="1117" t="str">
        <f>IF(ISBLANK(BJ$1081),"N/A",IF(COUNTIFS(GD_Item_FiscalPeriod,BJ$1081,GD_Item_Name,$B1090,GD_Update_Date,BJ$1079)=0,"NR",SUMIFS(GD_Guidance_Mid,GD_Item_Name,$B1090,GD_Item_FiscalPeriod,BJ$1081,GD_Update_Date,BJ$1079)))</f>
        <v>NR</v>
      </c>
      <c r="BK1090" s="214" t="str">
        <f t="shared" si="934"/>
        <v>N/A</v>
      </c>
      <c r="BL1090" s="214" t="str">
        <f t="shared" si="934"/>
        <v>N/A</v>
      </c>
      <c r="BM1090" s="214" t="str">
        <f t="shared" si="934"/>
        <v>N/A</v>
      </c>
      <c r="BN1090" s="214" t="str">
        <f t="shared" si="933"/>
        <v>N/A</v>
      </c>
      <c r="BO1090" s="214" t="str">
        <f t="shared" ref="BO1090:BV1090" si="935">IF(ISBLANK(BO$1081),"N/A",IF(COUNTIFS(GD_Item_FiscalPeriod,BO$1081,GD_Item_Name,$B1090,GD_Update_Date,BO$1079)=0,"NR",SUMIFS(GD_Guidance_Mid,GD_Item_Name,$B1090,GD_Item_FiscalPeriod,BO$1081,GD_Update_Date,BO$1079)))</f>
        <v>N/A</v>
      </c>
      <c r="BP1090" s="214" t="str">
        <f t="shared" si="935"/>
        <v>N/A</v>
      </c>
      <c r="BQ1090" s="214" t="str">
        <f t="shared" si="935"/>
        <v>N/A</v>
      </c>
      <c r="BR1090" s="214" t="str">
        <f t="shared" si="935"/>
        <v>N/A</v>
      </c>
      <c r="BS1090" s="214" t="str">
        <f t="shared" si="935"/>
        <v>N/A</v>
      </c>
      <c r="BT1090" s="214" t="str">
        <f t="shared" si="935"/>
        <v>N/A</v>
      </c>
      <c r="BU1090" s="214" t="str">
        <f t="shared" si="935"/>
        <v>N/A</v>
      </c>
      <c r="BV1090" s="1595" t="str">
        <f t="shared" si="935"/>
        <v>N/A</v>
      </c>
      <c r="BW1090" s="223"/>
    </row>
    <row r="1091" spans="1:75" x14ac:dyDescent="0.5">
      <c r="A1091" s="1596"/>
      <c r="B1091" s="1221"/>
      <c r="C1091" s="1021"/>
      <c r="D1091" s="1021"/>
      <c r="E1091" s="1221"/>
      <c r="F1091" s="1221"/>
      <c r="G1091" s="1221"/>
      <c r="H1091" s="1221"/>
      <c r="I1091" s="1221"/>
      <c r="J1091" s="1221"/>
      <c r="K1091" s="1221"/>
      <c r="L1091" s="1221"/>
      <c r="M1091" s="1221"/>
      <c r="N1091" s="1221"/>
      <c r="O1091" s="1221"/>
      <c r="P1091" s="1221"/>
      <c r="Q1091" s="1221"/>
      <c r="R1091" s="1221"/>
      <c r="S1091" s="1221"/>
      <c r="T1091" s="1221"/>
      <c r="U1091" s="1221"/>
      <c r="V1091" s="1221"/>
      <c r="W1091" s="1221"/>
      <c r="X1091" s="1221"/>
      <c r="Y1091" s="1221"/>
      <c r="Z1091" s="1221"/>
      <c r="AA1091" s="1221"/>
      <c r="AB1091" s="1221"/>
      <c r="AC1091" s="1221"/>
      <c r="AD1091" s="1221"/>
      <c r="AE1091" s="1221"/>
      <c r="AF1091" s="1221"/>
      <c r="AG1091" s="1221"/>
      <c r="AH1091" s="1221"/>
      <c r="AI1091" s="1221"/>
      <c r="AJ1091" s="1221"/>
      <c r="AK1091" s="1221"/>
      <c r="AL1091" s="1221"/>
      <c r="AM1091" s="1221"/>
      <c r="AN1091" s="1221"/>
      <c r="AO1091" s="1221"/>
      <c r="AP1091" s="1221"/>
      <c r="AQ1091" s="1221"/>
      <c r="AR1091" s="1221"/>
      <c r="AS1091" s="1221"/>
      <c r="AT1091" s="1221"/>
      <c r="AU1091" s="1221"/>
      <c r="AV1091" s="1221"/>
      <c r="AW1091" s="1221"/>
      <c r="AX1091" s="1221"/>
      <c r="AY1091" s="1221"/>
      <c r="AZ1091" s="1221"/>
      <c r="BA1091" s="1221"/>
      <c r="BB1091" s="1221"/>
      <c r="BC1091" s="1221"/>
      <c r="BD1091" s="1221"/>
      <c r="BE1091" s="1221"/>
      <c r="BF1091" s="1221"/>
      <c r="BG1091" s="1221"/>
      <c r="BH1091" s="1221"/>
      <c r="BI1091" s="1221"/>
      <c r="BJ1091" s="1022"/>
      <c r="BK1091" s="1221"/>
      <c r="BL1091" s="1221"/>
      <c r="BM1091" s="1221"/>
      <c r="BN1091" s="1221"/>
      <c r="BO1091" s="1221"/>
      <c r="BP1091" s="1221"/>
      <c r="BQ1091" s="1221"/>
      <c r="BR1091" s="1221"/>
      <c r="BS1091" s="1221"/>
      <c r="BT1091" s="1221"/>
      <c r="BU1091" s="1221"/>
      <c r="BV1091" s="1023"/>
      <c r="BW1091" s="223"/>
    </row>
    <row r="1092" spans="1:75" x14ac:dyDescent="0.5">
      <c r="A1092" s="972"/>
      <c r="B1092" s="987"/>
      <c r="C1092" s="1003"/>
      <c r="D1092" s="1003"/>
      <c r="E1092" s="987"/>
      <c r="F1092" s="987"/>
      <c r="G1092" s="987"/>
      <c r="H1092" s="987"/>
      <c r="I1092" s="987"/>
      <c r="J1092" s="987"/>
      <c r="K1092" s="987"/>
      <c r="L1092" s="987"/>
      <c r="M1092" s="987"/>
      <c r="N1092" s="987"/>
      <c r="O1092" s="987"/>
      <c r="P1092" s="987"/>
      <c r="Q1092" s="987"/>
      <c r="R1092" s="987"/>
      <c r="S1092" s="987"/>
      <c r="T1092" s="987"/>
      <c r="U1092" s="987"/>
      <c r="V1092" s="987"/>
      <c r="W1092" s="987"/>
      <c r="X1092" s="987"/>
      <c r="Y1092" s="987"/>
      <c r="Z1092" s="987"/>
      <c r="AA1092" s="987"/>
      <c r="AB1092" s="987"/>
      <c r="AC1092" s="987"/>
      <c r="AD1092" s="987"/>
      <c r="AE1092" s="987"/>
      <c r="AF1092" s="987"/>
      <c r="AG1092" s="987"/>
      <c r="AH1092" s="987"/>
      <c r="AI1092" s="987"/>
      <c r="AJ1092" s="987"/>
      <c r="AK1092" s="987"/>
      <c r="AL1092" s="987"/>
      <c r="AM1092" s="987"/>
      <c r="AN1092" s="987"/>
      <c r="AO1092" s="987"/>
      <c r="AP1092" s="987"/>
      <c r="AQ1092" s="987"/>
      <c r="AR1092" s="987"/>
      <c r="AS1092" s="987"/>
      <c r="AT1092" s="987"/>
      <c r="AU1092" s="987"/>
      <c r="AV1092" s="987"/>
      <c r="AW1092" s="987"/>
      <c r="AX1092" s="987"/>
      <c r="AY1092" s="987"/>
      <c r="AZ1092" s="987"/>
      <c r="BA1092" s="987"/>
      <c r="BB1092" s="987"/>
      <c r="BC1092" s="987"/>
      <c r="BD1092" s="987"/>
      <c r="BE1092" s="987"/>
      <c r="BF1092" s="987"/>
      <c r="BG1092" s="987"/>
      <c r="BH1092" s="987"/>
      <c r="BI1092" s="987"/>
      <c r="BJ1092" s="1004"/>
      <c r="BK1092" s="987"/>
      <c r="BL1092" s="987"/>
      <c r="BM1092" s="987"/>
      <c r="BN1092" s="987"/>
      <c r="BO1092" s="987"/>
      <c r="BP1092" s="987"/>
      <c r="BQ1092" s="987"/>
      <c r="BR1092" s="987"/>
      <c r="BS1092" s="987"/>
      <c r="BT1092" s="987"/>
      <c r="BU1092" s="987"/>
      <c r="BV1092" s="987"/>
      <c r="BW1092" s="223"/>
    </row>
    <row r="1093" spans="1:75" x14ac:dyDescent="0.5">
      <c r="A1093" s="1025" t="s">
        <v>1602</v>
      </c>
      <c r="B1093" s="327"/>
      <c r="C1093" s="327"/>
      <c r="D1093" s="327"/>
      <c r="E1093" s="327"/>
      <c r="F1093" s="327"/>
      <c r="G1093" s="327"/>
      <c r="H1093" s="327"/>
      <c r="I1093" s="327"/>
      <c r="J1093" s="327"/>
      <c r="K1093" s="327"/>
      <c r="L1093" s="327"/>
      <c r="M1093" s="327"/>
      <c r="N1093" s="327"/>
      <c r="O1093" s="327"/>
      <c r="P1093" s="327"/>
      <c r="Q1093" s="327"/>
      <c r="R1093" s="327"/>
      <c r="S1093" s="327"/>
      <c r="T1093" s="327"/>
      <c r="U1093" s="327"/>
      <c r="V1093" s="327"/>
      <c r="W1093" s="327"/>
      <c r="X1093" s="327"/>
      <c r="Y1093" s="327"/>
      <c r="Z1093" s="327"/>
      <c r="AA1093" s="327"/>
      <c r="AB1093" s="327"/>
      <c r="AC1093" s="327"/>
      <c r="AD1093" s="327"/>
      <c r="AE1093" s="327"/>
      <c r="AF1093" s="327"/>
      <c r="AG1093" s="327"/>
      <c r="AH1093" s="327"/>
      <c r="AI1093" s="327"/>
      <c r="AJ1093" s="327"/>
      <c r="AK1093" s="327"/>
      <c r="AL1093" s="327"/>
      <c r="AM1093" s="327"/>
      <c r="AN1093" s="327"/>
      <c r="AO1093" s="327"/>
      <c r="AP1093" s="327"/>
      <c r="AQ1093" s="327"/>
      <c r="AR1093" s="327"/>
      <c r="AS1093" s="327"/>
      <c r="AT1093" s="327"/>
      <c r="AU1093" s="327"/>
      <c r="AV1093" s="327"/>
      <c r="AW1093" s="327"/>
      <c r="AX1093" s="327"/>
      <c r="AY1093" s="327"/>
      <c r="AZ1093" s="327"/>
      <c r="BA1093" s="327"/>
      <c r="BB1093" s="327"/>
      <c r="BC1093" s="327"/>
      <c r="BD1093" s="327"/>
      <c r="BE1093" s="327"/>
      <c r="BF1093" s="327"/>
      <c r="BG1093" s="327"/>
      <c r="BH1093" s="327"/>
      <c r="BI1093" s="327"/>
      <c r="BJ1093" s="1026"/>
      <c r="BK1093" s="327" t="str">
        <f t="shared" ref="BK1093:BV1093" si="936">BK5</f>
        <v>Q2-2024</v>
      </c>
      <c r="BL1093" s="327" t="str">
        <f t="shared" si="936"/>
        <v>Q3-2024</v>
      </c>
      <c r="BM1093" s="327" t="str">
        <f t="shared" si="936"/>
        <v>Q4-2024</v>
      </c>
      <c r="BN1093" s="327" t="str">
        <f t="shared" si="936"/>
        <v>FY2024</v>
      </c>
      <c r="BO1093" s="327" t="str">
        <f t="shared" si="936"/>
        <v>Q1-2025</v>
      </c>
      <c r="BP1093" s="327" t="str">
        <f t="shared" si="936"/>
        <v>Q2-2025</v>
      </c>
      <c r="BQ1093" s="327" t="str">
        <f t="shared" si="936"/>
        <v>Q3-2025</v>
      </c>
      <c r="BR1093" s="327" t="str">
        <f t="shared" si="936"/>
        <v>Q4-2025</v>
      </c>
      <c r="BS1093" s="327" t="str">
        <f t="shared" si="936"/>
        <v>FY2025</v>
      </c>
      <c r="BT1093" s="327" t="str">
        <f t="shared" si="936"/>
        <v>FY2026</v>
      </c>
      <c r="BU1093" s="327" t="str">
        <f t="shared" si="936"/>
        <v>FY2027</v>
      </c>
      <c r="BV1093" s="1027" t="str">
        <f t="shared" si="936"/>
        <v>FY2028</v>
      </c>
      <c r="BW1093" s="1028"/>
    </row>
    <row r="1094" spans="1:75" x14ac:dyDescent="0.5">
      <c r="A1094" s="1029" t="s">
        <v>1603</v>
      </c>
      <c r="B1094" s="295"/>
      <c r="C1094" s="295"/>
      <c r="D1094" s="295"/>
      <c r="E1094" s="295"/>
      <c r="F1094" s="295"/>
      <c r="G1094" s="295"/>
      <c r="H1094" s="295"/>
      <c r="I1094" s="295"/>
      <c r="J1094" s="295"/>
      <c r="K1094" s="295"/>
      <c r="L1094" s="295"/>
      <c r="M1094" s="295"/>
      <c r="N1094" s="295"/>
      <c r="O1094" s="295"/>
      <c r="P1094" s="295"/>
      <c r="Q1094" s="295"/>
      <c r="R1094" s="295"/>
      <c r="S1094" s="295"/>
      <c r="T1094" s="295"/>
      <c r="U1094" s="295"/>
      <c r="V1094" s="295"/>
      <c r="W1094" s="295"/>
      <c r="X1094" s="295"/>
      <c r="Y1094" s="295"/>
      <c r="Z1094" s="295"/>
      <c r="AA1094" s="295"/>
      <c r="AB1094" s="295"/>
      <c r="AC1094" s="295"/>
      <c r="AD1094" s="295"/>
      <c r="AE1094" s="295"/>
      <c r="AF1094" s="295"/>
      <c r="AG1094" s="295"/>
      <c r="AH1094" s="295"/>
      <c r="AI1094" s="295"/>
      <c r="AJ1094" s="295"/>
      <c r="AK1094" s="295"/>
      <c r="AL1094" s="295"/>
      <c r="AM1094" s="295"/>
      <c r="AN1094" s="295"/>
      <c r="AO1094" s="295"/>
      <c r="AP1094" s="295"/>
      <c r="AQ1094" s="295"/>
      <c r="AR1094" s="295"/>
      <c r="AS1094" s="295"/>
      <c r="AT1094" s="295"/>
      <c r="AU1094" s="295"/>
      <c r="AV1094" s="295"/>
      <c r="AW1094" s="295"/>
      <c r="AX1094" s="295"/>
      <c r="AY1094" s="295"/>
      <c r="AZ1094" s="295"/>
      <c r="BA1094" s="295"/>
      <c r="BB1094" s="295"/>
      <c r="BC1094" s="295"/>
      <c r="BD1094" s="295"/>
      <c r="BE1094" s="295"/>
      <c r="BF1094" s="295"/>
      <c r="BG1094" s="295"/>
      <c r="BH1094" s="295"/>
      <c r="BI1094" s="295"/>
      <c r="BJ1094" s="1030"/>
      <c r="BK1094" s="295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L1094" s="295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M1094" s="295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N1094" s="295" t="str">
        <f t="shared" ref="BN1094" ca="1" si="937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FY</v>
      </c>
      <c r="BO1094" s="295" t="str">
        <f t="shared" ref="BO1094:BV1094" ca="1" si="938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P1094" s="295" t="str">
        <f t="shared" ca="1" si="938"/>
        <v>FQ</v>
      </c>
      <c r="BQ1094" s="295" t="str">
        <f t="shared" ca="1" si="938"/>
        <v>FQ</v>
      </c>
      <c r="BR1094" s="295" t="str">
        <f t="shared" ca="1" si="938"/>
        <v>FQ</v>
      </c>
      <c r="BS1094" s="295" t="str">
        <f t="shared" ca="1" si="938"/>
        <v>FY</v>
      </c>
      <c r="BT1094" s="295" t="str">
        <f t="shared" ca="1" si="938"/>
        <v>FY</v>
      </c>
      <c r="BU1094" s="295" t="str">
        <f t="shared" ca="1" si="938"/>
        <v>FY</v>
      </c>
      <c r="BV1094" s="1031" t="str">
        <f t="shared" ca="1" si="938"/>
        <v>FY</v>
      </c>
      <c r="BW1094" s="1028"/>
    </row>
    <row r="1095" spans="1:75" x14ac:dyDescent="0.5">
      <c r="A1095" s="1029" t="s">
        <v>1606</v>
      </c>
      <c r="B1095" s="295"/>
      <c r="C1095" s="295"/>
      <c r="D1095" s="295"/>
      <c r="E1095" s="295"/>
      <c r="F1095" s="295"/>
      <c r="G1095" s="295"/>
      <c r="H1095" s="295"/>
      <c r="I1095" s="295"/>
      <c r="J1095" s="295"/>
      <c r="K1095" s="295"/>
      <c r="L1095" s="295"/>
      <c r="M1095" s="295"/>
      <c r="N1095" s="295"/>
      <c r="O1095" s="295"/>
      <c r="P1095" s="295"/>
      <c r="Q1095" s="295"/>
      <c r="R1095" s="295"/>
      <c r="S1095" s="295"/>
      <c r="T1095" s="295"/>
      <c r="U1095" s="295"/>
      <c r="V1095" s="295"/>
      <c r="W1095" s="295"/>
      <c r="X1095" s="295"/>
      <c r="Y1095" s="295"/>
      <c r="Z1095" s="295"/>
      <c r="AA1095" s="295"/>
      <c r="AB1095" s="295"/>
      <c r="AC1095" s="295"/>
      <c r="AD1095" s="295"/>
      <c r="AE1095" s="295"/>
      <c r="AF1095" s="295"/>
      <c r="AG1095" s="295"/>
      <c r="AH1095" s="295"/>
      <c r="AI1095" s="295"/>
      <c r="AJ1095" s="295"/>
      <c r="AK1095" s="295"/>
      <c r="AL1095" s="295"/>
      <c r="AM1095" s="295"/>
      <c r="AN1095" s="295"/>
      <c r="AO1095" s="295"/>
      <c r="AP1095" s="295"/>
      <c r="AQ1095" s="295"/>
      <c r="AR1095" s="295"/>
      <c r="AS1095" s="295"/>
      <c r="AT1095" s="295"/>
      <c r="AU1095" s="295"/>
      <c r="AV1095" s="295"/>
      <c r="AW1095" s="295"/>
      <c r="AX1095" s="295"/>
      <c r="AY1095" s="295"/>
      <c r="AZ1095" s="295"/>
      <c r="BA1095" s="295"/>
      <c r="BB1095" s="295"/>
      <c r="BC1095" s="295"/>
      <c r="BD1095" s="295"/>
      <c r="BE1095" s="295"/>
      <c r="BF1095" s="295"/>
      <c r="BG1095" s="295"/>
      <c r="BH1095" s="295"/>
      <c r="BI1095" s="295"/>
      <c r="BJ1095" s="1030"/>
      <c r="BK1095" s="295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1</v>
      </c>
      <c r="BL1095" s="295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2</v>
      </c>
      <c r="BM1095" s="295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3</v>
      </c>
      <c r="BN1095" s="295">
        <f t="shared" ref="BN1095" ca="1" si="939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1</v>
      </c>
      <c r="BO1095" s="295">
        <f t="shared" ref="BO1095:BV1095" ca="1" si="940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4</v>
      </c>
      <c r="BP1095" s="295">
        <f t="shared" ca="1" si="940"/>
        <v>5</v>
      </c>
      <c r="BQ1095" s="295">
        <f t="shared" ca="1" si="940"/>
        <v>6</v>
      </c>
      <c r="BR1095" s="295">
        <f t="shared" ca="1" si="940"/>
        <v>7</v>
      </c>
      <c r="BS1095" s="295">
        <f t="shared" ca="1" si="940"/>
        <v>2</v>
      </c>
      <c r="BT1095" s="295">
        <f t="shared" ca="1" si="940"/>
        <v>3</v>
      </c>
      <c r="BU1095" s="295">
        <f t="shared" ca="1" si="940"/>
        <v>4</v>
      </c>
      <c r="BV1095" s="1031">
        <f t="shared" ca="1" si="940"/>
        <v>5</v>
      </c>
      <c r="BW1095" s="1028"/>
    </row>
    <row r="1096" spans="1:75" x14ac:dyDescent="0.5">
      <c r="A1096" s="1037" t="str">
        <f>$A$157</f>
        <v>Consensus Estimates - Gross Margin, %</v>
      </c>
      <c r="B1096" s="118"/>
      <c r="C1096" s="1033"/>
      <c r="D1096" s="1033"/>
      <c r="E1096" s="1033"/>
      <c r="F1096" s="1033"/>
      <c r="G1096" s="1033"/>
      <c r="H1096" s="422"/>
      <c r="I1096" s="422"/>
      <c r="J1096" s="422"/>
      <c r="K1096" s="422"/>
      <c r="L1096" s="422"/>
      <c r="M1096" s="422"/>
      <c r="N1096" s="422"/>
      <c r="O1096" s="422"/>
      <c r="P1096" s="295"/>
      <c r="Q1096" s="295"/>
      <c r="R1096" s="295"/>
      <c r="S1096" s="295"/>
      <c r="T1096" s="295"/>
      <c r="U1096" s="295"/>
      <c r="V1096" s="295"/>
      <c r="W1096" s="295"/>
      <c r="X1096" s="295"/>
      <c r="Y1096" s="295"/>
      <c r="Z1096" s="295"/>
      <c r="AA1096" s="295"/>
      <c r="AB1096" s="295"/>
      <c r="AC1096" s="295"/>
      <c r="AD1096" s="295"/>
      <c r="AE1096" s="295"/>
      <c r="AF1096" s="295"/>
      <c r="AG1096" s="295"/>
      <c r="AH1096" s="295"/>
      <c r="AI1096" s="295"/>
      <c r="AJ1096" s="295"/>
      <c r="AK1096" s="295"/>
      <c r="AL1096" s="295"/>
      <c r="AM1096" s="295"/>
      <c r="AN1096" s="295"/>
      <c r="AO1096" s="295"/>
      <c r="AP1096" s="295"/>
      <c r="AQ1096" s="295"/>
      <c r="AR1096" s="295"/>
      <c r="AS1096" s="295"/>
      <c r="AT1096" s="295"/>
      <c r="AU1096" s="295"/>
      <c r="AV1096" s="295"/>
      <c r="AW1096" s="295"/>
      <c r="AX1096" s="295"/>
      <c r="AY1096" s="295"/>
      <c r="AZ1096" s="295"/>
      <c r="BA1096" s="295"/>
      <c r="BB1096" s="295"/>
      <c r="BC1096" s="295"/>
      <c r="BD1096" s="295"/>
      <c r="BE1096" s="295"/>
      <c r="BF1096" s="295"/>
      <c r="BG1096" s="295"/>
      <c r="BH1096" s="295"/>
      <c r="BI1096" s="295"/>
      <c r="BJ1096" s="1030"/>
      <c r="BK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L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M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N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O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P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Q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R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S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T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U1096" s="422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V1096" s="1035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W1096" s="1028"/>
    </row>
    <row r="1097" spans="1:75" x14ac:dyDescent="0.5">
      <c r="A1097" s="1037" t="str">
        <f>$A$228</f>
        <v>Consensus Estimates - Net Revenue</v>
      </c>
      <c r="B1097" s="118"/>
      <c r="C1097" s="973"/>
      <c r="D1097" s="973"/>
      <c r="E1097" s="973"/>
      <c r="F1097" s="973"/>
      <c r="G1097" s="973"/>
      <c r="H1097" s="118"/>
      <c r="I1097" s="118"/>
      <c r="J1097" s="118"/>
      <c r="K1097" s="118"/>
      <c r="L1097" s="118"/>
      <c r="M1097" s="118"/>
      <c r="N1097" s="118"/>
      <c r="O1097" s="118"/>
      <c r="P1097" s="118"/>
      <c r="Q1097" s="118"/>
      <c r="R1097" s="118"/>
      <c r="S1097" s="118"/>
      <c r="T1097" s="118"/>
      <c r="U1097" s="118"/>
      <c r="V1097" s="118"/>
      <c r="W1097" s="118"/>
      <c r="X1097" s="118"/>
      <c r="Y1097" s="118"/>
      <c r="Z1097" s="118"/>
      <c r="AA1097" s="118"/>
      <c r="AB1097" s="118"/>
      <c r="AC1097" s="118"/>
      <c r="AD1097" s="118"/>
      <c r="AE1097" s="118"/>
      <c r="AF1097" s="118"/>
      <c r="AG1097" s="118"/>
      <c r="AH1097" s="118"/>
      <c r="AI1097" s="118"/>
      <c r="AJ1097" s="118"/>
      <c r="AK1097" s="118"/>
      <c r="AL1097" s="118"/>
      <c r="AM1097" s="118"/>
      <c r="AN1097" s="118"/>
      <c r="AO1097" s="118"/>
      <c r="AP1097" s="118"/>
      <c r="AQ1097" s="118"/>
      <c r="AR1097" s="118"/>
      <c r="AS1097" s="118"/>
      <c r="AT1097" s="118"/>
      <c r="AU1097" s="118"/>
      <c r="AV1097" s="118"/>
      <c r="AW1097" s="118"/>
      <c r="AX1097" s="118"/>
      <c r="AY1097" s="118"/>
      <c r="AZ1097" s="118"/>
      <c r="BA1097" s="118"/>
      <c r="BB1097" s="118"/>
      <c r="BC1097" s="118"/>
      <c r="BD1097" s="118"/>
      <c r="BE1097" s="118"/>
      <c r="BF1097" s="118"/>
      <c r="BG1097" s="118"/>
      <c r="BH1097" s="118"/>
      <c r="BI1097" s="118"/>
      <c r="BJ1097" s="971"/>
      <c r="BK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L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M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N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O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P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Q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R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S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T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U1097" s="11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V1097" s="1038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W1097" s="1039"/>
    </row>
    <row r="1098" spans="1:75" x14ac:dyDescent="0.5">
      <c r="A1098" s="1037" t="str">
        <f>$A$246</f>
        <v>Consensus Estimates - Adjusted EBITDA</v>
      </c>
      <c r="B1098" s="118"/>
      <c r="C1098" s="973"/>
      <c r="D1098" s="973"/>
      <c r="E1098" s="973"/>
      <c r="F1098" s="973"/>
      <c r="G1098" s="973"/>
      <c r="H1098" s="118"/>
      <c r="I1098" s="118"/>
      <c r="J1098" s="118"/>
      <c r="K1098" s="118"/>
      <c r="L1098" s="118"/>
      <c r="M1098" s="118"/>
      <c r="N1098" s="118"/>
      <c r="O1098" s="118"/>
      <c r="P1098" s="118"/>
      <c r="Q1098" s="118"/>
      <c r="R1098" s="118"/>
      <c r="S1098" s="118"/>
      <c r="T1098" s="118"/>
      <c r="U1098" s="118"/>
      <c r="V1098" s="118"/>
      <c r="W1098" s="118"/>
      <c r="X1098" s="118"/>
      <c r="Y1098" s="118"/>
      <c r="Z1098" s="118"/>
      <c r="AA1098" s="118"/>
      <c r="AB1098" s="118"/>
      <c r="AC1098" s="118"/>
      <c r="AD1098" s="118"/>
      <c r="AE1098" s="118"/>
      <c r="AF1098" s="118"/>
      <c r="AG1098" s="118"/>
      <c r="AH1098" s="118"/>
      <c r="AI1098" s="118"/>
      <c r="AJ1098" s="118"/>
      <c r="AK1098" s="118"/>
      <c r="AL1098" s="118"/>
      <c r="AM1098" s="118"/>
      <c r="AN1098" s="118"/>
      <c r="AO1098" s="118"/>
      <c r="AP1098" s="118"/>
      <c r="AQ1098" s="118"/>
      <c r="AR1098" s="118"/>
      <c r="AS1098" s="118"/>
      <c r="AT1098" s="118"/>
      <c r="AU1098" s="118"/>
      <c r="AV1098" s="118"/>
      <c r="AW1098" s="118"/>
      <c r="AX1098" s="118"/>
      <c r="AY1098" s="118"/>
      <c r="AZ1098" s="118"/>
      <c r="BA1098" s="118"/>
      <c r="BB1098" s="118"/>
      <c r="BC1098" s="118"/>
      <c r="BD1098" s="118"/>
      <c r="BE1098" s="118"/>
      <c r="BF1098" s="118"/>
      <c r="BG1098" s="118"/>
      <c r="BH1098" s="118"/>
      <c r="BI1098" s="118"/>
      <c r="BJ1098" s="971"/>
      <c r="BK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L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M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N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O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P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Q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R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S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T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U1098" s="11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V1098" s="1038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W1098" s="1039"/>
    </row>
    <row r="1099" spans="1:75" x14ac:dyDescent="0.5">
      <c r="A1099" s="1037" t="str">
        <f>$A$240</f>
        <v>Consensus Estimates - Adjusted EBIT</v>
      </c>
      <c r="B1099" s="118"/>
      <c r="C1099" s="973"/>
      <c r="D1099" s="973"/>
      <c r="E1099" s="973"/>
      <c r="F1099" s="973"/>
      <c r="G1099" s="973"/>
      <c r="H1099" s="118"/>
      <c r="I1099" s="118"/>
      <c r="J1099" s="118"/>
      <c r="K1099" s="118"/>
      <c r="L1099" s="118"/>
      <c r="M1099" s="118"/>
      <c r="N1099" s="118"/>
      <c r="O1099" s="118"/>
      <c r="P1099" s="118"/>
      <c r="Q1099" s="118"/>
      <c r="R1099" s="118"/>
      <c r="S1099" s="118"/>
      <c r="T1099" s="118"/>
      <c r="U1099" s="118"/>
      <c r="V1099" s="118"/>
      <c r="W1099" s="118"/>
      <c r="X1099" s="118"/>
      <c r="Y1099" s="118"/>
      <c r="Z1099" s="118"/>
      <c r="AA1099" s="118"/>
      <c r="AB1099" s="118"/>
      <c r="AC1099" s="118"/>
      <c r="AD1099" s="118"/>
      <c r="AE1099" s="118"/>
      <c r="AF1099" s="118"/>
      <c r="AG1099" s="118"/>
      <c r="AH1099" s="118"/>
      <c r="AI1099" s="118"/>
      <c r="AJ1099" s="118"/>
      <c r="AK1099" s="118"/>
      <c r="AL1099" s="118"/>
      <c r="AM1099" s="118"/>
      <c r="AN1099" s="118"/>
      <c r="AO1099" s="118"/>
      <c r="AP1099" s="118"/>
      <c r="AQ1099" s="118"/>
      <c r="AR1099" s="118"/>
      <c r="AS1099" s="118"/>
      <c r="AT1099" s="118"/>
      <c r="AU1099" s="118"/>
      <c r="AV1099" s="118"/>
      <c r="AW1099" s="118"/>
      <c r="AX1099" s="118"/>
      <c r="AY1099" s="118"/>
      <c r="AZ1099" s="118"/>
      <c r="BA1099" s="118"/>
      <c r="BB1099" s="118"/>
      <c r="BC1099" s="118"/>
      <c r="BD1099" s="118"/>
      <c r="BE1099" s="118"/>
      <c r="BF1099" s="118"/>
      <c r="BG1099" s="118"/>
      <c r="BH1099" s="118"/>
      <c r="BI1099" s="118"/>
      <c r="BJ1099" s="971"/>
      <c r="BK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L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M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N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O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P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Q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R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S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T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U1099" s="11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V1099" s="1038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W1099" s="1039"/>
    </row>
    <row r="1100" spans="1:75" x14ac:dyDescent="0.5">
      <c r="A1100" s="1037" t="str">
        <f>$A$272</f>
        <v>Consensus Estimates - Adjusted Earnings Per Share - WAD</v>
      </c>
      <c r="B1100" s="118"/>
      <c r="C1100" s="1597"/>
      <c r="D1100" s="1597"/>
      <c r="E1100" s="1597"/>
      <c r="F1100" s="1597"/>
      <c r="G1100" s="1597"/>
      <c r="H1100" s="118"/>
      <c r="I1100" s="118"/>
      <c r="J1100" s="118"/>
      <c r="K1100" s="118"/>
      <c r="L1100" s="118"/>
      <c r="M1100" s="118"/>
      <c r="N1100" s="118"/>
      <c r="O1100" s="118"/>
      <c r="P1100" s="118"/>
      <c r="Q1100" s="118"/>
      <c r="R1100" s="118"/>
      <c r="S1100" s="118"/>
      <c r="T1100" s="118"/>
      <c r="U1100" s="118"/>
      <c r="V1100" s="118"/>
      <c r="W1100" s="118"/>
      <c r="X1100" s="118"/>
      <c r="Y1100" s="118"/>
      <c r="Z1100" s="118"/>
      <c r="AA1100" s="118"/>
      <c r="AB1100" s="118"/>
      <c r="AC1100" s="118"/>
      <c r="AD1100" s="118"/>
      <c r="AE1100" s="118"/>
      <c r="AF1100" s="118"/>
      <c r="AG1100" s="118"/>
      <c r="AH1100" s="118"/>
      <c r="AI1100" s="118"/>
      <c r="AJ1100" s="118"/>
      <c r="AK1100" s="118"/>
      <c r="AL1100" s="118"/>
      <c r="AM1100" s="118"/>
      <c r="AN1100" s="118"/>
      <c r="AO1100" s="118"/>
      <c r="AP1100" s="118"/>
      <c r="AQ1100" s="118"/>
      <c r="AR1100" s="118"/>
      <c r="AS1100" s="118"/>
      <c r="AT1100" s="118"/>
      <c r="AU1100" s="118"/>
      <c r="AV1100" s="118"/>
      <c r="AW1100" s="118"/>
      <c r="AX1100" s="118"/>
      <c r="AY1100" s="118"/>
      <c r="AZ1100" s="118"/>
      <c r="BA1100" s="118"/>
      <c r="BB1100" s="118"/>
      <c r="BC1100" s="118"/>
      <c r="BD1100" s="118"/>
      <c r="BE1100" s="118"/>
      <c r="BF1100" s="118"/>
      <c r="BG1100" s="118"/>
      <c r="BH1100" s="118"/>
      <c r="BI1100" s="118"/>
      <c r="BJ1100" s="971"/>
      <c r="BK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L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M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N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O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P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Q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R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S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T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U1100" s="11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V1100" s="1038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W1100" s="1039"/>
    </row>
    <row r="1101" spans="1:75" x14ac:dyDescent="0.5">
      <c r="A1101" s="1037" t="str">
        <f>$A$701</f>
        <v>Consensus Estimates - Cash Flow Per Diluted Share</v>
      </c>
      <c r="B1101" s="118"/>
      <c r="C1101" s="1597"/>
      <c r="D1101" s="1597"/>
      <c r="E1101" s="1597"/>
      <c r="F1101" s="1597"/>
      <c r="G1101" s="1597"/>
      <c r="H1101" s="118"/>
      <c r="I1101" s="118"/>
      <c r="J1101" s="118"/>
      <c r="K1101" s="118"/>
      <c r="L1101" s="118"/>
      <c r="M1101" s="118"/>
      <c r="N1101" s="118"/>
      <c r="O1101" s="118"/>
      <c r="P1101" s="118"/>
      <c r="Q1101" s="118"/>
      <c r="R1101" s="118"/>
      <c r="S1101" s="118"/>
      <c r="T1101" s="118"/>
      <c r="U1101" s="118"/>
      <c r="V1101" s="118"/>
      <c r="W1101" s="118"/>
      <c r="X1101" s="118"/>
      <c r="Y1101" s="118"/>
      <c r="Z1101" s="118"/>
      <c r="AA1101" s="118"/>
      <c r="AB1101" s="118"/>
      <c r="AC1101" s="118"/>
      <c r="AD1101" s="118"/>
      <c r="AE1101" s="118"/>
      <c r="AF1101" s="118"/>
      <c r="AG1101" s="118"/>
      <c r="AH1101" s="118"/>
      <c r="AI1101" s="118"/>
      <c r="AJ1101" s="118"/>
      <c r="AK1101" s="118"/>
      <c r="AL1101" s="118"/>
      <c r="AM1101" s="118"/>
      <c r="AN1101" s="118"/>
      <c r="AO1101" s="118"/>
      <c r="AP1101" s="118"/>
      <c r="AQ1101" s="118"/>
      <c r="AR1101" s="118"/>
      <c r="AS1101" s="118"/>
      <c r="AT1101" s="118"/>
      <c r="AU1101" s="118"/>
      <c r="AV1101" s="118"/>
      <c r="AW1101" s="118"/>
      <c r="AX1101" s="118"/>
      <c r="AY1101" s="118"/>
      <c r="AZ1101" s="118"/>
      <c r="BA1101" s="118"/>
      <c r="BB1101" s="118"/>
      <c r="BC1101" s="118"/>
      <c r="BD1101" s="118"/>
      <c r="BE1101" s="118"/>
      <c r="BF1101" s="118"/>
      <c r="BG1101" s="118"/>
      <c r="BH1101" s="118"/>
      <c r="BI1101" s="118"/>
      <c r="BJ1101" s="971"/>
      <c r="BK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L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M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N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O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P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Q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R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S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T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U1101" s="11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V1101" s="1038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W1101" s="1039"/>
    </row>
    <row r="1102" spans="1:75" x14ac:dyDescent="0.5">
      <c r="A1102" s="1037" t="str">
        <f>A703</f>
        <v>Consensus Estimates - Capex</v>
      </c>
      <c r="B1102" s="118"/>
      <c r="C1102" s="973"/>
      <c r="D1102" s="973"/>
      <c r="E1102" s="973"/>
      <c r="F1102" s="973"/>
      <c r="G1102" s="973"/>
      <c r="H1102" s="118"/>
      <c r="I1102" s="118"/>
      <c r="J1102" s="118"/>
      <c r="K1102" s="118"/>
      <c r="L1102" s="118"/>
      <c r="M1102" s="118"/>
      <c r="N1102" s="118"/>
      <c r="O1102" s="118"/>
      <c r="P1102" s="118"/>
      <c r="Q1102" s="118"/>
      <c r="R1102" s="118"/>
      <c r="S1102" s="118"/>
      <c r="T1102" s="118"/>
      <c r="U1102" s="118"/>
      <c r="V1102" s="118"/>
      <c r="W1102" s="118"/>
      <c r="X1102" s="118"/>
      <c r="Y1102" s="118"/>
      <c r="Z1102" s="118"/>
      <c r="AA1102" s="118"/>
      <c r="AB1102" s="118"/>
      <c r="AC1102" s="118"/>
      <c r="AD1102" s="118"/>
      <c r="AE1102" s="118"/>
      <c r="AF1102" s="118"/>
      <c r="AG1102" s="118"/>
      <c r="AH1102" s="118"/>
      <c r="AI1102" s="118"/>
      <c r="AJ1102" s="118"/>
      <c r="AK1102" s="118"/>
      <c r="AL1102" s="118"/>
      <c r="AM1102" s="118"/>
      <c r="AN1102" s="118"/>
      <c r="AO1102" s="118"/>
      <c r="AP1102" s="118"/>
      <c r="AQ1102" s="118"/>
      <c r="AR1102" s="118"/>
      <c r="AS1102" s="118"/>
      <c r="AT1102" s="118"/>
      <c r="AU1102" s="118"/>
      <c r="AV1102" s="118"/>
      <c r="AW1102" s="118"/>
      <c r="AX1102" s="118"/>
      <c r="AY1102" s="118"/>
      <c r="AZ1102" s="118"/>
      <c r="BA1102" s="118"/>
      <c r="BB1102" s="118"/>
      <c r="BC1102" s="118"/>
      <c r="BD1102" s="118"/>
      <c r="BE1102" s="118"/>
      <c r="BF1102" s="118"/>
      <c r="BG1102" s="118"/>
      <c r="BH1102" s="118"/>
      <c r="BI1102" s="118"/>
      <c r="BJ1102" s="971"/>
      <c r="BK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L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M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N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O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P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Q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R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S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T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U1102" s="11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V1102" s="1038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W1102" s="1039"/>
    </row>
    <row r="1103" spans="1:75" x14ac:dyDescent="0.5">
      <c r="A1103" s="1047"/>
      <c r="B1103" s="723"/>
      <c r="C1103" s="1048"/>
      <c r="D1103" s="1048"/>
      <c r="E1103" s="723"/>
      <c r="F1103" s="723"/>
      <c r="G1103" s="723"/>
      <c r="H1103" s="723"/>
      <c r="I1103" s="723"/>
      <c r="J1103" s="723"/>
      <c r="K1103" s="723"/>
      <c r="L1103" s="723"/>
      <c r="M1103" s="723"/>
      <c r="N1103" s="723"/>
      <c r="O1103" s="723"/>
      <c r="P1103" s="723"/>
      <c r="Q1103" s="723"/>
      <c r="R1103" s="723"/>
      <c r="S1103" s="723"/>
      <c r="T1103" s="723"/>
      <c r="U1103" s="723"/>
      <c r="V1103" s="723"/>
      <c r="W1103" s="723"/>
      <c r="X1103" s="723"/>
      <c r="Y1103" s="723"/>
      <c r="Z1103" s="723"/>
      <c r="AA1103" s="723"/>
      <c r="AB1103" s="723"/>
      <c r="AC1103" s="723"/>
      <c r="AD1103" s="723"/>
      <c r="AE1103" s="723"/>
      <c r="AF1103" s="723"/>
      <c r="AG1103" s="723"/>
      <c r="AH1103" s="723"/>
      <c r="AI1103" s="723"/>
      <c r="AJ1103" s="723"/>
      <c r="AK1103" s="723"/>
      <c r="AL1103" s="723"/>
      <c r="AM1103" s="723"/>
      <c r="AN1103" s="723"/>
      <c r="AO1103" s="723"/>
      <c r="AP1103" s="723"/>
      <c r="AQ1103" s="723"/>
      <c r="AR1103" s="723"/>
      <c r="AS1103" s="723"/>
      <c r="AT1103" s="723"/>
      <c r="AU1103" s="723"/>
      <c r="AV1103" s="723"/>
      <c r="AW1103" s="723"/>
      <c r="AX1103" s="723"/>
      <c r="AY1103" s="723"/>
      <c r="AZ1103" s="723"/>
      <c r="BA1103" s="723"/>
      <c r="BB1103" s="723"/>
      <c r="BC1103" s="723"/>
      <c r="BD1103" s="723"/>
      <c r="BE1103" s="723"/>
      <c r="BF1103" s="723"/>
      <c r="BG1103" s="723"/>
      <c r="BH1103" s="723"/>
      <c r="BI1103" s="723"/>
      <c r="BJ1103" s="1049"/>
      <c r="BK1103" s="723"/>
      <c r="BL1103" s="723"/>
      <c r="BM1103" s="723"/>
      <c r="BN1103" s="723"/>
      <c r="BO1103" s="723"/>
      <c r="BP1103" s="723"/>
      <c r="BQ1103" s="723"/>
      <c r="BR1103" s="723"/>
      <c r="BS1103" s="723"/>
      <c r="BT1103" s="723"/>
      <c r="BU1103" s="723"/>
      <c r="BV1103" s="1050"/>
      <c r="BW1103" s="1039"/>
    </row>
    <row r="1104" spans="1:75" x14ac:dyDescent="0.5">
      <c r="A1104" s="1051"/>
      <c r="B1104" s="1052"/>
      <c r="C1104" s="1053"/>
      <c r="D1104" s="1053"/>
      <c r="E1104" s="1052"/>
      <c r="F1104" s="1052"/>
      <c r="G1104" s="1052"/>
      <c r="H1104" s="1052"/>
      <c r="I1104" s="1052"/>
      <c r="J1104" s="1052"/>
      <c r="K1104" s="1052"/>
      <c r="L1104" s="1052"/>
      <c r="M1104" s="1052"/>
      <c r="N1104" s="1052"/>
      <c r="O1104" s="1052"/>
      <c r="P1104" s="1052"/>
      <c r="Q1104" s="1052"/>
      <c r="R1104" s="1052"/>
      <c r="S1104" s="1052"/>
      <c r="T1104" s="1052"/>
      <c r="U1104" s="1052"/>
      <c r="V1104" s="1052"/>
      <c r="W1104" s="1052"/>
      <c r="X1104" s="1052"/>
      <c r="Y1104" s="1052"/>
      <c r="Z1104" s="1052"/>
      <c r="AA1104" s="1052"/>
      <c r="AB1104" s="1052"/>
      <c r="AC1104" s="1052"/>
      <c r="AD1104" s="1052"/>
      <c r="AE1104" s="1052"/>
      <c r="AF1104" s="1052"/>
      <c r="AG1104" s="1052"/>
      <c r="AH1104" s="1052"/>
      <c r="AI1104" s="1052"/>
      <c r="AJ1104" s="1052"/>
      <c r="AK1104" s="1052"/>
      <c r="AL1104" s="1052"/>
      <c r="AM1104" s="1052"/>
      <c r="AN1104" s="1052"/>
      <c r="AO1104" s="1052"/>
      <c r="AP1104" s="1052"/>
      <c r="AQ1104" s="1052"/>
      <c r="AR1104" s="1052"/>
      <c r="AS1104" s="1052"/>
      <c r="AT1104" s="1052"/>
      <c r="AU1104" s="1052"/>
      <c r="AV1104" s="1052"/>
      <c r="AW1104" s="1052"/>
      <c r="AX1104" s="1052"/>
      <c r="AY1104" s="1052"/>
      <c r="AZ1104" s="1052"/>
      <c r="BA1104" s="1052"/>
      <c r="BB1104" s="1052"/>
      <c r="BC1104" s="1052"/>
      <c r="BD1104" s="1052"/>
      <c r="BE1104" s="1052"/>
      <c r="BF1104" s="1052"/>
      <c r="BG1104" s="1052"/>
      <c r="BH1104" s="1052"/>
      <c r="BI1104" s="1052"/>
      <c r="BJ1104" s="1054"/>
      <c r="BK1104" s="1052"/>
      <c r="BL1104" s="1052"/>
      <c r="BM1104" s="1052"/>
      <c r="BN1104" s="1052"/>
      <c r="BO1104" s="1052"/>
      <c r="BP1104" s="1052"/>
      <c r="BQ1104" s="1052"/>
      <c r="BR1104" s="1052"/>
      <c r="BS1104" s="1052"/>
      <c r="BT1104" s="1052"/>
      <c r="BU1104" s="1052"/>
      <c r="BV1104" s="1052"/>
      <c r="BW1104" s="122"/>
    </row>
    <row r="1105" spans="1:75" x14ac:dyDescent="0.5">
      <c r="A1105" s="1055" t="s">
        <v>1607</v>
      </c>
      <c r="B1105" s="1056"/>
      <c r="C1105" s="1057"/>
      <c r="D1105" s="1057"/>
      <c r="E1105" s="1056"/>
      <c r="F1105" s="1056"/>
      <c r="G1105" s="1056"/>
      <c r="H1105" s="1056"/>
      <c r="I1105" s="1056"/>
      <c r="J1105" s="1056"/>
      <c r="K1105" s="1056"/>
      <c r="L1105" s="1056"/>
      <c r="M1105" s="1056"/>
      <c r="N1105" s="1056"/>
      <c r="O1105" s="1056"/>
      <c r="P1105" s="1056"/>
      <c r="Q1105" s="1056"/>
      <c r="R1105" s="1056"/>
      <c r="S1105" s="1056"/>
      <c r="T1105" s="1056"/>
      <c r="U1105" s="1056"/>
      <c r="V1105" s="1056"/>
      <c r="W1105" s="1056"/>
      <c r="X1105" s="1056"/>
      <c r="Y1105" s="1056"/>
      <c r="Z1105" s="1056"/>
      <c r="AA1105" s="1056"/>
      <c r="AB1105" s="1056"/>
      <c r="AC1105" s="1056"/>
      <c r="AD1105" s="1056"/>
      <c r="AE1105" s="1056"/>
      <c r="AF1105" s="1056"/>
      <c r="AG1105" s="1056"/>
      <c r="AH1105" s="1056"/>
      <c r="AI1105" s="1056"/>
      <c r="AJ1105" s="1056"/>
      <c r="AK1105" s="1056"/>
      <c r="AL1105" s="1056"/>
      <c r="AM1105" s="1056"/>
      <c r="AN1105" s="1056"/>
      <c r="AO1105" s="1056"/>
      <c r="AP1105" s="1056"/>
      <c r="AQ1105" s="1056"/>
      <c r="AR1105" s="1056"/>
      <c r="AS1105" s="1056"/>
      <c r="AT1105" s="1056"/>
      <c r="AU1105" s="1056"/>
      <c r="AV1105" s="1056"/>
      <c r="AW1105" s="1056"/>
      <c r="AX1105" s="1056"/>
      <c r="AY1105" s="1056"/>
      <c r="AZ1105" s="1056"/>
      <c r="BA1105" s="1056"/>
      <c r="BB1105" s="1056"/>
      <c r="BC1105" s="1056"/>
      <c r="BD1105" s="1056"/>
      <c r="BE1105" s="1056"/>
      <c r="BF1105" s="1056"/>
      <c r="BG1105" s="1056"/>
      <c r="BH1105" s="1056"/>
      <c r="BI1105" s="1056"/>
      <c r="BJ1105" s="1058"/>
      <c r="BK1105" s="1056"/>
      <c r="BL1105" s="1056"/>
      <c r="BM1105" s="1056"/>
      <c r="BN1105" s="1056"/>
      <c r="BO1105" s="1056"/>
      <c r="BP1105" s="1056"/>
      <c r="BQ1105" s="1056"/>
      <c r="BR1105" s="1056"/>
      <c r="BS1105" s="1056"/>
      <c r="BT1105" s="1056"/>
      <c r="BU1105" s="1056"/>
      <c r="BV1105" s="1059"/>
      <c r="BW1105" s="1039"/>
    </row>
    <row r="1106" spans="1:75" x14ac:dyDescent="0.5">
      <c r="A1106" s="1060" t="s">
        <v>1608</v>
      </c>
      <c r="B1106" s="118"/>
      <c r="C1106" s="1061">
        <f t="shared" ref="C1106:AH1106" si="941">INDEX(MO_Common_QEndDate,0,COLUMN())-INDEX(MO_Common_FPDays,0,COLUMN())+1</f>
        <v>39846</v>
      </c>
      <c r="D1106" s="1061">
        <f t="shared" si="941"/>
        <v>40210</v>
      </c>
      <c r="E1106" s="1062">
        <f t="shared" si="941"/>
        <v>40574</v>
      </c>
      <c r="F1106" s="1062">
        <f t="shared" si="941"/>
        <v>40938</v>
      </c>
      <c r="G1106" s="1062">
        <f t="shared" si="941"/>
        <v>41309</v>
      </c>
      <c r="H1106" s="1062">
        <f t="shared" si="941"/>
        <v>41400</v>
      </c>
      <c r="I1106" s="1062">
        <f t="shared" si="941"/>
        <v>41491</v>
      </c>
      <c r="J1106" s="1062">
        <f t="shared" si="941"/>
        <v>41582</v>
      </c>
      <c r="K1106" s="1062">
        <f t="shared" si="941"/>
        <v>41309</v>
      </c>
      <c r="L1106" s="1062">
        <f t="shared" si="941"/>
        <v>41673</v>
      </c>
      <c r="M1106" s="1062">
        <f t="shared" si="941"/>
        <v>41764</v>
      </c>
      <c r="N1106" s="1062">
        <f t="shared" si="941"/>
        <v>41855</v>
      </c>
      <c r="O1106" s="1062">
        <f t="shared" si="941"/>
        <v>41946</v>
      </c>
      <c r="P1106" s="1062">
        <f t="shared" si="941"/>
        <v>41673</v>
      </c>
      <c r="Q1106" s="1062">
        <f t="shared" si="941"/>
        <v>42037</v>
      </c>
      <c r="R1106" s="1062">
        <f t="shared" si="941"/>
        <v>42128</v>
      </c>
      <c r="S1106" s="1062">
        <f t="shared" si="941"/>
        <v>42219</v>
      </c>
      <c r="T1106" s="1062">
        <f t="shared" si="941"/>
        <v>42310</v>
      </c>
      <c r="U1106" s="1062">
        <f t="shared" si="941"/>
        <v>42037</v>
      </c>
      <c r="V1106" s="1062">
        <f t="shared" si="941"/>
        <v>42401</v>
      </c>
      <c r="W1106" s="1062">
        <f t="shared" si="941"/>
        <v>42492</v>
      </c>
      <c r="X1106" s="1062">
        <f t="shared" si="941"/>
        <v>42583</v>
      </c>
      <c r="Y1106" s="1062">
        <f t="shared" si="941"/>
        <v>42674</v>
      </c>
      <c r="Z1106" s="1062">
        <f t="shared" si="941"/>
        <v>42401</v>
      </c>
      <c r="AA1106" s="1062">
        <f t="shared" si="941"/>
        <v>42765</v>
      </c>
      <c r="AB1106" s="1062">
        <f t="shared" si="941"/>
        <v>42856</v>
      </c>
      <c r="AC1106" s="1062">
        <f t="shared" si="941"/>
        <v>42947</v>
      </c>
      <c r="AD1106" s="1062">
        <f t="shared" si="941"/>
        <v>43038</v>
      </c>
      <c r="AE1106" s="1062">
        <f t="shared" si="941"/>
        <v>42765</v>
      </c>
      <c r="AF1106" s="1062">
        <f t="shared" si="941"/>
        <v>43129</v>
      </c>
      <c r="AG1106" s="1062">
        <f t="shared" si="941"/>
        <v>43220</v>
      </c>
      <c r="AH1106" s="1062">
        <f t="shared" si="941"/>
        <v>43311</v>
      </c>
      <c r="AI1106" s="1062">
        <f t="shared" ref="AI1106:AW1106" si="942">INDEX(MO_Common_QEndDate,0,COLUMN())-INDEX(MO_Common_FPDays,0,COLUMN())+1</f>
        <v>43402</v>
      </c>
      <c r="AJ1106" s="1062">
        <f t="shared" si="942"/>
        <v>43129</v>
      </c>
      <c r="AK1106" s="1062">
        <f t="shared" si="942"/>
        <v>43500</v>
      </c>
      <c r="AL1106" s="1062">
        <f t="shared" si="942"/>
        <v>43591</v>
      </c>
      <c r="AM1106" s="1062">
        <f t="shared" si="942"/>
        <v>43682</v>
      </c>
      <c r="AN1106" s="1062">
        <f t="shared" si="942"/>
        <v>43773</v>
      </c>
      <c r="AO1106" s="1062">
        <f t="shared" si="942"/>
        <v>43500</v>
      </c>
      <c r="AP1106" s="1062">
        <f t="shared" si="942"/>
        <v>43864</v>
      </c>
      <c r="AQ1106" s="1062">
        <f t="shared" si="942"/>
        <v>43955</v>
      </c>
      <c r="AR1106" s="1062">
        <f t="shared" si="942"/>
        <v>44046</v>
      </c>
      <c r="AS1106" s="1062">
        <f t="shared" si="942"/>
        <v>44137</v>
      </c>
      <c r="AT1106" s="1062">
        <f t="shared" si="942"/>
        <v>43864</v>
      </c>
      <c r="AU1106" s="1062">
        <f t="shared" si="942"/>
        <v>44228</v>
      </c>
      <c r="AV1106" s="1062">
        <f t="shared" si="942"/>
        <v>44319</v>
      </c>
      <c r="AW1106" s="1062">
        <f t="shared" si="942"/>
        <v>44410</v>
      </c>
      <c r="AX1106" s="1062">
        <f t="shared" ref="AX1106:BN1106" si="943">INDEX(MO_Common_QEndDate,0,COLUMN())-INDEX(MO_Common_FPDays,0,COLUMN())+1</f>
        <v>44501</v>
      </c>
      <c r="AY1106" s="1062">
        <f t="shared" si="943"/>
        <v>44228</v>
      </c>
      <c r="AZ1106" s="1062">
        <f t="shared" si="943"/>
        <v>44592</v>
      </c>
      <c r="BA1106" s="1062">
        <f t="shared" si="943"/>
        <v>44683</v>
      </c>
      <c r="BB1106" s="1062">
        <f t="shared" si="943"/>
        <v>44774</v>
      </c>
      <c r="BC1106" s="1062">
        <f t="shared" si="943"/>
        <v>44865</v>
      </c>
      <c r="BD1106" s="1062">
        <f t="shared" si="943"/>
        <v>44592</v>
      </c>
      <c r="BE1106" s="1062">
        <f t="shared" ref="BE1106:BM1106" si="944">INDEX(MO_Common_QEndDate,0,COLUMN())-INDEX(MO_Common_FPDays,0,COLUMN())+1</f>
        <v>44956</v>
      </c>
      <c r="BF1106" s="1062">
        <f t="shared" si="944"/>
        <v>45047</v>
      </c>
      <c r="BG1106" s="1062">
        <f t="shared" si="944"/>
        <v>45138</v>
      </c>
      <c r="BH1106" s="1062">
        <f t="shared" si="944"/>
        <v>45229</v>
      </c>
      <c r="BI1106" s="1062">
        <f t="shared" si="944"/>
        <v>44956</v>
      </c>
      <c r="BJ1106" s="1063">
        <f>INDEX(MO_Common_QEndDate,0,COLUMN())-INDEX(MO_Common_FPDays,0,COLUMN())+1</f>
        <v>45320</v>
      </c>
      <c r="BK1106" s="1062">
        <f t="shared" si="944"/>
        <v>45411</v>
      </c>
      <c r="BL1106" s="1062">
        <f t="shared" si="944"/>
        <v>45502</v>
      </c>
      <c r="BM1106" s="1062">
        <f t="shared" si="944"/>
        <v>45593</v>
      </c>
      <c r="BN1106" s="1062">
        <f t="shared" si="943"/>
        <v>45320</v>
      </c>
      <c r="BO1106" s="1062">
        <f t="shared" ref="BO1106:BV1106" si="945">INDEX(MO_Common_QEndDate,0,COLUMN())-INDEX(MO_Common_FPDays,0,COLUMN())+1</f>
        <v>45691</v>
      </c>
      <c r="BP1106" s="1062">
        <f t="shared" si="945"/>
        <v>45782</v>
      </c>
      <c r="BQ1106" s="1062">
        <f t="shared" si="945"/>
        <v>45873</v>
      </c>
      <c r="BR1106" s="1062">
        <f t="shared" si="945"/>
        <v>45964</v>
      </c>
      <c r="BS1106" s="1062">
        <f t="shared" si="945"/>
        <v>45691</v>
      </c>
      <c r="BT1106" s="1062">
        <f t="shared" si="945"/>
        <v>46055</v>
      </c>
      <c r="BU1106" s="1062">
        <f t="shared" si="945"/>
        <v>46419</v>
      </c>
      <c r="BV1106" s="1064">
        <f t="shared" si="945"/>
        <v>46783</v>
      </c>
      <c r="BW1106" s="1039"/>
    </row>
    <row r="1107" spans="1:75" x14ac:dyDescent="0.5">
      <c r="A1107" s="1060" t="s">
        <v>1609</v>
      </c>
      <c r="B1107" s="118"/>
      <c r="C1107" s="1061" t="b">
        <f>TRUE</f>
        <v>1</v>
      </c>
      <c r="D1107" s="1061" t="b">
        <f>TRUE</f>
        <v>1</v>
      </c>
      <c r="E1107" s="1062" t="b">
        <f>TRUE</f>
        <v>1</v>
      </c>
      <c r="F1107" s="1062" t="b">
        <f>TRUE</f>
        <v>1</v>
      </c>
      <c r="G1107" s="1062" t="b">
        <f>TRUE</f>
        <v>1</v>
      </c>
      <c r="H1107" s="1062" t="b">
        <f>TRUE</f>
        <v>1</v>
      </c>
      <c r="I1107" s="1062" t="b">
        <f>TRUE</f>
        <v>1</v>
      </c>
      <c r="J1107" s="1062" t="b">
        <f>TRUE</f>
        <v>1</v>
      </c>
      <c r="K1107" s="1062" t="b">
        <f>TRUE</f>
        <v>1</v>
      </c>
      <c r="L1107" s="1062" t="b">
        <f>TRUE</f>
        <v>1</v>
      </c>
      <c r="M1107" s="1062" t="b">
        <f>TRUE</f>
        <v>1</v>
      </c>
      <c r="N1107" s="1062" t="b">
        <f>TRUE</f>
        <v>1</v>
      </c>
      <c r="O1107" s="1062" t="b">
        <f>TRUE</f>
        <v>1</v>
      </c>
      <c r="P1107" s="1062" t="b">
        <f>TRUE</f>
        <v>1</v>
      </c>
      <c r="Q1107" s="1062" t="b">
        <f>TRUE</f>
        <v>1</v>
      </c>
      <c r="R1107" s="1062" t="b">
        <f>TRUE</f>
        <v>1</v>
      </c>
      <c r="S1107" s="1062" t="b">
        <f>TRUE</f>
        <v>1</v>
      </c>
      <c r="T1107" s="1062" t="b">
        <f>TRUE</f>
        <v>1</v>
      </c>
      <c r="U1107" s="1062" t="b">
        <f>TRUE</f>
        <v>1</v>
      </c>
      <c r="V1107" s="1062" t="b">
        <f>TRUE</f>
        <v>1</v>
      </c>
      <c r="W1107" s="1062" t="b">
        <f>TRUE</f>
        <v>1</v>
      </c>
      <c r="X1107" s="1062" t="b">
        <f>TRUE</f>
        <v>1</v>
      </c>
      <c r="Y1107" s="1062" t="b">
        <f>TRUE</f>
        <v>1</v>
      </c>
      <c r="Z1107" s="1062" t="b">
        <f>TRUE</f>
        <v>1</v>
      </c>
      <c r="AA1107" s="1062" t="b">
        <f>TRUE</f>
        <v>1</v>
      </c>
      <c r="AB1107" s="1062" t="b">
        <f>TRUE</f>
        <v>1</v>
      </c>
      <c r="AC1107" s="1062" t="b">
        <f>TRUE</f>
        <v>1</v>
      </c>
      <c r="AD1107" s="1062" t="b">
        <f>TRUE</f>
        <v>1</v>
      </c>
      <c r="AE1107" s="1062" t="b">
        <f>TRUE</f>
        <v>1</v>
      </c>
      <c r="AF1107" s="1062" t="b">
        <f>TRUE</f>
        <v>1</v>
      </c>
      <c r="AG1107" s="1062" t="b">
        <f>TRUE</f>
        <v>1</v>
      </c>
      <c r="AH1107" s="1062" t="b">
        <f>TRUE</f>
        <v>1</v>
      </c>
      <c r="AI1107" s="1062" t="b">
        <f>TRUE</f>
        <v>1</v>
      </c>
      <c r="AJ1107" s="1062" t="b">
        <f>TRUE</f>
        <v>1</v>
      </c>
      <c r="AK1107" s="1062" t="b">
        <f>TRUE</f>
        <v>1</v>
      </c>
      <c r="AL1107" s="1062" t="b">
        <f>TRUE</f>
        <v>1</v>
      </c>
      <c r="AM1107" s="1062" t="b">
        <f>TRUE</f>
        <v>1</v>
      </c>
      <c r="AN1107" s="1062" t="b">
        <f>TRUE</f>
        <v>1</v>
      </c>
      <c r="AO1107" s="1062" t="b">
        <f>TRUE</f>
        <v>1</v>
      </c>
      <c r="AP1107" s="1062" t="b">
        <f>TRUE</f>
        <v>1</v>
      </c>
      <c r="AQ1107" s="1062" t="b">
        <f>TRUE</f>
        <v>1</v>
      </c>
      <c r="AR1107" s="1062" t="b">
        <f>TRUE</f>
        <v>1</v>
      </c>
      <c r="AS1107" s="1062" t="b">
        <f>TRUE</f>
        <v>1</v>
      </c>
      <c r="AT1107" s="1062" t="b">
        <f>TRUE</f>
        <v>1</v>
      </c>
      <c r="AU1107" s="1062" t="b">
        <f>TRUE</f>
        <v>1</v>
      </c>
      <c r="AV1107" s="1062" t="b">
        <f>TRUE</f>
        <v>1</v>
      </c>
      <c r="AW1107" s="1062" t="b">
        <f>TRUE</f>
        <v>1</v>
      </c>
      <c r="AX1107" s="1062" t="b">
        <f>TRUE</f>
        <v>1</v>
      </c>
      <c r="AY1107" s="1062" t="b">
        <f>TRUE</f>
        <v>1</v>
      </c>
      <c r="AZ1107" s="1062" t="b">
        <f>TRUE</f>
        <v>1</v>
      </c>
      <c r="BA1107" s="1062" t="b">
        <f>TRUE</f>
        <v>1</v>
      </c>
      <c r="BB1107" s="1062" t="b">
        <f>TRUE</f>
        <v>1</v>
      </c>
      <c r="BC1107" s="1062" t="b">
        <f>TRUE</f>
        <v>1</v>
      </c>
      <c r="BD1107" s="1062" t="b">
        <f>TRUE</f>
        <v>1</v>
      </c>
      <c r="BE1107" s="1062" t="b">
        <f>TRUE</f>
        <v>1</v>
      </c>
      <c r="BF1107" s="1062" t="b">
        <f>TRUE</f>
        <v>1</v>
      </c>
      <c r="BG1107" s="1062" t="b">
        <f>TRUE</f>
        <v>1</v>
      </c>
      <c r="BH1107" s="1062" t="b">
        <f>TRUE</f>
        <v>1</v>
      </c>
      <c r="BI1107" s="1062" t="b">
        <f>TRUE</f>
        <v>1</v>
      </c>
      <c r="BJ1107" s="1063" t="b">
        <f>TRUE</f>
        <v>1</v>
      </c>
      <c r="BK1107" s="1062" t="b">
        <f>FALSE</f>
        <v>0</v>
      </c>
      <c r="BL1107" s="1062" t="b">
        <f>FALSE</f>
        <v>0</v>
      </c>
      <c r="BM1107" s="1062" t="b">
        <f>FALSE</f>
        <v>0</v>
      </c>
      <c r="BN1107" s="1062" t="b">
        <f>FALSE</f>
        <v>0</v>
      </c>
      <c r="BO1107" s="1062" t="b">
        <f>FALSE</f>
        <v>0</v>
      </c>
      <c r="BP1107" s="1062" t="b">
        <f>FALSE</f>
        <v>0</v>
      </c>
      <c r="BQ1107" s="1062" t="b">
        <f>FALSE</f>
        <v>0</v>
      </c>
      <c r="BR1107" s="1062" t="b">
        <f>FALSE</f>
        <v>0</v>
      </c>
      <c r="BS1107" s="1062" t="b">
        <f>FALSE</f>
        <v>0</v>
      </c>
      <c r="BT1107" s="1062" t="b">
        <f>FALSE</f>
        <v>0</v>
      </c>
      <c r="BU1107" s="1062" t="b">
        <f>FALSE</f>
        <v>0</v>
      </c>
      <c r="BV1107" s="1064" t="b">
        <f>FALSE</f>
        <v>0</v>
      </c>
      <c r="BW1107" s="1039"/>
    </row>
    <row r="1108" spans="1:75" x14ac:dyDescent="0.5">
      <c r="A1108" s="1065" t="str">
        <f ca="1">"Stock High: "&amp;IF(OR(MO.RealTimeStockPriceToggle=FALSE,VLOOKUP(MO.DataSourceName,MO_SPT_StockHigh_Sources,COLUMN()+2,FALSE)="N/A"),"Real-Time Off Source",MO.DataSourceName)</f>
        <v>Stock High: Real-Time Off Source</v>
      </c>
      <c r="B1108" s="785"/>
      <c r="C1108" s="1066">
        <f t="shared" ref="C1108:AH1108" ca="1" si="946">IF(OR(MO.RealTimeStockPriceToggle=FALSE,VLOOKUP(MO.DataSourceName,MO_SPT_StockHigh_Sources,COLUMN(),FALSE)="N/A"),VLOOKUP("Real-Time Off Source",MO_SPT_StockHigh_Sources,COLUMN(),FALSE),VLOOKUP(MO.DataSourceName,MO_SPT_StockHigh_Sources,COLUMN(),FALSE))</f>
        <v>23.23</v>
      </c>
      <c r="D1108" s="1066">
        <f t="shared" ca="1" si="946"/>
        <v>36.82</v>
      </c>
      <c r="E1108" s="785">
        <f t="shared" ca="1" si="946"/>
        <v>45.48</v>
      </c>
      <c r="F1108" s="785">
        <f t="shared" ca="1" si="946"/>
        <v>48.07</v>
      </c>
      <c r="G1108" s="785">
        <f t="shared" ca="1" si="946"/>
        <v>54.57</v>
      </c>
      <c r="H1108" s="785">
        <f t="shared" ca="1" si="946"/>
        <v>60.72</v>
      </c>
      <c r="I1108" s="785">
        <f t="shared" ca="1" si="946"/>
        <v>61.56</v>
      </c>
      <c r="J1108" s="785">
        <f t="shared" ca="1" si="946"/>
        <v>60.07</v>
      </c>
      <c r="K1108" s="785">
        <f t="shared" ca="1" si="946"/>
        <v>61.56</v>
      </c>
      <c r="L1108" s="785">
        <f t="shared" ca="1" si="946"/>
        <v>68.05</v>
      </c>
      <c r="M1108" s="785">
        <f t="shared" ca="1" si="946"/>
        <v>73.45</v>
      </c>
      <c r="N1108" s="785">
        <f t="shared" ca="1" si="946"/>
        <v>75.69</v>
      </c>
      <c r="O1108" s="785">
        <f t="shared" ca="1" si="946"/>
        <v>80.989999999999995</v>
      </c>
      <c r="P1108" s="785">
        <f t="shared" ca="1" si="946"/>
        <v>80.989999999999995</v>
      </c>
      <c r="Q1108" s="785">
        <f t="shared" ca="1" si="946"/>
        <v>84.75</v>
      </c>
      <c r="R1108" s="785">
        <f t="shared" ca="1" si="946"/>
        <v>85.37</v>
      </c>
      <c r="S1108" s="785">
        <f t="shared" ca="1" si="946"/>
        <v>89.38</v>
      </c>
      <c r="T1108" s="785">
        <f t="shared" ca="1" si="946"/>
        <v>75.900000000000006</v>
      </c>
      <c r="U1108" s="785">
        <f t="shared" ca="1" si="946"/>
        <v>89.38</v>
      </c>
      <c r="V1108" s="785">
        <f t="shared" ca="1" si="946"/>
        <v>61.97</v>
      </c>
      <c r="W1108" s="785">
        <f t="shared" ca="1" si="946"/>
        <v>61.03</v>
      </c>
      <c r="X1108" s="785">
        <f t="shared" ca="1" si="946"/>
        <v>57.4</v>
      </c>
      <c r="Y1108" s="785">
        <f t="shared" ca="1" si="946"/>
        <v>56.94</v>
      </c>
      <c r="Z1108" s="785">
        <f t="shared" ca="1" si="946"/>
        <v>61.97</v>
      </c>
      <c r="AA1108" s="785">
        <f t="shared" ca="1" si="946"/>
        <v>55.89</v>
      </c>
      <c r="AB1108" s="785">
        <f t="shared" ca="1" si="946"/>
        <v>54.85</v>
      </c>
      <c r="AC1108" s="785">
        <f t="shared" ca="1" si="946"/>
        <v>54.18</v>
      </c>
      <c r="AD1108" s="785">
        <f t="shared" ca="1" si="946"/>
        <v>55.88</v>
      </c>
      <c r="AE1108" s="785">
        <f t="shared" ca="1" si="946"/>
        <v>55.89</v>
      </c>
      <c r="AF1108" s="785">
        <f t="shared" ca="1" si="946"/>
        <v>54.037100000000002</v>
      </c>
      <c r="AG1108" s="785">
        <f t="shared" ca="1" si="946"/>
        <v>63.609699999999997</v>
      </c>
      <c r="AH1108" s="785">
        <f t="shared" ca="1" si="946"/>
        <v>72.381500000000003</v>
      </c>
      <c r="AI1108" s="785">
        <f t="shared" ref="AI1108:AW1108" ca="1" si="947">IF(OR(MO.RealTimeStockPriceToggle=FALSE,VLOOKUP(MO.DataSourceName,MO_SPT_StockHigh_Sources,COLUMN(),FALSE)="N/A"),VLOOKUP("Real-Time Off Source",MO_SPT_StockHigh_Sources,COLUMN(),FALSE),VLOOKUP(MO.DataSourceName,MO_SPT_StockHigh_Sources,COLUMN(),FALSE))</f>
        <v>64.98</v>
      </c>
      <c r="AJ1108" s="785">
        <f t="shared" ca="1" si="947"/>
        <v>72.381500000000003</v>
      </c>
      <c r="AK1108" s="785">
        <f t="shared" ca="1" si="947"/>
        <v>60.24</v>
      </c>
      <c r="AL1108" s="785">
        <f t="shared" ca="1" si="947"/>
        <v>70.260000000000005</v>
      </c>
      <c r="AM1108" s="785">
        <f t="shared" ca="1" si="947"/>
        <v>71.23</v>
      </c>
      <c r="AN1108" s="785">
        <f t="shared" ca="1" si="947"/>
        <v>76.59</v>
      </c>
      <c r="AO1108" s="785">
        <f t="shared" ca="1" si="947"/>
        <v>76.59</v>
      </c>
      <c r="AP1108" s="785">
        <f t="shared" ca="1" si="947"/>
        <v>74.48</v>
      </c>
      <c r="AQ1108" s="785">
        <f t="shared" ca="1" si="947"/>
        <v>87.65</v>
      </c>
      <c r="AR1108" s="785">
        <f t="shared" ca="1" si="947"/>
        <v>105.76</v>
      </c>
      <c r="AS1108" s="785">
        <f t="shared" ca="1" si="947"/>
        <v>147.6</v>
      </c>
      <c r="AT1108" s="785">
        <f t="shared" ca="1" si="947"/>
        <v>147.6</v>
      </c>
      <c r="AU1108" s="785">
        <f t="shared" ca="1" si="947"/>
        <v>186.89</v>
      </c>
      <c r="AV1108" s="785">
        <f t="shared" ca="1" si="947"/>
        <v>187.04</v>
      </c>
      <c r="AW1108" s="785">
        <f t="shared" ca="1" si="947"/>
        <v>194.46</v>
      </c>
      <c r="AX1108" s="785">
        <f t="shared" ref="AX1108:BN1108" ca="1" si="948">IF(OR(MO.RealTimeStockPriceToggle=FALSE,VLOOKUP(MO.DataSourceName,MO_SPT_StockHigh_Sources,COLUMN(),FALSE)="N/A"),VLOOKUP("Real-Time Off Source",MO_SPT_StockHigh_Sources,COLUMN(),FALSE),VLOOKUP(MO.DataSourceName,MO_SPT_StockHigh_Sources,COLUMN(),FALSE))</f>
        <v>221.63</v>
      </c>
      <c r="AY1108" s="785">
        <f t="shared" ca="1" si="948"/>
        <v>221.63</v>
      </c>
      <c r="AZ1108" s="785">
        <f t="shared" ca="1" si="948"/>
        <v>164.8</v>
      </c>
      <c r="BA1108" s="785">
        <f t="shared" ca="1" si="948"/>
        <v>144.41999999999999</v>
      </c>
      <c r="BB1108" s="785">
        <f t="shared" ca="1" si="948"/>
        <v>168.87</v>
      </c>
      <c r="BC1108" s="785">
        <f t="shared" ca="1" si="948"/>
        <v>135.36000000000001</v>
      </c>
      <c r="BD1108" s="785">
        <f t="shared" ca="1" si="948"/>
        <v>168.87</v>
      </c>
      <c r="BE1108" s="785">
        <f t="shared" ref="BE1108:BM1108" ca="1" si="949">IF(OR(MO.RealTimeStockPriceToggle=FALSE,VLOOKUP(MO.DataSourceName,MO_SPT_StockHigh_Sources,COLUMN(),FALSE)="N/A"),VLOOKUP("Real-Time Off Source",MO_SPT_StockHigh_Sources,COLUMN(),FALSE),VLOOKUP(MO.DataSourceName,MO_SPT_StockHigh_Sources,COLUMN(),FALSE))</f>
        <v>143.56</v>
      </c>
      <c r="BF1108" s="785">
        <f t="shared" ca="1" si="949"/>
        <v>140.66</v>
      </c>
      <c r="BG1108" s="785">
        <f t="shared" ca="1" si="949"/>
        <v>163.46</v>
      </c>
      <c r="BH1108" s="785">
        <f t="shared" ca="1" si="949"/>
        <v>210.59</v>
      </c>
      <c r="BI1108" s="785">
        <f t="shared" ca="1" si="949"/>
        <v>210.59</v>
      </c>
      <c r="BJ1108" s="1067">
        <f ca="1">IF(OR(MO.RealTimeStockPriceToggle=FALSE,VLOOKUP(MO.DataSourceName,MO_SPT_StockHigh_Sources,COLUMN(),FALSE)="N/A"),VLOOKUP("Real-Time Off Source",MO_SPT_StockHigh_Sources,COLUMN(),FALSE),VLOOKUP(MO.DataSourceName,MO_SPT_StockHigh_Sources,COLUMN(),FALSE))</f>
        <v>317.52999999999997</v>
      </c>
      <c r="BK1108" s="785">
        <f t="shared" ca="1" si="949"/>
        <v>0</v>
      </c>
      <c r="BL1108" s="785">
        <f t="shared" ca="1" si="949"/>
        <v>0</v>
      </c>
      <c r="BM1108" s="785">
        <f t="shared" ca="1" si="949"/>
        <v>0</v>
      </c>
      <c r="BN1108" s="785">
        <f t="shared" ca="1" si="948"/>
        <v>0</v>
      </c>
      <c r="BO1108" s="785">
        <f t="shared" ref="BO1108:BV1108" ca="1" si="950">IF(OR(MO.RealTimeStockPriceToggle=FALSE,VLOOKUP(MO.DataSourceName,MO_SPT_StockHigh_Sources,COLUMN(),FALSE)="N/A"),VLOOKUP("Real-Time Off Source",MO_SPT_StockHigh_Sources,COLUMN(),FALSE),VLOOKUP(MO.DataSourceName,MO_SPT_StockHigh_Sources,COLUMN(),FALSE))</f>
        <v>0</v>
      </c>
      <c r="BP1108" s="785">
        <f t="shared" ca="1" si="950"/>
        <v>0</v>
      </c>
      <c r="BQ1108" s="785">
        <f t="shared" ca="1" si="950"/>
        <v>0</v>
      </c>
      <c r="BR1108" s="785">
        <f t="shared" ca="1" si="950"/>
        <v>0</v>
      </c>
      <c r="BS1108" s="785">
        <f t="shared" ca="1" si="950"/>
        <v>0</v>
      </c>
      <c r="BT1108" s="785">
        <f t="shared" ca="1" si="950"/>
        <v>0</v>
      </c>
      <c r="BU1108" s="785">
        <f t="shared" ca="1" si="950"/>
        <v>0</v>
      </c>
      <c r="BV1108" s="1068">
        <f t="shared" ca="1" si="950"/>
        <v>0</v>
      </c>
      <c r="BW1108" s="1069"/>
    </row>
    <row r="1109" spans="1:75" hidden="1" outlineLevel="1" x14ac:dyDescent="0.5">
      <c r="A1109" s="1070" t="s">
        <v>1611</v>
      </c>
      <c r="B1109" s="785"/>
      <c r="C1109" s="1066"/>
      <c r="D1109" s="1066"/>
      <c r="E1109" s="785"/>
      <c r="F1109" s="785"/>
      <c r="G1109" s="785"/>
      <c r="H1109" s="785"/>
      <c r="I1109" s="785"/>
      <c r="J1109" s="785"/>
      <c r="K1109" s="785"/>
      <c r="L1109" s="785"/>
      <c r="M1109" s="785"/>
      <c r="N1109" s="785"/>
      <c r="O1109" s="1071">
        <v>39.43</v>
      </c>
      <c r="P1109" s="1071">
        <v>39.43</v>
      </c>
      <c r="Q1109" s="1071">
        <v>34.1</v>
      </c>
      <c r="R1109" s="1071">
        <v>39.43</v>
      </c>
      <c r="S1109" s="1071">
        <v>56.84</v>
      </c>
      <c r="T1109" s="1071">
        <v>50</v>
      </c>
      <c r="U1109" s="1071">
        <v>56.84</v>
      </c>
      <c r="V1109" s="1071">
        <v>47.68</v>
      </c>
      <c r="W1109" s="1071">
        <v>44.53</v>
      </c>
      <c r="X1109" s="1071">
        <v>49.34</v>
      </c>
      <c r="Y1109" s="1071">
        <v>39.79</v>
      </c>
      <c r="Z1109" s="1071">
        <v>49.34</v>
      </c>
      <c r="AA1109" s="1071">
        <v>43.49</v>
      </c>
      <c r="AB1109" s="1071">
        <v>78.209999999999994</v>
      </c>
      <c r="AC1109" s="1071">
        <v>84.19</v>
      </c>
      <c r="AD1109" s="1071">
        <v>83.79</v>
      </c>
      <c r="AE1109" s="1071">
        <v>84.19</v>
      </c>
      <c r="AF1109" s="1071">
        <v>97.52</v>
      </c>
      <c r="AG1109" s="1071">
        <v>118.76</v>
      </c>
      <c r="AH1109" s="1071">
        <v>149.91999999999999</v>
      </c>
      <c r="AI1109" s="1071">
        <v>143.63999999999999</v>
      </c>
      <c r="AJ1109" s="1071">
        <v>149.91999999999999</v>
      </c>
      <c r="AK1109" s="1071">
        <v>171.57</v>
      </c>
      <c r="AL1109" s="1071">
        <v>163.53</v>
      </c>
      <c r="AM1109" s="1071">
        <v>152</v>
      </c>
      <c r="AN1109" s="1071">
        <v>118.19</v>
      </c>
      <c r="AO1109" s="1071">
        <v>171.57</v>
      </c>
      <c r="AP1109" s="1071">
        <v>109.87</v>
      </c>
      <c r="AQ1109" s="1071">
        <v>209.99</v>
      </c>
      <c r="AR1109" s="1071">
        <v>342.4</v>
      </c>
      <c r="AS1109" s="1071">
        <v>317.38</v>
      </c>
      <c r="AT1109" s="1071">
        <v>342.4</v>
      </c>
      <c r="AU1109" s="1071">
        <v>345.47</v>
      </c>
      <c r="AV1109" s="1071">
        <v>339.15</v>
      </c>
      <c r="AW1109" s="1071">
        <v>316.57</v>
      </c>
      <c r="AX1109" s="1071">
        <v>279.32</v>
      </c>
      <c r="AY1109" s="1071">
        <v>345.47</v>
      </c>
      <c r="AZ1109" s="1071">
        <v>195.77</v>
      </c>
      <c r="BA1109" s="1071">
        <v>117</v>
      </c>
      <c r="BB1109" s="1071">
        <v>73.540000000000006</v>
      </c>
      <c r="BC1109" s="1071">
        <v>42.16</v>
      </c>
      <c r="BD1109" s="1071">
        <v>195.77</v>
      </c>
      <c r="BE1109" s="1071">
        <v>72.73</v>
      </c>
      <c r="BF1109" s="1071">
        <v>65.010000000000005</v>
      </c>
      <c r="BG1109" s="1071">
        <v>84.67</v>
      </c>
      <c r="BH1109" s="1071">
        <v>68.17</v>
      </c>
      <c r="BI1109" s="1071">
        <v>84.67</v>
      </c>
      <c r="BJ1109" s="1072">
        <v>67.88</v>
      </c>
      <c r="BK1109" s="785"/>
      <c r="BL1109" s="785"/>
      <c r="BM1109" s="785"/>
      <c r="BN1109" s="785"/>
      <c r="BO1109" s="785"/>
      <c r="BP1109" s="785"/>
      <c r="BQ1109" s="785"/>
      <c r="BR1109" s="785"/>
      <c r="BS1109" s="785"/>
      <c r="BT1109" s="785"/>
      <c r="BU1109" s="785"/>
      <c r="BV1109" s="1068"/>
      <c r="BW1109" s="1069"/>
    </row>
    <row r="1110" spans="1:75" hidden="1" outlineLevel="1" x14ac:dyDescent="0.5">
      <c r="A1110" s="1070" t="s">
        <v>103</v>
      </c>
      <c r="B1110" s="785"/>
      <c r="C1110" s="1066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D1110" s="1066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E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F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G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H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I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J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K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L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M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N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O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P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Q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R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S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T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U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V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W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X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Y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Z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A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B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C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D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E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F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G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H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I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J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K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L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M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N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O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P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Q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R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S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T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U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V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W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X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Y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Z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A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B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C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D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E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F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G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H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I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J1110" s="1067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K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L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M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N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O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P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Q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R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S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T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U1110" s="78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V1110" s="1068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W1110" s="1069"/>
    </row>
    <row r="1111" spans="1:75" hidden="1" outlineLevel="1" x14ac:dyDescent="0.5">
      <c r="A1111" s="1070" t="s">
        <v>1612</v>
      </c>
      <c r="B1111" s="785"/>
      <c r="C1111" s="1066" t="str">
        <f ca="1">IFERROR(_xll.CIQHI(MO.Ticker.CapIQ,"IQ_LASTSALEPRICE",INDEX(MO_SNA_FPStartDate,0,COLUMN()),INDEX(MO_Common_QEndDate,0,COLUMN())),"N/A")</f>
        <v>N/A</v>
      </c>
      <c r="D1111" s="1066" t="str">
        <f ca="1">IFERROR(_xll.CIQHI(MO.Ticker.CapIQ,"IQ_LASTSALEPRICE",INDEX(MO_SNA_FPStartDate,0,COLUMN()),INDEX(MO_Common_QEndDate,0,COLUMN())),"N/A")</f>
        <v>N/A</v>
      </c>
      <c r="E1111" s="785" t="str">
        <f ca="1">IFERROR(_xll.CIQHI(MO.Ticker.CapIQ,"IQ_LASTSALEPRICE",INDEX(MO_SNA_FPStartDate,0,COLUMN()),INDEX(MO_Common_QEndDate,0,COLUMN())),"N/A")</f>
        <v>N/A</v>
      </c>
      <c r="F1111" s="785" t="str">
        <f ca="1">IFERROR(_xll.CIQHI(MO.Ticker.CapIQ,"IQ_LASTSALEPRICE",INDEX(MO_SNA_FPStartDate,0,COLUMN()),INDEX(MO_Common_QEndDate,0,COLUMN())),"N/A")</f>
        <v>N/A</v>
      </c>
      <c r="G1111" s="785" t="str">
        <f ca="1">IFERROR(_xll.CIQHI(MO.Ticker.CapIQ,"IQ_LASTSALEPRICE",INDEX(MO_SNA_FPStartDate,0,COLUMN()),INDEX(MO_Common_QEndDate,0,COLUMN())),"N/A")</f>
        <v>N/A</v>
      </c>
      <c r="H1111" s="785" t="str">
        <f ca="1">IFERROR(_xll.CIQHI(MO.Ticker.CapIQ,"IQ_LASTSALEPRICE",INDEX(MO_SNA_FPStartDate,0,COLUMN()),INDEX(MO_Common_QEndDate,0,COLUMN())),"N/A")</f>
        <v>N/A</v>
      </c>
      <c r="I1111" s="785" t="str">
        <f ca="1">IFERROR(_xll.CIQHI(MO.Ticker.CapIQ,"IQ_LASTSALEPRICE",INDEX(MO_SNA_FPStartDate,0,COLUMN()),INDEX(MO_Common_QEndDate,0,COLUMN())),"N/A")</f>
        <v>N/A</v>
      </c>
      <c r="J1111" s="785" t="str">
        <f ca="1">IFERROR(_xll.CIQHI(MO.Ticker.CapIQ,"IQ_LASTSALEPRICE",INDEX(MO_SNA_FPStartDate,0,COLUMN()),INDEX(MO_Common_QEndDate,0,COLUMN())),"N/A")</f>
        <v>N/A</v>
      </c>
      <c r="K1111" s="785" t="str">
        <f ca="1">IFERROR(_xll.CIQHI(MO.Ticker.CapIQ,"IQ_LASTSALEPRICE",INDEX(MO_SNA_FPStartDate,0,COLUMN()),INDEX(MO_Common_QEndDate,0,COLUMN())),"N/A")</f>
        <v>N/A</v>
      </c>
      <c r="L1111" s="785" t="str">
        <f ca="1">IFERROR(_xll.CIQHI(MO.Ticker.CapIQ,"IQ_LASTSALEPRICE",INDEX(MO_SNA_FPStartDate,0,COLUMN()),INDEX(MO_Common_QEndDate,0,COLUMN())),"N/A")</f>
        <v>N/A</v>
      </c>
      <c r="M1111" s="785" t="str">
        <f ca="1">IFERROR(_xll.CIQHI(MO.Ticker.CapIQ,"IQ_LASTSALEPRICE",INDEX(MO_SNA_FPStartDate,0,COLUMN()),INDEX(MO_Common_QEndDate,0,COLUMN())),"N/A")</f>
        <v>N/A</v>
      </c>
      <c r="N1111" s="785" t="str">
        <f ca="1">IFERROR(_xll.CIQHI(MO.Ticker.CapIQ,"IQ_LASTSALEPRICE",INDEX(MO_SNA_FPStartDate,0,COLUMN()),INDEX(MO_Common_QEndDate,0,COLUMN())),"N/A")</f>
        <v>N/A</v>
      </c>
      <c r="O1111" s="785" t="str">
        <f ca="1">IFERROR(_xll.CIQHI(MO.Ticker.CapIQ,"IQ_LASTSALEPRICE",INDEX(MO_SNA_FPStartDate,0,COLUMN()),INDEX(MO_Common_QEndDate,0,COLUMN())),"N/A")</f>
        <v>N/A</v>
      </c>
      <c r="P1111" s="785" t="str">
        <f ca="1">IFERROR(_xll.CIQHI(MO.Ticker.CapIQ,"IQ_LASTSALEPRICE",INDEX(MO_SNA_FPStartDate,0,COLUMN()),INDEX(MO_Common_QEndDate,0,COLUMN())),"N/A")</f>
        <v>N/A</v>
      </c>
      <c r="Q1111" s="785" t="str">
        <f ca="1">IFERROR(_xll.CIQHI(MO.Ticker.CapIQ,"IQ_LASTSALEPRICE",INDEX(MO_SNA_FPStartDate,0,COLUMN()),INDEX(MO_Common_QEndDate,0,COLUMN())),"N/A")</f>
        <v>N/A</v>
      </c>
      <c r="R1111" s="785" t="str">
        <f ca="1">IFERROR(_xll.CIQHI(MO.Ticker.CapIQ,"IQ_LASTSALEPRICE",INDEX(MO_SNA_FPStartDate,0,COLUMN()),INDEX(MO_Common_QEndDate,0,COLUMN())),"N/A")</f>
        <v>N/A</v>
      </c>
      <c r="S1111" s="785" t="str">
        <f ca="1">IFERROR(_xll.CIQHI(MO.Ticker.CapIQ,"IQ_LASTSALEPRICE",INDEX(MO_SNA_FPStartDate,0,COLUMN()),INDEX(MO_Common_QEndDate,0,COLUMN())),"N/A")</f>
        <v>N/A</v>
      </c>
      <c r="T1111" s="785" t="str">
        <f ca="1">IFERROR(_xll.CIQHI(MO.Ticker.CapIQ,"IQ_LASTSALEPRICE",INDEX(MO_SNA_FPStartDate,0,COLUMN()),INDEX(MO_Common_QEndDate,0,COLUMN())),"N/A")</f>
        <v>N/A</v>
      </c>
      <c r="U1111" s="785" t="str">
        <f ca="1">IFERROR(_xll.CIQHI(MO.Ticker.CapIQ,"IQ_LASTSALEPRICE",INDEX(MO_SNA_FPStartDate,0,COLUMN()),INDEX(MO_Common_QEndDate,0,COLUMN())),"N/A")</f>
        <v>N/A</v>
      </c>
      <c r="V1111" s="785" t="str">
        <f ca="1">IFERROR(_xll.CIQHI(MO.Ticker.CapIQ,"IQ_LASTSALEPRICE",INDEX(MO_SNA_FPStartDate,0,COLUMN()),INDEX(MO_Common_QEndDate,0,COLUMN())),"N/A")</f>
        <v>N/A</v>
      </c>
      <c r="W1111" s="785" t="str">
        <f ca="1">IFERROR(_xll.CIQHI(MO.Ticker.CapIQ,"IQ_LASTSALEPRICE",INDEX(MO_SNA_FPStartDate,0,COLUMN()),INDEX(MO_Common_QEndDate,0,COLUMN())),"N/A")</f>
        <v>N/A</v>
      </c>
      <c r="X1111" s="785" t="str">
        <f ca="1">IFERROR(_xll.CIQHI(MO.Ticker.CapIQ,"IQ_LASTSALEPRICE",INDEX(MO_SNA_FPStartDate,0,COLUMN()),INDEX(MO_Common_QEndDate,0,COLUMN())),"N/A")</f>
        <v>N/A</v>
      </c>
      <c r="Y1111" s="785" t="str">
        <f ca="1">IFERROR(_xll.CIQHI(MO.Ticker.CapIQ,"IQ_LASTSALEPRICE",INDEX(MO_SNA_FPStartDate,0,COLUMN()),INDEX(MO_Common_QEndDate,0,COLUMN())),"N/A")</f>
        <v>N/A</v>
      </c>
      <c r="Z1111" s="785" t="str">
        <f ca="1">IFERROR(_xll.CIQHI(MO.Ticker.CapIQ,"IQ_LASTSALEPRICE",INDEX(MO_SNA_FPStartDate,0,COLUMN()),INDEX(MO_Common_QEndDate,0,COLUMN())),"N/A")</f>
        <v>N/A</v>
      </c>
      <c r="AA1111" s="785" t="str">
        <f ca="1">IFERROR(_xll.CIQHI(MO.Ticker.CapIQ,"IQ_LASTSALEPRICE",INDEX(MO_SNA_FPStartDate,0,COLUMN()),INDEX(MO_Common_QEndDate,0,COLUMN())),"N/A")</f>
        <v>N/A</v>
      </c>
      <c r="AB1111" s="785" t="str">
        <f ca="1">IFERROR(_xll.CIQHI(MO.Ticker.CapIQ,"IQ_LASTSALEPRICE",INDEX(MO_SNA_FPStartDate,0,COLUMN()),INDEX(MO_Common_QEndDate,0,COLUMN())),"N/A")</f>
        <v>N/A</v>
      </c>
      <c r="AC1111" s="785" t="str">
        <f ca="1">IFERROR(_xll.CIQHI(MO.Ticker.CapIQ,"IQ_LASTSALEPRICE",INDEX(MO_SNA_FPStartDate,0,COLUMN()),INDEX(MO_Common_QEndDate,0,COLUMN())),"N/A")</f>
        <v>N/A</v>
      </c>
      <c r="AD1111" s="785" t="str">
        <f ca="1">IFERROR(_xll.CIQHI(MO.Ticker.CapIQ,"IQ_LASTSALEPRICE",INDEX(MO_SNA_FPStartDate,0,COLUMN()),INDEX(MO_Common_QEndDate,0,COLUMN())),"N/A")</f>
        <v>N/A</v>
      </c>
      <c r="AE1111" s="785" t="str">
        <f ca="1">IFERROR(_xll.CIQHI(MO.Ticker.CapIQ,"IQ_LASTSALEPRICE",INDEX(MO_SNA_FPStartDate,0,COLUMN()),INDEX(MO_Common_QEndDate,0,COLUMN())),"N/A")</f>
        <v>N/A</v>
      </c>
      <c r="AF1111" s="785" t="str">
        <f ca="1">IFERROR(_xll.CIQHI(MO.Ticker.CapIQ,"IQ_LASTSALEPRICE",INDEX(MO_SNA_FPStartDate,0,COLUMN()),INDEX(MO_Common_QEndDate,0,COLUMN())),"N/A")</f>
        <v>N/A</v>
      </c>
      <c r="AG1111" s="785" t="str">
        <f ca="1">IFERROR(_xll.CIQHI(MO.Ticker.CapIQ,"IQ_LASTSALEPRICE",INDEX(MO_SNA_FPStartDate,0,COLUMN()),INDEX(MO_Common_QEndDate,0,COLUMN())),"N/A")</f>
        <v>N/A</v>
      </c>
      <c r="AH1111" s="785" t="str">
        <f ca="1">IFERROR(_xll.CIQHI(MO.Ticker.CapIQ,"IQ_LASTSALEPRICE",INDEX(MO_SNA_FPStartDate,0,COLUMN()),INDEX(MO_Common_QEndDate,0,COLUMN())),"N/A")</f>
        <v>N/A</v>
      </c>
      <c r="AI1111" s="785" t="str">
        <f ca="1">IFERROR(_xll.CIQHI(MO.Ticker.CapIQ,"IQ_LASTSALEPRICE",INDEX(MO_SNA_FPStartDate,0,COLUMN()),INDEX(MO_Common_QEndDate,0,COLUMN())),"N/A")</f>
        <v>N/A</v>
      </c>
      <c r="AJ1111" s="785" t="str">
        <f ca="1">IFERROR(_xll.CIQHI(MO.Ticker.CapIQ,"IQ_LASTSALEPRICE",INDEX(MO_SNA_FPStartDate,0,COLUMN()),INDEX(MO_Common_QEndDate,0,COLUMN())),"N/A")</f>
        <v>N/A</v>
      </c>
      <c r="AK1111" s="785" t="str">
        <f ca="1">IFERROR(_xll.CIQHI(MO.Ticker.CapIQ,"IQ_LASTSALEPRICE",INDEX(MO_SNA_FPStartDate,0,COLUMN()),INDEX(MO_Common_QEndDate,0,COLUMN())),"N/A")</f>
        <v>N/A</v>
      </c>
      <c r="AL1111" s="785" t="str">
        <f ca="1">IFERROR(_xll.CIQHI(MO.Ticker.CapIQ,"IQ_LASTSALEPRICE",INDEX(MO_SNA_FPStartDate,0,COLUMN()),INDEX(MO_Common_QEndDate,0,COLUMN())),"N/A")</f>
        <v>N/A</v>
      </c>
      <c r="AM1111" s="785" t="str">
        <f ca="1">IFERROR(_xll.CIQHI(MO.Ticker.CapIQ,"IQ_LASTSALEPRICE",INDEX(MO_SNA_FPStartDate,0,COLUMN()),INDEX(MO_Common_QEndDate,0,COLUMN())),"N/A")</f>
        <v>N/A</v>
      </c>
      <c r="AN1111" s="785" t="str">
        <f ca="1">IFERROR(_xll.CIQHI(MO.Ticker.CapIQ,"IQ_LASTSALEPRICE",INDEX(MO_SNA_FPStartDate,0,COLUMN()),INDEX(MO_Common_QEndDate,0,COLUMN())),"N/A")</f>
        <v>N/A</v>
      </c>
      <c r="AO1111" s="785" t="str">
        <f ca="1">IFERROR(_xll.CIQHI(MO.Ticker.CapIQ,"IQ_LASTSALEPRICE",INDEX(MO_SNA_FPStartDate,0,COLUMN()),INDEX(MO_Common_QEndDate,0,COLUMN())),"N/A")</f>
        <v>N/A</v>
      </c>
      <c r="AP1111" s="785" t="str">
        <f ca="1">IFERROR(_xll.CIQHI(MO.Ticker.CapIQ,"IQ_LASTSALEPRICE",INDEX(MO_SNA_FPStartDate,0,COLUMN()),INDEX(MO_Common_QEndDate,0,COLUMN())),"N/A")</f>
        <v>N/A</v>
      </c>
      <c r="AQ1111" s="785" t="str">
        <f ca="1">IFERROR(_xll.CIQHI(MO.Ticker.CapIQ,"IQ_LASTSALEPRICE",INDEX(MO_SNA_FPStartDate,0,COLUMN()),INDEX(MO_Common_QEndDate,0,COLUMN())),"N/A")</f>
        <v>N/A</v>
      </c>
      <c r="AR1111" s="785" t="str">
        <f ca="1">IFERROR(_xll.CIQHI(MO.Ticker.CapIQ,"IQ_LASTSALEPRICE",INDEX(MO_SNA_FPStartDate,0,COLUMN()),INDEX(MO_Common_QEndDate,0,COLUMN())),"N/A")</f>
        <v>N/A</v>
      </c>
      <c r="AS1111" s="785" t="str">
        <f ca="1">IFERROR(_xll.CIQHI(MO.Ticker.CapIQ,"IQ_LASTSALEPRICE",INDEX(MO_SNA_FPStartDate,0,COLUMN()),INDEX(MO_Common_QEndDate,0,COLUMN())),"N/A")</f>
        <v>N/A</v>
      </c>
      <c r="AT1111" s="785" t="str">
        <f ca="1">IFERROR(_xll.CIQHI(MO.Ticker.CapIQ,"IQ_LASTSALEPRICE",INDEX(MO_SNA_FPStartDate,0,COLUMN()),INDEX(MO_Common_QEndDate,0,COLUMN())),"N/A")</f>
        <v>N/A</v>
      </c>
      <c r="AU1111" s="785" t="str">
        <f ca="1">IFERROR(_xll.CIQHI(MO.Ticker.CapIQ,"IQ_LASTSALEPRICE",INDEX(MO_SNA_FPStartDate,0,COLUMN()),INDEX(MO_Common_QEndDate,0,COLUMN())),"N/A")</f>
        <v>N/A</v>
      </c>
      <c r="AV1111" s="785" t="str">
        <f ca="1">IFERROR(_xll.CIQHI(MO.Ticker.CapIQ,"IQ_LASTSALEPRICE",INDEX(MO_SNA_FPStartDate,0,COLUMN()),INDEX(MO_Common_QEndDate,0,COLUMN())),"N/A")</f>
        <v>N/A</v>
      </c>
      <c r="AW1111" s="785" t="str">
        <f ca="1">IFERROR(_xll.CIQHI(MO.Ticker.CapIQ,"IQ_LASTSALEPRICE",INDEX(MO_SNA_FPStartDate,0,COLUMN()),INDEX(MO_Common_QEndDate,0,COLUMN())),"N/A")</f>
        <v>N/A</v>
      </c>
      <c r="AX1111" s="785" t="str">
        <f ca="1">IFERROR(_xll.CIQHI(MO.Ticker.CapIQ,"IQ_LASTSALEPRICE",INDEX(MO_SNA_FPStartDate,0,COLUMN()),INDEX(MO_Common_QEndDate,0,COLUMN())),"N/A")</f>
        <v>N/A</v>
      </c>
      <c r="AY1111" s="785" t="str">
        <f ca="1">IFERROR(_xll.CIQHI(MO.Ticker.CapIQ,"IQ_LASTSALEPRICE",INDEX(MO_SNA_FPStartDate,0,COLUMN()),INDEX(MO_Common_QEndDate,0,COLUMN())),"N/A")</f>
        <v>N/A</v>
      </c>
      <c r="AZ1111" s="785" t="str">
        <f ca="1">IFERROR(_xll.CIQHI(MO.Ticker.CapIQ,"IQ_LASTSALEPRICE",INDEX(MO_SNA_FPStartDate,0,COLUMN()),INDEX(MO_Common_QEndDate,0,COLUMN())),"N/A")</f>
        <v>N/A</v>
      </c>
      <c r="BA1111" s="785" t="str">
        <f ca="1">IFERROR(_xll.CIQHI(MO.Ticker.CapIQ,"IQ_LASTSALEPRICE",INDEX(MO_SNA_FPStartDate,0,COLUMN()),INDEX(MO_Common_QEndDate,0,COLUMN())),"N/A")</f>
        <v>N/A</v>
      </c>
      <c r="BB1111" s="785" t="str">
        <f ca="1">IFERROR(_xll.CIQHI(MO.Ticker.CapIQ,"IQ_LASTSALEPRICE",INDEX(MO_SNA_FPStartDate,0,COLUMN()),INDEX(MO_Common_QEndDate,0,COLUMN())),"N/A")</f>
        <v>N/A</v>
      </c>
      <c r="BC1111" s="785" t="str">
        <f ca="1">IFERROR(_xll.CIQHI(MO.Ticker.CapIQ,"IQ_LASTSALEPRICE",INDEX(MO_SNA_FPStartDate,0,COLUMN()),INDEX(MO_Common_QEndDate,0,COLUMN())),"N/A")</f>
        <v>N/A</v>
      </c>
      <c r="BD1111" s="785" t="str">
        <f ca="1">IFERROR(_xll.CIQHI(MO.Ticker.CapIQ,"IQ_LASTSALEPRICE",INDEX(MO_SNA_FPStartDate,0,COLUMN()),INDEX(MO_Common_QEndDate,0,COLUMN())),"N/A")</f>
        <v>N/A</v>
      </c>
      <c r="BE1111" s="785" t="str">
        <f ca="1">IFERROR(_xll.CIQHI(MO.Ticker.CapIQ,"IQ_LASTSALEPRICE",INDEX(MO_SNA_FPStartDate,0,COLUMN()),INDEX(MO_Common_QEndDate,0,COLUMN())),"N/A")</f>
        <v>N/A</v>
      </c>
      <c r="BF1111" s="785" t="str">
        <f ca="1">IFERROR(_xll.CIQHI(MO.Ticker.CapIQ,"IQ_LASTSALEPRICE",INDEX(MO_SNA_FPStartDate,0,COLUMN()),INDEX(MO_Common_QEndDate,0,COLUMN())),"N/A")</f>
        <v>N/A</v>
      </c>
      <c r="BG1111" s="785" t="str">
        <f ca="1">IFERROR(_xll.CIQHI(MO.Ticker.CapIQ,"IQ_LASTSALEPRICE",INDEX(MO_SNA_FPStartDate,0,COLUMN()),INDEX(MO_Common_QEndDate,0,COLUMN())),"N/A")</f>
        <v>N/A</v>
      </c>
      <c r="BH1111" s="785" t="str">
        <f ca="1">IFERROR(_xll.CIQHI(MO.Ticker.CapIQ,"IQ_LASTSALEPRICE",INDEX(MO_SNA_FPStartDate,0,COLUMN()),INDEX(MO_Common_QEndDate,0,COLUMN())),"N/A")</f>
        <v>N/A</v>
      </c>
      <c r="BI1111" s="785" t="str">
        <f ca="1">IFERROR(_xll.CIQHI(MO.Ticker.CapIQ,"IQ_LASTSALEPRICE",INDEX(MO_SNA_FPStartDate,0,COLUMN()),INDEX(MO_Common_QEndDate,0,COLUMN())),"N/A")</f>
        <v>N/A</v>
      </c>
      <c r="BJ1111" s="1067" t="str">
        <f ca="1">IFERROR(_xll.CIQHI(MO.Ticker.CapIQ,"IQ_LASTSALEPRICE",INDEX(MO_SNA_FPStartDate,0,COLUMN()),INDEX(MO_Common_QEndDate,0,COLUMN())),"N/A")</f>
        <v>N/A</v>
      </c>
      <c r="BK1111" s="785" t="str">
        <f ca="1">IFERROR(_xll.CIQHI(MO.Ticker.CapIQ,"IQ_LASTSALEPRICE",INDEX(MO_SNA_FPStartDate,0,COLUMN()),INDEX(MO_Common_QEndDate,0,COLUMN())),"N/A")</f>
        <v>N/A</v>
      </c>
      <c r="BL1111" s="785" t="str">
        <f ca="1">IFERROR(_xll.CIQHI(MO.Ticker.CapIQ,"IQ_LASTSALEPRICE",INDEX(MO_SNA_FPStartDate,0,COLUMN()),INDEX(MO_Common_QEndDate,0,COLUMN())),"N/A")</f>
        <v>N/A</v>
      </c>
      <c r="BM1111" s="785" t="str">
        <f ca="1">IFERROR(_xll.CIQHI(MO.Ticker.CapIQ,"IQ_LASTSALEPRICE",INDEX(MO_SNA_FPStartDate,0,COLUMN()),INDEX(MO_Common_QEndDate,0,COLUMN())),"N/A")</f>
        <v>N/A</v>
      </c>
      <c r="BN1111" s="785" t="str">
        <f ca="1">IFERROR(_xll.CIQHI(MO.Ticker.CapIQ,"IQ_LASTSALEPRICE",INDEX(MO_SNA_FPStartDate,0,COLUMN()),INDEX(MO_Common_QEndDate,0,COLUMN())),"N/A")</f>
        <v>N/A</v>
      </c>
      <c r="BO1111" s="785" t="str">
        <f ca="1">IFERROR(_xll.CIQHI(MO.Ticker.CapIQ,"IQ_LASTSALEPRICE",INDEX(MO_SNA_FPStartDate,0,COLUMN()),INDEX(MO_Common_QEndDate,0,COLUMN())),"N/A")</f>
        <v>N/A</v>
      </c>
      <c r="BP1111" s="785" t="str">
        <f ca="1">IFERROR(_xll.CIQHI(MO.Ticker.CapIQ,"IQ_LASTSALEPRICE",INDEX(MO_SNA_FPStartDate,0,COLUMN()),INDEX(MO_Common_QEndDate,0,COLUMN())),"N/A")</f>
        <v>N/A</v>
      </c>
      <c r="BQ1111" s="785" t="str">
        <f ca="1">IFERROR(_xll.CIQHI(MO.Ticker.CapIQ,"IQ_LASTSALEPRICE",INDEX(MO_SNA_FPStartDate,0,COLUMN()),INDEX(MO_Common_QEndDate,0,COLUMN())),"N/A")</f>
        <v>N/A</v>
      </c>
      <c r="BR1111" s="785" t="str">
        <f ca="1">IFERROR(_xll.CIQHI(MO.Ticker.CapIQ,"IQ_LASTSALEPRICE",INDEX(MO_SNA_FPStartDate,0,COLUMN()),INDEX(MO_Common_QEndDate,0,COLUMN())),"N/A")</f>
        <v>N/A</v>
      </c>
      <c r="BS1111" s="785" t="str">
        <f ca="1">IFERROR(_xll.CIQHI(MO.Ticker.CapIQ,"IQ_LASTSALEPRICE",INDEX(MO_SNA_FPStartDate,0,COLUMN()),INDEX(MO_Common_QEndDate,0,COLUMN())),"N/A")</f>
        <v>N/A</v>
      </c>
      <c r="BT1111" s="785" t="str">
        <f ca="1">IFERROR(_xll.CIQHI(MO.Ticker.CapIQ,"IQ_LASTSALEPRICE",INDEX(MO_SNA_FPStartDate,0,COLUMN()),INDEX(MO_Common_QEndDate,0,COLUMN())),"N/A")</f>
        <v>N/A</v>
      </c>
      <c r="BU1111" s="785" t="str">
        <f ca="1">IFERROR(_xll.CIQHI(MO.Ticker.CapIQ,"IQ_LASTSALEPRICE",INDEX(MO_SNA_FPStartDate,0,COLUMN()),INDEX(MO_Common_QEndDate,0,COLUMN())),"N/A")</f>
        <v>N/A</v>
      </c>
      <c r="BV1111" s="1068" t="str">
        <f ca="1">IFERROR(_xll.CIQHI(MO.Ticker.CapIQ,"IQ_LASTSALEPRICE",INDEX(MO_SNA_FPStartDate,0,COLUMN()),INDEX(MO_Common_QEndDate,0,COLUMN())),"N/A")</f>
        <v>N/A</v>
      </c>
      <c r="BW1111" s="1069"/>
    </row>
    <row r="1112" spans="1:75" hidden="1" outlineLevel="1" x14ac:dyDescent="0.5">
      <c r="A1112" s="1070" t="s">
        <v>1613</v>
      </c>
      <c r="B1112" s="785"/>
      <c r="C1112" s="1066" t="str">
        <f ca="1">IFERROR(_xll.FDS(MO.Ticker.FactSet,"P_PRICE_HIGH"&amp;"("&amp;INDEX(MO_SNA_FPStartDate,0,COLUMN())&amp;","&amp;INDEX(MO_Common_QEndDate,0,COLUMN())&amp;",,,,""PRICE"",""CLOSE"")"),"N/A")</f>
        <v>N/A</v>
      </c>
      <c r="D1112" s="1066" t="str">
        <f ca="1">IFERROR(_xll.FDS(MO.Ticker.FactSet,"P_PRICE_HIGH"&amp;"("&amp;INDEX(MO_SNA_FPStartDate,0,COLUMN())&amp;","&amp;INDEX(MO_Common_QEndDate,0,COLUMN())&amp;",,,,""PRICE"",""CLOSE"")"),"N/A")</f>
        <v>N/A</v>
      </c>
      <c r="E1112" s="785" t="str">
        <f ca="1">IFERROR(_xll.FDS(MO.Ticker.FactSet,"P_PRICE_HIGH"&amp;"("&amp;INDEX(MO_SNA_FPStartDate,0,COLUMN())&amp;","&amp;INDEX(MO_Common_QEndDate,0,COLUMN())&amp;",,,,""PRICE"",""CLOSE"")"),"N/A")</f>
        <v>N/A</v>
      </c>
      <c r="F1112" s="785" t="str">
        <f ca="1">IFERROR(_xll.FDS(MO.Ticker.FactSet,"P_PRICE_HIGH"&amp;"("&amp;INDEX(MO_SNA_FPStartDate,0,COLUMN())&amp;","&amp;INDEX(MO_Common_QEndDate,0,COLUMN())&amp;",,,,""PRICE"",""CLOSE"")"),"N/A")</f>
        <v>N/A</v>
      </c>
      <c r="G1112" s="785" t="str">
        <f ca="1">IFERROR(_xll.FDS(MO.Ticker.FactSet,"P_PRICE_HIGH"&amp;"("&amp;INDEX(MO_SNA_FPStartDate,0,COLUMN())&amp;","&amp;INDEX(MO_Common_QEndDate,0,COLUMN())&amp;",,,,""PRICE"",""CLOSE"")"),"N/A")</f>
        <v>N/A</v>
      </c>
      <c r="H1112" s="785" t="str">
        <f ca="1">IFERROR(_xll.FDS(MO.Ticker.FactSet,"P_PRICE_HIGH"&amp;"("&amp;INDEX(MO_SNA_FPStartDate,0,COLUMN())&amp;","&amp;INDEX(MO_Common_QEndDate,0,COLUMN())&amp;",,,,""PRICE"",""CLOSE"")"),"N/A")</f>
        <v>N/A</v>
      </c>
      <c r="I1112" s="785" t="str">
        <f ca="1">IFERROR(_xll.FDS(MO.Ticker.FactSet,"P_PRICE_HIGH"&amp;"("&amp;INDEX(MO_SNA_FPStartDate,0,COLUMN())&amp;","&amp;INDEX(MO_Common_QEndDate,0,COLUMN())&amp;",,,,""PRICE"",""CLOSE"")"),"N/A")</f>
        <v>N/A</v>
      </c>
      <c r="J1112" s="785" t="str">
        <f ca="1">IFERROR(_xll.FDS(MO.Ticker.FactSet,"P_PRICE_HIGH"&amp;"("&amp;INDEX(MO_SNA_FPStartDate,0,COLUMN())&amp;","&amp;INDEX(MO_Common_QEndDate,0,COLUMN())&amp;",,,,""PRICE"",""CLOSE"")"),"N/A")</f>
        <v>N/A</v>
      </c>
      <c r="K1112" s="785" t="str">
        <f ca="1">IFERROR(_xll.FDS(MO.Ticker.FactSet,"P_PRICE_HIGH"&amp;"("&amp;INDEX(MO_SNA_FPStartDate,0,COLUMN())&amp;","&amp;INDEX(MO_Common_QEndDate,0,COLUMN())&amp;",,,,""PRICE"",""CLOSE"")"),"N/A")</f>
        <v>N/A</v>
      </c>
      <c r="L1112" s="785" t="str">
        <f ca="1">IFERROR(_xll.FDS(MO.Ticker.FactSet,"P_PRICE_HIGH"&amp;"("&amp;INDEX(MO_SNA_FPStartDate,0,COLUMN())&amp;","&amp;INDEX(MO_Common_QEndDate,0,COLUMN())&amp;",,,,""PRICE"",""CLOSE"")"),"N/A")</f>
        <v>N/A</v>
      </c>
      <c r="M1112" s="785" t="str">
        <f ca="1">IFERROR(_xll.FDS(MO.Ticker.FactSet,"P_PRICE_HIGH"&amp;"("&amp;INDEX(MO_SNA_FPStartDate,0,COLUMN())&amp;","&amp;INDEX(MO_Common_QEndDate,0,COLUMN())&amp;",,,,""PRICE"",""CLOSE"")"),"N/A")</f>
        <v>N/A</v>
      </c>
      <c r="N1112" s="785" t="str">
        <f ca="1">IFERROR(_xll.FDS(MO.Ticker.FactSet,"P_PRICE_HIGH"&amp;"("&amp;INDEX(MO_SNA_FPStartDate,0,COLUMN())&amp;","&amp;INDEX(MO_Common_QEndDate,0,COLUMN())&amp;",,,,""PRICE"",""CLOSE"")"),"N/A")</f>
        <v>N/A</v>
      </c>
      <c r="O1112" s="785" t="str">
        <f ca="1">IFERROR(_xll.FDS(MO.Ticker.FactSet,"P_PRICE_HIGH"&amp;"("&amp;INDEX(MO_SNA_FPStartDate,0,COLUMN())&amp;","&amp;INDEX(MO_Common_QEndDate,0,COLUMN())&amp;",,,,""PRICE"",""CLOSE"")"),"N/A")</f>
        <v>N/A</v>
      </c>
      <c r="P1112" s="785" t="str">
        <f ca="1">IFERROR(_xll.FDS(MO.Ticker.FactSet,"P_PRICE_HIGH"&amp;"("&amp;INDEX(MO_SNA_FPStartDate,0,COLUMN())&amp;","&amp;INDEX(MO_Common_QEndDate,0,COLUMN())&amp;",,,,""PRICE"",""CLOSE"")"),"N/A")</f>
        <v>N/A</v>
      </c>
      <c r="Q1112" s="785" t="str">
        <f ca="1">IFERROR(_xll.FDS(MO.Ticker.FactSet,"P_PRICE_HIGH"&amp;"("&amp;INDEX(MO_SNA_FPStartDate,0,COLUMN())&amp;","&amp;INDEX(MO_Common_QEndDate,0,COLUMN())&amp;",,,,""PRICE"",""CLOSE"")"),"N/A")</f>
        <v>N/A</v>
      </c>
      <c r="R1112" s="785" t="str">
        <f ca="1">IFERROR(_xll.FDS(MO.Ticker.FactSet,"P_PRICE_HIGH"&amp;"("&amp;INDEX(MO_SNA_FPStartDate,0,COLUMN())&amp;","&amp;INDEX(MO_Common_QEndDate,0,COLUMN())&amp;",,,,""PRICE"",""CLOSE"")"),"N/A")</f>
        <v>N/A</v>
      </c>
      <c r="S1112" s="785" t="str">
        <f ca="1">IFERROR(_xll.FDS(MO.Ticker.FactSet,"P_PRICE_HIGH"&amp;"("&amp;INDEX(MO_SNA_FPStartDate,0,COLUMN())&amp;","&amp;INDEX(MO_Common_QEndDate,0,COLUMN())&amp;",,,,""PRICE"",""CLOSE"")"),"N/A")</f>
        <v>N/A</v>
      </c>
      <c r="T1112" s="785" t="str">
        <f ca="1">IFERROR(_xll.FDS(MO.Ticker.FactSet,"P_PRICE_HIGH"&amp;"("&amp;INDEX(MO_SNA_FPStartDate,0,COLUMN())&amp;","&amp;INDEX(MO_Common_QEndDate,0,COLUMN())&amp;",,,,""PRICE"",""CLOSE"")"),"N/A")</f>
        <v>N/A</v>
      </c>
      <c r="U1112" s="785" t="str">
        <f ca="1">IFERROR(_xll.FDS(MO.Ticker.FactSet,"P_PRICE_HIGH"&amp;"("&amp;INDEX(MO_SNA_FPStartDate,0,COLUMN())&amp;","&amp;INDEX(MO_Common_QEndDate,0,COLUMN())&amp;",,,,""PRICE"",""CLOSE"")"),"N/A")</f>
        <v>N/A</v>
      </c>
      <c r="V1112" s="785" t="str">
        <f ca="1">IFERROR(_xll.FDS(MO.Ticker.FactSet,"P_PRICE_HIGH"&amp;"("&amp;INDEX(MO_SNA_FPStartDate,0,COLUMN())&amp;","&amp;INDEX(MO_Common_QEndDate,0,COLUMN())&amp;",,,,""PRICE"",""CLOSE"")"),"N/A")</f>
        <v>N/A</v>
      </c>
      <c r="W1112" s="785" t="str">
        <f ca="1">IFERROR(_xll.FDS(MO.Ticker.FactSet,"P_PRICE_HIGH"&amp;"("&amp;INDEX(MO_SNA_FPStartDate,0,COLUMN())&amp;","&amp;INDEX(MO_Common_QEndDate,0,COLUMN())&amp;",,,,""PRICE"",""CLOSE"")"),"N/A")</f>
        <v>N/A</v>
      </c>
      <c r="X1112" s="785" t="str">
        <f ca="1">IFERROR(_xll.FDS(MO.Ticker.FactSet,"P_PRICE_HIGH"&amp;"("&amp;INDEX(MO_SNA_FPStartDate,0,COLUMN())&amp;","&amp;INDEX(MO_Common_QEndDate,0,COLUMN())&amp;",,,,""PRICE"",""CLOSE"")"),"N/A")</f>
        <v>N/A</v>
      </c>
      <c r="Y1112" s="785" t="str">
        <f ca="1">IFERROR(_xll.FDS(MO.Ticker.FactSet,"P_PRICE_HIGH"&amp;"("&amp;INDEX(MO_SNA_FPStartDate,0,COLUMN())&amp;","&amp;INDEX(MO_Common_QEndDate,0,COLUMN())&amp;",,,,""PRICE"",""CLOSE"")"),"N/A")</f>
        <v>N/A</v>
      </c>
      <c r="Z1112" s="785" t="str">
        <f ca="1">IFERROR(_xll.FDS(MO.Ticker.FactSet,"P_PRICE_HIGH"&amp;"("&amp;INDEX(MO_SNA_FPStartDate,0,COLUMN())&amp;","&amp;INDEX(MO_Common_QEndDate,0,COLUMN())&amp;",,,,""PRICE"",""CLOSE"")"),"N/A")</f>
        <v>N/A</v>
      </c>
      <c r="AA1112" s="785" t="str">
        <f ca="1">IFERROR(_xll.FDS(MO.Ticker.FactSet,"P_PRICE_HIGH"&amp;"("&amp;INDEX(MO_SNA_FPStartDate,0,COLUMN())&amp;","&amp;INDEX(MO_Common_QEndDate,0,COLUMN())&amp;",,,,""PRICE"",""CLOSE"")"),"N/A")</f>
        <v>N/A</v>
      </c>
      <c r="AB1112" s="785" t="str">
        <f ca="1">IFERROR(_xll.FDS(MO.Ticker.FactSet,"P_PRICE_HIGH"&amp;"("&amp;INDEX(MO_SNA_FPStartDate,0,COLUMN())&amp;","&amp;INDEX(MO_Common_QEndDate,0,COLUMN())&amp;",,,,""PRICE"",""CLOSE"")"),"N/A")</f>
        <v>N/A</v>
      </c>
      <c r="AC1112" s="785" t="str">
        <f ca="1">IFERROR(_xll.FDS(MO.Ticker.FactSet,"P_PRICE_HIGH"&amp;"("&amp;INDEX(MO_SNA_FPStartDate,0,COLUMN())&amp;","&amp;INDEX(MO_Common_QEndDate,0,COLUMN())&amp;",,,,""PRICE"",""CLOSE"")"),"N/A")</f>
        <v>N/A</v>
      </c>
      <c r="AD1112" s="785" t="str">
        <f ca="1">IFERROR(_xll.FDS(MO.Ticker.FactSet,"P_PRICE_HIGH"&amp;"("&amp;INDEX(MO_SNA_FPStartDate,0,COLUMN())&amp;","&amp;INDEX(MO_Common_QEndDate,0,COLUMN())&amp;",,,,""PRICE"",""CLOSE"")"),"N/A")</f>
        <v>N/A</v>
      </c>
      <c r="AE1112" s="785" t="str">
        <f ca="1">IFERROR(_xll.FDS(MO.Ticker.FactSet,"P_PRICE_HIGH"&amp;"("&amp;INDEX(MO_SNA_FPStartDate,0,COLUMN())&amp;","&amp;INDEX(MO_Common_QEndDate,0,COLUMN())&amp;",,,,""PRICE"",""CLOSE"")"),"N/A")</f>
        <v>N/A</v>
      </c>
      <c r="AF1112" s="785" t="str">
        <f ca="1">IFERROR(_xll.FDS(MO.Ticker.FactSet,"P_PRICE_HIGH"&amp;"("&amp;INDEX(MO_SNA_FPStartDate,0,COLUMN())&amp;","&amp;INDEX(MO_Common_QEndDate,0,COLUMN())&amp;",,,,""PRICE"",""CLOSE"")"),"N/A")</f>
        <v>N/A</v>
      </c>
      <c r="AG1112" s="785" t="str">
        <f ca="1">IFERROR(_xll.FDS(MO.Ticker.FactSet,"P_PRICE_HIGH"&amp;"("&amp;INDEX(MO_SNA_FPStartDate,0,COLUMN())&amp;","&amp;INDEX(MO_Common_QEndDate,0,COLUMN())&amp;",,,,""PRICE"",""CLOSE"")"),"N/A")</f>
        <v>N/A</v>
      </c>
      <c r="AH1112" s="785" t="str">
        <f ca="1">IFERROR(_xll.FDS(MO.Ticker.FactSet,"P_PRICE_HIGH"&amp;"("&amp;INDEX(MO_SNA_FPStartDate,0,COLUMN())&amp;","&amp;INDEX(MO_Common_QEndDate,0,COLUMN())&amp;",,,,""PRICE"",""CLOSE"")"),"N/A")</f>
        <v>N/A</v>
      </c>
      <c r="AI1112" s="785" t="str">
        <f ca="1">IFERROR(_xll.FDS(MO.Ticker.FactSet,"P_PRICE_HIGH"&amp;"("&amp;INDEX(MO_SNA_FPStartDate,0,COLUMN())&amp;","&amp;INDEX(MO_Common_QEndDate,0,COLUMN())&amp;",,,,""PRICE"",""CLOSE"")"),"N/A")</f>
        <v>N/A</v>
      </c>
      <c r="AJ1112" s="785" t="str">
        <f ca="1">IFERROR(_xll.FDS(MO.Ticker.FactSet,"P_PRICE_HIGH"&amp;"("&amp;INDEX(MO_SNA_FPStartDate,0,COLUMN())&amp;","&amp;INDEX(MO_Common_QEndDate,0,COLUMN())&amp;",,,,""PRICE"",""CLOSE"")"),"N/A")</f>
        <v>N/A</v>
      </c>
      <c r="AK1112" s="785" t="str">
        <f ca="1">IFERROR(_xll.FDS(MO.Ticker.FactSet,"P_PRICE_HIGH"&amp;"("&amp;INDEX(MO_SNA_FPStartDate,0,COLUMN())&amp;","&amp;INDEX(MO_Common_QEndDate,0,COLUMN())&amp;",,,,""PRICE"",""CLOSE"")"),"N/A")</f>
        <v>N/A</v>
      </c>
      <c r="AL1112" s="785" t="str">
        <f ca="1">IFERROR(_xll.FDS(MO.Ticker.FactSet,"P_PRICE_HIGH"&amp;"("&amp;INDEX(MO_SNA_FPStartDate,0,COLUMN())&amp;","&amp;INDEX(MO_Common_QEndDate,0,COLUMN())&amp;",,,,""PRICE"",""CLOSE"")"),"N/A")</f>
        <v>N/A</v>
      </c>
      <c r="AM1112" s="785" t="str">
        <f ca="1">IFERROR(_xll.FDS(MO.Ticker.FactSet,"P_PRICE_HIGH"&amp;"("&amp;INDEX(MO_SNA_FPStartDate,0,COLUMN())&amp;","&amp;INDEX(MO_Common_QEndDate,0,COLUMN())&amp;",,,,""PRICE"",""CLOSE"")"),"N/A")</f>
        <v>N/A</v>
      </c>
      <c r="AN1112" s="785" t="str">
        <f ca="1">IFERROR(_xll.FDS(MO.Ticker.FactSet,"P_PRICE_HIGH"&amp;"("&amp;INDEX(MO_SNA_FPStartDate,0,COLUMN())&amp;","&amp;INDEX(MO_Common_QEndDate,0,COLUMN())&amp;",,,,""PRICE"",""CLOSE"")"),"N/A")</f>
        <v>N/A</v>
      </c>
      <c r="AO1112" s="785" t="str">
        <f ca="1">IFERROR(_xll.FDS(MO.Ticker.FactSet,"P_PRICE_HIGH"&amp;"("&amp;INDEX(MO_SNA_FPStartDate,0,COLUMN())&amp;","&amp;INDEX(MO_Common_QEndDate,0,COLUMN())&amp;",,,,""PRICE"",""CLOSE"")"),"N/A")</f>
        <v>N/A</v>
      </c>
      <c r="AP1112" s="785" t="str">
        <f ca="1">IFERROR(_xll.FDS(MO.Ticker.FactSet,"P_PRICE_HIGH"&amp;"("&amp;INDEX(MO_SNA_FPStartDate,0,COLUMN())&amp;","&amp;INDEX(MO_Common_QEndDate,0,COLUMN())&amp;",,,,""PRICE"",""CLOSE"")"),"N/A")</f>
        <v>N/A</v>
      </c>
      <c r="AQ1112" s="785" t="str">
        <f ca="1">IFERROR(_xll.FDS(MO.Ticker.FactSet,"P_PRICE_HIGH"&amp;"("&amp;INDEX(MO_SNA_FPStartDate,0,COLUMN())&amp;","&amp;INDEX(MO_Common_QEndDate,0,COLUMN())&amp;",,,,""PRICE"",""CLOSE"")"),"N/A")</f>
        <v>N/A</v>
      </c>
      <c r="AR1112" s="785" t="str">
        <f ca="1">IFERROR(_xll.FDS(MO.Ticker.FactSet,"P_PRICE_HIGH"&amp;"("&amp;INDEX(MO_SNA_FPStartDate,0,COLUMN())&amp;","&amp;INDEX(MO_Common_QEndDate,0,COLUMN())&amp;",,,,""PRICE"",""CLOSE"")"),"N/A")</f>
        <v>N/A</v>
      </c>
      <c r="AS1112" s="785" t="str">
        <f ca="1">IFERROR(_xll.FDS(MO.Ticker.FactSet,"P_PRICE_HIGH"&amp;"("&amp;INDEX(MO_SNA_FPStartDate,0,COLUMN())&amp;","&amp;INDEX(MO_Common_QEndDate,0,COLUMN())&amp;",,,,""PRICE"",""CLOSE"")"),"N/A")</f>
        <v>N/A</v>
      </c>
      <c r="AT1112" s="785" t="str">
        <f ca="1">IFERROR(_xll.FDS(MO.Ticker.FactSet,"P_PRICE_HIGH"&amp;"("&amp;INDEX(MO_SNA_FPStartDate,0,COLUMN())&amp;","&amp;INDEX(MO_Common_QEndDate,0,COLUMN())&amp;",,,,""PRICE"",""CLOSE"")"),"N/A")</f>
        <v>N/A</v>
      </c>
      <c r="AU1112" s="785" t="str">
        <f ca="1">IFERROR(_xll.FDS(MO.Ticker.FactSet,"P_PRICE_HIGH"&amp;"("&amp;INDEX(MO_SNA_FPStartDate,0,COLUMN())&amp;","&amp;INDEX(MO_Common_QEndDate,0,COLUMN())&amp;",,,,""PRICE"",""CLOSE"")"),"N/A")</f>
        <v>N/A</v>
      </c>
      <c r="AV1112" s="785" t="str">
        <f ca="1">IFERROR(_xll.FDS(MO.Ticker.FactSet,"P_PRICE_HIGH"&amp;"("&amp;INDEX(MO_SNA_FPStartDate,0,COLUMN())&amp;","&amp;INDEX(MO_Common_QEndDate,0,COLUMN())&amp;",,,,""PRICE"",""CLOSE"")"),"N/A")</f>
        <v>N/A</v>
      </c>
      <c r="AW1112" s="785" t="str">
        <f ca="1">IFERROR(_xll.FDS(MO.Ticker.FactSet,"P_PRICE_HIGH"&amp;"("&amp;INDEX(MO_SNA_FPStartDate,0,COLUMN())&amp;","&amp;INDEX(MO_Common_QEndDate,0,COLUMN())&amp;",,,,""PRICE"",""CLOSE"")"),"N/A")</f>
        <v>N/A</v>
      </c>
      <c r="AX1112" s="785" t="str">
        <f ca="1">IFERROR(_xll.FDS(MO.Ticker.FactSet,"P_PRICE_HIGH"&amp;"("&amp;INDEX(MO_SNA_FPStartDate,0,COLUMN())&amp;","&amp;INDEX(MO_Common_QEndDate,0,COLUMN())&amp;",,,,""PRICE"",""CLOSE"")"),"N/A")</f>
        <v>N/A</v>
      </c>
      <c r="AY1112" s="785" t="str">
        <f ca="1">IFERROR(_xll.FDS(MO.Ticker.FactSet,"P_PRICE_HIGH"&amp;"("&amp;INDEX(MO_SNA_FPStartDate,0,COLUMN())&amp;","&amp;INDEX(MO_Common_QEndDate,0,COLUMN())&amp;",,,,""PRICE"",""CLOSE"")"),"N/A")</f>
        <v>N/A</v>
      </c>
      <c r="AZ1112" s="785" t="str">
        <f ca="1">IFERROR(_xll.FDS(MO.Ticker.FactSet,"P_PRICE_HIGH"&amp;"("&amp;INDEX(MO_SNA_FPStartDate,0,COLUMN())&amp;","&amp;INDEX(MO_Common_QEndDate,0,COLUMN())&amp;",,,,""PRICE"",""CLOSE"")"),"N/A")</f>
        <v>N/A</v>
      </c>
      <c r="BA1112" s="785" t="str">
        <f ca="1">IFERROR(_xll.FDS(MO.Ticker.FactSet,"P_PRICE_HIGH"&amp;"("&amp;INDEX(MO_SNA_FPStartDate,0,COLUMN())&amp;","&amp;INDEX(MO_Common_QEndDate,0,COLUMN())&amp;",,,,""PRICE"",""CLOSE"")"),"N/A")</f>
        <v>N/A</v>
      </c>
      <c r="BB1112" s="785" t="str">
        <f ca="1">IFERROR(_xll.FDS(MO.Ticker.FactSet,"P_PRICE_HIGH"&amp;"("&amp;INDEX(MO_SNA_FPStartDate,0,COLUMN())&amp;","&amp;INDEX(MO_Common_QEndDate,0,COLUMN())&amp;",,,,""PRICE"",""CLOSE"")"),"N/A")</f>
        <v>N/A</v>
      </c>
      <c r="BC1112" s="785" t="str">
        <f ca="1">IFERROR(_xll.FDS(MO.Ticker.FactSet,"P_PRICE_HIGH"&amp;"("&amp;INDEX(MO_SNA_FPStartDate,0,COLUMN())&amp;","&amp;INDEX(MO_Common_QEndDate,0,COLUMN())&amp;",,,,""PRICE"",""CLOSE"")"),"N/A")</f>
        <v>N/A</v>
      </c>
      <c r="BD1112" s="785" t="str">
        <f ca="1">IFERROR(_xll.FDS(MO.Ticker.FactSet,"P_PRICE_HIGH"&amp;"("&amp;INDEX(MO_SNA_FPStartDate,0,COLUMN())&amp;","&amp;INDEX(MO_Common_QEndDate,0,COLUMN())&amp;",,,,""PRICE"",""CLOSE"")"),"N/A")</f>
        <v>N/A</v>
      </c>
      <c r="BE1112" s="785" t="str">
        <f ca="1">IFERROR(_xll.FDS(MO.Ticker.FactSet,"P_PRICE_HIGH"&amp;"("&amp;INDEX(MO_SNA_FPStartDate,0,COLUMN())&amp;","&amp;INDEX(MO_Common_QEndDate,0,COLUMN())&amp;",,,,""PRICE"",""CLOSE"")"),"N/A")</f>
        <v>N/A</v>
      </c>
      <c r="BF1112" s="785" t="str">
        <f ca="1">IFERROR(_xll.FDS(MO.Ticker.FactSet,"P_PRICE_HIGH"&amp;"("&amp;INDEX(MO_SNA_FPStartDate,0,COLUMN())&amp;","&amp;INDEX(MO_Common_QEndDate,0,COLUMN())&amp;",,,,""PRICE"",""CLOSE"")"),"N/A")</f>
        <v>N/A</v>
      </c>
      <c r="BG1112" s="785" t="str">
        <f ca="1">IFERROR(_xll.FDS(MO.Ticker.FactSet,"P_PRICE_HIGH"&amp;"("&amp;INDEX(MO_SNA_FPStartDate,0,COLUMN())&amp;","&amp;INDEX(MO_Common_QEndDate,0,COLUMN())&amp;",,,,""PRICE"",""CLOSE"")"),"N/A")</f>
        <v>N/A</v>
      </c>
      <c r="BH1112" s="785" t="str">
        <f ca="1">IFERROR(_xll.FDS(MO.Ticker.FactSet,"P_PRICE_HIGH"&amp;"("&amp;INDEX(MO_SNA_FPStartDate,0,COLUMN())&amp;","&amp;INDEX(MO_Common_QEndDate,0,COLUMN())&amp;",,,,""PRICE"",""CLOSE"")"),"N/A")</f>
        <v>N/A</v>
      </c>
      <c r="BI1112" s="785" t="str">
        <f ca="1">IFERROR(_xll.FDS(MO.Ticker.FactSet,"P_PRICE_HIGH"&amp;"("&amp;INDEX(MO_SNA_FPStartDate,0,COLUMN())&amp;","&amp;INDEX(MO_Common_QEndDate,0,COLUMN())&amp;",,,,""PRICE"",""CLOSE"")"),"N/A")</f>
        <v>N/A</v>
      </c>
      <c r="BJ1112" s="1067" t="str">
        <f ca="1">IFERROR(_xll.FDS(MO.Ticker.FactSet,"P_PRICE_HIGH"&amp;"("&amp;INDEX(MO_SNA_FPStartDate,0,COLUMN())&amp;","&amp;INDEX(MO_Common_QEndDate,0,COLUMN())&amp;",,,,""PRICE"",""CLOSE"")"),"N/A")</f>
        <v>N/A</v>
      </c>
      <c r="BK1112" s="785" t="str">
        <f ca="1">IFERROR(_xll.FDS(MO.Ticker.FactSet,"P_PRICE_HIGH"&amp;"("&amp;INDEX(MO_SNA_FPStartDate,0,COLUMN())&amp;","&amp;INDEX(MO_Common_QEndDate,0,COLUMN())&amp;",,,,""PRICE"",""CLOSE"")"),"N/A")</f>
        <v>N/A</v>
      </c>
      <c r="BL1112" s="785" t="str">
        <f ca="1">IFERROR(_xll.FDS(MO.Ticker.FactSet,"P_PRICE_HIGH"&amp;"("&amp;INDEX(MO_SNA_FPStartDate,0,COLUMN())&amp;","&amp;INDEX(MO_Common_QEndDate,0,COLUMN())&amp;",,,,""PRICE"",""CLOSE"")"),"N/A")</f>
        <v>N/A</v>
      </c>
      <c r="BM1112" s="785" t="str">
        <f ca="1">IFERROR(_xll.FDS(MO.Ticker.FactSet,"P_PRICE_HIGH"&amp;"("&amp;INDEX(MO_SNA_FPStartDate,0,COLUMN())&amp;","&amp;INDEX(MO_Common_QEndDate,0,COLUMN())&amp;",,,,""PRICE"",""CLOSE"")"),"N/A")</f>
        <v>N/A</v>
      </c>
      <c r="BN1112" s="785" t="str">
        <f ca="1">IFERROR(_xll.FDS(MO.Ticker.FactSet,"P_PRICE_HIGH"&amp;"("&amp;INDEX(MO_SNA_FPStartDate,0,COLUMN())&amp;","&amp;INDEX(MO_Common_QEndDate,0,COLUMN())&amp;",,,,""PRICE"",""CLOSE"")"),"N/A")</f>
        <v>N/A</v>
      </c>
      <c r="BO1112" s="785" t="str">
        <f ca="1">IFERROR(_xll.FDS(MO.Ticker.FactSet,"P_PRICE_HIGH"&amp;"("&amp;INDEX(MO_SNA_FPStartDate,0,COLUMN())&amp;","&amp;INDEX(MO_Common_QEndDate,0,COLUMN())&amp;",,,,""PRICE"",""CLOSE"")"),"N/A")</f>
        <v>N/A</v>
      </c>
      <c r="BP1112" s="785" t="str">
        <f ca="1">IFERROR(_xll.FDS(MO.Ticker.FactSet,"P_PRICE_HIGH"&amp;"("&amp;INDEX(MO_SNA_FPStartDate,0,COLUMN())&amp;","&amp;INDEX(MO_Common_QEndDate,0,COLUMN())&amp;",,,,""PRICE"",""CLOSE"")"),"N/A")</f>
        <v>N/A</v>
      </c>
      <c r="BQ1112" s="785" t="str">
        <f ca="1">IFERROR(_xll.FDS(MO.Ticker.FactSet,"P_PRICE_HIGH"&amp;"("&amp;INDEX(MO_SNA_FPStartDate,0,COLUMN())&amp;","&amp;INDEX(MO_Common_QEndDate,0,COLUMN())&amp;",,,,""PRICE"",""CLOSE"")"),"N/A")</f>
        <v>N/A</v>
      </c>
      <c r="BR1112" s="785" t="str">
        <f ca="1">IFERROR(_xll.FDS(MO.Ticker.FactSet,"P_PRICE_HIGH"&amp;"("&amp;INDEX(MO_SNA_FPStartDate,0,COLUMN())&amp;","&amp;INDEX(MO_Common_QEndDate,0,COLUMN())&amp;",,,,""PRICE"",""CLOSE"")"),"N/A")</f>
        <v>N/A</v>
      </c>
      <c r="BS1112" s="785" t="str">
        <f ca="1">IFERROR(_xll.FDS(MO.Ticker.FactSet,"P_PRICE_HIGH"&amp;"("&amp;INDEX(MO_SNA_FPStartDate,0,COLUMN())&amp;","&amp;INDEX(MO_Common_QEndDate,0,COLUMN())&amp;",,,,""PRICE"",""CLOSE"")"),"N/A")</f>
        <v>N/A</v>
      </c>
      <c r="BT1112" s="785" t="str">
        <f ca="1">IFERROR(_xll.FDS(MO.Ticker.FactSet,"P_PRICE_HIGH"&amp;"("&amp;INDEX(MO_SNA_FPStartDate,0,COLUMN())&amp;","&amp;INDEX(MO_Common_QEndDate,0,COLUMN())&amp;",,,,""PRICE"",""CLOSE"")"),"N/A")</f>
        <v>N/A</v>
      </c>
      <c r="BU1112" s="785" t="str">
        <f ca="1">IFERROR(_xll.FDS(MO.Ticker.FactSet,"P_PRICE_HIGH"&amp;"("&amp;INDEX(MO_SNA_FPStartDate,0,COLUMN())&amp;","&amp;INDEX(MO_Common_QEndDate,0,COLUMN())&amp;",,,,""PRICE"",""CLOSE"")"),"N/A")</f>
        <v>N/A</v>
      </c>
      <c r="BV1112" s="1068" t="str">
        <f ca="1">IFERROR(_xll.FDS(MO.Ticker.FactSet,"P_PRICE_HIGH"&amp;"("&amp;INDEX(MO_SNA_FPStartDate,0,COLUMN())&amp;","&amp;INDEX(MO_Common_QEndDate,0,COLUMN())&amp;",,,,""PRICE"",""CLOSE"")"),"N/A")</f>
        <v>N/A</v>
      </c>
      <c r="BW1112" s="1069"/>
    </row>
    <row r="1113" spans="1:75" hidden="1" outlineLevel="1" x14ac:dyDescent="0.5">
      <c r="A1113" s="1070" t="s">
        <v>1614</v>
      </c>
      <c r="B1113" s="785"/>
      <c r="C1113" s="1066" t="str">
        <f ca="1">IFERROR(_xll.TR(MO.Ticker.Thomson,"MAX(TR.Pricehigh)","sdate:#1 edate:#2",,INDEX(MO_SNA_FPStartDate,0,COLUMN()),INDEX(MO_Common_QEndDate,0,COLUMN())),"N/A")</f>
        <v>N/A</v>
      </c>
      <c r="D1113" s="1066" t="str">
        <f ca="1">IFERROR(_xll.TR(MO.Ticker.Thomson,"MAX(TR.Pricehigh)","sdate:#1 edate:#2",,INDEX(MO_SNA_FPStartDate,0,COLUMN()),INDEX(MO_Common_QEndDate,0,COLUMN())),"N/A")</f>
        <v>N/A</v>
      </c>
      <c r="E1113" s="785" t="str">
        <f ca="1">IFERROR(_xll.TR(MO.Ticker.Thomson,"MAX(TR.Pricehigh)","sdate:#1 edate:#2",,INDEX(MO_SNA_FPStartDate,0,COLUMN()),INDEX(MO_Common_QEndDate,0,COLUMN())),"N/A")</f>
        <v>N/A</v>
      </c>
      <c r="F1113" s="785" t="str">
        <f ca="1">IFERROR(_xll.TR(MO.Ticker.Thomson,"MAX(TR.Pricehigh)","sdate:#1 edate:#2",,INDEX(MO_SNA_FPStartDate,0,COLUMN()),INDEX(MO_Common_QEndDate,0,COLUMN())),"N/A")</f>
        <v>N/A</v>
      </c>
      <c r="G1113" s="785" t="str">
        <f ca="1">IFERROR(_xll.TR(MO.Ticker.Thomson,"MAX(TR.Pricehigh)","sdate:#1 edate:#2",,INDEX(MO_SNA_FPStartDate,0,COLUMN()),INDEX(MO_Common_QEndDate,0,COLUMN())),"N/A")</f>
        <v>N/A</v>
      </c>
      <c r="H1113" s="785" t="str">
        <f ca="1">IFERROR(_xll.TR(MO.Ticker.Thomson,"MAX(TR.Pricehigh)","sdate:#1 edate:#2",,INDEX(MO_SNA_FPStartDate,0,COLUMN()),INDEX(MO_Common_QEndDate,0,COLUMN())),"N/A")</f>
        <v>N/A</v>
      </c>
      <c r="I1113" s="785" t="str">
        <f ca="1">IFERROR(_xll.TR(MO.Ticker.Thomson,"MAX(TR.Pricehigh)","sdate:#1 edate:#2",,INDEX(MO_SNA_FPStartDate,0,COLUMN()),INDEX(MO_Common_QEndDate,0,COLUMN())),"N/A")</f>
        <v>N/A</v>
      </c>
      <c r="J1113" s="785" t="str">
        <f ca="1">IFERROR(_xll.TR(MO.Ticker.Thomson,"MAX(TR.Pricehigh)","sdate:#1 edate:#2",,INDEX(MO_SNA_FPStartDate,0,COLUMN()),INDEX(MO_Common_QEndDate,0,COLUMN())),"N/A")</f>
        <v>N/A</v>
      </c>
      <c r="K1113" s="785" t="str">
        <f ca="1">IFERROR(_xll.TR(MO.Ticker.Thomson,"MAX(TR.Pricehigh)","sdate:#1 edate:#2",,INDEX(MO_SNA_FPStartDate,0,COLUMN()),INDEX(MO_Common_QEndDate,0,COLUMN())),"N/A")</f>
        <v>N/A</v>
      </c>
      <c r="L1113" s="785" t="str">
        <f ca="1">IFERROR(_xll.TR(MO.Ticker.Thomson,"MAX(TR.Pricehigh)","sdate:#1 edate:#2",,INDEX(MO_SNA_FPStartDate,0,COLUMN()),INDEX(MO_Common_QEndDate,0,COLUMN())),"N/A")</f>
        <v>N/A</v>
      </c>
      <c r="M1113" s="785" t="str">
        <f ca="1">IFERROR(_xll.TR(MO.Ticker.Thomson,"MAX(TR.Pricehigh)","sdate:#1 edate:#2",,INDEX(MO_SNA_FPStartDate,0,COLUMN()),INDEX(MO_Common_QEndDate,0,COLUMN())),"N/A")</f>
        <v>N/A</v>
      </c>
      <c r="N1113" s="785" t="str">
        <f ca="1">IFERROR(_xll.TR(MO.Ticker.Thomson,"MAX(TR.Pricehigh)","sdate:#1 edate:#2",,INDEX(MO_SNA_FPStartDate,0,COLUMN()),INDEX(MO_Common_QEndDate,0,COLUMN())),"N/A")</f>
        <v>N/A</v>
      </c>
      <c r="O1113" s="785" t="str">
        <f ca="1">IFERROR(_xll.TR(MO.Ticker.Thomson,"MAX(TR.Pricehigh)","sdate:#1 edate:#2",,INDEX(MO_SNA_FPStartDate,0,COLUMN()),INDEX(MO_Common_QEndDate,0,COLUMN())),"N/A")</f>
        <v>N/A</v>
      </c>
      <c r="P1113" s="785" t="str">
        <f ca="1">IFERROR(_xll.TR(MO.Ticker.Thomson,"MAX(TR.Pricehigh)","sdate:#1 edate:#2",,INDEX(MO_SNA_FPStartDate,0,COLUMN()),INDEX(MO_Common_QEndDate,0,COLUMN())),"N/A")</f>
        <v>N/A</v>
      </c>
      <c r="Q1113" s="785" t="str">
        <f ca="1">IFERROR(_xll.TR(MO.Ticker.Thomson,"MAX(TR.Pricehigh)","sdate:#1 edate:#2",,INDEX(MO_SNA_FPStartDate,0,COLUMN()),INDEX(MO_Common_QEndDate,0,COLUMN())),"N/A")</f>
        <v>N/A</v>
      </c>
      <c r="R1113" s="785" t="str">
        <f ca="1">IFERROR(_xll.TR(MO.Ticker.Thomson,"MAX(TR.Pricehigh)","sdate:#1 edate:#2",,INDEX(MO_SNA_FPStartDate,0,COLUMN()),INDEX(MO_Common_QEndDate,0,COLUMN())),"N/A")</f>
        <v>N/A</v>
      </c>
      <c r="S1113" s="785" t="str">
        <f ca="1">IFERROR(_xll.TR(MO.Ticker.Thomson,"MAX(TR.Pricehigh)","sdate:#1 edate:#2",,INDEX(MO_SNA_FPStartDate,0,COLUMN()),INDEX(MO_Common_QEndDate,0,COLUMN())),"N/A")</f>
        <v>N/A</v>
      </c>
      <c r="T1113" s="785" t="str">
        <f ca="1">IFERROR(_xll.TR(MO.Ticker.Thomson,"MAX(TR.Pricehigh)","sdate:#1 edate:#2",,INDEX(MO_SNA_FPStartDate,0,COLUMN()),INDEX(MO_Common_QEndDate,0,COLUMN())),"N/A")</f>
        <v>N/A</v>
      </c>
      <c r="U1113" s="785" t="str">
        <f ca="1">IFERROR(_xll.TR(MO.Ticker.Thomson,"MAX(TR.Pricehigh)","sdate:#1 edate:#2",,INDEX(MO_SNA_FPStartDate,0,COLUMN()),INDEX(MO_Common_QEndDate,0,COLUMN())),"N/A")</f>
        <v>N/A</v>
      </c>
      <c r="V1113" s="785" t="str">
        <f ca="1">IFERROR(_xll.TR(MO.Ticker.Thomson,"MAX(TR.Pricehigh)","sdate:#1 edate:#2",,INDEX(MO_SNA_FPStartDate,0,COLUMN()),INDEX(MO_Common_QEndDate,0,COLUMN())),"N/A")</f>
        <v>N/A</v>
      </c>
      <c r="W1113" s="785" t="str">
        <f ca="1">IFERROR(_xll.TR(MO.Ticker.Thomson,"MAX(TR.Pricehigh)","sdate:#1 edate:#2",,INDEX(MO_SNA_FPStartDate,0,COLUMN()),INDEX(MO_Common_QEndDate,0,COLUMN())),"N/A")</f>
        <v>N/A</v>
      </c>
      <c r="X1113" s="785" t="str">
        <f ca="1">IFERROR(_xll.TR(MO.Ticker.Thomson,"MAX(TR.Pricehigh)","sdate:#1 edate:#2",,INDEX(MO_SNA_FPStartDate,0,COLUMN()),INDEX(MO_Common_QEndDate,0,COLUMN())),"N/A")</f>
        <v>N/A</v>
      </c>
      <c r="Y1113" s="785" t="str">
        <f ca="1">IFERROR(_xll.TR(MO.Ticker.Thomson,"MAX(TR.Pricehigh)","sdate:#1 edate:#2",,INDEX(MO_SNA_FPStartDate,0,COLUMN()),INDEX(MO_Common_QEndDate,0,COLUMN())),"N/A")</f>
        <v>N/A</v>
      </c>
      <c r="Z1113" s="785" t="str">
        <f ca="1">IFERROR(_xll.TR(MO.Ticker.Thomson,"MAX(TR.Pricehigh)","sdate:#1 edate:#2",,INDEX(MO_SNA_FPStartDate,0,COLUMN()),INDEX(MO_Common_QEndDate,0,COLUMN())),"N/A")</f>
        <v>N/A</v>
      </c>
      <c r="AA1113" s="785" t="str">
        <f ca="1">IFERROR(_xll.TR(MO.Ticker.Thomson,"MAX(TR.Pricehigh)","sdate:#1 edate:#2",,INDEX(MO_SNA_FPStartDate,0,COLUMN()),INDEX(MO_Common_QEndDate,0,COLUMN())),"N/A")</f>
        <v>N/A</v>
      </c>
      <c r="AB1113" s="785" t="str">
        <f ca="1">IFERROR(_xll.TR(MO.Ticker.Thomson,"MAX(TR.Pricehigh)","sdate:#1 edate:#2",,INDEX(MO_SNA_FPStartDate,0,COLUMN()),INDEX(MO_Common_QEndDate,0,COLUMN())),"N/A")</f>
        <v>N/A</v>
      </c>
      <c r="AC1113" s="785" t="str">
        <f ca="1">IFERROR(_xll.TR(MO.Ticker.Thomson,"MAX(TR.Pricehigh)","sdate:#1 edate:#2",,INDEX(MO_SNA_FPStartDate,0,COLUMN()),INDEX(MO_Common_QEndDate,0,COLUMN())),"N/A")</f>
        <v>N/A</v>
      </c>
      <c r="AD1113" s="785" t="str">
        <f ca="1">IFERROR(_xll.TR(MO.Ticker.Thomson,"MAX(TR.Pricehigh)","sdate:#1 edate:#2",,INDEX(MO_SNA_FPStartDate,0,COLUMN()),INDEX(MO_Common_QEndDate,0,COLUMN())),"N/A")</f>
        <v>N/A</v>
      </c>
      <c r="AE1113" s="785" t="str">
        <f ca="1">IFERROR(_xll.TR(MO.Ticker.Thomson,"MAX(TR.Pricehigh)","sdate:#1 edate:#2",,INDEX(MO_SNA_FPStartDate,0,COLUMN()),INDEX(MO_Common_QEndDate,0,COLUMN())),"N/A")</f>
        <v>N/A</v>
      </c>
      <c r="AF1113" s="785" t="str">
        <f ca="1">IFERROR(_xll.TR(MO.Ticker.Thomson,"MAX(TR.Pricehigh)","sdate:#1 edate:#2",,INDEX(MO_SNA_FPStartDate,0,COLUMN()),INDEX(MO_Common_QEndDate,0,COLUMN())),"N/A")</f>
        <v>N/A</v>
      </c>
      <c r="AG1113" s="785" t="str">
        <f ca="1">IFERROR(_xll.TR(MO.Ticker.Thomson,"MAX(TR.Pricehigh)","sdate:#1 edate:#2",,INDEX(MO_SNA_FPStartDate,0,COLUMN()),INDEX(MO_Common_QEndDate,0,COLUMN())),"N/A")</f>
        <v>N/A</v>
      </c>
      <c r="AH1113" s="785" t="str">
        <f ca="1">IFERROR(_xll.TR(MO.Ticker.Thomson,"MAX(TR.Pricehigh)","sdate:#1 edate:#2",,INDEX(MO_SNA_FPStartDate,0,COLUMN()),INDEX(MO_Common_QEndDate,0,COLUMN())),"N/A")</f>
        <v>N/A</v>
      </c>
      <c r="AI1113" s="785" t="str">
        <f ca="1">IFERROR(_xll.TR(MO.Ticker.Thomson,"MAX(TR.Pricehigh)","sdate:#1 edate:#2",,INDEX(MO_SNA_FPStartDate,0,COLUMN()),INDEX(MO_Common_QEndDate,0,COLUMN())),"N/A")</f>
        <v>N/A</v>
      </c>
      <c r="AJ1113" s="785" t="str">
        <f ca="1">IFERROR(_xll.TR(MO.Ticker.Thomson,"MAX(TR.Pricehigh)","sdate:#1 edate:#2",,INDEX(MO_SNA_FPStartDate,0,COLUMN()),INDEX(MO_Common_QEndDate,0,COLUMN())),"N/A")</f>
        <v>N/A</v>
      </c>
      <c r="AK1113" s="785" t="str">
        <f ca="1">IFERROR(_xll.TR(MO.Ticker.Thomson,"MAX(TR.Pricehigh)","sdate:#1 edate:#2",,INDEX(MO_SNA_FPStartDate,0,COLUMN()),INDEX(MO_Common_QEndDate,0,COLUMN())),"N/A")</f>
        <v>N/A</v>
      </c>
      <c r="AL1113" s="785" t="str">
        <f ca="1">IFERROR(_xll.TR(MO.Ticker.Thomson,"MAX(TR.Pricehigh)","sdate:#1 edate:#2",,INDEX(MO_SNA_FPStartDate,0,COLUMN()),INDEX(MO_Common_QEndDate,0,COLUMN())),"N/A")</f>
        <v>N/A</v>
      </c>
      <c r="AM1113" s="785" t="str">
        <f ca="1">IFERROR(_xll.TR(MO.Ticker.Thomson,"MAX(TR.Pricehigh)","sdate:#1 edate:#2",,INDEX(MO_SNA_FPStartDate,0,COLUMN()),INDEX(MO_Common_QEndDate,0,COLUMN())),"N/A")</f>
        <v>N/A</v>
      </c>
      <c r="AN1113" s="785" t="str">
        <f ca="1">IFERROR(_xll.TR(MO.Ticker.Thomson,"MAX(TR.Pricehigh)","sdate:#1 edate:#2",,INDEX(MO_SNA_FPStartDate,0,COLUMN()),INDEX(MO_Common_QEndDate,0,COLUMN())),"N/A")</f>
        <v>N/A</v>
      </c>
      <c r="AO1113" s="785" t="str">
        <f ca="1">IFERROR(_xll.TR(MO.Ticker.Thomson,"MAX(TR.Pricehigh)","sdate:#1 edate:#2",,INDEX(MO_SNA_FPStartDate,0,COLUMN()),INDEX(MO_Common_QEndDate,0,COLUMN())),"N/A")</f>
        <v>N/A</v>
      </c>
      <c r="AP1113" s="785" t="str">
        <f ca="1">IFERROR(_xll.TR(MO.Ticker.Thomson,"MAX(TR.Pricehigh)","sdate:#1 edate:#2",,INDEX(MO_SNA_FPStartDate,0,COLUMN()),INDEX(MO_Common_QEndDate,0,COLUMN())),"N/A")</f>
        <v>N/A</v>
      </c>
      <c r="AQ1113" s="785" t="str">
        <f ca="1">IFERROR(_xll.TR(MO.Ticker.Thomson,"MAX(TR.Pricehigh)","sdate:#1 edate:#2",,INDEX(MO_SNA_FPStartDate,0,COLUMN()),INDEX(MO_Common_QEndDate,0,COLUMN())),"N/A")</f>
        <v>N/A</v>
      </c>
      <c r="AR1113" s="785" t="str">
        <f ca="1">IFERROR(_xll.TR(MO.Ticker.Thomson,"MAX(TR.Pricehigh)","sdate:#1 edate:#2",,INDEX(MO_SNA_FPStartDate,0,COLUMN()),INDEX(MO_Common_QEndDate,0,COLUMN())),"N/A")</f>
        <v>N/A</v>
      </c>
      <c r="AS1113" s="785" t="str">
        <f ca="1">IFERROR(_xll.TR(MO.Ticker.Thomson,"MAX(TR.Pricehigh)","sdate:#1 edate:#2",,INDEX(MO_SNA_FPStartDate,0,COLUMN()),INDEX(MO_Common_QEndDate,0,COLUMN())),"N/A")</f>
        <v>N/A</v>
      </c>
      <c r="AT1113" s="785" t="str">
        <f ca="1">IFERROR(_xll.TR(MO.Ticker.Thomson,"MAX(TR.Pricehigh)","sdate:#1 edate:#2",,INDEX(MO_SNA_FPStartDate,0,COLUMN()),INDEX(MO_Common_QEndDate,0,COLUMN())),"N/A")</f>
        <v>N/A</v>
      </c>
      <c r="AU1113" s="785" t="str">
        <f ca="1">IFERROR(_xll.TR(MO.Ticker.Thomson,"MAX(TR.Pricehigh)","sdate:#1 edate:#2",,INDEX(MO_SNA_FPStartDate,0,COLUMN()),INDEX(MO_Common_QEndDate,0,COLUMN())),"N/A")</f>
        <v>N/A</v>
      </c>
      <c r="AV1113" s="785" t="str">
        <f ca="1">IFERROR(_xll.TR(MO.Ticker.Thomson,"MAX(TR.Pricehigh)","sdate:#1 edate:#2",,INDEX(MO_SNA_FPStartDate,0,COLUMN()),INDEX(MO_Common_QEndDate,0,COLUMN())),"N/A")</f>
        <v>N/A</v>
      </c>
      <c r="AW1113" s="785" t="str">
        <f ca="1">IFERROR(_xll.TR(MO.Ticker.Thomson,"MAX(TR.Pricehigh)","sdate:#1 edate:#2",,INDEX(MO_SNA_FPStartDate,0,COLUMN()),INDEX(MO_Common_QEndDate,0,COLUMN())),"N/A")</f>
        <v>N/A</v>
      </c>
      <c r="AX1113" s="785" t="str">
        <f ca="1">IFERROR(_xll.TR(MO.Ticker.Thomson,"MAX(TR.Pricehigh)","sdate:#1 edate:#2",,INDEX(MO_SNA_FPStartDate,0,COLUMN()),INDEX(MO_Common_QEndDate,0,COLUMN())),"N/A")</f>
        <v>N/A</v>
      </c>
      <c r="AY1113" s="785" t="str">
        <f ca="1">IFERROR(_xll.TR(MO.Ticker.Thomson,"MAX(TR.Pricehigh)","sdate:#1 edate:#2",,INDEX(MO_SNA_FPStartDate,0,COLUMN()),INDEX(MO_Common_QEndDate,0,COLUMN())),"N/A")</f>
        <v>N/A</v>
      </c>
      <c r="AZ1113" s="785" t="str">
        <f ca="1">IFERROR(_xll.TR(MO.Ticker.Thomson,"MAX(TR.Pricehigh)","sdate:#1 edate:#2",,INDEX(MO_SNA_FPStartDate,0,COLUMN()),INDEX(MO_Common_QEndDate,0,COLUMN())),"N/A")</f>
        <v>N/A</v>
      </c>
      <c r="BA1113" s="785" t="str">
        <f ca="1">IFERROR(_xll.TR(MO.Ticker.Thomson,"MAX(TR.Pricehigh)","sdate:#1 edate:#2",,INDEX(MO_SNA_FPStartDate,0,COLUMN()),INDEX(MO_Common_QEndDate,0,COLUMN())),"N/A")</f>
        <v>N/A</v>
      </c>
      <c r="BB1113" s="785" t="str">
        <f ca="1">IFERROR(_xll.TR(MO.Ticker.Thomson,"MAX(TR.Pricehigh)","sdate:#1 edate:#2",,INDEX(MO_SNA_FPStartDate,0,COLUMN()),INDEX(MO_Common_QEndDate,0,COLUMN())),"N/A")</f>
        <v>N/A</v>
      </c>
      <c r="BC1113" s="785" t="str">
        <f ca="1">IFERROR(_xll.TR(MO.Ticker.Thomson,"MAX(TR.Pricehigh)","sdate:#1 edate:#2",,INDEX(MO_SNA_FPStartDate,0,COLUMN()),INDEX(MO_Common_QEndDate,0,COLUMN())),"N/A")</f>
        <v>N/A</v>
      </c>
      <c r="BD1113" s="785" t="str">
        <f ca="1">IFERROR(_xll.TR(MO.Ticker.Thomson,"MAX(TR.Pricehigh)","sdate:#1 edate:#2",,INDEX(MO_SNA_FPStartDate,0,COLUMN()),INDEX(MO_Common_QEndDate,0,COLUMN())),"N/A")</f>
        <v>N/A</v>
      </c>
      <c r="BE1113" s="785" t="str">
        <f ca="1">IFERROR(_xll.TR(MO.Ticker.Thomson,"MAX(TR.Pricehigh)","sdate:#1 edate:#2",,INDEX(MO_SNA_FPStartDate,0,COLUMN()),INDEX(MO_Common_QEndDate,0,COLUMN())),"N/A")</f>
        <v>N/A</v>
      </c>
      <c r="BF1113" s="785" t="str">
        <f ca="1">IFERROR(_xll.TR(MO.Ticker.Thomson,"MAX(TR.Pricehigh)","sdate:#1 edate:#2",,INDEX(MO_SNA_FPStartDate,0,COLUMN()),INDEX(MO_Common_QEndDate,0,COLUMN())),"N/A")</f>
        <v>N/A</v>
      </c>
      <c r="BG1113" s="785" t="str">
        <f ca="1">IFERROR(_xll.TR(MO.Ticker.Thomson,"MAX(TR.Pricehigh)","sdate:#1 edate:#2",,INDEX(MO_SNA_FPStartDate,0,COLUMN()),INDEX(MO_Common_QEndDate,0,COLUMN())),"N/A")</f>
        <v>N/A</v>
      </c>
      <c r="BH1113" s="785" t="str">
        <f ca="1">IFERROR(_xll.TR(MO.Ticker.Thomson,"MAX(TR.Pricehigh)","sdate:#1 edate:#2",,INDEX(MO_SNA_FPStartDate,0,COLUMN()),INDEX(MO_Common_QEndDate,0,COLUMN())),"N/A")</f>
        <v>N/A</v>
      </c>
      <c r="BI1113" s="785" t="str">
        <f ca="1">IFERROR(_xll.TR(MO.Ticker.Thomson,"MAX(TR.Pricehigh)","sdate:#1 edate:#2",,INDEX(MO_SNA_FPStartDate,0,COLUMN()),INDEX(MO_Common_QEndDate,0,COLUMN())),"N/A")</f>
        <v>N/A</v>
      </c>
      <c r="BJ1113" s="1067" t="str">
        <f ca="1">IFERROR(_xll.TR(MO.Ticker.Thomson,"MAX(TR.Pricehigh)","sdate:#1 edate:#2",,INDEX(MO_SNA_FPStartDate,0,COLUMN()),INDEX(MO_Common_QEndDate,0,COLUMN())),"N/A")</f>
        <v>N/A</v>
      </c>
      <c r="BK1113" s="785" t="str">
        <f ca="1">IFERROR(_xll.TR(MO.Ticker.Thomson,"MAX(TR.Pricehigh)","sdate:#1 edate:#2",,INDEX(MO_SNA_FPStartDate,0,COLUMN()),INDEX(MO_Common_QEndDate,0,COLUMN())),"N/A")</f>
        <v>N/A</v>
      </c>
      <c r="BL1113" s="785" t="str">
        <f ca="1">IFERROR(_xll.TR(MO.Ticker.Thomson,"MAX(TR.Pricehigh)","sdate:#1 edate:#2",,INDEX(MO_SNA_FPStartDate,0,COLUMN()),INDEX(MO_Common_QEndDate,0,COLUMN())),"N/A")</f>
        <v>N/A</v>
      </c>
      <c r="BM1113" s="785" t="str">
        <f ca="1">IFERROR(_xll.TR(MO.Ticker.Thomson,"MAX(TR.Pricehigh)","sdate:#1 edate:#2",,INDEX(MO_SNA_FPStartDate,0,COLUMN()),INDEX(MO_Common_QEndDate,0,COLUMN())),"N/A")</f>
        <v>N/A</v>
      </c>
      <c r="BN1113" s="785" t="str">
        <f ca="1">IFERROR(_xll.TR(MO.Ticker.Thomson,"MAX(TR.Pricehigh)","sdate:#1 edate:#2",,INDEX(MO_SNA_FPStartDate,0,COLUMN()),INDEX(MO_Common_QEndDate,0,COLUMN())),"N/A")</f>
        <v>N/A</v>
      </c>
      <c r="BO1113" s="785" t="str">
        <f ca="1">IFERROR(_xll.TR(MO.Ticker.Thomson,"MAX(TR.Pricehigh)","sdate:#1 edate:#2",,INDEX(MO_SNA_FPStartDate,0,COLUMN()),INDEX(MO_Common_QEndDate,0,COLUMN())),"N/A")</f>
        <v>N/A</v>
      </c>
      <c r="BP1113" s="785" t="str">
        <f ca="1">IFERROR(_xll.TR(MO.Ticker.Thomson,"MAX(TR.Pricehigh)","sdate:#1 edate:#2",,INDEX(MO_SNA_FPStartDate,0,COLUMN()),INDEX(MO_Common_QEndDate,0,COLUMN())),"N/A")</f>
        <v>N/A</v>
      </c>
      <c r="BQ1113" s="785" t="str">
        <f ca="1">IFERROR(_xll.TR(MO.Ticker.Thomson,"MAX(TR.Pricehigh)","sdate:#1 edate:#2",,INDEX(MO_SNA_FPStartDate,0,COLUMN()),INDEX(MO_Common_QEndDate,0,COLUMN())),"N/A")</f>
        <v>N/A</v>
      </c>
      <c r="BR1113" s="785" t="str">
        <f ca="1">IFERROR(_xll.TR(MO.Ticker.Thomson,"MAX(TR.Pricehigh)","sdate:#1 edate:#2",,INDEX(MO_SNA_FPStartDate,0,COLUMN()),INDEX(MO_Common_QEndDate,0,COLUMN())),"N/A")</f>
        <v>N/A</v>
      </c>
      <c r="BS1113" s="785" t="str">
        <f ca="1">IFERROR(_xll.TR(MO.Ticker.Thomson,"MAX(TR.Pricehigh)","sdate:#1 edate:#2",,INDEX(MO_SNA_FPStartDate,0,COLUMN()),INDEX(MO_Common_QEndDate,0,COLUMN())),"N/A")</f>
        <v>N/A</v>
      </c>
      <c r="BT1113" s="785" t="str">
        <f ca="1">IFERROR(_xll.TR(MO.Ticker.Thomson,"MAX(TR.Pricehigh)","sdate:#1 edate:#2",,INDEX(MO_SNA_FPStartDate,0,COLUMN()),INDEX(MO_Common_QEndDate,0,COLUMN())),"N/A")</f>
        <v>N/A</v>
      </c>
      <c r="BU1113" s="785" t="str">
        <f ca="1">IFERROR(_xll.TR(MO.Ticker.Thomson,"MAX(TR.Pricehigh)","sdate:#1 edate:#2",,INDEX(MO_SNA_FPStartDate,0,COLUMN()),INDEX(MO_Common_QEndDate,0,COLUMN())),"N/A")</f>
        <v>N/A</v>
      </c>
      <c r="BV1113" s="1068" t="str">
        <f ca="1">IFERROR(_xll.TR(MO.Ticker.Thomson,"MAX(TR.Pricehigh)","sdate:#1 edate:#2",,INDEX(MO_SNA_FPStartDate,0,COLUMN()),INDEX(MO_Common_QEndDate,0,COLUMN())),"N/A")</f>
        <v>N/A</v>
      </c>
      <c r="BW1113" s="1069"/>
    </row>
    <row r="1114" spans="1:75" hidden="1" outlineLevel="1" x14ac:dyDescent="0.5">
      <c r="A1114" s="1073"/>
      <c r="B1114" s="118"/>
      <c r="C1114" s="973"/>
      <c r="D1114" s="973"/>
      <c r="E1114" s="118"/>
      <c r="F1114" s="118"/>
      <c r="G1114" s="118"/>
      <c r="H1114" s="118"/>
      <c r="I1114" s="118"/>
      <c r="J1114" s="118"/>
      <c r="K1114" s="118"/>
      <c r="L1114" s="118"/>
      <c r="M1114" s="118"/>
      <c r="N1114" s="118"/>
      <c r="O1114" s="118"/>
      <c r="P1114" s="118"/>
      <c r="Q1114" s="118"/>
      <c r="R1114" s="118"/>
      <c r="S1114" s="118"/>
      <c r="T1114" s="118"/>
      <c r="U1114" s="118"/>
      <c r="V1114" s="118"/>
      <c r="W1114" s="118"/>
      <c r="X1114" s="118"/>
      <c r="Y1114" s="118"/>
      <c r="Z1114" s="118"/>
      <c r="AA1114" s="118"/>
      <c r="AB1114" s="118"/>
      <c r="AC1114" s="118"/>
      <c r="AD1114" s="118"/>
      <c r="AE1114" s="118"/>
      <c r="AF1114" s="118"/>
      <c r="AG1114" s="118"/>
      <c r="AH1114" s="118"/>
      <c r="AI1114" s="118"/>
      <c r="AJ1114" s="118"/>
      <c r="AK1114" s="118"/>
      <c r="AL1114" s="118"/>
      <c r="AM1114" s="118"/>
      <c r="AN1114" s="118"/>
      <c r="AO1114" s="118"/>
      <c r="AP1114" s="118"/>
      <c r="AQ1114" s="118"/>
      <c r="AR1114" s="118"/>
      <c r="AS1114" s="118"/>
      <c r="AT1114" s="118"/>
      <c r="AU1114" s="118"/>
      <c r="AV1114" s="118"/>
      <c r="AW1114" s="118"/>
      <c r="AX1114" s="118"/>
      <c r="AY1114" s="118"/>
      <c r="AZ1114" s="118"/>
      <c r="BA1114" s="118"/>
      <c r="BB1114" s="118"/>
      <c r="BC1114" s="118"/>
      <c r="BD1114" s="118"/>
      <c r="BE1114" s="118"/>
      <c r="BF1114" s="118"/>
      <c r="BG1114" s="118"/>
      <c r="BH1114" s="118"/>
      <c r="BI1114" s="118"/>
      <c r="BJ1114" s="971"/>
      <c r="BK1114" s="118"/>
      <c r="BL1114" s="118"/>
      <c r="BM1114" s="118"/>
      <c r="BN1114" s="118"/>
      <c r="BO1114" s="118"/>
      <c r="BP1114" s="118"/>
      <c r="BQ1114" s="118"/>
      <c r="BR1114" s="118"/>
      <c r="BS1114" s="118"/>
      <c r="BT1114" s="118"/>
      <c r="BU1114" s="118"/>
      <c r="BV1114" s="1074"/>
      <c r="BW1114" s="1039"/>
    </row>
    <row r="1115" spans="1:75" collapsed="1" x14ac:dyDescent="0.5">
      <c r="A1115" s="1065" t="str">
        <f ca="1">"Stock Low: "&amp;IF(OR(MO.RealTimeStockPriceToggle=FALSE,VLOOKUP(MO.DataSourceName,MO_SPT_StockLow_Sources,COLUMN()+2,FALSE)="N/A"),"Real-Time Off Source",MO.DataSourceName)</f>
        <v>Stock Low: Real-Time Off Source</v>
      </c>
      <c r="B1115" s="785"/>
      <c r="C1115" s="1066">
        <f t="shared" ref="C1115:AH1115" ca="1" si="951">IF(OR(MO.RealTimeStockPriceToggle=FALSE,VLOOKUP(MO.DataSourceName,MO_SPT_StockLow_Sources,COLUMN(),FALSE)="N/A"),VLOOKUP("Real-Time Off Source",MO_SPT_StockLow_Sources,COLUMN(),FALSE),VLOOKUP(MO.DataSourceName,MO_SPT_StockLow_Sources,COLUMN(),FALSE))</f>
        <v>7.55</v>
      </c>
      <c r="D1115" s="1066">
        <f t="shared" ca="1" si="951"/>
        <v>18.420000000000002</v>
      </c>
      <c r="E1115" s="785">
        <f t="shared" ca="1" si="951"/>
        <v>27.9</v>
      </c>
      <c r="F1115" s="785">
        <f t="shared" ca="1" si="951"/>
        <v>32.67</v>
      </c>
      <c r="G1115" s="785">
        <f t="shared" ca="1" si="951"/>
        <v>43.63</v>
      </c>
      <c r="H1115" s="785">
        <f t="shared" ca="1" si="951"/>
        <v>51.98</v>
      </c>
      <c r="I1115" s="785">
        <f t="shared" ca="1" si="951"/>
        <v>51.7</v>
      </c>
      <c r="J1115" s="785">
        <f t="shared" ca="1" si="951"/>
        <v>51.91</v>
      </c>
      <c r="K1115" s="785">
        <f t="shared" ca="1" si="951"/>
        <v>43.63</v>
      </c>
      <c r="L1115" s="785">
        <f t="shared" ca="1" si="951"/>
        <v>52.46</v>
      </c>
      <c r="M1115" s="785">
        <f t="shared" ca="1" si="951"/>
        <v>60.47</v>
      </c>
      <c r="N1115" s="785">
        <f t="shared" ca="1" si="951"/>
        <v>62.35</v>
      </c>
      <c r="O1115" s="785">
        <f t="shared" ca="1" si="951"/>
        <v>64.17</v>
      </c>
      <c r="P1115" s="785">
        <f t="shared" ca="1" si="951"/>
        <v>52.46</v>
      </c>
      <c r="Q1115" s="785">
        <f t="shared" ca="1" si="951"/>
        <v>73.14</v>
      </c>
      <c r="R1115" s="785">
        <f t="shared" ca="1" si="951"/>
        <v>74.75</v>
      </c>
      <c r="S1115" s="785">
        <f t="shared" ca="1" si="951"/>
        <v>71.03</v>
      </c>
      <c r="T1115" s="785">
        <f t="shared" ca="1" si="951"/>
        <v>47.33</v>
      </c>
      <c r="U1115" s="785">
        <f t="shared" ca="1" si="951"/>
        <v>47.33</v>
      </c>
      <c r="V1115" s="785">
        <f t="shared" ca="1" si="951"/>
        <v>49.39</v>
      </c>
      <c r="W1115" s="785">
        <f t="shared" ca="1" si="951"/>
        <v>47.66</v>
      </c>
      <c r="X1115" s="785">
        <f t="shared" ca="1" si="951"/>
        <v>45.96</v>
      </c>
      <c r="Y1115" s="785">
        <f t="shared" ca="1" si="951"/>
        <v>45.98</v>
      </c>
      <c r="Z1115" s="785">
        <f t="shared" ca="1" si="951"/>
        <v>45.96</v>
      </c>
      <c r="AA1115" s="785">
        <f t="shared" ca="1" si="951"/>
        <v>46.44</v>
      </c>
      <c r="AB1115" s="785">
        <f t="shared" ca="1" si="951"/>
        <v>43.96</v>
      </c>
      <c r="AC1115" s="785">
        <f t="shared" ca="1" si="951"/>
        <v>42.68</v>
      </c>
      <c r="AD1115" s="785">
        <f t="shared" ca="1" si="951"/>
        <v>44.01</v>
      </c>
      <c r="AE1115" s="785">
        <f t="shared" ca="1" si="951"/>
        <v>42.68</v>
      </c>
      <c r="AF1115" s="785">
        <f t="shared" ca="1" si="951"/>
        <v>46.935699999999997</v>
      </c>
      <c r="AG1115" s="785">
        <f t="shared" ca="1" si="951"/>
        <v>46.610900000000001</v>
      </c>
      <c r="AH1115" s="785">
        <f t="shared" ca="1" si="951"/>
        <v>55.73</v>
      </c>
      <c r="AI1115" s="785">
        <f t="shared" ref="AI1115:AW1115" ca="1" si="952">IF(OR(MO.RealTimeStockPriceToggle=FALSE,VLOOKUP(MO.DataSourceName,MO_SPT_StockLow_Sources,COLUMN(),FALSE)="N/A"),VLOOKUP("Real-Time Off Source",MO_SPT_StockLow_Sources,COLUMN(),FALSE),VLOOKUP(MO.DataSourceName,MO_SPT_StockLow_Sources,COLUMN(),FALSE))</f>
        <v>45.54</v>
      </c>
      <c r="AJ1115" s="785">
        <f t="shared" ca="1" si="952"/>
        <v>45.54</v>
      </c>
      <c r="AK1115" s="785">
        <f t="shared" ca="1" si="952"/>
        <v>52.88</v>
      </c>
      <c r="AL1115" s="785">
        <f t="shared" ca="1" si="952"/>
        <v>51.13</v>
      </c>
      <c r="AM1115" s="785">
        <f t="shared" ca="1" si="952"/>
        <v>62.19</v>
      </c>
      <c r="AN1115" s="785">
        <f t="shared" ca="1" si="952"/>
        <v>67.42</v>
      </c>
      <c r="AO1115" s="785">
        <f t="shared" ca="1" si="952"/>
        <v>51.13</v>
      </c>
      <c r="AP1115" s="785">
        <f t="shared" ca="1" si="952"/>
        <v>30.66</v>
      </c>
      <c r="AQ1115" s="785">
        <f t="shared" ca="1" si="952"/>
        <v>62.61</v>
      </c>
      <c r="AR1115" s="785">
        <f t="shared" ca="1" si="952"/>
        <v>84.56</v>
      </c>
      <c r="AS1115" s="785">
        <f t="shared" ca="1" si="952"/>
        <v>89.82</v>
      </c>
      <c r="AT1115" s="785">
        <f t="shared" ca="1" si="952"/>
        <v>30.66</v>
      </c>
      <c r="AU1115" s="785">
        <f t="shared" ca="1" si="952"/>
        <v>124.34</v>
      </c>
      <c r="AV1115" s="785">
        <f t="shared" ca="1" si="952"/>
        <v>150.93</v>
      </c>
      <c r="AW1115" s="785">
        <f t="shared" ca="1" si="952"/>
        <v>152.84</v>
      </c>
      <c r="AX1115" s="785">
        <f t="shared" ref="AX1115:BN1115" ca="1" si="953">IF(OR(MO.RealTimeStockPriceToggle=FALSE,VLOOKUP(MO.DataSourceName,MO_SPT_StockLow_Sources,COLUMN(),FALSE)="N/A"),VLOOKUP("Real-Time Off Source",MO_SPT_StockLow_Sources,COLUMN(),FALSE),VLOOKUP(MO.DataSourceName,MO_SPT_StockLow_Sources,COLUMN(),FALSE))</f>
        <v>142.58000000000001</v>
      </c>
      <c r="AY1115" s="785">
        <f t="shared" ca="1" si="953"/>
        <v>124.34</v>
      </c>
      <c r="AZ1115" s="785">
        <f t="shared" ca="1" si="953"/>
        <v>130.47999999999999</v>
      </c>
      <c r="BA1115" s="785">
        <f t="shared" ca="1" si="953"/>
        <v>105.47</v>
      </c>
      <c r="BB1115" s="785">
        <f t="shared" ca="1" si="953"/>
        <v>113.51</v>
      </c>
      <c r="BC1115" s="785">
        <f t="shared" ca="1" si="953"/>
        <v>111.71</v>
      </c>
      <c r="BD1115" s="785">
        <f t="shared" ca="1" si="953"/>
        <v>105.47</v>
      </c>
      <c r="BE1115" s="785">
        <f t="shared" ref="BE1115:BM1115" ca="1" si="954">IF(OR(MO.RealTimeStockPriceToggle=FALSE,VLOOKUP(MO.DataSourceName,MO_SPT_StockLow_Sources,COLUMN(),FALSE)="N/A"),VLOOKUP("Real-Time Off Source",MO_SPT_StockLow_Sources,COLUMN(),FALSE),VLOOKUP(MO.DataSourceName,MO_SPT_StockLow_Sources,COLUMN(),FALSE))</f>
        <v>116.86</v>
      </c>
      <c r="BF1115" s="785">
        <f t="shared" ca="1" si="954"/>
        <v>111.16</v>
      </c>
      <c r="BG1115" s="785">
        <f t="shared" ca="1" si="954"/>
        <v>125.15</v>
      </c>
      <c r="BH1115" s="785">
        <f t="shared" ca="1" si="954"/>
        <v>147.52000000000001</v>
      </c>
      <c r="BI1115" s="785">
        <f t="shared" ca="1" si="954"/>
        <v>111.16</v>
      </c>
      <c r="BJ1115" s="1067">
        <f ca="1">IF(OR(MO.RealTimeStockPriceToggle=FALSE,VLOOKUP(MO.DataSourceName,MO_SPT_StockLow_Sources,COLUMN(),FALSE)="N/A"),VLOOKUP("Real-Time Off Source",MO_SPT_StockLow_Sources,COLUMN(),FALSE),VLOOKUP(MO.DataSourceName,MO_SPT_StockLow_Sources,COLUMN(),FALSE))</f>
        <v>193.39</v>
      </c>
      <c r="BK1115" s="785">
        <f t="shared" ca="1" si="954"/>
        <v>0</v>
      </c>
      <c r="BL1115" s="785">
        <f t="shared" ca="1" si="954"/>
        <v>0</v>
      </c>
      <c r="BM1115" s="785">
        <f t="shared" ca="1" si="954"/>
        <v>0</v>
      </c>
      <c r="BN1115" s="785">
        <f t="shared" ca="1" si="953"/>
        <v>0</v>
      </c>
      <c r="BO1115" s="785">
        <f t="shared" ref="BO1115:BV1115" ca="1" si="955">IF(OR(MO.RealTimeStockPriceToggle=FALSE,VLOOKUP(MO.DataSourceName,MO_SPT_StockLow_Sources,COLUMN(),FALSE)="N/A"),VLOOKUP("Real-Time Off Source",MO_SPT_StockLow_Sources,COLUMN(),FALSE),VLOOKUP(MO.DataSourceName,MO_SPT_StockLow_Sources,COLUMN(),FALSE))</f>
        <v>0</v>
      </c>
      <c r="BP1115" s="785">
        <f t="shared" ca="1" si="955"/>
        <v>0</v>
      </c>
      <c r="BQ1115" s="785">
        <f t="shared" ca="1" si="955"/>
        <v>0</v>
      </c>
      <c r="BR1115" s="785">
        <f t="shared" ca="1" si="955"/>
        <v>0</v>
      </c>
      <c r="BS1115" s="785">
        <f t="shared" ca="1" si="955"/>
        <v>0</v>
      </c>
      <c r="BT1115" s="785">
        <f t="shared" ca="1" si="955"/>
        <v>0</v>
      </c>
      <c r="BU1115" s="785">
        <f t="shared" ca="1" si="955"/>
        <v>0</v>
      </c>
      <c r="BV1115" s="1068">
        <f t="shared" ca="1" si="955"/>
        <v>0</v>
      </c>
      <c r="BW1115" s="1069"/>
    </row>
    <row r="1116" spans="1:75" hidden="1" outlineLevel="1" x14ac:dyDescent="0.5">
      <c r="A1116" s="1070" t="s">
        <v>1611</v>
      </c>
      <c r="B1116" s="785"/>
      <c r="C1116" s="1066"/>
      <c r="D1116" s="1066"/>
      <c r="E1116" s="785"/>
      <c r="F1116" s="785"/>
      <c r="G1116" s="785"/>
      <c r="H1116" s="785"/>
      <c r="I1116" s="785"/>
      <c r="J1116" s="785"/>
      <c r="K1116" s="785"/>
      <c r="L1116" s="785"/>
      <c r="M1116" s="785"/>
      <c r="N1116" s="785"/>
      <c r="O1116" s="1071">
        <v>16.739999999999998</v>
      </c>
      <c r="P1116" s="1071">
        <v>16.739999999999998</v>
      </c>
      <c r="Q1116" s="1071">
        <v>18.12</v>
      </c>
      <c r="R1116" s="1071">
        <v>27.36</v>
      </c>
      <c r="S1116" s="1071">
        <v>31.17</v>
      </c>
      <c r="T1116" s="1071">
        <v>32.56</v>
      </c>
      <c r="U1116" s="1071">
        <v>18.12</v>
      </c>
      <c r="V1116" s="1071">
        <v>28.85</v>
      </c>
      <c r="W1116" s="1071">
        <v>34.1</v>
      </c>
      <c r="X1116" s="1071">
        <v>35.82</v>
      </c>
      <c r="Y1116" s="1071">
        <v>27.6</v>
      </c>
      <c r="Z1116" s="1071">
        <v>27.6</v>
      </c>
      <c r="AA1116" s="1071">
        <v>34.299999999999997</v>
      </c>
      <c r="AB1116" s="1071">
        <v>39.96</v>
      </c>
      <c r="AC1116" s="1071">
        <v>65.3</v>
      </c>
      <c r="AD1116" s="1071">
        <v>55.33</v>
      </c>
      <c r="AE1116" s="1071">
        <v>34.299999999999997</v>
      </c>
      <c r="AF1116" s="1071">
        <v>65.14</v>
      </c>
      <c r="AG1116" s="1071">
        <v>62.3</v>
      </c>
      <c r="AH1116" s="1071">
        <v>107.23</v>
      </c>
      <c r="AI1116" s="1071">
        <v>80.44</v>
      </c>
      <c r="AJ1116" s="1071">
        <v>62.3</v>
      </c>
      <c r="AK1116" s="1071">
        <v>84.58</v>
      </c>
      <c r="AL1116" s="1071">
        <v>137.78</v>
      </c>
      <c r="AM1116" s="1071">
        <v>107.34</v>
      </c>
      <c r="AN1116" s="1071">
        <v>79.87</v>
      </c>
      <c r="AO1116" s="1071">
        <v>79.87</v>
      </c>
      <c r="AP1116" s="1071">
        <v>23.52</v>
      </c>
      <c r="AQ1116" s="1071">
        <v>47.24</v>
      </c>
      <c r="AR1116" s="1071">
        <v>210.8</v>
      </c>
      <c r="AS1116" s="1071">
        <v>225.81</v>
      </c>
      <c r="AT1116" s="1071">
        <v>23.52</v>
      </c>
      <c r="AU1116" s="1071">
        <v>236.46</v>
      </c>
      <c r="AV1116" s="1071">
        <v>270.97000000000003</v>
      </c>
      <c r="AW1116" s="1071">
        <v>241.36</v>
      </c>
      <c r="AX1116" s="1071">
        <v>189.51</v>
      </c>
      <c r="AY1116" s="1071">
        <v>189.51</v>
      </c>
      <c r="AZ1116" s="1071">
        <v>104.81</v>
      </c>
      <c r="BA1116" s="1071">
        <v>43.56</v>
      </c>
      <c r="BB1116" s="1071">
        <v>32.549999999999997</v>
      </c>
      <c r="BC1116" s="1071">
        <v>28.35</v>
      </c>
      <c r="BD1116" s="1071">
        <v>28.35</v>
      </c>
      <c r="BE1116" s="1071">
        <v>31.02</v>
      </c>
      <c r="BF1116" s="1071">
        <v>31.29</v>
      </c>
      <c r="BG1116" s="1071">
        <v>56.86</v>
      </c>
      <c r="BH1116" s="1071">
        <v>39.29</v>
      </c>
      <c r="BI1116" s="1071">
        <v>31.02</v>
      </c>
      <c r="BJ1116" s="1072">
        <v>48.78</v>
      </c>
      <c r="BK1116" s="785"/>
      <c r="BL1116" s="785"/>
      <c r="BM1116" s="785"/>
      <c r="BN1116" s="785"/>
      <c r="BO1116" s="785"/>
      <c r="BP1116" s="785"/>
      <c r="BQ1116" s="785"/>
      <c r="BR1116" s="785"/>
      <c r="BS1116" s="785"/>
      <c r="BT1116" s="785"/>
      <c r="BU1116" s="785"/>
      <c r="BV1116" s="1068"/>
      <c r="BW1116" s="1069"/>
    </row>
    <row r="1117" spans="1:75" hidden="1" outlineLevel="1" x14ac:dyDescent="0.5">
      <c r="A1117" s="1070" t="s">
        <v>103</v>
      </c>
      <c r="B1117" s="785"/>
      <c r="C1117" s="1066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D1117" s="1066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E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F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G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H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I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J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K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L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M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N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O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P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Q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R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S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T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U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V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W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X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Y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Z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A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B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C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D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E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F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G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H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I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J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K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L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M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N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O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P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Q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R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S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T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U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V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W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X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Y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Z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A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B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C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D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E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F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G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H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I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J1117" s="1067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K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L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M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N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O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P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Q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R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S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T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U1117" s="78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V1117" s="1068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W1117" s="1069"/>
    </row>
    <row r="1118" spans="1:75" hidden="1" outlineLevel="1" x14ac:dyDescent="0.5">
      <c r="A1118" s="1070" t="s">
        <v>1612</v>
      </c>
      <c r="B1118" s="785"/>
      <c r="C1118" s="1066" t="str">
        <f ca="1">IFERROR(CIQLO(MO.Ticker.CapIQ,"IQ_LASTSALEPRICE",INDEX(MO_SNA_FPStartDate,0,COLUMN()),INDEX(MO_Common_QEndDate,0,COLUMN())),"N/A")</f>
        <v>N/A</v>
      </c>
      <c r="D1118" s="1066" t="str">
        <f ca="1">IFERROR(CIQLO(MO.Ticker.CapIQ,"IQ_LASTSALEPRICE",INDEX(MO_SNA_FPStartDate,0,COLUMN()),INDEX(MO_Common_QEndDate,0,COLUMN())),"N/A")</f>
        <v>N/A</v>
      </c>
      <c r="E1118" s="785" t="str">
        <f ca="1">IFERROR(CIQLO(MO.Ticker.CapIQ,"IQ_LASTSALEPRICE",INDEX(MO_SNA_FPStartDate,0,COLUMN()),INDEX(MO_Common_QEndDate,0,COLUMN())),"N/A")</f>
        <v>N/A</v>
      </c>
      <c r="F1118" s="785" t="str">
        <f ca="1">IFERROR(CIQLO(MO.Ticker.CapIQ,"IQ_LASTSALEPRICE",INDEX(MO_SNA_FPStartDate,0,COLUMN()),INDEX(MO_Common_QEndDate,0,COLUMN())),"N/A")</f>
        <v>N/A</v>
      </c>
      <c r="G1118" s="785" t="str">
        <f ca="1">IFERROR(CIQLO(MO.Ticker.CapIQ,"IQ_LASTSALEPRICE",INDEX(MO_SNA_FPStartDate,0,COLUMN()),INDEX(MO_Common_QEndDate,0,COLUMN())),"N/A")</f>
        <v>N/A</v>
      </c>
      <c r="H1118" s="785" t="str">
        <f ca="1">IFERROR(CIQLO(MO.Ticker.CapIQ,"IQ_LASTSALEPRICE",INDEX(MO_SNA_FPStartDate,0,COLUMN()),INDEX(MO_Common_QEndDate,0,COLUMN())),"N/A")</f>
        <v>N/A</v>
      </c>
      <c r="I1118" s="785" t="str">
        <f ca="1">IFERROR(CIQLO(MO.Ticker.CapIQ,"IQ_LASTSALEPRICE",INDEX(MO_SNA_FPStartDate,0,COLUMN()),INDEX(MO_Common_QEndDate,0,COLUMN())),"N/A")</f>
        <v>N/A</v>
      </c>
      <c r="J1118" s="785" t="str">
        <f ca="1">IFERROR(CIQLO(MO.Ticker.CapIQ,"IQ_LASTSALEPRICE",INDEX(MO_SNA_FPStartDate,0,COLUMN()),INDEX(MO_Common_QEndDate,0,COLUMN())),"N/A")</f>
        <v>N/A</v>
      </c>
      <c r="K1118" s="785" t="str">
        <f ca="1">IFERROR(CIQLO(MO.Ticker.CapIQ,"IQ_LASTSALEPRICE",INDEX(MO_SNA_FPStartDate,0,COLUMN()),INDEX(MO_Common_QEndDate,0,COLUMN())),"N/A")</f>
        <v>N/A</v>
      </c>
      <c r="L1118" s="785" t="str">
        <f ca="1">IFERROR(CIQLO(MO.Ticker.CapIQ,"IQ_LASTSALEPRICE",INDEX(MO_SNA_FPStartDate,0,COLUMN()),INDEX(MO_Common_QEndDate,0,COLUMN())),"N/A")</f>
        <v>N/A</v>
      </c>
      <c r="M1118" s="785" t="str">
        <f ca="1">IFERROR(CIQLO(MO.Ticker.CapIQ,"IQ_LASTSALEPRICE",INDEX(MO_SNA_FPStartDate,0,COLUMN()),INDEX(MO_Common_QEndDate,0,COLUMN())),"N/A")</f>
        <v>N/A</v>
      </c>
      <c r="N1118" s="785" t="str">
        <f ca="1">IFERROR(CIQLO(MO.Ticker.CapIQ,"IQ_LASTSALEPRICE",INDEX(MO_SNA_FPStartDate,0,COLUMN()),INDEX(MO_Common_QEndDate,0,COLUMN())),"N/A")</f>
        <v>N/A</v>
      </c>
      <c r="O1118" s="785" t="str">
        <f ca="1">IFERROR(CIQLO(MO.Ticker.CapIQ,"IQ_LASTSALEPRICE",INDEX(MO_SNA_FPStartDate,0,COLUMN()),INDEX(MO_Common_QEndDate,0,COLUMN())),"N/A")</f>
        <v>N/A</v>
      </c>
      <c r="P1118" s="785" t="str">
        <f ca="1">IFERROR(CIQLO(MO.Ticker.CapIQ,"IQ_LASTSALEPRICE",INDEX(MO_SNA_FPStartDate,0,COLUMN()),INDEX(MO_Common_QEndDate,0,COLUMN())),"N/A")</f>
        <v>N/A</v>
      </c>
      <c r="Q1118" s="785" t="str">
        <f ca="1">IFERROR(CIQLO(MO.Ticker.CapIQ,"IQ_LASTSALEPRICE",INDEX(MO_SNA_FPStartDate,0,COLUMN()),INDEX(MO_Common_QEndDate,0,COLUMN())),"N/A")</f>
        <v>N/A</v>
      </c>
      <c r="R1118" s="785" t="str">
        <f ca="1">IFERROR(CIQLO(MO.Ticker.CapIQ,"IQ_LASTSALEPRICE",INDEX(MO_SNA_FPStartDate,0,COLUMN()),INDEX(MO_Common_QEndDate,0,COLUMN())),"N/A")</f>
        <v>N/A</v>
      </c>
      <c r="S1118" s="785" t="str">
        <f ca="1">IFERROR(CIQLO(MO.Ticker.CapIQ,"IQ_LASTSALEPRICE",INDEX(MO_SNA_FPStartDate,0,COLUMN()),INDEX(MO_Common_QEndDate,0,COLUMN())),"N/A")</f>
        <v>N/A</v>
      </c>
      <c r="T1118" s="785" t="str">
        <f ca="1">IFERROR(CIQLO(MO.Ticker.CapIQ,"IQ_LASTSALEPRICE",INDEX(MO_SNA_FPStartDate,0,COLUMN()),INDEX(MO_Common_QEndDate,0,COLUMN())),"N/A")</f>
        <v>N/A</v>
      </c>
      <c r="U1118" s="785" t="str">
        <f ca="1">IFERROR(CIQLO(MO.Ticker.CapIQ,"IQ_LASTSALEPRICE",INDEX(MO_SNA_FPStartDate,0,COLUMN()),INDEX(MO_Common_QEndDate,0,COLUMN())),"N/A")</f>
        <v>N/A</v>
      </c>
      <c r="V1118" s="785" t="str">
        <f ca="1">IFERROR(CIQLO(MO.Ticker.CapIQ,"IQ_LASTSALEPRICE",INDEX(MO_SNA_FPStartDate,0,COLUMN()),INDEX(MO_Common_QEndDate,0,COLUMN())),"N/A")</f>
        <v>N/A</v>
      </c>
      <c r="W1118" s="785" t="str">
        <f ca="1">IFERROR(CIQLO(MO.Ticker.CapIQ,"IQ_LASTSALEPRICE",INDEX(MO_SNA_FPStartDate,0,COLUMN()),INDEX(MO_Common_QEndDate,0,COLUMN())),"N/A")</f>
        <v>N/A</v>
      </c>
      <c r="X1118" s="785" t="str">
        <f ca="1">IFERROR(CIQLO(MO.Ticker.CapIQ,"IQ_LASTSALEPRICE",INDEX(MO_SNA_FPStartDate,0,COLUMN()),INDEX(MO_Common_QEndDate,0,COLUMN())),"N/A")</f>
        <v>N/A</v>
      </c>
      <c r="Y1118" s="785" t="str">
        <f ca="1">IFERROR(CIQLO(MO.Ticker.CapIQ,"IQ_LASTSALEPRICE",INDEX(MO_SNA_FPStartDate,0,COLUMN()),INDEX(MO_Common_QEndDate,0,COLUMN())),"N/A")</f>
        <v>N/A</v>
      </c>
      <c r="Z1118" s="785" t="str">
        <f ca="1">IFERROR(CIQLO(MO.Ticker.CapIQ,"IQ_LASTSALEPRICE",INDEX(MO_SNA_FPStartDate,0,COLUMN()),INDEX(MO_Common_QEndDate,0,COLUMN())),"N/A")</f>
        <v>N/A</v>
      </c>
      <c r="AA1118" s="785" t="str">
        <f ca="1">IFERROR(CIQLO(MO.Ticker.CapIQ,"IQ_LASTSALEPRICE",INDEX(MO_SNA_FPStartDate,0,COLUMN()),INDEX(MO_Common_QEndDate,0,COLUMN())),"N/A")</f>
        <v>N/A</v>
      </c>
      <c r="AB1118" s="785" t="str">
        <f ca="1">IFERROR(CIQLO(MO.Ticker.CapIQ,"IQ_LASTSALEPRICE",INDEX(MO_SNA_FPStartDate,0,COLUMN()),INDEX(MO_Common_QEndDate,0,COLUMN())),"N/A")</f>
        <v>N/A</v>
      </c>
      <c r="AC1118" s="785" t="str">
        <f ca="1">IFERROR(CIQLO(MO.Ticker.CapIQ,"IQ_LASTSALEPRICE",INDEX(MO_SNA_FPStartDate,0,COLUMN()),INDEX(MO_Common_QEndDate,0,COLUMN())),"N/A")</f>
        <v>N/A</v>
      </c>
      <c r="AD1118" s="785" t="str">
        <f ca="1">IFERROR(CIQLO(MO.Ticker.CapIQ,"IQ_LASTSALEPRICE",INDEX(MO_SNA_FPStartDate,0,COLUMN()),INDEX(MO_Common_QEndDate,0,COLUMN())),"N/A")</f>
        <v>N/A</v>
      </c>
      <c r="AE1118" s="785" t="str">
        <f ca="1">IFERROR(CIQLO(MO.Ticker.CapIQ,"IQ_LASTSALEPRICE",INDEX(MO_SNA_FPStartDate,0,COLUMN()),INDEX(MO_Common_QEndDate,0,COLUMN())),"N/A")</f>
        <v>N/A</v>
      </c>
      <c r="AF1118" s="785" t="str">
        <f ca="1">IFERROR(CIQLO(MO.Ticker.CapIQ,"IQ_LASTSALEPRICE",INDEX(MO_SNA_FPStartDate,0,COLUMN()),INDEX(MO_Common_QEndDate,0,COLUMN())),"N/A")</f>
        <v>N/A</v>
      </c>
      <c r="AG1118" s="785" t="str">
        <f ca="1">IFERROR(CIQLO(MO.Ticker.CapIQ,"IQ_LASTSALEPRICE",INDEX(MO_SNA_FPStartDate,0,COLUMN()),INDEX(MO_Common_QEndDate,0,COLUMN())),"N/A")</f>
        <v>N/A</v>
      </c>
      <c r="AH1118" s="785" t="str">
        <f ca="1">IFERROR(CIQLO(MO.Ticker.CapIQ,"IQ_LASTSALEPRICE",INDEX(MO_SNA_FPStartDate,0,COLUMN()),INDEX(MO_Common_QEndDate,0,COLUMN())),"N/A")</f>
        <v>N/A</v>
      </c>
      <c r="AI1118" s="785" t="str">
        <f ca="1">IFERROR(CIQLO(MO.Ticker.CapIQ,"IQ_LASTSALEPRICE",INDEX(MO_SNA_FPStartDate,0,COLUMN()),INDEX(MO_Common_QEndDate,0,COLUMN())),"N/A")</f>
        <v>N/A</v>
      </c>
      <c r="AJ1118" s="785" t="str">
        <f ca="1">IFERROR(CIQLO(MO.Ticker.CapIQ,"IQ_LASTSALEPRICE",INDEX(MO_SNA_FPStartDate,0,COLUMN()),INDEX(MO_Common_QEndDate,0,COLUMN())),"N/A")</f>
        <v>N/A</v>
      </c>
      <c r="AK1118" s="785" t="str">
        <f ca="1">IFERROR(CIQLO(MO.Ticker.CapIQ,"IQ_LASTSALEPRICE",INDEX(MO_SNA_FPStartDate,0,COLUMN()),INDEX(MO_Common_QEndDate,0,COLUMN())),"N/A")</f>
        <v>N/A</v>
      </c>
      <c r="AL1118" s="785" t="str">
        <f ca="1">IFERROR(CIQLO(MO.Ticker.CapIQ,"IQ_LASTSALEPRICE",INDEX(MO_SNA_FPStartDate,0,COLUMN()),INDEX(MO_Common_QEndDate,0,COLUMN())),"N/A")</f>
        <v>N/A</v>
      </c>
      <c r="AM1118" s="785" t="str">
        <f ca="1">IFERROR(CIQLO(MO.Ticker.CapIQ,"IQ_LASTSALEPRICE",INDEX(MO_SNA_FPStartDate,0,COLUMN()),INDEX(MO_Common_QEndDate,0,COLUMN())),"N/A")</f>
        <v>N/A</v>
      </c>
      <c r="AN1118" s="785" t="str">
        <f ca="1">IFERROR(CIQLO(MO.Ticker.CapIQ,"IQ_LASTSALEPRICE",INDEX(MO_SNA_FPStartDate,0,COLUMN()),INDEX(MO_Common_QEndDate,0,COLUMN())),"N/A")</f>
        <v>N/A</v>
      </c>
      <c r="AO1118" s="785" t="str">
        <f ca="1">IFERROR(CIQLO(MO.Ticker.CapIQ,"IQ_LASTSALEPRICE",INDEX(MO_SNA_FPStartDate,0,COLUMN()),INDEX(MO_Common_QEndDate,0,COLUMN())),"N/A")</f>
        <v>N/A</v>
      </c>
      <c r="AP1118" s="785" t="str">
        <f ca="1">IFERROR(CIQLO(MO.Ticker.CapIQ,"IQ_LASTSALEPRICE",INDEX(MO_SNA_FPStartDate,0,COLUMN()),INDEX(MO_Common_QEndDate,0,COLUMN())),"N/A")</f>
        <v>N/A</v>
      </c>
      <c r="AQ1118" s="785" t="str">
        <f ca="1">IFERROR(CIQLO(MO.Ticker.CapIQ,"IQ_LASTSALEPRICE",INDEX(MO_SNA_FPStartDate,0,COLUMN()),INDEX(MO_Common_QEndDate,0,COLUMN())),"N/A")</f>
        <v>N/A</v>
      </c>
      <c r="AR1118" s="785" t="str">
        <f ca="1">IFERROR(CIQLO(MO.Ticker.CapIQ,"IQ_LASTSALEPRICE",INDEX(MO_SNA_FPStartDate,0,COLUMN()),INDEX(MO_Common_QEndDate,0,COLUMN())),"N/A")</f>
        <v>N/A</v>
      </c>
      <c r="AS1118" s="785" t="str">
        <f ca="1">IFERROR(CIQLO(MO.Ticker.CapIQ,"IQ_LASTSALEPRICE",INDEX(MO_SNA_FPStartDate,0,COLUMN()),INDEX(MO_Common_QEndDate,0,COLUMN())),"N/A")</f>
        <v>N/A</v>
      </c>
      <c r="AT1118" s="785" t="str">
        <f ca="1">IFERROR(CIQLO(MO.Ticker.CapIQ,"IQ_LASTSALEPRICE",INDEX(MO_SNA_FPStartDate,0,COLUMN()),INDEX(MO_Common_QEndDate,0,COLUMN())),"N/A")</f>
        <v>N/A</v>
      </c>
      <c r="AU1118" s="785" t="str">
        <f ca="1">IFERROR(CIQLO(MO.Ticker.CapIQ,"IQ_LASTSALEPRICE",INDEX(MO_SNA_FPStartDate,0,COLUMN()),INDEX(MO_Common_QEndDate,0,COLUMN())),"N/A")</f>
        <v>N/A</v>
      </c>
      <c r="AV1118" s="785" t="str">
        <f ca="1">IFERROR(CIQLO(MO.Ticker.CapIQ,"IQ_LASTSALEPRICE",INDEX(MO_SNA_FPStartDate,0,COLUMN()),INDEX(MO_Common_QEndDate,0,COLUMN())),"N/A")</f>
        <v>N/A</v>
      </c>
      <c r="AW1118" s="785" t="str">
        <f ca="1">IFERROR(CIQLO(MO.Ticker.CapIQ,"IQ_LASTSALEPRICE",INDEX(MO_SNA_FPStartDate,0,COLUMN()),INDEX(MO_Common_QEndDate,0,COLUMN())),"N/A")</f>
        <v>N/A</v>
      </c>
      <c r="AX1118" s="785" t="str">
        <f ca="1">IFERROR(CIQLO(MO.Ticker.CapIQ,"IQ_LASTSALEPRICE",INDEX(MO_SNA_FPStartDate,0,COLUMN()),INDEX(MO_Common_QEndDate,0,COLUMN())),"N/A")</f>
        <v>N/A</v>
      </c>
      <c r="AY1118" s="785" t="str">
        <f ca="1">IFERROR(CIQLO(MO.Ticker.CapIQ,"IQ_LASTSALEPRICE",INDEX(MO_SNA_FPStartDate,0,COLUMN()),INDEX(MO_Common_QEndDate,0,COLUMN())),"N/A")</f>
        <v>N/A</v>
      </c>
      <c r="AZ1118" s="785" t="str">
        <f ca="1">IFERROR(CIQLO(MO.Ticker.CapIQ,"IQ_LASTSALEPRICE",INDEX(MO_SNA_FPStartDate,0,COLUMN()),INDEX(MO_Common_QEndDate,0,COLUMN())),"N/A")</f>
        <v>N/A</v>
      </c>
      <c r="BA1118" s="785" t="str">
        <f ca="1">IFERROR(CIQLO(MO.Ticker.CapIQ,"IQ_LASTSALEPRICE",INDEX(MO_SNA_FPStartDate,0,COLUMN()),INDEX(MO_Common_QEndDate,0,COLUMN())),"N/A")</f>
        <v>N/A</v>
      </c>
      <c r="BB1118" s="785" t="str">
        <f ca="1">IFERROR(CIQLO(MO.Ticker.CapIQ,"IQ_LASTSALEPRICE",INDEX(MO_SNA_FPStartDate,0,COLUMN()),INDEX(MO_Common_QEndDate,0,COLUMN())),"N/A")</f>
        <v>N/A</v>
      </c>
      <c r="BC1118" s="785" t="str">
        <f ca="1">IFERROR(CIQLO(MO.Ticker.CapIQ,"IQ_LASTSALEPRICE",INDEX(MO_SNA_FPStartDate,0,COLUMN()),INDEX(MO_Common_QEndDate,0,COLUMN())),"N/A")</f>
        <v>N/A</v>
      </c>
      <c r="BD1118" s="785" t="str">
        <f ca="1">IFERROR(CIQLO(MO.Ticker.CapIQ,"IQ_LASTSALEPRICE",INDEX(MO_SNA_FPStartDate,0,COLUMN()),INDEX(MO_Common_QEndDate,0,COLUMN())),"N/A")</f>
        <v>N/A</v>
      </c>
      <c r="BE1118" s="785" t="str">
        <f ca="1">IFERROR(CIQLO(MO.Ticker.CapIQ,"IQ_LASTSALEPRICE",INDEX(MO_SNA_FPStartDate,0,COLUMN()),INDEX(MO_Common_QEndDate,0,COLUMN())),"N/A")</f>
        <v>N/A</v>
      </c>
      <c r="BF1118" s="785" t="str">
        <f ca="1">IFERROR(CIQLO(MO.Ticker.CapIQ,"IQ_LASTSALEPRICE",INDEX(MO_SNA_FPStartDate,0,COLUMN()),INDEX(MO_Common_QEndDate,0,COLUMN())),"N/A")</f>
        <v>N/A</v>
      </c>
      <c r="BG1118" s="785" t="str">
        <f ca="1">IFERROR(CIQLO(MO.Ticker.CapIQ,"IQ_LASTSALEPRICE",INDEX(MO_SNA_FPStartDate,0,COLUMN()),INDEX(MO_Common_QEndDate,0,COLUMN())),"N/A")</f>
        <v>N/A</v>
      </c>
      <c r="BH1118" s="785" t="str">
        <f ca="1">IFERROR(CIQLO(MO.Ticker.CapIQ,"IQ_LASTSALEPRICE",INDEX(MO_SNA_FPStartDate,0,COLUMN()),INDEX(MO_Common_QEndDate,0,COLUMN())),"N/A")</f>
        <v>N/A</v>
      </c>
      <c r="BI1118" s="785" t="str">
        <f ca="1">IFERROR(CIQLO(MO.Ticker.CapIQ,"IQ_LASTSALEPRICE",INDEX(MO_SNA_FPStartDate,0,COLUMN()),INDEX(MO_Common_QEndDate,0,COLUMN())),"N/A")</f>
        <v>N/A</v>
      </c>
      <c r="BJ1118" s="1067" t="str">
        <f ca="1">IFERROR(CIQLO(MO.Ticker.CapIQ,"IQ_LASTSALEPRICE",INDEX(MO_SNA_FPStartDate,0,COLUMN()),INDEX(MO_Common_QEndDate,0,COLUMN())),"N/A")</f>
        <v>N/A</v>
      </c>
      <c r="BK1118" s="785" t="str">
        <f ca="1">IFERROR(CIQLO(MO.Ticker.CapIQ,"IQ_LASTSALEPRICE",INDEX(MO_SNA_FPStartDate,0,COLUMN()),INDEX(MO_Common_QEndDate,0,COLUMN())),"N/A")</f>
        <v>N/A</v>
      </c>
      <c r="BL1118" s="785" t="str">
        <f ca="1">IFERROR(CIQLO(MO.Ticker.CapIQ,"IQ_LASTSALEPRICE",INDEX(MO_SNA_FPStartDate,0,COLUMN()),INDEX(MO_Common_QEndDate,0,COLUMN())),"N/A")</f>
        <v>N/A</v>
      </c>
      <c r="BM1118" s="785" t="str">
        <f ca="1">IFERROR(CIQLO(MO.Ticker.CapIQ,"IQ_LASTSALEPRICE",INDEX(MO_SNA_FPStartDate,0,COLUMN()),INDEX(MO_Common_QEndDate,0,COLUMN())),"N/A")</f>
        <v>N/A</v>
      </c>
      <c r="BN1118" s="785" t="str">
        <f ca="1">IFERROR(CIQLO(MO.Ticker.CapIQ,"IQ_LASTSALEPRICE",INDEX(MO_SNA_FPStartDate,0,COLUMN()),INDEX(MO_Common_QEndDate,0,COLUMN())),"N/A")</f>
        <v>N/A</v>
      </c>
      <c r="BO1118" s="785" t="str">
        <f ca="1">IFERROR(CIQLO(MO.Ticker.CapIQ,"IQ_LASTSALEPRICE",INDEX(MO_SNA_FPStartDate,0,COLUMN()),INDEX(MO_Common_QEndDate,0,COLUMN())),"N/A")</f>
        <v>N/A</v>
      </c>
      <c r="BP1118" s="785" t="str">
        <f ca="1">IFERROR(CIQLO(MO.Ticker.CapIQ,"IQ_LASTSALEPRICE",INDEX(MO_SNA_FPStartDate,0,COLUMN()),INDEX(MO_Common_QEndDate,0,COLUMN())),"N/A")</f>
        <v>N/A</v>
      </c>
      <c r="BQ1118" s="785" t="str">
        <f ca="1">IFERROR(CIQLO(MO.Ticker.CapIQ,"IQ_LASTSALEPRICE",INDEX(MO_SNA_FPStartDate,0,COLUMN()),INDEX(MO_Common_QEndDate,0,COLUMN())),"N/A")</f>
        <v>N/A</v>
      </c>
      <c r="BR1118" s="785" t="str">
        <f ca="1">IFERROR(CIQLO(MO.Ticker.CapIQ,"IQ_LASTSALEPRICE",INDEX(MO_SNA_FPStartDate,0,COLUMN()),INDEX(MO_Common_QEndDate,0,COLUMN())),"N/A")</f>
        <v>N/A</v>
      </c>
      <c r="BS1118" s="785" t="str">
        <f ca="1">IFERROR(CIQLO(MO.Ticker.CapIQ,"IQ_LASTSALEPRICE",INDEX(MO_SNA_FPStartDate,0,COLUMN()),INDEX(MO_Common_QEndDate,0,COLUMN())),"N/A")</f>
        <v>N/A</v>
      </c>
      <c r="BT1118" s="785" t="str">
        <f ca="1">IFERROR(CIQLO(MO.Ticker.CapIQ,"IQ_LASTSALEPRICE",INDEX(MO_SNA_FPStartDate,0,COLUMN()),INDEX(MO_Common_QEndDate,0,COLUMN())),"N/A")</f>
        <v>N/A</v>
      </c>
      <c r="BU1118" s="785" t="str">
        <f ca="1">IFERROR(CIQLO(MO.Ticker.CapIQ,"IQ_LASTSALEPRICE",INDEX(MO_SNA_FPStartDate,0,COLUMN()),INDEX(MO_Common_QEndDate,0,COLUMN())),"N/A")</f>
        <v>N/A</v>
      </c>
      <c r="BV1118" s="1068" t="str">
        <f ca="1">IFERROR(CIQLO(MO.Ticker.CapIQ,"IQ_LASTSALEPRICE",INDEX(MO_SNA_FPStartDate,0,COLUMN()),INDEX(MO_Common_QEndDate,0,COLUMN())),"N/A")</f>
        <v>N/A</v>
      </c>
      <c r="BW1118" s="1069"/>
    </row>
    <row r="1119" spans="1:75" hidden="1" outlineLevel="1" x14ac:dyDescent="0.5">
      <c r="A1119" s="1070" t="s">
        <v>1613</v>
      </c>
      <c r="B1119" s="785"/>
      <c r="C1119" s="1066" t="str">
        <f ca="1">IFERROR(_xll.FDS(MO.Ticker.FactSet,"P_PRICE_LOW"&amp;"("&amp;INDEX(MO_SNA_FPStartDate,0,COLUMN())&amp;","&amp;INDEX(MO_Common_QEndDate,0,COLUMN())&amp;",,,,""PRICE"",""CLOSE"")"),"N/A")</f>
        <v>N/A</v>
      </c>
      <c r="D1119" s="1066" t="str">
        <f ca="1">IFERROR(_xll.FDS(MO.Ticker.FactSet,"P_PRICE_LOW"&amp;"("&amp;INDEX(MO_SNA_FPStartDate,0,COLUMN())&amp;","&amp;INDEX(MO_Common_QEndDate,0,COLUMN())&amp;",,,,""PRICE"",""CLOSE"")"),"N/A")</f>
        <v>N/A</v>
      </c>
      <c r="E1119" s="785" t="str">
        <f ca="1">IFERROR(_xll.FDS(MO.Ticker.FactSet,"P_PRICE_LOW"&amp;"("&amp;INDEX(MO_SNA_FPStartDate,0,COLUMN())&amp;","&amp;INDEX(MO_Common_QEndDate,0,COLUMN())&amp;",,,,""PRICE"",""CLOSE"")"),"N/A")</f>
        <v>N/A</v>
      </c>
      <c r="F1119" s="785" t="str">
        <f ca="1">IFERROR(_xll.FDS(MO.Ticker.FactSet,"P_PRICE_LOW"&amp;"("&amp;INDEX(MO_SNA_FPStartDate,0,COLUMN())&amp;","&amp;INDEX(MO_Common_QEndDate,0,COLUMN())&amp;",,,,""PRICE"",""CLOSE"")"),"N/A")</f>
        <v>N/A</v>
      </c>
      <c r="G1119" s="785" t="str">
        <f ca="1">IFERROR(_xll.FDS(MO.Ticker.FactSet,"P_PRICE_LOW"&amp;"("&amp;INDEX(MO_SNA_FPStartDate,0,COLUMN())&amp;","&amp;INDEX(MO_Common_QEndDate,0,COLUMN())&amp;",,,,""PRICE"",""CLOSE"")"),"N/A")</f>
        <v>N/A</v>
      </c>
      <c r="H1119" s="785" t="str">
        <f ca="1">IFERROR(_xll.FDS(MO.Ticker.FactSet,"P_PRICE_LOW"&amp;"("&amp;INDEX(MO_SNA_FPStartDate,0,COLUMN())&amp;","&amp;INDEX(MO_Common_QEndDate,0,COLUMN())&amp;",,,,""PRICE"",""CLOSE"")"),"N/A")</f>
        <v>N/A</v>
      </c>
      <c r="I1119" s="785" t="str">
        <f ca="1">IFERROR(_xll.FDS(MO.Ticker.FactSet,"P_PRICE_LOW"&amp;"("&amp;INDEX(MO_SNA_FPStartDate,0,COLUMN())&amp;","&amp;INDEX(MO_Common_QEndDate,0,COLUMN())&amp;",,,,""PRICE"",""CLOSE"")"),"N/A")</f>
        <v>N/A</v>
      </c>
      <c r="J1119" s="785" t="str">
        <f ca="1">IFERROR(_xll.FDS(MO.Ticker.FactSet,"P_PRICE_LOW"&amp;"("&amp;INDEX(MO_SNA_FPStartDate,0,COLUMN())&amp;","&amp;INDEX(MO_Common_QEndDate,0,COLUMN())&amp;",,,,""PRICE"",""CLOSE"")"),"N/A")</f>
        <v>N/A</v>
      </c>
      <c r="K1119" s="785" t="str">
        <f ca="1">IFERROR(_xll.FDS(MO.Ticker.FactSet,"P_PRICE_LOW"&amp;"("&amp;INDEX(MO_SNA_FPStartDate,0,COLUMN())&amp;","&amp;INDEX(MO_Common_QEndDate,0,COLUMN())&amp;",,,,""PRICE"",""CLOSE"")"),"N/A")</f>
        <v>N/A</v>
      </c>
      <c r="L1119" s="785" t="str">
        <f ca="1">IFERROR(_xll.FDS(MO.Ticker.FactSet,"P_PRICE_LOW"&amp;"("&amp;INDEX(MO_SNA_FPStartDate,0,COLUMN())&amp;","&amp;INDEX(MO_Common_QEndDate,0,COLUMN())&amp;",,,,""PRICE"",""CLOSE"")"),"N/A")</f>
        <v>N/A</v>
      </c>
      <c r="M1119" s="785" t="str">
        <f ca="1">IFERROR(_xll.FDS(MO.Ticker.FactSet,"P_PRICE_LOW"&amp;"("&amp;INDEX(MO_SNA_FPStartDate,0,COLUMN())&amp;","&amp;INDEX(MO_Common_QEndDate,0,COLUMN())&amp;",,,,""PRICE"",""CLOSE"")"),"N/A")</f>
        <v>N/A</v>
      </c>
      <c r="N1119" s="785" t="str">
        <f ca="1">IFERROR(_xll.FDS(MO.Ticker.FactSet,"P_PRICE_LOW"&amp;"("&amp;INDEX(MO_SNA_FPStartDate,0,COLUMN())&amp;","&amp;INDEX(MO_Common_QEndDate,0,COLUMN())&amp;",,,,""PRICE"",""CLOSE"")"),"N/A")</f>
        <v>N/A</v>
      </c>
      <c r="O1119" s="785" t="str">
        <f ca="1">IFERROR(_xll.FDS(MO.Ticker.FactSet,"P_PRICE_LOW"&amp;"("&amp;INDEX(MO_SNA_FPStartDate,0,COLUMN())&amp;","&amp;INDEX(MO_Common_QEndDate,0,COLUMN())&amp;",,,,""PRICE"",""CLOSE"")"),"N/A")</f>
        <v>N/A</v>
      </c>
      <c r="P1119" s="785" t="str">
        <f ca="1">IFERROR(_xll.FDS(MO.Ticker.FactSet,"P_PRICE_LOW"&amp;"("&amp;INDEX(MO_SNA_FPStartDate,0,COLUMN())&amp;","&amp;INDEX(MO_Common_QEndDate,0,COLUMN())&amp;",,,,""PRICE"",""CLOSE"")"),"N/A")</f>
        <v>N/A</v>
      </c>
      <c r="Q1119" s="785" t="str">
        <f ca="1">IFERROR(_xll.FDS(MO.Ticker.FactSet,"P_PRICE_LOW"&amp;"("&amp;INDEX(MO_SNA_FPStartDate,0,COLUMN())&amp;","&amp;INDEX(MO_Common_QEndDate,0,COLUMN())&amp;",,,,""PRICE"",""CLOSE"")"),"N/A")</f>
        <v>N/A</v>
      </c>
      <c r="R1119" s="785" t="str">
        <f ca="1">IFERROR(_xll.FDS(MO.Ticker.FactSet,"P_PRICE_LOW"&amp;"("&amp;INDEX(MO_SNA_FPStartDate,0,COLUMN())&amp;","&amp;INDEX(MO_Common_QEndDate,0,COLUMN())&amp;",,,,""PRICE"",""CLOSE"")"),"N/A")</f>
        <v>N/A</v>
      </c>
      <c r="S1119" s="785" t="str">
        <f ca="1">IFERROR(_xll.FDS(MO.Ticker.FactSet,"P_PRICE_LOW"&amp;"("&amp;INDEX(MO_SNA_FPStartDate,0,COLUMN())&amp;","&amp;INDEX(MO_Common_QEndDate,0,COLUMN())&amp;",,,,""PRICE"",""CLOSE"")"),"N/A")</f>
        <v>N/A</v>
      </c>
      <c r="T1119" s="785" t="str">
        <f ca="1">IFERROR(_xll.FDS(MO.Ticker.FactSet,"P_PRICE_LOW"&amp;"("&amp;INDEX(MO_SNA_FPStartDate,0,COLUMN())&amp;","&amp;INDEX(MO_Common_QEndDate,0,COLUMN())&amp;",,,,""PRICE"",""CLOSE"")"),"N/A")</f>
        <v>N/A</v>
      </c>
      <c r="U1119" s="785" t="str">
        <f ca="1">IFERROR(_xll.FDS(MO.Ticker.FactSet,"P_PRICE_LOW"&amp;"("&amp;INDEX(MO_SNA_FPStartDate,0,COLUMN())&amp;","&amp;INDEX(MO_Common_QEndDate,0,COLUMN())&amp;",,,,""PRICE"",""CLOSE"")"),"N/A")</f>
        <v>N/A</v>
      </c>
      <c r="V1119" s="785" t="str">
        <f ca="1">IFERROR(_xll.FDS(MO.Ticker.FactSet,"P_PRICE_LOW"&amp;"("&amp;INDEX(MO_SNA_FPStartDate,0,COLUMN())&amp;","&amp;INDEX(MO_Common_QEndDate,0,COLUMN())&amp;",,,,""PRICE"",""CLOSE"")"),"N/A")</f>
        <v>N/A</v>
      </c>
      <c r="W1119" s="785" t="str">
        <f ca="1">IFERROR(_xll.FDS(MO.Ticker.FactSet,"P_PRICE_LOW"&amp;"("&amp;INDEX(MO_SNA_FPStartDate,0,COLUMN())&amp;","&amp;INDEX(MO_Common_QEndDate,0,COLUMN())&amp;",,,,""PRICE"",""CLOSE"")"),"N/A")</f>
        <v>N/A</v>
      </c>
      <c r="X1119" s="785" t="str">
        <f ca="1">IFERROR(_xll.FDS(MO.Ticker.FactSet,"P_PRICE_LOW"&amp;"("&amp;INDEX(MO_SNA_FPStartDate,0,COLUMN())&amp;","&amp;INDEX(MO_Common_QEndDate,0,COLUMN())&amp;",,,,""PRICE"",""CLOSE"")"),"N/A")</f>
        <v>N/A</v>
      </c>
      <c r="Y1119" s="785" t="str">
        <f ca="1">IFERROR(_xll.FDS(MO.Ticker.FactSet,"P_PRICE_LOW"&amp;"("&amp;INDEX(MO_SNA_FPStartDate,0,COLUMN())&amp;","&amp;INDEX(MO_Common_QEndDate,0,COLUMN())&amp;",,,,""PRICE"",""CLOSE"")"),"N/A")</f>
        <v>N/A</v>
      </c>
      <c r="Z1119" s="785" t="str">
        <f ca="1">IFERROR(_xll.FDS(MO.Ticker.FactSet,"P_PRICE_LOW"&amp;"("&amp;INDEX(MO_SNA_FPStartDate,0,COLUMN())&amp;","&amp;INDEX(MO_Common_QEndDate,0,COLUMN())&amp;",,,,""PRICE"",""CLOSE"")"),"N/A")</f>
        <v>N/A</v>
      </c>
      <c r="AA1119" s="785" t="str">
        <f ca="1">IFERROR(_xll.FDS(MO.Ticker.FactSet,"P_PRICE_LOW"&amp;"("&amp;INDEX(MO_SNA_FPStartDate,0,COLUMN())&amp;","&amp;INDEX(MO_Common_QEndDate,0,COLUMN())&amp;",,,,""PRICE"",""CLOSE"")"),"N/A")</f>
        <v>N/A</v>
      </c>
      <c r="AB1119" s="785" t="str">
        <f ca="1">IFERROR(_xll.FDS(MO.Ticker.FactSet,"P_PRICE_LOW"&amp;"("&amp;INDEX(MO_SNA_FPStartDate,0,COLUMN())&amp;","&amp;INDEX(MO_Common_QEndDate,0,COLUMN())&amp;",,,,""PRICE"",""CLOSE"")"),"N/A")</f>
        <v>N/A</v>
      </c>
      <c r="AC1119" s="785" t="str">
        <f ca="1">IFERROR(_xll.FDS(MO.Ticker.FactSet,"P_PRICE_LOW"&amp;"("&amp;INDEX(MO_SNA_FPStartDate,0,COLUMN())&amp;","&amp;INDEX(MO_Common_QEndDate,0,COLUMN())&amp;",,,,""PRICE"",""CLOSE"")"),"N/A")</f>
        <v>N/A</v>
      </c>
      <c r="AD1119" s="785" t="str">
        <f ca="1">IFERROR(_xll.FDS(MO.Ticker.FactSet,"P_PRICE_LOW"&amp;"("&amp;INDEX(MO_SNA_FPStartDate,0,COLUMN())&amp;","&amp;INDEX(MO_Common_QEndDate,0,COLUMN())&amp;",,,,""PRICE"",""CLOSE"")"),"N/A")</f>
        <v>N/A</v>
      </c>
      <c r="AE1119" s="785" t="str">
        <f ca="1">IFERROR(_xll.FDS(MO.Ticker.FactSet,"P_PRICE_LOW"&amp;"("&amp;INDEX(MO_SNA_FPStartDate,0,COLUMN())&amp;","&amp;INDEX(MO_Common_QEndDate,0,COLUMN())&amp;",,,,""PRICE"",""CLOSE"")"),"N/A")</f>
        <v>N/A</v>
      </c>
      <c r="AF1119" s="785" t="str">
        <f ca="1">IFERROR(_xll.FDS(MO.Ticker.FactSet,"P_PRICE_LOW"&amp;"("&amp;INDEX(MO_SNA_FPStartDate,0,COLUMN())&amp;","&amp;INDEX(MO_Common_QEndDate,0,COLUMN())&amp;",,,,""PRICE"",""CLOSE"")"),"N/A")</f>
        <v>N/A</v>
      </c>
      <c r="AG1119" s="785" t="str">
        <f ca="1">IFERROR(_xll.FDS(MO.Ticker.FactSet,"P_PRICE_LOW"&amp;"("&amp;INDEX(MO_SNA_FPStartDate,0,COLUMN())&amp;","&amp;INDEX(MO_Common_QEndDate,0,COLUMN())&amp;",,,,""PRICE"",""CLOSE"")"),"N/A")</f>
        <v>N/A</v>
      </c>
      <c r="AH1119" s="785" t="str">
        <f ca="1">IFERROR(_xll.FDS(MO.Ticker.FactSet,"P_PRICE_LOW"&amp;"("&amp;INDEX(MO_SNA_FPStartDate,0,COLUMN())&amp;","&amp;INDEX(MO_Common_QEndDate,0,COLUMN())&amp;",,,,""PRICE"",""CLOSE"")"),"N/A")</f>
        <v>N/A</v>
      </c>
      <c r="AI1119" s="785" t="str">
        <f ca="1">IFERROR(_xll.FDS(MO.Ticker.FactSet,"P_PRICE_LOW"&amp;"("&amp;INDEX(MO_SNA_FPStartDate,0,COLUMN())&amp;","&amp;INDEX(MO_Common_QEndDate,0,COLUMN())&amp;",,,,""PRICE"",""CLOSE"")"),"N/A")</f>
        <v>N/A</v>
      </c>
      <c r="AJ1119" s="785" t="str">
        <f ca="1">IFERROR(_xll.FDS(MO.Ticker.FactSet,"P_PRICE_LOW"&amp;"("&amp;INDEX(MO_SNA_FPStartDate,0,COLUMN())&amp;","&amp;INDEX(MO_Common_QEndDate,0,COLUMN())&amp;",,,,""PRICE"",""CLOSE"")"),"N/A")</f>
        <v>N/A</v>
      </c>
      <c r="AK1119" s="785" t="str">
        <f ca="1">IFERROR(_xll.FDS(MO.Ticker.FactSet,"P_PRICE_LOW"&amp;"("&amp;INDEX(MO_SNA_FPStartDate,0,COLUMN())&amp;","&amp;INDEX(MO_Common_QEndDate,0,COLUMN())&amp;",,,,""PRICE"",""CLOSE"")"),"N/A")</f>
        <v>N/A</v>
      </c>
      <c r="AL1119" s="785" t="str">
        <f ca="1">IFERROR(_xll.FDS(MO.Ticker.FactSet,"P_PRICE_LOW"&amp;"("&amp;INDEX(MO_SNA_FPStartDate,0,COLUMN())&amp;","&amp;INDEX(MO_Common_QEndDate,0,COLUMN())&amp;",,,,""PRICE"",""CLOSE"")"),"N/A")</f>
        <v>N/A</v>
      </c>
      <c r="AM1119" s="785" t="str">
        <f ca="1">IFERROR(_xll.FDS(MO.Ticker.FactSet,"P_PRICE_LOW"&amp;"("&amp;INDEX(MO_SNA_FPStartDate,0,COLUMN())&amp;","&amp;INDEX(MO_Common_QEndDate,0,COLUMN())&amp;",,,,""PRICE"",""CLOSE"")"),"N/A")</f>
        <v>N/A</v>
      </c>
      <c r="AN1119" s="785" t="str">
        <f ca="1">IFERROR(_xll.FDS(MO.Ticker.FactSet,"P_PRICE_LOW"&amp;"("&amp;INDEX(MO_SNA_FPStartDate,0,COLUMN())&amp;","&amp;INDEX(MO_Common_QEndDate,0,COLUMN())&amp;",,,,""PRICE"",""CLOSE"")"),"N/A")</f>
        <v>N/A</v>
      </c>
      <c r="AO1119" s="785" t="str">
        <f ca="1">IFERROR(_xll.FDS(MO.Ticker.FactSet,"P_PRICE_LOW"&amp;"("&amp;INDEX(MO_SNA_FPStartDate,0,COLUMN())&amp;","&amp;INDEX(MO_Common_QEndDate,0,COLUMN())&amp;",,,,""PRICE"",""CLOSE"")"),"N/A")</f>
        <v>N/A</v>
      </c>
      <c r="AP1119" s="785" t="str">
        <f ca="1">IFERROR(_xll.FDS(MO.Ticker.FactSet,"P_PRICE_LOW"&amp;"("&amp;INDEX(MO_SNA_FPStartDate,0,COLUMN())&amp;","&amp;INDEX(MO_Common_QEndDate,0,COLUMN())&amp;",,,,""PRICE"",""CLOSE"")"),"N/A")</f>
        <v>N/A</v>
      </c>
      <c r="AQ1119" s="785" t="str">
        <f ca="1">IFERROR(_xll.FDS(MO.Ticker.FactSet,"P_PRICE_LOW"&amp;"("&amp;INDEX(MO_SNA_FPStartDate,0,COLUMN())&amp;","&amp;INDEX(MO_Common_QEndDate,0,COLUMN())&amp;",,,,""PRICE"",""CLOSE"")"),"N/A")</f>
        <v>N/A</v>
      </c>
      <c r="AR1119" s="785" t="str">
        <f ca="1">IFERROR(_xll.FDS(MO.Ticker.FactSet,"P_PRICE_LOW"&amp;"("&amp;INDEX(MO_SNA_FPStartDate,0,COLUMN())&amp;","&amp;INDEX(MO_Common_QEndDate,0,COLUMN())&amp;",,,,""PRICE"",""CLOSE"")"),"N/A")</f>
        <v>N/A</v>
      </c>
      <c r="AS1119" s="785" t="str">
        <f ca="1">IFERROR(_xll.FDS(MO.Ticker.FactSet,"P_PRICE_LOW"&amp;"("&amp;INDEX(MO_SNA_FPStartDate,0,COLUMN())&amp;","&amp;INDEX(MO_Common_QEndDate,0,COLUMN())&amp;",,,,""PRICE"",""CLOSE"")"),"N/A")</f>
        <v>N/A</v>
      </c>
      <c r="AT1119" s="785" t="str">
        <f ca="1">IFERROR(_xll.FDS(MO.Ticker.FactSet,"P_PRICE_LOW"&amp;"("&amp;INDEX(MO_SNA_FPStartDate,0,COLUMN())&amp;","&amp;INDEX(MO_Common_QEndDate,0,COLUMN())&amp;",,,,""PRICE"",""CLOSE"")"),"N/A")</f>
        <v>N/A</v>
      </c>
      <c r="AU1119" s="785" t="str">
        <f ca="1">IFERROR(_xll.FDS(MO.Ticker.FactSet,"P_PRICE_LOW"&amp;"("&amp;INDEX(MO_SNA_FPStartDate,0,COLUMN())&amp;","&amp;INDEX(MO_Common_QEndDate,0,COLUMN())&amp;",,,,""PRICE"",""CLOSE"")"),"N/A")</f>
        <v>N/A</v>
      </c>
      <c r="AV1119" s="785" t="str">
        <f ca="1">IFERROR(_xll.FDS(MO.Ticker.FactSet,"P_PRICE_LOW"&amp;"("&amp;INDEX(MO_SNA_FPStartDate,0,COLUMN())&amp;","&amp;INDEX(MO_Common_QEndDate,0,COLUMN())&amp;",,,,""PRICE"",""CLOSE"")"),"N/A")</f>
        <v>N/A</v>
      </c>
      <c r="AW1119" s="785" t="str">
        <f ca="1">IFERROR(_xll.FDS(MO.Ticker.FactSet,"P_PRICE_LOW"&amp;"("&amp;INDEX(MO_SNA_FPStartDate,0,COLUMN())&amp;","&amp;INDEX(MO_Common_QEndDate,0,COLUMN())&amp;",,,,""PRICE"",""CLOSE"")"),"N/A")</f>
        <v>N/A</v>
      </c>
      <c r="AX1119" s="785" t="str">
        <f ca="1">IFERROR(_xll.FDS(MO.Ticker.FactSet,"P_PRICE_LOW"&amp;"("&amp;INDEX(MO_SNA_FPStartDate,0,COLUMN())&amp;","&amp;INDEX(MO_Common_QEndDate,0,COLUMN())&amp;",,,,""PRICE"",""CLOSE"")"),"N/A")</f>
        <v>N/A</v>
      </c>
      <c r="AY1119" s="785" t="str">
        <f ca="1">IFERROR(_xll.FDS(MO.Ticker.FactSet,"P_PRICE_LOW"&amp;"("&amp;INDEX(MO_SNA_FPStartDate,0,COLUMN())&amp;","&amp;INDEX(MO_Common_QEndDate,0,COLUMN())&amp;",,,,""PRICE"",""CLOSE"")"),"N/A")</f>
        <v>N/A</v>
      </c>
      <c r="AZ1119" s="785" t="str">
        <f ca="1">IFERROR(_xll.FDS(MO.Ticker.FactSet,"P_PRICE_LOW"&amp;"("&amp;INDEX(MO_SNA_FPStartDate,0,COLUMN())&amp;","&amp;INDEX(MO_Common_QEndDate,0,COLUMN())&amp;",,,,""PRICE"",""CLOSE"")"),"N/A")</f>
        <v>N/A</v>
      </c>
      <c r="BA1119" s="785" t="str">
        <f ca="1">IFERROR(_xll.FDS(MO.Ticker.FactSet,"P_PRICE_LOW"&amp;"("&amp;INDEX(MO_SNA_FPStartDate,0,COLUMN())&amp;","&amp;INDEX(MO_Common_QEndDate,0,COLUMN())&amp;",,,,""PRICE"",""CLOSE"")"),"N/A")</f>
        <v>N/A</v>
      </c>
      <c r="BB1119" s="785" t="str">
        <f ca="1">IFERROR(_xll.FDS(MO.Ticker.FactSet,"P_PRICE_LOW"&amp;"("&amp;INDEX(MO_SNA_FPStartDate,0,COLUMN())&amp;","&amp;INDEX(MO_Common_QEndDate,0,COLUMN())&amp;",,,,""PRICE"",""CLOSE"")"),"N/A")</f>
        <v>N/A</v>
      </c>
      <c r="BC1119" s="785" t="str">
        <f ca="1">IFERROR(_xll.FDS(MO.Ticker.FactSet,"P_PRICE_LOW"&amp;"("&amp;INDEX(MO_SNA_FPStartDate,0,COLUMN())&amp;","&amp;INDEX(MO_Common_QEndDate,0,COLUMN())&amp;",,,,""PRICE"",""CLOSE"")"),"N/A")</f>
        <v>N/A</v>
      </c>
      <c r="BD1119" s="785" t="str">
        <f ca="1">IFERROR(_xll.FDS(MO.Ticker.FactSet,"P_PRICE_LOW"&amp;"("&amp;INDEX(MO_SNA_FPStartDate,0,COLUMN())&amp;","&amp;INDEX(MO_Common_QEndDate,0,COLUMN())&amp;",,,,""PRICE"",""CLOSE"")"),"N/A")</f>
        <v>N/A</v>
      </c>
      <c r="BE1119" s="785" t="str">
        <f ca="1">IFERROR(_xll.FDS(MO.Ticker.FactSet,"P_PRICE_LOW"&amp;"("&amp;INDEX(MO_SNA_FPStartDate,0,COLUMN())&amp;","&amp;INDEX(MO_Common_QEndDate,0,COLUMN())&amp;",,,,""PRICE"",""CLOSE"")"),"N/A")</f>
        <v>N/A</v>
      </c>
      <c r="BF1119" s="785" t="str">
        <f ca="1">IFERROR(_xll.FDS(MO.Ticker.FactSet,"P_PRICE_LOW"&amp;"("&amp;INDEX(MO_SNA_FPStartDate,0,COLUMN())&amp;","&amp;INDEX(MO_Common_QEndDate,0,COLUMN())&amp;",,,,""PRICE"",""CLOSE"")"),"N/A")</f>
        <v>N/A</v>
      </c>
      <c r="BG1119" s="785" t="str">
        <f ca="1">IFERROR(_xll.FDS(MO.Ticker.FactSet,"P_PRICE_LOW"&amp;"("&amp;INDEX(MO_SNA_FPStartDate,0,COLUMN())&amp;","&amp;INDEX(MO_Common_QEndDate,0,COLUMN())&amp;",,,,""PRICE"",""CLOSE"")"),"N/A")</f>
        <v>N/A</v>
      </c>
      <c r="BH1119" s="785" t="str">
        <f ca="1">IFERROR(_xll.FDS(MO.Ticker.FactSet,"P_PRICE_LOW"&amp;"("&amp;INDEX(MO_SNA_FPStartDate,0,COLUMN())&amp;","&amp;INDEX(MO_Common_QEndDate,0,COLUMN())&amp;",,,,""PRICE"",""CLOSE"")"),"N/A")</f>
        <v>N/A</v>
      </c>
      <c r="BI1119" s="785" t="str">
        <f ca="1">IFERROR(_xll.FDS(MO.Ticker.FactSet,"P_PRICE_LOW"&amp;"("&amp;INDEX(MO_SNA_FPStartDate,0,COLUMN())&amp;","&amp;INDEX(MO_Common_QEndDate,0,COLUMN())&amp;",,,,""PRICE"",""CLOSE"")"),"N/A")</f>
        <v>N/A</v>
      </c>
      <c r="BJ1119" s="1067" t="str">
        <f ca="1">IFERROR(_xll.FDS(MO.Ticker.FactSet,"P_PRICE_LOW"&amp;"("&amp;INDEX(MO_SNA_FPStartDate,0,COLUMN())&amp;","&amp;INDEX(MO_Common_QEndDate,0,COLUMN())&amp;",,,,""PRICE"",""CLOSE"")"),"N/A")</f>
        <v>N/A</v>
      </c>
      <c r="BK1119" s="785" t="str">
        <f ca="1">IFERROR(_xll.FDS(MO.Ticker.FactSet,"P_PRICE_LOW"&amp;"("&amp;INDEX(MO_SNA_FPStartDate,0,COLUMN())&amp;","&amp;INDEX(MO_Common_QEndDate,0,COLUMN())&amp;",,,,""PRICE"",""CLOSE"")"),"N/A")</f>
        <v>N/A</v>
      </c>
      <c r="BL1119" s="785" t="str">
        <f ca="1">IFERROR(_xll.FDS(MO.Ticker.FactSet,"P_PRICE_LOW"&amp;"("&amp;INDEX(MO_SNA_FPStartDate,0,COLUMN())&amp;","&amp;INDEX(MO_Common_QEndDate,0,COLUMN())&amp;",,,,""PRICE"",""CLOSE"")"),"N/A")</f>
        <v>N/A</v>
      </c>
      <c r="BM1119" s="785" t="str">
        <f ca="1">IFERROR(_xll.FDS(MO.Ticker.FactSet,"P_PRICE_LOW"&amp;"("&amp;INDEX(MO_SNA_FPStartDate,0,COLUMN())&amp;","&amp;INDEX(MO_Common_QEndDate,0,COLUMN())&amp;",,,,""PRICE"",""CLOSE"")"),"N/A")</f>
        <v>N/A</v>
      </c>
      <c r="BN1119" s="785" t="str">
        <f ca="1">IFERROR(_xll.FDS(MO.Ticker.FactSet,"P_PRICE_LOW"&amp;"("&amp;INDEX(MO_SNA_FPStartDate,0,COLUMN())&amp;","&amp;INDEX(MO_Common_QEndDate,0,COLUMN())&amp;",,,,""PRICE"",""CLOSE"")"),"N/A")</f>
        <v>N/A</v>
      </c>
      <c r="BO1119" s="785" t="str">
        <f ca="1">IFERROR(_xll.FDS(MO.Ticker.FactSet,"P_PRICE_LOW"&amp;"("&amp;INDEX(MO_SNA_FPStartDate,0,COLUMN())&amp;","&amp;INDEX(MO_Common_QEndDate,0,COLUMN())&amp;",,,,""PRICE"",""CLOSE"")"),"N/A")</f>
        <v>N/A</v>
      </c>
      <c r="BP1119" s="785" t="str">
        <f ca="1">IFERROR(_xll.FDS(MO.Ticker.FactSet,"P_PRICE_LOW"&amp;"("&amp;INDEX(MO_SNA_FPStartDate,0,COLUMN())&amp;","&amp;INDEX(MO_Common_QEndDate,0,COLUMN())&amp;",,,,""PRICE"",""CLOSE"")"),"N/A")</f>
        <v>N/A</v>
      </c>
      <c r="BQ1119" s="785" t="str">
        <f ca="1">IFERROR(_xll.FDS(MO.Ticker.FactSet,"P_PRICE_LOW"&amp;"("&amp;INDEX(MO_SNA_FPStartDate,0,COLUMN())&amp;","&amp;INDEX(MO_Common_QEndDate,0,COLUMN())&amp;",,,,""PRICE"",""CLOSE"")"),"N/A")</f>
        <v>N/A</v>
      </c>
      <c r="BR1119" s="785" t="str">
        <f ca="1">IFERROR(_xll.FDS(MO.Ticker.FactSet,"P_PRICE_LOW"&amp;"("&amp;INDEX(MO_SNA_FPStartDate,0,COLUMN())&amp;","&amp;INDEX(MO_Common_QEndDate,0,COLUMN())&amp;",,,,""PRICE"",""CLOSE"")"),"N/A")</f>
        <v>N/A</v>
      </c>
      <c r="BS1119" s="785" t="str">
        <f ca="1">IFERROR(_xll.FDS(MO.Ticker.FactSet,"P_PRICE_LOW"&amp;"("&amp;INDEX(MO_SNA_FPStartDate,0,COLUMN())&amp;","&amp;INDEX(MO_Common_QEndDate,0,COLUMN())&amp;",,,,""PRICE"",""CLOSE"")"),"N/A")</f>
        <v>N/A</v>
      </c>
      <c r="BT1119" s="785" t="str">
        <f ca="1">IFERROR(_xll.FDS(MO.Ticker.FactSet,"P_PRICE_LOW"&amp;"("&amp;INDEX(MO_SNA_FPStartDate,0,COLUMN())&amp;","&amp;INDEX(MO_Common_QEndDate,0,COLUMN())&amp;",,,,""PRICE"",""CLOSE"")"),"N/A")</f>
        <v>N/A</v>
      </c>
      <c r="BU1119" s="785" t="str">
        <f ca="1">IFERROR(_xll.FDS(MO.Ticker.FactSet,"P_PRICE_LOW"&amp;"("&amp;INDEX(MO_SNA_FPStartDate,0,COLUMN())&amp;","&amp;INDEX(MO_Common_QEndDate,0,COLUMN())&amp;",,,,""PRICE"",""CLOSE"")"),"N/A")</f>
        <v>N/A</v>
      </c>
      <c r="BV1119" s="1068" t="str">
        <f ca="1">IFERROR(_xll.FDS(MO.Ticker.FactSet,"P_PRICE_LOW"&amp;"("&amp;INDEX(MO_SNA_FPStartDate,0,COLUMN())&amp;","&amp;INDEX(MO_Common_QEndDate,0,COLUMN())&amp;",,,,""PRICE"",""CLOSE"")"),"N/A")</f>
        <v>N/A</v>
      </c>
      <c r="BW1119" s="1069"/>
    </row>
    <row r="1120" spans="1:75" hidden="1" outlineLevel="1" x14ac:dyDescent="0.5">
      <c r="A1120" s="1070" t="s">
        <v>1614</v>
      </c>
      <c r="B1120" s="785"/>
      <c r="C1120" s="1066" t="str">
        <f ca="1">IFERROR(_xll.TR(MO.Ticker.Thomson,"Min(TR.PriceLow)","sdate:#1 edate:#2",,INDEX(MO_SNA_FPStartDate,0,COLUMN()),INDEX(MO_Common_QEndDate,0,COLUMN())),"N/A")</f>
        <v>N/A</v>
      </c>
      <c r="D1120" s="1066" t="str">
        <f ca="1">IFERROR(_xll.TR(MO.Ticker.Thomson,"Min(TR.PriceLow)","sdate:#1 edate:#2",,INDEX(MO_SNA_FPStartDate,0,COLUMN()),INDEX(MO_Common_QEndDate,0,COLUMN())),"N/A")</f>
        <v>N/A</v>
      </c>
      <c r="E1120" s="785" t="str">
        <f ca="1">IFERROR(_xll.TR(MO.Ticker.Thomson,"Min(TR.PriceLow)","sdate:#1 edate:#2",,INDEX(MO_SNA_FPStartDate,0,COLUMN()),INDEX(MO_Common_QEndDate,0,COLUMN())),"N/A")</f>
        <v>N/A</v>
      </c>
      <c r="F1120" s="785" t="str">
        <f ca="1">IFERROR(_xll.TR(MO.Ticker.Thomson,"Min(TR.PriceLow)","sdate:#1 edate:#2",,INDEX(MO_SNA_FPStartDate,0,COLUMN()),INDEX(MO_Common_QEndDate,0,COLUMN())),"N/A")</f>
        <v>N/A</v>
      </c>
      <c r="G1120" s="785" t="str">
        <f ca="1">IFERROR(_xll.TR(MO.Ticker.Thomson,"Min(TR.PriceLow)","sdate:#1 edate:#2",,INDEX(MO_SNA_FPStartDate,0,COLUMN()),INDEX(MO_Common_QEndDate,0,COLUMN())),"N/A")</f>
        <v>N/A</v>
      </c>
      <c r="H1120" s="785" t="str">
        <f ca="1">IFERROR(_xll.TR(MO.Ticker.Thomson,"Min(TR.PriceLow)","sdate:#1 edate:#2",,INDEX(MO_SNA_FPStartDate,0,COLUMN()),INDEX(MO_Common_QEndDate,0,COLUMN())),"N/A")</f>
        <v>N/A</v>
      </c>
      <c r="I1120" s="785" t="str">
        <f ca="1">IFERROR(_xll.TR(MO.Ticker.Thomson,"Min(TR.PriceLow)","sdate:#1 edate:#2",,INDEX(MO_SNA_FPStartDate,0,COLUMN()),INDEX(MO_Common_QEndDate,0,COLUMN())),"N/A")</f>
        <v>N/A</v>
      </c>
      <c r="J1120" s="785" t="str">
        <f ca="1">IFERROR(_xll.TR(MO.Ticker.Thomson,"Min(TR.PriceLow)","sdate:#1 edate:#2",,INDEX(MO_SNA_FPStartDate,0,COLUMN()),INDEX(MO_Common_QEndDate,0,COLUMN())),"N/A")</f>
        <v>N/A</v>
      </c>
      <c r="K1120" s="785" t="str">
        <f ca="1">IFERROR(_xll.TR(MO.Ticker.Thomson,"Min(TR.PriceLow)","sdate:#1 edate:#2",,INDEX(MO_SNA_FPStartDate,0,COLUMN()),INDEX(MO_Common_QEndDate,0,COLUMN())),"N/A")</f>
        <v>N/A</v>
      </c>
      <c r="L1120" s="785" t="str">
        <f ca="1">IFERROR(_xll.TR(MO.Ticker.Thomson,"Min(TR.PriceLow)","sdate:#1 edate:#2",,INDEX(MO_SNA_FPStartDate,0,COLUMN()),INDEX(MO_Common_QEndDate,0,COLUMN())),"N/A")</f>
        <v>N/A</v>
      </c>
      <c r="M1120" s="785" t="str">
        <f ca="1">IFERROR(_xll.TR(MO.Ticker.Thomson,"Min(TR.PriceLow)","sdate:#1 edate:#2",,INDEX(MO_SNA_FPStartDate,0,COLUMN()),INDEX(MO_Common_QEndDate,0,COLUMN())),"N/A")</f>
        <v>N/A</v>
      </c>
      <c r="N1120" s="785" t="str">
        <f ca="1">IFERROR(_xll.TR(MO.Ticker.Thomson,"Min(TR.PriceLow)","sdate:#1 edate:#2",,INDEX(MO_SNA_FPStartDate,0,COLUMN()),INDEX(MO_Common_QEndDate,0,COLUMN())),"N/A")</f>
        <v>N/A</v>
      </c>
      <c r="O1120" s="785" t="str">
        <f ca="1">IFERROR(_xll.TR(MO.Ticker.Thomson,"Min(TR.PriceLow)","sdate:#1 edate:#2",,INDEX(MO_SNA_FPStartDate,0,COLUMN()),INDEX(MO_Common_QEndDate,0,COLUMN())),"N/A")</f>
        <v>N/A</v>
      </c>
      <c r="P1120" s="785" t="str">
        <f ca="1">IFERROR(_xll.TR(MO.Ticker.Thomson,"Min(TR.PriceLow)","sdate:#1 edate:#2",,INDEX(MO_SNA_FPStartDate,0,COLUMN()),INDEX(MO_Common_QEndDate,0,COLUMN())),"N/A")</f>
        <v>N/A</v>
      </c>
      <c r="Q1120" s="785" t="str">
        <f ca="1">IFERROR(_xll.TR(MO.Ticker.Thomson,"Min(TR.PriceLow)","sdate:#1 edate:#2",,INDEX(MO_SNA_FPStartDate,0,COLUMN()),INDEX(MO_Common_QEndDate,0,COLUMN())),"N/A")</f>
        <v>N/A</v>
      </c>
      <c r="R1120" s="785" t="str">
        <f ca="1">IFERROR(_xll.TR(MO.Ticker.Thomson,"Min(TR.PriceLow)","sdate:#1 edate:#2",,INDEX(MO_SNA_FPStartDate,0,COLUMN()),INDEX(MO_Common_QEndDate,0,COLUMN())),"N/A")</f>
        <v>N/A</v>
      </c>
      <c r="S1120" s="785" t="str">
        <f ca="1">IFERROR(_xll.TR(MO.Ticker.Thomson,"Min(TR.PriceLow)","sdate:#1 edate:#2",,INDEX(MO_SNA_FPStartDate,0,COLUMN()),INDEX(MO_Common_QEndDate,0,COLUMN())),"N/A")</f>
        <v>N/A</v>
      </c>
      <c r="T1120" s="785" t="str">
        <f ca="1">IFERROR(_xll.TR(MO.Ticker.Thomson,"Min(TR.PriceLow)","sdate:#1 edate:#2",,INDEX(MO_SNA_FPStartDate,0,COLUMN()),INDEX(MO_Common_QEndDate,0,COLUMN())),"N/A")</f>
        <v>N/A</v>
      </c>
      <c r="U1120" s="785" t="str">
        <f ca="1">IFERROR(_xll.TR(MO.Ticker.Thomson,"Min(TR.PriceLow)","sdate:#1 edate:#2",,INDEX(MO_SNA_FPStartDate,0,COLUMN()),INDEX(MO_Common_QEndDate,0,COLUMN())),"N/A")</f>
        <v>N/A</v>
      </c>
      <c r="V1120" s="785" t="str">
        <f ca="1">IFERROR(_xll.TR(MO.Ticker.Thomson,"Min(TR.PriceLow)","sdate:#1 edate:#2",,INDEX(MO_SNA_FPStartDate,0,COLUMN()),INDEX(MO_Common_QEndDate,0,COLUMN())),"N/A")</f>
        <v>N/A</v>
      </c>
      <c r="W1120" s="785" t="str">
        <f ca="1">IFERROR(_xll.TR(MO.Ticker.Thomson,"Min(TR.PriceLow)","sdate:#1 edate:#2",,INDEX(MO_SNA_FPStartDate,0,COLUMN()),INDEX(MO_Common_QEndDate,0,COLUMN())),"N/A")</f>
        <v>N/A</v>
      </c>
      <c r="X1120" s="785" t="str">
        <f ca="1">IFERROR(_xll.TR(MO.Ticker.Thomson,"Min(TR.PriceLow)","sdate:#1 edate:#2",,INDEX(MO_SNA_FPStartDate,0,COLUMN()),INDEX(MO_Common_QEndDate,0,COLUMN())),"N/A")</f>
        <v>N/A</v>
      </c>
      <c r="Y1120" s="785" t="str">
        <f ca="1">IFERROR(_xll.TR(MO.Ticker.Thomson,"Min(TR.PriceLow)","sdate:#1 edate:#2",,INDEX(MO_SNA_FPStartDate,0,COLUMN()),INDEX(MO_Common_QEndDate,0,COLUMN())),"N/A")</f>
        <v>N/A</v>
      </c>
      <c r="Z1120" s="785" t="str">
        <f ca="1">IFERROR(_xll.TR(MO.Ticker.Thomson,"Min(TR.PriceLow)","sdate:#1 edate:#2",,INDEX(MO_SNA_FPStartDate,0,COLUMN()),INDEX(MO_Common_QEndDate,0,COLUMN())),"N/A")</f>
        <v>N/A</v>
      </c>
      <c r="AA1120" s="785" t="str">
        <f ca="1">IFERROR(_xll.TR(MO.Ticker.Thomson,"Min(TR.PriceLow)","sdate:#1 edate:#2",,INDEX(MO_SNA_FPStartDate,0,COLUMN()),INDEX(MO_Common_QEndDate,0,COLUMN())),"N/A")</f>
        <v>N/A</v>
      </c>
      <c r="AB1120" s="785" t="str">
        <f ca="1">IFERROR(_xll.TR(MO.Ticker.Thomson,"Min(TR.PriceLow)","sdate:#1 edate:#2",,INDEX(MO_SNA_FPStartDate,0,COLUMN()),INDEX(MO_Common_QEndDate,0,COLUMN())),"N/A")</f>
        <v>N/A</v>
      </c>
      <c r="AC1120" s="785" t="str">
        <f ca="1">IFERROR(_xll.TR(MO.Ticker.Thomson,"Min(TR.PriceLow)","sdate:#1 edate:#2",,INDEX(MO_SNA_FPStartDate,0,COLUMN()),INDEX(MO_Common_QEndDate,0,COLUMN())),"N/A")</f>
        <v>N/A</v>
      </c>
      <c r="AD1120" s="785" t="str">
        <f ca="1">IFERROR(_xll.TR(MO.Ticker.Thomson,"Min(TR.PriceLow)","sdate:#1 edate:#2",,INDEX(MO_SNA_FPStartDate,0,COLUMN()),INDEX(MO_Common_QEndDate,0,COLUMN())),"N/A")</f>
        <v>N/A</v>
      </c>
      <c r="AE1120" s="785" t="str">
        <f ca="1">IFERROR(_xll.TR(MO.Ticker.Thomson,"Min(TR.PriceLow)","sdate:#1 edate:#2",,INDEX(MO_SNA_FPStartDate,0,COLUMN()),INDEX(MO_Common_QEndDate,0,COLUMN())),"N/A")</f>
        <v>N/A</v>
      </c>
      <c r="AF1120" s="785" t="str">
        <f ca="1">IFERROR(_xll.TR(MO.Ticker.Thomson,"Min(TR.PriceLow)","sdate:#1 edate:#2",,INDEX(MO_SNA_FPStartDate,0,COLUMN()),INDEX(MO_Common_QEndDate,0,COLUMN())),"N/A")</f>
        <v>N/A</v>
      </c>
      <c r="AG1120" s="785" t="str">
        <f ca="1">IFERROR(_xll.TR(MO.Ticker.Thomson,"Min(TR.PriceLow)","sdate:#1 edate:#2",,INDEX(MO_SNA_FPStartDate,0,COLUMN()),INDEX(MO_Common_QEndDate,0,COLUMN())),"N/A")</f>
        <v>N/A</v>
      </c>
      <c r="AH1120" s="785" t="str">
        <f ca="1">IFERROR(_xll.TR(MO.Ticker.Thomson,"Min(TR.PriceLow)","sdate:#1 edate:#2",,INDEX(MO_SNA_FPStartDate,0,COLUMN()),INDEX(MO_Common_QEndDate,0,COLUMN())),"N/A")</f>
        <v>N/A</v>
      </c>
      <c r="AI1120" s="785" t="str">
        <f ca="1">IFERROR(_xll.TR(MO.Ticker.Thomson,"Min(TR.PriceLow)","sdate:#1 edate:#2",,INDEX(MO_SNA_FPStartDate,0,COLUMN()),INDEX(MO_Common_QEndDate,0,COLUMN())),"N/A")</f>
        <v>N/A</v>
      </c>
      <c r="AJ1120" s="785" t="str">
        <f ca="1">IFERROR(_xll.TR(MO.Ticker.Thomson,"Min(TR.PriceLow)","sdate:#1 edate:#2",,INDEX(MO_SNA_FPStartDate,0,COLUMN()),INDEX(MO_Common_QEndDate,0,COLUMN())),"N/A")</f>
        <v>N/A</v>
      </c>
      <c r="AK1120" s="785" t="str">
        <f ca="1">IFERROR(_xll.TR(MO.Ticker.Thomson,"Min(TR.PriceLow)","sdate:#1 edate:#2",,INDEX(MO_SNA_FPStartDate,0,COLUMN()),INDEX(MO_Common_QEndDate,0,COLUMN())),"N/A")</f>
        <v>N/A</v>
      </c>
      <c r="AL1120" s="785" t="str">
        <f ca="1">IFERROR(_xll.TR(MO.Ticker.Thomson,"Min(TR.PriceLow)","sdate:#1 edate:#2",,INDEX(MO_SNA_FPStartDate,0,COLUMN()),INDEX(MO_Common_QEndDate,0,COLUMN())),"N/A")</f>
        <v>N/A</v>
      </c>
      <c r="AM1120" s="785" t="str">
        <f ca="1">IFERROR(_xll.TR(MO.Ticker.Thomson,"Min(TR.PriceLow)","sdate:#1 edate:#2",,INDEX(MO_SNA_FPStartDate,0,COLUMN()),INDEX(MO_Common_QEndDate,0,COLUMN())),"N/A")</f>
        <v>N/A</v>
      </c>
      <c r="AN1120" s="785" t="str">
        <f ca="1">IFERROR(_xll.TR(MO.Ticker.Thomson,"Min(TR.PriceLow)","sdate:#1 edate:#2",,INDEX(MO_SNA_FPStartDate,0,COLUMN()),INDEX(MO_Common_QEndDate,0,COLUMN())),"N/A")</f>
        <v>N/A</v>
      </c>
      <c r="AO1120" s="785" t="str">
        <f ca="1">IFERROR(_xll.TR(MO.Ticker.Thomson,"Min(TR.PriceLow)","sdate:#1 edate:#2",,INDEX(MO_SNA_FPStartDate,0,COLUMN()),INDEX(MO_Common_QEndDate,0,COLUMN())),"N/A")</f>
        <v>N/A</v>
      </c>
      <c r="AP1120" s="785" t="str">
        <f ca="1">IFERROR(_xll.TR(MO.Ticker.Thomson,"Min(TR.PriceLow)","sdate:#1 edate:#2",,INDEX(MO_SNA_FPStartDate,0,COLUMN()),INDEX(MO_Common_QEndDate,0,COLUMN())),"N/A")</f>
        <v>N/A</v>
      </c>
      <c r="AQ1120" s="785" t="str">
        <f ca="1">IFERROR(_xll.TR(MO.Ticker.Thomson,"Min(TR.PriceLow)","sdate:#1 edate:#2",,INDEX(MO_SNA_FPStartDate,0,COLUMN()),INDEX(MO_Common_QEndDate,0,COLUMN())),"N/A")</f>
        <v>N/A</v>
      </c>
      <c r="AR1120" s="785" t="str">
        <f ca="1">IFERROR(_xll.TR(MO.Ticker.Thomson,"Min(TR.PriceLow)","sdate:#1 edate:#2",,INDEX(MO_SNA_FPStartDate,0,COLUMN()),INDEX(MO_Common_QEndDate,0,COLUMN())),"N/A")</f>
        <v>N/A</v>
      </c>
      <c r="AS1120" s="785" t="str">
        <f ca="1">IFERROR(_xll.TR(MO.Ticker.Thomson,"Min(TR.PriceLow)","sdate:#1 edate:#2",,INDEX(MO_SNA_FPStartDate,0,COLUMN()),INDEX(MO_Common_QEndDate,0,COLUMN())),"N/A")</f>
        <v>N/A</v>
      </c>
      <c r="AT1120" s="785" t="str">
        <f ca="1">IFERROR(_xll.TR(MO.Ticker.Thomson,"Min(TR.PriceLow)","sdate:#1 edate:#2",,INDEX(MO_SNA_FPStartDate,0,COLUMN()),INDEX(MO_Common_QEndDate,0,COLUMN())),"N/A")</f>
        <v>N/A</v>
      </c>
      <c r="AU1120" s="785" t="str">
        <f ca="1">IFERROR(_xll.TR(MO.Ticker.Thomson,"Min(TR.PriceLow)","sdate:#1 edate:#2",,INDEX(MO_SNA_FPStartDate,0,COLUMN()),INDEX(MO_Common_QEndDate,0,COLUMN())),"N/A")</f>
        <v>N/A</v>
      </c>
      <c r="AV1120" s="785" t="str">
        <f ca="1">IFERROR(_xll.TR(MO.Ticker.Thomson,"Min(TR.PriceLow)","sdate:#1 edate:#2",,INDEX(MO_SNA_FPStartDate,0,COLUMN()),INDEX(MO_Common_QEndDate,0,COLUMN())),"N/A")</f>
        <v>N/A</v>
      </c>
      <c r="AW1120" s="785" t="str">
        <f ca="1">IFERROR(_xll.TR(MO.Ticker.Thomson,"Min(TR.PriceLow)","sdate:#1 edate:#2",,INDEX(MO_SNA_FPStartDate,0,COLUMN()),INDEX(MO_Common_QEndDate,0,COLUMN())),"N/A")</f>
        <v>N/A</v>
      </c>
      <c r="AX1120" s="785" t="str">
        <f ca="1">IFERROR(_xll.TR(MO.Ticker.Thomson,"Min(TR.PriceLow)","sdate:#1 edate:#2",,INDEX(MO_SNA_FPStartDate,0,COLUMN()),INDEX(MO_Common_QEndDate,0,COLUMN())),"N/A")</f>
        <v>N/A</v>
      </c>
      <c r="AY1120" s="785" t="str">
        <f ca="1">IFERROR(_xll.TR(MO.Ticker.Thomson,"Min(TR.PriceLow)","sdate:#1 edate:#2",,INDEX(MO_SNA_FPStartDate,0,COLUMN()),INDEX(MO_Common_QEndDate,0,COLUMN())),"N/A")</f>
        <v>N/A</v>
      </c>
      <c r="AZ1120" s="785" t="str">
        <f ca="1">IFERROR(_xll.TR(MO.Ticker.Thomson,"Min(TR.PriceLow)","sdate:#1 edate:#2",,INDEX(MO_SNA_FPStartDate,0,COLUMN()),INDEX(MO_Common_QEndDate,0,COLUMN())),"N/A")</f>
        <v>N/A</v>
      </c>
      <c r="BA1120" s="785" t="str">
        <f ca="1">IFERROR(_xll.TR(MO.Ticker.Thomson,"Min(TR.PriceLow)","sdate:#1 edate:#2",,INDEX(MO_SNA_FPStartDate,0,COLUMN()),INDEX(MO_Common_QEndDate,0,COLUMN())),"N/A")</f>
        <v>N/A</v>
      </c>
      <c r="BB1120" s="785" t="str">
        <f ca="1">IFERROR(_xll.TR(MO.Ticker.Thomson,"Min(TR.PriceLow)","sdate:#1 edate:#2",,INDEX(MO_SNA_FPStartDate,0,COLUMN()),INDEX(MO_Common_QEndDate,0,COLUMN())),"N/A")</f>
        <v>N/A</v>
      </c>
      <c r="BC1120" s="785" t="str">
        <f ca="1">IFERROR(_xll.TR(MO.Ticker.Thomson,"Min(TR.PriceLow)","sdate:#1 edate:#2",,INDEX(MO_SNA_FPStartDate,0,COLUMN()),INDEX(MO_Common_QEndDate,0,COLUMN())),"N/A")</f>
        <v>N/A</v>
      </c>
      <c r="BD1120" s="785" t="str">
        <f ca="1">IFERROR(_xll.TR(MO.Ticker.Thomson,"Min(TR.PriceLow)","sdate:#1 edate:#2",,INDEX(MO_SNA_FPStartDate,0,COLUMN()),INDEX(MO_Common_QEndDate,0,COLUMN())),"N/A")</f>
        <v>N/A</v>
      </c>
      <c r="BE1120" s="785" t="str">
        <f ca="1">IFERROR(_xll.TR(MO.Ticker.Thomson,"Min(TR.PriceLow)","sdate:#1 edate:#2",,INDEX(MO_SNA_FPStartDate,0,COLUMN()),INDEX(MO_Common_QEndDate,0,COLUMN())),"N/A")</f>
        <v>N/A</v>
      </c>
      <c r="BF1120" s="785" t="str">
        <f ca="1">IFERROR(_xll.TR(MO.Ticker.Thomson,"Min(TR.PriceLow)","sdate:#1 edate:#2",,INDEX(MO_SNA_FPStartDate,0,COLUMN()),INDEX(MO_Common_QEndDate,0,COLUMN())),"N/A")</f>
        <v>N/A</v>
      </c>
      <c r="BG1120" s="785" t="str">
        <f ca="1">IFERROR(_xll.TR(MO.Ticker.Thomson,"Min(TR.PriceLow)","sdate:#1 edate:#2",,INDEX(MO_SNA_FPStartDate,0,COLUMN()),INDEX(MO_Common_QEndDate,0,COLUMN())),"N/A")</f>
        <v>N/A</v>
      </c>
      <c r="BH1120" s="785" t="str">
        <f ca="1">IFERROR(_xll.TR(MO.Ticker.Thomson,"Min(TR.PriceLow)","sdate:#1 edate:#2",,INDEX(MO_SNA_FPStartDate,0,COLUMN()),INDEX(MO_Common_QEndDate,0,COLUMN())),"N/A")</f>
        <v>N/A</v>
      </c>
      <c r="BI1120" s="785" t="str">
        <f ca="1">IFERROR(_xll.TR(MO.Ticker.Thomson,"Min(TR.PriceLow)","sdate:#1 edate:#2",,INDEX(MO_SNA_FPStartDate,0,COLUMN()),INDEX(MO_Common_QEndDate,0,COLUMN())),"N/A")</f>
        <v>N/A</v>
      </c>
      <c r="BJ1120" s="1067" t="str">
        <f ca="1">IFERROR(_xll.TR(MO.Ticker.Thomson,"Min(TR.PriceLow)","sdate:#1 edate:#2",,INDEX(MO_SNA_FPStartDate,0,COLUMN()),INDEX(MO_Common_QEndDate,0,COLUMN())),"N/A")</f>
        <v>N/A</v>
      </c>
      <c r="BK1120" s="785" t="str">
        <f ca="1">IFERROR(_xll.TR(MO.Ticker.Thomson,"Min(TR.PriceLow)","sdate:#1 edate:#2",,INDEX(MO_SNA_FPStartDate,0,COLUMN()),INDEX(MO_Common_QEndDate,0,COLUMN())),"N/A")</f>
        <v>N/A</v>
      </c>
      <c r="BL1120" s="785" t="str">
        <f ca="1">IFERROR(_xll.TR(MO.Ticker.Thomson,"Min(TR.PriceLow)","sdate:#1 edate:#2",,INDEX(MO_SNA_FPStartDate,0,COLUMN()),INDEX(MO_Common_QEndDate,0,COLUMN())),"N/A")</f>
        <v>N/A</v>
      </c>
      <c r="BM1120" s="785" t="str">
        <f ca="1">IFERROR(_xll.TR(MO.Ticker.Thomson,"Min(TR.PriceLow)","sdate:#1 edate:#2",,INDEX(MO_SNA_FPStartDate,0,COLUMN()),INDEX(MO_Common_QEndDate,0,COLUMN())),"N/A")</f>
        <v>N/A</v>
      </c>
      <c r="BN1120" s="785" t="str">
        <f ca="1">IFERROR(_xll.TR(MO.Ticker.Thomson,"Min(TR.PriceLow)","sdate:#1 edate:#2",,INDEX(MO_SNA_FPStartDate,0,COLUMN()),INDEX(MO_Common_QEndDate,0,COLUMN())),"N/A")</f>
        <v>N/A</v>
      </c>
      <c r="BO1120" s="785" t="str">
        <f ca="1">IFERROR(_xll.TR(MO.Ticker.Thomson,"Min(TR.PriceLow)","sdate:#1 edate:#2",,INDEX(MO_SNA_FPStartDate,0,COLUMN()),INDEX(MO_Common_QEndDate,0,COLUMN())),"N/A")</f>
        <v>N/A</v>
      </c>
      <c r="BP1120" s="785" t="str">
        <f ca="1">IFERROR(_xll.TR(MO.Ticker.Thomson,"Min(TR.PriceLow)","sdate:#1 edate:#2",,INDEX(MO_SNA_FPStartDate,0,COLUMN()),INDEX(MO_Common_QEndDate,0,COLUMN())),"N/A")</f>
        <v>N/A</v>
      </c>
      <c r="BQ1120" s="785" t="str">
        <f ca="1">IFERROR(_xll.TR(MO.Ticker.Thomson,"Min(TR.PriceLow)","sdate:#1 edate:#2",,INDEX(MO_SNA_FPStartDate,0,COLUMN()),INDEX(MO_Common_QEndDate,0,COLUMN())),"N/A")</f>
        <v>N/A</v>
      </c>
      <c r="BR1120" s="785" t="str">
        <f ca="1">IFERROR(_xll.TR(MO.Ticker.Thomson,"Min(TR.PriceLow)","sdate:#1 edate:#2",,INDEX(MO_SNA_FPStartDate,0,COLUMN()),INDEX(MO_Common_QEndDate,0,COLUMN())),"N/A")</f>
        <v>N/A</v>
      </c>
      <c r="BS1120" s="785" t="str">
        <f ca="1">IFERROR(_xll.TR(MO.Ticker.Thomson,"Min(TR.PriceLow)","sdate:#1 edate:#2",,INDEX(MO_SNA_FPStartDate,0,COLUMN()),INDEX(MO_Common_QEndDate,0,COLUMN())),"N/A")</f>
        <v>N/A</v>
      </c>
      <c r="BT1120" s="785" t="str">
        <f ca="1">IFERROR(_xll.TR(MO.Ticker.Thomson,"Min(TR.PriceLow)","sdate:#1 edate:#2",,INDEX(MO_SNA_FPStartDate,0,COLUMN()),INDEX(MO_Common_QEndDate,0,COLUMN())),"N/A")</f>
        <v>N/A</v>
      </c>
      <c r="BU1120" s="785" t="str">
        <f ca="1">IFERROR(_xll.TR(MO.Ticker.Thomson,"Min(TR.PriceLow)","sdate:#1 edate:#2",,INDEX(MO_SNA_FPStartDate,0,COLUMN()),INDEX(MO_Common_QEndDate,0,COLUMN())),"N/A")</f>
        <v>N/A</v>
      </c>
      <c r="BV1120" s="1068" t="str">
        <f ca="1">IFERROR(_xll.TR(MO.Ticker.Thomson,"Min(TR.PriceLow)","sdate:#1 edate:#2",,INDEX(MO_SNA_FPStartDate,0,COLUMN()),INDEX(MO_Common_QEndDate,0,COLUMN())),"N/A")</f>
        <v>N/A</v>
      </c>
      <c r="BW1120" s="1069"/>
    </row>
    <row r="1121" spans="1:75" hidden="1" outlineLevel="1" x14ac:dyDescent="0.5">
      <c r="A1121" s="1073"/>
      <c r="B1121" s="118"/>
      <c r="C1121" s="973"/>
      <c r="D1121" s="973"/>
      <c r="E1121" s="118"/>
      <c r="F1121" s="118"/>
      <c r="G1121" s="118"/>
      <c r="H1121" s="118"/>
      <c r="I1121" s="118"/>
      <c r="J1121" s="118"/>
      <c r="K1121" s="118"/>
      <c r="L1121" s="118"/>
      <c r="M1121" s="118"/>
      <c r="N1121" s="118"/>
      <c r="O1121" s="118"/>
      <c r="P1121" s="118"/>
      <c r="Q1121" s="118"/>
      <c r="R1121" s="118"/>
      <c r="S1121" s="118"/>
      <c r="T1121" s="118"/>
      <c r="U1121" s="118"/>
      <c r="V1121" s="118"/>
      <c r="W1121" s="118"/>
      <c r="X1121" s="118"/>
      <c r="Y1121" s="118"/>
      <c r="Z1121" s="118"/>
      <c r="AA1121" s="118"/>
      <c r="AB1121" s="118"/>
      <c r="AC1121" s="118"/>
      <c r="AD1121" s="118"/>
      <c r="AE1121" s="118"/>
      <c r="AF1121" s="118"/>
      <c r="AG1121" s="118"/>
      <c r="AH1121" s="118"/>
      <c r="AI1121" s="118"/>
      <c r="AJ1121" s="118"/>
      <c r="AK1121" s="118"/>
      <c r="AL1121" s="118"/>
      <c r="AM1121" s="118"/>
      <c r="AN1121" s="118"/>
      <c r="AO1121" s="118"/>
      <c r="AP1121" s="118"/>
      <c r="AQ1121" s="118"/>
      <c r="AR1121" s="118"/>
      <c r="AS1121" s="118"/>
      <c r="AT1121" s="118"/>
      <c r="AU1121" s="118"/>
      <c r="AV1121" s="118"/>
      <c r="AW1121" s="118"/>
      <c r="AX1121" s="118"/>
      <c r="AY1121" s="118"/>
      <c r="AZ1121" s="118"/>
      <c r="BA1121" s="118"/>
      <c r="BB1121" s="118"/>
      <c r="BC1121" s="118"/>
      <c r="BD1121" s="118"/>
      <c r="BE1121" s="118"/>
      <c r="BF1121" s="118"/>
      <c r="BG1121" s="118"/>
      <c r="BH1121" s="118"/>
      <c r="BI1121" s="118"/>
      <c r="BJ1121" s="971"/>
      <c r="BK1121" s="118"/>
      <c r="BL1121" s="118"/>
      <c r="BM1121" s="118"/>
      <c r="BN1121" s="118"/>
      <c r="BO1121" s="118"/>
      <c r="BP1121" s="118"/>
      <c r="BQ1121" s="118"/>
      <c r="BR1121" s="118"/>
      <c r="BS1121" s="118"/>
      <c r="BT1121" s="118"/>
      <c r="BU1121" s="118"/>
      <c r="BV1121" s="1074"/>
      <c r="BW1121" s="1039"/>
    </row>
    <row r="1122" spans="1:75" collapsed="1" x14ac:dyDescent="0.5">
      <c r="A1122" s="1065" t="str">
        <f ca="1">"Stock Average: "&amp;IF(OR(MO.RealTimeStockPriceToggle=FALSE,VLOOKUP(MO.DataSourceName,MO_SPT_StockAverage_Sources,COLUMN()+2,FALSE)="N/A"),"Real-Time Off Source",MO.DataSourceName)</f>
        <v>Stock Average: Real-Time Off Source</v>
      </c>
      <c r="B1122" s="785"/>
      <c r="C1122" s="1066">
        <f t="shared" ref="C1122:AH1122" ca="1" si="956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15.64625</v>
      </c>
      <c r="D1122" s="1066">
        <f t="shared" ca="1" si="956"/>
        <v>29.028749999999999</v>
      </c>
      <c r="E1122" s="785">
        <f t="shared" ca="1" si="956"/>
        <v>37.136249999999997</v>
      </c>
      <c r="F1122" s="785">
        <f t="shared" ca="1" si="956"/>
        <v>39.962499999999999</v>
      </c>
      <c r="G1122" s="785">
        <f t="shared" ca="1" si="956"/>
        <v>49.1</v>
      </c>
      <c r="H1122" s="785">
        <f t="shared" ca="1" si="956"/>
        <v>56.35</v>
      </c>
      <c r="I1122" s="785">
        <f t="shared" ca="1" si="956"/>
        <v>56.63</v>
      </c>
      <c r="J1122" s="785">
        <f t="shared" ca="1" si="956"/>
        <v>55.99</v>
      </c>
      <c r="K1122" s="785">
        <f t="shared" ca="1" si="956"/>
        <v>54.517499999999998</v>
      </c>
      <c r="L1122" s="785">
        <f t="shared" ca="1" si="956"/>
        <v>60.255000000000003</v>
      </c>
      <c r="M1122" s="785">
        <f t="shared" ca="1" si="956"/>
        <v>66.959999999999994</v>
      </c>
      <c r="N1122" s="785">
        <f t="shared" ca="1" si="956"/>
        <v>69.02</v>
      </c>
      <c r="O1122" s="785">
        <f t="shared" ca="1" si="956"/>
        <v>72.58</v>
      </c>
      <c r="P1122" s="785">
        <f t="shared" ca="1" si="956"/>
        <v>67.203749999999999</v>
      </c>
      <c r="Q1122" s="785">
        <f t="shared" ca="1" si="956"/>
        <v>78.944999999999993</v>
      </c>
      <c r="R1122" s="785">
        <f t="shared" ca="1" si="956"/>
        <v>80.06</v>
      </c>
      <c r="S1122" s="785">
        <f t="shared" ca="1" si="956"/>
        <v>80.204999999999998</v>
      </c>
      <c r="T1122" s="785">
        <f t="shared" ca="1" si="956"/>
        <v>61.615000000000002</v>
      </c>
      <c r="U1122" s="785">
        <f t="shared" ca="1" si="956"/>
        <v>75.206249999999997</v>
      </c>
      <c r="V1122" s="785">
        <f t="shared" ca="1" si="956"/>
        <v>55.68</v>
      </c>
      <c r="W1122" s="785">
        <f t="shared" ca="1" si="956"/>
        <v>54.344999999999999</v>
      </c>
      <c r="X1122" s="785">
        <f t="shared" ca="1" si="956"/>
        <v>51.68</v>
      </c>
      <c r="Y1122" s="785">
        <f t="shared" ca="1" si="956"/>
        <v>51.46</v>
      </c>
      <c r="Z1122" s="785">
        <f t="shared" ca="1" si="956"/>
        <v>53.291249999999998</v>
      </c>
      <c r="AA1122" s="785">
        <f t="shared" ca="1" si="956"/>
        <v>51.164999999999999</v>
      </c>
      <c r="AB1122" s="785">
        <f t="shared" ca="1" si="956"/>
        <v>49.405000000000001</v>
      </c>
      <c r="AC1122" s="785">
        <f t="shared" ca="1" si="956"/>
        <v>48.43</v>
      </c>
      <c r="AD1122" s="785">
        <f t="shared" ca="1" si="956"/>
        <v>49.945</v>
      </c>
      <c r="AE1122" s="785">
        <f t="shared" ca="1" si="956"/>
        <v>49.736249999999998</v>
      </c>
      <c r="AF1122" s="785">
        <f t="shared" ca="1" si="956"/>
        <v>50.318453968253998</v>
      </c>
      <c r="AG1122" s="785">
        <f t="shared" ca="1" si="956"/>
        <v>56.250880952381003</v>
      </c>
      <c r="AH1122" s="785">
        <f t="shared" ca="1" si="956"/>
        <v>62.831870312500001</v>
      </c>
      <c r="AI1122" s="785">
        <f t="shared" ref="AI1122:AW1122" ca="1" si="957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54.5011430769231</v>
      </c>
      <c r="AJ1122" s="785">
        <f t="shared" ca="1" si="957"/>
        <v>55.990910196078403</v>
      </c>
      <c r="AK1122" s="785">
        <f t="shared" ca="1" si="957"/>
        <v>57.009365079365097</v>
      </c>
      <c r="AL1122" s="785">
        <f t="shared" ca="1" si="957"/>
        <v>60.775238095238102</v>
      </c>
      <c r="AM1122" s="785">
        <f t="shared" ca="1" si="957"/>
        <v>66.632031249999997</v>
      </c>
      <c r="AN1122" s="785">
        <f t="shared" ca="1" si="957"/>
        <v>71.841147540983599</v>
      </c>
      <c r="AO1122" s="785">
        <f t="shared" ca="1" si="957"/>
        <v>64.012709163346699</v>
      </c>
      <c r="AP1122" s="785">
        <f t="shared" ca="1" si="957"/>
        <v>55.830317460317502</v>
      </c>
      <c r="AQ1122" s="785">
        <f t="shared" ca="1" si="957"/>
        <v>79.522698412698404</v>
      </c>
      <c r="AR1122" s="785">
        <f t="shared" ca="1" si="957"/>
        <v>93.781406250000003</v>
      </c>
      <c r="AS1122" s="785">
        <f t="shared" ca="1" si="957"/>
        <v>109.83196721311501</v>
      </c>
      <c r="AT1122" s="785">
        <f t="shared" ca="1" si="957"/>
        <v>84.577689243027905</v>
      </c>
      <c r="AU1122" s="785">
        <f t="shared" ca="1" si="957"/>
        <v>152.585079365079</v>
      </c>
      <c r="AV1122" s="785">
        <f t="shared" ca="1" si="957"/>
        <v>164.36666666666699</v>
      </c>
      <c r="AW1122" s="785">
        <f t="shared" ca="1" si="957"/>
        <v>175.89046875</v>
      </c>
      <c r="AX1122" s="785">
        <f t="shared" ref="AX1122:BN1122" ca="1" si="958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178.29516129032299</v>
      </c>
      <c r="AY1122" s="785">
        <f t="shared" ca="1" si="958"/>
        <v>167.77480158730199</v>
      </c>
      <c r="AZ1122" s="785">
        <f t="shared" ca="1" si="958"/>
        <v>148.51015873015899</v>
      </c>
      <c r="BA1122" s="785">
        <f t="shared" ca="1" si="958"/>
        <v>125.76516129032299</v>
      </c>
      <c r="BB1122" s="785">
        <f t="shared" ca="1" si="958"/>
        <v>138.63234374999999</v>
      </c>
      <c r="BC1122" s="785">
        <f t="shared" ca="1" si="958"/>
        <v>120.66819672131101</v>
      </c>
      <c r="BD1122" s="785">
        <f t="shared" ca="1" si="958"/>
        <v>133.54723999999999</v>
      </c>
      <c r="BE1122" s="785">
        <f t="shared" ref="BE1122:BM1122" ca="1" si="959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123.663333333333</v>
      </c>
      <c r="BF1122" s="785">
        <f t="shared" ca="1" si="959"/>
        <v>122.361451612903</v>
      </c>
      <c r="BG1122" s="785">
        <f t="shared" ca="1" si="959"/>
        <v>145.87531250000001</v>
      </c>
      <c r="BH1122" s="785">
        <f t="shared" ca="1" si="959"/>
        <v>187.539344262295</v>
      </c>
      <c r="BI1122" s="785">
        <f t="shared" ca="1" si="959"/>
        <v>144.61248000000001</v>
      </c>
      <c r="BJ1122" s="1067">
        <f ca="1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259.91349206349201</v>
      </c>
      <c r="BK1122" s="785">
        <f t="shared" ca="1" si="959"/>
        <v>0</v>
      </c>
      <c r="BL1122" s="785">
        <f t="shared" ca="1" si="959"/>
        <v>0</v>
      </c>
      <c r="BM1122" s="785">
        <f t="shared" ca="1" si="959"/>
        <v>0</v>
      </c>
      <c r="BN1122" s="785">
        <f t="shared" ca="1" si="958"/>
        <v>0</v>
      </c>
      <c r="BO1122" s="785">
        <f t="shared" ref="BO1122:BV1122" ca="1" si="960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0</v>
      </c>
      <c r="BP1122" s="785">
        <f t="shared" ca="1" si="960"/>
        <v>0</v>
      </c>
      <c r="BQ1122" s="785">
        <f t="shared" ca="1" si="960"/>
        <v>0</v>
      </c>
      <c r="BR1122" s="785">
        <f t="shared" ca="1" si="960"/>
        <v>0</v>
      </c>
      <c r="BS1122" s="785">
        <f t="shared" ca="1" si="960"/>
        <v>0</v>
      </c>
      <c r="BT1122" s="785">
        <f t="shared" ca="1" si="960"/>
        <v>0</v>
      </c>
      <c r="BU1122" s="785">
        <f t="shared" ca="1" si="960"/>
        <v>0</v>
      </c>
      <c r="BV1122" s="1068">
        <f t="shared" ca="1" si="960"/>
        <v>0</v>
      </c>
      <c r="BW1122" s="1069"/>
    </row>
    <row r="1123" spans="1:75" hidden="1" outlineLevel="1" x14ac:dyDescent="0.5">
      <c r="A1123" s="1070" t="s">
        <v>1611</v>
      </c>
      <c r="B1123" s="785"/>
      <c r="C1123" s="1066"/>
      <c r="D1123" s="1066"/>
      <c r="E1123" s="785"/>
      <c r="F1123" s="785"/>
      <c r="G1123" s="785"/>
      <c r="H1123" s="785"/>
      <c r="I1123" s="785"/>
      <c r="J1123" s="785"/>
      <c r="K1123" s="785"/>
      <c r="L1123" s="785"/>
      <c r="M1123" s="785"/>
      <c r="N1123" s="785"/>
      <c r="O1123" s="1071">
        <v>28.085000000000001</v>
      </c>
      <c r="P1123" s="1071">
        <v>28.085000000000001</v>
      </c>
      <c r="Q1123" s="1071">
        <v>26.11</v>
      </c>
      <c r="R1123" s="1071">
        <v>33.395000000000003</v>
      </c>
      <c r="S1123" s="1071">
        <v>44.005000000000003</v>
      </c>
      <c r="T1123" s="1071">
        <v>41.28</v>
      </c>
      <c r="U1123" s="1071">
        <v>36.197499999999998</v>
      </c>
      <c r="V1123" s="1071">
        <v>38.265000000000001</v>
      </c>
      <c r="W1123" s="1071">
        <v>39.314999999999998</v>
      </c>
      <c r="X1123" s="1071">
        <v>42.58</v>
      </c>
      <c r="Y1123" s="1071">
        <v>33.695</v>
      </c>
      <c r="Z1123" s="1071">
        <v>38.463749999999997</v>
      </c>
      <c r="AA1123" s="1071">
        <v>38.895000000000003</v>
      </c>
      <c r="AB1123" s="1071">
        <v>59.085000000000001</v>
      </c>
      <c r="AC1123" s="1071">
        <v>74.745000000000005</v>
      </c>
      <c r="AD1123" s="1071">
        <v>69.56</v>
      </c>
      <c r="AE1123" s="1071">
        <v>60.571249999999999</v>
      </c>
      <c r="AF1123" s="1071">
        <v>83.999508196721294</v>
      </c>
      <c r="AG1123" s="1071">
        <v>86.805468750000003</v>
      </c>
      <c r="AH1123" s="1071">
        <v>127.204285714286</v>
      </c>
      <c r="AI1123" s="1071">
        <v>105.22587301587301</v>
      </c>
      <c r="AJ1123" s="1071">
        <v>100.88693227091601</v>
      </c>
      <c r="AK1123" s="1071">
        <v>130.45278688524601</v>
      </c>
      <c r="AL1123" s="1071">
        <v>150.38619047619</v>
      </c>
      <c r="AM1123" s="1071">
        <v>127.9578125</v>
      </c>
      <c r="AN1123" s="1071">
        <v>93.294843749999998</v>
      </c>
      <c r="AO1123" s="1071">
        <v>125.365555555556</v>
      </c>
      <c r="AP1123" s="1071">
        <v>76.531290322580702</v>
      </c>
      <c r="AQ1123" s="1071">
        <v>149.568571428571</v>
      </c>
      <c r="AR1123" s="1071">
        <v>273.63125000000002</v>
      </c>
      <c r="AS1123" s="1071">
        <v>265.47109375000002</v>
      </c>
      <c r="AT1123" s="1071">
        <v>192.37276679841901</v>
      </c>
      <c r="AU1123" s="1071">
        <v>295.07672131147501</v>
      </c>
      <c r="AV1123" s="1071">
        <v>313.24396825396798</v>
      </c>
      <c r="AW1123" s="1071">
        <v>282.03781249999997</v>
      </c>
      <c r="AX1123" s="1071">
        <v>235.99546874999999</v>
      </c>
      <c r="AY1123" s="1071">
        <v>281.302301587302</v>
      </c>
      <c r="AZ1123" s="1071">
        <v>140.757580645161</v>
      </c>
      <c r="BA1123" s="1071">
        <v>70.290000000000006</v>
      </c>
      <c r="BB1123" s="1071">
        <v>52.847031250000001</v>
      </c>
      <c r="BC1123" s="1071">
        <v>34.898888888888898</v>
      </c>
      <c r="BD1123" s="1071">
        <v>74.365697211155407</v>
      </c>
      <c r="BE1123" s="1071">
        <v>44.276129032258098</v>
      </c>
      <c r="BF1123" s="1071">
        <v>42.124354838709699</v>
      </c>
      <c r="BG1123" s="1071">
        <v>69.515238095238104</v>
      </c>
      <c r="BH1123" s="1071">
        <v>52.263650793650797</v>
      </c>
      <c r="BI1123" s="1071">
        <v>52.115600000000001</v>
      </c>
      <c r="BJ1123" s="1072">
        <v>56.537540983606597</v>
      </c>
      <c r="BK1123" s="785"/>
      <c r="BL1123" s="785"/>
      <c r="BM1123" s="785"/>
      <c r="BN1123" s="785"/>
      <c r="BO1123" s="785"/>
      <c r="BP1123" s="785"/>
      <c r="BQ1123" s="785"/>
      <c r="BR1123" s="785"/>
      <c r="BS1123" s="785"/>
      <c r="BT1123" s="785"/>
      <c r="BU1123" s="785"/>
      <c r="BV1123" s="1068"/>
      <c r="BW1123" s="1069"/>
    </row>
    <row r="1124" spans="1:75" hidden="1" outlineLevel="1" x14ac:dyDescent="0.5">
      <c r="A1124" s="1070" t="s">
        <v>103</v>
      </c>
      <c r="B1124" s="785"/>
      <c r="C1124" s="1066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D1124" s="1066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E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F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G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H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I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J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K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L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M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N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O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P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Q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R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S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T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U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V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W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X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Y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Z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A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B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C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D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E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F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G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H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I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J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K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L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M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N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O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P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Q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R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S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T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U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V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W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X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Y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Z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A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B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C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D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E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F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G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H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I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J1124" s="1067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K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L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M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N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O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P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Q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R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S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T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U1124" s="78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V1124" s="1068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W1124" s="1069"/>
    </row>
    <row r="1125" spans="1:75" hidden="1" outlineLevel="1" x14ac:dyDescent="0.5">
      <c r="A1125" s="1070" t="s">
        <v>1612</v>
      </c>
      <c r="B1125" s="785"/>
      <c r="C1125" s="1066" t="str">
        <f ca="1">IFERROR(_xll.CIQAVG(MO.Ticker.CapIQ,"IQ_LASTSALEPRICE",INDEX(MO_SNA_FPStartDate,0,COLUMN()),INDEX(MO_Common_QEndDate,0,COLUMN())),"N/A")</f>
        <v>N/A</v>
      </c>
      <c r="D1125" s="1066" t="str">
        <f ca="1">IFERROR(_xll.CIQAVG(MO.Ticker.CapIQ,"IQ_LASTSALEPRICE",INDEX(MO_SNA_FPStartDate,0,COLUMN()),INDEX(MO_Common_QEndDate,0,COLUMN())),"N/A")</f>
        <v>N/A</v>
      </c>
      <c r="E1125" s="785" t="str">
        <f ca="1">IFERROR(_xll.CIQAVG(MO.Ticker.CapIQ,"IQ_LASTSALEPRICE",INDEX(MO_SNA_FPStartDate,0,COLUMN()),INDEX(MO_Common_QEndDate,0,COLUMN())),"N/A")</f>
        <v>N/A</v>
      </c>
      <c r="F1125" s="785" t="str">
        <f ca="1">IFERROR(_xll.CIQAVG(MO.Ticker.CapIQ,"IQ_LASTSALEPRICE",INDEX(MO_SNA_FPStartDate,0,COLUMN()),INDEX(MO_Common_QEndDate,0,COLUMN())),"N/A")</f>
        <v>N/A</v>
      </c>
      <c r="G1125" s="785" t="str">
        <f ca="1">IFERROR(_xll.CIQAVG(MO.Ticker.CapIQ,"IQ_LASTSALEPRICE",INDEX(MO_SNA_FPStartDate,0,COLUMN()),INDEX(MO_Common_QEndDate,0,COLUMN())),"N/A")</f>
        <v>N/A</v>
      </c>
      <c r="H1125" s="785" t="str">
        <f ca="1">IFERROR(_xll.CIQAVG(MO.Ticker.CapIQ,"IQ_LASTSALEPRICE",INDEX(MO_SNA_FPStartDate,0,COLUMN()),INDEX(MO_Common_QEndDate,0,COLUMN())),"N/A")</f>
        <v>N/A</v>
      </c>
      <c r="I1125" s="785" t="str">
        <f ca="1">IFERROR(_xll.CIQAVG(MO.Ticker.CapIQ,"IQ_LASTSALEPRICE",INDEX(MO_SNA_FPStartDate,0,COLUMN()),INDEX(MO_Common_QEndDate,0,COLUMN())),"N/A")</f>
        <v>N/A</v>
      </c>
      <c r="J1125" s="785" t="str">
        <f ca="1">IFERROR(_xll.CIQAVG(MO.Ticker.CapIQ,"IQ_LASTSALEPRICE",INDEX(MO_SNA_FPStartDate,0,COLUMN()),INDEX(MO_Common_QEndDate,0,COLUMN())),"N/A")</f>
        <v>N/A</v>
      </c>
      <c r="K1125" s="785" t="str">
        <f ca="1">IFERROR(_xll.CIQAVG(MO.Ticker.CapIQ,"IQ_LASTSALEPRICE",INDEX(MO_SNA_FPStartDate,0,COLUMN()),INDEX(MO_Common_QEndDate,0,COLUMN())),"N/A")</f>
        <v>N/A</v>
      </c>
      <c r="L1125" s="785" t="str">
        <f ca="1">IFERROR(_xll.CIQAVG(MO.Ticker.CapIQ,"IQ_LASTSALEPRICE",INDEX(MO_SNA_FPStartDate,0,COLUMN()),INDEX(MO_Common_QEndDate,0,COLUMN())),"N/A")</f>
        <v>N/A</v>
      </c>
      <c r="M1125" s="785" t="str">
        <f ca="1">IFERROR(_xll.CIQAVG(MO.Ticker.CapIQ,"IQ_LASTSALEPRICE",INDEX(MO_SNA_FPStartDate,0,COLUMN()),INDEX(MO_Common_QEndDate,0,COLUMN())),"N/A")</f>
        <v>N/A</v>
      </c>
      <c r="N1125" s="785" t="str">
        <f ca="1">IFERROR(_xll.CIQAVG(MO.Ticker.CapIQ,"IQ_LASTSALEPRICE",INDEX(MO_SNA_FPStartDate,0,COLUMN()),INDEX(MO_Common_QEndDate,0,COLUMN())),"N/A")</f>
        <v>N/A</v>
      </c>
      <c r="O1125" s="785" t="str">
        <f ca="1">IFERROR(_xll.CIQAVG(MO.Ticker.CapIQ,"IQ_LASTSALEPRICE",INDEX(MO_SNA_FPStartDate,0,COLUMN()),INDEX(MO_Common_QEndDate,0,COLUMN())),"N/A")</f>
        <v>N/A</v>
      </c>
      <c r="P1125" s="785" t="str">
        <f ca="1">IFERROR(_xll.CIQAVG(MO.Ticker.CapIQ,"IQ_LASTSALEPRICE",INDEX(MO_SNA_FPStartDate,0,COLUMN()),INDEX(MO_Common_QEndDate,0,COLUMN())),"N/A")</f>
        <v>N/A</v>
      </c>
      <c r="Q1125" s="785" t="str">
        <f ca="1">IFERROR(_xll.CIQAVG(MO.Ticker.CapIQ,"IQ_LASTSALEPRICE",INDEX(MO_SNA_FPStartDate,0,COLUMN()),INDEX(MO_Common_QEndDate,0,COLUMN())),"N/A")</f>
        <v>N/A</v>
      </c>
      <c r="R1125" s="785" t="str">
        <f ca="1">IFERROR(_xll.CIQAVG(MO.Ticker.CapIQ,"IQ_LASTSALEPRICE",INDEX(MO_SNA_FPStartDate,0,COLUMN()),INDEX(MO_Common_QEndDate,0,COLUMN())),"N/A")</f>
        <v>N/A</v>
      </c>
      <c r="S1125" s="785" t="str">
        <f ca="1">IFERROR(_xll.CIQAVG(MO.Ticker.CapIQ,"IQ_LASTSALEPRICE",INDEX(MO_SNA_FPStartDate,0,COLUMN()),INDEX(MO_Common_QEndDate,0,COLUMN())),"N/A")</f>
        <v>N/A</v>
      </c>
      <c r="T1125" s="785" t="str">
        <f ca="1">IFERROR(_xll.CIQAVG(MO.Ticker.CapIQ,"IQ_LASTSALEPRICE",INDEX(MO_SNA_FPStartDate,0,COLUMN()),INDEX(MO_Common_QEndDate,0,COLUMN())),"N/A")</f>
        <v>N/A</v>
      </c>
      <c r="U1125" s="785" t="str">
        <f ca="1">IFERROR(_xll.CIQAVG(MO.Ticker.CapIQ,"IQ_LASTSALEPRICE",INDEX(MO_SNA_FPStartDate,0,COLUMN()),INDEX(MO_Common_QEndDate,0,COLUMN())),"N/A")</f>
        <v>N/A</v>
      </c>
      <c r="V1125" s="785" t="str">
        <f ca="1">IFERROR(_xll.CIQAVG(MO.Ticker.CapIQ,"IQ_LASTSALEPRICE",INDEX(MO_SNA_FPStartDate,0,COLUMN()),INDEX(MO_Common_QEndDate,0,COLUMN())),"N/A")</f>
        <v>N/A</v>
      </c>
      <c r="W1125" s="785" t="str">
        <f ca="1">IFERROR(_xll.CIQAVG(MO.Ticker.CapIQ,"IQ_LASTSALEPRICE",INDEX(MO_SNA_FPStartDate,0,COLUMN()),INDEX(MO_Common_QEndDate,0,COLUMN())),"N/A")</f>
        <v>N/A</v>
      </c>
      <c r="X1125" s="785" t="str">
        <f ca="1">IFERROR(_xll.CIQAVG(MO.Ticker.CapIQ,"IQ_LASTSALEPRICE",INDEX(MO_SNA_FPStartDate,0,COLUMN()),INDEX(MO_Common_QEndDate,0,COLUMN())),"N/A")</f>
        <v>N/A</v>
      </c>
      <c r="Y1125" s="785" t="str">
        <f ca="1">IFERROR(_xll.CIQAVG(MO.Ticker.CapIQ,"IQ_LASTSALEPRICE",INDEX(MO_SNA_FPStartDate,0,COLUMN()),INDEX(MO_Common_QEndDate,0,COLUMN())),"N/A")</f>
        <v>N/A</v>
      </c>
      <c r="Z1125" s="785" t="str">
        <f ca="1">IFERROR(_xll.CIQAVG(MO.Ticker.CapIQ,"IQ_LASTSALEPRICE",INDEX(MO_SNA_FPStartDate,0,COLUMN()),INDEX(MO_Common_QEndDate,0,COLUMN())),"N/A")</f>
        <v>N/A</v>
      </c>
      <c r="AA1125" s="785" t="str">
        <f ca="1">IFERROR(_xll.CIQAVG(MO.Ticker.CapIQ,"IQ_LASTSALEPRICE",INDEX(MO_SNA_FPStartDate,0,COLUMN()),INDEX(MO_Common_QEndDate,0,COLUMN())),"N/A")</f>
        <v>N/A</v>
      </c>
      <c r="AB1125" s="785" t="str">
        <f ca="1">IFERROR(_xll.CIQAVG(MO.Ticker.CapIQ,"IQ_LASTSALEPRICE",INDEX(MO_SNA_FPStartDate,0,COLUMN()),INDEX(MO_Common_QEndDate,0,COLUMN())),"N/A")</f>
        <v>N/A</v>
      </c>
      <c r="AC1125" s="785" t="str">
        <f ca="1">IFERROR(_xll.CIQAVG(MO.Ticker.CapIQ,"IQ_LASTSALEPRICE",INDEX(MO_SNA_FPStartDate,0,COLUMN()),INDEX(MO_Common_QEndDate,0,COLUMN())),"N/A")</f>
        <v>N/A</v>
      </c>
      <c r="AD1125" s="785" t="str">
        <f ca="1">IFERROR(_xll.CIQAVG(MO.Ticker.CapIQ,"IQ_LASTSALEPRICE",INDEX(MO_SNA_FPStartDate,0,COLUMN()),INDEX(MO_Common_QEndDate,0,COLUMN())),"N/A")</f>
        <v>N/A</v>
      </c>
      <c r="AE1125" s="785" t="str">
        <f ca="1">IFERROR(_xll.CIQAVG(MO.Ticker.CapIQ,"IQ_LASTSALEPRICE",INDEX(MO_SNA_FPStartDate,0,COLUMN()),INDEX(MO_Common_QEndDate,0,COLUMN())),"N/A")</f>
        <v>N/A</v>
      </c>
      <c r="AF1125" s="785" t="str">
        <f ca="1">IFERROR(_xll.CIQAVG(MO.Ticker.CapIQ,"IQ_LASTSALEPRICE",INDEX(MO_SNA_FPStartDate,0,COLUMN()),INDEX(MO_Common_QEndDate,0,COLUMN())),"N/A")</f>
        <v>N/A</v>
      </c>
      <c r="AG1125" s="785" t="str">
        <f ca="1">IFERROR(_xll.CIQAVG(MO.Ticker.CapIQ,"IQ_LASTSALEPRICE",INDEX(MO_SNA_FPStartDate,0,COLUMN()),INDEX(MO_Common_QEndDate,0,COLUMN())),"N/A")</f>
        <v>N/A</v>
      </c>
      <c r="AH1125" s="785" t="str">
        <f ca="1">IFERROR(_xll.CIQAVG(MO.Ticker.CapIQ,"IQ_LASTSALEPRICE",INDEX(MO_SNA_FPStartDate,0,COLUMN()),INDEX(MO_Common_QEndDate,0,COLUMN())),"N/A")</f>
        <v>N/A</v>
      </c>
      <c r="AI1125" s="785" t="str">
        <f ca="1">IFERROR(_xll.CIQAVG(MO.Ticker.CapIQ,"IQ_LASTSALEPRICE",INDEX(MO_SNA_FPStartDate,0,COLUMN()),INDEX(MO_Common_QEndDate,0,COLUMN())),"N/A")</f>
        <v>N/A</v>
      </c>
      <c r="AJ1125" s="785" t="str">
        <f ca="1">IFERROR(_xll.CIQAVG(MO.Ticker.CapIQ,"IQ_LASTSALEPRICE",INDEX(MO_SNA_FPStartDate,0,COLUMN()),INDEX(MO_Common_QEndDate,0,COLUMN())),"N/A")</f>
        <v>N/A</v>
      </c>
      <c r="AK1125" s="785" t="str">
        <f ca="1">IFERROR(_xll.CIQAVG(MO.Ticker.CapIQ,"IQ_LASTSALEPRICE",INDEX(MO_SNA_FPStartDate,0,COLUMN()),INDEX(MO_Common_QEndDate,0,COLUMN())),"N/A")</f>
        <v>N/A</v>
      </c>
      <c r="AL1125" s="785" t="str">
        <f ca="1">IFERROR(_xll.CIQAVG(MO.Ticker.CapIQ,"IQ_LASTSALEPRICE",INDEX(MO_SNA_FPStartDate,0,COLUMN()),INDEX(MO_Common_QEndDate,0,COLUMN())),"N/A")</f>
        <v>N/A</v>
      </c>
      <c r="AM1125" s="785" t="str">
        <f ca="1">IFERROR(_xll.CIQAVG(MO.Ticker.CapIQ,"IQ_LASTSALEPRICE",INDEX(MO_SNA_FPStartDate,0,COLUMN()),INDEX(MO_Common_QEndDate,0,COLUMN())),"N/A")</f>
        <v>N/A</v>
      </c>
      <c r="AN1125" s="785" t="str">
        <f ca="1">IFERROR(_xll.CIQAVG(MO.Ticker.CapIQ,"IQ_LASTSALEPRICE",INDEX(MO_SNA_FPStartDate,0,COLUMN()),INDEX(MO_Common_QEndDate,0,COLUMN())),"N/A")</f>
        <v>N/A</v>
      </c>
      <c r="AO1125" s="785" t="str">
        <f ca="1">IFERROR(_xll.CIQAVG(MO.Ticker.CapIQ,"IQ_LASTSALEPRICE",INDEX(MO_SNA_FPStartDate,0,COLUMN()),INDEX(MO_Common_QEndDate,0,COLUMN())),"N/A")</f>
        <v>N/A</v>
      </c>
      <c r="AP1125" s="785" t="str">
        <f ca="1">IFERROR(_xll.CIQAVG(MO.Ticker.CapIQ,"IQ_LASTSALEPRICE",INDEX(MO_SNA_FPStartDate,0,COLUMN()),INDEX(MO_Common_QEndDate,0,COLUMN())),"N/A")</f>
        <v>N/A</v>
      </c>
      <c r="AQ1125" s="785" t="str">
        <f ca="1">IFERROR(_xll.CIQAVG(MO.Ticker.CapIQ,"IQ_LASTSALEPRICE",INDEX(MO_SNA_FPStartDate,0,COLUMN()),INDEX(MO_Common_QEndDate,0,COLUMN())),"N/A")</f>
        <v>N/A</v>
      </c>
      <c r="AR1125" s="785" t="str">
        <f ca="1">IFERROR(_xll.CIQAVG(MO.Ticker.CapIQ,"IQ_LASTSALEPRICE",INDEX(MO_SNA_FPStartDate,0,COLUMN()),INDEX(MO_Common_QEndDate,0,COLUMN())),"N/A")</f>
        <v>N/A</v>
      </c>
      <c r="AS1125" s="785" t="str">
        <f ca="1">IFERROR(_xll.CIQAVG(MO.Ticker.CapIQ,"IQ_LASTSALEPRICE",INDEX(MO_SNA_FPStartDate,0,COLUMN()),INDEX(MO_Common_QEndDate,0,COLUMN())),"N/A")</f>
        <v>N/A</v>
      </c>
      <c r="AT1125" s="785" t="str">
        <f ca="1">IFERROR(_xll.CIQAVG(MO.Ticker.CapIQ,"IQ_LASTSALEPRICE",INDEX(MO_SNA_FPStartDate,0,COLUMN()),INDEX(MO_Common_QEndDate,0,COLUMN())),"N/A")</f>
        <v>N/A</v>
      </c>
      <c r="AU1125" s="785" t="str">
        <f ca="1">IFERROR(_xll.CIQAVG(MO.Ticker.CapIQ,"IQ_LASTSALEPRICE",INDEX(MO_SNA_FPStartDate,0,COLUMN()),INDEX(MO_Common_QEndDate,0,COLUMN())),"N/A")</f>
        <v>N/A</v>
      </c>
      <c r="AV1125" s="785" t="str">
        <f ca="1">IFERROR(_xll.CIQAVG(MO.Ticker.CapIQ,"IQ_LASTSALEPRICE",INDEX(MO_SNA_FPStartDate,0,COLUMN()),INDEX(MO_Common_QEndDate,0,COLUMN())),"N/A")</f>
        <v>N/A</v>
      </c>
      <c r="AW1125" s="785" t="str">
        <f ca="1">IFERROR(_xll.CIQAVG(MO.Ticker.CapIQ,"IQ_LASTSALEPRICE",INDEX(MO_SNA_FPStartDate,0,COLUMN()),INDEX(MO_Common_QEndDate,0,COLUMN())),"N/A")</f>
        <v>N/A</v>
      </c>
      <c r="AX1125" s="785" t="str">
        <f ca="1">IFERROR(_xll.CIQAVG(MO.Ticker.CapIQ,"IQ_LASTSALEPRICE",INDEX(MO_SNA_FPStartDate,0,COLUMN()),INDEX(MO_Common_QEndDate,0,COLUMN())),"N/A")</f>
        <v>N/A</v>
      </c>
      <c r="AY1125" s="785" t="str">
        <f ca="1">IFERROR(_xll.CIQAVG(MO.Ticker.CapIQ,"IQ_LASTSALEPRICE",INDEX(MO_SNA_FPStartDate,0,COLUMN()),INDEX(MO_Common_QEndDate,0,COLUMN())),"N/A")</f>
        <v>N/A</v>
      </c>
      <c r="AZ1125" s="785" t="str">
        <f ca="1">IFERROR(_xll.CIQAVG(MO.Ticker.CapIQ,"IQ_LASTSALEPRICE",INDEX(MO_SNA_FPStartDate,0,COLUMN()),INDEX(MO_Common_QEndDate,0,COLUMN())),"N/A")</f>
        <v>N/A</v>
      </c>
      <c r="BA1125" s="785" t="str">
        <f ca="1">IFERROR(_xll.CIQAVG(MO.Ticker.CapIQ,"IQ_LASTSALEPRICE",INDEX(MO_SNA_FPStartDate,0,COLUMN()),INDEX(MO_Common_QEndDate,0,COLUMN())),"N/A")</f>
        <v>N/A</v>
      </c>
      <c r="BB1125" s="785" t="str">
        <f ca="1">IFERROR(_xll.CIQAVG(MO.Ticker.CapIQ,"IQ_LASTSALEPRICE",INDEX(MO_SNA_FPStartDate,0,COLUMN()),INDEX(MO_Common_QEndDate,0,COLUMN())),"N/A")</f>
        <v>N/A</v>
      </c>
      <c r="BC1125" s="785" t="str">
        <f ca="1">IFERROR(_xll.CIQAVG(MO.Ticker.CapIQ,"IQ_LASTSALEPRICE",INDEX(MO_SNA_FPStartDate,0,COLUMN()),INDEX(MO_Common_QEndDate,0,COLUMN())),"N/A")</f>
        <v>N/A</v>
      </c>
      <c r="BD1125" s="785" t="str">
        <f ca="1">IFERROR(_xll.CIQAVG(MO.Ticker.CapIQ,"IQ_LASTSALEPRICE",INDEX(MO_SNA_FPStartDate,0,COLUMN()),INDEX(MO_Common_QEndDate,0,COLUMN())),"N/A")</f>
        <v>N/A</v>
      </c>
      <c r="BE1125" s="785" t="str">
        <f ca="1">IFERROR(_xll.CIQAVG(MO.Ticker.CapIQ,"IQ_LASTSALEPRICE",INDEX(MO_SNA_FPStartDate,0,COLUMN()),INDEX(MO_Common_QEndDate,0,COLUMN())),"N/A")</f>
        <v>N/A</v>
      </c>
      <c r="BF1125" s="785" t="str">
        <f ca="1">IFERROR(_xll.CIQAVG(MO.Ticker.CapIQ,"IQ_LASTSALEPRICE",INDEX(MO_SNA_FPStartDate,0,COLUMN()),INDEX(MO_Common_QEndDate,0,COLUMN())),"N/A")</f>
        <v>N/A</v>
      </c>
      <c r="BG1125" s="785" t="str">
        <f ca="1">IFERROR(_xll.CIQAVG(MO.Ticker.CapIQ,"IQ_LASTSALEPRICE",INDEX(MO_SNA_FPStartDate,0,COLUMN()),INDEX(MO_Common_QEndDate,0,COLUMN())),"N/A")</f>
        <v>N/A</v>
      </c>
      <c r="BH1125" s="785" t="str">
        <f ca="1">IFERROR(_xll.CIQAVG(MO.Ticker.CapIQ,"IQ_LASTSALEPRICE",INDEX(MO_SNA_FPStartDate,0,COLUMN()),INDEX(MO_Common_QEndDate,0,COLUMN())),"N/A")</f>
        <v>N/A</v>
      </c>
      <c r="BI1125" s="785" t="str">
        <f ca="1">IFERROR(_xll.CIQAVG(MO.Ticker.CapIQ,"IQ_LASTSALEPRICE",INDEX(MO_SNA_FPStartDate,0,COLUMN()),INDEX(MO_Common_QEndDate,0,COLUMN())),"N/A")</f>
        <v>N/A</v>
      </c>
      <c r="BJ1125" s="1067" t="str">
        <f ca="1">IFERROR(_xll.CIQAVG(MO.Ticker.CapIQ,"IQ_LASTSALEPRICE",INDEX(MO_SNA_FPStartDate,0,COLUMN()),INDEX(MO_Common_QEndDate,0,COLUMN())),"N/A")</f>
        <v>N/A</v>
      </c>
      <c r="BK1125" s="785" t="str">
        <f ca="1">IFERROR(_xll.CIQAVG(MO.Ticker.CapIQ,"IQ_LASTSALEPRICE",INDEX(MO_SNA_FPStartDate,0,COLUMN()),INDEX(MO_Common_QEndDate,0,COLUMN())),"N/A")</f>
        <v>N/A</v>
      </c>
      <c r="BL1125" s="785" t="str">
        <f ca="1">IFERROR(_xll.CIQAVG(MO.Ticker.CapIQ,"IQ_LASTSALEPRICE",INDEX(MO_SNA_FPStartDate,0,COLUMN()),INDEX(MO_Common_QEndDate,0,COLUMN())),"N/A")</f>
        <v>N/A</v>
      </c>
      <c r="BM1125" s="785" t="str">
        <f ca="1">IFERROR(_xll.CIQAVG(MO.Ticker.CapIQ,"IQ_LASTSALEPRICE",INDEX(MO_SNA_FPStartDate,0,COLUMN()),INDEX(MO_Common_QEndDate,0,COLUMN())),"N/A")</f>
        <v>N/A</v>
      </c>
      <c r="BN1125" s="785" t="str">
        <f ca="1">IFERROR(_xll.CIQAVG(MO.Ticker.CapIQ,"IQ_LASTSALEPRICE",INDEX(MO_SNA_FPStartDate,0,COLUMN()),INDEX(MO_Common_QEndDate,0,COLUMN())),"N/A")</f>
        <v>N/A</v>
      </c>
      <c r="BO1125" s="785" t="str">
        <f ca="1">IFERROR(_xll.CIQAVG(MO.Ticker.CapIQ,"IQ_LASTSALEPRICE",INDEX(MO_SNA_FPStartDate,0,COLUMN()),INDEX(MO_Common_QEndDate,0,COLUMN())),"N/A")</f>
        <v>N/A</v>
      </c>
      <c r="BP1125" s="785" t="str">
        <f ca="1">IFERROR(_xll.CIQAVG(MO.Ticker.CapIQ,"IQ_LASTSALEPRICE",INDEX(MO_SNA_FPStartDate,0,COLUMN()),INDEX(MO_Common_QEndDate,0,COLUMN())),"N/A")</f>
        <v>N/A</v>
      </c>
      <c r="BQ1125" s="785" t="str">
        <f ca="1">IFERROR(_xll.CIQAVG(MO.Ticker.CapIQ,"IQ_LASTSALEPRICE",INDEX(MO_SNA_FPStartDate,0,COLUMN()),INDEX(MO_Common_QEndDate,0,COLUMN())),"N/A")</f>
        <v>N/A</v>
      </c>
      <c r="BR1125" s="785" t="str">
        <f ca="1">IFERROR(_xll.CIQAVG(MO.Ticker.CapIQ,"IQ_LASTSALEPRICE",INDEX(MO_SNA_FPStartDate,0,COLUMN()),INDEX(MO_Common_QEndDate,0,COLUMN())),"N/A")</f>
        <v>N/A</v>
      </c>
      <c r="BS1125" s="785" t="str">
        <f ca="1">IFERROR(_xll.CIQAVG(MO.Ticker.CapIQ,"IQ_LASTSALEPRICE",INDEX(MO_SNA_FPStartDate,0,COLUMN()),INDEX(MO_Common_QEndDate,0,COLUMN())),"N/A")</f>
        <v>N/A</v>
      </c>
      <c r="BT1125" s="785" t="str">
        <f ca="1">IFERROR(_xll.CIQAVG(MO.Ticker.CapIQ,"IQ_LASTSALEPRICE",INDEX(MO_SNA_FPStartDate,0,COLUMN()),INDEX(MO_Common_QEndDate,0,COLUMN())),"N/A")</f>
        <v>N/A</v>
      </c>
      <c r="BU1125" s="785" t="str">
        <f ca="1">IFERROR(_xll.CIQAVG(MO.Ticker.CapIQ,"IQ_LASTSALEPRICE",INDEX(MO_SNA_FPStartDate,0,COLUMN()),INDEX(MO_Common_QEndDate,0,COLUMN())),"N/A")</f>
        <v>N/A</v>
      </c>
      <c r="BV1125" s="1068" t="str">
        <f ca="1">IFERROR(_xll.CIQAVG(MO.Ticker.CapIQ,"IQ_LASTSALEPRICE",INDEX(MO_SNA_FPStartDate,0,COLUMN()),INDEX(MO_Common_QEndDate,0,COLUMN())),"N/A")</f>
        <v>N/A</v>
      </c>
      <c r="BW1125" s="1069"/>
    </row>
    <row r="1126" spans="1:75" hidden="1" outlineLevel="1" x14ac:dyDescent="0.5">
      <c r="A1126" s="1070" t="s">
        <v>1613</v>
      </c>
      <c r="B1126" s="785"/>
      <c r="C1126" s="1066" t="str">
        <f ca="1">IFERROR(_xll.FDS(MO.Ticker.FactSet,"P_PRICE_AVG"&amp;"("&amp;INDEX(MO_SNA_FPStartDate,0,COLUMN())&amp;","&amp;INDEX(MO_Common_QEndDate,0,COLUMN())&amp;",,,,""PRICE"",""CLOSE"")"),"N/A")</f>
        <v>N/A</v>
      </c>
      <c r="D1126" s="1066" t="str">
        <f ca="1">IFERROR(_xll.FDS(MO.Ticker.FactSet,"P_PRICE_AVG"&amp;"("&amp;INDEX(MO_SNA_FPStartDate,0,COLUMN())&amp;","&amp;INDEX(MO_Common_QEndDate,0,COLUMN())&amp;",,,,""PRICE"",""CLOSE"")"),"N/A")</f>
        <v>N/A</v>
      </c>
      <c r="E1126" s="785" t="str">
        <f ca="1">IFERROR(_xll.FDS(MO.Ticker.FactSet,"P_PRICE_AVG"&amp;"("&amp;INDEX(MO_SNA_FPStartDate,0,COLUMN())&amp;","&amp;INDEX(MO_Common_QEndDate,0,COLUMN())&amp;",,,,""PRICE"",""CLOSE"")"),"N/A")</f>
        <v>N/A</v>
      </c>
      <c r="F1126" s="785" t="str">
        <f ca="1">IFERROR(_xll.FDS(MO.Ticker.FactSet,"P_PRICE_AVG"&amp;"("&amp;INDEX(MO_SNA_FPStartDate,0,COLUMN())&amp;","&amp;INDEX(MO_Common_QEndDate,0,COLUMN())&amp;",,,,""PRICE"",""CLOSE"")"),"N/A")</f>
        <v>N/A</v>
      </c>
      <c r="G1126" s="785" t="str">
        <f ca="1">IFERROR(_xll.FDS(MO.Ticker.FactSet,"P_PRICE_AVG"&amp;"("&amp;INDEX(MO_SNA_FPStartDate,0,COLUMN())&amp;","&amp;INDEX(MO_Common_QEndDate,0,COLUMN())&amp;",,,,""PRICE"",""CLOSE"")"),"N/A")</f>
        <v>N/A</v>
      </c>
      <c r="H1126" s="785" t="str">
        <f ca="1">IFERROR(_xll.FDS(MO.Ticker.FactSet,"P_PRICE_AVG"&amp;"("&amp;INDEX(MO_SNA_FPStartDate,0,COLUMN())&amp;","&amp;INDEX(MO_Common_QEndDate,0,COLUMN())&amp;",,,,""PRICE"",""CLOSE"")"),"N/A")</f>
        <v>N/A</v>
      </c>
      <c r="I1126" s="785" t="str">
        <f ca="1">IFERROR(_xll.FDS(MO.Ticker.FactSet,"P_PRICE_AVG"&amp;"("&amp;INDEX(MO_SNA_FPStartDate,0,COLUMN())&amp;","&amp;INDEX(MO_Common_QEndDate,0,COLUMN())&amp;",,,,""PRICE"",""CLOSE"")"),"N/A")</f>
        <v>N/A</v>
      </c>
      <c r="J1126" s="785" t="str">
        <f ca="1">IFERROR(_xll.FDS(MO.Ticker.FactSet,"P_PRICE_AVG"&amp;"("&amp;INDEX(MO_SNA_FPStartDate,0,COLUMN())&amp;","&amp;INDEX(MO_Common_QEndDate,0,COLUMN())&amp;",,,,""PRICE"",""CLOSE"")"),"N/A")</f>
        <v>N/A</v>
      </c>
      <c r="K1126" s="785" t="str">
        <f ca="1">IFERROR(_xll.FDS(MO.Ticker.FactSet,"P_PRICE_AVG"&amp;"("&amp;INDEX(MO_SNA_FPStartDate,0,COLUMN())&amp;","&amp;INDEX(MO_Common_QEndDate,0,COLUMN())&amp;",,,,""PRICE"",""CLOSE"")"),"N/A")</f>
        <v>N/A</v>
      </c>
      <c r="L1126" s="785" t="str">
        <f ca="1">IFERROR(_xll.FDS(MO.Ticker.FactSet,"P_PRICE_AVG"&amp;"("&amp;INDEX(MO_SNA_FPStartDate,0,COLUMN())&amp;","&amp;INDEX(MO_Common_QEndDate,0,COLUMN())&amp;",,,,""PRICE"",""CLOSE"")"),"N/A")</f>
        <v>N/A</v>
      </c>
      <c r="M1126" s="785" t="str">
        <f ca="1">IFERROR(_xll.FDS(MO.Ticker.FactSet,"P_PRICE_AVG"&amp;"("&amp;INDEX(MO_SNA_FPStartDate,0,COLUMN())&amp;","&amp;INDEX(MO_Common_QEndDate,0,COLUMN())&amp;",,,,""PRICE"",""CLOSE"")"),"N/A")</f>
        <v>N/A</v>
      </c>
      <c r="N1126" s="785" t="str">
        <f ca="1">IFERROR(_xll.FDS(MO.Ticker.FactSet,"P_PRICE_AVG"&amp;"("&amp;INDEX(MO_SNA_FPStartDate,0,COLUMN())&amp;","&amp;INDEX(MO_Common_QEndDate,0,COLUMN())&amp;",,,,""PRICE"",""CLOSE"")"),"N/A")</f>
        <v>N/A</v>
      </c>
      <c r="O1126" s="785" t="str">
        <f ca="1">IFERROR(_xll.FDS(MO.Ticker.FactSet,"P_PRICE_AVG"&amp;"("&amp;INDEX(MO_SNA_FPStartDate,0,COLUMN())&amp;","&amp;INDEX(MO_Common_QEndDate,0,COLUMN())&amp;",,,,""PRICE"",""CLOSE"")"),"N/A")</f>
        <v>N/A</v>
      </c>
      <c r="P1126" s="785" t="str">
        <f ca="1">IFERROR(_xll.FDS(MO.Ticker.FactSet,"P_PRICE_AVG"&amp;"("&amp;INDEX(MO_SNA_FPStartDate,0,COLUMN())&amp;","&amp;INDEX(MO_Common_QEndDate,0,COLUMN())&amp;",,,,""PRICE"",""CLOSE"")"),"N/A")</f>
        <v>N/A</v>
      </c>
      <c r="Q1126" s="785" t="str">
        <f ca="1">IFERROR(_xll.FDS(MO.Ticker.FactSet,"P_PRICE_AVG"&amp;"("&amp;INDEX(MO_SNA_FPStartDate,0,COLUMN())&amp;","&amp;INDEX(MO_Common_QEndDate,0,COLUMN())&amp;",,,,""PRICE"",""CLOSE"")"),"N/A")</f>
        <v>N/A</v>
      </c>
      <c r="R1126" s="785" t="str">
        <f ca="1">IFERROR(_xll.FDS(MO.Ticker.FactSet,"P_PRICE_AVG"&amp;"("&amp;INDEX(MO_SNA_FPStartDate,0,COLUMN())&amp;","&amp;INDEX(MO_Common_QEndDate,0,COLUMN())&amp;",,,,""PRICE"",""CLOSE"")"),"N/A")</f>
        <v>N/A</v>
      </c>
      <c r="S1126" s="785" t="str">
        <f ca="1">IFERROR(_xll.FDS(MO.Ticker.FactSet,"P_PRICE_AVG"&amp;"("&amp;INDEX(MO_SNA_FPStartDate,0,COLUMN())&amp;","&amp;INDEX(MO_Common_QEndDate,0,COLUMN())&amp;",,,,""PRICE"",""CLOSE"")"),"N/A")</f>
        <v>N/A</v>
      </c>
      <c r="T1126" s="785" t="str">
        <f ca="1">IFERROR(_xll.FDS(MO.Ticker.FactSet,"P_PRICE_AVG"&amp;"("&amp;INDEX(MO_SNA_FPStartDate,0,COLUMN())&amp;","&amp;INDEX(MO_Common_QEndDate,0,COLUMN())&amp;",,,,""PRICE"",""CLOSE"")"),"N/A")</f>
        <v>N/A</v>
      </c>
      <c r="U1126" s="785" t="str">
        <f ca="1">IFERROR(_xll.FDS(MO.Ticker.FactSet,"P_PRICE_AVG"&amp;"("&amp;INDEX(MO_SNA_FPStartDate,0,COLUMN())&amp;","&amp;INDEX(MO_Common_QEndDate,0,COLUMN())&amp;",,,,""PRICE"",""CLOSE"")"),"N/A")</f>
        <v>N/A</v>
      </c>
      <c r="V1126" s="785" t="str">
        <f ca="1">IFERROR(_xll.FDS(MO.Ticker.FactSet,"P_PRICE_AVG"&amp;"("&amp;INDEX(MO_SNA_FPStartDate,0,COLUMN())&amp;","&amp;INDEX(MO_Common_QEndDate,0,COLUMN())&amp;",,,,""PRICE"",""CLOSE"")"),"N/A")</f>
        <v>N/A</v>
      </c>
      <c r="W1126" s="785" t="str">
        <f ca="1">IFERROR(_xll.FDS(MO.Ticker.FactSet,"P_PRICE_AVG"&amp;"("&amp;INDEX(MO_SNA_FPStartDate,0,COLUMN())&amp;","&amp;INDEX(MO_Common_QEndDate,0,COLUMN())&amp;",,,,""PRICE"",""CLOSE"")"),"N/A")</f>
        <v>N/A</v>
      </c>
      <c r="X1126" s="785" t="str">
        <f ca="1">IFERROR(_xll.FDS(MO.Ticker.FactSet,"P_PRICE_AVG"&amp;"("&amp;INDEX(MO_SNA_FPStartDate,0,COLUMN())&amp;","&amp;INDEX(MO_Common_QEndDate,0,COLUMN())&amp;",,,,""PRICE"",""CLOSE"")"),"N/A")</f>
        <v>N/A</v>
      </c>
      <c r="Y1126" s="785" t="str">
        <f ca="1">IFERROR(_xll.FDS(MO.Ticker.FactSet,"P_PRICE_AVG"&amp;"("&amp;INDEX(MO_SNA_FPStartDate,0,COLUMN())&amp;","&amp;INDEX(MO_Common_QEndDate,0,COLUMN())&amp;",,,,""PRICE"",""CLOSE"")"),"N/A")</f>
        <v>N/A</v>
      </c>
      <c r="Z1126" s="785" t="str">
        <f ca="1">IFERROR(_xll.FDS(MO.Ticker.FactSet,"P_PRICE_AVG"&amp;"("&amp;INDEX(MO_SNA_FPStartDate,0,COLUMN())&amp;","&amp;INDEX(MO_Common_QEndDate,0,COLUMN())&amp;",,,,""PRICE"",""CLOSE"")"),"N/A")</f>
        <v>N/A</v>
      </c>
      <c r="AA1126" s="785" t="str">
        <f ca="1">IFERROR(_xll.FDS(MO.Ticker.FactSet,"P_PRICE_AVG"&amp;"("&amp;INDEX(MO_SNA_FPStartDate,0,COLUMN())&amp;","&amp;INDEX(MO_Common_QEndDate,0,COLUMN())&amp;",,,,""PRICE"",""CLOSE"")"),"N/A")</f>
        <v>N/A</v>
      </c>
      <c r="AB1126" s="785" t="str">
        <f ca="1">IFERROR(_xll.FDS(MO.Ticker.FactSet,"P_PRICE_AVG"&amp;"("&amp;INDEX(MO_SNA_FPStartDate,0,COLUMN())&amp;","&amp;INDEX(MO_Common_QEndDate,0,COLUMN())&amp;",,,,""PRICE"",""CLOSE"")"),"N/A")</f>
        <v>N/A</v>
      </c>
      <c r="AC1126" s="785" t="str">
        <f ca="1">IFERROR(_xll.FDS(MO.Ticker.FactSet,"P_PRICE_AVG"&amp;"("&amp;INDEX(MO_SNA_FPStartDate,0,COLUMN())&amp;","&amp;INDEX(MO_Common_QEndDate,0,COLUMN())&amp;",,,,""PRICE"",""CLOSE"")"),"N/A")</f>
        <v>N/A</v>
      </c>
      <c r="AD1126" s="785" t="str">
        <f ca="1">IFERROR(_xll.FDS(MO.Ticker.FactSet,"P_PRICE_AVG"&amp;"("&amp;INDEX(MO_SNA_FPStartDate,0,COLUMN())&amp;","&amp;INDEX(MO_Common_QEndDate,0,COLUMN())&amp;",,,,""PRICE"",""CLOSE"")"),"N/A")</f>
        <v>N/A</v>
      </c>
      <c r="AE1126" s="785" t="str">
        <f ca="1">IFERROR(_xll.FDS(MO.Ticker.FactSet,"P_PRICE_AVG"&amp;"("&amp;INDEX(MO_SNA_FPStartDate,0,COLUMN())&amp;","&amp;INDEX(MO_Common_QEndDate,0,COLUMN())&amp;",,,,""PRICE"",""CLOSE"")"),"N/A")</f>
        <v>N/A</v>
      </c>
      <c r="AF1126" s="785" t="str">
        <f ca="1">IFERROR(_xll.FDS(MO.Ticker.FactSet,"P_PRICE_AVG"&amp;"("&amp;INDEX(MO_SNA_FPStartDate,0,COLUMN())&amp;","&amp;INDEX(MO_Common_QEndDate,0,COLUMN())&amp;",,,,""PRICE"",""CLOSE"")"),"N/A")</f>
        <v>N/A</v>
      </c>
      <c r="AG1126" s="785" t="str">
        <f ca="1">IFERROR(_xll.FDS(MO.Ticker.FactSet,"P_PRICE_AVG"&amp;"("&amp;INDEX(MO_SNA_FPStartDate,0,COLUMN())&amp;","&amp;INDEX(MO_Common_QEndDate,0,COLUMN())&amp;",,,,""PRICE"",""CLOSE"")"),"N/A")</f>
        <v>N/A</v>
      </c>
      <c r="AH1126" s="785" t="str">
        <f ca="1">IFERROR(_xll.FDS(MO.Ticker.FactSet,"P_PRICE_AVG"&amp;"("&amp;INDEX(MO_SNA_FPStartDate,0,COLUMN())&amp;","&amp;INDEX(MO_Common_QEndDate,0,COLUMN())&amp;",,,,""PRICE"",""CLOSE"")"),"N/A")</f>
        <v>N/A</v>
      </c>
      <c r="AI1126" s="785" t="str">
        <f ca="1">IFERROR(_xll.FDS(MO.Ticker.FactSet,"P_PRICE_AVG"&amp;"("&amp;INDEX(MO_SNA_FPStartDate,0,COLUMN())&amp;","&amp;INDEX(MO_Common_QEndDate,0,COLUMN())&amp;",,,,""PRICE"",""CLOSE"")"),"N/A")</f>
        <v>N/A</v>
      </c>
      <c r="AJ1126" s="785" t="str">
        <f ca="1">IFERROR(_xll.FDS(MO.Ticker.FactSet,"P_PRICE_AVG"&amp;"("&amp;INDEX(MO_SNA_FPStartDate,0,COLUMN())&amp;","&amp;INDEX(MO_Common_QEndDate,0,COLUMN())&amp;",,,,""PRICE"",""CLOSE"")"),"N/A")</f>
        <v>N/A</v>
      </c>
      <c r="AK1126" s="785" t="str">
        <f ca="1">IFERROR(_xll.FDS(MO.Ticker.FactSet,"P_PRICE_AVG"&amp;"("&amp;INDEX(MO_SNA_FPStartDate,0,COLUMN())&amp;","&amp;INDEX(MO_Common_QEndDate,0,COLUMN())&amp;",,,,""PRICE"",""CLOSE"")"),"N/A")</f>
        <v>N/A</v>
      </c>
      <c r="AL1126" s="785" t="str">
        <f ca="1">IFERROR(_xll.FDS(MO.Ticker.FactSet,"P_PRICE_AVG"&amp;"("&amp;INDEX(MO_SNA_FPStartDate,0,COLUMN())&amp;","&amp;INDEX(MO_Common_QEndDate,0,COLUMN())&amp;",,,,""PRICE"",""CLOSE"")"),"N/A")</f>
        <v>N/A</v>
      </c>
      <c r="AM1126" s="785" t="str">
        <f ca="1">IFERROR(_xll.FDS(MO.Ticker.FactSet,"P_PRICE_AVG"&amp;"("&amp;INDEX(MO_SNA_FPStartDate,0,COLUMN())&amp;","&amp;INDEX(MO_Common_QEndDate,0,COLUMN())&amp;",,,,""PRICE"",""CLOSE"")"),"N/A")</f>
        <v>N/A</v>
      </c>
      <c r="AN1126" s="785" t="str">
        <f ca="1">IFERROR(_xll.FDS(MO.Ticker.FactSet,"P_PRICE_AVG"&amp;"("&amp;INDEX(MO_SNA_FPStartDate,0,COLUMN())&amp;","&amp;INDEX(MO_Common_QEndDate,0,COLUMN())&amp;",,,,""PRICE"",""CLOSE"")"),"N/A")</f>
        <v>N/A</v>
      </c>
      <c r="AO1126" s="785" t="str">
        <f ca="1">IFERROR(_xll.FDS(MO.Ticker.FactSet,"P_PRICE_AVG"&amp;"("&amp;INDEX(MO_SNA_FPStartDate,0,COLUMN())&amp;","&amp;INDEX(MO_Common_QEndDate,0,COLUMN())&amp;",,,,""PRICE"",""CLOSE"")"),"N/A")</f>
        <v>N/A</v>
      </c>
      <c r="AP1126" s="785" t="str">
        <f ca="1">IFERROR(_xll.FDS(MO.Ticker.FactSet,"P_PRICE_AVG"&amp;"("&amp;INDEX(MO_SNA_FPStartDate,0,COLUMN())&amp;","&amp;INDEX(MO_Common_QEndDate,0,COLUMN())&amp;",,,,""PRICE"",""CLOSE"")"),"N/A")</f>
        <v>N/A</v>
      </c>
      <c r="AQ1126" s="785" t="str">
        <f ca="1">IFERROR(_xll.FDS(MO.Ticker.FactSet,"P_PRICE_AVG"&amp;"("&amp;INDEX(MO_SNA_FPStartDate,0,COLUMN())&amp;","&amp;INDEX(MO_Common_QEndDate,0,COLUMN())&amp;",,,,""PRICE"",""CLOSE"")"),"N/A")</f>
        <v>N/A</v>
      </c>
      <c r="AR1126" s="785" t="str">
        <f ca="1">IFERROR(_xll.FDS(MO.Ticker.FactSet,"P_PRICE_AVG"&amp;"("&amp;INDEX(MO_SNA_FPStartDate,0,COLUMN())&amp;","&amp;INDEX(MO_Common_QEndDate,0,COLUMN())&amp;",,,,""PRICE"",""CLOSE"")"),"N/A")</f>
        <v>N/A</v>
      </c>
      <c r="AS1126" s="785" t="str">
        <f ca="1">IFERROR(_xll.FDS(MO.Ticker.FactSet,"P_PRICE_AVG"&amp;"("&amp;INDEX(MO_SNA_FPStartDate,0,COLUMN())&amp;","&amp;INDEX(MO_Common_QEndDate,0,COLUMN())&amp;",,,,""PRICE"",""CLOSE"")"),"N/A")</f>
        <v>N/A</v>
      </c>
      <c r="AT1126" s="785" t="str">
        <f ca="1">IFERROR(_xll.FDS(MO.Ticker.FactSet,"P_PRICE_AVG"&amp;"("&amp;INDEX(MO_SNA_FPStartDate,0,COLUMN())&amp;","&amp;INDEX(MO_Common_QEndDate,0,COLUMN())&amp;",,,,""PRICE"",""CLOSE"")"),"N/A")</f>
        <v>N/A</v>
      </c>
      <c r="AU1126" s="785" t="str">
        <f ca="1">IFERROR(_xll.FDS(MO.Ticker.FactSet,"P_PRICE_AVG"&amp;"("&amp;INDEX(MO_SNA_FPStartDate,0,COLUMN())&amp;","&amp;INDEX(MO_Common_QEndDate,0,COLUMN())&amp;",,,,""PRICE"",""CLOSE"")"),"N/A")</f>
        <v>N/A</v>
      </c>
      <c r="AV1126" s="785" t="str">
        <f ca="1">IFERROR(_xll.FDS(MO.Ticker.FactSet,"P_PRICE_AVG"&amp;"("&amp;INDEX(MO_SNA_FPStartDate,0,COLUMN())&amp;","&amp;INDEX(MO_Common_QEndDate,0,COLUMN())&amp;",,,,""PRICE"",""CLOSE"")"),"N/A")</f>
        <v>N/A</v>
      </c>
      <c r="AW1126" s="785" t="str">
        <f ca="1">IFERROR(_xll.FDS(MO.Ticker.FactSet,"P_PRICE_AVG"&amp;"("&amp;INDEX(MO_SNA_FPStartDate,0,COLUMN())&amp;","&amp;INDEX(MO_Common_QEndDate,0,COLUMN())&amp;",,,,""PRICE"",""CLOSE"")"),"N/A")</f>
        <v>N/A</v>
      </c>
      <c r="AX1126" s="785" t="str">
        <f ca="1">IFERROR(_xll.FDS(MO.Ticker.FactSet,"P_PRICE_AVG"&amp;"("&amp;INDEX(MO_SNA_FPStartDate,0,COLUMN())&amp;","&amp;INDEX(MO_Common_QEndDate,0,COLUMN())&amp;",,,,""PRICE"",""CLOSE"")"),"N/A")</f>
        <v>N/A</v>
      </c>
      <c r="AY1126" s="785" t="str">
        <f ca="1">IFERROR(_xll.FDS(MO.Ticker.FactSet,"P_PRICE_AVG"&amp;"("&amp;INDEX(MO_SNA_FPStartDate,0,COLUMN())&amp;","&amp;INDEX(MO_Common_QEndDate,0,COLUMN())&amp;",,,,""PRICE"",""CLOSE"")"),"N/A")</f>
        <v>N/A</v>
      </c>
      <c r="AZ1126" s="785" t="str">
        <f ca="1">IFERROR(_xll.FDS(MO.Ticker.FactSet,"P_PRICE_AVG"&amp;"("&amp;INDEX(MO_SNA_FPStartDate,0,COLUMN())&amp;","&amp;INDEX(MO_Common_QEndDate,0,COLUMN())&amp;",,,,""PRICE"",""CLOSE"")"),"N/A")</f>
        <v>N/A</v>
      </c>
      <c r="BA1126" s="785" t="str">
        <f ca="1">IFERROR(_xll.FDS(MO.Ticker.FactSet,"P_PRICE_AVG"&amp;"("&amp;INDEX(MO_SNA_FPStartDate,0,COLUMN())&amp;","&amp;INDEX(MO_Common_QEndDate,0,COLUMN())&amp;",,,,""PRICE"",""CLOSE"")"),"N/A")</f>
        <v>N/A</v>
      </c>
      <c r="BB1126" s="785" t="str">
        <f ca="1">IFERROR(_xll.FDS(MO.Ticker.FactSet,"P_PRICE_AVG"&amp;"("&amp;INDEX(MO_SNA_FPStartDate,0,COLUMN())&amp;","&amp;INDEX(MO_Common_QEndDate,0,COLUMN())&amp;",,,,""PRICE"",""CLOSE"")"),"N/A")</f>
        <v>N/A</v>
      </c>
      <c r="BC1126" s="785" t="str">
        <f ca="1">IFERROR(_xll.FDS(MO.Ticker.FactSet,"P_PRICE_AVG"&amp;"("&amp;INDEX(MO_SNA_FPStartDate,0,COLUMN())&amp;","&amp;INDEX(MO_Common_QEndDate,0,COLUMN())&amp;",,,,""PRICE"",""CLOSE"")"),"N/A")</f>
        <v>N/A</v>
      </c>
      <c r="BD1126" s="785" t="str">
        <f ca="1">IFERROR(_xll.FDS(MO.Ticker.FactSet,"P_PRICE_AVG"&amp;"("&amp;INDEX(MO_SNA_FPStartDate,0,COLUMN())&amp;","&amp;INDEX(MO_Common_QEndDate,0,COLUMN())&amp;",,,,""PRICE"",""CLOSE"")"),"N/A")</f>
        <v>N/A</v>
      </c>
      <c r="BE1126" s="785" t="str">
        <f ca="1">IFERROR(_xll.FDS(MO.Ticker.FactSet,"P_PRICE_AVG"&amp;"("&amp;INDEX(MO_SNA_FPStartDate,0,COLUMN())&amp;","&amp;INDEX(MO_Common_QEndDate,0,COLUMN())&amp;",,,,""PRICE"",""CLOSE"")"),"N/A")</f>
        <v>N/A</v>
      </c>
      <c r="BF1126" s="785" t="str">
        <f ca="1">IFERROR(_xll.FDS(MO.Ticker.FactSet,"P_PRICE_AVG"&amp;"("&amp;INDEX(MO_SNA_FPStartDate,0,COLUMN())&amp;","&amp;INDEX(MO_Common_QEndDate,0,COLUMN())&amp;",,,,""PRICE"",""CLOSE"")"),"N/A")</f>
        <v>N/A</v>
      </c>
      <c r="BG1126" s="785" t="str">
        <f ca="1">IFERROR(_xll.FDS(MO.Ticker.FactSet,"P_PRICE_AVG"&amp;"("&amp;INDEX(MO_SNA_FPStartDate,0,COLUMN())&amp;","&amp;INDEX(MO_Common_QEndDate,0,COLUMN())&amp;",,,,""PRICE"",""CLOSE"")"),"N/A")</f>
        <v>N/A</v>
      </c>
      <c r="BH1126" s="785" t="str">
        <f ca="1">IFERROR(_xll.FDS(MO.Ticker.FactSet,"P_PRICE_AVG"&amp;"("&amp;INDEX(MO_SNA_FPStartDate,0,COLUMN())&amp;","&amp;INDEX(MO_Common_QEndDate,0,COLUMN())&amp;",,,,""PRICE"",""CLOSE"")"),"N/A")</f>
        <v>N/A</v>
      </c>
      <c r="BI1126" s="785" t="str">
        <f ca="1">IFERROR(_xll.FDS(MO.Ticker.FactSet,"P_PRICE_AVG"&amp;"("&amp;INDEX(MO_SNA_FPStartDate,0,COLUMN())&amp;","&amp;INDEX(MO_Common_QEndDate,0,COLUMN())&amp;",,,,""PRICE"",""CLOSE"")"),"N/A")</f>
        <v>N/A</v>
      </c>
      <c r="BJ1126" s="1067" t="str">
        <f ca="1">IFERROR(_xll.FDS(MO.Ticker.FactSet,"P_PRICE_AVG"&amp;"("&amp;INDEX(MO_SNA_FPStartDate,0,COLUMN())&amp;","&amp;INDEX(MO_Common_QEndDate,0,COLUMN())&amp;",,,,""PRICE"",""CLOSE"")"),"N/A")</f>
        <v>N/A</v>
      </c>
      <c r="BK1126" s="785" t="str">
        <f ca="1">IFERROR(_xll.FDS(MO.Ticker.FactSet,"P_PRICE_AVG"&amp;"("&amp;INDEX(MO_SNA_FPStartDate,0,COLUMN())&amp;","&amp;INDEX(MO_Common_QEndDate,0,COLUMN())&amp;",,,,""PRICE"",""CLOSE"")"),"N/A")</f>
        <v>N/A</v>
      </c>
      <c r="BL1126" s="785" t="str">
        <f ca="1">IFERROR(_xll.FDS(MO.Ticker.FactSet,"P_PRICE_AVG"&amp;"("&amp;INDEX(MO_SNA_FPStartDate,0,COLUMN())&amp;","&amp;INDEX(MO_Common_QEndDate,0,COLUMN())&amp;",,,,""PRICE"",""CLOSE"")"),"N/A")</f>
        <v>N/A</v>
      </c>
      <c r="BM1126" s="785" t="str">
        <f ca="1">IFERROR(_xll.FDS(MO.Ticker.FactSet,"P_PRICE_AVG"&amp;"("&amp;INDEX(MO_SNA_FPStartDate,0,COLUMN())&amp;","&amp;INDEX(MO_Common_QEndDate,0,COLUMN())&amp;",,,,""PRICE"",""CLOSE"")"),"N/A")</f>
        <v>N/A</v>
      </c>
      <c r="BN1126" s="785" t="str">
        <f ca="1">IFERROR(_xll.FDS(MO.Ticker.FactSet,"P_PRICE_AVG"&amp;"("&amp;INDEX(MO_SNA_FPStartDate,0,COLUMN())&amp;","&amp;INDEX(MO_Common_QEndDate,0,COLUMN())&amp;",,,,""PRICE"",""CLOSE"")"),"N/A")</f>
        <v>N/A</v>
      </c>
      <c r="BO1126" s="785" t="str">
        <f ca="1">IFERROR(_xll.FDS(MO.Ticker.FactSet,"P_PRICE_AVG"&amp;"("&amp;INDEX(MO_SNA_FPStartDate,0,COLUMN())&amp;","&amp;INDEX(MO_Common_QEndDate,0,COLUMN())&amp;",,,,""PRICE"",""CLOSE"")"),"N/A")</f>
        <v>N/A</v>
      </c>
      <c r="BP1126" s="785" t="str">
        <f ca="1">IFERROR(_xll.FDS(MO.Ticker.FactSet,"P_PRICE_AVG"&amp;"("&amp;INDEX(MO_SNA_FPStartDate,0,COLUMN())&amp;","&amp;INDEX(MO_Common_QEndDate,0,COLUMN())&amp;",,,,""PRICE"",""CLOSE"")"),"N/A")</f>
        <v>N/A</v>
      </c>
      <c r="BQ1126" s="785" t="str">
        <f ca="1">IFERROR(_xll.FDS(MO.Ticker.FactSet,"P_PRICE_AVG"&amp;"("&amp;INDEX(MO_SNA_FPStartDate,0,COLUMN())&amp;","&amp;INDEX(MO_Common_QEndDate,0,COLUMN())&amp;",,,,""PRICE"",""CLOSE"")"),"N/A")</f>
        <v>N/A</v>
      </c>
      <c r="BR1126" s="785" t="str">
        <f ca="1">IFERROR(_xll.FDS(MO.Ticker.FactSet,"P_PRICE_AVG"&amp;"("&amp;INDEX(MO_SNA_FPStartDate,0,COLUMN())&amp;","&amp;INDEX(MO_Common_QEndDate,0,COLUMN())&amp;",,,,""PRICE"",""CLOSE"")"),"N/A")</f>
        <v>N/A</v>
      </c>
      <c r="BS1126" s="785" t="str">
        <f ca="1">IFERROR(_xll.FDS(MO.Ticker.FactSet,"P_PRICE_AVG"&amp;"("&amp;INDEX(MO_SNA_FPStartDate,0,COLUMN())&amp;","&amp;INDEX(MO_Common_QEndDate,0,COLUMN())&amp;",,,,""PRICE"",""CLOSE"")"),"N/A")</f>
        <v>N/A</v>
      </c>
      <c r="BT1126" s="785" t="str">
        <f ca="1">IFERROR(_xll.FDS(MO.Ticker.FactSet,"P_PRICE_AVG"&amp;"("&amp;INDEX(MO_SNA_FPStartDate,0,COLUMN())&amp;","&amp;INDEX(MO_Common_QEndDate,0,COLUMN())&amp;",,,,""PRICE"",""CLOSE"")"),"N/A")</f>
        <v>N/A</v>
      </c>
      <c r="BU1126" s="785" t="str">
        <f ca="1">IFERROR(_xll.FDS(MO.Ticker.FactSet,"P_PRICE_AVG"&amp;"("&amp;INDEX(MO_SNA_FPStartDate,0,COLUMN())&amp;","&amp;INDEX(MO_Common_QEndDate,0,COLUMN())&amp;",,,,""PRICE"",""CLOSE"")"),"N/A")</f>
        <v>N/A</v>
      </c>
      <c r="BV1126" s="1068" t="str">
        <f ca="1">IFERROR(_xll.FDS(MO.Ticker.FactSet,"P_PRICE_AVG"&amp;"("&amp;INDEX(MO_SNA_FPStartDate,0,COLUMN())&amp;","&amp;INDEX(MO_Common_QEndDate,0,COLUMN())&amp;",,,,""PRICE"",""CLOSE"")"),"N/A")</f>
        <v>N/A</v>
      </c>
      <c r="BW1126" s="1069"/>
    </row>
    <row r="1127" spans="1:75" hidden="1" outlineLevel="1" x14ac:dyDescent="0.5">
      <c r="A1127" s="1070" t="s">
        <v>1614</v>
      </c>
      <c r="B1127" s="785"/>
      <c r="C1127" s="1066" t="str">
        <f ca="1">IFERROR(_xll.TR(MO.Ticker.Thomson,"AVG(TR.Priceclose)","sdate:#1 edate:#2",,INDEX(MO_SNA_FPStartDate,0,COLUMN()),INDEX(MO_Common_QEndDate,0,COLUMN())),"N/A")</f>
        <v>N/A</v>
      </c>
      <c r="D1127" s="1066" t="str">
        <f ca="1">IFERROR(_xll.TR(MO.Ticker.Thomson,"AVG(TR.Priceclose)","sdate:#1 edate:#2",,INDEX(MO_SNA_FPStartDate,0,COLUMN()),INDEX(MO_Common_QEndDate,0,COLUMN())),"N/A")</f>
        <v>N/A</v>
      </c>
      <c r="E1127" s="785" t="str">
        <f ca="1">IFERROR(_xll.TR(MO.Ticker.Thomson,"AVG(TR.Priceclose)","sdate:#1 edate:#2",,INDEX(MO_SNA_FPStartDate,0,COLUMN()),INDEX(MO_Common_QEndDate,0,COLUMN())),"N/A")</f>
        <v>N/A</v>
      </c>
      <c r="F1127" s="785" t="str">
        <f ca="1">IFERROR(_xll.TR(MO.Ticker.Thomson,"AVG(TR.Priceclose)","sdate:#1 edate:#2",,INDEX(MO_SNA_FPStartDate,0,COLUMN()),INDEX(MO_Common_QEndDate,0,COLUMN())),"N/A")</f>
        <v>N/A</v>
      </c>
      <c r="G1127" s="785" t="str">
        <f ca="1">IFERROR(_xll.TR(MO.Ticker.Thomson,"AVG(TR.Priceclose)","sdate:#1 edate:#2",,INDEX(MO_SNA_FPStartDate,0,COLUMN()),INDEX(MO_Common_QEndDate,0,COLUMN())),"N/A")</f>
        <v>N/A</v>
      </c>
      <c r="H1127" s="785" t="str">
        <f ca="1">IFERROR(_xll.TR(MO.Ticker.Thomson,"AVG(TR.Priceclose)","sdate:#1 edate:#2",,INDEX(MO_SNA_FPStartDate,0,COLUMN()),INDEX(MO_Common_QEndDate,0,COLUMN())),"N/A")</f>
        <v>N/A</v>
      </c>
      <c r="I1127" s="785" t="str">
        <f ca="1">IFERROR(_xll.TR(MO.Ticker.Thomson,"AVG(TR.Priceclose)","sdate:#1 edate:#2",,INDEX(MO_SNA_FPStartDate,0,COLUMN()),INDEX(MO_Common_QEndDate,0,COLUMN())),"N/A")</f>
        <v>N/A</v>
      </c>
      <c r="J1127" s="785" t="str">
        <f ca="1">IFERROR(_xll.TR(MO.Ticker.Thomson,"AVG(TR.Priceclose)","sdate:#1 edate:#2",,INDEX(MO_SNA_FPStartDate,0,COLUMN()),INDEX(MO_Common_QEndDate,0,COLUMN())),"N/A")</f>
        <v>N/A</v>
      </c>
      <c r="K1127" s="785" t="str">
        <f ca="1">IFERROR(_xll.TR(MO.Ticker.Thomson,"AVG(TR.Priceclose)","sdate:#1 edate:#2",,INDEX(MO_SNA_FPStartDate,0,COLUMN()),INDEX(MO_Common_QEndDate,0,COLUMN())),"N/A")</f>
        <v>N/A</v>
      </c>
      <c r="L1127" s="785" t="str">
        <f ca="1">IFERROR(_xll.TR(MO.Ticker.Thomson,"AVG(TR.Priceclose)","sdate:#1 edate:#2",,INDEX(MO_SNA_FPStartDate,0,COLUMN()),INDEX(MO_Common_QEndDate,0,COLUMN())),"N/A")</f>
        <v>N/A</v>
      </c>
      <c r="M1127" s="785" t="str">
        <f ca="1">IFERROR(_xll.TR(MO.Ticker.Thomson,"AVG(TR.Priceclose)","sdate:#1 edate:#2",,INDEX(MO_SNA_FPStartDate,0,COLUMN()),INDEX(MO_Common_QEndDate,0,COLUMN())),"N/A")</f>
        <v>N/A</v>
      </c>
      <c r="N1127" s="785" t="str">
        <f ca="1">IFERROR(_xll.TR(MO.Ticker.Thomson,"AVG(TR.Priceclose)","sdate:#1 edate:#2",,INDEX(MO_SNA_FPStartDate,0,COLUMN()),INDEX(MO_Common_QEndDate,0,COLUMN())),"N/A")</f>
        <v>N/A</v>
      </c>
      <c r="O1127" s="785" t="str">
        <f ca="1">IFERROR(_xll.TR(MO.Ticker.Thomson,"AVG(TR.Priceclose)","sdate:#1 edate:#2",,INDEX(MO_SNA_FPStartDate,0,COLUMN()),INDEX(MO_Common_QEndDate,0,COLUMN())),"N/A")</f>
        <v>N/A</v>
      </c>
      <c r="P1127" s="785" t="str">
        <f ca="1">IFERROR(_xll.TR(MO.Ticker.Thomson,"AVG(TR.Priceclose)","sdate:#1 edate:#2",,INDEX(MO_SNA_FPStartDate,0,COLUMN()),INDEX(MO_Common_QEndDate,0,COLUMN())),"N/A")</f>
        <v>N/A</v>
      </c>
      <c r="Q1127" s="785" t="str">
        <f ca="1">IFERROR(_xll.TR(MO.Ticker.Thomson,"AVG(TR.Priceclose)","sdate:#1 edate:#2",,INDEX(MO_SNA_FPStartDate,0,COLUMN()),INDEX(MO_Common_QEndDate,0,COLUMN())),"N/A")</f>
        <v>N/A</v>
      </c>
      <c r="R1127" s="785" t="str">
        <f ca="1">IFERROR(_xll.TR(MO.Ticker.Thomson,"AVG(TR.Priceclose)","sdate:#1 edate:#2",,INDEX(MO_SNA_FPStartDate,0,COLUMN()),INDEX(MO_Common_QEndDate,0,COLUMN())),"N/A")</f>
        <v>N/A</v>
      </c>
      <c r="S1127" s="785" t="str">
        <f ca="1">IFERROR(_xll.TR(MO.Ticker.Thomson,"AVG(TR.Priceclose)","sdate:#1 edate:#2",,INDEX(MO_SNA_FPStartDate,0,COLUMN()),INDEX(MO_Common_QEndDate,0,COLUMN())),"N/A")</f>
        <v>N/A</v>
      </c>
      <c r="T1127" s="785" t="str">
        <f ca="1">IFERROR(_xll.TR(MO.Ticker.Thomson,"AVG(TR.Priceclose)","sdate:#1 edate:#2",,INDEX(MO_SNA_FPStartDate,0,COLUMN()),INDEX(MO_Common_QEndDate,0,COLUMN())),"N/A")</f>
        <v>N/A</v>
      </c>
      <c r="U1127" s="785" t="str">
        <f ca="1">IFERROR(_xll.TR(MO.Ticker.Thomson,"AVG(TR.Priceclose)","sdate:#1 edate:#2",,INDEX(MO_SNA_FPStartDate,0,COLUMN()),INDEX(MO_Common_QEndDate,0,COLUMN())),"N/A")</f>
        <v>N/A</v>
      </c>
      <c r="V1127" s="785" t="str">
        <f ca="1">IFERROR(_xll.TR(MO.Ticker.Thomson,"AVG(TR.Priceclose)","sdate:#1 edate:#2",,INDEX(MO_SNA_FPStartDate,0,COLUMN()),INDEX(MO_Common_QEndDate,0,COLUMN())),"N/A")</f>
        <v>N/A</v>
      </c>
      <c r="W1127" s="785" t="str">
        <f ca="1">IFERROR(_xll.TR(MO.Ticker.Thomson,"AVG(TR.Priceclose)","sdate:#1 edate:#2",,INDEX(MO_SNA_FPStartDate,0,COLUMN()),INDEX(MO_Common_QEndDate,0,COLUMN())),"N/A")</f>
        <v>N/A</v>
      </c>
      <c r="X1127" s="785" t="str">
        <f ca="1">IFERROR(_xll.TR(MO.Ticker.Thomson,"AVG(TR.Priceclose)","sdate:#1 edate:#2",,INDEX(MO_SNA_FPStartDate,0,COLUMN()),INDEX(MO_Common_QEndDate,0,COLUMN())),"N/A")</f>
        <v>N/A</v>
      </c>
      <c r="Y1127" s="785" t="str">
        <f ca="1">IFERROR(_xll.TR(MO.Ticker.Thomson,"AVG(TR.Priceclose)","sdate:#1 edate:#2",,INDEX(MO_SNA_FPStartDate,0,COLUMN()),INDEX(MO_Common_QEndDate,0,COLUMN())),"N/A")</f>
        <v>N/A</v>
      </c>
      <c r="Z1127" s="785" t="str">
        <f ca="1">IFERROR(_xll.TR(MO.Ticker.Thomson,"AVG(TR.Priceclose)","sdate:#1 edate:#2",,INDEX(MO_SNA_FPStartDate,0,COLUMN()),INDEX(MO_Common_QEndDate,0,COLUMN())),"N/A")</f>
        <v>N/A</v>
      </c>
      <c r="AA1127" s="785" t="str">
        <f ca="1">IFERROR(_xll.TR(MO.Ticker.Thomson,"AVG(TR.Priceclose)","sdate:#1 edate:#2",,INDEX(MO_SNA_FPStartDate,0,COLUMN()),INDEX(MO_Common_QEndDate,0,COLUMN())),"N/A")</f>
        <v>N/A</v>
      </c>
      <c r="AB1127" s="785" t="str">
        <f ca="1">IFERROR(_xll.TR(MO.Ticker.Thomson,"AVG(TR.Priceclose)","sdate:#1 edate:#2",,INDEX(MO_SNA_FPStartDate,0,COLUMN()),INDEX(MO_Common_QEndDate,0,COLUMN())),"N/A")</f>
        <v>N/A</v>
      </c>
      <c r="AC1127" s="785" t="str">
        <f ca="1">IFERROR(_xll.TR(MO.Ticker.Thomson,"AVG(TR.Priceclose)","sdate:#1 edate:#2",,INDEX(MO_SNA_FPStartDate,0,COLUMN()),INDEX(MO_Common_QEndDate,0,COLUMN())),"N/A")</f>
        <v>N/A</v>
      </c>
      <c r="AD1127" s="785" t="str">
        <f ca="1">IFERROR(_xll.TR(MO.Ticker.Thomson,"AVG(TR.Priceclose)","sdate:#1 edate:#2",,INDEX(MO_SNA_FPStartDate,0,COLUMN()),INDEX(MO_Common_QEndDate,0,COLUMN())),"N/A")</f>
        <v>N/A</v>
      </c>
      <c r="AE1127" s="785" t="str">
        <f ca="1">IFERROR(_xll.TR(MO.Ticker.Thomson,"AVG(TR.Priceclose)","sdate:#1 edate:#2",,INDEX(MO_SNA_FPStartDate,0,COLUMN()),INDEX(MO_Common_QEndDate,0,COLUMN())),"N/A")</f>
        <v>N/A</v>
      </c>
      <c r="AF1127" s="785" t="str">
        <f ca="1">IFERROR(_xll.TR(MO.Ticker.Thomson,"AVG(TR.Priceclose)","sdate:#1 edate:#2",,INDEX(MO_SNA_FPStartDate,0,COLUMN()),INDEX(MO_Common_QEndDate,0,COLUMN())),"N/A")</f>
        <v>N/A</v>
      </c>
      <c r="AG1127" s="785" t="str">
        <f ca="1">IFERROR(_xll.TR(MO.Ticker.Thomson,"AVG(TR.Priceclose)","sdate:#1 edate:#2",,INDEX(MO_SNA_FPStartDate,0,COLUMN()),INDEX(MO_Common_QEndDate,0,COLUMN())),"N/A")</f>
        <v>N/A</v>
      </c>
      <c r="AH1127" s="785" t="str">
        <f ca="1">IFERROR(_xll.TR(MO.Ticker.Thomson,"AVG(TR.Priceclose)","sdate:#1 edate:#2",,INDEX(MO_SNA_FPStartDate,0,COLUMN()),INDEX(MO_Common_QEndDate,0,COLUMN())),"N/A")</f>
        <v>N/A</v>
      </c>
      <c r="AI1127" s="785" t="str">
        <f ca="1">IFERROR(_xll.TR(MO.Ticker.Thomson,"AVG(TR.Priceclose)","sdate:#1 edate:#2",,INDEX(MO_SNA_FPStartDate,0,COLUMN()),INDEX(MO_Common_QEndDate,0,COLUMN())),"N/A")</f>
        <v>N/A</v>
      </c>
      <c r="AJ1127" s="785" t="str">
        <f ca="1">IFERROR(_xll.TR(MO.Ticker.Thomson,"AVG(TR.Priceclose)","sdate:#1 edate:#2",,INDEX(MO_SNA_FPStartDate,0,COLUMN()),INDEX(MO_Common_QEndDate,0,COLUMN())),"N/A")</f>
        <v>N/A</v>
      </c>
      <c r="AK1127" s="785" t="str">
        <f ca="1">IFERROR(_xll.TR(MO.Ticker.Thomson,"AVG(TR.Priceclose)","sdate:#1 edate:#2",,INDEX(MO_SNA_FPStartDate,0,COLUMN()),INDEX(MO_Common_QEndDate,0,COLUMN())),"N/A")</f>
        <v>N/A</v>
      </c>
      <c r="AL1127" s="785" t="str">
        <f ca="1">IFERROR(_xll.TR(MO.Ticker.Thomson,"AVG(TR.Priceclose)","sdate:#1 edate:#2",,INDEX(MO_SNA_FPStartDate,0,COLUMN()),INDEX(MO_Common_QEndDate,0,COLUMN())),"N/A")</f>
        <v>N/A</v>
      </c>
      <c r="AM1127" s="785" t="str">
        <f ca="1">IFERROR(_xll.TR(MO.Ticker.Thomson,"AVG(TR.Priceclose)","sdate:#1 edate:#2",,INDEX(MO_SNA_FPStartDate,0,COLUMN()),INDEX(MO_Common_QEndDate,0,COLUMN())),"N/A")</f>
        <v>N/A</v>
      </c>
      <c r="AN1127" s="785" t="str">
        <f ca="1">IFERROR(_xll.TR(MO.Ticker.Thomson,"AVG(TR.Priceclose)","sdate:#1 edate:#2",,INDEX(MO_SNA_FPStartDate,0,COLUMN()),INDEX(MO_Common_QEndDate,0,COLUMN())),"N/A")</f>
        <v>N/A</v>
      </c>
      <c r="AO1127" s="785" t="str">
        <f ca="1">IFERROR(_xll.TR(MO.Ticker.Thomson,"AVG(TR.Priceclose)","sdate:#1 edate:#2",,INDEX(MO_SNA_FPStartDate,0,COLUMN()),INDEX(MO_Common_QEndDate,0,COLUMN())),"N/A")</f>
        <v>N/A</v>
      </c>
      <c r="AP1127" s="785" t="str">
        <f ca="1">IFERROR(_xll.TR(MO.Ticker.Thomson,"AVG(TR.Priceclose)","sdate:#1 edate:#2",,INDEX(MO_SNA_FPStartDate,0,COLUMN()),INDEX(MO_Common_QEndDate,0,COLUMN())),"N/A")</f>
        <v>N/A</v>
      </c>
      <c r="AQ1127" s="785" t="str">
        <f ca="1">IFERROR(_xll.TR(MO.Ticker.Thomson,"AVG(TR.Priceclose)","sdate:#1 edate:#2",,INDEX(MO_SNA_FPStartDate,0,COLUMN()),INDEX(MO_Common_QEndDate,0,COLUMN())),"N/A")</f>
        <v>N/A</v>
      </c>
      <c r="AR1127" s="785" t="str">
        <f ca="1">IFERROR(_xll.TR(MO.Ticker.Thomson,"AVG(TR.Priceclose)","sdate:#1 edate:#2",,INDEX(MO_SNA_FPStartDate,0,COLUMN()),INDEX(MO_Common_QEndDate,0,COLUMN())),"N/A")</f>
        <v>N/A</v>
      </c>
      <c r="AS1127" s="785" t="str">
        <f ca="1">IFERROR(_xll.TR(MO.Ticker.Thomson,"AVG(TR.Priceclose)","sdate:#1 edate:#2",,INDEX(MO_SNA_FPStartDate,0,COLUMN()),INDEX(MO_Common_QEndDate,0,COLUMN())),"N/A")</f>
        <v>N/A</v>
      </c>
      <c r="AT1127" s="785" t="str">
        <f ca="1">IFERROR(_xll.TR(MO.Ticker.Thomson,"AVG(TR.Priceclose)","sdate:#1 edate:#2",,INDEX(MO_SNA_FPStartDate,0,COLUMN()),INDEX(MO_Common_QEndDate,0,COLUMN())),"N/A")</f>
        <v>N/A</v>
      </c>
      <c r="AU1127" s="785" t="str">
        <f ca="1">IFERROR(_xll.TR(MO.Ticker.Thomson,"AVG(TR.Priceclose)","sdate:#1 edate:#2",,INDEX(MO_SNA_FPStartDate,0,COLUMN()),INDEX(MO_Common_QEndDate,0,COLUMN())),"N/A")</f>
        <v>N/A</v>
      </c>
      <c r="AV1127" s="785" t="str">
        <f ca="1">IFERROR(_xll.TR(MO.Ticker.Thomson,"AVG(TR.Priceclose)","sdate:#1 edate:#2",,INDEX(MO_SNA_FPStartDate,0,COLUMN()),INDEX(MO_Common_QEndDate,0,COLUMN())),"N/A")</f>
        <v>N/A</v>
      </c>
      <c r="AW1127" s="785" t="str">
        <f ca="1">IFERROR(_xll.TR(MO.Ticker.Thomson,"AVG(TR.Priceclose)","sdate:#1 edate:#2",,INDEX(MO_SNA_FPStartDate,0,COLUMN()),INDEX(MO_Common_QEndDate,0,COLUMN())),"N/A")</f>
        <v>N/A</v>
      </c>
      <c r="AX1127" s="785" t="str">
        <f ca="1">IFERROR(_xll.TR(MO.Ticker.Thomson,"AVG(TR.Priceclose)","sdate:#1 edate:#2",,INDEX(MO_SNA_FPStartDate,0,COLUMN()),INDEX(MO_Common_QEndDate,0,COLUMN())),"N/A")</f>
        <v>N/A</v>
      </c>
      <c r="AY1127" s="785" t="str">
        <f ca="1">IFERROR(_xll.TR(MO.Ticker.Thomson,"AVG(TR.Priceclose)","sdate:#1 edate:#2",,INDEX(MO_SNA_FPStartDate,0,COLUMN()),INDEX(MO_Common_QEndDate,0,COLUMN())),"N/A")</f>
        <v>N/A</v>
      </c>
      <c r="AZ1127" s="785" t="str">
        <f ca="1">IFERROR(_xll.TR(MO.Ticker.Thomson,"AVG(TR.Priceclose)","sdate:#1 edate:#2",,INDEX(MO_SNA_FPStartDate,0,COLUMN()),INDEX(MO_Common_QEndDate,0,COLUMN())),"N/A")</f>
        <v>N/A</v>
      </c>
      <c r="BA1127" s="785" t="str">
        <f ca="1">IFERROR(_xll.TR(MO.Ticker.Thomson,"AVG(TR.Priceclose)","sdate:#1 edate:#2",,INDEX(MO_SNA_FPStartDate,0,COLUMN()),INDEX(MO_Common_QEndDate,0,COLUMN())),"N/A")</f>
        <v>N/A</v>
      </c>
      <c r="BB1127" s="785" t="str">
        <f ca="1">IFERROR(_xll.TR(MO.Ticker.Thomson,"AVG(TR.Priceclose)","sdate:#1 edate:#2",,INDEX(MO_SNA_FPStartDate,0,COLUMN()),INDEX(MO_Common_QEndDate,0,COLUMN())),"N/A")</f>
        <v>N/A</v>
      </c>
      <c r="BC1127" s="785" t="str">
        <f ca="1">IFERROR(_xll.TR(MO.Ticker.Thomson,"AVG(TR.Priceclose)","sdate:#1 edate:#2",,INDEX(MO_SNA_FPStartDate,0,COLUMN()),INDEX(MO_Common_QEndDate,0,COLUMN())),"N/A")</f>
        <v>N/A</v>
      </c>
      <c r="BD1127" s="785" t="str">
        <f ca="1">IFERROR(_xll.TR(MO.Ticker.Thomson,"AVG(TR.Priceclose)","sdate:#1 edate:#2",,INDEX(MO_SNA_FPStartDate,0,COLUMN()),INDEX(MO_Common_QEndDate,0,COLUMN())),"N/A")</f>
        <v>N/A</v>
      </c>
      <c r="BE1127" s="785" t="str">
        <f ca="1">IFERROR(_xll.TR(MO.Ticker.Thomson,"AVG(TR.Priceclose)","sdate:#1 edate:#2",,INDEX(MO_SNA_FPStartDate,0,COLUMN()),INDEX(MO_Common_QEndDate,0,COLUMN())),"N/A")</f>
        <v>N/A</v>
      </c>
      <c r="BF1127" s="785" t="str">
        <f ca="1">IFERROR(_xll.TR(MO.Ticker.Thomson,"AVG(TR.Priceclose)","sdate:#1 edate:#2",,INDEX(MO_SNA_FPStartDate,0,COLUMN()),INDEX(MO_Common_QEndDate,0,COLUMN())),"N/A")</f>
        <v>N/A</v>
      </c>
      <c r="BG1127" s="785" t="str">
        <f ca="1">IFERROR(_xll.TR(MO.Ticker.Thomson,"AVG(TR.Priceclose)","sdate:#1 edate:#2",,INDEX(MO_SNA_FPStartDate,0,COLUMN()),INDEX(MO_Common_QEndDate,0,COLUMN())),"N/A")</f>
        <v>N/A</v>
      </c>
      <c r="BH1127" s="785" t="str">
        <f ca="1">IFERROR(_xll.TR(MO.Ticker.Thomson,"AVG(TR.Priceclose)","sdate:#1 edate:#2",,INDEX(MO_SNA_FPStartDate,0,COLUMN()),INDEX(MO_Common_QEndDate,0,COLUMN())),"N/A")</f>
        <v>N/A</v>
      </c>
      <c r="BI1127" s="785" t="str">
        <f ca="1">IFERROR(_xll.TR(MO.Ticker.Thomson,"AVG(TR.Priceclose)","sdate:#1 edate:#2",,INDEX(MO_SNA_FPStartDate,0,COLUMN()),INDEX(MO_Common_QEndDate,0,COLUMN())),"N/A")</f>
        <v>N/A</v>
      </c>
      <c r="BJ1127" s="1067" t="str">
        <f ca="1">IFERROR(_xll.TR(MO.Ticker.Thomson,"AVG(TR.Priceclose)","sdate:#1 edate:#2",,INDEX(MO_SNA_FPStartDate,0,COLUMN()),INDEX(MO_Common_QEndDate,0,COLUMN())),"N/A")</f>
        <v>N/A</v>
      </c>
      <c r="BK1127" s="785" t="str">
        <f ca="1">IFERROR(_xll.TR(MO.Ticker.Thomson,"AVG(TR.Priceclose)","sdate:#1 edate:#2",,INDEX(MO_SNA_FPStartDate,0,COLUMN()),INDEX(MO_Common_QEndDate,0,COLUMN())),"N/A")</f>
        <v>N/A</v>
      </c>
      <c r="BL1127" s="785" t="str">
        <f ca="1">IFERROR(_xll.TR(MO.Ticker.Thomson,"AVG(TR.Priceclose)","sdate:#1 edate:#2",,INDEX(MO_SNA_FPStartDate,0,COLUMN()),INDEX(MO_Common_QEndDate,0,COLUMN())),"N/A")</f>
        <v>N/A</v>
      </c>
      <c r="BM1127" s="785" t="str">
        <f ca="1">IFERROR(_xll.TR(MO.Ticker.Thomson,"AVG(TR.Priceclose)","sdate:#1 edate:#2",,INDEX(MO_SNA_FPStartDate,0,COLUMN()),INDEX(MO_Common_QEndDate,0,COLUMN())),"N/A")</f>
        <v>N/A</v>
      </c>
      <c r="BN1127" s="785" t="str">
        <f ca="1">IFERROR(_xll.TR(MO.Ticker.Thomson,"AVG(TR.Priceclose)","sdate:#1 edate:#2",,INDEX(MO_SNA_FPStartDate,0,COLUMN()),INDEX(MO_Common_QEndDate,0,COLUMN())),"N/A")</f>
        <v>N/A</v>
      </c>
      <c r="BO1127" s="785" t="str">
        <f ca="1">IFERROR(_xll.TR(MO.Ticker.Thomson,"AVG(TR.Priceclose)","sdate:#1 edate:#2",,INDEX(MO_SNA_FPStartDate,0,COLUMN()),INDEX(MO_Common_QEndDate,0,COLUMN())),"N/A")</f>
        <v>N/A</v>
      </c>
      <c r="BP1127" s="785" t="str">
        <f ca="1">IFERROR(_xll.TR(MO.Ticker.Thomson,"AVG(TR.Priceclose)","sdate:#1 edate:#2",,INDEX(MO_SNA_FPStartDate,0,COLUMN()),INDEX(MO_Common_QEndDate,0,COLUMN())),"N/A")</f>
        <v>N/A</v>
      </c>
      <c r="BQ1127" s="785" t="str">
        <f ca="1">IFERROR(_xll.TR(MO.Ticker.Thomson,"AVG(TR.Priceclose)","sdate:#1 edate:#2",,INDEX(MO_SNA_FPStartDate,0,COLUMN()),INDEX(MO_Common_QEndDate,0,COLUMN())),"N/A")</f>
        <v>N/A</v>
      </c>
      <c r="BR1127" s="785" t="str">
        <f ca="1">IFERROR(_xll.TR(MO.Ticker.Thomson,"AVG(TR.Priceclose)","sdate:#1 edate:#2",,INDEX(MO_SNA_FPStartDate,0,COLUMN()),INDEX(MO_Common_QEndDate,0,COLUMN())),"N/A")</f>
        <v>N/A</v>
      </c>
      <c r="BS1127" s="785" t="str">
        <f ca="1">IFERROR(_xll.TR(MO.Ticker.Thomson,"AVG(TR.Priceclose)","sdate:#1 edate:#2",,INDEX(MO_SNA_FPStartDate,0,COLUMN()),INDEX(MO_Common_QEndDate,0,COLUMN())),"N/A")</f>
        <v>N/A</v>
      </c>
      <c r="BT1127" s="785" t="str">
        <f ca="1">IFERROR(_xll.TR(MO.Ticker.Thomson,"AVG(TR.Priceclose)","sdate:#1 edate:#2",,INDEX(MO_SNA_FPStartDate,0,COLUMN()),INDEX(MO_Common_QEndDate,0,COLUMN())),"N/A")</f>
        <v>N/A</v>
      </c>
      <c r="BU1127" s="785" t="str">
        <f ca="1">IFERROR(_xll.TR(MO.Ticker.Thomson,"AVG(TR.Priceclose)","sdate:#1 edate:#2",,INDEX(MO_SNA_FPStartDate,0,COLUMN()),INDEX(MO_Common_QEndDate,0,COLUMN())),"N/A")</f>
        <v>N/A</v>
      </c>
      <c r="BV1127" s="1068" t="str">
        <f ca="1">IFERROR(_xll.TR(MO.Ticker.Thomson,"AVG(TR.Priceclose)","sdate:#1 edate:#2",,INDEX(MO_SNA_FPStartDate,0,COLUMN()),INDEX(MO_Common_QEndDate,0,COLUMN())),"N/A")</f>
        <v>N/A</v>
      </c>
      <c r="BW1127" s="1069"/>
    </row>
    <row r="1128" spans="1:75" hidden="1" outlineLevel="1" x14ac:dyDescent="0.5">
      <c r="A1128" s="1073"/>
      <c r="B1128" s="118"/>
      <c r="C1128" s="973"/>
      <c r="D1128" s="973"/>
      <c r="E1128" s="118"/>
      <c r="F1128" s="118"/>
      <c r="G1128" s="118"/>
      <c r="H1128" s="118"/>
      <c r="I1128" s="118"/>
      <c r="J1128" s="118"/>
      <c r="K1128" s="118"/>
      <c r="L1128" s="118"/>
      <c r="M1128" s="118"/>
      <c r="N1128" s="118"/>
      <c r="O1128" s="118"/>
      <c r="P1128" s="118"/>
      <c r="Q1128" s="118"/>
      <c r="R1128" s="118"/>
      <c r="S1128" s="118"/>
      <c r="T1128" s="118"/>
      <c r="U1128" s="118"/>
      <c r="V1128" s="118"/>
      <c r="W1128" s="118"/>
      <c r="X1128" s="118"/>
      <c r="Y1128" s="118"/>
      <c r="Z1128" s="118"/>
      <c r="AA1128" s="118"/>
      <c r="AB1128" s="118"/>
      <c r="AC1128" s="118"/>
      <c r="AD1128" s="118"/>
      <c r="AE1128" s="118"/>
      <c r="AF1128" s="118"/>
      <c r="AG1128" s="118"/>
      <c r="AH1128" s="118"/>
      <c r="AI1128" s="118"/>
      <c r="AJ1128" s="118"/>
      <c r="AK1128" s="118"/>
      <c r="AL1128" s="118"/>
      <c r="AM1128" s="118"/>
      <c r="AN1128" s="118"/>
      <c r="AO1128" s="118"/>
      <c r="AP1128" s="118"/>
      <c r="AQ1128" s="118"/>
      <c r="AR1128" s="118"/>
      <c r="AS1128" s="118"/>
      <c r="AT1128" s="118"/>
      <c r="AU1128" s="118"/>
      <c r="AV1128" s="118"/>
      <c r="AW1128" s="118"/>
      <c r="AX1128" s="118"/>
      <c r="AY1128" s="118"/>
      <c r="AZ1128" s="118"/>
      <c r="BA1128" s="118"/>
      <c r="BB1128" s="118"/>
      <c r="BC1128" s="118"/>
      <c r="BD1128" s="118"/>
      <c r="BE1128" s="118"/>
      <c r="BF1128" s="118"/>
      <c r="BG1128" s="118"/>
      <c r="BH1128" s="118"/>
      <c r="BI1128" s="118"/>
      <c r="BJ1128" s="971"/>
      <c r="BK1128" s="118"/>
      <c r="BL1128" s="118"/>
      <c r="BM1128" s="118"/>
      <c r="BN1128" s="118"/>
      <c r="BO1128" s="118"/>
      <c r="BP1128" s="118"/>
      <c r="BQ1128" s="118"/>
      <c r="BR1128" s="118"/>
      <c r="BS1128" s="118"/>
      <c r="BT1128" s="118"/>
      <c r="BU1128" s="118"/>
      <c r="BV1128" s="1074"/>
      <c r="BW1128" s="1039"/>
    </row>
    <row r="1129" spans="1:75" collapsed="1" x14ac:dyDescent="0.5">
      <c r="A1129" s="1075" t="str">
        <f ca="1">"FX Average: "&amp;IF(OR(MO.RealTimeStockPriceToggle=FALSE,VLOOKUP(MO.DataSourceName,MO_SPT_FXAverage_Sources,COLUMN()+2,FALSE)="N/A"),"Real-Time Off Source",MO.DataSourceName)</f>
        <v>FX Average: Real-Time Off Source</v>
      </c>
      <c r="B1129" s="1076"/>
      <c r="C1129" s="1077">
        <f t="shared" ref="C1129:AH1129" ca="1" si="961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D1129" s="1077">
        <f t="shared" ca="1" si="961"/>
        <v>1</v>
      </c>
      <c r="E1129" s="1076">
        <f t="shared" ca="1" si="961"/>
        <v>1</v>
      </c>
      <c r="F1129" s="1076">
        <f t="shared" ca="1" si="961"/>
        <v>1</v>
      </c>
      <c r="G1129" s="1076">
        <f t="shared" ca="1" si="961"/>
        <v>1</v>
      </c>
      <c r="H1129" s="1076">
        <f t="shared" ca="1" si="961"/>
        <v>1</v>
      </c>
      <c r="I1129" s="1076">
        <f t="shared" ca="1" si="961"/>
        <v>1</v>
      </c>
      <c r="J1129" s="1076">
        <f t="shared" ca="1" si="961"/>
        <v>1</v>
      </c>
      <c r="K1129" s="1076">
        <f t="shared" ca="1" si="961"/>
        <v>1</v>
      </c>
      <c r="L1129" s="1076">
        <f t="shared" ca="1" si="961"/>
        <v>1</v>
      </c>
      <c r="M1129" s="1076">
        <f t="shared" ca="1" si="961"/>
        <v>1</v>
      </c>
      <c r="N1129" s="1076">
        <f t="shared" ca="1" si="961"/>
        <v>1</v>
      </c>
      <c r="O1129" s="1076">
        <f t="shared" ca="1" si="961"/>
        <v>1</v>
      </c>
      <c r="P1129" s="1076">
        <f t="shared" ca="1" si="961"/>
        <v>1</v>
      </c>
      <c r="Q1129" s="1076">
        <f t="shared" ca="1" si="961"/>
        <v>1</v>
      </c>
      <c r="R1129" s="1076">
        <f t="shared" ca="1" si="961"/>
        <v>1</v>
      </c>
      <c r="S1129" s="1076">
        <f t="shared" ca="1" si="961"/>
        <v>1</v>
      </c>
      <c r="T1129" s="1076">
        <f t="shared" ca="1" si="961"/>
        <v>1</v>
      </c>
      <c r="U1129" s="1076">
        <f t="shared" ca="1" si="961"/>
        <v>1</v>
      </c>
      <c r="V1129" s="1076">
        <f t="shared" ca="1" si="961"/>
        <v>1</v>
      </c>
      <c r="W1129" s="1076">
        <f t="shared" ca="1" si="961"/>
        <v>1</v>
      </c>
      <c r="X1129" s="1076">
        <f t="shared" ca="1" si="961"/>
        <v>1</v>
      </c>
      <c r="Y1129" s="1076">
        <f t="shared" ca="1" si="961"/>
        <v>1</v>
      </c>
      <c r="Z1129" s="1076">
        <f t="shared" ca="1" si="961"/>
        <v>1</v>
      </c>
      <c r="AA1129" s="1076">
        <f t="shared" ca="1" si="961"/>
        <v>1</v>
      </c>
      <c r="AB1129" s="1076">
        <f t="shared" ca="1" si="961"/>
        <v>1</v>
      </c>
      <c r="AC1129" s="1076">
        <f t="shared" ca="1" si="961"/>
        <v>1</v>
      </c>
      <c r="AD1129" s="1076">
        <f t="shared" ca="1" si="961"/>
        <v>1</v>
      </c>
      <c r="AE1129" s="1076">
        <f t="shared" ca="1" si="961"/>
        <v>1</v>
      </c>
      <c r="AF1129" s="1076">
        <f t="shared" ca="1" si="961"/>
        <v>1</v>
      </c>
      <c r="AG1129" s="1076">
        <f t="shared" ca="1" si="961"/>
        <v>1</v>
      </c>
      <c r="AH1129" s="1076">
        <f t="shared" ca="1" si="961"/>
        <v>1</v>
      </c>
      <c r="AI1129" s="1076">
        <f t="shared" ref="AI1129:BN1129" ca="1" si="962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AJ1129" s="1076">
        <f t="shared" ca="1" si="962"/>
        <v>1</v>
      </c>
      <c r="AK1129" s="1076">
        <f t="shared" ca="1" si="962"/>
        <v>1</v>
      </c>
      <c r="AL1129" s="1076">
        <f t="shared" ca="1" si="962"/>
        <v>1</v>
      </c>
      <c r="AM1129" s="1076">
        <f t="shared" ca="1" si="962"/>
        <v>1</v>
      </c>
      <c r="AN1129" s="1076">
        <f t="shared" ca="1" si="962"/>
        <v>1</v>
      </c>
      <c r="AO1129" s="1076">
        <f t="shared" ca="1" si="962"/>
        <v>1</v>
      </c>
      <c r="AP1129" s="1076">
        <f t="shared" ca="1" si="962"/>
        <v>1</v>
      </c>
      <c r="AQ1129" s="1076">
        <f t="shared" ca="1" si="962"/>
        <v>1</v>
      </c>
      <c r="AR1129" s="1076">
        <f t="shared" ca="1" si="962"/>
        <v>1</v>
      </c>
      <c r="AS1129" s="1076">
        <f t="shared" ca="1" si="962"/>
        <v>1</v>
      </c>
      <c r="AT1129" s="1076">
        <f t="shared" ca="1" si="962"/>
        <v>1</v>
      </c>
      <c r="AU1129" s="1076">
        <f t="shared" ca="1" si="962"/>
        <v>1</v>
      </c>
      <c r="AV1129" s="1076">
        <f t="shared" ca="1" si="962"/>
        <v>1</v>
      </c>
      <c r="AW1129" s="1076">
        <f t="shared" ca="1" si="962"/>
        <v>1</v>
      </c>
      <c r="AX1129" s="1076">
        <f t="shared" ca="1" si="962"/>
        <v>1</v>
      </c>
      <c r="AY1129" s="1076">
        <f t="shared" ca="1" si="962"/>
        <v>1</v>
      </c>
      <c r="AZ1129" s="1076">
        <f t="shared" ca="1" si="962"/>
        <v>1</v>
      </c>
      <c r="BA1129" s="1076">
        <f t="shared" ca="1" si="962"/>
        <v>1</v>
      </c>
      <c r="BB1129" s="1076">
        <f t="shared" ca="1" si="962"/>
        <v>1</v>
      </c>
      <c r="BC1129" s="1076">
        <f t="shared" ca="1" si="962"/>
        <v>1</v>
      </c>
      <c r="BD1129" s="1076">
        <f t="shared" ca="1" si="962"/>
        <v>1</v>
      </c>
      <c r="BE1129" s="1076">
        <f t="shared" ref="BE1129:BM1129" ca="1" si="963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F1129" s="1076">
        <f t="shared" ca="1" si="963"/>
        <v>1</v>
      </c>
      <c r="BG1129" s="1076">
        <f t="shared" ca="1" si="963"/>
        <v>1</v>
      </c>
      <c r="BH1129" s="1076">
        <f t="shared" ca="1" si="963"/>
        <v>1</v>
      </c>
      <c r="BI1129" s="1076">
        <f t="shared" ca="1" si="963"/>
        <v>1</v>
      </c>
      <c r="BJ1129" s="1078">
        <f ca="1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K1129" s="1076">
        <f t="shared" ca="1" si="963"/>
        <v>1</v>
      </c>
      <c r="BL1129" s="1076">
        <f t="shared" ca="1" si="963"/>
        <v>1</v>
      </c>
      <c r="BM1129" s="1076">
        <f t="shared" ca="1" si="963"/>
        <v>1</v>
      </c>
      <c r="BN1129" s="1076">
        <f t="shared" ca="1" si="962"/>
        <v>1</v>
      </c>
      <c r="BO1129" s="1076">
        <f t="shared" ref="BO1129:BV1129" ca="1" si="964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P1129" s="1076">
        <f t="shared" ca="1" si="964"/>
        <v>1</v>
      </c>
      <c r="BQ1129" s="1076">
        <f t="shared" ca="1" si="964"/>
        <v>1</v>
      </c>
      <c r="BR1129" s="1076">
        <f t="shared" ca="1" si="964"/>
        <v>1</v>
      </c>
      <c r="BS1129" s="1076">
        <f t="shared" ca="1" si="964"/>
        <v>1</v>
      </c>
      <c r="BT1129" s="1076">
        <f t="shared" ca="1" si="964"/>
        <v>1</v>
      </c>
      <c r="BU1129" s="1076">
        <f t="shared" ca="1" si="964"/>
        <v>1</v>
      </c>
      <c r="BV1129" s="1079">
        <f t="shared" ca="1" si="964"/>
        <v>1</v>
      </c>
      <c r="BW1129" s="1080"/>
    </row>
    <row r="1130" spans="1:75" hidden="1" outlineLevel="1" x14ac:dyDescent="0.5">
      <c r="A1130" s="1081" t="s">
        <v>1611</v>
      </c>
      <c r="B1130" s="1076"/>
      <c r="C1130" s="1082">
        <v>1</v>
      </c>
      <c r="D1130" s="1082">
        <v>1</v>
      </c>
      <c r="E1130" s="1083">
        <v>1</v>
      </c>
      <c r="F1130" s="1083">
        <v>1</v>
      </c>
      <c r="G1130" s="1083">
        <v>1</v>
      </c>
      <c r="H1130" s="1083">
        <v>1</v>
      </c>
      <c r="I1130" s="1083">
        <v>1</v>
      </c>
      <c r="J1130" s="1083">
        <v>1</v>
      </c>
      <c r="K1130" s="1083">
        <v>1</v>
      </c>
      <c r="L1130" s="1083">
        <v>1</v>
      </c>
      <c r="M1130" s="1083">
        <v>1</v>
      </c>
      <c r="N1130" s="1083">
        <v>1</v>
      </c>
      <c r="O1130" s="1083">
        <v>1</v>
      </c>
      <c r="P1130" s="1083">
        <v>1</v>
      </c>
      <c r="Q1130" s="1083">
        <v>1</v>
      </c>
      <c r="R1130" s="1083">
        <v>1</v>
      </c>
      <c r="S1130" s="1083">
        <v>1</v>
      </c>
      <c r="T1130" s="1083">
        <v>1</v>
      </c>
      <c r="U1130" s="1083">
        <v>1</v>
      </c>
      <c r="V1130" s="1083">
        <v>1</v>
      </c>
      <c r="W1130" s="1083">
        <v>1</v>
      </c>
      <c r="X1130" s="1083">
        <v>1</v>
      </c>
      <c r="Y1130" s="1083">
        <v>1</v>
      </c>
      <c r="Z1130" s="1083">
        <v>1</v>
      </c>
      <c r="AA1130" s="1083">
        <v>1</v>
      </c>
      <c r="AB1130" s="1083">
        <v>1</v>
      </c>
      <c r="AC1130" s="1083">
        <v>1</v>
      </c>
      <c r="AD1130" s="1083">
        <v>1</v>
      </c>
      <c r="AE1130" s="1083">
        <v>1</v>
      </c>
      <c r="AF1130" s="1083">
        <v>1</v>
      </c>
      <c r="AG1130" s="1083">
        <v>1</v>
      </c>
      <c r="AH1130" s="1083">
        <v>1</v>
      </c>
      <c r="AI1130" s="1083">
        <v>1</v>
      </c>
      <c r="AJ1130" s="1083">
        <v>1</v>
      </c>
      <c r="AK1130" s="1083">
        <v>1</v>
      </c>
      <c r="AL1130" s="1083">
        <v>1</v>
      </c>
      <c r="AM1130" s="1083">
        <v>1</v>
      </c>
      <c r="AN1130" s="1083">
        <v>1</v>
      </c>
      <c r="AO1130" s="1083">
        <v>1</v>
      </c>
      <c r="AP1130" s="1083">
        <v>1</v>
      </c>
      <c r="AQ1130" s="1083">
        <v>1</v>
      </c>
      <c r="AR1130" s="1083">
        <v>1</v>
      </c>
      <c r="AS1130" s="1083">
        <v>1</v>
      </c>
      <c r="AT1130" s="1083">
        <v>1</v>
      </c>
      <c r="AU1130" s="1083">
        <v>1</v>
      </c>
      <c r="AV1130" s="1083">
        <v>1</v>
      </c>
      <c r="AW1130" s="1083">
        <v>1</v>
      </c>
      <c r="AX1130" s="1083">
        <v>1</v>
      </c>
      <c r="AY1130" s="1083">
        <v>1</v>
      </c>
      <c r="AZ1130" s="1083">
        <v>1</v>
      </c>
      <c r="BA1130" s="1083">
        <v>1</v>
      </c>
      <c r="BB1130" s="1083">
        <v>1</v>
      </c>
      <c r="BC1130" s="1083">
        <v>1</v>
      </c>
      <c r="BD1130" s="1083">
        <v>1</v>
      </c>
      <c r="BE1130" s="1083">
        <v>1</v>
      </c>
      <c r="BF1130" s="1083">
        <v>1</v>
      </c>
      <c r="BG1130" s="1083">
        <v>1</v>
      </c>
      <c r="BH1130" s="1083">
        <v>1</v>
      </c>
      <c r="BI1130" s="1083">
        <v>1</v>
      </c>
      <c r="BJ1130" s="1084">
        <v>1</v>
      </c>
      <c r="BK1130" s="1076">
        <f>MO.MRFX.Hardcoded</f>
        <v>1</v>
      </c>
      <c r="BL1130" s="1076">
        <f>MO.MRFX.Hardcoded</f>
        <v>1</v>
      </c>
      <c r="BM1130" s="1076">
        <f>MO.MRFX.Hardcoded</f>
        <v>1</v>
      </c>
      <c r="BN1130" s="1076">
        <f t="shared" ref="BN1130" si="965">MO.MRFX.Hardcoded</f>
        <v>1</v>
      </c>
      <c r="BO1130" s="1076">
        <f t="shared" ref="BO1130:BV1130" si="966">MO.MRFX.Hardcoded</f>
        <v>1</v>
      </c>
      <c r="BP1130" s="1076">
        <f t="shared" si="966"/>
        <v>1</v>
      </c>
      <c r="BQ1130" s="1076">
        <f t="shared" si="966"/>
        <v>1</v>
      </c>
      <c r="BR1130" s="1076">
        <f t="shared" si="966"/>
        <v>1</v>
      </c>
      <c r="BS1130" s="1076">
        <f t="shared" si="966"/>
        <v>1</v>
      </c>
      <c r="BT1130" s="1076">
        <f t="shared" si="966"/>
        <v>1</v>
      </c>
      <c r="BU1130" s="1076">
        <f t="shared" si="966"/>
        <v>1</v>
      </c>
      <c r="BV1130" s="1079">
        <f t="shared" si="966"/>
        <v>1</v>
      </c>
      <c r="BW1130" s="1080"/>
    </row>
    <row r="1131" spans="1:75" hidden="1" outlineLevel="1" x14ac:dyDescent="0.5">
      <c r="A1131" s="1081" t="s">
        <v>103</v>
      </c>
      <c r="B1131" s="1076"/>
      <c r="C1131" s="1077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D1131" s="1077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E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F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G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H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I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J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K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L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M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N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O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P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Q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R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S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T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U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V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W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X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Y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Z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A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B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C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D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E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F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G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H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I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J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K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L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M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N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O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P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Q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R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S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T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U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V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W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X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Y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Z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A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B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C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D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E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F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G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H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I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J1131" s="1078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K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L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M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N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O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P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Q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R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S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T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U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V1131" s="107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W1131" s="1080"/>
    </row>
    <row r="1132" spans="1:75" hidden="1" outlineLevel="1" x14ac:dyDescent="0.5">
      <c r="A1132" s="1081" t="s">
        <v>1612</v>
      </c>
      <c r="B1132" s="1076"/>
      <c r="C1132" s="1077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D1132" s="1077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E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F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G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H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I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J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K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L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M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N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O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P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Q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R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S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T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U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V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W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X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Y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Z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A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B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C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D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E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F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G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H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I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J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K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L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M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N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O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P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Q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R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S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T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U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V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W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X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Y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Z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A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B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C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D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E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F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G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H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I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J1132" s="1078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K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L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M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N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O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P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Q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R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S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T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U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V1132" s="107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W1132" s="1080"/>
    </row>
    <row r="1133" spans="1:75" hidden="1" outlineLevel="1" x14ac:dyDescent="0.5">
      <c r="A1133" s="1081" t="s">
        <v>1613</v>
      </c>
      <c r="B1133" s="1076"/>
      <c r="C1133" s="1077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D1133" s="1077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E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F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G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H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I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J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K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L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M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N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O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P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Q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R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S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T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U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V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W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X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Y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Z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A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B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C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D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E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F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G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H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I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J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K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L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M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N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O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P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Q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R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S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T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U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V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W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X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Y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Z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A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B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C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D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E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F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G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H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I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J1133" s="1078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K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L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M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N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O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P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Q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R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S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T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U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V1133" s="107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W1133" s="1080"/>
    </row>
    <row r="1134" spans="1:75" hidden="1" outlineLevel="1" x14ac:dyDescent="0.5">
      <c r="A1134" s="1081" t="s">
        <v>1614</v>
      </c>
      <c r="B1134" s="1076"/>
      <c r="C1134" s="1077" t="str">
        <f t="shared" ref="C1134:BN1134" si="967">"N/A"</f>
        <v>N/A</v>
      </c>
      <c r="D1134" s="1077" t="str">
        <f t="shared" si="967"/>
        <v>N/A</v>
      </c>
      <c r="E1134" s="1076" t="str">
        <f t="shared" si="967"/>
        <v>N/A</v>
      </c>
      <c r="F1134" s="1076" t="str">
        <f t="shared" si="967"/>
        <v>N/A</v>
      </c>
      <c r="G1134" s="1076" t="str">
        <f t="shared" si="967"/>
        <v>N/A</v>
      </c>
      <c r="H1134" s="1076" t="str">
        <f t="shared" si="967"/>
        <v>N/A</v>
      </c>
      <c r="I1134" s="1076" t="str">
        <f t="shared" si="967"/>
        <v>N/A</v>
      </c>
      <c r="J1134" s="1076" t="str">
        <f t="shared" si="967"/>
        <v>N/A</v>
      </c>
      <c r="K1134" s="1076" t="str">
        <f t="shared" si="967"/>
        <v>N/A</v>
      </c>
      <c r="L1134" s="1076" t="str">
        <f t="shared" si="967"/>
        <v>N/A</v>
      </c>
      <c r="M1134" s="1076" t="str">
        <f t="shared" si="967"/>
        <v>N/A</v>
      </c>
      <c r="N1134" s="1076" t="str">
        <f t="shared" si="967"/>
        <v>N/A</v>
      </c>
      <c r="O1134" s="1076" t="str">
        <f t="shared" si="967"/>
        <v>N/A</v>
      </c>
      <c r="P1134" s="1076" t="str">
        <f t="shared" si="967"/>
        <v>N/A</v>
      </c>
      <c r="Q1134" s="1076" t="str">
        <f t="shared" si="967"/>
        <v>N/A</v>
      </c>
      <c r="R1134" s="1076" t="str">
        <f t="shared" si="967"/>
        <v>N/A</v>
      </c>
      <c r="S1134" s="1076" t="str">
        <f t="shared" si="967"/>
        <v>N/A</v>
      </c>
      <c r="T1134" s="1076" t="str">
        <f t="shared" si="967"/>
        <v>N/A</v>
      </c>
      <c r="U1134" s="1076" t="str">
        <f t="shared" si="967"/>
        <v>N/A</v>
      </c>
      <c r="V1134" s="1076" t="str">
        <f t="shared" si="967"/>
        <v>N/A</v>
      </c>
      <c r="W1134" s="1076" t="str">
        <f t="shared" si="967"/>
        <v>N/A</v>
      </c>
      <c r="X1134" s="1076" t="str">
        <f t="shared" si="967"/>
        <v>N/A</v>
      </c>
      <c r="Y1134" s="1076" t="str">
        <f t="shared" si="967"/>
        <v>N/A</v>
      </c>
      <c r="Z1134" s="1076" t="str">
        <f t="shared" si="967"/>
        <v>N/A</v>
      </c>
      <c r="AA1134" s="1076" t="str">
        <f t="shared" si="967"/>
        <v>N/A</v>
      </c>
      <c r="AB1134" s="1076" t="str">
        <f t="shared" si="967"/>
        <v>N/A</v>
      </c>
      <c r="AC1134" s="1076" t="str">
        <f t="shared" si="967"/>
        <v>N/A</v>
      </c>
      <c r="AD1134" s="1076" t="str">
        <f t="shared" si="967"/>
        <v>N/A</v>
      </c>
      <c r="AE1134" s="1076" t="str">
        <f t="shared" si="967"/>
        <v>N/A</v>
      </c>
      <c r="AF1134" s="1076" t="str">
        <f t="shared" si="967"/>
        <v>N/A</v>
      </c>
      <c r="AG1134" s="1076" t="str">
        <f t="shared" si="967"/>
        <v>N/A</v>
      </c>
      <c r="AH1134" s="1076" t="str">
        <f t="shared" si="967"/>
        <v>N/A</v>
      </c>
      <c r="AI1134" s="1076" t="str">
        <f t="shared" si="967"/>
        <v>N/A</v>
      </c>
      <c r="AJ1134" s="1076" t="str">
        <f t="shared" si="967"/>
        <v>N/A</v>
      </c>
      <c r="AK1134" s="1076" t="str">
        <f t="shared" si="967"/>
        <v>N/A</v>
      </c>
      <c r="AL1134" s="1076" t="str">
        <f t="shared" si="967"/>
        <v>N/A</v>
      </c>
      <c r="AM1134" s="1076" t="str">
        <f t="shared" si="967"/>
        <v>N/A</v>
      </c>
      <c r="AN1134" s="1076" t="str">
        <f t="shared" si="967"/>
        <v>N/A</v>
      </c>
      <c r="AO1134" s="1076" t="str">
        <f t="shared" si="967"/>
        <v>N/A</v>
      </c>
      <c r="AP1134" s="1076" t="str">
        <f t="shared" si="967"/>
        <v>N/A</v>
      </c>
      <c r="AQ1134" s="1076" t="str">
        <f t="shared" si="967"/>
        <v>N/A</v>
      </c>
      <c r="AR1134" s="1076" t="str">
        <f t="shared" si="967"/>
        <v>N/A</v>
      </c>
      <c r="AS1134" s="1076" t="str">
        <f t="shared" si="967"/>
        <v>N/A</v>
      </c>
      <c r="AT1134" s="1076" t="str">
        <f t="shared" si="967"/>
        <v>N/A</v>
      </c>
      <c r="AU1134" s="1076" t="str">
        <f t="shared" si="967"/>
        <v>N/A</v>
      </c>
      <c r="AV1134" s="1076" t="str">
        <f t="shared" si="967"/>
        <v>N/A</v>
      </c>
      <c r="AW1134" s="1076" t="str">
        <f t="shared" si="967"/>
        <v>N/A</v>
      </c>
      <c r="AX1134" s="1076" t="str">
        <f t="shared" si="967"/>
        <v>N/A</v>
      </c>
      <c r="AY1134" s="1076" t="str">
        <f t="shared" si="967"/>
        <v>N/A</v>
      </c>
      <c r="AZ1134" s="1076" t="str">
        <f t="shared" si="967"/>
        <v>N/A</v>
      </c>
      <c r="BA1134" s="1076" t="str">
        <f t="shared" si="967"/>
        <v>N/A</v>
      </c>
      <c r="BB1134" s="1076" t="str">
        <f t="shared" si="967"/>
        <v>N/A</v>
      </c>
      <c r="BC1134" s="1076" t="str">
        <f t="shared" si="967"/>
        <v>N/A</v>
      </c>
      <c r="BD1134" s="1076" t="str">
        <f t="shared" si="967"/>
        <v>N/A</v>
      </c>
      <c r="BE1134" s="1076" t="str">
        <f t="shared" si="967"/>
        <v>N/A</v>
      </c>
      <c r="BF1134" s="1076" t="str">
        <f t="shared" si="967"/>
        <v>N/A</v>
      </c>
      <c r="BG1134" s="1076" t="str">
        <f t="shared" si="967"/>
        <v>N/A</v>
      </c>
      <c r="BH1134" s="1076" t="str">
        <f t="shared" si="967"/>
        <v>N/A</v>
      </c>
      <c r="BI1134" s="1076" t="str">
        <f t="shared" si="967"/>
        <v>N/A</v>
      </c>
      <c r="BJ1134" s="1078" t="str">
        <f>"N/A"</f>
        <v>N/A</v>
      </c>
      <c r="BK1134" s="1076" t="str">
        <f t="shared" si="967"/>
        <v>N/A</v>
      </c>
      <c r="BL1134" s="1076" t="str">
        <f t="shared" si="967"/>
        <v>N/A</v>
      </c>
      <c r="BM1134" s="1076" t="str">
        <f t="shared" si="967"/>
        <v>N/A</v>
      </c>
      <c r="BN1134" s="1076" t="str">
        <f t="shared" si="967"/>
        <v>N/A</v>
      </c>
      <c r="BO1134" s="1076" t="str">
        <f t="shared" ref="BO1134:BV1134" si="968">"N/A"</f>
        <v>N/A</v>
      </c>
      <c r="BP1134" s="1076" t="str">
        <f t="shared" si="968"/>
        <v>N/A</v>
      </c>
      <c r="BQ1134" s="1076" t="str">
        <f t="shared" si="968"/>
        <v>N/A</v>
      </c>
      <c r="BR1134" s="1076" t="str">
        <f t="shared" si="968"/>
        <v>N/A</v>
      </c>
      <c r="BS1134" s="1076" t="str">
        <f t="shared" si="968"/>
        <v>N/A</v>
      </c>
      <c r="BT1134" s="1076" t="str">
        <f t="shared" si="968"/>
        <v>N/A</v>
      </c>
      <c r="BU1134" s="1076" t="str">
        <f t="shared" si="968"/>
        <v>N/A</v>
      </c>
      <c r="BV1134" s="1079" t="str">
        <f t="shared" si="968"/>
        <v>N/A</v>
      </c>
      <c r="BW1134" s="1080"/>
    </row>
    <row r="1135" spans="1:75" hidden="1" outlineLevel="1" x14ac:dyDescent="0.5">
      <c r="A1135" s="1073"/>
      <c r="B1135" s="118"/>
      <c r="C1135" s="973"/>
      <c r="D1135" s="973"/>
      <c r="E1135" s="118"/>
      <c r="F1135" s="118"/>
      <c r="G1135" s="118"/>
      <c r="H1135" s="118"/>
      <c r="I1135" s="118"/>
      <c r="J1135" s="118"/>
      <c r="K1135" s="118"/>
      <c r="L1135" s="118"/>
      <c r="M1135" s="118"/>
      <c r="N1135" s="118"/>
      <c r="O1135" s="118"/>
      <c r="P1135" s="118"/>
      <c r="Q1135" s="118"/>
      <c r="R1135" s="118"/>
      <c r="S1135" s="118"/>
      <c r="T1135" s="118"/>
      <c r="U1135" s="118"/>
      <c r="V1135" s="118"/>
      <c r="W1135" s="118"/>
      <c r="X1135" s="118"/>
      <c r="Y1135" s="118"/>
      <c r="Z1135" s="118"/>
      <c r="AA1135" s="118"/>
      <c r="AB1135" s="118"/>
      <c r="AC1135" s="118"/>
      <c r="AD1135" s="118"/>
      <c r="AE1135" s="118"/>
      <c r="AF1135" s="118"/>
      <c r="AG1135" s="118"/>
      <c r="AH1135" s="118"/>
      <c r="AI1135" s="118"/>
      <c r="AJ1135" s="118"/>
      <c r="AK1135" s="118"/>
      <c r="AL1135" s="118"/>
      <c r="AM1135" s="118"/>
      <c r="AN1135" s="118"/>
      <c r="AO1135" s="118"/>
      <c r="AP1135" s="118"/>
      <c r="AQ1135" s="118"/>
      <c r="AR1135" s="118"/>
      <c r="AS1135" s="118"/>
      <c r="AT1135" s="118"/>
      <c r="AU1135" s="118"/>
      <c r="AV1135" s="118"/>
      <c r="AW1135" s="118"/>
      <c r="AX1135" s="118"/>
      <c r="AY1135" s="118"/>
      <c r="AZ1135" s="118"/>
      <c r="BA1135" s="118"/>
      <c r="BB1135" s="118"/>
      <c r="BC1135" s="118"/>
      <c r="BD1135" s="118"/>
      <c r="BE1135" s="118"/>
      <c r="BF1135" s="118"/>
      <c r="BG1135" s="118"/>
      <c r="BH1135" s="118"/>
      <c r="BI1135" s="118"/>
      <c r="BJ1135" s="971"/>
      <c r="BK1135" s="118"/>
      <c r="BL1135" s="118"/>
      <c r="BM1135" s="118"/>
      <c r="BN1135" s="118"/>
      <c r="BO1135" s="118"/>
      <c r="BP1135" s="118"/>
      <c r="BQ1135" s="118"/>
      <c r="BR1135" s="118"/>
      <c r="BS1135" s="118"/>
      <c r="BT1135" s="118"/>
      <c r="BU1135" s="118"/>
      <c r="BV1135" s="1074"/>
      <c r="BW1135" s="1039"/>
    </row>
    <row r="1136" spans="1:75" collapsed="1" x14ac:dyDescent="0.5">
      <c r="A1136" s="1073" t="s">
        <v>1618</v>
      </c>
      <c r="B1136" s="118"/>
      <c r="C1136" s="1061">
        <f t="shared" ref="C1136:AH1136" si="969">WORKDAY(INDEX(MO_Common_QEndDate,0,COLUMN()),-1)</f>
        <v>40207</v>
      </c>
      <c r="D1136" s="1061">
        <f t="shared" si="969"/>
        <v>40571</v>
      </c>
      <c r="E1136" s="1062">
        <f t="shared" si="969"/>
        <v>40935</v>
      </c>
      <c r="F1136" s="1062">
        <f t="shared" si="969"/>
        <v>41306</v>
      </c>
      <c r="G1136" s="1062">
        <f t="shared" si="969"/>
        <v>41397</v>
      </c>
      <c r="H1136" s="1062">
        <f t="shared" si="969"/>
        <v>41488</v>
      </c>
      <c r="I1136" s="1062">
        <f t="shared" si="969"/>
        <v>41579</v>
      </c>
      <c r="J1136" s="1062">
        <f t="shared" si="969"/>
        <v>41670</v>
      </c>
      <c r="K1136" s="1062">
        <f t="shared" si="969"/>
        <v>41670</v>
      </c>
      <c r="L1136" s="1062">
        <f t="shared" si="969"/>
        <v>41761</v>
      </c>
      <c r="M1136" s="1062">
        <f t="shared" si="969"/>
        <v>41852</v>
      </c>
      <c r="N1136" s="1062">
        <f t="shared" si="969"/>
        <v>41943</v>
      </c>
      <c r="O1136" s="1062">
        <f t="shared" si="969"/>
        <v>42034</v>
      </c>
      <c r="P1136" s="1062">
        <f t="shared" si="969"/>
        <v>42034</v>
      </c>
      <c r="Q1136" s="1062">
        <f t="shared" si="969"/>
        <v>42125</v>
      </c>
      <c r="R1136" s="1062">
        <f t="shared" si="969"/>
        <v>42216</v>
      </c>
      <c r="S1136" s="1062">
        <f t="shared" si="969"/>
        <v>42307</v>
      </c>
      <c r="T1136" s="1062">
        <f t="shared" si="969"/>
        <v>42398</v>
      </c>
      <c r="U1136" s="1062">
        <f t="shared" si="969"/>
        <v>42398</v>
      </c>
      <c r="V1136" s="1062">
        <f t="shared" si="969"/>
        <v>42489</v>
      </c>
      <c r="W1136" s="1062">
        <f t="shared" si="969"/>
        <v>42580</v>
      </c>
      <c r="X1136" s="1062">
        <f t="shared" si="969"/>
        <v>42671</v>
      </c>
      <c r="Y1136" s="1062">
        <f t="shared" si="969"/>
        <v>42762</v>
      </c>
      <c r="Z1136" s="1062">
        <f t="shared" si="969"/>
        <v>42762</v>
      </c>
      <c r="AA1136" s="1062">
        <f t="shared" si="969"/>
        <v>42853</v>
      </c>
      <c r="AB1136" s="1062">
        <f t="shared" si="969"/>
        <v>42944</v>
      </c>
      <c r="AC1136" s="1062">
        <f t="shared" si="969"/>
        <v>43035</v>
      </c>
      <c r="AD1136" s="1062">
        <f t="shared" si="969"/>
        <v>43126</v>
      </c>
      <c r="AE1136" s="1062">
        <f t="shared" si="969"/>
        <v>43126</v>
      </c>
      <c r="AF1136" s="1062">
        <f t="shared" si="969"/>
        <v>43217</v>
      </c>
      <c r="AG1136" s="1062">
        <f t="shared" si="969"/>
        <v>43308</v>
      </c>
      <c r="AH1136" s="1062">
        <f t="shared" si="969"/>
        <v>43399</v>
      </c>
      <c r="AI1136" s="1062">
        <f t="shared" ref="AI1136:AZ1136" si="970">WORKDAY(INDEX(MO_Common_QEndDate,0,COLUMN()),-1)</f>
        <v>43497</v>
      </c>
      <c r="AJ1136" s="1062">
        <f t="shared" si="970"/>
        <v>43497</v>
      </c>
      <c r="AK1136" s="1062">
        <f t="shared" si="970"/>
        <v>43588</v>
      </c>
      <c r="AL1136" s="1062">
        <f t="shared" si="970"/>
        <v>43679</v>
      </c>
      <c r="AM1136" s="1062">
        <f t="shared" si="970"/>
        <v>43770</v>
      </c>
      <c r="AN1136" s="1062">
        <f t="shared" si="970"/>
        <v>43861</v>
      </c>
      <c r="AO1136" s="1062">
        <f t="shared" si="970"/>
        <v>43861</v>
      </c>
      <c r="AP1136" s="1062">
        <f t="shared" si="970"/>
        <v>43952</v>
      </c>
      <c r="AQ1136" s="1062">
        <f t="shared" si="970"/>
        <v>44043</v>
      </c>
      <c r="AR1136" s="1062">
        <f t="shared" si="970"/>
        <v>44134</v>
      </c>
      <c r="AS1136" s="1062">
        <f t="shared" si="970"/>
        <v>44225</v>
      </c>
      <c r="AT1136" s="1062">
        <f t="shared" si="970"/>
        <v>44225</v>
      </c>
      <c r="AU1136" s="1062">
        <f t="shared" si="970"/>
        <v>44316</v>
      </c>
      <c r="AV1136" s="1062">
        <f t="shared" si="970"/>
        <v>44407</v>
      </c>
      <c r="AW1136" s="1062">
        <f t="shared" si="970"/>
        <v>44498</v>
      </c>
      <c r="AX1136" s="1062">
        <f t="shared" si="970"/>
        <v>44589</v>
      </c>
      <c r="AY1136" s="1062">
        <f t="shared" si="970"/>
        <v>44589</v>
      </c>
      <c r="AZ1136" s="1062">
        <f t="shared" si="970"/>
        <v>44680</v>
      </c>
      <c r="BA1136" s="1062">
        <f t="shared" ref="BA1136:BD1136" si="971">WORKDAY(INDEX(MO_Common_QEndDate,0,COLUMN()),-1)</f>
        <v>44771</v>
      </c>
      <c r="BB1136" s="1062">
        <f t="shared" si="971"/>
        <v>44862</v>
      </c>
      <c r="BC1136" s="1062">
        <f t="shared" si="971"/>
        <v>44953</v>
      </c>
      <c r="BD1136" s="1062">
        <f t="shared" si="971"/>
        <v>44953</v>
      </c>
      <c r="BE1136" s="1062">
        <f t="shared" ref="BE1136:BV1136" si="972">WORKDAY(INDEX(MO_Common_QEndDate,0,COLUMN()),-1)</f>
        <v>45044</v>
      </c>
      <c r="BF1136" s="1062">
        <f t="shared" si="972"/>
        <v>45135</v>
      </c>
      <c r="BG1136" s="1062">
        <f t="shared" si="972"/>
        <v>45226</v>
      </c>
      <c r="BH1136" s="1062">
        <f t="shared" si="972"/>
        <v>45317</v>
      </c>
      <c r="BI1136" s="1062">
        <f t="shared" si="972"/>
        <v>45317</v>
      </c>
      <c r="BJ1136" s="1063">
        <f>WORKDAY(INDEX(MO_Common_QEndDate,0,COLUMN()),-1)</f>
        <v>45408</v>
      </c>
      <c r="BK1136" s="1062">
        <f t="shared" si="972"/>
        <v>45499</v>
      </c>
      <c r="BL1136" s="1062">
        <f t="shared" si="972"/>
        <v>45590</v>
      </c>
      <c r="BM1136" s="1062">
        <f t="shared" si="972"/>
        <v>45688</v>
      </c>
      <c r="BN1136" s="1062">
        <f t="shared" si="972"/>
        <v>45688</v>
      </c>
      <c r="BO1136" s="1062">
        <f t="shared" si="972"/>
        <v>45779</v>
      </c>
      <c r="BP1136" s="1062">
        <f t="shared" si="972"/>
        <v>45870</v>
      </c>
      <c r="BQ1136" s="1062">
        <f t="shared" si="972"/>
        <v>45961</v>
      </c>
      <c r="BR1136" s="1062">
        <f t="shared" si="972"/>
        <v>46052</v>
      </c>
      <c r="BS1136" s="1062">
        <f t="shared" si="972"/>
        <v>46052</v>
      </c>
      <c r="BT1136" s="1062">
        <f t="shared" si="972"/>
        <v>46416</v>
      </c>
      <c r="BU1136" s="1062">
        <f t="shared" si="972"/>
        <v>46780</v>
      </c>
      <c r="BV1136" s="1064">
        <f t="shared" si="972"/>
        <v>47144</v>
      </c>
      <c r="BW1136" s="1039"/>
    </row>
    <row r="1137" spans="1:75" x14ac:dyDescent="0.5">
      <c r="A1137" s="1073" t="s">
        <v>1619</v>
      </c>
      <c r="B1137" s="118"/>
      <c r="C1137" s="1085">
        <v>0</v>
      </c>
      <c r="D1137" s="1085">
        <v>0</v>
      </c>
      <c r="E1137" s="1086">
        <v>0</v>
      </c>
      <c r="F1137" s="1086">
        <v>0</v>
      </c>
      <c r="G1137" s="1086">
        <v>0</v>
      </c>
      <c r="H1137" s="1086">
        <v>0</v>
      </c>
      <c r="I1137" s="1086">
        <v>0</v>
      </c>
      <c r="J1137" s="1086">
        <v>0</v>
      </c>
      <c r="K1137" s="1086">
        <v>0</v>
      </c>
      <c r="L1137" s="1086">
        <v>0</v>
      </c>
      <c r="M1137" s="1086">
        <v>0</v>
      </c>
      <c r="N1137" s="1086">
        <v>0</v>
      </c>
      <c r="O1137" s="1086">
        <v>19.54</v>
      </c>
      <c r="P1137" s="1086">
        <v>19.54</v>
      </c>
      <c r="Q1137" s="1086">
        <v>33.46</v>
      </c>
      <c r="R1137" s="1086">
        <v>36.79</v>
      </c>
      <c r="S1137" s="1086">
        <v>34.17</v>
      </c>
      <c r="T1137" s="1086">
        <v>48.93</v>
      </c>
      <c r="U1137" s="1086">
        <v>48.93</v>
      </c>
      <c r="V1137" s="1086">
        <v>40.78</v>
      </c>
      <c r="W1137" s="1086">
        <v>39.15</v>
      </c>
      <c r="X1137" s="1086">
        <v>39.44</v>
      </c>
      <c r="Y1137" s="1086">
        <v>35.049999999999997</v>
      </c>
      <c r="Z1137" s="1086">
        <v>35.049999999999997</v>
      </c>
      <c r="AA1137" s="1086">
        <v>39.9</v>
      </c>
      <c r="AB1137" s="1086">
        <v>74.03</v>
      </c>
      <c r="AC1137" s="1086">
        <v>67.400000000000006</v>
      </c>
      <c r="AD1137" s="1086">
        <v>80.27</v>
      </c>
      <c r="AE1137" s="1086">
        <v>80.27</v>
      </c>
      <c r="AF1137" s="1086">
        <v>67.53</v>
      </c>
      <c r="AG1137" s="1086">
        <v>118.76</v>
      </c>
      <c r="AH1137" s="1086">
        <v>147.66999999999999</v>
      </c>
      <c r="AI1137" s="1086">
        <v>90.74</v>
      </c>
      <c r="AJ1137" s="1086">
        <v>90.74</v>
      </c>
      <c r="AK1137" s="1086">
        <v>148.44999999999999</v>
      </c>
      <c r="AL1137" s="1086">
        <v>146</v>
      </c>
      <c r="AM1137" s="1086">
        <v>114.04</v>
      </c>
      <c r="AN1137" s="1086">
        <v>89.51</v>
      </c>
      <c r="AO1137" s="1086">
        <v>89.51</v>
      </c>
      <c r="AP1137" s="1086">
        <v>52.01</v>
      </c>
      <c r="AQ1137" s="1086">
        <v>200.23</v>
      </c>
      <c r="AR1137" s="1086">
        <v>294.66000000000003</v>
      </c>
      <c r="AS1137" s="1086">
        <v>230.67</v>
      </c>
      <c r="AT1137" s="1086">
        <v>230.67</v>
      </c>
      <c r="AU1137" s="1086">
        <v>317.02</v>
      </c>
      <c r="AV1137" s="1086">
        <v>308.39999999999998</v>
      </c>
      <c r="AW1137" s="1086">
        <v>270.85000000000002</v>
      </c>
      <c r="AX1137" s="1086">
        <v>192.81</v>
      </c>
      <c r="AY1137" s="1086">
        <v>192.81</v>
      </c>
      <c r="AZ1137" s="1086">
        <v>121.47</v>
      </c>
      <c r="BA1137" s="1086">
        <v>48.17</v>
      </c>
      <c r="BB1137" s="1086">
        <v>34.56</v>
      </c>
      <c r="BC1137" s="1086">
        <v>32.89</v>
      </c>
      <c r="BD1137" s="1086">
        <v>32.89</v>
      </c>
      <c r="BE1137" s="1086">
        <v>32.479999999999997</v>
      </c>
      <c r="BF1137" s="1086">
        <v>62.89</v>
      </c>
      <c r="BG1137" s="1086">
        <v>60.57</v>
      </c>
      <c r="BH1137" s="1086">
        <v>61.7</v>
      </c>
      <c r="BI1137" s="1086">
        <v>61.7</v>
      </c>
      <c r="BJ1137" s="1087">
        <v>67.88</v>
      </c>
      <c r="BK1137" s="1088"/>
      <c r="BL1137" s="1088"/>
      <c r="BM1137" s="1088"/>
      <c r="BN1137" s="1088"/>
      <c r="BO1137" s="1088"/>
      <c r="BP1137" s="1088"/>
      <c r="BQ1137" s="1088"/>
      <c r="BR1137" s="1088"/>
      <c r="BS1137" s="1088"/>
      <c r="BT1137" s="1088"/>
      <c r="BU1137" s="1088"/>
      <c r="BV1137" s="1089"/>
      <c r="BW1137" s="1039"/>
    </row>
    <row r="1138" spans="1:75" x14ac:dyDescent="0.5">
      <c r="A1138" s="1073" t="s">
        <v>1620</v>
      </c>
      <c r="B1138" s="118"/>
      <c r="C1138" s="1082">
        <v>1</v>
      </c>
      <c r="D1138" s="1082">
        <v>1</v>
      </c>
      <c r="E1138" s="1083">
        <v>1</v>
      </c>
      <c r="F1138" s="1083">
        <v>1</v>
      </c>
      <c r="G1138" s="1083">
        <v>1</v>
      </c>
      <c r="H1138" s="1083">
        <v>1</v>
      </c>
      <c r="I1138" s="1083">
        <v>1</v>
      </c>
      <c r="J1138" s="1083">
        <v>1</v>
      </c>
      <c r="K1138" s="1083">
        <v>1</v>
      </c>
      <c r="L1138" s="1083">
        <v>1</v>
      </c>
      <c r="M1138" s="1083">
        <v>1</v>
      </c>
      <c r="N1138" s="1083">
        <v>1</v>
      </c>
      <c r="O1138" s="1083">
        <v>1</v>
      </c>
      <c r="P1138" s="1083">
        <v>1</v>
      </c>
      <c r="Q1138" s="1083">
        <v>1</v>
      </c>
      <c r="R1138" s="1083">
        <v>1</v>
      </c>
      <c r="S1138" s="1083">
        <v>1</v>
      </c>
      <c r="T1138" s="1083">
        <v>1</v>
      </c>
      <c r="U1138" s="1083">
        <v>1</v>
      </c>
      <c r="V1138" s="1083">
        <v>1</v>
      </c>
      <c r="W1138" s="1083">
        <v>1</v>
      </c>
      <c r="X1138" s="1083">
        <v>1</v>
      </c>
      <c r="Y1138" s="1083">
        <v>1</v>
      </c>
      <c r="Z1138" s="1083">
        <v>1</v>
      </c>
      <c r="AA1138" s="1083">
        <v>1</v>
      </c>
      <c r="AB1138" s="1083">
        <v>1</v>
      </c>
      <c r="AC1138" s="1083">
        <v>1</v>
      </c>
      <c r="AD1138" s="1083">
        <v>1</v>
      </c>
      <c r="AE1138" s="1083">
        <v>1</v>
      </c>
      <c r="AF1138" s="1083">
        <v>1</v>
      </c>
      <c r="AG1138" s="1083">
        <v>1</v>
      </c>
      <c r="AH1138" s="1083">
        <v>1</v>
      </c>
      <c r="AI1138" s="1083">
        <v>1</v>
      </c>
      <c r="AJ1138" s="1083">
        <v>1</v>
      </c>
      <c r="AK1138" s="1083">
        <v>1</v>
      </c>
      <c r="AL1138" s="1083">
        <v>1</v>
      </c>
      <c r="AM1138" s="1083">
        <v>1</v>
      </c>
      <c r="AN1138" s="1083">
        <v>1</v>
      </c>
      <c r="AO1138" s="1083">
        <v>1</v>
      </c>
      <c r="AP1138" s="1083">
        <v>1</v>
      </c>
      <c r="AQ1138" s="1083">
        <v>1</v>
      </c>
      <c r="AR1138" s="1083">
        <v>1</v>
      </c>
      <c r="AS1138" s="1083">
        <v>1</v>
      </c>
      <c r="AT1138" s="1083">
        <v>1</v>
      </c>
      <c r="AU1138" s="1083">
        <v>1</v>
      </c>
      <c r="AV1138" s="1083">
        <v>1</v>
      </c>
      <c r="AW1138" s="1083">
        <v>1</v>
      </c>
      <c r="AX1138" s="1083">
        <v>1</v>
      </c>
      <c r="AY1138" s="1083">
        <v>1</v>
      </c>
      <c r="AZ1138" s="1083">
        <v>1</v>
      </c>
      <c r="BA1138" s="1083">
        <v>1</v>
      </c>
      <c r="BB1138" s="1083">
        <v>1</v>
      </c>
      <c r="BC1138" s="1083">
        <v>1</v>
      </c>
      <c r="BD1138" s="1083">
        <v>1</v>
      </c>
      <c r="BE1138" s="1083">
        <v>1</v>
      </c>
      <c r="BF1138" s="1083">
        <v>1</v>
      </c>
      <c r="BG1138" s="1083">
        <v>1</v>
      </c>
      <c r="BH1138" s="1083">
        <v>1</v>
      </c>
      <c r="BI1138" s="1083">
        <v>1</v>
      </c>
      <c r="BJ1138" s="1084">
        <v>1</v>
      </c>
      <c r="BK1138" s="1076"/>
      <c r="BL1138" s="1076"/>
      <c r="BM1138" s="1076"/>
      <c r="BN1138" s="1076"/>
      <c r="BO1138" s="1076"/>
      <c r="BP1138" s="1076"/>
      <c r="BQ1138" s="1076"/>
      <c r="BR1138" s="1076"/>
      <c r="BS1138" s="1076"/>
      <c r="BT1138" s="1076"/>
      <c r="BU1138" s="1076"/>
      <c r="BV1138" s="1079"/>
      <c r="BW1138" s="1039"/>
    </row>
    <row r="1139" spans="1:75" x14ac:dyDescent="0.5">
      <c r="A1139" s="1090"/>
      <c r="B1139" s="723"/>
      <c r="C1139" s="1091"/>
      <c r="D1139" s="1091"/>
      <c r="E1139" s="1092"/>
      <c r="F1139" s="1092"/>
      <c r="G1139" s="1092"/>
      <c r="H1139" s="1092"/>
      <c r="I1139" s="1092"/>
      <c r="J1139" s="1092"/>
      <c r="K1139" s="1092"/>
      <c r="L1139" s="1092"/>
      <c r="M1139" s="1092"/>
      <c r="N1139" s="1092"/>
      <c r="O1139" s="1092"/>
      <c r="P1139" s="1092"/>
      <c r="Q1139" s="1092"/>
      <c r="R1139" s="1092"/>
      <c r="S1139" s="1092"/>
      <c r="T1139" s="1092"/>
      <c r="U1139" s="1092"/>
      <c r="V1139" s="1092"/>
      <c r="W1139" s="1092"/>
      <c r="X1139" s="1092"/>
      <c r="Y1139" s="1092"/>
      <c r="Z1139" s="1092"/>
      <c r="AA1139" s="1092"/>
      <c r="AB1139" s="1092"/>
      <c r="AC1139" s="1092"/>
      <c r="AD1139" s="1092"/>
      <c r="AE1139" s="1092"/>
      <c r="AF1139" s="1092"/>
      <c r="AG1139" s="1092"/>
      <c r="AH1139" s="1092"/>
      <c r="AI1139" s="1092"/>
      <c r="AJ1139" s="1092"/>
      <c r="AK1139" s="1092"/>
      <c r="AL1139" s="1092"/>
      <c r="AM1139" s="1092"/>
      <c r="AN1139" s="1092"/>
      <c r="AO1139" s="1092"/>
      <c r="AP1139" s="1092"/>
      <c r="AQ1139" s="1092"/>
      <c r="AR1139" s="1092"/>
      <c r="AS1139" s="1092"/>
      <c r="AT1139" s="1092"/>
      <c r="AU1139" s="1092"/>
      <c r="AV1139" s="1092"/>
      <c r="AW1139" s="1092"/>
      <c r="AX1139" s="1092"/>
      <c r="AY1139" s="1092"/>
      <c r="AZ1139" s="1092"/>
      <c r="BA1139" s="1092"/>
      <c r="BB1139" s="1092"/>
      <c r="BC1139" s="1092"/>
      <c r="BD1139" s="1092"/>
      <c r="BE1139" s="1092"/>
      <c r="BF1139" s="1092"/>
      <c r="BG1139" s="1092"/>
      <c r="BH1139" s="1092"/>
      <c r="BI1139" s="1092"/>
      <c r="BJ1139" s="1093"/>
      <c r="BK1139" s="1092"/>
      <c r="BL1139" s="1092"/>
      <c r="BM1139" s="1092"/>
      <c r="BN1139" s="1092"/>
      <c r="BO1139" s="1092"/>
      <c r="BP1139" s="1092"/>
      <c r="BQ1139" s="1092"/>
      <c r="BR1139" s="1092"/>
      <c r="BS1139" s="1092"/>
      <c r="BT1139" s="1092"/>
      <c r="BU1139" s="1092"/>
      <c r="BV1139" s="1094"/>
      <c r="BW1139" s="1039"/>
    </row>
    <row r="1140" spans="1:75" x14ac:dyDescent="0.5">
      <c r="A1140" s="1598"/>
      <c r="B1140" s="1598"/>
      <c r="C1140" s="1100"/>
      <c r="D1140" s="1100"/>
      <c r="E1140" s="1100"/>
      <c r="F1140" s="1100"/>
      <c r="G1140" s="1100"/>
      <c r="H1140" s="1100"/>
      <c r="I1140" s="1100"/>
      <c r="J1140" s="1100"/>
      <c r="K1140" s="1100"/>
      <c r="L1140" s="1100"/>
      <c r="M1140" s="1100"/>
      <c r="N1140" s="1100"/>
      <c r="O1140" s="1100"/>
      <c r="P1140" s="1100"/>
      <c r="Q1140" s="1100"/>
      <c r="R1140" s="1100"/>
      <c r="S1140" s="1100"/>
      <c r="T1140" s="1100"/>
      <c r="U1140" s="1100"/>
      <c r="V1140" s="1100"/>
      <c r="W1140" s="1100"/>
      <c r="X1140" s="1100"/>
      <c r="Y1140" s="1100"/>
      <c r="Z1140" s="1100"/>
      <c r="AA1140" s="1100"/>
      <c r="AB1140" s="1100"/>
      <c r="AC1140" s="1100"/>
      <c r="AD1140" s="1100"/>
      <c r="AE1140" s="1100"/>
      <c r="AF1140" s="1100"/>
      <c r="AG1140" s="1100"/>
      <c r="AH1140" s="1100"/>
      <c r="AI1140" s="1100"/>
      <c r="AJ1140" s="1100"/>
      <c r="AK1140" s="1100"/>
      <c r="AL1140" s="1100"/>
      <c r="AM1140" s="1100"/>
      <c r="AN1140" s="1100"/>
      <c r="AO1140" s="1100"/>
      <c r="AP1140" s="1100"/>
      <c r="AQ1140" s="1100"/>
      <c r="AR1140" s="1100"/>
      <c r="AS1140" s="1100"/>
      <c r="AT1140" s="1100"/>
      <c r="AU1140" s="1100"/>
      <c r="AV1140" s="1100"/>
      <c r="AW1140" s="1100"/>
      <c r="AX1140" s="1100"/>
      <c r="AY1140" s="1100"/>
      <c r="AZ1140" s="1100"/>
      <c r="BA1140" s="1100"/>
      <c r="BB1140" s="1100"/>
      <c r="BC1140" s="1100"/>
      <c r="BD1140" s="1100"/>
      <c r="BE1140" s="1100"/>
      <c r="BF1140" s="1100"/>
      <c r="BG1140" s="1100"/>
      <c r="BH1140" s="1100"/>
      <c r="BI1140" s="1100"/>
      <c r="BJ1140" s="1599"/>
      <c r="BK1140" s="1100"/>
      <c r="BL1140" s="1100"/>
      <c r="BM1140" s="1100"/>
      <c r="BN1140" s="1100"/>
      <c r="BO1140" s="1100"/>
      <c r="BP1140" s="1100"/>
      <c r="BQ1140" s="1100"/>
      <c r="BR1140" s="1100"/>
      <c r="BS1140" s="1100"/>
      <c r="BT1140" s="1100"/>
      <c r="BU1140" s="1100"/>
      <c r="BV1140" s="1100"/>
      <c r="BW1140" s="152"/>
    </row>
    <row r="1141" spans="1:75" x14ac:dyDescent="0.5">
      <c r="A1141" s="1095" t="s">
        <v>1621</v>
      </c>
      <c r="B1141" s="1056"/>
      <c r="C1141" s="118"/>
      <c r="D1141" s="118"/>
      <c r="E1141" s="118"/>
      <c r="F1141" s="118"/>
      <c r="G1141" s="118"/>
      <c r="H1141" s="118"/>
      <c r="I1141" s="118"/>
      <c r="J1141" s="118"/>
      <c r="K1141" s="118"/>
      <c r="L1141" s="118"/>
      <c r="M1141" s="118"/>
      <c r="N1141" s="118"/>
      <c r="O1141" s="118"/>
      <c r="P1141" s="118"/>
      <c r="Q1141" s="118"/>
      <c r="R1141" s="118"/>
      <c r="S1141" s="118"/>
      <c r="T1141" s="118"/>
      <c r="U1141" s="118"/>
      <c r="V1141" s="118"/>
      <c r="W1141" s="118"/>
      <c r="X1141" s="118"/>
      <c r="Y1141" s="118"/>
      <c r="Z1141" s="118"/>
      <c r="AA1141" s="118"/>
      <c r="AB1141" s="118"/>
      <c r="AC1141" s="118"/>
      <c r="AD1141" s="118"/>
      <c r="AE1141" s="118"/>
      <c r="AF1141" s="118"/>
      <c r="AG1141" s="118"/>
      <c r="AH1141" s="118"/>
      <c r="AI1141" s="118"/>
      <c r="AJ1141" s="118"/>
      <c r="AK1141" s="118"/>
      <c r="AL1141" s="118"/>
      <c r="AM1141" s="118"/>
      <c r="AN1141" s="118"/>
      <c r="AO1141" s="118"/>
      <c r="AP1141" s="118"/>
      <c r="AQ1141" s="118"/>
      <c r="AR1141" s="118"/>
      <c r="AS1141" s="118"/>
      <c r="AT1141" s="118"/>
      <c r="AU1141" s="118"/>
      <c r="AV1141" s="118"/>
      <c r="AW1141" s="118"/>
      <c r="AX1141" s="118"/>
      <c r="AY1141" s="118"/>
      <c r="AZ1141" s="118"/>
      <c r="BA1141" s="118"/>
      <c r="BB1141" s="118"/>
      <c r="BC1141" s="118"/>
      <c r="BD1141" s="118"/>
      <c r="BE1141" s="118"/>
      <c r="BF1141" s="118"/>
      <c r="BG1141" s="118"/>
      <c r="BH1141" s="118"/>
      <c r="BI1141" s="118"/>
      <c r="BJ1141" s="971"/>
      <c r="BK1141" s="118"/>
      <c r="BL1141" s="118"/>
      <c r="BM1141" s="118"/>
      <c r="BN1141" s="118"/>
      <c r="BO1141" s="118"/>
      <c r="BP1141" s="118"/>
      <c r="BQ1141" s="118"/>
      <c r="BR1141" s="118"/>
      <c r="BS1141" s="118"/>
      <c r="BT1141" s="118"/>
      <c r="BU1141" s="118"/>
      <c r="BV1141" s="118"/>
      <c r="BW1141" s="122"/>
    </row>
    <row r="1142" spans="1:75" x14ac:dyDescent="0.5">
      <c r="A1142" s="915" t="s">
        <v>1622</v>
      </c>
      <c r="B1142" s="785">
        <f>FP.LastPrice</f>
        <v>292.52</v>
      </c>
      <c r="C1142" s="785"/>
      <c r="D1142" s="785"/>
      <c r="E1142" s="785"/>
      <c r="F1142" s="785"/>
      <c r="G1142" s="785"/>
      <c r="H1142" s="785"/>
      <c r="I1142" s="785"/>
      <c r="J1142" s="785"/>
      <c r="K1142" s="785"/>
      <c r="L1142" s="785"/>
      <c r="M1142" s="785"/>
      <c r="N1142" s="785"/>
      <c r="O1142" s="785"/>
      <c r="P1142" s="785"/>
      <c r="Q1142" s="785"/>
      <c r="R1142" s="785"/>
      <c r="S1142" s="785"/>
      <c r="T1142" s="785"/>
      <c r="U1142" s="785"/>
      <c r="V1142" s="785"/>
      <c r="W1142" s="785"/>
      <c r="X1142" s="785"/>
      <c r="Y1142" s="785"/>
      <c r="Z1142" s="785"/>
      <c r="AA1142" s="785"/>
      <c r="AB1142" s="785"/>
      <c r="AC1142" s="785"/>
      <c r="AD1142" s="785"/>
      <c r="AE1142" s="785"/>
      <c r="AF1142" s="785"/>
      <c r="AG1142" s="785"/>
      <c r="AH1142" s="785"/>
      <c r="AI1142" s="785"/>
      <c r="AJ1142" s="785"/>
      <c r="AK1142" s="785"/>
      <c r="AL1142" s="785"/>
      <c r="AM1142" s="785"/>
      <c r="AN1142" s="785"/>
      <c r="AO1142" s="785"/>
      <c r="AP1142" s="785"/>
      <c r="AQ1142" s="785"/>
      <c r="AR1142" s="785"/>
      <c r="AS1142" s="785"/>
      <c r="AT1142" s="785"/>
      <c r="AU1142" s="785"/>
      <c r="AV1142" s="785"/>
      <c r="AW1142" s="785"/>
      <c r="AX1142" s="785"/>
      <c r="AY1142" s="785"/>
      <c r="AZ1142" s="785"/>
      <c r="BA1142" s="785"/>
      <c r="BB1142" s="785"/>
      <c r="BC1142" s="785"/>
      <c r="BD1142" s="785"/>
      <c r="BE1142" s="785"/>
      <c r="BF1142" s="785"/>
      <c r="BG1142" s="785"/>
      <c r="BH1142" s="785"/>
      <c r="BI1142" s="785"/>
      <c r="BJ1142" s="1067"/>
      <c r="BK1142" s="785"/>
      <c r="BL1142" s="785"/>
      <c r="BM1142" s="785"/>
      <c r="BN1142" s="785"/>
      <c r="BO1142" s="785"/>
      <c r="BP1142" s="785"/>
      <c r="BQ1142" s="785"/>
      <c r="BR1142" s="785"/>
      <c r="BS1142" s="785"/>
      <c r="BT1142" s="785"/>
      <c r="BU1142" s="785"/>
      <c r="BV1142" s="785"/>
      <c r="BW1142" s="787"/>
    </row>
    <row r="1143" spans="1:75" x14ac:dyDescent="0.5">
      <c r="A1143" s="464" t="s">
        <v>1623</v>
      </c>
      <c r="B1143" s="1096">
        <f>FP.LastPriceDate</f>
        <v>45450</v>
      </c>
      <c r="C1143" s="127"/>
      <c r="D1143" s="127"/>
      <c r="E1143" s="127"/>
      <c r="F1143" s="127"/>
      <c r="G1143" s="127"/>
      <c r="H1143" s="127"/>
      <c r="I1143" s="127"/>
      <c r="J1143" s="127"/>
      <c r="K1143" s="127"/>
      <c r="L1143" s="127"/>
      <c r="M1143" s="127"/>
      <c r="N1143" s="127"/>
      <c r="O1143" s="127"/>
      <c r="P1143" s="127"/>
      <c r="Q1143" s="127"/>
      <c r="R1143" s="127"/>
      <c r="S1143" s="127"/>
      <c r="T1143" s="127"/>
      <c r="U1143" s="127"/>
      <c r="V1143" s="127"/>
      <c r="W1143" s="127"/>
      <c r="X1143" s="127"/>
      <c r="Y1143" s="127"/>
      <c r="Z1143" s="127"/>
      <c r="AA1143" s="127"/>
      <c r="AB1143" s="127"/>
      <c r="AC1143" s="127"/>
      <c r="AD1143" s="127"/>
      <c r="AE1143" s="127"/>
      <c r="AF1143" s="127"/>
      <c r="AG1143" s="127"/>
      <c r="AH1143" s="127"/>
      <c r="AI1143" s="127"/>
      <c r="AJ1143" s="127"/>
      <c r="AK1143" s="127"/>
      <c r="AL1143" s="127"/>
      <c r="AM1143" s="127"/>
      <c r="AN1143" s="127"/>
      <c r="AO1143" s="127"/>
      <c r="AP1143" s="127"/>
      <c r="AQ1143" s="127"/>
      <c r="AR1143" s="127"/>
      <c r="AS1143" s="127"/>
      <c r="AT1143" s="127"/>
      <c r="AU1143" s="127"/>
      <c r="AV1143" s="127"/>
      <c r="AW1143" s="127"/>
      <c r="AX1143" s="127"/>
      <c r="AY1143" s="127"/>
      <c r="AZ1143" s="127"/>
      <c r="BA1143" s="127"/>
      <c r="BB1143" s="127"/>
      <c r="BC1143" s="127"/>
      <c r="BD1143" s="127"/>
      <c r="BE1143" s="127"/>
      <c r="BF1143" s="127"/>
      <c r="BG1143" s="127"/>
      <c r="BH1143" s="127"/>
      <c r="BI1143" s="127"/>
      <c r="BJ1143" s="1097"/>
      <c r="BK1143" s="127"/>
      <c r="BL1143" s="127"/>
      <c r="BM1143" s="127"/>
      <c r="BN1143" s="127"/>
      <c r="BO1143" s="127"/>
      <c r="BP1143" s="127"/>
      <c r="BQ1143" s="127"/>
      <c r="BR1143" s="127"/>
      <c r="BS1143" s="127"/>
      <c r="BT1143" s="127"/>
      <c r="BU1143" s="127"/>
      <c r="BV1143" s="127"/>
      <c r="BW1143" s="152"/>
    </row>
    <row r="1144" spans="1:75" x14ac:dyDescent="0.5">
      <c r="A1144" s="464" t="s">
        <v>1624</v>
      </c>
      <c r="B1144" s="152" t="b">
        <f>IF(FP.RealTimeToggle="ON",TRUE,FALSE)</f>
        <v>0</v>
      </c>
      <c r="C1144" s="127"/>
      <c r="D1144" s="127"/>
      <c r="E1144" s="127"/>
      <c r="F1144" s="127"/>
      <c r="G1144" s="127"/>
      <c r="H1144" s="127"/>
      <c r="I1144" s="127"/>
      <c r="J1144" s="127"/>
      <c r="K1144" s="127"/>
      <c r="L1144" s="127"/>
      <c r="M1144" s="127"/>
      <c r="N1144" s="127"/>
      <c r="O1144" s="127"/>
      <c r="P1144" s="127"/>
      <c r="Q1144" s="127"/>
      <c r="R1144" s="127"/>
      <c r="S1144" s="127"/>
      <c r="T1144" s="127"/>
      <c r="U1144" s="127"/>
      <c r="V1144" s="127"/>
      <c r="W1144" s="127"/>
      <c r="X1144" s="127"/>
      <c r="Y1144" s="127"/>
      <c r="Z1144" s="127"/>
      <c r="AA1144" s="127"/>
      <c r="AB1144" s="127"/>
      <c r="AC1144" s="127"/>
      <c r="AD1144" s="127"/>
      <c r="AE1144" s="127"/>
      <c r="AF1144" s="127"/>
      <c r="AG1144" s="127"/>
      <c r="AH1144" s="127"/>
      <c r="AI1144" s="127"/>
      <c r="AJ1144" s="127"/>
      <c r="AK1144" s="127"/>
      <c r="AL1144" s="127"/>
      <c r="AM1144" s="127"/>
      <c r="AN1144" s="127"/>
      <c r="AO1144" s="127"/>
      <c r="AP1144" s="127"/>
      <c r="AQ1144" s="127"/>
      <c r="AR1144" s="127"/>
      <c r="AS1144" s="127"/>
      <c r="AT1144" s="127"/>
      <c r="AU1144" s="127"/>
      <c r="AV1144" s="127"/>
      <c r="AW1144" s="127"/>
      <c r="AX1144" s="127"/>
      <c r="AY1144" s="127"/>
      <c r="AZ1144" s="127"/>
      <c r="BA1144" s="127"/>
      <c r="BB1144" s="127"/>
      <c r="BC1144" s="127"/>
      <c r="BD1144" s="127"/>
      <c r="BE1144" s="127"/>
      <c r="BF1144" s="127"/>
      <c r="BG1144" s="127"/>
      <c r="BH1144" s="127"/>
      <c r="BI1144" s="127"/>
      <c r="BJ1144" s="1097"/>
      <c r="BK1144" s="127"/>
      <c r="BL1144" s="127"/>
      <c r="BM1144" s="127"/>
      <c r="BN1144" s="127"/>
      <c r="BO1144" s="127"/>
      <c r="BP1144" s="127"/>
      <c r="BQ1144" s="127"/>
      <c r="BR1144" s="127"/>
      <c r="BS1144" s="127"/>
      <c r="BT1144" s="127"/>
      <c r="BU1144" s="127"/>
      <c r="BV1144" s="127"/>
      <c r="BW1144" s="152"/>
    </row>
    <row r="1145" spans="1:75" x14ac:dyDescent="0.5">
      <c r="A1145" s="915" t="s">
        <v>1625</v>
      </c>
      <c r="B1145" s="787" t="str">
        <f ca="1">IFERROR(CHOOSE(MO.DataSourceIndex,_xll.BDP(MO.Ticker.Bloomberg&amp;" EQUITY","LAST_PRICE"),_xll.CIQ(MO.Ticker.CapIQ,"IQ_LASTSALEPRICE"),_xll.FDS(MO.Ticker.FactSet,"FG_PRICE(NOW)"),_xll.TR(MO.Ticker.Thomson,"TRDPRC_1")),"N/A")</f>
        <v>N/A</v>
      </c>
      <c r="C1145" s="785"/>
      <c r="D1145" s="785"/>
      <c r="E1145" s="785"/>
      <c r="F1145" s="785"/>
      <c r="G1145" s="785"/>
      <c r="H1145" s="785"/>
      <c r="I1145" s="785"/>
      <c r="J1145" s="785"/>
      <c r="K1145" s="785"/>
      <c r="L1145" s="785"/>
      <c r="M1145" s="785"/>
      <c r="N1145" s="785"/>
      <c r="O1145" s="785"/>
      <c r="P1145" s="785"/>
      <c r="Q1145" s="785"/>
      <c r="R1145" s="785"/>
      <c r="S1145" s="785"/>
      <c r="T1145" s="785"/>
      <c r="U1145" s="785"/>
      <c r="V1145" s="785"/>
      <c r="W1145" s="785"/>
      <c r="X1145" s="785"/>
      <c r="Y1145" s="785"/>
      <c r="Z1145" s="785"/>
      <c r="AA1145" s="785"/>
      <c r="AB1145" s="785"/>
      <c r="AC1145" s="785"/>
      <c r="AD1145" s="785"/>
      <c r="AE1145" s="785"/>
      <c r="AF1145" s="785"/>
      <c r="AG1145" s="785"/>
      <c r="AH1145" s="785"/>
      <c r="AI1145" s="785"/>
      <c r="AJ1145" s="785"/>
      <c r="AK1145" s="785"/>
      <c r="AL1145" s="785"/>
      <c r="AM1145" s="785"/>
      <c r="AN1145" s="785"/>
      <c r="AO1145" s="785"/>
      <c r="AP1145" s="785"/>
      <c r="AQ1145" s="785"/>
      <c r="AR1145" s="785"/>
      <c r="AS1145" s="785"/>
      <c r="AT1145" s="785"/>
      <c r="AU1145" s="785"/>
      <c r="AV1145" s="785"/>
      <c r="AW1145" s="785"/>
      <c r="AX1145" s="785"/>
      <c r="AY1145" s="785"/>
      <c r="AZ1145" s="785"/>
      <c r="BA1145" s="785"/>
      <c r="BB1145" s="785"/>
      <c r="BC1145" s="785"/>
      <c r="BD1145" s="785"/>
      <c r="BE1145" s="785"/>
      <c r="BF1145" s="785"/>
      <c r="BG1145" s="785"/>
      <c r="BH1145" s="785"/>
      <c r="BI1145" s="785"/>
      <c r="BJ1145" s="1067"/>
      <c r="BK1145" s="785"/>
      <c r="BL1145" s="785"/>
      <c r="BM1145" s="785"/>
      <c r="BN1145" s="785"/>
      <c r="BO1145" s="785"/>
      <c r="BP1145" s="785"/>
      <c r="BQ1145" s="785"/>
      <c r="BR1145" s="785"/>
      <c r="BS1145" s="785"/>
      <c r="BT1145" s="785"/>
      <c r="BU1145" s="785"/>
      <c r="BV1145" s="785"/>
      <c r="BW1145" s="787"/>
    </row>
    <row r="1146" spans="1:75" x14ac:dyDescent="0.5">
      <c r="A1146" s="915" t="s">
        <v>1626</v>
      </c>
      <c r="B1146" s="787" t="b">
        <f>OR(AND(OR(EXACT(HP.TradeCurrency.HardCoded,"GBp"),EXACT(HP.TradeCurrency.HardCoded,"GBX")),EXACT(HP.ReportCurrency,"GBP")),AND(OR(EXACT(HP.TradeCurrency.HardCoded,"ZAc"),EXACT(HP.TradeCurrency.HardCoded,"ZAC")),EXACT(HP.ReportCurrency,"ZAR")))</f>
        <v>0</v>
      </c>
      <c r="C1146" s="785"/>
      <c r="D1146" s="785"/>
      <c r="E1146" s="785"/>
      <c r="F1146" s="785"/>
      <c r="G1146" s="785"/>
      <c r="H1146" s="785"/>
      <c r="I1146" s="785"/>
      <c r="J1146" s="785"/>
      <c r="K1146" s="785"/>
      <c r="L1146" s="785"/>
      <c r="M1146" s="785"/>
      <c r="N1146" s="785"/>
      <c r="O1146" s="785"/>
      <c r="P1146" s="785"/>
      <c r="Q1146" s="785"/>
      <c r="R1146" s="785"/>
      <c r="S1146" s="785"/>
      <c r="T1146" s="785"/>
      <c r="U1146" s="785"/>
      <c r="V1146" s="785"/>
      <c r="W1146" s="785"/>
      <c r="X1146" s="785"/>
      <c r="Y1146" s="785"/>
      <c r="Z1146" s="785"/>
      <c r="AA1146" s="785"/>
      <c r="AB1146" s="785"/>
      <c r="AC1146" s="785"/>
      <c r="AD1146" s="785"/>
      <c r="AE1146" s="785"/>
      <c r="AF1146" s="785"/>
      <c r="AG1146" s="785"/>
      <c r="AH1146" s="785"/>
      <c r="AI1146" s="785"/>
      <c r="AJ1146" s="785"/>
      <c r="AK1146" s="785"/>
      <c r="AL1146" s="785"/>
      <c r="AM1146" s="785"/>
      <c r="AN1146" s="785"/>
      <c r="AO1146" s="785"/>
      <c r="AP1146" s="785"/>
      <c r="AQ1146" s="785"/>
      <c r="AR1146" s="785"/>
      <c r="AS1146" s="785"/>
      <c r="AT1146" s="785"/>
      <c r="AU1146" s="785"/>
      <c r="AV1146" s="785"/>
      <c r="AW1146" s="785"/>
      <c r="AX1146" s="785"/>
      <c r="AY1146" s="785"/>
      <c r="AZ1146" s="785"/>
      <c r="BA1146" s="785"/>
      <c r="BB1146" s="785"/>
      <c r="BC1146" s="785"/>
      <c r="BD1146" s="785"/>
      <c r="BE1146" s="785"/>
      <c r="BF1146" s="785"/>
      <c r="BG1146" s="785"/>
      <c r="BH1146" s="785"/>
      <c r="BI1146" s="785"/>
      <c r="BJ1146" s="1067"/>
      <c r="BK1146" s="785"/>
      <c r="BL1146" s="785"/>
      <c r="BM1146" s="785"/>
      <c r="BN1146" s="785"/>
      <c r="BO1146" s="785"/>
      <c r="BP1146" s="785"/>
      <c r="BQ1146" s="785"/>
      <c r="BR1146" s="785"/>
      <c r="BS1146" s="785"/>
      <c r="BT1146" s="785"/>
      <c r="BU1146" s="785"/>
      <c r="BV1146" s="785"/>
      <c r="BW1146" s="787"/>
    </row>
    <row r="1147" spans="1:75" x14ac:dyDescent="0.5">
      <c r="A1147" s="915" t="s">
        <v>1627</v>
      </c>
      <c r="B1147" s="787" t="str">
        <f ca="1">IFERROR(CHOOSE(MO.DataSourceIndex,_xll.BDP(HP.Ticker&amp;" Equity","CRNCY"),_xll.CIQ(HP.Ticker,"IQ_TRADING_CURRENCY"),_xll.FDS(HP.Ticker,"P_CURRENCY(""ISO"")"),_xll.TR(HP.Ticker,"Currency")),HP.TradeCurrency.HardCoded)</f>
        <v>USD</v>
      </c>
      <c r="C1147" s="785"/>
      <c r="D1147" s="785"/>
      <c r="E1147" s="785"/>
      <c r="F1147" s="785"/>
      <c r="G1147" s="785"/>
      <c r="H1147" s="785"/>
      <c r="I1147" s="785"/>
      <c r="J1147" s="785"/>
      <c r="K1147" s="785"/>
      <c r="L1147" s="785"/>
      <c r="M1147" s="785"/>
      <c r="N1147" s="785"/>
      <c r="O1147" s="785"/>
      <c r="P1147" s="785"/>
      <c r="Q1147" s="785"/>
      <c r="R1147" s="785"/>
      <c r="S1147" s="785"/>
      <c r="T1147" s="785"/>
      <c r="U1147" s="785"/>
      <c r="V1147" s="785"/>
      <c r="W1147" s="785"/>
      <c r="X1147" s="785"/>
      <c r="Y1147" s="785"/>
      <c r="Z1147" s="785"/>
      <c r="AA1147" s="785"/>
      <c r="AB1147" s="785"/>
      <c r="AC1147" s="785"/>
      <c r="AD1147" s="785"/>
      <c r="AE1147" s="785"/>
      <c r="AF1147" s="785"/>
      <c r="AG1147" s="785"/>
      <c r="AH1147" s="785"/>
      <c r="AI1147" s="785"/>
      <c r="AJ1147" s="785"/>
      <c r="AK1147" s="785"/>
      <c r="AL1147" s="785"/>
      <c r="AM1147" s="785"/>
      <c r="AN1147" s="785"/>
      <c r="AO1147" s="785"/>
      <c r="AP1147" s="785"/>
      <c r="AQ1147" s="785"/>
      <c r="AR1147" s="785"/>
      <c r="AS1147" s="785"/>
      <c r="AT1147" s="785"/>
      <c r="AU1147" s="785"/>
      <c r="AV1147" s="785"/>
      <c r="AW1147" s="785"/>
      <c r="AX1147" s="785"/>
      <c r="AY1147" s="785"/>
      <c r="AZ1147" s="785"/>
      <c r="BA1147" s="785"/>
      <c r="BB1147" s="785"/>
      <c r="BC1147" s="785"/>
      <c r="BD1147" s="785"/>
      <c r="BE1147" s="785"/>
      <c r="BF1147" s="785"/>
      <c r="BG1147" s="785"/>
      <c r="BH1147" s="785"/>
      <c r="BI1147" s="785"/>
      <c r="BJ1147" s="1067"/>
      <c r="BK1147" s="785"/>
      <c r="BL1147" s="785"/>
      <c r="BM1147" s="785"/>
      <c r="BN1147" s="785"/>
      <c r="BO1147" s="785"/>
      <c r="BP1147" s="785"/>
      <c r="BQ1147" s="785"/>
      <c r="BR1147" s="785"/>
      <c r="BS1147" s="785"/>
      <c r="BT1147" s="785"/>
      <c r="BU1147" s="785"/>
      <c r="BV1147" s="785"/>
      <c r="BW1147" s="787"/>
    </row>
    <row r="1148" spans="1:75" x14ac:dyDescent="0.5">
      <c r="A1148" s="915" t="s">
        <v>1628</v>
      </c>
      <c r="B1148" s="1071" t="s">
        <v>102</v>
      </c>
      <c r="C1148" s="785"/>
      <c r="D1148" s="785"/>
      <c r="E1148" s="785"/>
      <c r="F1148" s="785"/>
      <c r="G1148" s="785"/>
      <c r="H1148" s="785"/>
      <c r="I1148" s="785"/>
      <c r="J1148" s="785"/>
      <c r="K1148" s="785"/>
      <c r="L1148" s="785"/>
      <c r="M1148" s="785"/>
      <c r="N1148" s="785"/>
      <c r="O1148" s="785"/>
      <c r="P1148" s="785"/>
      <c r="Q1148" s="785"/>
      <c r="R1148" s="785"/>
      <c r="S1148" s="785"/>
      <c r="T1148" s="785"/>
      <c r="U1148" s="785"/>
      <c r="V1148" s="785"/>
      <c r="W1148" s="785"/>
      <c r="X1148" s="785"/>
      <c r="Y1148" s="785"/>
      <c r="Z1148" s="785"/>
      <c r="AA1148" s="785"/>
      <c r="AB1148" s="785"/>
      <c r="AC1148" s="785"/>
      <c r="AD1148" s="785"/>
      <c r="AE1148" s="785"/>
      <c r="AF1148" s="785"/>
      <c r="AG1148" s="785"/>
      <c r="AH1148" s="785"/>
      <c r="AI1148" s="785"/>
      <c r="AJ1148" s="785"/>
      <c r="AK1148" s="785"/>
      <c r="AL1148" s="785"/>
      <c r="AM1148" s="785"/>
      <c r="AN1148" s="785"/>
      <c r="AO1148" s="785"/>
      <c r="AP1148" s="785"/>
      <c r="AQ1148" s="785"/>
      <c r="AR1148" s="785"/>
      <c r="AS1148" s="785"/>
      <c r="AT1148" s="785"/>
      <c r="AU1148" s="785"/>
      <c r="AV1148" s="785"/>
      <c r="AW1148" s="785"/>
      <c r="AX1148" s="785"/>
      <c r="AY1148" s="785"/>
      <c r="AZ1148" s="785"/>
      <c r="BA1148" s="785"/>
      <c r="BB1148" s="785"/>
      <c r="BC1148" s="785"/>
      <c r="BD1148" s="785"/>
      <c r="BE1148" s="785"/>
      <c r="BF1148" s="785"/>
      <c r="BG1148" s="785"/>
      <c r="BH1148" s="785"/>
      <c r="BI1148" s="785"/>
      <c r="BJ1148" s="1067"/>
      <c r="BK1148" s="785"/>
      <c r="BL1148" s="785"/>
      <c r="BM1148" s="785"/>
      <c r="BN1148" s="785"/>
      <c r="BO1148" s="785"/>
      <c r="BP1148" s="785"/>
      <c r="BQ1148" s="785"/>
      <c r="BR1148" s="785"/>
      <c r="BS1148" s="785"/>
      <c r="BT1148" s="785"/>
      <c r="BU1148" s="785"/>
      <c r="BV1148" s="785"/>
      <c r="BW1148" s="787"/>
    </row>
    <row r="1149" spans="1:75" x14ac:dyDescent="0.5">
      <c r="A1149" s="915" t="s">
        <v>1629</v>
      </c>
      <c r="B1149" s="1071" t="s">
        <v>102</v>
      </c>
      <c r="C1149" s="785"/>
      <c r="D1149" s="785"/>
      <c r="E1149" s="785"/>
      <c r="F1149" s="785"/>
      <c r="G1149" s="785"/>
      <c r="H1149" s="785"/>
      <c r="I1149" s="785"/>
      <c r="J1149" s="785"/>
      <c r="K1149" s="785"/>
      <c r="L1149" s="785"/>
      <c r="M1149" s="785"/>
      <c r="N1149" s="785"/>
      <c r="O1149" s="785"/>
      <c r="P1149" s="785"/>
      <c r="Q1149" s="785"/>
      <c r="R1149" s="785"/>
      <c r="S1149" s="785"/>
      <c r="T1149" s="785"/>
      <c r="U1149" s="785"/>
      <c r="V1149" s="785"/>
      <c r="W1149" s="785"/>
      <c r="X1149" s="785"/>
      <c r="Y1149" s="785"/>
      <c r="Z1149" s="785"/>
      <c r="AA1149" s="785"/>
      <c r="AB1149" s="785"/>
      <c r="AC1149" s="785"/>
      <c r="AD1149" s="785"/>
      <c r="AE1149" s="785"/>
      <c r="AF1149" s="785"/>
      <c r="AG1149" s="785"/>
      <c r="AH1149" s="785"/>
      <c r="AI1149" s="785"/>
      <c r="AJ1149" s="785"/>
      <c r="AK1149" s="785"/>
      <c r="AL1149" s="785"/>
      <c r="AM1149" s="785"/>
      <c r="AN1149" s="785"/>
      <c r="AO1149" s="785"/>
      <c r="AP1149" s="785"/>
      <c r="AQ1149" s="785"/>
      <c r="AR1149" s="785"/>
      <c r="AS1149" s="785"/>
      <c r="AT1149" s="785"/>
      <c r="AU1149" s="785"/>
      <c r="AV1149" s="785"/>
      <c r="AW1149" s="785"/>
      <c r="AX1149" s="785"/>
      <c r="AY1149" s="785"/>
      <c r="AZ1149" s="785"/>
      <c r="BA1149" s="785"/>
      <c r="BB1149" s="785"/>
      <c r="BC1149" s="785"/>
      <c r="BD1149" s="785"/>
      <c r="BE1149" s="785"/>
      <c r="BF1149" s="785"/>
      <c r="BG1149" s="785"/>
      <c r="BH1149" s="785"/>
      <c r="BI1149" s="785"/>
      <c r="BJ1149" s="1067"/>
      <c r="BK1149" s="785"/>
      <c r="BL1149" s="785"/>
      <c r="BM1149" s="785"/>
      <c r="BN1149" s="785"/>
      <c r="BO1149" s="785"/>
      <c r="BP1149" s="785"/>
      <c r="BQ1149" s="785"/>
      <c r="BR1149" s="785"/>
      <c r="BS1149" s="785"/>
      <c r="BT1149" s="785"/>
      <c r="BU1149" s="785"/>
      <c r="BV1149" s="785"/>
      <c r="BW1149" s="787"/>
    </row>
    <row r="1150" spans="1:75" x14ac:dyDescent="0.5">
      <c r="A1150" s="915" t="s">
        <v>1630</v>
      </c>
      <c r="B1150" s="936">
        <f ca="1">IF(EXACT(MO.ReportFX,HP.TradeCurrency),1,IF(OR(INDEX(MO_SPT_FXAverage,1,MO.MRFPColumnNumber+1)="N/A",ISERROR(INDEX(MO_SPT_FXAverage,1,MO.MRFPColumnNumber+1))),MO.MRFX.Hardcoded,INDEX(MO_SPT_FXAverage,1,MO.MRFPColumnNumber+1)))</f>
        <v>1</v>
      </c>
      <c r="C1150" s="785"/>
      <c r="D1150" s="785"/>
      <c r="E1150" s="785"/>
      <c r="F1150" s="785"/>
      <c r="G1150" s="785"/>
      <c r="H1150" s="785"/>
      <c r="I1150" s="785"/>
      <c r="J1150" s="785"/>
      <c r="K1150" s="785"/>
      <c r="L1150" s="785"/>
      <c r="M1150" s="785"/>
      <c r="N1150" s="785"/>
      <c r="O1150" s="785"/>
      <c r="P1150" s="785"/>
      <c r="Q1150" s="785"/>
      <c r="R1150" s="785"/>
      <c r="S1150" s="785"/>
      <c r="T1150" s="785"/>
      <c r="U1150" s="785"/>
      <c r="V1150" s="785"/>
      <c r="W1150" s="785"/>
      <c r="X1150" s="785"/>
      <c r="Y1150" s="785"/>
      <c r="Z1150" s="785"/>
      <c r="AA1150" s="785"/>
      <c r="AB1150" s="785"/>
      <c r="AC1150" s="785"/>
      <c r="AD1150" s="785"/>
      <c r="AE1150" s="785"/>
      <c r="AF1150" s="785"/>
      <c r="AG1150" s="785"/>
      <c r="AH1150" s="785"/>
      <c r="AI1150" s="785"/>
      <c r="AJ1150" s="785"/>
      <c r="AK1150" s="785"/>
      <c r="AL1150" s="785"/>
      <c r="AM1150" s="785"/>
      <c r="AN1150" s="785"/>
      <c r="AO1150" s="785"/>
      <c r="AP1150" s="785"/>
      <c r="AQ1150" s="785"/>
      <c r="AR1150" s="785"/>
      <c r="AS1150" s="785"/>
      <c r="AT1150" s="785"/>
      <c r="AU1150" s="785"/>
      <c r="AV1150" s="785"/>
      <c r="AW1150" s="785"/>
      <c r="AX1150" s="785"/>
      <c r="AY1150" s="785"/>
      <c r="AZ1150" s="785"/>
      <c r="BA1150" s="785"/>
      <c r="BB1150" s="785"/>
      <c r="BC1150" s="785"/>
      <c r="BD1150" s="785"/>
      <c r="BE1150" s="785"/>
      <c r="BF1150" s="785"/>
      <c r="BG1150" s="785"/>
      <c r="BH1150" s="785"/>
      <c r="BI1150" s="785"/>
      <c r="BJ1150" s="1067"/>
      <c r="BK1150" s="785"/>
      <c r="BL1150" s="785"/>
      <c r="BM1150" s="785"/>
      <c r="BN1150" s="785"/>
      <c r="BO1150" s="785"/>
      <c r="BP1150" s="785"/>
      <c r="BQ1150" s="785"/>
      <c r="BR1150" s="785"/>
      <c r="BS1150" s="785"/>
      <c r="BT1150" s="785"/>
      <c r="BU1150" s="785"/>
      <c r="BV1150" s="785"/>
      <c r="BW1150" s="787"/>
    </row>
    <row r="1151" spans="1:75" x14ac:dyDescent="0.5">
      <c r="A1151" s="915" t="s">
        <v>1631</v>
      </c>
      <c r="B1151" s="1083">
        <v>1</v>
      </c>
      <c r="C1151" s="785"/>
      <c r="D1151" s="785"/>
      <c r="E1151" s="785"/>
      <c r="F1151" s="785"/>
      <c r="G1151" s="785"/>
      <c r="H1151" s="785"/>
      <c r="I1151" s="785"/>
      <c r="J1151" s="785"/>
      <c r="K1151" s="785"/>
      <c r="L1151" s="785"/>
      <c r="M1151" s="785"/>
      <c r="N1151" s="785"/>
      <c r="O1151" s="785"/>
      <c r="P1151" s="785"/>
      <c r="Q1151" s="785"/>
      <c r="R1151" s="785"/>
      <c r="S1151" s="785"/>
      <c r="T1151" s="785"/>
      <c r="U1151" s="785"/>
      <c r="V1151" s="785"/>
      <c r="W1151" s="785"/>
      <c r="X1151" s="785"/>
      <c r="Y1151" s="785"/>
      <c r="Z1151" s="785"/>
      <c r="AA1151" s="785"/>
      <c r="AB1151" s="785"/>
      <c r="AC1151" s="785"/>
      <c r="AD1151" s="785"/>
      <c r="AE1151" s="785"/>
      <c r="AF1151" s="785"/>
      <c r="AG1151" s="785"/>
      <c r="AH1151" s="785"/>
      <c r="AI1151" s="785"/>
      <c r="AJ1151" s="785"/>
      <c r="AK1151" s="785"/>
      <c r="AL1151" s="785"/>
      <c r="AM1151" s="785"/>
      <c r="AN1151" s="785"/>
      <c r="AO1151" s="785"/>
      <c r="AP1151" s="785"/>
      <c r="AQ1151" s="785"/>
      <c r="AR1151" s="785"/>
      <c r="AS1151" s="785"/>
      <c r="AT1151" s="785"/>
      <c r="AU1151" s="785"/>
      <c r="AV1151" s="785"/>
      <c r="AW1151" s="785"/>
      <c r="AX1151" s="785"/>
      <c r="AY1151" s="785"/>
      <c r="AZ1151" s="785"/>
      <c r="BA1151" s="785"/>
      <c r="BB1151" s="785"/>
      <c r="BC1151" s="785"/>
      <c r="BD1151" s="785"/>
      <c r="BE1151" s="785"/>
      <c r="BF1151" s="785"/>
      <c r="BG1151" s="785"/>
      <c r="BH1151" s="785"/>
      <c r="BI1151" s="785"/>
      <c r="BJ1151" s="1067"/>
      <c r="BK1151" s="785"/>
      <c r="BL1151" s="785"/>
      <c r="BM1151" s="785"/>
      <c r="BN1151" s="785"/>
      <c r="BO1151" s="785"/>
      <c r="BP1151" s="785"/>
      <c r="BQ1151" s="785"/>
      <c r="BR1151" s="785"/>
      <c r="BS1151" s="785"/>
      <c r="BT1151" s="785"/>
      <c r="BU1151" s="785"/>
      <c r="BV1151" s="785"/>
      <c r="BW1151" s="787"/>
    </row>
    <row r="1152" spans="1:75" x14ac:dyDescent="0.5">
      <c r="A1152" s="533" t="s">
        <v>1632</v>
      </c>
      <c r="B1152" s="223">
        <f>MATCH(MO.MRFP,MO_Common_ColumnHeader,0)</f>
        <v>62</v>
      </c>
      <c r="C1152" s="487"/>
      <c r="D1152" s="487"/>
      <c r="E1152" s="487"/>
      <c r="F1152" s="487"/>
      <c r="G1152" s="487"/>
      <c r="H1152" s="487"/>
      <c r="I1152" s="487"/>
      <c r="J1152" s="487"/>
      <c r="K1152" s="487"/>
      <c r="L1152" s="487"/>
      <c r="M1152" s="487"/>
      <c r="N1152" s="487"/>
      <c r="O1152" s="487"/>
      <c r="P1152" s="487"/>
      <c r="Q1152" s="487"/>
      <c r="R1152" s="487"/>
      <c r="S1152" s="487"/>
      <c r="T1152" s="487"/>
      <c r="U1152" s="487"/>
      <c r="V1152" s="487"/>
      <c r="W1152" s="487"/>
      <c r="X1152" s="487"/>
      <c r="Y1152" s="487"/>
      <c r="Z1152" s="487"/>
      <c r="AA1152" s="487"/>
      <c r="AB1152" s="487"/>
      <c r="AC1152" s="487"/>
      <c r="AD1152" s="487"/>
      <c r="AE1152" s="487"/>
      <c r="AF1152" s="487"/>
      <c r="AG1152" s="487"/>
      <c r="AH1152" s="487"/>
      <c r="AI1152" s="487"/>
      <c r="AJ1152" s="487"/>
      <c r="AK1152" s="487"/>
      <c r="AL1152" s="487"/>
      <c r="AM1152" s="487"/>
      <c r="AN1152" s="487"/>
      <c r="AO1152" s="487"/>
      <c r="AP1152" s="487"/>
      <c r="AQ1152" s="487"/>
      <c r="AR1152" s="487"/>
      <c r="AS1152" s="487"/>
      <c r="AT1152" s="487"/>
      <c r="AU1152" s="487"/>
      <c r="AV1152" s="487"/>
      <c r="AW1152" s="487"/>
      <c r="AX1152" s="487"/>
      <c r="AY1152" s="487"/>
      <c r="AZ1152" s="487"/>
      <c r="BA1152" s="487"/>
      <c r="BB1152" s="487"/>
      <c r="BC1152" s="487"/>
      <c r="BD1152" s="487"/>
      <c r="BE1152" s="487"/>
      <c r="BF1152" s="487"/>
      <c r="BG1152" s="487"/>
      <c r="BH1152" s="487"/>
      <c r="BI1152" s="487"/>
      <c r="BJ1152" s="981"/>
      <c r="BK1152" s="487"/>
      <c r="BL1152" s="487"/>
      <c r="BM1152" s="487"/>
      <c r="BN1152" s="487"/>
      <c r="BO1152" s="487"/>
      <c r="BP1152" s="487"/>
      <c r="BQ1152" s="487"/>
      <c r="BR1152" s="487"/>
      <c r="BS1152" s="487"/>
      <c r="BT1152" s="487"/>
      <c r="BU1152" s="487"/>
      <c r="BV1152" s="487"/>
      <c r="BW1152" s="223"/>
    </row>
    <row r="1153" spans="1:75" x14ac:dyDescent="0.5">
      <c r="A1153" s="533" t="s">
        <v>1633</v>
      </c>
      <c r="B1153" s="256" t="s">
        <v>164</v>
      </c>
      <c r="C1153" s="487"/>
      <c r="D1153" s="487"/>
      <c r="E1153" s="487"/>
      <c r="F1153" s="487"/>
      <c r="G1153" s="487"/>
      <c r="H1153" s="487"/>
      <c r="I1153" s="487"/>
      <c r="J1153" s="487"/>
      <c r="K1153" s="487"/>
      <c r="L1153" s="487"/>
      <c r="M1153" s="487"/>
      <c r="N1153" s="487"/>
      <c r="O1153" s="487"/>
      <c r="P1153" s="487"/>
      <c r="Q1153" s="487"/>
      <c r="R1153" s="487"/>
      <c r="S1153" s="487"/>
      <c r="T1153" s="487"/>
      <c r="U1153" s="487"/>
      <c r="V1153" s="487"/>
      <c r="W1153" s="487"/>
      <c r="X1153" s="487"/>
      <c r="Y1153" s="487"/>
      <c r="Z1153" s="487"/>
      <c r="AA1153" s="487"/>
      <c r="AB1153" s="487"/>
      <c r="AC1153" s="487"/>
      <c r="AD1153" s="487"/>
      <c r="AE1153" s="487"/>
      <c r="AF1153" s="487"/>
      <c r="AG1153" s="487"/>
      <c r="AH1153" s="487"/>
      <c r="AI1153" s="487"/>
      <c r="AJ1153" s="487"/>
      <c r="AK1153" s="487"/>
      <c r="AL1153" s="487"/>
      <c r="AM1153" s="487"/>
      <c r="AN1153" s="487"/>
      <c r="AO1153" s="487"/>
      <c r="AP1153" s="487"/>
      <c r="AQ1153" s="487"/>
      <c r="AR1153" s="487"/>
      <c r="AS1153" s="487"/>
      <c r="AT1153" s="487"/>
      <c r="AU1153" s="487"/>
      <c r="AV1153" s="487"/>
      <c r="AW1153" s="487"/>
      <c r="AX1153" s="487"/>
      <c r="AY1153" s="487"/>
      <c r="AZ1153" s="487"/>
      <c r="BA1153" s="487"/>
      <c r="BB1153" s="487"/>
      <c r="BC1153" s="487"/>
      <c r="BD1153" s="487"/>
      <c r="BE1153" s="487"/>
      <c r="BF1153" s="487"/>
      <c r="BG1153" s="487"/>
      <c r="BH1153" s="487"/>
      <c r="BI1153" s="487"/>
      <c r="BJ1153" s="981"/>
      <c r="BK1153" s="487"/>
      <c r="BL1153" s="487"/>
      <c r="BM1153" s="487"/>
      <c r="BN1153" s="487"/>
      <c r="BO1153" s="487"/>
      <c r="BP1153" s="487"/>
      <c r="BQ1153" s="487"/>
      <c r="BR1153" s="487"/>
      <c r="BS1153" s="487"/>
      <c r="BT1153" s="487"/>
      <c r="BU1153" s="487"/>
      <c r="BV1153" s="487"/>
      <c r="BW1153" s="223"/>
    </row>
    <row r="1154" spans="1:75" x14ac:dyDescent="0.5">
      <c r="A1154" s="533" t="s">
        <v>1634</v>
      </c>
      <c r="B1154" s="223" t="str">
        <f>"FY"&amp;RIGHT(MO.MRFP,4)</f>
        <v>FY2024</v>
      </c>
      <c r="C1154" s="487"/>
      <c r="D1154" s="487"/>
      <c r="E1154" s="487"/>
      <c r="F1154" s="487"/>
      <c r="G1154" s="487"/>
      <c r="H1154" s="487"/>
      <c r="I1154" s="487"/>
      <c r="J1154" s="487"/>
      <c r="K1154" s="487"/>
      <c r="L1154" s="487"/>
      <c r="M1154" s="487"/>
      <c r="N1154" s="487"/>
      <c r="O1154" s="487"/>
      <c r="P1154" s="487"/>
      <c r="Q1154" s="487"/>
      <c r="R1154" s="487"/>
      <c r="S1154" s="487"/>
      <c r="T1154" s="487"/>
      <c r="U1154" s="487"/>
      <c r="V1154" s="487"/>
      <c r="W1154" s="487"/>
      <c r="X1154" s="487"/>
      <c r="Y1154" s="487"/>
      <c r="Z1154" s="487"/>
      <c r="AA1154" s="487"/>
      <c r="AB1154" s="487"/>
      <c r="AC1154" s="487"/>
      <c r="AD1154" s="487"/>
      <c r="AE1154" s="487"/>
      <c r="AF1154" s="487"/>
      <c r="AG1154" s="487"/>
      <c r="AH1154" s="487"/>
      <c r="AI1154" s="487"/>
      <c r="AJ1154" s="487"/>
      <c r="AK1154" s="487"/>
      <c r="AL1154" s="487"/>
      <c r="AM1154" s="487"/>
      <c r="AN1154" s="487"/>
      <c r="AO1154" s="487"/>
      <c r="AP1154" s="487"/>
      <c r="AQ1154" s="487"/>
      <c r="AR1154" s="487"/>
      <c r="AS1154" s="487"/>
      <c r="AT1154" s="487"/>
      <c r="AU1154" s="487"/>
      <c r="AV1154" s="487"/>
      <c r="AW1154" s="487"/>
      <c r="AX1154" s="487"/>
      <c r="AY1154" s="487"/>
      <c r="AZ1154" s="487"/>
      <c r="BA1154" s="487"/>
      <c r="BB1154" s="487"/>
      <c r="BC1154" s="487"/>
      <c r="BD1154" s="487"/>
      <c r="BE1154" s="487"/>
      <c r="BF1154" s="487"/>
      <c r="BG1154" s="487"/>
      <c r="BH1154" s="487"/>
      <c r="BI1154" s="487"/>
      <c r="BJ1154" s="981"/>
      <c r="BK1154" s="487"/>
      <c r="BL1154" s="487"/>
      <c r="BM1154" s="487"/>
      <c r="BN1154" s="487"/>
      <c r="BO1154" s="487"/>
      <c r="BP1154" s="487"/>
      <c r="BQ1154" s="487"/>
      <c r="BR1154" s="487"/>
      <c r="BS1154" s="487"/>
      <c r="BT1154" s="487"/>
      <c r="BU1154" s="487"/>
      <c r="BV1154" s="487"/>
      <c r="BW1154" s="223"/>
    </row>
    <row r="1155" spans="1:75" x14ac:dyDescent="0.5">
      <c r="A1155" s="533" t="s">
        <v>1635</v>
      </c>
      <c r="B1155" s="223" t="str">
        <f>"FY"&amp;RIGHT(MO.MRFP,4)+IF(LEFT(MO.MRFP,2)="FY",1,0)</f>
        <v>FY2024</v>
      </c>
      <c r="C1155" s="487"/>
      <c r="D1155" s="487"/>
      <c r="E1155" s="487"/>
      <c r="F1155" s="487"/>
      <c r="G1155" s="487"/>
      <c r="H1155" s="487"/>
      <c r="I1155" s="487"/>
      <c r="J1155" s="487"/>
      <c r="K1155" s="487"/>
      <c r="L1155" s="487"/>
      <c r="M1155" s="487"/>
      <c r="N1155" s="487"/>
      <c r="O1155" s="487"/>
      <c r="P1155" s="487"/>
      <c r="Q1155" s="487"/>
      <c r="R1155" s="487"/>
      <c r="S1155" s="487"/>
      <c r="T1155" s="487"/>
      <c r="U1155" s="487"/>
      <c r="V1155" s="487"/>
      <c r="W1155" s="487"/>
      <c r="X1155" s="487"/>
      <c r="Y1155" s="487"/>
      <c r="Z1155" s="487"/>
      <c r="AA1155" s="487"/>
      <c r="AB1155" s="487"/>
      <c r="AC1155" s="487"/>
      <c r="AD1155" s="487"/>
      <c r="AE1155" s="487"/>
      <c r="AF1155" s="487"/>
      <c r="AG1155" s="487"/>
      <c r="AH1155" s="487"/>
      <c r="AI1155" s="487"/>
      <c r="AJ1155" s="487"/>
      <c r="AK1155" s="487"/>
      <c r="AL1155" s="487"/>
      <c r="AM1155" s="487"/>
      <c r="AN1155" s="487"/>
      <c r="AO1155" s="487"/>
      <c r="AP1155" s="487"/>
      <c r="AQ1155" s="487"/>
      <c r="AR1155" s="487"/>
      <c r="AS1155" s="487"/>
      <c r="AT1155" s="487"/>
      <c r="AU1155" s="487"/>
      <c r="AV1155" s="487"/>
      <c r="AW1155" s="487"/>
      <c r="AX1155" s="487"/>
      <c r="AY1155" s="487"/>
      <c r="AZ1155" s="487"/>
      <c r="BA1155" s="487"/>
      <c r="BB1155" s="487"/>
      <c r="BC1155" s="487"/>
      <c r="BD1155" s="487"/>
      <c r="BE1155" s="487"/>
      <c r="BF1155" s="487"/>
      <c r="BG1155" s="487"/>
      <c r="BH1155" s="487"/>
      <c r="BI1155" s="487"/>
      <c r="BJ1155" s="981"/>
      <c r="BK1155" s="487"/>
      <c r="BL1155" s="487"/>
      <c r="BM1155" s="487"/>
      <c r="BN1155" s="487"/>
      <c r="BO1155" s="487"/>
      <c r="BP1155" s="487"/>
      <c r="BQ1155" s="487"/>
      <c r="BR1155" s="487"/>
      <c r="BS1155" s="487"/>
      <c r="BT1155" s="487"/>
      <c r="BU1155" s="487"/>
      <c r="BV1155" s="487"/>
      <c r="BW1155" s="223"/>
    </row>
    <row r="1156" spans="1:75" x14ac:dyDescent="0.5">
      <c r="A1156" s="533" t="s">
        <v>1636</v>
      </c>
      <c r="B1156" s="223">
        <f>COUNTA(tb_KPIs)-1</f>
        <v>11</v>
      </c>
      <c r="C1156" s="487"/>
      <c r="D1156" s="487"/>
      <c r="E1156" s="487"/>
      <c r="F1156" s="487"/>
      <c r="G1156" s="487"/>
      <c r="H1156" s="487"/>
      <c r="I1156" s="487"/>
      <c r="J1156" s="487"/>
      <c r="K1156" s="487"/>
      <c r="L1156" s="487"/>
      <c r="M1156" s="487"/>
      <c r="N1156" s="487"/>
      <c r="O1156" s="487"/>
      <c r="P1156" s="487"/>
      <c r="Q1156" s="487"/>
      <c r="R1156" s="487"/>
      <c r="S1156" s="487"/>
      <c r="T1156" s="487"/>
      <c r="U1156" s="487"/>
      <c r="V1156" s="487"/>
      <c r="W1156" s="487"/>
      <c r="X1156" s="487"/>
      <c r="Y1156" s="487"/>
      <c r="Z1156" s="487"/>
      <c r="AA1156" s="487"/>
      <c r="AB1156" s="487"/>
      <c r="AC1156" s="487"/>
      <c r="AD1156" s="487"/>
      <c r="AE1156" s="487"/>
      <c r="AF1156" s="487"/>
      <c r="AG1156" s="487"/>
      <c r="AH1156" s="487"/>
      <c r="AI1156" s="487"/>
      <c r="AJ1156" s="487"/>
      <c r="AK1156" s="487"/>
      <c r="AL1156" s="487"/>
      <c r="AM1156" s="487"/>
      <c r="AN1156" s="487"/>
      <c r="AO1156" s="487"/>
      <c r="AP1156" s="487"/>
      <c r="AQ1156" s="487"/>
      <c r="AR1156" s="487"/>
      <c r="AS1156" s="487"/>
      <c r="AT1156" s="487"/>
      <c r="AU1156" s="487"/>
      <c r="AV1156" s="487"/>
      <c r="AW1156" s="487"/>
      <c r="AX1156" s="487"/>
      <c r="AY1156" s="487"/>
      <c r="AZ1156" s="487"/>
      <c r="BA1156" s="487"/>
      <c r="BB1156" s="487"/>
      <c r="BC1156" s="487"/>
      <c r="BD1156" s="487"/>
      <c r="BE1156" s="487"/>
      <c r="BF1156" s="487"/>
      <c r="BG1156" s="487"/>
      <c r="BH1156" s="487"/>
      <c r="BI1156" s="487"/>
      <c r="BJ1156" s="981"/>
      <c r="BK1156" s="487"/>
      <c r="BL1156" s="487"/>
      <c r="BM1156" s="487"/>
      <c r="BN1156" s="487"/>
      <c r="BO1156" s="487"/>
      <c r="BP1156" s="487"/>
      <c r="BQ1156" s="487"/>
      <c r="BR1156" s="487"/>
      <c r="BS1156" s="487"/>
      <c r="BT1156" s="487"/>
      <c r="BU1156" s="487"/>
      <c r="BV1156" s="487"/>
      <c r="BW1156" s="223"/>
    </row>
    <row r="1157" spans="1:75" x14ac:dyDescent="0.5">
      <c r="A1157" s="1098" t="s">
        <v>1637</v>
      </c>
      <c r="B1157" s="1099">
        <f>IF(MO.DataSourceName="Bloomberg",1,IF(MO.DataSourceName="Capital IQ",2,IF(MO.DataSourceName="FactSet",3,IF(MO.DataSourceName="Refinitiv",4,1))))</f>
        <v>1</v>
      </c>
      <c r="C1157" s="487"/>
      <c r="D1157" s="487"/>
      <c r="E1157" s="487"/>
      <c r="F1157" s="487"/>
      <c r="G1157" s="487"/>
      <c r="H1157" s="487"/>
      <c r="I1157" s="487"/>
      <c r="J1157" s="487"/>
      <c r="K1157" s="487"/>
      <c r="L1157" s="487"/>
      <c r="M1157" s="487"/>
      <c r="N1157" s="487"/>
      <c r="O1157" s="487"/>
      <c r="P1157" s="487"/>
      <c r="Q1157" s="487"/>
      <c r="R1157" s="487"/>
      <c r="S1157" s="487"/>
      <c r="T1157" s="487"/>
      <c r="U1157" s="487"/>
      <c r="V1157" s="487"/>
      <c r="W1157" s="487"/>
      <c r="X1157" s="487"/>
      <c r="Y1157" s="487"/>
      <c r="Z1157" s="487"/>
      <c r="AA1157" s="487"/>
      <c r="AB1157" s="487"/>
      <c r="AC1157" s="487"/>
      <c r="AD1157" s="487"/>
      <c r="AE1157" s="487"/>
      <c r="AF1157" s="487"/>
      <c r="AG1157" s="487"/>
      <c r="AH1157" s="487"/>
      <c r="AI1157" s="487"/>
      <c r="AJ1157" s="487"/>
      <c r="AK1157" s="487"/>
      <c r="AL1157" s="487"/>
      <c r="AM1157" s="487"/>
      <c r="AN1157" s="487"/>
      <c r="AO1157" s="487"/>
      <c r="AP1157" s="487"/>
      <c r="AQ1157" s="487"/>
      <c r="AR1157" s="487"/>
      <c r="AS1157" s="487"/>
      <c r="AT1157" s="487"/>
      <c r="AU1157" s="487"/>
      <c r="AV1157" s="487"/>
      <c r="AW1157" s="487"/>
      <c r="AX1157" s="487"/>
      <c r="AY1157" s="487"/>
      <c r="AZ1157" s="487"/>
      <c r="BA1157" s="487"/>
      <c r="BB1157" s="487"/>
      <c r="BC1157" s="487"/>
      <c r="BD1157" s="487"/>
      <c r="BE1157" s="487"/>
      <c r="BF1157" s="487"/>
      <c r="BG1157" s="487"/>
      <c r="BH1157" s="487"/>
      <c r="BI1157" s="487"/>
      <c r="BJ1157" s="981"/>
      <c r="BK1157" s="487"/>
      <c r="BL1157" s="487"/>
      <c r="BM1157" s="487"/>
      <c r="BN1157" s="487"/>
      <c r="BO1157" s="487"/>
      <c r="BP1157" s="487"/>
      <c r="BQ1157" s="487"/>
      <c r="BR1157" s="487"/>
      <c r="BS1157" s="487"/>
      <c r="BT1157" s="487"/>
      <c r="BU1157" s="487"/>
      <c r="BV1157" s="487"/>
      <c r="BW1157" s="223"/>
    </row>
    <row r="1158" spans="1:75" x14ac:dyDescent="0.5">
      <c r="A1158" s="1100"/>
      <c r="B1158" s="1100"/>
      <c r="C1158" s="127"/>
      <c r="D1158" s="127"/>
      <c r="E1158" s="127"/>
      <c r="F1158" s="127"/>
      <c r="G1158" s="127"/>
      <c r="H1158" s="127"/>
      <c r="I1158" s="127"/>
      <c r="J1158" s="127"/>
      <c r="K1158" s="127"/>
      <c r="L1158" s="127"/>
      <c r="M1158" s="127"/>
      <c r="N1158" s="127"/>
      <c r="O1158" s="127"/>
      <c r="P1158" s="127"/>
      <c r="Q1158" s="127"/>
      <c r="R1158" s="127"/>
      <c r="S1158" s="127"/>
      <c r="T1158" s="127"/>
      <c r="U1158" s="127"/>
      <c r="V1158" s="127"/>
      <c r="W1158" s="127"/>
      <c r="X1158" s="127"/>
      <c r="Y1158" s="127"/>
      <c r="Z1158" s="127"/>
      <c r="AA1158" s="127"/>
      <c r="AB1158" s="127"/>
      <c r="AC1158" s="127"/>
      <c r="AD1158" s="127"/>
      <c r="AE1158" s="127"/>
      <c r="AF1158" s="127"/>
      <c r="AG1158" s="127"/>
      <c r="AH1158" s="127"/>
      <c r="AI1158" s="127"/>
      <c r="AJ1158" s="127"/>
      <c r="AK1158" s="127"/>
      <c r="AL1158" s="127"/>
      <c r="AM1158" s="127"/>
      <c r="AN1158" s="127"/>
      <c r="AO1158" s="127"/>
      <c r="AP1158" s="127"/>
      <c r="AQ1158" s="127"/>
      <c r="AR1158" s="127"/>
      <c r="AS1158" s="127"/>
      <c r="AT1158" s="127"/>
      <c r="AU1158" s="127"/>
      <c r="AV1158" s="127"/>
      <c r="AW1158" s="127"/>
      <c r="AX1158" s="127"/>
      <c r="AY1158" s="127"/>
      <c r="AZ1158" s="127"/>
      <c r="BA1158" s="127"/>
      <c r="BB1158" s="127"/>
      <c r="BC1158" s="127"/>
      <c r="BD1158" s="127"/>
      <c r="BE1158" s="127"/>
      <c r="BF1158" s="127"/>
      <c r="BG1158" s="127"/>
      <c r="BH1158" s="127"/>
      <c r="BI1158" s="127"/>
      <c r="BJ1158" s="1097"/>
      <c r="BK1158" s="127"/>
      <c r="BL1158" s="127"/>
      <c r="BM1158" s="127"/>
      <c r="BN1158" s="127"/>
      <c r="BO1158" s="127"/>
      <c r="BP1158" s="127"/>
      <c r="BQ1158" s="127"/>
      <c r="BR1158" s="127"/>
      <c r="BS1158" s="127"/>
      <c r="BT1158" s="127"/>
      <c r="BU1158" s="127"/>
      <c r="BV1158" s="127"/>
      <c r="BW1158" s="152"/>
    </row>
    <row r="1159" spans="1:75" x14ac:dyDescent="0.5">
      <c r="A1159" s="755" t="s">
        <v>1638</v>
      </c>
      <c r="B1159" s="1101"/>
      <c r="C1159" s="1101"/>
      <c r="D1159" s="1101"/>
      <c r="E1159" s="1101"/>
      <c r="F1159" s="1101"/>
      <c r="G1159" s="1101"/>
      <c r="H1159" s="1101"/>
      <c r="I1159" s="1101"/>
      <c r="J1159" s="1101"/>
      <c r="K1159" s="1101"/>
      <c r="L1159" s="1101"/>
      <c r="M1159" s="1101"/>
      <c r="N1159" s="1101"/>
      <c r="O1159" s="1101"/>
      <c r="P1159" s="1101"/>
      <c r="Q1159" s="1101"/>
      <c r="R1159" s="1101"/>
      <c r="S1159" s="1101"/>
      <c r="T1159" s="1101"/>
      <c r="U1159" s="1101"/>
      <c r="V1159" s="1101"/>
      <c r="W1159" s="1101"/>
      <c r="X1159" s="1101"/>
      <c r="Y1159" s="1101"/>
      <c r="Z1159" s="1101"/>
      <c r="AA1159" s="1101"/>
      <c r="AB1159" s="1101"/>
      <c r="AC1159" s="1101"/>
      <c r="AD1159" s="1101"/>
      <c r="AE1159" s="1101"/>
      <c r="AF1159" s="1101"/>
      <c r="AG1159" s="1101"/>
      <c r="AH1159" s="1101"/>
      <c r="AI1159" s="1101"/>
      <c r="AJ1159" s="1101"/>
      <c r="AK1159" s="1101"/>
      <c r="AL1159" s="1101"/>
      <c r="AM1159" s="1101"/>
      <c r="AN1159" s="1101"/>
      <c r="AO1159" s="1101"/>
      <c r="AP1159" s="1101"/>
      <c r="AQ1159" s="1101"/>
      <c r="AR1159" s="1101"/>
      <c r="AS1159" s="1101"/>
      <c r="AT1159" s="1101"/>
      <c r="AU1159" s="1101"/>
      <c r="AV1159" s="1101"/>
      <c r="AW1159" s="1101"/>
      <c r="AX1159" s="1101"/>
      <c r="AY1159" s="1101"/>
      <c r="AZ1159" s="1101"/>
      <c r="BA1159" s="1101"/>
      <c r="BB1159" s="1101"/>
      <c r="BC1159" s="1101"/>
      <c r="BD1159" s="1101"/>
      <c r="BE1159" s="1101"/>
      <c r="BF1159" s="1101"/>
      <c r="BG1159" s="1101"/>
      <c r="BH1159" s="1101"/>
      <c r="BI1159" s="1101"/>
      <c r="BJ1159" s="1101"/>
      <c r="BK1159" s="1101"/>
      <c r="BL1159" s="1101"/>
      <c r="BM1159" s="1101"/>
      <c r="BN1159" s="1101"/>
      <c r="BO1159" s="1101"/>
      <c r="BP1159" s="1101"/>
      <c r="BQ1159" s="1101"/>
      <c r="BR1159" s="1101"/>
      <c r="BS1159" s="1101"/>
      <c r="BT1159" s="1101"/>
      <c r="BU1159" s="1101"/>
      <c r="BV1159" s="1101"/>
      <c r="BW1159" s="152"/>
    </row>
    <row r="1160" spans="1:75" x14ac:dyDescent="0.5">
      <c r="A1160" s="152"/>
      <c r="B1160" s="152"/>
      <c r="C1160" s="152"/>
      <c r="D1160" s="152"/>
      <c r="E1160" s="152"/>
      <c r="F1160" s="152"/>
      <c r="G1160" s="152"/>
      <c r="H1160" s="152"/>
      <c r="I1160" s="152"/>
      <c r="J1160" s="152"/>
      <c r="K1160" s="152"/>
      <c r="L1160" s="152"/>
      <c r="M1160" s="152"/>
      <c r="N1160" s="152"/>
      <c r="O1160" s="152"/>
      <c r="P1160" s="152"/>
      <c r="Q1160" s="152"/>
      <c r="R1160" s="152"/>
      <c r="S1160" s="152"/>
      <c r="T1160" s="152"/>
      <c r="U1160" s="152"/>
      <c r="V1160" s="152"/>
      <c r="W1160" s="152"/>
      <c r="X1160" s="152"/>
      <c r="Y1160" s="152"/>
      <c r="Z1160" s="152"/>
      <c r="AA1160" s="152"/>
      <c r="AB1160" s="152"/>
      <c r="AC1160" s="152"/>
      <c r="AD1160" s="152"/>
      <c r="AE1160" s="152"/>
      <c r="AF1160" s="152"/>
      <c r="AG1160" s="152"/>
      <c r="AH1160" s="152"/>
      <c r="AI1160" s="152"/>
      <c r="AJ1160" s="152"/>
      <c r="AK1160" s="152"/>
      <c r="AL1160" s="152"/>
      <c r="AM1160" s="152"/>
      <c r="AN1160" s="152"/>
      <c r="AO1160" s="152"/>
      <c r="AP1160" s="152"/>
      <c r="AQ1160" s="152"/>
      <c r="AR1160" s="152"/>
      <c r="AS1160" s="152"/>
      <c r="AT1160" s="152"/>
      <c r="AU1160" s="152"/>
      <c r="AV1160" s="152"/>
      <c r="AW1160" s="152"/>
      <c r="AX1160" s="152"/>
      <c r="AY1160" s="152"/>
      <c r="AZ1160" s="152"/>
      <c r="BA1160" s="152"/>
      <c r="BB1160" s="152"/>
      <c r="BC1160" s="152"/>
      <c r="BD1160" s="152"/>
      <c r="BE1160" s="152"/>
      <c r="BF1160" s="152"/>
      <c r="BG1160" s="152"/>
      <c r="BH1160" s="152"/>
      <c r="BI1160" s="152"/>
      <c r="BJ1160" s="152"/>
      <c r="BK1160" s="152"/>
      <c r="BL1160" s="152"/>
      <c r="BM1160" s="152"/>
      <c r="BN1160" s="152"/>
      <c r="BO1160" s="152"/>
      <c r="BP1160" s="152"/>
      <c r="BQ1160" s="152"/>
      <c r="BR1160" s="152"/>
      <c r="BS1160" s="152"/>
      <c r="BT1160" s="152"/>
      <c r="BU1160" s="152"/>
      <c r="BV1160" s="152"/>
      <c r="BW1160" s="152"/>
    </row>
  </sheetData>
  <conditionalFormatting sqref="C195:AW195 AY195:BV195">
    <cfRule type="cellIs" dxfId="7" priority="7" operator="notEqual">
      <formula>0</formula>
    </cfRule>
    <cfRule type="cellIs" dxfId="6" priority="8" operator="equal">
      <formula>0</formula>
    </cfRule>
  </conditionalFormatting>
  <conditionalFormatting sqref="C897:AW897 AY897:BV897">
    <cfRule type="cellIs" dxfId="5" priority="5" operator="notEqual">
      <formula>0</formula>
    </cfRule>
    <cfRule type="cellIs" dxfId="4" priority="6" operator="equal">
      <formula>0</formula>
    </cfRule>
  </conditionalFormatting>
  <conditionalFormatting sqref="C992:AW992 AY992:BV992 C993:BV995 C996:G996 I996 K996:BV996 C997:BV1001 C1002:AW1002 AY1002:BV1002 C1003:BV1004 C1005:O1005 Q1005:AS1005 AU1005:AX1005 AZ1005:BV1005 C1006:BV1006 C1007:AX1007 AZ1007:BV1008 C1008:O1008 Q1008:AS1008 AU1008:AX1008 C1009:BV1014">
    <cfRule type="cellIs" dxfId="3" priority="1" operator="notEqual">
      <formula>0</formula>
    </cfRule>
    <cfRule type="cellIs" dxfId="2" priority="2" operator="equal">
      <formula>0</formula>
    </cfRule>
  </conditionalFormatting>
  <conditionalFormatting sqref="C989:BV989">
    <cfRule type="cellIs" dxfId="1" priority="3" operator="notEqual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75</vt:i4>
      </vt:variant>
    </vt:vector>
  </HeadingPairs>
  <TitlesOfParts>
    <vt:vector size="83" baseType="lpstr">
      <vt:lpstr>P&amp;L</vt:lpstr>
      <vt:lpstr>Comps</vt:lpstr>
      <vt:lpstr>Team Structure</vt:lpstr>
      <vt:lpstr>Questions</vt:lpstr>
      <vt:lpstr>Support&gt;&gt;&gt;</vt:lpstr>
      <vt:lpstr>RH</vt:lpstr>
      <vt:lpstr>WSM</vt:lpstr>
      <vt:lpstr>Wayfair</vt:lpstr>
      <vt:lpstr>HP.MRFX</vt:lpstr>
      <vt:lpstr>HP.ReportCurrency</vt:lpstr>
      <vt:lpstr>HP.Ticker</vt:lpstr>
      <vt:lpstr>HP.TradeCurrency</vt:lpstr>
      <vt:lpstr>HP.TradeCurrency.HardCoded</vt:lpstr>
      <vt:lpstr>MO.ApplyTradeCurrencyScaling</vt:lpstr>
      <vt:lpstr>MO.DataSourceIndex</vt:lpstr>
      <vt:lpstr>MO.DataSourceName</vt:lpstr>
      <vt:lpstr>MO.LastPrice</vt:lpstr>
      <vt:lpstr>MO.LastPriceFormula</vt:lpstr>
      <vt:lpstr>MO.LastPriceHardcoded</vt:lpstr>
      <vt:lpstr>MO.MRFP</vt:lpstr>
      <vt:lpstr>MO.MRFPColumnNumber</vt:lpstr>
      <vt:lpstr>MO.MRFX.Hardcoded</vt:lpstr>
      <vt:lpstr>MO.RealTime</vt:lpstr>
      <vt:lpstr>MO.RealTimeStockPriceToggle</vt:lpstr>
      <vt:lpstr>MO.ReportCurrency</vt:lpstr>
      <vt:lpstr>MO.ReportFX</vt:lpstr>
      <vt:lpstr>MO.Ticker.Bloomberg</vt:lpstr>
      <vt:lpstr>MO.Ticker.CapIQ</vt:lpstr>
      <vt:lpstr>MO.Ticker.FactSet</vt:lpstr>
      <vt:lpstr>MO.Ticker.Thomson</vt:lpstr>
      <vt:lpstr>MO.ValuationToggle</vt:lpstr>
      <vt:lpstr>MO_CFS_Buyback</vt:lpstr>
      <vt:lpstr>MO_CFS_CFF</vt:lpstr>
      <vt:lpstr>MO_CFS_CFI</vt:lpstr>
      <vt:lpstr>MO_CFS_CFO</vt:lpstr>
      <vt:lpstr>MO_CFS_CFO_BeforeWC</vt:lpstr>
      <vt:lpstr>MO_CFSum_Acquisition</vt:lpstr>
      <vt:lpstr>MO_CFSum_Capex</vt:lpstr>
      <vt:lpstr>MO_CFSum_Divestiture</vt:lpstr>
      <vt:lpstr>MO_CFSum_Dividend</vt:lpstr>
      <vt:lpstr>MO_Common_ColumnHeader</vt:lpstr>
      <vt:lpstr>MO_Common_FPDays</vt:lpstr>
      <vt:lpstr>MO_Common_QEndDate</vt:lpstr>
      <vt:lpstr>MO_IS_EBIT</vt:lpstr>
      <vt:lpstr>MO_IS_FirstRow</vt:lpstr>
      <vt:lpstr>MO_OS_EBIT</vt:lpstr>
      <vt:lpstr>MO_OS_EBIT_Adj</vt:lpstr>
      <vt:lpstr>MO_OS_EBT</vt:lpstr>
      <vt:lpstr>MO_OS_EBT_Adj</vt:lpstr>
      <vt:lpstr>MO_RIS_EBIT</vt:lpstr>
      <vt:lpstr>MO_RIS_EBIT_Adj</vt:lpstr>
      <vt:lpstr>MO_RIS_EBITDA_Adj</vt:lpstr>
      <vt:lpstr>MO_RIS_EBT</vt:lpstr>
      <vt:lpstr>MO_RIS_EBT_Adj</vt:lpstr>
      <vt:lpstr>MO_RIS_EPS_WAD_Adj</vt:lpstr>
      <vt:lpstr>MO_RIS_NI_NONGAAP_Diluted</vt:lpstr>
      <vt:lpstr>MO_RIS_REV</vt:lpstr>
      <vt:lpstr>MO_SCA_ShareCount_EoP_Diluted</vt:lpstr>
      <vt:lpstr>MO_SNA_ConsensusEstimatePeriodType</vt:lpstr>
      <vt:lpstr>MO_SNA_FPStartDate</vt:lpstr>
      <vt:lpstr>MO_SNA_IsHistoricalPeriod</vt:lpstr>
      <vt:lpstr>MO_SPT_FXAverage</vt:lpstr>
      <vt:lpstr>MO_SPT_FXAverage_Sources</vt:lpstr>
      <vt:lpstr>MO_SPT_FXEoP</vt:lpstr>
      <vt:lpstr>MO_SPT_StockAverage</vt:lpstr>
      <vt:lpstr>MO_SPT_StockAverage_Sources</vt:lpstr>
      <vt:lpstr>MO_SPT_StockEoP</vt:lpstr>
      <vt:lpstr>MO_SPT_StockHigh</vt:lpstr>
      <vt:lpstr>MO_SPT_StockHigh_Sources</vt:lpstr>
      <vt:lpstr>MO_SPT_StockLow</vt:lpstr>
      <vt:lpstr>MO_SPT_StockLow_Sources</vt:lpstr>
      <vt:lpstr>MO_SubSection_CFS_CFF</vt:lpstr>
      <vt:lpstr>MO_SubSection_CFS_CFI</vt:lpstr>
      <vt:lpstr>MO_SubSection_CFS_CFO</vt:lpstr>
      <vt:lpstr>MO_VA_EV_ToEBITDA</vt:lpstr>
      <vt:lpstr>MO_VA_FX_Average</vt:lpstr>
      <vt:lpstr>MO_VA_FX_EoP</vt:lpstr>
      <vt:lpstr>MO_VA_P_ToE</vt:lpstr>
      <vt:lpstr>MO_VA_StockPrice</vt:lpstr>
      <vt:lpstr>MO_VA_StockPrice_TradingCurrency</vt:lpstr>
      <vt:lpstr>tb_ConsensusEstimate</vt:lpstr>
      <vt:lpstr>tb_KPIs</vt:lpstr>
      <vt:lpstr>tb_ValuationToggle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 Cowles</dc:creator>
  <cp:lastModifiedBy>Marci Medford</cp:lastModifiedBy>
  <dcterms:created xsi:type="dcterms:W3CDTF">2024-05-07T16:08:33Z</dcterms:created>
  <dcterms:modified xsi:type="dcterms:W3CDTF">2024-06-13T16:33:30Z</dcterms:modified>
</cp:coreProperties>
</file>